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xr:revisionPtr revIDLastSave="667" documentId="13_ncr:1_{25334AC0-B501-4231-90BA-83FF4F53953F}" xr6:coauthVersionLast="47" xr6:coauthVersionMax="47" xr10:uidLastSave="{C8FB3E73-1B7D-4114-AB30-7DC7280A0354}"/>
  <bookViews>
    <workbookView minimized="1" xWindow="1470" yWindow="1470" windowWidth="21600" windowHeight="11385" tabRatio="758" firstSheet="5" activeTab="11" xr2:uid="{00000000-000D-0000-FFFF-FFFF00000000}"/>
  </bookViews>
  <sheets>
    <sheet name="Information" sheetId="1" r:id="rId1"/>
    <sheet name="Income and Housing Data" sheetId="31" r:id="rId2"/>
    <sheet name="Population and Diversity Data" sheetId="27" r:id="rId3"/>
    <sheet name="Eversource&gt;&gt;" sheetId="19" r:id="rId4"/>
    <sheet name="ES Energy Burden" sheetId="34" r:id="rId5"/>
    <sheet name="CLM From Eversource" sheetId="15" r:id="rId6"/>
    <sheet name="ESSmallLoadPivot" sheetId="37" r:id="rId7"/>
    <sheet name="2.) Small Load" sheetId="16" r:id="rId8"/>
    <sheet name="3.) Large Load" sheetId="17" r:id="rId9"/>
    <sheet name="HES Report ES" sheetId="18" r:id="rId10"/>
    <sheet name="ES shutoff" sheetId="39" r:id="rId11"/>
    <sheet name="Tables" sheetId="14" r:id="rId12"/>
    <sheet name="UI &gt;&gt;&gt;" sheetId="20" r:id="rId13"/>
    <sheet name="CLM from UI" sheetId="22" r:id="rId14"/>
    <sheet name="GreenBank" sheetId="40" r:id="rId15"/>
    <sheet name="CBG 2019" sheetId="41" r:id="rId16"/>
    <sheet name="UI EnergyBurden" sheetId="35" r:id="rId17"/>
    <sheet name="Small Load" sheetId="23" r:id="rId18"/>
    <sheet name="Large Load" sheetId="24" r:id="rId19"/>
    <sheet name="HES Report UI" sheetId="25" r:id="rId20"/>
    <sheet name="Shutoff Data" sheetId="38" r:id="rId21"/>
    <sheet name="Calculation Sheets &gt;&gt;&gt;" sheetId="30" r:id="rId22"/>
    <sheet name="Housing Cost Calc" sheetId="12" r:id="rId23"/>
    <sheet name="Income Percentile Calc" sheetId="11" r:id="rId24"/>
    <sheet name="Energy Burden Calc" sheetId="28" r:id="rId25"/>
    <sheet name="Income and Housing Calcs" sheetId="7" r:id="rId26"/>
  </sheets>
  <definedNames>
    <definedName name="ID" localSheetId="7" hidden="1">"75715458-62f3-44d1-8b95-673da8f693ee"</definedName>
    <definedName name="ID" localSheetId="8" hidden="1">"84590f97-c9ba-4dca-bd4c-d56a3f7bfc07"</definedName>
    <definedName name="ID" localSheetId="9" hidden="1">"ae609d80-b602-47f0-b8ad-f29df5cdb3d7"</definedName>
    <definedName name="_xlnm.Print_Area" localSheetId="7">'2.) Small Load'!$A$1:$O$941</definedName>
    <definedName name="_xlnm.Print_Area" localSheetId="8">'3.) Large Load'!$A$1:$O$238</definedName>
    <definedName name="_xlnm.Print_Area" localSheetId="9">'HES Report ES'!$A$1:$O$941</definedName>
    <definedName name="_xlnm.Print_Titles" localSheetId="7">'2.) Small Load'!$1:$5</definedName>
    <definedName name="_xlnm.Print_Titles" localSheetId="8">'3.) Large Load'!$1:$5</definedName>
    <definedName name="_xlnm.Print_Titles" localSheetId="9">'HES Report ES'!$1:$5</definedName>
  </definedNames>
  <calcPr calcId="191029"/>
  <pivotCaches>
    <pivotCache cacheId="0" r:id="rId2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T16" i="14" l="1"/>
  <c r="BT14" i="14"/>
  <c r="F58" i="14"/>
  <c r="F56" i="14"/>
  <c r="F54" i="14"/>
  <c r="F52" i="14"/>
  <c r="E58" i="14"/>
  <c r="E56" i="14"/>
  <c r="E54" i="14"/>
  <c r="E52" i="14"/>
  <c r="F57" i="14"/>
  <c r="F55" i="14"/>
  <c r="F53" i="14"/>
  <c r="F51" i="14"/>
  <c r="E57" i="14"/>
  <c r="E55" i="14"/>
  <c r="E53" i="14"/>
  <c r="E51" i="14"/>
  <c r="F47" i="14"/>
  <c r="F45" i="14"/>
  <c r="E47" i="14"/>
  <c r="E45" i="14"/>
  <c r="F44" i="14"/>
  <c r="F46" i="14"/>
  <c r="E46" i="14"/>
  <c r="E44" i="14"/>
  <c r="BT12" i="14"/>
  <c r="BT10" i="14"/>
  <c r="BT8" i="14"/>
  <c r="BT6" i="14"/>
  <c r="BS12" i="14"/>
  <c r="BS10" i="14"/>
  <c r="BS8" i="14"/>
  <c r="BS6" i="14"/>
  <c r="BU25" i="14"/>
  <c r="BU26" i="14"/>
  <c r="BU24" i="14"/>
  <c r="D19" i="40"/>
  <c r="D18" i="40"/>
  <c r="D20" i="40"/>
  <c r="D16" i="40"/>
  <c r="D15" i="40"/>
  <c r="D14" i="40"/>
  <c r="D13" i="40"/>
  <c r="D12" i="40"/>
  <c r="D11" i="40"/>
  <c r="D10" i="40"/>
  <c r="C7" i="40"/>
  <c r="O7899" i="41"/>
  <c r="D5" i="40" s="1"/>
  <c r="D4" i="40"/>
  <c r="D3" i="40"/>
  <c r="C5" i="40"/>
  <c r="C4" i="40"/>
  <c r="C3" i="40"/>
  <c r="F423" i="25"/>
  <c r="BS13" i="14" l="1"/>
  <c r="BT7" i="14"/>
  <c r="BT15" i="14"/>
  <c r="BS9" i="14"/>
  <c r="BT13" i="14"/>
  <c r="BT9" i="14"/>
  <c r="BT17" i="14"/>
  <c r="BS7" i="14"/>
  <c r="BT11" i="14"/>
  <c r="BS11" i="14"/>
  <c r="BS14" i="14"/>
  <c r="BS16" i="14"/>
  <c r="BK50" i="14"/>
  <c r="BK35" i="14"/>
  <c r="BK27" i="14"/>
  <c r="BL56" i="14"/>
  <c r="BJ50" i="14"/>
  <c r="BJ51" i="14" s="1"/>
  <c r="BL48" i="14"/>
  <c r="BL41" i="14"/>
  <c r="BJ35" i="14"/>
  <c r="BJ36" i="14" s="1"/>
  <c r="BL33" i="14"/>
  <c r="BJ27" i="14"/>
  <c r="BJ28" i="14" s="1"/>
  <c r="BL12" i="14"/>
  <c r="BL20" i="14"/>
  <c r="BK14" i="14"/>
  <c r="BK6" i="14"/>
  <c r="BJ14" i="14"/>
  <c r="BJ15" i="14" s="1"/>
  <c r="BJ6" i="14"/>
  <c r="BJ7" i="14" s="1"/>
  <c r="R7" i="25"/>
  <c r="S7" i="25" s="1"/>
  <c r="R8" i="25"/>
  <c r="S8" i="25" s="1"/>
  <c r="R9" i="25"/>
  <c r="S9" i="25" s="1"/>
  <c r="R10" i="25"/>
  <c r="S10" i="25" s="1"/>
  <c r="R11" i="25"/>
  <c r="S11" i="25" s="1"/>
  <c r="R12" i="25"/>
  <c r="S12" i="25" s="1"/>
  <c r="R13" i="25"/>
  <c r="S13" i="25" s="1"/>
  <c r="R14" i="25"/>
  <c r="S14" i="25" s="1"/>
  <c r="R15" i="25"/>
  <c r="S15" i="25" s="1"/>
  <c r="R16" i="25"/>
  <c r="S16" i="25" s="1"/>
  <c r="R17" i="25"/>
  <c r="S17" i="25" s="1"/>
  <c r="R18" i="25"/>
  <c r="S18" i="25" s="1"/>
  <c r="R19" i="25"/>
  <c r="S19" i="25" s="1"/>
  <c r="R20" i="25"/>
  <c r="S20" i="25" s="1"/>
  <c r="R21" i="25"/>
  <c r="S21" i="25" s="1"/>
  <c r="R22" i="25"/>
  <c r="S22" i="25" s="1"/>
  <c r="R23" i="25"/>
  <c r="S23" i="25" s="1"/>
  <c r="R24" i="25"/>
  <c r="S24" i="25" s="1"/>
  <c r="R25" i="25"/>
  <c r="S25" i="25" s="1"/>
  <c r="R26" i="25"/>
  <c r="S26" i="25" s="1"/>
  <c r="R27" i="25"/>
  <c r="S27" i="25" s="1"/>
  <c r="R28" i="25"/>
  <c r="S28" i="25" s="1"/>
  <c r="R29" i="25"/>
  <c r="S29" i="25" s="1"/>
  <c r="R30" i="25"/>
  <c r="S30" i="25" s="1"/>
  <c r="R31" i="25"/>
  <c r="S31" i="25" s="1"/>
  <c r="R32" i="25"/>
  <c r="S32" i="25" s="1"/>
  <c r="R33" i="25"/>
  <c r="S33" i="25" s="1"/>
  <c r="R34" i="25"/>
  <c r="S34" i="25" s="1"/>
  <c r="R35" i="25"/>
  <c r="S35" i="25" s="1"/>
  <c r="R36" i="25"/>
  <c r="S36" i="25" s="1"/>
  <c r="R37" i="25"/>
  <c r="S37" i="25" s="1"/>
  <c r="R38" i="25"/>
  <c r="S38" i="25" s="1"/>
  <c r="R39" i="25"/>
  <c r="S39" i="25" s="1"/>
  <c r="R40" i="25"/>
  <c r="S40" i="25" s="1"/>
  <c r="R41" i="25"/>
  <c r="S41" i="25" s="1"/>
  <c r="R42" i="25"/>
  <c r="S42" i="25" s="1"/>
  <c r="R43" i="25"/>
  <c r="S43" i="25" s="1"/>
  <c r="R44" i="25"/>
  <c r="S44" i="25" s="1"/>
  <c r="R45" i="25"/>
  <c r="S45" i="25" s="1"/>
  <c r="R46" i="25"/>
  <c r="S46" i="25" s="1"/>
  <c r="R47" i="25"/>
  <c r="S47" i="25" s="1"/>
  <c r="R48" i="25"/>
  <c r="S48" i="25" s="1"/>
  <c r="R49" i="25"/>
  <c r="S49" i="25" s="1"/>
  <c r="R50" i="25"/>
  <c r="S50" i="25" s="1"/>
  <c r="R51" i="25"/>
  <c r="S51" i="25" s="1"/>
  <c r="R52" i="25"/>
  <c r="S52" i="25" s="1"/>
  <c r="R53" i="25"/>
  <c r="S53" i="25" s="1"/>
  <c r="R54" i="25"/>
  <c r="S54" i="25" s="1"/>
  <c r="R55" i="25"/>
  <c r="S55" i="25" s="1"/>
  <c r="R56" i="25"/>
  <c r="S56" i="25" s="1"/>
  <c r="R57" i="25"/>
  <c r="S57" i="25" s="1"/>
  <c r="R58" i="25"/>
  <c r="S58" i="25" s="1"/>
  <c r="R59" i="25"/>
  <c r="S59" i="25" s="1"/>
  <c r="R60" i="25"/>
  <c r="S60" i="25" s="1"/>
  <c r="R61" i="25"/>
  <c r="S61" i="25" s="1"/>
  <c r="R62" i="25"/>
  <c r="S62" i="25" s="1"/>
  <c r="R63" i="25"/>
  <c r="S63" i="25" s="1"/>
  <c r="R64" i="25"/>
  <c r="S64" i="25" s="1"/>
  <c r="R65" i="25"/>
  <c r="S65" i="25" s="1"/>
  <c r="R66" i="25"/>
  <c r="S66" i="25" s="1"/>
  <c r="R67" i="25"/>
  <c r="S67" i="25" s="1"/>
  <c r="R68" i="25"/>
  <c r="S68" i="25" s="1"/>
  <c r="R69" i="25"/>
  <c r="S69" i="25" s="1"/>
  <c r="R70" i="25"/>
  <c r="S70" i="25" s="1"/>
  <c r="R71" i="25"/>
  <c r="S71" i="25" s="1"/>
  <c r="R72" i="25"/>
  <c r="S72" i="25" s="1"/>
  <c r="R73" i="25"/>
  <c r="S73" i="25" s="1"/>
  <c r="R74" i="25"/>
  <c r="S74" i="25" s="1"/>
  <c r="R75" i="25"/>
  <c r="S75" i="25" s="1"/>
  <c r="R76" i="25"/>
  <c r="S76" i="25" s="1"/>
  <c r="R77" i="25"/>
  <c r="S77" i="25" s="1"/>
  <c r="R78" i="25"/>
  <c r="S78" i="25" s="1"/>
  <c r="R79" i="25"/>
  <c r="S79" i="25" s="1"/>
  <c r="R80" i="25"/>
  <c r="S80" i="25" s="1"/>
  <c r="R81" i="25"/>
  <c r="S81" i="25" s="1"/>
  <c r="R82" i="25"/>
  <c r="S82" i="25" s="1"/>
  <c r="R83" i="25"/>
  <c r="S83" i="25" s="1"/>
  <c r="R84" i="25"/>
  <c r="S84" i="25" s="1"/>
  <c r="R85" i="25"/>
  <c r="S85" i="25" s="1"/>
  <c r="R86" i="25"/>
  <c r="S86" i="25" s="1"/>
  <c r="R87" i="25"/>
  <c r="S87" i="25" s="1"/>
  <c r="R88" i="25"/>
  <c r="S88" i="25" s="1"/>
  <c r="R89" i="25"/>
  <c r="S89" i="25" s="1"/>
  <c r="R90" i="25"/>
  <c r="S90" i="25" s="1"/>
  <c r="R91" i="25"/>
  <c r="S91" i="25" s="1"/>
  <c r="R92" i="25"/>
  <c r="S92" i="25" s="1"/>
  <c r="R93" i="25"/>
  <c r="S93" i="25" s="1"/>
  <c r="R94" i="25"/>
  <c r="S94" i="25" s="1"/>
  <c r="R95" i="25"/>
  <c r="S95" i="25" s="1"/>
  <c r="R96" i="25"/>
  <c r="S96" i="25" s="1"/>
  <c r="R97" i="25"/>
  <c r="S97" i="25" s="1"/>
  <c r="R98" i="25"/>
  <c r="S98" i="25" s="1"/>
  <c r="R99" i="25"/>
  <c r="S99" i="25" s="1"/>
  <c r="R100" i="25"/>
  <c r="S100" i="25" s="1"/>
  <c r="R101" i="25"/>
  <c r="S101" i="25" s="1"/>
  <c r="R102" i="25"/>
  <c r="S102" i="25" s="1"/>
  <c r="R103" i="25"/>
  <c r="S103" i="25" s="1"/>
  <c r="R104" i="25"/>
  <c r="S104" i="25" s="1"/>
  <c r="R105" i="25"/>
  <c r="S105" i="25" s="1"/>
  <c r="R106" i="25"/>
  <c r="S106" i="25" s="1"/>
  <c r="R107" i="25"/>
  <c r="S107" i="25" s="1"/>
  <c r="R108" i="25"/>
  <c r="S108" i="25" s="1"/>
  <c r="R109" i="25"/>
  <c r="S109" i="25" s="1"/>
  <c r="R110" i="25"/>
  <c r="S110" i="25" s="1"/>
  <c r="R111" i="25"/>
  <c r="S111" i="25" s="1"/>
  <c r="R112" i="25"/>
  <c r="S112" i="25" s="1"/>
  <c r="R113" i="25"/>
  <c r="S113" i="25" s="1"/>
  <c r="R114" i="25"/>
  <c r="S114" i="25" s="1"/>
  <c r="R115" i="25"/>
  <c r="S115" i="25" s="1"/>
  <c r="R116" i="25"/>
  <c r="S116" i="25" s="1"/>
  <c r="R117" i="25"/>
  <c r="S117" i="25" s="1"/>
  <c r="R118" i="25"/>
  <c r="S118" i="25" s="1"/>
  <c r="R119" i="25"/>
  <c r="S119" i="25" s="1"/>
  <c r="R120" i="25"/>
  <c r="S120" i="25" s="1"/>
  <c r="R121" i="25"/>
  <c r="S121" i="25" s="1"/>
  <c r="R122" i="25"/>
  <c r="S122" i="25" s="1"/>
  <c r="R123" i="25"/>
  <c r="S123" i="25" s="1"/>
  <c r="R124" i="25"/>
  <c r="S124" i="25" s="1"/>
  <c r="R125" i="25"/>
  <c r="S125" i="25" s="1"/>
  <c r="R126" i="25"/>
  <c r="S126" i="25" s="1"/>
  <c r="R127" i="25"/>
  <c r="S127" i="25" s="1"/>
  <c r="R128" i="25"/>
  <c r="S128" i="25" s="1"/>
  <c r="R129" i="25"/>
  <c r="S129" i="25" s="1"/>
  <c r="R130" i="25"/>
  <c r="S130" i="25" s="1"/>
  <c r="R131" i="25"/>
  <c r="S131" i="25" s="1"/>
  <c r="R132" i="25"/>
  <c r="S132" i="25" s="1"/>
  <c r="R133" i="25"/>
  <c r="S133" i="25" s="1"/>
  <c r="R134" i="25"/>
  <c r="S134" i="25" s="1"/>
  <c r="R135" i="25"/>
  <c r="S135" i="25" s="1"/>
  <c r="R136" i="25"/>
  <c r="S136" i="25" s="1"/>
  <c r="R137" i="25"/>
  <c r="S137" i="25" s="1"/>
  <c r="R138" i="25"/>
  <c r="S138" i="25" s="1"/>
  <c r="R139" i="25"/>
  <c r="S139" i="25" s="1"/>
  <c r="R140" i="25"/>
  <c r="S140" i="25" s="1"/>
  <c r="R141" i="25"/>
  <c r="S141" i="25" s="1"/>
  <c r="R142" i="25"/>
  <c r="S142" i="25" s="1"/>
  <c r="R143" i="25"/>
  <c r="S143" i="25" s="1"/>
  <c r="R144" i="25"/>
  <c r="S144" i="25" s="1"/>
  <c r="R145" i="25"/>
  <c r="S145" i="25" s="1"/>
  <c r="R146" i="25"/>
  <c r="S146" i="25" s="1"/>
  <c r="R147" i="25"/>
  <c r="S147" i="25" s="1"/>
  <c r="R148" i="25"/>
  <c r="S148" i="25" s="1"/>
  <c r="R149" i="25"/>
  <c r="S149" i="25" s="1"/>
  <c r="R150" i="25"/>
  <c r="S150" i="25" s="1"/>
  <c r="R151" i="25"/>
  <c r="S151" i="25" s="1"/>
  <c r="R152" i="25"/>
  <c r="S152" i="25" s="1"/>
  <c r="R153" i="25"/>
  <c r="S153" i="25" s="1"/>
  <c r="R154" i="25"/>
  <c r="S154" i="25" s="1"/>
  <c r="R155" i="25"/>
  <c r="S155" i="25" s="1"/>
  <c r="R156" i="25"/>
  <c r="S156" i="25" s="1"/>
  <c r="R157" i="25"/>
  <c r="S157" i="25" s="1"/>
  <c r="R158" i="25"/>
  <c r="S158" i="25" s="1"/>
  <c r="R159" i="25"/>
  <c r="S159" i="25" s="1"/>
  <c r="R160" i="25"/>
  <c r="S160" i="25" s="1"/>
  <c r="R161" i="25"/>
  <c r="S161" i="25" s="1"/>
  <c r="R162" i="25"/>
  <c r="S162" i="25" s="1"/>
  <c r="R163" i="25"/>
  <c r="S163" i="25" s="1"/>
  <c r="R164" i="25"/>
  <c r="S164" i="25" s="1"/>
  <c r="R165" i="25"/>
  <c r="S165" i="25" s="1"/>
  <c r="R166" i="25"/>
  <c r="S166" i="25" s="1"/>
  <c r="R167" i="25"/>
  <c r="S167" i="25" s="1"/>
  <c r="R168" i="25"/>
  <c r="S168" i="25" s="1"/>
  <c r="R169" i="25"/>
  <c r="S169" i="25" s="1"/>
  <c r="R170" i="25"/>
  <c r="S170" i="25" s="1"/>
  <c r="R171" i="25"/>
  <c r="S171" i="25" s="1"/>
  <c r="R172" i="25"/>
  <c r="S172" i="25" s="1"/>
  <c r="R173" i="25"/>
  <c r="S173" i="25" s="1"/>
  <c r="R174" i="25"/>
  <c r="S174" i="25" s="1"/>
  <c r="R175" i="25"/>
  <c r="S175" i="25" s="1"/>
  <c r="R176" i="25"/>
  <c r="S176" i="25" s="1"/>
  <c r="R177" i="25"/>
  <c r="S177" i="25" s="1"/>
  <c r="R178" i="25"/>
  <c r="S178" i="25" s="1"/>
  <c r="R179" i="25"/>
  <c r="S179" i="25" s="1"/>
  <c r="R180" i="25"/>
  <c r="S180" i="25" s="1"/>
  <c r="R181" i="25"/>
  <c r="S181" i="25" s="1"/>
  <c r="R182" i="25"/>
  <c r="S182" i="25" s="1"/>
  <c r="R183" i="25"/>
  <c r="S183" i="25" s="1"/>
  <c r="R184" i="25"/>
  <c r="S184" i="25" s="1"/>
  <c r="R185" i="25"/>
  <c r="S185" i="25" s="1"/>
  <c r="R186" i="25"/>
  <c r="S186" i="25" s="1"/>
  <c r="R187" i="25"/>
  <c r="S187" i="25" s="1"/>
  <c r="R188" i="25"/>
  <c r="S188" i="25" s="1"/>
  <c r="R189" i="25"/>
  <c r="S189" i="25" s="1"/>
  <c r="R190" i="25"/>
  <c r="S190" i="25" s="1"/>
  <c r="R191" i="25"/>
  <c r="S191" i="25" s="1"/>
  <c r="R192" i="25"/>
  <c r="S192" i="25" s="1"/>
  <c r="R193" i="25"/>
  <c r="S193" i="25" s="1"/>
  <c r="R194" i="25"/>
  <c r="S194" i="25" s="1"/>
  <c r="R195" i="25"/>
  <c r="S195" i="25" s="1"/>
  <c r="R196" i="25"/>
  <c r="S196" i="25" s="1"/>
  <c r="R197" i="25"/>
  <c r="S197" i="25" s="1"/>
  <c r="R198" i="25"/>
  <c r="S198" i="25" s="1"/>
  <c r="R199" i="25"/>
  <c r="S199" i="25" s="1"/>
  <c r="R200" i="25"/>
  <c r="S200" i="25" s="1"/>
  <c r="R201" i="25"/>
  <c r="S201" i="25" s="1"/>
  <c r="R202" i="25"/>
  <c r="S202" i="25" s="1"/>
  <c r="R203" i="25"/>
  <c r="S203" i="25" s="1"/>
  <c r="R204" i="25"/>
  <c r="S204" i="25" s="1"/>
  <c r="R205" i="25"/>
  <c r="S205" i="25" s="1"/>
  <c r="R206" i="25"/>
  <c r="S206" i="25" s="1"/>
  <c r="R207" i="25"/>
  <c r="S207" i="25" s="1"/>
  <c r="R208" i="25"/>
  <c r="S208" i="25" s="1"/>
  <c r="R209" i="25"/>
  <c r="S209" i="25" s="1"/>
  <c r="R210" i="25"/>
  <c r="S210" i="25" s="1"/>
  <c r="R211" i="25"/>
  <c r="S211" i="25" s="1"/>
  <c r="R212" i="25"/>
  <c r="S212" i="25" s="1"/>
  <c r="R213" i="25"/>
  <c r="S213" i="25" s="1"/>
  <c r="R214" i="25"/>
  <c r="S214" i="25" s="1"/>
  <c r="R215" i="25"/>
  <c r="S215" i="25" s="1"/>
  <c r="R216" i="25"/>
  <c r="S216" i="25" s="1"/>
  <c r="R217" i="25"/>
  <c r="S217" i="25" s="1"/>
  <c r="R218" i="25"/>
  <c r="S218" i="25" s="1"/>
  <c r="R219" i="25"/>
  <c r="S219" i="25" s="1"/>
  <c r="R220" i="25"/>
  <c r="S220" i="25" s="1"/>
  <c r="R221" i="25"/>
  <c r="S221" i="25" s="1"/>
  <c r="R222" i="25"/>
  <c r="S222" i="25" s="1"/>
  <c r="R223" i="25"/>
  <c r="S223" i="25" s="1"/>
  <c r="R224" i="25"/>
  <c r="S224" i="25" s="1"/>
  <c r="R225" i="25"/>
  <c r="S225" i="25" s="1"/>
  <c r="R226" i="25"/>
  <c r="S226" i="25" s="1"/>
  <c r="R227" i="25"/>
  <c r="S227" i="25" s="1"/>
  <c r="R228" i="25"/>
  <c r="S228" i="25" s="1"/>
  <c r="R229" i="25"/>
  <c r="S229" i="25" s="1"/>
  <c r="R230" i="25"/>
  <c r="S230" i="25" s="1"/>
  <c r="R231" i="25"/>
  <c r="S231" i="25" s="1"/>
  <c r="R232" i="25"/>
  <c r="S232" i="25" s="1"/>
  <c r="R233" i="25"/>
  <c r="S233" i="25" s="1"/>
  <c r="R234" i="25"/>
  <c r="S234" i="25" s="1"/>
  <c r="R235" i="25"/>
  <c r="S235" i="25" s="1"/>
  <c r="R236" i="25"/>
  <c r="S236" i="25" s="1"/>
  <c r="R237" i="25"/>
  <c r="S237" i="25" s="1"/>
  <c r="R238" i="25"/>
  <c r="S238" i="25" s="1"/>
  <c r="R239" i="25"/>
  <c r="S239" i="25" s="1"/>
  <c r="R240" i="25"/>
  <c r="S240" i="25" s="1"/>
  <c r="R241" i="25"/>
  <c r="S241" i="25" s="1"/>
  <c r="R242" i="25"/>
  <c r="S242" i="25" s="1"/>
  <c r="R243" i="25"/>
  <c r="S243" i="25" s="1"/>
  <c r="R244" i="25"/>
  <c r="S244" i="25" s="1"/>
  <c r="R245" i="25"/>
  <c r="S245" i="25" s="1"/>
  <c r="R246" i="25"/>
  <c r="S246" i="25" s="1"/>
  <c r="R247" i="25"/>
  <c r="S247" i="25" s="1"/>
  <c r="R248" i="25"/>
  <c r="S248" i="25" s="1"/>
  <c r="R249" i="25"/>
  <c r="S249" i="25" s="1"/>
  <c r="R250" i="25"/>
  <c r="S250" i="25" s="1"/>
  <c r="R251" i="25"/>
  <c r="S251" i="25" s="1"/>
  <c r="R252" i="25"/>
  <c r="S252" i="25" s="1"/>
  <c r="R253" i="25"/>
  <c r="S253" i="25" s="1"/>
  <c r="R254" i="25"/>
  <c r="S254" i="25" s="1"/>
  <c r="R255" i="25"/>
  <c r="S255" i="25" s="1"/>
  <c r="R256" i="25"/>
  <c r="S256" i="25" s="1"/>
  <c r="R257" i="25"/>
  <c r="S257" i="25" s="1"/>
  <c r="R258" i="25"/>
  <c r="S258" i="25" s="1"/>
  <c r="R259" i="25"/>
  <c r="S259" i="25" s="1"/>
  <c r="R260" i="25"/>
  <c r="S260" i="25" s="1"/>
  <c r="R261" i="25"/>
  <c r="S261" i="25" s="1"/>
  <c r="R262" i="25"/>
  <c r="S262" i="25" s="1"/>
  <c r="R263" i="25"/>
  <c r="S263" i="25" s="1"/>
  <c r="R264" i="25"/>
  <c r="S264" i="25" s="1"/>
  <c r="R265" i="25"/>
  <c r="S265" i="25" s="1"/>
  <c r="R266" i="25"/>
  <c r="S266" i="25" s="1"/>
  <c r="R267" i="25"/>
  <c r="S267" i="25" s="1"/>
  <c r="R268" i="25"/>
  <c r="S268" i="25" s="1"/>
  <c r="R269" i="25"/>
  <c r="S269" i="25" s="1"/>
  <c r="R270" i="25"/>
  <c r="S270" i="25" s="1"/>
  <c r="R271" i="25"/>
  <c r="S271" i="25" s="1"/>
  <c r="R272" i="25"/>
  <c r="S272" i="25" s="1"/>
  <c r="R273" i="25"/>
  <c r="S273" i="25" s="1"/>
  <c r="R274" i="25"/>
  <c r="S274" i="25" s="1"/>
  <c r="R275" i="25"/>
  <c r="S275" i="25" s="1"/>
  <c r="R276" i="25"/>
  <c r="S276" i="25" s="1"/>
  <c r="R277" i="25"/>
  <c r="S277" i="25" s="1"/>
  <c r="R278" i="25"/>
  <c r="S278" i="25" s="1"/>
  <c r="R279" i="25"/>
  <c r="S279" i="25" s="1"/>
  <c r="R280" i="25"/>
  <c r="S280" i="25" s="1"/>
  <c r="R281" i="25"/>
  <c r="S281" i="25" s="1"/>
  <c r="R282" i="25"/>
  <c r="S282" i="25" s="1"/>
  <c r="R283" i="25"/>
  <c r="S283" i="25" s="1"/>
  <c r="R284" i="25"/>
  <c r="S284" i="25" s="1"/>
  <c r="R285" i="25"/>
  <c r="S285" i="25" s="1"/>
  <c r="R286" i="25"/>
  <c r="S286" i="25" s="1"/>
  <c r="R287" i="25"/>
  <c r="S287" i="25" s="1"/>
  <c r="R288" i="25"/>
  <c r="S288" i="25" s="1"/>
  <c r="R289" i="25"/>
  <c r="S289" i="25" s="1"/>
  <c r="R290" i="25"/>
  <c r="S290" i="25" s="1"/>
  <c r="R291" i="25"/>
  <c r="S291" i="25" s="1"/>
  <c r="R292" i="25"/>
  <c r="S292" i="25" s="1"/>
  <c r="R293" i="25"/>
  <c r="S293" i="25" s="1"/>
  <c r="R294" i="25"/>
  <c r="S294" i="25" s="1"/>
  <c r="R295" i="25"/>
  <c r="S295" i="25" s="1"/>
  <c r="R296" i="25"/>
  <c r="S296" i="25" s="1"/>
  <c r="R297" i="25"/>
  <c r="S297" i="25" s="1"/>
  <c r="R298" i="25"/>
  <c r="S298" i="25" s="1"/>
  <c r="R299" i="25"/>
  <c r="S299" i="25" s="1"/>
  <c r="R300" i="25"/>
  <c r="S300" i="25" s="1"/>
  <c r="R301" i="25"/>
  <c r="S301" i="25" s="1"/>
  <c r="R302" i="25"/>
  <c r="S302" i="25" s="1"/>
  <c r="R303" i="25"/>
  <c r="S303" i="25" s="1"/>
  <c r="R304" i="25"/>
  <c r="S304" i="25" s="1"/>
  <c r="R305" i="25"/>
  <c r="S305" i="25" s="1"/>
  <c r="R306" i="25"/>
  <c r="S306" i="25" s="1"/>
  <c r="R307" i="25"/>
  <c r="S307" i="25" s="1"/>
  <c r="R308" i="25"/>
  <c r="S308" i="25" s="1"/>
  <c r="R309" i="25"/>
  <c r="S309" i="25" s="1"/>
  <c r="R310" i="25"/>
  <c r="S310" i="25" s="1"/>
  <c r="R311" i="25"/>
  <c r="S311" i="25" s="1"/>
  <c r="R312" i="25"/>
  <c r="S312" i="25" s="1"/>
  <c r="R313" i="25"/>
  <c r="S313" i="25" s="1"/>
  <c r="R314" i="25"/>
  <c r="S314" i="25" s="1"/>
  <c r="R315" i="25"/>
  <c r="S315" i="25" s="1"/>
  <c r="R316" i="25"/>
  <c r="S316" i="25" s="1"/>
  <c r="R317" i="25"/>
  <c r="S317" i="25" s="1"/>
  <c r="R318" i="25"/>
  <c r="S318" i="25" s="1"/>
  <c r="R319" i="25"/>
  <c r="S319" i="25" s="1"/>
  <c r="R320" i="25"/>
  <c r="S320" i="25" s="1"/>
  <c r="R321" i="25"/>
  <c r="S321" i="25" s="1"/>
  <c r="R322" i="25"/>
  <c r="S322" i="25" s="1"/>
  <c r="R323" i="25"/>
  <c r="S323" i="25" s="1"/>
  <c r="R324" i="25"/>
  <c r="S324" i="25" s="1"/>
  <c r="R325" i="25"/>
  <c r="S325" i="25" s="1"/>
  <c r="R326" i="25"/>
  <c r="S326" i="25" s="1"/>
  <c r="R327" i="25"/>
  <c r="S327" i="25" s="1"/>
  <c r="R328" i="25"/>
  <c r="S328" i="25" s="1"/>
  <c r="R329" i="25"/>
  <c r="S329" i="25" s="1"/>
  <c r="R330" i="25"/>
  <c r="S330" i="25" s="1"/>
  <c r="R331" i="25"/>
  <c r="S331" i="25" s="1"/>
  <c r="R332" i="25"/>
  <c r="S332" i="25" s="1"/>
  <c r="R333" i="25"/>
  <c r="S333" i="25" s="1"/>
  <c r="R334" i="25"/>
  <c r="S334" i="25" s="1"/>
  <c r="R335" i="25"/>
  <c r="S335" i="25" s="1"/>
  <c r="R336" i="25"/>
  <c r="S336" i="25" s="1"/>
  <c r="R337" i="25"/>
  <c r="S337" i="25" s="1"/>
  <c r="R338" i="25"/>
  <c r="S338" i="25" s="1"/>
  <c r="R339" i="25"/>
  <c r="S339" i="25" s="1"/>
  <c r="R340" i="25"/>
  <c r="S340" i="25" s="1"/>
  <c r="R341" i="25"/>
  <c r="S341" i="25" s="1"/>
  <c r="R342" i="25"/>
  <c r="S342" i="25" s="1"/>
  <c r="R343" i="25"/>
  <c r="S343" i="25" s="1"/>
  <c r="R344" i="25"/>
  <c r="S344" i="25" s="1"/>
  <c r="R345" i="25"/>
  <c r="S345" i="25" s="1"/>
  <c r="R346" i="25"/>
  <c r="S346" i="25" s="1"/>
  <c r="R347" i="25"/>
  <c r="S347" i="25" s="1"/>
  <c r="R348" i="25"/>
  <c r="S348" i="25" s="1"/>
  <c r="R349" i="25"/>
  <c r="S349" i="25" s="1"/>
  <c r="R350" i="25"/>
  <c r="S350" i="25" s="1"/>
  <c r="R351" i="25"/>
  <c r="S351" i="25" s="1"/>
  <c r="R352" i="25"/>
  <c r="S352" i="25" s="1"/>
  <c r="R353" i="25"/>
  <c r="S353" i="25" s="1"/>
  <c r="R354" i="25"/>
  <c r="S354" i="25" s="1"/>
  <c r="R355" i="25"/>
  <c r="S355" i="25" s="1"/>
  <c r="R356" i="25"/>
  <c r="S356" i="25" s="1"/>
  <c r="R357" i="25"/>
  <c r="S357" i="25" s="1"/>
  <c r="R358" i="25"/>
  <c r="S358" i="25" s="1"/>
  <c r="R359" i="25"/>
  <c r="S359" i="25" s="1"/>
  <c r="R360" i="25"/>
  <c r="S360" i="25" s="1"/>
  <c r="R361" i="25"/>
  <c r="S361" i="25" s="1"/>
  <c r="R362" i="25"/>
  <c r="S362" i="25" s="1"/>
  <c r="R363" i="25"/>
  <c r="S363" i="25" s="1"/>
  <c r="R364" i="25"/>
  <c r="S364" i="25" s="1"/>
  <c r="R365" i="25"/>
  <c r="S365" i="25" s="1"/>
  <c r="R366" i="25"/>
  <c r="S366" i="25" s="1"/>
  <c r="R367" i="25"/>
  <c r="S367" i="25" s="1"/>
  <c r="R368" i="25"/>
  <c r="S368" i="25" s="1"/>
  <c r="R369" i="25"/>
  <c r="S369" i="25" s="1"/>
  <c r="R370" i="25"/>
  <c r="S370" i="25" s="1"/>
  <c r="R371" i="25"/>
  <c r="S371" i="25" s="1"/>
  <c r="R372" i="25"/>
  <c r="S372" i="25" s="1"/>
  <c r="R373" i="25"/>
  <c r="S373" i="25" s="1"/>
  <c r="R374" i="25"/>
  <c r="S374" i="25" s="1"/>
  <c r="R375" i="25"/>
  <c r="S375" i="25" s="1"/>
  <c r="R376" i="25"/>
  <c r="S376" i="25" s="1"/>
  <c r="R377" i="25"/>
  <c r="S377" i="25" s="1"/>
  <c r="R378" i="25"/>
  <c r="S378" i="25" s="1"/>
  <c r="R379" i="25"/>
  <c r="S379" i="25" s="1"/>
  <c r="R380" i="25"/>
  <c r="S380" i="25" s="1"/>
  <c r="R381" i="25"/>
  <c r="S381" i="25" s="1"/>
  <c r="R382" i="25"/>
  <c r="S382" i="25" s="1"/>
  <c r="R383" i="25"/>
  <c r="S383" i="25" s="1"/>
  <c r="R384" i="25"/>
  <c r="S384" i="25" s="1"/>
  <c r="R385" i="25"/>
  <c r="S385" i="25" s="1"/>
  <c r="R386" i="25"/>
  <c r="S386" i="25" s="1"/>
  <c r="R387" i="25"/>
  <c r="S387" i="25" s="1"/>
  <c r="R388" i="25"/>
  <c r="S388" i="25" s="1"/>
  <c r="R389" i="25"/>
  <c r="S389" i="25" s="1"/>
  <c r="R390" i="25"/>
  <c r="S390" i="25" s="1"/>
  <c r="R391" i="25"/>
  <c r="S391" i="25" s="1"/>
  <c r="R392" i="25"/>
  <c r="S392" i="25" s="1"/>
  <c r="R393" i="25"/>
  <c r="S393" i="25" s="1"/>
  <c r="R394" i="25"/>
  <c r="S394" i="25" s="1"/>
  <c r="R395" i="25"/>
  <c r="S395" i="25" s="1"/>
  <c r="R396" i="25"/>
  <c r="S396" i="25" s="1"/>
  <c r="R397" i="25"/>
  <c r="S397" i="25" s="1"/>
  <c r="R398" i="25"/>
  <c r="S398" i="25" s="1"/>
  <c r="R399" i="25"/>
  <c r="S399" i="25" s="1"/>
  <c r="R400" i="25"/>
  <c r="S400" i="25" s="1"/>
  <c r="R401" i="25"/>
  <c r="S401" i="25" s="1"/>
  <c r="R402" i="25"/>
  <c r="S402" i="25" s="1"/>
  <c r="R403" i="25"/>
  <c r="S403" i="25" s="1"/>
  <c r="R404" i="25"/>
  <c r="S404" i="25" s="1"/>
  <c r="R405" i="25"/>
  <c r="S405" i="25" s="1"/>
  <c r="R406" i="25"/>
  <c r="S406" i="25" s="1"/>
  <c r="R407" i="25"/>
  <c r="S407" i="25" s="1"/>
  <c r="R408" i="25"/>
  <c r="S408" i="25" s="1"/>
  <c r="R409" i="25"/>
  <c r="S409" i="25" s="1"/>
  <c r="R410" i="25"/>
  <c r="S410" i="25" s="1"/>
  <c r="R411" i="25"/>
  <c r="S411" i="25" s="1"/>
  <c r="R412" i="25"/>
  <c r="S412" i="25" s="1"/>
  <c r="R413" i="25"/>
  <c r="S413" i="25" s="1"/>
  <c r="R414" i="25"/>
  <c r="S414" i="25" s="1"/>
  <c r="R415" i="25"/>
  <c r="S415" i="25" s="1"/>
  <c r="R416" i="25"/>
  <c r="S416" i="25" s="1"/>
  <c r="R417" i="25"/>
  <c r="S417" i="25" s="1"/>
  <c r="R418" i="25"/>
  <c r="S418" i="25" s="1"/>
  <c r="R419" i="25"/>
  <c r="S419" i="25" s="1"/>
  <c r="R6" i="18"/>
  <c r="S6" i="18" s="1"/>
  <c r="R7" i="18"/>
  <c r="S7" i="18" s="1"/>
  <c r="R8" i="18"/>
  <c r="S8" i="18" s="1"/>
  <c r="R9" i="18"/>
  <c r="S9" i="18" s="1"/>
  <c r="R10" i="18"/>
  <c r="S10" i="18" s="1"/>
  <c r="R11" i="18"/>
  <c r="S11" i="18" s="1"/>
  <c r="R12" i="18"/>
  <c r="S12" i="18" s="1"/>
  <c r="R13" i="18"/>
  <c r="S13" i="18" s="1"/>
  <c r="R14" i="18"/>
  <c r="S14" i="18" s="1"/>
  <c r="R15" i="18"/>
  <c r="S15" i="18" s="1"/>
  <c r="R16" i="18"/>
  <c r="S16" i="18" s="1"/>
  <c r="R17" i="18"/>
  <c r="S17" i="18" s="1"/>
  <c r="R18" i="18"/>
  <c r="S18" i="18" s="1"/>
  <c r="R19" i="18"/>
  <c r="S19" i="18" s="1"/>
  <c r="R20" i="18"/>
  <c r="S20" i="18" s="1"/>
  <c r="R21" i="18"/>
  <c r="S21" i="18" s="1"/>
  <c r="R22" i="18"/>
  <c r="S22" i="18" s="1"/>
  <c r="R23" i="18"/>
  <c r="S23" i="18" s="1"/>
  <c r="R24" i="18"/>
  <c r="S24" i="18" s="1"/>
  <c r="R25" i="18"/>
  <c r="S25" i="18" s="1"/>
  <c r="R26" i="18"/>
  <c r="S26" i="18" s="1"/>
  <c r="R27" i="18"/>
  <c r="S27" i="18" s="1"/>
  <c r="R28" i="18"/>
  <c r="S28" i="18" s="1"/>
  <c r="R29" i="18"/>
  <c r="S29" i="18" s="1"/>
  <c r="R30" i="18"/>
  <c r="S30" i="18" s="1"/>
  <c r="R31" i="18"/>
  <c r="S31" i="18" s="1"/>
  <c r="R32" i="18"/>
  <c r="S32" i="18" s="1"/>
  <c r="R33" i="18"/>
  <c r="S33" i="18" s="1"/>
  <c r="R34" i="18"/>
  <c r="S34" i="18" s="1"/>
  <c r="R35" i="18"/>
  <c r="S35" i="18" s="1"/>
  <c r="R36" i="18"/>
  <c r="S36" i="18" s="1"/>
  <c r="R37" i="18"/>
  <c r="S37" i="18" s="1"/>
  <c r="R38" i="18"/>
  <c r="S38" i="18" s="1"/>
  <c r="R39" i="18"/>
  <c r="S39" i="18" s="1"/>
  <c r="R40" i="18"/>
  <c r="S40" i="18" s="1"/>
  <c r="R41" i="18"/>
  <c r="S41" i="18" s="1"/>
  <c r="R42" i="18"/>
  <c r="S42" i="18" s="1"/>
  <c r="R43" i="18"/>
  <c r="S43" i="18" s="1"/>
  <c r="R44" i="18"/>
  <c r="S44" i="18" s="1"/>
  <c r="R45" i="18"/>
  <c r="S45" i="18" s="1"/>
  <c r="R46" i="18"/>
  <c r="S46" i="18" s="1"/>
  <c r="R47" i="18"/>
  <c r="S47" i="18" s="1"/>
  <c r="R48" i="18"/>
  <c r="S48" i="18" s="1"/>
  <c r="R49" i="18"/>
  <c r="S49" i="18" s="1"/>
  <c r="R50" i="18"/>
  <c r="S50" i="18" s="1"/>
  <c r="R51" i="18"/>
  <c r="S51" i="18" s="1"/>
  <c r="R52" i="18"/>
  <c r="S52" i="18" s="1"/>
  <c r="R53" i="18"/>
  <c r="S53" i="18" s="1"/>
  <c r="R54" i="18"/>
  <c r="S54" i="18" s="1"/>
  <c r="R55" i="18"/>
  <c r="S55" i="18" s="1"/>
  <c r="R56" i="18"/>
  <c r="S56" i="18" s="1"/>
  <c r="R57" i="18"/>
  <c r="S57" i="18" s="1"/>
  <c r="R58" i="18"/>
  <c r="S58" i="18" s="1"/>
  <c r="R59" i="18"/>
  <c r="S59" i="18" s="1"/>
  <c r="R60" i="18"/>
  <c r="S60" i="18" s="1"/>
  <c r="R61" i="18"/>
  <c r="S61" i="18" s="1"/>
  <c r="R62" i="18"/>
  <c r="S62" i="18" s="1"/>
  <c r="R63" i="18"/>
  <c r="S63" i="18" s="1"/>
  <c r="R64" i="18"/>
  <c r="S64" i="18" s="1"/>
  <c r="R65" i="18"/>
  <c r="S65" i="18" s="1"/>
  <c r="R66" i="18"/>
  <c r="S66" i="18" s="1"/>
  <c r="R67" i="18"/>
  <c r="S67" i="18" s="1"/>
  <c r="R68" i="18"/>
  <c r="S68" i="18" s="1"/>
  <c r="R69" i="18"/>
  <c r="S69" i="18" s="1"/>
  <c r="R70" i="18"/>
  <c r="S70" i="18" s="1"/>
  <c r="R71" i="18"/>
  <c r="S71" i="18" s="1"/>
  <c r="R72" i="18"/>
  <c r="S72" i="18" s="1"/>
  <c r="R73" i="18"/>
  <c r="S73" i="18" s="1"/>
  <c r="R74" i="18"/>
  <c r="S74" i="18" s="1"/>
  <c r="R75" i="18"/>
  <c r="S75" i="18" s="1"/>
  <c r="R76" i="18"/>
  <c r="S76" i="18" s="1"/>
  <c r="R77" i="18"/>
  <c r="S77" i="18" s="1"/>
  <c r="R78" i="18"/>
  <c r="S78" i="18" s="1"/>
  <c r="R79" i="18"/>
  <c r="S79" i="18" s="1"/>
  <c r="R80" i="18"/>
  <c r="S80" i="18" s="1"/>
  <c r="R81" i="18"/>
  <c r="S81" i="18" s="1"/>
  <c r="R82" i="18"/>
  <c r="S82" i="18" s="1"/>
  <c r="R83" i="18"/>
  <c r="S83" i="18" s="1"/>
  <c r="R84" i="18"/>
  <c r="S84" i="18" s="1"/>
  <c r="R85" i="18"/>
  <c r="S85" i="18" s="1"/>
  <c r="R86" i="18"/>
  <c r="S86" i="18" s="1"/>
  <c r="R87" i="18"/>
  <c r="S87" i="18" s="1"/>
  <c r="R88" i="18"/>
  <c r="S88" i="18" s="1"/>
  <c r="R89" i="18"/>
  <c r="S89" i="18" s="1"/>
  <c r="R90" i="18"/>
  <c r="S90" i="18" s="1"/>
  <c r="R91" i="18"/>
  <c r="S91" i="18" s="1"/>
  <c r="R92" i="18"/>
  <c r="S92" i="18" s="1"/>
  <c r="R93" i="18"/>
  <c r="S93" i="18" s="1"/>
  <c r="R94" i="18"/>
  <c r="S94" i="18" s="1"/>
  <c r="R95" i="18"/>
  <c r="S95" i="18" s="1"/>
  <c r="R96" i="18"/>
  <c r="S96" i="18" s="1"/>
  <c r="R97" i="18"/>
  <c r="S97" i="18" s="1"/>
  <c r="R98" i="18"/>
  <c r="S98" i="18" s="1"/>
  <c r="R99" i="18"/>
  <c r="S99" i="18" s="1"/>
  <c r="R100" i="18"/>
  <c r="S100" i="18" s="1"/>
  <c r="R101" i="18"/>
  <c r="S101" i="18" s="1"/>
  <c r="R102" i="18"/>
  <c r="S102" i="18" s="1"/>
  <c r="R103" i="18"/>
  <c r="S103" i="18" s="1"/>
  <c r="R104" i="18"/>
  <c r="S104" i="18" s="1"/>
  <c r="R105" i="18"/>
  <c r="S105" i="18" s="1"/>
  <c r="R106" i="18"/>
  <c r="S106" i="18" s="1"/>
  <c r="R107" i="18"/>
  <c r="S107" i="18" s="1"/>
  <c r="R108" i="18"/>
  <c r="S108" i="18" s="1"/>
  <c r="R109" i="18"/>
  <c r="S109" i="18" s="1"/>
  <c r="R110" i="18"/>
  <c r="S110" i="18" s="1"/>
  <c r="R111" i="18"/>
  <c r="S111" i="18" s="1"/>
  <c r="R112" i="18"/>
  <c r="S112" i="18" s="1"/>
  <c r="R113" i="18"/>
  <c r="S113" i="18" s="1"/>
  <c r="R114" i="18"/>
  <c r="S114" i="18" s="1"/>
  <c r="R115" i="18"/>
  <c r="S115" i="18" s="1"/>
  <c r="R116" i="18"/>
  <c r="S116" i="18" s="1"/>
  <c r="R117" i="18"/>
  <c r="S117" i="18" s="1"/>
  <c r="R118" i="18"/>
  <c r="S118" i="18" s="1"/>
  <c r="R119" i="18"/>
  <c r="S119" i="18" s="1"/>
  <c r="R120" i="18"/>
  <c r="S120" i="18" s="1"/>
  <c r="R121" i="18"/>
  <c r="S121" i="18" s="1"/>
  <c r="R122" i="18"/>
  <c r="S122" i="18" s="1"/>
  <c r="R123" i="18"/>
  <c r="S123" i="18" s="1"/>
  <c r="R124" i="18"/>
  <c r="S124" i="18" s="1"/>
  <c r="R125" i="18"/>
  <c r="S125" i="18" s="1"/>
  <c r="R126" i="18"/>
  <c r="S126" i="18" s="1"/>
  <c r="R127" i="18"/>
  <c r="S127" i="18" s="1"/>
  <c r="R128" i="18"/>
  <c r="S128" i="18" s="1"/>
  <c r="R129" i="18"/>
  <c r="S129" i="18" s="1"/>
  <c r="R130" i="18"/>
  <c r="S130" i="18" s="1"/>
  <c r="R131" i="18"/>
  <c r="S131" i="18" s="1"/>
  <c r="R132" i="18"/>
  <c r="S132" i="18" s="1"/>
  <c r="R133" i="18"/>
  <c r="S133" i="18" s="1"/>
  <c r="R134" i="18"/>
  <c r="S134" i="18" s="1"/>
  <c r="R135" i="18"/>
  <c r="S135" i="18" s="1"/>
  <c r="R136" i="18"/>
  <c r="S136" i="18" s="1"/>
  <c r="R137" i="18"/>
  <c r="S137" i="18" s="1"/>
  <c r="R138" i="18"/>
  <c r="S138" i="18" s="1"/>
  <c r="R139" i="18"/>
  <c r="S139" i="18" s="1"/>
  <c r="R140" i="18"/>
  <c r="S140" i="18" s="1"/>
  <c r="R141" i="18"/>
  <c r="S141" i="18" s="1"/>
  <c r="R142" i="18"/>
  <c r="S142" i="18" s="1"/>
  <c r="R143" i="18"/>
  <c r="S143" i="18" s="1"/>
  <c r="R144" i="18"/>
  <c r="S144" i="18" s="1"/>
  <c r="R145" i="18"/>
  <c r="S145" i="18" s="1"/>
  <c r="R146" i="18"/>
  <c r="S146" i="18" s="1"/>
  <c r="R147" i="18"/>
  <c r="S147" i="18" s="1"/>
  <c r="R148" i="18"/>
  <c r="S148" i="18" s="1"/>
  <c r="R149" i="18"/>
  <c r="S149" i="18" s="1"/>
  <c r="R150" i="18"/>
  <c r="S150" i="18" s="1"/>
  <c r="R151" i="18"/>
  <c r="S151" i="18" s="1"/>
  <c r="R152" i="18"/>
  <c r="S152" i="18" s="1"/>
  <c r="R153" i="18"/>
  <c r="S153" i="18" s="1"/>
  <c r="R154" i="18"/>
  <c r="S154" i="18" s="1"/>
  <c r="R155" i="18"/>
  <c r="S155" i="18" s="1"/>
  <c r="R156" i="18"/>
  <c r="S156" i="18" s="1"/>
  <c r="R157" i="18"/>
  <c r="S157" i="18" s="1"/>
  <c r="R158" i="18"/>
  <c r="S158" i="18" s="1"/>
  <c r="R159" i="18"/>
  <c r="S159" i="18" s="1"/>
  <c r="R160" i="18"/>
  <c r="S160" i="18" s="1"/>
  <c r="R161" i="18"/>
  <c r="S161" i="18" s="1"/>
  <c r="R162" i="18"/>
  <c r="S162" i="18" s="1"/>
  <c r="R163" i="18"/>
  <c r="S163" i="18" s="1"/>
  <c r="R164" i="18"/>
  <c r="S164" i="18" s="1"/>
  <c r="R165" i="18"/>
  <c r="S165" i="18" s="1"/>
  <c r="R166" i="18"/>
  <c r="S166" i="18" s="1"/>
  <c r="R167" i="18"/>
  <c r="S167" i="18" s="1"/>
  <c r="R168" i="18"/>
  <c r="S168" i="18" s="1"/>
  <c r="R169" i="18"/>
  <c r="S169" i="18" s="1"/>
  <c r="R170" i="18"/>
  <c r="S170" i="18" s="1"/>
  <c r="R171" i="18"/>
  <c r="S171" i="18" s="1"/>
  <c r="R172" i="18"/>
  <c r="S172" i="18" s="1"/>
  <c r="R173" i="18"/>
  <c r="S173" i="18" s="1"/>
  <c r="R174" i="18"/>
  <c r="S174" i="18" s="1"/>
  <c r="R175" i="18"/>
  <c r="S175" i="18" s="1"/>
  <c r="R176" i="18"/>
  <c r="S176" i="18" s="1"/>
  <c r="R177" i="18"/>
  <c r="S177" i="18" s="1"/>
  <c r="R178" i="18"/>
  <c r="S178" i="18" s="1"/>
  <c r="R179" i="18"/>
  <c r="S179" i="18" s="1"/>
  <c r="R180" i="18"/>
  <c r="S180" i="18" s="1"/>
  <c r="R181" i="18"/>
  <c r="S181" i="18" s="1"/>
  <c r="R182" i="18"/>
  <c r="S182" i="18" s="1"/>
  <c r="R183" i="18"/>
  <c r="S183" i="18" s="1"/>
  <c r="R184" i="18"/>
  <c r="S184" i="18" s="1"/>
  <c r="R185" i="18"/>
  <c r="S185" i="18" s="1"/>
  <c r="R186" i="18"/>
  <c r="S186" i="18" s="1"/>
  <c r="R187" i="18"/>
  <c r="S187" i="18" s="1"/>
  <c r="R188" i="18"/>
  <c r="S188" i="18" s="1"/>
  <c r="R189" i="18"/>
  <c r="S189" i="18" s="1"/>
  <c r="R190" i="18"/>
  <c r="S190" i="18" s="1"/>
  <c r="R191" i="18"/>
  <c r="S191" i="18" s="1"/>
  <c r="R192" i="18"/>
  <c r="S192" i="18" s="1"/>
  <c r="R193" i="18"/>
  <c r="S193" i="18" s="1"/>
  <c r="R194" i="18"/>
  <c r="S194" i="18" s="1"/>
  <c r="R195" i="18"/>
  <c r="S195" i="18" s="1"/>
  <c r="R196" i="18"/>
  <c r="S196" i="18" s="1"/>
  <c r="R197" i="18"/>
  <c r="S197" i="18" s="1"/>
  <c r="R198" i="18"/>
  <c r="S198" i="18" s="1"/>
  <c r="R199" i="18"/>
  <c r="S199" i="18" s="1"/>
  <c r="R200" i="18"/>
  <c r="S200" i="18" s="1"/>
  <c r="R201" i="18"/>
  <c r="S201" i="18" s="1"/>
  <c r="R202" i="18"/>
  <c r="S202" i="18" s="1"/>
  <c r="R203" i="18"/>
  <c r="S203" i="18" s="1"/>
  <c r="R204" i="18"/>
  <c r="S204" i="18" s="1"/>
  <c r="R205" i="18"/>
  <c r="S205" i="18" s="1"/>
  <c r="R206" i="18"/>
  <c r="S206" i="18" s="1"/>
  <c r="R207" i="18"/>
  <c r="S207" i="18" s="1"/>
  <c r="R208" i="18"/>
  <c r="S208" i="18" s="1"/>
  <c r="R209" i="18"/>
  <c r="S209" i="18" s="1"/>
  <c r="R210" i="18"/>
  <c r="S210" i="18" s="1"/>
  <c r="R211" i="18"/>
  <c r="S211" i="18" s="1"/>
  <c r="R212" i="18"/>
  <c r="S212" i="18" s="1"/>
  <c r="R213" i="18"/>
  <c r="S213" i="18" s="1"/>
  <c r="R214" i="18"/>
  <c r="S214" i="18" s="1"/>
  <c r="R215" i="18"/>
  <c r="S215" i="18" s="1"/>
  <c r="R216" i="18"/>
  <c r="S216" i="18" s="1"/>
  <c r="R217" i="18"/>
  <c r="S217" i="18" s="1"/>
  <c r="R218" i="18"/>
  <c r="S218" i="18" s="1"/>
  <c r="R219" i="18"/>
  <c r="S219" i="18" s="1"/>
  <c r="R220" i="18"/>
  <c r="S220" i="18" s="1"/>
  <c r="R221" i="18"/>
  <c r="S221" i="18" s="1"/>
  <c r="R222" i="18"/>
  <c r="S222" i="18" s="1"/>
  <c r="R223" i="18"/>
  <c r="S223" i="18" s="1"/>
  <c r="R224" i="18"/>
  <c r="S224" i="18" s="1"/>
  <c r="R225" i="18"/>
  <c r="S225" i="18" s="1"/>
  <c r="R226" i="18"/>
  <c r="S226" i="18" s="1"/>
  <c r="R227" i="18"/>
  <c r="S227" i="18" s="1"/>
  <c r="R228" i="18"/>
  <c r="S228" i="18" s="1"/>
  <c r="R229" i="18"/>
  <c r="S229" i="18" s="1"/>
  <c r="R230" i="18"/>
  <c r="S230" i="18" s="1"/>
  <c r="R231" i="18"/>
  <c r="S231" i="18" s="1"/>
  <c r="R232" i="18"/>
  <c r="S232" i="18" s="1"/>
  <c r="R233" i="18"/>
  <c r="S233" i="18" s="1"/>
  <c r="R234" i="18"/>
  <c r="S234" i="18" s="1"/>
  <c r="R235" i="18"/>
  <c r="S235" i="18" s="1"/>
  <c r="R236" i="18"/>
  <c r="S236" i="18" s="1"/>
  <c r="R237" i="18"/>
  <c r="S237" i="18" s="1"/>
  <c r="R238" i="18"/>
  <c r="S238" i="18" s="1"/>
  <c r="R239" i="18"/>
  <c r="S239" i="18" s="1"/>
  <c r="R240" i="18"/>
  <c r="S240" i="18" s="1"/>
  <c r="R241" i="18"/>
  <c r="S241" i="18" s="1"/>
  <c r="R242" i="18"/>
  <c r="S242" i="18" s="1"/>
  <c r="R243" i="18"/>
  <c r="S243" i="18" s="1"/>
  <c r="R244" i="18"/>
  <c r="S244" i="18" s="1"/>
  <c r="R245" i="18"/>
  <c r="S245" i="18" s="1"/>
  <c r="R246" i="18"/>
  <c r="S246" i="18" s="1"/>
  <c r="R247" i="18"/>
  <c r="S247" i="18" s="1"/>
  <c r="R248" i="18"/>
  <c r="S248" i="18" s="1"/>
  <c r="R249" i="18"/>
  <c r="S249" i="18" s="1"/>
  <c r="R250" i="18"/>
  <c r="S250" i="18" s="1"/>
  <c r="R251" i="18"/>
  <c r="S251" i="18" s="1"/>
  <c r="R252" i="18"/>
  <c r="S252" i="18" s="1"/>
  <c r="R253" i="18"/>
  <c r="S253" i="18" s="1"/>
  <c r="R254" i="18"/>
  <c r="S254" i="18" s="1"/>
  <c r="R255" i="18"/>
  <c r="S255" i="18" s="1"/>
  <c r="R256" i="18"/>
  <c r="S256" i="18" s="1"/>
  <c r="R257" i="18"/>
  <c r="S257" i="18" s="1"/>
  <c r="R258" i="18"/>
  <c r="S258" i="18" s="1"/>
  <c r="R259" i="18"/>
  <c r="S259" i="18" s="1"/>
  <c r="R260" i="18"/>
  <c r="S260" i="18" s="1"/>
  <c r="R261" i="18"/>
  <c r="S261" i="18" s="1"/>
  <c r="R262" i="18"/>
  <c r="S262" i="18" s="1"/>
  <c r="R263" i="18"/>
  <c r="S263" i="18" s="1"/>
  <c r="R264" i="18"/>
  <c r="S264" i="18" s="1"/>
  <c r="R265" i="18"/>
  <c r="S265" i="18" s="1"/>
  <c r="R266" i="18"/>
  <c r="S266" i="18" s="1"/>
  <c r="R267" i="18"/>
  <c r="S267" i="18" s="1"/>
  <c r="R268" i="18"/>
  <c r="S268" i="18" s="1"/>
  <c r="R269" i="18"/>
  <c r="S269" i="18" s="1"/>
  <c r="R270" i="18"/>
  <c r="S270" i="18" s="1"/>
  <c r="R271" i="18"/>
  <c r="S271" i="18" s="1"/>
  <c r="R272" i="18"/>
  <c r="S272" i="18" s="1"/>
  <c r="R273" i="18"/>
  <c r="S273" i="18" s="1"/>
  <c r="R274" i="18"/>
  <c r="S274" i="18" s="1"/>
  <c r="R275" i="18"/>
  <c r="S275" i="18" s="1"/>
  <c r="R276" i="18"/>
  <c r="S276" i="18" s="1"/>
  <c r="R277" i="18"/>
  <c r="S277" i="18" s="1"/>
  <c r="R278" i="18"/>
  <c r="S278" i="18" s="1"/>
  <c r="R279" i="18"/>
  <c r="S279" i="18" s="1"/>
  <c r="R280" i="18"/>
  <c r="S280" i="18" s="1"/>
  <c r="R281" i="18"/>
  <c r="S281" i="18" s="1"/>
  <c r="R282" i="18"/>
  <c r="S282" i="18" s="1"/>
  <c r="R283" i="18"/>
  <c r="S283" i="18" s="1"/>
  <c r="R284" i="18"/>
  <c r="S284" i="18" s="1"/>
  <c r="R285" i="18"/>
  <c r="S285" i="18" s="1"/>
  <c r="R286" i="18"/>
  <c r="S286" i="18" s="1"/>
  <c r="R287" i="18"/>
  <c r="S287" i="18" s="1"/>
  <c r="R288" i="18"/>
  <c r="S288" i="18" s="1"/>
  <c r="R289" i="18"/>
  <c r="S289" i="18" s="1"/>
  <c r="R290" i="18"/>
  <c r="S290" i="18" s="1"/>
  <c r="R291" i="18"/>
  <c r="S291" i="18" s="1"/>
  <c r="R292" i="18"/>
  <c r="S292" i="18" s="1"/>
  <c r="R293" i="18"/>
  <c r="S293" i="18" s="1"/>
  <c r="R294" i="18"/>
  <c r="S294" i="18" s="1"/>
  <c r="R295" i="18"/>
  <c r="S295" i="18" s="1"/>
  <c r="R296" i="18"/>
  <c r="S296" i="18" s="1"/>
  <c r="R297" i="18"/>
  <c r="S297" i="18" s="1"/>
  <c r="R298" i="18"/>
  <c r="S298" i="18" s="1"/>
  <c r="R299" i="18"/>
  <c r="S299" i="18" s="1"/>
  <c r="R300" i="18"/>
  <c r="S300" i="18" s="1"/>
  <c r="R301" i="18"/>
  <c r="S301" i="18" s="1"/>
  <c r="R302" i="18"/>
  <c r="S302" i="18" s="1"/>
  <c r="R303" i="18"/>
  <c r="S303" i="18" s="1"/>
  <c r="R304" i="18"/>
  <c r="S304" i="18" s="1"/>
  <c r="R305" i="18"/>
  <c r="S305" i="18" s="1"/>
  <c r="R306" i="18"/>
  <c r="S306" i="18" s="1"/>
  <c r="R307" i="18"/>
  <c r="S307" i="18" s="1"/>
  <c r="R308" i="18"/>
  <c r="S308" i="18" s="1"/>
  <c r="R309" i="18"/>
  <c r="S309" i="18" s="1"/>
  <c r="R310" i="18"/>
  <c r="S310" i="18" s="1"/>
  <c r="R311" i="18"/>
  <c r="S311" i="18" s="1"/>
  <c r="R312" i="18"/>
  <c r="S312" i="18" s="1"/>
  <c r="R313" i="18"/>
  <c r="S313" i="18" s="1"/>
  <c r="R314" i="18"/>
  <c r="S314" i="18" s="1"/>
  <c r="R315" i="18"/>
  <c r="S315" i="18" s="1"/>
  <c r="R316" i="18"/>
  <c r="S316" i="18" s="1"/>
  <c r="R317" i="18"/>
  <c r="S317" i="18" s="1"/>
  <c r="R318" i="18"/>
  <c r="S318" i="18" s="1"/>
  <c r="R319" i="18"/>
  <c r="S319" i="18" s="1"/>
  <c r="R320" i="18"/>
  <c r="S320" i="18" s="1"/>
  <c r="R321" i="18"/>
  <c r="S321" i="18" s="1"/>
  <c r="R322" i="18"/>
  <c r="S322" i="18" s="1"/>
  <c r="R323" i="18"/>
  <c r="S323" i="18" s="1"/>
  <c r="R324" i="18"/>
  <c r="S324" i="18" s="1"/>
  <c r="R325" i="18"/>
  <c r="S325" i="18" s="1"/>
  <c r="R326" i="18"/>
  <c r="S326" i="18" s="1"/>
  <c r="R327" i="18"/>
  <c r="S327" i="18" s="1"/>
  <c r="R328" i="18"/>
  <c r="S328" i="18" s="1"/>
  <c r="R329" i="18"/>
  <c r="S329" i="18" s="1"/>
  <c r="R330" i="18"/>
  <c r="S330" i="18" s="1"/>
  <c r="R331" i="18"/>
  <c r="S331" i="18" s="1"/>
  <c r="R332" i="18"/>
  <c r="S332" i="18" s="1"/>
  <c r="R333" i="18"/>
  <c r="S333" i="18" s="1"/>
  <c r="R334" i="18"/>
  <c r="S334" i="18" s="1"/>
  <c r="R335" i="18"/>
  <c r="S335" i="18" s="1"/>
  <c r="R336" i="18"/>
  <c r="S336" i="18" s="1"/>
  <c r="R337" i="18"/>
  <c r="S337" i="18" s="1"/>
  <c r="R338" i="18"/>
  <c r="S338" i="18" s="1"/>
  <c r="R339" i="18"/>
  <c r="S339" i="18" s="1"/>
  <c r="R340" i="18"/>
  <c r="S340" i="18" s="1"/>
  <c r="R341" i="18"/>
  <c r="S341" i="18" s="1"/>
  <c r="R342" i="18"/>
  <c r="S342" i="18" s="1"/>
  <c r="R343" i="18"/>
  <c r="S343" i="18" s="1"/>
  <c r="R344" i="18"/>
  <c r="S344" i="18" s="1"/>
  <c r="R345" i="18"/>
  <c r="S345" i="18" s="1"/>
  <c r="R346" i="18"/>
  <c r="S346" i="18" s="1"/>
  <c r="R347" i="18"/>
  <c r="S347" i="18" s="1"/>
  <c r="R348" i="18"/>
  <c r="S348" i="18" s="1"/>
  <c r="R349" i="18"/>
  <c r="S349" i="18" s="1"/>
  <c r="R350" i="18"/>
  <c r="S350" i="18" s="1"/>
  <c r="R351" i="18"/>
  <c r="S351" i="18" s="1"/>
  <c r="R352" i="18"/>
  <c r="S352" i="18" s="1"/>
  <c r="R353" i="18"/>
  <c r="S353" i="18" s="1"/>
  <c r="R354" i="18"/>
  <c r="S354" i="18" s="1"/>
  <c r="R355" i="18"/>
  <c r="S355" i="18" s="1"/>
  <c r="R356" i="18"/>
  <c r="S356" i="18" s="1"/>
  <c r="R357" i="18"/>
  <c r="S357" i="18" s="1"/>
  <c r="R358" i="18"/>
  <c r="S358" i="18" s="1"/>
  <c r="R359" i="18"/>
  <c r="S359" i="18" s="1"/>
  <c r="R360" i="18"/>
  <c r="S360" i="18" s="1"/>
  <c r="R361" i="18"/>
  <c r="S361" i="18" s="1"/>
  <c r="R362" i="18"/>
  <c r="S362" i="18" s="1"/>
  <c r="R363" i="18"/>
  <c r="S363" i="18" s="1"/>
  <c r="R364" i="18"/>
  <c r="S364" i="18" s="1"/>
  <c r="R365" i="18"/>
  <c r="S365" i="18" s="1"/>
  <c r="R366" i="18"/>
  <c r="S366" i="18" s="1"/>
  <c r="R367" i="18"/>
  <c r="S367" i="18" s="1"/>
  <c r="R368" i="18"/>
  <c r="S368" i="18" s="1"/>
  <c r="R369" i="18"/>
  <c r="S369" i="18" s="1"/>
  <c r="R370" i="18"/>
  <c r="S370" i="18" s="1"/>
  <c r="R371" i="18"/>
  <c r="S371" i="18" s="1"/>
  <c r="R372" i="18"/>
  <c r="S372" i="18" s="1"/>
  <c r="R373" i="18"/>
  <c r="S373" i="18" s="1"/>
  <c r="R374" i="18"/>
  <c r="S374" i="18" s="1"/>
  <c r="R375" i="18"/>
  <c r="S375" i="18" s="1"/>
  <c r="R376" i="18"/>
  <c r="S376" i="18" s="1"/>
  <c r="R377" i="18"/>
  <c r="S377" i="18" s="1"/>
  <c r="R378" i="18"/>
  <c r="S378" i="18" s="1"/>
  <c r="R379" i="18"/>
  <c r="S379" i="18" s="1"/>
  <c r="R380" i="18"/>
  <c r="S380" i="18" s="1"/>
  <c r="R381" i="18"/>
  <c r="S381" i="18" s="1"/>
  <c r="R382" i="18"/>
  <c r="S382" i="18" s="1"/>
  <c r="R383" i="18"/>
  <c r="S383" i="18" s="1"/>
  <c r="R384" i="18"/>
  <c r="S384" i="18" s="1"/>
  <c r="R385" i="18"/>
  <c r="S385" i="18" s="1"/>
  <c r="R386" i="18"/>
  <c r="S386" i="18" s="1"/>
  <c r="R387" i="18"/>
  <c r="S387" i="18" s="1"/>
  <c r="R388" i="18"/>
  <c r="S388" i="18" s="1"/>
  <c r="R389" i="18"/>
  <c r="S389" i="18" s="1"/>
  <c r="R390" i="18"/>
  <c r="S390" i="18" s="1"/>
  <c r="R391" i="18"/>
  <c r="S391" i="18" s="1"/>
  <c r="R392" i="18"/>
  <c r="S392" i="18" s="1"/>
  <c r="R393" i="18"/>
  <c r="S393" i="18" s="1"/>
  <c r="R394" i="18"/>
  <c r="S394" i="18" s="1"/>
  <c r="R395" i="18"/>
  <c r="S395" i="18" s="1"/>
  <c r="R396" i="18"/>
  <c r="S396" i="18" s="1"/>
  <c r="R397" i="18"/>
  <c r="S397" i="18" s="1"/>
  <c r="R398" i="18"/>
  <c r="S398" i="18" s="1"/>
  <c r="R399" i="18"/>
  <c r="S399" i="18" s="1"/>
  <c r="R400" i="18"/>
  <c r="S400" i="18" s="1"/>
  <c r="R401" i="18"/>
  <c r="S401" i="18" s="1"/>
  <c r="R402" i="18"/>
  <c r="S402" i="18" s="1"/>
  <c r="R403" i="18"/>
  <c r="S403" i="18" s="1"/>
  <c r="R404" i="18"/>
  <c r="S404" i="18" s="1"/>
  <c r="R405" i="18"/>
  <c r="S405" i="18" s="1"/>
  <c r="R406" i="18"/>
  <c r="S406" i="18" s="1"/>
  <c r="R407" i="18"/>
  <c r="S407" i="18" s="1"/>
  <c r="R408" i="18"/>
  <c r="S408" i="18" s="1"/>
  <c r="R409" i="18"/>
  <c r="S409" i="18" s="1"/>
  <c r="R410" i="18"/>
  <c r="S410" i="18" s="1"/>
  <c r="R411" i="18"/>
  <c r="S411" i="18" s="1"/>
  <c r="R412" i="18"/>
  <c r="S412" i="18" s="1"/>
  <c r="R413" i="18"/>
  <c r="S413" i="18" s="1"/>
  <c r="R414" i="18"/>
  <c r="S414" i="18" s="1"/>
  <c r="R415" i="18"/>
  <c r="S415" i="18" s="1"/>
  <c r="R416" i="18"/>
  <c r="S416" i="18" s="1"/>
  <c r="R417" i="18"/>
  <c r="S417" i="18" s="1"/>
  <c r="R418" i="18"/>
  <c r="S418" i="18" s="1"/>
  <c r="R419" i="18"/>
  <c r="S419" i="18" s="1"/>
  <c r="R420" i="18"/>
  <c r="S420" i="18" s="1"/>
  <c r="R421" i="18"/>
  <c r="S421" i="18" s="1"/>
  <c r="R422" i="18"/>
  <c r="S422" i="18" s="1"/>
  <c r="R423" i="18"/>
  <c r="S423" i="18" s="1"/>
  <c r="R424" i="18"/>
  <c r="S424" i="18" s="1"/>
  <c r="R425" i="18"/>
  <c r="S425" i="18" s="1"/>
  <c r="R426" i="18"/>
  <c r="S426" i="18" s="1"/>
  <c r="R427" i="18"/>
  <c r="S427" i="18" s="1"/>
  <c r="R428" i="18"/>
  <c r="S428" i="18" s="1"/>
  <c r="R429" i="18"/>
  <c r="S429" i="18" s="1"/>
  <c r="R430" i="18"/>
  <c r="S430" i="18" s="1"/>
  <c r="R431" i="18"/>
  <c r="S431" i="18" s="1"/>
  <c r="R432" i="18"/>
  <c r="S432" i="18" s="1"/>
  <c r="R433" i="18"/>
  <c r="S433" i="18" s="1"/>
  <c r="R434" i="18"/>
  <c r="S434" i="18" s="1"/>
  <c r="R435" i="18"/>
  <c r="S435" i="18" s="1"/>
  <c r="R436" i="18"/>
  <c r="S436" i="18" s="1"/>
  <c r="R437" i="18"/>
  <c r="S437" i="18" s="1"/>
  <c r="R438" i="18"/>
  <c r="S438" i="18" s="1"/>
  <c r="R439" i="18"/>
  <c r="S439" i="18" s="1"/>
  <c r="R440" i="18"/>
  <c r="S440" i="18" s="1"/>
  <c r="R441" i="18"/>
  <c r="S441" i="18" s="1"/>
  <c r="R442" i="18"/>
  <c r="S442" i="18" s="1"/>
  <c r="R443" i="18"/>
  <c r="S443" i="18" s="1"/>
  <c r="R444" i="18"/>
  <c r="S444" i="18" s="1"/>
  <c r="R445" i="18"/>
  <c r="S445" i="18" s="1"/>
  <c r="R446" i="18"/>
  <c r="S446" i="18" s="1"/>
  <c r="R447" i="18"/>
  <c r="S447" i="18" s="1"/>
  <c r="R448" i="18"/>
  <c r="S448" i="18" s="1"/>
  <c r="R449" i="18"/>
  <c r="S449" i="18" s="1"/>
  <c r="R450" i="18"/>
  <c r="S450" i="18" s="1"/>
  <c r="R451" i="18"/>
  <c r="S451" i="18" s="1"/>
  <c r="R452" i="18"/>
  <c r="S452" i="18" s="1"/>
  <c r="R453" i="18"/>
  <c r="S453" i="18" s="1"/>
  <c r="R454" i="18"/>
  <c r="S454" i="18" s="1"/>
  <c r="R455" i="18"/>
  <c r="S455" i="18" s="1"/>
  <c r="R456" i="18"/>
  <c r="S456" i="18" s="1"/>
  <c r="R457" i="18"/>
  <c r="S457" i="18" s="1"/>
  <c r="R458" i="18"/>
  <c r="S458" i="18" s="1"/>
  <c r="R459" i="18"/>
  <c r="S459" i="18" s="1"/>
  <c r="R460" i="18"/>
  <c r="S460" i="18" s="1"/>
  <c r="R461" i="18"/>
  <c r="S461" i="18" s="1"/>
  <c r="R462" i="18"/>
  <c r="S462" i="18" s="1"/>
  <c r="R463" i="18"/>
  <c r="S463" i="18" s="1"/>
  <c r="R464" i="18"/>
  <c r="S464" i="18" s="1"/>
  <c r="R465" i="18"/>
  <c r="S465" i="18" s="1"/>
  <c r="R466" i="18"/>
  <c r="S466" i="18" s="1"/>
  <c r="R467" i="18"/>
  <c r="S467" i="18" s="1"/>
  <c r="R468" i="18"/>
  <c r="S468" i="18" s="1"/>
  <c r="R469" i="18"/>
  <c r="S469" i="18" s="1"/>
  <c r="R470" i="18"/>
  <c r="S470" i="18" s="1"/>
  <c r="R471" i="18"/>
  <c r="S471" i="18" s="1"/>
  <c r="R472" i="18"/>
  <c r="S472" i="18" s="1"/>
  <c r="R473" i="18"/>
  <c r="S473" i="18" s="1"/>
  <c r="R474" i="18"/>
  <c r="S474" i="18" s="1"/>
  <c r="R475" i="18"/>
  <c r="S475" i="18" s="1"/>
  <c r="R476" i="18"/>
  <c r="S476" i="18" s="1"/>
  <c r="R477" i="18"/>
  <c r="S477" i="18" s="1"/>
  <c r="R478" i="18"/>
  <c r="S478" i="18" s="1"/>
  <c r="R479" i="18"/>
  <c r="S479" i="18" s="1"/>
  <c r="R480" i="18"/>
  <c r="S480" i="18" s="1"/>
  <c r="R481" i="18"/>
  <c r="S481" i="18" s="1"/>
  <c r="R482" i="18"/>
  <c r="S482" i="18" s="1"/>
  <c r="R483" i="18"/>
  <c r="S483" i="18" s="1"/>
  <c r="R484" i="18"/>
  <c r="S484" i="18" s="1"/>
  <c r="R485" i="18"/>
  <c r="S485" i="18" s="1"/>
  <c r="R486" i="18"/>
  <c r="S486" i="18" s="1"/>
  <c r="R487" i="18"/>
  <c r="S487" i="18" s="1"/>
  <c r="R488" i="18"/>
  <c r="S488" i="18" s="1"/>
  <c r="R489" i="18"/>
  <c r="S489" i="18" s="1"/>
  <c r="R490" i="18"/>
  <c r="S490" i="18" s="1"/>
  <c r="R491" i="18"/>
  <c r="S491" i="18" s="1"/>
  <c r="R492" i="18"/>
  <c r="S492" i="18" s="1"/>
  <c r="R493" i="18"/>
  <c r="S493" i="18" s="1"/>
  <c r="R494" i="18"/>
  <c r="S494" i="18" s="1"/>
  <c r="R495" i="18"/>
  <c r="S495" i="18" s="1"/>
  <c r="R496" i="18"/>
  <c r="S496" i="18" s="1"/>
  <c r="R497" i="18"/>
  <c r="S497" i="18" s="1"/>
  <c r="R498" i="18"/>
  <c r="S498" i="18" s="1"/>
  <c r="R499" i="18"/>
  <c r="S499" i="18" s="1"/>
  <c r="R500" i="18"/>
  <c r="S500" i="18" s="1"/>
  <c r="R501" i="18"/>
  <c r="S501" i="18" s="1"/>
  <c r="R502" i="18"/>
  <c r="S502" i="18" s="1"/>
  <c r="R503" i="18"/>
  <c r="S503" i="18" s="1"/>
  <c r="R504" i="18"/>
  <c r="S504" i="18" s="1"/>
  <c r="R505" i="18"/>
  <c r="S505" i="18" s="1"/>
  <c r="R506" i="18"/>
  <c r="S506" i="18" s="1"/>
  <c r="R507" i="18"/>
  <c r="S507" i="18" s="1"/>
  <c r="R508" i="18"/>
  <c r="S508" i="18" s="1"/>
  <c r="R509" i="18"/>
  <c r="S509" i="18" s="1"/>
  <c r="R510" i="18"/>
  <c r="S510" i="18" s="1"/>
  <c r="R511" i="18"/>
  <c r="S511" i="18" s="1"/>
  <c r="R512" i="18"/>
  <c r="S512" i="18" s="1"/>
  <c r="R513" i="18"/>
  <c r="S513" i="18" s="1"/>
  <c r="R514" i="18"/>
  <c r="S514" i="18" s="1"/>
  <c r="R515" i="18"/>
  <c r="S515" i="18" s="1"/>
  <c r="R516" i="18"/>
  <c r="S516" i="18" s="1"/>
  <c r="R517" i="18"/>
  <c r="S517" i="18" s="1"/>
  <c r="R518" i="18"/>
  <c r="S518" i="18" s="1"/>
  <c r="R519" i="18"/>
  <c r="S519" i="18" s="1"/>
  <c r="R520" i="18"/>
  <c r="S520" i="18" s="1"/>
  <c r="R521" i="18"/>
  <c r="S521" i="18" s="1"/>
  <c r="R522" i="18"/>
  <c r="S522" i="18" s="1"/>
  <c r="R523" i="18"/>
  <c r="S523" i="18" s="1"/>
  <c r="R524" i="18"/>
  <c r="S524" i="18" s="1"/>
  <c r="R525" i="18"/>
  <c r="S525" i="18" s="1"/>
  <c r="R526" i="18"/>
  <c r="S526" i="18" s="1"/>
  <c r="R527" i="18"/>
  <c r="S527" i="18" s="1"/>
  <c r="R528" i="18"/>
  <c r="S528" i="18" s="1"/>
  <c r="R529" i="18"/>
  <c r="S529" i="18" s="1"/>
  <c r="R530" i="18"/>
  <c r="S530" i="18" s="1"/>
  <c r="R531" i="18"/>
  <c r="S531" i="18" s="1"/>
  <c r="R532" i="18"/>
  <c r="S532" i="18" s="1"/>
  <c r="R533" i="18"/>
  <c r="S533" i="18" s="1"/>
  <c r="R534" i="18"/>
  <c r="S534" i="18" s="1"/>
  <c r="R535" i="18"/>
  <c r="S535" i="18" s="1"/>
  <c r="R536" i="18"/>
  <c r="S536" i="18" s="1"/>
  <c r="R537" i="18"/>
  <c r="S537" i="18" s="1"/>
  <c r="R538" i="18"/>
  <c r="S538" i="18" s="1"/>
  <c r="R539" i="18"/>
  <c r="S539" i="18" s="1"/>
  <c r="R540" i="18"/>
  <c r="S540" i="18" s="1"/>
  <c r="R541" i="18"/>
  <c r="S541" i="18" s="1"/>
  <c r="R542" i="18"/>
  <c r="S542" i="18" s="1"/>
  <c r="R543" i="18"/>
  <c r="S543" i="18" s="1"/>
  <c r="R544" i="18"/>
  <c r="S544" i="18" s="1"/>
  <c r="R545" i="18"/>
  <c r="S545" i="18" s="1"/>
  <c r="R546" i="18"/>
  <c r="S546" i="18" s="1"/>
  <c r="R547" i="18"/>
  <c r="S547" i="18" s="1"/>
  <c r="R548" i="18"/>
  <c r="S548" i="18" s="1"/>
  <c r="R549" i="18"/>
  <c r="S549" i="18" s="1"/>
  <c r="R550" i="18"/>
  <c r="S550" i="18" s="1"/>
  <c r="R551" i="18"/>
  <c r="S551" i="18" s="1"/>
  <c r="R552" i="18"/>
  <c r="S552" i="18" s="1"/>
  <c r="R553" i="18"/>
  <c r="S553" i="18" s="1"/>
  <c r="R554" i="18"/>
  <c r="S554" i="18" s="1"/>
  <c r="R555" i="18"/>
  <c r="S555" i="18" s="1"/>
  <c r="R556" i="18"/>
  <c r="S556" i="18" s="1"/>
  <c r="R557" i="18"/>
  <c r="S557" i="18" s="1"/>
  <c r="R558" i="18"/>
  <c r="S558" i="18" s="1"/>
  <c r="R559" i="18"/>
  <c r="S559" i="18" s="1"/>
  <c r="R560" i="18"/>
  <c r="S560" i="18" s="1"/>
  <c r="R561" i="18"/>
  <c r="S561" i="18" s="1"/>
  <c r="R562" i="18"/>
  <c r="S562" i="18" s="1"/>
  <c r="R563" i="18"/>
  <c r="S563" i="18" s="1"/>
  <c r="R564" i="18"/>
  <c r="S564" i="18" s="1"/>
  <c r="R565" i="18"/>
  <c r="S565" i="18" s="1"/>
  <c r="R566" i="18"/>
  <c r="S566" i="18" s="1"/>
  <c r="R567" i="18"/>
  <c r="S567" i="18" s="1"/>
  <c r="R568" i="18"/>
  <c r="S568" i="18" s="1"/>
  <c r="R569" i="18"/>
  <c r="S569" i="18" s="1"/>
  <c r="R570" i="18"/>
  <c r="S570" i="18" s="1"/>
  <c r="R571" i="18"/>
  <c r="S571" i="18" s="1"/>
  <c r="R572" i="18"/>
  <c r="S572" i="18" s="1"/>
  <c r="R573" i="18"/>
  <c r="S573" i="18" s="1"/>
  <c r="R574" i="18"/>
  <c r="S574" i="18" s="1"/>
  <c r="R575" i="18"/>
  <c r="S575" i="18" s="1"/>
  <c r="R576" i="18"/>
  <c r="S576" i="18" s="1"/>
  <c r="R577" i="18"/>
  <c r="S577" i="18" s="1"/>
  <c r="R578" i="18"/>
  <c r="S578" i="18" s="1"/>
  <c r="R579" i="18"/>
  <c r="S579" i="18" s="1"/>
  <c r="R580" i="18"/>
  <c r="S580" i="18" s="1"/>
  <c r="R581" i="18"/>
  <c r="S581" i="18" s="1"/>
  <c r="R582" i="18"/>
  <c r="S582" i="18" s="1"/>
  <c r="R583" i="18"/>
  <c r="S583" i="18" s="1"/>
  <c r="R584" i="18"/>
  <c r="S584" i="18" s="1"/>
  <c r="R585" i="18"/>
  <c r="S585" i="18" s="1"/>
  <c r="R586" i="18"/>
  <c r="S586" i="18" s="1"/>
  <c r="R587" i="18"/>
  <c r="S587" i="18" s="1"/>
  <c r="R588" i="18"/>
  <c r="S588" i="18" s="1"/>
  <c r="R589" i="18"/>
  <c r="S589" i="18" s="1"/>
  <c r="R590" i="18"/>
  <c r="S590" i="18" s="1"/>
  <c r="R591" i="18"/>
  <c r="S591" i="18" s="1"/>
  <c r="R592" i="18"/>
  <c r="S592" i="18" s="1"/>
  <c r="R593" i="18"/>
  <c r="S593" i="18" s="1"/>
  <c r="R594" i="18"/>
  <c r="S594" i="18" s="1"/>
  <c r="R595" i="18"/>
  <c r="S595" i="18" s="1"/>
  <c r="R596" i="18"/>
  <c r="S596" i="18" s="1"/>
  <c r="R597" i="18"/>
  <c r="S597" i="18" s="1"/>
  <c r="R598" i="18"/>
  <c r="S598" i="18" s="1"/>
  <c r="R599" i="18"/>
  <c r="S599" i="18" s="1"/>
  <c r="R600" i="18"/>
  <c r="S600" i="18" s="1"/>
  <c r="R601" i="18"/>
  <c r="S601" i="18" s="1"/>
  <c r="R602" i="18"/>
  <c r="S602" i="18" s="1"/>
  <c r="R603" i="18"/>
  <c r="S603" i="18" s="1"/>
  <c r="R604" i="18"/>
  <c r="S604" i="18" s="1"/>
  <c r="R605" i="18"/>
  <c r="S605" i="18" s="1"/>
  <c r="R606" i="18"/>
  <c r="S606" i="18" s="1"/>
  <c r="R607" i="18"/>
  <c r="S607" i="18" s="1"/>
  <c r="R608" i="18"/>
  <c r="S608" i="18" s="1"/>
  <c r="R609" i="18"/>
  <c r="S609" i="18" s="1"/>
  <c r="R610" i="18"/>
  <c r="S610" i="18" s="1"/>
  <c r="R611" i="18"/>
  <c r="S611" i="18" s="1"/>
  <c r="R612" i="18"/>
  <c r="S612" i="18" s="1"/>
  <c r="R613" i="18"/>
  <c r="S613" i="18" s="1"/>
  <c r="R614" i="18"/>
  <c r="S614" i="18" s="1"/>
  <c r="R615" i="18"/>
  <c r="S615" i="18" s="1"/>
  <c r="R616" i="18"/>
  <c r="S616" i="18" s="1"/>
  <c r="R617" i="18"/>
  <c r="S617" i="18" s="1"/>
  <c r="R618" i="18"/>
  <c r="S618" i="18" s="1"/>
  <c r="R619" i="18"/>
  <c r="S619" i="18" s="1"/>
  <c r="R620" i="18"/>
  <c r="S620" i="18" s="1"/>
  <c r="R621" i="18"/>
  <c r="S621" i="18" s="1"/>
  <c r="R622" i="18"/>
  <c r="S622" i="18" s="1"/>
  <c r="R623" i="18"/>
  <c r="S623" i="18" s="1"/>
  <c r="R624" i="18"/>
  <c r="S624" i="18" s="1"/>
  <c r="R625" i="18"/>
  <c r="S625" i="18" s="1"/>
  <c r="R626" i="18"/>
  <c r="S626" i="18" s="1"/>
  <c r="R627" i="18"/>
  <c r="S627" i="18" s="1"/>
  <c r="R628" i="18"/>
  <c r="S628" i="18" s="1"/>
  <c r="R629" i="18"/>
  <c r="S629" i="18" s="1"/>
  <c r="R630" i="18"/>
  <c r="S630" i="18" s="1"/>
  <c r="R631" i="18"/>
  <c r="S631" i="18" s="1"/>
  <c r="R632" i="18"/>
  <c r="S632" i="18" s="1"/>
  <c r="R633" i="18"/>
  <c r="S633" i="18" s="1"/>
  <c r="R634" i="18"/>
  <c r="S634" i="18" s="1"/>
  <c r="R635" i="18"/>
  <c r="S635" i="18" s="1"/>
  <c r="R636" i="18"/>
  <c r="S636" i="18" s="1"/>
  <c r="R637" i="18"/>
  <c r="S637" i="18" s="1"/>
  <c r="R638" i="18"/>
  <c r="S638" i="18" s="1"/>
  <c r="R639" i="18"/>
  <c r="S639" i="18" s="1"/>
  <c r="R640" i="18"/>
  <c r="S640" i="18" s="1"/>
  <c r="R641" i="18"/>
  <c r="S641" i="18" s="1"/>
  <c r="R642" i="18"/>
  <c r="S642" i="18" s="1"/>
  <c r="R643" i="18"/>
  <c r="S643" i="18" s="1"/>
  <c r="R644" i="18"/>
  <c r="S644" i="18" s="1"/>
  <c r="R645" i="18"/>
  <c r="S645" i="18" s="1"/>
  <c r="R646" i="18"/>
  <c r="S646" i="18" s="1"/>
  <c r="R647" i="18"/>
  <c r="S647" i="18" s="1"/>
  <c r="R648" i="18"/>
  <c r="S648" i="18" s="1"/>
  <c r="R649" i="18"/>
  <c r="S649" i="18" s="1"/>
  <c r="R650" i="18"/>
  <c r="S650" i="18" s="1"/>
  <c r="R651" i="18"/>
  <c r="S651" i="18" s="1"/>
  <c r="R652" i="18"/>
  <c r="S652" i="18" s="1"/>
  <c r="R653" i="18"/>
  <c r="S653" i="18" s="1"/>
  <c r="R654" i="18"/>
  <c r="S654" i="18" s="1"/>
  <c r="R655" i="18"/>
  <c r="S655" i="18" s="1"/>
  <c r="R656" i="18"/>
  <c r="S656" i="18" s="1"/>
  <c r="R657" i="18"/>
  <c r="S657" i="18" s="1"/>
  <c r="R658" i="18"/>
  <c r="S658" i="18" s="1"/>
  <c r="R659" i="18"/>
  <c r="S659" i="18" s="1"/>
  <c r="R660" i="18"/>
  <c r="S660" i="18" s="1"/>
  <c r="R661" i="18"/>
  <c r="S661" i="18" s="1"/>
  <c r="R662" i="18"/>
  <c r="S662" i="18" s="1"/>
  <c r="R663" i="18"/>
  <c r="S663" i="18" s="1"/>
  <c r="R664" i="18"/>
  <c r="S664" i="18" s="1"/>
  <c r="R665" i="18"/>
  <c r="S665" i="18" s="1"/>
  <c r="R666" i="18"/>
  <c r="S666" i="18" s="1"/>
  <c r="R667" i="18"/>
  <c r="S667" i="18" s="1"/>
  <c r="R668" i="18"/>
  <c r="S668" i="18" s="1"/>
  <c r="R669" i="18"/>
  <c r="S669" i="18" s="1"/>
  <c r="R670" i="18"/>
  <c r="S670" i="18" s="1"/>
  <c r="R671" i="18"/>
  <c r="S671" i="18" s="1"/>
  <c r="R672" i="18"/>
  <c r="S672" i="18" s="1"/>
  <c r="R673" i="18"/>
  <c r="S673" i="18" s="1"/>
  <c r="R674" i="18"/>
  <c r="S674" i="18" s="1"/>
  <c r="R675" i="18"/>
  <c r="S675" i="18" s="1"/>
  <c r="R676" i="18"/>
  <c r="S676" i="18" s="1"/>
  <c r="R677" i="18"/>
  <c r="S677" i="18" s="1"/>
  <c r="R678" i="18"/>
  <c r="S678" i="18" s="1"/>
  <c r="R679" i="18"/>
  <c r="S679" i="18" s="1"/>
  <c r="R680" i="18"/>
  <c r="S680" i="18" s="1"/>
  <c r="R681" i="18"/>
  <c r="S681" i="18" s="1"/>
  <c r="R682" i="18"/>
  <c r="S682" i="18" s="1"/>
  <c r="R683" i="18"/>
  <c r="S683" i="18" s="1"/>
  <c r="R684" i="18"/>
  <c r="S684" i="18" s="1"/>
  <c r="R685" i="18"/>
  <c r="S685" i="18" s="1"/>
  <c r="R686" i="18"/>
  <c r="S686" i="18" s="1"/>
  <c r="R687" i="18"/>
  <c r="S687" i="18" s="1"/>
  <c r="R688" i="18"/>
  <c r="S688" i="18" s="1"/>
  <c r="R689" i="18"/>
  <c r="S689" i="18" s="1"/>
  <c r="R690" i="18"/>
  <c r="S690" i="18" s="1"/>
  <c r="R691" i="18"/>
  <c r="S691" i="18" s="1"/>
  <c r="R692" i="18"/>
  <c r="S692" i="18" s="1"/>
  <c r="R693" i="18"/>
  <c r="S693" i="18" s="1"/>
  <c r="R694" i="18"/>
  <c r="S694" i="18" s="1"/>
  <c r="R695" i="18"/>
  <c r="S695" i="18" s="1"/>
  <c r="R696" i="18"/>
  <c r="S696" i="18" s="1"/>
  <c r="R697" i="18"/>
  <c r="S697" i="18" s="1"/>
  <c r="R698" i="18"/>
  <c r="S698" i="18" s="1"/>
  <c r="R699" i="18"/>
  <c r="S699" i="18" s="1"/>
  <c r="R700" i="18"/>
  <c r="S700" i="18" s="1"/>
  <c r="R701" i="18"/>
  <c r="S701" i="18" s="1"/>
  <c r="R702" i="18"/>
  <c r="S702" i="18" s="1"/>
  <c r="R703" i="18"/>
  <c r="S703" i="18" s="1"/>
  <c r="R704" i="18"/>
  <c r="S704" i="18" s="1"/>
  <c r="R705" i="18"/>
  <c r="S705" i="18" s="1"/>
  <c r="R706" i="18"/>
  <c r="S706" i="18" s="1"/>
  <c r="R707" i="18"/>
  <c r="S707" i="18" s="1"/>
  <c r="R708" i="18"/>
  <c r="S708" i="18" s="1"/>
  <c r="R709" i="18"/>
  <c r="S709" i="18" s="1"/>
  <c r="R710" i="18"/>
  <c r="S710" i="18" s="1"/>
  <c r="R711" i="18"/>
  <c r="S711" i="18" s="1"/>
  <c r="R712" i="18"/>
  <c r="S712" i="18" s="1"/>
  <c r="R713" i="18"/>
  <c r="S713" i="18" s="1"/>
  <c r="R714" i="18"/>
  <c r="S714" i="18" s="1"/>
  <c r="R715" i="18"/>
  <c r="S715" i="18" s="1"/>
  <c r="R716" i="18"/>
  <c r="S716" i="18" s="1"/>
  <c r="R717" i="18"/>
  <c r="S717" i="18" s="1"/>
  <c r="R718" i="18"/>
  <c r="S718" i="18" s="1"/>
  <c r="R719" i="18"/>
  <c r="S719" i="18" s="1"/>
  <c r="R720" i="18"/>
  <c r="S720" i="18" s="1"/>
  <c r="R721" i="18"/>
  <c r="S721" i="18" s="1"/>
  <c r="R722" i="18"/>
  <c r="S722" i="18" s="1"/>
  <c r="R723" i="18"/>
  <c r="S723" i="18" s="1"/>
  <c r="R724" i="18"/>
  <c r="S724" i="18" s="1"/>
  <c r="R725" i="18"/>
  <c r="S725" i="18" s="1"/>
  <c r="R726" i="18"/>
  <c r="S726" i="18" s="1"/>
  <c r="R727" i="18"/>
  <c r="S727" i="18" s="1"/>
  <c r="R728" i="18"/>
  <c r="S728" i="18" s="1"/>
  <c r="R729" i="18"/>
  <c r="S729" i="18" s="1"/>
  <c r="R730" i="18"/>
  <c r="S730" i="18" s="1"/>
  <c r="R731" i="18"/>
  <c r="S731" i="18" s="1"/>
  <c r="R732" i="18"/>
  <c r="S732" i="18" s="1"/>
  <c r="R733" i="18"/>
  <c r="S733" i="18" s="1"/>
  <c r="R734" i="18"/>
  <c r="S734" i="18" s="1"/>
  <c r="R735" i="18"/>
  <c r="S735" i="18" s="1"/>
  <c r="R736" i="18"/>
  <c r="S736" i="18" s="1"/>
  <c r="R737" i="18"/>
  <c r="S737" i="18" s="1"/>
  <c r="R738" i="18"/>
  <c r="S738" i="18" s="1"/>
  <c r="R739" i="18"/>
  <c r="S739" i="18" s="1"/>
  <c r="R740" i="18"/>
  <c r="S740" i="18" s="1"/>
  <c r="R741" i="18"/>
  <c r="S741" i="18" s="1"/>
  <c r="R742" i="18"/>
  <c r="S742" i="18" s="1"/>
  <c r="R743" i="18"/>
  <c r="S743" i="18" s="1"/>
  <c r="R744" i="18"/>
  <c r="S744" i="18" s="1"/>
  <c r="R745" i="18"/>
  <c r="S745" i="18" s="1"/>
  <c r="R746" i="18"/>
  <c r="S746" i="18" s="1"/>
  <c r="R747" i="18"/>
  <c r="S747" i="18" s="1"/>
  <c r="R748" i="18"/>
  <c r="S748" i="18" s="1"/>
  <c r="R749" i="18"/>
  <c r="S749" i="18" s="1"/>
  <c r="R750" i="18"/>
  <c r="S750" i="18" s="1"/>
  <c r="R751" i="18"/>
  <c r="S751" i="18" s="1"/>
  <c r="R752" i="18"/>
  <c r="S752" i="18" s="1"/>
  <c r="R753" i="18"/>
  <c r="S753" i="18" s="1"/>
  <c r="R754" i="18"/>
  <c r="S754" i="18" s="1"/>
  <c r="R755" i="18"/>
  <c r="S755" i="18" s="1"/>
  <c r="R756" i="18"/>
  <c r="S756" i="18" s="1"/>
  <c r="R757" i="18"/>
  <c r="S757" i="18" s="1"/>
  <c r="R758" i="18"/>
  <c r="S758" i="18" s="1"/>
  <c r="R759" i="18"/>
  <c r="S759" i="18" s="1"/>
  <c r="R760" i="18"/>
  <c r="S760" i="18" s="1"/>
  <c r="R761" i="18"/>
  <c r="S761" i="18" s="1"/>
  <c r="R762" i="18"/>
  <c r="S762" i="18" s="1"/>
  <c r="R763" i="18"/>
  <c r="S763" i="18" s="1"/>
  <c r="R764" i="18"/>
  <c r="S764" i="18" s="1"/>
  <c r="R765" i="18"/>
  <c r="S765" i="18" s="1"/>
  <c r="R766" i="18"/>
  <c r="S766" i="18" s="1"/>
  <c r="R767" i="18"/>
  <c r="S767" i="18" s="1"/>
  <c r="R768" i="18"/>
  <c r="S768" i="18" s="1"/>
  <c r="R769" i="18"/>
  <c r="S769" i="18" s="1"/>
  <c r="R770" i="18"/>
  <c r="S770" i="18" s="1"/>
  <c r="R771" i="18"/>
  <c r="S771" i="18" s="1"/>
  <c r="R772" i="18"/>
  <c r="S772" i="18" s="1"/>
  <c r="R773" i="18"/>
  <c r="S773" i="18" s="1"/>
  <c r="R774" i="18"/>
  <c r="S774" i="18" s="1"/>
  <c r="R775" i="18"/>
  <c r="S775" i="18" s="1"/>
  <c r="R776" i="18"/>
  <c r="S776" i="18" s="1"/>
  <c r="R777" i="18"/>
  <c r="S777" i="18" s="1"/>
  <c r="R778" i="18"/>
  <c r="S778" i="18" s="1"/>
  <c r="R779" i="18"/>
  <c r="S779" i="18" s="1"/>
  <c r="R780" i="18"/>
  <c r="S780" i="18" s="1"/>
  <c r="R781" i="18"/>
  <c r="S781" i="18" s="1"/>
  <c r="R782" i="18"/>
  <c r="S782" i="18" s="1"/>
  <c r="R783" i="18"/>
  <c r="S783" i="18" s="1"/>
  <c r="R784" i="18"/>
  <c r="S784" i="18" s="1"/>
  <c r="R785" i="18"/>
  <c r="S785" i="18" s="1"/>
  <c r="R786" i="18"/>
  <c r="S786" i="18" s="1"/>
  <c r="R787" i="18"/>
  <c r="S787" i="18" s="1"/>
  <c r="R788" i="18"/>
  <c r="S788" i="18" s="1"/>
  <c r="R789" i="18"/>
  <c r="S789" i="18" s="1"/>
  <c r="R790" i="18"/>
  <c r="S790" i="18" s="1"/>
  <c r="R791" i="18"/>
  <c r="S791" i="18" s="1"/>
  <c r="R792" i="18"/>
  <c r="S792" i="18" s="1"/>
  <c r="R793" i="18"/>
  <c r="S793" i="18" s="1"/>
  <c r="R794" i="18"/>
  <c r="S794" i="18" s="1"/>
  <c r="R795" i="18"/>
  <c r="S795" i="18" s="1"/>
  <c r="R796" i="18"/>
  <c r="S796" i="18" s="1"/>
  <c r="R797" i="18"/>
  <c r="S797" i="18" s="1"/>
  <c r="R798" i="18"/>
  <c r="S798" i="18" s="1"/>
  <c r="R799" i="18"/>
  <c r="S799" i="18" s="1"/>
  <c r="R800" i="18"/>
  <c r="S800" i="18" s="1"/>
  <c r="R801" i="18"/>
  <c r="S801" i="18" s="1"/>
  <c r="R802" i="18"/>
  <c r="S802" i="18" s="1"/>
  <c r="R803" i="18"/>
  <c r="S803" i="18" s="1"/>
  <c r="R804" i="18"/>
  <c r="S804" i="18" s="1"/>
  <c r="R805" i="18"/>
  <c r="S805" i="18" s="1"/>
  <c r="R806" i="18"/>
  <c r="S806" i="18" s="1"/>
  <c r="R807" i="18"/>
  <c r="S807" i="18" s="1"/>
  <c r="R808" i="18"/>
  <c r="S808" i="18" s="1"/>
  <c r="R809" i="18"/>
  <c r="S809" i="18" s="1"/>
  <c r="R810" i="18"/>
  <c r="S810" i="18" s="1"/>
  <c r="R811" i="18"/>
  <c r="S811" i="18" s="1"/>
  <c r="R812" i="18"/>
  <c r="S812" i="18" s="1"/>
  <c r="R813" i="18"/>
  <c r="S813" i="18" s="1"/>
  <c r="R814" i="18"/>
  <c r="S814" i="18" s="1"/>
  <c r="R815" i="18"/>
  <c r="S815" i="18" s="1"/>
  <c r="R816" i="18"/>
  <c r="S816" i="18" s="1"/>
  <c r="R817" i="18"/>
  <c r="S817" i="18" s="1"/>
  <c r="R818" i="18"/>
  <c r="S818" i="18" s="1"/>
  <c r="R819" i="18"/>
  <c r="S819" i="18" s="1"/>
  <c r="R820" i="18"/>
  <c r="S820" i="18" s="1"/>
  <c r="R821" i="18"/>
  <c r="S821" i="18" s="1"/>
  <c r="R822" i="18"/>
  <c r="S822" i="18" s="1"/>
  <c r="R823" i="18"/>
  <c r="S823" i="18" s="1"/>
  <c r="R824" i="18"/>
  <c r="S824" i="18" s="1"/>
  <c r="R825" i="18"/>
  <c r="S825" i="18" s="1"/>
  <c r="R826" i="18"/>
  <c r="S826" i="18" s="1"/>
  <c r="R827" i="18"/>
  <c r="S827" i="18" s="1"/>
  <c r="R828" i="18"/>
  <c r="S828" i="18" s="1"/>
  <c r="R829" i="18"/>
  <c r="S829" i="18" s="1"/>
  <c r="R830" i="18"/>
  <c r="S830" i="18" s="1"/>
  <c r="R831" i="18"/>
  <c r="S831" i="18" s="1"/>
  <c r="R832" i="18"/>
  <c r="S832" i="18" s="1"/>
  <c r="R833" i="18"/>
  <c r="S833" i="18" s="1"/>
  <c r="R834" i="18"/>
  <c r="S834" i="18" s="1"/>
  <c r="R835" i="18"/>
  <c r="S835" i="18" s="1"/>
  <c r="R836" i="18"/>
  <c r="S836" i="18" s="1"/>
  <c r="R837" i="18"/>
  <c r="S837" i="18" s="1"/>
  <c r="R838" i="18"/>
  <c r="S838" i="18" s="1"/>
  <c r="R839" i="18"/>
  <c r="S839" i="18" s="1"/>
  <c r="R840" i="18"/>
  <c r="S840" i="18" s="1"/>
  <c r="R841" i="18"/>
  <c r="S841" i="18" s="1"/>
  <c r="R842" i="18"/>
  <c r="S842" i="18" s="1"/>
  <c r="R843" i="18"/>
  <c r="S843" i="18" s="1"/>
  <c r="R844" i="18"/>
  <c r="S844" i="18" s="1"/>
  <c r="R845" i="18"/>
  <c r="S845" i="18" s="1"/>
  <c r="R846" i="18"/>
  <c r="S846" i="18" s="1"/>
  <c r="R847" i="18"/>
  <c r="S847" i="18" s="1"/>
  <c r="R848" i="18"/>
  <c r="S848" i="18" s="1"/>
  <c r="R849" i="18"/>
  <c r="S849" i="18" s="1"/>
  <c r="R850" i="18"/>
  <c r="S850" i="18" s="1"/>
  <c r="R851" i="18"/>
  <c r="S851" i="18" s="1"/>
  <c r="R852" i="18"/>
  <c r="S852" i="18" s="1"/>
  <c r="R853" i="18"/>
  <c r="S853" i="18" s="1"/>
  <c r="R854" i="18"/>
  <c r="S854" i="18" s="1"/>
  <c r="R855" i="18"/>
  <c r="S855" i="18" s="1"/>
  <c r="R856" i="18"/>
  <c r="S856" i="18" s="1"/>
  <c r="R857" i="18"/>
  <c r="S857" i="18" s="1"/>
  <c r="R858" i="18"/>
  <c r="S858" i="18" s="1"/>
  <c r="R859" i="18"/>
  <c r="S859" i="18" s="1"/>
  <c r="R860" i="18"/>
  <c r="S860" i="18" s="1"/>
  <c r="R861" i="18"/>
  <c r="S861" i="18" s="1"/>
  <c r="R862" i="18"/>
  <c r="S862" i="18" s="1"/>
  <c r="R863" i="18"/>
  <c r="S863" i="18" s="1"/>
  <c r="R864" i="18"/>
  <c r="S864" i="18" s="1"/>
  <c r="R865" i="18"/>
  <c r="S865" i="18" s="1"/>
  <c r="R866" i="18"/>
  <c r="S866" i="18" s="1"/>
  <c r="R867" i="18"/>
  <c r="S867" i="18" s="1"/>
  <c r="R868" i="18"/>
  <c r="S868" i="18" s="1"/>
  <c r="R869" i="18"/>
  <c r="S869" i="18" s="1"/>
  <c r="R870" i="18"/>
  <c r="S870" i="18" s="1"/>
  <c r="R871" i="18"/>
  <c r="S871" i="18" s="1"/>
  <c r="R872" i="18"/>
  <c r="S872" i="18" s="1"/>
  <c r="R873" i="18"/>
  <c r="S873" i="18" s="1"/>
  <c r="R874" i="18"/>
  <c r="S874" i="18" s="1"/>
  <c r="R875" i="18"/>
  <c r="S875" i="18" s="1"/>
  <c r="R876" i="18"/>
  <c r="S876" i="18" s="1"/>
  <c r="R877" i="18"/>
  <c r="S877" i="18" s="1"/>
  <c r="R878" i="18"/>
  <c r="S878" i="18" s="1"/>
  <c r="R879" i="18"/>
  <c r="S879" i="18" s="1"/>
  <c r="R880" i="18"/>
  <c r="S880" i="18" s="1"/>
  <c r="R881" i="18"/>
  <c r="S881" i="18" s="1"/>
  <c r="R882" i="18"/>
  <c r="S882" i="18" s="1"/>
  <c r="R883" i="18"/>
  <c r="S883" i="18" s="1"/>
  <c r="R884" i="18"/>
  <c r="S884" i="18" s="1"/>
  <c r="R885" i="18"/>
  <c r="S885" i="18" s="1"/>
  <c r="R886" i="18"/>
  <c r="S886" i="18" s="1"/>
  <c r="R887" i="18"/>
  <c r="S887" i="18" s="1"/>
  <c r="R888" i="18"/>
  <c r="S888" i="18" s="1"/>
  <c r="R889" i="18"/>
  <c r="S889" i="18" s="1"/>
  <c r="R890" i="18"/>
  <c r="S890" i="18" s="1"/>
  <c r="R891" i="18"/>
  <c r="S891" i="18" s="1"/>
  <c r="R892" i="18"/>
  <c r="S892" i="18" s="1"/>
  <c r="R893" i="18"/>
  <c r="S893" i="18" s="1"/>
  <c r="R894" i="18"/>
  <c r="S894" i="18" s="1"/>
  <c r="R895" i="18"/>
  <c r="S895" i="18" s="1"/>
  <c r="R896" i="18"/>
  <c r="S896" i="18" s="1"/>
  <c r="R897" i="18"/>
  <c r="S897" i="18" s="1"/>
  <c r="R898" i="18"/>
  <c r="S898" i="18" s="1"/>
  <c r="R899" i="18"/>
  <c r="S899" i="18" s="1"/>
  <c r="R900" i="18"/>
  <c r="S900" i="18" s="1"/>
  <c r="R901" i="18"/>
  <c r="S901" i="18" s="1"/>
  <c r="R902" i="18"/>
  <c r="S902" i="18" s="1"/>
  <c r="R903" i="18"/>
  <c r="S903" i="18" s="1"/>
  <c r="R904" i="18"/>
  <c r="S904" i="18" s="1"/>
  <c r="R905" i="18"/>
  <c r="S905" i="18" s="1"/>
  <c r="R906" i="18"/>
  <c r="S906" i="18" s="1"/>
  <c r="R907" i="18"/>
  <c r="S907" i="18" s="1"/>
  <c r="R908" i="18"/>
  <c r="S908" i="18" s="1"/>
  <c r="R909" i="18"/>
  <c r="S909" i="18" s="1"/>
  <c r="R910" i="18"/>
  <c r="S910" i="18" s="1"/>
  <c r="R911" i="18"/>
  <c r="S911" i="18" s="1"/>
  <c r="R912" i="18"/>
  <c r="S912" i="18" s="1"/>
  <c r="R913" i="18"/>
  <c r="S913" i="18" s="1"/>
  <c r="R914" i="18"/>
  <c r="S914" i="18" s="1"/>
  <c r="R915" i="18"/>
  <c r="S915" i="18" s="1"/>
  <c r="R916" i="18"/>
  <c r="S916" i="18" s="1"/>
  <c r="R917" i="18"/>
  <c r="S917" i="18" s="1"/>
  <c r="R918" i="18"/>
  <c r="S918" i="18" s="1"/>
  <c r="R919" i="18"/>
  <c r="S919" i="18" s="1"/>
  <c r="R920" i="18"/>
  <c r="S920" i="18" s="1"/>
  <c r="R921" i="18"/>
  <c r="S921" i="18" s="1"/>
  <c r="R922" i="18"/>
  <c r="S922" i="18" s="1"/>
  <c r="R923" i="18"/>
  <c r="S923" i="18" s="1"/>
  <c r="R924" i="18"/>
  <c r="S924" i="18" s="1"/>
  <c r="R925" i="18"/>
  <c r="S925" i="18" s="1"/>
  <c r="R926" i="18"/>
  <c r="S926" i="18" s="1"/>
  <c r="R927" i="18"/>
  <c r="S927" i="18" s="1"/>
  <c r="R928" i="18"/>
  <c r="S928" i="18" s="1"/>
  <c r="R929" i="18"/>
  <c r="S929" i="18" s="1"/>
  <c r="R930" i="18"/>
  <c r="S930" i="18" s="1"/>
  <c r="R931" i="18"/>
  <c r="S931" i="18" s="1"/>
  <c r="R932" i="18"/>
  <c r="S932" i="18" s="1"/>
  <c r="R933" i="18"/>
  <c r="S933" i="18" s="1"/>
  <c r="R934" i="18"/>
  <c r="S934" i="18" s="1"/>
  <c r="R935" i="18"/>
  <c r="S935" i="18" s="1"/>
  <c r="R936" i="18"/>
  <c r="S936" i="18" s="1"/>
  <c r="R937" i="18"/>
  <c r="S937" i="18" s="1"/>
  <c r="BC27" i="14"/>
  <c r="BC25" i="14"/>
  <c r="BC23" i="14"/>
  <c r="BC21" i="14"/>
  <c r="BC19" i="14"/>
  <c r="BB27" i="14"/>
  <c r="BB25" i="14"/>
  <c r="BB23" i="14"/>
  <c r="BB21" i="14"/>
  <c r="BB19" i="14"/>
  <c r="BC14" i="14"/>
  <c r="BC12" i="14"/>
  <c r="BC10" i="14"/>
  <c r="BC8" i="14"/>
  <c r="BC6" i="14"/>
  <c r="BS17" i="14" l="1"/>
  <c r="BS15" i="14"/>
  <c r="BK52" i="14"/>
  <c r="BK53" i="14" s="1"/>
  <c r="BK37" i="14"/>
  <c r="BK38" i="14" s="1"/>
  <c r="BJ37" i="14"/>
  <c r="BJ39" i="14" s="1"/>
  <c r="BJ40" i="14" s="1"/>
  <c r="BK16" i="14"/>
  <c r="BK18" i="14" s="1"/>
  <c r="BK19" i="14" s="1"/>
  <c r="BJ16" i="14"/>
  <c r="BJ17" i="14" s="1"/>
  <c r="BJ52" i="14"/>
  <c r="BL14" i="14"/>
  <c r="BL35" i="14"/>
  <c r="BL50" i="14"/>
  <c r="BK51" i="14"/>
  <c r="BL6" i="14"/>
  <c r="BK29" i="14"/>
  <c r="BJ8" i="14"/>
  <c r="BJ9" i="14" s="1"/>
  <c r="BK46" i="14"/>
  <c r="BK8" i="14"/>
  <c r="BJ46" i="14"/>
  <c r="BK7" i="14"/>
  <c r="BL27" i="14"/>
  <c r="BJ29" i="14"/>
  <c r="BJ31" i="14" s="1"/>
  <c r="BJ32" i="14" s="1"/>
  <c r="BK39" i="14"/>
  <c r="BK40" i="14" s="1"/>
  <c r="BK15" i="14"/>
  <c r="BK28" i="14"/>
  <c r="BK36" i="14"/>
  <c r="BB14" i="14"/>
  <c r="BB12" i="14"/>
  <c r="BB10" i="14"/>
  <c r="BB8" i="14"/>
  <c r="BB6" i="14"/>
  <c r="AD25" i="38"/>
  <c r="AC28" i="38"/>
  <c r="AB28" i="38"/>
  <c r="AA71" i="38"/>
  <c r="Z81" i="38"/>
  <c r="W25" i="38"/>
  <c r="V28" i="38"/>
  <c r="U29" i="38"/>
  <c r="T72" i="38"/>
  <c r="S81" i="38"/>
  <c r="O5" i="38"/>
  <c r="O6" i="38"/>
  <c r="O7" i="38"/>
  <c r="O8" i="38"/>
  <c r="O9" i="38"/>
  <c r="O10" i="38"/>
  <c r="O11" i="38"/>
  <c r="O12" i="38"/>
  <c r="O13" i="38"/>
  <c r="O14" i="38"/>
  <c r="O15" i="38"/>
  <c r="O16" i="38"/>
  <c r="O17" i="38"/>
  <c r="O18" i="38"/>
  <c r="O19" i="38"/>
  <c r="O20" i="38"/>
  <c r="O21" i="38"/>
  <c r="O4" i="38"/>
  <c r="BL52" i="14" l="1"/>
  <c r="BK17" i="14"/>
  <c r="BK54" i="14"/>
  <c r="BK55" i="14" s="1"/>
  <c r="BL37" i="14"/>
  <c r="BL16" i="14"/>
  <c r="BJ18" i="14"/>
  <c r="BJ19" i="14" s="1"/>
  <c r="BL39" i="14"/>
  <c r="BL8" i="14"/>
  <c r="O22" i="38"/>
  <c r="BJ54" i="14"/>
  <c r="BJ53" i="14"/>
  <c r="BJ38" i="14"/>
  <c r="BK9" i="14"/>
  <c r="BJ10" i="14"/>
  <c r="BJ11" i="14" s="1"/>
  <c r="BL29" i="14"/>
  <c r="BJ30" i="14"/>
  <c r="BK30" i="14"/>
  <c r="BK10" i="14"/>
  <c r="BK31" i="14"/>
  <c r="BL31" i="14" s="1"/>
  <c r="BJ47" i="14"/>
  <c r="BL46" i="14"/>
  <c r="BK47" i="14"/>
  <c r="Q6" i="18"/>
  <c r="Q7" i="18"/>
  <c r="Q8" i="18"/>
  <c r="Q9" i="18"/>
  <c r="Q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Q102" i="18"/>
  <c r="Q103" i="18"/>
  <c r="Q104" i="18"/>
  <c r="Q105" i="18"/>
  <c r="Q106" i="18"/>
  <c r="Q107" i="18"/>
  <c r="Q108" i="18"/>
  <c r="Q109" i="18"/>
  <c r="Q110" i="18"/>
  <c r="Q111" i="18"/>
  <c r="Q112" i="18"/>
  <c r="Q113" i="18"/>
  <c r="Q114" i="18"/>
  <c r="Q115" i="18"/>
  <c r="Q116" i="18"/>
  <c r="Q117" i="18"/>
  <c r="Q118" i="18"/>
  <c r="Q119" i="18"/>
  <c r="Q120" i="18"/>
  <c r="Q121" i="18"/>
  <c r="Q122" i="18"/>
  <c r="Q123" i="18"/>
  <c r="Q124" i="18"/>
  <c r="Q125" i="18"/>
  <c r="Q126" i="18"/>
  <c r="Q127" i="18"/>
  <c r="Q128" i="18"/>
  <c r="Q129" i="18"/>
  <c r="Q130" i="18"/>
  <c r="Q131" i="18"/>
  <c r="Q132" i="18"/>
  <c r="Q133" i="18"/>
  <c r="Q134" i="18"/>
  <c r="Q135" i="18"/>
  <c r="Q136" i="18"/>
  <c r="Q137" i="18"/>
  <c r="Q138" i="18"/>
  <c r="Q139" i="18"/>
  <c r="Q140" i="18"/>
  <c r="Q141" i="18"/>
  <c r="Q142" i="18"/>
  <c r="Q143" i="18"/>
  <c r="Q144" i="18"/>
  <c r="Q145" i="18"/>
  <c r="Q146" i="18"/>
  <c r="Q147" i="18"/>
  <c r="Q148" i="18"/>
  <c r="Q149" i="18"/>
  <c r="Q150" i="18"/>
  <c r="Q151" i="18"/>
  <c r="Q152" i="18"/>
  <c r="Q153" i="18"/>
  <c r="Q154" i="18"/>
  <c r="Q155" i="18"/>
  <c r="Q156" i="18"/>
  <c r="Q157" i="18"/>
  <c r="Q158" i="18"/>
  <c r="Q159" i="18"/>
  <c r="Q160" i="18"/>
  <c r="Q161" i="18"/>
  <c r="Q162" i="18"/>
  <c r="Q163" i="18"/>
  <c r="Q164" i="18"/>
  <c r="Q165" i="18"/>
  <c r="Q166" i="18"/>
  <c r="Q167" i="18"/>
  <c r="Q168" i="18"/>
  <c r="Q169" i="18"/>
  <c r="Q170" i="18"/>
  <c r="Q171" i="18"/>
  <c r="Q172" i="18"/>
  <c r="Q173" i="18"/>
  <c r="Q174" i="18"/>
  <c r="Q175" i="18"/>
  <c r="Q176" i="18"/>
  <c r="Q177" i="18"/>
  <c r="Q178" i="18"/>
  <c r="Q179" i="18"/>
  <c r="Q180" i="18"/>
  <c r="Q181" i="18"/>
  <c r="Q182" i="18"/>
  <c r="Q183" i="18"/>
  <c r="Q184" i="18"/>
  <c r="Q185" i="18"/>
  <c r="Q186" i="18"/>
  <c r="Q187" i="18"/>
  <c r="Q188" i="18"/>
  <c r="Q189" i="18"/>
  <c r="Q190" i="18"/>
  <c r="Q191" i="18"/>
  <c r="Q192" i="18"/>
  <c r="Q193" i="18"/>
  <c r="Q194" i="18"/>
  <c r="Q195" i="18"/>
  <c r="Q196" i="18"/>
  <c r="Q197" i="18"/>
  <c r="Q198" i="18"/>
  <c r="Q199" i="18"/>
  <c r="Q200" i="18"/>
  <c r="Q201" i="18"/>
  <c r="Q202" i="18"/>
  <c r="Q203" i="18"/>
  <c r="Q204" i="18"/>
  <c r="Q205" i="18"/>
  <c r="Q206" i="18"/>
  <c r="Q207" i="18"/>
  <c r="Q208" i="18"/>
  <c r="Q209" i="18"/>
  <c r="Q210" i="18"/>
  <c r="Q211" i="18"/>
  <c r="Q212" i="18"/>
  <c r="Q213" i="18"/>
  <c r="Q214" i="18"/>
  <c r="Q215" i="18"/>
  <c r="Q216" i="18"/>
  <c r="Q217" i="18"/>
  <c r="Q218" i="18"/>
  <c r="Q219" i="18"/>
  <c r="Q220" i="18"/>
  <c r="Q221" i="18"/>
  <c r="Q222" i="18"/>
  <c r="Q223" i="18"/>
  <c r="Q224" i="18"/>
  <c r="Q225" i="18"/>
  <c r="Q226" i="18"/>
  <c r="Q227" i="18"/>
  <c r="Q228" i="18"/>
  <c r="Q229" i="18"/>
  <c r="Q230" i="18"/>
  <c r="Q231" i="18"/>
  <c r="Q232" i="18"/>
  <c r="Q233" i="18"/>
  <c r="Q234" i="18"/>
  <c r="Q235" i="18"/>
  <c r="Q236" i="18"/>
  <c r="Q237" i="18"/>
  <c r="Q238" i="18"/>
  <c r="Q239" i="18"/>
  <c r="Q240" i="18"/>
  <c r="Q241" i="18"/>
  <c r="Q242" i="18"/>
  <c r="Q243" i="18"/>
  <c r="Q244" i="18"/>
  <c r="Q245" i="18"/>
  <c r="Q246" i="18"/>
  <c r="Q247" i="18"/>
  <c r="Q248" i="18"/>
  <c r="Q249" i="18"/>
  <c r="Q250" i="18"/>
  <c r="Q251" i="18"/>
  <c r="Q252" i="18"/>
  <c r="Q253" i="18"/>
  <c r="Q254" i="18"/>
  <c r="Q255" i="18"/>
  <c r="Q256" i="18"/>
  <c r="Q257" i="18"/>
  <c r="Q258" i="18"/>
  <c r="Q259" i="18"/>
  <c r="Q260" i="18"/>
  <c r="Q261" i="18"/>
  <c r="Q262" i="18"/>
  <c r="Q263" i="18"/>
  <c r="Q264" i="18"/>
  <c r="Q265" i="18"/>
  <c r="Q266" i="18"/>
  <c r="Q267" i="18"/>
  <c r="Q268" i="18"/>
  <c r="Q269" i="18"/>
  <c r="Q270" i="18"/>
  <c r="Q271" i="18"/>
  <c r="Q272" i="18"/>
  <c r="Q273" i="18"/>
  <c r="Q274" i="18"/>
  <c r="Q275" i="18"/>
  <c r="Q276" i="18"/>
  <c r="Q277" i="18"/>
  <c r="Q278" i="18"/>
  <c r="Q279" i="18"/>
  <c r="Q280" i="18"/>
  <c r="Q281" i="18"/>
  <c r="Q282" i="18"/>
  <c r="Q283" i="18"/>
  <c r="Q284" i="18"/>
  <c r="Q285" i="18"/>
  <c r="Q286" i="18"/>
  <c r="Q287" i="18"/>
  <c r="Q288" i="18"/>
  <c r="Q289" i="18"/>
  <c r="Q290" i="18"/>
  <c r="Q291" i="18"/>
  <c r="Q292" i="18"/>
  <c r="Q293" i="18"/>
  <c r="Q294" i="18"/>
  <c r="Q295" i="18"/>
  <c r="Q296" i="18"/>
  <c r="Q297" i="18"/>
  <c r="Q298" i="18"/>
  <c r="Q299" i="18"/>
  <c r="Q300" i="18"/>
  <c r="Q301" i="18"/>
  <c r="Q302" i="18"/>
  <c r="Q303" i="18"/>
  <c r="Q304" i="18"/>
  <c r="Q305" i="18"/>
  <c r="Q306" i="18"/>
  <c r="Q307" i="18"/>
  <c r="Q308" i="18"/>
  <c r="Q309" i="18"/>
  <c r="Q310" i="18"/>
  <c r="Q311" i="18"/>
  <c r="Q312" i="18"/>
  <c r="Q313" i="18"/>
  <c r="Q314" i="18"/>
  <c r="Q315" i="18"/>
  <c r="Q316" i="18"/>
  <c r="Q317" i="18"/>
  <c r="Q318" i="18"/>
  <c r="Q319" i="18"/>
  <c r="Q320" i="18"/>
  <c r="Q321" i="18"/>
  <c r="Q322" i="18"/>
  <c r="Q323" i="18"/>
  <c r="Q324" i="18"/>
  <c r="Q325" i="18"/>
  <c r="Q326" i="18"/>
  <c r="Q327" i="18"/>
  <c r="Q328" i="18"/>
  <c r="Q329" i="18"/>
  <c r="Q330" i="18"/>
  <c r="Q331" i="18"/>
  <c r="Q332" i="18"/>
  <c r="Q333" i="18"/>
  <c r="Q334" i="18"/>
  <c r="Q335" i="18"/>
  <c r="Q336" i="18"/>
  <c r="Q337" i="18"/>
  <c r="Q338" i="18"/>
  <c r="Q339" i="18"/>
  <c r="Q340" i="18"/>
  <c r="Q341" i="18"/>
  <c r="Q342" i="18"/>
  <c r="Q343" i="18"/>
  <c r="Q344" i="18"/>
  <c r="Q345" i="18"/>
  <c r="Q346" i="18"/>
  <c r="Q347" i="18"/>
  <c r="Q348" i="18"/>
  <c r="Q349" i="18"/>
  <c r="Q350" i="18"/>
  <c r="Q351" i="18"/>
  <c r="Q352" i="18"/>
  <c r="Q353" i="18"/>
  <c r="Q354" i="18"/>
  <c r="Q355" i="18"/>
  <c r="Q356" i="18"/>
  <c r="Q357" i="18"/>
  <c r="Q358" i="18"/>
  <c r="Q359" i="18"/>
  <c r="Q360" i="18"/>
  <c r="Q361" i="18"/>
  <c r="Q362" i="18"/>
  <c r="Q363" i="18"/>
  <c r="Q364" i="18"/>
  <c r="Q365" i="18"/>
  <c r="Q366" i="18"/>
  <c r="Q367" i="18"/>
  <c r="Q368" i="18"/>
  <c r="Q369" i="18"/>
  <c r="Q370" i="18"/>
  <c r="Q371" i="18"/>
  <c r="Q372" i="18"/>
  <c r="Q373" i="18"/>
  <c r="Q374" i="18"/>
  <c r="Q375" i="18"/>
  <c r="Q376" i="18"/>
  <c r="Q377" i="18"/>
  <c r="Q378" i="18"/>
  <c r="Q379" i="18"/>
  <c r="Q380" i="18"/>
  <c r="Q381" i="18"/>
  <c r="Q382" i="18"/>
  <c r="Q383" i="18"/>
  <c r="Q384" i="18"/>
  <c r="Q385" i="18"/>
  <c r="Q386" i="18"/>
  <c r="Q387" i="18"/>
  <c r="Q388" i="18"/>
  <c r="Q389" i="18"/>
  <c r="Q390" i="18"/>
  <c r="Q391" i="18"/>
  <c r="Q392" i="18"/>
  <c r="Q393" i="18"/>
  <c r="Q394" i="18"/>
  <c r="Q395" i="18"/>
  <c r="Q396" i="18"/>
  <c r="Q397" i="18"/>
  <c r="Q398" i="18"/>
  <c r="Q399" i="18"/>
  <c r="Q400" i="18"/>
  <c r="Q401" i="18"/>
  <c r="Q402" i="18"/>
  <c r="Q403" i="18"/>
  <c r="Q404" i="18"/>
  <c r="Q405" i="18"/>
  <c r="Q406" i="18"/>
  <c r="Q407" i="18"/>
  <c r="Q408" i="18"/>
  <c r="Q409" i="18"/>
  <c r="Q410" i="18"/>
  <c r="Q411" i="18"/>
  <c r="Q412" i="18"/>
  <c r="Q413" i="18"/>
  <c r="Q414" i="18"/>
  <c r="Q415" i="18"/>
  <c r="Q416" i="18"/>
  <c r="Q417" i="18"/>
  <c r="Q418" i="18"/>
  <c r="Q419" i="18"/>
  <c r="Q420" i="18"/>
  <c r="Q421" i="18"/>
  <c r="Q422" i="18"/>
  <c r="Q423" i="18"/>
  <c r="Q424" i="18"/>
  <c r="Q425" i="18"/>
  <c r="Q426" i="18"/>
  <c r="Q427" i="18"/>
  <c r="Q428" i="18"/>
  <c r="Q429" i="18"/>
  <c r="Q430" i="18"/>
  <c r="Q431" i="18"/>
  <c r="Q432" i="18"/>
  <c r="Q433" i="18"/>
  <c r="Q434" i="18"/>
  <c r="Q435" i="18"/>
  <c r="Q436" i="18"/>
  <c r="Q437" i="18"/>
  <c r="Q438" i="18"/>
  <c r="Q439" i="18"/>
  <c r="Q440" i="18"/>
  <c r="Q441" i="18"/>
  <c r="Q442" i="18"/>
  <c r="Q443" i="18"/>
  <c r="Q444" i="18"/>
  <c r="Q445" i="18"/>
  <c r="Q446" i="18"/>
  <c r="Q447" i="18"/>
  <c r="Q448" i="18"/>
  <c r="Q449" i="18"/>
  <c r="Q450" i="18"/>
  <c r="Q451" i="18"/>
  <c r="Q452" i="18"/>
  <c r="Q453" i="18"/>
  <c r="Q454" i="18"/>
  <c r="Q455" i="18"/>
  <c r="Q456" i="18"/>
  <c r="Q457" i="18"/>
  <c r="Q458" i="18"/>
  <c r="Q459" i="18"/>
  <c r="Q460" i="18"/>
  <c r="Q461" i="18"/>
  <c r="Q462" i="18"/>
  <c r="Q463" i="18"/>
  <c r="Q464" i="18"/>
  <c r="Q465" i="18"/>
  <c r="Q466" i="18"/>
  <c r="Q467" i="18"/>
  <c r="Q468" i="18"/>
  <c r="Q469" i="18"/>
  <c r="Q470" i="18"/>
  <c r="Q471" i="18"/>
  <c r="Q472" i="18"/>
  <c r="Q473" i="18"/>
  <c r="Q474" i="18"/>
  <c r="Q475" i="18"/>
  <c r="Q476" i="18"/>
  <c r="Q477" i="18"/>
  <c r="Q478" i="18"/>
  <c r="Q479" i="18"/>
  <c r="Q480" i="18"/>
  <c r="Q481" i="18"/>
  <c r="Q482" i="18"/>
  <c r="Q483" i="18"/>
  <c r="Q484" i="18"/>
  <c r="Q485" i="18"/>
  <c r="Q486" i="18"/>
  <c r="Q487" i="18"/>
  <c r="Q488" i="18"/>
  <c r="Q489" i="18"/>
  <c r="Q490" i="18"/>
  <c r="Q491" i="18"/>
  <c r="Q492" i="18"/>
  <c r="Q493" i="18"/>
  <c r="Q494" i="18"/>
  <c r="Q495" i="18"/>
  <c r="Q496" i="18"/>
  <c r="Q497" i="18"/>
  <c r="Q498" i="18"/>
  <c r="Q499" i="18"/>
  <c r="Q500" i="18"/>
  <c r="Q501" i="18"/>
  <c r="Q502" i="18"/>
  <c r="Q503" i="18"/>
  <c r="Q504" i="18"/>
  <c r="Q505" i="18"/>
  <c r="Q506" i="18"/>
  <c r="Q507" i="18"/>
  <c r="Q508" i="18"/>
  <c r="Q509" i="18"/>
  <c r="Q510" i="18"/>
  <c r="Q511" i="18"/>
  <c r="Q512" i="18"/>
  <c r="Q513" i="18"/>
  <c r="Q514" i="18"/>
  <c r="Q515" i="18"/>
  <c r="Q516" i="18"/>
  <c r="Q517" i="18"/>
  <c r="Q518" i="18"/>
  <c r="Q519" i="18"/>
  <c r="Q520" i="18"/>
  <c r="Q521" i="18"/>
  <c r="Q522" i="18"/>
  <c r="Q523" i="18"/>
  <c r="Q524" i="18"/>
  <c r="Q525" i="18"/>
  <c r="Q526" i="18"/>
  <c r="Q527" i="18"/>
  <c r="Q528" i="18"/>
  <c r="Q529" i="18"/>
  <c r="Q530" i="18"/>
  <c r="Q531" i="18"/>
  <c r="Q532" i="18"/>
  <c r="Q533" i="18"/>
  <c r="Q534" i="18"/>
  <c r="Q535" i="18"/>
  <c r="Q536" i="18"/>
  <c r="Q537" i="18"/>
  <c r="Q538" i="18"/>
  <c r="Q539" i="18"/>
  <c r="Q540" i="18"/>
  <c r="Q541" i="18"/>
  <c r="Q542" i="18"/>
  <c r="Q543" i="18"/>
  <c r="Q544" i="18"/>
  <c r="Q545" i="18"/>
  <c r="Q546" i="18"/>
  <c r="Q547" i="18"/>
  <c r="Q548" i="18"/>
  <c r="Q549" i="18"/>
  <c r="Q550" i="18"/>
  <c r="Q551" i="18"/>
  <c r="Q552" i="18"/>
  <c r="Q553" i="18"/>
  <c r="Q554" i="18"/>
  <c r="Q555" i="18"/>
  <c r="Q556" i="18"/>
  <c r="Q557" i="18"/>
  <c r="Q558" i="18"/>
  <c r="Q559" i="18"/>
  <c r="Q560" i="18"/>
  <c r="Q561" i="18"/>
  <c r="Q562" i="18"/>
  <c r="Q563" i="18"/>
  <c r="Q564" i="18"/>
  <c r="Q565" i="18"/>
  <c r="Q566" i="18"/>
  <c r="Q567" i="18"/>
  <c r="Q568" i="18"/>
  <c r="Q569" i="18"/>
  <c r="Q570" i="18"/>
  <c r="Q571" i="18"/>
  <c r="Q572" i="18"/>
  <c r="Q573" i="18"/>
  <c r="Q574" i="18"/>
  <c r="Q575" i="18"/>
  <c r="Q576" i="18"/>
  <c r="Q577" i="18"/>
  <c r="Q578" i="18"/>
  <c r="Q579" i="18"/>
  <c r="Q580" i="18"/>
  <c r="Q581" i="18"/>
  <c r="Q582" i="18"/>
  <c r="Q583" i="18"/>
  <c r="Q584" i="18"/>
  <c r="Q585" i="18"/>
  <c r="Q586" i="18"/>
  <c r="Q587" i="18"/>
  <c r="Q588" i="18"/>
  <c r="Q589" i="18"/>
  <c r="Q590" i="18"/>
  <c r="Q591" i="18"/>
  <c r="Q592" i="18"/>
  <c r="Q593" i="18"/>
  <c r="Q594" i="18"/>
  <c r="Q595" i="18"/>
  <c r="Q596" i="18"/>
  <c r="Q597" i="18"/>
  <c r="Q598" i="18"/>
  <c r="Q599" i="18"/>
  <c r="Q600" i="18"/>
  <c r="Q601" i="18"/>
  <c r="Q602" i="18"/>
  <c r="Q603" i="18"/>
  <c r="Q604" i="18"/>
  <c r="Q605" i="18"/>
  <c r="Q606" i="18"/>
  <c r="Q607" i="18"/>
  <c r="Q608" i="18"/>
  <c r="Q609" i="18"/>
  <c r="Q610" i="18"/>
  <c r="Q611" i="18"/>
  <c r="Q612" i="18"/>
  <c r="Q613" i="18"/>
  <c r="Q614" i="18"/>
  <c r="Q615" i="18"/>
  <c r="Q616" i="18"/>
  <c r="Q617" i="18"/>
  <c r="Q618" i="18"/>
  <c r="Q619" i="18"/>
  <c r="Q620" i="18"/>
  <c r="Q621" i="18"/>
  <c r="Q622" i="18"/>
  <c r="Q623" i="18"/>
  <c r="Q624" i="18"/>
  <c r="Q625" i="18"/>
  <c r="Q626" i="18"/>
  <c r="Q627" i="18"/>
  <c r="Q628" i="18"/>
  <c r="Q629" i="18"/>
  <c r="Q630" i="18"/>
  <c r="Q631" i="18"/>
  <c r="Q632" i="18"/>
  <c r="Q633" i="18"/>
  <c r="Q634" i="18"/>
  <c r="Q635" i="18"/>
  <c r="Q636" i="18"/>
  <c r="Q637" i="18"/>
  <c r="Q638" i="18"/>
  <c r="Q639" i="18"/>
  <c r="Q640" i="18"/>
  <c r="Q641" i="18"/>
  <c r="Q642" i="18"/>
  <c r="Q643" i="18"/>
  <c r="Q644" i="18"/>
  <c r="Q645" i="18"/>
  <c r="Q646" i="18"/>
  <c r="Q647" i="18"/>
  <c r="Q648" i="18"/>
  <c r="Q649" i="18"/>
  <c r="Q650" i="18"/>
  <c r="Q651" i="18"/>
  <c r="Q652" i="18"/>
  <c r="Q653" i="18"/>
  <c r="Q654" i="18"/>
  <c r="Q655" i="18"/>
  <c r="Q656" i="18"/>
  <c r="Q657" i="18"/>
  <c r="Q658" i="18"/>
  <c r="Q659" i="18"/>
  <c r="Q660" i="18"/>
  <c r="Q661" i="18"/>
  <c r="Q662" i="18"/>
  <c r="Q663" i="18"/>
  <c r="Q664" i="18"/>
  <c r="Q665" i="18"/>
  <c r="Q666" i="18"/>
  <c r="Q667" i="18"/>
  <c r="Q668" i="18"/>
  <c r="Q669" i="18"/>
  <c r="Q670" i="18"/>
  <c r="Q671" i="18"/>
  <c r="Q672" i="18"/>
  <c r="Q673" i="18"/>
  <c r="Q674" i="18"/>
  <c r="Q675" i="18"/>
  <c r="Q676" i="18"/>
  <c r="Q677" i="18"/>
  <c r="Q678" i="18"/>
  <c r="Q679" i="18"/>
  <c r="Q680" i="18"/>
  <c r="Q681" i="18"/>
  <c r="Q682" i="18"/>
  <c r="Q683" i="18"/>
  <c r="Q684" i="18"/>
  <c r="Q685" i="18"/>
  <c r="Q686" i="18"/>
  <c r="Q687" i="18"/>
  <c r="Q688" i="18"/>
  <c r="Q689" i="18"/>
  <c r="Q690" i="18"/>
  <c r="Q691" i="18"/>
  <c r="Q692" i="18"/>
  <c r="Q693" i="18"/>
  <c r="Q694" i="18"/>
  <c r="Q695" i="18"/>
  <c r="Q696" i="18"/>
  <c r="Q697" i="18"/>
  <c r="Q698" i="18"/>
  <c r="Q699" i="18"/>
  <c r="Q700" i="18"/>
  <c r="Q701" i="18"/>
  <c r="Q702" i="18"/>
  <c r="Q703" i="18"/>
  <c r="Q704" i="18"/>
  <c r="Q705" i="18"/>
  <c r="Q706" i="18"/>
  <c r="Q707" i="18"/>
  <c r="Q708" i="18"/>
  <c r="Q709" i="18"/>
  <c r="Q710" i="18"/>
  <c r="Q711" i="18"/>
  <c r="Q712" i="18"/>
  <c r="Q713" i="18"/>
  <c r="Q714" i="18"/>
  <c r="Q715" i="18"/>
  <c r="Q716" i="18"/>
  <c r="Q717" i="18"/>
  <c r="Q718" i="18"/>
  <c r="Q719" i="18"/>
  <c r="Q720" i="18"/>
  <c r="Q721" i="18"/>
  <c r="Q722" i="18"/>
  <c r="Q723" i="18"/>
  <c r="Q724" i="18"/>
  <c r="Q725" i="18"/>
  <c r="Q726" i="18"/>
  <c r="Q727" i="18"/>
  <c r="Q728" i="18"/>
  <c r="Q729" i="18"/>
  <c r="Q730" i="18"/>
  <c r="Q731" i="18"/>
  <c r="Q732" i="18"/>
  <c r="Q733" i="18"/>
  <c r="Q734" i="18"/>
  <c r="Q735" i="18"/>
  <c r="Q736" i="18"/>
  <c r="Q737" i="18"/>
  <c r="Q738" i="18"/>
  <c r="Q739" i="18"/>
  <c r="Q740" i="18"/>
  <c r="Q741" i="18"/>
  <c r="Q742" i="18"/>
  <c r="Q743" i="18"/>
  <c r="Q744" i="18"/>
  <c r="Q745" i="18"/>
  <c r="Q746" i="18"/>
  <c r="Q747" i="18"/>
  <c r="Q748" i="18"/>
  <c r="Q749" i="18"/>
  <c r="Q750" i="18"/>
  <c r="Q751" i="18"/>
  <c r="Q752" i="18"/>
  <c r="Q753" i="18"/>
  <c r="Q754" i="18"/>
  <c r="Q755" i="18"/>
  <c r="Q756" i="18"/>
  <c r="Q757" i="18"/>
  <c r="Q758" i="18"/>
  <c r="Q759" i="18"/>
  <c r="Q760" i="18"/>
  <c r="Q761" i="18"/>
  <c r="Q762" i="18"/>
  <c r="Q763" i="18"/>
  <c r="Q764" i="18"/>
  <c r="Q765" i="18"/>
  <c r="Q766" i="18"/>
  <c r="Q767" i="18"/>
  <c r="Q768" i="18"/>
  <c r="Q769" i="18"/>
  <c r="Q770" i="18"/>
  <c r="Q771" i="18"/>
  <c r="Q772" i="18"/>
  <c r="Q773" i="18"/>
  <c r="Q774" i="18"/>
  <c r="Q775" i="18"/>
  <c r="Q776" i="18"/>
  <c r="Q777" i="18"/>
  <c r="Q778" i="18"/>
  <c r="Q779" i="18"/>
  <c r="Q780" i="18"/>
  <c r="Q781" i="18"/>
  <c r="Q782" i="18"/>
  <c r="Q783" i="18"/>
  <c r="Q784" i="18"/>
  <c r="Q785" i="18"/>
  <c r="Q786" i="18"/>
  <c r="Q787" i="18"/>
  <c r="Q788" i="18"/>
  <c r="Q789" i="18"/>
  <c r="Q790" i="18"/>
  <c r="Q791" i="18"/>
  <c r="Q792" i="18"/>
  <c r="Q793" i="18"/>
  <c r="Q794" i="18"/>
  <c r="Q795" i="18"/>
  <c r="Q796" i="18"/>
  <c r="Q797" i="18"/>
  <c r="Q798" i="18"/>
  <c r="Q799" i="18"/>
  <c r="Q800" i="18"/>
  <c r="Q801" i="18"/>
  <c r="Q802" i="18"/>
  <c r="Q803" i="18"/>
  <c r="Q804" i="18"/>
  <c r="Q805" i="18"/>
  <c r="Q806" i="18"/>
  <c r="Q807" i="18"/>
  <c r="Q808" i="18"/>
  <c r="Q809" i="18"/>
  <c r="Q810" i="18"/>
  <c r="Q811" i="18"/>
  <c r="Q812" i="18"/>
  <c r="Q813" i="18"/>
  <c r="Q814" i="18"/>
  <c r="Q815" i="18"/>
  <c r="Q816" i="18"/>
  <c r="Q817" i="18"/>
  <c r="Q818" i="18"/>
  <c r="Q819" i="18"/>
  <c r="Q820" i="18"/>
  <c r="Q821" i="18"/>
  <c r="Q822" i="18"/>
  <c r="Q823" i="18"/>
  <c r="Q824" i="18"/>
  <c r="Q825" i="18"/>
  <c r="Q826" i="18"/>
  <c r="Q827" i="18"/>
  <c r="Q828" i="18"/>
  <c r="Q829" i="18"/>
  <c r="Q830" i="18"/>
  <c r="Q831" i="18"/>
  <c r="Q832" i="18"/>
  <c r="Q833" i="18"/>
  <c r="Q834" i="18"/>
  <c r="Q835" i="18"/>
  <c r="Q836" i="18"/>
  <c r="Q837" i="18"/>
  <c r="Q838" i="18"/>
  <c r="Q839" i="18"/>
  <c r="Q840" i="18"/>
  <c r="Q841" i="18"/>
  <c r="Q842" i="18"/>
  <c r="Q843" i="18"/>
  <c r="Q844" i="18"/>
  <c r="Q845" i="18"/>
  <c r="Q846" i="18"/>
  <c r="Q847" i="18"/>
  <c r="Q848" i="18"/>
  <c r="Q849" i="18"/>
  <c r="Q850" i="18"/>
  <c r="Q851" i="18"/>
  <c r="Q852" i="18"/>
  <c r="Q853" i="18"/>
  <c r="Q854" i="18"/>
  <c r="Q855" i="18"/>
  <c r="Q856" i="18"/>
  <c r="Q857" i="18"/>
  <c r="Q858" i="18"/>
  <c r="Q859" i="18"/>
  <c r="Q860" i="18"/>
  <c r="Q861" i="18"/>
  <c r="Q862" i="18"/>
  <c r="Q863" i="18"/>
  <c r="Q864" i="18"/>
  <c r="Q865" i="18"/>
  <c r="Q866" i="18"/>
  <c r="Q867" i="18"/>
  <c r="Q868" i="18"/>
  <c r="Q869" i="18"/>
  <c r="Q870" i="18"/>
  <c r="Q871" i="18"/>
  <c r="Q872" i="18"/>
  <c r="Q873" i="18"/>
  <c r="Q874" i="18"/>
  <c r="Q875" i="18"/>
  <c r="Q876" i="18"/>
  <c r="Q877" i="18"/>
  <c r="Q878" i="18"/>
  <c r="Q879" i="18"/>
  <c r="Q880" i="18"/>
  <c r="Q881" i="18"/>
  <c r="Q882" i="18"/>
  <c r="Q883" i="18"/>
  <c r="Q884" i="18"/>
  <c r="Q885" i="18"/>
  <c r="Q886" i="18"/>
  <c r="Q887" i="18"/>
  <c r="Q888" i="18"/>
  <c r="Q889" i="18"/>
  <c r="Q890" i="18"/>
  <c r="Q891" i="18"/>
  <c r="Q892" i="18"/>
  <c r="Q893" i="18"/>
  <c r="Q894" i="18"/>
  <c r="Q895" i="18"/>
  <c r="Q896" i="18"/>
  <c r="Q897" i="18"/>
  <c r="Q898" i="18"/>
  <c r="Q899" i="18"/>
  <c r="Q900" i="18"/>
  <c r="Q901" i="18"/>
  <c r="Q902" i="18"/>
  <c r="Q903" i="18"/>
  <c r="Q904" i="18"/>
  <c r="Q905" i="18"/>
  <c r="Q906" i="18"/>
  <c r="Q907" i="18"/>
  <c r="Q908" i="18"/>
  <c r="Q909" i="18"/>
  <c r="Q910" i="18"/>
  <c r="Q911" i="18"/>
  <c r="Q912" i="18"/>
  <c r="Q913" i="18"/>
  <c r="Q914" i="18"/>
  <c r="Q915" i="18"/>
  <c r="Q916" i="18"/>
  <c r="Q917" i="18"/>
  <c r="Q918" i="18"/>
  <c r="Q919" i="18"/>
  <c r="Q920" i="18"/>
  <c r="Q921" i="18"/>
  <c r="Q922" i="18"/>
  <c r="Q923" i="18"/>
  <c r="Q924" i="18"/>
  <c r="Q925" i="18"/>
  <c r="Q926" i="18"/>
  <c r="Q927" i="18"/>
  <c r="Q928" i="18"/>
  <c r="Q929" i="18"/>
  <c r="Q930" i="18"/>
  <c r="Q931" i="18"/>
  <c r="Q932" i="18"/>
  <c r="Q933" i="18"/>
  <c r="Q934" i="18"/>
  <c r="Q935" i="18"/>
  <c r="Q936" i="18"/>
  <c r="Q937" i="18"/>
  <c r="Q7" i="25"/>
  <c r="Q8" i="25"/>
  <c r="Q9" i="25"/>
  <c r="Q10" i="25"/>
  <c r="Q11" i="25"/>
  <c r="Q12" i="25"/>
  <c r="Q13" i="25"/>
  <c r="Q14" i="25"/>
  <c r="Q15" i="25"/>
  <c r="Q16" i="25"/>
  <c r="Q17" i="25"/>
  <c r="Q18" i="25"/>
  <c r="Q19" i="25"/>
  <c r="Q20" i="25"/>
  <c r="Q21" i="25"/>
  <c r="Q22" i="25"/>
  <c r="Q23" i="25"/>
  <c r="Q24" i="25"/>
  <c r="Q25" i="25"/>
  <c r="Q26" i="25"/>
  <c r="Q27" i="25"/>
  <c r="Q28" i="25"/>
  <c r="Q29" i="25"/>
  <c r="Q30" i="25"/>
  <c r="Q31" i="25"/>
  <c r="Q32" i="25"/>
  <c r="Q33" i="25"/>
  <c r="Q34" i="25"/>
  <c r="Q35" i="25"/>
  <c r="Q36" i="25"/>
  <c r="Q37" i="25"/>
  <c r="Q38" i="25"/>
  <c r="Q39" i="25"/>
  <c r="Q40" i="25"/>
  <c r="Q41" i="25"/>
  <c r="Q42" i="25"/>
  <c r="Q43" i="25"/>
  <c r="Q44" i="25"/>
  <c r="Q45" i="25"/>
  <c r="Q46" i="25"/>
  <c r="Q47" i="25"/>
  <c r="Q48" i="25"/>
  <c r="Q49" i="25"/>
  <c r="Q50" i="25"/>
  <c r="Q51" i="25"/>
  <c r="Q52" i="25"/>
  <c r="Q53" i="25"/>
  <c r="Q54" i="25"/>
  <c r="Q55" i="25"/>
  <c r="Q56" i="25"/>
  <c r="Q57" i="25"/>
  <c r="Q58" i="25"/>
  <c r="Q59" i="25"/>
  <c r="Q60" i="25"/>
  <c r="Q61" i="25"/>
  <c r="Q62" i="25"/>
  <c r="Q63" i="25"/>
  <c r="Q64" i="25"/>
  <c r="Q65" i="25"/>
  <c r="Q66" i="25"/>
  <c r="Q67" i="25"/>
  <c r="Q68" i="25"/>
  <c r="Q69" i="25"/>
  <c r="Q70" i="25"/>
  <c r="Q71" i="25"/>
  <c r="Q72" i="25"/>
  <c r="Q73" i="25"/>
  <c r="Q74" i="25"/>
  <c r="Q75" i="25"/>
  <c r="Q76" i="25"/>
  <c r="Q77" i="25"/>
  <c r="Q78" i="25"/>
  <c r="Q79" i="25"/>
  <c r="Q80" i="25"/>
  <c r="Q81" i="25"/>
  <c r="Q82" i="25"/>
  <c r="Q83" i="25"/>
  <c r="Q84" i="25"/>
  <c r="Q85" i="25"/>
  <c r="Q86" i="25"/>
  <c r="Q87" i="25"/>
  <c r="Q88" i="25"/>
  <c r="Q89" i="25"/>
  <c r="Q90" i="25"/>
  <c r="Q91" i="25"/>
  <c r="Q92" i="25"/>
  <c r="Q93" i="25"/>
  <c r="Q94" i="25"/>
  <c r="Q95" i="25"/>
  <c r="Q96" i="25"/>
  <c r="Q97" i="25"/>
  <c r="Q98" i="25"/>
  <c r="Q99" i="25"/>
  <c r="Q100" i="25"/>
  <c r="Q101" i="25"/>
  <c r="Q102" i="25"/>
  <c r="Q103" i="25"/>
  <c r="Q104" i="25"/>
  <c r="Q105" i="25"/>
  <c r="Q106" i="25"/>
  <c r="Q107" i="25"/>
  <c r="Q108" i="25"/>
  <c r="Q109" i="25"/>
  <c r="Q110" i="25"/>
  <c r="Q111" i="25"/>
  <c r="Q112" i="25"/>
  <c r="Q113" i="25"/>
  <c r="Q114" i="25"/>
  <c r="Q115" i="25"/>
  <c r="Q116" i="25"/>
  <c r="Q117" i="25"/>
  <c r="Q118" i="25"/>
  <c r="Q119" i="25"/>
  <c r="Q120" i="25"/>
  <c r="Q121" i="25"/>
  <c r="Q122" i="25"/>
  <c r="Q123" i="25"/>
  <c r="Q124" i="25"/>
  <c r="Q125" i="25"/>
  <c r="Q126" i="25"/>
  <c r="Q127" i="25"/>
  <c r="Q128" i="25"/>
  <c r="Q129" i="25"/>
  <c r="Q130" i="25"/>
  <c r="Q131" i="25"/>
  <c r="Q132" i="25"/>
  <c r="Q133" i="25"/>
  <c r="Q134" i="25"/>
  <c r="Q135" i="25"/>
  <c r="Q136" i="25"/>
  <c r="Q137" i="25"/>
  <c r="Q138" i="25"/>
  <c r="Q139" i="25"/>
  <c r="Q140" i="25"/>
  <c r="Q141" i="25"/>
  <c r="Q142" i="25"/>
  <c r="Q143" i="25"/>
  <c r="Q144" i="25"/>
  <c r="Q145" i="25"/>
  <c r="Q146" i="25"/>
  <c r="Q147" i="25"/>
  <c r="Q148" i="25"/>
  <c r="Q149" i="25"/>
  <c r="Q150" i="25"/>
  <c r="Q151" i="25"/>
  <c r="Q152" i="25"/>
  <c r="Q153" i="25"/>
  <c r="Q154" i="25"/>
  <c r="Q155" i="25"/>
  <c r="Q156" i="25"/>
  <c r="Q157" i="25"/>
  <c r="Q158" i="25"/>
  <c r="Q159" i="25"/>
  <c r="Q160" i="25"/>
  <c r="Q161" i="25"/>
  <c r="Q162" i="25"/>
  <c r="Q163" i="25"/>
  <c r="Q164" i="25"/>
  <c r="Q165" i="25"/>
  <c r="Q166" i="25"/>
  <c r="Q167" i="25"/>
  <c r="Q168" i="25"/>
  <c r="Q169" i="25"/>
  <c r="Q170" i="25"/>
  <c r="Q171" i="25"/>
  <c r="Q172" i="25"/>
  <c r="Q173" i="25"/>
  <c r="Q174" i="25"/>
  <c r="Q175" i="25"/>
  <c r="Q176" i="25"/>
  <c r="Q177" i="25"/>
  <c r="Q178" i="25"/>
  <c r="Q179" i="25"/>
  <c r="Q180" i="25"/>
  <c r="Q181" i="25"/>
  <c r="Q182" i="25"/>
  <c r="Q183" i="25"/>
  <c r="Q184" i="25"/>
  <c r="Q185" i="25"/>
  <c r="Q186" i="25"/>
  <c r="Q187" i="25"/>
  <c r="Q188" i="25"/>
  <c r="Q189" i="25"/>
  <c r="Q190" i="25"/>
  <c r="Q191" i="25"/>
  <c r="Q192" i="25"/>
  <c r="Q193" i="25"/>
  <c r="Q194" i="25"/>
  <c r="Q195" i="25"/>
  <c r="Q196" i="25"/>
  <c r="Q197" i="25"/>
  <c r="Q198" i="25"/>
  <c r="Q199" i="25"/>
  <c r="Q200" i="25"/>
  <c r="Q201" i="25"/>
  <c r="Q202" i="25"/>
  <c r="Q203" i="25"/>
  <c r="Q204" i="25"/>
  <c r="Q205" i="25"/>
  <c r="Q206" i="25"/>
  <c r="Q207" i="25"/>
  <c r="Q208" i="25"/>
  <c r="Q209" i="25"/>
  <c r="Q210" i="25"/>
  <c r="Q211" i="25"/>
  <c r="Q212" i="25"/>
  <c r="Q213" i="25"/>
  <c r="Q214" i="25"/>
  <c r="Q215" i="25"/>
  <c r="Q216" i="25"/>
  <c r="Q217" i="25"/>
  <c r="Q218" i="25"/>
  <c r="Q219" i="25"/>
  <c r="Q220" i="25"/>
  <c r="Q221" i="25"/>
  <c r="Q222" i="25"/>
  <c r="Q223" i="25"/>
  <c r="Q224" i="25"/>
  <c r="Q225" i="25"/>
  <c r="Q226" i="25"/>
  <c r="Q227" i="25"/>
  <c r="Q228" i="25"/>
  <c r="Q229" i="25"/>
  <c r="Q230" i="25"/>
  <c r="Q231" i="25"/>
  <c r="Q232" i="25"/>
  <c r="Q233" i="25"/>
  <c r="Q234" i="25"/>
  <c r="Q235" i="25"/>
  <c r="Q236" i="25"/>
  <c r="Q237" i="25"/>
  <c r="Q238" i="25"/>
  <c r="Q239" i="25"/>
  <c r="Q240" i="25"/>
  <c r="Q241" i="25"/>
  <c r="Q242" i="25"/>
  <c r="Q243" i="25"/>
  <c r="Q244" i="25"/>
  <c r="Q245" i="25"/>
  <c r="Q246" i="25"/>
  <c r="Q247" i="25"/>
  <c r="Q248" i="25"/>
  <c r="Q249" i="25"/>
  <c r="Q250" i="25"/>
  <c r="Q251" i="25"/>
  <c r="Q252" i="25"/>
  <c r="Q253" i="25"/>
  <c r="Q254" i="25"/>
  <c r="Q255" i="25"/>
  <c r="Q256" i="25"/>
  <c r="Q257" i="25"/>
  <c r="Q258" i="25"/>
  <c r="Q259" i="25"/>
  <c r="Q260" i="25"/>
  <c r="Q261" i="25"/>
  <c r="Q262" i="25"/>
  <c r="Q263" i="25"/>
  <c r="Q264" i="25"/>
  <c r="Q265" i="25"/>
  <c r="Q266" i="25"/>
  <c r="Q267" i="25"/>
  <c r="Q268" i="25"/>
  <c r="Q269" i="25"/>
  <c r="Q270" i="25"/>
  <c r="Q271" i="25"/>
  <c r="Q272" i="25"/>
  <c r="Q273" i="25"/>
  <c r="Q274" i="25"/>
  <c r="Q275" i="25"/>
  <c r="Q276" i="25"/>
  <c r="Q277" i="25"/>
  <c r="Q278" i="25"/>
  <c r="Q279" i="25"/>
  <c r="Q280" i="25"/>
  <c r="Q281" i="25"/>
  <c r="Q282" i="25"/>
  <c r="Q283" i="25"/>
  <c r="Q284" i="25"/>
  <c r="Q285" i="25"/>
  <c r="Q286" i="25"/>
  <c r="Q287" i="25"/>
  <c r="Q288" i="25"/>
  <c r="Q289" i="25"/>
  <c r="Q290" i="25"/>
  <c r="Q291" i="25"/>
  <c r="Q292" i="25"/>
  <c r="Q293" i="25"/>
  <c r="Q294" i="25"/>
  <c r="Q295" i="25"/>
  <c r="Q296" i="25"/>
  <c r="Q297" i="25"/>
  <c r="Q298" i="25"/>
  <c r="Q299" i="25"/>
  <c r="Q300" i="25"/>
  <c r="Q301" i="25"/>
  <c r="Q302" i="25"/>
  <c r="Q303" i="25"/>
  <c r="Q304" i="25"/>
  <c r="Q305" i="25"/>
  <c r="Q306" i="25"/>
  <c r="Q307" i="25"/>
  <c r="Q308" i="25"/>
  <c r="Q309" i="25"/>
  <c r="Q310" i="25"/>
  <c r="Q311" i="25"/>
  <c r="Q312" i="25"/>
  <c r="Q313" i="25"/>
  <c r="Q314" i="25"/>
  <c r="Q315" i="25"/>
  <c r="Q316" i="25"/>
  <c r="Q317" i="25"/>
  <c r="Q318" i="25"/>
  <c r="Q319" i="25"/>
  <c r="Q320" i="25"/>
  <c r="Q321" i="25"/>
  <c r="Q322" i="25"/>
  <c r="Q323" i="25"/>
  <c r="Q324" i="25"/>
  <c r="Q325" i="25"/>
  <c r="Q326" i="25"/>
  <c r="Q327" i="25"/>
  <c r="Q328" i="25"/>
  <c r="Q329" i="25"/>
  <c r="Q330" i="25"/>
  <c r="Q331" i="25"/>
  <c r="Q332" i="25"/>
  <c r="Q333" i="25"/>
  <c r="Q334" i="25"/>
  <c r="Q335" i="25"/>
  <c r="Q336" i="25"/>
  <c r="Q337" i="25"/>
  <c r="Q338" i="25"/>
  <c r="Q339" i="25"/>
  <c r="Q340" i="25"/>
  <c r="Q341" i="25"/>
  <c r="Q342" i="25"/>
  <c r="Q343" i="25"/>
  <c r="Q344" i="25"/>
  <c r="Q345" i="25"/>
  <c r="Q346" i="25"/>
  <c r="Q347" i="25"/>
  <c r="Q348" i="25"/>
  <c r="Q349" i="25"/>
  <c r="Q350" i="25"/>
  <c r="Q351" i="25"/>
  <c r="Q352" i="25"/>
  <c r="Q353" i="25"/>
  <c r="Q354" i="25"/>
  <c r="Q355" i="25"/>
  <c r="Q356" i="25"/>
  <c r="Q357" i="25"/>
  <c r="Q358" i="25"/>
  <c r="Q359" i="25"/>
  <c r="Q360" i="25"/>
  <c r="Q361" i="25"/>
  <c r="Q362" i="25"/>
  <c r="Q363" i="25"/>
  <c r="Q364" i="25"/>
  <c r="Q365" i="25"/>
  <c r="Q366" i="25"/>
  <c r="Q367" i="25"/>
  <c r="Q368" i="25"/>
  <c r="Q369" i="25"/>
  <c r="Q370" i="25"/>
  <c r="Q371" i="25"/>
  <c r="Q372" i="25"/>
  <c r="Q373" i="25"/>
  <c r="Q374" i="25"/>
  <c r="Q375" i="25"/>
  <c r="Q376" i="25"/>
  <c r="Q377" i="25"/>
  <c r="Q378" i="25"/>
  <c r="Q379" i="25"/>
  <c r="Q380" i="25"/>
  <c r="Q381" i="25"/>
  <c r="Q382" i="25"/>
  <c r="Q383" i="25"/>
  <c r="Q384" i="25"/>
  <c r="Q385" i="25"/>
  <c r="Q386" i="25"/>
  <c r="Q387" i="25"/>
  <c r="Q388" i="25"/>
  <c r="Q389" i="25"/>
  <c r="Q390" i="25"/>
  <c r="Q391" i="25"/>
  <c r="Q392" i="25"/>
  <c r="Q393" i="25"/>
  <c r="Q394" i="25"/>
  <c r="Q395" i="25"/>
  <c r="Q396" i="25"/>
  <c r="Q397" i="25"/>
  <c r="Q398" i="25"/>
  <c r="Q419" i="25"/>
  <c r="P399" i="25"/>
  <c r="P400" i="25"/>
  <c r="P401" i="25"/>
  <c r="P402" i="25"/>
  <c r="P403" i="25"/>
  <c r="P404" i="25"/>
  <c r="P405" i="25"/>
  <c r="P406" i="25"/>
  <c r="P407" i="25"/>
  <c r="P408" i="25"/>
  <c r="P409" i="25"/>
  <c r="P410" i="25"/>
  <c r="P411" i="25"/>
  <c r="P412" i="25"/>
  <c r="P413" i="25"/>
  <c r="P414" i="25"/>
  <c r="P415" i="25"/>
  <c r="P416" i="25"/>
  <c r="P417" i="25"/>
  <c r="P418" i="25"/>
  <c r="P419" i="25"/>
  <c r="P147" i="18"/>
  <c r="P347" i="18"/>
  <c r="P354" i="18"/>
  <c r="P356" i="18"/>
  <c r="P484" i="18"/>
  <c r="P586" i="18"/>
  <c r="P720" i="18"/>
  <c r="P778" i="18"/>
  <c r="P937" i="18"/>
  <c r="U37" i="14"/>
  <c r="U36" i="14"/>
  <c r="T37" i="14"/>
  <c r="T36" i="14"/>
  <c r="W27" i="14"/>
  <c r="W26" i="14"/>
  <c r="V28" i="14"/>
  <c r="V27" i="14"/>
  <c r="U28" i="14"/>
  <c r="V26" i="14"/>
  <c r="V29" i="14"/>
  <c r="U27" i="14"/>
  <c r="U26" i="14"/>
  <c r="U17" i="14"/>
  <c r="U16" i="14"/>
  <c r="T17" i="14"/>
  <c r="T16" i="14"/>
  <c r="W6" i="14"/>
  <c r="W7" i="14"/>
  <c r="V7" i="14"/>
  <c r="V6" i="14"/>
  <c r="U7" i="14"/>
  <c r="U6" i="14"/>
  <c r="O419" i="25"/>
  <c r="N419" i="25"/>
  <c r="M419" i="25"/>
  <c r="L419" i="25"/>
  <c r="J419" i="25"/>
  <c r="I419" i="25"/>
  <c r="H419" i="25"/>
  <c r="G419" i="25"/>
  <c r="E419" i="25"/>
  <c r="D419" i="25"/>
  <c r="K414" i="25"/>
  <c r="F414" i="25"/>
  <c r="K413" i="25"/>
  <c r="F413" i="25"/>
  <c r="K412" i="25"/>
  <c r="F412" i="25"/>
  <c r="K411" i="25"/>
  <c r="F411" i="25"/>
  <c r="K410" i="25"/>
  <c r="F410" i="25"/>
  <c r="K409" i="25"/>
  <c r="F409" i="25"/>
  <c r="K408" i="25"/>
  <c r="F408" i="25"/>
  <c r="K407" i="25"/>
  <c r="F407" i="25"/>
  <c r="K406" i="25"/>
  <c r="F406" i="25"/>
  <c r="K405" i="25"/>
  <c r="F405" i="25"/>
  <c r="K404" i="25"/>
  <c r="F404" i="25"/>
  <c r="K403" i="25"/>
  <c r="F403" i="25"/>
  <c r="K402" i="25"/>
  <c r="F402" i="25"/>
  <c r="K401" i="25"/>
  <c r="F401" i="25"/>
  <c r="K400" i="25"/>
  <c r="F400" i="25"/>
  <c r="K399" i="25"/>
  <c r="F399" i="25"/>
  <c r="K398" i="25"/>
  <c r="F398" i="25"/>
  <c r="K397" i="25"/>
  <c r="F397" i="25"/>
  <c r="K396" i="25"/>
  <c r="F396" i="25"/>
  <c r="K395" i="25"/>
  <c r="F395" i="25"/>
  <c r="K394" i="25"/>
  <c r="F394" i="25"/>
  <c r="K393" i="25"/>
  <c r="F393" i="25"/>
  <c r="K392" i="25"/>
  <c r="F392" i="25"/>
  <c r="K391" i="25"/>
  <c r="F391" i="25"/>
  <c r="K390" i="25"/>
  <c r="F390" i="25"/>
  <c r="K389" i="25"/>
  <c r="F389" i="25"/>
  <c r="K388" i="25"/>
  <c r="F388" i="25"/>
  <c r="K387" i="25"/>
  <c r="F387" i="25"/>
  <c r="K386" i="25"/>
  <c r="F386" i="25"/>
  <c r="K385" i="25"/>
  <c r="F385" i="25"/>
  <c r="K384" i="25"/>
  <c r="F384" i="25"/>
  <c r="K383" i="25"/>
  <c r="F383" i="25"/>
  <c r="K382" i="25"/>
  <c r="F382" i="25"/>
  <c r="K381" i="25"/>
  <c r="F381" i="25"/>
  <c r="K380" i="25"/>
  <c r="F380" i="25"/>
  <c r="K379" i="25"/>
  <c r="F379" i="25"/>
  <c r="K378" i="25"/>
  <c r="F378" i="25"/>
  <c r="K377" i="25"/>
  <c r="F377" i="25"/>
  <c r="K376" i="25"/>
  <c r="F376" i="25"/>
  <c r="K375" i="25"/>
  <c r="F375" i="25"/>
  <c r="K374" i="25"/>
  <c r="F374" i="25"/>
  <c r="K373" i="25"/>
  <c r="F373" i="25"/>
  <c r="K372" i="25"/>
  <c r="F372" i="25"/>
  <c r="K371" i="25"/>
  <c r="F371" i="25"/>
  <c r="K370" i="25"/>
  <c r="F370" i="25"/>
  <c r="K369" i="25"/>
  <c r="F369" i="25"/>
  <c r="K368" i="25"/>
  <c r="F368" i="25"/>
  <c r="K367" i="25"/>
  <c r="F367" i="25"/>
  <c r="K366" i="25"/>
  <c r="F366" i="25"/>
  <c r="K365" i="25"/>
  <c r="F365" i="25"/>
  <c r="K364" i="25"/>
  <c r="F364" i="25"/>
  <c r="K363" i="25"/>
  <c r="F363" i="25"/>
  <c r="K362" i="25"/>
  <c r="F362" i="25"/>
  <c r="K361" i="25"/>
  <c r="F361" i="25"/>
  <c r="K360" i="25"/>
  <c r="F360" i="25"/>
  <c r="K359" i="25"/>
  <c r="F359" i="25"/>
  <c r="K358" i="25"/>
  <c r="F358" i="25"/>
  <c r="K357" i="25"/>
  <c r="F357" i="25"/>
  <c r="K356" i="25"/>
  <c r="F356" i="25"/>
  <c r="K355" i="25"/>
  <c r="F355" i="25"/>
  <c r="K354" i="25"/>
  <c r="F354" i="25"/>
  <c r="K353" i="25"/>
  <c r="F353" i="25"/>
  <c r="K352" i="25"/>
  <c r="F352" i="25"/>
  <c r="K351" i="25"/>
  <c r="F351" i="25"/>
  <c r="K350" i="25"/>
  <c r="F350" i="25"/>
  <c r="K349" i="25"/>
  <c r="F349" i="25"/>
  <c r="K348" i="25"/>
  <c r="F348" i="25"/>
  <c r="K347" i="25"/>
  <c r="F347" i="25"/>
  <c r="K346" i="25"/>
  <c r="F346" i="25"/>
  <c r="K345" i="25"/>
  <c r="F345" i="25"/>
  <c r="K344" i="25"/>
  <c r="F344" i="25"/>
  <c r="K343" i="25"/>
  <c r="F343" i="25"/>
  <c r="K342" i="25"/>
  <c r="F342" i="25"/>
  <c r="K341" i="25"/>
  <c r="F341" i="25"/>
  <c r="K340" i="25"/>
  <c r="F340" i="25"/>
  <c r="K339" i="25"/>
  <c r="F339" i="25"/>
  <c r="K338" i="25"/>
  <c r="F338" i="25"/>
  <c r="K337" i="25"/>
  <c r="F337" i="25"/>
  <c r="K336" i="25"/>
  <c r="F336" i="25"/>
  <c r="K335" i="25"/>
  <c r="F335" i="25"/>
  <c r="K334" i="25"/>
  <c r="F334" i="25"/>
  <c r="K333" i="25"/>
  <c r="F333" i="25"/>
  <c r="K332" i="25"/>
  <c r="F332" i="25"/>
  <c r="K331" i="25"/>
  <c r="F331" i="25"/>
  <c r="K330" i="25"/>
  <c r="F330" i="25"/>
  <c r="K329" i="25"/>
  <c r="F329" i="25"/>
  <c r="K328" i="25"/>
  <c r="F328" i="25"/>
  <c r="K327" i="25"/>
  <c r="F327" i="25"/>
  <c r="K326" i="25"/>
  <c r="F326" i="25"/>
  <c r="K325" i="25"/>
  <c r="F325" i="25"/>
  <c r="K324" i="25"/>
  <c r="F324" i="25"/>
  <c r="K323" i="25"/>
  <c r="F323" i="25"/>
  <c r="K322" i="25"/>
  <c r="F322" i="25"/>
  <c r="K321" i="25"/>
  <c r="F321" i="25"/>
  <c r="K320" i="25"/>
  <c r="F320" i="25"/>
  <c r="K319" i="25"/>
  <c r="F319" i="25"/>
  <c r="K318" i="25"/>
  <c r="F318" i="25"/>
  <c r="K317" i="25"/>
  <c r="F317" i="25"/>
  <c r="K316" i="25"/>
  <c r="F316" i="25"/>
  <c r="K315" i="25"/>
  <c r="F315" i="25"/>
  <c r="K314" i="25"/>
  <c r="F314" i="25"/>
  <c r="K313" i="25"/>
  <c r="F313" i="25"/>
  <c r="K312" i="25"/>
  <c r="F312" i="25"/>
  <c r="K311" i="25"/>
  <c r="F311" i="25"/>
  <c r="K310" i="25"/>
  <c r="F310" i="25"/>
  <c r="K309" i="25"/>
  <c r="F309" i="25"/>
  <c r="K308" i="25"/>
  <c r="F308" i="25"/>
  <c r="K307" i="25"/>
  <c r="F307" i="25"/>
  <c r="K306" i="25"/>
  <c r="F306" i="25"/>
  <c r="K305" i="25"/>
  <c r="F305" i="25"/>
  <c r="K304" i="25"/>
  <c r="F304" i="25"/>
  <c r="K303" i="25"/>
  <c r="F303" i="25"/>
  <c r="K302" i="25"/>
  <c r="F302" i="25"/>
  <c r="K301" i="25"/>
  <c r="F301" i="25"/>
  <c r="K300" i="25"/>
  <c r="F300" i="25"/>
  <c r="K299" i="25"/>
  <c r="F299" i="25"/>
  <c r="K298" i="25"/>
  <c r="F298" i="25"/>
  <c r="K297" i="25"/>
  <c r="F297" i="25"/>
  <c r="K296" i="25"/>
  <c r="F296" i="25"/>
  <c r="K295" i="25"/>
  <c r="F295" i="25"/>
  <c r="K294" i="25"/>
  <c r="F294" i="25"/>
  <c r="K293" i="25"/>
  <c r="F293" i="25"/>
  <c r="K292" i="25"/>
  <c r="F292" i="25"/>
  <c r="K291" i="25"/>
  <c r="F291" i="25"/>
  <c r="K290" i="25"/>
  <c r="F290" i="25"/>
  <c r="K289" i="25"/>
  <c r="F289" i="25"/>
  <c r="K288" i="25"/>
  <c r="F288" i="25"/>
  <c r="K287" i="25"/>
  <c r="F287" i="25"/>
  <c r="K286" i="25"/>
  <c r="F286" i="25"/>
  <c r="K285" i="25"/>
  <c r="F285" i="25"/>
  <c r="K284" i="25"/>
  <c r="F284" i="25"/>
  <c r="K283" i="25"/>
  <c r="F283" i="25"/>
  <c r="K282" i="25"/>
  <c r="F282" i="25"/>
  <c r="K281" i="25"/>
  <c r="F281" i="25"/>
  <c r="K280" i="25"/>
  <c r="F280" i="25"/>
  <c r="K279" i="25"/>
  <c r="F279" i="25"/>
  <c r="K278" i="25"/>
  <c r="F278" i="25"/>
  <c r="K277" i="25"/>
  <c r="F277" i="25"/>
  <c r="K276" i="25"/>
  <c r="F276" i="25"/>
  <c r="K275" i="25"/>
  <c r="F275" i="25"/>
  <c r="K274" i="25"/>
  <c r="F274" i="25"/>
  <c r="K273" i="25"/>
  <c r="F273" i="25"/>
  <c r="K272" i="25"/>
  <c r="F272" i="25"/>
  <c r="K271" i="25"/>
  <c r="F271" i="25"/>
  <c r="K270" i="25"/>
  <c r="F270" i="25"/>
  <c r="K269" i="25"/>
  <c r="F269" i="25"/>
  <c r="K268" i="25"/>
  <c r="F268" i="25"/>
  <c r="K267" i="25"/>
  <c r="F267" i="25"/>
  <c r="K266" i="25"/>
  <c r="F266" i="25"/>
  <c r="K265" i="25"/>
  <c r="F265" i="25"/>
  <c r="K264" i="25"/>
  <c r="F264" i="25"/>
  <c r="K263" i="25"/>
  <c r="F263" i="25"/>
  <c r="K262" i="25"/>
  <c r="F262" i="25"/>
  <c r="K261" i="25"/>
  <c r="F261" i="25"/>
  <c r="K260" i="25"/>
  <c r="F260" i="25"/>
  <c r="K259" i="25"/>
  <c r="F259" i="25"/>
  <c r="K258" i="25"/>
  <c r="F258" i="25"/>
  <c r="K257" i="25"/>
  <c r="F257" i="25"/>
  <c r="K256" i="25"/>
  <c r="F256" i="25"/>
  <c r="K255" i="25"/>
  <c r="F255" i="25"/>
  <c r="K254" i="25"/>
  <c r="F254" i="25"/>
  <c r="K253" i="25"/>
  <c r="F253" i="25"/>
  <c r="K252" i="25"/>
  <c r="F252" i="25"/>
  <c r="K251" i="25"/>
  <c r="F251" i="25"/>
  <c r="K250" i="25"/>
  <c r="F250" i="25"/>
  <c r="K249" i="25"/>
  <c r="F249" i="25"/>
  <c r="K248" i="25"/>
  <c r="F248" i="25"/>
  <c r="K247" i="25"/>
  <c r="F247" i="25"/>
  <c r="K246" i="25"/>
  <c r="F246" i="25"/>
  <c r="K245" i="25"/>
  <c r="F245" i="25"/>
  <c r="K244" i="25"/>
  <c r="F244" i="25"/>
  <c r="K243" i="25"/>
  <c r="F243" i="25"/>
  <c r="K242" i="25"/>
  <c r="F242" i="25"/>
  <c r="K241" i="25"/>
  <c r="F241" i="25"/>
  <c r="K240" i="25"/>
  <c r="F240" i="25"/>
  <c r="K239" i="25"/>
  <c r="F239" i="25"/>
  <c r="K238" i="25"/>
  <c r="F238" i="25"/>
  <c r="K237" i="25"/>
  <c r="F237" i="25"/>
  <c r="K236" i="25"/>
  <c r="F236" i="25"/>
  <c r="K235" i="25"/>
  <c r="F235" i="25"/>
  <c r="K234" i="25"/>
  <c r="F234" i="25"/>
  <c r="K233" i="25"/>
  <c r="F233" i="25"/>
  <c r="K232" i="25"/>
  <c r="F232" i="25"/>
  <c r="K231" i="25"/>
  <c r="F231" i="25"/>
  <c r="K230" i="25"/>
  <c r="F230" i="25"/>
  <c r="K229" i="25"/>
  <c r="F229" i="25"/>
  <c r="K228" i="25"/>
  <c r="F228" i="25"/>
  <c r="K227" i="25"/>
  <c r="F227" i="25"/>
  <c r="K226" i="25"/>
  <c r="F226" i="25"/>
  <c r="K225" i="25"/>
  <c r="F225" i="25"/>
  <c r="K224" i="25"/>
  <c r="F224" i="25"/>
  <c r="K223" i="25"/>
  <c r="F223" i="25"/>
  <c r="K222" i="25"/>
  <c r="F222" i="25"/>
  <c r="K221" i="25"/>
  <c r="F221" i="25"/>
  <c r="K220" i="25"/>
  <c r="F220" i="25"/>
  <c r="K219" i="25"/>
  <c r="F219" i="25"/>
  <c r="K218" i="25"/>
  <c r="F218" i="25"/>
  <c r="K217" i="25"/>
  <c r="F217" i="25"/>
  <c r="K216" i="25"/>
  <c r="F216" i="25"/>
  <c r="K215" i="25"/>
  <c r="F215" i="25"/>
  <c r="K214" i="25"/>
  <c r="F214" i="25"/>
  <c r="K213" i="25"/>
  <c r="F213" i="25"/>
  <c r="K212" i="25"/>
  <c r="F212" i="25"/>
  <c r="K211" i="25"/>
  <c r="F211" i="25"/>
  <c r="K210" i="25"/>
  <c r="F210" i="25"/>
  <c r="K209" i="25"/>
  <c r="F209" i="25"/>
  <c r="K208" i="25"/>
  <c r="F208" i="25"/>
  <c r="K207" i="25"/>
  <c r="F207" i="25"/>
  <c r="K206" i="25"/>
  <c r="F206" i="25"/>
  <c r="K205" i="25"/>
  <c r="F205" i="25"/>
  <c r="K204" i="25"/>
  <c r="F204" i="25"/>
  <c r="K203" i="25"/>
  <c r="F203" i="25"/>
  <c r="K202" i="25"/>
  <c r="F202" i="25"/>
  <c r="K201" i="25"/>
  <c r="F201" i="25"/>
  <c r="K200" i="25"/>
  <c r="F200" i="25"/>
  <c r="K199" i="25"/>
  <c r="F199" i="25"/>
  <c r="K198" i="25"/>
  <c r="F198" i="25"/>
  <c r="K197" i="25"/>
  <c r="F197" i="25"/>
  <c r="K196" i="25"/>
  <c r="F196" i="25"/>
  <c r="K195" i="25"/>
  <c r="F195" i="25"/>
  <c r="K194" i="25"/>
  <c r="F194" i="25"/>
  <c r="K193" i="25"/>
  <c r="F193" i="25"/>
  <c r="K192" i="25"/>
  <c r="F192" i="25"/>
  <c r="K191" i="25"/>
  <c r="F191" i="25"/>
  <c r="K190" i="25"/>
  <c r="F190" i="25"/>
  <c r="K189" i="25"/>
  <c r="F189" i="25"/>
  <c r="K188" i="25"/>
  <c r="F188" i="25"/>
  <c r="K187" i="25"/>
  <c r="F187" i="25"/>
  <c r="K186" i="25"/>
  <c r="F186" i="25"/>
  <c r="K185" i="25"/>
  <c r="F185" i="25"/>
  <c r="K184" i="25"/>
  <c r="F184" i="25"/>
  <c r="K183" i="25"/>
  <c r="F183" i="25"/>
  <c r="K182" i="25"/>
  <c r="F182" i="25"/>
  <c r="K181" i="25"/>
  <c r="F181" i="25"/>
  <c r="K180" i="25"/>
  <c r="F180" i="25"/>
  <c r="K179" i="25"/>
  <c r="F179" i="25"/>
  <c r="K178" i="25"/>
  <c r="F178" i="25"/>
  <c r="K177" i="25"/>
  <c r="F177" i="25"/>
  <c r="K176" i="25"/>
  <c r="F176" i="25"/>
  <c r="K175" i="25"/>
  <c r="F175" i="25"/>
  <c r="K174" i="25"/>
  <c r="F174" i="25"/>
  <c r="K173" i="25"/>
  <c r="F173" i="25"/>
  <c r="K172" i="25"/>
  <c r="F172" i="25"/>
  <c r="K171" i="25"/>
  <c r="F171" i="25"/>
  <c r="K170" i="25"/>
  <c r="F170" i="25"/>
  <c r="K169" i="25"/>
  <c r="F169" i="25"/>
  <c r="K168" i="25"/>
  <c r="F168" i="25"/>
  <c r="K167" i="25"/>
  <c r="F167" i="25"/>
  <c r="K166" i="25"/>
  <c r="F166" i="25"/>
  <c r="K165" i="25"/>
  <c r="F165" i="25"/>
  <c r="K164" i="25"/>
  <c r="F164" i="25"/>
  <c r="K163" i="25"/>
  <c r="F163" i="25"/>
  <c r="K162" i="25"/>
  <c r="F162" i="25"/>
  <c r="K161" i="25"/>
  <c r="F161" i="25"/>
  <c r="K160" i="25"/>
  <c r="F160" i="25"/>
  <c r="K159" i="25"/>
  <c r="F159" i="25"/>
  <c r="K158" i="25"/>
  <c r="F158" i="25"/>
  <c r="K157" i="25"/>
  <c r="F157" i="25"/>
  <c r="K156" i="25"/>
  <c r="F156" i="25"/>
  <c r="K155" i="25"/>
  <c r="F155" i="25"/>
  <c r="K154" i="25"/>
  <c r="F154" i="25"/>
  <c r="K153" i="25"/>
  <c r="F153" i="25"/>
  <c r="K152" i="25"/>
  <c r="F152" i="25"/>
  <c r="K151" i="25"/>
  <c r="F151" i="25"/>
  <c r="K150" i="25"/>
  <c r="F150" i="25"/>
  <c r="K149" i="25"/>
  <c r="F149" i="25"/>
  <c r="K148" i="25"/>
  <c r="F148" i="25"/>
  <c r="K147" i="25"/>
  <c r="F147" i="25"/>
  <c r="K146" i="25"/>
  <c r="F146" i="25"/>
  <c r="K145" i="25"/>
  <c r="F145" i="25"/>
  <c r="K144" i="25"/>
  <c r="F144" i="25"/>
  <c r="K143" i="25"/>
  <c r="F143" i="25"/>
  <c r="K142" i="25"/>
  <c r="F142" i="25"/>
  <c r="K141" i="25"/>
  <c r="F141" i="25"/>
  <c r="K140" i="25"/>
  <c r="F140" i="25"/>
  <c r="K139" i="25"/>
  <c r="F139" i="25"/>
  <c r="K138" i="25"/>
  <c r="F138" i="25"/>
  <c r="K137" i="25"/>
  <c r="F137" i="25"/>
  <c r="K136" i="25"/>
  <c r="F136" i="25"/>
  <c r="K135" i="25"/>
  <c r="F135" i="25"/>
  <c r="K134" i="25"/>
  <c r="F134" i="25"/>
  <c r="K133" i="25"/>
  <c r="F133" i="25"/>
  <c r="K132" i="25"/>
  <c r="F132" i="25"/>
  <c r="K131" i="25"/>
  <c r="F131" i="25"/>
  <c r="K130" i="25"/>
  <c r="F130" i="25"/>
  <c r="K129" i="25"/>
  <c r="F129" i="25"/>
  <c r="K128" i="25"/>
  <c r="F128" i="25"/>
  <c r="K127" i="25"/>
  <c r="F127" i="25"/>
  <c r="K126" i="25"/>
  <c r="F126" i="25"/>
  <c r="K125" i="25"/>
  <c r="F125" i="25"/>
  <c r="K124" i="25"/>
  <c r="F124" i="25"/>
  <c r="K123" i="25"/>
  <c r="F123" i="25"/>
  <c r="K122" i="25"/>
  <c r="F122" i="25"/>
  <c r="K121" i="25"/>
  <c r="F121" i="25"/>
  <c r="K120" i="25"/>
  <c r="F120" i="25"/>
  <c r="K119" i="25"/>
  <c r="F119" i="25"/>
  <c r="K118" i="25"/>
  <c r="F118" i="25"/>
  <c r="K117" i="25"/>
  <c r="F117" i="25"/>
  <c r="K116" i="25"/>
  <c r="F116" i="25"/>
  <c r="K115" i="25"/>
  <c r="F115" i="25"/>
  <c r="K114" i="25"/>
  <c r="F114" i="25"/>
  <c r="K113" i="25"/>
  <c r="F113" i="25"/>
  <c r="K112" i="25"/>
  <c r="F112" i="25"/>
  <c r="K111" i="25"/>
  <c r="F111" i="25"/>
  <c r="K110" i="25"/>
  <c r="F110" i="25"/>
  <c r="K109" i="25"/>
  <c r="F109" i="25"/>
  <c r="K108" i="25"/>
  <c r="F108" i="25"/>
  <c r="K107" i="25"/>
  <c r="F107" i="25"/>
  <c r="K106" i="25"/>
  <c r="F106" i="25"/>
  <c r="K105" i="25"/>
  <c r="F105" i="25"/>
  <c r="K104" i="25"/>
  <c r="F104" i="25"/>
  <c r="K103" i="25"/>
  <c r="F103" i="25"/>
  <c r="K102" i="25"/>
  <c r="F102" i="25"/>
  <c r="K101" i="25"/>
  <c r="F101" i="25"/>
  <c r="K100" i="25"/>
  <c r="F100" i="25"/>
  <c r="K99" i="25"/>
  <c r="F99" i="25"/>
  <c r="K98" i="25"/>
  <c r="F98" i="25"/>
  <c r="K97" i="25"/>
  <c r="F97" i="25"/>
  <c r="K96" i="25"/>
  <c r="F96" i="25"/>
  <c r="K95" i="25"/>
  <c r="F95" i="25"/>
  <c r="K94" i="25"/>
  <c r="F94" i="25"/>
  <c r="K93" i="25"/>
  <c r="F93" i="25"/>
  <c r="K92" i="25"/>
  <c r="F92" i="25"/>
  <c r="K91" i="25"/>
  <c r="F91" i="25"/>
  <c r="K90" i="25"/>
  <c r="F90" i="25"/>
  <c r="K89" i="25"/>
  <c r="F89" i="25"/>
  <c r="K88" i="25"/>
  <c r="F88" i="25"/>
  <c r="K87" i="25"/>
  <c r="F87" i="25"/>
  <c r="K86" i="25"/>
  <c r="F86" i="25"/>
  <c r="K85" i="25"/>
  <c r="F85" i="25"/>
  <c r="K84" i="25"/>
  <c r="F84" i="25"/>
  <c r="K83" i="25"/>
  <c r="F83" i="25"/>
  <c r="K82" i="25"/>
  <c r="F82" i="25"/>
  <c r="K81" i="25"/>
  <c r="F81" i="25"/>
  <c r="K80" i="25"/>
  <c r="F80" i="25"/>
  <c r="K79" i="25"/>
  <c r="F79" i="25"/>
  <c r="K78" i="25"/>
  <c r="F78" i="25"/>
  <c r="K77" i="25"/>
  <c r="F77" i="25"/>
  <c r="K76" i="25"/>
  <c r="F76" i="25"/>
  <c r="K75" i="25"/>
  <c r="F75" i="25"/>
  <c r="K74" i="25"/>
  <c r="F74" i="25"/>
  <c r="K73" i="25"/>
  <c r="F73" i="25"/>
  <c r="K72" i="25"/>
  <c r="F72" i="25"/>
  <c r="K71" i="25"/>
  <c r="F71" i="25"/>
  <c r="K70" i="25"/>
  <c r="F70" i="25"/>
  <c r="K69" i="25"/>
  <c r="F69" i="25"/>
  <c r="K68" i="25"/>
  <c r="F68" i="25"/>
  <c r="K67" i="25"/>
  <c r="F67" i="25"/>
  <c r="K66" i="25"/>
  <c r="F66" i="25"/>
  <c r="K65" i="25"/>
  <c r="F65" i="25"/>
  <c r="K64" i="25"/>
  <c r="F64" i="25"/>
  <c r="K63" i="25"/>
  <c r="F63" i="25"/>
  <c r="K62" i="25"/>
  <c r="F62" i="25"/>
  <c r="K61" i="25"/>
  <c r="F61" i="25"/>
  <c r="K60" i="25"/>
  <c r="F60" i="25"/>
  <c r="K59" i="25"/>
  <c r="F59" i="25"/>
  <c r="K58" i="25"/>
  <c r="F58" i="25"/>
  <c r="K57" i="25"/>
  <c r="F57" i="25"/>
  <c r="K56" i="25"/>
  <c r="F56" i="25"/>
  <c r="K55" i="25"/>
  <c r="F55" i="25"/>
  <c r="K54" i="25"/>
  <c r="F54" i="25"/>
  <c r="K53" i="25"/>
  <c r="F53" i="25"/>
  <c r="K52" i="25"/>
  <c r="F52" i="25"/>
  <c r="K51" i="25"/>
  <c r="F51" i="25"/>
  <c r="K50" i="25"/>
  <c r="F50" i="25"/>
  <c r="K49" i="25"/>
  <c r="F49" i="25"/>
  <c r="K48" i="25"/>
  <c r="F48" i="25"/>
  <c r="K47" i="25"/>
  <c r="F47" i="25"/>
  <c r="K46" i="25"/>
  <c r="F46" i="25"/>
  <c r="K45" i="25"/>
  <c r="F45" i="25"/>
  <c r="K44" i="25"/>
  <c r="F44" i="25"/>
  <c r="K43" i="25"/>
  <c r="F43" i="25"/>
  <c r="K42" i="25"/>
  <c r="F42" i="25"/>
  <c r="K41" i="25"/>
  <c r="F41" i="25"/>
  <c r="K40" i="25"/>
  <c r="F40" i="25"/>
  <c r="K39" i="25"/>
  <c r="F39" i="25"/>
  <c r="K38" i="25"/>
  <c r="F38" i="25"/>
  <c r="K37" i="25"/>
  <c r="F37" i="25"/>
  <c r="K36" i="25"/>
  <c r="F36" i="25"/>
  <c r="K35" i="25"/>
  <c r="F35" i="25"/>
  <c r="K34" i="25"/>
  <c r="F34" i="25"/>
  <c r="K33" i="25"/>
  <c r="F33" i="25"/>
  <c r="K32" i="25"/>
  <c r="F32" i="25"/>
  <c r="K31" i="25"/>
  <c r="F31" i="25"/>
  <c r="K30" i="25"/>
  <c r="F30" i="25"/>
  <c r="K29" i="25"/>
  <c r="F29" i="25"/>
  <c r="K28" i="25"/>
  <c r="F28" i="25"/>
  <c r="K27" i="25"/>
  <c r="F27" i="25"/>
  <c r="K26" i="25"/>
  <c r="F26" i="25"/>
  <c r="K25" i="25"/>
  <c r="F25" i="25"/>
  <c r="K24" i="25"/>
  <c r="F24" i="25"/>
  <c r="K23" i="25"/>
  <c r="F23" i="25"/>
  <c r="K22" i="25"/>
  <c r="F22" i="25"/>
  <c r="K21" i="25"/>
  <c r="F21" i="25"/>
  <c r="K20" i="25"/>
  <c r="F20" i="25"/>
  <c r="K19" i="25"/>
  <c r="F19" i="25"/>
  <c r="K18" i="25"/>
  <c r="F18" i="25"/>
  <c r="K17" i="25"/>
  <c r="F17" i="25"/>
  <c r="K16" i="25"/>
  <c r="F16" i="25"/>
  <c r="K15" i="25"/>
  <c r="F15" i="25"/>
  <c r="K14" i="25"/>
  <c r="F14" i="25"/>
  <c r="K13" i="25"/>
  <c r="F13" i="25"/>
  <c r="K12" i="25"/>
  <c r="F12" i="25"/>
  <c r="K11" i="25"/>
  <c r="F11" i="25"/>
  <c r="K10" i="25"/>
  <c r="F10" i="25"/>
  <c r="K9" i="25"/>
  <c r="F9" i="25"/>
  <c r="K8" i="25"/>
  <c r="F8" i="25"/>
  <c r="K7" i="25"/>
  <c r="F7" i="25"/>
  <c r="BL18" i="14" l="1"/>
  <c r="BK32" i="14"/>
  <c r="BD14" i="14"/>
  <c r="BD12" i="14"/>
  <c r="BD10" i="14"/>
  <c r="AS47" i="14"/>
  <c r="AS48" i="14" s="1"/>
  <c r="AT47" i="14"/>
  <c r="AT48" i="14" s="1"/>
  <c r="BL10" i="14"/>
  <c r="BJ55" i="14"/>
  <c r="BL54" i="14"/>
  <c r="BK11" i="14"/>
  <c r="AT26" i="14"/>
  <c r="AS44" i="14"/>
  <c r="AR44" i="14"/>
  <c r="AQ44" i="14"/>
  <c r="BD6" i="14"/>
  <c r="BD8" i="14"/>
  <c r="AS32" i="14"/>
  <c r="AS33" i="14" s="1"/>
  <c r="AT30" i="14"/>
  <c r="AT31" i="14" s="1"/>
  <c r="AS30" i="14"/>
  <c r="AS31" i="14" s="1"/>
  <c r="AT32" i="14"/>
  <c r="AT33" i="14" s="1"/>
  <c r="AU30" i="14"/>
  <c r="AU31" i="14" s="1"/>
  <c r="AU32" i="14"/>
  <c r="AU33" i="14" s="1"/>
  <c r="AS24" i="14"/>
  <c r="AS26" i="14"/>
  <c r="AT24" i="14"/>
  <c r="AU24" i="14"/>
  <c r="AU26" i="14"/>
  <c r="T6" i="14"/>
  <c r="F419" i="25"/>
  <c r="T26" i="14"/>
  <c r="K419" i="25"/>
  <c r="T7" i="14"/>
  <c r="T27" i="14"/>
  <c r="V16" i="14"/>
  <c r="BD7" i="14" l="1"/>
  <c r="BD11" i="14"/>
  <c r="BD9" i="14"/>
  <c r="BD13" i="14"/>
  <c r="BD15" i="14"/>
  <c r="AT25" i="14"/>
  <c r="AT36" i="14"/>
  <c r="AT37" i="14" s="1"/>
  <c r="AS27" i="14"/>
  <c r="AS38" i="14"/>
  <c r="AS39" i="14" s="1"/>
  <c r="AS25" i="14"/>
  <c r="AS36" i="14"/>
  <c r="AS37" i="14" s="1"/>
  <c r="AQ45" i="14"/>
  <c r="AS51" i="14"/>
  <c r="AS52" i="14" s="1"/>
  <c r="AR45" i="14"/>
  <c r="AT51" i="14"/>
  <c r="AT52" i="14" s="1"/>
  <c r="AT53" i="14"/>
  <c r="AT54" i="14" s="1"/>
  <c r="AS45" i="14"/>
  <c r="AU27" i="14"/>
  <c r="AU38" i="14"/>
  <c r="AU39" i="14" s="1"/>
  <c r="AS53" i="14"/>
  <c r="AS54" i="14" s="1"/>
  <c r="AU25" i="14"/>
  <c r="AU36" i="14"/>
  <c r="AU37" i="14" s="1"/>
  <c r="AT27" i="14"/>
  <c r="AT38" i="14"/>
  <c r="AT39" i="14" s="1"/>
  <c r="Q6" i="24" l="1"/>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R210" i="24"/>
  <c r="T6" i="23"/>
  <c r="T7" i="23"/>
  <c r="T8" i="23"/>
  <c r="T9" i="23"/>
  <c r="T10" i="23"/>
  <c r="T11" i="23"/>
  <c r="T12" i="23"/>
  <c r="T13" i="23"/>
  <c r="T14" i="23"/>
  <c r="T15" i="23"/>
  <c r="T16" i="23"/>
  <c r="T17" i="23"/>
  <c r="T18" i="23"/>
  <c r="T19" i="23"/>
  <c r="T20" i="23"/>
  <c r="T21" i="23"/>
  <c r="T22" i="23"/>
  <c r="T23" i="23"/>
  <c r="T24" i="23"/>
  <c r="T25" i="23"/>
  <c r="T26" i="23"/>
  <c r="T27" i="23"/>
  <c r="T28" i="23"/>
  <c r="T29" i="23"/>
  <c r="T30" i="23"/>
  <c r="T31" i="23"/>
  <c r="T32" i="23"/>
  <c r="T33" i="23"/>
  <c r="T34" i="23"/>
  <c r="T35" i="23"/>
  <c r="T36" i="23"/>
  <c r="T37" i="23"/>
  <c r="T38" i="23"/>
  <c r="T39" i="23"/>
  <c r="T40" i="23"/>
  <c r="T41" i="23"/>
  <c r="T42" i="23"/>
  <c r="T43" i="23"/>
  <c r="T44" i="23"/>
  <c r="T45" i="23"/>
  <c r="T46" i="23"/>
  <c r="T47" i="23"/>
  <c r="T48" i="23"/>
  <c r="T49" i="23"/>
  <c r="T50" i="23"/>
  <c r="T51" i="23"/>
  <c r="T52" i="23"/>
  <c r="T53" i="23"/>
  <c r="T54" i="23"/>
  <c r="T55" i="23"/>
  <c r="T56" i="23"/>
  <c r="T57" i="23"/>
  <c r="T58" i="23"/>
  <c r="T59" i="23"/>
  <c r="T60" i="23"/>
  <c r="T61" i="23"/>
  <c r="T62" i="23"/>
  <c r="T63" i="23"/>
  <c r="T64" i="23"/>
  <c r="T65" i="23"/>
  <c r="T66" i="23"/>
  <c r="T67" i="23"/>
  <c r="T68" i="23"/>
  <c r="T69" i="23"/>
  <c r="T70" i="23"/>
  <c r="T71" i="23"/>
  <c r="T72" i="23"/>
  <c r="T73" i="23"/>
  <c r="T74" i="23"/>
  <c r="T75" i="23"/>
  <c r="T76" i="23"/>
  <c r="T77" i="23"/>
  <c r="T78" i="23"/>
  <c r="T79" i="23"/>
  <c r="T80" i="23"/>
  <c r="T81" i="23"/>
  <c r="T82" i="23"/>
  <c r="T83" i="23"/>
  <c r="T84" i="23"/>
  <c r="T85" i="23"/>
  <c r="T86" i="23"/>
  <c r="T87" i="23"/>
  <c r="T88" i="23"/>
  <c r="T89" i="23"/>
  <c r="T90" i="23"/>
  <c r="T91" i="23"/>
  <c r="T92" i="23"/>
  <c r="T93" i="23"/>
  <c r="T94" i="23"/>
  <c r="T95" i="23"/>
  <c r="T96" i="23"/>
  <c r="T97" i="23"/>
  <c r="T98" i="23"/>
  <c r="T99" i="23"/>
  <c r="T100" i="23"/>
  <c r="T101" i="23"/>
  <c r="T102" i="23"/>
  <c r="T103" i="23"/>
  <c r="T104" i="23"/>
  <c r="T105" i="23"/>
  <c r="T106" i="23"/>
  <c r="T107" i="23"/>
  <c r="T108" i="23"/>
  <c r="T109" i="23"/>
  <c r="T110" i="23"/>
  <c r="T111" i="23"/>
  <c r="T112" i="23"/>
  <c r="T113" i="23"/>
  <c r="T114" i="23"/>
  <c r="T115" i="23"/>
  <c r="T116" i="23"/>
  <c r="T117" i="23"/>
  <c r="T118" i="23"/>
  <c r="T119" i="23"/>
  <c r="T120" i="23"/>
  <c r="T121" i="23"/>
  <c r="T122" i="23"/>
  <c r="T123" i="23"/>
  <c r="T124" i="23"/>
  <c r="T125" i="23"/>
  <c r="T126" i="23"/>
  <c r="T127" i="23"/>
  <c r="T128" i="23"/>
  <c r="T129" i="23"/>
  <c r="T130" i="23"/>
  <c r="T131" i="23"/>
  <c r="T132" i="23"/>
  <c r="T133" i="23"/>
  <c r="T134" i="23"/>
  <c r="T135" i="23"/>
  <c r="T136" i="23"/>
  <c r="T137" i="23"/>
  <c r="T138" i="23"/>
  <c r="T139" i="23"/>
  <c r="T140" i="23"/>
  <c r="T141" i="23"/>
  <c r="T142" i="23"/>
  <c r="T143" i="23"/>
  <c r="T144" i="23"/>
  <c r="T145" i="23"/>
  <c r="T146" i="23"/>
  <c r="T147" i="23"/>
  <c r="T148" i="23"/>
  <c r="T149" i="23"/>
  <c r="T150" i="23"/>
  <c r="T151" i="23"/>
  <c r="T152" i="23"/>
  <c r="T153" i="23"/>
  <c r="T154" i="23"/>
  <c r="T155" i="23"/>
  <c r="T156" i="23"/>
  <c r="T157" i="23"/>
  <c r="T158" i="23"/>
  <c r="T159" i="23"/>
  <c r="T160" i="23"/>
  <c r="T161" i="23"/>
  <c r="T162" i="23"/>
  <c r="T163" i="23"/>
  <c r="T164" i="23"/>
  <c r="T165" i="23"/>
  <c r="T166" i="23"/>
  <c r="T167" i="23"/>
  <c r="T168" i="23"/>
  <c r="T169" i="23"/>
  <c r="T170" i="23"/>
  <c r="T171" i="23"/>
  <c r="T172" i="23"/>
  <c r="T173" i="23"/>
  <c r="T174" i="23"/>
  <c r="T175" i="23"/>
  <c r="T176" i="23"/>
  <c r="T177" i="23"/>
  <c r="T178" i="23"/>
  <c r="T179" i="23"/>
  <c r="T180" i="23"/>
  <c r="T181" i="23"/>
  <c r="T182" i="23"/>
  <c r="T183" i="23"/>
  <c r="T184" i="23"/>
  <c r="T185" i="23"/>
  <c r="T186" i="23"/>
  <c r="T187" i="23"/>
  <c r="T188" i="23"/>
  <c r="T189" i="23"/>
  <c r="T190" i="23"/>
  <c r="T191" i="23"/>
  <c r="T192" i="23"/>
  <c r="T193" i="23"/>
  <c r="T194" i="23"/>
  <c r="T195" i="23"/>
  <c r="T196" i="23"/>
  <c r="T197" i="23"/>
  <c r="T198" i="23"/>
  <c r="T199" i="23"/>
  <c r="T200" i="23"/>
  <c r="T201" i="23"/>
  <c r="T202" i="23"/>
  <c r="T203" i="23"/>
  <c r="T204" i="23"/>
  <c r="T205" i="23"/>
  <c r="T206" i="23"/>
  <c r="T207" i="23"/>
  <c r="T208" i="23"/>
  <c r="T209" i="23"/>
  <c r="T210" i="23"/>
  <c r="T211" i="23"/>
  <c r="T212" i="23"/>
  <c r="T213" i="23"/>
  <c r="T214" i="23"/>
  <c r="T215" i="23"/>
  <c r="T216" i="23"/>
  <c r="T217" i="23"/>
  <c r="T218" i="23"/>
  <c r="T219" i="23"/>
  <c r="T220" i="23"/>
  <c r="T221" i="23"/>
  <c r="T222" i="23"/>
  <c r="T223" i="23"/>
  <c r="T224" i="23"/>
  <c r="T225" i="23"/>
  <c r="T226" i="23"/>
  <c r="T227" i="23"/>
  <c r="T228" i="23"/>
  <c r="T229" i="23"/>
  <c r="T230" i="23"/>
  <c r="T231" i="23"/>
  <c r="T232" i="23"/>
  <c r="T233" i="23"/>
  <c r="T234" i="23"/>
  <c r="T235" i="23"/>
  <c r="T236" i="23"/>
  <c r="T237" i="23"/>
  <c r="T238" i="23"/>
  <c r="T239" i="23"/>
  <c r="T240" i="23"/>
  <c r="T241" i="23"/>
  <c r="T242" i="23"/>
  <c r="T243" i="23"/>
  <c r="T244" i="23"/>
  <c r="T245" i="23"/>
  <c r="T246" i="23"/>
  <c r="T247" i="23"/>
  <c r="T248" i="23"/>
  <c r="T249" i="23"/>
  <c r="T250" i="23"/>
  <c r="T251" i="23"/>
  <c r="T252" i="23"/>
  <c r="T253" i="23"/>
  <c r="T254" i="23"/>
  <c r="T255" i="23"/>
  <c r="T256" i="23"/>
  <c r="T257" i="23"/>
  <c r="T258" i="23"/>
  <c r="T259" i="23"/>
  <c r="T260" i="23"/>
  <c r="T261" i="23"/>
  <c r="T262" i="23"/>
  <c r="T263" i="23"/>
  <c r="T264" i="23"/>
  <c r="T265" i="23"/>
  <c r="T266" i="23"/>
  <c r="T267" i="23"/>
  <c r="T268" i="23"/>
  <c r="T269" i="23"/>
  <c r="T270" i="23"/>
  <c r="T271" i="23"/>
  <c r="T272" i="23"/>
  <c r="T273" i="23"/>
  <c r="T274" i="23"/>
  <c r="T275" i="23"/>
  <c r="T276" i="23"/>
  <c r="T277" i="23"/>
  <c r="T278" i="23"/>
  <c r="T279" i="23"/>
  <c r="T280" i="23"/>
  <c r="T281" i="23"/>
  <c r="T282" i="23"/>
  <c r="T283" i="23"/>
  <c r="T284" i="23"/>
  <c r="T285" i="23"/>
  <c r="T286" i="23"/>
  <c r="T287" i="23"/>
  <c r="T288" i="23"/>
  <c r="T289" i="23"/>
  <c r="T290" i="23"/>
  <c r="T291" i="23"/>
  <c r="T292" i="23"/>
  <c r="T293" i="23"/>
  <c r="T294" i="23"/>
  <c r="T295" i="23"/>
  <c r="T296" i="23"/>
  <c r="T297" i="23"/>
  <c r="T298" i="23"/>
  <c r="T299" i="23"/>
  <c r="T300" i="23"/>
  <c r="T301" i="23"/>
  <c r="T302" i="23"/>
  <c r="T303" i="23"/>
  <c r="T304" i="23"/>
  <c r="T305" i="23"/>
  <c r="T306" i="23"/>
  <c r="T307" i="23"/>
  <c r="T308" i="23"/>
  <c r="T309" i="23"/>
  <c r="T310" i="23"/>
  <c r="T311" i="23"/>
  <c r="T312" i="23"/>
  <c r="T313" i="23"/>
  <c r="T314" i="23"/>
  <c r="T315" i="23"/>
  <c r="T316" i="23"/>
  <c r="T317" i="23"/>
  <c r="T318" i="23"/>
  <c r="T319" i="23"/>
  <c r="T320" i="23"/>
  <c r="T321" i="23"/>
  <c r="T322" i="23"/>
  <c r="T323" i="23"/>
  <c r="T324" i="23"/>
  <c r="T325" i="23"/>
  <c r="T326" i="23"/>
  <c r="T327" i="23"/>
  <c r="T328" i="23"/>
  <c r="T329" i="23"/>
  <c r="T330" i="23"/>
  <c r="T331" i="23"/>
  <c r="T332" i="23"/>
  <c r="T333" i="23"/>
  <c r="T334" i="23"/>
  <c r="T335" i="23"/>
  <c r="T336" i="23"/>
  <c r="T337" i="23"/>
  <c r="T338" i="23"/>
  <c r="T339" i="23"/>
  <c r="T340" i="23"/>
  <c r="T341" i="23"/>
  <c r="T342" i="23"/>
  <c r="T343" i="23"/>
  <c r="T344" i="23"/>
  <c r="T345" i="23"/>
  <c r="T346" i="23"/>
  <c r="T347" i="23"/>
  <c r="T348" i="23"/>
  <c r="T349" i="23"/>
  <c r="T350" i="23"/>
  <c r="T351" i="23"/>
  <c r="T352" i="23"/>
  <c r="T353" i="23"/>
  <c r="T354" i="23"/>
  <c r="T355" i="23"/>
  <c r="T356" i="23"/>
  <c r="T357" i="23"/>
  <c r="T358" i="23"/>
  <c r="T359" i="23"/>
  <c r="T360" i="23"/>
  <c r="T361" i="23"/>
  <c r="T362" i="23"/>
  <c r="T363" i="23"/>
  <c r="T364" i="23"/>
  <c r="T365" i="23"/>
  <c r="T366" i="23"/>
  <c r="T367" i="23"/>
  <c r="T368" i="23"/>
  <c r="T369" i="23"/>
  <c r="T370" i="23"/>
  <c r="T371" i="23"/>
  <c r="T372" i="23"/>
  <c r="T373" i="23"/>
  <c r="T374" i="23"/>
  <c r="T375" i="23"/>
  <c r="T376" i="23"/>
  <c r="T377" i="23"/>
  <c r="T378" i="23"/>
  <c r="T379" i="23"/>
  <c r="T380" i="23"/>
  <c r="T381" i="23"/>
  <c r="T382" i="23"/>
  <c r="T383" i="23"/>
  <c r="T384" i="23"/>
  <c r="T385" i="23"/>
  <c r="T386" i="23"/>
  <c r="T387" i="23"/>
  <c r="T388" i="23"/>
  <c r="T389" i="23"/>
  <c r="T390" i="23"/>
  <c r="T391" i="23"/>
  <c r="T392" i="23"/>
  <c r="T393" i="23"/>
  <c r="T394" i="23"/>
  <c r="T395" i="23"/>
  <c r="T396" i="23"/>
  <c r="T397" i="23"/>
  <c r="T398" i="23"/>
  <c r="T399" i="23"/>
  <c r="T400" i="23"/>
  <c r="T401" i="23"/>
  <c r="T402" i="23"/>
  <c r="T403" i="23"/>
  <c r="T404" i="23"/>
  <c r="T405" i="23"/>
  <c r="T406" i="23"/>
  <c r="T407" i="23"/>
  <c r="T408" i="23"/>
  <c r="T409" i="23"/>
  <c r="T410" i="23"/>
  <c r="T411" i="23"/>
  <c r="T412" i="23"/>
  <c r="T413" i="23"/>
  <c r="T414" i="23"/>
  <c r="T415" i="23"/>
  <c r="T416" i="23"/>
  <c r="T417" i="23"/>
  <c r="T418" i="23"/>
  <c r="T419" i="23"/>
  <c r="T420" i="23"/>
  <c r="T421" i="23"/>
  <c r="T422" i="23"/>
  <c r="T423" i="23"/>
  <c r="U6" i="23"/>
  <c r="U7" i="23"/>
  <c r="U8" i="23"/>
  <c r="U9" i="23"/>
  <c r="U10" i="23"/>
  <c r="U11" i="23"/>
  <c r="U12" i="23"/>
  <c r="U13" i="23"/>
  <c r="U14" i="23"/>
  <c r="U15" i="23"/>
  <c r="U16" i="23"/>
  <c r="U17" i="23"/>
  <c r="U18" i="23"/>
  <c r="U19" i="23"/>
  <c r="U20" i="23"/>
  <c r="U21" i="23"/>
  <c r="U22" i="23"/>
  <c r="U23" i="23"/>
  <c r="U24" i="23"/>
  <c r="U25" i="23"/>
  <c r="U26" i="23"/>
  <c r="U27" i="23"/>
  <c r="U396" i="23"/>
  <c r="U397" i="23"/>
  <c r="U398" i="23"/>
  <c r="U399" i="23"/>
  <c r="U400" i="23"/>
  <c r="U401" i="23"/>
  <c r="U402" i="23"/>
  <c r="U403" i="23"/>
  <c r="U404" i="23"/>
  <c r="U405" i="23"/>
  <c r="U406" i="23"/>
  <c r="U407" i="23"/>
  <c r="U408" i="23"/>
  <c r="U409" i="23"/>
  <c r="U410" i="23"/>
  <c r="U411" i="23"/>
  <c r="U412" i="23"/>
  <c r="U413" i="23"/>
  <c r="U414" i="23"/>
  <c r="U415" i="23"/>
  <c r="U416" i="23"/>
  <c r="U417" i="23"/>
  <c r="U418" i="23"/>
  <c r="U419" i="23"/>
  <c r="U420" i="23"/>
  <c r="U421" i="23"/>
  <c r="U422" i="23"/>
  <c r="U423" i="23"/>
  <c r="H940" i="16"/>
  <c r="D233" i="17"/>
  <c r="F233" i="17"/>
  <c r="H233" i="17"/>
  <c r="J233" i="17"/>
  <c r="L233" i="17"/>
  <c r="N233" i="17"/>
  <c r="P233" i="17"/>
  <c r="Q233"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P186" i="17"/>
  <c r="P232" i="17"/>
  <c r="Q147" i="16"/>
  <c r="Q347" i="16"/>
  <c r="Q354" i="16"/>
  <c r="Q355" i="16"/>
  <c r="Q484" i="16"/>
  <c r="Q586" i="16"/>
  <c r="Q720" i="16"/>
  <c r="Q778" i="16"/>
  <c r="Q937" i="16"/>
  <c r="R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86" i="16"/>
  <c r="R87" i="16"/>
  <c r="R88" i="16"/>
  <c r="R89" i="16"/>
  <c r="R90" i="16"/>
  <c r="R91" i="16"/>
  <c r="R92" i="16"/>
  <c r="R93" i="16"/>
  <c r="R94" i="16"/>
  <c r="R95" i="16"/>
  <c r="R96" i="16"/>
  <c r="R97" i="16"/>
  <c r="R98" i="16"/>
  <c r="R99" i="16"/>
  <c r="R100" i="16"/>
  <c r="R101" i="16"/>
  <c r="R102" i="16"/>
  <c r="R103" i="16"/>
  <c r="R104" i="16"/>
  <c r="R105" i="16"/>
  <c r="R106" i="16"/>
  <c r="R107" i="16"/>
  <c r="R108" i="16"/>
  <c r="R109" i="16"/>
  <c r="R110" i="16"/>
  <c r="R111" i="16"/>
  <c r="R112" i="16"/>
  <c r="R113" i="16"/>
  <c r="R114" i="16"/>
  <c r="R115" i="16"/>
  <c r="R116" i="16"/>
  <c r="R117" i="16"/>
  <c r="R118" i="16"/>
  <c r="R119" i="16"/>
  <c r="R120" i="16"/>
  <c r="R121" i="16"/>
  <c r="R122" i="16"/>
  <c r="R123" i="16"/>
  <c r="R124" i="16"/>
  <c r="R125" i="16"/>
  <c r="R126" i="16"/>
  <c r="R127" i="16"/>
  <c r="R128" i="16"/>
  <c r="R129" i="16"/>
  <c r="R130" i="16"/>
  <c r="R131" i="16"/>
  <c r="R132" i="16"/>
  <c r="R133" i="16"/>
  <c r="R134" i="16"/>
  <c r="R135" i="16"/>
  <c r="R136" i="16"/>
  <c r="R137" i="16"/>
  <c r="R138" i="16"/>
  <c r="R139" i="16"/>
  <c r="R140" i="16"/>
  <c r="R141" i="16"/>
  <c r="R142" i="16"/>
  <c r="R143" i="16"/>
  <c r="R144" i="16"/>
  <c r="R145" i="16"/>
  <c r="R146" i="16"/>
  <c r="R147" i="16"/>
  <c r="R148" i="16"/>
  <c r="R149" i="16"/>
  <c r="R150" i="16"/>
  <c r="R151" i="16"/>
  <c r="R152" i="16"/>
  <c r="R153" i="16"/>
  <c r="R154" i="16"/>
  <c r="R155" i="16"/>
  <c r="R156" i="16"/>
  <c r="R157" i="16"/>
  <c r="R158" i="16"/>
  <c r="R159" i="16"/>
  <c r="R160" i="16"/>
  <c r="R161" i="16"/>
  <c r="R162" i="16"/>
  <c r="R163" i="16"/>
  <c r="R164" i="16"/>
  <c r="R165" i="16"/>
  <c r="R166" i="16"/>
  <c r="R167" i="16"/>
  <c r="R168" i="16"/>
  <c r="R169" i="16"/>
  <c r="R170" i="16"/>
  <c r="R171" i="16"/>
  <c r="R172" i="16"/>
  <c r="R173" i="16"/>
  <c r="R174" i="16"/>
  <c r="R175" i="16"/>
  <c r="R176" i="16"/>
  <c r="R177" i="16"/>
  <c r="R178" i="16"/>
  <c r="R179" i="16"/>
  <c r="R180" i="16"/>
  <c r="R181" i="16"/>
  <c r="R182" i="16"/>
  <c r="R183" i="16"/>
  <c r="R184" i="16"/>
  <c r="R185" i="16"/>
  <c r="R186" i="16"/>
  <c r="R187" i="16"/>
  <c r="R188" i="16"/>
  <c r="R189" i="16"/>
  <c r="R190" i="16"/>
  <c r="R191" i="16"/>
  <c r="R192" i="16"/>
  <c r="R193" i="16"/>
  <c r="R194" i="16"/>
  <c r="R195" i="16"/>
  <c r="R196" i="16"/>
  <c r="R197" i="16"/>
  <c r="R198" i="16"/>
  <c r="R199" i="16"/>
  <c r="R200" i="16"/>
  <c r="R201" i="16"/>
  <c r="R202" i="16"/>
  <c r="R203" i="16"/>
  <c r="R204" i="16"/>
  <c r="R205" i="16"/>
  <c r="R206" i="16"/>
  <c r="R207" i="16"/>
  <c r="R208" i="16"/>
  <c r="R209" i="16"/>
  <c r="R210" i="16"/>
  <c r="R211" i="16"/>
  <c r="R212" i="16"/>
  <c r="R213" i="16"/>
  <c r="R214" i="16"/>
  <c r="R215" i="16"/>
  <c r="R216" i="16"/>
  <c r="R217" i="16"/>
  <c r="R218" i="16"/>
  <c r="R219" i="16"/>
  <c r="R220" i="16"/>
  <c r="R221" i="16"/>
  <c r="R222" i="16"/>
  <c r="R223" i="16"/>
  <c r="R224" i="16"/>
  <c r="R225" i="16"/>
  <c r="R226" i="16"/>
  <c r="R227" i="16"/>
  <c r="R228" i="16"/>
  <c r="R229" i="16"/>
  <c r="R230" i="16"/>
  <c r="R231" i="16"/>
  <c r="R232" i="16"/>
  <c r="R233" i="16"/>
  <c r="R234" i="16"/>
  <c r="R235" i="16"/>
  <c r="R236" i="16"/>
  <c r="R237" i="16"/>
  <c r="R238" i="16"/>
  <c r="R239" i="16"/>
  <c r="R240" i="16"/>
  <c r="R241" i="16"/>
  <c r="R242" i="16"/>
  <c r="R243" i="16"/>
  <c r="R244" i="16"/>
  <c r="R245" i="16"/>
  <c r="R246" i="16"/>
  <c r="R247" i="16"/>
  <c r="R248" i="16"/>
  <c r="R249" i="16"/>
  <c r="R250" i="16"/>
  <c r="R251" i="16"/>
  <c r="R252" i="16"/>
  <c r="R253" i="16"/>
  <c r="R254" i="16"/>
  <c r="R255" i="16"/>
  <c r="R256" i="16"/>
  <c r="R257" i="16"/>
  <c r="R258" i="16"/>
  <c r="R259" i="16"/>
  <c r="R260" i="16"/>
  <c r="R261" i="16"/>
  <c r="R262" i="16"/>
  <c r="R263" i="16"/>
  <c r="R264" i="16"/>
  <c r="R265" i="16"/>
  <c r="R266" i="16"/>
  <c r="R267" i="16"/>
  <c r="R268" i="16"/>
  <c r="R269" i="16"/>
  <c r="R270" i="16"/>
  <c r="R271" i="16"/>
  <c r="R272" i="16"/>
  <c r="R273" i="16"/>
  <c r="R274" i="16"/>
  <c r="R275" i="16"/>
  <c r="R276" i="16"/>
  <c r="R277" i="16"/>
  <c r="R278" i="16"/>
  <c r="R279" i="16"/>
  <c r="R280" i="16"/>
  <c r="R281" i="16"/>
  <c r="R282" i="16"/>
  <c r="R283" i="16"/>
  <c r="R284" i="16"/>
  <c r="R285" i="16"/>
  <c r="R286" i="16"/>
  <c r="R287" i="16"/>
  <c r="R288" i="16"/>
  <c r="R289" i="16"/>
  <c r="R290" i="16"/>
  <c r="R291" i="16"/>
  <c r="R292" i="16"/>
  <c r="R293" i="16"/>
  <c r="R294" i="16"/>
  <c r="R295" i="16"/>
  <c r="R296" i="16"/>
  <c r="R297" i="16"/>
  <c r="R298" i="16"/>
  <c r="R299" i="16"/>
  <c r="R300" i="16"/>
  <c r="R301" i="16"/>
  <c r="R302" i="16"/>
  <c r="R303" i="16"/>
  <c r="R304" i="16"/>
  <c r="R305" i="16"/>
  <c r="R306" i="16"/>
  <c r="R307" i="16"/>
  <c r="R308"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35" i="16"/>
  <c r="R336" i="16"/>
  <c r="R337" i="16"/>
  <c r="R338" i="16"/>
  <c r="R339" i="16"/>
  <c r="R340" i="16"/>
  <c r="R341" i="16"/>
  <c r="R342" i="16"/>
  <c r="R343" i="16"/>
  <c r="R344" i="16"/>
  <c r="R345" i="16"/>
  <c r="R346" i="16"/>
  <c r="R347" i="16"/>
  <c r="R348" i="16"/>
  <c r="R349" i="16"/>
  <c r="R350" i="16"/>
  <c r="R351" i="16"/>
  <c r="R352" i="16"/>
  <c r="R353" i="16"/>
  <c r="R354" i="16"/>
  <c r="R355" i="16"/>
  <c r="R356" i="16"/>
  <c r="R357" i="16"/>
  <c r="R358" i="16"/>
  <c r="R359" i="16"/>
  <c r="R360" i="16"/>
  <c r="R361" i="16"/>
  <c r="R362" i="16"/>
  <c r="R363" i="16"/>
  <c r="R364" i="16"/>
  <c r="R365" i="16"/>
  <c r="R366" i="16"/>
  <c r="R367" i="16"/>
  <c r="R368" i="16"/>
  <c r="R369" i="16"/>
  <c r="R370" i="16"/>
  <c r="R371" i="16"/>
  <c r="R372" i="16"/>
  <c r="R373" i="16"/>
  <c r="R374" i="16"/>
  <c r="R375" i="16"/>
  <c r="R376" i="16"/>
  <c r="R377" i="16"/>
  <c r="R378" i="16"/>
  <c r="R379" i="16"/>
  <c r="R380" i="16"/>
  <c r="R381" i="16"/>
  <c r="R382" i="16"/>
  <c r="R383" i="16"/>
  <c r="R384" i="16"/>
  <c r="R385" i="16"/>
  <c r="R386" i="16"/>
  <c r="R387" i="16"/>
  <c r="R388" i="16"/>
  <c r="R389" i="16"/>
  <c r="R390" i="16"/>
  <c r="R391" i="16"/>
  <c r="R392" i="16"/>
  <c r="R393" i="16"/>
  <c r="R394" i="16"/>
  <c r="R395" i="16"/>
  <c r="R396" i="16"/>
  <c r="R397" i="16"/>
  <c r="R398" i="16"/>
  <c r="R399" i="16"/>
  <c r="R400" i="16"/>
  <c r="R401" i="16"/>
  <c r="R402" i="16"/>
  <c r="R403" i="16"/>
  <c r="R404" i="16"/>
  <c r="R405" i="16"/>
  <c r="R406" i="16"/>
  <c r="R407" i="16"/>
  <c r="R408" i="16"/>
  <c r="R409" i="16"/>
  <c r="R410" i="16"/>
  <c r="R411" i="16"/>
  <c r="R412" i="16"/>
  <c r="R413" i="16"/>
  <c r="R414" i="16"/>
  <c r="R415" i="16"/>
  <c r="R416" i="16"/>
  <c r="R417" i="16"/>
  <c r="R418" i="16"/>
  <c r="R419" i="16"/>
  <c r="R420" i="16"/>
  <c r="R421" i="16"/>
  <c r="R422" i="16"/>
  <c r="R423" i="16"/>
  <c r="R424" i="16"/>
  <c r="R425" i="16"/>
  <c r="R426" i="16"/>
  <c r="R427" i="16"/>
  <c r="R428" i="16"/>
  <c r="R429" i="16"/>
  <c r="R430" i="16"/>
  <c r="R431" i="16"/>
  <c r="R432" i="16"/>
  <c r="R433" i="16"/>
  <c r="R434" i="16"/>
  <c r="R435" i="16"/>
  <c r="R436" i="16"/>
  <c r="R437" i="16"/>
  <c r="R438" i="16"/>
  <c r="R439" i="16"/>
  <c r="R440" i="16"/>
  <c r="R441" i="16"/>
  <c r="R442" i="16"/>
  <c r="R443" i="16"/>
  <c r="R444" i="16"/>
  <c r="R445" i="16"/>
  <c r="R446" i="16"/>
  <c r="R447" i="16"/>
  <c r="R448" i="16"/>
  <c r="R449" i="16"/>
  <c r="R450" i="16"/>
  <c r="R451" i="16"/>
  <c r="R452" i="16"/>
  <c r="R453" i="16"/>
  <c r="R454" i="16"/>
  <c r="R455" i="16"/>
  <c r="R456" i="16"/>
  <c r="R457" i="16"/>
  <c r="R458" i="16"/>
  <c r="R459" i="16"/>
  <c r="R460" i="16"/>
  <c r="R461" i="16"/>
  <c r="R462" i="16"/>
  <c r="R463" i="16"/>
  <c r="R464" i="16"/>
  <c r="R465" i="16"/>
  <c r="R466" i="16"/>
  <c r="R467" i="16"/>
  <c r="R468" i="16"/>
  <c r="R469" i="16"/>
  <c r="R470" i="16"/>
  <c r="R471" i="16"/>
  <c r="R472" i="16"/>
  <c r="R473" i="16"/>
  <c r="R474" i="16"/>
  <c r="R475" i="16"/>
  <c r="R476" i="16"/>
  <c r="R477" i="16"/>
  <c r="R478" i="16"/>
  <c r="R479" i="16"/>
  <c r="R480" i="16"/>
  <c r="R481" i="16"/>
  <c r="R482" i="16"/>
  <c r="R483" i="16"/>
  <c r="R484" i="16"/>
  <c r="R485" i="16"/>
  <c r="R486" i="16"/>
  <c r="R487" i="16"/>
  <c r="R488" i="16"/>
  <c r="R489" i="16"/>
  <c r="R490" i="16"/>
  <c r="R491" i="16"/>
  <c r="R492" i="16"/>
  <c r="R493" i="16"/>
  <c r="R494" i="16"/>
  <c r="R495" i="16"/>
  <c r="R496" i="16"/>
  <c r="R497" i="16"/>
  <c r="R498" i="16"/>
  <c r="R499" i="16"/>
  <c r="R500" i="16"/>
  <c r="R501" i="16"/>
  <c r="R502" i="16"/>
  <c r="R503" i="16"/>
  <c r="R504" i="16"/>
  <c r="R505" i="16"/>
  <c r="R506" i="16"/>
  <c r="R507" i="16"/>
  <c r="R508" i="16"/>
  <c r="R509" i="16"/>
  <c r="R510" i="16"/>
  <c r="R511" i="16"/>
  <c r="R512" i="16"/>
  <c r="R513" i="16"/>
  <c r="R514" i="16"/>
  <c r="R515" i="16"/>
  <c r="R516" i="16"/>
  <c r="R517" i="16"/>
  <c r="R518" i="16"/>
  <c r="R519" i="16"/>
  <c r="R520" i="16"/>
  <c r="R521" i="16"/>
  <c r="R522" i="16"/>
  <c r="R523" i="16"/>
  <c r="R524" i="16"/>
  <c r="R525" i="16"/>
  <c r="R526" i="16"/>
  <c r="R527" i="16"/>
  <c r="R528" i="16"/>
  <c r="R529" i="16"/>
  <c r="R530" i="16"/>
  <c r="R531" i="16"/>
  <c r="R532" i="16"/>
  <c r="R533" i="16"/>
  <c r="R534" i="16"/>
  <c r="R535" i="16"/>
  <c r="R536" i="16"/>
  <c r="R537" i="16"/>
  <c r="R538" i="16"/>
  <c r="R539" i="16"/>
  <c r="R540" i="16"/>
  <c r="R541" i="16"/>
  <c r="R542" i="16"/>
  <c r="R543" i="16"/>
  <c r="R544" i="16"/>
  <c r="R545" i="16"/>
  <c r="R546" i="16"/>
  <c r="R547" i="16"/>
  <c r="R548" i="16"/>
  <c r="R549" i="16"/>
  <c r="R550" i="16"/>
  <c r="R551" i="16"/>
  <c r="R552" i="16"/>
  <c r="R553" i="16"/>
  <c r="R554" i="16"/>
  <c r="R555" i="16"/>
  <c r="R556" i="16"/>
  <c r="R557" i="16"/>
  <c r="R558" i="16"/>
  <c r="R559" i="16"/>
  <c r="R560" i="16"/>
  <c r="R561" i="16"/>
  <c r="R562" i="16"/>
  <c r="R563" i="16"/>
  <c r="R564" i="16"/>
  <c r="R565" i="16"/>
  <c r="R566" i="16"/>
  <c r="R567" i="16"/>
  <c r="R568" i="16"/>
  <c r="R569" i="16"/>
  <c r="R570" i="16"/>
  <c r="R571" i="16"/>
  <c r="R572" i="16"/>
  <c r="R573" i="16"/>
  <c r="R574" i="16"/>
  <c r="R575" i="16"/>
  <c r="R576" i="16"/>
  <c r="R577" i="16"/>
  <c r="R578" i="16"/>
  <c r="R579" i="16"/>
  <c r="R580" i="16"/>
  <c r="R581" i="16"/>
  <c r="R582" i="16"/>
  <c r="R583" i="16"/>
  <c r="R584" i="16"/>
  <c r="R585" i="16"/>
  <c r="R586" i="16"/>
  <c r="R587" i="16"/>
  <c r="R588" i="16"/>
  <c r="R589" i="16"/>
  <c r="R590" i="16"/>
  <c r="R591" i="16"/>
  <c r="R592" i="16"/>
  <c r="R593" i="16"/>
  <c r="R594" i="16"/>
  <c r="R595" i="16"/>
  <c r="R596" i="16"/>
  <c r="R597" i="16"/>
  <c r="R598" i="16"/>
  <c r="R599" i="16"/>
  <c r="R600" i="16"/>
  <c r="R601" i="16"/>
  <c r="R602" i="16"/>
  <c r="R603" i="16"/>
  <c r="R604" i="16"/>
  <c r="R605" i="16"/>
  <c r="R606" i="16"/>
  <c r="R607" i="16"/>
  <c r="R608" i="16"/>
  <c r="R609" i="16"/>
  <c r="R610" i="16"/>
  <c r="R611" i="16"/>
  <c r="R612" i="16"/>
  <c r="R613" i="16"/>
  <c r="R614" i="16"/>
  <c r="R615" i="16"/>
  <c r="R616" i="16"/>
  <c r="R617" i="16"/>
  <c r="R618" i="16"/>
  <c r="R619" i="16"/>
  <c r="R620" i="16"/>
  <c r="R621" i="16"/>
  <c r="R622" i="16"/>
  <c r="R623" i="16"/>
  <c r="R624" i="16"/>
  <c r="R625" i="16"/>
  <c r="R626" i="16"/>
  <c r="R627" i="16"/>
  <c r="R628" i="16"/>
  <c r="R629" i="16"/>
  <c r="R630" i="16"/>
  <c r="R631" i="16"/>
  <c r="R632" i="16"/>
  <c r="R633" i="16"/>
  <c r="R634" i="16"/>
  <c r="R635" i="16"/>
  <c r="R636" i="16"/>
  <c r="R637" i="16"/>
  <c r="R638" i="16"/>
  <c r="R639" i="16"/>
  <c r="R640" i="16"/>
  <c r="R641" i="16"/>
  <c r="R642" i="16"/>
  <c r="R643" i="16"/>
  <c r="R644" i="16"/>
  <c r="R645" i="16"/>
  <c r="R646" i="16"/>
  <c r="R647" i="16"/>
  <c r="R648" i="16"/>
  <c r="R649" i="16"/>
  <c r="R650" i="16"/>
  <c r="R651" i="16"/>
  <c r="R652" i="16"/>
  <c r="R653" i="16"/>
  <c r="R654" i="16"/>
  <c r="R655" i="16"/>
  <c r="R656" i="16"/>
  <c r="R657" i="16"/>
  <c r="R658" i="16"/>
  <c r="R659" i="16"/>
  <c r="R660" i="16"/>
  <c r="R661" i="16"/>
  <c r="R662" i="16"/>
  <c r="R663" i="16"/>
  <c r="R664" i="16"/>
  <c r="R665" i="16"/>
  <c r="R666" i="16"/>
  <c r="R667" i="16"/>
  <c r="R668" i="16"/>
  <c r="R669" i="16"/>
  <c r="R670" i="16"/>
  <c r="R671" i="16"/>
  <c r="R672" i="16"/>
  <c r="R673" i="16"/>
  <c r="R674" i="16"/>
  <c r="R675" i="16"/>
  <c r="R676" i="16"/>
  <c r="R677" i="16"/>
  <c r="R678" i="16"/>
  <c r="R679" i="16"/>
  <c r="R680" i="16"/>
  <c r="R681" i="16"/>
  <c r="R682" i="16"/>
  <c r="R683" i="16"/>
  <c r="R684" i="16"/>
  <c r="R685" i="16"/>
  <c r="R686" i="16"/>
  <c r="R687" i="16"/>
  <c r="R688" i="16"/>
  <c r="R689" i="16"/>
  <c r="R690" i="16"/>
  <c r="R691" i="16"/>
  <c r="R692" i="16"/>
  <c r="R693" i="16"/>
  <c r="R694" i="16"/>
  <c r="R695" i="16"/>
  <c r="R696" i="16"/>
  <c r="R697" i="16"/>
  <c r="R698" i="16"/>
  <c r="R699" i="16"/>
  <c r="R700" i="16"/>
  <c r="R701" i="16"/>
  <c r="R702" i="16"/>
  <c r="R703" i="16"/>
  <c r="R704" i="16"/>
  <c r="R705" i="16"/>
  <c r="R706" i="16"/>
  <c r="R707" i="16"/>
  <c r="R708" i="16"/>
  <c r="R709" i="16"/>
  <c r="R710" i="16"/>
  <c r="R711" i="16"/>
  <c r="R712" i="16"/>
  <c r="R713" i="16"/>
  <c r="R714" i="16"/>
  <c r="R715" i="16"/>
  <c r="R716" i="16"/>
  <c r="R717" i="16"/>
  <c r="R718" i="16"/>
  <c r="R719" i="16"/>
  <c r="R720" i="16"/>
  <c r="R721" i="16"/>
  <c r="R722" i="16"/>
  <c r="R723" i="16"/>
  <c r="R724" i="16"/>
  <c r="R725" i="16"/>
  <c r="R726" i="16"/>
  <c r="R727" i="16"/>
  <c r="R728" i="16"/>
  <c r="R729" i="16"/>
  <c r="R730" i="16"/>
  <c r="R731" i="16"/>
  <c r="R732" i="16"/>
  <c r="R733" i="16"/>
  <c r="R734" i="16"/>
  <c r="R735" i="16"/>
  <c r="R736" i="16"/>
  <c r="R737" i="16"/>
  <c r="R738" i="16"/>
  <c r="R739" i="16"/>
  <c r="R740" i="16"/>
  <c r="R741" i="16"/>
  <c r="R742" i="16"/>
  <c r="R743" i="16"/>
  <c r="R744" i="16"/>
  <c r="R745" i="16"/>
  <c r="R746" i="16"/>
  <c r="R747" i="16"/>
  <c r="R748" i="16"/>
  <c r="R749" i="16"/>
  <c r="R750" i="16"/>
  <c r="R751" i="16"/>
  <c r="R752" i="16"/>
  <c r="R753" i="16"/>
  <c r="R754" i="16"/>
  <c r="R755" i="16"/>
  <c r="R756" i="16"/>
  <c r="R757" i="16"/>
  <c r="R758" i="16"/>
  <c r="R759" i="16"/>
  <c r="R760" i="16"/>
  <c r="R761" i="16"/>
  <c r="R762" i="16"/>
  <c r="R763" i="16"/>
  <c r="R764" i="16"/>
  <c r="R765" i="16"/>
  <c r="R766" i="16"/>
  <c r="R767" i="16"/>
  <c r="R768" i="16"/>
  <c r="R769" i="16"/>
  <c r="R770" i="16"/>
  <c r="R771" i="16"/>
  <c r="R772" i="16"/>
  <c r="R773" i="16"/>
  <c r="R774" i="16"/>
  <c r="R775" i="16"/>
  <c r="R776" i="16"/>
  <c r="R777" i="16"/>
  <c r="R778" i="16"/>
  <c r="R779" i="16"/>
  <c r="R780" i="16"/>
  <c r="R781" i="16"/>
  <c r="R782" i="16"/>
  <c r="R783" i="16"/>
  <c r="R784" i="16"/>
  <c r="R785" i="16"/>
  <c r="R786" i="16"/>
  <c r="R787" i="16"/>
  <c r="R788" i="16"/>
  <c r="R789" i="16"/>
  <c r="R790" i="16"/>
  <c r="R791" i="16"/>
  <c r="R792" i="16"/>
  <c r="R793" i="16"/>
  <c r="R794" i="16"/>
  <c r="R795" i="16"/>
  <c r="R796" i="16"/>
  <c r="R797" i="16"/>
  <c r="R798" i="16"/>
  <c r="R799" i="16"/>
  <c r="R800" i="16"/>
  <c r="R801" i="16"/>
  <c r="R802" i="16"/>
  <c r="R803" i="16"/>
  <c r="R804" i="16"/>
  <c r="R805" i="16"/>
  <c r="R806" i="16"/>
  <c r="R807" i="16"/>
  <c r="R808" i="16"/>
  <c r="R809" i="16"/>
  <c r="R810" i="16"/>
  <c r="R811" i="16"/>
  <c r="R812" i="16"/>
  <c r="R813" i="16"/>
  <c r="R814" i="16"/>
  <c r="R815" i="16"/>
  <c r="R816" i="16"/>
  <c r="R817" i="16"/>
  <c r="R818" i="16"/>
  <c r="R819" i="16"/>
  <c r="R820" i="16"/>
  <c r="R821" i="16"/>
  <c r="R822" i="16"/>
  <c r="R823" i="16"/>
  <c r="R824" i="16"/>
  <c r="R825" i="16"/>
  <c r="R826" i="16"/>
  <c r="R827" i="16"/>
  <c r="R828" i="16"/>
  <c r="R829" i="16"/>
  <c r="R830" i="16"/>
  <c r="R831" i="16"/>
  <c r="R832" i="16"/>
  <c r="R833" i="16"/>
  <c r="R834" i="16"/>
  <c r="R835" i="16"/>
  <c r="R836" i="16"/>
  <c r="R837" i="16"/>
  <c r="R838" i="16"/>
  <c r="R839" i="16"/>
  <c r="R840" i="16"/>
  <c r="R841" i="16"/>
  <c r="R842" i="16"/>
  <c r="R843" i="16"/>
  <c r="R844" i="16"/>
  <c r="R845" i="16"/>
  <c r="R846" i="16"/>
  <c r="R847" i="16"/>
  <c r="R848" i="16"/>
  <c r="R849" i="16"/>
  <c r="R850" i="16"/>
  <c r="R851" i="16"/>
  <c r="R852" i="16"/>
  <c r="R853" i="16"/>
  <c r="R854" i="16"/>
  <c r="R855" i="16"/>
  <c r="R856" i="16"/>
  <c r="R857" i="16"/>
  <c r="R858" i="16"/>
  <c r="R859" i="16"/>
  <c r="R860" i="16"/>
  <c r="R861" i="16"/>
  <c r="R862" i="16"/>
  <c r="R863" i="16"/>
  <c r="R864" i="16"/>
  <c r="R865" i="16"/>
  <c r="R866" i="16"/>
  <c r="R867" i="16"/>
  <c r="R868" i="16"/>
  <c r="R869" i="16"/>
  <c r="R870" i="16"/>
  <c r="R871" i="16"/>
  <c r="R872" i="16"/>
  <c r="R873" i="16"/>
  <c r="R874" i="16"/>
  <c r="R875" i="16"/>
  <c r="R876" i="16"/>
  <c r="R877" i="16"/>
  <c r="R878" i="16"/>
  <c r="R879" i="16"/>
  <c r="R880" i="16"/>
  <c r="R881" i="16"/>
  <c r="R882" i="16"/>
  <c r="R883" i="16"/>
  <c r="R884" i="16"/>
  <c r="R885" i="16"/>
  <c r="R886" i="16"/>
  <c r="R887" i="16"/>
  <c r="R888" i="16"/>
  <c r="R889" i="16"/>
  <c r="R890" i="16"/>
  <c r="R891" i="16"/>
  <c r="R892" i="16"/>
  <c r="R893" i="16"/>
  <c r="R894" i="16"/>
  <c r="R895" i="16"/>
  <c r="R896" i="16"/>
  <c r="R897" i="16"/>
  <c r="R898" i="16"/>
  <c r="R899" i="16"/>
  <c r="R900" i="16"/>
  <c r="R901" i="16"/>
  <c r="R902" i="16"/>
  <c r="R903" i="16"/>
  <c r="R904" i="16"/>
  <c r="R905" i="16"/>
  <c r="R906" i="16"/>
  <c r="R907" i="16"/>
  <c r="R908" i="16"/>
  <c r="R909" i="16"/>
  <c r="R910" i="16"/>
  <c r="R911" i="16"/>
  <c r="R912" i="16"/>
  <c r="R913" i="16"/>
  <c r="R914" i="16"/>
  <c r="R915" i="16"/>
  <c r="R916" i="16"/>
  <c r="R917" i="16"/>
  <c r="R918" i="16"/>
  <c r="R919" i="16"/>
  <c r="R920" i="16"/>
  <c r="R921" i="16"/>
  <c r="R922" i="16"/>
  <c r="R923" i="16"/>
  <c r="R924" i="16"/>
  <c r="R925" i="16"/>
  <c r="R926" i="16"/>
  <c r="R927" i="16"/>
  <c r="R928" i="16"/>
  <c r="R929" i="16"/>
  <c r="R930" i="16"/>
  <c r="R931" i="16"/>
  <c r="R932" i="16"/>
  <c r="R933" i="16"/>
  <c r="R934" i="16"/>
  <c r="R935" i="16"/>
  <c r="R936" i="16"/>
  <c r="R937" i="16"/>
  <c r="X2" i="31"/>
  <c r="K18" i="27"/>
  <c r="K19" i="27"/>
  <c r="P696" i="18" s="1"/>
  <c r="K20" i="27"/>
  <c r="K21" i="27"/>
  <c r="K22" i="27"/>
  <c r="K23" i="27"/>
  <c r="K24" i="27"/>
  <c r="K25" i="27"/>
  <c r="K26" i="27"/>
  <c r="K27" i="27"/>
  <c r="K28" i="27"/>
  <c r="K29" i="27"/>
  <c r="K30" i="27"/>
  <c r="K31" i="27"/>
  <c r="K32" i="27"/>
  <c r="K33" i="27"/>
  <c r="P710" i="18" s="1"/>
  <c r="K34" i="27"/>
  <c r="K35" i="27"/>
  <c r="K36" i="27"/>
  <c r="K37" i="27"/>
  <c r="K38" i="27"/>
  <c r="K39" i="27"/>
  <c r="K40" i="27"/>
  <c r="K41" i="27"/>
  <c r="K42" i="27"/>
  <c r="K43" i="27"/>
  <c r="K44" i="27"/>
  <c r="P158" i="18" s="1"/>
  <c r="K45" i="27"/>
  <c r="K46" i="27"/>
  <c r="K47" i="27"/>
  <c r="K48" i="27"/>
  <c r="K49" i="27"/>
  <c r="K50" i="27"/>
  <c r="K51" i="27"/>
  <c r="K52" i="27"/>
  <c r="K53" i="27"/>
  <c r="K54" i="27"/>
  <c r="K55" i="27"/>
  <c r="K56" i="27"/>
  <c r="K57" i="27"/>
  <c r="K58" i="27"/>
  <c r="K59" i="27"/>
  <c r="K60" i="27"/>
  <c r="K61" i="27"/>
  <c r="K62" i="27"/>
  <c r="K63" i="27"/>
  <c r="K64" i="27"/>
  <c r="K65" i="27"/>
  <c r="K66" i="27"/>
  <c r="K67" i="27"/>
  <c r="K68" i="27"/>
  <c r="K69" i="27"/>
  <c r="K70" i="27"/>
  <c r="K71" i="27"/>
  <c r="K72" i="27"/>
  <c r="P568" i="18" s="1"/>
  <c r="K73" i="27"/>
  <c r="K74" i="27"/>
  <c r="K75" i="27"/>
  <c r="K76" i="27"/>
  <c r="K77" i="27"/>
  <c r="K78" i="27"/>
  <c r="K79" i="27"/>
  <c r="P869" i="18" s="1"/>
  <c r="K80" i="27"/>
  <c r="K81" i="27"/>
  <c r="K82" i="27"/>
  <c r="K83" i="27"/>
  <c r="K84" i="27"/>
  <c r="K85" i="27"/>
  <c r="K86" i="27"/>
  <c r="K87" i="27"/>
  <c r="K88" i="27"/>
  <c r="K89" i="27"/>
  <c r="K90" i="27"/>
  <c r="K91" i="27"/>
  <c r="K92" i="27"/>
  <c r="K93" i="27"/>
  <c r="P18" i="25" s="1"/>
  <c r="K94" i="27"/>
  <c r="K95" i="27"/>
  <c r="K96" i="27"/>
  <c r="K97" i="27"/>
  <c r="P22" i="25" s="1"/>
  <c r="K98" i="27"/>
  <c r="K99" i="27"/>
  <c r="K100" i="27"/>
  <c r="K101" i="27"/>
  <c r="K102" i="27"/>
  <c r="K103" i="27"/>
  <c r="K104" i="27"/>
  <c r="K105" i="27"/>
  <c r="K106" i="27"/>
  <c r="K107" i="27"/>
  <c r="K108" i="27"/>
  <c r="K109" i="27"/>
  <c r="K110" i="27"/>
  <c r="K111" i="27"/>
  <c r="K112" i="27"/>
  <c r="K113" i="27"/>
  <c r="K114" i="27"/>
  <c r="K115" i="27"/>
  <c r="K116" i="27"/>
  <c r="K117" i="27"/>
  <c r="K118" i="27"/>
  <c r="K119" i="27"/>
  <c r="K120" i="27"/>
  <c r="K121" i="27"/>
  <c r="K122" i="27"/>
  <c r="K123" i="27"/>
  <c r="K124" i="27"/>
  <c r="K125" i="27"/>
  <c r="K126" i="27"/>
  <c r="K127" i="27"/>
  <c r="K128" i="27"/>
  <c r="K129" i="27"/>
  <c r="K130" i="27"/>
  <c r="K131" i="27"/>
  <c r="K132" i="27"/>
  <c r="K133" i="27"/>
  <c r="K134" i="27"/>
  <c r="K135" i="27"/>
  <c r="K136" i="27"/>
  <c r="K137" i="27"/>
  <c r="K138" i="27"/>
  <c r="K139" i="27"/>
  <c r="K140" i="27"/>
  <c r="K141" i="27"/>
  <c r="K142" i="27"/>
  <c r="K143" i="27"/>
  <c r="K144" i="27"/>
  <c r="K145" i="27"/>
  <c r="K146" i="27"/>
  <c r="K147" i="27"/>
  <c r="K148" i="27"/>
  <c r="K149" i="27"/>
  <c r="K150" i="27"/>
  <c r="K151" i="27"/>
  <c r="K152" i="27"/>
  <c r="K153" i="27"/>
  <c r="K154" i="27"/>
  <c r="K155" i="27"/>
  <c r="K156" i="27"/>
  <c r="K157" i="27"/>
  <c r="K158" i="27"/>
  <c r="K159" i="27"/>
  <c r="K160" i="27"/>
  <c r="K161" i="27"/>
  <c r="K162" i="27"/>
  <c r="K163" i="27"/>
  <c r="K164" i="27"/>
  <c r="K165" i="27"/>
  <c r="K166" i="27"/>
  <c r="K167" i="27"/>
  <c r="K168" i="27"/>
  <c r="K169" i="27"/>
  <c r="K170" i="27"/>
  <c r="K171" i="27"/>
  <c r="K172" i="27"/>
  <c r="P29" i="18" s="1"/>
  <c r="K173" i="27"/>
  <c r="K174" i="27"/>
  <c r="K175" i="27"/>
  <c r="K176" i="27"/>
  <c r="K177" i="27"/>
  <c r="K178" i="27"/>
  <c r="K179" i="27"/>
  <c r="K180" i="27"/>
  <c r="K181" i="27"/>
  <c r="K182" i="27"/>
  <c r="K183" i="27"/>
  <c r="K184" i="27"/>
  <c r="P142" i="18" s="1"/>
  <c r="K185" i="27"/>
  <c r="K186" i="27"/>
  <c r="P144" i="18" s="1"/>
  <c r="K187" i="27"/>
  <c r="K188" i="27"/>
  <c r="K189" i="27"/>
  <c r="K190" i="27"/>
  <c r="K191" i="27"/>
  <c r="K192" i="27"/>
  <c r="K193" i="27"/>
  <c r="K194" i="27"/>
  <c r="K195" i="27"/>
  <c r="P535" i="18" s="1"/>
  <c r="K196" i="27"/>
  <c r="P536" i="18" s="1"/>
  <c r="K197" i="27"/>
  <c r="K198" i="27"/>
  <c r="K199" i="27"/>
  <c r="K200" i="27"/>
  <c r="K201" i="27"/>
  <c r="K202" i="27"/>
  <c r="K203" i="27"/>
  <c r="K204" i="27"/>
  <c r="K205" i="27"/>
  <c r="K206" i="27"/>
  <c r="K207" i="27"/>
  <c r="K208" i="27"/>
  <c r="K209" i="27"/>
  <c r="K210" i="27"/>
  <c r="K211" i="27"/>
  <c r="K212" i="27"/>
  <c r="K213" i="27"/>
  <c r="K214" i="27"/>
  <c r="K215" i="27"/>
  <c r="K216" i="27"/>
  <c r="K217" i="27"/>
  <c r="K218" i="27"/>
  <c r="K219" i="27"/>
  <c r="P65" i="18" s="1"/>
  <c r="K220" i="27"/>
  <c r="K221" i="27"/>
  <c r="K222" i="27"/>
  <c r="K223" i="27"/>
  <c r="P69" i="18" s="1"/>
  <c r="K224" i="27"/>
  <c r="K225" i="27"/>
  <c r="K226" i="27"/>
  <c r="K227" i="27"/>
  <c r="K228" i="27"/>
  <c r="K229" i="27"/>
  <c r="K230" i="27"/>
  <c r="P466" i="18" s="1"/>
  <c r="K231" i="27"/>
  <c r="K232" i="27"/>
  <c r="K233" i="27"/>
  <c r="K234" i="27"/>
  <c r="K235" i="27"/>
  <c r="K236" i="27"/>
  <c r="P472" i="18" s="1"/>
  <c r="K237" i="27"/>
  <c r="K238" i="27"/>
  <c r="P474" i="18" s="1"/>
  <c r="K239" i="27"/>
  <c r="K240" i="27"/>
  <c r="K241" i="27"/>
  <c r="K242" i="27"/>
  <c r="K243" i="27"/>
  <c r="K244" i="27"/>
  <c r="P480" i="18" s="1"/>
  <c r="K245" i="27"/>
  <c r="K246" i="27"/>
  <c r="P482" i="18" s="1"/>
  <c r="K247" i="27"/>
  <c r="P483" i="18" s="1"/>
  <c r="K248" i="27"/>
  <c r="K249" i="27"/>
  <c r="K250" i="27"/>
  <c r="K251" i="27"/>
  <c r="K252" i="27"/>
  <c r="K253" i="27"/>
  <c r="K254" i="27"/>
  <c r="K255" i="27"/>
  <c r="K256" i="27"/>
  <c r="K257" i="27"/>
  <c r="P677" i="18" s="1"/>
  <c r="K258" i="27"/>
  <c r="K259" i="27"/>
  <c r="K260" i="27"/>
  <c r="K261" i="27"/>
  <c r="P681" i="18" s="1"/>
  <c r="K262" i="27"/>
  <c r="K263" i="27"/>
  <c r="K264" i="27"/>
  <c r="K265" i="27"/>
  <c r="K266" i="27"/>
  <c r="K267" i="27"/>
  <c r="P226" i="18" s="1"/>
  <c r="K268" i="27"/>
  <c r="K269" i="27"/>
  <c r="K270" i="27"/>
  <c r="K271" i="27"/>
  <c r="K272" i="27"/>
  <c r="P15" i="18" s="1"/>
  <c r="K273" i="27"/>
  <c r="K274" i="27"/>
  <c r="K275" i="27"/>
  <c r="K276" i="27"/>
  <c r="K277" i="27"/>
  <c r="K278" i="27"/>
  <c r="K279" i="27"/>
  <c r="K280" i="27"/>
  <c r="K281" i="27"/>
  <c r="K282" i="27"/>
  <c r="K283" i="27"/>
  <c r="K284" i="27"/>
  <c r="K285" i="27"/>
  <c r="K286" i="27"/>
  <c r="K287" i="27"/>
  <c r="P41" i="18" s="1"/>
  <c r="K288" i="27"/>
  <c r="K289" i="27"/>
  <c r="K290" i="27"/>
  <c r="K291" i="27"/>
  <c r="K292" i="27"/>
  <c r="K293" i="27"/>
  <c r="K294" i="27"/>
  <c r="K295" i="27"/>
  <c r="K296" i="27"/>
  <c r="K297" i="27"/>
  <c r="K298" i="27"/>
  <c r="K299" i="27"/>
  <c r="K300" i="27"/>
  <c r="P922" i="18" s="1"/>
  <c r="K301" i="27"/>
  <c r="K302" i="27"/>
  <c r="P732" i="18" s="1"/>
  <c r="K303" i="27"/>
  <c r="K304" i="27"/>
  <c r="K305" i="27"/>
  <c r="K306" i="27"/>
  <c r="K307" i="27"/>
  <c r="P207" i="18" s="1"/>
  <c r="K308" i="27"/>
  <c r="K309" i="27"/>
  <c r="P209" i="18" s="1"/>
  <c r="K310" i="27"/>
  <c r="K311" i="27"/>
  <c r="K312" i="27"/>
  <c r="K313" i="27"/>
  <c r="K314" i="27"/>
  <c r="K315" i="27"/>
  <c r="P195" i="18" s="1"/>
  <c r="K316" i="27"/>
  <c r="K317" i="27"/>
  <c r="K318" i="27"/>
  <c r="K319" i="27"/>
  <c r="K320" i="27"/>
  <c r="K321" i="27"/>
  <c r="K322" i="27"/>
  <c r="K323" i="27"/>
  <c r="K324" i="27"/>
  <c r="K325" i="27"/>
  <c r="K326" i="27"/>
  <c r="K327" i="27"/>
  <c r="K328" i="27"/>
  <c r="K329" i="27"/>
  <c r="K330" i="27"/>
  <c r="K331" i="27"/>
  <c r="K332" i="27"/>
  <c r="K333" i="27"/>
  <c r="K334" i="27"/>
  <c r="K335" i="27"/>
  <c r="P527" i="18" s="1"/>
  <c r="K336" i="27"/>
  <c r="K337" i="27"/>
  <c r="K338" i="27"/>
  <c r="K339" i="27"/>
  <c r="K340" i="27"/>
  <c r="K341" i="27"/>
  <c r="K342" i="27"/>
  <c r="K343" i="27"/>
  <c r="K344" i="27"/>
  <c r="K345" i="27"/>
  <c r="K346" i="27"/>
  <c r="K347" i="27"/>
  <c r="K348" i="27"/>
  <c r="K349" i="27"/>
  <c r="K350" i="27"/>
  <c r="K351" i="27"/>
  <c r="K352" i="27"/>
  <c r="K353" i="27"/>
  <c r="K354" i="27"/>
  <c r="K355" i="27"/>
  <c r="K356" i="27"/>
  <c r="K357" i="27"/>
  <c r="K358" i="27"/>
  <c r="K359" i="27"/>
  <c r="K360" i="27"/>
  <c r="K361" i="27"/>
  <c r="K362" i="27"/>
  <c r="K363" i="27"/>
  <c r="K364" i="27"/>
  <c r="K365" i="27"/>
  <c r="K366" i="27"/>
  <c r="K367" i="27"/>
  <c r="K368" i="27"/>
  <c r="K369" i="27"/>
  <c r="P301" i="18" s="1"/>
  <c r="K370" i="27"/>
  <c r="K371" i="27"/>
  <c r="K372" i="27"/>
  <c r="K373" i="27"/>
  <c r="K374" i="27"/>
  <c r="K375" i="27"/>
  <c r="K376" i="27"/>
  <c r="P308" i="18" s="1"/>
  <c r="K377" i="27"/>
  <c r="K378" i="27"/>
  <c r="K379" i="27"/>
  <c r="K380" i="27"/>
  <c r="K381" i="27"/>
  <c r="K382" i="27"/>
  <c r="K383" i="27"/>
  <c r="K384" i="27"/>
  <c r="K385" i="27"/>
  <c r="K386" i="27"/>
  <c r="K387" i="27"/>
  <c r="K388" i="27"/>
  <c r="K389" i="27"/>
  <c r="K390" i="27"/>
  <c r="P175" i="18" s="1"/>
  <c r="K391" i="27"/>
  <c r="K392" i="27"/>
  <c r="P177" i="18" s="1"/>
  <c r="K393" i="27"/>
  <c r="K394" i="27"/>
  <c r="P179" i="18" s="1"/>
  <c r="K395" i="27"/>
  <c r="K396" i="27"/>
  <c r="K397" i="27"/>
  <c r="K398" i="27"/>
  <c r="K399" i="27"/>
  <c r="K400" i="27"/>
  <c r="K401" i="27"/>
  <c r="K402" i="27"/>
  <c r="K403" i="27"/>
  <c r="K404" i="27"/>
  <c r="K405" i="27"/>
  <c r="K406" i="27"/>
  <c r="K407" i="27"/>
  <c r="K408" i="27"/>
  <c r="K409" i="27"/>
  <c r="K410" i="27"/>
  <c r="K411" i="27"/>
  <c r="K412" i="27"/>
  <c r="K413" i="27"/>
  <c r="K414" i="27"/>
  <c r="P387" i="18" s="1"/>
  <c r="K415" i="27"/>
  <c r="K416" i="27"/>
  <c r="K417" i="27"/>
  <c r="K418" i="27"/>
  <c r="K419" i="27"/>
  <c r="K420" i="27"/>
  <c r="P237" i="18" s="1"/>
  <c r="K421" i="27"/>
  <c r="K422" i="27"/>
  <c r="P239" i="18" s="1"/>
  <c r="K423" i="27"/>
  <c r="K424" i="27"/>
  <c r="P398" i="18" s="1"/>
  <c r="K425" i="27"/>
  <c r="P630" i="18" s="1"/>
  <c r="K426" i="27"/>
  <c r="K427" i="27"/>
  <c r="K428" i="27"/>
  <c r="K429" i="27"/>
  <c r="K430" i="27"/>
  <c r="K431" i="27"/>
  <c r="K432" i="27"/>
  <c r="P59" i="18" s="1"/>
  <c r="K433" i="27"/>
  <c r="P511" i="18" s="1"/>
  <c r="K434" i="27"/>
  <c r="P512" i="18" s="1"/>
  <c r="K435" i="27"/>
  <c r="K436" i="27"/>
  <c r="K437" i="27"/>
  <c r="K438" i="27"/>
  <c r="K439" i="27"/>
  <c r="K440" i="27"/>
  <c r="K441" i="27"/>
  <c r="K442" i="27"/>
  <c r="K443" i="27"/>
  <c r="K444" i="27"/>
  <c r="K445" i="27"/>
  <c r="K446" i="27"/>
  <c r="K447" i="27"/>
  <c r="K448" i="27"/>
  <c r="K449" i="27"/>
  <c r="K450" i="27"/>
  <c r="K451" i="27"/>
  <c r="P330" i="18" s="1"/>
  <c r="K452" i="27"/>
  <c r="K453" i="27"/>
  <c r="K454" i="27"/>
  <c r="K455" i="27"/>
  <c r="K456" i="27"/>
  <c r="K457" i="27"/>
  <c r="P748" i="18" s="1"/>
  <c r="K458" i="27"/>
  <c r="K459" i="27"/>
  <c r="K460" i="27"/>
  <c r="K461" i="27"/>
  <c r="K462" i="27"/>
  <c r="K463" i="27"/>
  <c r="K464" i="27"/>
  <c r="K465" i="27"/>
  <c r="K466" i="27"/>
  <c r="P757" i="18" s="1"/>
  <c r="K467" i="27"/>
  <c r="K468" i="27"/>
  <c r="K469" i="27"/>
  <c r="K470" i="27"/>
  <c r="K471" i="27"/>
  <c r="K472" i="27"/>
  <c r="K473" i="27"/>
  <c r="K474" i="27"/>
  <c r="K475" i="27"/>
  <c r="P833" i="18" s="1"/>
  <c r="K476" i="27"/>
  <c r="K477" i="27"/>
  <c r="K478" i="27"/>
  <c r="K479" i="27"/>
  <c r="K480" i="27"/>
  <c r="K481" i="27"/>
  <c r="K482" i="27"/>
  <c r="K483" i="27"/>
  <c r="K484" i="27"/>
  <c r="P428" i="18" s="1"/>
  <c r="K485" i="27"/>
  <c r="P429" i="18" s="1"/>
  <c r="K486" i="27"/>
  <c r="K487" i="27"/>
  <c r="P431" i="18" s="1"/>
  <c r="K488" i="27"/>
  <c r="K489" i="27"/>
  <c r="K490" i="27"/>
  <c r="K491" i="27"/>
  <c r="K492" i="27"/>
  <c r="K493" i="27"/>
  <c r="K494" i="27"/>
  <c r="P169" i="18" s="1"/>
  <c r="K495" i="27"/>
  <c r="K496" i="27"/>
  <c r="K497" i="27"/>
  <c r="K498" i="27"/>
  <c r="K499" i="27"/>
  <c r="K500" i="27"/>
  <c r="K501" i="27"/>
  <c r="P133" i="18" s="1"/>
  <c r="K502" i="27"/>
  <c r="K503" i="27"/>
  <c r="K504" i="27"/>
  <c r="K505" i="27"/>
  <c r="K506" i="27"/>
  <c r="P168" i="18" s="1"/>
  <c r="K507" i="27"/>
  <c r="P108" i="18" s="1"/>
  <c r="K508" i="27"/>
  <c r="P109" i="18" s="1"/>
  <c r="K509" i="27"/>
  <c r="K510" i="27"/>
  <c r="P111" i="18" s="1"/>
  <c r="K511" i="27"/>
  <c r="P112" i="18" s="1"/>
  <c r="K512" i="27"/>
  <c r="K513" i="27"/>
  <c r="P217" i="18" s="1"/>
  <c r="K514" i="27"/>
  <c r="P349" i="18" s="1"/>
  <c r="K515" i="27"/>
  <c r="K516" i="27"/>
  <c r="P576" i="18" s="1"/>
  <c r="K517" i="27"/>
  <c r="P857" i="18" s="1"/>
  <c r="K518" i="27"/>
  <c r="K519" i="27"/>
  <c r="K520" i="27"/>
  <c r="K521" i="27"/>
  <c r="K522" i="27"/>
  <c r="K523" i="27"/>
  <c r="K524" i="27"/>
  <c r="K525" i="27"/>
  <c r="K526" i="27"/>
  <c r="K527" i="27"/>
  <c r="K528" i="27"/>
  <c r="K529" i="27"/>
  <c r="K530" i="27"/>
  <c r="K531" i="27"/>
  <c r="K532" i="27"/>
  <c r="K533" i="27"/>
  <c r="K534" i="27"/>
  <c r="K535" i="27"/>
  <c r="K536" i="27"/>
  <c r="K537" i="27"/>
  <c r="K538" i="27"/>
  <c r="K539" i="27"/>
  <c r="K540" i="27"/>
  <c r="K541" i="27"/>
  <c r="K542" i="27"/>
  <c r="K543" i="27"/>
  <c r="K544" i="27"/>
  <c r="K545" i="27"/>
  <c r="K546" i="27"/>
  <c r="K547" i="27"/>
  <c r="K548" i="27"/>
  <c r="K549" i="27"/>
  <c r="K550" i="27"/>
  <c r="K551" i="27"/>
  <c r="K552" i="27"/>
  <c r="K553" i="27"/>
  <c r="K554" i="27"/>
  <c r="K555" i="27"/>
  <c r="K556" i="27"/>
  <c r="K557" i="27"/>
  <c r="K558" i="27"/>
  <c r="K559" i="27"/>
  <c r="K560" i="27"/>
  <c r="K561" i="27"/>
  <c r="K562" i="27"/>
  <c r="K563" i="27"/>
  <c r="K564" i="27"/>
  <c r="K565" i="27"/>
  <c r="K566" i="27"/>
  <c r="K567" i="27"/>
  <c r="K568" i="27"/>
  <c r="K569" i="27"/>
  <c r="K570" i="27"/>
  <c r="K571" i="27"/>
  <c r="K572" i="27"/>
  <c r="K573" i="27"/>
  <c r="K574" i="27"/>
  <c r="K575" i="27"/>
  <c r="K576" i="27"/>
  <c r="K577" i="27"/>
  <c r="K578" i="27"/>
  <c r="U307" i="23" s="1"/>
  <c r="K579" i="27"/>
  <c r="U310" i="23" s="1"/>
  <c r="K580" i="27"/>
  <c r="K581" i="27"/>
  <c r="K582" i="27"/>
  <c r="K583" i="27"/>
  <c r="K584" i="27"/>
  <c r="P27" i="18" s="1"/>
  <c r="K585" i="27"/>
  <c r="U319" i="23" s="1"/>
  <c r="K586" i="27"/>
  <c r="K587" i="27"/>
  <c r="K588" i="27"/>
  <c r="K589" i="27"/>
  <c r="K590" i="27"/>
  <c r="K591" i="27"/>
  <c r="K592" i="27"/>
  <c r="K593" i="27"/>
  <c r="K594" i="27"/>
  <c r="K595" i="27"/>
  <c r="K596" i="27"/>
  <c r="U341" i="23" s="1"/>
  <c r="K597" i="27"/>
  <c r="U343" i="23" s="1"/>
  <c r="K598" i="27"/>
  <c r="K599" i="27"/>
  <c r="U350" i="23" s="1"/>
  <c r="K600" i="27"/>
  <c r="U352" i="23" s="1"/>
  <c r="K601" i="27"/>
  <c r="K602" i="27"/>
  <c r="K603" i="27"/>
  <c r="K604" i="27"/>
  <c r="K605" i="27"/>
  <c r="K606" i="27"/>
  <c r="K607" i="27"/>
  <c r="K608" i="27"/>
  <c r="K609" i="27"/>
  <c r="K610" i="27"/>
  <c r="K611" i="27"/>
  <c r="K612" i="27"/>
  <c r="P413" i="18" s="1"/>
  <c r="K613" i="27"/>
  <c r="P414" i="18" s="1"/>
  <c r="K614" i="27"/>
  <c r="K615" i="27"/>
  <c r="K616" i="27"/>
  <c r="K617" i="27"/>
  <c r="P418" i="18" s="1"/>
  <c r="K618" i="27"/>
  <c r="K619" i="27"/>
  <c r="K620" i="27"/>
  <c r="K621" i="27"/>
  <c r="K622" i="27"/>
  <c r="K623" i="27"/>
  <c r="K624" i="27"/>
  <c r="K625" i="27"/>
  <c r="K626" i="27"/>
  <c r="K627" i="27"/>
  <c r="K628" i="27"/>
  <c r="K629" i="27"/>
  <c r="U364" i="23" s="1"/>
  <c r="K630" i="27"/>
  <c r="U365" i="23" s="1"/>
  <c r="K631" i="27"/>
  <c r="K632" i="27"/>
  <c r="U373" i="23" s="1"/>
  <c r="K633" i="27"/>
  <c r="U379" i="23" s="1"/>
  <c r="K634" i="27"/>
  <c r="K635" i="27"/>
  <c r="K636" i="27"/>
  <c r="P53" i="18" s="1"/>
  <c r="K637" i="27"/>
  <c r="P54" i="18" s="1"/>
  <c r="K638" i="27"/>
  <c r="K639" i="27"/>
  <c r="K640" i="27"/>
  <c r="K641" i="27"/>
  <c r="U386" i="23" s="1"/>
  <c r="K642" i="27"/>
  <c r="U388" i="23" s="1"/>
  <c r="K643" i="27"/>
  <c r="K644" i="27"/>
  <c r="K645" i="27"/>
  <c r="K646" i="27"/>
  <c r="K647" i="27"/>
  <c r="U391" i="23" s="1"/>
  <c r="K648" i="27"/>
  <c r="K649" i="27"/>
  <c r="K650" i="27"/>
  <c r="K651" i="27"/>
  <c r="K652" i="27"/>
  <c r="P21" i="18" s="1"/>
  <c r="K653" i="27"/>
  <c r="K654" i="27"/>
  <c r="K655" i="27"/>
  <c r="K656" i="27"/>
  <c r="K657" i="27"/>
  <c r="P106" i="18" s="1"/>
  <c r="K658" i="27"/>
  <c r="K659" i="27"/>
  <c r="K660" i="27"/>
  <c r="K661" i="27"/>
  <c r="P458" i="18" s="1"/>
  <c r="K662" i="27"/>
  <c r="K663" i="27"/>
  <c r="K664" i="27"/>
  <c r="K665" i="27"/>
  <c r="P579" i="18" s="1"/>
  <c r="K666" i="27"/>
  <c r="K667" i="27"/>
  <c r="K668" i="27"/>
  <c r="K669" i="27"/>
  <c r="K670" i="27"/>
  <c r="K671" i="27"/>
  <c r="K672" i="27"/>
  <c r="P672" i="18" s="1"/>
  <c r="K673" i="27"/>
  <c r="P673" i="18" s="1"/>
  <c r="K674" i="27"/>
  <c r="P792" i="18" s="1"/>
  <c r="K675" i="27"/>
  <c r="K676" i="27"/>
  <c r="K677" i="27"/>
  <c r="K678" i="27"/>
  <c r="K679" i="27"/>
  <c r="K680" i="27"/>
  <c r="K681" i="27"/>
  <c r="P799" i="18" s="1"/>
  <c r="K682" i="27"/>
  <c r="K683" i="27"/>
  <c r="K684" i="27"/>
  <c r="K685" i="27"/>
  <c r="K686" i="27"/>
  <c r="K687" i="27"/>
  <c r="K688" i="27"/>
  <c r="P806" i="18" s="1"/>
  <c r="K689" i="27"/>
  <c r="P807" i="18" s="1"/>
  <c r="K690" i="27"/>
  <c r="K691" i="27"/>
  <c r="K692" i="27"/>
  <c r="K693" i="27"/>
  <c r="K694" i="27"/>
  <c r="K695" i="27"/>
  <c r="K696" i="27"/>
  <c r="K697" i="27"/>
  <c r="K698" i="27"/>
  <c r="K699" i="27"/>
  <c r="K700" i="27"/>
  <c r="P818" i="18" s="1"/>
  <c r="K701" i="27"/>
  <c r="K702" i="27"/>
  <c r="K703" i="27"/>
  <c r="K704" i="27"/>
  <c r="K705" i="27"/>
  <c r="U392" i="23" s="1"/>
  <c r="K706" i="27"/>
  <c r="K707" i="27"/>
  <c r="K708" i="27"/>
  <c r="K709" i="27"/>
  <c r="P573" i="18" s="1"/>
  <c r="K710" i="27"/>
  <c r="P574" i="18" s="1"/>
  <c r="K711" i="27"/>
  <c r="K712" i="27"/>
  <c r="K713" i="27"/>
  <c r="P504" i="18" s="1"/>
  <c r="K714" i="27"/>
  <c r="K715" i="27"/>
  <c r="K716" i="27"/>
  <c r="P507" i="18" s="1"/>
  <c r="K717" i="27"/>
  <c r="P822" i="18" s="1"/>
  <c r="K718" i="27"/>
  <c r="K719" i="27"/>
  <c r="K720" i="27"/>
  <c r="K721" i="27"/>
  <c r="K722" i="27"/>
  <c r="K723" i="27"/>
  <c r="K724" i="27"/>
  <c r="K725" i="27"/>
  <c r="K726" i="27"/>
  <c r="K727" i="27"/>
  <c r="K728" i="27"/>
  <c r="K729" i="27"/>
  <c r="K730" i="27"/>
  <c r="K731" i="27"/>
  <c r="K732" i="27"/>
  <c r="K733" i="27"/>
  <c r="P604" i="18" s="1"/>
  <c r="K734" i="27"/>
  <c r="P352" i="18" s="1"/>
  <c r="K735" i="27"/>
  <c r="K736" i="27"/>
  <c r="K737" i="27"/>
  <c r="K738" i="27"/>
  <c r="K739" i="27"/>
  <c r="K740" i="27"/>
  <c r="K741" i="27"/>
  <c r="K742" i="27"/>
  <c r="K743" i="27"/>
  <c r="K744" i="27"/>
  <c r="K745" i="27"/>
  <c r="K746" i="27"/>
  <c r="K747" i="27"/>
  <c r="P727" i="18" s="1"/>
  <c r="K748" i="27"/>
  <c r="K749" i="27"/>
  <c r="K750" i="27"/>
  <c r="K751" i="27"/>
  <c r="K752" i="27"/>
  <c r="K753" i="27"/>
  <c r="K754" i="27"/>
  <c r="K755" i="27"/>
  <c r="P685" i="18" s="1"/>
  <c r="K756" i="27"/>
  <c r="K757" i="27"/>
  <c r="K758" i="27"/>
  <c r="K759" i="27"/>
  <c r="P116" i="18" s="1"/>
  <c r="K760" i="27"/>
  <c r="K761" i="27"/>
  <c r="K762" i="27"/>
  <c r="K763" i="27"/>
  <c r="K764" i="27"/>
  <c r="K765" i="27"/>
  <c r="K766" i="27"/>
  <c r="K767" i="27"/>
  <c r="P452" i="18" s="1"/>
  <c r="K768" i="27"/>
  <c r="K769" i="27"/>
  <c r="K770" i="27"/>
  <c r="K771" i="27"/>
  <c r="K772" i="27"/>
  <c r="K773" i="27"/>
  <c r="K774" i="27"/>
  <c r="K775" i="27"/>
  <c r="K776" i="27"/>
  <c r="K777" i="27"/>
  <c r="P769" i="18" s="1"/>
  <c r="K778" i="27"/>
  <c r="K779" i="27"/>
  <c r="K780" i="27"/>
  <c r="K781" i="27"/>
  <c r="K782" i="27"/>
  <c r="K783" i="27"/>
  <c r="P743" i="18" s="1"/>
  <c r="K784" i="27"/>
  <c r="K785" i="27"/>
  <c r="K786" i="27"/>
  <c r="K787" i="27"/>
  <c r="K788" i="27"/>
  <c r="K789" i="27"/>
  <c r="K790" i="27"/>
  <c r="K791" i="27"/>
  <c r="K792" i="27"/>
  <c r="K793" i="27"/>
  <c r="K794" i="27"/>
  <c r="K795" i="27"/>
  <c r="P395" i="18" s="1"/>
  <c r="K796" i="27"/>
  <c r="K797" i="27"/>
  <c r="K798" i="27"/>
  <c r="K799" i="27"/>
  <c r="K800" i="27"/>
  <c r="K801" i="27"/>
  <c r="K802" i="27"/>
  <c r="P904" i="18" s="1"/>
  <c r="K803" i="27"/>
  <c r="K804" i="27"/>
  <c r="K805" i="27"/>
  <c r="K806" i="27"/>
  <c r="P281" i="18" s="1"/>
  <c r="K807" i="27"/>
  <c r="K808" i="27"/>
  <c r="K809" i="27"/>
  <c r="P738" i="18" s="1"/>
  <c r="K810" i="27"/>
  <c r="K811" i="27"/>
  <c r="K812" i="27"/>
  <c r="K813" i="27"/>
  <c r="K814" i="27"/>
  <c r="P611" i="18" s="1"/>
  <c r="K815" i="27"/>
  <c r="K816" i="27"/>
  <c r="K817" i="27"/>
  <c r="K818" i="27"/>
  <c r="P344" i="18" s="1"/>
  <c r="K819" i="27"/>
  <c r="K820" i="27"/>
  <c r="K821" i="27"/>
  <c r="K822" i="27"/>
  <c r="K823" i="27"/>
  <c r="P585" i="18" s="1"/>
  <c r="K12" i="27"/>
  <c r="K13" i="27"/>
  <c r="P258" i="18" s="1"/>
  <c r="K14" i="27"/>
  <c r="K15" i="27"/>
  <c r="P260" i="18" s="1"/>
  <c r="K16" i="27"/>
  <c r="K17" i="27"/>
  <c r="P694" i="18" s="1"/>
  <c r="K6" i="27"/>
  <c r="P251" i="18" s="1"/>
  <c r="K7" i="27"/>
  <c r="K8" i="27"/>
  <c r="P253" i="18" s="1"/>
  <c r="K9" i="27"/>
  <c r="K10" i="27"/>
  <c r="K11" i="27"/>
  <c r="K3" i="27"/>
  <c r="P248" i="18" s="1"/>
  <c r="K4" i="27"/>
  <c r="K5" i="27"/>
  <c r="K2" i="27"/>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I569" i="12" s="1"/>
  <c r="H570" i="12"/>
  <c r="H571" i="12"/>
  <c r="H572" i="12"/>
  <c r="I572" i="12" s="1"/>
  <c r="H573" i="12"/>
  <c r="H574" i="12"/>
  <c r="H575" i="12"/>
  <c r="I575" i="12" s="1"/>
  <c r="H576" i="12"/>
  <c r="H577" i="12"/>
  <c r="H578" i="12"/>
  <c r="I578" i="12" s="1"/>
  <c r="H579" i="12"/>
  <c r="H580" i="12"/>
  <c r="H581" i="12"/>
  <c r="I581" i="12" s="1"/>
  <c r="H582" i="12"/>
  <c r="H583" i="12"/>
  <c r="H584" i="12"/>
  <c r="I584" i="12" s="1"/>
  <c r="H585" i="12"/>
  <c r="H586" i="12"/>
  <c r="H587" i="12"/>
  <c r="I587" i="12" s="1"/>
  <c r="H588" i="12"/>
  <c r="H589" i="12"/>
  <c r="H590" i="12"/>
  <c r="I590" i="12" s="1"/>
  <c r="H591" i="12"/>
  <c r="H592" i="12"/>
  <c r="H593" i="12"/>
  <c r="I593" i="12" s="1"/>
  <c r="H594" i="12"/>
  <c r="H595" i="12"/>
  <c r="H596" i="12"/>
  <c r="I596" i="12" s="1"/>
  <c r="H597" i="12"/>
  <c r="H598" i="12"/>
  <c r="H599" i="12"/>
  <c r="I599" i="12" s="1"/>
  <c r="H600" i="12"/>
  <c r="H601" i="12"/>
  <c r="H602" i="12"/>
  <c r="I602" i="12" s="1"/>
  <c r="H603" i="12"/>
  <c r="H604" i="12"/>
  <c r="H605" i="12"/>
  <c r="I605" i="12" s="1"/>
  <c r="H606" i="12"/>
  <c r="H607" i="12"/>
  <c r="H608" i="12"/>
  <c r="I608" i="12" s="1"/>
  <c r="H609" i="12"/>
  <c r="H610" i="12"/>
  <c r="H611" i="12"/>
  <c r="I611" i="12" s="1"/>
  <c r="H612" i="12"/>
  <c r="H613" i="12"/>
  <c r="H614" i="12"/>
  <c r="I614" i="12" s="1"/>
  <c r="H615" i="12"/>
  <c r="H616" i="12"/>
  <c r="H617" i="12"/>
  <c r="I617" i="12" s="1"/>
  <c r="H618" i="12"/>
  <c r="H619" i="12"/>
  <c r="H620" i="12"/>
  <c r="I620" i="12" s="1"/>
  <c r="H621" i="12"/>
  <c r="H622" i="12"/>
  <c r="H623" i="12"/>
  <c r="I623" i="12" s="1"/>
  <c r="H624" i="12"/>
  <c r="H625" i="12"/>
  <c r="H626" i="12"/>
  <c r="I626" i="12" s="1"/>
  <c r="H627" i="12"/>
  <c r="H628" i="12"/>
  <c r="H629" i="12"/>
  <c r="I629" i="12" s="1"/>
  <c r="H630" i="12"/>
  <c r="H631" i="12"/>
  <c r="H632" i="12"/>
  <c r="I632" i="12" s="1"/>
  <c r="H633" i="12"/>
  <c r="H634" i="12"/>
  <c r="H635" i="12"/>
  <c r="I635" i="12" s="1"/>
  <c r="H636" i="12"/>
  <c r="H637" i="12"/>
  <c r="H638" i="12"/>
  <c r="I638" i="12" s="1"/>
  <c r="H639" i="12"/>
  <c r="H640" i="12"/>
  <c r="H641" i="12"/>
  <c r="I641" i="12" s="1"/>
  <c r="H642" i="12"/>
  <c r="H643" i="12"/>
  <c r="H644" i="12"/>
  <c r="I644" i="12" s="1"/>
  <c r="H645" i="12"/>
  <c r="H646" i="12"/>
  <c r="H647" i="12"/>
  <c r="I647" i="12" s="1"/>
  <c r="H648" i="12"/>
  <c r="H649" i="12"/>
  <c r="H650" i="12"/>
  <c r="I650" i="12" s="1"/>
  <c r="H651" i="12"/>
  <c r="H652" i="12"/>
  <c r="H653" i="12"/>
  <c r="I653" i="12" s="1"/>
  <c r="H654" i="12"/>
  <c r="H655" i="12"/>
  <c r="H656" i="12"/>
  <c r="I656" i="12" s="1"/>
  <c r="H657" i="12"/>
  <c r="H658" i="12"/>
  <c r="H659" i="12"/>
  <c r="I659" i="12" s="1"/>
  <c r="H660" i="12"/>
  <c r="H661" i="12"/>
  <c r="H662" i="12"/>
  <c r="I662" i="12" s="1"/>
  <c r="H663" i="12"/>
  <c r="I663" i="12" s="1"/>
  <c r="H664" i="12"/>
  <c r="H665" i="12"/>
  <c r="I665" i="12" s="1"/>
  <c r="H666" i="12"/>
  <c r="H667" i="12"/>
  <c r="H668" i="12"/>
  <c r="I668" i="12" s="1"/>
  <c r="H669" i="12"/>
  <c r="H670" i="12"/>
  <c r="H671" i="12"/>
  <c r="I671" i="12" s="1"/>
  <c r="H672" i="12"/>
  <c r="I672" i="12" s="1"/>
  <c r="H673" i="12"/>
  <c r="H674" i="12"/>
  <c r="I674" i="12" s="1"/>
  <c r="H675" i="12"/>
  <c r="H676" i="12"/>
  <c r="H677" i="12"/>
  <c r="I677" i="12" s="1"/>
  <c r="H678" i="12"/>
  <c r="H679" i="12"/>
  <c r="H680" i="12"/>
  <c r="I680" i="12" s="1"/>
  <c r="H681" i="12"/>
  <c r="I681" i="12" s="1"/>
  <c r="H682" i="12"/>
  <c r="H683" i="12"/>
  <c r="I683" i="12" s="1"/>
  <c r="H684" i="12"/>
  <c r="H685" i="12"/>
  <c r="H686" i="12"/>
  <c r="I686" i="12" s="1"/>
  <c r="H687" i="12"/>
  <c r="H688" i="12"/>
  <c r="H689" i="12"/>
  <c r="I689" i="12" s="1"/>
  <c r="H690" i="12"/>
  <c r="I690" i="12" s="1"/>
  <c r="H691" i="12"/>
  <c r="H692" i="12"/>
  <c r="I692" i="12" s="1"/>
  <c r="H693" i="12"/>
  <c r="H694" i="12"/>
  <c r="H695" i="12"/>
  <c r="I695" i="12" s="1"/>
  <c r="H696" i="12"/>
  <c r="H697" i="12"/>
  <c r="H698" i="12"/>
  <c r="I698" i="12" s="1"/>
  <c r="H699" i="12"/>
  <c r="I699" i="12" s="1"/>
  <c r="H700" i="12"/>
  <c r="H701" i="12"/>
  <c r="I701" i="12" s="1"/>
  <c r="H702" i="12"/>
  <c r="H703" i="12"/>
  <c r="H704" i="12"/>
  <c r="I704" i="12" s="1"/>
  <c r="H705" i="12"/>
  <c r="H706" i="12"/>
  <c r="H707" i="12"/>
  <c r="I707" i="12" s="1"/>
  <c r="H708" i="12"/>
  <c r="I708" i="12" s="1"/>
  <c r="H709" i="12"/>
  <c r="H710" i="12"/>
  <c r="I710" i="12" s="1"/>
  <c r="H711" i="12"/>
  <c r="I711" i="12" s="1"/>
  <c r="H712" i="12"/>
  <c r="H713" i="12"/>
  <c r="I713" i="12" s="1"/>
  <c r="H714" i="12"/>
  <c r="H715" i="12"/>
  <c r="I715" i="12" s="1"/>
  <c r="H716" i="12"/>
  <c r="I716" i="12" s="1"/>
  <c r="H717" i="12"/>
  <c r="I717" i="12" s="1"/>
  <c r="H718" i="12"/>
  <c r="H719" i="12"/>
  <c r="I719" i="12" s="1"/>
  <c r="H720" i="12"/>
  <c r="I720" i="12" s="1"/>
  <c r="H721" i="12"/>
  <c r="I721" i="12" s="1"/>
  <c r="H722" i="12"/>
  <c r="I722" i="12" s="1"/>
  <c r="H723" i="12"/>
  <c r="H724" i="12"/>
  <c r="I724" i="12" s="1"/>
  <c r="H725" i="12"/>
  <c r="I725" i="12" s="1"/>
  <c r="H726" i="12"/>
  <c r="I726" i="12" s="1"/>
  <c r="H727" i="12"/>
  <c r="I727" i="12" s="1"/>
  <c r="H728" i="12"/>
  <c r="I728" i="12" s="1"/>
  <c r="H729" i="12"/>
  <c r="I729" i="12" s="1"/>
  <c r="H730" i="12"/>
  <c r="I730" i="12" s="1"/>
  <c r="H731" i="12"/>
  <c r="I731" i="12" s="1"/>
  <c r="H732" i="12"/>
  <c r="H733" i="12"/>
  <c r="I733" i="12" s="1"/>
  <c r="H734" i="12"/>
  <c r="I734" i="12" s="1"/>
  <c r="H735" i="12"/>
  <c r="I735" i="12" s="1"/>
  <c r="H736" i="12"/>
  <c r="I736" i="12" s="1"/>
  <c r="H737" i="12"/>
  <c r="I737" i="12" s="1"/>
  <c r="H738" i="12"/>
  <c r="I738" i="12" s="1"/>
  <c r="H739" i="12"/>
  <c r="H740" i="12"/>
  <c r="I740" i="12" s="1"/>
  <c r="H741" i="12"/>
  <c r="I741" i="12" s="1"/>
  <c r="H742" i="12"/>
  <c r="I742" i="12" s="1"/>
  <c r="H743" i="12"/>
  <c r="I743" i="12" s="1"/>
  <c r="H744" i="12"/>
  <c r="I744" i="12" s="1"/>
  <c r="H745" i="12"/>
  <c r="H746" i="12"/>
  <c r="I746" i="12" s="1"/>
  <c r="H747" i="12"/>
  <c r="I747" i="12" s="1"/>
  <c r="H748" i="12"/>
  <c r="I748" i="12" s="1"/>
  <c r="H749" i="12"/>
  <c r="I749" i="12" s="1"/>
  <c r="H750" i="12"/>
  <c r="H751" i="12"/>
  <c r="I751" i="12" s="1"/>
  <c r="H752" i="12"/>
  <c r="I752" i="12" s="1"/>
  <c r="H753" i="12"/>
  <c r="I753" i="12" s="1"/>
  <c r="H754" i="12"/>
  <c r="I754" i="12" s="1"/>
  <c r="H755" i="12"/>
  <c r="I755" i="12" s="1"/>
  <c r="H756" i="12"/>
  <c r="I756" i="12" s="1"/>
  <c r="H757" i="12"/>
  <c r="I757" i="12" s="1"/>
  <c r="H758" i="12"/>
  <c r="I758" i="12" s="1"/>
  <c r="H759" i="12"/>
  <c r="H760" i="12"/>
  <c r="I760" i="12" s="1"/>
  <c r="H761" i="12"/>
  <c r="I761" i="12" s="1"/>
  <c r="H762" i="12"/>
  <c r="I762" i="12" s="1"/>
  <c r="H763" i="12"/>
  <c r="I763" i="12" s="1"/>
  <c r="H764" i="12"/>
  <c r="I764" i="12" s="1"/>
  <c r="H765" i="12"/>
  <c r="I765" i="12" s="1"/>
  <c r="H766" i="12"/>
  <c r="H767" i="12"/>
  <c r="I767" i="12" s="1"/>
  <c r="H768" i="12"/>
  <c r="I768" i="12" s="1"/>
  <c r="H769" i="12"/>
  <c r="I769" i="12" s="1"/>
  <c r="H770" i="12"/>
  <c r="I770" i="12" s="1"/>
  <c r="H771" i="12"/>
  <c r="I771" i="12" s="1"/>
  <c r="H772" i="12"/>
  <c r="H773" i="12"/>
  <c r="I773" i="12" s="1"/>
  <c r="H774" i="12"/>
  <c r="I774" i="12" s="1"/>
  <c r="H775" i="12"/>
  <c r="I775" i="12" s="1"/>
  <c r="H776" i="12"/>
  <c r="I776" i="12" s="1"/>
  <c r="H777" i="12"/>
  <c r="H778" i="12"/>
  <c r="I778" i="12" s="1"/>
  <c r="H779" i="12"/>
  <c r="I779" i="12" s="1"/>
  <c r="H780" i="12"/>
  <c r="I780" i="12" s="1"/>
  <c r="H781" i="12"/>
  <c r="I781" i="12" s="1"/>
  <c r="H782" i="12"/>
  <c r="I782" i="12" s="1"/>
  <c r="H783" i="12"/>
  <c r="I783" i="12" s="1"/>
  <c r="H784" i="12"/>
  <c r="I784" i="12" s="1"/>
  <c r="H785" i="12"/>
  <c r="I785" i="12" s="1"/>
  <c r="H786" i="12"/>
  <c r="H787" i="12"/>
  <c r="I787" i="12" s="1"/>
  <c r="H788" i="12"/>
  <c r="I788" i="12" s="1"/>
  <c r="H789" i="12"/>
  <c r="I789" i="12" s="1"/>
  <c r="H790" i="12"/>
  <c r="I790" i="12" s="1"/>
  <c r="H791" i="12"/>
  <c r="I791" i="12" s="1"/>
  <c r="H792" i="12"/>
  <c r="I792" i="12" s="1"/>
  <c r="H793" i="12"/>
  <c r="H794" i="12"/>
  <c r="I794" i="12" s="1"/>
  <c r="H795" i="12"/>
  <c r="I795" i="12" s="1"/>
  <c r="H796" i="12"/>
  <c r="I796" i="12" s="1"/>
  <c r="H797" i="12"/>
  <c r="I797" i="12" s="1"/>
  <c r="H798" i="12"/>
  <c r="I798" i="12" s="1"/>
  <c r="H799" i="12"/>
  <c r="H800" i="12"/>
  <c r="I800" i="12" s="1"/>
  <c r="H801" i="12"/>
  <c r="I801" i="12" s="1"/>
  <c r="H802" i="12"/>
  <c r="I802" i="12" s="1"/>
  <c r="H803" i="12"/>
  <c r="I803" i="12" s="1"/>
  <c r="H804" i="12"/>
  <c r="H805" i="12"/>
  <c r="I805" i="12" s="1"/>
  <c r="H806" i="12"/>
  <c r="I806" i="12" s="1"/>
  <c r="H807" i="12"/>
  <c r="I807" i="12" s="1"/>
  <c r="H808" i="12"/>
  <c r="I808" i="12" s="1"/>
  <c r="H809" i="12"/>
  <c r="I809" i="12" s="1"/>
  <c r="H810" i="12"/>
  <c r="I810" i="12" s="1"/>
  <c r="H811" i="12"/>
  <c r="I811" i="12" s="1"/>
  <c r="H812" i="12"/>
  <c r="I812" i="12" s="1"/>
  <c r="H813" i="12"/>
  <c r="I813" i="12" s="1"/>
  <c r="H814" i="12"/>
  <c r="I814" i="12" s="1"/>
  <c r="H815" i="12"/>
  <c r="I815" i="12" s="1"/>
  <c r="H816" i="12"/>
  <c r="I816" i="12" s="1"/>
  <c r="H817" i="12"/>
  <c r="I817" i="12" s="1"/>
  <c r="H818" i="12"/>
  <c r="I818" i="12" s="1"/>
  <c r="H819" i="12"/>
  <c r="I819" i="12" s="1"/>
  <c r="H820" i="12"/>
  <c r="H821" i="12"/>
  <c r="I821" i="12" s="1"/>
  <c r="H822" i="12"/>
  <c r="I822" i="12" s="1"/>
  <c r="H823" i="12"/>
  <c r="I823" i="12" s="1"/>
  <c r="H824" i="12"/>
  <c r="H825" i="12"/>
  <c r="I825" i="12" s="1"/>
  <c r="H3" i="12"/>
  <c r="I3" i="12" s="1"/>
  <c r="I824" i="12"/>
  <c r="I820" i="12"/>
  <c r="I804" i="12"/>
  <c r="I799" i="12"/>
  <c r="I793" i="12"/>
  <c r="I786" i="12"/>
  <c r="I777" i="12"/>
  <c r="I772" i="12"/>
  <c r="I766" i="12"/>
  <c r="I759" i="12"/>
  <c r="I750" i="12"/>
  <c r="I745" i="12"/>
  <c r="I739" i="12"/>
  <c r="I732" i="12"/>
  <c r="I723" i="12"/>
  <c r="I718" i="12"/>
  <c r="I714" i="12"/>
  <c r="I712" i="12"/>
  <c r="I709" i="12"/>
  <c r="I706" i="12"/>
  <c r="I705" i="12"/>
  <c r="I703" i="12"/>
  <c r="I702" i="12"/>
  <c r="I700" i="12"/>
  <c r="I697" i="12"/>
  <c r="I696" i="12"/>
  <c r="I694" i="12"/>
  <c r="I693" i="12"/>
  <c r="I691" i="12"/>
  <c r="I688" i="12"/>
  <c r="I687" i="12"/>
  <c r="I685" i="12"/>
  <c r="I684" i="12"/>
  <c r="I682" i="12"/>
  <c r="I679" i="12"/>
  <c r="I678" i="12"/>
  <c r="I676" i="12"/>
  <c r="I675" i="12"/>
  <c r="I673" i="12"/>
  <c r="I670" i="12"/>
  <c r="I669" i="12"/>
  <c r="I667" i="12"/>
  <c r="I666" i="12"/>
  <c r="I664" i="12"/>
  <c r="I661" i="12"/>
  <c r="I660" i="12"/>
  <c r="I658" i="12"/>
  <c r="I657" i="12"/>
  <c r="I655" i="12"/>
  <c r="I654" i="12"/>
  <c r="I652" i="12"/>
  <c r="I651" i="12"/>
  <c r="I649" i="12"/>
  <c r="I648" i="12"/>
  <c r="I646" i="12"/>
  <c r="I645" i="12"/>
  <c r="I643" i="12"/>
  <c r="I642" i="12"/>
  <c r="I640" i="12"/>
  <c r="I639" i="12"/>
  <c r="I637" i="12"/>
  <c r="I636" i="12"/>
  <c r="I634" i="12"/>
  <c r="I633" i="12"/>
  <c r="I631" i="12"/>
  <c r="I630" i="12"/>
  <c r="I628" i="12"/>
  <c r="I627" i="12"/>
  <c r="I625" i="12"/>
  <c r="I624" i="12"/>
  <c r="I622" i="12"/>
  <c r="I621" i="12"/>
  <c r="I619" i="12"/>
  <c r="I618" i="12"/>
  <c r="I616" i="12"/>
  <c r="I615" i="12"/>
  <c r="I613" i="12"/>
  <c r="I612" i="12"/>
  <c r="I610" i="12"/>
  <c r="I609" i="12"/>
  <c r="I607" i="12"/>
  <c r="I606" i="12"/>
  <c r="I604" i="12"/>
  <c r="I603" i="12"/>
  <c r="I601" i="12"/>
  <c r="I600" i="12"/>
  <c r="I598" i="12"/>
  <c r="I597" i="12"/>
  <c r="I595" i="12"/>
  <c r="I594" i="12"/>
  <c r="I592" i="12"/>
  <c r="I591" i="12"/>
  <c r="I589" i="12"/>
  <c r="I588" i="12"/>
  <c r="I586" i="12"/>
  <c r="I585" i="12"/>
  <c r="I583" i="12"/>
  <c r="I582" i="12"/>
  <c r="I580" i="12"/>
  <c r="I579" i="12"/>
  <c r="I577" i="12"/>
  <c r="I576" i="12"/>
  <c r="I574" i="12"/>
  <c r="I573" i="12"/>
  <c r="I571" i="12"/>
  <c r="I570"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I9" i="12"/>
  <c r="I8" i="12"/>
  <c r="I7" i="12"/>
  <c r="I6" i="12"/>
  <c r="I5" i="12"/>
  <c r="I4" i="12"/>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K883" i="18"/>
  <c r="K882" i="18"/>
  <c r="K881" i="18"/>
  <c r="K880" i="18"/>
  <c r="K879" i="18"/>
  <c r="K878" i="18"/>
  <c r="K877" i="18"/>
  <c r="K876" i="18"/>
  <c r="K875" i="18"/>
  <c r="K874" i="18"/>
  <c r="K873" i="18"/>
  <c r="K872" i="18"/>
  <c r="K871" i="18"/>
  <c r="K870" i="18"/>
  <c r="K869" i="18"/>
  <c r="K868" i="18"/>
  <c r="K867" i="18"/>
  <c r="K866" i="18"/>
  <c r="K865" i="18"/>
  <c r="K864" i="18"/>
  <c r="K863" i="18"/>
  <c r="K862" i="18"/>
  <c r="K861" i="18"/>
  <c r="K860" i="18"/>
  <c r="K859" i="18"/>
  <c r="K858" i="18"/>
  <c r="K857" i="18"/>
  <c r="K856" i="18"/>
  <c r="K855" i="18"/>
  <c r="K854" i="18"/>
  <c r="K853" i="18"/>
  <c r="K852" i="18"/>
  <c r="K851" i="18"/>
  <c r="K850" i="18"/>
  <c r="K849" i="18"/>
  <c r="K848" i="18"/>
  <c r="K847" i="18"/>
  <c r="K846" i="18"/>
  <c r="K845" i="18"/>
  <c r="K844" i="18"/>
  <c r="K843" i="18"/>
  <c r="K842" i="18"/>
  <c r="K841" i="18"/>
  <c r="K840" i="18"/>
  <c r="K839" i="18"/>
  <c r="K838" i="18"/>
  <c r="K837" i="18"/>
  <c r="K836" i="18"/>
  <c r="K835" i="18"/>
  <c r="K834" i="18"/>
  <c r="K833" i="18"/>
  <c r="K832" i="18"/>
  <c r="K831" i="18"/>
  <c r="K830" i="18"/>
  <c r="K829" i="18"/>
  <c r="K828" i="18"/>
  <c r="K827" i="18"/>
  <c r="K826" i="18"/>
  <c r="K825" i="18"/>
  <c r="K824" i="18"/>
  <c r="K823" i="18"/>
  <c r="K822" i="18"/>
  <c r="K821" i="18"/>
  <c r="K820" i="18"/>
  <c r="K819" i="18"/>
  <c r="K818" i="18"/>
  <c r="K817" i="18"/>
  <c r="K816" i="18"/>
  <c r="K815" i="18"/>
  <c r="K814" i="18"/>
  <c r="K813" i="18"/>
  <c r="K812" i="18"/>
  <c r="K811" i="18"/>
  <c r="K810" i="18"/>
  <c r="K809" i="18"/>
  <c r="K808" i="18"/>
  <c r="K807" i="18"/>
  <c r="K806" i="18"/>
  <c r="K805" i="18"/>
  <c r="K804" i="18"/>
  <c r="K803" i="18"/>
  <c r="K802" i="18"/>
  <c r="K801" i="18"/>
  <c r="K800" i="18"/>
  <c r="K799" i="18"/>
  <c r="K798" i="18"/>
  <c r="K797" i="18"/>
  <c r="K796" i="18"/>
  <c r="K795" i="18"/>
  <c r="K794" i="18"/>
  <c r="K793" i="18"/>
  <c r="K792" i="18"/>
  <c r="K791" i="18"/>
  <c r="K790" i="18"/>
  <c r="K789" i="18"/>
  <c r="K788" i="18"/>
  <c r="K787" i="18"/>
  <c r="K786" i="18"/>
  <c r="K785" i="18"/>
  <c r="K784" i="18"/>
  <c r="K783" i="18"/>
  <c r="K782" i="18"/>
  <c r="K781" i="18"/>
  <c r="K780" i="18"/>
  <c r="K779" i="18"/>
  <c r="K778" i="18"/>
  <c r="K777" i="18"/>
  <c r="K776" i="18"/>
  <c r="K775" i="18"/>
  <c r="K774" i="18"/>
  <c r="K773" i="18"/>
  <c r="K772" i="18"/>
  <c r="K771" i="18"/>
  <c r="K770" i="18"/>
  <c r="K769" i="18"/>
  <c r="K768" i="18"/>
  <c r="K767" i="18"/>
  <c r="K766" i="18"/>
  <c r="K765" i="18"/>
  <c r="K764" i="18"/>
  <c r="K763" i="18"/>
  <c r="K762" i="18"/>
  <c r="K761" i="18"/>
  <c r="K760" i="18"/>
  <c r="K759" i="18"/>
  <c r="K758" i="18"/>
  <c r="K757" i="18"/>
  <c r="K756" i="18"/>
  <c r="K755" i="18"/>
  <c r="K754" i="18"/>
  <c r="K753" i="18"/>
  <c r="K752" i="18"/>
  <c r="K751" i="18"/>
  <c r="K750" i="18"/>
  <c r="K749" i="18"/>
  <c r="K748" i="18"/>
  <c r="K747" i="18"/>
  <c r="K746" i="18"/>
  <c r="K745" i="18"/>
  <c r="K744" i="18"/>
  <c r="K743" i="18"/>
  <c r="K742" i="18"/>
  <c r="K741" i="18"/>
  <c r="K740" i="18"/>
  <c r="K739" i="18"/>
  <c r="K738" i="18"/>
  <c r="K737" i="18"/>
  <c r="K736" i="18"/>
  <c r="K735" i="18"/>
  <c r="K734" i="18"/>
  <c r="K733" i="18"/>
  <c r="K732" i="18"/>
  <c r="K731" i="18"/>
  <c r="K730" i="18"/>
  <c r="K729" i="18"/>
  <c r="K728" i="18"/>
  <c r="K727" i="18"/>
  <c r="K726" i="18"/>
  <c r="K725" i="18"/>
  <c r="K724" i="18"/>
  <c r="K723" i="18"/>
  <c r="K722" i="18"/>
  <c r="K721" i="18"/>
  <c r="K720" i="18"/>
  <c r="K719" i="18"/>
  <c r="K718" i="18"/>
  <c r="K717" i="18"/>
  <c r="K716" i="18"/>
  <c r="K715" i="18"/>
  <c r="K714" i="18"/>
  <c r="K713" i="18"/>
  <c r="K712" i="18"/>
  <c r="K711" i="18"/>
  <c r="K710" i="18"/>
  <c r="K709" i="18"/>
  <c r="K708" i="18"/>
  <c r="K707" i="18"/>
  <c r="K706" i="18"/>
  <c r="K705" i="18"/>
  <c r="K704" i="18"/>
  <c r="K703" i="18"/>
  <c r="K702" i="18"/>
  <c r="K701" i="18"/>
  <c r="K700" i="18"/>
  <c r="K699" i="18"/>
  <c r="K698" i="18"/>
  <c r="K697" i="18"/>
  <c r="K696" i="18"/>
  <c r="K695" i="18"/>
  <c r="K694" i="18"/>
  <c r="K693" i="18"/>
  <c r="K692" i="18"/>
  <c r="K691" i="18"/>
  <c r="K690" i="18"/>
  <c r="K689" i="18"/>
  <c r="K688" i="18"/>
  <c r="K687" i="18"/>
  <c r="K686" i="18"/>
  <c r="K685" i="18"/>
  <c r="K684" i="18"/>
  <c r="K683" i="18"/>
  <c r="K682" i="18"/>
  <c r="K681" i="18"/>
  <c r="K680" i="18"/>
  <c r="K679" i="18"/>
  <c r="K678" i="18"/>
  <c r="K677" i="18"/>
  <c r="K676" i="18"/>
  <c r="K675" i="18"/>
  <c r="K674" i="18"/>
  <c r="K673" i="18"/>
  <c r="K672" i="18"/>
  <c r="K671" i="18"/>
  <c r="K670" i="18"/>
  <c r="K669" i="18"/>
  <c r="K668" i="18"/>
  <c r="K667" i="18"/>
  <c r="K666" i="18"/>
  <c r="K665" i="18"/>
  <c r="K664" i="18"/>
  <c r="K663" i="18"/>
  <c r="K662" i="18"/>
  <c r="K661" i="18"/>
  <c r="K660" i="18"/>
  <c r="K659" i="18"/>
  <c r="K658" i="18"/>
  <c r="K657" i="18"/>
  <c r="K656" i="18"/>
  <c r="K655" i="18"/>
  <c r="K654" i="18"/>
  <c r="K653" i="18"/>
  <c r="K652" i="18"/>
  <c r="K651" i="18"/>
  <c r="K650" i="18"/>
  <c r="K649" i="18"/>
  <c r="K648" i="18"/>
  <c r="K647" i="18"/>
  <c r="K646" i="18"/>
  <c r="K645" i="18"/>
  <c r="K644" i="18"/>
  <c r="K643" i="18"/>
  <c r="K642" i="18"/>
  <c r="K641" i="18"/>
  <c r="K640" i="18"/>
  <c r="K639" i="18"/>
  <c r="K638" i="18"/>
  <c r="K637" i="18"/>
  <c r="K636" i="18"/>
  <c r="K635" i="18"/>
  <c r="K634" i="18"/>
  <c r="K633" i="18"/>
  <c r="K632" i="18"/>
  <c r="K631" i="18"/>
  <c r="K630" i="18"/>
  <c r="K629" i="18"/>
  <c r="K628" i="18"/>
  <c r="K627" i="18"/>
  <c r="K626" i="18"/>
  <c r="K625" i="18"/>
  <c r="K624" i="18"/>
  <c r="K623" i="18"/>
  <c r="K622" i="18"/>
  <c r="K621" i="18"/>
  <c r="K620" i="18"/>
  <c r="K619" i="18"/>
  <c r="K618" i="18"/>
  <c r="K617" i="18"/>
  <c r="K616" i="18"/>
  <c r="K615" i="18"/>
  <c r="K614" i="18"/>
  <c r="K613" i="18"/>
  <c r="K612" i="18"/>
  <c r="K611" i="18"/>
  <c r="K610" i="18"/>
  <c r="K609" i="18"/>
  <c r="K608" i="18"/>
  <c r="K607" i="18"/>
  <c r="K606" i="18"/>
  <c r="K605" i="18"/>
  <c r="K604" i="18"/>
  <c r="K603" i="18"/>
  <c r="K602" i="18"/>
  <c r="K601" i="18"/>
  <c r="K600" i="18"/>
  <c r="K599" i="18"/>
  <c r="K598" i="18"/>
  <c r="K597" i="18"/>
  <c r="K596" i="18"/>
  <c r="K595" i="18"/>
  <c r="K594" i="18"/>
  <c r="K593" i="18"/>
  <c r="K592" i="18"/>
  <c r="K591" i="18"/>
  <c r="K590" i="18"/>
  <c r="K589" i="18"/>
  <c r="K588" i="18"/>
  <c r="K587" i="18"/>
  <c r="K586" i="18"/>
  <c r="K585" i="18"/>
  <c r="K584" i="18"/>
  <c r="K583" i="18"/>
  <c r="K582" i="18"/>
  <c r="K581" i="18"/>
  <c r="K580" i="18"/>
  <c r="K579" i="18"/>
  <c r="K578" i="18"/>
  <c r="K577" i="18"/>
  <c r="K576" i="18"/>
  <c r="K575" i="18"/>
  <c r="K574" i="18"/>
  <c r="K573" i="18"/>
  <c r="K572" i="18"/>
  <c r="K571" i="18"/>
  <c r="K570" i="18"/>
  <c r="K569" i="18"/>
  <c r="K568" i="18"/>
  <c r="K567" i="18"/>
  <c r="K566" i="18"/>
  <c r="K565" i="18"/>
  <c r="K564" i="18"/>
  <c r="K563" i="18"/>
  <c r="K562" i="18"/>
  <c r="K561" i="18"/>
  <c r="K560" i="18"/>
  <c r="K559" i="18"/>
  <c r="K558" i="18"/>
  <c r="K557" i="18"/>
  <c r="K556" i="18"/>
  <c r="K555" i="18"/>
  <c r="K554" i="18"/>
  <c r="K553" i="18"/>
  <c r="K552" i="18"/>
  <c r="K551" i="18"/>
  <c r="K550" i="18"/>
  <c r="K549" i="18"/>
  <c r="K548" i="18"/>
  <c r="K547" i="18"/>
  <c r="K546" i="18"/>
  <c r="K545" i="18"/>
  <c r="K544" i="18"/>
  <c r="K543" i="18"/>
  <c r="K542" i="18"/>
  <c r="K541" i="18"/>
  <c r="K540" i="18"/>
  <c r="K539" i="18"/>
  <c r="K538" i="18"/>
  <c r="K537" i="18"/>
  <c r="K536" i="18"/>
  <c r="K535" i="18"/>
  <c r="K534" i="18"/>
  <c r="K533" i="18"/>
  <c r="K532" i="18"/>
  <c r="K531" i="18"/>
  <c r="K530" i="18"/>
  <c r="K529" i="18"/>
  <c r="K528" i="18"/>
  <c r="K527" i="18"/>
  <c r="K526" i="18"/>
  <c r="K525" i="18"/>
  <c r="K524" i="18"/>
  <c r="K523" i="18"/>
  <c r="K522" i="18"/>
  <c r="K521" i="18"/>
  <c r="K520" i="18"/>
  <c r="K519" i="18"/>
  <c r="K518" i="18"/>
  <c r="K517" i="18"/>
  <c r="K516" i="18"/>
  <c r="K515" i="18"/>
  <c r="K514" i="18"/>
  <c r="K513" i="18"/>
  <c r="K512" i="18"/>
  <c r="K511" i="18"/>
  <c r="K510" i="18"/>
  <c r="K509" i="18"/>
  <c r="K508" i="18"/>
  <c r="K507" i="18"/>
  <c r="K506" i="18"/>
  <c r="K505" i="18"/>
  <c r="K504" i="18"/>
  <c r="K503" i="18"/>
  <c r="K502" i="18"/>
  <c r="K501" i="18"/>
  <c r="K500" i="18"/>
  <c r="K499" i="18"/>
  <c r="K498" i="18"/>
  <c r="K497" i="18"/>
  <c r="K496" i="18"/>
  <c r="K495" i="18"/>
  <c r="K494" i="18"/>
  <c r="K493" i="18"/>
  <c r="K492" i="18"/>
  <c r="K491" i="18"/>
  <c r="K490" i="18"/>
  <c r="K489" i="18"/>
  <c r="K488" i="18"/>
  <c r="K487" i="18"/>
  <c r="K486" i="18"/>
  <c r="K485" i="18"/>
  <c r="K484" i="18"/>
  <c r="K483" i="18"/>
  <c r="K482" i="18"/>
  <c r="K481" i="18"/>
  <c r="K480" i="18"/>
  <c r="K479" i="18"/>
  <c r="K478" i="18"/>
  <c r="K477" i="18"/>
  <c r="K476" i="18"/>
  <c r="K475" i="18"/>
  <c r="K474" i="18"/>
  <c r="K473" i="18"/>
  <c r="K472" i="18"/>
  <c r="K471" i="18"/>
  <c r="K470" i="18"/>
  <c r="K469" i="18"/>
  <c r="K468" i="18"/>
  <c r="K467" i="18"/>
  <c r="K466" i="18"/>
  <c r="K465" i="18"/>
  <c r="K464" i="18"/>
  <c r="K463" i="18"/>
  <c r="K462" i="18"/>
  <c r="K461" i="18"/>
  <c r="K460" i="18"/>
  <c r="K459" i="18"/>
  <c r="K458" i="18"/>
  <c r="K457" i="18"/>
  <c r="K456" i="18"/>
  <c r="K455" i="18"/>
  <c r="K454" i="18"/>
  <c r="K453" i="18"/>
  <c r="K452" i="18"/>
  <c r="K451" i="18"/>
  <c r="K450" i="18"/>
  <c r="K449" i="18"/>
  <c r="K448" i="18"/>
  <c r="K447" i="18"/>
  <c r="K446" i="18"/>
  <c r="K445" i="18"/>
  <c r="K444" i="18"/>
  <c r="K443" i="18"/>
  <c r="K442" i="18"/>
  <c r="K441" i="18"/>
  <c r="K440" i="18"/>
  <c r="K439" i="18"/>
  <c r="K438" i="18"/>
  <c r="K437" i="18"/>
  <c r="K436" i="18"/>
  <c r="K435" i="18"/>
  <c r="K434" i="18"/>
  <c r="K433" i="18"/>
  <c r="K432" i="18"/>
  <c r="K431" i="18"/>
  <c r="K430" i="18"/>
  <c r="K429" i="18"/>
  <c r="K428" i="18"/>
  <c r="K427" i="18"/>
  <c r="K426" i="18"/>
  <c r="K425" i="18"/>
  <c r="K424" i="18"/>
  <c r="K423" i="18"/>
  <c r="K422" i="18"/>
  <c r="K421" i="18"/>
  <c r="K420" i="18"/>
  <c r="K419" i="18"/>
  <c r="K418" i="18"/>
  <c r="K417" i="18"/>
  <c r="K416" i="18"/>
  <c r="K415" i="18"/>
  <c r="K414" i="18"/>
  <c r="K413" i="18"/>
  <c r="K412" i="18"/>
  <c r="K411" i="18"/>
  <c r="K410" i="18"/>
  <c r="K409" i="18"/>
  <c r="K408" i="18"/>
  <c r="K407" i="18"/>
  <c r="K406" i="18"/>
  <c r="K405" i="18"/>
  <c r="K404" i="18"/>
  <c r="K403" i="18"/>
  <c r="K402" i="18"/>
  <c r="K401" i="18"/>
  <c r="K400" i="18"/>
  <c r="K399" i="18"/>
  <c r="K398" i="18"/>
  <c r="K397" i="18"/>
  <c r="K396" i="18"/>
  <c r="K395" i="18"/>
  <c r="K394" i="18"/>
  <c r="K393" i="18"/>
  <c r="K392" i="18"/>
  <c r="K391" i="18"/>
  <c r="K390" i="18"/>
  <c r="K389" i="18"/>
  <c r="K388" i="18"/>
  <c r="K387" i="18"/>
  <c r="K386" i="18"/>
  <c r="K385" i="18"/>
  <c r="K384" i="18"/>
  <c r="K383" i="18"/>
  <c r="K382" i="18"/>
  <c r="K381" i="18"/>
  <c r="K380" i="18"/>
  <c r="K379" i="18"/>
  <c r="K378" i="18"/>
  <c r="K377" i="18"/>
  <c r="K376" i="18"/>
  <c r="K375" i="18"/>
  <c r="K374" i="18"/>
  <c r="K373" i="18"/>
  <c r="K372" i="18"/>
  <c r="K371" i="18"/>
  <c r="K370" i="18"/>
  <c r="K369" i="18"/>
  <c r="K368" i="18"/>
  <c r="K367" i="18"/>
  <c r="K366" i="18"/>
  <c r="K365" i="18"/>
  <c r="K364" i="18"/>
  <c r="K363" i="18"/>
  <c r="K362" i="18"/>
  <c r="K361" i="18"/>
  <c r="K360" i="18"/>
  <c r="K359" i="18"/>
  <c r="K358" i="18"/>
  <c r="K357" i="18"/>
  <c r="K356" i="18"/>
  <c r="K355" i="18"/>
  <c r="K354" i="18"/>
  <c r="K353" i="18"/>
  <c r="K352" i="18"/>
  <c r="K351" i="18"/>
  <c r="K350" i="18"/>
  <c r="K349" i="18"/>
  <c r="K348" i="18"/>
  <c r="K347" i="18"/>
  <c r="K346" i="18"/>
  <c r="K345" i="18"/>
  <c r="K344" i="18"/>
  <c r="K343" i="18"/>
  <c r="K342" i="18"/>
  <c r="K341" i="18"/>
  <c r="K340" i="18"/>
  <c r="K339" i="18"/>
  <c r="K338" i="18"/>
  <c r="K337" i="18"/>
  <c r="K336" i="18"/>
  <c r="K335" i="18"/>
  <c r="K334" i="18"/>
  <c r="K333" i="18"/>
  <c r="K332" i="18"/>
  <c r="K331" i="18"/>
  <c r="K330" i="18"/>
  <c r="K329" i="18"/>
  <c r="K328" i="18"/>
  <c r="K327" i="18"/>
  <c r="K326" i="18"/>
  <c r="K325" i="18"/>
  <c r="K324" i="18"/>
  <c r="K323" i="18"/>
  <c r="K322" i="18"/>
  <c r="K321" i="18"/>
  <c r="K320" i="18"/>
  <c r="K319" i="18"/>
  <c r="K318" i="18"/>
  <c r="K317" i="18"/>
  <c r="K316" i="18"/>
  <c r="K315" i="18"/>
  <c r="K314" i="18"/>
  <c r="K313" i="18"/>
  <c r="K312" i="18"/>
  <c r="K311" i="18"/>
  <c r="K310" i="18"/>
  <c r="K309" i="18"/>
  <c r="K308" i="18"/>
  <c r="K307" i="18"/>
  <c r="K306" i="18"/>
  <c r="K305" i="18"/>
  <c r="K304" i="18"/>
  <c r="K303" i="18"/>
  <c r="K302" i="18"/>
  <c r="K301" i="18"/>
  <c r="K300" i="18"/>
  <c r="K299" i="18"/>
  <c r="K298" i="18"/>
  <c r="K297" i="18"/>
  <c r="K296" i="18"/>
  <c r="K295" i="18"/>
  <c r="K294" i="18"/>
  <c r="K293" i="18"/>
  <c r="K292" i="18"/>
  <c r="K291" i="18"/>
  <c r="K290" i="18"/>
  <c r="K289" i="18"/>
  <c r="K288" i="18"/>
  <c r="K287" i="18"/>
  <c r="K286" i="18"/>
  <c r="K285" i="18"/>
  <c r="K284" i="18"/>
  <c r="K283" i="18"/>
  <c r="K282" i="18"/>
  <c r="K281" i="18"/>
  <c r="K280" i="18"/>
  <c r="K279" i="18"/>
  <c r="K278" i="18"/>
  <c r="K277" i="18"/>
  <c r="K276" i="18"/>
  <c r="K275" i="18"/>
  <c r="K274" i="18"/>
  <c r="K273" i="18"/>
  <c r="K272" i="18"/>
  <c r="K271" i="18"/>
  <c r="K270" i="18"/>
  <c r="K269" i="18"/>
  <c r="K268" i="18"/>
  <c r="K267" i="18"/>
  <c r="K266" i="18"/>
  <c r="K265" i="18"/>
  <c r="K264" i="18"/>
  <c r="K263" i="18"/>
  <c r="K262" i="18"/>
  <c r="K261" i="18"/>
  <c r="K260" i="18"/>
  <c r="K259" i="18"/>
  <c r="K258" i="18"/>
  <c r="K257" i="18"/>
  <c r="K256" i="18"/>
  <c r="K255" i="18"/>
  <c r="K254" i="18"/>
  <c r="K253" i="18"/>
  <c r="K252" i="18"/>
  <c r="K251" i="18"/>
  <c r="K250" i="18"/>
  <c r="K249" i="18"/>
  <c r="K248" i="18"/>
  <c r="K247" i="18"/>
  <c r="K246" i="18"/>
  <c r="K245" i="18"/>
  <c r="K244" i="18"/>
  <c r="K243" i="18"/>
  <c r="K242" i="18"/>
  <c r="K241" i="18"/>
  <c r="K240" i="18"/>
  <c r="K239" i="18"/>
  <c r="K238" i="18"/>
  <c r="K237" i="18"/>
  <c r="K236" i="18"/>
  <c r="K235" i="18"/>
  <c r="K234" i="18"/>
  <c r="K233" i="18"/>
  <c r="K232" i="18"/>
  <c r="K231" i="18"/>
  <c r="K230" i="18"/>
  <c r="K229" i="18"/>
  <c r="K228" i="18"/>
  <c r="K227" i="18"/>
  <c r="K226" i="18"/>
  <c r="K225" i="18"/>
  <c r="K224" i="18"/>
  <c r="K223" i="18"/>
  <c r="K222" i="18"/>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J6" i="15"/>
  <c r="I6" i="15"/>
  <c r="H5" i="15"/>
  <c r="H4" i="15"/>
  <c r="D4" i="15"/>
  <c r="AT12" i="14" l="1"/>
  <c r="BD19" i="14"/>
  <c r="BD20" i="14" s="1"/>
  <c r="BD23" i="14"/>
  <c r="BD24" i="14" s="1"/>
  <c r="BD25" i="14"/>
  <c r="BD26" i="14" s="1"/>
  <c r="AU47" i="14"/>
  <c r="BD21" i="14"/>
  <c r="BD22" i="14" s="1"/>
  <c r="P250" i="18"/>
  <c r="P693" i="18"/>
  <c r="Q256" i="16"/>
  <c r="P256" i="18"/>
  <c r="Q259" i="16"/>
  <c r="P259" i="18"/>
  <c r="P94" i="18"/>
  <c r="P582" i="18"/>
  <c r="Q343" i="16"/>
  <c r="P343" i="18"/>
  <c r="P934" i="18"/>
  <c r="P597" i="18"/>
  <c r="P609" i="18"/>
  <c r="P740" i="18"/>
  <c r="P9" i="18"/>
  <c r="P885" i="18"/>
  <c r="P397" i="18"/>
  <c r="P100" i="18"/>
  <c r="P907" i="18"/>
  <c r="P658" i="18"/>
  <c r="P765" i="18"/>
  <c r="P692" i="18"/>
  <c r="P901" i="18"/>
  <c r="P396" i="18"/>
  <c r="P99" i="18"/>
  <c r="P393" i="18"/>
  <c r="P8" i="18"/>
  <c r="P129" i="18"/>
  <c r="P202" i="18"/>
  <c r="P656" i="18"/>
  <c r="Q744" i="16"/>
  <c r="P744" i="18"/>
  <c r="P391" i="18"/>
  <c r="P773" i="18"/>
  <c r="P667" i="18"/>
  <c r="P770" i="18"/>
  <c r="P50" i="18"/>
  <c r="P7" i="18"/>
  <c r="P120" i="18"/>
  <c r="P336" i="18"/>
  <c r="P399" i="18"/>
  <c r="Q192" i="16"/>
  <c r="P192" i="18"/>
  <c r="P510" i="18"/>
  <c r="P828" i="18"/>
  <c r="P358" i="18"/>
  <c r="P451" i="18"/>
  <c r="P191" i="18"/>
  <c r="P117" i="18"/>
  <c r="P350" i="18"/>
  <c r="P335" i="18"/>
  <c r="P266" i="18"/>
  <c r="P357" i="18"/>
  <c r="P545" i="18"/>
  <c r="P776" i="18"/>
  <c r="Q728" i="16"/>
  <c r="P728" i="18"/>
  <c r="Q725" i="16"/>
  <c r="P725" i="18"/>
  <c r="P271" i="18"/>
  <c r="P722" i="18"/>
  <c r="P721" i="18"/>
  <c r="P267" i="18"/>
  <c r="Q826" i="16"/>
  <c r="P826" i="18"/>
  <c r="P508" i="18"/>
  <c r="P823" i="18"/>
  <c r="P360" i="18"/>
  <c r="Q506" i="16"/>
  <c r="P506" i="18"/>
  <c r="Q503" i="16"/>
  <c r="P503" i="18"/>
  <c r="P396" i="25"/>
  <c r="P395" i="25"/>
  <c r="R208" i="24"/>
  <c r="R207" i="24"/>
  <c r="Q927" i="16"/>
  <c r="P927" i="18"/>
  <c r="Q815" i="16"/>
  <c r="P815" i="18"/>
  <c r="Q812" i="16"/>
  <c r="P812" i="18"/>
  <c r="P809" i="18"/>
  <c r="P464" i="18"/>
  <c r="Q803" i="16"/>
  <c r="P803" i="18"/>
  <c r="Q800" i="16"/>
  <c r="P800" i="18"/>
  <c r="Q797" i="16"/>
  <c r="P797" i="18"/>
  <c r="Q794" i="16"/>
  <c r="P794" i="18"/>
  <c r="Q670" i="16"/>
  <c r="P670" i="18"/>
  <c r="P107" i="18"/>
  <c r="P791" i="18"/>
  <c r="P606" i="18"/>
  <c r="P424" i="18"/>
  <c r="P461" i="18"/>
  <c r="P422" i="18"/>
  <c r="P456" i="18"/>
  <c r="Q104" i="16"/>
  <c r="P104" i="18"/>
  <c r="Q371" i="16"/>
  <c r="P371" i="18"/>
  <c r="P370" i="18"/>
  <c r="P276" i="18"/>
  <c r="P390" i="25"/>
  <c r="P391" i="25"/>
  <c r="R204" i="24"/>
  <c r="U390" i="23"/>
  <c r="Q57" i="16"/>
  <c r="P57" i="18"/>
  <c r="P384" i="25"/>
  <c r="P383" i="25"/>
  <c r="P386" i="25"/>
  <c r="P385" i="25"/>
  <c r="R202" i="24"/>
  <c r="U384" i="23"/>
  <c r="P372" i="25"/>
  <c r="P373" i="25"/>
  <c r="P371" i="25"/>
  <c r="R196" i="24"/>
  <c r="R195" i="24"/>
  <c r="U372" i="23"/>
  <c r="P357" i="25"/>
  <c r="P360" i="25"/>
  <c r="P356" i="25"/>
  <c r="P359" i="25"/>
  <c r="P358" i="25"/>
  <c r="R188" i="24"/>
  <c r="R189" i="24"/>
  <c r="U357" i="23"/>
  <c r="P26" i="18"/>
  <c r="P417" i="18"/>
  <c r="Q411" i="16"/>
  <c r="P411" i="18"/>
  <c r="Q408" i="16"/>
  <c r="P408" i="18"/>
  <c r="Q405" i="16"/>
  <c r="P405" i="18"/>
  <c r="Q402" i="16"/>
  <c r="P402" i="18"/>
  <c r="P345" i="25"/>
  <c r="P348" i="25"/>
  <c r="P347" i="25"/>
  <c r="P346" i="25"/>
  <c r="R185" i="24"/>
  <c r="U345" i="23"/>
  <c r="P339" i="25"/>
  <c r="R182" i="24"/>
  <c r="P335" i="25"/>
  <c r="R179" i="24"/>
  <c r="P327" i="25"/>
  <c r="P330" i="25"/>
  <c r="P329" i="25"/>
  <c r="P328" i="25"/>
  <c r="R175" i="24"/>
  <c r="R176" i="24"/>
  <c r="U326" i="23"/>
  <c r="U329" i="23"/>
  <c r="U327" i="23"/>
  <c r="P323" i="25"/>
  <c r="P322" i="25"/>
  <c r="R171" i="24"/>
  <c r="U321" i="23"/>
  <c r="P318" i="25"/>
  <c r="P319" i="25"/>
  <c r="R169" i="24"/>
  <c r="U317" i="23"/>
  <c r="U318" i="23"/>
  <c r="P314" i="25"/>
  <c r="P313" i="25"/>
  <c r="R166" i="24"/>
  <c r="R165" i="24"/>
  <c r="U312" i="23"/>
  <c r="P303" i="25"/>
  <c r="P306" i="25"/>
  <c r="P302" i="25"/>
  <c r="P301" i="25"/>
  <c r="P305" i="25"/>
  <c r="P304" i="25"/>
  <c r="U301" i="23"/>
  <c r="U304" i="23"/>
  <c r="U302" i="23"/>
  <c r="U305" i="23"/>
  <c r="R162" i="24"/>
  <c r="U300" i="23"/>
  <c r="U303" i="23"/>
  <c r="P294" i="25"/>
  <c r="P293" i="25"/>
  <c r="P295" i="25"/>
  <c r="U292" i="23"/>
  <c r="U293" i="23"/>
  <c r="R159" i="24"/>
  <c r="U294" i="23"/>
  <c r="P282" i="25"/>
  <c r="P285" i="25"/>
  <c r="P284" i="25"/>
  <c r="P283" i="25"/>
  <c r="P286" i="25"/>
  <c r="R154" i="24"/>
  <c r="U283" i="23"/>
  <c r="R155" i="24"/>
  <c r="U281" i="23"/>
  <c r="U284" i="23"/>
  <c r="R153" i="24"/>
  <c r="R156" i="24"/>
  <c r="U282" i="23"/>
  <c r="U285" i="23"/>
  <c r="P273" i="25"/>
  <c r="P275" i="25"/>
  <c r="P274" i="25"/>
  <c r="U274" i="23"/>
  <c r="U272" i="23"/>
  <c r="R150" i="24"/>
  <c r="U273" i="23"/>
  <c r="P270" i="25"/>
  <c r="U269" i="23"/>
  <c r="R147" i="24"/>
  <c r="P265" i="25"/>
  <c r="R144" i="24"/>
  <c r="U264" i="23"/>
  <c r="P261" i="25"/>
  <c r="R142" i="24"/>
  <c r="U260" i="23"/>
  <c r="P258" i="25"/>
  <c r="P257" i="25"/>
  <c r="P256" i="25"/>
  <c r="R139" i="24"/>
  <c r="U256" i="23"/>
  <c r="U257" i="23"/>
  <c r="U255" i="23"/>
  <c r="P249" i="25"/>
  <c r="P248" i="25"/>
  <c r="P247" i="25"/>
  <c r="R136" i="24"/>
  <c r="U247" i="23"/>
  <c r="U248" i="23"/>
  <c r="U246" i="23"/>
  <c r="P240" i="25"/>
  <c r="P239" i="25"/>
  <c r="R133" i="24"/>
  <c r="U238" i="23"/>
  <c r="U239" i="23"/>
  <c r="P234" i="25"/>
  <c r="P233" i="25"/>
  <c r="U232" i="23"/>
  <c r="R128" i="24"/>
  <c r="U233" i="23"/>
  <c r="R129" i="24"/>
  <c r="P228" i="25"/>
  <c r="P229" i="25"/>
  <c r="R125" i="24"/>
  <c r="U227" i="23"/>
  <c r="U228" i="23"/>
  <c r="P222" i="25"/>
  <c r="P221" i="25"/>
  <c r="U220" i="23"/>
  <c r="U221" i="23"/>
  <c r="R120" i="24"/>
  <c r="P215" i="25"/>
  <c r="P214" i="25"/>
  <c r="U214" i="23"/>
  <c r="R117" i="24"/>
  <c r="U213" i="23"/>
  <c r="P198" i="25"/>
  <c r="P201" i="25"/>
  <c r="P204" i="25"/>
  <c r="P207" i="25"/>
  <c r="P199" i="25"/>
  <c r="P203" i="25"/>
  <c r="P208" i="25"/>
  <c r="P197" i="25"/>
  <c r="P202" i="25"/>
  <c r="P206" i="25"/>
  <c r="P205" i="25"/>
  <c r="P196" i="25"/>
  <c r="P209" i="25"/>
  <c r="P200" i="25"/>
  <c r="U196" i="23"/>
  <c r="U199" i="23"/>
  <c r="U202" i="23"/>
  <c r="U205" i="23"/>
  <c r="U208" i="23"/>
  <c r="U197" i="23"/>
  <c r="U200" i="23"/>
  <c r="U203" i="23"/>
  <c r="U206" i="23"/>
  <c r="R114" i="24"/>
  <c r="U195" i="23"/>
  <c r="U198" i="23"/>
  <c r="U201" i="23"/>
  <c r="U204" i="23"/>
  <c r="U207" i="23"/>
  <c r="P190" i="25"/>
  <c r="P191" i="25"/>
  <c r="U190" i="23"/>
  <c r="R110" i="24"/>
  <c r="R111" i="24"/>
  <c r="U189" i="23"/>
  <c r="P185" i="25"/>
  <c r="P184" i="25"/>
  <c r="U184" i="23"/>
  <c r="R104" i="24"/>
  <c r="R105" i="24"/>
  <c r="U183" i="23"/>
  <c r="P179" i="25"/>
  <c r="P641" i="18"/>
  <c r="U178" i="23"/>
  <c r="Q638" i="16"/>
  <c r="P174" i="25"/>
  <c r="P176" i="25"/>
  <c r="P175" i="25"/>
  <c r="P638" i="18"/>
  <c r="R100" i="24"/>
  <c r="U175" i="23"/>
  <c r="U173" i="23"/>
  <c r="R99" i="24"/>
  <c r="U174" i="23"/>
  <c r="Q637" i="16"/>
  <c r="P168" i="25"/>
  <c r="P170" i="25"/>
  <c r="P637" i="18"/>
  <c r="P169" i="25"/>
  <c r="U169" i="23"/>
  <c r="U167" i="23"/>
  <c r="R96" i="24"/>
  <c r="U168" i="23"/>
  <c r="P114" i="18"/>
  <c r="P167" i="18"/>
  <c r="P632" i="18"/>
  <c r="P425" i="18"/>
  <c r="P438" i="18"/>
  <c r="Q131" i="16"/>
  <c r="P131" i="18"/>
  <c r="Q171" i="16"/>
  <c r="P171" i="18"/>
  <c r="Q437" i="16"/>
  <c r="P437" i="18"/>
  <c r="Q434" i="16"/>
  <c r="P434" i="18"/>
  <c r="Q596" i="16"/>
  <c r="P596" i="18"/>
  <c r="P38" i="18"/>
  <c r="P835" i="18"/>
  <c r="P932" i="18"/>
  <c r="P789" i="18"/>
  <c r="P736" i="18"/>
  <c r="P593" i="18"/>
  <c r="P333" i="18"/>
  <c r="P900" i="18"/>
  <c r="P759" i="18"/>
  <c r="Q754" i="16"/>
  <c r="P754" i="18"/>
  <c r="P331" i="18"/>
  <c r="P751" i="18"/>
  <c r="P734" i="18"/>
  <c r="P366" i="18"/>
  <c r="P121" i="18"/>
  <c r="P897" i="18"/>
  <c r="P784" i="18"/>
  <c r="P518" i="18"/>
  <c r="P788" i="18"/>
  <c r="P781" i="18"/>
  <c r="P126" i="18"/>
  <c r="P91" i="18"/>
  <c r="P89" i="18"/>
  <c r="P543" i="18"/>
  <c r="P514" i="18"/>
  <c r="P648" i="18"/>
  <c r="P82" i="18"/>
  <c r="Q324" i="16"/>
  <c r="P324" i="18"/>
  <c r="P919" i="18"/>
  <c r="P321" i="18"/>
  <c r="Q238" i="16"/>
  <c r="P238" i="18"/>
  <c r="P235" i="18"/>
  <c r="P334" i="18"/>
  <c r="Q388" i="16"/>
  <c r="P388" i="18"/>
  <c r="P47" i="18"/>
  <c r="P385" i="18"/>
  <c r="Q382" i="16"/>
  <c r="P382" i="18"/>
  <c r="Q379" i="16"/>
  <c r="P379" i="18"/>
  <c r="P376" i="18"/>
  <c r="P767" i="18"/>
  <c r="Q185" i="16"/>
  <c r="P185" i="18"/>
  <c r="Q182" i="16"/>
  <c r="P182" i="18"/>
  <c r="Q176" i="16"/>
  <c r="P176" i="18"/>
  <c r="Q320" i="16"/>
  <c r="P320" i="18"/>
  <c r="Q317" i="16"/>
  <c r="P317" i="18"/>
  <c r="Q314" i="16"/>
  <c r="P314" i="18"/>
  <c r="Q311" i="16"/>
  <c r="P311" i="18"/>
  <c r="Q305" i="16"/>
  <c r="P305" i="18"/>
  <c r="Q302" i="16"/>
  <c r="P302" i="18"/>
  <c r="Q299" i="16"/>
  <c r="P299" i="18"/>
  <c r="Q296" i="16"/>
  <c r="P296" i="18"/>
  <c r="Q293" i="16"/>
  <c r="P293" i="18"/>
  <c r="Q290" i="16"/>
  <c r="P290" i="18"/>
  <c r="Q287" i="16"/>
  <c r="P287" i="18"/>
  <c r="Q853" i="16"/>
  <c r="P853" i="18"/>
  <c r="Q850" i="16"/>
  <c r="P850" i="18"/>
  <c r="P847" i="18"/>
  <c r="P173" i="18"/>
  <c r="P285" i="18"/>
  <c r="Q844" i="16"/>
  <c r="P844" i="18"/>
  <c r="Q841" i="16"/>
  <c r="P841" i="18"/>
  <c r="Q529" i="16"/>
  <c r="P529" i="18"/>
  <c r="P526" i="18"/>
  <c r="P489" i="18"/>
  <c r="P523" i="18"/>
  <c r="P882" i="18"/>
  <c r="Q879" i="16"/>
  <c r="P879" i="18"/>
  <c r="Q876" i="16"/>
  <c r="P876" i="18"/>
  <c r="P375" i="18"/>
  <c r="P665" i="18"/>
  <c r="P766" i="18"/>
  <c r="P662" i="18"/>
  <c r="P196" i="18"/>
  <c r="P215" i="18"/>
  <c r="P659" i="18"/>
  <c r="Q213" i="16"/>
  <c r="P213" i="18"/>
  <c r="Q210" i="16"/>
  <c r="P210" i="18"/>
  <c r="Q204" i="16"/>
  <c r="P204" i="18"/>
  <c r="P165" i="18"/>
  <c r="P731" i="18"/>
  <c r="Q920" i="16"/>
  <c r="P920" i="18"/>
  <c r="Q916" i="16"/>
  <c r="P916" i="18"/>
  <c r="P45" i="18"/>
  <c r="P913" i="18"/>
  <c r="Q43" i="16"/>
  <c r="P43" i="18"/>
  <c r="Q40" i="16"/>
  <c r="P40" i="18"/>
  <c r="Q245" i="16"/>
  <c r="P245" i="18"/>
  <c r="Q654" i="16"/>
  <c r="P654" i="18"/>
  <c r="P97" i="18"/>
  <c r="P651" i="18"/>
  <c r="P95" i="18"/>
  <c r="P649" i="18"/>
  <c r="Q14" i="16"/>
  <c r="P14" i="18"/>
  <c r="P11" i="18"/>
  <c r="P227" i="18"/>
  <c r="P224" i="18"/>
  <c r="P488" i="18"/>
  <c r="P76" i="18"/>
  <c r="P682" i="18"/>
  <c r="Q679" i="16"/>
  <c r="P679" i="18"/>
  <c r="Q676" i="16"/>
  <c r="P676" i="18"/>
  <c r="Q591" i="16"/>
  <c r="P591" i="18"/>
  <c r="Q588" i="16"/>
  <c r="P588" i="18"/>
  <c r="Q477" i="16"/>
  <c r="P477" i="18"/>
  <c r="Q471" i="16"/>
  <c r="P471" i="18"/>
  <c r="Q468" i="16"/>
  <c r="P468" i="18"/>
  <c r="P328" i="18"/>
  <c r="P87" i="18"/>
  <c r="P221" i="18"/>
  <c r="P72" i="18"/>
  <c r="P219" i="18"/>
  <c r="Q66" i="16"/>
  <c r="P66" i="18"/>
  <c r="Q63" i="16"/>
  <c r="P63" i="18"/>
  <c r="P24" i="18"/>
  <c r="P465" i="18"/>
  <c r="P17" i="18"/>
  <c r="P243" i="18"/>
  <c r="P326" i="18"/>
  <c r="P626" i="18"/>
  <c r="P155" i="18"/>
  <c r="Q623" i="16"/>
  <c r="P623" i="18"/>
  <c r="P163" i="25"/>
  <c r="P616" i="18"/>
  <c r="U162" i="23"/>
  <c r="Q539" i="16"/>
  <c r="P539" i="18"/>
  <c r="P151" i="18"/>
  <c r="P497" i="18"/>
  <c r="P645" i="18"/>
  <c r="Q149" i="16"/>
  <c r="P149" i="18"/>
  <c r="P145" i="18"/>
  <c r="P494" i="18"/>
  <c r="P139" i="18"/>
  <c r="P33" i="18"/>
  <c r="Q136" i="16"/>
  <c r="P136" i="18"/>
  <c r="Q78" i="16"/>
  <c r="P78" i="18"/>
  <c r="Q445" i="16"/>
  <c r="P159" i="25"/>
  <c r="P445" i="18"/>
  <c r="P160" i="25"/>
  <c r="R92" i="24"/>
  <c r="U158" i="23"/>
  <c r="U159" i="23"/>
  <c r="P154" i="25"/>
  <c r="R90" i="24"/>
  <c r="U153" i="23"/>
  <c r="P150" i="25"/>
  <c r="U149" i="23"/>
  <c r="R87" i="24"/>
  <c r="P443" i="18"/>
  <c r="P531" i="18"/>
  <c r="P141" i="25"/>
  <c r="P140" i="25"/>
  <c r="P139" i="25"/>
  <c r="U139" i="23"/>
  <c r="U140" i="23"/>
  <c r="R84" i="24"/>
  <c r="U138" i="23"/>
  <c r="P132" i="25"/>
  <c r="P131" i="25"/>
  <c r="U130" i="23"/>
  <c r="U131" i="23"/>
  <c r="R81" i="24"/>
  <c r="P126" i="25"/>
  <c r="P125" i="25"/>
  <c r="U124" i="23"/>
  <c r="U125" i="23"/>
  <c r="R78" i="24"/>
  <c r="P120" i="25"/>
  <c r="P121" i="25"/>
  <c r="U119" i="23"/>
  <c r="R75" i="24"/>
  <c r="U120" i="23"/>
  <c r="P114" i="25"/>
  <c r="P115" i="25"/>
  <c r="U113" i="23"/>
  <c r="R72" i="24"/>
  <c r="U114" i="23"/>
  <c r="P111" i="25"/>
  <c r="P110" i="25"/>
  <c r="U109" i="23"/>
  <c r="U110" i="23"/>
  <c r="R69" i="24"/>
  <c r="P105" i="25"/>
  <c r="P106" i="25"/>
  <c r="U104" i="23"/>
  <c r="R66" i="24"/>
  <c r="U105" i="23"/>
  <c r="P99" i="25"/>
  <c r="P98" i="25"/>
  <c r="R61" i="24"/>
  <c r="U97" i="23"/>
  <c r="U98" i="23"/>
  <c r="P93" i="25"/>
  <c r="P91" i="25"/>
  <c r="P92" i="25"/>
  <c r="U91" i="23"/>
  <c r="R56" i="24"/>
  <c r="U92" i="23"/>
  <c r="R57" i="24"/>
  <c r="U90" i="23"/>
  <c r="P86" i="25"/>
  <c r="P85" i="25"/>
  <c r="U85" i="23"/>
  <c r="R53" i="24"/>
  <c r="U84" i="23"/>
  <c r="P80" i="25"/>
  <c r="P78" i="25"/>
  <c r="P79" i="25"/>
  <c r="U79" i="23"/>
  <c r="U77" i="23"/>
  <c r="R51" i="24"/>
  <c r="U78" i="23"/>
  <c r="P72" i="25"/>
  <c r="U71" i="23"/>
  <c r="R48" i="24"/>
  <c r="P66" i="25"/>
  <c r="P67" i="25"/>
  <c r="U65" i="23"/>
  <c r="R45" i="24"/>
  <c r="U66" i="23"/>
  <c r="P62" i="25"/>
  <c r="P63" i="25"/>
  <c r="P61" i="25"/>
  <c r="U61" i="23"/>
  <c r="U62" i="23"/>
  <c r="R42" i="24"/>
  <c r="U60" i="23"/>
  <c r="P56" i="25"/>
  <c r="P54" i="25"/>
  <c r="P55" i="25"/>
  <c r="U55" i="23"/>
  <c r="R38" i="24"/>
  <c r="U53" i="23"/>
  <c r="R39" i="24"/>
  <c r="U54" i="23"/>
  <c r="P50" i="25"/>
  <c r="P49" i="25"/>
  <c r="U49" i="23"/>
  <c r="R36" i="24"/>
  <c r="U48" i="23"/>
  <c r="P44" i="25"/>
  <c r="P45" i="25"/>
  <c r="U43" i="23"/>
  <c r="R32" i="24"/>
  <c r="U44" i="23"/>
  <c r="P38" i="25"/>
  <c r="P39" i="25"/>
  <c r="R28" i="24"/>
  <c r="U37" i="23"/>
  <c r="U38" i="23"/>
  <c r="P32" i="25"/>
  <c r="P30" i="25"/>
  <c r="P31" i="25"/>
  <c r="R22" i="24"/>
  <c r="U31" i="23"/>
  <c r="R23" i="24"/>
  <c r="U30" i="23"/>
  <c r="U29" i="23"/>
  <c r="P26" i="25"/>
  <c r="P25" i="25"/>
  <c r="R19" i="24"/>
  <c r="R18" i="24"/>
  <c r="P19" i="25"/>
  <c r="R13" i="24"/>
  <c r="P16" i="25"/>
  <c r="R11" i="24"/>
  <c r="P13" i="25"/>
  <c r="R8" i="24"/>
  <c r="Q874" i="16"/>
  <c r="P8" i="25"/>
  <c r="P874" i="18"/>
  <c r="P861" i="18"/>
  <c r="Q872" i="16"/>
  <c r="P872" i="18"/>
  <c r="Q569" i="16"/>
  <c r="P569" i="18"/>
  <c r="P891" i="18"/>
  <c r="Q888" i="16"/>
  <c r="P888" i="18"/>
  <c r="Q566" i="16"/>
  <c r="P566" i="18"/>
  <c r="Q561" i="16"/>
  <c r="P561" i="18"/>
  <c r="P865" i="18"/>
  <c r="P558" i="18"/>
  <c r="Q555" i="16"/>
  <c r="P555" i="18"/>
  <c r="P887" i="18"/>
  <c r="P552" i="18"/>
  <c r="Q549" i="16"/>
  <c r="P549" i="18"/>
  <c r="P864" i="18"/>
  <c r="P492" i="18"/>
  <c r="P546" i="18"/>
  <c r="Q160" i="16"/>
  <c r="P160" i="18"/>
  <c r="Q157" i="16"/>
  <c r="P157" i="18"/>
  <c r="Q717" i="16"/>
  <c r="P717" i="18"/>
  <c r="Q714" i="16"/>
  <c r="P714" i="18"/>
  <c r="Q711" i="16"/>
  <c r="P711" i="18"/>
  <c r="Q708" i="16"/>
  <c r="P708" i="18"/>
  <c r="Q705" i="16"/>
  <c r="P705" i="18"/>
  <c r="Q702" i="16"/>
  <c r="P702" i="18"/>
  <c r="Q699" i="16"/>
  <c r="P699" i="18"/>
  <c r="AS12" i="14"/>
  <c r="U383" i="23"/>
  <c r="U374" i="23"/>
  <c r="U370" i="23"/>
  <c r="U361" i="23"/>
  <c r="U356" i="23"/>
  <c r="U347" i="23"/>
  <c r="U338" i="23"/>
  <c r="U334" i="23"/>
  <c r="U328" i="23"/>
  <c r="AU51" i="14"/>
  <c r="AU52" i="14" s="1"/>
  <c r="BD27" i="14"/>
  <c r="BD28" i="14" s="1"/>
  <c r="Q249" i="16"/>
  <c r="P249" i="18"/>
  <c r="Q255" i="16"/>
  <c r="P255" i="18"/>
  <c r="Q252" i="16"/>
  <c r="P252" i="18"/>
  <c r="Q261" i="16"/>
  <c r="P261" i="18"/>
  <c r="P346" i="18"/>
  <c r="P719" i="18"/>
  <c r="P584" i="18"/>
  <c r="P359" i="18"/>
  <c r="P84" i="18"/>
  <c r="P600" i="18"/>
  <c r="P613" i="18"/>
  <c r="P342" i="18"/>
  <c r="P83" i="18"/>
  <c r="P610" i="18"/>
  <c r="P599" i="18"/>
  <c r="P936" i="18"/>
  <c r="Q739" i="16"/>
  <c r="P739" i="18"/>
  <c r="P933" i="18"/>
  <c r="P93" i="18"/>
  <c r="P687" i="18"/>
  <c r="P636" i="18"/>
  <c r="P908" i="18"/>
  <c r="Q906" i="16"/>
  <c r="P906" i="18"/>
  <c r="Q903" i="16"/>
  <c r="P903" i="18"/>
  <c r="P691" i="18"/>
  <c r="P764" i="18"/>
  <c r="P884" i="18"/>
  <c r="P124" i="18"/>
  <c r="P338" i="18"/>
  <c r="P689" i="18"/>
  <c r="P883" i="18"/>
  <c r="P392" i="18"/>
  <c r="P688" i="18"/>
  <c r="P745" i="18"/>
  <c r="P201" i="18"/>
  <c r="Q772" i="16"/>
  <c r="P772" i="18"/>
  <c r="P49" i="18"/>
  <c r="P6" i="18"/>
  <c r="Q6" i="16"/>
  <c r="Q194" i="16"/>
  <c r="P194" i="18"/>
  <c r="P829" i="18"/>
  <c r="P453" i="18"/>
  <c r="Q190" i="16"/>
  <c r="P190" i="18"/>
  <c r="P231" i="18"/>
  <c r="P686" i="18"/>
  <c r="P265" i="18"/>
  <c r="P355" i="18"/>
  <c r="P544" i="18"/>
  <c r="P605" i="18"/>
  <c r="P724" i="18"/>
  <c r="P273" i="18"/>
  <c r="Q270" i="16"/>
  <c r="P270" i="18"/>
  <c r="Q268" i="16"/>
  <c r="P268" i="18"/>
  <c r="Q353" i="16"/>
  <c r="P353" i="18"/>
  <c r="Q603" i="16"/>
  <c r="P603" i="18"/>
  <c r="P449" i="18"/>
  <c r="P189" i="18"/>
  <c r="P447" i="18"/>
  <c r="P509" i="18"/>
  <c r="P825" i="18"/>
  <c r="Q505" i="16"/>
  <c r="P505" i="18"/>
  <c r="P502" i="18"/>
  <c r="P821" i="18"/>
  <c r="P572" i="18"/>
  <c r="P369" i="18"/>
  <c r="P393" i="25"/>
  <c r="P394" i="25"/>
  <c r="R205" i="24"/>
  <c r="R206" i="24"/>
  <c r="U393" i="23"/>
  <c r="Q926" i="16"/>
  <c r="P820" i="18"/>
  <c r="P926" i="18"/>
  <c r="Q817" i="16"/>
  <c r="P817" i="18"/>
  <c r="P924" i="18"/>
  <c r="Q814" i="16"/>
  <c r="P814" i="18"/>
  <c r="P811" i="18"/>
  <c r="P836" i="18"/>
  <c r="Q808" i="16"/>
  <c r="P808" i="18"/>
  <c r="Q805" i="16"/>
  <c r="P805" i="18"/>
  <c r="Q802" i="16"/>
  <c r="P802" i="18"/>
  <c r="Q796" i="16"/>
  <c r="P796" i="18"/>
  <c r="Q793" i="16"/>
  <c r="P793" i="18"/>
  <c r="Q669" i="16"/>
  <c r="P669" i="18"/>
  <c r="P580" i="18"/>
  <c r="P462" i="18"/>
  <c r="P668" i="18"/>
  <c r="P460" i="18"/>
  <c r="P578" i="18"/>
  <c r="P457" i="18"/>
  <c r="P790" i="18"/>
  <c r="Q103" i="16"/>
  <c r="P103" i="18"/>
  <c r="Q373" i="16"/>
  <c r="P373" i="18"/>
  <c r="P163" i="18"/>
  <c r="P278" i="18"/>
  <c r="Q275" i="16"/>
  <c r="P275" i="18"/>
  <c r="P388" i="25"/>
  <c r="P389" i="25"/>
  <c r="R203" i="24"/>
  <c r="U387" i="23"/>
  <c r="Q56" i="16"/>
  <c r="P56" i="18"/>
  <c r="P378" i="25"/>
  <c r="P381" i="25"/>
  <c r="P379" i="25"/>
  <c r="P382" i="25"/>
  <c r="P380" i="25"/>
  <c r="R200" i="24"/>
  <c r="R201" i="24"/>
  <c r="U378" i="23"/>
  <c r="U381" i="23"/>
  <c r="P366" i="25"/>
  <c r="P369" i="25"/>
  <c r="P370" i="25"/>
  <c r="P368" i="25"/>
  <c r="P367" i="25"/>
  <c r="R193" i="24"/>
  <c r="R194" i="24"/>
  <c r="U366" i="23"/>
  <c r="U369" i="23"/>
  <c r="Q420" i="16"/>
  <c r="P420" i="18"/>
  <c r="Q419" i="16"/>
  <c r="P419" i="18"/>
  <c r="Q416" i="16"/>
  <c r="P416" i="18"/>
  <c r="Q410" i="16"/>
  <c r="P410" i="18"/>
  <c r="Q407" i="16"/>
  <c r="P407" i="18"/>
  <c r="Q404" i="16"/>
  <c r="P404" i="18"/>
  <c r="P354" i="25"/>
  <c r="P355" i="25"/>
  <c r="P353" i="25"/>
  <c r="R187" i="24"/>
  <c r="U354" i="23"/>
  <c r="P343" i="25"/>
  <c r="P344" i="25"/>
  <c r="R184" i="24"/>
  <c r="U342" i="23"/>
  <c r="P338" i="25"/>
  <c r="R181" i="24"/>
  <c r="P333" i="25"/>
  <c r="P334" i="25"/>
  <c r="P332" i="25"/>
  <c r="R178" i="24"/>
  <c r="U333" i="23"/>
  <c r="P325" i="25"/>
  <c r="P326" i="25"/>
  <c r="R173" i="24"/>
  <c r="R174" i="24"/>
  <c r="U324" i="23"/>
  <c r="P321" i="25"/>
  <c r="P320" i="25"/>
  <c r="R170" i="24"/>
  <c r="U320" i="23"/>
  <c r="P316" i="25"/>
  <c r="P317" i="25"/>
  <c r="R168" i="24"/>
  <c r="U315" i="23"/>
  <c r="P312" i="25"/>
  <c r="P311" i="25"/>
  <c r="P310" i="25"/>
  <c r="R164" i="24"/>
  <c r="U311" i="23"/>
  <c r="U309" i="23"/>
  <c r="P300" i="25"/>
  <c r="P298" i="25"/>
  <c r="P299" i="25"/>
  <c r="U298" i="23"/>
  <c r="R161" i="24"/>
  <c r="U299" i="23"/>
  <c r="U297" i="23"/>
  <c r="P291" i="25"/>
  <c r="P292" i="25"/>
  <c r="R158" i="24"/>
  <c r="U290" i="23"/>
  <c r="U291" i="23"/>
  <c r="P279" i="25"/>
  <c r="P280" i="25"/>
  <c r="P281" i="25"/>
  <c r="U280" i="23"/>
  <c r="R152" i="24"/>
  <c r="U278" i="23"/>
  <c r="U279" i="23"/>
  <c r="P272" i="25"/>
  <c r="U271" i="23"/>
  <c r="R149" i="24"/>
  <c r="P269" i="25"/>
  <c r="U268" i="23"/>
  <c r="R146" i="24"/>
  <c r="P264" i="25"/>
  <c r="P263" i="25"/>
  <c r="U262" i="23"/>
  <c r="R143" i="24"/>
  <c r="U263" i="23"/>
  <c r="P260" i="25"/>
  <c r="U259" i="23"/>
  <c r="R141" i="24"/>
  <c r="P255" i="25"/>
  <c r="P254" i="25"/>
  <c r="U253" i="23"/>
  <c r="U254" i="23"/>
  <c r="R138" i="24"/>
  <c r="P246" i="25"/>
  <c r="P244" i="25"/>
  <c r="P245" i="25"/>
  <c r="U244" i="23"/>
  <c r="U245" i="23"/>
  <c r="R135" i="24"/>
  <c r="U243" i="23"/>
  <c r="P237" i="25"/>
  <c r="P238" i="25"/>
  <c r="P236" i="25"/>
  <c r="U235" i="23"/>
  <c r="R131" i="24"/>
  <c r="U236" i="23"/>
  <c r="R132" i="24"/>
  <c r="U237" i="23"/>
  <c r="P232" i="25"/>
  <c r="R127" i="24"/>
  <c r="U231" i="23"/>
  <c r="P226" i="25"/>
  <c r="P227" i="25"/>
  <c r="R124" i="24"/>
  <c r="U226" i="23"/>
  <c r="R123" i="24"/>
  <c r="U225" i="23"/>
  <c r="P219" i="25"/>
  <c r="P220" i="25"/>
  <c r="P218" i="25"/>
  <c r="U217" i="23"/>
  <c r="R119" i="24"/>
  <c r="U218" i="23"/>
  <c r="U219" i="23"/>
  <c r="P213" i="25"/>
  <c r="R116" i="24"/>
  <c r="U212" i="23"/>
  <c r="P195" i="25"/>
  <c r="P194" i="25"/>
  <c r="U193" i="23"/>
  <c r="R113" i="24"/>
  <c r="U194" i="23"/>
  <c r="P189" i="25"/>
  <c r="P188" i="25"/>
  <c r="R109" i="24"/>
  <c r="U187" i="23"/>
  <c r="U188" i="23"/>
  <c r="R108" i="24"/>
  <c r="P183" i="25"/>
  <c r="P182" i="25"/>
  <c r="R103" i="24"/>
  <c r="U181" i="23"/>
  <c r="U182" i="23"/>
  <c r="R102" i="24"/>
  <c r="P20" i="18"/>
  <c r="P640" i="18"/>
  <c r="P178" i="25"/>
  <c r="U177" i="23"/>
  <c r="P173" i="25"/>
  <c r="U172" i="23"/>
  <c r="R98" i="24"/>
  <c r="P165" i="25"/>
  <c r="P167" i="25"/>
  <c r="P166" i="25"/>
  <c r="U166" i="23"/>
  <c r="R95" i="24"/>
  <c r="U164" i="23"/>
  <c r="U165" i="23"/>
  <c r="P172" i="18"/>
  <c r="P280" i="18"/>
  <c r="P439" i="18"/>
  <c r="P348" i="18"/>
  <c r="Q602" i="16"/>
  <c r="P602" i="18"/>
  <c r="P113" i="18"/>
  <c r="P170" i="18"/>
  <c r="Q436" i="16"/>
  <c r="P436" i="18"/>
  <c r="Q433" i="16"/>
  <c r="P433" i="18"/>
  <c r="Q430" i="16"/>
  <c r="P430" i="18"/>
  <c r="Q427" i="16"/>
  <c r="P427" i="18"/>
  <c r="P77" i="18"/>
  <c r="P595" i="18"/>
  <c r="Q931" i="16"/>
  <c r="P931" i="18"/>
  <c r="P832" i="18"/>
  <c r="P930" i="18"/>
  <c r="P592" i="18"/>
  <c r="P368" i="18"/>
  <c r="P735" i="18"/>
  <c r="P19" i="18"/>
  <c r="P122" i="18"/>
  <c r="P899" i="18"/>
  <c r="Q756" i="16"/>
  <c r="P756" i="18"/>
  <c r="Q753" i="16"/>
  <c r="P753" i="18"/>
  <c r="Q750" i="16"/>
  <c r="P750" i="18"/>
  <c r="P501" i="18"/>
  <c r="P747" i="18"/>
  <c r="P785" i="18"/>
  <c r="P365" i="18"/>
  <c r="P746" i="18"/>
  <c r="Q329" i="16"/>
  <c r="P329" i="18"/>
  <c r="P18" i="18"/>
  <c r="P500" i="18"/>
  <c r="P896" i="18"/>
  <c r="P517" i="18"/>
  <c r="P341" i="18"/>
  <c r="P644" i="18"/>
  <c r="P128" i="18"/>
  <c r="P783" i="18"/>
  <c r="P643" i="18"/>
  <c r="P125" i="18"/>
  <c r="P635" i="18"/>
  <c r="Q516" i="16"/>
  <c r="P516" i="18"/>
  <c r="Q513" i="16"/>
  <c r="P513" i="18"/>
  <c r="Q323" i="16"/>
  <c r="P323" i="18"/>
  <c r="Q216" i="16"/>
  <c r="P216" i="18"/>
  <c r="Q240" i="16"/>
  <c r="P240" i="18"/>
  <c r="P390" i="18"/>
  <c r="P234" i="18"/>
  <c r="Q384" i="16"/>
  <c r="P384" i="18"/>
  <c r="Q381" i="16"/>
  <c r="P381" i="18"/>
  <c r="Q378" i="16"/>
  <c r="P378" i="18"/>
  <c r="Q187" i="16"/>
  <c r="P187" i="18"/>
  <c r="Q184" i="16"/>
  <c r="P184" i="18"/>
  <c r="Q181" i="16"/>
  <c r="P181" i="18"/>
  <c r="Q178" i="16"/>
  <c r="P178" i="18"/>
  <c r="Q319" i="16"/>
  <c r="P319" i="18"/>
  <c r="Q316" i="16"/>
  <c r="P316" i="18"/>
  <c r="P313" i="18"/>
  <c r="P46" i="18"/>
  <c r="Q310" i="16"/>
  <c r="P310" i="18"/>
  <c r="Q307" i="16"/>
  <c r="P307" i="18"/>
  <c r="Q304" i="16"/>
  <c r="P304" i="18"/>
  <c r="Q298" i="16"/>
  <c r="P298" i="18"/>
  <c r="Q295" i="16"/>
  <c r="P295" i="18"/>
  <c r="Q292" i="16"/>
  <c r="P292" i="18"/>
  <c r="Q289" i="16"/>
  <c r="P289" i="18"/>
  <c r="P215" i="17"/>
  <c r="P855" i="18"/>
  <c r="Q852" i="16"/>
  <c r="P852" i="18"/>
  <c r="P286" i="18"/>
  <c r="P849" i="18"/>
  <c r="P284" i="18"/>
  <c r="P846" i="18"/>
  <c r="Q843" i="16"/>
  <c r="P843" i="18"/>
  <c r="P760" i="18"/>
  <c r="P840" i="18"/>
  <c r="P230" i="18"/>
  <c r="P362" i="18"/>
  <c r="P780" i="18"/>
  <c r="Q528" i="16"/>
  <c r="P528" i="18"/>
  <c r="Q525" i="16"/>
  <c r="P525" i="18"/>
  <c r="P522" i="18"/>
  <c r="P629" i="18"/>
  <c r="P881" i="18"/>
  <c r="Q878" i="16"/>
  <c r="P878" i="18"/>
  <c r="P628" i="18"/>
  <c r="P25" i="18"/>
  <c r="Q664" i="16"/>
  <c r="P664" i="18"/>
  <c r="P661" i="18"/>
  <c r="P374" i="18"/>
  <c r="Q212" i="16"/>
  <c r="P212" i="18"/>
  <c r="Q206" i="16"/>
  <c r="P206" i="18"/>
  <c r="P166" i="18"/>
  <c r="P733" i="18"/>
  <c r="Q918" i="16"/>
  <c r="P918" i="18"/>
  <c r="Q915" i="16"/>
  <c r="P915" i="18"/>
  <c r="Q912" i="16"/>
  <c r="P912" i="18"/>
  <c r="P838" i="18"/>
  <c r="P910" i="18"/>
  <c r="P42" i="18"/>
  <c r="P39" i="18"/>
  <c r="P282" i="18"/>
  <c r="P244" i="18"/>
  <c r="P327" i="18"/>
  <c r="P98" i="18"/>
  <c r="P653" i="18"/>
  <c r="Q650" i="16"/>
  <c r="P650" i="18"/>
  <c r="Q16" i="16"/>
  <c r="P16" i="18"/>
  <c r="P13" i="18"/>
  <c r="P229" i="18"/>
  <c r="P223" i="18"/>
  <c r="P487" i="18"/>
  <c r="P837" i="18"/>
  <c r="P678" i="18"/>
  <c r="P401" i="18"/>
  <c r="Q675" i="16"/>
  <c r="P675" i="18"/>
  <c r="P590" i="18"/>
  <c r="P222" i="18"/>
  <c r="Q486" i="16"/>
  <c r="P486" i="18"/>
  <c r="Q479" i="16"/>
  <c r="P479" i="18"/>
  <c r="P476" i="18"/>
  <c r="P521" i="18"/>
  <c r="Q473" i="16"/>
  <c r="P473" i="18"/>
  <c r="Q470" i="16"/>
  <c r="P470" i="18"/>
  <c r="Q467" i="16"/>
  <c r="P467" i="18"/>
  <c r="P74" i="18"/>
  <c r="P86" i="18"/>
  <c r="P220" i="18"/>
  <c r="P71" i="18"/>
  <c r="P85" i="18"/>
  <c r="Q68" i="16"/>
  <c r="P68" i="18"/>
  <c r="Q62" i="16"/>
  <c r="P62" i="18"/>
  <c r="Q23" i="16"/>
  <c r="P23" i="18"/>
  <c r="P164" i="25"/>
  <c r="R94" i="24"/>
  <c r="U163" i="23"/>
  <c r="Q625" i="16"/>
  <c r="P625" i="18"/>
  <c r="P154" i="18"/>
  <c r="P622" i="18"/>
  <c r="P617" i="18"/>
  <c r="P153" i="18"/>
  <c r="P615" i="18"/>
  <c r="P620" i="18"/>
  <c r="P894" i="18"/>
  <c r="P35" i="18"/>
  <c r="P538" i="18"/>
  <c r="P446" i="18"/>
  <c r="Q496" i="16"/>
  <c r="P496" i="18"/>
  <c r="Q148" i="16"/>
  <c r="P148" i="18"/>
  <c r="Q141" i="16"/>
  <c r="P141" i="18"/>
  <c r="Q138" i="16"/>
  <c r="P138" i="18"/>
  <c r="P32" i="18"/>
  <c r="P80" i="18"/>
  <c r="P534" i="18"/>
  <c r="P31" i="18"/>
  <c r="P532" i="18"/>
  <c r="P134" i="18"/>
  <c r="P28" i="18"/>
  <c r="P158" i="25"/>
  <c r="U157" i="23"/>
  <c r="P153" i="25"/>
  <c r="P152" i="25"/>
  <c r="U151" i="23"/>
  <c r="R89" i="24"/>
  <c r="U152" i="23"/>
  <c r="Q444" i="16"/>
  <c r="P149" i="25"/>
  <c r="P148" i="25"/>
  <c r="P444" i="18"/>
  <c r="U148" i="23"/>
  <c r="R86" i="24"/>
  <c r="U147" i="23"/>
  <c r="Q442" i="16"/>
  <c r="P144" i="25"/>
  <c r="P442" i="18"/>
  <c r="U143" i="23"/>
  <c r="P138" i="25"/>
  <c r="P137" i="25"/>
  <c r="U136" i="23"/>
  <c r="R83" i="24"/>
  <c r="U137" i="23"/>
  <c r="P129" i="25"/>
  <c r="P130" i="25"/>
  <c r="R80" i="24"/>
  <c r="U128" i="23"/>
  <c r="U129" i="23"/>
  <c r="P124" i="25"/>
  <c r="R77" i="24"/>
  <c r="U123" i="23"/>
  <c r="P118" i="25"/>
  <c r="P119" i="25"/>
  <c r="U118" i="23"/>
  <c r="R74" i="24"/>
  <c r="U117" i="23"/>
  <c r="P113" i="25"/>
  <c r="U112" i="23"/>
  <c r="R71" i="24"/>
  <c r="P108" i="25"/>
  <c r="P109" i="25"/>
  <c r="R68" i="24"/>
  <c r="U107" i="23"/>
  <c r="U108" i="23"/>
  <c r="P104" i="25"/>
  <c r="P103" i="25"/>
  <c r="R64" i="24"/>
  <c r="U103" i="23"/>
  <c r="R65" i="24"/>
  <c r="U102" i="23"/>
  <c r="P96" i="25"/>
  <c r="P97" i="25"/>
  <c r="U95" i="23"/>
  <c r="R60" i="24"/>
  <c r="U96" i="23"/>
  <c r="P90" i="25"/>
  <c r="P89" i="25"/>
  <c r="R55" i="24"/>
  <c r="U88" i="23"/>
  <c r="U89" i="23"/>
  <c r="P83" i="25"/>
  <c r="P84" i="25"/>
  <c r="R52" i="24"/>
  <c r="U82" i="23"/>
  <c r="U83" i="23"/>
  <c r="P77" i="25"/>
  <c r="P76" i="25"/>
  <c r="U76" i="23"/>
  <c r="R50" i="24"/>
  <c r="U75" i="23"/>
  <c r="P71" i="25"/>
  <c r="P70" i="25"/>
  <c r="U70" i="23"/>
  <c r="R47" i="24"/>
  <c r="U69" i="23"/>
  <c r="P65" i="25"/>
  <c r="U64" i="23"/>
  <c r="R44" i="24"/>
  <c r="P59" i="25"/>
  <c r="P60" i="25"/>
  <c r="U58" i="23"/>
  <c r="R41" i="24"/>
  <c r="U59" i="23"/>
  <c r="P53" i="25"/>
  <c r="P52" i="25"/>
  <c r="U52" i="23"/>
  <c r="U51" i="23"/>
  <c r="P47" i="25"/>
  <c r="P48" i="25"/>
  <c r="R34" i="24"/>
  <c r="U46" i="23"/>
  <c r="R35" i="24"/>
  <c r="U47" i="23"/>
  <c r="P42" i="25"/>
  <c r="P43" i="25"/>
  <c r="R31" i="24"/>
  <c r="U41" i="23"/>
  <c r="U42" i="23"/>
  <c r="P35" i="25"/>
  <c r="P36" i="25"/>
  <c r="P37" i="25"/>
  <c r="U36" i="23"/>
  <c r="R26" i="24"/>
  <c r="U35" i="23"/>
  <c r="R27" i="24"/>
  <c r="U34" i="23"/>
  <c r="P29" i="25"/>
  <c r="P28" i="25"/>
  <c r="R21" i="24"/>
  <c r="U28" i="23"/>
  <c r="P24" i="25"/>
  <c r="R17" i="24"/>
  <c r="P21" i="25"/>
  <c r="R15" i="24"/>
  <c r="P15" i="25"/>
  <c r="R10" i="24"/>
  <c r="P12" i="25"/>
  <c r="R7" i="24"/>
  <c r="P7" i="25"/>
  <c r="P860" i="18"/>
  <c r="P893" i="18"/>
  <c r="P614" i="18"/>
  <c r="P571" i="18"/>
  <c r="P871" i="18"/>
  <c r="Q868" i="16"/>
  <c r="P868" i="18"/>
  <c r="P858" i="18"/>
  <c r="Q890" i="16"/>
  <c r="P890" i="18"/>
  <c r="P565" i="18"/>
  <c r="P866" i="18"/>
  <c r="Q563" i="16"/>
  <c r="P563" i="18"/>
  <c r="Q560" i="16"/>
  <c r="P560" i="18"/>
  <c r="Q557" i="16"/>
  <c r="P557" i="18"/>
  <c r="Q554" i="16"/>
  <c r="P554" i="18"/>
  <c r="Q551" i="16"/>
  <c r="P551" i="18"/>
  <c r="P548" i="18"/>
  <c r="P863" i="18"/>
  <c r="Q491" i="16"/>
  <c r="P491" i="18"/>
  <c r="Q159" i="16"/>
  <c r="P159" i="18"/>
  <c r="Q156" i="16"/>
  <c r="P156" i="18"/>
  <c r="Q716" i="16"/>
  <c r="P716" i="18"/>
  <c r="Q713" i="16"/>
  <c r="P713" i="18"/>
  <c r="P707" i="18"/>
  <c r="P263" i="18"/>
  <c r="Q704" i="16"/>
  <c r="P704" i="18"/>
  <c r="Q701" i="16"/>
  <c r="P701" i="18"/>
  <c r="Q698" i="16"/>
  <c r="P698" i="18"/>
  <c r="P262" i="18"/>
  <c r="P695" i="18"/>
  <c r="AT10" i="14"/>
  <c r="AT13" i="14" s="1"/>
  <c r="U395" i="23"/>
  <c r="U382" i="23"/>
  <c r="U377" i="23"/>
  <c r="U368" i="23"/>
  <c r="U359" i="23"/>
  <c r="U355" i="23"/>
  <c r="U346" i="23"/>
  <c r="U337" i="23"/>
  <c r="U332" i="23"/>
  <c r="U325" i="23"/>
  <c r="U316" i="23"/>
  <c r="Q247" i="16"/>
  <c r="P247" i="18"/>
  <c r="Q254" i="16"/>
  <c r="P254" i="18"/>
  <c r="Q257" i="16"/>
  <c r="P257" i="18"/>
  <c r="P583" i="18"/>
  <c r="P345" i="18"/>
  <c r="P612" i="18"/>
  <c r="P741" i="18"/>
  <c r="Q935" i="16"/>
  <c r="P598" i="18"/>
  <c r="P198" i="18"/>
  <c r="P10" i="18"/>
  <c r="P935" i="18"/>
  <c r="Q905" i="16"/>
  <c r="P905" i="18"/>
  <c r="Q902" i="16"/>
  <c r="P902" i="18"/>
  <c r="P763" i="18"/>
  <c r="P690" i="18"/>
  <c r="Q394" i="16"/>
  <c r="P394" i="18"/>
  <c r="P130" i="18"/>
  <c r="P123" i="18"/>
  <c r="P762" i="18"/>
  <c r="P657" i="18"/>
  <c r="P203" i="18"/>
  <c r="P775" i="18"/>
  <c r="P200" i="18"/>
  <c r="P742" i="18"/>
  <c r="P774" i="18"/>
  <c r="P51" i="18"/>
  <c r="P761" i="18"/>
  <c r="P771" i="18"/>
  <c r="P199" i="18"/>
  <c r="P768" i="18"/>
  <c r="P337" i="18"/>
  <c r="P400" i="18"/>
  <c r="P48" i="18"/>
  <c r="Q193" i="16"/>
  <c r="P193" i="18"/>
  <c r="P119" i="18"/>
  <c r="P232" i="18"/>
  <c r="P351" i="18"/>
  <c r="P118" i="18"/>
  <c r="P633" i="18"/>
  <c r="P450" i="18"/>
  <c r="Q115" i="16"/>
  <c r="P115" i="18"/>
  <c r="P361" i="18"/>
  <c r="P264" i="18"/>
  <c r="P581" i="18"/>
  <c r="P777" i="18"/>
  <c r="Q729" i="16"/>
  <c r="P729" i="18"/>
  <c r="Q726" i="16"/>
  <c r="P726" i="18"/>
  <c r="P272" i="18"/>
  <c r="P723" i="18"/>
  <c r="Q269" i="16"/>
  <c r="P269" i="18"/>
  <c r="P448" i="18"/>
  <c r="P827" i="18"/>
  <c r="Q824" i="16"/>
  <c r="P824" i="18"/>
  <c r="P397" i="25"/>
  <c r="P398" i="25"/>
  <c r="R209" i="24"/>
  <c r="Q928" i="16"/>
  <c r="P928" i="18"/>
  <c r="P608" i="18"/>
  <c r="P925" i="18"/>
  <c r="P819" i="18"/>
  <c r="P923" i="18"/>
  <c r="P816" i="18"/>
  <c r="Q813" i="16"/>
  <c r="P813" i="18"/>
  <c r="Q810" i="16"/>
  <c r="P810" i="18"/>
  <c r="Q804" i="16"/>
  <c r="P804" i="18"/>
  <c r="Q801" i="16"/>
  <c r="P801" i="18"/>
  <c r="Q798" i="16"/>
  <c r="P798" i="18"/>
  <c r="Q795" i="16"/>
  <c r="P795" i="18"/>
  <c r="Q671" i="16"/>
  <c r="P671" i="18"/>
  <c r="P463" i="18"/>
  <c r="P607" i="18"/>
  <c r="Q459" i="16"/>
  <c r="P459" i="18"/>
  <c r="P577" i="18"/>
  <c r="P423" i="18"/>
  <c r="Q105" i="16"/>
  <c r="P105" i="18"/>
  <c r="P421" i="18"/>
  <c r="P684" i="18"/>
  <c r="P102" i="18"/>
  <c r="P372" i="18"/>
  <c r="P279" i="18"/>
  <c r="Q277" i="16"/>
  <c r="P392" i="25"/>
  <c r="P277" i="18"/>
  <c r="Q274" i="16"/>
  <c r="P274" i="18"/>
  <c r="P387" i="25"/>
  <c r="P58" i="18"/>
  <c r="Q55" i="16"/>
  <c r="P55" i="18"/>
  <c r="Q52" i="16"/>
  <c r="P52" i="18"/>
  <c r="P375" i="25"/>
  <c r="P374" i="25"/>
  <c r="P377" i="25"/>
  <c r="P376" i="25"/>
  <c r="R199" i="24"/>
  <c r="R197" i="24"/>
  <c r="R198" i="24"/>
  <c r="U375" i="23"/>
  <c r="P363" i="25"/>
  <c r="P361" i="25"/>
  <c r="P365" i="25"/>
  <c r="P364" i="25"/>
  <c r="P362" i="25"/>
  <c r="R190" i="24"/>
  <c r="R191" i="24"/>
  <c r="R192" i="24"/>
  <c r="U360" i="23"/>
  <c r="U363" i="23"/>
  <c r="Q415" i="16"/>
  <c r="P415" i="18"/>
  <c r="Q412" i="16"/>
  <c r="P412" i="18"/>
  <c r="Q409" i="16"/>
  <c r="P409" i="18"/>
  <c r="Q406" i="16"/>
  <c r="P406" i="18"/>
  <c r="Q403" i="16"/>
  <c r="P403" i="18"/>
  <c r="P351" i="25"/>
  <c r="P352" i="25"/>
  <c r="P350" i="25"/>
  <c r="P349" i="25"/>
  <c r="R186" i="24"/>
  <c r="U348" i="23"/>
  <c r="U351" i="23"/>
  <c r="Q101" i="16"/>
  <c r="P342" i="25"/>
  <c r="P101" i="18"/>
  <c r="P341" i="25"/>
  <c r="P340" i="25"/>
  <c r="R183" i="24"/>
  <c r="U339" i="23"/>
  <c r="P336" i="25"/>
  <c r="P337" i="25"/>
  <c r="R180" i="24"/>
  <c r="U336" i="23"/>
  <c r="P331" i="25"/>
  <c r="R177" i="24"/>
  <c r="U330" i="23"/>
  <c r="P324" i="25"/>
  <c r="R172" i="24"/>
  <c r="U323" i="23"/>
  <c r="P315" i="25"/>
  <c r="R167" i="24"/>
  <c r="U314" i="23"/>
  <c r="P309" i="25"/>
  <c r="P307" i="25"/>
  <c r="P308" i="25"/>
  <c r="R163" i="24"/>
  <c r="U308" i="23"/>
  <c r="U306" i="23"/>
  <c r="P297" i="25"/>
  <c r="P296" i="25"/>
  <c r="R160" i="24"/>
  <c r="U295" i="23"/>
  <c r="U296" i="23"/>
  <c r="P288" i="25"/>
  <c r="P289" i="25"/>
  <c r="P287" i="25"/>
  <c r="P290" i="25"/>
  <c r="R157" i="24"/>
  <c r="U286" i="23"/>
  <c r="U289" i="23"/>
  <c r="U287" i="23"/>
  <c r="U288" i="23"/>
  <c r="P276" i="25"/>
  <c r="P278" i="25"/>
  <c r="P277" i="25"/>
  <c r="R151" i="24"/>
  <c r="U277" i="23"/>
  <c r="U275" i="23"/>
  <c r="U276" i="23"/>
  <c r="P271" i="25"/>
  <c r="R148" i="24"/>
  <c r="U270" i="23"/>
  <c r="P267" i="25"/>
  <c r="P266" i="25"/>
  <c r="P268" i="25"/>
  <c r="R145" i="24"/>
  <c r="U265" i="23"/>
  <c r="U266" i="23"/>
  <c r="U267" i="23"/>
  <c r="P262" i="25"/>
  <c r="U261" i="23"/>
  <c r="P259" i="25"/>
  <c r="R140" i="24"/>
  <c r="U258" i="23"/>
  <c r="P252" i="25"/>
  <c r="P253" i="25"/>
  <c r="P251" i="25"/>
  <c r="P250" i="25"/>
  <c r="U250" i="23"/>
  <c r="R137" i="24"/>
  <c r="U251" i="23"/>
  <c r="U249" i="23"/>
  <c r="U252" i="23"/>
  <c r="P243" i="25"/>
  <c r="P242" i="25"/>
  <c r="P241" i="25"/>
  <c r="U241" i="23"/>
  <c r="R134" i="24"/>
  <c r="U242" i="23"/>
  <c r="U240" i="23"/>
  <c r="P235" i="25"/>
  <c r="R130" i="24"/>
  <c r="U234" i="23"/>
  <c r="P231" i="25"/>
  <c r="P230" i="25"/>
  <c r="U229" i="23"/>
  <c r="U230" i="23"/>
  <c r="R126" i="24"/>
  <c r="P225" i="25"/>
  <c r="P224" i="25"/>
  <c r="P223" i="25"/>
  <c r="R121" i="24"/>
  <c r="U223" i="23"/>
  <c r="R122" i="24"/>
  <c r="U224" i="23"/>
  <c r="U222" i="23"/>
  <c r="P216" i="25"/>
  <c r="P217" i="25"/>
  <c r="R118" i="24"/>
  <c r="U215" i="23"/>
  <c r="U216" i="23"/>
  <c r="P210" i="25"/>
  <c r="P212" i="25"/>
  <c r="P211" i="25"/>
  <c r="R115" i="24"/>
  <c r="U211" i="23"/>
  <c r="U209" i="23"/>
  <c r="U210" i="23"/>
  <c r="P192" i="25"/>
  <c r="P193" i="25"/>
  <c r="R112" i="24"/>
  <c r="U191" i="23"/>
  <c r="U192" i="23"/>
  <c r="P186" i="25"/>
  <c r="P187" i="25"/>
  <c r="R106" i="24"/>
  <c r="R107" i="24"/>
  <c r="U185" i="23"/>
  <c r="U186" i="23"/>
  <c r="P180" i="25"/>
  <c r="P181" i="25"/>
  <c r="P642" i="18"/>
  <c r="U179" i="23"/>
  <c r="U180" i="23"/>
  <c r="Q639" i="16"/>
  <c r="P177" i="25"/>
  <c r="P639" i="18"/>
  <c r="R101" i="24"/>
  <c r="U176" i="23"/>
  <c r="P171" i="25"/>
  <c r="P172" i="25"/>
  <c r="R97" i="24"/>
  <c r="U170" i="23"/>
  <c r="U171" i="23"/>
  <c r="Q440" i="16"/>
  <c r="P440" i="18"/>
  <c r="P218" i="18"/>
  <c r="P575" i="18"/>
  <c r="P161" i="18"/>
  <c r="P856" i="18"/>
  <c r="Q110" i="16"/>
  <c r="P110" i="18"/>
  <c r="P426" i="18"/>
  <c r="P162" i="18"/>
  <c r="Q132" i="16"/>
  <c r="P132" i="18"/>
  <c r="P241" i="18"/>
  <c r="P601" i="18"/>
  <c r="Q435" i="16"/>
  <c r="P435" i="18"/>
  <c r="Q432" i="16"/>
  <c r="P432" i="18"/>
  <c r="P92" i="18"/>
  <c r="P542" i="18"/>
  <c r="P332" i="18"/>
  <c r="P594" i="18"/>
  <c r="P737" i="18"/>
  <c r="Q834" i="16"/>
  <c r="P834" i="18"/>
  <c r="Q831" i="16"/>
  <c r="P831" i="18"/>
  <c r="Q929" i="16"/>
  <c r="P37" i="18"/>
  <c r="P830" i="18"/>
  <c r="P929" i="18"/>
  <c r="Q758" i="16"/>
  <c r="P758" i="18"/>
  <c r="P898" i="18"/>
  <c r="P755" i="18"/>
  <c r="Q752" i="16"/>
  <c r="P752" i="18"/>
  <c r="Q749" i="16"/>
  <c r="P749" i="18"/>
  <c r="P36" i="18"/>
  <c r="P367" i="18"/>
  <c r="P455" i="18"/>
  <c r="P364" i="18"/>
  <c r="P454" i="18"/>
  <c r="P541" i="18"/>
  <c r="P242" i="18"/>
  <c r="P363" i="18"/>
  <c r="P631" i="18"/>
  <c r="P60" i="18"/>
  <c r="P519" i="18"/>
  <c r="P127" i="18"/>
  <c r="P340" i="18"/>
  <c r="P787" i="18"/>
  <c r="P782" i="18"/>
  <c r="P90" i="18"/>
  <c r="P634" i="18"/>
  <c r="P515" i="18"/>
  <c r="P786" i="18"/>
  <c r="P339" i="18"/>
  <c r="Q325" i="16"/>
  <c r="P325" i="18"/>
  <c r="Q322" i="16"/>
  <c r="P322" i="18"/>
  <c r="Q236" i="16"/>
  <c r="P236" i="18"/>
  <c r="Q389" i="16"/>
  <c r="P389" i="18"/>
  <c r="Q386" i="16"/>
  <c r="P386" i="18"/>
  <c r="Q383" i="16"/>
  <c r="P383" i="18"/>
  <c r="Q380" i="16"/>
  <c r="P380" i="18"/>
  <c r="P188" i="18"/>
  <c r="P377" i="18"/>
  <c r="P666" i="18"/>
  <c r="Q186" i="16"/>
  <c r="P186" i="18"/>
  <c r="Q183" i="16"/>
  <c r="P183" i="18"/>
  <c r="P233" i="18"/>
  <c r="P180" i="18"/>
  <c r="Q174" i="16"/>
  <c r="P174" i="18"/>
  <c r="Q318" i="16"/>
  <c r="P318" i="18"/>
  <c r="Q315" i="16"/>
  <c r="P315" i="18"/>
  <c r="Q312" i="16"/>
  <c r="P312" i="18"/>
  <c r="Q309" i="16"/>
  <c r="P309" i="18"/>
  <c r="Q306" i="16"/>
  <c r="P306" i="18"/>
  <c r="Q303" i="16"/>
  <c r="P303" i="18"/>
  <c r="Q300" i="16"/>
  <c r="P300" i="18"/>
  <c r="Q297" i="16"/>
  <c r="P297" i="18"/>
  <c r="Q294" i="16"/>
  <c r="P294" i="18"/>
  <c r="Q291" i="16"/>
  <c r="P291" i="18"/>
  <c r="Q288" i="16"/>
  <c r="P288" i="18"/>
  <c r="Q854" i="16"/>
  <c r="P854" i="18"/>
  <c r="Q851" i="16"/>
  <c r="P851" i="18"/>
  <c r="Q848" i="16"/>
  <c r="P848" i="18"/>
  <c r="P283" i="18"/>
  <c r="P845" i="18"/>
  <c r="Q842" i="16"/>
  <c r="P842" i="18"/>
  <c r="Q839" i="16"/>
  <c r="P839" i="18"/>
  <c r="Q524" i="16"/>
  <c r="P524" i="18"/>
  <c r="Q880" i="16"/>
  <c r="P880" i="18"/>
  <c r="Q877" i="16"/>
  <c r="P877" i="18"/>
  <c r="Q627" i="16"/>
  <c r="P627" i="18"/>
  <c r="Q663" i="16"/>
  <c r="P663" i="18"/>
  <c r="P197" i="18"/>
  <c r="P660" i="18"/>
  <c r="Q214" i="16"/>
  <c r="P214" i="18"/>
  <c r="Q211" i="16"/>
  <c r="P211" i="18"/>
  <c r="Q208" i="16"/>
  <c r="P208" i="18"/>
  <c r="Q205" i="16"/>
  <c r="P205" i="18"/>
  <c r="Q921" i="16"/>
  <c r="P921" i="18"/>
  <c r="Q917" i="16"/>
  <c r="P917" i="18"/>
  <c r="Q914" i="16"/>
  <c r="P914" i="18"/>
  <c r="P44" i="18"/>
  <c r="P911" i="18"/>
  <c r="Q909" i="16"/>
  <c r="P730" i="18"/>
  <c r="P246" i="18"/>
  <c r="P164" i="18"/>
  <c r="P909" i="18"/>
  <c r="Q655" i="16"/>
  <c r="P655" i="18"/>
  <c r="Q652" i="16"/>
  <c r="P652" i="18"/>
  <c r="Q96" i="16"/>
  <c r="P96" i="18"/>
  <c r="P12" i="18"/>
  <c r="P228" i="18"/>
  <c r="P88" i="18"/>
  <c r="Q225" i="16"/>
  <c r="P225" i="18"/>
  <c r="Q683" i="16"/>
  <c r="P683" i="18"/>
  <c r="Q680" i="16"/>
  <c r="P680" i="18"/>
  <c r="Q674" i="16"/>
  <c r="P674" i="18"/>
  <c r="P589" i="18"/>
  <c r="P75" i="18"/>
  <c r="Q485" i="16"/>
  <c r="P485" i="18"/>
  <c r="Q481" i="16"/>
  <c r="P481" i="18"/>
  <c r="Q478" i="16"/>
  <c r="P478" i="18"/>
  <c r="Q475" i="16"/>
  <c r="P475" i="18"/>
  <c r="Q469" i="16"/>
  <c r="P469" i="18"/>
  <c r="Q73" i="16"/>
  <c r="P73" i="18"/>
  <c r="Q70" i="16"/>
  <c r="P70" i="18"/>
  <c r="Q67" i="16"/>
  <c r="P67" i="18"/>
  <c r="P64" i="18"/>
  <c r="P587" i="18"/>
  <c r="Q61" i="16"/>
  <c r="P61" i="18"/>
  <c r="P22" i="18"/>
  <c r="P520" i="18"/>
  <c r="P499" i="18"/>
  <c r="P647" i="18"/>
  <c r="P895" i="18"/>
  <c r="P624" i="18"/>
  <c r="Q621" i="16"/>
  <c r="P621" i="18"/>
  <c r="Q540" i="16"/>
  <c r="P540" i="18"/>
  <c r="Q537" i="16"/>
  <c r="P537" i="18"/>
  <c r="P646" i="18"/>
  <c r="P152" i="18"/>
  <c r="P498" i="18"/>
  <c r="P81" i="18"/>
  <c r="P150" i="18"/>
  <c r="P146" i="18"/>
  <c r="P495" i="18"/>
  <c r="Q143" i="16"/>
  <c r="P143" i="18"/>
  <c r="P619" i="18"/>
  <c r="P34" i="18"/>
  <c r="P140" i="18"/>
  <c r="Q137" i="16"/>
  <c r="P137" i="18"/>
  <c r="P79" i="18"/>
  <c r="P533" i="18"/>
  <c r="P135" i="18"/>
  <c r="P30" i="18"/>
  <c r="P162" i="25"/>
  <c r="P161" i="25"/>
  <c r="U160" i="23"/>
  <c r="U161" i="23"/>
  <c r="R93" i="24"/>
  <c r="P156" i="25"/>
  <c r="P157" i="25"/>
  <c r="P155" i="25"/>
  <c r="R91" i="24"/>
  <c r="U154" i="23"/>
  <c r="U155" i="23"/>
  <c r="U156" i="23"/>
  <c r="P151" i="25"/>
  <c r="R88" i="24"/>
  <c r="U150" i="23"/>
  <c r="Q862" i="16"/>
  <c r="P147" i="25"/>
  <c r="P145" i="25"/>
  <c r="P862" i="18"/>
  <c r="P146" i="25"/>
  <c r="R85" i="24"/>
  <c r="U145" i="23"/>
  <c r="U146" i="23"/>
  <c r="U144" i="23"/>
  <c r="P143" i="25"/>
  <c r="P142" i="25"/>
  <c r="P441" i="18"/>
  <c r="P530" i="18"/>
  <c r="U142" i="23"/>
  <c r="U141" i="23"/>
  <c r="P135" i="25"/>
  <c r="P136" i="25"/>
  <c r="P134" i="25"/>
  <c r="P133" i="25"/>
  <c r="R82" i="24"/>
  <c r="U133" i="23"/>
  <c r="U134" i="23"/>
  <c r="U132" i="23"/>
  <c r="U135" i="23"/>
  <c r="P127" i="25"/>
  <c r="P128" i="25"/>
  <c r="R79" i="24"/>
  <c r="U127" i="23"/>
  <c r="U126" i="23"/>
  <c r="P123" i="25"/>
  <c r="P122" i="25"/>
  <c r="R76" i="24"/>
  <c r="U121" i="23"/>
  <c r="U122" i="23"/>
  <c r="P117" i="25"/>
  <c r="P116" i="25"/>
  <c r="R73" i="24"/>
  <c r="U115" i="23"/>
  <c r="U116" i="23"/>
  <c r="P112" i="25"/>
  <c r="R70" i="24"/>
  <c r="U111" i="23"/>
  <c r="P107" i="25"/>
  <c r="R67" i="24"/>
  <c r="U106" i="23"/>
  <c r="P102" i="25"/>
  <c r="P100" i="25"/>
  <c r="P101" i="25"/>
  <c r="U100" i="23"/>
  <c r="R62" i="24"/>
  <c r="U101" i="23"/>
  <c r="R63" i="24"/>
  <c r="U99" i="23"/>
  <c r="P95" i="25"/>
  <c r="P94" i="25"/>
  <c r="R58" i="24"/>
  <c r="U94" i="23"/>
  <c r="R59" i="24"/>
  <c r="U93" i="23"/>
  <c r="P87" i="25"/>
  <c r="P88" i="25"/>
  <c r="U86" i="23"/>
  <c r="R54" i="24"/>
  <c r="U87" i="23"/>
  <c r="P81" i="25"/>
  <c r="P82" i="25"/>
  <c r="U80" i="23"/>
  <c r="U81" i="23"/>
  <c r="P74" i="25"/>
  <c r="P75" i="25"/>
  <c r="P73" i="25"/>
  <c r="R49" i="24"/>
  <c r="U73" i="23"/>
  <c r="U74" i="23"/>
  <c r="U72" i="23"/>
  <c r="P68" i="25"/>
  <c r="P69" i="25"/>
  <c r="R46" i="24"/>
  <c r="U67" i="23"/>
  <c r="U68" i="23"/>
  <c r="P64" i="25"/>
  <c r="R43" i="24"/>
  <c r="U63" i="23"/>
  <c r="P57" i="25"/>
  <c r="P58" i="25"/>
  <c r="R40" i="24"/>
  <c r="U56" i="23"/>
  <c r="U57" i="23"/>
  <c r="P51" i="25"/>
  <c r="R37" i="24"/>
  <c r="U50" i="23"/>
  <c r="P46" i="25"/>
  <c r="R33" i="24"/>
  <c r="U45" i="23"/>
  <c r="P41" i="25"/>
  <c r="P40" i="25"/>
  <c r="U40" i="23"/>
  <c r="R29" i="24"/>
  <c r="R30" i="24"/>
  <c r="U39" i="23"/>
  <c r="P33" i="25"/>
  <c r="P34" i="25"/>
  <c r="R25" i="24"/>
  <c r="U32" i="23"/>
  <c r="R24" i="24"/>
  <c r="U33" i="23"/>
  <c r="P27" i="25"/>
  <c r="R20" i="24"/>
  <c r="P23" i="25"/>
  <c r="R16" i="24"/>
  <c r="P20" i="25"/>
  <c r="R14" i="24"/>
  <c r="P17" i="25"/>
  <c r="R12" i="24"/>
  <c r="Q875" i="16"/>
  <c r="P14" i="25"/>
  <c r="P875" i="18"/>
  <c r="R9" i="24"/>
  <c r="P11" i="25"/>
  <c r="P9" i="25"/>
  <c r="P10" i="25"/>
  <c r="R6" i="24"/>
  <c r="Q873" i="16"/>
  <c r="P873" i="18"/>
  <c r="Q870" i="16"/>
  <c r="P859" i="18"/>
  <c r="P870" i="18"/>
  <c r="P892" i="18"/>
  <c r="P570" i="18"/>
  <c r="P867" i="18"/>
  <c r="P889" i="18"/>
  <c r="P618" i="18"/>
  <c r="Q567" i="16"/>
  <c r="P567" i="18"/>
  <c r="Q564" i="16"/>
  <c r="P564" i="18"/>
  <c r="Q562" i="16"/>
  <c r="P562" i="18"/>
  <c r="Q559" i="16"/>
  <c r="P559" i="18"/>
  <c r="Q556" i="16"/>
  <c r="P556" i="18"/>
  <c r="Q553" i="16"/>
  <c r="P553" i="18"/>
  <c r="Q550" i="16"/>
  <c r="P550" i="18"/>
  <c r="P493" i="18"/>
  <c r="P547" i="18"/>
  <c r="P886" i="18"/>
  <c r="P490" i="18"/>
  <c r="P779" i="18"/>
  <c r="Q718" i="16"/>
  <c r="P718" i="18"/>
  <c r="Q715" i="16"/>
  <c r="P715" i="18"/>
  <c r="Q712" i="16"/>
  <c r="P712" i="18"/>
  <c r="Q709" i="16"/>
  <c r="P709" i="18"/>
  <c r="Q706" i="16"/>
  <c r="P706" i="18"/>
  <c r="Q703" i="16"/>
  <c r="P703" i="18"/>
  <c r="Q700" i="16"/>
  <c r="P700" i="18"/>
  <c r="Q697" i="16"/>
  <c r="P697" i="18"/>
  <c r="U394" i="23"/>
  <c r="U389" i="23"/>
  <c r="U385" i="23"/>
  <c r="U380" i="23"/>
  <c r="U376" i="23"/>
  <c r="U371" i="23"/>
  <c r="U367" i="23"/>
  <c r="U362" i="23"/>
  <c r="U358" i="23"/>
  <c r="U353" i="23"/>
  <c r="U349" i="23"/>
  <c r="U344" i="23"/>
  <c r="U340" i="23"/>
  <c r="U335" i="23"/>
  <c r="U331" i="23"/>
  <c r="U322" i="23"/>
  <c r="U313" i="23"/>
  <c r="AS10" i="14"/>
  <c r="Q250" i="16"/>
  <c r="Q693" i="16"/>
  <c r="P77" i="17"/>
  <c r="Q253" i="16"/>
  <c r="P183" i="17"/>
  <c r="Q694" i="16"/>
  <c r="Q483" i="16"/>
  <c r="P150" i="17"/>
  <c r="Q585" i="16"/>
  <c r="P31" i="17"/>
  <c r="Q94" i="16"/>
  <c r="Q582" i="16"/>
  <c r="P158" i="17"/>
  <c r="Q611" i="16"/>
  <c r="P231" i="17"/>
  <c r="Q740" i="16"/>
  <c r="Q597" i="16"/>
  <c r="Q609" i="16"/>
  <c r="P7" i="17"/>
  <c r="Q9" i="16"/>
  <c r="P33" i="17"/>
  <c r="Q100" i="16"/>
  <c r="Q397" i="16"/>
  <c r="Q907" i="16"/>
  <c r="P225" i="17"/>
  <c r="Q904" i="16"/>
  <c r="P182" i="17"/>
  <c r="Q658" i="16"/>
  <c r="Q692" i="16"/>
  <c r="Q765" i="16"/>
  <c r="P105" i="17"/>
  <c r="Q396" i="16"/>
  <c r="Q901" i="16"/>
  <c r="Q99" i="16"/>
  <c r="Q393" i="16"/>
  <c r="Q8" i="16"/>
  <c r="Q129" i="16"/>
  <c r="P173" i="17"/>
  <c r="Q202" i="16"/>
  <c r="Q656" i="16"/>
  <c r="Q391" i="16"/>
  <c r="Q773" i="16"/>
  <c r="Q667" i="16"/>
  <c r="Q770" i="16"/>
  <c r="P19" i="17"/>
  <c r="Q7" i="16"/>
  <c r="Q50" i="16"/>
  <c r="Q336" i="16"/>
  <c r="Q399" i="16"/>
  <c r="Q120" i="16"/>
  <c r="Q510" i="16"/>
  <c r="Q828" i="16"/>
  <c r="P59" i="17"/>
  <c r="Q191" i="16"/>
  <c r="Q361" i="16"/>
  <c r="Q451" i="16"/>
  <c r="P40" i="17"/>
  <c r="Q335" i="16"/>
  <c r="Q350" i="16"/>
  <c r="Q117" i="16"/>
  <c r="P97" i="17"/>
  <c r="Q266" i="16"/>
  <c r="Q360" i="16"/>
  <c r="P201" i="17"/>
  <c r="Q545" i="16"/>
  <c r="Q776" i="16"/>
  <c r="P187" i="17"/>
  <c r="Q271" i="16"/>
  <c r="Q722" i="16"/>
  <c r="Q267" i="16"/>
  <c r="Q721" i="16"/>
  <c r="P156" i="17"/>
  <c r="Q604" i="16"/>
  <c r="Q357" i="16"/>
  <c r="Q508" i="16"/>
  <c r="Q823" i="16"/>
  <c r="P144" i="17"/>
  <c r="Q573" i="16"/>
  <c r="P210" i="17"/>
  <c r="Q818" i="16"/>
  <c r="Q464" i="16"/>
  <c r="Q809" i="16"/>
  <c r="P207" i="17"/>
  <c r="Q806" i="16"/>
  <c r="P176" i="17"/>
  <c r="Q673" i="16"/>
  <c r="P157" i="17"/>
  <c r="Q107" i="16"/>
  <c r="Q791" i="16"/>
  <c r="Q606" i="16"/>
  <c r="P122" i="17"/>
  <c r="Q424" i="16"/>
  <c r="Q461" i="16"/>
  <c r="P120" i="17"/>
  <c r="Q458" i="16"/>
  <c r="P110" i="17"/>
  <c r="Q422" i="16"/>
  <c r="Q456" i="16"/>
  <c r="P11" i="17"/>
  <c r="Q21" i="16"/>
  <c r="P82" i="17"/>
  <c r="Q276" i="16"/>
  <c r="Q370" i="16"/>
  <c r="P21" i="17"/>
  <c r="Q54" i="16"/>
  <c r="Q26" i="16"/>
  <c r="Q417" i="16"/>
  <c r="P108" i="17"/>
  <c r="Q414" i="16"/>
  <c r="P168" i="17"/>
  <c r="Q641" i="16"/>
  <c r="P216" i="17"/>
  <c r="Q857" i="16"/>
  <c r="P93" i="17"/>
  <c r="Q349" i="16"/>
  <c r="P38" i="17"/>
  <c r="Q112" i="16"/>
  <c r="P36" i="17"/>
  <c r="Q109" i="16"/>
  <c r="Q114" i="16"/>
  <c r="Q167" i="16"/>
  <c r="Q632" i="16"/>
  <c r="P111" i="17"/>
  <c r="Q425" i="16"/>
  <c r="Q438" i="16"/>
  <c r="P114" i="17"/>
  <c r="Q431" i="16"/>
  <c r="P112" i="17"/>
  <c r="Q428" i="16"/>
  <c r="Q38" i="16"/>
  <c r="P230" i="17"/>
  <c r="Q835" i="16"/>
  <c r="Q789" i="16"/>
  <c r="P213" i="17"/>
  <c r="Q833" i="16"/>
  <c r="Q332" i="16"/>
  <c r="Q736" i="16"/>
  <c r="Q593" i="16"/>
  <c r="P224" i="17"/>
  <c r="Q759" i="16"/>
  <c r="P195" i="17"/>
  <c r="Q757" i="16"/>
  <c r="Q331" i="16"/>
  <c r="Q751" i="16"/>
  <c r="P193" i="17"/>
  <c r="Q748" i="16"/>
  <c r="P99" i="17"/>
  <c r="Q366" i="16"/>
  <c r="Q734" i="16"/>
  <c r="P88" i="17"/>
  <c r="Q330" i="16"/>
  <c r="P41" i="17"/>
  <c r="Q121" i="16"/>
  <c r="P204" i="17"/>
  <c r="Q784" i="16"/>
  <c r="Q518" i="16"/>
  <c r="Q788" i="16"/>
  <c r="P43" i="17"/>
  <c r="Q91" i="16"/>
  <c r="Q126" i="16"/>
  <c r="Q781" i="16"/>
  <c r="P141" i="17"/>
  <c r="Q89" i="16"/>
  <c r="Q543" i="16"/>
  <c r="P27" i="17"/>
  <c r="P134" i="17"/>
  <c r="Q82" i="16"/>
  <c r="Q514" i="16"/>
  <c r="Q648" i="16"/>
  <c r="P132" i="17"/>
  <c r="Q511" i="16"/>
  <c r="Q321" i="16"/>
  <c r="Q919" i="16"/>
  <c r="P106" i="17"/>
  <c r="Q398" i="16"/>
  <c r="P70" i="17"/>
  <c r="Q235" i="16"/>
  <c r="Q334" i="16"/>
  <c r="Q47" i="16"/>
  <c r="Q385" i="16"/>
  <c r="Q376" i="16"/>
  <c r="Q767" i="16"/>
  <c r="P57" i="17"/>
  <c r="Q179" i="16"/>
  <c r="P86" i="17"/>
  <c r="Q308" i="16"/>
  <c r="Q285" i="16"/>
  <c r="Q173" i="16"/>
  <c r="Q847" i="16"/>
  <c r="Q526" i="16"/>
  <c r="Q489" i="16"/>
  <c r="P136" i="17"/>
  <c r="Q523" i="16"/>
  <c r="P174" i="17"/>
  <c r="Q375" i="16"/>
  <c r="Q665" i="16"/>
  <c r="Q766" i="16"/>
  <c r="Q662" i="16"/>
  <c r="Q215" i="16"/>
  <c r="Q196" i="16"/>
  <c r="Q659" i="16"/>
  <c r="P64" i="17"/>
  <c r="Q207" i="16"/>
  <c r="Q165" i="16"/>
  <c r="Q731" i="16"/>
  <c r="P227" i="17"/>
  <c r="Q45" i="16"/>
  <c r="Q913" i="16"/>
  <c r="Q97" i="16"/>
  <c r="P172" i="17"/>
  <c r="Q651" i="16"/>
  <c r="P32" i="17"/>
  <c r="Q95" i="16"/>
  <c r="Q649" i="16"/>
  <c r="Q11" i="16"/>
  <c r="Q227" i="16"/>
  <c r="Q224" i="16"/>
  <c r="Q488" i="16"/>
  <c r="P179" i="17"/>
  <c r="Q76" i="16"/>
  <c r="Q682" i="16"/>
  <c r="P125" i="17"/>
  <c r="Q480" i="16"/>
  <c r="P124" i="17"/>
  <c r="Q474" i="16"/>
  <c r="Q87" i="16"/>
  <c r="Q221" i="16"/>
  <c r="Q328" i="16"/>
  <c r="Q72" i="16"/>
  <c r="Q219" i="16"/>
  <c r="P25" i="17"/>
  <c r="Q69" i="16"/>
  <c r="P13" i="17"/>
  <c r="Q24" i="16"/>
  <c r="Q465" i="16"/>
  <c r="P87" i="17"/>
  <c r="Q17" i="16"/>
  <c r="Q326" i="16"/>
  <c r="Q243" i="16"/>
  <c r="P161" i="17"/>
  <c r="Q155" i="16"/>
  <c r="Q626" i="16"/>
  <c r="P160" i="17"/>
  <c r="Q616" i="16"/>
  <c r="P139" i="17"/>
  <c r="Q536" i="16"/>
  <c r="Q151" i="16"/>
  <c r="P127" i="17"/>
  <c r="Q497" i="16"/>
  <c r="Q645" i="16"/>
  <c r="Q145" i="16"/>
  <c r="Q494" i="16"/>
  <c r="P47" i="17"/>
  <c r="Q142" i="16"/>
  <c r="Q139" i="16"/>
  <c r="Q33" i="16"/>
  <c r="P15" i="17"/>
  <c r="Q29" i="16"/>
  <c r="P115" i="17"/>
  <c r="Q443" i="16"/>
  <c r="Q531" i="16"/>
  <c r="P218" i="17"/>
  <c r="Q869" i="16"/>
  <c r="Q865" i="16"/>
  <c r="Q558" i="16"/>
  <c r="Q887" i="16"/>
  <c r="Q552" i="16"/>
  <c r="Q492" i="16"/>
  <c r="Q546" i="16"/>
  <c r="P184" i="17"/>
  <c r="Q696" i="16"/>
  <c r="Q932" i="16"/>
  <c r="Q900" i="16"/>
  <c r="Q891" i="16"/>
  <c r="Q882" i="16"/>
  <c r="Q864" i="16"/>
  <c r="Q855" i="16"/>
  <c r="P78" i="17"/>
  <c r="Q258" i="16"/>
  <c r="P149" i="17"/>
  <c r="Q346" i="16"/>
  <c r="Q584" i="16"/>
  <c r="Q719" i="16"/>
  <c r="P28" i="17"/>
  <c r="Q84" i="16"/>
  <c r="Q362" i="16"/>
  <c r="Q600" i="16"/>
  <c r="P91" i="17"/>
  <c r="Q342" i="16"/>
  <c r="Q613" i="16"/>
  <c r="P154" i="17"/>
  <c r="Q83" i="16"/>
  <c r="Q610" i="16"/>
  <c r="Q599" i="16"/>
  <c r="P167" i="17"/>
  <c r="Q93" i="16"/>
  <c r="Q908" i="16"/>
  <c r="Q636" i="16"/>
  <c r="Q687" i="16"/>
  <c r="P197" i="17"/>
  <c r="Q691" i="16"/>
  <c r="Q764" i="16"/>
  <c r="Q884" i="16"/>
  <c r="P104" i="17"/>
  <c r="Q395" i="16"/>
  <c r="P42" i="17"/>
  <c r="Q124" i="16"/>
  <c r="Q338" i="16"/>
  <c r="P221" i="17"/>
  <c r="Q392" i="16"/>
  <c r="Q883" i="16"/>
  <c r="Q689" i="16"/>
  <c r="P63" i="17"/>
  <c r="Q201" i="16"/>
  <c r="Q688" i="16"/>
  <c r="Q745" i="16"/>
  <c r="P192" i="17"/>
  <c r="Q743" i="16"/>
  <c r="P198" i="17"/>
  <c r="Q769" i="16"/>
  <c r="P6" i="17"/>
  <c r="Q49" i="16"/>
  <c r="Q829" i="16"/>
  <c r="Q453" i="16"/>
  <c r="P39" i="17"/>
  <c r="Q116" i="16"/>
  <c r="P69" i="17"/>
  <c r="Q231" i="16"/>
  <c r="Q686" i="16"/>
  <c r="Q359" i="16"/>
  <c r="Q265" i="16"/>
  <c r="P142" i="17"/>
  <c r="Q544" i="16"/>
  <c r="Q605" i="16"/>
  <c r="P188" i="17"/>
  <c r="Q727" i="16"/>
  <c r="Q273" i="16"/>
  <c r="Q724" i="16"/>
  <c r="P117" i="17"/>
  <c r="Q189" i="16"/>
  <c r="Q449" i="16"/>
  <c r="Q509" i="16"/>
  <c r="Q447" i="16"/>
  <c r="Q825" i="16"/>
  <c r="P211" i="17"/>
  <c r="Q822" i="16"/>
  <c r="Q502" i="16"/>
  <c r="Q821" i="16"/>
  <c r="P100" i="17"/>
  <c r="Q369" i="16"/>
  <c r="Q572" i="16"/>
  <c r="P229" i="17"/>
  <c r="Q820" i="16"/>
  <c r="P209" i="17"/>
  <c r="Q811" i="16"/>
  <c r="Q836" i="16"/>
  <c r="P206" i="17"/>
  <c r="Q799" i="16"/>
  <c r="P175" i="17"/>
  <c r="Q672" i="16"/>
  <c r="Q580" i="16"/>
  <c r="Q668" i="16"/>
  <c r="Q462" i="16"/>
  <c r="P121" i="17"/>
  <c r="Q460" i="16"/>
  <c r="Q578" i="16"/>
  <c r="Q457" i="16"/>
  <c r="Q790" i="16"/>
  <c r="P34" i="17"/>
  <c r="Q106" i="16"/>
  <c r="Q163" i="16"/>
  <c r="Q278" i="16"/>
  <c r="P20" i="17"/>
  <c r="Q53" i="16"/>
  <c r="P107" i="17"/>
  <c r="Q413" i="16"/>
  <c r="Q20" i="16"/>
  <c r="Q640" i="16"/>
  <c r="P147" i="17"/>
  <c r="Q576" i="16"/>
  <c r="P66" i="17"/>
  <c r="Q217" i="16"/>
  <c r="P37" i="17"/>
  <c r="Q111" i="16"/>
  <c r="P35" i="17"/>
  <c r="Q108" i="16"/>
  <c r="P83" i="17"/>
  <c r="Q172" i="16"/>
  <c r="Q348" i="16"/>
  <c r="Q280" i="16"/>
  <c r="Q439" i="16"/>
  <c r="P45" i="17"/>
  <c r="Q133" i="16"/>
  <c r="Q113" i="16"/>
  <c r="Q170" i="16"/>
  <c r="P153" i="17"/>
  <c r="Q77" i="16"/>
  <c r="Q595" i="16"/>
  <c r="P212" i="17"/>
  <c r="Q832" i="16"/>
  <c r="P190" i="17"/>
  <c r="Q368" i="16"/>
  <c r="Q592" i="16"/>
  <c r="Q735" i="16"/>
  <c r="P223" i="17"/>
  <c r="Q19" i="16"/>
  <c r="Q122" i="16"/>
  <c r="Q899" i="16"/>
  <c r="P129" i="17"/>
  <c r="Q785" i="16"/>
  <c r="Q501" i="16"/>
  <c r="Q747" i="16"/>
  <c r="P98" i="17"/>
  <c r="Q365" i="16"/>
  <c r="Q746" i="16"/>
  <c r="P10" i="17"/>
  <c r="Q18" i="16"/>
  <c r="Q500" i="16"/>
  <c r="Q896" i="16"/>
  <c r="P90" i="17"/>
  <c r="Q128" i="16"/>
  <c r="Q341" i="16"/>
  <c r="Q517" i="16"/>
  <c r="Q644" i="16"/>
  <c r="Q783" i="16"/>
  <c r="P170" i="17"/>
  <c r="Q125" i="16"/>
  <c r="Q643" i="16"/>
  <c r="Q635" i="16"/>
  <c r="P23" i="17"/>
  <c r="Q59" i="16"/>
  <c r="P71" i="17"/>
  <c r="Q237" i="16"/>
  <c r="Q234" i="16"/>
  <c r="Q390" i="16"/>
  <c r="P103" i="17"/>
  <c r="Q387" i="16"/>
  <c r="P55" i="17"/>
  <c r="Q175" i="16"/>
  <c r="Q46" i="16"/>
  <c r="Q313" i="16"/>
  <c r="P85" i="17"/>
  <c r="Q301" i="16"/>
  <c r="Q286" i="16"/>
  <c r="Q849" i="16"/>
  <c r="Q284" i="16"/>
  <c r="Q846" i="16"/>
  <c r="P96" i="17"/>
  <c r="P196" i="17"/>
  <c r="P214" i="17"/>
  <c r="P68" i="17"/>
  <c r="P202" i="17"/>
  <c r="Q230" i="16"/>
  <c r="Q356" i="16"/>
  <c r="Q760" i="16"/>
  <c r="Q780" i="16"/>
  <c r="Q840" i="16"/>
  <c r="P220" i="17"/>
  <c r="Q629" i="16"/>
  <c r="Q881" i="16"/>
  <c r="Q522" i="16"/>
  <c r="P162" i="17"/>
  <c r="Q25" i="16"/>
  <c r="Q628" i="16"/>
  <c r="Q374" i="16"/>
  <c r="Q661" i="16"/>
  <c r="P60" i="17"/>
  <c r="Q195" i="16"/>
  <c r="P65" i="17"/>
  <c r="Q209" i="16"/>
  <c r="Q166" i="16"/>
  <c r="Q733" i="16"/>
  <c r="P228" i="17"/>
  <c r="Q922" i="16"/>
  <c r="P18" i="17"/>
  <c r="Q42" i="16"/>
  <c r="Q838" i="16"/>
  <c r="Q910" i="16"/>
  <c r="Q39" i="16"/>
  <c r="Q282" i="16"/>
  <c r="P74" i="17"/>
  <c r="Q327" i="16"/>
  <c r="Q244" i="16"/>
  <c r="Q98" i="16"/>
  <c r="Q653" i="16"/>
  <c r="P8" i="17"/>
  <c r="Q13" i="16"/>
  <c r="Q229" i="16"/>
  <c r="P67" i="17"/>
  <c r="Q226" i="16"/>
  <c r="Q223" i="16"/>
  <c r="Q487" i="16"/>
  <c r="Q837" i="16"/>
  <c r="P178" i="17"/>
  <c r="Q681" i="16"/>
  <c r="Q401" i="16"/>
  <c r="Q678" i="16"/>
  <c r="P152" i="17"/>
  <c r="Q222" i="16"/>
  <c r="Q590" i="16"/>
  <c r="Q472" i="16"/>
  <c r="Q482" i="16"/>
  <c r="Q476" i="16"/>
  <c r="Q521" i="16"/>
  <c r="P29" i="17"/>
  <c r="Q74" i="16"/>
  <c r="Q86" i="16"/>
  <c r="Q220" i="16"/>
  <c r="Q85" i="16"/>
  <c r="Q71" i="16"/>
  <c r="P24" i="17"/>
  <c r="Q65" i="16"/>
  <c r="Q154" i="16"/>
  <c r="Q622" i="16"/>
  <c r="Q617" i="16"/>
  <c r="Q153" i="16"/>
  <c r="Q620" i="16"/>
  <c r="Q615" i="16"/>
  <c r="Q35" i="16"/>
  <c r="Q538" i="16"/>
  <c r="Q446" i="16"/>
  <c r="P138" i="17"/>
  <c r="Q535" i="16"/>
  <c r="P48" i="17"/>
  <c r="Q144" i="16"/>
  <c r="Q32" i="16"/>
  <c r="Q80" i="16"/>
  <c r="Q534" i="16"/>
  <c r="Q31" i="16"/>
  <c r="Q532" i="16"/>
  <c r="Q28" i="16"/>
  <c r="Q134" i="16"/>
  <c r="P217" i="17"/>
  <c r="Q614" i="16"/>
  <c r="Q860" i="16"/>
  <c r="Q893" i="16"/>
  <c r="Q571" i="16"/>
  <c r="Q871" i="16"/>
  <c r="P143" i="17"/>
  <c r="Q568" i="16"/>
  <c r="Q565" i="16"/>
  <c r="Q866" i="16"/>
  <c r="Q548" i="16"/>
  <c r="Q863" i="16"/>
  <c r="P185" i="17"/>
  <c r="Q710" i="16"/>
  <c r="Q263" i="16"/>
  <c r="Q707" i="16"/>
  <c r="Q262" i="16"/>
  <c r="Q695" i="16"/>
  <c r="Q934" i="16"/>
  <c r="Q924" i="16"/>
  <c r="Q897" i="16"/>
  <c r="Q861" i="16"/>
  <c r="H6" i="15"/>
  <c r="P75" i="17"/>
  <c r="Q248" i="16"/>
  <c r="P76" i="17"/>
  <c r="Q251" i="16"/>
  <c r="P79" i="17"/>
  <c r="Q260" i="16"/>
  <c r="Q345" i="16"/>
  <c r="Q583" i="16"/>
  <c r="P92" i="17"/>
  <c r="Q344" i="16"/>
  <c r="P159" i="17"/>
  <c r="Q612" i="16"/>
  <c r="Q741" i="16"/>
  <c r="P61" i="17"/>
  <c r="Q10" i="16"/>
  <c r="Q198" i="16"/>
  <c r="Q598" i="16"/>
  <c r="P191" i="17"/>
  <c r="Q738" i="16"/>
  <c r="P84" i="17"/>
  <c r="Q281" i="16"/>
  <c r="P181" i="17"/>
  <c r="Q763" i="16"/>
  <c r="Q690" i="16"/>
  <c r="P44" i="17"/>
  <c r="Q130" i="16"/>
  <c r="Q123" i="16"/>
  <c r="Q762" i="16"/>
  <c r="Q203" i="16"/>
  <c r="Q657" i="16"/>
  <c r="P200" i="17"/>
  <c r="P62" i="17"/>
  <c r="Q200" i="16"/>
  <c r="Q775" i="16"/>
  <c r="Q51" i="16"/>
  <c r="Q742" i="16"/>
  <c r="Q774" i="16"/>
  <c r="P199" i="17"/>
  <c r="Q761" i="16"/>
  <c r="Q771" i="16"/>
  <c r="Q199" i="16"/>
  <c r="Q768" i="16"/>
  <c r="P89" i="17"/>
  <c r="Q48" i="16"/>
  <c r="Q337" i="16"/>
  <c r="Q400" i="16"/>
  <c r="P118" i="17"/>
  <c r="Q452" i="16"/>
  <c r="P94" i="17"/>
  <c r="Q119" i="16"/>
  <c r="Q351" i="16"/>
  <c r="Q232" i="16"/>
  <c r="P165" i="17"/>
  <c r="Q118" i="16"/>
  <c r="Q450" i="16"/>
  <c r="Q633" i="16"/>
  <c r="P180" i="17"/>
  <c r="Q685" i="16"/>
  <c r="P80" i="17"/>
  <c r="Q264" i="16"/>
  <c r="Q358" i="16"/>
  <c r="Q581" i="16"/>
  <c r="Q777" i="16"/>
  <c r="P81" i="17"/>
  <c r="Q272" i="16"/>
  <c r="Q723" i="16"/>
  <c r="P95" i="17"/>
  <c r="Q352" i="16"/>
  <c r="P116" i="17"/>
  <c r="Q448" i="16"/>
  <c r="Q827" i="16"/>
  <c r="P131" i="17"/>
  <c r="Q507" i="16"/>
  <c r="P130" i="17"/>
  <c r="Q504" i="16"/>
  <c r="P145" i="17"/>
  <c r="Q574" i="16"/>
  <c r="Q925" i="16"/>
  <c r="Q608" i="16"/>
  <c r="Q819" i="16"/>
  <c r="Q923" i="16"/>
  <c r="Q816" i="16"/>
  <c r="P208" i="17"/>
  <c r="Q807" i="16"/>
  <c r="P205" i="17"/>
  <c r="Q792" i="16"/>
  <c r="Q463" i="16"/>
  <c r="Q607" i="16"/>
  <c r="P148" i="17"/>
  <c r="Q579" i="16"/>
  <c r="Q577" i="16"/>
  <c r="Q423" i="16"/>
  <c r="Q102" i="16"/>
  <c r="Q421" i="16"/>
  <c r="Q684" i="16"/>
  <c r="P101" i="17"/>
  <c r="Q279" i="16"/>
  <c r="Q372" i="16"/>
  <c r="P22" i="17"/>
  <c r="Q58" i="16"/>
  <c r="P109" i="17"/>
  <c r="Q418" i="16"/>
  <c r="P14" i="17"/>
  <c r="Q27" i="16"/>
  <c r="P169" i="17"/>
  <c r="Q642" i="16"/>
  <c r="P146" i="17"/>
  <c r="Q218" i="16"/>
  <c r="Q575" i="16"/>
  <c r="P50" i="17"/>
  <c r="Q161" i="16"/>
  <c r="Q856" i="16"/>
  <c r="P53" i="17"/>
  <c r="Q168" i="16"/>
  <c r="P51" i="17"/>
  <c r="Q162" i="16"/>
  <c r="Q426" i="16"/>
  <c r="P155" i="17"/>
  <c r="Q241" i="16"/>
  <c r="Q601" i="16"/>
  <c r="P54" i="17"/>
  <c r="Q169" i="16"/>
  <c r="P113" i="17"/>
  <c r="Q429" i="16"/>
  <c r="P30" i="17"/>
  <c r="P140" i="17"/>
  <c r="Q92" i="16"/>
  <c r="Q542" i="16"/>
  <c r="Q333" i="16"/>
  <c r="Q737" i="16"/>
  <c r="Q594" i="16"/>
  <c r="P16" i="17"/>
  <c r="Q37" i="16"/>
  <c r="Q830" i="16"/>
  <c r="P194" i="17"/>
  <c r="Q898" i="16"/>
  <c r="Q755" i="16"/>
  <c r="P119" i="17"/>
  <c r="Q36" i="16"/>
  <c r="Q367" i="16"/>
  <c r="Q455" i="16"/>
  <c r="Q364" i="16"/>
  <c r="Q454" i="16"/>
  <c r="P73" i="17"/>
  <c r="Q242" i="16"/>
  <c r="Q363" i="16"/>
  <c r="Q541" i="16"/>
  <c r="P164" i="17"/>
  <c r="Q60" i="16"/>
  <c r="Q631" i="16"/>
  <c r="Q519" i="16"/>
  <c r="Q127" i="16"/>
  <c r="P203" i="17"/>
  <c r="Q340" i="16"/>
  <c r="Q787" i="16"/>
  <c r="Q782" i="16"/>
  <c r="P166" i="17"/>
  <c r="Q90" i="16"/>
  <c r="Q634" i="16"/>
  <c r="P135" i="17"/>
  <c r="Q339" i="16"/>
  <c r="Q515" i="16"/>
  <c r="Q786" i="16"/>
  <c r="P133" i="17"/>
  <c r="Q512" i="16"/>
  <c r="P163" i="17"/>
  <c r="Q630" i="16"/>
  <c r="P72" i="17"/>
  <c r="Q239" i="16"/>
  <c r="P102" i="17"/>
  <c r="Q188" i="16"/>
  <c r="Q377" i="16"/>
  <c r="Q666" i="16"/>
  <c r="P58" i="17"/>
  <c r="Q233" i="16"/>
  <c r="Q180" i="16"/>
  <c r="P56" i="17"/>
  <c r="Q177" i="16"/>
  <c r="Q283" i="16"/>
  <c r="Q845" i="16"/>
  <c r="P137" i="17"/>
  <c r="Q527" i="16"/>
  <c r="Q197" i="16"/>
  <c r="Q660" i="16"/>
  <c r="P189" i="17"/>
  <c r="Q732" i="16"/>
  <c r="Q44" i="16"/>
  <c r="P226" i="17"/>
  <c r="Q911" i="16"/>
  <c r="P17" i="17"/>
  <c r="Q41" i="16"/>
  <c r="P52" i="17"/>
  <c r="Q246" i="16"/>
  <c r="Q164" i="16"/>
  <c r="Q730" i="16"/>
  <c r="P9" i="17"/>
  <c r="Q15" i="16"/>
  <c r="Q88" i="16"/>
  <c r="Q12" i="16"/>
  <c r="Q228" i="16"/>
  <c r="P177" i="17"/>
  <c r="Q677" i="16"/>
  <c r="P151" i="17"/>
  <c r="Q75" i="16"/>
  <c r="Q589" i="16"/>
  <c r="P123" i="17"/>
  <c r="Q466" i="16"/>
  <c r="Q64" i="16"/>
  <c r="Q587" i="16"/>
  <c r="P12" i="17"/>
  <c r="Q22" i="16"/>
  <c r="Q520" i="16"/>
  <c r="P171" i="17"/>
  <c r="Q499" i="16"/>
  <c r="Q647" i="16"/>
  <c r="Q895" i="16"/>
  <c r="Q624" i="16"/>
  <c r="Q152" i="16"/>
  <c r="P128" i="17"/>
  <c r="Q646" i="16"/>
  <c r="Q498" i="16"/>
  <c r="Q81" i="16"/>
  <c r="Q150" i="16"/>
  <c r="Q146" i="16"/>
  <c r="Q495" i="16"/>
  <c r="P46" i="17"/>
  <c r="Q34" i="16"/>
  <c r="Q140" i="16"/>
  <c r="Q619" i="16"/>
  <c r="P26" i="17"/>
  <c r="Q79" i="16"/>
  <c r="Q533" i="16"/>
  <c r="Q30" i="16"/>
  <c r="Q135" i="16"/>
  <c r="Q530" i="16"/>
  <c r="Q441" i="16"/>
  <c r="P219" i="17"/>
  <c r="Q859" i="16"/>
  <c r="Q892" i="16"/>
  <c r="Q570" i="16"/>
  <c r="P222" i="17"/>
  <c r="Q889" i="16"/>
  <c r="Q618" i="16"/>
  <c r="Q493" i="16"/>
  <c r="Q547" i="16"/>
  <c r="Q886" i="16"/>
  <c r="P126" i="17"/>
  <c r="Q490" i="16"/>
  <c r="Q779" i="16"/>
  <c r="P49" i="17"/>
  <c r="Q158" i="16"/>
  <c r="Q936" i="16"/>
  <c r="Q933" i="16"/>
  <c r="Q930" i="16"/>
  <c r="Q894" i="16"/>
  <c r="Q885" i="16"/>
  <c r="Q867" i="16"/>
  <c r="Q858" i="16"/>
  <c r="C5" i="15"/>
  <c r="AT11" i="14" l="1"/>
  <c r="AI9" i="14"/>
  <c r="AH7" i="14"/>
  <c r="AH10" i="14"/>
  <c r="AG8" i="14"/>
  <c r="AG6" i="14"/>
  <c r="AF9" i="14"/>
  <c r="AI8" i="14"/>
  <c r="AH8" i="14"/>
  <c r="AG7" i="14"/>
  <c r="AF7" i="14"/>
  <c r="AF6" i="14"/>
  <c r="AI10" i="14"/>
  <c r="AH9" i="14"/>
  <c r="AG9" i="14"/>
  <c r="AF8" i="14"/>
  <c r="AI7" i="14"/>
  <c r="AI6" i="14"/>
  <c r="AH6" i="14"/>
  <c r="AG10" i="14"/>
  <c r="AF10" i="14"/>
  <c r="BC22" i="14"/>
  <c r="BC28" i="14"/>
  <c r="BC20" i="14"/>
  <c r="BC24" i="14"/>
  <c r="BC26" i="14"/>
  <c r="AD20" i="14"/>
  <c r="AB23" i="14"/>
  <c r="AF19" i="14"/>
  <c r="AH20" i="14"/>
  <c r="AB21" i="14"/>
  <c r="AF22" i="14"/>
  <c r="AJ23" i="14"/>
  <c r="AD19" i="14"/>
  <c r="AF20" i="14"/>
  <c r="AJ21" i="14"/>
  <c r="AB20" i="14"/>
  <c r="AF21" i="14"/>
  <c r="AJ22" i="14"/>
  <c r="AD23" i="14"/>
  <c r="AH19" i="14"/>
  <c r="AJ20" i="14"/>
  <c r="AD21" i="14"/>
  <c r="AH22" i="14"/>
  <c r="AD22" i="14"/>
  <c r="AH23" i="14"/>
  <c r="AB19" i="14"/>
  <c r="AH21" i="14"/>
  <c r="AB22" i="14"/>
  <c r="AF23" i="14"/>
  <c r="AJ19" i="14"/>
  <c r="AU48" i="14"/>
  <c r="AU53" i="14"/>
  <c r="AU54" i="14" s="1"/>
  <c r="AS11" i="14"/>
  <c r="AS13" i="14"/>
  <c r="E4" i="15"/>
  <c r="C4" i="15"/>
  <c r="G6" i="15"/>
  <c r="D5" i="15"/>
  <c r="D6" i="15" s="1"/>
  <c r="E5" i="15"/>
  <c r="F6" i="15"/>
  <c r="AH11" i="14" l="1"/>
  <c r="AI11" i="14"/>
  <c r="AJ24" i="14"/>
  <c r="AK21" i="14" s="1"/>
  <c r="AB24" i="14"/>
  <c r="AC20" i="14" s="1"/>
  <c r="AH24" i="14"/>
  <c r="AI22" i="14" s="1"/>
  <c r="AF24" i="14"/>
  <c r="AG22" i="14" s="1"/>
  <c r="AG11" i="14"/>
  <c r="AD24" i="14"/>
  <c r="AE21" i="14" s="1"/>
  <c r="B4" i="15"/>
  <c r="BB26" i="14"/>
  <c r="BB20" i="14"/>
  <c r="BB28" i="14"/>
  <c r="BB24" i="14"/>
  <c r="BB22" i="14"/>
  <c r="AF11" i="14"/>
  <c r="E6" i="15"/>
  <c r="B5" i="15"/>
  <c r="B6" i="15" s="1"/>
  <c r="C6" i="15"/>
  <c r="U39" i="14"/>
  <c r="U38" i="14"/>
  <c r="T39" i="14"/>
  <c r="T38" i="14"/>
  <c r="W29" i="14"/>
  <c r="W28" i="14"/>
  <c r="U29" i="14"/>
  <c r="U19" i="14"/>
  <c r="U18" i="14"/>
  <c r="T19" i="14"/>
  <c r="T18" i="14"/>
  <c r="V17" i="14"/>
  <c r="W9" i="14"/>
  <c r="W8" i="14"/>
  <c r="V9" i="14"/>
  <c r="V8" i="14"/>
  <c r="U8" i="14"/>
  <c r="U9" i="14"/>
  <c r="AC23" i="14" l="1"/>
  <c r="AC21" i="14"/>
  <c r="AC22" i="14"/>
  <c r="AC19" i="14"/>
  <c r="AK23" i="14"/>
  <c r="AK22" i="14"/>
  <c r="AK19" i="14"/>
  <c r="AK20" i="14"/>
  <c r="AG20" i="14"/>
  <c r="AI20" i="14"/>
  <c r="AI21" i="14"/>
  <c r="AG19" i="14"/>
  <c r="AG21" i="14"/>
  <c r="AE22" i="14"/>
  <c r="AE20" i="14"/>
  <c r="AE23" i="14"/>
  <c r="AI19" i="14"/>
  <c r="AE19" i="14"/>
  <c r="AG23" i="14"/>
  <c r="AI23" i="14"/>
  <c r="V18" i="14"/>
  <c r="V36" i="14"/>
  <c r="V39" i="14"/>
  <c r="V19" i="14"/>
  <c r="V37" i="14"/>
  <c r="V38" i="14"/>
  <c r="V30" i="14"/>
  <c r="U40" i="14"/>
  <c r="T40" i="14"/>
  <c r="V10" i="14"/>
  <c r="T20" i="14"/>
  <c r="U30" i="14"/>
  <c r="W30" i="14"/>
  <c r="U10" i="14"/>
  <c r="W10" i="14"/>
  <c r="U20" i="14"/>
  <c r="V40" i="14" l="1"/>
  <c r="V41" i="14" s="1"/>
  <c r="V20" i="14"/>
  <c r="V21" i="14" s="1"/>
  <c r="N34" i="14"/>
  <c r="N35" i="14" s="1"/>
  <c r="N32" i="14"/>
  <c r="N33" i="14" s="1"/>
  <c r="N21" i="14"/>
  <c r="N22" i="14" s="1"/>
  <c r="N19" i="14"/>
  <c r="N20" i="14" s="1"/>
  <c r="M34" i="14"/>
  <c r="M35" i="14" s="1"/>
  <c r="M32" i="14"/>
  <c r="M33" i="14" s="1"/>
  <c r="M21" i="14"/>
  <c r="M22" i="14" s="1"/>
  <c r="M19" i="14"/>
  <c r="M20" i="14" s="1"/>
  <c r="F34" i="14"/>
  <c r="F35" i="14" s="1"/>
  <c r="F32" i="14"/>
  <c r="F33" i="14" s="1"/>
  <c r="F21" i="14"/>
  <c r="F22" i="14" s="1"/>
  <c r="F19" i="14"/>
  <c r="F20" i="14" s="1"/>
  <c r="F8" i="14"/>
  <c r="F9" i="14" s="1"/>
  <c r="F6" i="14"/>
  <c r="F7" i="14" s="1"/>
  <c r="E34" i="14"/>
  <c r="E35" i="14" s="1"/>
  <c r="E32" i="14"/>
  <c r="E33" i="14" s="1"/>
  <c r="E21" i="14"/>
  <c r="E22" i="14" s="1"/>
  <c r="E19" i="14"/>
  <c r="E20" i="14" s="1"/>
  <c r="E8" i="14"/>
  <c r="E9" i="14" s="1"/>
  <c r="E6" i="14"/>
  <c r="E7" i="14" s="1"/>
  <c r="D420" i="25"/>
  <c r="O210" i="24"/>
  <c r="M210" i="24"/>
  <c r="K210" i="24"/>
  <c r="I210" i="24"/>
  <c r="F209" i="24"/>
  <c r="H209" i="24"/>
  <c r="D209" i="24"/>
  <c r="F208" i="24"/>
  <c r="H208" i="24"/>
  <c r="D208" i="24"/>
  <c r="F207" i="24"/>
  <c r="H207" i="24"/>
  <c r="D207" i="24"/>
  <c r="F206" i="24"/>
  <c r="H206" i="24"/>
  <c r="D206" i="24"/>
  <c r="F205" i="24"/>
  <c r="H205" i="24"/>
  <c r="D205" i="24"/>
  <c r="F204" i="24"/>
  <c r="H204" i="24"/>
  <c r="D204" i="24"/>
  <c r="F203" i="24"/>
  <c r="H203" i="24"/>
  <c r="D203" i="24"/>
  <c r="F202" i="24"/>
  <c r="H202" i="24"/>
  <c r="D202" i="24"/>
  <c r="F201" i="24"/>
  <c r="H201" i="24"/>
  <c r="D201" i="24"/>
  <c r="F200" i="24"/>
  <c r="H200" i="24"/>
  <c r="D200" i="24"/>
  <c r="F199" i="24"/>
  <c r="H199" i="24"/>
  <c r="D199" i="24"/>
  <c r="F198" i="24"/>
  <c r="H198" i="24"/>
  <c r="D198" i="24"/>
  <c r="F197" i="24"/>
  <c r="H197" i="24"/>
  <c r="D197" i="24"/>
  <c r="F196" i="24"/>
  <c r="H196" i="24"/>
  <c r="D196" i="24"/>
  <c r="F195" i="24"/>
  <c r="H195" i="24"/>
  <c r="D195" i="24"/>
  <c r="F194" i="24"/>
  <c r="H194" i="24"/>
  <c r="D194" i="24"/>
  <c r="F193" i="24"/>
  <c r="H193" i="24"/>
  <c r="D193" i="24"/>
  <c r="F192" i="24"/>
  <c r="H192" i="24"/>
  <c r="D192" i="24"/>
  <c r="F191" i="24"/>
  <c r="H191" i="24"/>
  <c r="D191" i="24"/>
  <c r="F190" i="24"/>
  <c r="H190" i="24"/>
  <c r="D190" i="24"/>
  <c r="F189" i="24"/>
  <c r="H189" i="24"/>
  <c r="D189" i="24"/>
  <c r="F188" i="24"/>
  <c r="H188" i="24"/>
  <c r="D188" i="24"/>
  <c r="F187" i="24"/>
  <c r="H187" i="24"/>
  <c r="D187" i="24"/>
  <c r="F186" i="24"/>
  <c r="H186" i="24"/>
  <c r="D186" i="24"/>
  <c r="F185" i="24"/>
  <c r="H185" i="24"/>
  <c r="D185" i="24"/>
  <c r="F184" i="24"/>
  <c r="D184" i="24"/>
  <c r="F183" i="24"/>
  <c r="H183" i="24"/>
  <c r="D183" i="24"/>
  <c r="F182" i="24"/>
  <c r="H182" i="24"/>
  <c r="D182" i="24"/>
  <c r="F181" i="24"/>
  <c r="H181" i="24"/>
  <c r="D181" i="24"/>
  <c r="F180" i="24"/>
  <c r="H180" i="24"/>
  <c r="D180" i="24"/>
  <c r="F179" i="24"/>
  <c r="H179" i="24"/>
  <c r="D179" i="24"/>
  <c r="F178" i="24"/>
  <c r="H178" i="24"/>
  <c r="D178" i="24"/>
  <c r="F177" i="24"/>
  <c r="H177" i="24"/>
  <c r="D177" i="24"/>
  <c r="F176" i="24"/>
  <c r="H176" i="24"/>
  <c r="D176" i="24"/>
  <c r="F175" i="24"/>
  <c r="H175" i="24"/>
  <c r="D175" i="24"/>
  <c r="F174" i="24"/>
  <c r="H174" i="24"/>
  <c r="D174" i="24"/>
  <c r="F173" i="24"/>
  <c r="H173" i="24"/>
  <c r="D173" i="24"/>
  <c r="F172" i="24"/>
  <c r="H172" i="24"/>
  <c r="D172" i="24"/>
  <c r="F171" i="24"/>
  <c r="H171" i="24"/>
  <c r="D171" i="24"/>
  <c r="F170" i="24"/>
  <c r="H170" i="24"/>
  <c r="D170" i="24"/>
  <c r="F169" i="24"/>
  <c r="H169" i="24"/>
  <c r="D169" i="24"/>
  <c r="F168" i="24"/>
  <c r="H168" i="24"/>
  <c r="D168" i="24"/>
  <c r="F167" i="24"/>
  <c r="H167" i="24"/>
  <c r="D167" i="24"/>
  <c r="F166" i="24"/>
  <c r="H166" i="24"/>
  <c r="D166" i="24"/>
  <c r="F165" i="24"/>
  <c r="H165" i="24"/>
  <c r="D165" i="24"/>
  <c r="F164" i="24"/>
  <c r="H164" i="24"/>
  <c r="D164" i="24"/>
  <c r="F163" i="24"/>
  <c r="H163" i="24"/>
  <c r="D163" i="24"/>
  <c r="F162" i="24"/>
  <c r="H162" i="24"/>
  <c r="D162" i="24"/>
  <c r="F161" i="24"/>
  <c r="H161" i="24"/>
  <c r="D161" i="24"/>
  <c r="F160" i="24"/>
  <c r="H160" i="24"/>
  <c r="D160" i="24"/>
  <c r="F159" i="24"/>
  <c r="H159" i="24"/>
  <c r="D159" i="24"/>
  <c r="F158" i="24"/>
  <c r="H158" i="24"/>
  <c r="D158" i="24"/>
  <c r="F157" i="24"/>
  <c r="H157" i="24"/>
  <c r="D157" i="24"/>
  <c r="F156" i="24"/>
  <c r="H156" i="24"/>
  <c r="D156" i="24"/>
  <c r="F155" i="24"/>
  <c r="H155" i="24"/>
  <c r="D155" i="24"/>
  <c r="F154" i="24"/>
  <c r="H154" i="24"/>
  <c r="D154" i="24"/>
  <c r="F153" i="24"/>
  <c r="H153" i="24"/>
  <c r="D153" i="24"/>
  <c r="F152" i="24"/>
  <c r="H152" i="24"/>
  <c r="D152" i="24"/>
  <c r="F151" i="24"/>
  <c r="H151" i="24"/>
  <c r="D151" i="24"/>
  <c r="F150" i="24"/>
  <c r="H150" i="24"/>
  <c r="D150" i="24"/>
  <c r="F149" i="24"/>
  <c r="H149" i="24"/>
  <c r="D149" i="24"/>
  <c r="F148" i="24"/>
  <c r="H148" i="24"/>
  <c r="D148" i="24"/>
  <c r="F147" i="24"/>
  <c r="H147" i="24"/>
  <c r="D147" i="24"/>
  <c r="F146" i="24"/>
  <c r="H146" i="24"/>
  <c r="D146" i="24"/>
  <c r="F145" i="24"/>
  <c r="H145" i="24"/>
  <c r="D145" i="24"/>
  <c r="F144" i="24"/>
  <c r="H144" i="24"/>
  <c r="D144" i="24"/>
  <c r="F143" i="24"/>
  <c r="H143" i="24"/>
  <c r="D143" i="24"/>
  <c r="F142" i="24"/>
  <c r="H142" i="24"/>
  <c r="D142" i="24"/>
  <c r="F141" i="24"/>
  <c r="H141" i="24"/>
  <c r="D141" i="24"/>
  <c r="F140" i="24"/>
  <c r="H140" i="24"/>
  <c r="D140" i="24"/>
  <c r="F139" i="24"/>
  <c r="H139" i="24"/>
  <c r="D139" i="24"/>
  <c r="F138" i="24"/>
  <c r="H138" i="24"/>
  <c r="D138" i="24"/>
  <c r="F137" i="24"/>
  <c r="H137" i="24"/>
  <c r="D137" i="24"/>
  <c r="F136" i="24"/>
  <c r="H136" i="24"/>
  <c r="D136" i="24"/>
  <c r="F135" i="24"/>
  <c r="H135" i="24"/>
  <c r="D135" i="24"/>
  <c r="F134" i="24"/>
  <c r="H134" i="24"/>
  <c r="D134" i="24"/>
  <c r="F133" i="24"/>
  <c r="H133" i="24"/>
  <c r="D133" i="24"/>
  <c r="F132" i="24"/>
  <c r="H132" i="24"/>
  <c r="D132" i="24"/>
  <c r="F131" i="24"/>
  <c r="H131" i="24"/>
  <c r="D131" i="24"/>
  <c r="F130" i="24"/>
  <c r="H130" i="24"/>
  <c r="D130" i="24"/>
  <c r="F129" i="24"/>
  <c r="H129" i="24"/>
  <c r="D129" i="24"/>
  <c r="F128" i="24"/>
  <c r="H128" i="24"/>
  <c r="D128" i="24"/>
  <c r="F127" i="24"/>
  <c r="H127" i="24"/>
  <c r="D127" i="24"/>
  <c r="F126" i="24"/>
  <c r="H126" i="24"/>
  <c r="D126" i="24"/>
  <c r="F125" i="24"/>
  <c r="H125" i="24"/>
  <c r="D125" i="24"/>
  <c r="F124" i="24"/>
  <c r="H124" i="24"/>
  <c r="D124" i="24"/>
  <c r="F123" i="24"/>
  <c r="H123" i="24"/>
  <c r="D123" i="24"/>
  <c r="F122" i="24"/>
  <c r="H122" i="24"/>
  <c r="D122" i="24"/>
  <c r="F121" i="24"/>
  <c r="H121" i="24"/>
  <c r="D121" i="24"/>
  <c r="F120" i="24"/>
  <c r="H120" i="24"/>
  <c r="D120" i="24"/>
  <c r="F119" i="24"/>
  <c r="H119" i="24"/>
  <c r="D119" i="24"/>
  <c r="F118" i="24"/>
  <c r="H118" i="24"/>
  <c r="D118" i="24"/>
  <c r="F117" i="24"/>
  <c r="H117" i="24"/>
  <c r="D117" i="24"/>
  <c r="F116" i="24"/>
  <c r="H116" i="24"/>
  <c r="D116" i="24"/>
  <c r="F115" i="24"/>
  <c r="H115" i="24"/>
  <c r="D115" i="24"/>
  <c r="F114" i="24"/>
  <c r="H114" i="24"/>
  <c r="D114" i="24"/>
  <c r="F113" i="24"/>
  <c r="H113" i="24"/>
  <c r="D113" i="24"/>
  <c r="F112" i="24"/>
  <c r="H112" i="24"/>
  <c r="D112" i="24"/>
  <c r="F111" i="24"/>
  <c r="H111" i="24"/>
  <c r="D111" i="24"/>
  <c r="F110" i="24"/>
  <c r="H110" i="24"/>
  <c r="D110" i="24"/>
  <c r="F109" i="24"/>
  <c r="H109" i="24"/>
  <c r="D109" i="24"/>
  <c r="F108" i="24"/>
  <c r="H108" i="24"/>
  <c r="D108" i="24"/>
  <c r="F107" i="24"/>
  <c r="H107" i="24"/>
  <c r="D107" i="24"/>
  <c r="F106" i="24"/>
  <c r="H106" i="24"/>
  <c r="D106" i="24"/>
  <c r="F105" i="24"/>
  <c r="H105" i="24"/>
  <c r="D105" i="24"/>
  <c r="F104" i="24"/>
  <c r="H104" i="24"/>
  <c r="D104" i="24"/>
  <c r="F103" i="24"/>
  <c r="H103" i="24"/>
  <c r="D103" i="24"/>
  <c r="F102" i="24"/>
  <c r="H102" i="24"/>
  <c r="D102" i="24"/>
  <c r="F101" i="24"/>
  <c r="H101" i="24"/>
  <c r="D101" i="24"/>
  <c r="F100" i="24"/>
  <c r="H100" i="24"/>
  <c r="D100" i="24"/>
  <c r="F99" i="24"/>
  <c r="H99" i="24"/>
  <c r="D99" i="24"/>
  <c r="F98" i="24"/>
  <c r="H98" i="24"/>
  <c r="D98" i="24"/>
  <c r="F97" i="24"/>
  <c r="H97" i="24"/>
  <c r="D97" i="24"/>
  <c r="F96" i="24"/>
  <c r="H96" i="24"/>
  <c r="D96" i="24"/>
  <c r="F95" i="24"/>
  <c r="H95" i="24"/>
  <c r="D95" i="24"/>
  <c r="F94" i="24"/>
  <c r="H94" i="24"/>
  <c r="D94" i="24"/>
  <c r="F93" i="24"/>
  <c r="H93" i="24"/>
  <c r="D93" i="24"/>
  <c r="F92" i="24"/>
  <c r="H92" i="24"/>
  <c r="D92" i="24"/>
  <c r="F91" i="24"/>
  <c r="H91" i="24"/>
  <c r="D91" i="24"/>
  <c r="F90" i="24"/>
  <c r="H90" i="24"/>
  <c r="D90" i="24"/>
  <c r="F89" i="24"/>
  <c r="H89" i="24"/>
  <c r="D89" i="24"/>
  <c r="F88" i="24"/>
  <c r="H88" i="24"/>
  <c r="D88" i="24"/>
  <c r="F87" i="24"/>
  <c r="H87" i="24"/>
  <c r="D87" i="24"/>
  <c r="F86" i="24"/>
  <c r="H86" i="24"/>
  <c r="D86" i="24"/>
  <c r="F85" i="24"/>
  <c r="H85" i="24"/>
  <c r="D85" i="24"/>
  <c r="F84" i="24"/>
  <c r="H84" i="24"/>
  <c r="D84" i="24"/>
  <c r="F83" i="24"/>
  <c r="H83" i="24"/>
  <c r="D83" i="24"/>
  <c r="F82" i="24"/>
  <c r="H82" i="24"/>
  <c r="D82" i="24"/>
  <c r="F81" i="24"/>
  <c r="H81" i="24"/>
  <c r="D81" i="24"/>
  <c r="F80" i="24"/>
  <c r="H80" i="24"/>
  <c r="D80" i="24"/>
  <c r="F79" i="24"/>
  <c r="H79" i="24"/>
  <c r="D79" i="24"/>
  <c r="F78" i="24"/>
  <c r="H78" i="24"/>
  <c r="D78" i="24"/>
  <c r="F77" i="24"/>
  <c r="H77" i="24"/>
  <c r="D77" i="24"/>
  <c r="F76" i="24"/>
  <c r="H76" i="24"/>
  <c r="D76" i="24"/>
  <c r="F75" i="24"/>
  <c r="H75" i="24"/>
  <c r="D75" i="24"/>
  <c r="F74" i="24"/>
  <c r="H74" i="24"/>
  <c r="D74" i="24"/>
  <c r="F73" i="24"/>
  <c r="H73" i="24"/>
  <c r="D73" i="24"/>
  <c r="F72" i="24"/>
  <c r="H72" i="24"/>
  <c r="D72" i="24"/>
  <c r="F71" i="24"/>
  <c r="H71" i="24"/>
  <c r="D71" i="24"/>
  <c r="F70" i="24"/>
  <c r="H70" i="24"/>
  <c r="D70" i="24"/>
  <c r="F69" i="24"/>
  <c r="H69" i="24"/>
  <c r="D69" i="24"/>
  <c r="F68" i="24"/>
  <c r="H68" i="24"/>
  <c r="D68" i="24"/>
  <c r="F67" i="24"/>
  <c r="H67" i="24"/>
  <c r="D67" i="24"/>
  <c r="F66" i="24"/>
  <c r="H66" i="24"/>
  <c r="D66" i="24"/>
  <c r="F65" i="24"/>
  <c r="H65" i="24"/>
  <c r="D65" i="24"/>
  <c r="F64" i="24"/>
  <c r="H64" i="24"/>
  <c r="D64" i="24"/>
  <c r="F63" i="24"/>
  <c r="H63" i="24"/>
  <c r="D63" i="24"/>
  <c r="F62" i="24"/>
  <c r="H62" i="24"/>
  <c r="D62" i="24"/>
  <c r="F61" i="24"/>
  <c r="H61" i="24"/>
  <c r="D61" i="24"/>
  <c r="F60" i="24"/>
  <c r="H60" i="24"/>
  <c r="D60" i="24"/>
  <c r="F59" i="24"/>
  <c r="H59" i="24"/>
  <c r="D59" i="24"/>
  <c r="F58" i="24"/>
  <c r="H58" i="24"/>
  <c r="D58" i="24"/>
  <c r="F57" i="24"/>
  <c r="H57" i="24"/>
  <c r="D57" i="24"/>
  <c r="F56" i="24"/>
  <c r="H56" i="24"/>
  <c r="D56" i="24"/>
  <c r="F55" i="24"/>
  <c r="H55" i="24"/>
  <c r="D55" i="24"/>
  <c r="F54" i="24"/>
  <c r="H54" i="24"/>
  <c r="D54" i="24"/>
  <c r="F53" i="24"/>
  <c r="H53" i="24"/>
  <c r="D53" i="24"/>
  <c r="F52" i="24"/>
  <c r="H52" i="24"/>
  <c r="D52" i="24"/>
  <c r="F51" i="24"/>
  <c r="H51" i="24"/>
  <c r="D51" i="24"/>
  <c r="F50" i="24"/>
  <c r="H50" i="24"/>
  <c r="D50" i="24"/>
  <c r="F49" i="24"/>
  <c r="H49" i="24"/>
  <c r="D49" i="24"/>
  <c r="F48" i="24"/>
  <c r="H48" i="24"/>
  <c r="D48" i="24"/>
  <c r="F47" i="24"/>
  <c r="H47" i="24"/>
  <c r="D47" i="24"/>
  <c r="F46" i="24"/>
  <c r="H46" i="24"/>
  <c r="D46" i="24"/>
  <c r="F45" i="24"/>
  <c r="H45" i="24"/>
  <c r="D45" i="24"/>
  <c r="F44" i="24"/>
  <c r="H44" i="24"/>
  <c r="D44" i="24"/>
  <c r="F43" i="24"/>
  <c r="H43" i="24"/>
  <c r="D43" i="24"/>
  <c r="F42" i="24"/>
  <c r="H42" i="24"/>
  <c r="D42" i="24"/>
  <c r="F41" i="24"/>
  <c r="H41" i="24"/>
  <c r="D41" i="24"/>
  <c r="F40" i="24"/>
  <c r="H40" i="24"/>
  <c r="D40" i="24"/>
  <c r="F39" i="24"/>
  <c r="H39" i="24"/>
  <c r="D39" i="24"/>
  <c r="F38" i="24"/>
  <c r="H38" i="24"/>
  <c r="D38" i="24"/>
  <c r="F37" i="24"/>
  <c r="H37" i="24"/>
  <c r="D37" i="24"/>
  <c r="F36" i="24"/>
  <c r="H36" i="24"/>
  <c r="D36" i="24"/>
  <c r="F35" i="24"/>
  <c r="H35" i="24"/>
  <c r="D35" i="24"/>
  <c r="F34" i="24"/>
  <c r="H34" i="24"/>
  <c r="D34" i="24"/>
  <c r="F33" i="24"/>
  <c r="H33" i="24"/>
  <c r="D33" i="24"/>
  <c r="F32" i="24"/>
  <c r="H32" i="24"/>
  <c r="D32" i="24"/>
  <c r="F31" i="24"/>
  <c r="H31" i="24"/>
  <c r="D31" i="24"/>
  <c r="F30" i="24"/>
  <c r="H30" i="24"/>
  <c r="D30" i="24"/>
  <c r="F29" i="24"/>
  <c r="H29" i="24"/>
  <c r="D29" i="24"/>
  <c r="F28" i="24"/>
  <c r="H28" i="24"/>
  <c r="D28" i="24"/>
  <c r="F27" i="24"/>
  <c r="H27" i="24"/>
  <c r="D27" i="24"/>
  <c r="F26" i="24"/>
  <c r="H26" i="24"/>
  <c r="D26" i="24"/>
  <c r="F25" i="24"/>
  <c r="H25" i="24"/>
  <c r="D25" i="24"/>
  <c r="F24" i="24"/>
  <c r="AT6" i="14" s="1"/>
  <c r="H24" i="24"/>
  <c r="D24" i="24"/>
  <c r="AS6" i="14" s="1"/>
  <c r="F23" i="24"/>
  <c r="H23" i="24"/>
  <c r="D23" i="24"/>
  <c r="F22" i="24"/>
  <c r="H22" i="24"/>
  <c r="D22" i="24"/>
  <c r="F21" i="24"/>
  <c r="H21" i="24"/>
  <c r="D21" i="24"/>
  <c r="F20" i="24"/>
  <c r="H20" i="24"/>
  <c r="D20" i="24"/>
  <c r="F19" i="24"/>
  <c r="H19" i="24"/>
  <c r="D19" i="24"/>
  <c r="F18" i="24"/>
  <c r="H18" i="24"/>
  <c r="D18" i="24"/>
  <c r="F17" i="24"/>
  <c r="AD10" i="14" s="1"/>
  <c r="H17" i="24"/>
  <c r="D17" i="24"/>
  <c r="AB10" i="14" s="1"/>
  <c r="F16" i="24"/>
  <c r="AD9" i="14" s="1"/>
  <c r="H16" i="24"/>
  <c r="D16" i="24"/>
  <c r="AB9" i="14" s="1"/>
  <c r="F15" i="24"/>
  <c r="H15" i="24"/>
  <c r="D15" i="24"/>
  <c r="F14" i="24"/>
  <c r="H14" i="24"/>
  <c r="D14" i="24"/>
  <c r="F13" i="24"/>
  <c r="H13" i="24"/>
  <c r="D13" i="24"/>
  <c r="F12" i="24"/>
  <c r="H12" i="24"/>
  <c r="D12" i="24"/>
  <c r="F11" i="24"/>
  <c r="H11" i="24"/>
  <c r="D11" i="24"/>
  <c r="F10" i="24"/>
  <c r="H10" i="24"/>
  <c r="D10" i="24"/>
  <c r="F9" i="24"/>
  <c r="AD6" i="14" s="1"/>
  <c r="H9" i="24"/>
  <c r="D9" i="24"/>
  <c r="AB6" i="14" s="1"/>
  <c r="F8" i="24"/>
  <c r="H8" i="24"/>
  <c r="D8" i="24"/>
  <c r="F7" i="24"/>
  <c r="AD8" i="14" s="1"/>
  <c r="H7" i="24"/>
  <c r="D7" i="24"/>
  <c r="AB8" i="14" s="1"/>
  <c r="F6" i="24"/>
  <c r="E210" i="24"/>
  <c r="D6" i="24"/>
  <c r="Q423" i="23"/>
  <c r="S423" i="23"/>
  <c r="O423" i="23"/>
  <c r="L423" i="23"/>
  <c r="N423" i="23"/>
  <c r="J423" i="23"/>
  <c r="I423" i="23"/>
  <c r="S422" i="23"/>
  <c r="N422" i="23"/>
  <c r="I422" i="23"/>
  <c r="S421" i="23"/>
  <c r="N421" i="23"/>
  <c r="I421" i="23"/>
  <c r="S420" i="23"/>
  <c r="N420" i="23"/>
  <c r="I420" i="23"/>
  <c r="S419" i="23"/>
  <c r="N419" i="23"/>
  <c r="I419" i="23"/>
  <c r="S418" i="23"/>
  <c r="N418" i="23"/>
  <c r="I418" i="23"/>
  <c r="S417" i="23"/>
  <c r="N417" i="23"/>
  <c r="I417" i="23"/>
  <c r="S416" i="23"/>
  <c r="N416" i="23"/>
  <c r="I416" i="23"/>
  <c r="S415" i="23"/>
  <c r="N415" i="23"/>
  <c r="I415" i="23"/>
  <c r="S414" i="23"/>
  <c r="N414" i="23"/>
  <c r="I414" i="23"/>
  <c r="S413" i="23"/>
  <c r="N413" i="23"/>
  <c r="I413" i="23"/>
  <c r="S412" i="23"/>
  <c r="N412" i="23"/>
  <c r="I412" i="23"/>
  <c r="S411" i="23"/>
  <c r="S410" i="23"/>
  <c r="N410" i="23"/>
  <c r="I410" i="23"/>
  <c r="S409" i="23"/>
  <c r="N409" i="23"/>
  <c r="I409" i="23"/>
  <c r="S408" i="23"/>
  <c r="N408" i="23"/>
  <c r="I408" i="23"/>
  <c r="S407" i="23"/>
  <c r="N407" i="23"/>
  <c r="I407" i="23"/>
  <c r="S406" i="23"/>
  <c r="N406" i="23"/>
  <c r="I406" i="23"/>
  <c r="S405" i="23"/>
  <c r="N405" i="23"/>
  <c r="I405" i="23"/>
  <c r="S404" i="23"/>
  <c r="N404" i="23"/>
  <c r="I404" i="23"/>
  <c r="I403" i="23"/>
  <c r="S402" i="23"/>
  <c r="S401" i="23"/>
  <c r="N401" i="23"/>
  <c r="I401" i="23"/>
  <c r="S400" i="23"/>
  <c r="N400" i="23"/>
  <c r="I400" i="23"/>
  <c r="S399" i="23"/>
  <c r="N399" i="23"/>
  <c r="I399" i="23"/>
  <c r="S398" i="23"/>
  <c r="N398" i="23"/>
  <c r="I398" i="23"/>
  <c r="S397" i="23"/>
  <c r="I397" i="23"/>
  <c r="N395" i="23"/>
  <c r="I395" i="23"/>
  <c r="S394" i="23"/>
  <c r="N394" i="23"/>
  <c r="S393" i="23"/>
  <c r="I393" i="23"/>
  <c r="N392" i="23"/>
  <c r="I392" i="23"/>
  <c r="S391" i="23"/>
  <c r="I391" i="23"/>
  <c r="S390" i="23"/>
  <c r="N390" i="23"/>
  <c r="I390" i="23"/>
  <c r="S389" i="23"/>
  <c r="I389" i="23"/>
  <c r="S388" i="23"/>
  <c r="N388" i="23"/>
  <c r="I388" i="23"/>
  <c r="S387" i="23"/>
  <c r="I387" i="23"/>
  <c r="S386" i="23"/>
  <c r="I386" i="23"/>
  <c r="N383" i="23"/>
  <c r="I383" i="23"/>
  <c r="S382" i="23"/>
  <c r="I382" i="23"/>
  <c r="N381" i="23"/>
  <c r="I381" i="23"/>
  <c r="S380" i="23"/>
  <c r="N380" i="23"/>
  <c r="I380" i="23"/>
  <c r="S379" i="23"/>
  <c r="N379" i="23"/>
  <c r="I379" i="23"/>
  <c r="S378" i="23"/>
  <c r="I378" i="23"/>
  <c r="S377" i="23"/>
  <c r="I377" i="23"/>
  <c r="N376" i="23"/>
  <c r="I376" i="23"/>
  <c r="S374" i="23"/>
  <c r="N374" i="23"/>
  <c r="I374" i="23"/>
  <c r="N373" i="23"/>
  <c r="S371" i="23"/>
  <c r="N371" i="23"/>
  <c r="I371" i="23"/>
  <c r="I370" i="23"/>
  <c r="N369" i="23"/>
  <c r="I369" i="23"/>
  <c r="N368" i="23"/>
  <c r="I368" i="23"/>
  <c r="I367" i="23"/>
  <c r="S366" i="23"/>
  <c r="I366" i="23"/>
  <c r="N365" i="23"/>
  <c r="I365" i="23"/>
  <c r="N364" i="23"/>
  <c r="N362" i="23"/>
  <c r="I362" i="23"/>
  <c r="N361" i="23"/>
  <c r="N360" i="23"/>
  <c r="I360" i="23"/>
  <c r="I359" i="23"/>
  <c r="N358" i="23"/>
  <c r="S357" i="23"/>
  <c r="N357" i="23"/>
  <c r="I357" i="23"/>
  <c r="S356" i="23"/>
  <c r="N356" i="23"/>
  <c r="I356" i="23"/>
  <c r="N353" i="23"/>
  <c r="I353" i="23"/>
  <c r="N352" i="23"/>
  <c r="I350" i="23"/>
  <c r="N349" i="23"/>
  <c r="I349" i="23"/>
  <c r="S348" i="23"/>
  <c r="N348" i="23"/>
  <c r="I348" i="23"/>
  <c r="S347" i="23"/>
  <c r="I347" i="23"/>
  <c r="S344" i="23"/>
  <c r="N344" i="23"/>
  <c r="I344" i="23"/>
  <c r="S343" i="23"/>
  <c r="I343" i="23"/>
  <c r="I341" i="23"/>
  <c r="S340" i="23"/>
  <c r="N340" i="23"/>
  <c r="I340" i="23"/>
  <c r="S339" i="23"/>
  <c r="S338" i="23"/>
  <c r="N337" i="23"/>
  <c r="I337" i="23"/>
  <c r="S336" i="23"/>
  <c r="S335" i="23"/>
  <c r="N334" i="23"/>
  <c r="S332" i="23"/>
  <c r="N332" i="23"/>
  <c r="I332" i="23"/>
  <c r="N328" i="23"/>
  <c r="I328" i="23"/>
  <c r="S326" i="23"/>
  <c r="N326" i="23"/>
  <c r="I326" i="23"/>
  <c r="N325" i="23"/>
  <c r="N323" i="23"/>
  <c r="I323" i="23"/>
  <c r="N322" i="23"/>
  <c r="N321" i="23"/>
  <c r="I321" i="23"/>
  <c r="I319" i="23"/>
  <c r="N317" i="23"/>
  <c r="I317" i="23"/>
  <c r="S316" i="23"/>
  <c r="I316" i="23"/>
  <c r="S315" i="23"/>
  <c r="S314" i="23"/>
  <c r="I314" i="23"/>
  <c r="S313" i="23"/>
  <c r="N313" i="23"/>
  <c r="S312" i="23"/>
  <c r="S311" i="23"/>
  <c r="S310" i="23"/>
  <c r="N310" i="23"/>
  <c r="I310" i="23"/>
  <c r="S309" i="23"/>
  <c r="N309" i="23"/>
  <c r="I309" i="23"/>
  <c r="S308" i="23"/>
  <c r="N308" i="23"/>
  <c r="I308" i="23"/>
  <c r="S307" i="23"/>
  <c r="I307" i="23"/>
  <c r="S306" i="23"/>
  <c r="N306" i="23"/>
  <c r="I306" i="23"/>
  <c r="S305" i="23"/>
  <c r="I305" i="23"/>
  <c r="S304" i="23"/>
  <c r="N304" i="23"/>
  <c r="I304" i="23"/>
  <c r="N303" i="23"/>
  <c r="I303" i="23"/>
  <c r="S302" i="23"/>
  <c r="N302" i="23"/>
  <c r="I302" i="23"/>
  <c r="S301" i="23"/>
  <c r="N301" i="23"/>
  <c r="I301" i="23"/>
  <c r="S300" i="23"/>
  <c r="S299" i="23"/>
  <c r="I299" i="23"/>
  <c r="S298" i="23"/>
  <c r="N298" i="23"/>
  <c r="S297" i="23"/>
  <c r="S296" i="23"/>
  <c r="S295" i="23"/>
  <c r="N295" i="23"/>
  <c r="I295" i="23"/>
  <c r="N293" i="23"/>
  <c r="N292" i="23"/>
  <c r="I292" i="23"/>
  <c r="S291" i="23"/>
  <c r="I291" i="23"/>
  <c r="S290" i="23"/>
  <c r="S289" i="23"/>
  <c r="I289" i="23"/>
  <c r="S288" i="23"/>
  <c r="N288" i="23"/>
  <c r="S287" i="23"/>
  <c r="S286" i="23"/>
  <c r="N286" i="23"/>
  <c r="N284" i="23"/>
  <c r="S283" i="23"/>
  <c r="N283" i="23"/>
  <c r="I283" i="23"/>
  <c r="S282" i="23"/>
  <c r="N282" i="23"/>
  <c r="I282" i="23"/>
  <c r="S281" i="23"/>
  <c r="N281" i="23"/>
  <c r="I280" i="23"/>
  <c r="S279" i="23"/>
  <c r="I279" i="23"/>
  <c r="S278" i="23"/>
  <c r="N278" i="23"/>
  <c r="S277" i="23"/>
  <c r="N277" i="23"/>
  <c r="I277" i="23"/>
  <c r="S276" i="23"/>
  <c r="N276" i="23"/>
  <c r="I276" i="23"/>
  <c r="S275" i="23"/>
  <c r="N275" i="23"/>
  <c r="I275" i="23"/>
  <c r="S274" i="23"/>
  <c r="N274" i="23"/>
  <c r="I274" i="23"/>
  <c r="S273" i="23"/>
  <c r="N273" i="23"/>
  <c r="I273" i="23"/>
  <c r="S272" i="23"/>
  <c r="S271" i="23"/>
  <c r="S270" i="23"/>
  <c r="N270" i="23"/>
  <c r="S269" i="23"/>
  <c r="S268" i="23"/>
  <c r="N268" i="23"/>
  <c r="I268" i="23"/>
  <c r="N266" i="23"/>
  <c r="S263" i="23"/>
  <c r="N263" i="23"/>
  <c r="I263" i="23"/>
  <c r="N262" i="23"/>
  <c r="N259" i="23"/>
  <c r="I259" i="23"/>
  <c r="N257" i="23"/>
  <c r="I256" i="23"/>
  <c r="S255" i="23"/>
  <c r="I255" i="23"/>
  <c r="S254" i="23"/>
  <c r="N254" i="23"/>
  <c r="S253" i="23"/>
  <c r="N253" i="23"/>
  <c r="I253" i="23"/>
  <c r="S252" i="23"/>
  <c r="N252" i="23"/>
  <c r="I252" i="23"/>
  <c r="S251" i="23"/>
  <c r="N251" i="23"/>
  <c r="I251" i="23"/>
  <c r="N250" i="23"/>
  <c r="S247" i="23"/>
  <c r="N247" i="23"/>
  <c r="I247" i="23"/>
  <c r="N244" i="23"/>
  <c r="I244" i="23"/>
  <c r="N243" i="23"/>
  <c r="S242" i="23"/>
  <c r="N242" i="23"/>
  <c r="I241" i="23"/>
  <c r="S240" i="23"/>
  <c r="I240" i="23"/>
  <c r="S239" i="23"/>
  <c r="N239" i="23"/>
  <c r="S238" i="23"/>
  <c r="N238" i="23"/>
  <c r="I238" i="23"/>
  <c r="S237" i="23"/>
  <c r="I237" i="23"/>
  <c r="S236" i="23"/>
  <c r="I236" i="23"/>
  <c r="S235" i="23"/>
  <c r="N235" i="23"/>
  <c r="I235" i="23"/>
  <c r="N232" i="23"/>
  <c r="I232" i="23"/>
  <c r="S231" i="23"/>
  <c r="I231" i="23"/>
  <c r="N230" i="23"/>
  <c r="N229" i="23"/>
  <c r="I229" i="23"/>
  <c r="S228" i="23"/>
  <c r="I228" i="23"/>
  <c r="S227" i="23"/>
  <c r="I227" i="23"/>
  <c r="S226" i="23"/>
  <c r="N226" i="23"/>
  <c r="N225" i="23"/>
  <c r="I225" i="23"/>
  <c r="N224" i="23"/>
  <c r="N223" i="23"/>
  <c r="I223" i="23"/>
  <c r="S222" i="23"/>
  <c r="N222" i="23"/>
  <c r="I222" i="23"/>
  <c r="N221" i="23"/>
  <c r="N220" i="23"/>
  <c r="S218" i="23"/>
  <c r="I218" i="23"/>
  <c r="N217" i="23"/>
  <c r="N216" i="23"/>
  <c r="N214" i="23"/>
  <c r="I214" i="23"/>
  <c r="N212" i="23"/>
  <c r="N211" i="23"/>
  <c r="S210" i="23"/>
  <c r="N210" i="23"/>
  <c r="I210" i="23"/>
  <c r="S209" i="23"/>
  <c r="N209" i="23"/>
  <c r="I209" i="23"/>
  <c r="S208" i="23"/>
  <c r="N208" i="23"/>
  <c r="I208" i="23"/>
  <c r="S207" i="23"/>
  <c r="N207" i="23"/>
  <c r="I207" i="23"/>
  <c r="S206" i="23"/>
  <c r="N206" i="23"/>
  <c r="I206" i="23"/>
  <c r="S205" i="23"/>
  <c r="N205" i="23"/>
  <c r="I205" i="23"/>
  <c r="S204" i="23"/>
  <c r="N204" i="23"/>
  <c r="I204" i="23"/>
  <c r="S203" i="23"/>
  <c r="N203" i="23"/>
  <c r="I203" i="23"/>
  <c r="S202" i="23"/>
  <c r="N202" i="23"/>
  <c r="I202" i="23"/>
  <c r="S201" i="23"/>
  <c r="I201" i="23"/>
  <c r="S200" i="23"/>
  <c r="S199" i="23"/>
  <c r="N199" i="23"/>
  <c r="I199" i="23"/>
  <c r="S198" i="23"/>
  <c r="N198" i="23"/>
  <c r="I198" i="23"/>
  <c r="S197" i="23"/>
  <c r="S196" i="23"/>
  <c r="N196" i="23"/>
  <c r="I196" i="23"/>
  <c r="S195" i="23"/>
  <c r="N195" i="23"/>
  <c r="I195" i="23"/>
  <c r="S194" i="23"/>
  <c r="N194" i="23"/>
  <c r="S193" i="23"/>
  <c r="N193" i="23"/>
  <c r="S192" i="23"/>
  <c r="I192" i="23"/>
  <c r="S190" i="23"/>
  <c r="I190" i="23"/>
  <c r="N189" i="23"/>
  <c r="S188" i="23"/>
  <c r="N187" i="23"/>
  <c r="I187" i="23"/>
  <c r="I186" i="23"/>
  <c r="S185" i="23"/>
  <c r="N185" i="23"/>
  <c r="I185" i="23"/>
  <c r="N184" i="23"/>
  <c r="I184" i="23"/>
  <c r="S183" i="23"/>
  <c r="N183" i="23"/>
  <c r="I183" i="23"/>
  <c r="N182" i="23"/>
  <c r="S181" i="23"/>
  <c r="N181" i="23"/>
  <c r="I181" i="23"/>
  <c r="S180" i="23"/>
  <c r="N180" i="23"/>
  <c r="I180" i="23"/>
  <c r="N177" i="23"/>
  <c r="S175" i="23"/>
  <c r="N175" i="23"/>
  <c r="I175" i="23"/>
  <c r="S174" i="23"/>
  <c r="I174" i="23"/>
  <c r="N173" i="23"/>
  <c r="S172" i="23"/>
  <c r="N172" i="23"/>
  <c r="N170" i="23"/>
  <c r="S169" i="23"/>
  <c r="N169" i="23"/>
  <c r="I169" i="23"/>
  <c r="S167" i="23"/>
  <c r="S166" i="23"/>
  <c r="N166" i="23"/>
  <c r="I166" i="23"/>
  <c r="S165" i="23"/>
  <c r="I165" i="23"/>
  <c r="N164" i="23"/>
  <c r="I163" i="23"/>
  <c r="S162" i="23"/>
  <c r="I162" i="23"/>
  <c r="S161" i="23"/>
  <c r="S160" i="23"/>
  <c r="N160" i="23"/>
  <c r="I160" i="23"/>
  <c r="S159" i="23"/>
  <c r="N159" i="23"/>
  <c r="I159" i="23"/>
  <c r="N158" i="23"/>
  <c r="N157" i="23"/>
  <c r="N156" i="23"/>
  <c r="S155" i="23"/>
  <c r="N154" i="23"/>
  <c r="I154" i="23"/>
  <c r="I152" i="23"/>
  <c r="S151" i="23"/>
  <c r="I151" i="23"/>
  <c r="S150" i="23"/>
  <c r="N150" i="23"/>
  <c r="I150" i="23"/>
  <c r="S149" i="23"/>
  <c r="N149" i="23"/>
  <c r="I149" i="23"/>
  <c r="S148" i="23"/>
  <c r="N148" i="23"/>
  <c r="I148" i="23"/>
  <c r="N147" i="23"/>
  <c r="N146" i="23"/>
  <c r="N143" i="23"/>
  <c r="I143" i="23"/>
  <c r="N141" i="23"/>
  <c r="I140" i="23"/>
  <c r="S139" i="23"/>
  <c r="I139" i="23"/>
  <c r="S138" i="23"/>
  <c r="N138" i="23"/>
  <c r="I138" i="23"/>
  <c r="S137" i="23"/>
  <c r="N137" i="23"/>
  <c r="I137" i="23"/>
  <c r="S136" i="23"/>
  <c r="N136" i="23"/>
  <c r="I136" i="23"/>
  <c r="N135" i="23"/>
  <c r="N134" i="23"/>
  <c r="S133" i="23"/>
  <c r="N133" i="23"/>
  <c r="I133" i="23"/>
  <c r="S132" i="23"/>
  <c r="S131" i="23"/>
  <c r="S130" i="23"/>
  <c r="N130" i="23"/>
  <c r="I130" i="23"/>
  <c r="S129" i="23"/>
  <c r="N129" i="23"/>
  <c r="I129" i="23"/>
  <c r="S128" i="23"/>
  <c r="N128" i="23"/>
  <c r="I128" i="23"/>
  <c r="S127" i="23"/>
  <c r="S126" i="23"/>
  <c r="S125" i="23"/>
  <c r="N125" i="23"/>
  <c r="I125" i="23"/>
  <c r="N122" i="23"/>
  <c r="S121" i="23"/>
  <c r="S120" i="23"/>
  <c r="S119" i="23"/>
  <c r="S118" i="23"/>
  <c r="N118" i="23"/>
  <c r="S117" i="23"/>
  <c r="S116" i="23"/>
  <c r="N116" i="23"/>
  <c r="I116" i="23"/>
  <c r="N114" i="23"/>
  <c r="S113" i="23"/>
  <c r="N113" i="23"/>
  <c r="I113" i="23"/>
  <c r="S112" i="23"/>
  <c r="I112" i="23"/>
  <c r="N111" i="23"/>
  <c r="I110" i="23"/>
  <c r="S109" i="23"/>
  <c r="N109" i="23"/>
  <c r="S108" i="23"/>
  <c r="N108" i="23"/>
  <c r="I108" i="23"/>
  <c r="I107" i="23"/>
  <c r="S106" i="23"/>
  <c r="I106" i="23"/>
  <c r="S105" i="23"/>
  <c r="N105" i="23"/>
  <c r="I105" i="23"/>
  <c r="S104" i="23"/>
  <c r="N104" i="23"/>
  <c r="I104" i="23"/>
  <c r="S103" i="23"/>
  <c r="S102" i="23"/>
  <c r="S101" i="23"/>
  <c r="N101" i="23"/>
  <c r="I101" i="23"/>
  <c r="S100" i="23"/>
  <c r="N99" i="23"/>
  <c r="S98" i="23"/>
  <c r="N98" i="23"/>
  <c r="I98" i="23"/>
  <c r="S97" i="23"/>
  <c r="N97" i="23"/>
  <c r="S96" i="23"/>
  <c r="N96" i="23"/>
  <c r="I96" i="23"/>
  <c r="I95" i="23"/>
  <c r="S94" i="23"/>
  <c r="I94" i="23"/>
  <c r="S93" i="23"/>
  <c r="N93" i="23"/>
  <c r="I93" i="23"/>
  <c r="S92" i="23"/>
  <c r="N92" i="23"/>
  <c r="I92" i="23"/>
  <c r="S91" i="23"/>
  <c r="I91" i="23"/>
  <c r="S90" i="23"/>
  <c r="I90" i="23"/>
  <c r="S89" i="23"/>
  <c r="N89" i="23"/>
  <c r="I89" i="23"/>
  <c r="S88" i="23"/>
  <c r="S87" i="23"/>
  <c r="N87" i="23"/>
  <c r="S86" i="23"/>
  <c r="N86" i="23"/>
  <c r="I86" i="23"/>
  <c r="S85" i="23"/>
  <c r="N84" i="23"/>
  <c r="I84" i="23"/>
  <c r="S83" i="23"/>
  <c r="N83" i="23"/>
  <c r="I83" i="23"/>
  <c r="N82" i="23"/>
  <c r="S81" i="23"/>
  <c r="N81" i="23"/>
  <c r="I81" i="23"/>
  <c r="N80" i="23"/>
  <c r="I80" i="23"/>
  <c r="N79" i="23"/>
  <c r="S78" i="23"/>
  <c r="N78" i="23"/>
  <c r="I77" i="23"/>
  <c r="S76" i="23"/>
  <c r="N76" i="23"/>
  <c r="I76" i="23"/>
  <c r="S75" i="23"/>
  <c r="N75" i="23"/>
  <c r="S74" i="23"/>
  <c r="N74" i="23"/>
  <c r="I74" i="23"/>
  <c r="S73" i="23"/>
  <c r="S72" i="23"/>
  <c r="N72" i="23"/>
  <c r="S71" i="23"/>
  <c r="N71" i="23"/>
  <c r="I71" i="23"/>
  <c r="I69" i="23"/>
  <c r="N68" i="23"/>
  <c r="I68" i="23"/>
  <c r="S67" i="23"/>
  <c r="S66" i="23"/>
  <c r="N66" i="23"/>
  <c r="I66" i="23"/>
  <c r="S65" i="23"/>
  <c r="N65" i="23"/>
  <c r="N64" i="23"/>
  <c r="N63" i="23"/>
  <c r="S62" i="23"/>
  <c r="N62" i="23"/>
  <c r="I62" i="23"/>
  <c r="N61" i="23"/>
  <c r="S60" i="23"/>
  <c r="I60" i="23"/>
  <c r="N59" i="23"/>
  <c r="I57" i="23"/>
  <c r="S56" i="23"/>
  <c r="N56" i="23"/>
  <c r="I56" i="23"/>
  <c r="S55" i="23"/>
  <c r="N55" i="23"/>
  <c r="I55" i="23"/>
  <c r="N54" i="23"/>
  <c r="I54" i="23"/>
  <c r="S53" i="23"/>
  <c r="N53" i="23"/>
  <c r="I53" i="23"/>
  <c r="S52" i="23"/>
  <c r="N51" i="23"/>
  <c r="S50" i="23"/>
  <c r="N50" i="23"/>
  <c r="I50" i="23"/>
  <c r="N49" i="23"/>
  <c r="N48" i="23"/>
  <c r="N47" i="23"/>
  <c r="I47" i="23"/>
  <c r="N46" i="23"/>
  <c r="S45" i="23"/>
  <c r="N45" i="23"/>
  <c r="I44" i="23"/>
  <c r="S43" i="23"/>
  <c r="N43" i="23"/>
  <c r="I43" i="23"/>
  <c r="S42" i="23"/>
  <c r="N42" i="23"/>
  <c r="S41" i="23"/>
  <c r="N41" i="23"/>
  <c r="I41" i="23"/>
  <c r="S40" i="23"/>
  <c r="N40" i="23"/>
  <c r="I40" i="23"/>
  <c r="S39" i="23"/>
  <c r="I39" i="23"/>
  <c r="N38" i="23"/>
  <c r="S37" i="23"/>
  <c r="I37" i="23"/>
  <c r="S36" i="23"/>
  <c r="N36" i="23"/>
  <c r="I36" i="23"/>
  <c r="S35" i="23"/>
  <c r="S34" i="23"/>
  <c r="S33" i="23"/>
  <c r="I33" i="23"/>
  <c r="S32" i="23"/>
  <c r="N32" i="23"/>
  <c r="I32" i="23"/>
  <c r="S31" i="23"/>
  <c r="N31" i="23"/>
  <c r="I31" i="23"/>
  <c r="N30" i="23"/>
  <c r="I30" i="23"/>
  <c r="I29" i="23"/>
  <c r="N28" i="23"/>
  <c r="S27" i="23"/>
  <c r="N27" i="23"/>
  <c r="I27" i="23"/>
  <c r="S26" i="23"/>
  <c r="N26" i="23"/>
  <c r="I26" i="23"/>
  <c r="S25" i="23"/>
  <c r="N25" i="23"/>
  <c r="I25" i="23"/>
  <c r="S24" i="23"/>
  <c r="N24" i="23"/>
  <c r="S23" i="23"/>
  <c r="N23" i="23"/>
  <c r="I23" i="23"/>
  <c r="S22" i="23"/>
  <c r="I22" i="23"/>
  <c r="S21" i="23"/>
  <c r="S20" i="23"/>
  <c r="N20" i="23"/>
  <c r="N17" i="23"/>
  <c r="I17" i="23"/>
  <c r="S13" i="23"/>
  <c r="S12" i="23"/>
  <c r="S11" i="23"/>
  <c r="I11" i="23"/>
  <c r="S9" i="23"/>
  <c r="I9" i="23"/>
  <c r="N8" i="23"/>
  <c r="I8" i="23"/>
  <c r="S7" i="23"/>
  <c r="I6" i="23"/>
  <c r="D423" i="23"/>
  <c r="H5" i="22"/>
  <c r="E5" i="22"/>
  <c r="D5" i="22"/>
  <c r="C5" i="22"/>
  <c r="H4" i="22"/>
  <c r="E4" i="22"/>
  <c r="D4" i="22"/>
  <c r="C4" i="22"/>
  <c r="B4" i="22"/>
  <c r="AT8" i="14" l="1"/>
  <c r="AT7" i="14" s="1"/>
  <c r="AD7" i="14"/>
  <c r="AT14" i="14"/>
  <c r="AS14" i="14"/>
  <c r="BB9" i="14"/>
  <c r="BB7" i="14"/>
  <c r="BB11" i="14"/>
  <c r="BB13" i="14"/>
  <c r="BB15" i="14"/>
  <c r="AS8" i="14"/>
  <c r="AS7" i="14" s="1"/>
  <c r="AB7" i="14"/>
  <c r="AB11" i="14" s="1"/>
  <c r="B5" i="22"/>
  <c r="BC13" i="14"/>
  <c r="BC7" i="14"/>
  <c r="BC9" i="14"/>
  <c r="BC11" i="14"/>
  <c r="BC15" i="14"/>
  <c r="W18" i="14"/>
  <c r="W19" i="14"/>
  <c r="W17" i="14"/>
  <c r="W16" i="14"/>
  <c r="W37" i="14"/>
  <c r="W36" i="14"/>
  <c r="W38" i="14"/>
  <c r="W39" i="14"/>
  <c r="F210" i="24"/>
  <c r="N6" i="14"/>
  <c r="N7" i="14" s="1"/>
  <c r="D210" i="24"/>
  <c r="M6" i="14"/>
  <c r="M7" i="14" s="1"/>
  <c r="G19" i="14"/>
  <c r="G34" i="14"/>
  <c r="O19" i="14"/>
  <c r="O34" i="14"/>
  <c r="G6" i="14"/>
  <c r="O21" i="14"/>
  <c r="G32" i="14"/>
  <c r="M8" i="14"/>
  <c r="M9" i="14" s="1"/>
  <c r="N8" i="14"/>
  <c r="N9" i="14" s="1"/>
  <c r="O32" i="14"/>
  <c r="G8" i="14"/>
  <c r="G21" i="14"/>
  <c r="N178" i="23"/>
  <c r="N179" i="23"/>
  <c r="S184" i="23"/>
  <c r="S186" i="23"/>
  <c r="I14" i="23"/>
  <c r="N29" i="23"/>
  <c r="I121" i="23"/>
  <c r="I132" i="23"/>
  <c r="N145" i="23"/>
  <c r="I7" i="23"/>
  <c r="I13" i="23"/>
  <c r="I16" i="23"/>
  <c r="I35" i="23"/>
  <c r="I52" i="23"/>
  <c r="I67" i="23"/>
  <c r="I85" i="23"/>
  <c r="I100" i="23"/>
  <c r="N115" i="23"/>
  <c r="I119" i="23"/>
  <c r="I120" i="23"/>
  <c r="I122" i="23"/>
  <c r="I131" i="23"/>
  <c r="N168" i="23"/>
  <c r="N7" i="23"/>
  <c r="N9" i="23"/>
  <c r="N11" i="23"/>
  <c r="N14" i="23"/>
  <c r="N15" i="23"/>
  <c r="N16" i="23"/>
  <c r="I18" i="23"/>
  <c r="I20" i="23"/>
  <c r="I28" i="23"/>
  <c r="S28" i="23"/>
  <c r="S30" i="23"/>
  <c r="N33" i="23"/>
  <c r="N35" i="23"/>
  <c r="I38" i="23"/>
  <c r="S38" i="23"/>
  <c r="N44" i="23"/>
  <c r="I45" i="23"/>
  <c r="S47" i="23"/>
  <c r="N52" i="23"/>
  <c r="S57" i="23"/>
  <c r="S58" i="23"/>
  <c r="I59" i="23"/>
  <c r="S59" i="23"/>
  <c r="I61" i="23"/>
  <c r="S61" i="23"/>
  <c r="S63" i="23"/>
  <c r="I64" i="23"/>
  <c r="S64" i="23"/>
  <c r="I65" i="23"/>
  <c r="N67" i="23"/>
  <c r="N69" i="23"/>
  <c r="N70" i="23"/>
  <c r="I72" i="23"/>
  <c r="N77" i="23"/>
  <c r="I78" i="23"/>
  <c r="S80" i="23"/>
  <c r="N85" i="23"/>
  <c r="I87" i="23"/>
  <c r="N91" i="23"/>
  <c r="N95" i="23"/>
  <c r="N103" i="23"/>
  <c r="N107" i="23"/>
  <c r="N110" i="23"/>
  <c r="I114" i="23"/>
  <c r="S114" i="23"/>
  <c r="N119" i="23"/>
  <c r="N120" i="23"/>
  <c r="N123" i="23"/>
  <c r="N127" i="23"/>
  <c r="N131" i="23"/>
  <c r="N132" i="23"/>
  <c r="I134" i="23"/>
  <c r="S134" i="23"/>
  <c r="I135" i="23"/>
  <c r="S135" i="23"/>
  <c r="N140" i="23"/>
  <c r="S143" i="23"/>
  <c r="S144" i="23"/>
  <c r="S145" i="23"/>
  <c r="I146" i="23"/>
  <c r="S146" i="23"/>
  <c r="I147" i="23"/>
  <c r="S147" i="23"/>
  <c r="N152" i="23"/>
  <c r="S154" i="23"/>
  <c r="I156" i="23"/>
  <c r="S156" i="23"/>
  <c r="S157" i="23"/>
  <c r="I158" i="23"/>
  <c r="S158" i="23"/>
  <c r="N163" i="23"/>
  <c r="I168" i="23"/>
  <c r="S168" i="23"/>
  <c r="I170" i="23"/>
  <c r="S170" i="23"/>
  <c r="I171" i="23"/>
  <c r="S171" i="23"/>
  <c r="I172" i="23"/>
  <c r="S176" i="23"/>
  <c r="S177" i="23"/>
  <c r="I178" i="23"/>
  <c r="S178" i="23"/>
  <c r="I179" i="23"/>
  <c r="S179" i="23"/>
  <c r="N190" i="23"/>
  <c r="I217" i="23"/>
  <c r="I286" i="23"/>
  <c r="N319" i="23"/>
  <c r="N359" i="23"/>
  <c r="N219" i="23"/>
  <c r="N234" i="23"/>
  <c r="N246" i="23"/>
  <c r="N249" i="23"/>
  <c r="N261" i="23"/>
  <c r="N265" i="23"/>
  <c r="I271" i="23"/>
  <c r="N289" i="23"/>
  <c r="N290" i="23"/>
  <c r="S292" i="23"/>
  <c r="N299" i="23"/>
  <c r="N300" i="23"/>
  <c r="N305" i="23"/>
  <c r="N314" i="23"/>
  <c r="N318" i="23"/>
  <c r="I320" i="23"/>
  <c r="I325" i="23"/>
  <c r="S325" i="23"/>
  <c r="S327" i="23"/>
  <c r="I330" i="23"/>
  <c r="I331" i="23"/>
  <c r="S331" i="23"/>
  <c r="N335" i="23"/>
  <c r="N338" i="23"/>
  <c r="N341" i="23"/>
  <c r="N342" i="23"/>
  <c r="N346" i="23"/>
  <c r="N347" i="23"/>
  <c r="S350" i="23"/>
  <c r="S351" i="23"/>
  <c r="I352" i="23"/>
  <c r="S352" i="23"/>
  <c r="I355" i="23"/>
  <c r="S355" i="23"/>
  <c r="N367" i="23"/>
  <c r="I373" i="23"/>
  <c r="S373" i="23"/>
  <c r="S375" i="23"/>
  <c r="N377" i="23"/>
  <c r="N385" i="23"/>
  <c r="N386" i="23"/>
  <c r="N389" i="23"/>
  <c r="N393" i="23"/>
  <c r="N396" i="23"/>
  <c r="N403" i="23"/>
  <c r="I182" i="23"/>
  <c r="S182" i="23"/>
  <c r="N188" i="23"/>
  <c r="N192" i="23"/>
  <c r="I193" i="23"/>
  <c r="N197" i="23"/>
  <c r="N201" i="23"/>
  <c r="I211" i="23"/>
  <c r="S211" i="23"/>
  <c r="I212" i="23"/>
  <c r="I213" i="23"/>
  <c r="S213" i="23"/>
  <c r="S217" i="23"/>
  <c r="I219" i="23"/>
  <c r="S219" i="23"/>
  <c r="I220" i="23"/>
  <c r="S220" i="23"/>
  <c r="I221" i="23"/>
  <c r="S221" i="23"/>
  <c r="I224" i="23"/>
  <c r="S224" i="23"/>
  <c r="I226" i="23"/>
  <c r="N228" i="23"/>
  <c r="I234" i="23"/>
  <c r="S234" i="23"/>
  <c r="N237" i="23"/>
  <c r="N241" i="23"/>
  <c r="I246" i="23"/>
  <c r="S246" i="23"/>
  <c r="I248" i="23"/>
  <c r="S248" i="23"/>
  <c r="S249" i="23"/>
  <c r="I250" i="23"/>
  <c r="S250" i="23"/>
  <c r="N256" i="23"/>
  <c r="S259" i="23"/>
  <c r="S260" i="23"/>
  <c r="S261" i="23"/>
  <c r="I262" i="23"/>
  <c r="S262" i="23"/>
  <c r="I264" i="23"/>
  <c r="S264" i="23"/>
  <c r="I265" i="23"/>
  <c r="N271" i="23"/>
  <c r="N272" i="23"/>
  <c r="N280" i="23"/>
  <c r="S303" i="23"/>
  <c r="I311" i="23"/>
  <c r="S319" i="23"/>
  <c r="S320" i="23"/>
  <c r="S321" i="23"/>
  <c r="N327" i="23"/>
  <c r="N329" i="23"/>
  <c r="N330" i="23"/>
  <c r="I335" i="23"/>
  <c r="I338" i="23"/>
  <c r="N350" i="23"/>
  <c r="N354" i="23"/>
  <c r="S360" i="23"/>
  <c r="S365" i="23"/>
  <c r="S367" i="23"/>
  <c r="S368" i="23"/>
  <c r="S370" i="23"/>
  <c r="N375" i="23"/>
  <c r="S403" i="23"/>
  <c r="N411" i="23"/>
  <c r="S6" i="23"/>
  <c r="N10" i="23"/>
  <c r="I12" i="23"/>
  <c r="I34" i="23"/>
  <c r="I51" i="23"/>
  <c r="N6" i="23"/>
  <c r="S14" i="23"/>
  <c r="S15" i="23"/>
  <c r="S16" i="23"/>
  <c r="N18" i="23"/>
  <c r="N19" i="23"/>
  <c r="I21" i="23"/>
  <c r="I48" i="23"/>
  <c r="S8" i="23"/>
  <c r="I10" i="23"/>
  <c r="S10" i="23"/>
  <c r="N12" i="23"/>
  <c r="N13" i="23"/>
  <c r="I15" i="23"/>
  <c r="S17" i="23"/>
  <c r="S18" i="23"/>
  <c r="I19" i="23"/>
  <c r="S19" i="23"/>
  <c r="N21" i="23"/>
  <c r="N22" i="23"/>
  <c r="I24" i="23"/>
  <c r="S29" i="23"/>
  <c r="N34" i="23"/>
  <c r="N37" i="23"/>
  <c r="N39" i="23"/>
  <c r="I42" i="23"/>
  <c r="S44" i="23"/>
  <c r="I46" i="23"/>
  <c r="S46" i="23"/>
  <c r="S48" i="23"/>
  <c r="I49" i="23"/>
  <c r="S49" i="23"/>
  <c r="S51" i="23"/>
  <c r="S54" i="23"/>
  <c r="N57" i="23"/>
  <c r="N58" i="23"/>
  <c r="N60" i="23"/>
  <c r="I63" i="23"/>
  <c r="S68" i="23"/>
  <c r="S69" i="23"/>
  <c r="I70" i="23"/>
  <c r="S70" i="23"/>
  <c r="N73" i="23"/>
  <c r="I75" i="23"/>
  <c r="S77" i="23"/>
  <c r="I79" i="23"/>
  <c r="S79" i="23"/>
  <c r="I82" i="23"/>
  <c r="S82" i="23"/>
  <c r="S84" i="23"/>
  <c r="N88" i="23"/>
  <c r="N90" i="23"/>
  <c r="N94" i="23"/>
  <c r="S95" i="23"/>
  <c r="I97" i="23"/>
  <c r="I99" i="23"/>
  <c r="S99" i="23"/>
  <c r="N102" i="23"/>
  <c r="N106" i="23"/>
  <c r="S107" i="23"/>
  <c r="I109" i="23"/>
  <c r="S110" i="23"/>
  <c r="I111" i="23"/>
  <c r="S111" i="23"/>
  <c r="S115" i="23"/>
  <c r="N117" i="23"/>
  <c r="N121" i="23"/>
  <c r="S122" i="23"/>
  <c r="I123" i="23"/>
  <c r="S123" i="23"/>
  <c r="I124" i="23"/>
  <c r="S124" i="23"/>
  <c r="N126" i="23"/>
  <c r="N139" i="23"/>
  <c r="S140" i="23"/>
  <c r="I141" i="23"/>
  <c r="S141" i="23"/>
  <c r="I142" i="23"/>
  <c r="S142" i="23"/>
  <c r="N144" i="23"/>
  <c r="N151" i="23"/>
  <c r="S152" i="23"/>
  <c r="I153" i="23"/>
  <c r="S153" i="23"/>
  <c r="N155" i="23"/>
  <c r="I157" i="23"/>
  <c r="N162" i="23"/>
  <c r="S163" i="23"/>
  <c r="S164" i="23"/>
  <c r="N167" i="23"/>
  <c r="N171" i="23"/>
  <c r="I173" i="23"/>
  <c r="S173" i="23"/>
  <c r="N176" i="23"/>
  <c r="N186" i="23"/>
  <c r="S187" i="23"/>
  <c r="I189" i="23"/>
  <c r="I191" i="23"/>
  <c r="S191" i="23"/>
  <c r="N200" i="23"/>
  <c r="N213" i="23"/>
  <c r="S214" i="23"/>
  <c r="S215" i="23"/>
  <c r="I216" i="23"/>
  <c r="S216" i="23"/>
  <c r="N218" i="23"/>
  <c r="S189" i="23"/>
  <c r="N191" i="23"/>
  <c r="S212" i="23"/>
  <c r="N215" i="23"/>
  <c r="S223" i="23"/>
  <c r="S229" i="23"/>
  <c r="S230" i="23"/>
  <c r="N233" i="23"/>
  <c r="S243" i="23"/>
  <c r="N245" i="23"/>
  <c r="I58" i="23"/>
  <c r="I73" i="23"/>
  <c r="I88" i="23"/>
  <c r="N100" i="23"/>
  <c r="I102" i="23"/>
  <c r="I103" i="23"/>
  <c r="N112" i="23"/>
  <c r="I115" i="23"/>
  <c r="I117" i="23"/>
  <c r="I118" i="23"/>
  <c r="N124" i="23"/>
  <c r="I126" i="23"/>
  <c r="I127" i="23"/>
  <c r="N142" i="23"/>
  <c r="I144" i="23"/>
  <c r="I145" i="23"/>
  <c r="N153" i="23"/>
  <c r="I155" i="23"/>
  <c r="N165" i="23"/>
  <c r="I167" i="23"/>
  <c r="N174" i="23"/>
  <c r="I177" i="23"/>
  <c r="I200" i="23"/>
  <c r="I249" i="23"/>
  <c r="N258" i="23"/>
  <c r="I260" i="23"/>
  <c r="I261" i="23"/>
  <c r="N267" i="23"/>
  <c r="I269" i="23"/>
  <c r="I270" i="23"/>
  <c r="N285" i="23"/>
  <c r="I287" i="23"/>
  <c r="I288" i="23"/>
  <c r="N294" i="23"/>
  <c r="I296" i="23"/>
  <c r="I297" i="23"/>
  <c r="I298" i="23"/>
  <c r="I312" i="23"/>
  <c r="I313" i="23"/>
  <c r="I322" i="23"/>
  <c r="S323" i="23"/>
  <c r="S324" i="23"/>
  <c r="I329" i="23"/>
  <c r="N331" i="23"/>
  <c r="I333" i="23"/>
  <c r="S333" i="23"/>
  <c r="I334" i="23"/>
  <c r="S334" i="23"/>
  <c r="N336" i="23"/>
  <c r="S337" i="23"/>
  <c r="N339" i="23"/>
  <c r="N343" i="23"/>
  <c r="I345" i="23"/>
  <c r="S345" i="23"/>
  <c r="I346" i="23"/>
  <c r="S346" i="23"/>
  <c r="S349" i="23"/>
  <c r="N351" i="23"/>
  <c r="N355" i="23"/>
  <c r="I358" i="23"/>
  <c r="S359" i="23"/>
  <c r="I361" i="23"/>
  <c r="S362" i="23"/>
  <c r="I363" i="23"/>
  <c r="S363" i="23"/>
  <c r="I364" i="23"/>
  <c r="S364" i="23"/>
  <c r="N366" i="23"/>
  <c r="N370" i="23"/>
  <c r="I372" i="23"/>
  <c r="S372" i="23"/>
  <c r="S376" i="23"/>
  <c r="N378" i="23"/>
  <c r="N382" i="23"/>
  <c r="S383" i="23"/>
  <c r="I384" i="23"/>
  <c r="S384" i="23"/>
  <c r="I385" i="23"/>
  <c r="S385" i="23"/>
  <c r="N387" i="23"/>
  <c r="S225" i="23"/>
  <c r="N227" i="23"/>
  <c r="N231" i="23"/>
  <c r="S232" i="23"/>
  <c r="S233" i="23"/>
  <c r="N236" i="23"/>
  <c r="N240" i="23"/>
  <c r="S241" i="23"/>
  <c r="I243" i="23"/>
  <c r="S244" i="23"/>
  <c r="S245" i="23"/>
  <c r="N248" i="23"/>
  <c r="N255" i="23"/>
  <c r="S256" i="23"/>
  <c r="S257" i="23"/>
  <c r="I258" i="23"/>
  <c r="S258" i="23"/>
  <c r="N260" i="23"/>
  <c r="N264" i="23"/>
  <c r="S265" i="23"/>
  <c r="S266" i="23"/>
  <c r="I267" i="23"/>
  <c r="S267" i="23"/>
  <c r="N269" i="23"/>
  <c r="N279" i="23"/>
  <c r="S280" i="23"/>
  <c r="I284" i="23"/>
  <c r="S284" i="23"/>
  <c r="I285" i="23"/>
  <c r="S285" i="23"/>
  <c r="N287" i="23"/>
  <c r="N291" i="23"/>
  <c r="I293" i="23"/>
  <c r="S293" i="23"/>
  <c r="I294" i="23"/>
  <c r="S294" i="23"/>
  <c r="N296" i="23"/>
  <c r="N307" i="23"/>
  <c r="N311" i="23"/>
  <c r="N312" i="23"/>
  <c r="N316" i="23"/>
  <c r="S317" i="23"/>
  <c r="S318" i="23"/>
  <c r="N320" i="23"/>
  <c r="S322" i="23"/>
  <c r="S328" i="23"/>
  <c r="S329" i="23"/>
  <c r="S330" i="23"/>
  <c r="N333" i="23"/>
  <c r="S341" i="23"/>
  <c r="S342" i="23"/>
  <c r="N345" i="23"/>
  <c r="S353" i="23"/>
  <c r="S354" i="23"/>
  <c r="S358" i="23"/>
  <c r="S361" i="23"/>
  <c r="N363" i="23"/>
  <c r="S369" i="23"/>
  <c r="N372" i="23"/>
  <c r="S381" i="23"/>
  <c r="N384" i="23"/>
  <c r="N397" i="23"/>
  <c r="I402" i="23"/>
  <c r="N391" i="23"/>
  <c r="S392" i="23"/>
  <c r="I394" i="23"/>
  <c r="S395" i="23"/>
  <c r="I396" i="23"/>
  <c r="S396" i="23"/>
  <c r="N402" i="23"/>
  <c r="H210" i="24"/>
  <c r="H6" i="24"/>
  <c r="H184" i="24"/>
  <c r="I161" i="23"/>
  <c r="I176" i="23"/>
  <c r="I194" i="23"/>
  <c r="I197" i="23"/>
  <c r="I233" i="23"/>
  <c r="I242" i="23"/>
  <c r="I245" i="23"/>
  <c r="I257" i="23"/>
  <c r="I266" i="23"/>
  <c r="I281" i="23"/>
  <c r="F423" i="23"/>
  <c r="N161" i="23"/>
  <c r="I164" i="23"/>
  <c r="I188" i="23"/>
  <c r="I215" i="23"/>
  <c r="I230" i="23"/>
  <c r="I239" i="23"/>
  <c r="I254" i="23"/>
  <c r="I272" i="23"/>
  <c r="I278" i="23"/>
  <c r="I290" i="23"/>
  <c r="I315" i="23"/>
  <c r="I324" i="23"/>
  <c r="I342" i="23"/>
  <c r="I354" i="23"/>
  <c r="I411" i="23"/>
  <c r="N297" i="23"/>
  <c r="I300" i="23"/>
  <c r="N315" i="23"/>
  <c r="I318" i="23"/>
  <c r="N324" i="23"/>
  <c r="I327" i="23"/>
  <c r="I336" i="23"/>
  <c r="I339" i="23"/>
  <c r="I351" i="23"/>
  <c r="I375" i="23"/>
  <c r="AC6" i="14" l="1"/>
  <c r="AC8" i="14"/>
  <c r="AC10" i="14"/>
  <c r="AC9" i="14"/>
  <c r="AS9" i="14"/>
  <c r="AS16" i="14"/>
  <c r="AC7" i="14"/>
  <c r="AD11" i="14"/>
  <c r="AT9" i="14"/>
  <c r="AT16" i="14"/>
  <c r="O6" i="14"/>
  <c r="O8" i="14"/>
  <c r="N38" i="14"/>
  <c r="N39" i="14" s="1"/>
  <c r="N36" i="14"/>
  <c r="N37" i="14" s="1"/>
  <c r="N25" i="14"/>
  <c r="N26" i="14" s="1"/>
  <c r="N23" i="14"/>
  <c r="N24" i="14" s="1"/>
  <c r="N10" i="14"/>
  <c r="N11" i="14" s="1"/>
  <c r="F38" i="14"/>
  <c r="F39" i="14" s="1"/>
  <c r="F36" i="14"/>
  <c r="F37" i="14" s="1"/>
  <c r="F25" i="14"/>
  <c r="F26" i="14" s="1"/>
  <c r="F23" i="14"/>
  <c r="F24" i="14" s="1"/>
  <c r="M38" i="14"/>
  <c r="M39" i="14" s="1"/>
  <c r="M36" i="14"/>
  <c r="M37" i="14" s="1"/>
  <c r="M25" i="14"/>
  <c r="M26" i="14" s="1"/>
  <c r="M23" i="14"/>
  <c r="M24" i="14" s="1"/>
  <c r="E38" i="14"/>
  <c r="E39" i="14" s="1"/>
  <c r="E36" i="14"/>
  <c r="E37" i="14" s="1"/>
  <c r="E25" i="14"/>
  <c r="E26" i="14" s="1"/>
  <c r="E23" i="14"/>
  <c r="E24" i="14" s="1"/>
  <c r="N12" i="14"/>
  <c r="N13" i="14" s="1"/>
  <c r="M10" i="14"/>
  <c r="M11" i="14" s="1"/>
  <c r="AE10" i="14" l="1"/>
  <c r="AE6" i="14"/>
  <c r="AE8" i="14"/>
  <c r="AE9" i="14"/>
  <c r="AT18" i="14"/>
  <c r="AT15" i="14" s="1"/>
  <c r="AE7" i="14"/>
  <c r="AS18" i="14"/>
  <c r="AS15" i="14" s="1"/>
  <c r="G23" i="14"/>
  <c r="G36" i="14"/>
  <c r="O10" i="14"/>
  <c r="G25" i="14"/>
  <c r="O23" i="14"/>
  <c r="O25" i="14"/>
  <c r="O36" i="14"/>
  <c r="O38" i="14"/>
  <c r="G38" i="14"/>
  <c r="F12" i="14"/>
  <c r="F13" i="14" s="1"/>
  <c r="F10" i="14"/>
  <c r="F11" i="14" s="1"/>
  <c r="E10" i="14"/>
  <c r="E11" i="14" s="1"/>
  <c r="E12" i="14"/>
  <c r="E13" i="14" s="1"/>
  <c r="T9" i="14"/>
  <c r="T28" i="14"/>
  <c r="T8" i="14"/>
  <c r="T29" i="14"/>
  <c r="E40" i="14"/>
  <c r="M27" i="14"/>
  <c r="E27" i="14"/>
  <c r="M40" i="14"/>
  <c r="N14" i="14"/>
  <c r="F40" i="14"/>
  <c r="N27" i="14"/>
  <c r="F27" i="14"/>
  <c r="N40" i="14"/>
  <c r="M12" i="14"/>
  <c r="O12" i="14" l="1"/>
  <c r="M13" i="14"/>
  <c r="AT17" i="14"/>
  <c r="AS17" i="14"/>
  <c r="G27" i="14"/>
  <c r="G28" i="14" s="1"/>
  <c r="O40" i="14"/>
  <c r="O41" i="14" s="1"/>
  <c r="O27" i="14"/>
  <c r="O28" i="14" s="1"/>
  <c r="G40" i="14"/>
  <c r="G41" i="14" s="1"/>
  <c r="G10" i="14"/>
  <c r="F14" i="14"/>
  <c r="G12" i="14"/>
  <c r="E14" i="14"/>
  <c r="T10" i="14"/>
  <c r="T30" i="14"/>
  <c r="M14" i="14"/>
  <c r="H34" i="14" l="1"/>
  <c r="H36" i="14"/>
  <c r="H32" i="14"/>
  <c r="H38" i="14"/>
  <c r="H23" i="14"/>
  <c r="H19" i="14"/>
  <c r="H25" i="14"/>
  <c r="H21" i="14"/>
  <c r="P38" i="14"/>
  <c r="P34" i="14"/>
  <c r="P32" i="14"/>
  <c r="P36" i="14"/>
  <c r="P21" i="14"/>
  <c r="P19" i="14"/>
  <c r="P23" i="14"/>
  <c r="P25" i="14"/>
  <c r="O14" i="14"/>
  <c r="O15" i="14" s="1"/>
  <c r="G14" i="14"/>
  <c r="G15" i="14" s="1"/>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2" i="7"/>
  <c r="I3" i="7"/>
  <c r="I12" i="7"/>
  <c r="I39" i="7"/>
  <c r="I57" i="7"/>
  <c r="I84" i="7"/>
  <c r="I93" i="7"/>
  <c r="I120" i="7"/>
  <c r="I138" i="7"/>
  <c r="I165" i="7"/>
  <c r="I174" i="7"/>
  <c r="I201" i="7"/>
  <c r="I219" i="7"/>
  <c r="I246" i="7"/>
  <c r="I255" i="7"/>
  <c r="I282" i="7"/>
  <c r="I300" i="7"/>
  <c r="I327" i="7"/>
  <c r="I336" i="7"/>
  <c r="I363" i="7"/>
  <c r="I381" i="7"/>
  <c r="I408" i="7"/>
  <c r="I417" i="7"/>
  <c r="I444" i="7"/>
  <c r="I462" i="7"/>
  <c r="I489" i="7"/>
  <c r="I498" i="7"/>
  <c r="I525" i="7"/>
  <c r="I543" i="7"/>
  <c r="I570" i="7"/>
  <c r="I579" i="7"/>
  <c r="I606" i="7"/>
  <c r="I624" i="7"/>
  <c r="I651" i="7"/>
  <c r="I660"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2" i="7"/>
  <c r="G3" i="7"/>
  <c r="G4" i="7"/>
  <c r="I4" i="7" s="1"/>
  <c r="G5" i="7"/>
  <c r="I5" i="7" s="1"/>
  <c r="G6" i="7"/>
  <c r="I6" i="7" s="1"/>
  <c r="G7" i="7"/>
  <c r="I7" i="7" s="1"/>
  <c r="G8" i="7"/>
  <c r="I8" i="7" s="1"/>
  <c r="G9" i="7"/>
  <c r="I9" i="7" s="1"/>
  <c r="G10" i="7"/>
  <c r="I10" i="7" s="1"/>
  <c r="G11" i="7"/>
  <c r="I11" i="7" s="1"/>
  <c r="G12" i="7"/>
  <c r="G13" i="7"/>
  <c r="I13" i="7" s="1"/>
  <c r="G14" i="7"/>
  <c r="I14" i="7" s="1"/>
  <c r="G15" i="7"/>
  <c r="I15" i="7" s="1"/>
  <c r="G16" i="7"/>
  <c r="I16" i="7" s="1"/>
  <c r="G17" i="7"/>
  <c r="I17" i="7" s="1"/>
  <c r="G18" i="7"/>
  <c r="I18" i="7" s="1"/>
  <c r="G19" i="7"/>
  <c r="I19" i="7" s="1"/>
  <c r="G20" i="7"/>
  <c r="I20" i="7" s="1"/>
  <c r="G21" i="7"/>
  <c r="I21" i="7" s="1"/>
  <c r="G22" i="7"/>
  <c r="I22" i="7" s="1"/>
  <c r="G23" i="7"/>
  <c r="I23" i="7" s="1"/>
  <c r="G24" i="7"/>
  <c r="I24" i="7" s="1"/>
  <c r="G25" i="7"/>
  <c r="I25" i="7" s="1"/>
  <c r="G26" i="7"/>
  <c r="I26" i="7" s="1"/>
  <c r="G27" i="7"/>
  <c r="I27" i="7" s="1"/>
  <c r="G28" i="7"/>
  <c r="I28" i="7" s="1"/>
  <c r="G29" i="7"/>
  <c r="I29" i="7" s="1"/>
  <c r="G30" i="7"/>
  <c r="I30" i="7" s="1"/>
  <c r="G31" i="7"/>
  <c r="I31" i="7" s="1"/>
  <c r="G32" i="7"/>
  <c r="I32" i="7" s="1"/>
  <c r="G33" i="7"/>
  <c r="I33" i="7" s="1"/>
  <c r="G34" i="7"/>
  <c r="I34" i="7" s="1"/>
  <c r="G35" i="7"/>
  <c r="I35" i="7" s="1"/>
  <c r="G36" i="7"/>
  <c r="I36" i="7" s="1"/>
  <c r="G37" i="7"/>
  <c r="I37" i="7" s="1"/>
  <c r="G38" i="7"/>
  <c r="I38" i="7" s="1"/>
  <c r="G39" i="7"/>
  <c r="G40" i="7"/>
  <c r="I40" i="7" s="1"/>
  <c r="G41" i="7"/>
  <c r="I41" i="7" s="1"/>
  <c r="G42" i="7"/>
  <c r="I42" i="7" s="1"/>
  <c r="G43" i="7"/>
  <c r="I43" i="7" s="1"/>
  <c r="G44" i="7"/>
  <c r="I44" i="7" s="1"/>
  <c r="G45" i="7"/>
  <c r="I45" i="7" s="1"/>
  <c r="G46" i="7"/>
  <c r="I46" i="7" s="1"/>
  <c r="G47" i="7"/>
  <c r="I47" i="7" s="1"/>
  <c r="G48" i="7"/>
  <c r="I48" i="7" s="1"/>
  <c r="G49" i="7"/>
  <c r="I49" i="7" s="1"/>
  <c r="G50" i="7"/>
  <c r="I50" i="7" s="1"/>
  <c r="G51" i="7"/>
  <c r="I51" i="7" s="1"/>
  <c r="G52" i="7"/>
  <c r="I52" i="7" s="1"/>
  <c r="G53" i="7"/>
  <c r="I53" i="7" s="1"/>
  <c r="G54" i="7"/>
  <c r="I54" i="7" s="1"/>
  <c r="G55" i="7"/>
  <c r="I55" i="7" s="1"/>
  <c r="G56" i="7"/>
  <c r="I56" i="7" s="1"/>
  <c r="G57" i="7"/>
  <c r="G58" i="7"/>
  <c r="I58" i="7" s="1"/>
  <c r="G59" i="7"/>
  <c r="I59" i="7" s="1"/>
  <c r="G60" i="7"/>
  <c r="I60" i="7" s="1"/>
  <c r="G61" i="7"/>
  <c r="I61" i="7" s="1"/>
  <c r="G62" i="7"/>
  <c r="I62" i="7" s="1"/>
  <c r="G63" i="7"/>
  <c r="I63" i="7" s="1"/>
  <c r="G64" i="7"/>
  <c r="I64" i="7" s="1"/>
  <c r="G65" i="7"/>
  <c r="I65" i="7" s="1"/>
  <c r="G66" i="7"/>
  <c r="I66" i="7" s="1"/>
  <c r="G67" i="7"/>
  <c r="I67" i="7" s="1"/>
  <c r="G68" i="7"/>
  <c r="I68" i="7" s="1"/>
  <c r="G69" i="7"/>
  <c r="I69" i="7" s="1"/>
  <c r="G70" i="7"/>
  <c r="I70" i="7" s="1"/>
  <c r="G71" i="7"/>
  <c r="I71" i="7" s="1"/>
  <c r="G72" i="7"/>
  <c r="I72" i="7" s="1"/>
  <c r="G73" i="7"/>
  <c r="I73" i="7" s="1"/>
  <c r="G74" i="7"/>
  <c r="I74" i="7" s="1"/>
  <c r="G75" i="7"/>
  <c r="I75" i="7" s="1"/>
  <c r="G76" i="7"/>
  <c r="I76" i="7" s="1"/>
  <c r="G77" i="7"/>
  <c r="I77" i="7" s="1"/>
  <c r="G78" i="7"/>
  <c r="I78" i="7" s="1"/>
  <c r="G79" i="7"/>
  <c r="I79" i="7" s="1"/>
  <c r="G80" i="7"/>
  <c r="I80" i="7" s="1"/>
  <c r="G81" i="7"/>
  <c r="I81" i="7" s="1"/>
  <c r="G82" i="7"/>
  <c r="I82" i="7" s="1"/>
  <c r="G83" i="7"/>
  <c r="I83" i="7" s="1"/>
  <c r="G84" i="7"/>
  <c r="G85" i="7"/>
  <c r="I85" i="7" s="1"/>
  <c r="G86" i="7"/>
  <c r="I86" i="7" s="1"/>
  <c r="G87" i="7"/>
  <c r="I87" i="7" s="1"/>
  <c r="G88" i="7"/>
  <c r="I88" i="7" s="1"/>
  <c r="G89" i="7"/>
  <c r="I89" i="7" s="1"/>
  <c r="G90" i="7"/>
  <c r="I90" i="7" s="1"/>
  <c r="G91" i="7"/>
  <c r="I91" i="7" s="1"/>
  <c r="G92" i="7"/>
  <c r="I92" i="7" s="1"/>
  <c r="G93" i="7"/>
  <c r="G94" i="7"/>
  <c r="I94" i="7" s="1"/>
  <c r="G95" i="7"/>
  <c r="I95" i="7" s="1"/>
  <c r="G96" i="7"/>
  <c r="I96" i="7" s="1"/>
  <c r="G97" i="7"/>
  <c r="I97" i="7" s="1"/>
  <c r="G98" i="7"/>
  <c r="I98" i="7" s="1"/>
  <c r="G99" i="7"/>
  <c r="I99" i="7" s="1"/>
  <c r="G100" i="7"/>
  <c r="I100" i="7" s="1"/>
  <c r="G101" i="7"/>
  <c r="I101" i="7" s="1"/>
  <c r="G102" i="7"/>
  <c r="I102" i="7" s="1"/>
  <c r="G103" i="7"/>
  <c r="I103" i="7" s="1"/>
  <c r="G104" i="7"/>
  <c r="I104" i="7" s="1"/>
  <c r="G105" i="7"/>
  <c r="I105" i="7" s="1"/>
  <c r="G106" i="7"/>
  <c r="I106" i="7" s="1"/>
  <c r="G107" i="7"/>
  <c r="I107" i="7" s="1"/>
  <c r="G108" i="7"/>
  <c r="I108" i="7" s="1"/>
  <c r="G109" i="7"/>
  <c r="I109" i="7" s="1"/>
  <c r="G110" i="7"/>
  <c r="I110" i="7" s="1"/>
  <c r="G111" i="7"/>
  <c r="I111" i="7" s="1"/>
  <c r="G112" i="7"/>
  <c r="I112" i="7" s="1"/>
  <c r="G113" i="7"/>
  <c r="I113" i="7" s="1"/>
  <c r="G114" i="7"/>
  <c r="I114" i="7" s="1"/>
  <c r="G115" i="7"/>
  <c r="I115" i="7" s="1"/>
  <c r="G116" i="7"/>
  <c r="I116" i="7" s="1"/>
  <c r="G117" i="7"/>
  <c r="I117" i="7" s="1"/>
  <c r="G118" i="7"/>
  <c r="I118" i="7" s="1"/>
  <c r="G119" i="7"/>
  <c r="I119" i="7" s="1"/>
  <c r="G120" i="7"/>
  <c r="G121" i="7"/>
  <c r="I121" i="7" s="1"/>
  <c r="G122" i="7"/>
  <c r="I122" i="7" s="1"/>
  <c r="G123" i="7"/>
  <c r="I123" i="7" s="1"/>
  <c r="G124" i="7"/>
  <c r="I124" i="7" s="1"/>
  <c r="G125" i="7"/>
  <c r="I125" i="7" s="1"/>
  <c r="G126" i="7"/>
  <c r="I126" i="7" s="1"/>
  <c r="G127" i="7"/>
  <c r="I127" i="7" s="1"/>
  <c r="G128" i="7"/>
  <c r="I128" i="7" s="1"/>
  <c r="G129" i="7"/>
  <c r="I129" i="7" s="1"/>
  <c r="G130" i="7"/>
  <c r="I130" i="7" s="1"/>
  <c r="G131" i="7"/>
  <c r="I131" i="7" s="1"/>
  <c r="G132" i="7"/>
  <c r="I132" i="7" s="1"/>
  <c r="G133" i="7"/>
  <c r="I133" i="7" s="1"/>
  <c r="G134" i="7"/>
  <c r="I134" i="7" s="1"/>
  <c r="G135" i="7"/>
  <c r="I135" i="7" s="1"/>
  <c r="G136" i="7"/>
  <c r="I136" i="7" s="1"/>
  <c r="G137" i="7"/>
  <c r="I137" i="7" s="1"/>
  <c r="G138" i="7"/>
  <c r="G139" i="7"/>
  <c r="I139" i="7" s="1"/>
  <c r="G140" i="7"/>
  <c r="I140" i="7" s="1"/>
  <c r="G141" i="7"/>
  <c r="I141" i="7" s="1"/>
  <c r="G142" i="7"/>
  <c r="I142" i="7" s="1"/>
  <c r="G143" i="7"/>
  <c r="I143" i="7" s="1"/>
  <c r="G144" i="7"/>
  <c r="I144" i="7" s="1"/>
  <c r="G145" i="7"/>
  <c r="I145" i="7" s="1"/>
  <c r="G146" i="7"/>
  <c r="I146" i="7" s="1"/>
  <c r="G147" i="7"/>
  <c r="I147" i="7" s="1"/>
  <c r="G148" i="7"/>
  <c r="I148" i="7" s="1"/>
  <c r="G149" i="7"/>
  <c r="I149" i="7" s="1"/>
  <c r="G150" i="7"/>
  <c r="I150" i="7" s="1"/>
  <c r="G151" i="7"/>
  <c r="I151" i="7" s="1"/>
  <c r="G152" i="7"/>
  <c r="I152" i="7" s="1"/>
  <c r="G153" i="7"/>
  <c r="I153" i="7" s="1"/>
  <c r="G154" i="7"/>
  <c r="I154" i="7" s="1"/>
  <c r="G155" i="7"/>
  <c r="I155" i="7" s="1"/>
  <c r="G156" i="7"/>
  <c r="I156" i="7" s="1"/>
  <c r="G157" i="7"/>
  <c r="I157" i="7" s="1"/>
  <c r="G158" i="7"/>
  <c r="I158" i="7" s="1"/>
  <c r="G159" i="7"/>
  <c r="I159" i="7" s="1"/>
  <c r="G160" i="7"/>
  <c r="I160" i="7" s="1"/>
  <c r="G161" i="7"/>
  <c r="I161" i="7" s="1"/>
  <c r="G162" i="7"/>
  <c r="I162" i="7" s="1"/>
  <c r="G163" i="7"/>
  <c r="I163" i="7" s="1"/>
  <c r="G164" i="7"/>
  <c r="I164" i="7" s="1"/>
  <c r="G165" i="7"/>
  <c r="G166" i="7"/>
  <c r="I166" i="7" s="1"/>
  <c r="G167" i="7"/>
  <c r="I167" i="7" s="1"/>
  <c r="G168" i="7"/>
  <c r="I168" i="7" s="1"/>
  <c r="G169" i="7"/>
  <c r="I169" i="7" s="1"/>
  <c r="G170" i="7"/>
  <c r="I170" i="7" s="1"/>
  <c r="G171" i="7"/>
  <c r="I171" i="7" s="1"/>
  <c r="G172" i="7"/>
  <c r="I172" i="7" s="1"/>
  <c r="G173" i="7"/>
  <c r="I173" i="7" s="1"/>
  <c r="G174" i="7"/>
  <c r="G175" i="7"/>
  <c r="I175" i="7" s="1"/>
  <c r="G176" i="7"/>
  <c r="I176" i="7" s="1"/>
  <c r="G177" i="7"/>
  <c r="I177" i="7" s="1"/>
  <c r="G178" i="7"/>
  <c r="I178" i="7" s="1"/>
  <c r="G179" i="7"/>
  <c r="I179" i="7" s="1"/>
  <c r="G180" i="7"/>
  <c r="I180" i="7" s="1"/>
  <c r="G181" i="7"/>
  <c r="I181" i="7" s="1"/>
  <c r="G182" i="7"/>
  <c r="I182" i="7" s="1"/>
  <c r="G183" i="7"/>
  <c r="I183" i="7" s="1"/>
  <c r="G184" i="7"/>
  <c r="I184" i="7" s="1"/>
  <c r="G185" i="7"/>
  <c r="I185" i="7" s="1"/>
  <c r="G186" i="7"/>
  <c r="I186" i="7" s="1"/>
  <c r="G187" i="7"/>
  <c r="I187" i="7" s="1"/>
  <c r="G188" i="7"/>
  <c r="I188" i="7" s="1"/>
  <c r="G189" i="7"/>
  <c r="I189" i="7" s="1"/>
  <c r="G190" i="7"/>
  <c r="I190" i="7" s="1"/>
  <c r="G191" i="7"/>
  <c r="I191" i="7" s="1"/>
  <c r="G192" i="7"/>
  <c r="I192" i="7" s="1"/>
  <c r="G193" i="7"/>
  <c r="I193" i="7" s="1"/>
  <c r="G194" i="7"/>
  <c r="I194" i="7" s="1"/>
  <c r="G195" i="7"/>
  <c r="I195" i="7" s="1"/>
  <c r="G196" i="7"/>
  <c r="I196" i="7" s="1"/>
  <c r="G197" i="7"/>
  <c r="I197" i="7" s="1"/>
  <c r="G198" i="7"/>
  <c r="I198" i="7" s="1"/>
  <c r="G199" i="7"/>
  <c r="I199" i="7" s="1"/>
  <c r="G200" i="7"/>
  <c r="I200" i="7" s="1"/>
  <c r="G201" i="7"/>
  <c r="G202" i="7"/>
  <c r="I202" i="7" s="1"/>
  <c r="G203" i="7"/>
  <c r="I203" i="7" s="1"/>
  <c r="G204" i="7"/>
  <c r="I204" i="7" s="1"/>
  <c r="G205" i="7"/>
  <c r="I205" i="7" s="1"/>
  <c r="G206" i="7"/>
  <c r="I206" i="7" s="1"/>
  <c r="G207" i="7"/>
  <c r="I207" i="7" s="1"/>
  <c r="G208" i="7"/>
  <c r="I208" i="7" s="1"/>
  <c r="G209" i="7"/>
  <c r="I209" i="7" s="1"/>
  <c r="G210" i="7"/>
  <c r="I210" i="7" s="1"/>
  <c r="G211" i="7"/>
  <c r="I211" i="7" s="1"/>
  <c r="G212" i="7"/>
  <c r="I212" i="7" s="1"/>
  <c r="G213" i="7"/>
  <c r="I213" i="7" s="1"/>
  <c r="G214" i="7"/>
  <c r="I214" i="7" s="1"/>
  <c r="G215" i="7"/>
  <c r="I215" i="7" s="1"/>
  <c r="G216" i="7"/>
  <c r="I216" i="7" s="1"/>
  <c r="G217" i="7"/>
  <c r="I217" i="7" s="1"/>
  <c r="G218" i="7"/>
  <c r="I218" i="7" s="1"/>
  <c r="G219" i="7"/>
  <c r="G220" i="7"/>
  <c r="I220" i="7" s="1"/>
  <c r="G221" i="7"/>
  <c r="I221" i="7" s="1"/>
  <c r="G222" i="7"/>
  <c r="I222" i="7" s="1"/>
  <c r="G223" i="7"/>
  <c r="I223" i="7" s="1"/>
  <c r="G224" i="7"/>
  <c r="I224" i="7" s="1"/>
  <c r="G225" i="7"/>
  <c r="I225" i="7" s="1"/>
  <c r="G226" i="7"/>
  <c r="I226" i="7" s="1"/>
  <c r="G227" i="7"/>
  <c r="I227" i="7" s="1"/>
  <c r="G228" i="7"/>
  <c r="I228" i="7" s="1"/>
  <c r="G229" i="7"/>
  <c r="I229" i="7" s="1"/>
  <c r="G230" i="7"/>
  <c r="I230" i="7" s="1"/>
  <c r="G231" i="7"/>
  <c r="I231" i="7" s="1"/>
  <c r="G232" i="7"/>
  <c r="I232" i="7" s="1"/>
  <c r="G233" i="7"/>
  <c r="I233" i="7" s="1"/>
  <c r="G234" i="7"/>
  <c r="I234" i="7" s="1"/>
  <c r="G235" i="7"/>
  <c r="I235" i="7" s="1"/>
  <c r="G236" i="7"/>
  <c r="I236" i="7" s="1"/>
  <c r="G237" i="7"/>
  <c r="I237" i="7" s="1"/>
  <c r="G238" i="7"/>
  <c r="I238" i="7" s="1"/>
  <c r="G239" i="7"/>
  <c r="I239" i="7" s="1"/>
  <c r="G240" i="7"/>
  <c r="I240" i="7" s="1"/>
  <c r="G241" i="7"/>
  <c r="I241" i="7" s="1"/>
  <c r="G242" i="7"/>
  <c r="I242" i="7" s="1"/>
  <c r="G243" i="7"/>
  <c r="I243" i="7" s="1"/>
  <c r="G244" i="7"/>
  <c r="I244" i="7" s="1"/>
  <c r="G245" i="7"/>
  <c r="I245" i="7" s="1"/>
  <c r="G246" i="7"/>
  <c r="G247" i="7"/>
  <c r="I247" i="7" s="1"/>
  <c r="G248" i="7"/>
  <c r="I248" i="7" s="1"/>
  <c r="G249" i="7"/>
  <c r="I249" i="7" s="1"/>
  <c r="G250" i="7"/>
  <c r="I250" i="7" s="1"/>
  <c r="G251" i="7"/>
  <c r="I251" i="7" s="1"/>
  <c r="G252" i="7"/>
  <c r="I252" i="7" s="1"/>
  <c r="G253" i="7"/>
  <c r="I253" i="7" s="1"/>
  <c r="G254" i="7"/>
  <c r="I254" i="7" s="1"/>
  <c r="G255" i="7"/>
  <c r="G256" i="7"/>
  <c r="I256" i="7" s="1"/>
  <c r="G257" i="7"/>
  <c r="I257" i="7" s="1"/>
  <c r="G258" i="7"/>
  <c r="I258" i="7" s="1"/>
  <c r="G259" i="7"/>
  <c r="I259" i="7" s="1"/>
  <c r="G260" i="7"/>
  <c r="I260" i="7" s="1"/>
  <c r="G261" i="7"/>
  <c r="I261" i="7" s="1"/>
  <c r="G262" i="7"/>
  <c r="I262" i="7" s="1"/>
  <c r="G263" i="7"/>
  <c r="I263" i="7" s="1"/>
  <c r="G264" i="7"/>
  <c r="I264" i="7" s="1"/>
  <c r="G265" i="7"/>
  <c r="I265" i="7" s="1"/>
  <c r="G266" i="7"/>
  <c r="I266" i="7" s="1"/>
  <c r="G267" i="7"/>
  <c r="I267" i="7" s="1"/>
  <c r="G268" i="7"/>
  <c r="I268" i="7" s="1"/>
  <c r="G269" i="7"/>
  <c r="I269" i="7" s="1"/>
  <c r="G270" i="7"/>
  <c r="I270" i="7" s="1"/>
  <c r="G271" i="7"/>
  <c r="I271" i="7" s="1"/>
  <c r="G272" i="7"/>
  <c r="I272" i="7" s="1"/>
  <c r="G273" i="7"/>
  <c r="I273" i="7" s="1"/>
  <c r="G274" i="7"/>
  <c r="I274" i="7" s="1"/>
  <c r="G275" i="7"/>
  <c r="I275" i="7" s="1"/>
  <c r="G276" i="7"/>
  <c r="I276" i="7" s="1"/>
  <c r="G277" i="7"/>
  <c r="I277" i="7" s="1"/>
  <c r="G278" i="7"/>
  <c r="I278" i="7" s="1"/>
  <c r="G279" i="7"/>
  <c r="I279" i="7" s="1"/>
  <c r="G280" i="7"/>
  <c r="I280" i="7" s="1"/>
  <c r="G281" i="7"/>
  <c r="I281" i="7" s="1"/>
  <c r="G282" i="7"/>
  <c r="G283" i="7"/>
  <c r="I283" i="7" s="1"/>
  <c r="G284" i="7"/>
  <c r="I284" i="7" s="1"/>
  <c r="G285" i="7"/>
  <c r="I285" i="7" s="1"/>
  <c r="G286" i="7"/>
  <c r="I286" i="7" s="1"/>
  <c r="G287" i="7"/>
  <c r="I287" i="7" s="1"/>
  <c r="G288" i="7"/>
  <c r="I288" i="7" s="1"/>
  <c r="G289" i="7"/>
  <c r="I289" i="7" s="1"/>
  <c r="G290" i="7"/>
  <c r="I290" i="7" s="1"/>
  <c r="G291" i="7"/>
  <c r="I291" i="7" s="1"/>
  <c r="G292" i="7"/>
  <c r="I292" i="7" s="1"/>
  <c r="G293" i="7"/>
  <c r="I293" i="7" s="1"/>
  <c r="G294" i="7"/>
  <c r="I294" i="7" s="1"/>
  <c r="G295" i="7"/>
  <c r="I295" i="7" s="1"/>
  <c r="G296" i="7"/>
  <c r="I296" i="7" s="1"/>
  <c r="G297" i="7"/>
  <c r="I297" i="7" s="1"/>
  <c r="G298" i="7"/>
  <c r="I298" i="7" s="1"/>
  <c r="G299" i="7"/>
  <c r="I299" i="7" s="1"/>
  <c r="G300" i="7"/>
  <c r="G301" i="7"/>
  <c r="I301" i="7" s="1"/>
  <c r="G302" i="7"/>
  <c r="I302" i="7" s="1"/>
  <c r="G303" i="7"/>
  <c r="I303" i="7" s="1"/>
  <c r="G304" i="7"/>
  <c r="I304" i="7" s="1"/>
  <c r="G305" i="7"/>
  <c r="I305" i="7" s="1"/>
  <c r="G306" i="7"/>
  <c r="I306" i="7" s="1"/>
  <c r="G307" i="7"/>
  <c r="I307" i="7" s="1"/>
  <c r="G308" i="7"/>
  <c r="I308" i="7" s="1"/>
  <c r="G309" i="7"/>
  <c r="I309" i="7" s="1"/>
  <c r="G310" i="7"/>
  <c r="I310" i="7" s="1"/>
  <c r="G311" i="7"/>
  <c r="I311" i="7" s="1"/>
  <c r="G312" i="7"/>
  <c r="I312" i="7" s="1"/>
  <c r="G313" i="7"/>
  <c r="I313" i="7" s="1"/>
  <c r="G314" i="7"/>
  <c r="I314" i="7" s="1"/>
  <c r="G315" i="7"/>
  <c r="I315" i="7" s="1"/>
  <c r="G316" i="7"/>
  <c r="I316" i="7" s="1"/>
  <c r="G317" i="7"/>
  <c r="I317" i="7" s="1"/>
  <c r="G318" i="7"/>
  <c r="I318" i="7" s="1"/>
  <c r="G319" i="7"/>
  <c r="I319" i="7" s="1"/>
  <c r="G320" i="7"/>
  <c r="I320" i="7" s="1"/>
  <c r="G321" i="7"/>
  <c r="I321" i="7" s="1"/>
  <c r="G322" i="7"/>
  <c r="I322" i="7" s="1"/>
  <c r="G323" i="7"/>
  <c r="I323" i="7" s="1"/>
  <c r="G324" i="7"/>
  <c r="I324" i="7" s="1"/>
  <c r="G325" i="7"/>
  <c r="I325" i="7" s="1"/>
  <c r="G326" i="7"/>
  <c r="I326" i="7" s="1"/>
  <c r="G327" i="7"/>
  <c r="G328" i="7"/>
  <c r="I328" i="7" s="1"/>
  <c r="G329" i="7"/>
  <c r="I329" i="7" s="1"/>
  <c r="G330" i="7"/>
  <c r="I330" i="7" s="1"/>
  <c r="G331" i="7"/>
  <c r="I331" i="7" s="1"/>
  <c r="G332" i="7"/>
  <c r="I332" i="7" s="1"/>
  <c r="G333" i="7"/>
  <c r="I333" i="7" s="1"/>
  <c r="G334" i="7"/>
  <c r="I334" i="7" s="1"/>
  <c r="G335" i="7"/>
  <c r="I335" i="7" s="1"/>
  <c r="G336" i="7"/>
  <c r="G337" i="7"/>
  <c r="I337" i="7" s="1"/>
  <c r="G338" i="7"/>
  <c r="I338" i="7" s="1"/>
  <c r="G339" i="7"/>
  <c r="I339" i="7" s="1"/>
  <c r="G340" i="7"/>
  <c r="I340" i="7" s="1"/>
  <c r="G341" i="7"/>
  <c r="I341" i="7" s="1"/>
  <c r="G342" i="7"/>
  <c r="I342" i="7" s="1"/>
  <c r="G343" i="7"/>
  <c r="I343" i="7" s="1"/>
  <c r="G344" i="7"/>
  <c r="I344" i="7" s="1"/>
  <c r="G345" i="7"/>
  <c r="I345" i="7" s="1"/>
  <c r="G346" i="7"/>
  <c r="I346" i="7" s="1"/>
  <c r="G347" i="7"/>
  <c r="I347" i="7" s="1"/>
  <c r="G348" i="7"/>
  <c r="I348" i="7" s="1"/>
  <c r="G349" i="7"/>
  <c r="I349" i="7" s="1"/>
  <c r="G350" i="7"/>
  <c r="I350" i="7" s="1"/>
  <c r="G351" i="7"/>
  <c r="I351" i="7" s="1"/>
  <c r="G352" i="7"/>
  <c r="I352" i="7" s="1"/>
  <c r="G353" i="7"/>
  <c r="I353" i="7" s="1"/>
  <c r="G354" i="7"/>
  <c r="I354" i="7" s="1"/>
  <c r="G355" i="7"/>
  <c r="I355" i="7" s="1"/>
  <c r="G356" i="7"/>
  <c r="I356" i="7" s="1"/>
  <c r="G357" i="7"/>
  <c r="I357" i="7" s="1"/>
  <c r="G358" i="7"/>
  <c r="I358" i="7" s="1"/>
  <c r="G359" i="7"/>
  <c r="I359" i="7" s="1"/>
  <c r="G360" i="7"/>
  <c r="I360" i="7" s="1"/>
  <c r="G361" i="7"/>
  <c r="I361" i="7" s="1"/>
  <c r="G362" i="7"/>
  <c r="I362" i="7" s="1"/>
  <c r="G363" i="7"/>
  <c r="G364" i="7"/>
  <c r="I364" i="7" s="1"/>
  <c r="G365" i="7"/>
  <c r="I365" i="7" s="1"/>
  <c r="G366" i="7"/>
  <c r="I366" i="7" s="1"/>
  <c r="G367" i="7"/>
  <c r="I367" i="7" s="1"/>
  <c r="G368" i="7"/>
  <c r="I368" i="7" s="1"/>
  <c r="G369" i="7"/>
  <c r="I369" i="7" s="1"/>
  <c r="G370" i="7"/>
  <c r="I370" i="7" s="1"/>
  <c r="G371" i="7"/>
  <c r="I371" i="7" s="1"/>
  <c r="G372" i="7"/>
  <c r="I372" i="7" s="1"/>
  <c r="G373" i="7"/>
  <c r="I373" i="7" s="1"/>
  <c r="G374" i="7"/>
  <c r="I374" i="7" s="1"/>
  <c r="G375" i="7"/>
  <c r="I375" i="7" s="1"/>
  <c r="G376" i="7"/>
  <c r="I376" i="7" s="1"/>
  <c r="G377" i="7"/>
  <c r="I377" i="7" s="1"/>
  <c r="G378" i="7"/>
  <c r="I378" i="7" s="1"/>
  <c r="G379" i="7"/>
  <c r="I379" i="7" s="1"/>
  <c r="G380" i="7"/>
  <c r="I380" i="7" s="1"/>
  <c r="G381" i="7"/>
  <c r="G382" i="7"/>
  <c r="I382" i="7" s="1"/>
  <c r="G383" i="7"/>
  <c r="I383" i="7" s="1"/>
  <c r="G384" i="7"/>
  <c r="I384" i="7" s="1"/>
  <c r="G385" i="7"/>
  <c r="I385" i="7" s="1"/>
  <c r="G386" i="7"/>
  <c r="I386" i="7" s="1"/>
  <c r="G387" i="7"/>
  <c r="I387" i="7" s="1"/>
  <c r="G388" i="7"/>
  <c r="I388" i="7" s="1"/>
  <c r="G389" i="7"/>
  <c r="I389" i="7" s="1"/>
  <c r="G390" i="7"/>
  <c r="I390" i="7" s="1"/>
  <c r="G391" i="7"/>
  <c r="I391" i="7" s="1"/>
  <c r="G392" i="7"/>
  <c r="I392" i="7" s="1"/>
  <c r="G393" i="7"/>
  <c r="I393" i="7" s="1"/>
  <c r="G394" i="7"/>
  <c r="I394" i="7" s="1"/>
  <c r="G395" i="7"/>
  <c r="I395" i="7" s="1"/>
  <c r="G396" i="7"/>
  <c r="I396" i="7" s="1"/>
  <c r="G397" i="7"/>
  <c r="I397" i="7" s="1"/>
  <c r="G398" i="7"/>
  <c r="I398" i="7" s="1"/>
  <c r="G399" i="7"/>
  <c r="I399" i="7" s="1"/>
  <c r="G400" i="7"/>
  <c r="I400" i="7" s="1"/>
  <c r="G401" i="7"/>
  <c r="I401" i="7" s="1"/>
  <c r="G402" i="7"/>
  <c r="I402" i="7" s="1"/>
  <c r="G403" i="7"/>
  <c r="I403" i="7" s="1"/>
  <c r="G404" i="7"/>
  <c r="I404" i="7" s="1"/>
  <c r="G405" i="7"/>
  <c r="I405" i="7" s="1"/>
  <c r="G406" i="7"/>
  <c r="I406" i="7" s="1"/>
  <c r="G407" i="7"/>
  <c r="I407" i="7" s="1"/>
  <c r="G408" i="7"/>
  <c r="G409" i="7"/>
  <c r="I409" i="7" s="1"/>
  <c r="G410" i="7"/>
  <c r="I410" i="7" s="1"/>
  <c r="G411" i="7"/>
  <c r="I411" i="7" s="1"/>
  <c r="G412" i="7"/>
  <c r="I412" i="7" s="1"/>
  <c r="G413" i="7"/>
  <c r="I413" i="7" s="1"/>
  <c r="G414" i="7"/>
  <c r="I414" i="7" s="1"/>
  <c r="G415" i="7"/>
  <c r="I415" i="7" s="1"/>
  <c r="G416" i="7"/>
  <c r="I416" i="7" s="1"/>
  <c r="G417" i="7"/>
  <c r="G418" i="7"/>
  <c r="I418" i="7" s="1"/>
  <c r="G419" i="7"/>
  <c r="I419" i="7" s="1"/>
  <c r="G420" i="7"/>
  <c r="I420" i="7" s="1"/>
  <c r="G421" i="7"/>
  <c r="I421" i="7" s="1"/>
  <c r="G422" i="7"/>
  <c r="I422" i="7" s="1"/>
  <c r="G423" i="7"/>
  <c r="I423" i="7" s="1"/>
  <c r="G424" i="7"/>
  <c r="I424" i="7" s="1"/>
  <c r="G425" i="7"/>
  <c r="I425" i="7" s="1"/>
  <c r="G426" i="7"/>
  <c r="I426" i="7" s="1"/>
  <c r="G427" i="7"/>
  <c r="I427" i="7" s="1"/>
  <c r="G428" i="7"/>
  <c r="I428" i="7" s="1"/>
  <c r="G429" i="7"/>
  <c r="I429" i="7" s="1"/>
  <c r="G430" i="7"/>
  <c r="I430" i="7" s="1"/>
  <c r="G431" i="7"/>
  <c r="I431" i="7" s="1"/>
  <c r="G432" i="7"/>
  <c r="I432" i="7" s="1"/>
  <c r="G433" i="7"/>
  <c r="I433" i="7" s="1"/>
  <c r="G434" i="7"/>
  <c r="I434" i="7" s="1"/>
  <c r="G435" i="7"/>
  <c r="I435" i="7" s="1"/>
  <c r="G436" i="7"/>
  <c r="I436" i="7" s="1"/>
  <c r="G437" i="7"/>
  <c r="I437" i="7" s="1"/>
  <c r="G438" i="7"/>
  <c r="I438" i="7" s="1"/>
  <c r="G439" i="7"/>
  <c r="I439" i="7" s="1"/>
  <c r="G440" i="7"/>
  <c r="I440" i="7" s="1"/>
  <c r="G441" i="7"/>
  <c r="I441" i="7" s="1"/>
  <c r="G442" i="7"/>
  <c r="I442" i="7" s="1"/>
  <c r="G443" i="7"/>
  <c r="I443" i="7" s="1"/>
  <c r="G444" i="7"/>
  <c r="G445" i="7"/>
  <c r="I445" i="7" s="1"/>
  <c r="G446" i="7"/>
  <c r="I446" i="7" s="1"/>
  <c r="G447" i="7"/>
  <c r="I447" i="7" s="1"/>
  <c r="G448" i="7"/>
  <c r="I448" i="7" s="1"/>
  <c r="G449" i="7"/>
  <c r="I449" i="7" s="1"/>
  <c r="G450" i="7"/>
  <c r="I450" i="7" s="1"/>
  <c r="G451" i="7"/>
  <c r="I451" i="7" s="1"/>
  <c r="G452" i="7"/>
  <c r="I452" i="7" s="1"/>
  <c r="G453" i="7"/>
  <c r="I453" i="7" s="1"/>
  <c r="G454" i="7"/>
  <c r="I454" i="7" s="1"/>
  <c r="G455" i="7"/>
  <c r="I455" i="7" s="1"/>
  <c r="G456" i="7"/>
  <c r="I456" i="7" s="1"/>
  <c r="G457" i="7"/>
  <c r="I457" i="7" s="1"/>
  <c r="G458" i="7"/>
  <c r="I458" i="7" s="1"/>
  <c r="G459" i="7"/>
  <c r="I459" i="7" s="1"/>
  <c r="G460" i="7"/>
  <c r="I460" i="7" s="1"/>
  <c r="G461" i="7"/>
  <c r="I461" i="7" s="1"/>
  <c r="G462" i="7"/>
  <c r="G463" i="7"/>
  <c r="I463" i="7" s="1"/>
  <c r="G464" i="7"/>
  <c r="I464" i="7" s="1"/>
  <c r="G465" i="7"/>
  <c r="I465" i="7" s="1"/>
  <c r="G466" i="7"/>
  <c r="I466" i="7" s="1"/>
  <c r="G467" i="7"/>
  <c r="I467" i="7" s="1"/>
  <c r="G468" i="7"/>
  <c r="I468" i="7" s="1"/>
  <c r="G469" i="7"/>
  <c r="I469" i="7" s="1"/>
  <c r="G470" i="7"/>
  <c r="I470" i="7" s="1"/>
  <c r="G471" i="7"/>
  <c r="I471" i="7" s="1"/>
  <c r="G472" i="7"/>
  <c r="I472" i="7" s="1"/>
  <c r="G473" i="7"/>
  <c r="I473" i="7" s="1"/>
  <c r="G474" i="7"/>
  <c r="I474" i="7" s="1"/>
  <c r="G475" i="7"/>
  <c r="I475" i="7" s="1"/>
  <c r="G476" i="7"/>
  <c r="I476" i="7" s="1"/>
  <c r="G477" i="7"/>
  <c r="I477" i="7" s="1"/>
  <c r="G478" i="7"/>
  <c r="I478" i="7" s="1"/>
  <c r="G479" i="7"/>
  <c r="I479" i="7" s="1"/>
  <c r="G480" i="7"/>
  <c r="I480" i="7" s="1"/>
  <c r="G481" i="7"/>
  <c r="I481" i="7" s="1"/>
  <c r="G482" i="7"/>
  <c r="I482" i="7" s="1"/>
  <c r="G483" i="7"/>
  <c r="I483" i="7" s="1"/>
  <c r="G484" i="7"/>
  <c r="I484" i="7" s="1"/>
  <c r="G485" i="7"/>
  <c r="I485" i="7" s="1"/>
  <c r="G486" i="7"/>
  <c r="I486" i="7" s="1"/>
  <c r="G487" i="7"/>
  <c r="I487" i="7" s="1"/>
  <c r="G488" i="7"/>
  <c r="I488" i="7" s="1"/>
  <c r="G489" i="7"/>
  <c r="G490" i="7"/>
  <c r="I490" i="7" s="1"/>
  <c r="G491" i="7"/>
  <c r="I491" i="7" s="1"/>
  <c r="G492" i="7"/>
  <c r="I492" i="7" s="1"/>
  <c r="G493" i="7"/>
  <c r="I493" i="7" s="1"/>
  <c r="G494" i="7"/>
  <c r="I494" i="7" s="1"/>
  <c r="G495" i="7"/>
  <c r="I495" i="7" s="1"/>
  <c r="G496" i="7"/>
  <c r="I496" i="7" s="1"/>
  <c r="G497" i="7"/>
  <c r="I497" i="7" s="1"/>
  <c r="G498" i="7"/>
  <c r="G499" i="7"/>
  <c r="I499" i="7" s="1"/>
  <c r="G500" i="7"/>
  <c r="I500" i="7" s="1"/>
  <c r="G501" i="7"/>
  <c r="I501" i="7" s="1"/>
  <c r="G502" i="7"/>
  <c r="I502" i="7" s="1"/>
  <c r="G503" i="7"/>
  <c r="I503" i="7" s="1"/>
  <c r="G504" i="7"/>
  <c r="I504" i="7" s="1"/>
  <c r="G505" i="7"/>
  <c r="I505" i="7" s="1"/>
  <c r="G506" i="7"/>
  <c r="I506" i="7" s="1"/>
  <c r="G507" i="7"/>
  <c r="I507" i="7" s="1"/>
  <c r="G508" i="7"/>
  <c r="I508" i="7" s="1"/>
  <c r="G509" i="7"/>
  <c r="I509" i="7" s="1"/>
  <c r="G510" i="7"/>
  <c r="I510" i="7" s="1"/>
  <c r="G511" i="7"/>
  <c r="I511" i="7" s="1"/>
  <c r="G512" i="7"/>
  <c r="I512" i="7" s="1"/>
  <c r="G513" i="7"/>
  <c r="I513" i="7" s="1"/>
  <c r="G514" i="7"/>
  <c r="I514" i="7" s="1"/>
  <c r="G515" i="7"/>
  <c r="I515" i="7" s="1"/>
  <c r="G516" i="7"/>
  <c r="I516" i="7" s="1"/>
  <c r="G517" i="7"/>
  <c r="I517" i="7" s="1"/>
  <c r="G518" i="7"/>
  <c r="I518" i="7" s="1"/>
  <c r="G519" i="7"/>
  <c r="I519" i="7" s="1"/>
  <c r="G520" i="7"/>
  <c r="I520" i="7" s="1"/>
  <c r="G521" i="7"/>
  <c r="I521" i="7" s="1"/>
  <c r="G522" i="7"/>
  <c r="I522" i="7" s="1"/>
  <c r="G523" i="7"/>
  <c r="I523" i="7" s="1"/>
  <c r="G524" i="7"/>
  <c r="I524" i="7" s="1"/>
  <c r="G525" i="7"/>
  <c r="G526" i="7"/>
  <c r="I526" i="7" s="1"/>
  <c r="G527" i="7"/>
  <c r="I527" i="7" s="1"/>
  <c r="G528" i="7"/>
  <c r="I528" i="7" s="1"/>
  <c r="G529" i="7"/>
  <c r="I529" i="7" s="1"/>
  <c r="G530" i="7"/>
  <c r="I530" i="7" s="1"/>
  <c r="G531" i="7"/>
  <c r="I531" i="7" s="1"/>
  <c r="G532" i="7"/>
  <c r="I532" i="7" s="1"/>
  <c r="G533" i="7"/>
  <c r="I533" i="7" s="1"/>
  <c r="G534" i="7"/>
  <c r="I534" i="7" s="1"/>
  <c r="G535" i="7"/>
  <c r="I535" i="7" s="1"/>
  <c r="G536" i="7"/>
  <c r="I536" i="7" s="1"/>
  <c r="G537" i="7"/>
  <c r="I537" i="7" s="1"/>
  <c r="G538" i="7"/>
  <c r="I538" i="7" s="1"/>
  <c r="G539" i="7"/>
  <c r="I539" i="7" s="1"/>
  <c r="G540" i="7"/>
  <c r="I540" i="7" s="1"/>
  <c r="G541" i="7"/>
  <c r="I541" i="7" s="1"/>
  <c r="G542" i="7"/>
  <c r="I542" i="7" s="1"/>
  <c r="G543" i="7"/>
  <c r="G544" i="7"/>
  <c r="I544" i="7" s="1"/>
  <c r="G545" i="7"/>
  <c r="I545" i="7" s="1"/>
  <c r="G546" i="7"/>
  <c r="I546" i="7" s="1"/>
  <c r="G547" i="7"/>
  <c r="I547" i="7" s="1"/>
  <c r="G548" i="7"/>
  <c r="I548" i="7" s="1"/>
  <c r="G549" i="7"/>
  <c r="I549" i="7" s="1"/>
  <c r="G550" i="7"/>
  <c r="I550" i="7" s="1"/>
  <c r="G551" i="7"/>
  <c r="I551" i="7" s="1"/>
  <c r="G552" i="7"/>
  <c r="I552" i="7" s="1"/>
  <c r="G553" i="7"/>
  <c r="I553" i="7" s="1"/>
  <c r="G554" i="7"/>
  <c r="I554" i="7" s="1"/>
  <c r="G555" i="7"/>
  <c r="I555" i="7" s="1"/>
  <c r="G556" i="7"/>
  <c r="I556" i="7" s="1"/>
  <c r="G557" i="7"/>
  <c r="I557" i="7" s="1"/>
  <c r="G558" i="7"/>
  <c r="I558" i="7" s="1"/>
  <c r="G559" i="7"/>
  <c r="I559" i="7" s="1"/>
  <c r="G560" i="7"/>
  <c r="I560" i="7" s="1"/>
  <c r="G561" i="7"/>
  <c r="I561" i="7" s="1"/>
  <c r="G562" i="7"/>
  <c r="I562" i="7" s="1"/>
  <c r="G563" i="7"/>
  <c r="I563" i="7" s="1"/>
  <c r="G564" i="7"/>
  <c r="I564" i="7" s="1"/>
  <c r="G565" i="7"/>
  <c r="I565" i="7" s="1"/>
  <c r="G566" i="7"/>
  <c r="I566" i="7" s="1"/>
  <c r="G567" i="7"/>
  <c r="I567" i="7" s="1"/>
  <c r="G568" i="7"/>
  <c r="I568" i="7" s="1"/>
  <c r="G569" i="7"/>
  <c r="I569" i="7" s="1"/>
  <c r="G570" i="7"/>
  <c r="G571" i="7"/>
  <c r="I571" i="7" s="1"/>
  <c r="G572" i="7"/>
  <c r="I572" i="7" s="1"/>
  <c r="G573" i="7"/>
  <c r="I573" i="7" s="1"/>
  <c r="G574" i="7"/>
  <c r="I574" i="7" s="1"/>
  <c r="G575" i="7"/>
  <c r="I575" i="7" s="1"/>
  <c r="G576" i="7"/>
  <c r="I576" i="7" s="1"/>
  <c r="G577" i="7"/>
  <c r="I577" i="7" s="1"/>
  <c r="G578" i="7"/>
  <c r="I578" i="7" s="1"/>
  <c r="G579" i="7"/>
  <c r="G580" i="7"/>
  <c r="I580" i="7" s="1"/>
  <c r="G581" i="7"/>
  <c r="I581" i="7" s="1"/>
  <c r="G582" i="7"/>
  <c r="I582" i="7" s="1"/>
  <c r="G583" i="7"/>
  <c r="I583" i="7" s="1"/>
  <c r="G584" i="7"/>
  <c r="I584" i="7" s="1"/>
  <c r="G585" i="7"/>
  <c r="I585" i="7" s="1"/>
  <c r="G586" i="7"/>
  <c r="I586" i="7" s="1"/>
  <c r="G587" i="7"/>
  <c r="I587" i="7" s="1"/>
  <c r="G588" i="7"/>
  <c r="I588" i="7" s="1"/>
  <c r="G589" i="7"/>
  <c r="I589" i="7" s="1"/>
  <c r="G590" i="7"/>
  <c r="I590" i="7" s="1"/>
  <c r="G591" i="7"/>
  <c r="I591" i="7" s="1"/>
  <c r="G592" i="7"/>
  <c r="I592" i="7" s="1"/>
  <c r="G593" i="7"/>
  <c r="I593" i="7" s="1"/>
  <c r="G594" i="7"/>
  <c r="I594" i="7" s="1"/>
  <c r="G595" i="7"/>
  <c r="I595" i="7" s="1"/>
  <c r="G596" i="7"/>
  <c r="I596" i="7" s="1"/>
  <c r="G597" i="7"/>
  <c r="I597" i="7" s="1"/>
  <c r="G598" i="7"/>
  <c r="I598" i="7" s="1"/>
  <c r="G599" i="7"/>
  <c r="I599" i="7" s="1"/>
  <c r="G600" i="7"/>
  <c r="I600" i="7" s="1"/>
  <c r="G601" i="7"/>
  <c r="I601" i="7" s="1"/>
  <c r="G602" i="7"/>
  <c r="I602" i="7" s="1"/>
  <c r="G603" i="7"/>
  <c r="I603" i="7" s="1"/>
  <c r="G604" i="7"/>
  <c r="I604" i="7" s="1"/>
  <c r="G605" i="7"/>
  <c r="I605" i="7" s="1"/>
  <c r="G606" i="7"/>
  <c r="G607" i="7"/>
  <c r="I607" i="7" s="1"/>
  <c r="G608" i="7"/>
  <c r="I608" i="7" s="1"/>
  <c r="G609" i="7"/>
  <c r="I609" i="7" s="1"/>
  <c r="G610" i="7"/>
  <c r="I610" i="7" s="1"/>
  <c r="G611" i="7"/>
  <c r="I611" i="7" s="1"/>
  <c r="G612" i="7"/>
  <c r="I612" i="7" s="1"/>
  <c r="G613" i="7"/>
  <c r="I613" i="7" s="1"/>
  <c r="G614" i="7"/>
  <c r="I614" i="7" s="1"/>
  <c r="G615" i="7"/>
  <c r="I615" i="7" s="1"/>
  <c r="G616" i="7"/>
  <c r="I616" i="7" s="1"/>
  <c r="G617" i="7"/>
  <c r="I617" i="7" s="1"/>
  <c r="G618" i="7"/>
  <c r="I618" i="7" s="1"/>
  <c r="G619" i="7"/>
  <c r="I619" i="7" s="1"/>
  <c r="G620" i="7"/>
  <c r="I620" i="7" s="1"/>
  <c r="G621" i="7"/>
  <c r="I621" i="7" s="1"/>
  <c r="G622" i="7"/>
  <c r="I622" i="7" s="1"/>
  <c r="G623" i="7"/>
  <c r="I623" i="7" s="1"/>
  <c r="G624" i="7"/>
  <c r="G625" i="7"/>
  <c r="I625" i="7" s="1"/>
  <c r="G626" i="7"/>
  <c r="I626" i="7" s="1"/>
  <c r="G627" i="7"/>
  <c r="I627" i="7" s="1"/>
  <c r="G628" i="7"/>
  <c r="I628" i="7" s="1"/>
  <c r="G629" i="7"/>
  <c r="I629" i="7" s="1"/>
  <c r="G630" i="7"/>
  <c r="I630" i="7" s="1"/>
  <c r="G631" i="7"/>
  <c r="I631" i="7" s="1"/>
  <c r="G632" i="7"/>
  <c r="I632" i="7" s="1"/>
  <c r="G633" i="7"/>
  <c r="I633" i="7" s="1"/>
  <c r="G634" i="7"/>
  <c r="I634" i="7" s="1"/>
  <c r="G635" i="7"/>
  <c r="I635" i="7" s="1"/>
  <c r="G636" i="7"/>
  <c r="I636" i="7" s="1"/>
  <c r="G637" i="7"/>
  <c r="I637" i="7" s="1"/>
  <c r="G638" i="7"/>
  <c r="I638" i="7" s="1"/>
  <c r="G639" i="7"/>
  <c r="I639" i="7" s="1"/>
  <c r="G640" i="7"/>
  <c r="I640" i="7" s="1"/>
  <c r="G641" i="7"/>
  <c r="I641" i="7" s="1"/>
  <c r="G642" i="7"/>
  <c r="I642" i="7" s="1"/>
  <c r="G643" i="7"/>
  <c r="I643" i="7" s="1"/>
  <c r="G644" i="7"/>
  <c r="I644" i="7" s="1"/>
  <c r="G645" i="7"/>
  <c r="I645" i="7" s="1"/>
  <c r="G646" i="7"/>
  <c r="I646" i="7" s="1"/>
  <c r="G647" i="7"/>
  <c r="I647" i="7" s="1"/>
  <c r="G648" i="7"/>
  <c r="I648" i="7" s="1"/>
  <c r="G649" i="7"/>
  <c r="I649" i="7" s="1"/>
  <c r="G650" i="7"/>
  <c r="I650" i="7" s="1"/>
  <c r="G651" i="7"/>
  <c r="G652" i="7"/>
  <c r="I652" i="7" s="1"/>
  <c r="G653" i="7"/>
  <c r="I653" i="7" s="1"/>
  <c r="G654" i="7"/>
  <c r="I654" i="7" s="1"/>
  <c r="G655" i="7"/>
  <c r="I655" i="7" s="1"/>
  <c r="G656" i="7"/>
  <c r="I656" i="7" s="1"/>
  <c r="G657" i="7"/>
  <c r="I657" i="7" s="1"/>
  <c r="G658" i="7"/>
  <c r="I658" i="7" s="1"/>
  <c r="G659" i="7"/>
  <c r="I659" i="7" s="1"/>
  <c r="G660" i="7"/>
  <c r="G661" i="7"/>
  <c r="I661" i="7" s="1"/>
  <c r="G662" i="7"/>
  <c r="I662" i="7" s="1"/>
  <c r="G663" i="7"/>
  <c r="I663" i="7" s="1"/>
  <c r="G664" i="7"/>
  <c r="I664" i="7" s="1"/>
  <c r="G665" i="7"/>
  <c r="I665" i="7" s="1"/>
  <c r="G666" i="7"/>
  <c r="I666" i="7" s="1"/>
  <c r="G667" i="7"/>
  <c r="I667" i="7" s="1"/>
  <c r="G668" i="7"/>
  <c r="I668" i="7" s="1"/>
  <c r="G669" i="7"/>
  <c r="I669" i="7" s="1"/>
  <c r="G670" i="7"/>
  <c r="I670" i="7" s="1"/>
  <c r="G671" i="7"/>
  <c r="I671" i="7" s="1"/>
  <c r="G672" i="7"/>
  <c r="I672" i="7" s="1"/>
  <c r="G673" i="7"/>
  <c r="I673" i="7" s="1"/>
  <c r="G674" i="7"/>
  <c r="I674" i="7" s="1"/>
  <c r="G675" i="7"/>
  <c r="I675" i="7" s="1"/>
  <c r="G676" i="7"/>
  <c r="I676" i="7" s="1"/>
  <c r="G677" i="7"/>
  <c r="I677" i="7" s="1"/>
  <c r="G678" i="7"/>
  <c r="I678" i="7" s="1"/>
  <c r="G679" i="7"/>
  <c r="I679" i="7" s="1"/>
  <c r="G680" i="7"/>
  <c r="I680" i="7" s="1"/>
  <c r="G681" i="7"/>
  <c r="I681" i="7" s="1"/>
  <c r="G682" i="7"/>
  <c r="I682" i="7" s="1"/>
  <c r="G683" i="7"/>
  <c r="I683" i="7" s="1"/>
  <c r="G684" i="7"/>
  <c r="I684" i="7" s="1"/>
  <c r="G685" i="7"/>
  <c r="I685" i="7" s="1"/>
  <c r="G686" i="7"/>
  <c r="I686" i="7" s="1"/>
  <c r="G687" i="7"/>
  <c r="I687" i="7" s="1"/>
  <c r="G688" i="7"/>
  <c r="I688" i="7" s="1"/>
  <c r="G689" i="7"/>
  <c r="I689" i="7" s="1"/>
  <c r="G690" i="7"/>
  <c r="I690" i="7" s="1"/>
  <c r="G691" i="7"/>
  <c r="I691" i="7" s="1"/>
  <c r="G692" i="7"/>
  <c r="I692" i="7" s="1"/>
  <c r="G693" i="7"/>
  <c r="I693" i="7" s="1"/>
  <c r="G694" i="7"/>
  <c r="I694" i="7" s="1"/>
  <c r="G695" i="7"/>
  <c r="I695" i="7" s="1"/>
  <c r="G696" i="7"/>
  <c r="I696" i="7" s="1"/>
  <c r="G697" i="7"/>
  <c r="I697" i="7" s="1"/>
  <c r="G698" i="7"/>
  <c r="I698" i="7" s="1"/>
  <c r="G699" i="7"/>
  <c r="I699" i="7" s="1"/>
  <c r="G700" i="7"/>
  <c r="I700" i="7" s="1"/>
  <c r="G701" i="7"/>
  <c r="I701" i="7" s="1"/>
  <c r="G702" i="7"/>
  <c r="I702" i="7" s="1"/>
  <c r="G703" i="7"/>
  <c r="I703" i="7" s="1"/>
  <c r="G704" i="7"/>
  <c r="I704" i="7" s="1"/>
  <c r="G705" i="7"/>
  <c r="I705" i="7" s="1"/>
  <c r="G706" i="7"/>
  <c r="I706" i="7" s="1"/>
  <c r="G707" i="7"/>
  <c r="I707" i="7" s="1"/>
  <c r="G708" i="7"/>
  <c r="I708" i="7" s="1"/>
  <c r="G709" i="7"/>
  <c r="I709" i="7" s="1"/>
  <c r="G710" i="7"/>
  <c r="I710" i="7" s="1"/>
  <c r="G711" i="7"/>
  <c r="I711" i="7" s="1"/>
  <c r="G712" i="7"/>
  <c r="I712" i="7" s="1"/>
  <c r="G713" i="7"/>
  <c r="I713" i="7" s="1"/>
  <c r="G714" i="7"/>
  <c r="I714" i="7" s="1"/>
  <c r="G715" i="7"/>
  <c r="I715" i="7" s="1"/>
  <c r="G716" i="7"/>
  <c r="I716" i="7" s="1"/>
  <c r="G717" i="7"/>
  <c r="I717" i="7" s="1"/>
  <c r="G718" i="7"/>
  <c r="I718" i="7" s="1"/>
  <c r="G719" i="7"/>
  <c r="I719" i="7" s="1"/>
  <c r="G720" i="7"/>
  <c r="I720" i="7" s="1"/>
  <c r="G721" i="7"/>
  <c r="I721" i="7" s="1"/>
  <c r="G722" i="7"/>
  <c r="I722" i="7" s="1"/>
  <c r="G723" i="7"/>
  <c r="I723" i="7" s="1"/>
  <c r="G724" i="7"/>
  <c r="I724" i="7" s="1"/>
  <c r="G725" i="7"/>
  <c r="I725" i="7" s="1"/>
  <c r="G726" i="7"/>
  <c r="I726" i="7" s="1"/>
  <c r="G727" i="7"/>
  <c r="I727" i="7" s="1"/>
  <c r="G728" i="7"/>
  <c r="I728" i="7" s="1"/>
  <c r="G729" i="7"/>
  <c r="I729" i="7" s="1"/>
  <c r="G730" i="7"/>
  <c r="I730" i="7" s="1"/>
  <c r="G731" i="7"/>
  <c r="I731" i="7" s="1"/>
  <c r="G732" i="7"/>
  <c r="I732" i="7" s="1"/>
  <c r="G733" i="7"/>
  <c r="I733" i="7" s="1"/>
  <c r="G734" i="7"/>
  <c r="I734" i="7" s="1"/>
  <c r="G735" i="7"/>
  <c r="I735" i="7" s="1"/>
  <c r="G736" i="7"/>
  <c r="I736" i="7" s="1"/>
  <c r="G737" i="7"/>
  <c r="I737" i="7" s="1"/>
  <c r="G738" i="7"/>
  <c r="I738" i="7" s="1"/>
  <c r="G739" i="7"/>
  <c r="I739" i="7" s="1"/>
  <c r="G740" i="7"/>
  <c r="I740" i="7" s="1"/>
  <c r="G741" i="7"/>
  <c r="I741" i="7" s="1"/>
  <c r="G742" i="7"/>
  <c r="I742" i="7" s="1"/>
  <c r="G743" i="7"/>
  <c r="I743" i="7" s="1"/>
  <c r="G744" i="7"/>
  <c r="I744" i="7" s="1"/>
  <c r="G745" i="7"/>
  <c r="I745" i="7" s="1"/>
  <c r="G746" i="7"/>
  <c r="I746" i="7" s="1"/>
  <c r="G747" i="7"/>
  <c r="I747" i="7" s="1"/>
  <c r="G748" i="7"/>
  <c r="I748" i="7" s="1"/>
  <c r="G749" i="7"/>
  <c r="I749" i="7" s="1"/>
  <c r="G750" i="7"/>
  <c r="I750" i="7" s="1"/>
  <c r="G751" i="7"/>
  <c r="I751" i="7" s="1"/>
  <c r="G752" i="7"/>
  <c r="I752" i="7" s="1"/>
  <c r="G753" i="7"/>
  <c r="I753" i="7" s="1"/>
  <c r="G754" i="7"/>
  <c r="I754" i="7" s="1"/>
  <c r="G755" i="7"/>
  <c r="I755" i="7" s="1"/>
  <c r="G756" i="7"/>
  <c r="I756" i="7" s="1"/>
  <c r="G757" i="7"/>
  <c r="I757" i="7" s="1"/>
  <c r="G758" i="7"/>
  <c r="I758" i="7" s="1"/>
  <c r="G759" i="7"/>
  <c r="I759" i="7" s="1"/>
  <c r="G760" i="7"/>
  <c r="I760" i="7" s="1"/>
  <c r="G761" i="7"/>
  <c r="I761" i="7" s="1"/>
  <c r="G762" i="7"/>
  <c r="I762" i="7" s="1"/>
  <c r="G763" i="7"/>
  <c r="I763" i="7" s="1"/>
  <c r="G764" i="7"/>
  <c r="I764" i="7" s="1"/>
  <c r="G765" i="7"/>
  <c r="I765" i="7" s="1"/>
  <c r="G766" i="7"/>
  <c r="I766" i="7" s="1"/>
  <c r="G767" i="7"/>
  <c r="I767" i="7" s="1"/>
  <c r="G768" i="7"/>
  <c r="I768" i="7" s="1"/>
  <c r="G769" i="7"/>
  <c r="I769" i="7" s="1"/>
  <c r="G770" i="7"/>
  <c r="I770" i="7" s="1"/>
  <c r="G771" i="7"/>
  <c r="I771" i="7" s="1"/>
  <c r="G772" i="7"/>
  <c r="I772" i="7" s="1"/>
  <c r="G773" i="7"/>
  <c r="I773" i="7" s="1"/>
  <c r="G774" i="7"/>
  <c r="I774" i="7" s="1"/>
  <c r="G775" i="7"/>
  <c r="I775" i="7" s="1"/>
  <c r="G776" i="7"/>
  <c r="I776" i="7" s="1"/>
  <c r="G777" i="7"/>
  <c r="I777" i="7" s="1"/>
  <c r="G778" i="7"/>
  <c r="I778" i="7" s="1"/>
  <c r="G779" i="7"/>
  <c r="I779" i="7" s="1"/>
  <c r="G780" i="7"/>
  <c r="I780" i="7" s="1"/>
  <c r="G781" i="7"/>
  <c r="I781" i="7" s="1"/>
  <c r="G782" i="7"/>
  <c r="I782" i="7" s="1"/>
  <c r="G783" i="7"/>
  <c r="I783" i="7" s="1"/>
  <c r="G784" i="7"/>
  <c r="I784" i="7" s="1"/>
  <c r="G785" i="7"/>
  <c r="I785" i="7" s="1"/>
  <c r="G786" i="7"/>
  <c r="I786" i="7" s="1"/>
  <c r="G787" i="7"/>
  <c r="I787" i="7" s="1"/>
  <c r="G788" i="7"/>
  <c r="I788" i="7" s="1"/>
  <c r="G789" i="7"/>
  <c r="I789" i="7" s="1"/>
  <c r="G790" i="7"/>
  <c r="I790" i="7" s="1"/>
  <c r="G791" i="7"/>
  <c r="I791" i="7" s="1"/>
  <c r="G792" i="7"/>
  <c r="I792" i="7" s="1"/>
  <c r="G793" i="7"/>
  <c r="I793" i="7" s="1"/>
  <c r="G794" i="7"/>
  <c r="I794" i="7" s="1"/>
  <c r="G795" i="7"/>
  <c r="I795" i="7" s="1"/>
  <c r="G796" i="7"/>
  <c r="I796" i="7" s="1"/>
  <c r="G797" i="7"/>
  <c r="I797" i="7" s="1"/>
  <c r="G798" i="7"/>
  <c r="I798" i="7" s="1"/>
  <c r="G799" i="7"/>
  <c r="I799" i="7" s="1"/>
  <c r="G800" i="7"/>
  <c r="I800" i="7" s="1"/>
  <c r="G801" i="7"/>
  <c r="I801" i="7" s="1"/>
  <c r="G802" i="7"/>
  <c r="I802" i="7" s="1"/>
  <c r="G803" i="7"/>
  <c r="I803" i="7" s="1"/>
  <c r="G804" i="7"/>
  <c r="I804" i="7" s="1"/>
  <c r="G805" i="7"/>
  <c r="I805" i="7" s="1"/>
  <c r="G806" i="7"/>
  <c r="I806" i="7" s="1"/>
  <c r="G807" i="7"/>
  <c r="I807" i="7" s="1"/>
  <c r="G808" i="7"/>
  <c r="I808" i="7" s="1"/>
  <c r="G809" i="7"/>
  <c r="I809" i="7" s="1"/>
  <c r="G810" i="7"/>
  <c r="I810" i="7" s="1"/>
  <c r="G811" i="7"/>
  <c r="I811" i="7" s="1"/>
  <c r="G812" i="7"/>
  <c r="I812" i="7" s="1"/>
  <c r="G813" i="7"/>
  <c r="I813" i="7" s="1"/>
  <c r="G814" i="7"/>
  <c r="I814" i="7" s="1"/>
  <c r="G815" i="7"/>
  <c r="I815" i="7" s="1"/>
  <c r="G816" i="7"/>
  <c r="I816" i="7" s="1"/>
  <c r="G817" i="7"/>
  <c r="I817" i="7" s="1"/>
  <c r="G818" i="7"/>
  <c r="I818" i="7" s="1"/>
  <c r="G819" i="7"/>
  <c r="I819" i="7" s="1"/>
  <c r="G820" i="7"/>
  <c r="I820" i="7" s="1"/>
  <c r="G821" i="7"/>
  <c r="I821" i="7" s="1"/>
  <c r="G822" i="7"/>
  <c r="I822" i="7" s="1"/>
  <c r="G823" i="7"/>
  <c r="I823" i="7" s="1"/>
  <c r="G824" i="7"/>
  <c r="I824" i="7" s="1"/>
  <c r="G825" i="7"/>
  <c r="I825" i="7" s="1"/>
  <c r="G826" i="7"/>
  <c r="I826" i="7" s="1"/>
  <c r="G827" i="7"/>
  <c r="I827" i="7" s="1"/>
  <c r="G828" i="7"/>
  <c r="I828" i="7" s="1"/>
  <c r="G829" i="7"/>
  <c r="I829" i="7" s="1"/>
  <c r="G830" i="7"/>
  <c r="I830" i="7" s="1"/>
  <c r="G831" i="7"/>
  <c r="I831" i="7" s="1"/>
  <c r="G832" i="7"/>
  <c r="I832" i="7" s="1"/>
  <c r="G833" i="7"/>
  <c r="I833" i="7" s="1"/>
  <c r="G834" i="7"/>
  <c r="I834" i="7" s="1"/>
  <c r="G835" i="7"/>
  <c r="I835" i="7" s="1"/>
  <c r="G2" i="7"/>
  <c r="I2" i="7" s="1"/>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696" i="11"/>
  <c r="F697" i="11"/>
  <c r="F698" i="11"/>
  <c r="F699" i="11"/>
  <c r="F700" i="11"/>
  <c r="F701" i="11"/>
  <c r="F702" i="11"/>
  <c r="F703" i="11"/>
  <c r="F704" i="11"/>
  <c r="F705" i="11"/>
  <c r="F706" i="11"/>
  <c r="F707" i="11"/>
  <c r="F708" i="11"/>
  <c r="F709" i="11"/>
  <c r="F710" i="11"/>
  <c r="F711" i="11"/>
  <c r="F712" i="11"/>
  <c r="F713" i="11"/>
  <c r="F714" i="11"/>
  <c r="F715" i="11"/>
  <c r="F716" i="11"/>
  <c r="F717" i="11"/>
  <c r="F718" i="11"/>
  <c r="F719" i="11"/>
  <c r="F720" i="11"/>
  <c r="F721" i="11"/>
  <c r="F722" i="11"/>
  <c r="F723" i="11"/>
  <c r="F724" i="11"/>
  <c r="F725" i="11"/>
  <c r="F726" i="11"/>
  <c r="F727" i="11"/>
  <c r="F728" i="11"/>
  <c r="F729" i="11"/>
  <c r="F730" i="11"/>
  <c r="F731" i="11"/>
  <c r="F732" i="11"/>
  <c r="F733" i="11"/>
  <c r="F734" i="11"/>
  <c r="F735" i="11"/>
  <c r="F736" i="11"/>
  <c r="F737" i="11"/>
  <c r="F738" i="11"/>
  <c r="F739" i="11"/>
  <c r="F740" i="11"/>
  <c r="F741" i="11"/>
  <c r="F742" i="11"/>
  <c r="F743" i="11"/>
  <c r="F744" i="11"/>
  <c r="F745" i="11"/>
  <c r="F746" i="11"/>
  <c r="F747" i="11"/>
  <c r="F748" i="11"/>
  <c r="F749" i="11"/>
  <c r="F750" i="11"/>
  <c r="F751" i="11"/>
  <c r="F752" i="11"/>
  <c r="F753" i="11"/>
  <c r="F754" i="11"/>
  <c r="F755" i="11"/>
  <c r="F756" i="11"/>
  <c r="F757" i="11"/>
  <c r="F758" i="11"/>
  <c r="F759" i="11"/>
  <c r="F760" i="11"/>
  <c r="F761" i="11"/>
  <c r="F762" i="11"/>
  <c r="F763" i="11"/>
  <c r="F764" i="11"/>
  <c r="F765" i="11"/>
  <c r="F766" i="11"/>
  <c r="F767" i="11"/>
  <c r="F768" i="11"/>
  <c r="F769" i="11"/>
  <c r="F770" i="11"/>
  <c r="F771" i="11"/>
  <c r="F772" i="11"/>
  <c r="F773" i="11"/>
  <c r="F774" i="11"/>
  <c r="F775" i="11"/>
  <c r="F776" i="11"/>
  <c r="F777" i="11"/>
  <c r="F778" i="11"/>
  <c r="F779" i="11"/>
  <c r="F780" i="11"/>
  <c r="F781" i="11"/>
  <c r="F782" i="11"/>
  <c r="F783" i="11"/>
  <c r="F784" i="11"/>
  <c r="F785" i="11"/>
  <c r="F786" i="11"/>
  <c r="F787" i="11"/>
  <c r="F788" i="11"/>
  <c r="F789" i="11"/>
  <c r="F790" i="11"/>
  <c r="F791" i="11"/>
  <c r="F792" i="11"/>
  <c r="F793" i="11"/>
  <c r="F794" i="11"/>
  <c r="F795" i="11"/>
  <c r="F796" i="11"/>
  <c r="F797" i="11"/>
  <c r="F798" i="11"/>
  <c r="F799" i="11"/>
  <c r="F800" i="11"/>
  <c r="F801" i="11"/>
  <c r="F802" i="11"/>
  <c r="F803" i="11"/>
  <c r="F804" i="11"/>
  <c r="F805" i="11"/>
  <c r="F806" i="11"/>
  <c r="F807" i="11"/>
  <c r="F808" i="11"/>
  <c r="F809" i="11"/>
  <c r="F810" i="11"/>
  <c r="F811" i="11"/>
  <c r="F812" i="11"/>
  <c r="F813" i="11"/>
  <c r="F814" i="11"/>
  <c r="F815" i="11"/>
  <c r="F816" i="11"/>
  <c r="F817" i="11"/>
  <c r="F818" i="11"/>
  <c r="F819" i="11"/>
  <c r="F820" i="11"/>
  <c r="F821" i="11"/>
  <c r="F822" i="11"/>
  <c r="F823" i="11"/>
  <c r="F824" i="11"/>
  <c r="F2" i="11"/>
  <c r="H2" i="11" s="1"/>
  <c r="D835" i="7"/>
  <c r="D834" i="7"/>
  <c r="E834" i="7" s="1"/>
  <c r="D833" i="7"/>
  <c r="E833" i="7" s="1"/>
  <c r="D832" i="7"/>
  <c r="E832" i="7" s="1"/>
  <c r="D831" i="7"/>
  <c r="E831" i="7" s="1"/>
  <c r="D830" i="7"/>
  <c r="E830" i="7" s="1"/>
  <c r="D829" i="7"/>
  <c r="E829" i="7" s="1"/>
  <c r="D369" i="7"/>
  <c r="E369" i="7" s="1"/>
  <c r="D287" i="7"/>
  <c r="E287" i="7" s="1"/>
  <c r="D235" i="7"/>
  <c r="E235" i="7" s="1"/>
  <c r="D290" i="7"/>
  <c r="E290" i="7" s="1"/>
  <c r="D764" i="7"/>
  <c r="E764" i="7" s="1"/>
  <c r="D485" i="7"/>
  <c r="E485" i="7" s="1"/>
  <c r="D559" i="7"/>
  <c r="E559" i="7" s="1"/>
  <c r="D328" i="7"/>
  <c r="E328" i="7" s="1"/>
  <c r="D696" i="7"/>
  <c r="E696" i="7" s="1"/>
  <c r="D192" i="7"/>
  <c r="E192" i="7" s="1"/>
  <c r="D227" i="7"/>
  <c r="E227" i="7" s="1"/>
  <c r="D304" i="7"/>
  <c r="E304" i="7" s="1"/>
  <c r="D668" i="7"/>
  <c r="E668" i="7" s="1"/>
  <c r="D401" i="7"/>
  <c r="E401" i="7" s="1"/>
  <c r="D223" i="7"/>
  <c r="E223" i="7" s="1"/>
  <c r="D653" i="7"/>
  <c r="E653" i="7" s="1"/>
  <c r="D534" i="7"/>
  <c r="E534" i="7" s="1"/>
  <c r="D540" i="7"/>
  <c r="E540" i="7" s="1"/>
  <c r="D634" i="7"/>
  <c r="E634" i="7" s="1"/>
  <c r="D476" i="7"/>
  <c r="E476" i="7" s="1"/>
  <c r="D752" i="7"/>
  <c r="E752" i="7" s="1"/>
  <c r="D344" i="7"/>
  <c r="E344" i="7" s="1"/>
  <c r="D407" i="7"/>
  <c r="E407" i="7" s="1"/>
  <c r="D479" i="7"/>
  <c r="E479" i="7" s="1"/>
  <c r="D492" i="7"/>
  <c r="E492" i="7" s="1"/>
  <c r="D242" i="7"/>
  <c r="E242" i="7" s="1"/>
  <c r="D195" i="7"/>
  <c r="E195" i="7" s="1"/>
  <c r="D158" i="7"/>
  <c r="E158" i="7" s="1"/>
  <c r="D43" i="7"/>
  <c r="E43" i="7" s="1"/>
  <c r="D419" i="7"/>
  <c r="E419" i="7" s="1"/>
  <c r="D553" i="7"/>
  <c r="E553" i="7" s="1"/>
  <c r="D536" i="7"/>
  <c r="E536" i="7" s="1"/>
  <c r="D522" i="7"/>
  <c r="E522" i="7" s="1"/>
  <c r="D270" i="7"/>
  <c r="E270" i="7" s="1"/>
  <c r="D283" i="7"/>
  <c r="E283" i="7" s="1"/>
  <c r="D28" i="7"/>
  <c r="E28" i="7" s="1"/>
  <c r="D193" i="7"/>
  <c r="E193" i="7" s="1"/>
  <c r="D498" i="7"/>
  <c r="E498" i="7" s="1"/>
  <c r="D657" i="7"/>
  <c r="E657" i="7" s="1"/>
  <c r="D520" i="7"/>
  <c r="E520" i="7" s="1"/>
  <c r="D565" i="7"/>
  <c r="E565" i="7" s="1"/>
  <c r="D400" i="7"/>
  <c r="E400" i="7" s="1"/>
  <c r="D317" i="7"/>
  <c r="E317" i="7" s="1"/>
  <c r="D444" i="7"/>
  <c r="E444" i="7" s="1"/>
  <c r="D434" i="7"/>
  <c r="E434" i="7" s="1"/>
  <c r="D295" i="7"/>
  <c r="E295" i="7" s="1"/>
  <c r="D355" i="7"/>
  <c r="E355" i="7" s="1"/>
  <c r="D654" i="7"/>
  <c r="E654" i="7" s="1"/>
  <c r="D548" i="7"/>
  <c r="E548" i="7" s="1"/>
  <c r="D257" i="7"/>
  <c r="E257" i="7" s="1"/>
  <c r="D455" i="7"/>
  <c r="E455" i="7" s="1"/>
  <c r="D474" i="7"/>
  <c r="E474" i="7" s="1"/>
  <c r="D356" i="7"/>
  <c r="E356" i="7" s="1"/>
  <c r="D359" i="7"/>
  <c r="E359" i="7" s="1"/>
  <c r="D561" i="7"/>
  <c r="E561" i="7" s="1"/>
  <c r="D153" i="7"/>
  <c r="E153" i="7" s="1"/>
  <c r="D284" i="7"/>
  <c r="E284" i="7" s="1"/>
  <c r="D267" i="7"/>
  <c r="E267" i="7" s="1"/>
  <c r="D131" i="7"/>
  <c r="E131" i="7" s="1"/>
  <c r="D77" i="7"/>
  <c r="E77" i="7" s="1"/>
  <c r="D217" i="7"/>
  <c r="E217" i="7" s="1"/>
  <c r="D233" i="7"/>
  <c r="E233" i="7" s="1"/>
  <c r="D30" i="7"/>
  <c r="E30" i="7" s="1"/>
  <c r="D106" i="7"/>
  <c r="E106" i="7" s="1"/>
  <c r="D76" i="7"/>
  <c r="E76" i="7" s="1"/>
  <c r="D70" i="7"/>
  <c r="E70" i="7" s="1"/>
  <c r="D44" i="7"/>
  <c r="E44" i="7" s="1"/>
  <c r="D8" i="7"/>
  <c r="E8" i="7" s="1"/>
  <c r="D89" i="7"/>
  <c r="E89" i="7" s="1"/>
  <c r="D35" i="7"/>
  <c r="E35" i="7" s="1"/>
  <c r="D72" i="7"/>
  <c r="E72" i="7" s="1"/>
  <c r="D151" i="7"/>
  <c r="E151" i="7" s="1"/>
  <c r="D63" i="7"/>
  <c r="E63" i="7" s="1"/>
  <c r="D170" i="7"/>
  <c r="E170" i="7" s="1"/>
  <c r="D92" i="7"/>
  <c r="E92" i="7" s="1"/>
  <c r="D362" i="7"/>
  <c r="E362" i="7" s="1"/>
  <c r="D198" i="7"/>
  <c r="E198" i="7" s="1"/>
  <c r="D129" i="7"/>
  <c r="E129" i="7" s="1"/>
  <c r="D276" i="7"/>
  <c r="E276" i="7" s="1"/>
  <c r="D252" i="7"/>
  <c r="E252" i="7" s="1"/>
  <c r="D226" i="7"/>
  <c r="E226" i="7" s="1"/>
  <c r="D174" i="7"/>
  <c r="E174" i="7" s="1"/>
  <c r="D210" i="7"/>
  <c r="E210" i="7" s="1"/>
  <c r="D160" i="7"/>
  <c r="E160" i="7" s="1"/>
  <c r="D218" i="7"/>
  <c r="E218" i="7" s="1"/>
  <c r="D157" i="7"/>
  <c r="E157" i="7" s="1"/>
  <c r="D104" i="7"/>
  <c r="E104" i="7" s="1"/>
  <c r="D718" i="7"/>
  <c r="E718" i="7" s="1"/>
  <c r="D395" i="7"/>
  <c r="E395" i="7" s="1"/>
  <c r="D4" i="7"/>
  <c r="E4" i="7" s="1"/>
  <c r="D659" i="7"/>
  <c r="E659" i="7" s="1"/>
  <c r="D591" i="7"/>
  <c r="E591" i="7" s="1"/>
  <c r="D691" i="7"/>
  <c r="E691" i="7" s="1"/>
  <c r="D323" i="7"/>
  <c r="E323" i="7" s="1"/>
  <c r="D75" i="7"/>
  <c r="E75" i="7" s="1"/>
  <c r="D475" i="7"/>
  <c r="E475" i="7" s="1"/>
  <c r="D33" i="7"/>
  <c r="E33" i="7" s="1"/>
  <c r="D568" i="7"/>
  <c r="E568" i="7" s="1"/>
  <c r="D12" i="7"/>
  <c r="E12" i="7" s="1"/>
  <c r="D279" i="7"/>
  <c r="E279" i="7" s="1"/>
  <c r="D100" i="7"/>
  <c r="E100" i="7" s="1"/>
  <c r="D509" i="7"/>
  <c r="E509" i="7" s="1"/>
  <c r="D114" i="7"/>
  <c r="E114" i="7" s="1"/>
  <c r="D186" i="7"/>
  <c r="E186" i="7" s="1"/>
  <c r="D463" i="7"/>
  <c r="E463" i="7" s="1"/>
  <c r="D51" i="7"/>
  <c r="E51" i="7" s="1"/>
  <c r="D431" i="7"/>
  <c r="E431" i="7" s="1"/>
  <c r="D326" i="7"/>
  <c r="E326" i="7" s="1"/>
  <c r="D41" i="7"/>
  <c r="E41" i="7" s="1"/>
  <c r="D660" i="7"/>
  <c r="E660" i="7" s="1"/>
  <c r="D603" i="7"/>
  <c r="E603" i="7" s="1"/>
  <c r="D571" i="7"/>
  <c r="E571" i="7" s="1"/>
  <c r="D229" i="7"/>
  <c r="E229" i="7" s="1"/>
  <c r="D329" i="7"/>
  <c r="E329" i="7" s="1"/>
  <c r="D18" i="7"/>
  <c r="E18" i="7" s="1"/>
  <c r="D102" i="7"/>
  <c r="E102" i="7" s="1"/>
  <c r="D682" i="7"/>
  <c r="E682" i="7" s="1"/>
  <c r="D2" i="7"/>
  <c r="E2" i="7" s="1"/>
  <c r="D738" i="7"/>
  <c r="E738" i="7" s="1"/>
  <c r="D271" i="7"/>
  <c r="E271" i="7" s="1"/>
  <c r="D263" i="7"/>
  <c r="E263" i="7" s="1"/>
  <c r="D487" i="7"/>
  <c r="E487" i="7" s="1"/>
  <c r="D118" i="7"/>
  <c r="E118" i="7" s="1"/>
  <c r="D414" i="7"/>
  <c r="E414" i="7" s="1"/>
  <c r="D306" i="7"/>
  <c r="E306" i="7" s="1"/>
  <c r="D470" i="7"/>
  <c r="E470" i="7" s="1"/>
  <c r="D116" i="7"/>
  <c r="E116" i="7" s="1"/>
  <c r="D551" i="7"/>
  <c r="E551" i="7" s="1"/>
  <c r="D501" i="7"/>
  <c r="E501" i="7" s="1"/>
  <c r="D537" i="7"/>
  <c r="E537" i="7" s="1"/>
  <c r="D386" i="7"/>
  <c r="E386" i="7" s="1"/>
  <c r="D141" i="7"/>
  <c r="E141" i="7" s="1"/>
  <c r="D173" i="7"/>
  <c r="E173" i="7" s="1"/>
  <c r="D144" i="7"/>
  <c r="E144" i="7" s="1"/>
  <c r="D420" i="7"/>
  <c r="E420" i="7" s="1"/>
  <c r="D246" i="7"/>
  <c r="E246" i="7" s="1"/>
  <c r="D133" i="7"/>
  <c r="E133" i="7" s="1"/>
  <c r="D542" i="7"/>
  <c r="E542" i="7" s="1"/>
  <c r="D417" i="7"/>
  <c r="E417" i="7" s="1"/>
  <c r="D143" i="7"/>
  <c r="E143" i="7" s="1"/>
  <c r="D437" i="7"/>
  <c r="E437" i="7" s="1"/>
  <c r="D335" i="7"/>
  <c r="E335" i="7" s="1"/>
  <c r="D648" i="7"/>
  <c r="E648" i="7" s="1"/>
  <c r="D546" i="7"/>
  <c r="E546" i="7" s="1"/>
  <c r="D666" i="7"/>
  <c r="E666" i="7" s="1"/>
  <c r="D278" i="7"/>
  <c r="E278" i="7" s="1"/>
  <c r="D436" i="7"/>
  <c r="E436" i="7" s="1"/>
  <c r="D471" i="7"/>
  <c r="E471" i="7" s="1"/>
  <c r="D181" i="7"/>
  <c r="E181" i="7" s="1"/>
  <c r="D167" i="7"/>
  <c r="E167" i="7" s="1"/>
  <c r="D71" i="7"/>
  <c r="E71" i="7" s="1"/>
  <c r="D154" i="7"/>
  <c r="E154" i="7" s="1"/>
  <c r="D105" i="7"/>
  <c r="E105" i="7" s="1"/>
  <c r="D433" i="7"/>
  <c r="E433" i="7" s="1"/>
  <c r="D452" i="7"/>
  <c r="E452" i="7" s="1"/>
  <c r="D389" i="7"/>
  <c r="E389" i="7" s="1"/>
  <c r="D590" i="7"/>
  <c r="E590" i="7" s="1"/>
  <c r="D588" i="7"/>
  <c r="E588" i="7" s="1"/>
  <c r="D593" i="7"/>
  <c r="E593" i="7" s="1"/>
  <c r="D610" i="7"/>
  <c r="E610" i="7" s="1"/>
  <c r="D625" i="7"/>
  <c r="E625" i="7" s="1"/>
  <c r="D557" i="7"/>
  <c r="E557" i="7" s="1"/>
  <c r="D478" i="7"/>
  <c r="E478" i="7" s="1"/>
  <c r="D728" i="7"/>
  <c r="E728" i="7" s="1"/>
  <c r="D761" i="7"/>
  <c r="E761" i="7" s="1"/>
  <c r="D490" i="7"/>
  <c r="E490" i="7" s="1"/>
  <c r="D460" i="7"/>
  <c r="E460" i="7" s="1"/>
  <c r="D358" i="7"/>
  <c r="E358" i="7" s="1"/>
  <c r="D770" i="7"/>
  <c r="E770" i="7" s="1"/>
  <c r="D517" i="7"/>
  <c r="E517" i="7" s="1"/>
  <c r="D464" i="7"/>
  <c r="E464" i="7" s="1"/>
  <c r="D291" i="7"/>
  <c r="E291" i="7" s="1"/>
  <c r="D424" i="7"/>
  <c r="E424" i="7" s="1"/>
  <c r="D381" i="7"/>
  <c r="E381" i="7" s="1"/>
  <c r="D739" i="7"/>
  <c r="E739" i="7" s="1"/>
  <c r="D785" i="7"/>
  <c r="E785" i="7" s="1"/>
  <c r="D786" i="7"/>
  <c r="E786" i="7" s="1"/>
  <c r="D799" i="7"/>
  <c r="E799" i="7" s="1"/>
  <c r="D802" i="7"/>
  <c r="E802" i="7" s="1"/>
  <c r="D824" i="7"/>
  <c r="E824" i="7" s="1"/>
  <c r="D796" i="7"/>
  <c r="E796" i="7" s="1"/>
  <c r="D705" i="7"/>
  <c r="E705" i="7" s="1"/>
  <c r="D750" i="7"/>
  <c r="E750" i="7" s="1"/>
  <c r="D512" i="7"/>
  <c r="E512" i="7" s="1"/>
  <c r="D567" i="7"/>
  <c r="E567" i="7" s="1"/>
  <c r="D600" i="7"/>
  <c r="E600" i="7" s="1"/>
  <c r="D645" i="7"/>
  <c r="E645" i="7" s="1"/>
  <c r="D699" i="7"/>
  <c r="E699" i="7" s="1"/>
  <c r="D554" i="7"/>
  <c r="E554" i="7" s="1"/>
  <c r="D309" i="7"/>
  <c r="E309" i="7" s="1"/>
  <c r="D644" i="7"/>
  <c r="E644" i="7" s="1"/>
  <c r="D594" i="7"/>
  <c r="E594" i="7" s="1"/>
  <c r="D383" i="7"/>
  <c r="E383" i="7" s="1"/>
  <c r="D685" i="7"/>
  <c r="E685" i="7" s="1"/>
  <c r="D818" i="7"/>
  <c r="E818" i="7" s="1"/>
  <c r="D801" i="7"/>
  <c r="E801" i="7" s="1"/>
  <c r="D468" i="7"/>
  <c r="E468" i="7" s="1"/>
  <c r="D633" i="7"/>
  <c r="E633" i="7" s="1"/>
  <c r="D510" i="7"/>
  <c r="E510" i="7" s="1"/>
  <c r="D528" i="7"/>
  <c r="E528" i="7" s="1"/>
  <c r="D258" i="7"/>
  <c r="E258" i="7" s="1"/>
  <c r="D348" i="7"/>
  <c r="E348" i="7" s="1"/>
  <c r="D80" i="7"/>
  <c r="E80" i="7" s="1"/>
  <c r="D9" i="7"/>
  <c r="E9" i="7" s="1"/>
  <c r="D232" i="7"/>
  <c r="E232" i="7" s="1"/>
  <c r="D438" i="7"/>
  <c r="E438" i="7" s="1"/>
  <c r="D678" i="7"/>
  <c r="E678" i="7" s="1"/>
  <c r="D368" i="7"/>
  <c r="E368" i="7" s="1"/>
  <c r="D339" i="7"/>
  <c r="E339" i="7" s="1"/>
  <c r="D86" i="7"/>
  <c r="E86" i="7" s="1"/>
  <c r="D606" i="7"/>
  <c r="E606" i="7" s="1"/>
  <c r="D684" i="7"/>
  <c r="E684" i="7" s="1"/>
  <c r="D828" i="7"/>
  <c r="E828" i="7" s="1"/>
  <c r="D584" i="7"/>
  <c r="E584" i="7" s="1"/>
  <c r="D481" i="7"/>
  <c r="E481" i="7" s="1"/>
  <c r="D664" i="7"/>
  <c r="E664" i="7" s="1"/>
  <c r="D677" i="7"/>
  <c r="E677" i="7" s="1"/>
  <c r="D599" i="7"/>
  <c r="E599" i="7" s="1"/>
  <c r="D319" i="7"/>
  <c r="E319" i="7" s="1"/>
  <c r="D327" i="7"/>
  <c r="E327" i="7" s="1"/>
  <c r="D496" i="7"/>
  <c r="E496" i="7" s="1"/>
  <c r="D234" i="7"/>
  <c r="E234" i="7" s="1"/>
  <c r="D155" i="7"/>
  <c r="E155" i="7" s="1"/>
  <c r="D275" i="7"/>
  <c r="E275" i="7" s="1"/>
  <c r="D598" i="7"/>
  <c r="E598" i="7" s="1"/>
  <c r="D607" i="7"/>
  <c r="E607" i="7" s="1"/>
  <c r="D686" i="7"/>
  <c r="E686" i="7" s="1"/>
  <c r="D698" i="7"/>
  <c r="E698" i="7" s="1"/>
  <c r="D298" i="7"/>
  <c r="E298" i="7" s="1"/>
  <c r="D96" i="7"/>
  <c r="E96" i="7" s="1"/>
  <c r="D266" i="7"/>
  <c r="E266" i="7" s="1"/>
  <c r="D132" i="7"/>
  <c r="E132" i="7" s="1"/>
  <c r="D110" i="7"/>
  <c r="E110" i="7" s="1"/>
  <c r="D530" i="7"/>
  <c r="E530" i="7" s="1"/>
  <c r="D516" i="7"/>
  <c r="E516" i="7" s="1"/>
  <c r="D646" i="7"/>
  <c r="E646" i="7" s="1"/>
  <c r="D787" i="7"/>
  <c r="E787" i="7" s="1"/>
  <c r="D707" i="7"/>
  <c r="E707" i="7" s="1"/>
  <c r="D308" i="7"/>
  <c r="E308" i="7" s="1"/>
  <c r="D508" i="7"/>
  <c r="E508" i="7" s="1"/>
  <c r="D768" i="7"/>
  <c r="E768" i="7" s="1"/>
  <c r="D775" i="7"/>
  <c r="E775" i="7" s="1"/>
  <c r="D754" i="7"/>
  <c r="E754" i="7" s="1"/>
  <c r="D687" i="7"/>
  <c r="E687" i="7" s="1"/>
  <c r="D345" i="7"/>
  <c r="E345" i="7" s="1"/>
  <c r="D409" i="7"/>
  <c r="E409" i="7" s="1"/>
  <c r="D580" i="7"/>
  <c r="E580" i="7" s="1"/>
  <c r="D473" i="7"/>
  <c r="E473" i="7" s="1"/>
  <c r="D175" i="7"/>
  <c r="E175" i="7" s="1"/>
  <c r="D135" i="7"/>
  <c r="E135" i="7" s="1"/>
  <c r="D207" i="7"/>
  <c r="E207" i="7" s="1"/>
  <c r="D292" i="7"/>
  <c r="E292" i="7" s="1"/>
  <c r="D240" i="7"/>
  <c r="E240" i="7" s="1"/>
  <c r="D376" i="7"/>
  <c r="E376" i="7" s="1"/>
  <c r="D285" i="7"/>
  <c r="E285" i="7" s="1"/>
  <c r="D467" i="7"/>
  <c r="E467" i="7" s="1"/>
  <c r="D538" i="7"/>
  <c r="E538" i="7" s="1"/>
  <c r="D379" i="7"/>
  <c r="E379" i="7" s="1"/>
  <c r="D119" i="7"/>
  <c r="E119" i="7" s="1"/>
  <c r="D147" i="7"/>
  <c r="E147" i="7" s="1"/>
  <c r="D488" i="7"/>
  <c r="E488" i="7" s="1"/>
  <c r="D413" i="7"/>
  <c r="E413" i="7" s="1"/>
  <c r="D453" i="7"/>
  <c r="E453" i="7" s="1"/>
  <c r="D230" i="7"/>
  <c r="E230" i="7" s="1"/>
  <c r="D216" i="7"/>
  <c r="E216" i="7" s="1"/>
  <c r="D103" i="7"/>
  <c r="E103" i="7" s="1"/>
  <c r="D204" i="7"/>
  <c r="E204" i="7" s="1"/>
  <c r="D69" i="7"/>
  <c r="E69" i="7" s="1"/>
  <c r="D166" i="7"/>
  <c r="E166" i="7" s="1"/>
  <c r="D138" i="7"/>
  <c r="E138" i="7" s="1"/>
  <c r="D264" i="7"/>
  <c r="E264" i="7" s="1"/>
  <c r="D817" i="7"/>
  <c r="E817" i="7" s="1"/>
  <c r="D780" i="7"/>
  <c r="E780" i="7" s="1"/>
  <c r="D81" i="7"/>
  <c r="E81" i="7" s="1"/>
  <c r="D161" i="7"/>
  <c r="E161" i="7" s="1"/>
  <c r="D47" i="7"/>
  <c r="E47" i="7" s="1"/>
  <c r="D22" i="7"/>
  <c r="E22" i="7" s="1"/>
  <c r="D36" i="7"/>
  <c r="E36" i="7" s="1"/>
  <c r="D64" i="7"/>
  <c r="E64" i="7" s="1"/>
  <c r="D182" i="7"/>
  <c r="E182" i="7" s="1"/>
  <c r="D781" i="7"/>
  <c r="E781" i="7" s="1"/>
  <c r="D145" i="7"/>
  <c r="E145" i="7" s="1"/>
  <c r="D26" i="7"/>
  <c r="E26" i="7" s="1"/>
  <c r="D84" i="7"/>
  <c r="E84" i="7" s="1"/>
  <c r="D66" i="7"/>
  <c r="E66" i="7" s="1"/>
  <c r="D79" i="7"/>
  <c r="E79" i="7" s="1"/>
  <c r="D87" i="7"/>
  <c r="E87" i="7" s="1"/>
  <c r="D15" i="7"/>
  <c r="E15" i="7" s="1"/>
  <c r="D810" i="7"/>
  <c r="E810" i="7" s="1"/>
  <c r="D117" i="7"/>
  <c r="E117" i="7" s="1"/>
  <c r="D32" i="7"/>
  <c r="E32" i="7" s="1"/>
  <c r="D21" i="7"/>
  <c r="E21" i="7" s="1"/>
  <c r="D60" i="7"/>
  <c r="E60" i="7" s="1"/>
  <c r="D93" i="7"/>
  <c r="E93" i="7" s="1"/>
  <c r="D38" i="7"/>
  <c r="E38" i="7" s="1"/>
  <c r="D122" i="7"/>
  <c r="E122" i="7" s="1"/>
  <c r="D650" i="7"/>
  <c r="E650" i="7" s="1"/>
  <c r="D791" i="7"/>
  <c r="E791" i="7" s="1"/>
  <c r="D7" i="7"/>
  <c r="E7" i="7" s="1"/>
  <c r="D17" i="7"/>
  <c r="E17" i="7" s="1"/>
  <c r="D50" i="7"/>
  <c r="E50" i="7" s="1"/>
  <c r="D16" i="7"/>
  <c r="E16" i="7" s="1"/>
  <c r="D31" i="7"/>
  <c r="E31" i="7" s="1"/>
  <c r="D6" i="7"/>
  <c r="E6" i="7" s="1"/>
  <c r="D819" i="7"/>
  <c r="E819" i="7" s="1"/>
  <c r="D11" i="7"/>
  <c r="E11" i="7" s="1"/>
  <c r="D827" i="7"/>
  <c r="E827" i="7" s="1"/>
  <c r="D187" i="7"/>
  <c r="E187" i="7" s="1"/>
  <c r="D73" i="7"/>
  <c r="E73" i="7" s="1"/>
  <c r="D29" i="7"/>
  <c r="E29" i="7" s="1"/>
  <c r="D14" i="7"/>
  <c r="E14" i="7" s="1"/>
  <c r="D27" i="7"/>
  <c r="E27" i="7" s="1"/>
  <c r="D789" i="7"/>
  <c r="E789" i="7" s="1"/>
  <c r="D762" i="7"/>
  <c r="E762" i="7" s="1"/>
  <c r="D563" i="7"/>
  <c r="E563" i="7" s="1"/>
  <c r="D784" i="7"/>
  <c r="E784" i="7" s="1"/>
  <c r="D745" i="7"/>
  <c r="E745" i="7" s="1"/>
  <c r="D769" i="7"/>
  <c r="E769" i="7" s="1"/>
  <c r="D421" i="7"/>
  <c r="E421" i="7" s="1"/>
  <c r="D792" i="7"/>
  <c r="E792" i="7" s="1"/>
  <c r="D622" i="7"/>
  <c r="E622" i="7" s="1"/>
  <c r="D423" i="7"/>
  <c r="E423" i="7" s="1"/>
  <c r="D228" i="7"/>
  <c r="E228" i="7" s="1"/>
  <c r="D743" i="7"/>
  <c r="E743" i="7" s="1"/>
  <c r="D729" i="7"/>
  <c r="E729" i="7" s="1"/>
  <c r="D753" i="7"/>
  <c r="E753" i="7" s="1"/>
  <c r="D614" i="7"/>
  <c r="E614" i="7" s="1"/>
  <c r="D333" i="7"/>
  <c r="E333" i="7" s="1"/>
  <c r="D208" i="7"/>
  <c r="E208" i="7" s="1"/>
  <c r="D384" i="7"/>
  <c r="E384" i="7" s="1"/>
  <c r="D477" i="7"/>
  <c r="E477" i="7" s="1"/>
  <c r="D377" i="7"/>
  <c r="E377" i="7" s="1"/>
  <c r="D357" i="7"/>
  <c r="E357" i="7" s="1"/>
  <c r="D547" i="7"/>
  <c r="E547" i="7" s="1"/>
  <c r="D334" i="7"/>
  <c r="E334" i="7" s="1"/>
  <c r="D497" i="7"/>
  <c r="E497" i="7" s="1"/>
  <c r="D632" i="7"/>
  <c r="E632" i="7" s="1"/>
  <c r="D505" i="7"/>
  <c r="E505" i="7" s="1"/>
  <c r="D429" i="7"/>
  <c r="E429" i="7" s="1"/>
  <c r="D314" i="7"/>
  <c r="E314" i="7" s="1"/>
  <c r="D524" i="7"/>
  <c r="E524" i="7" s="1"/>
  <c r="D570" i="7"/>
  <c r="E570" i="7" s="1"/>
  <c r="D531" i="7"/>
  <c r="E531" i="7" s="1"/>
  <c r="D378" i="7"/>
  <c r="E378" i="7" s="1"/>
  <c r="D324" i="7"/>
  <c r="E324" i="7" s="1"/>
  <c r="D641" i="7"/>
  <c r="E641" i="7" s="1"/>
  <c r="D535" i="7"/>
  <c r="E535" i="7" s="1"/>
  <c r="D771" i="7"/>
  <c r="E771" i="7" s="1"/>
  <c r="D670" i="7"/>
  <c r="E670" i="7" s="1"/>
  <c r="D671" i="7"/>
  <c r="E671" i="7" s="1"/>
  <c r="D398" i="7"/>
  <c r="E398" i="7" s="1"/>
  <c r="D411" i="7"/>
  <c r="E411" i="7" s="1"/>
  <c r="D592" i="7"/>
  <c r="E592" i="7" s="1"/>
  <c r="D514" i="7"/>
  <c r="E514" i="7" s="1"/>
  <c r="D315" i="7"/>
  <c r="E315" i="7" s="1"/>
  <c r="D674" i="7"/>
  <c r="E674" i="7" s="1"/>
  <c r="D533" i="7"/>
  <c r="E533" i="7" s="1"/>
  <c r="D450" i="7"/>
  <c r="E450" i="7" s="1"/>
  <c r="D206" i="7"/>
  <c r="E206" i="7" s="1"/>
  <c r="D68" i="7"/>
  <c r="E68" i="7" s="1"/>
  <c r="D342" i="7"/>
  <c r="E342" i="7" s="1"/>
  <c r="D385" i="7"/>
  <c r="E385" i="7" s="1"/>
  <c r="D288" i="7"/>
  <c r="E288" i="7" s="1"/>
  <c r="D643" i="7"/>
  <c r="E643" i="7" s="1"/>
  <c r="D647" i="7"/>
  <c r="E647" i="7" s="1"/>
  <c r="D701" i="7"/>
  <c r="E701" i="7" s="1"/>
  <c r="D265" i="7"/>
  <c r="E265" i="7" s="1"/>
  <c r="D456" i="7"/>
  <c r="E456" i="7" s="1"/>
  <c r="D239" i="7"/>
  <c r="E239" i="7" s="1"/>
  <c r="D325" i="7"/>
  <c r="E325" i="7" s="1"/>
  <c r="D360" i="7"/>
  <c r="E360" i="7" s="1"/>
  <c r="D396" i="7"/>
  <c r="E396" i="7" s="1"/>
  <c r="D629" i="7"/>
  <c r="E629" i="7" s="1"/>
  <c r="D519" i="7"/>
  <c r="E519" i="7" s="1"/>
  <c r="D692" i="7"/>
  <c r="E692" i="7" s="1"/>
  <c r="D399" i="7"/>
  <c r="E399" i="7" s="1"/>
  <c r="D518" i="7"/>
  <c r="E518" i="7" s="1"/>
  <c r="D405" i="7"/>
  <c r="E405" i="7" s="1"/>
  <c r="D683" i="7"/>
  <c r="E683" i="7" s="1"/>
  <c r="D375" i="7"/>
  <c r="E375" i="7" s="1"/>
  <c r="D241" i="7"/>
  <c r="E241" i="7" s="1"/>
  <c r="D299" i="7"/>
  <c r="E299" i="7" s="1"/>
  <c r="D597" i="7"/>
  <c r="E597" i="7" s="1"/>
  <c r="D638" i="7"/>
  <c r="E638" i="7" s="1"/>
  <c r="D711" i="7"/>
  <c r="E711" i="7" s="1"/>
  <c r="D564" i="7"/>
  <c r="E564" i="7" s="1"/>
  <c r="D741" i="7"/>
  <c r="E741" i="7" s="1"/>
  <c r="D760" i="7"/>
  <c r="E760" i="7" s="1"/>
  <c r="D527" i="7"/>
  <c r="E527" i="7" s="1"/>
  <c r="D758" i="7"/>
  <c r="E758" i="7" s="1"/>
  <c r="D726" i="7"/>
  <c r="E726" i="7" s="1"/>
  <c r="D353" i="7"/>
  <c r="E353" i="7" s="1"/>
  <c r="D675" i="7"/>
  <c r="E675" i="7" s="1"/>
  <c r="D767" i="7"/>
  <c r="E767" i="7" s="1"/>
  <c r="D635" i="7"/>
  <c r="E635" i="7" s="1"/>
  <c r="D794" i="7"/>
  <c r="E794" i="7" s="1"/>
  <c r="D716" i="7"/>
  <c r="E716" i="7" s="1"/>
  <c r="D529" i="7"/>
  <c r="E529" i="7" s="1"/>
  <c r="D617" i="7"/>
  <c r="E617" i="7" s="1"/>
  <c r="D380" i="7"/>
  <c r="E380" i="7" s="1"/>
  <c r="D426" i="7"/>
  <c r="E426" i="7" s="1"/>
  <c r="D608" i="7"/>
  <c r="E608" i="7" s="1"/>
  <c r="D575" i="7"/>
  <c r="E575" i="7" s="1"/>
  <c r="D800" i="7"/>
  <c r="E800" i="7" s="1"/>
  <c r="D804" i="7"/>
  <c r="E804" i="7" s="1"/>
  <c r="D759" i="7"/>
  <c r="E759" i="7" s="1"/>
  <c r="D772" i="7"/>
  <c r="E772" i="7" s="1"/>
  <c r="D803" i="7"/>
  <c r="E803" i="7" s="1"/>
  <c r="D808" i="7"/>
  <c r="E808" i="7" s="1"/>
  <c r="D150" i="7"/>
  <c r="E150" i="7" s="1"/>
  <c r="D243" i="7"/>
  <c r="E243" i="7" s="1"/>
  <c r="D532" i="7"/>
  <c r="E532" i="7" s="1"/>
  <c r="D194" i="7"/>
  <c r="E194" i="7" s="1"/>
  <c r="D388" i="7"/>
  <c r="E388" i="7" s="1"/>
  <c r="D168" i="7"/>
  <c r="E168" i="7" s="1"/>
  <c r="D406" i="7"/>
  <c r="E406" i="7" s="1"/>
  <c r="D337" i="7"/>
  <c r="E337" i="7" s="1"/>
  <c r="D427" i="7"/>
  <c r="E427" i="7" s="1"/>
  <c r="D578" i="7"/>
  <c r="E578" i="7" s="1"/>
  <c r="D604" i="7"/>
  <c r="E604" i="7" s="1"/>
  <c r="D371" i="7"/>
  <c r="E371" i="7" s="1"/>
  <c r="D416" i="7"/>
  <c r="E416" i="7" s="1"/>
  <c r="D268" i="7"/>
  <c r="E268" i="7" s="1"/>
  <c r="D755" i="7"/>
  <c r="E755" i="7" s="1"/>
  <c r="D447" i="7"/>
  <c r="E447" i="7" s="1"/>
  <c r="D212" i="7"/>
  <c r="E212" i="7" s="1"/>
  <c r="D662" i="7"/>
  <c r="E662" i="7" s="1"/>
  <c r="D574" i="7"/>
  <c r="E574" i="7" s="1"/>
  <c r="D458" i="7"/>
  <c r="E458" i="7" s="1"/>
  <c r="D717" i="7"/>
  <c r="E717" i="7" s="1"/>
  <c r="D363" i="7"/>
  <c r="E363" i="7" s="1"/>
  <c r="D669" i="7"/>
  <c r="E669" i="7" s="1"/>
  <c r="D489" i="7"/>
  <c r="E489" i="7" s="1"/>
  <c r="D302" i="7"/>
  <c r="E302" i="7" s="1"/>
  <c r="D714" i="7"/>
  <c r="E714" i="7" s="1"/>
  <c r="D756" i="7"/>
  <c r="E756" i="7" s="1"/>
  <c r="D573" i="7"/>
  <c r="E573" i="7" s="1"/>
  <c r="D585" i="7"/>
  <c r="E585" i="7" s="1"/>
  <c r="D690" i="7"/>
  <c r="E690" i="7" s="1"/>
  <c r="D397" i="7"/>
  <c r="E397" i="7" s="1"/>
  <c r="D331" i="7"/>
  <c r="E331" i="7" s="1"/>
  <c r="D410" i="7"/>
  <c r="E410" i="7" s="1"/>
  <c r="D562" i="7"/>
  <c r="E562" i="7" s="1"/>
  <c r="D715" i="7"/>
  <c r="E715" i="7" s="1"/>
  <c r="D365" i="7"/>
  <c r="E365" i="7" s="1"/>
  <c r="D351" i="7"/>
  <c r="E351" i="7" s="1"/>
  <c r="D272" i="7"/>
  <c r="E272" i="7" s="1"/>
  <c r="D486" i="7"/>
  <c r="E486" i="7" s="1"/>
  <c r="D255" i="7"/>
  <c r="E255" i="7" s="1"/>
  <c r="D448" i="7"/>
  <c r="E448" i="7" s="1"/>
  <c r="D826" i="7"/>
  <c r="E826" i="7" s="1"/>
  <c r="D57" i="7"/>
  <c r="E57" i="7" s="1"/>
  <c r="D61" i="7"/>
  <c r="E61" i="7" s="1"/>
  <c r="D245" i="7"/>
  <c r="E245" i="7" s="1"/>
  <c r="D127" i="7"/>
  <c r="E127" i="7" s="1"/>
  <c r="D45" i="7"/>
  <c r="E45" i="7" s="1"/>
  <c r="D172" i="7"/>
  <c r="E172" i="7" s="1"/>
  <c r="D541" i="7"/>
  <c r="E541" i="7" s="1"/>
  <c r="D83" i="7"/>
  <c r="E83" i="7" s="1"/>
  <c r="D78" i="7"/>
  <c r="E78" i="7" s="1"/>
  <c r="D42" i="7"/>
  <c r="E42" i="7" s="1"/>
  <c r="D101" i="7"/>
  <c r="E101" i="7" s="1"/>
  <c r="D53" i="7"/>
  <c r="E53" i="7" s="1"/>
  <c r="D162" i="7"/>
  <c r="E162" i="7" s="1"/>
  <c r="D164" i="7"/>
  <c r="E164" i="7" s="1"/>
  <c r="D134" i="7"/>
  <c r="E134" i="7" s="1"/>
  <c r="D52" i="7"/>
  <c r="E52" i="7" s="1"/>
  <c r="D120" i="7"/>
  <c r="E120" i="7" s="1"/>
  <c r="D62" i="7"/>
  <c r="E62" i="7" s="1"/>
  <c r="D736" i="7"/>
  <c r="E736" i="7" s="1"/>
  <c r="D667" i="7"/>
  <c r="E667" i="7" s="1"/>
  <c r="D148" i="7"/>
  <c r="E148" i="7" s="1"/>
  <c r="D459" i="7"/>
  <c r="E459" i="7" s="1"/>
  <c r="D169" i="7"/>
  <c r="E169" i="7" s="1"/>
  <c r="D480" i="7"/>
  <c r="E480" i="7" s="1"/>
  <c r="D439" i="7"/>
  <c r="E439" i="7" s="1"/>
  <c r="D139" i="7"/>
  <c r="E139" i="7" s="1"/>
  <c r="D221" i="7"/>
  <c r="E221" i="7" s="1"/>
  <c r="D366" i="7"/>
  <c r="E366" i="7" s="1"/>
  <c r="D321" i="7"/>
  <c r="E321" i="7" s="1"/>
  <c r="D408" i="7"/>
  <c r="E408" i="7" s="1"/>
  <c r="D219" i="7"/>
  <c r="E219" i="7" s="1"/>
  <c r="D312" i="7"/>
  <c r="E312" i="7" s="1"/>
  <c r="D274" i="7"/>
  <c r="E274" i="7" s="1"/>
  <c r="D589" i="7"/>
  <c r="E589" i="7" s="1"/>
  <c r="D722" i="7"/>
  <c r="E722" i="7" s="1"/>
  <c r="D430" i="7"/>
  <c r="E430" i="7" s="1"/>
  <c r="D507" i="7"/>
  <c r="E507" i="7" s="1"/>
  <c r="D403" i="7"/>
  <c r="E403" i="7" s="1"/>
  <c r="D189" i="7"/>
  <c r="E189" i="7" s="1"/>
  <c r="D196" i="7"/>
  <c r="E196" i="7" s="1"/>
  <c r="D99" i="7"/>
  <c r="E99" i="7" s="1"/>
  <c r="D576" i="7"/>
  <c r="E576" i="7" s="1"/>
  <c r="D504" i="7"/>
  <c r="E504" i="7" s="1"/>
  <c r="D494" i="7"/>
  <c r="E494" i="7" s="1"/>
  <c r="D254" i="7"/>
  <c r="E254" i="7" s="1"/>
  <c r="D354" i="7"/>
  <c r="E354" i="7" s="1"/>
  <c r="D577" i="7"/>
  <c r="E577" i="7" s="1"/>
  <c r="D307" i="7"/>
  <c r="E307" i="7" s="1"/>
  <c r="D809" i="7"/>
  <c r="E809" i="7" s="1"/>
  <c r="D811" i="7"/>
  <c r="E811" i="7" s="1"/>
  <c r="D190" i="7"/>
  <c r="E190" i="7" s="1"/>
  <c r="D281" i="7"/>
  <c r="E281" i="7" s="1"/>
  <c r="D201" i="7"/>
  <c r="E201" i="7" s="1"/>
  <c r="D107" i="7"/>
  <c r="E107" i="7" s="1"/>
  <c r="D156" i="7"/>
  <c r="E156" i="7" s="1"/>
  <c r="D121" i="7"/>
  <c r="E121" i="7" s="1"/>
  <c r="D124" i="7"/>
  <c r="E124" i="7" s="1"/>
  <c r="D34" i="7"/>
  <c r="E34" i="7" s="1"/>
  <c r="D199" i="7"/>
  <c r="E199" i="7" s="1"/>
  <c r="D336" i="7"/>
  <c r="E336" i="7" s="1"/>
  <c r="D821" i="7"/>
  <c r="E821" i="7" s="1"/>
  <c r="D391" i="7"/>
  <c r="E391" i="7" s="1"/>
  <c r="D202" i="7"/>
  <c r="E202" i="7" s="1"/>
  <c r="D40" i="7"/>
  <c r="E40" i="7" s="1"/>
  <c r="D205" i="7"/>
  <c r="E205" i="7" s="1"/>
  <c r="D180" i="7"/>
  <c r="E180" i="7" s="1"/>
  <c r="D171" i="7"/>
  <c r="E171" i="7" s="1"/>
  <c r="D56" i="7"/>
  <c r="E56" i="7" s="1"/>
  <c r="D111" i="7"/>
  <c r="E111" i="7" s="1"/>
  <c r="D67" i="7"/>
  <c r="E67" i="7" s="1"/>
  <c r="D82" i="7"/>
  <c r="E82" i="7" s="1"/>
  <c r="D165" i="7"/>
  <c r="E165" i="7" s="1"/>
  <c r="D742" i="7"/>
  <c r="E742" i="7" s="1"/>
  <c r="D222" i="7"/>
  <c r="E222" i="7" s="1"/>
  <c r="D55" i="7"/>
  <c r="E55" i="7" s="1"/>
  <c r="D19" i="7"/>
  <c r="E19" i="7" s="1"/>
  <c r="D10" i="7"/>
  <c r="E10" i="7" s="1"/>
  <c r="D23" i="7"/>
  <c r="E23" i="7" s="1"/>
  <c r="D46" i="7"/>
  <c r="E46" i="7" s="1"/>
  <c r="D3" i="7"/>
  <c r="E3" i="7" s="1"/>
  <c r="D286" i="7"/>
  <c r="E286" i="7" s="1"/>
  <c r="D412" i="7"/>
  <c r="E412" i="7" s="1"/>
  <c r="D343" i="7"/>
  <c r="E343" i="7" s="1"/>
  <c r="D322" i="7"/>
  <c r="E322" i="7" s="1"/>
  <c r="D663" i="7"/>
  <c r="E663" i="7" s="1"/>
  <c r="D719" i="7"/>
  <c r="E719" i="7" s="1"/>
  <c r="D709" i="7"/>
  <c r="E709" i="7" s="1"/>
  <c r="D513" i="7"/>
  <c r="E513" i="7" s="1"/>
  <c r="D550" i="7"/>
  <c r="E550" i="7" s="1"/>
  <c r="D612" i="7"/>
  <c r="E612" i="7" s="1"/>
  <c r="D628" i="7"/>
  <c r="E628" i="7" s="1"/>
  <c r="D350" i="7"/>
  <c r="E350" i="7" s="1"/>
  <c r="D273" i="7"/>
  <c r="E273" i="7" s="1"/>
  <c r="D556" i="7"/>
  <c r="E556" i="7" s="1"/>
  <c r="D301" i="7"/>
  <c r="E301" i="7" s="1"/>
  <c r="D231" i="7"/>
  <c r="E231" i="7" s="1"/>
  <c r="D733" i="7"/>
  <c r="E733" i="7" s="1"/>
  <c r="D656" i="7"/>
  <c r="E656" i="7" s="1"/>
  <c r="D689" i="7"/>
  <c r="E689" i="7" s="1"/>
  <c r="D694" i="7"/>
  <c r="E694" i="7" s="1"/>
  <c r="D706" i="7"/>
  <c r="E706" i="7" s="1"/>
  <c r="D652" i="7"/>
  <c r="E652" i="7" s="1"/>
  <c r="D700" i="7"/>
  <c r="E700" i="7" s="1"/>
  <c r="D521" i="7"/>
  <c r="E521" i="7" s="1"/>
  <c r="D440" i="7"/>
  <c r="E440" i="7" s="1"/>
  <c r="D569" i="7"/>
  <c r="E569" i="7" s="1"/>
  <c r="D361" i="7"/>
  <c r="E361" i="7" s="1"/>
  <c r="D236" i="7"/>
  <c r="E236" i="7" s="1"/>
  <c r="D313" i="7"/>
  <c r="E313" i="7" s="1"/>
  <c r="D152" i="7"/>
  <c r="E152" i="7" s="1"/>
  <c r="D209" i="7"/>
  <c r="E209" i="7" s="1"/>
  <c r="D311" i="7"/>
  <c r="E311" i="7" s="1"/>
  <c r="D432" i="7"/>
  <c r="E432" i="7" s="1"/>
  <c r="D428" i="7"/>
  <c r="E428" i="7" s="1"/>
  <c r="D200" i="7"/>
  <c r="E200" i="7" s="1"/>
  <c r="D338" i="7"/>
  <c r="E338" i="7" s="1"/>
  <c r="D125" i="7"/>
  <c r="E125" i="7" s="1"/>
  <c r="D109" i="7"/>
  <c r="E109" i="7" s="1"/>
  <c r="D250" i="7"/>
  <c r="E250" i="7" s="1"/>
  <c r="D624" i="7"/>
  <c r="E624" i="7" s="1"/>
  <c r="D790" i="7"/>
  <c r="E790" i="7" s="1"/>
  <c r="D748" i="7"/>
  <c r="E748" i="7" s="1"/>
  <c r="D451" i="7"/>
  <c r="E451" i="7" s="1"/>
  <c r="D820" i="7"/>
  <c r="E820" i="7" s="1"/>
  <c r="D816" i="7"/>
  <c r="E816" i="7" s="1"/>
  <c r="D807" i="7"/>
  <c r="E807" i="7" s="1"/>
  <c r="D332" i="7"/>
  <c r="E332" i="7" s="1"/>
  <c r="D526" i="7"/>
  <c r="E526" i="7" s="1"/>
  <c r="D616" i="7"/>
  <c r="E616" i="7" s="1"/>
  <c r="D723" i="7"/>
  <c r="E723" i="7" s="1"/>
  <c r="D605" i="7"/>
  <c r="E605" i="7" s="1"/>
  <c r="D640" i="7"/>
  <c r="E640" i="7" s="1"/>
  <c r="D583" i="7"/>
  <c r="E583" i="7" s="1"/>
  <c r="D627" i="7"/>
  <c r="E627" i="7" s="1"/>
  <c r="D710" i="7"/>
  <c r="E710" i="7" s="1"/>
  <c r="D679" i="7"/>
  <c r="E679" i="7" s="1"/>
  <c r="D445" i="7"/>
  <c r="E445" i="7" s="1"/>
  <c r="D630" i="7"/>
  <c r="E630" i="7" s="1"/>
  <c r="D454" i="7"/>
  <c r="E454" i="7" s="1"/>
  <c r="D502" i="7"/>
  <c r="E502" i="7" s="1"/>
  <c r="D393" i="7"/>
  <c r="E393" i="7" s="1"/>
  <c r="D261" i="7"/>
  <c r="E261" i="7" s="1"/>
  <c r="D140" i="7"/>
  <c r="E140" i="7" s="1"/>
  <c r="D602" i="7"/>
  <c r="E602" i="7" s="1"/>
  <c r="D211" i="7"/>
  <c r="E211" i="7" s="1"/>
  <c r="D623" i="7"/>
  <c r="E623" i="7" s="1"/>
  <c r="D639" i="7"/>
  <c r="E639" i="7" s="1"/>
  <c r="D515" i="7"/>
  <c r="E515" i="7" s="1"/>
  <c r="D560" i="7"/>
  <c r="E560" i="7" s="1"/>
  <c r="D215" i="7"/>
  <c r="E215" i="7" s="1"/>
  <c r="D676" i="7"/>
  <c r="E676" i="7" s="1"/>
  <c r="D793" i="7"/>
  <c r="E793" i="7" s="1"/>
  <c r="D776" i="7"/>
  <c r="E776" i="7" s="1"/>
  <c r="D788" i="7"/>
  <c r="E788" i="7" s="1"/>
  <c r="D749" i="7"/>
  <c r="E749" i="7" s="1"/>
  <c r="D765" i="7"/>
  <c r="E765" i="7" s="1"/>
  <c r="D782" i="7"/>
  <c r="E782" i="7" s="1"/>
  <c r="D734" i="7"/>
  <c r="E734" i="7" s="1"/>
  <c r="D740" i="7"/>
  <c r="E740" i="7" s="1"/>
  <c r="D672" i="7"/>
  <c r="E672" i="7" s="1"/>
  <c r="D763" i="7"/>
  <c r="E763" i="7" s="1"/>
  <c r="D735" i="7"/>
  <c r="E735" i="7" s="1"/>
  <c r="D720" i="7"/>
  <c r="E720" i="7" s="1"/>
  <c r="D744" i="7"/>
  <c r="E744" i="7" s="1"/>
  <c r="D615" i="7"/>
  <c r="E615" i="7" s="1"/>
  <c r="D797" i="7"/>
  <c r="E797" i="7" s="1"/>
  <c r="D392" i="7"/>
  <c r="E392" i="7" s="1"/>
  <c r="D579" i="7"/>
  <c r="E579" i="7" s="1"/>
  <c r="D179" i="7"/>
  <c r="E179" i="7" s="1"/>
  <c r="D620" i="7"/>
  <c r="E620" i="7" s="1"/>
  <c r="D702" i="7"/>
  <c r="E702" i="7" s="1"/>
  <c r="D601" i="7"/>
  <c r="E601" i="7" s="1"/>
  <c r="D370" i="7"/>
  <c r="E370" i="7" s="1"/>
  <c r="D238" i="7"/>
  <c r="E238" i="7" s="1"/>
  <c r="D253" i="7"/>
  <c r="E253" i="7" s="1"/>
  <c r="D582" i="7"/>
  <c r="E582" i="7" s="1"/>
  <c r="D545" i="7"/>
  <c r="E545" i="7" s="1"/>
  <c r="D484" i="7"/>
  <c r="E484" i="7" s="1"/>
  <c r="D91" i="7"/>
  <c r="E91" i="7" s="1"/>
  <c r="D112" i="7"/>
  <c r="E112" i="7" s="1"/>
  <c r="D642" i="7"/>
  <c r="E642" i="7" s="1"/>
  <c r="D751" i="7"/>
  <c r="E751" i="7" s="1"/>
  <c r="D418" i="7"/>
  <c r="E418" i="7" s="1"/>
  <c r="D539" i="7"/>
  <c r="E539" i="7" s="1"/>
  <c r="D461" i="7"/>
  <c r="E461" i="7" s="1"/>
  <c r="D825" i="7"/>
  <c r="E825" i="7" s="1"/>
  <c r="D394" i="7"/>
  <c r="E394" i="7" s="1"/>
  <c r="D581" i="7"/>
  <c r="E581" i="7" s="1"/>
  <c r="D621" i="7"/>
  <c r="E621" i="7" s="1"/>
  <c r="D566" i="7"/>
  <c r="E566" i="7" s="1"/>
  <c r="D176" i="7"/>
  <c r="E176" i="7" s="1"/>
  <c r="D97" i="7"/>
  <c r="E97" i="7" s="1"/>
  <c r="D184" i="7"/>
  <c r="E184" i="7" s="1"/>
  <c r="D558" i="7"/>
  <c r="E558" i="7" s="1"/>
  <c r="D310" i="7"/>
  <c r="E310" i="7" s="1"/>
  <c r="D197" i="7"/>
  <c r="E197" i="7" s="1"/>
  <c r="D123" i="7"/>
  <c r="E123" i="7" s="1"/>
  <c r="D113" i="7"/>
  <c r="E113" i="7" s="1"/>
  <c r="D721" i="7"/>
  <c r="E721" i="7" s="1"/>
  <c r="D256" i="7"/>
  <c r="E256" i="7" s="1"/>
  <c r="D779" i="7"/>
  <c r="E779" i="7" s="1"/>
  <c r="D732" i="7"/>
  <c r="E732" i="7" s="1"/>
  <c r="D737" i="7"/>
  <c r="E737" i="7" s="1"/>
  <c r="D543" i="7"/>
  <c r="E543" i="7" s="1"/>
  <c r="D665" i="7"/>
  <c r="E665" i="7" s="1"/>
  <c r="D695" i="7"/>
  <c r="E695" i="7" s="1"/>
  <c r="D795" i="7"/>
  <c r="E795" i="7" s="1"/>
  <c r="D778" i="7"/>
  <c r="E778" i="7" s="1"/>
  <c r="D798" i="7"/>
  <c r="E798" i="7" s="1"/>
  <c r="D812" i="7"/>
  <c r="E812" i="7" s="1"/>
  <c r="D346" i="7"/>
  <c r="E346" i="7" s="1"/>
  <c r="D637" i="7"/>
  <c r="E637" i="7" s="1"/>
  <c r="D725" i="7"/>
  <c r="E725" i="7" s="1"/>
  <c r="D244" i="7"/>
  <c r="E244" i="7" s="1"/>
  <c r="D367" i="7"/>
  <c r="E367" i="7" s="1"/>
  <c r="D730" i="7"/>
  <c r="E730" i="7" s="1"/>
  <c r="D693" i="7"/>
  <c r="E693" i="7" s="1"/>
  <c r="D469" i="7"/>
  <c r="E469" i="7" s="1"/>
  <c r="D596" i="7"/>
  <c r="E596" i="7" s="1"/>
  <c r="D626" i="7"/>
  <c r="E626" i="7" s="1"/>
  <c r="D712" i="7"/>
  <c r="E712" i="7" s="1"/>
  <c r="D680" i="7"/>
  <c r="E680" i="7" s="1"/>
  <c r="D549" i="7"/>
  <c r="E549" i="7" s="1"/>
  <c r="D525" i="7"/>
  <c r="E525" i="7" s="1"/>
  <c r="D422" i="7"/>
  <c r="E422" i="7" s="1"/>
  <c r="D340" i="7"/>
  <c r="E340" i="7" s="1"/>
  <c r="D766" i="7"/>
  <c r="E766" i="7" s="1"/>
  <c r="D382" i="7"/>
  <c r="E382" i="7" s="1"/>
  <c r="D449" i="7"/>
  <c r="E449" i="7" s="1"/>
  <c r="D544" i="7"/>
  <c r="E544" i="7" s="1"/>
  <c r="D262" i="7"/>
  <c r="E262" i="7" s="1"/>
  <c r="D294" i="7"/>
  <c r="E294" i="7" s="1"/>
  <c r="D341" i="7"/>
  <c r="E341" i="7" s="1"/>
  <c r="D251" i="7"/>
  <c r="E251" i="7" s="1"/>
  <c r="D387" i="7"/>
  <c r="E387" i="7" s="1"/>
  <c r="D364" i="7"/>
  <c r="E364" i="7" s="1"/>
  <c r="D178" i="7"/>
  <c r="E178" i="7" s="1"/>
  <c r="D225" i="7"/>
  <c r="E225" i="7" s="1"/>
  <c r="D282" i="7"/>
  <c r="E282" i="7" s="1"/>
  <c r="D609" i="7"/>
  <c r="E609" i="7" s="1"/>
  <c r="D372" i="7"/>
  <c r="E372" i="7" s="1"/>
  <c r="D727" i="7"/>
  <c r="E727" i="7" s="1"/>
  <c r="D435" i="7"/>
  <c r="E435" i="7" s="1"/>
  <c r="D493" i="7"/>
  <c r="E493" i="7" s="1"/>
  <c r="D441" i="7"/>
  <c r="E441" i="7" s="1"/>
  <c r="D259" i="7"/>
  <c r="E259" i="7" s="1"/>
  <c r="D390" i="7"/>
  <c r="E390" i="7" s="1"/>
  <c r="D247" i="7"/>
  <c r="E247" i="7" s="1"/>
  <c r="D318" i="7"/>
  <c r="E318" i="7" s="1"/>
  <c r="D491" i="7"/>
  <c r="E491" i="7" s="1"/>
  <c r="D303" i="7"/>
  <c r="E303" i="7" s="1"/>
  <c r="D159" i="7"/>
  <c r="E159" i="7" s="1"/>
  <c r="D177" i="7"/>
  <c r="E177" i="7" s="1"/>
  <c r="D352" i="7"/>
  <c r="E352" i="7" s="1"/>
  <c r="D506" i="7"/>
  <c r="E506" i="7" s="1"/>
  <c r="D297" i="7"/>
  <c r="E297" i="7" s="1"/>
  <c r="D115" i="7"/>
  <c r="E115" i="7" s="1"/>
  <c r="D54" i="7"/>
  <c r="E54" i="7" s="1"/>
  <c r="D188" i="7"/>
  <c r="E188" i="7" s="1"/>
  <c r="D293" i="7"/>
  <c r="E293" i="7" s="1"/>
  <c r="D220" i="7"/>
  <c r="E220" i="7" s="1"/>
  <c r="D402" i="7"/>
  <c r="E402" i="7" s="1"/>
  <c r="D213" i="7"/>
  <c r="E213" i="7" s="1"/>
  <c r="D108" i="7"/>
  <c r="E108" i="7" s="1"/>
  <c r="D163" i="7"/>
  <c r="E163" i="7" s="1"/>
  <c r="D58" i="7"/>
  <c r="E58" i="7" s="1"/>
  <c r="D611" i="7"/>
  <c r="E611" i="7" s="1"/>
  <c r="D425" i="7"/>
  <c r="E425" i="7" s="1"/>
  <c r="D465" i="7"/>
  <c r="E465" i="7" s="1"/>
  <c r="D636" i="7"/>
  <c r="E636" i="7" s="1"/>
  <c r="D595" i="7"/>
  <c r="E595" i="7" s="1"/>
  <c r="D374" i="7"/>
  <c r="E374" i="7" s="1"/>
  <c r="D655" i="7"/>
  <c r="E655" i="7" s="1"/>
  <c r="D572" i="7"/>
  <c r="E572" i="7" s="1"/>
  <c r="D320" i="7"/>
  <c r="E320" i="7" s="1"/>
  <c r="D296" i="7"/>
  <c r="E296" i="7" s="1"/>
  <c r="D214" i="7"/>
  <c r="E214" i="7" s="1"/>
  <c r="D136" i="7"/>
  <c r="E136" i="7" s="1"/>
  <c r="D511" i="7"/>
  <c r="E511" i="7" s="1"/>
  <c r="D649" i="7"/>
  <c r="E649" i="7" s="1"/>
  <c r="D651" i="7"/>
  <c r="E651" i="7" s="1"/>
  <c r="D349" i="7"/>
  <c r="E349" i="7" s="1"/>
  <c r="D713" i="7"/>
  <c r="E713" i="7" s="1"/>
  <c r="D747" i="7"/>
  <c r="E747" i="7" s="1"/>
  <c r="D777" i="7"/>
  <c r="E777" i="7" s="1"/>
  <c r="D731" i="7"/>
  <c r="E731" i="7" s="1"/>
  <c r="D724" i="7"/>
  <c r="E724" i="7" s="1"/>
  <c r="D697" i="7"/>
  <c r="E697" i="7" s="1"/>
  <c r="D280" i="7"/>
  <c r="E280" i="7" s="1"/>
  <c r="D142" i="7"/>
  <c r="E142" i="7" s="1"/>
  <c r="D237" i="7"/>
  <c r="E237" i="7" s="1"/>
  <c r="D289" i="7"/>
  <c r="E289" i="7" s="1"/>
  <c r="D466" i="7"/>
  <c r="E466" i="7" s="1"/>
  <c r="D472" i="7"/>
  <c r="E472" i="7" s="1"/>
  <c r="D137" i="7"/>
  <c r="E137" i="7" s="1"/>
  <c r="D130" i="7"/>
  <c r="E130" i="7" s="1"/>
  <c r="D203" i="7"/>
  <c r="E203" i="7" s="1"/>
  <c r="D249" i="7"/>
  <c r="E249" i="7" s="1"/>
  <c r="D446" i="7"/>
  <c r="E446" i="7" s="1"/>
  <c r="D552" i="7"/>
  <c r="E552" i="7" s="1"/>
  <c r="D555" i="7"/>
  <c r="E555" i="7" s="1"/>
  <c r="D688" i="7"/>
  <c r="E688" i="7" s="1"/>
  <c r="D499" i="7"/>
  <c r="E499" i="7" s="1"/>
  <c r="D708" i="7"/>
  <c r="E708" i="7" s="1"/>
  <c r="D586" i="7"/>
  <c r="E586" i="7" s="1"/>
  <c r="D482" i="7"/>
  <c r="E482" i="7" s="1"/>
  <c r="D300" i="7"/>
  <c r="E300" i="7" s="1"/>
  <c r="D500" i="7"/>
  <c r="E500" i="7" s="1"/>
  <c r="D347" i="7"/>
  <c r="E347" i="7" s="1"/>
  <c r="D658" i="7"/>
  <c r="E658" i="7" s="1"/>
  <c r="D330" i="7"/>
  <c r="E330" i="7" s="1"/>
  <c r="D85" i="7"/>
  <c r="E85" i="7" s="1"/>
  <c r="D316" i="7"/>
  <c r="E316" i="7" s="1"/>
  <c r="D13" i="7"/>
  <c r="E13" i="7" s="1"/>
  <c r="D191" i="7"/>
  <c r="E191" i="7" s="1"/>
  <c r="D95" i="7"/>
  <c r="E95" i="7" s="1"/>
  <c r="D48" i="7"/>
  <c r="E48" i="7" s="1"/>
  <c r="D74" i="7"/>
  <c r="E74" i="7" s="1"/>
  <c r="D443" i="7"/>
  <c r="E443" i="7" s="1"/>
  <c r="D126" i="7"/>
  <c r="E126" i="7" s="1"/>
  <c r="D224" i="7"/>
  <c r="E224" i="7" s="1"/>
  <c r="D457" i="7"/>
  <c r="E457" i="7" s="1"/>
  <c r="D183" i="7"/>
  <c r="E183" i="7" s="1"/>
  <c r="D59" i="7"/>
  <c r="E59" i="7" s="1"/>
  <c r="D20" i="7"/>
  <c r="E20" i="7" s="1"/>
  <c r="D146" i="7"/>
  <c r="E146" i="7" s="1"/>
  <c r="D88" i="7"/>
  <c r="E88" i="7" s="1"/>
  <c r="D90" i="7"/>
  <c r="E90" i="7" s="1"/>
  <c r="D503" i="7"/>
  <c r="E503" i="7" s="1"/>
  <c r="D523" i="7"/>
  <c r="E523" i="7" s="1"/>
  <c r="D49" i="7"/>
  <c r="E49" i="7" s="1"/>
  <c r="D39" i="7"/>
  <c r="E39" i="7" s="1"/>
  <c r="D65" i="7"/>
  <c r="E65" i="7" s="1"/>
  <c r="D25" i="7"/>
  <c r="E25" i="7" s="1"/>
  <c r="D24" i="7"/>
  <c r="E24" i="7" s="1"/>
  <c r="D94" i="7"/>
  <c r="E94" i="7" s="1"/>
  <c r="D37" i="7"/>
  <c r="E37" i="7" s="1"/>
  <c r="D5" i="7"/>
  <c r="E5" i="7" s="1"/>
  <c r="D587" i="7"/>
  <c r="E587" i="7" s="1"/>
  <c r="D404" i="7"/>
  <c r="E404" i="7" s="1"/>
  <c r="D305" i="7"/>
  <c r="E305" i="7" s="1"/>
  <c r="D260" i="7"/>
  <c r="E260" i="7" s="1"/>
  <c r="D98" i="7"/>
  <c r="E98" i="7" s="1"/>
  <c r="D185" i="7"/>
  <c r="E185" i="7" s="1"/>
  <c r="D149" i="7"/>
  <c r="E149" i="7" s="1"/>
  <c r="D462" i="7"/>
  <c r="E462" i="7" s="1"/>
  <c r="D128" i="7"/>
  <c r="E128" i="7" s="1"/>
  <c r="D277" i="7"/>
  <c r="E277" i="7" s="1"/>
  <c r="D373" i="7"/>
  <c r="E373" i="7" s="1"/>
  <c r="D822" i="7"/>
  <c r="E822" i="7" s="1"/>
  <c r="D813" i="7"/>
  <c r="E813" i="7" s="1"/>
  <c r="D681" i="7"/>
  <c r="E681" i="7" s="1"/>
  <c r="D631" i="7"/>
  <c r="E631" i="7" s="1"/>
  <c r="D618" i="7"/>
  <c r="E618" i="7" s="1"/>
  <c r="D619" i="7"/>
  <c r="E619" i="7" s="1"/>
  <c r="D442" i="7"/>
  <c r="E442" i="7" s="1"/>
  <c r="D415" i="7"/>
  <c r="E415" i="7" s="1"/>
  <c r="D483" i="7"/>
  <c r="E483" i="7" s="1"/>
  <c r="D248" i="7"/>
  <c r="E248" i="7" s="1"/>
  <c r="D806" i="7"/>
  <c r="E806" i="7" s="1"/>
  <c r="D774" i="7"/>
  <c r="E774" i="7" s="1"/>
  <c r="D746" i="7"/>
  <c r="E746" i="7" s="1"/>
  <c r="D269" i="7"/>
  <c r="E269" i="7" s="1"/>
  <c r="D703" i="7"/>
  <c r="E703" i="7" s="1"/>
  <c r="D773" i="7"/>
  <c r="E773" i="7" s="1"/>
  <c r="D757" i="7"/>
  <c r="E757" i="7" s="1"/>
  <c r="D495" i="7"/>
  <c r="E495" i="7" s="1"/>
  <c r="D661" i="7"/>
  <c r="E661" i="7" s="1"/>
  <c r="D823" i="7"/>
  <c r="E823" i="7" s="1"/>
  <c r="D805" i="7"/>
  <c r="E805" i="7" s="1"/>
  <c r="D815" i="7"/>
  <c r="E815" i="7" s="1"/>
  <c r="D814" i="7"/>
  <c r="E814" i="7" s="1"/>
  <c r="D783" i="7"/>
  <c r="E783" i="7" s="1"/>
  <c r="D673" i="7"/>
  <c r="E673" i="7" s="1"/>
  <c r="D613" i="7"/>
  <c r="E613" i="7" s="1"/>
  <c r="D704" i="7"/>
  <c r="E704" i="7" s="1"/>
  <c r="H6" i="14" l="1"/>
  <c r="H12" i="14"/>
  <c r="H8" i="14"/>
  <c r="H10" i="14"/>
  <c r="P10" i="14"/>
  <c r="P12" i="14"/>
  <c r="P8" i="14"/>
  <c r="P6" i="14"/>
  <c r="K835" i="7"/>
  <c r="K832" i="7"/>
  <c r="K829" i="7"/>
  <c r="K826" i="7"/>
  <c r="K823" i="7"/>
  <c r="K820" i="7"/>
  <c r="K817" i="7"/>
  <c r="K814" i="7"/>
  <c r="K811" i="7"/>
  <c r="K834" i="7"/>
  <c r="K831" i="7"/>
  <c r="K828" i="7"/>
  <c r="K825" i="7"/>
  <c r="K822" i="7"/>
  <c r="K819" i="7"/>
  <c r="K816" i="7"/>
  <c r="K813" i="7"/>
  <c r="K810" i="7"/>
  <c r="K807" i="7"/>
  <c r="K804" i="7"/>
  <c r="K801" i="7"/>
  <c r="K798" i="7"/>
  <c r="K795" i="7"/>
  <c r="K792" i="7"/>
  <c r="K789" i="7"/>
  <c r="K786" i="7"/>
  <c r="K783" i="7"/>
  <c r="K780" i="7"/>
  <c r="K777" i="7"/>
  <c r="K774" i="7"/>
  <c r="K771" i="7"/>
  <c r="K768" i="7"/>
  <c r="K765" i="7"/>
  <c r="K762" i="7"/>
  <c r="K759" i="7"/>
  <c r="K756" i="7"/>
  <c r="K753" i="7"/>
  <c r="K750" i="7"/>
  <c r="K747" i="7"/>
  <c r="K744" i="7"/>
  <c r="K741" i="7"/>
  <c r="K738" i="7"/>
  <c r="K735" i="7"/>
  <c r="K732" i="7"/>
  <c r="K729" i="7"/>
  <c r="K726" i="7"/>
  <c r="K723" i="7"/>
  <c r="K720" i="7"/>
  <c r="K717" i="7"/>
  <c r="K714" i="7"/>
  <c r="K711" i="7"/>
  <c r="K708" i="7"/>
  <c r="K705" i="7"/>
  <c r="K702" i="7"/>
  <c r="K699" i="7"/>
  <c r="K696" i="7"/>
  <c r="K693" i="7"/>
  <c r="K690" i="7"/>
  <c r="K687" i="7"/>
  <c r="K684" i="7"/>
  <c r="K681" i="7"/>
  <c r="K678" i="7"/>
  <c r="K675" i="7"/>
  <c r="K672" i="7"/>
  <c r="K669" i="7"/>
  <c r="K666" i="7"/>
  <c r="K663" i="7"/>
  <c r="K660" i="7"/>
  <c r="K657" i="7"/>
  <c r="K654" i="7"/>
  <c r="K651" i="7"/>
  <c r="K648" i="7"/>
  <c r="K645" i="7"/>
  <c r="K642" i="7"/>
  <c r="K639" i="7"/>
  <c r="K636" i="7"/>
  <c r="K633" i="7"/>
  <c r="K630" i="7"/>
  <c r="K627" i="7"/>
  <c r="K624" i="7"/>
  <c r="K621" i="7"/>
  <c r="K618" i="7"/>
  <c r="K615" i="7"/>
  <c r="K612" i="7"/>
  <c r="K609" i="7"/>
  <c r="K606" i="7"/>
  <c r="K603" i="7"/>
  <c r="K600" i="7"/>
  <c r="K597" i="7"/>
  <c r="K594" i="7"/>
  <c r="K591" i="7"/>
  <c r="K588" i="7"/>
  <c r="K585" i="7"/>
  <c r="K582" i="7"/>
  <c r="K579" i="7"/>
  <c r="K576" i="7"/>
  <c r="K573" i="7"/>
  <c r="K570" i="7"/>
  <c r="K567" i="7"/>
  <c r="K564" i="7"/>
  <c r="K561" i="7"/>
  <c r="K558" i="7"/>
  <c r="K555" i="7"/>
  <c r="K552" i="7"/>
  <c r="K549" i="7"/>
  <c r="K546" i="7"/>
  <c r="K543" i="7"/>
  <c r="K540" i="7"/>
  <c r="K537" i="7"/>
  <c r="K534" i="7"/>
  <c r="K531" i="7"/>
  <c r="K528" i="7"/>
  <c r="K525" i="7"/>
  <c r="K522" i="7"/>
  <c r="K519" i="7"/>
  <c r="K516" i="7"/>
  <c r="K513" i="7"/>
  <c r="K510" i="7"/>
  <c r="K507" i="7"/>
  <c r="K504" i="7"/>
  <c r="K501" i="7"/>
  <c r="K498" i="7"/>
  <c r="K495" i="7"/>
  <c r="K492" i="7"/>
  <c r="K489" i="7"/>
  <c r="K486" i="7"/>
  <c r="K483" i="7"/>
  <c r="K480" i="7"/>
  <c r="K477" i="7"/>
  <c r="K474" i="7"/>
  <c r="K471" i="7"/>
  <c r="K468" i="7"/>
  <c r="K465" i="7"/>
  <c r="K462" i="7"/>
  <c r="K459" i="7"/>
  <c r="K456" i="7"/>
  <c r="K453" i="7"/>
  <c r="K2" i="7"/>
  <c r="K833" i="7"/>
  <c r="K830" i="7"/>
  <c r="K827" i="7"/>
  <c r="K824" i="7"/>
  <c r="K821" i="7"/>
  <c r="K818" i="7"/>
  <c r="K815" i="7"/>
  <c r="K812" i="7"/>
  <c r="K809" i="7"/>
  <c r="K806" i="7"/>
  <c r="K803" i="7"/>
  <c r="K800" i="7"/>
  <c r="K797" i="7"/>
  <c r="K794" i="7"/>
  <c r="K791" i="7"/>
  <c r="K788" i="7"/>
  <c r="K785" i="7"/>
  <c r="K782" i="7"/>
  <c r="K779" i="7"/>
  <c r="K776" i="7"/>
  <c r="K773" i="7"/>
  <c r="K770" i="7"/>
  <c r="K767" i="7"/>
  <c r="K764" i="7"/>
  <c r="K761" i="7"/>
  <c r="K758" i="7"/>
  <c r="K755" i="7"/>
  <c r="K752" i="7"/>
  <c r="K749" i="7"/>
  <c r="K746" i="7"/>
  <c r="K743" i="7"/>
  <c r="K740" i="7"/>
  <c r="K737" i="7"/>
  <c r="K734" i="7"/>
  <c r="K731" i="7"/>
  <c r="K728" i="7"/>
  <c r="K725" i="7"/>
  <c r="K722" i="7"/>
  <c r="K719" i="7"/>
  <c r="K716" i="7"/>
  <c r="K713" i="7"/>
  <c r="K710" i="7"/>
  <c r="K707" i="7"/>
  <c r="K704" i="7"/>
  <c r="K701" i="7"/>
  <c r="K698" i="7"/>
  <c r="K695" i="7"/>
  <c r="K692" i="7"/>
  <c r="K689" i="7"/>
  <c r="K686" i="7"/>
  <c r="K683" i="7"/>
  <c r="K680" i="7"/>
  <c r="K677" i="7"/>
  <c r="K674" i="7"/>
  <c r="K671" i="7"/>
  <c r="K668" i="7"/>
  <c r="K665" i="7"/>
  <c r="K662" i="7"/>
  <c r="K659" i="7"/>
  <c r="K656" i="7"/>
  <c r="K653" i="7"/>
  <c r="K650" i="7"/>
  <c r="K647" i="7"/>
  <c r="K644" i="7"/>
  <c r="K641" i="7"/>
  <c r="K638" i="7"/>
  <c r="K635" i="7"/>
  <c r="K632" i="7"/>
  <c r="K629" i="7"/>
  <c r="K626" i="7"/>
  <c r="K623" i="7"/>
  <c r="K620" i="7"/>
  <c r="K617" i="7"/>
  <c r="K614" i="7"/>
  <c r="K611" i="7"/>
  <c r="K608" i="7"/>
  <c r="K605" i="7"/>
  <c r="K602" i="7"/>
  <c r="K599" i="7"/>
  <c r="K596" i="7"/>
  <c r="K593" i="7"/>
  <c r="K590" i="7"/>
  <c r="K587" i="7"/>
  <c r="K584" i="7"/>
  <c r="K581" i="7"/>
  <c r="K578" i="7"/>
  <c r="K575" i="7"/>
  <c r="K572" i="7"/>
  <c r="K569" i="7"/>
  <c r="K566" i="7"/>
  <c r="K563" i="7"/>
  <c r="K560" i="7"/>
  <c r="K557" i="7"/>
  <c r="K554" i="7"/>
  <c r="K551" i="7"/>
  <c r="K548" i="7"/>
  <c r="K545" i="7"/>
  <c r="K542" i="7"/>
  <c r="K539" i="7"/>
  <c r="K536" i="7"/>
  <c r="K533" i="7"/>
  <c r="K530" i="7"/>
  <c r="K527" i="7"/>
  <c r="K524" i="7"/>
  <c r="K521" i="7"/>
  <c r="K518" i="7"/>
  <c r="K515" i="7"/>
  <c r="K512" i="7"/>
  <c r="K509" i="7"/>
  <c r="K506" i="7"/>
  <c r="K503" i="7"/>
  <c r="K500" i="7"/>
  <c r="K497" i="7"/>
  <c r="K494" i="7"/>
  <c r="K491" i="7"/>
  <c r="K488" i="7"/>
  <c r="K485" i="7"/>
  <c r="K482" i="7"/>
  <c r="K479" i="7"/>
  <c r="K476" i="7"/>
  <c r="K808" i="7"/>
  <c r="K805" i="7"/>
  <c r="K802" i="7"/>
  <c r="K799" i="7"/>
  <c r="K796" i="7"/>
  <c r="K793" i="7"/>
  <c r="K790" i="7"/>
  <c r="K787" i="7"/>
  <c r="K784" i="7"/>
  <c r="K781" i="7"/>
  <c r="K778" i="7"/>
  <c r="K775" i="7"/>
  <c r="K772" i="7"/>
  <c r="K769" i="7"/>
  <c r="K766" i="7"/>
  <c r="K763" i="7"/>
  <c r="K760" i="7"/>
  <c r="K757" i="7"/>
  <c r="K754" i="7"/>
  <c r="K751" i="7"/>
  <c r="K748" i="7"/>
  <c r="K745" i="7"/>
  <c r="K742" i="7"/>
  <c r="K739" i="7"/>
  <c r="K736" i="7"/>
  <c r="K733" i="7"/>
  <c r="K730" i="7"/>
  <c r="K727" i="7"/>
  <c r="K724" i="7"/>
  <c r="K721" i="7"/>
  <c r="K718" i="7"/>
  <c r="K715" i="7"/>
  <c r="K712" i="7"/>
  <c r="K709" i="7"/>
  <c r="K706" i="7"/>
  <c r="K703" i="7"/>
  <c r="K700" i="7"/>
  <c r="K697" i="7"/>
  <c r="K694" i="7"/>
  <c r="K691" i="7"/>
  <c r="K688" i="7"/>
  <c r="K685" i="7"/>
  <c r="K682" i="7"/>
  <c r="K679" i="7"/>
  <c r="K676" i="7"/>
  <c r="K673" i="7"/>
  <c r="K670" i="7"/>
  <c r="K667" i="7"/>
  <c r="K664" i="7"/>
  <c r="K661" i="7"/>
  <c r="K658" i="7"/>
  <c r="K655" i="7"/>
  <c r="K652" i="7"/>
  <c r="K649" i="7"/>
  <c r="K646" i="7"/>
  <c r="K643" i="7"/>
  <c r="K640" i="7"/>
  <c r="K637" i="7"/>
  <c r="K634" i="7"/>
  <c r="K631" i="7"/>
  <c r="K628" i="7"/>
  <c r="K625" i="7"/>
  <c r="K622" i="7"/>
  <c r="K619" i="7"/>
  <c r="K616" i="7"/>
  <c r="K613" i="7"/>
  <c r="K610" i="7"/>
  <c r="K607" i="7"/>
  <c r="K604" i="7"/>
  <c r="K601" i="7"/>
  <c r="K598" i="7"/>
  <c r="K595" i="7"/>
  <c r="K592" i="7"/>
  <c r="K589" i="7"/>
  <c r="K586" i="7"/>
  <c r="K583" i="7"/>
  <c r="K580" i="7"/>
  <c r="K577" i="7"/>
  <c r="K574" i="7"/>
  <c r="K571" i="7"/>
  <c r="K568" i="7"/>
  <c r="K565" i="7"/>
  <c r="K562" i="7"/>
  <c r="K559" i="7"/>
  <c r="K556" i="7"/>
  <c r="K553" i="7"/>
  <c r="K550" i="7"/>
  <c r="K547" i="7"/>
  <c r="K544" i="7"/>
  <c r="K541" i="7"/>
  <c r="K538" i="7"/>
  <c r="K535" i="7"/>
  <c r="K532" i="7"/>
  <c r="K529" i="7"/>
  <c r="K526" i="7"/>
  <c r="K523" i="7"/>
  <c r="K520" i="7"/>
  <c r="K517" i="7"/>
  <c r="K514" i="7"/>
  <c r="K511" i="7"/>
  <c r="K508" i="7"/>
  <c r="K505" i="7"/>
  <c r="K502" i="7"/>
  <c r="K499" i="7"/>
  <c r="K496" i="7"/>
  <c r="K493" i="7"/>
  <c r="K490" i="7"/>
  <c r="K487" i="7"/>
  <c r="K484" i="7"/>
  <c r="K481" i="7"/>
  <c r="K478" i="7"/>
  <c r="K475" i="7"/>
  <c r="K472" i="7"/>
  <c r="K469" i="7"/>
  <c r="K466" i="7"/>
  <c r="K463" i="7"/>
  <c r="K460" i="7"/>
  <c r="K450" i="7"/>
  <c r="K447" i="7"/>
  <c r="K444" i="7"/>
  <c r="K441" i="7"/>
  <c r="K438" i="7"/>
  <c r="K435" i="7"/>
  <c r="K432" i="7"/>
  <c r="K429" i="7"/>
  <c r="K426" i="7"/>
  <c r="K423" i="7"/>
  <c r="K420" i="7"/>
  <c r="K417" i="7"/>
  <c r="K414" i="7"/>
  <c r="K411" i="7"/>
  <c r="K408" i="7"/>
  <c r="K473" i="7"/>
  <c r="K470" i="7"/>
  <c r="K467" i="7"/>
  <c r="K464" i="7"/>
  <c r="K461" i="7"/>
  <c r="K458" i="7"/>
  <c r="K455" i="7"/>
  <c r="K452" i="7"/>
  <c r="K449" i="7"/>
  <c r="K446" i="7"/>
  <c r="K443" i="7"/>
  <c r="K440" i="7"/>
  <c r="K437" i="7"/>
  <c r="K434" i="7"/>
  <c r="K431" i="7"/>
  <c r="K428" i="7"/>
  <c r="K425" i="7"/>
  <c r="K422" i="7"/>
  <c r="K419" i="7"/>
  <c r="K416" i="7"/>
  <c r="K413" i="7"/>
  <c r="K410" i="7"/>
  <c r="K407" i="7"/>
  <c r="K404" i="7"/>
  <c r="K401" i="7"/>
  <c r="K398" i="7"/>
  <c r="K395" i="7"/>
  <c r="K392" i="7"/>
  <c r="K389" i="7"/>
  <c r="K386" i="7"/>
  <c r="K383" i="7"/>
  <c r="K380" i="7"/>
  <c r="K377" i="7"/>
  <c r="K374" i="7"/>
  <c r="K371" i="7"/>
  <c r="K368" i="7"/>
  <c r="K365" i="7"/>
  <c r="K362" i="7"/>
  <c r="K359" i="7"/>
  <c r="K356" i="7"/>
  <c r="K353" i="7"/>
  <c r="K350" i="7"/>
  <c r="K347" i="7"/>
  <c r="K344" i="7"/>
  <c r="K341" i="7"/>
  <c r="K338" i="7"/>
  <c r="K335" i="7"/>
  <c r="K332" i="7"/>
  <c r="K329" i="7"/>
  <c r="K326" i="7"/>
  <c r="K323" i="7"/>
  <c r="K320" i="7"/>
  <c r="K317" i="7"/>
  <c r="K314" i="7"/>
  <c r="K311" i="7"/>
  <c r="K308" i="7"/>
  <c r="K305" i="7"/>
  <c r="K302" i="7"/>
  <c r="K299" i="7"/>
  <c r="K296" i="7"/>
  <c r="K293" i="7"/>
  <c r="K290" i="7"/>
  <c r="K287" i="7"/>
  <c r="K284" i="7"/>
  <c r="K281" i="7"/>
  <c r="K278" i="7"/>
  <c r="K275" i="7"/>
  <c r="K272" i="7"/>
  <c r="K269" i="7"/>
  <c r="K266" i="7"/>
  <c r="K263" i="7"/>
  <c r="K260" i="7"/>
  <c r="K257" i="7"/>
  <c r="K254" i="7"/>
  <c r="K251" i="7"/>
  <c r="K248" i="7"/>
  <c r="K245" i="7"/>
  <c r="K242" i="7"/>
  <c r="K239" i="7"/>
  <c r="K236" i="7"/>
  <c r="K233" i="7"/>
  <c r="K230" i="7"/>
  <c r="K227" i="7"/>
  <c r="K224" i="7"/>
  <c r="K221" i="7"/>
  <c r="K218" i="7"/>
  <c r="K215" i="7"/>
  <c r="K212" i="7"/>
  <c r="K209" i="7"/>
  <c r="K206" i="7"/>
  <c r="K203" i="7"/>
  <c r="K200" i="7"/>
  <c r="K197" i="7"/>
  <c r="K194" i="7"/>
  <c r="K191" i="7"/>
  <c r="K188" i="7"/>
  <c r="K185" i="7"/>
  <c r="K182" i="7"/>
  <c r="K179" i="7"/>
  <c r="K176" i="7"/>
  <c r="K173" i="7"/>
  <c r="K170" i="7"/>
  <c r="K167" i="7"/>
  <c r="K164" i="7"/>
  <c r="K161" i="7"/>
  <c r="K158" i="7"/>
  <c r="K155" i="7"/>
  <c r="K152" i="7"/>
  <c r="K149" i="7"/>
  <c r="K146" i="7"/>
  <c r="K143" i="7"/>
  <c r="K140" i="7"/>
  <c r="K137" i="7"/>
  <c r="K134" i="7"/>
  <c r="K131" i="7"/>
  <c r="K128" i="7"/>
  <c r="K125" i="7"/>
  <c r="K122" i="7"/>
  <c r="K119" i="7"/>
  <c r="K116" i="7"/>
  <c r="K113" i="7"/>
  <c r="K110" i="7"/>
  <c r="K107" i="7"/>
  <c r="K104" i="7"/>
  <c r="K101" i="7"/>
  <c r="K98" i="7"/>
  <c r="K95" i="7"/>
  <c r="K92" i="7"/>
  <c r="K89" i="7"/>
  <c r="K86" i="7"/>
  <c r="K83" i="7"/>
  <c r="K80" i="7"/>
  <c r="K77" i="7"/>
  <c r="K74" i="7"/>
  <c r="K71" i="7"/>
  <c r="K68" i="7"/>
  <c r="K65" i="7"/>
  <c r="K62" i="7"/>
  <c r="K59" i="7"/>
  <c r="K56" i="7"/>
  <c r="K53" i="7"/>
  <c r="K50" i="7"/>
  <c r="K47" i="7"/>
  <c r="K44" i="7"/>
  <c r="K41" i="7"/>
  <c r="K38" i="7"/>
  <c r="K35" i="7"/>
  <c r="K32" i="7"/>
  <c r="K29" i="7"/>
  <c r="K26" i="7"/>
  <c r="K23" i="7"/>
  <c r="K20" i="7"/>
  <c r="K17" i="7"/>
  <c r="K14" i="7"/>
  <c r="K11" i="7"/>
  <c r="K8" i="7"/>
  <c r="K5" i="7"/>
  <c r="K457" i="7"/>
  <c r="K454" i="7"/>
  <c r="K451" i="7"/>
  <c r="K448" i="7"/>
  <c r="K445" i="7"/>
  <c r="K442" i="7"/>
  <c r="K439" i="7"/>
  <c r="K436" i="7"/>
  <c r="K433" i="7"/>
  <c r="K430" i="7"/>
  <c r="K427" i="7"/>
  <c r="K424" i="7"/>
  <c r="K421" i="7"/>
  <c r="K418" i="7"/>
  <c r="K415" i="7"/>
  <c r="K412" i="7"/>
  <c r="K409" i="7"/>
  <c r="K406" i="7"/>
  <c r="K403" i="7"/>
  <c r="K400" i="7"/>
  <c r="K397" i="7"/>
  <c r="K394" i="7"/>
  <c r="K391" i="7"/>
  <c r="K388" i="7"/>
  <c r="K385" i="7"/>
  <c r="K382" i="7"/>
  <c r="K379" i="7"/>
  <c r="K376" i="7"/>
  <c r="K373" i="7"/>
  <c r="K370" i="7"/>
  <c r="K367" i="7"/>
  <c r="K364" i="7"/>
  <c r="K361" i="7"/>
  <c r="K358" i="7"/>
  <c r="K355" i="7"/>
  <c r="K352" i="7"/>
  <c r="K349" i="7"/>
  <c r="K346" i="7"/>
  <c r="K343" i="7"/>
  <c r="K340" i="7"/>
  <c r="K337" i="7"/>
  <c r="K334" i="7"/>
  <c r="K331" i="7"/>
  <c r="K328" i="7"/>
  <c r="K325" i="7"/>
  <c r="K322" i="7"/>
  <c r="K319" i="7"/>
  <c r="K316" i="7"/>
  <c r="K313" i="7"/>
  <c r="K310" i="7"/>
  <c r="K307" i="7"/>
  <c r="K304" i="7"/>
  <c r="K301" i="7"/>
  <c r="K298" i="7"/>
  <c r="K295" i="7"/>
  <c r="K292" i="7"/>
  <c r="K289" i="7"/>
  <c r="K286" i="7"/>
  <c r="K283" i="7"/>
  <c r="K280" i="7"/>
  <c r="K277" i="7"/>
  <c r="K274" i="7"/>
  <c r="K271" i="7"/>
  <c r="K268" i="7"/>
  <c r="K265" i="7"/>
  <c r="K262" i="7"/>
  <c r="K259" i="7"/>
  <c r="K256" i="7"/>
  <c r="K253" i="7"/>
  <c r="K250" i="7"/>
  <c r="K247" i="7"/>
  <c r="K244" i="7"/>
  <c r="K241" i="7"/>
  <c r="K238" i="7"/>
  <c r="K235" i="7"/>
  <c r="K232" i="7"/>
  <c r="K229" i="7"/>
  <c r="K226" i="7"/>
  <c r="K223" i="7"/>
  <c r="K220" i="7"/>
  <c r="K217" i="7"/>
  <c r="K214" i="7"/>
  <c r="K211" i="7"/>
  <c r="K208" i="7"/>
  <c r="K205" i="7"/>
  <c r="K202" i="7"/>
  <c r="K199" i="7"/>
  <c r="K196" i="7"/>
  <c r="K193" i="7"/>
  <c r="K190" i="7"/>
  <c r="K187" i="7"/>
  <c r="K184" i="7"/>
  <c r="K181" i="7"/>
  <c r="K178" i="7"/>
  <c r="K175" i="7"/>
  <c r="K172" i="7"/>
  <c r="K169" i="7"/>
  <c r="K166" i="7"/>
  <c r="K163" i="7"/>
  <c r="K160" i="7"/>
  <c r="K157" i="7"/>
  <c r="K154" i="7"/>
  <c r="K151" i="7"/>
  <c r="K148" i="7"/>
  <c r="K145" i="7"/>
  <c r="K142" i="7"/>
  <c r="K139" i="7"/>
  <c r="K136" i="7"/>
  <c r="K133" i="7"/>
  <c r="K130" i="7"/>
  <c r="K127" i="7"/>
  <c r="K124" i="7"/>
  <c r="K121" i="7"/>
  <c r="K118" i="7"/>
  <c r="K115" i="7"/>
  <c r="K112" i="7"/>
  <c r="K109" i="7"/>
  <c r="K106" i="7"/>
  <c r="K103" i="7"/>
  <c r="K100" i="7"/>
  <c r="K97" i="7"/>
  <c r="K94" i="7"/>
  <c r="K91" i="7"/>
  <c r="K88" i="7"/>
  <c r="K85" i="7"/>
  <c r="K82" i="7"/>
  <c r="K79" i="7"/>
  <c r="K76" i="7"/>
  <c r="K73" i="7"/>
  <c r="K70" i="7"/>
  <c r="K67" i="7"/>
  <c r="K64" i="7"/>
  <c r="K61" i="7"/>
  <c r="K58" i="7"/>
  <c r="K55" i="7"/>
  <c r="K52" i="7"/>
  <c r="K49" i="7"/>
  <c r="K46" i="7"/>
  <c r="K43" i="7"/>
  <c r="K40" i="7"/>
  <c r="K37" i="7"/>
  <c r="K34" i="7"/>
  <c r="K31" i="7"/>
  <c r="K28" i="7"/>
  <c r="K25" i="7"/>
  <c r="K22" i="7"/>
  <c r="K19" i="7"/>
  <c r="K16" i="7"/>
  <c r="K13" i="7"/>
  <c r="K10" i="7"/>
  <c r="K7" i="7"/>
  <c r="K4" i="7"/>
  <c r="K405" i="7"/>
  <c r="K402" i="7"/>
  <c r="K399" i="7"/>
  <c r="K396" i="7"/>
  <c r="K393" i="7"/>
  <c r="K390" i="7"/>
  <c r="K387" i="7"/>
  <c r="K384" i="7"/>
  <c r="K381" i="7"/>
  <c r="K378" i="7"/>
  <c r="K375" i="7"/>
  <c r="K372" i="7"/>
  <c r="K369" i="7"/>
  <c r="K366" i="7"/>
  <c r="K363" i="7"/>
  <c r="K360" i="7"/>
  <c r="K357" i="7"/>
  <c r="K354" i="7"/>
  <c r="K351" i="7"/>
  <c r="K348" i="7"/>
  <c r="K345" i="7"/>
  <c r="K342" i="7"/>
  <c r="K339" i="7"/>
  <c r="K336" i="7"/>
  <c r="K333" i="7"/>
  <c r="K330" i="7"/>
  <c r="K327" i="7"/>
  <c r="K324" i="7"/>
  <c r="K321" i="7"/>
  <c r="K318" i="7"/>
  <c r="K315" i="7"/>
  <c r="K312" i="7"/>
  <c r="K309" i="7"/>
  <c r="K306" i="7"/>
  <c r="K303" i="7"/>
  <c r="K300" i="7"/>
  <c r="K297" i="7"/>
  <c r="K294" i="7"/>
  <c r="K291" i="7"/>
  <c r="K288" i="7"/>
  <c r="K285" i="7"/>
  <c r="K282" i="7"/>
  <c r="K279" i="7"/>
  <c r="K276" i="7"/>
  <c r="K273" i="7"/>
  <c r="K270" i="7"/>
  <c r="K267" i="7"/>
  <c r="K264" i="7"/>
  <c r="K261" i="7"/>
  <c r="K258" i="7"/>
  <c r="K255" i="7"/>
  <c r="K252" i="7"/>
  <c r="K249" i="7"/>
  <c r="K246" i="7"/>
  <c r="K243" i="7"/>
  <c r="K240" i="7"/>
  <c r="K237" i="7"/>
  <c r="K234" i="7"/>
  <c r="K231" i="7"/>
  <c r="K228" i="7"/>
  <c r="K225" i="7"/>
  <c r="K222" i="7"/>
  <c r="K219" i="7"/>
  <c r="K216" i="7"/>
  <c r="K213" i="7"/>
  <c r="K210" i="7"/>
  <c r="K207" i="7"/>
  <c r="K204" i="7"/>
  <c r="K201" i="7"/>
  <c r="K198" i="7"/>
  <c r="K195" i="7"/>
  <c r="K192" i="7"/>
  <c r="K189" i="7"/>
  <c r="K186" i="7"/>
  <c r="K183" i="7"/>
  <c r="K180" i="7"/>
  <c r="K177" i="7"/>
  <c r="K174" i="7"/>
  <c r="K171" i="7"/>
  <c r="K168" i="7"/>
  <c r="K165" i="7"/>
  <c r="K162" i="7"/>
  <c r="K159" i="7"/>
  <c r="K156" i="7"/>
  <c r="K153" i="7"/>
  <c r="K150" i="7"/>
  <c r="K147" i="7"/>
  <c r="K144" i="7"/>
  <c r="K141" i="7"/>
  <c r="K138" i="7"/>
  <c r="K135" i="7"/>
  <c r="K132" i="7"/>
  <c r="K129" i="7"/>
  <c r="K126" i="7"/>
  <c r="K123" i="7"/>
  <c r="K120" i="7"/>
  <c r="K117" i="7"/>
  <c r="K114" i="7"/>
  <c r="K111" i="7"/>
  <c r="K108" i="7"/>
  <c r="K105" i="7"/>
  <c r="K102" i="7"/>
  <c r="K99" i="7"/>
  <c r="K96" i="7"/>
  <c r="K93" i="7"/>
  <c r="K90" i="7"/>
  <c r="K87" i="7"/>
  <c r="K84" i="7"/>
  <c r="K81" i="7"/>
  <c r="K78" i="7"/>
  <c r="K75" i="7"/>
  <c r="K72" i="7"/>
  <c r="K69" i="7"/>
  <c r="K66" i="7"/>
  <c r="K63" i="7"/>
  <c r="K60" i="7"/>
  <c r="K57" i="7"/>
  <c r="K54" i="7"/>
  <c r="K51" i="7"/>
  <c r="K48" i="7"/>
  <c r="K45" i="7"/>
  <c r="K42" i="7"/>
  <c r="K39" i="7"/>
  <c r="K36" i="7"/>
  <c r="K33" i="7"/>
  <c r="K30" i="7"/>
  <c r="K27" i="7"/>
  <c r="K24" i="7"/>
  <c r="K21" i="7"/>
  <c r="K18" i="7"/>
  <c r="K15" i="7"/>
  <c r="K12" i="7"/>
  <c r="K9" i="7"/>
  <c r="K6" i="7"/>
  <c r="K3" i="7"/>
</calcChain>
</file>

<file path=xl/sharedStrings.xml><?xml version="1.0" encoding="utf-8"?>
<sst xmlns="http://schemas.openxmlformats.org/spreadsheetml/2006/main" count="109200" uniqueCount="12825">
  <si>
    <t>MEDIAN HOUSEHOLD INCOME IN THE PAST 12 MONTHS (IN 2019 INFLATION-ADJUSTED DOLLARS)</t>
  </si>
  <si>
    <t>Note: The table shown may have been modified by user selections. Some information may be missing.</t>
  </si>
  <si>
    <t>Census Code</t>
  </si>
  <si>
    <t>B19013</t>
  </si>
  <si>
    <t>Median Household Income IN the past 12 months</t>
  </si>
  <si>
    <t>DATA NOTES</t>
  </si>
  <si>
    <t/>
  </si>
  <si>
    <t>DP05</t>
  </si>
  <si>
    <t>Average Household Size</t>
  </si>
  <si>
    <t>TABLE ID:</t>
  </si>
  <si>
    <t>S2503</t>
  </si>
  <si>
    <t>Median Census Housing Cost</t>
  </si>
  <si>
    <t>SURVEY/PROGRAM:</t>
  </si>
  <si>
    <t>American Community Survey</t>
  </si>
  <si>
    <t xml:space="preserve">For the Financial Characteristics table, hit transpose  on the Census website </t>
  </si>
  <si>
    <t>VINTAGE:</t>
  </si>
  <si>
    <t>2019</t>
  </si>
  <si>
    <t>Not all columns used</t>
  </si>
  <si>
    <t>DATASET:</t>
  </si>
  <si>
    <t>ACSDT5Y2019</t>
  </si>
  <si>
    <t>PRODUCT:</t>
  </si>
  <si>
    <t>ACS 5-Year Estimates Detailed Tables</t>
  </si>
  <si>
    <t>UNIVERSE:</t>
  </si>
  <si>
    <t>Households</t>
  </si>
  <si>
    <t>FTP URL:</t>
  </si>
  <si>
    <t>None</t>
  </si>
  <si>
    <t>API URL:</t>
  </si>
  <si>
    <t>https://api.census.gov/data/2019/acs/acs5</t>
  </si>
  <si>
    <t>USER SELECTIONS</t>
  </si>
  <si>
    <t>GEOS</t>
  </si>
  <si>
    <t>All Census Tracts within Connecticut</t>
  </si>
  <si>
    <t>TOPICS</t>
  </si>
  <si>
    <t>Income and Poverty; Income (Households, Families, Individuals)</t>
  </si>
  <si>
    <t>EXCLUDED COLUMNS</t>
  </si>
  <si>
    <t>Census Tract 101.01, Fairfield County, Connecticut!!Margin of Error</t>
  </si>
  <si>
    <t>Census Tract 101.02, Fairfield County, Connecticut!!Margin of Error</t>
  </si>
  <si>
    <t>Census Tract 102.01, Fairfield County, Connecticut!!Margin of Error</t>
  </si>
  <si>
    <t>Census Tract 102.02, Fairfield County, Connecticut!!Margin of Error</t>
  </si>
  <si>
    <t>Census Tract 103, Fairfield County, Connecticut!!Margin of Error</t>
  </si>
  <si>
    <t>Census Tract 104, Fairfield County, Connecticut!!Margin of Error</t>
  </si>
  <si>
    <t>Census Tract 105, Fairfield County, Connecticut!!Margin of Error</t>
  </si>
  <si>
    <t>Census Tract 106, Fairfield County, Connecticut!!Margin of Error</t>
  </si>
  <si>
    <t>Census Tract 107, Fairfield County, Connecticut!!Margin of Error</t>
  </si>
  <si>
    <t>Census Tract 108, Fairfield County, Connecticut!!Margin of Error</t>
  </si>
  <si>
    <t>Census Tract 109, Fairfield County, Connecticut!!Margin of Error</t>
  </si>
  <si>
    <t>Census Tract 110, Fairfield County, Connecticut!!Margin of Error</t>
  </si>
  <si>
    <t>Census Tract 111, Fairfield County, Connecticut!!Margin of Error</t>
  </si>
  <si>
    <t>Census Tract 112, Fairfield County, Connecticut!!Margin of Error</t>
  </si>
  <si>
    <t>Census Tract 113, Fairfield County, Connecticut!!Margin of Error</t>
  </si>
  <si>
    <t>Census Tract 201, Fairfield County, Connecticut!!Margin of Error</t>
  </si>
  <si>
    <t>Census Tract 202, Fairfield County, Connecticut!!Margin of Error</t>
  </si>
  <si>
    <t>Census Tract 203, Fairfield County, Connecticut!!Margin of Error</t>
  </si>
  <si>
    <t>Census Tract 204, Fairfield County, Connecticut!!Margin of Error</t>
  </si>
  <si>
    <t>Census Tract 205, Fairfield County, Connecticut!!Margin of Error</t>
  </si>
  <si>
    <t>Census Tract 206, Fairfield County, Connecticut!!Margin of Error</t>
  </si>
  <si>
    <t>Census Tract 207, Fairfield County, Connecticut!!Margin of Error</t>
  </si>
  <si>
    <t>Census Tract 208, Fairfield County, Connecticut!!Margin of Error</t>
  </si>
  <si>
    <t>Census Tract 209, Fairfield County, Connecticut!!Margin of Error</t>
  </si>
  <si>
    <t>Census Tract 210, Fairfield County, Connecticut!!Margin of Error</t>
  </si>
  <si>
    <t>Census Tract 211, Fairfield County, Connecticut!!Margin of Error</t>
  </si>
  <si>
    <t>Census Tract 212, Fairfield County, Connecticut!!Margin of Error</t>
  </si>
  <si>
    <t>Census Tract 213, Fairfield County, Connecticut!!Margin of Error</t>
  </si>
  <si>
    <t>Census Tract 214, Fairfield County, Connecticut!!Margin of Error</t>
  </si>
  <si>
    <t>Census Tract 215, Fairfield County, Connecticut!!Margin of Error</t>
  </si>
  <si>
    <t>Census Tract 216, Fairfield County, Connecticut!!Margin of Error</t>
  </si>
  <si>
    <t>Census Tract 217, Fairfield County, Connecticut!!Margin of Error</t>
  </si>
  <si>
    <t>Census Tract 218.01, Fairfield County, Connecticut!!Margin of Error</t>
  </si>
  <si>
    <t>Census Tract 218.02, Fairfield County, Connecticut!!Margin of Error</t>
  </si>
  <si>
    <t>Census Tract 219, Fairfield County, Connecticut!!Margin of Error</t>
  </si>
  <si>
    <t>Census Tract 220, Fairfield County, Connecticut!!Margin of Error</t>
  </si>
  <si>
    <t>Census Tract 221, Fairfield County, Connecticut!!Margin of Error</t>
  </si>
  <si>
    <t>Census Tract 222, Fairfield County, Connecticut!!Margin of Error</t>
  </si>
  <si>
    <t>Census Tract 223, Fairfield County, Connecticut!!Margin of Error</t>
  </si>
  <si>
    <t>Census Tract 224, Fairfield County, Connecticut!!Margin of Error</t>
  </si>
  <si>
    <t>Census Tract 301, Fairfield County, Connecticut!!Margin of Error</t>
  </si>
  <si>
    <t>Census Tract 302, Fairfield County, Connecticut!!Margin of Error</t>
  </si>
  <si>
    <t>Census Tract 303, Fairfield County, Connecticut!!Margin of Error</t>
  </si>
  <si>
    <t>Census Tract 304, Fairfield County, Connecticut!!Margin of Error</t>
  </si>
  <si>
    <t>Census Tract 305, Fairfield County, Connecticut!!Margin of Error</t>
  </si>
  <si>
    <t>Census Tract 351, Fairfield County, Connecticut!!Margin of Error</t>
  </si>
  <si>
    <t>Census Tract 352, Fairfield County, Connecticut!!Margin of Error</t>
  </si>
  <si>
    <t>Census Tract 353, Fairfield County, Connecticut!!Margin of Error</t>
  </si>
  <si>
    <t>Census Tract 354, Fairfield County, Connecticut!!Margin of Error</t>
  </si>
  <si>
    <t>Census Tract 425, Fairfield County, Connecticut!!Margin of Error</t>
  </si>
  <si>
    <t>Census Tract 426, Fairfield County, Connecticut!!Margin of Error</t>
  </si>
  <si>
    <t>Census Tract 427, Fairfield County, Connecticut!!Margin of Error</t>
  </si>
  <si>
    <t>Census Tract 428, Fairfield County, Connecticut!!Margin of Error</t>
  </si>
  <si>
    <t>Census Tract 429, Fairfield County, Connecticut!!Margin of Error</t>
  </si>
  <si>
    <t>Census Tract 430, Fairfield County, Connecticut!!Margin of Error</t>
  </si>
  <si>
    <t>Census Tract 431, Fairfield County, Connecticut!!Margin of Error</t>
  </si>
  <si>
    <t>Census Tract 432, Fairfield County, Connecticut!!Margin of Error</t>
  </si>
  <si>
    <t>Census Tract 433, Fairfield County, Connecticut!!Margin of Error</t>
  </si>
  <si>
    <t>Census Tract 434, Fairfield County, Connecticut!!Margin of Error</t>
  </si>
  <si>
    <t>Census Tract 435, Fairfield County, Connecticut!!Margin of Error</t>
  </si>
  <si>
    <t>Census Tract 436, Fairfield County, Connecticut!!Margin of Error</t>
  </si>
  <si>
    <t>Census Tract 437, Fairfield County, Connecticut!!Margin of Error</t>
  </si>
  <si>
    <t>Census Tract 438, Fairfield County, Connecticut!!Margin of Error</t>
  </si>
  <si>
    <t>Census Tract 439, Fairfield County, Connecticut!!Margin of Error</t>
  </si>
  <si>
    <t>Census Tract 440, Fairfield County, Connecticut!!Margin of Error</t>
  </si>
  <si>
    <t>Census Tract 441, Fairfield County, Connecticut!!Margin of Error</t>
  </si>
  <si>
    <t>Census Tract 442, Fairfield County, Connecticut!!Margin of Error</t>
  </si>
  <si>
    <t>Census Tract 443, Fairfield County, Connecticut!!Margin of Error</t>
  </si>
  <si>
    <t>Census Tract 444, Fairfield County, Connecticut!!Margin of Error</t>
  </si>
  <si>
    <t>Census Tract 445, Fairfield County, Connecticut!!Margin of Error</t>
  </si>
  <si>
    <t>Census Tract 446, Fairfield County, Connecticut!!Margin of Error</t>
  </si>
  <si>
    <t>Census Tract 451.01, Fairfield County, Connecticut!!Margin of Error</t>
  </si>
  <si>
    <t>Census Tract 451.02, Fairfield County, Connecticut!!Margin of Error</t>
  </si>
  <si>
    <t>Census Tract 452, Fairfield County, Connecticut!!Margin of Error</t>
  </si>
  <si>
    <t>Census Tract 453, Fairfield County, Connecticut!!Margin of Error</t>
  </si>
  <si>
    <t>Census Tract 454, Fairfield County, Connecticut!!Margin of Error</t>
  </si>
  <si>
    <t>Census Tract 501, Fairfield County, Connecticut!!Margin of Error</t>
  </si>
  <si>
    <t>Census Tract 502, Fairfield County, Connecticut!!Margin of Error</t>
  </si>
  <si>
    <t>Census Tract 503, Fairfield County, Connecticut!!Margin of Error</t>
  </si>
  <si>
    <t>Census Tract 504, Fairfield County, Connecticut!!Margin of Error</t>
  </si>
  <si>
    <t>Census Tract 505, Fairfield County, Connecticut!!Margin of Error</t>
  </si>
  <si>
    <t>Census Tract 506, Fairfield County, Connecticut!!Margin of Error</t>
  </si>
  <si>
    <t>Census Tract 551, Fairfield County, Connecticut!!Margin of Error</t>
  </si>
  <si>
    <t>Census Tract 552, Fairfield County, Connecticut!!Margin of Error</t>
  </si>
  <si>
    <t>Census Tract 601, Fairfield County, Connecticut!!Margin of Error</t>
  </si>
  <si>
    <t>Census Tract 602, Fairfield County, Connecticut!!Margin of Error</t>
  </si>
  <si>
    <t>Census Tract 603, Fairfield County, Connecticut!!Margin of Error</t>
  </si>
  <si>
    <t>Census Tract 604, Fairfield County, Connecticut!!Margin of Error</t>
  </si>
  <si>
    <t>Census Tract 605, Fairfield County, Connecticut!!Margin of Error</t>
  </si>
  <si>
    <t>Census Tract 606, Fairfield County, Connecticut!!Margin of Error</t>
  </si>
  <si>
    <t>Census Tract 607, Fairfield County, Connecticut!!Margin of Error</t>
  </si>
  <si>
    <t>Census Tract 608, Fairfield County, Connecticut!!Margin of Error</t>
  </si>
  <si>
    <t>Census Tract 609, Fairfield County, Connecticut!!Margin of Error</t>
  </si>
  <si>
    <t>Census Tract 610, Fairfield County, Connecticut!!Margin of Error</t>
  </si>
  <si>
    <t>Census Tract 611, Fairfield County, Connecticut!!Margin of Error</t>
  </si>
  <si>
    <t>Census Tract 612, Fairfield County, Connecticut!!Margin of Error</t>
  </si>
  <si>
    <t>Census Tract 613, Fairfield County, Connecticut!!Margin of Error</t>
  </si>
  <si>
    <t>Census Tract 614, Fairfield County, Connecticut!!Margin of Error</t>
  </si>
  <si>
    <t>Census Tract 615, Fairfield County, Connecticut!!Margin of Error</t>
  </si>
  <si>
    <t>Census Tract 616, Fairfield County, Connecticut!!Margin of Error</t>
  </si>
  <si>
    <t>Census Tract 701, Fairfield County, Connecticut!!Margin of Error</t>
  </si>
  <si>
    <t>Census Tract 702, Fairfield County, Connecticut!!Margin of Error</t>
  </si>
  <si>
    <t>Census Tract 703, Fairfield County, Connecticut!!Margin of Error</t>
  </si>
  <si>
    <t>Census Tract 704, Fairfield County, Connecticut!!Margin of Error</t>
  </si>
  <si>
    <t>Census Tract 705, Fairfield County, Connecticut!!Margin of Error</t>
  </si>
  <si>
    <t>Census Tract 706, Fairfield County, Connecticut!!Margin of Error</t>
  </si>
  <si>
    <t>Census Tract 709, Fairfield County, Connecticut!!Margin of Error</t>
  </si>
  <si>
    <t>Census Tract 710, Fairfield County, Connecticut!!Margin of Error</t>
  </si>
  <si>
    <t>Census Tract 711, Fairfield County, Connecticut!!Margin of Error</t>
  </si>
  <si>
    <t>Census Tract 712, Fairfield County, Connecticut!!Margin of Error</t>
  </si>
  <si>
    <t>Census Tract 713, Fairfield County, Connecticut!!Margin of Error</t>
  </si>
  <si>
    <t>Census Tract 714, Fairfield County, Connecticut!!Margin of Error</t>
  </si>
  <si>
    <t>Census Tract 716, Fairfield County, Connecticut!!Margin of Error</t>
  </si>
  <si>
    <t>Census Tract 719, Fairfield County, Connecticut!!Margin of Error</t>
  </si>
  <si>
    <t>Census Tract 720, Fairfield County, Connecticut!!Margin of Error</t>
  </si>
  <si>
    <t>Census Tract 721, Fairfield County, Connecticut!!Margin of Error</t>
  </si>
  <si>
    <t>Census Tract 722, Fairfield County, Connecticut!!Margin of Error</t>
  </si>
  <si>
    <t>Census Tract 723, Fairfield County, Connecticut!!Margin of Error</t>
  </si>
  <si>
    <t>Census Tract 724, Fairfield County, Connecticut!!Margin of Error</t>
  </si>
  <si>
    <t>Census Tract 725, Fairfield County, Connecticut!!Margin of Error</t>
  </si>
  <si>
    <t>Census Tract 726, Fairfield County, Connecticut!!Margin of Error</t>
  </si>
  <si>
    <t>Census Tract 727, Fairfield County, Connecticut!!Margin of Error</t>
  </si>
  <si>
    <t>Census Tract 728, Fairfield County, Connecticut!!Margin of Error</t>
  </si>
  <si>
    <t>Census Tract 729, Fairfield County, Connecticut!!Margin of Error</t>
  </si>
  <si>
    <t>Census Tract 730, Fairfield County, Connecticut!!Margin of Error</t>
  </si>
  <si>
    <t>Census Tract 731, Fairfield County, Connecticut!!Margin of Error</t>
  </si>
  <si>
    <t>Census Tract 732, Fairfield County, Connecticut!!Margin of Error</t>
  </si>
  <si>
    <t>Census Tract 733, Fairfield County, Connecticut!!Margin of Error</t>
  </si>
  <si>
    <t>Census Tract 734, Fairfield County, Connecticut!!Margin of Error</t>
  </si>
  <si>
    <t>Census Tract 735, Fairfield County, Connecticut!!Margin of Error</t>
  </si>
  <si>
    <t>Census Tract 736, Fairfield County, Connecticut!!Margin of Error</t>
  </si>
  <si>
    <t>Census Tract 737, Fairfield County, Connecticut!!Margin of Error</t>
  </si>
  <si>
    <t>Census Tract 738, Fairfield County, Connecticut!!Margin of Error</t>
  </si>
  <si>
    <t>Census Tract 739, Fairfield County, Connecticut!!Margin of Error</t>
  </si>
  <si>
    <t>Census Tract 740, Fairfield County, Connecticut!!Margin of Error</t>
  </si>
  <si>
    <t>Census Tract 743, Fairfield County, Connecticut!!Margin of Error</t>
  </si>
  <si>
    <t>Census Tract 744, Fairfield County, Connecticut!!Margin of Error</t>
  </si>
  <si>
    <t>Census Tract 801, Fairfield County, Connecticut!!Margin of Error</t>
  </si>
  <si>
    <t>Census Tract 802, Fairfield County, Connecticut!!Margin of Error</t>
  </si>
  <si>
    <t>Census Tract 804, Fairfield County, Connecticut!!Margin of Error</t>
  </si>
  <si>
    <t>Census Tract 805, Fairfield County, Connecticut!!Margin of Error</t>
  </si>
  <si>
    <t>Census Tract 806, Fairfield County, Connecticut!!Margin of Error</t>
  </si>
  <si>
    <t>Census Tract 807, Fairfield County, Connecticut!!Margin of Error</t>
  </si>
  <si>
    <t>Census Tract 808, Fairfield County, Connecticut!!Margin of Error</t>
  </si>
  <si>
    <t>Census Tract 809, Fairfield County, Connecticut!!Margin of Error</t>
  </si>
  <si>
    <t>Census Tract 810, Fairfield County, Connecticut!!Margin of Error</t>
  </si>
  <si>
    <t>Census Tract 811, Fairfield County, Connecticut!!Margin of Error</t>
  </si>
  <si>
    <t>Census Tract 812, Fairfield County, Connecticut!!Margin of Error</t>
  </si>
  <si>
    <t>Census Tract 813, Fairfield County, Connecticut!!Margin of Error</t>
  </si>
  <si>
    <t>Census Tract 901, Fairfield County, Connecticut!!Margin of Error</t>
  </si>
  <si>
    <t>Census Tract 902, Fairfield County, Connecticut!!Margin of Error</t>
  </si>
  <si>
    <t>Census Tract 903, Fairfield County, Connecticut!!Margin of Error</t>
  </si>
  <si>
    <t>Census Tract 904, Fairfield County, Connecticut!!Margin of Error</t>
  </si>
  <si>
    <t>Census Tract 905, Fairfield County, Connecticut!!Margin of Error</t>
  </si>
  <si>
    <t>Census Tract 906, Fairfield County, Connecticut!!Margin of Error</t>
  </si>
  <si>
    <t>Census Tract 907, Fairfield County, Connecticut!!Margin of Error</t>
  </si>
  <si>
    <t>Census Tract 1001, Fairfield County, Connecticut!!Margin of Error</t>
  </si>
  <si>
    <t>Census Tract 1002, Fairfield County, Connecticut!!Margin of Error</t>
  </si>
  <si>
    <t>Census Tract 1003, Fairfield County, Connecticut!!Margin of Error</t>
  </si>
  <si>
    <t>Census Tract 1051, Fairfield County, Connecticut!!Margin of Error</t>
  </si>
  <si>
    <t>Census Tract 1052, Fairfield County, Connecticut!!Margin of Error</t>
  </si>
  <si>
    <t>Census Tract 1101, Fairfield County, Connecticut!!Margin of Error</t>
  </si>
  <si>
    <t>Census Tract 1102.01, Fairfield County, Connecticut!!Margin of Error</t>
  </si>
  <si>
    <t>Census Tract 1102.02, Fairfield County, Connecticut!!Margin of Error</t>
  </si>
  <si>
    <t>Census Tract 1103.01, Fairfield County, Connecticut!!Margin of Error</t>
  </si>
  <si>
    <t>Census Tract 1103.02, Fairfield County, Connecticut!!Margin of Error</t>
  </si>
  <si>
    <t>Census Tract 1104, Fairfield County, Connecticut!!Margin of Error</t>
  </si>
  <si>
    <t>Census Tract 1105, Fairfield County, Connecticut!!Margin of Error</t>
  </si>
  <si>
    <t>Census Tract 1106, Fairfield County, Connecticut!!Margin of Error</t>
  </si>
  <si>
    <t>Census Tract 2001, Fairfield County, Connecticut!!Margin of Error</t>
  </si>
  <si>
    <t>Census Tract 2002, Fairfield County, Connecticut!!Margin of Error</t>
  </si>
  <si>
    <t>Census Tract 2003.01, Fairfield County, Connecticut!!Margin of Error</t>
  </si>
  <si>
    <t>Census Tract 2003.02, Fairfield County, Connecticut!!Margin of Error</t>
  </si>
  <si>
    <t>Census Tract 2051, Fairfield County, Connecticut!!Margin of Error</t>
  </si>
  <si>
    <t>Census Tract 2052, Fairfield County, Connecticut!!Margin of Error</t>
  </si>
  <si>
    <t>Census Tract 2053, Fairfield County, Connecticut!!Margin of Error</t>
  </si>
  <si>
    <t>Census Tract 2101, Fairfield County, Connecticut!!Margin of Error</t>
  </si>
  <si>
    <t>Census Tract 2102, Fairfield County, Connecticut!!Margin of Error</t>
  </si>
  <si>
    <t>Census Tract 2103, Fairfield County, Connecticut!!Margin of Error</t>
  </si>
  <si>
    <t>Census Tract 2104, Fairfield County, Connecticut!!Margin of Error</t>
  </si>
  <si>
    <t>Census Tract 2105, Fairfield County, Connecticut!!Margin of Error</t>
  </si>
  <si>
    <t>Census Tract 2106, Fairfield County, Connecticut!!Margin of Error</t>
  </si>
  <si>
    <t>Census Tract 2107.01, Fairfield County, Connecticut!!Margin of Error</t>
  </si>
  <si>
    <t>Census Tract 2107.02, Fairfield County, Connecticut!!Margin of Error</t>
  </si>
  <si>
    <t>Census Tract 2108, Fairfield County, Connecticut!!Margin of Error</t>
  </si>
  <si>
    <t>Census Tract 2109, Fairfield County, Connecticut!!Margin of Error</t>
  </si>
  <si>
    <t>Census Tract 2110, Fairfield County, Connecticut!!Margin of Error</t>
  </si>
  <si>
    <t>Census Tract 2111, Fairfield County, Connecticut!!Margin of Error</t>
  </si>
  <si>
    <t>Census Tract 2112, Fairfield County, Connecticut!!Margin of Error</t>
  </si>
  <si>
    <t>Census Tract 2113, Fairfield County, Connecticut!!Margin of Error</t>
  </si>
  <si>
    <t>Census Tract 2114, Fairfield County, Connecticut!!Margin of Error</t>
  </si>
  <si>
    <t>Census Tract 2201, Fairfield County, Connecticut!!Margin of Error</t>
  </si>
  <si>
    <t>Census Tract 2202, Fairfield County, Connecticut!!Margin of Error</t>
  </si>
  <si>
    <t>Census Tract 2203, Fairfield County, Connecticut!!Margin of Error</t>
  </si>
  <si>
    <t>Census Tract 2301, Fairfield County, Connecticut!!Margin of Error</t>
  </si>
  <si>
    <t>Census Tract 2302, Fairfield County, Connecticut!!Margin of Error</t>
  </si>
  <si>
    <t>Census Tract 2303, Fairfield County, Connecticut!!Margin of Error</t>
  </si>
  <si>
    <t>Census Tract 2304, Fairfield County, Connecticut!!Margin of Error</t>
  </si>
  <si>
    <t>Census Tract 2305.01, Fairfield County, Connecticut!!Margin of Error</t>
  </si>
  <si>
    <t>Census Tract 2305.02, Fairfield County, Connecticut!!Margin of Error</t>
  </si>
  <si>
    <t>Census Tract 2401, Fairfield County, Connecticut!!Margin of Error</t>
  </si>
  <si>
    <t>Census Tract 2402, Fairfield County, Connecticut!!Margin of Error</t>
  </si>
  <si>
    <t>Census Tract 2451, Fairfield County, Connecticut!!Margin of Error</t>
  </si>
  <si>
    <t>Census Tract 2452, Fairfield County, Connecticut!!Margin of Error</t>
  </si>
  <si>
    <t>Census Tract 2453, Fairfield County, Connecticut!!Margin of Error</t>
  </si>
  <si>
    <t>Census Tract 2454, Fairfield County, Connecticut!!Margin of Error</t>
  </si>
  <si>
    <t>Census Tract 2455, Fairfield County, Connecticut!!Margin of Error</t>
  </si>
  <si>
    <t>Census Tract 2456, Fairfield County, Connecticut!!Margin of Error</t>
  </si>
  <si>
    <t>Census Tract 2571, Fairfield County, Connecticut!!Margin of Error</t>
  </si>
  <si>
    <t>Census Tract 2572, Fairfield County, Connecticut!!Margin of Error</t>
  </si>
  <si>
    <t>Census Tract 9900, Fairfield County, Connecticut!!Margin of Error</t>
  </si>
  <si>
    <t>Census Tract 3301, Hartford County, Connecticut!!Margin of Error</t>
  </si>
  <si>
    <t>Census Tract 4001, Hartford County, Connecticut!!Margin of Error</t>
  </si>
  <si>
    <t>Census Tract 4002, Hartford County, Connecticut!!Margin of Error</t>
  </si>
  <si>
    <t>Census Tract 4003, Hartford County, Connecticut!!Margin of Error</t>
  </si>
  <si>
    <t>Census Tract 4051, Hartford County, Connecticut!!Margin of Error</t>
  </si>
  <si>
    <t>Census Tract 4052, Hartford County, Connecticut!!Margin of Error</t>
  </si>
  <si>
    <t>Census Tract 4053, Hartford County, Connecticut!!Margin of Error</t>
  </si>
  <si>
    <t>Census Tract 4054.01, Hartford County, Connecticut!!Margin of Error</t>
  </si>
  <si>
    <t>Census Tract 4054.02, Hartford County, Connecticut!!Margin of Error</t>
  </si>
  <si>
    <t>Census Tract 4055, Hartford County, Connecticut!!Margin of Error</t>
  </si>
  <si>
    <t>Census Tract 4056, Hartford County, Connecticut!!Margin of Error</t>
  </si>
  <si>
    <t>Census Tract 4057, Hartford County, Connecticut!!Margin of Error</t>
  </si>
  <si>
    <t>Census Tract 4058, Hartford County, Connecticut!!Margin of Error</t>
  </si>
  <si>
    <t>Census Tract 4059, Hartford County, Connecticut!!Margin of Error</t>
  </si>
  <si>
    <t>Census Tract 4060.01, Hartford County, Connecticut!!Margin of Error</t>
  </si>
  <si>
    <t>Census Tract 4060.02, Hartford County, Connecticut!!Margin of Error</t>
  </si>
  <si>
    <t>Census Tract 4061, Hartford County, Connecticut!!Margin of Error</t>
  </si>
  <si>
    <t>Census Tract 4101.01, Hartford County, Connecticut!!Margin of Error</t>
  </si>
  <si>
    <t>Census Tract 4101.02, Hartford County, Connecticut!!Margin of Error</t>
  </si>
  <si>
    <t>Census Tract 4153, Hartford County, Connecticut!!Margin of Error</t>
  </si>
  <si>
    <t>Census Tract 4154, Hartford County, Connecticut!!Margin of Error</t>
  </si>
  <si>
    <t>Census Tract 4155, Hartford County, Connecticut!!Margin of Error</t>
  </si>
  <si>
    <t>Census Tract 4156, Hartford County, Connecticut!!Margin of Error</t>
  </si>
  <si>
    <t>Census Tract 4157, Hartford County, Connecticut!!Margin of Error</t>
  </si>
  <si>
    <t>Census Tract 4158, Hartford County, Connecticut!!Margin of Error</t>
  </si>
  <si>
    <t>Census Tract 4159, Hartford County, Connecticut!!Margin of Error</t>
  </si>
  <si>
    <t>Census Tract 4160, Hartford County, Connecticut!!Margin of Error</t>
  </si>
  <si>
    <t>Census Tract 4161, Hartford County, Connecticut!!Margin of Error</t>
  </si>
  <si>
    <t>Census Tract 4162, Hartford County, Connecticut!!Margin of Error</t>
  </si>
  <si>
    <t>Census Tract 4163, Hartford County, Connecticut!!Margin of Error</t>
  </si>
  <si>
    <t>Census Tract 4164, Hartford County, Connecticut!!Margin of Error</t>
  </si>
  <si>
    <t>Census Tract 4165, Hartford County, Connecticut!!Margin of Error</t>
  </si>
  <si>
    <t>Census Tract 4166, Hartford County, Connecticut!!Margin of Error</t>
  </si>
  <si>
    <t>Census Tract 4167, Hartford County, Connecticut!!Margin of Error</t>
  </si>
  <si>
    <t>Census Tract 4168, Hartford County, Connecticut!!Margin of Error</t>
  </si>
  <si>
    <t>Census Tract 4171, Hartford County, Connecticut!!Margin of Error</t>
  </si>
  <si>
    <t>Census Tract 4172, Hartford County, Connecticut!!Margin of Error</t>
  </si>
  <si>
    <t>Census Tract 4173, Hartford County, Connecticut!!Margin of Error</t>
  </si>
  <si>
    <t>Census Tract 4174, Hartford County, Connecticut!!Margin of Error</t>
  </si>
  <si>
    <t>Census Tract 4175, Hartford County, Connecticut!!Margin of Error</t>
  </si>
  <si>
    <t>Census Tract 4204, Hartford County, Connecticut!!Margin of Error</t>
  </si>
  <si>
    <t>Census Tract 4205, Hartford County, Connecticut!!Margin of Error</t>
  </si>
  <si>
    <t>Census Tract 4206, Hartford County, Connecticut!!Margin of Error</t>
  </si>
  <si>
    <t>Census Tract 4207, Hartford County, Connecticut!!Margin of Error</t>
  </si>
  <si>
    <t>Census Tract 4301, Hartford County, Connecticut!!Margin of Error</t>
  </si>
  <si>
    <t>Census Tract 4302.01, Hartford County, Connecticut!!Margin of Error</t>
  </si>
  <si>
    <t>Census Tract 4302.02, Hartford County, Connecticut!!Margin of Error</t>
  </si>
  <si>
    <t>Census Tract 4302.03, Hartford County, Connecticut!!Margin of Error</t>
  </si>
  <si>
    <t>Census Tract 4303.01, Hartford County, Connecticut!!Margin of Error</t>
  </si>
  <si>
    <t>Census Tract 4303.02, Hartford County, Connecticut!!Margin of Error</t>
  </si>
  <si>
    <t>Census Tract 4304, Hartford County, Connecticut!!Margin of Error</t>
  </si>
  <si>
    <t>Census Tract 4305, Hartford County, Connecticut!!Margin of Error</t>
  </si>
  <si>
    <t>Census Tract 4306.01, Hartford County, Connecticut!!Margin of Error</t>
  </si>
  <si>
    <t>Census Tract 4306.02, Hartford County, Connecticut!!Margin of Error</t>
  </si>
  <si>
    <t>Census Tract 4601, Hartford County, Connecticut!!Margin of Error</t>
  </si>
  <si>
    <t>Census Tract 4602.02, Hartford County, Connecticut!!Margin of Error</t>
  </si>
  <si>
    <t>Census Tract 4602.03, Hartford County, Connecticut!!Margin of Error</t>
  </si>
  <si>
    <t>Census Tract 4602.04, Hartford County, Connecticut!!Margin of Error</t>
  </si>
  <si>
    <t>Census Tract 4603.01, Hartford County, Connecticut!!Margin of Error</t>
  </si>
  <si>
    <t>Census Tract 4603.02, Hartford County, Connecticut!!Margin of Error</t>
  </si>
  <si>
    <t>Census Tract 4621.01, Hartford County, Connecticut!!Margin of Error</t>
  </si>
  <si>
    <t>Census Tract 4621.02, Hartford County, Connecticut!!Margin of Error</t>
  </si>
  <si>
    <t>Census Tract 4622.01, Hartford County, Connecticut!!Margin of Error</t>
  </si>
  <si>
    <t>Census Tract 4622.02, Hartford County, Connecticut!!Margin of Error</t>
  </si>
  <si>
    <t>Census Tract 4641.01, Hartford County, Connecticut!!Margin of Error</t>
  </si>
  <si>
    <t>Census Tract 4641.02, Hartford County, Connecticut!!Margin of Error</t>
  </si>
  <si>
    <t>Census Tract 4661.01, Hartford County, Connecticut!!Margin of Error</t>
  </si>
  <si>
    <t>Census Tract 4661.02, Hartford County, Connecticut!!Margin of Error</t>
  </si>
  <si>
    <t>Census Tract 4662.01, Hartford County, Connecticut!!Margin of Error</t>
  </si>
  <si>
    <t>Census Tract 4662.02, Hartford County, Connecticut!!Margin of Error</t>
  </si>
  <si>
    <t>Census Tract 4663, Hartford County, Connecticut!!Margin of Error</t>
  </si>
  <si>
    <t>Census Tract 4664, Hartford County, Connecticut!!Margin of Error</t>
  </si>
  <si>
    <t>Census Tract 4681.01, Hartford County, Connecticut!!Margin of Error</t>
  </si>
  <si>
    <t>Census Tract 4681.02, Hartford County, Connecticut!!Margin of Error</t>
  </si>
  <si>
    <t>Census Tract 4701, Hartford County, Connecticut!!Margin of Error</t>
  </si>
  <si>
    <t>Census Tract 4711, Hartford County, Connecticut!!Margin of Error</t>
  </si>
  <si>
    <t>Census Tract 4712, Hartford County, Connecticut!!Margin of Error</t>
  </si>
  <si>
    <t>Census Tract 4713, Hartford County, Connecticut!!Margin of Error</t>
  </si>
  <si>
    <t>Census Tract 4714, Hartford County, Connecticut!!Margin of Error</t>
  </si>
  <si>
    <t>Census Tract 4715, Hartford County, Connecticut!!Margin of Error</t>
  </si>
  <si>
    <t>Census Tract 4731, Hartford County, Connecticut!!Margin of Error</t>
  </si>
  <si>
    <t>Census Tract 4734, Hartford County, Connecticut!!Margin of Error</t>
  </si>
  <si>
    <t>Census Tract 4735.01, Hartford County, Connecticut!!Margin of Error</t>
  </si>
  <si>
    <t>Census Tract 4735.02, Hartford County, Connecticut!!Margin of Error</t>
  </si>
  <si>
    <t>Census Tract 4736.01, Hartford County, Connecticut!!Margin of Error</t>
  </si>
  <si>
    <t>Census Tract 4736.02, Hartford County, Connecticut!!Margin of Error</t>
  </si>
  <si>
    <t>Census Tract 4737, Hartford County, Connecticut!!Margin of Error</t>
  </si>
  <si>
    <t>Census Tract 4738, Hartford County, Connecticut!!Margin of Error</t>
  </si>
  <si>
    <t>Census Tract 4761, Hartford County, Connecticut!!Margin of Error</t>
  </si>
  <si>
    <t>Census Tract 4762, Hartford County, Connecticut!!Margin of Error</t>
  </si>
  <si>
    <t>Census Tract 4763, Hartford County, Connecticut!!Margin of Error</t>
  </si>
  <si>
    <t>Census Tract 4771.01, Hartford County, Connecticut!!Margin of Error</t>
  </si>
  <si>
    <t>Census Tract 4771.02, Hartford County, Connecticut!!Margin of Error</t>
  </si>
  <si>
    <t>Census Tract 4772, Hartford County, Connecticut!!Margin of Error</t>
  </si>
  <si>
    <t>Census Tract 4803, Hartford County, Connecticut!!Margin of Error</t>
  </si>
  <si>
    <t>Census Tract 4804, Hartford County, Connecticut!!Margin of Error</t>
  </si>
  <si>
    <t>Census Tract 4805, Hartford County, Connecticut!!Margin of Error</t>
  </si>
  <si>
    <t>Census Tract 4806, Hartford County, Connecticut!!Margin of Error</t>
  </si>
  <si>
    <t>Census Tract 4807, Hartford County, Connecticut!!Margin of Error</t>
  </si>
  <si>
    <t>Census Tract 4808, Hartford County, Connecticut!!Margin of Error</t>
  </si>
  <si>
    <t>Census Tract 4809, Hartford County, Connecticut!!Margin of Error</t>
  </si>
  <si>
    <t>Census Tract 4810, Hartford County, Connecticut!!Margin of Error</t>
  </si>
  <si>
    <t>Census Tract 4811, Hartford County, Connecticut!!Margin of Error</t>
  </si>
  <si>
    <t>Census Tract 4812, Hartford County, Connecticut!!Margin of Error</t>
  </si>
  <si>
    <t>Census Tract 4813, Hartford County, Connecticut!!Margin of Error</t>
  </si>
  <si>
    <t>Census Tract 4841, Hartford County, Connecticut!!Margin of Error</t>
  </si>
  <si>
    <t>Census Tract 4842, Hartford County, Connecticut!!Margin of Error</t>
  </si>
  <si>
    <t>Census Tract 4871, Hartford County, Connecticut!!Margin of Error</t>
  </si>
  <si>
    <t>Census Tract 4872.01, Hartford County, Connecticut!!Margin of Error</t>
  </si>
  <si>
    <t>Census Tract 4872.02, Hartford County, Connecticut!!Margin of Error</t>
  </si>
  <si>
    <t>Census Tract 4873, Hartford County, Connecticut!!Margin of Error</t>
  </si>
  <si>
    <t>Census Tract 4874, Hartford County, Connecticut!!Margin of Error</t>
  </si>
  <si>
    <t>Census Tract 4875, Hartford County, Connecticut!!Margin of Error</t>
  </si>
  <si>
    <t>Census Tract 4901, Hartford County, Connecticut!!Margin of Error</t>
  </si>
  <si>
    <t>Census Tract 4903.02, Hartford County, Connecticut!!Margin of Error</t>
  </si>
  <si>
    <t>Census Tract 4921, Hartford County, Connecticut!!Margin of Error</t>
  </si>
  <si>
    <t>Census Tract 4922, Hartford County, Connecticut!!Margin of Error</t>
  </si>
  <si>
    <t>Census Tract 4923, Hartford County, Connecticut!!Margin of Error</t>
  </si>
  <si>
    <t>Census Tract 4924, Hartford County, Connecticut!!Margin of Error</t>
  </si>
  <si>
    <t>Census Tract 4925, Hartford County, Connecticut!!Margin of Error</t>
  </si>
  <si>
    <t>Census Tract 4926, Hartford County, Connecticut!!Margin of Error</t>
  </si>
  <si>
    <t>Census Tract 4941, Hartford County, Connecticut!!Margin of Error</t>
  </si>
  <si>
    <t>Census Tract 4942.01, Hartford County, Connecticut!!Margin of Error</t>
  </si>
  <si>
    <t>Census Tract 4942.02, Hartford County, Connecticut!!Margin of Error</t>
  </si>
  <si>
    <t>Census Tract 4943, Hartford County, Connecticut!!Margin of Error</t>
  </si>
  <si>
    <t>Census Tract 4944, Hartford County, Connecticut!!Margin of Error</t>
  </si>
  <si>
    <t>Census Tract 4945, Hartford County, Connecticut!!Margin of Error</t>
  </si>
  <si>
    <t>Census Tract 4946, Hartford County, Connecticut!!Margin of Error</t>
  </si>
  <si>
    <t>Census Tract 4961, Hartford County, Connecticut!!Margin of Error</t>
  </si>
  <si>
    <t>Census Tract 4962, Hartford County, Connecticut!!Margin of Error</t>
  </si>
  <si>
    <t>Census Tract 4963, Hartford County, Connecticut!!Margin of Error</t>
  </si>
  <si>
    <t>Census Tract 4964, Hartford County, Connecticut!!Margin of Error</t>
  </si>
  <si>
    <t>Census Tract 4965, Hartford County, Connecticut!!Margin of Error</t>
  </si>
  <si>
    <t>Census Tract 4966, Hartford County, Connecticut!!Margin of Error</t>
  </si>
  <si>
    <t>Census Tract 4967, Hartford County, Connecticut!!Margin of Error</t>
  </si>
  <si>
    <t>Census Tract 4968, Hartford County, Connecticut!!Margin of Error</t>
  </si>
  <si>
    <t>Census Tract 4969, Hartford County, Connecticut!!Margin of Error</t>
  </si>
  <si>
    <t>Census Tract 4970, Hartford County, Connecticut!!Margin of Error</t>
  </si>
  <si>
    <t>Census Tract 4971, Hartford County, Connecticut!!Margin of Error</t>
  </si>
  <si>
    <t>Census Tract 4972, Hartford County, Connecticut!!Margin of Error</t>
  </si>
  <si>
    <t>Census Tract 4973, Hartford County, Connecticut!!Margin of Error</t>
  </si>
  <si>
    <t>Census Tract 4974, Hartford County, Connecticut!!Margin of Error</t>
  </si>
  <si>
    <t>Census Tract 4975, Hartford County, Connecticut!!Margin of Error</t>
  </si>
  <si>
    <t>Census Tract 4976, Hartford County, Connecticut!!Margin of Error</t>
  </si>
  <si>
    <t>Census Tract 4977, Hartford County, Connecticut!!Margin of Error</t>
  </si>
  <si>
    <t>Census Tract 5001, Hartford County, Connecticut!!Margin of Error</t>
  </si>
  <si>
    <t>Census Tract 5002, Hartford County, Connecticut!!Margin of Error</t>
  </si>
  <si>
    <t>Census Tract 5003, Hartford County, Connecticut!!Margin of Error</t>
  </si>
  <si>
    <t>Census Tract 5004, Hartford County, Connecticut!!Margin of Error</t>
  </si>
  <si>
    <t>Census Tract 5005, Hartford County, Connecticut!!Margin of Error</t>
  </si>
  <si>
    <t>Census Tract 5007, Hartford County, Connecticut!!Margin of Error</t>
  </si>
  <si>
    <t>Census Tract 5009, Hartford County, Connecticut!!Margin of Error</t>
  </si>
  <si>
    <t>Census Tract 5012, Hartford County, Connecticut!!Margin of Error</t>
  </si>
  <si>
    <t>Census Tract 5013, Hartford County, Connecticut!!Margin of Error</t>
  </si>
  <si>
    <t>Census Tract 5014, Hartford County, Connecticut!!Margin of Error</t>
  </si>
  <si>
    <t>Census Tract 5015, Hartford County, Connecticut!!Margin of Error</t>
  </si>
  <si>
    <t>Census Tract 5017, Hartford County, Connecticut!!Margin of Error</t>
  </si>
  <si>
    <t>Census Tract 5018, Hartford County, Connecticut!!Margin of Error</t>
  </si>
  <si>
    <t>Census Tract 5021, Hartford County, Connecticut!!Margin of Error</t>
  </si>
  <si>
    <t>Census Tract 5023, Hartford County, Connecticut!!Margin of Error</t>
  </si>
  <si>
    <t>Census Tract 5024, Hartford County, Connecticut!!Margin of Error</t>
  </si>
  <si>
    <t>Census Tract 5025, Hartford County, Connecticut!!Margin of Error</t>
  </si>
  <si>
    <t>Census Tract 5026, Hartford County, Connecticut!!Margin of Error</t>
  </si>
  <si>
    <t>Census Tract 5027, Hartford County, Connecticut!!Margin of Error</t>
  </si>
  <si>
    <t>Census Tract 5028, Hartford County, Connecticut!!Margin of Error</t>
  </si>
  <si>
    <t>Census Tract 5029, Hartford County, Connecticut!!Margin of Error</t>
  </si>
  <si>
    <t>Census Tract 5030, Hartford County, Connecticut!!Margin of Error</t>
  </si>
  <si>
    <t>Census Tract 5031, Hartford County, Connecticut!!Margin of Error</t>
  </si>
  <si>
    <t>Census Tract 5033, Hartford County, Connecticut!!Margin of Error</t>
  </si>
  <si>
    <t>Census Tract 5035, Hartford County, Connecticut!!Margin of Error</t>
  </si>
  <si>
    <t>Census Tract 5037, Hartford County, Connecticut!!Margin of Error</t>
  </si>
  <si>
    <t>Census Tract 5038, Hartford County, Connecticut!!Margin of Error</t>
  </si>
  <si>
    <t>Census Tract 5039, Hartford County, Connecticut!!Margin of Error</t>
  </si>
  <si>
    <t>Census Tract 5040, Hartford County, Connecticut!!Margin of Error</t>
  </si>
  <si>
    <t>Census Tract 5041, Hartford County, Connecticut!!Margin of Error</t>
  </si>
  <si>
    <t>Census Tract 5042, Hartford County, Connecticut!!Margin of Error</t>
  </si>
  <si>
    <t>Census Tract 5043, Hartford County, Connecticut!!Margin of Error</t>
  </si>
  <si>
    <t>Census Tract 5045, Hartford County, Connecticut!!Margin of Error</t>
  </si>
  <si>
    <t>Census Tract 5048, Hartford County, Connecticut!!Margin of Error</t>
  </si>
  <si>
    <t>Census Tract 5049, Hartford County, Connecticut!!Margin of Error</t>
  </si>
  <si>
    <t>Census Tract 5101, Hartford County, Connecticut!!Margin of Error</t>
  </si>
  <si>
    <t>Census Tract 5102, Hartford County, Connecticut!!Margin of Error</t>
  </si>
  <si>
    <t>Census Tract 5103, Hartford County, Connecticut!!Margin of Error</t>
  </si>
  <si>
    <t>Census Tract 5104, Hartford County, Connecticut!!Margin of Error</t>
  </si>
  <si>
    <t>Census Tract 5105, Hartford County, Connecticut!!Margin of Error</t>
  </si>
  <si>
    <t>Census Tract 5106, Hartford County, Connecticut!!Margin of Error</t>
  </si>
  <si>
    <t>Census Tract 5107, Hartford County, Connecticut!!Margin of Error</t>
  </si>
  <si>
    <t>Census Tract 5108, Hartford County, Connecticut!!Margin of Error</t>
  </si>
  <si>
    <t>Census Tract 5109, Hartford County, Connecticut!!Margin of Error</t>
  </si>
  <si>
    <t>Census Tract 5110, Hartford County, Connecticut!!Margin of Error</t>
  </si>
  <si>
    <t>Census Tract 5111, Hartford County, Connecticut!!Margin of Error</t>
  </si>
  <si>
    <t>Census Tract 5112, Hartford County, Connecticut!!Margin of Error</t>
  </si>
  <si>
    <t>Census Tract 5113, Hartford County, Connecticut!!Margin of Error</t>
  </si>
  <si>
    <t>Census Tract 5114, Hartford County, Connecticut!!Margin of Error</t>
  </si>
  <si>
    <t>Census Tract 5141.01, Hartford County, Connecticut!!Margin of Error</t>
  </si>
  <si>
    <t>Census Tract 5141.02, Hartford County, Connecticut!!Margin of Error</t>
  </si>
  <si>
    <t>Census Tract 5142, Hartford County, Connecticut!!Margin of Error</t>
  </si>
  <si>
    <t>Census Tract 5143, Hartford County, Connecticut!!Margin of Error</t>
  </si>
  <si>
    <t>Census Tract 5144, Hartford County, Connecticut!!Margin of Error</t>
  </si>
  <si>
    <t>Census Tract 5145, Hartford County, Connecticut!!Margin of Error</t>
  </si>
  <si>
    <t>Census Tract 5146, Hartford County, Connecticut!!Margin of Error</t>
  </si>
  <si>
    <t>Census Tract 5147, Hartford County, Connecticut!!Margin of Error</t>
  </si>
  <si>
    <t>Census Tract 5148, Hartford County, Connecticut!!Margin of Error</t>
  </si>
  <si>
    <t>Census Tract 5149, Hartford County, Connecticut!!Margin of Error</t>
  </si>
  <si>
    <t>Census Tract 5150, Hartford County, Connecticut!!Margin of Error</t>
  </si>
  <si>
    <t>Census Tract 5151.01, Hartford County, Connecticut!!Margin of Error</t>
  </si>
  <si>
    <t>Census Tract 5151.02, Hartford County, Connecticut!!Margin of Error</t>
  </si>
  <si>
    <t>Census Tract 5152, Hartford County, Connecticut!!Margin of Error</t>
  </si>
  <si>
    <t>Census Tract 5201, Hartford County, Connecticut!!Margin of Error</t>
  </si>
  <si>
    <t>Census Tract 5202.01, Hartford County, Connecticut!!Margin of Error</t>
  </si>
  <si>
    <t>Census Tract 5202.02, Hartford County, Connecticut!!Margin of Error</t>
  </si>
  <si>
    <t>Census Tract 5203.01, Hartford County, Connecticut!!Margin of Error</t>
  </si>
  <si>
    <t>Census Tract 5203.02, Hartford County, Connecticut!!Margin of Error</t>
  </si>
  <si>
    <t>Census Tract 5204, Hartford County, Connecticut!!Margin of Error</t>
  </si>
  <si>
    <t>Census Tract 5205.01, Hartford County, Connecticut!!Margin of Error</t>
  </si>
  <si>
    <t>Census Tract 5241, Hartford County, Connecticut!!Margin of Error</t>
  </si>
  <si>
    <t>Census Tract 5242, Hartford County, Connecticut!!Margin of Error</t>
  </si>
  <si>
    <t>Census Tract 5243, Hartford County, Connecticut!!Margin of Error</t>
  </si>
  <si>
    <t>Census Tract 5244, Hartford County, Connecticut!!Margin of Error</t>
  </si>
  <si>
    <t>Census Tract 5245.01, Hartford County, Connecticut!!Margin of Error</t>
  </si>
  <si>
    <t>Census Tract 5245.02, Hartford County, Connecticut!!Margin of Error</t>
  </si>
  <si>
    <t>Census Tract 5246, Hartford County, Connecticut!!Margin of Error</t>
  </si>
  <si>
    <t>Census Tract 5247, Hartford County, Connecticut!!Margin of Error</t>
  </si>
  <si>
    <t>Census Tract 9800, Hartford County, Connecticut!!Margin of Error</t>
  </si>
  <si>
    <t>Census Tract 2501, Litchfield County, Connecticut!!Margin of Error</t>
  </si>
  <si>
    <t>Census Tract 2531, Litchfield County, Connecticut!!Margin of Error</t>
  </si>
  <si>
    <t>Census Tract 2532, Litchfield County, Connecticut!!Margin of Error</t>
  </si>
  <si>
    <t>Census Tract 2533, Litchfield County, Connecticut!!Margin of Error</t>
  </si>
  <si>
    <t>Census Tract 2534, Litchfield County, Connecticut!!Margin of Error</t>
  </si>
  <si>
    <t>Census Tract 2535, Litchfield County, Connecticut!!Margin of Error</t>
  </si>
  <si>
    <t>Census Tract 2536, Litchfield County, Connecticut!!Margin of Error</t>
  </si>
  <si>
    <t>Census Tract 2602, Litchfield County, Connecticut!!Margin of Error</t>
  </si>
  <si>
    <t>Census Tract 2611, Litchfield County, Connecticut!!Margin of Error</t>
  </si>
  <si>
    <t>Census Tract 2621, Litchfield County, Connecticut!!Margin of Error</t>
  </si>
  <si>
    <t>Census Tract 2632, Litchfield County, Connecticut!!Margin of Error</t>
  </si>
  <si>
    <t>Census Tract 2651, Litchfield County, Connecticut!!Margin of Error</t>
  </si>
  <si>
    <t>Census Tract 2661, Litchfield County, Connecticut!!Margin of Error</t>
  </si>
  <si>
    <t>Census Tract 2671, Litchfield County, Connecticut!!Margin of Error</t>
  </si>
  <si>
    <t>Census Tract 2681, Litchfield County, Connecticut!!Margin of Error</t>
  </si>
  <si>
    <t>Census Tract 2901, Litchfield County, Connecticut!!Margin of Error</t>
  </si>
  <si>
    <t>Census Tract 2931, Litchfield County, Connecticut!!Margin of Error</t>
  </si>
  <si>
    <t>Census Tract 2961, Litchfield County, Connecticut!!Margin of Error</t>
  </si>
  <si>
    <t>Census Tract 2983, Litchfield County, Connecticut!!Margin of Error</t>
  </si>
  <si>
    <t>Census Tract 2984, Litchfield County, Connecticut!!Margin of Error</t>
  </si>
  <si>
    <t>Census Tract 3001, Litchfield County, Connecticut!!Margin of Error</t>
  </si>
  <si>
    <t>Census Tract 3004, Litchfield County, Connecticut!!Margin of Error</t>
  </si>
  <si>
    <t>Census Tract 3005, Litchfield County, Connecticut!!Margin of Error</t>
  </si>
  <si>
    <t>Census Tract 3031, Litchfield County, Connecticut!!Margin of Error</t>
  </si>
  <si>
    <t>Census Tract 3061, Litchfield County, Connecticut!!Margin of Error</t>
  </si>
  <si>
    <t>Census Tract 3101, Litchfield County, Connecticut!!Margin of Error</t>
  </si>
  <si>
    <t>Census Tract 3102, Litchfield County, Connecticut!!Margin of Error</t>
  </si>
  <si>
    <t>Census Tract 3103, Litchfield County, Connecticut!!Margin of Error</t>
  </si>
  <si>
    <t>Census Tract 3104, Litchfield County, Connecticut!!Margin of Error</t>
  </si>
  <si>
    <t>Census Tract 3105, Litchfield County, Connecticut!!Margin of Error</t>
  </si>
  <si>
    <t>Census Tract 3106.01, Litchfield County, Connecticut!!Margin of Error</t>
  </si>
  <si>
    <t>Census Tract 3106.02, Litchfield County, Connecticut!!Margin of Error</t>
  </si>
  <si>
    <t>Census Tract 3107, Litchfield County, Connecticut!!Margin of Error</t>
  </si>
  <si>
    <t>Census Tract 3108.01, Litchfield County, Connecticut!!Margin of Error</t>
  </si>
  <si>
    <t>Census Tract 3108.03, Litchfield County, Connecticut!!Margin of Error</t>
  </si>
  <si>
    <t>Census Tract 3108.04, Litchfield County, Connecticut!!Margin of Error</t>
  </si>
  <si>
    <t>Census Tract 3201, Litchfield County, Connecticut!!Margin of Error</t>
  </si>
  <si>
    <t>Census Tract 3202, Litchfield County, Connecticut!!Margin of Error</t>
  </si>
  <si>
    <t>Census Tract 3421, Litchfield County, Connecticut!!Margin of Error</t>
  </si>
  <si>
    <t>Census Tract 3491, Litchfield County, Connecticut!!Margin of Error</t>
  </si>
  <si>
    <t>Census Tract 3492, Litchfield County, Connecticut!!Margin of Error</t>
  </si>
  <si>
    <t>Census Tract 3601, Litchfield County, Connecticut!!Margin of Error</t>
  </si>
  <si>
    <t>Census Tract 3602, Litchfield County, Connecticut!!Margin of Error</t>
  </si>
  <si>
    <t>Census Tract 3603, Litchfield County, Connecticut!!Margin of Error</t>
  </si>
  <si>
    <t>Census Tract 3604, Litchfield County, Connecticut!!Margin of Error</t>
  </si>
  <si>
    <t>Census Tract 3621.01, Litchfield County, Connecticut!!Margin of Error</t>
  </si>
  <si>
    <t>Census Tract 3621.02, Litchfield County, Connecticut!!Margin of Error</t>
  </si>
  <si>
    <t>Census Tract 4253, Litchfield County, Connecticut!!Margin of Error</t>
  </si>
  <si>
    <t>Census Tract 4254, Litchfield County, Connecticut!!Margin of Error</t>
  </si>
  <si>
    <t>Census Tract 4255, Litchfield County, Connecticut!!Margin of Error</t>
  </si>
  <si>
    <t>Census Tract 4256, Litchfield County, Connecticut!!Margin of Error</t>
  </si>
  <si>
    <t>Census Tract 5411, Middlesex County, Connecticut!!Margin of Error</t>
  </si>
  <si>
    <t>Census Tract 5412, Middlesex County, Connecticut!!Margin of Error</t>
  </si>
  <si>
    <t>Census Tract 5413, Middlesex County, Connecticut!!Margin of Error</t>
  </si>
  <si>
    <t>Census Tract 5414.01, Middlesex County, Connecticut!!Margin of Error</t>
  </si>
  <si>
    <t>Census Tract 5414.02, Middlesex County, Connecticut!!Margin of Error</t>
  </si>
  <si>
    <t>Census Tract 5415, Middlesex County, Connecticut!!Margin of Error</t>
  </si>
  <si>
    <t>Census Tract 5416, Middlesex County, Connecticut!!Margin of Error</t>
  </si>
  <si>
    <t>Census Tract 5417, Middlesex County, Connecticut!!Margin of Error</t>
  </si>
  <si>
    <t>Census Tract 5420, Middlesex County, Connecticut!!Margin of Error</t>
  </si>
  <si>
    <t>Census Tract 5421, Middlesex County, Connecticut!!Margin of Error</t>
  </si>
  <si>
    <t>Census Tract 5422, Middlesex County, Connecticut!!Margin of Error</t>
  </si>
  <si>
    <t>Census Tract 5501, Middlesex County, Connecticut!!Margin of Error</t>
  </si>
  <si>
    <t>Census Tract 5502.01, Middlesex County, Connecticut!!Margin of Error</t>
  </si>
  <si>
    <t>Census Tract 5502.02, Middlesex County, Connecticut!!Margin of Error</t>
  </si>
  <si>
    <t>Census Tract 5601, Middlesex County, Connecticut!!Margin of Error</t>
  </si>
  <si>
    <t>Census Tract 5602, Middlesex County, Connecticut!!Margin of Error</t>
  </si>
  <si>
    <t>Census Tract 5701, Middlesex County, Connecticut!!Margin of Error</t>
  </si>
  <si>
    <t>Census Tract 5702, Middlesex County, Connecticut!!Margin of Error</t>
  </si>
  <si>
    <t>Census Tract 5703, Middlesex County, Connecticut!!Margin of Error</t>
  </si>
  <si>
    <t>Census Tract 5801, Middlesex County, Connecticut!!Margin of Error</t>
  </si>
  <si>
    <t>Census Tract 5851, Middlesex County, Connecticut!!Margin of Error</t>
  </si>
  <si>
    <t>Census Tract 5901, Middlesex County, Connecticut!!Margin of Error</t>
  </si>
  <si>
    <t>Census Tract 5951.01, Middlesex County, Connecticut!!Margin of Error</t>
  </si>
  <si>
    <t>Census Tract 5951.02, Middlesex County, Connecticut!!Margin of Error</t>
  </si>
  <si>
    <t>Census Tract 6001, Middlesex County, Connecticut!!Margin of Error</t>
  </si>
  <si>
    <t>Census Tract 6101, Middlesex County, Connecticut!!Margin of Error</t>
  </si>
  <si>
    <t>Census Tract 6102, Middlesex County, Connecticut!!Margin of Error</t>
  </si>
  <si>
    <t>Census Tract 6103, Middlesex County, Connecticut!!Margin of Error</t>
  </si>
  <si>
    <t>Census Tract 6104, Middlesex County, Connecticut!!Margin of Error</t>
  </si>
  <si>
    <t>Census Tract 6201, Middlesex County, Connecticut!!Margin of Error</t>
  </si>
  <si>
    <t>Census Tract 6301, Middlesex County, Connecticut!!Margin of Error</t>
  </si>
  <si>
    <t>Census Tract 6401, Middlesex County, Connecticut!!Margin of Error</t>
  </si>
  <si>
    <t>Census Tract 6701, Middlesex County, Connecticut!!Margin of Error</t>
  </si>
  <si>
    <t>Census Tract 6702, Middlesex County, Connecticut!!Margin of Error</t>
  </si>
  <si>
    <t>Census Tract 6801, Middlesex County, Connecticut!!Margin of Error</t>
  </si>
  <si>
    <t>Census Tract 6802, Middlesex County, Connecticut!!Margin of Error</t>
  </si>
  <si>
    <t>Census Tract 9901, Middlesex County, Connecticut!!Margin of Error</t>
  </si>
  <si>
    <t>Census Tract 1201, New Haven County, Connecticut!!Margin of Error</t>
  </si>
  <si>
    <t>Census Tract 1202, New Haven County, Connecticut!!Margin of Error</t>
  </si>
  <si>
    <t>Census Tract 1251, New Haven County, Connecticut!!Margin of Error</t>
  </si>
  <si>
    <t>Census Tract 1252, New Haven County, Connecticut!!Margin of Error</t>
  </si>
  <si>
    <t>Census Tract 1253, New Haven County, Connecticut!!Margin of Error</t>
  </si>
  <si>
    <t>Census Tract 1254, New Haven County, Connecticut!!Margin of Error</t>
  </si>
  <si>
    <t>Census Tract 1301.01, New Haven County, Connecticut!!Margin of Error</t>
  </si>
  <si>
    <t>Census Tract 1301.02, New Haven County, Connecticut!!Margin of Error</t>
  </si>
  <si>
    <t>Census Tract 1302, New Haven County, Connecticut!!Margin of Error</t>
  </si>
  <si>
    <t>Census Tract 1401, New Haven County, Connecticut!!Margin of Error</t>
  </si>
  <si>
    <t>Census Tract 1402, New Haven County, Connecticut!!Margin of Error</t>
  </si>
  <si>
    <t>Census Tract 1403, New Haven County, Connecticut!!Margin of Error</t>
  </si>
  <si>
    <t>Census Tract 1404, New Haven County, Connecticut!!Margin of Error</t>
  </si>
  <si>
    <t>Census Tract 1405, New Haven County, Connecticut!!Margin of Error</t>
  </si>
  <si>
    <t>Census Tract 1406, New Haven County, Connecticut!!Margin of Error</t>
  </si>
  <si>
    <t>Census Tract 1407, New Haven County, Connecticut!!Margin of Error</t>
  </si>
  <si>
    <t>Census Tract 1408, New Haven County, Connecticut!!Margin of Error</t>
  </si>
  <si>
    <t>Census Tract 1409, New Haven County, Connecticut!!Margin of Error</t>
  </si>
  <si>
    <t>Census Tract 1410, New Haven County, Connecticut!!Margin of Error</t>
  </si>
  <si>
    <t>Census Tract 1411, New Haven County, Connecticut!!Margin of Error</t>
  </si>
  <si>
    <t>Census Tract 1412, New Haven County, Connecticut!!Margin of Error</t>
  </si>
  <si>
    <t>Census Tract 1413, New Haven County, Connecticut!!Margin of Error</t>
  </si>
  <si>
    <t>Census Tract 1414, New Haven County, Connecticut!!Margin of Error</t>
  </si>
  <si>
    <t>Census Tract 1415, New Haven County, Connecticut!!Margin of Error</t>
  </si>
  <si>
    <t>Census Tract 1416, New Haven County, Connecticut!!Margin of Error</t>
  </si>
  <si>
    <t>Census Tract 1418, New Haven County, Connecticut!!Margin of Error</t>
  </si>
  <si>
    <t>Census Tract 1419, New Haven County, Connecticut!!Margin of Error</t>
  </si>
  <si>
    <t>Census Tract 1420, New Haven County, Connecticut!!Margin of Error</t>
  </si>
  <si>
    <t>Census Tract 1421, New Haven County, Connecticut!!Margin of Error</t>
  </si>
  <si>
    <t>Census Tract 1422, New Haven County, Connecticut!!Margin of Error</t>
  </si>
  <si>
    <t>Census Tract 1423, New Haven County, Connecticut!!Margin of Error</t>
  </si>
  <si>
    <t>Census Tract 1424, New Haven County, Connecticut!!Margin of Error</t>
  </si>
  <si>
    <t>Census Tract 1425, New Haven County, Connecticut!!Margin of Error</t>
  </si>
  <si>
    <t>Census Tract 1426.01, New Haven County, Connecticut!!Margin of Error</t>
  </si>
  <si>
    <t>Census Tract 1426.03, New Haven County, Connecticut!!Margin of Error</t>
  </si>
  <si>
    <t>Census Tract 1426.04, New Haven County, Connecticut!!Margin of Error</t>
  </si>
  <si>
    <t>Census Tract 1427, New Haven County, Connecticut!!Margin of Error</t>
  </si>
  <si>
    <t>Census Tract 1428, New Haven County, Connecticut!!Margin of Error</t>
  </si>
  <si>
    <t>Census Tract 1501, New Haven County, Connecticut!!Margin of Error</t>
  </si>
  <si>
    <t>Census Tract 1502, New Haven County, Connecticut!!Margin of Error</t>
  </si>
  <si>
    <t>Census Tract 1503, New Haven County, Connecticut!!Margin of Error</t>
  </si>
  <si>
    <t>Census Tract 1504, New Haven County, Connecticut!!Margin of Error</t>
  </si>
  <si>
    <t>Census Tract 1505, New Haven County, Connecticut!!Margin of Error</t>
  </si>
  <si>
    <t>Census Tract 1506, New Haven County, Connecticut!!Margin of Error</t>
  </si>
  <si>
    <t>Census Tract 1507, New Haven County, Connecticut!!Margin of Error</t>
  </si>
  <si>
    <t>Census Tract 1508, New Haven County, Connecticut!!Margin of Error</t>
  </si>
  <si>
    <t>Census Tract 1509, New Haven County, Connecticut!!Margin of Error</t>
  </si>
  <si>
    <t>Census Tract 1510, New Haven County, Connecticut!!Margin of Error</t>
  </si>
  <si>
    <t>Census Tract 1511, New Haven County, Connecticut!!Margin of Error</t>
  </si>
  <si>
    <t>Census Tract 1512, New Haven County, Connecticut!!Margin of Error</t>
  </si>
  <si>
    <t>Census Tract 1541, New Haven County, Connecticut!!Margin of Error</t>
  </si>
  <si>
    <t>Census Tract 1542, New Haven County, Connecticut!!Margin of Error</t>
  </si>
  <si>
    <t>Census Tract 1545, New Haven County, Connecticut!!Margin of Error</t>
  </si>
  <si>
    <t>Census Tract 1546, New Haven County, Connecticut!!Margin of Error</t>
  </si>
  <si>
    <t>Census Tract 1547, New Haven County, Connecticut!!Margin of Error</t>
  </si>
  <si>
    <t>Census Tract 1548, New Haven County, Connecticut!!Margin of Error</t>
  </si>
  <si>
    <t>Census Tract 1549, New Haven County, Connecticut!!Margin of Error</t>
  </si>
  <si>
    <t>Census Tract 1550, New Haven County, Connecticut!!Margin of Error</t>
  </si>
  <si>
    <t>Census Tract 1551, New Haven County, Connecticut!!Margin of Error</t>
  </si>
  <si>
    <t>Census Tract 1571, New Haven County, Connecticut!!Margin of Error</t>
  </si>
  <si>
    <t>Census Tract 1572, New Haven County, Connecticut!!Margin of Error</t>
  </si>
  <si>
    <t>Census Tract 1573, New Haven County, Connecticut!!Margin of Error</t>
  </si>
  <si>
    <t>Census Tract 1574, New Haven County, Connecticut!!Margin of Error</t>
  </si>
  <si>
    <t>Census Tract 1601, New Haven County, Connecticut!!Margin of Error</t>
  </si>
  <si>
    <t>Census Tract 1602, New Haven County, Connecticut!!Margin of Error</t>
  </si>
  <si>
    <t>Census Tract 1611, New Haven County, Connecticut!!Margin of Error</t>
  </si>
  <si>
    <t>Census Tract 1651, New Haven County, Connecticut!!Margin of Error</t>
  </si>
  <si>
    <t>Census Tract 1652, New Haven County, Connecticut!!Margin of Error</t>
  </si>
  <si>
    <t>Census Tract 1653, New Haven County, Connecticut!!Margin of Error</t>
  </si>
  <si>
    <t>Census Tract 1654, New Haven County, Connecticut!!Margin of Error</t>
  </si>
  <si>
    <t>Census Tract 1655, New Haven County, Connecticut!!Margin of Error</t>
  </si>
  <si>
    <t>Census Tract 1656, New Haven County, Connecticut!!Margin of Error</t>
  </si>
  <si>
    <t>Census Tract 1657, New Haven County, Connecticut!!Margin of Error</t>
  </si>
  <si>
    <t>Census Tract 1658.01, New Haven County, Connecticut!!Margin of Error</t>
  </si>
  <si>
    <t>Census Tract 1658.02, New Haven County, Connecticut!!Margin of Error</t>
  </si>
  <si>
    <t>Census Tract 1659, New Haven County, Connecticut!!Margin of Error</t>
  </si>
  <si>
    <t>Census Tract 1660.01, New Haven County, Connecticut!!Margin of Error</t>
  </si>
  <si>
    <t>Census Tract 1660.02, New Haven County, Connecticut!!Margin of Error</t>
  </si>
  <si>
    <t>Census Tract 1671, New Haven County, Connecticut!!Margin of Error</t>
  </si>
  <si>
    <t>Census Tract 1672.01, New Haven County, Connecticut!!Margin of Error</t>
  </si>
  <si>
    <t>Census Tract 1672.02, New Haven County, Connecticut!!Margin of Error</t>
  </si>
  <si>
    <t>Census Tract 1673, New Haven County, Connecticut!!Margin of Error</t>
  </si>
  <si>
    <t>Census Tract 1701, New Haven County, Connecticut!!Margin of Error</t>
  </si>
  <si>
    <t>Census Tract 1702, New Haven County, Connecticut!!Margin of Error</t>
  </si>
  <si>
    <t>Census Tract 1703, New Haven County, Connecticut!!Margin of Error</t>
  </si>
  <si>
    <t>Census Tract 1704, New Haven County, Connecticut!!Margin of Error</t>
  </si>
  <si>
    <t>Census Tract 1705, New Haven County, Connecticut!!Margin of Error</t>
  </si>
  <si>
    <t>Census Tract 1706, New Haven County, Connecticut!!Margin of Error</t>
  </si>
  <si>
    <t>Census Tract 1707, New Haven County, Connecticut!!Margin of Error</t>
  </si>
  <si>
    <t>Census Tract 1708, New Haven County, Connecticut!!Margin of Error</t>
  </si>
  <si>
    <t>Census Tract 1709, New Haven County, Connecticut!!Margin of Error</t>
  </si>
  <si>
    <t>Census Tract 1710, New Haven County, Connecticut!!Margin of Error</t>
  </si>
  <si>
    <t>Census Tract 1711, New Haven County, Connecticut!!Margin of Error</t>
  </si>
  <si>
    <t>Census Tract 1712, New Haven County, Connecticut!!Margin of Error</t>
  </si>
  <si>
    <t>Census Tract 1713, New Haven County, Connecticut!!Margin of Error</t>
  </si>
  <si>
    <t>Census Tract 1714, New Haven County, Connecticut!!Margin of Error</t>
  </si>
  <si>
    <t>Census Tract 1715, New Haven County, Connecticut!!Margin of Error</t>
  </si>
  <si>
    <t>Census Tract 1716, New Haven County, Connecticut!!Margin of Error</t>
  </si>
  <si>
    <t>Census Tract 1717, New Haven County, Connecticut!!Margin of Error</t>
  </si>
  <si>
    <t>Census Tract 1751, New Haven County, Connecticut!!Margin of Error</t>
  </si>
  <si>
    <t>Census Tract 1752, New Haven County, Connecticut!!Margin of Error</t>
  </si>
  <si>
    <t>Census Tract 1753, New Haven County, Connecticut!!Margin of Error</t>
  </si>
  <si>
    <t>Census Tract 1754, New Haven County, Connecticut!!Margin of Error</t>
  </si>
  <si>
    <t>Census Tract 1755, New Haven County, Connecticut!!Margin of Error</t>
  </si>
  <si>
    <t>Census Tract 1756, New Haven County, Connecticut!!Margin of Error</t>
  </si>
  <si>
    <t>Census Tract 1757, New Haven County, Connecticut!!Margin of Error</t>
  </si>
  <si>
    <t>Census Tract 1758, New Haven County, Connecticut!!Margin of Error</t>
  </si>
  <si>
    <t>Census Tract 1759, New Haven County, Connecticut!!Margin of Error</t>
  </si>
  <si>
    <t>Census Tract 1760, New Haven County, Connecticut!!Margin of Error</t>
  </si>
  <si>
    <t>Census Tract 1801, New Haven County, Connecticut!!Margin of Error</t>
  </si>
  <si>
    <t>Census Tract 1802, New Haven County, Connecticut!!Margin of Error</t>
  </si>
  <si>
    <t>Census Tract 1803, New Haven County, Connecticut!!Margin of Error</t>
  </si>
  <si>
    <t>Census Tract 1804, New Haven County, Connecticut!!Margin of Error</t>
  </si>
  <si>
    <t>Census Tract 1805, New Haven County, Connecticut!!Margin of Error</t>
  </si>
  <si>
    <t>Census Tract 1806.01, New Haven County, Connecticut!!Margin of Error</t>
  </si>
  <si>
    <t>Census Tract 1806.02, New Haven County, Connecticut!!Margin of Error</t>
  </si>
  <si>
    <t>Census Tract 1841, New Haven County, Connecticut!!Margin of Error</t>
  </si>
  <si>
    <t>Census Tract 1842, New Haven County, Connecticut!!Margin of Error</t>
  </si>
  <si>
    <t>Census Tract 1843, New Haven County, Connecticut!!Margin of Error</t>
  </si>
  <si>
    <t>Census Tract 1844, New Haven County, Connecticut!!Margin of Error</t>
  </si>
  <si>
    <t>Census Tract 1845, New Haven County, Connecticut!!Margin of Error</t>
  </si>
  <si>
    <t>Census Tract 1846, New Haven County, Connecticut!!Margin of Error</t>
  </si>
  <si>
    <t>Census Tract 1847, New Haven County, Connecticut!!Margin of Error</t>
  </si>
  <si>
    <t>Census Tract 1861, New Haven County, Connecticut!!Margin of Error</t>
  </si>
  <si>
    <t>Census Tract 1862, New Haven County, Connecticut!!Margin of Error</t>
  </si>
  <si>
    <t>Census Tract 1901, New Haven County, Connecticut!!Margin of Error</t>
  </si>
  <si>
    <t>Census Tract 1902, New Haven County, Connecticut!!Margin of Error</t>
  </si>
  <si>
    <t>Census Tract 1903.01, New Haven County, Connecticut!!Margin of Error</t>
  </si>
  <si>
    <t>Census Tract 1903.02, New Haven County, Connecticut!!Margin of Error</t>
  </si>
  <si>
    <t>Census Tract 1903.03, New Haven County, Connecticut!!Margin of Error</t>
  </si>
  <si>
    <t>Census Tract 1941, New Haven County, Connecticut!!Margin of Error</t>
  </si>
  <si>
    <t>Census Tract 1942.01, New Haven County, Connecticut!!Margin of Error</t>
  </si>
  <si>
    <t>Census Tract 1942.02, New Haven County, Connecticut!!Margin of Error</t>
  </si>
  <si>
    <t>Census Tract 3411, New Haven County, Connecticut!!Margin of Error</t>
  </si>
  <si>
    <t>Census Tract 3431.01, New Haven County, Connecticut!!Margin of Error</t>
  </si>
  <si>
    <t>Census Tract 3431.02, New Haven County, Connecticut!!Margin of Error</t>
  </si>
  <si>
    <t>Census Tract 3432, New Haven County, Connecticut!!Margin of Error</t>
  </si>
  <si>
    <t>Census Tract 3433, New Haven County, Connecticut!!Margin of Error</t>
  </si>
  <si>
    <t>Census Tract 3434, New Haven County, Connecticut!!Margin of Error</t>
  </si>
  <si>
    <t>Census Tract 3441, New Haven County, Connecticut!!Margin of Error</t>
  </si>
  <si>
    <t>Census Tract 3442, New Haven County, Connecticut!!Margin of Error</t>
  </si>
  <si>
    <t>Census Tract 3451, New Haven County, Connecticut!!Margin of Error</t>
  </si>
  <si>
    <t>Census Tract 3452.01, New Haven County, Connecticut!!Margin of Error</t>
  </si>
  <si>
    <t>Census Tract 3452.02, New Haven County, Connecticut!!Margin of Error</t>
  </si>
  <si>
    <t>Census Tract 3453, New Haven County, Connecticut!!Margin of Error</t>
  </si>
  <si>
    <t>Census Tract 3454, New Haven County, Connecticut!!Margin of Error</t>
  </si>
  <si>
    <t>Census Tract 3461.01, New Haven County, Connecticut!!Margin of Error</t>
  </si>
  <si>
    <t>Census Tract 3461.02, New Haven County, Connecticut!!Margin of Error</t>
  </si>
  <si>
    <t>Census Tract 3471, New Haven County, Connecticut!!Margin of Error</t>
  </si>
  <si>
    <t>Census Tract 3472, New Haven County, Connecticut!!Margin of Error</t>
  </si>
  <si>
    <t>Census Tract 3481.11, New Haven County, Connecticut!!Margin of Error</t>
  </si>
  <si>
    <t>Census Tract 3481.22, New Haven County, Connecticut!!Margin of Error</t>
  </si>
  <si>
    <t>Census Tract 3481.23, New Haven County, Connecticut!!Margin of Error</t>
  </si>
  <si>
    <t>Census Tract 3481.24, New Haven County, Connecticut!!Margin of Error</t>
  </si>
  <si>
    <t>Census Tract 3481.25, New Haven County, Connecticut!!Margin of Error</t>
  </si>
  <si>
    <t>Census Tract 3501, New Haven County, Connecticut!!Margin of Error</t>
  </si>
  <si>
    <t>Census Tract 3502, New Haven County, Connecticut!!Margin of Error</t>
  </si>
  <si>
    <t>Census Tract 3503, New Haven County, Connecticut!!Margin of Error</t>
  </si>
  <si>
    <t>Census Tract 3504, New Haven County, Connecticut!!Margin of Error</t>
  </si>
  <si>
    <t>Census Tract 3505, New Haven County, Connecticut!!Margin of Error</t>
  </si>
  <si>
    <t>Census Tract 3508, New Haven County, Connecticut!!Margin of Error</t>
  </si>
  <si>
    <t>Census Tract 3509, New Haven County, Connecticut!!Margin of Error</t>
  </si>
  <si>
    <t>Census Tract 3510, New Haven County, Connecticut!!Margin of Error</t>
  </si>
  <si>
    <t>Census Tract 3511, New Haven County, Connecticut!!Margin of Error</t>
  </si>
  <si>
    <t>Census Tract 3512, New Haven County, Connecticut!!Margin of Error</t>
  </si>
  <si>
    <t>Census Tract 3513, New Haven County, Connecticut!!Margin of Error</t>
  </si>
  <si>
    <t>Census Tract 3514, New Haven County, Connecticut!!Margin of Error</t>
  </si>
  <si>
    <t>Census Tract 3515, New Haven County, Connecticut!!Margin of Error</t>
  </si>
  <si>
    <t>Census Tract 3516.01, New Haven County, Connecticut!!Margin of Error</t>
  </si>
  <si>
    <t>Census Tract 3516.02, New Haven County, Connecticut!!Margin of Error</t>
  </si>
  <si>
    <t>Census Tract 3517, New Haven County, Connecticut!!Margin of Error</t>
  </si>
  <si>
    <t>Census Tract 3518, New Haven County, Connecticut!!Margin of Error</t>
  </si>
  <si>
    <t>Census Tract 3519, New Haven County, Connecticut!!Margin of Error</t>
  </si>
  <si>
    <t>Census Tract 3520, New Haven County, Connecticut!!Margin of Error</t>
  </si>
  <si>
    <t>Census Tract 3521, New Haven County, Connecticut!!Margin of Error</t>
  </si>
  <si>
    <t>Census Tract 3522, New Haven County, Connecticut!!Margin of Error</t>
  </si>
  <si>
    <t>Census Tract 3523, New Haven County, Connecticut!!Margin of Error</t>
  </si>
  <si>
    <t>Census Tract 3524, New Haven County, Connecticut!!Margin of Error</t>
  </si>
  <si>
    <t>Census Tract 3525, New Haven County, Connecticut!!Margin of Error</t>
  </si>
  <si>
    <t>Census Tract 3526, New Haven County, Connecticut!!Margin of Error</t>
  </si>
  <si>
    <t>Census Tract 3527.01, New Haven County, Connecticut!!Margin of Error</t>
  </si>
  <si>
    <t>Census Tract 3527.02, New Haven County, Connecticut!!Margin of Error</t>
  </si>
  <si>
    <t>Census Tract 3528, New Haven County, Connecticut!!Margin of Error</t>
  </si>
  <si>
    <t>Census Tract 3611, New Haven County, Connecticut!!Margin of Error</t>
  </si>
  <si>
    <t>Census Tract 3612, New Haven County, Connecticut!!Margin of Error</t>
  </si>
  <si>
    <t>Census Tract 3613, New Haven County, Connecticut!!Margin of Error</t>
  </si>
  <si>
    <t>Census Tract 3614.01, New Haven County, Connecticut!!Margin of Error</t>
  </si>
  <si>
    <t>Census Tract 3614.02, New Haven County, Connecticut!!Margin of Error</t>
  </si>
  <si>
    <t>Census Tract 3615, New Haven County, Connecticut!!Margin of Error</t>
  </si>
  <si>
    <t>Census Tract 9900, New Haven County, Connecticut!!Margin of Error</t>
  </si>
  <si>
    <t>Census Tract 6501, New London County, Connecticut!!Margin of Error</t>
  </si>
  <si>
    <t>Census Tract 6601.01, New London County, Connecticut!!Margin of Error</t>
  </si>
  <si>
    <t>Census Tract 6601.02, New London County, Connecticut!!Margin of Error</t>
  </si>
  <si>
    <t>Census Tract 6903, New London County, Connecticut!!Margin of Error</t>
  </si>
  <si>
    <t>Census Tract 6904, New London County, Connecticut!!Margin of Error</t>
  </si>
  <si>
    <t>Census Tract 6905, New London County, Connecticut!!Margin of Error</t>
  </si>
  <si>
    <t>Census Tract 6907, New London County, Connecticut!!Margin of Error</t>
  </si>
  <si>
    <t>Census Tract 6908, New London County, Connecticut!!Margin of Error</t>
  </si>
  <si>
    <t>Census Tract 6909, New London County, Connecticut!!Margin of Error</t>
  </si>
  <si>
    <t>Census Tract 6933, New London County, Connecticut!!Margin of Error</t>
  </si>
  <si>
    <t>Census Tract 6934, New London County, Connecticut!!Margin of Error</t>
  </si>
  <si>
    <t>Census Tract 6935, New London County, Connecticut!!Margin of Error</t>
  </si>
  <si>
    <t>Census Tract 6936, New London County, Connecticut!!Margin of Error</t>
  </si>
  <si>
    <t>Census Tract 6937, New London County, Connecticut!!Margin of Error</t>
  </si>
  <si>
    <t>Census Tract 6952.01, New London County, Connecticut!!Margin of Error</t>
  </si>
  <si>
    <t>Census Tract 6952.02, New London County, Connecticut!!Margin of Error</t>
  </si>
  <si>
    <t>Census Tract 6961, New London County, Connecticut!!Margin of Error</t>
  </si>
  <si>
    <t>Census Tract 6962, New London County, Connecticut!!Margin of Error</t>
  </si>
  <si>
    <t>Census Tract 6963, New London County, Connecticut!!Margin of Error</t>
  </si>
  <si>
    <t>Census Tract 6964, New London County, Connecticut!!Margin of Error</t>
  </si>
  <si>
    <t>Census Tract 6965, New London County, Connecticut!!Margin of Error</t>
  </si>
  <si>
    <t>Census Tract 6966, New London County, Connecticut!!Margin of Error</t>
  </si>
  <si>
    <t>Census Tract 6967, New London County, Connecticut!!Margin of Error</t>
  </si>
  <si>
    <t>Census Tract 6968, New London County, Connecticut!!Margin of Error</t>
  </si>
  <si>
    <t>Census Tract 6970, New London County, Connecticut!!Margin of Error</t>
  </si>
  <si>
    <t>Census Tract 7001, New London County, Connecticut!!Margin of Error</t>
  </si>
  <si>
    <t>Census Tract 7011, New London County, Connecticut!!Margin of Error</t>
  </si>
  <si>
    <t>Census Tract 7012, New London County, Connecticut!!Margin of Error</t>
  </si>
  <si>
    <t>Census Tract 7021, New London County, Connecticut!!Margin of Error</t>
  </si>
  <si>
    <t>Census Tract 7023, New London County, Connecticut!!Margin of Error</t>
  </si>
  <si>
    <t>Census Tract 7024, New London County, Connecticut!!Margin of Error</t>
  </si>
  <si>
    <t>Census Tract 7025, New London County, Connecticut!!Margin of Error</t>
  </si>
  <si>
    <t>Census Tract 7026, New London County, Connecticut!!Margin of Error</t>
  </si>
  <si>
    <t>Census Tract 7027, New London County, Connecticut!!Margin of Error</t>
  </si>
  <si>
    <t>Census Tract 7028, New London County, Connecticut!!Margin of Error</t>
  </si>
  <si>
    <t>Census Tract 7029, New London County, Connecticut!!Margin of Error</t>
  </si>
  <si>
    <t>Census Tract 7030, New London County, Connecticut!!Margin of Error</t>
  </si>
  <si>
    <t>Census Tract 7051.01, New London County, Connecticut!!Margin of Error</t>
  </si>
  <si>
    <t>Census Tract 7051.02, New London County, Connecticut!!Margin of Error</t>
  </si>
  <si>
    <t>Census Tract 7052, New London County, Connecticut!!Margin of Error</t>
  </si>
  <si>
    <t>Census Tract 7053, New London County, Connecticut!!Margin of Error</t>
  </si>
  <si>
    <t>Census Tract 7054, New London County, Connecticut!!Margin of Error</t>
  </si>
  <si>
    <t>Census Tract 7071, New London County, Connecticut!!Margin of Error</t>
  </si>
  <si>
    <t>Census Tract 7081, New London County, Connecticut!!Margin of Error</t>
  </si>
  <si>
    <t>Census Tract 7091, New London County, Connecticut!!Margin of Error</t>
  </si>
  <si>
    <t>Census Tract 7092, New London County, Connecticut!!Margin of Error</t>
  </si>
  <si>
    <t>Census Tract 7101, New London County, Connecticut!!Margin of Error</t>
  </si>
  <si>
    <t>Census Tract 7111, New London County, Connecticut!!Margin of Error</t>
  </si>
  <si>
    <t>Census Tract 7121, New London County, Connecticut!!Margin of Error</t>
  </si>
  <si>
    <t>Census Tract 7131, New London County, Connecticut!!Margin of Error</t>
  </si>
  <si>
    <t>Census Tract 7141.01, New London County, Connecticut!!Margin of Error</t>
  </si>
  <si>
    <t>Census Tract 7141.03, New London County, Connecticut!!Margin of Error</t>
  </si>
  <si>
    <t>Census Tract 7141.04, New London County, Connecticut!!Margin of Error</t>
  </si>
  <si>
    <t>Census Tract 7151, New London County, Connecticut!!Margin of Error</t>
  </si>
  <si>
    <t>Census Tract 7161.01, New London County, Connecticut!!Margin of Error</t>
  </si>
  <si>
    <t>Census Tract 7161.02, New London County, Connecticut!!Margin of Error</t>
  </si>
  <si>
    <t>Census Tract 8701, New London County, Connecticut!!Margin of Error</t>
  </si>
  <si>
    <t>Census Tract 8702, New London County, Connecticut!!Margin of Error</t>
  </si>
  <si>
    <t>Census Tract 8703, New London County, Connecticut!!Margin of Error</t>
  </si>
  <si>
    <t>Census Tract 8705.01, New London County, Connecticut!!Margin of Error</t>
  </si>
  <si>
    <t>Census Tract 8705.02, New London County, Connecticut!!Margin of Error</t>
  </si>
  <si>
    <t>Census Tract 8707.01, New London County, Connecticut!!Margin of Error</t>
  </si>
  <si>
    <t>Census Tract 8707.03, New London County, Connecticut!!Margin of Error</t>
  </si>
  <si>
    <t>Census Tract 8707.04, New London County, Connecticut!!Margin of Error</t>
  </si>
  <si>
    <t>Census Tract 9800, New London County, Connecticut!!Margin of Error</t>
  </si>
  <si>
    <t>Census Tract 9901, New London County, Connecticut!!Margin of Error</t>
  </si>
  <si>
    <t>Census Tract 5261.01, Tolland County, Connecticut!!Margin of Error</t>
  </si>
  <si>
    <t>Census Tract 5261.02, Tolland County, Connecticut!!Margin of Error</t>
  </si>
  <si>
    <t>Census Tract 5281, Tolland County, Connecticut!!Margin of Error</t>
  </si>
  <si>
    <t>Census Tract 5291, Tolland County, Connecticut!!Margin of Error</t>
  </si>
  <si>
    <t>Census Tract 5301, Tolland County, Connecticut!!Margin of Error</t>
  </si>
  <si>
    <t>Census Tract 5302, Tolland County, Connecticut!!Margin of Error</t>
  </si>
  <si>
    <t>Census Tract 5303.01, Tolland County, Connecticut!!Margin of Error</t>
  </si>
  <si>
    <t>Census Tract 5303.02, Tolland County, Connecticut!!Margin of Error</t>
  </si>
  <si>
    <t>Census Tract 5304, Tolland County, Connecticut!!Margin of Error</t>
  </si>
  <si>
    <t>Census Tract 5305, Tolland County, Connecticut!!Margin of Error</t>
  </si>
  <si>
    <t>Census Tract 5306, Tolland County, Connecticut!!Margin of Error</t>
  </si>
  <si>
    <t>Census Tract 5331.01, Tolland County, Connecticut!!Margin of Error</t>
  </si>
  <si>
    <t>Census Tract 5331.02, Tolland County, Connecticut!!Margin of Error</t>
  </si>
  <si>
    <t>Census Tract 5351, Tolland County, Connecticut!!Margin of Error</t>
  </si>
  <si>
    <t>Census Tract 5352, Tolland County, Connecticut!!Margin of Error</t>
  </si>
  <si>
    <t>Census Tract 5381, Tolland County, Connecticut!!Margin of Error</t>
  </si>
  <si>
    <t>Census Tract 5382.01, Tolland County, Connecticut!!Margin of Error</t>
  </si>
  <si>
    <t>Census Tract 5382.02, Tolland County, Connecticut!!Margin of Error</t>
  </si>
  <si>
    <t>Census Tract 8401, Tolland County, Connecticut!!Margin of Error</t>
  </si>
  <si>
    <t>Census Tract 8501, Tolland County, Connecticut!!Margin of Error</t>
  </si>
  <si>
    <t>Census Tract 8502, Tolland County, Connecticut!!Margin of Error</t>
  </si>
  <si>
    <t>Census Tract 8601, Tolland County, Connecticut!!Margin of Error</t>
  </si>
  <si>
    <t>Census Tract 8811, Tolland County, Connecticut!!Margin of Error</t>
  </si>
  <si>
    <t>Census Tract 8812, Tolland County, Connecticut!!Margin of Error</t>
  </si>
  <si>
    <t>Census Tract 8813, Tolland County, Connecticut!!Margin of Error</t>
  </si>
  <si>
    <t>Census Tract 8815, Tolland County, Connecticut!!Margin of Error</t>
  </si>
  <si>
    <t>Census Tract 8901, Tolland County, Connecticut!!Margin of Error</t>
  </si>
  <si>
    <t>Census Tract 8902.01, Tolland County, Connecticut!!Margin of Error</t>
  </si>
  <si>
    <t>Census Tract 8902.02, Tolland County, Connecticut!!Margin of Error</t>
  </si>
  <si>
    <t>Census Tract 8003, Windham County, Connecticut!!Margin of Error</t>
  </si>
  <si>
    <t>Census Tract 8004, Windham County, Connecticut!!Margin of Error</t>
  </si>
  <si>
    <t>Census Tract 8005, Windham County, Connecticut!!Margin of Error</t>
  </si>
  <si>
    <t>Census Tract 8006, Windham County, Connecticut!!Margin of Error</t>
  </si>
  <si>
    <t>Census Tract 8007, Windham County, Connecticut!!Margin of Error</t>
  </si>
  <si>
    <t>Census Tract 8150, Windham County, Connecticut!!Margin of Error</t>
  </si>
  <si>
    <t>Census Tract 8200, Windham County, Connecticut!!Margin of Error</t>
  </si>
  <si>
    <t>Census Tract 8250, Windham County, Connecticut!!Margin of Error</t>
  </si>
  <si>
    <t>Census Tract 8301, Windham County, Connecticut!!Margin of Error</t>
  </si>
  <si>
    <t>Census Tract 9001, Windham County, Connecticut!!Margin of Error</t>
  </si>
  <si>
    <t>Census Tract 9002, Windham County, Connecticut!!Margin of Error</t>
  </si>
  <si>
    <t>Census Tract 9011, Windham County, Connecticut!!Margin of Error</t>
  </si>
  <si>
    <t>Census Tract 9022, Windham County, Connecticut!!Margin of Error</t>
  </si>
  <si>
    <t>Census Tract 9025, Windham County, Connecticut!!Margin of Error</t>
  </si>
  <si>
    <t>Census Tract 9031, Windham County, Connecticut!!Margin of Error</t>
  </si>
  <si>
    <t>Census Tract 9032, Windham County, Connecticut!!Margin of Error</t>
  </si>
  <si>
    <t>Census Tract 9041, Windham County, Connecticut!!Margin of Error</t>
  </si>
  <si>
    <t>Census Tract 9044, Windham County, Connecticut!!Margin of Error</t>
  </si>
  <si>
    <t>Census Tract 9045, Windham County, Connecticut!!Margin of Error</t>
  </si>
  <si>
    <t>Census Tract 9051, Windham County, Connecticut!!Margin of Error</t>
  </si>
  <si>
    <t>Census Tract 9061, Windham County, Connecticut!!Margin of Error</t>
  </si>
  <si>
    <t>Census Tract 9071, Windham County, Connecticut!!Margin of Error</t>
  </si>
  <si>
    <t>Census Tract 9072, Windham County, Connecticut!!Margin of Error</t>
  </si>
  <si>
    <t>Census Tract 9073, Windham County, Connecticut!!Margin of Error</t>
  </si>
  <si>
    <t>Census Tract 9081, Windham County, Connecticut!!Margin of Error</t>
  </si>
  <si>
    <t>APPLIED FILTERS</t>
  </si>
  <si>
    <t>APPLIED SORTS</t>
  </si>
  <si>
    <t>PIVOT &amp; GROUPING</t>
  </si>
  <si>
    <t>WEB ADDRESS</t>
  </si>
  <si>
    <t>https://data.census.gov/cedsci/table?t=Income%20%28Households,%20Families,%20Individuals%29%3AIncome%20and%20Poverty&amp;g=0400000US09%241400000&amp;tid=ACSDT5Y2019.B19013&amp;moe=false</t>
  </si>
  <si>
    <t>TABLE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</si>
  <si>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</si>
  <si>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</si>
  <si>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2015-2019 American Community Survey 5-Year Estimates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</si>
  <si>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The effect of nonsampling error is not represented in these tables.</t>
  </si>
  <si>
    <t>Between 2018 and 2019 the American Community Survey retirement income question changed. These changes resulted in an increase in both the number of households reporting retirement income and higher aggregate retirement income at the national level. For more information see Changes to the Retirement Income Question .</t>
  </si>
  <si>
    <t>The 2015-2019 American Community Survey (ACS) data generally reflect the September 2018 Office of Management and Budget (OMB) delineations of metropolitan and micropolitan statistical areas. In certain instances, the names, codes, and boundaries of the principal cities shown in ACS tables may differ from the OMB delineation lists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</si>
  <si>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</si>
  <si>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Explanation of Symbols:  *  An "**" entry in the margin of error column indicates that either no sample observations or too few sample observations were available to compute a standard error and thus the margin of error. A statistical test is not appropriate.
  *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or the margin of error associated with a median was larger than the median itself.
  *  An "-" following a median estimate means the median falls in the lowest interval of an open-ended distribution.
  *  An "+" following a median estimate means the median falls in the upper interval of an open-ended distribution.
  *  An "***" entry in the margin of error column indicates that the median falls in the lowest interval or upper interval of an open-ended distribution. A statistical test is not appropriate.
  *  An "*****" entry in the margin of error column indicates that the estimate is controlled. A statistical test for sampling variability is not appropriate. 
  *  An "N" entry in the estimate and margin of error columns indicates that data for this geographic area cannot be displayed because the number of sample cases is too small.
  *  An "(X)" means that the estimate is not applicable or not available.</t>
  </si>
  <si>
    <t>COLUMN NOTES</t>
  </si>
  <si>
    <t>Small Load Customers</t>
  </si>
  <si>
    <t>Large Load Customers</t>
  </si>
  <si>
    <t>Home Energy Solutions Program Participation</t>
  </si>
  <si>
    <t>Energy Burden</t>
  </si>
  <si>
    <t>Shutoffs and Arreareages</t>
  </si>
  <si>
    <t>Table 1</t>
  </si>
  <si>
    <t>Small Load, All Customers</t>
  </si>
  <si>
    <t>Table 4</t>
  </si>
  <si>
    <t>Large Load, All Customers</t>
  </si>
  <si>
    <t>Table 11</t>
  </si>
  <si>
    <t>Small and Large Load Program Participation in BIPOC quintiles, both companies</t>
  </si>
  <si>
    <t>Table</t>
  </si>
  <si>
    <r>
      <t xml:space="preserve">Energy-burdened </t>
    </r>
    <r>
      <rPr>
        <b/>
        <sz val="12"/>
        <color rgb="FF000000"/>
        <rFont val="Arial"/>
        <family val="2"/>
      </rPr>
      <t>census tracts, small load+large load participation</t>
    </r>
    <r>
      <rPr>
        <sz val="12"/>
        <color rgb="FF000000"/>
        <rFont val="Arial"/>
        <family val="2"/>
      </rPr>
      <t xml:space="preserve"> regardless of program</t>
    </r>
  </si>
  <si>
    <t>UI Service Territory - Top 5 Towns for Shut-offs and Arrearages</t>
  </si>
  <si>
    <t>need to understand this a bit more, what are we comparing to?</t>
  </si>
  <si>
    <t>Table 7</t>
  </si>
  <si>
    <t>2019 HES Program Participation - Number of Units</t>
  </si>
  <si>
    <t>Translation:</t>
  </si>
  <si>
    <t>This table is saying that for both large and small load customers, for example, 21% of CLM collections were from the census tracts with the most amount of POC, and 20% of incentives went to those same tracts</t>
  </si>
  <si>
    <t>2019 Small Load, All Customers </t>
  </si>
  <si>
    <t> Collections  </t>
  </si>
  <si>
    <t> Incentive Disbursements  </t>
  </si>
  <si>
    <t>Ratio (%)</t>
  </si>
  <si>
    <t>Equitable?</t>
  </si>
  <si>
    <t>2019 Large Load, All Customers </t>
  </si>
  <si>
    <t>Ratio</t>
  </si>
  <si>
    <t>2019 HES Participation </t>
  </si>
  <si>
    <t>Tract</t>
  </si>
  <si>
    <t>Total Units </t>
  </si>
  <si>
    <t>Single Family </t>
  </si>
  <si>
    <t>2-4 Units </t>
  </si>
  <si>
    <t>4+ Units </t>
  </si>
  <si>
    <t>Quintile Rank</t>
  </si>
  <si>
    <t xml:space="preserve">Sum of CLM $ Collected </t>
  </si>
  <si>
    <t>Percent of total</t>
  </si>
  <si>
    <t>Sum of Incentive Disbursements</t>
  </si>
  <si>
    <t>Sum of Residential CLM $ Collected</t>
  </si>
  <si>
    <t>Sum of Residential Incentive Disbursements</t>
  </si>
  <si>
    <t>Sum of C&amp;I CLM $ Collected</t>
  </si>
  <si>
    <t>Sum of C&amp;I Incentive Disbursements</t>
  </si>
  <si>
    <t>2019, all loads</t>
  </si>
  <si>
    <t>UI 2019</t>
  </si>
  <si>
    <t>Number of Shutoffs/Arrearages</t>
  </si>
  <si>
    <t>Collections</t>
  </si>
  <si>
    <t>Incentives Disbursed</t>
  </si>
  <si>
    <t>UI</t>
  </si>
  <si>
    <t>Distressed Tracts</t>
  </si>
  <si>
    <t>Amount</t>
  </si>
  <si>
    <t>UI </t>
  </si>
  <si>
    <t>Distressed Tracts </t>
  </si>
  <si>
    <t>Least POC</t>
  </si>
  <si>
    <t>Energy Burdened</t>
  </si>
  <si>
    <t>Bridgeport</t>
  </si>
  <si>
    <t xml:space="preserve">Amount </t>
  </si>
  <si>
    <t>Yes</t>
  </si>
  <si>
    <t>% Of total</t>
  </si>
  <si>
    <t>Other Tracts </t>
  </si>
  <si>
    <t>% of Total</t>
  </si>
  <si>
    <t>Other Tracts</t>
  </si>
  <si>
    <t>Eversource </t>
  </si>
  <si>
    <t>Non-Energy Burdened</t>
  </si>
  <si>
    <t>New Haven</t>
  </si>
  <si>
    <t>No</t>
  </si>
  <si>
    <t>These percent of totals are for total in that service territory</t>
  </si>
  <si>
    <t>Eversource</t>
  </si>
  <si>
    <t>Total</t>
  </si>
  <si>
    <t>All Tracts</t>
  </si>
  <si>
    <t>Most POC</t>
  </si>
  <si>
    <t>West Haven</t>
  </si>
  <si>
    <t>Grand Total</t>
  </si>
  <si>
    <t>Does this need to be state % of total?</t>
  </si>
  <si>
    <t>Hamden</t>
  </si>
  <si>
    <t>Table 8</t>
  </si>
  <si>
    <t>2019 HES Program Participation - Collections and Incentives</t>
  </si>
  <si>
    <t>Stratford</t>
  </si>
  <si>
    <t>5% Margin of Error</t>
  </si>
  <si>
    <t>Collections </t>
  </si>
  <si>
    <t>Incentives</t>
  </si>
  <si>
    <t>Table 12</t>
  </si>
  <si>
    <t>HES/HES-IE Participation in BIPOC quintiles, both companies</t>
  </si>
  <si>
    <t>Check total units, might need to add HES-IE units</t>
  </si>
  <si>
    <t>Table 2</t>
  </si>
  <si>
    <t>Small Load, Residential</t>
  </si>
  <si>
    <t>Table 5</t>
  </si>
  <si>
    <t>Large Load, Residential</t>
  </si>
  <si>
    <t>All Residential</t>
  </si>
  <si>
    <t>HES</t>
  </si>
  <si>
    <t>HES-IE</t>
  </si>
  <si>
    <t>Total Units</t>
  </si>
  <si>
    <t>2019 Small Load, Residential</t>
  </si>
  <si>
    <t>2019 Large Load, Residential</t>
  </si>
  <si>
    <t>% of total</t>
  </si>
  <si>
    <t>HES Incentives</t>
  </si>
  <si>
    <t>HES-IE Incentives</t>
  </si>
  <si>
    <t>Percent</t>
  </si>
  <si>
    <t>Both</t>
  </si>
  <si>
    <t>Eversource 2019</t>
  </si>
  <si>
    <t>HARTFORD</t>
  </si>
  <si>
    <t>5% Margin of error</t>
  </si>
  <si>
    <t>WATERBURY</t>
  </si>
  <si>
    <t>Number of Participating Homes</t>
  </si>
  <si>
    <t>NEW BRITAIN</t>
  </si>
  <si>
    <t>Table 9</t>
  </si>
  <si>
    <t>2019 HES-IE Program Participation - Number of Units</t>
  </si>
  <si>
    <t>STAMFORD</t>
  </si>
  <si>
    <t>Unsure if this table is useful because we are missing some census tracts, but not many</t>
  </si>
  <si>
    <t xml:space="preserve">If we are okay with this, we can say things like </t>
  </si>
  <si>
    <t>MERIDEN</t>
  </si>
  <si>
    <t>42% of homes that participated in either HES or HES-IE were in census tracts with, or more than 60% POC</t>
  </si>
  <si>
    <t>~17% of collections were from communities with more than 80% POC, while 18% of incentives went to those same communities</t>
  </si>
  <si>
    <t>Table 3</t>
  </si>
  <si>
    <t>Small Load, C&amp;I</t>
  </si>
  <si>
    <t>Table 6</t>
  </si>
  <si>
    <t>Large Load, C&amp;I</t>
  </si>
  <si>
    <t>39% of collections were from communities with &lt;=60% POC, while 47% of HES-IE incentives went to those same communities</t>
  </si>
  <si>
    <t>2019 Small Load, C&amp;I</t>
  </si>
  <si>
    <t>2019 Large Load, C&amp;I</t>
  </si>
  <si>
    <t>Any combo, really, not sure which ones are helpful</t>
  </si>
  <si>
    <t>Table 10</t>
  </si>
  <si>
    <t>2019 HES-IE Program Participation - Collections and Incentives</t>
  </si>
  <si>
    <t>id</t>
  </si>
  <si>
    <t>tract</t>
  </si>
  <si>
    <t>Geographic Area Name</t>
  </si>
  <si>
    <t>Census.HOUSEHOLD INCOME IN THE PAST 12 MONTHS (IN 2019 INFLATION-ADJUSTED DOLLARS)</t>
  </si>
  <si>
    <t>Census.Average household size</t>
  </si>
  <si>
    <t>Household Size Adjusted income = (Household Income)/(Household Size)^N ; N/1/2</t>
  </si>
  <si>
    <t>adjusted income (thousands of $)</t>
  </si>
  <si>
    <t>incomee percentile</t>
  </si>
  <si>
    <t>Income Rank</t>
  </si>
  <si>
    <t>median census housing cost</t>
  </si>
  <si>
    <t>housing cost as percentage of income</t>
  </si>
  <si>
    <t>Housing cost rank as fraction of median income percentile</t>
  </si>
  <si>
    <t>housing cost rank</t>
  </si>
  <si>
    <t xml:space="preserve">Housing cost percentile </t>
  </si>
  <si>
    <t>Housing cost rank on absolute housing cost</t>
  </si>
  <si>
    <t>Combined affluence rank</t>
  </si>
  <si>
    <t>Income &lt; 60% SMI?</t>
  </si>
  <si>
    <t>60&lt;Income&lt;80 SMI?</t>
  </si>
  <si>
    <t>Income&gt;80% SMI?</t>
  </si>
  <si>
    <t>1400000US09001010101</t>
  </si>
  <si>
    <t>Census Tract 101.01, Fairfield County, Connecticut</t>
  </si>
  <si>
    <t>Need IF statements</t>
  </si>
  <si>
    <t>1400000US09001010102</t>
  </si>
  <si>
    <t>Census Tract 101.02, Fairfield County, Connecticut</t>
  </si>
  <si>
    <t>1400000US09001010201</t>
  </si>
  <si>
    <t>Census Tract 102.01, Fairfield County, Connecticut</t>
  </si>
  <si>
    <t>1400000US09001010202</t>
  </si>
  <si>
    <t>Census Tract 102.02, Fairfield County, Connecticut</t>
  </si>
  <si>
    <t>1400000US09001010300</t>
  </si>
  <si>
    <t>Census Tract 103, Fairfield County, Connecticut</t>
  </si>
  <si>
    <t>1400000US09001010400</t>
  </si>
  <si>
    <t>Census Tract 104, Fairfield County, Connecticut</t>
  </si>
  <si>
    <t>1400000US09001010500</t>
  </si>
  <si>
    <t>Census Tract 105, Fairfield County, Connecticut</t>
  </si>
  <si>
    <t>1400000US09001010600</t>
  </si>
  <si>
    <t>Census Tract 106, Fairfield County, Connecticut</t>
  </si>
  <si>
    <t>1400000US09001010700</t>
  </si>
  <si>
    <t>Census Tract 107, Fairfield County, Connecticut</t>
  </si>
  <si>
    <t>1400000US09001010800</t>
  </si>
  <si>
    <t>Census Tract 108, Fairfield County, Connecticut</t>
  </si>
  <si>
    <t>1400000US09001010900</t>
  </si>
  <si>
    <t>Census Tract 109, Fairfield County, Connecticut</t>
  </si>
  <si>
    <t>1400000US09001011000</t>
  </si>
  <si>
    <t>Census Tract 110, Fairfield County, Connecticut</t>
  </si>
  <si>
    <t>1400000US09001011100</t>
  </si>
  <si>
    <t>Census Tract 111, Fairfield County, Connecticut</t>
  </si>
  <si>
    <t>1400000US09001011200</t>
  </si>
  <si>
    <t>Census Tract 112, Fairfield County, Connecticut</t>
  </si>
  <si>
    <t>1400000US09001011300</t>
  </si>
  <si>
    <t>Census Tract 113, Fairfield County, Connecticut</t>
  </si>
  <si>
    <t>1400000US09001020100</t>
  </si>
  <si>
    <t>Census Tract 201, Fairfield County, Connecticut</t>
  </si>
  <si>
    <t>1400000US09001020200</t>
  </si>
  <si>
    <t>Census Tract 202, Fairfield County, Connecticut</t>
  </si>
  <si>
    <t>1400000US09001020300</t>
  </si>
  <si>
    <t>Census Tract 203, Fairfield County, Connecticut</t>
  </si>
  <si>
    <t>1400000US09001020400</t>
  </si>
  <si>
    <t>Census Tract 204, Fairfield County, Connecticut</t>
  </si>
  <si>
    <t>1400000US09001020500</t>
  </si>
  <si>
    <t>Census Tract 205, Fairfield County, Connecticut</t>
  </si>
  <si>
    <t>1400000US09001020600</t>
  </si>
  <si>
    <t>Census Tract 206, Fairfield County, Connecticut</t>
  </si>
  <si>
    <t>1400000US09001020700</t>
  </si>
  <si>
    <t>Census Tract 207, Fairfield County, Connecticut</t>
  </si>
  <si>
    <t>1400000US09001020800</t>
  </si>
  <si>
    <t>Census Tract 208, Fairfield County, Connecticut</t>
  </si>
  <si>
    <t>1400000US09001020900</t>
  </si>
  <si>
    <t>Census Tract 209, Fairfield County, Connecticut</t>
  </si>
  <si>
    <t>1400000US09001021000</t>
  </si>
  <si>
    <t>Census Tract 210, Fairfield County, Connecticut</t>
  </si>
  <si>
    <t>1400000US09001021100</t>
  </si>
  <si>
    <t>Census Tract 211, Fairfield County, Connecticut</t>
  </si>
  <si>
    <t>1400000US09001021200</t>
  </si>
  <si>
    <t>Census Tract 212, Fairfield County, Connecticut</t>
  </si>
  <si>
    <t>1400000US09001021300</t>
  </si>
  <si>
    <t>Census Tract 213, Fairfield County, Connecticut</t>
  </si>
  <si>
    <t>1400000US09001021400</t>
  </si>
  <si>
    <t>Census Tract 214, Fairfield County, Connecticut</t>
  </si>
  <si>
    <t>1400000US09001021500</t>
  </si>
  <si>
    <t>Census Tract 215, Fairfield County, Connecticut</t>
  </si>
  <si>
    <t>1400000US09001021600</t>
  </si>
  <si>
    <t>Census Tract 216, Fairfield County, Connecticut</t>
  </si>
  <si>
    <t>1400000US09001021700</t>
  </si>
  <si>
    <t>Census Tract 217, Fairfield County, Connecticut</t>
  </si>
  <si>
    <t>1400000US09001021801</t>
  </si>
  <si>
    <t>Census Tract 218.01, Fairfield County, Connecticut</t>
  </si>
  <si>
    <t>1400000US09001021802</t>
  </si>
  <si>
    <t>Census Tract 218.02, Fairfield County, Connecticut</t>
  </si>
  <si>
    <t>1400000US09001021900</t>
  </si>
  <si>
    <t>Census Tract 219, Fairfield County, Connecticut</t>
  </si>
  <si>
    <t>1400000US09001022000</t>
  </si>
  <si>
    <t>Census Tract 220, Fairfield County, Connecticut</t>
  </si>
  <si>
    <t>1400000US09001022100</t>
  </si>
  <si>
    <t>Census Tract 221, Fairfield County, Connecticut</t>
  </si>
  <si>
    <t>1400000US09001022200</t>
  </si>
  <si>
    <t>Census Tract 222, Fairfield County, Connecticut</t>
  </si>
  <si>
    <t>1400000US09001022300</t>
  </si>
  <si>
    <t>Census Tract 223, Fairfield County, Connecticut</t>
  </si>
  <si>
    <t>1400000US09001022400</t>
  </si>
  <si>
    <t>Census Tract 224, Fairfield County, Connecticut</t>
  </si>
  <si>
    <t>1400000US09001030100</t>
  </si>
  <si>
    <t>Census Tract 301, Fairfield County, Connecticut</t>
  </si>
  <si>
    <t>1400000US09001030200</t>
  </si>
  <si>
    <t>Census Tract 302, Fairfield County, Connecticut</t>
  </si>
  <si>
    <t>1400000US09001030300</t>
  </si>
  <si>
    <t>Census Tract 303, Fairfield County, Connecticut</t>
  </si>
  <si>
    <t>1400000US09001030400</t>
  </si>
  <si>
    <t>Census Tract 304, Fairfield County, Connecticut</t>
  </si>
  <si>
    <t>1400000US09001030500</t>
  </si>
  <si>
    <t>Census Tract 305, Fairfield County, Connecticut</t>
  </si>
  <si>
    <t>1400000US09001035100</t>
  </si>
  <si>
    <t>Census Tract 351, Fairfield County, Connecticut</t>
  </si>
  <si>
    <t>1400000US09001035200</t>
  </si>
  <si>
    <t>Census Tract 352, Fairfield County, Connecticut</t>
  </si>
  <si>
    <t>1400000US09001035300</t>
  </si>
  <si>
    <t>Census Tract 353, Fairfield County, Connecticut</t>
  </si>
  <si>
    <t>1400000US09001035400</t>
  </si>
  <si>
    <t>Census Tract 354, Fairfield County, Connecticut</t>
  </si>
  <si>
    <t>1400000US09001042500</t>
  </si>
  <si>
    <t>Census Tract 425, Fairfield County, Connecticut</t>
  </si>
  <si>
    <t>1400000US09001042600</t>
  </si>
  <si>
    <t>Census Tract 426, Fairfield County, Connecticut</t>
  </si>
  <si>
    <t>1400000US09001042700</t>
  </si>
  <si>
    <t>Census Tract 427, Fairfield County, Connecticut</t>
  </si>
  <si>
    <t>1400000US09001042800</t>
  </si>
  <si>
    <t>Census Tract 428, Fairfield County, Connecticut</t>
  </si>
  <si>
    <t>1400000US09001042900</t>
  </si>
  <si>
    <t>Census Tract 429, Fairfield County, Connecticut</t>
  </si>
  <si>
    <t>1400000US09001043000</t>
  </si>
  <si>
    <t>Census Tract 430, Fairfield County, Connecticut</t>
  </si>
  <si>
    <t>1400000US09001043100</t>
  </si>
  <si>
    <t>Census Tract 431, Fairfield County, Connecticut</t>
  </si>
  <si>
    <t>1400000US09001043200</t>
  </si>
  <si>
    <t>Census Tract 432, Fairfield County, Connecticut</t>
  </si>
  <si>
    <t>1400000US09001043300</t>
  </si>
  <si>
    <t>Census Tract 433, Fairfield County, Connecticut</t>
  </si>
  <si>
    <t>1400000US09001043400</t>
  </si>
  <si>
    <t>Census Tract 434, Fairfield County, Connecticut</t>
  </si>
  <si>
    <t>1400000US09001043500</t>
  </si>
  <si>
    <t>Census Tract 435, Fairfield County, Connecticut</t>
  </si>
  <si>
    <t>1400000US09001043600</t>
  </si>
  <si>
    <t>Census Tract 436, Fairfield County, Connecticut</t>
  </si>
  <si>
    <t>1400000US09001043700</t>
  </si>
  <si>
    <t>Census Tract 437, Fairfield County, Connecticut</t>
  </si>
  <si>
    <t>1400000US09001043800</t>
  </si>
  <si>
    <t>Census Tract 438, Fairfield County, Connecticut</t>
  </si>
  <si>
    <t>1400000US09001043900</t>
  </si>
  <si>
    <t>Census Tract 439, Fairfield County, Connecticut</t>
  </si>
  <si>
    <t>1400000US09001044000</t>
  </si>
  <si>
    <t>Census Tract 440, Fairfield County, Connecticut</t>
  </si>
  <si>
    <t>1400000US09001044100</t>
  </si>
  <si>
    <t>Census Tract 441, Fairfield County, Connecticut</t>
  </si>
  <si>
    <t>1400000US09001044200</t>
  </si>
  <si>
    <t>Census Tract 442, Fairfield County, Connecticut</t>
  </si>
  <si>
    <t>1400000US09001044300</t>
  </si>
  <si>
    <t>Census Tract 443, Fairfield County, Connecticut</t>
  </si>
  <si>
    <t>1400000US09001044400</t>
  </si>
  <si>
    <t>Census Tract 444, Fairfield County, Connecticut</t>
  </si>
  <si>
    <t>1400000US09001044500</t>
  </si>
  <si>
    <t>Census Tract 445, Fairfield County, Connecticut</t>
  </si>
  <si>
    <t>1400000US09001044600</t>
  </si>
  <si>
    <t>Census Tract 446, Fairfield County, Connecticut</t>
  </si>
  <si>
    <t>1400000US09001045101</t>
  </si>
  <si>
    <t>Census Tract 451.01, Fairfield County, Connecticut</t>
  </si>
  <si>
    <t>1400000US09001045102</t>
  </si>
  <si>
    <t>Census Tract 451.02, Fairfield County, Connecticut</t>
  </si>
  <si>
    <t>1400000US09001045200</t>
  </si>
  <si>
    <t>Census Tract 452, Fairfield County, Connecticut</t>
  </si>
  <si>
    <t>1400000US09001045300</t>
  </si>
  <si>
    <t>Census Tract 453, Fairfield County, Connecticut</t>
  </si>
  <si>
    <t>1400000US09001045400</t>
  </si>
  <si>
    <t>Census Tract 454, Fairfield County, Connecticut</t>
  </si>
  <si>
    <t>1400000US09001050100</t>
  </si>
  <si>
    <t>Census Tract 501, Fairfield County, Connecticut</t>
  </si>
  <si>
    <t>1400000US09001050200</t>
  </si>
  <si>
    <t>Census Tract 502, Fairfield County, Connecticut</t>
  </si>
  <si>
    <t>1400000US09001050300</t>
  </si>
  <si>
    <t>Census Tract 503, Fairfield County, Connecticut</t>
  </si>
  <si>
    <t>1400000US09001050400</t>
  </si>
  <si>
    <t>Census Tract 504, Fairfield County, Connecticut</t>
  </si>
  <si>
    <t>1400000US09001050500</t>
  </si>
  <si>
    <t>Census Tract 505, Fairfield County, Connecticut</t>
  </si>
  <si>
    <t>1400000US09001050600</t>
  </si>
  <si>
    <t>Census Tract 506, Fairfield County, Connecticut</t>
  </si>
  <si>
    <t>1400000US09001055100</t>
  </si>
  <si>
    <t>Census Tract 551, Fairfield County, Connecticut</t>
  </si>
  <si>
    <t>1400000US09001055200</t>
  </si>
  <si>
    <t>Census Tract 552, Fairfield County, Connecticut</t>
  </si>
  <si>
    <t>1400000US09001060100</t>
  </si>
  <si>
    <t>Census Tract 601, Fairfield County, Connecticut</t>
  </si>
  <si>
    <t>1400000US09001060200</t>
  </si>
  <si>
    <t>Census Tract 602, Fairfield County, Connecticut</t>
  </si>
  <si>
    <t>1400000US09001060300</t>
  </si>
  <si>
    <t>Census Tract 603, Fairfield County, Connecticut</t>
  </si>
  <si>
    <t>1400000US09001060400</t>
  </si>
  <si>
    <t>Census Tract 604, Fairfield County, Connecticut</t>
  </si>
  <si>
    <t>1400000US09001060500</t>
  </si>
  <si>
    <t>Census Tract 605, Fairfield County, Connecticut</t>
  </si>
  <si>
    <t>1400000US09001060600</t>
  </si>
  <si>
    <t>Census Tract 606, Fairfield County, Connecticut</t>
  </si>
  <si>
    <t>1400000US09001060700</t>
  </si>
  <si>
    <t>Census Tract 607, Fairfield County, Connecticut</t>
  </si>
  <si>
    <t>1400000US09001060800</t>
  </si>
  <si>
    <t>Census Tract 608, Fairfield County, Connecticut</t>
  </si>
  <si>
    <t>1400000US09001060900</t>
  </si>
  <si>
    <t>Census Tract 609, Fairfield County, Connecticut</t>
  </si>
  <si>
    <t>1400000US09001061000</t>
  </si>
  <si>
    <t>Census Tract 610, Fairfield County, Connecticut</t>
  </si>
  <si>
    <t>1400000US09001061100</t>
  </si>
  <si>
    <t>Census Tract 611, Fairfield County, Connecticut</t>
  </si>
  <si>
    <t>1400000US09001061200</t>
  </si>
  <si>
    <t>Census Tract 612, Fairfield County, Connecticut</t>
  </si>
  <si>
    <t>1400000US09001061300</t>
  </si>
  <si>
    <t>Census Tract 613, Fairfield County, Connecticut</t>
  </si>
  <si>
    <t>1400000US09001061400</t>
  </si>
  <si>
    <t>Census Tract 614, Fairfield County, Connecticut</t>
  </si>
  <si>
    <t>1400000US09001061500</t>
  </si>
  <si>
    <t>Census Tract 615, Fairfield County, Connecticut</t>
  </si>
  <si>
    <t>1400000US09001061600</t>
  </si>
  <si>
    <t>Census Tract 616, Fairfield County, Connecticut</t>
  </si>
  <si>
    <t>1400000US09001070100</t>
  </si>
  <si>
    <t>Census Tract 701, Fairfield County, Connecticut</t>
  </si>
  <si>
    <t>1400000US09001070200</t>
  </si>
  <si>
    <t>Census Tract 702, Fairfield County, Connecticut</t>
  </si>
  <si>
    <t>1400000US09001070300</t>
  </si>
  <si>
    <t>Census Tract 703, Fairfield County, Connecticut</t>
  </si>
  <si>
    <t>1400000US09001070400</t>
  </si>
  <si>
    <t>Census Tract 704, Fairfield County, Connecticut</t>
  </si>
  <si>
    <t>1400000US09001070500</t>
  </si>
  <si>
    <t>Census Tract 705, Fairfield County, Connecticut</t>
  </si>
  <si>
    <t>1400000US09001070600</t>
  </si>
  <si>
    <t>Census Tract 706, Fairfield County, Connecticut</t>
  </si>
  <si>
    <t>1400000US09001070900</t>
  </si>
  <si>
    <t>Census Tract 709, Fairfield County, Connecticut</t>
  </si>
  <si>
    <t>1400000US09001071000</t>
  </si>
  <si>
    <t>Census Tract 710, Fairfield County, Connecticut</t>
  </si>
  <si>
    <t>1400000US09001071100</t>
  </si>
  <si>
    <t>Census Tract 711, Fairfield County, Connecticut</t>
  </si>
  <si>
    <t>1400000US09001071200</t>
  </si>
  <si>
    <t>Census Tract 712, Fairfield County, Connecticut</t>
  </si>
  <si>
    <t>1400000US09001071300</t>
  </si>
  <si>
    <t>Census Tract 713, Fairfield County, Connecticut</t>
  </si>
  <si>
    <t>1400000US09001071400</t>
  </si>
  <si>
    <t>Census Tract 714, Fairfield County, Connecticut</t>
  </si>
  <si>
    <t>1400000US09001071600</t>
  </si>
  <si>
    <t>Census Tract 716, Fairfield County, Connecticut</t>
  </si>
  <si>
    <t>1400000US09001071900</t>
  </si>
  <si>
    <t>Census Tract 719, Fairfield County, Connecticut</t>
  </si>
  <si>
    <t>1400000US09001072000</t>
  </si>
  <si>
    <t>Census Tract 720, Fairfield County, Connecticut</t>
  </si>
  <si>
    <t>1400000US09001072100</t>
  </si>
  <si>
    <t>Census Tract 721, Fairfield County, Connecticut</t>
  </si>
  <si>
    <t>1400000US09001072200</t>
  </si>
  <si>
    <t>Census Tract 722, Fairfield County, Connecticut</t>
  </si>
  <si>
    <t>1400000US09001072300</t>
  </si>
  <si>
    <t>Census Tract 723, Fairfield County, Connecticut</t>
  </si>
  <si>
    <t>1400000US09001072400</t>
  </si>
  <si>
    <t>Census Tract 724, Fairfield County, Connecticut</t>
  </si>
  <si>
    <t>1400000US09001072500</t>
  </si>
  <si>
    <t>Census Tract 725, Fairfield County, Connecticut</t>
  </si>
  <si>
    <t>1400000US09001072600</t>
  </si>
  <si>
    <t>Census Tract 726, Fairfield County, Connecticut</t>
  </si>
  <si>
    <t>1400000US09001072700</t>
  </si>
  <si>
    <t>Census Tract 727, Fairfield County, Connecticut</t>
  </si>
  <si>
    <t>1400000US09001072800</t>
  </si>
  <si>
    <t>Census Tract 728, Fairfield County, Connecticut</t>
  </si>
  <si>
    <t>1400000US09001072900</t>
  </si>
  <si>
    <t>Census Tract 729, Fairfield County, Connecticut</t>
  </si>
  <si>
    <t>1400000US09001073000</t>
  </si>
  <si>
    <t>Census Tract 730, Fairfield County, Connecticut</t>
  </si>
  <si>
    <t>1400000US09001073100</t>
  </si>
  <si>
    <t>Census Tract 731, Fairfield County, Connecticut</t>
  </si>
  <si>
    <t>1400000US09001073200</t>
  </si>
  <si>
    <t>Census Tract 732, Fairfield County, Connecticut</t>
  </si>
  <si>
    <t>1400000US09001073300</t>
  </si>
  <si>
    <t>Census Tract 733, Fairfield County, Connecticut</t>
  </si>
  <si>
    <t>1400000US09001073400</t>
  </si>
  <si>
    <t>Census Tract 734, Fairfield County, Connecticut</t>
  </si>
  <si>
    <t>1400000US09001073500</t>
  </si>
  <si>
    <t>Census Tract 735, Fairfield County, Connecticut</t>
  </si>
  <si>
    <t>1400000US09001073600</t>
  </si>
  <si>
    <t>Census Tract 736, Fairfield County, Connecticut</t>
  </si>
  <si>
    <t>1400000US09001073700</t>
  </si>
  <si>
    <t>Census Tract 737, Fairfield County, Connecticut</t>
  </si>
  <si>
    <t>1400000US09001073800</t>
  </si>
  <si>
    <t>Census Tract 738, Fairfield County, Connecticut</t>
  </si>
  <si>
    <t>1400000US09001073900</t>
  </si>
  <si>
    <t>Census Tract 739, Fairfield County, Connecticut</t>
  </si>
  <si>
    <t>1400000US09001074000</t>
  </si>
  <si>
    <t>Census Tract 740, Fairfield County, Connecticut</t>
  </si>
  <si>
    <t>1400000US09001074300</t>
  </si>
  <si>
    <t>Census Tract 743, Fairfield County, Connecticut</t>
  </si>
  <si>
    <t>1400000US09001074400</t>
  </si>
  <si>
    <t>Census Tract 744, Fairfield County, Connecticut</t>
  </si>
  <si>
    <t>1400000US09001080100</t>
  </si>
  <si>
    <t>Census Tract 801, Fairfield County, Connecticut</t>
  </si>
  <si>
    <t>1400000US09001080200</t>
  </si>
  <si>
    <t>Census Tract 802, Fairfield County, Connecticut</t>
  </si>
  <si>
    <t>1400000US09001080400</t>
  </si>
  <si>
    <t>Census Tract 804, Fairfield County, Connecticut</t>
  </si>
  <si>
    <t>1400000US09001080500</t>
  </si>
  <si>
    <t>Census Tract 805, Fairfield County, Connecticut</t>
  </si>
  <si>
    <t>1400000US09001080600</t>
  </si>
  <si>
    <t>Census Tract 806, Fairfield County, Connecticut</t>
  </si>
  <si>
    <t>1400000US09001080700</t>
  </si>
  <si>
    <t>Census Tract 807, Fairfield County, Connecticut</t>
  </si>
  <si>
    <t>1400000US09001080800</t>
  </si>
  <si>
    <t>Census Tract 808, Fairfield County, Connecticut</t>
  </si>
  <si>
    <t>1400000US09001080900</t>
  </si>
  <si>
    <t>Census Tract 809, Fairfield County, Connecticut</t>
  </si>
  <si>
    <t>1400000US09001081000</t>
  </si>
  <si>
    <t>Census Tract 810, Fairfield County, Connecticut</t>
  </si>
  <si>
    <t>1400000US09001081100</t>
  </si>
  <si>
    <t>Census Tract 811, Fairfield County, Connecticut</t>
  </si>
  <si>
    <t>1400000US09001081200</t>
  </si>
  <si>
    <t>Census Tract 812, Fairfield County, Connecticut</t>
  </si>
  <si>
    <t>1400000US09001081300</t>
  </si>
  <si>
    <t>Census Tract 813, Fairfield County, Connecticut</t>
  </si>
  <si>
    <t>1400000US09001090100</t>
  </si>
  <si>
    <t>Census Tract 901, Fairfield County, Connecticut</t>
  </si>
  <si>
    <t>1400000US09001090200</t>
  </si>
  <si>
    <t>Census Tract 902, Fairfield County, Connecticut</t>
  </si>
  <si>
    <t>1400000US09001090300</t>
  </si>
  <si>
    <t>Census Tract 903, Fairfield County, Connecticut</t>
  </si>
  <si>
    <t>1400000US09001090400</t>
  </si>
  <si>
    <t>Census Tract 904, Fairfield County, Connecticut</t>
  </si>
  <si>
    <t>1400000US09001090500</t>
  </si>
  <si>
    <t>Census Tract 905, Fairfield County, Connecticut</t>
  </si>
  <si>
    <t>1400000US09001090600</t>
  </si>
  <si>
    <t>Census Tract 906, Fairfield County, Connecticut</t>
  </si>
  <si>
    <t>1400000US09001090700</t>
  </si>
  <si>
    <t>Census Tract 907, Fairfield County, Connecticut</t>
  </si>
  <si>
    <t>1400000US09001100100</t>
  </si>
  <si>
    <t>Census Tract 1001, Fairfield County, Connecticut</t>
  </si>
  <si>
    <t>1400000US09001100200</t>
  </si>
  <si>
    <t>Census Tract 1002, Fairfield County, Connecticut</t>
  </si>
  <si>
    <t>1400000US09001100300</t>
  </si>
  <si>
    <t>Census Tract 1003, Fairfield County, Connecticut</t>
  </si>
  <si>
    <t>1400000US09001105100</t>
  </si>
  <si>
    <t>Census Tract 1051, Fairfield County, Connecticut</t>
  </si>
  <si>
    <t>1400000US09001105200</t>
  </si>
  <si>
    <t>Census Tract 1052, Fairfield County, Connecticut</t>
  </si>
  <si>
    <t>1400000US09001110100</t>
  </si>
  <si>
    <t>Census Tract 1101, Fairfield County, Connecticut</t>
  </si>
  <si>
    <t>1400000US09001110201</t>
  </si>
  <si>
    <t>Census Tract 1102.01, Fairfield County, Connecticut</t>
  </si>
  <si>
    <t>1400000US09001110202</t>
  </si>
  <si>
    <t>Census Tract 1102.02, Fairfield County, Connecticut</t>
  </si>
  <si>
    <t>1400000US09001110301</t>
  </si>
  <si>
    <t>Census Tract 1103.01, Fairfield County, Connecticut</t>
  </si>
  <si>
    <t>1400000US09001110302</t>
  </si>
  <si>
    <t>Census Tract 1103.02, Fairfield County, Connecticut</t>
  </si>
  <si>
    <t>1400000US09001110400</t>
  </si>
  <si>
    <t>Census Tract 1104, Fairfield County, Connecticut</t>
  </si>
  <si>
    <t>1400000US09001110500</t>
  </si>
  <si>
    <t>Census Tract 1105, Fairfield County, Connecticut</t>
  </si>
  <si>
    <t>1400000US09001110600</t>
  </si>
  <si>
    <t>Census Tract 1106, Fairfield County, Connecticut</t>
  </si>
  <si>
    <t>1400000US09001200100</t>
  </si>
  <si>
    <t>Census Tract 2001, Fairfield County, Connecticut</t>
  </si>
  <si>
    <t>1400000US09001200200</t>
  </si>
  <si>
    <t>Census Tract 2002, Fairfield County, Connecticut</t>
  </si>
  <si>
    <t>1400000US09001200301</t>
  </si>
  <si>
    <t>Census Tract 2003.01, Fairfield County, Connecticut</t>
  </si>
  <si>
    <t>1400000US09001200302</t>
  </si>
  <si>
    <t>Census Tract 2003.02, Fairfield County, Connecticut</t>
  </si>
  <si>
    <t>1400000US09001205100</t>
  </si>
  <si>
    <t>Census Tract 2051, Fairfield County, Connecticut</t>
  </si>
  <si>
    <t>1400000US09001205200</t>
  </si>
  <si>
    <t>Census Tract 2052, Fairfield County, Connecticut</t>
  </si>
  <si>
    <t>1400000US09001205300</t>
  </si>
  <si>
    <t>Census Tract 2053, Fairfield County, Connecticut</t>
  </si>
  <si>
    <t>1400000US09001210100</t>
  </si>
  <si>
    <t>Census Tract 2101, Fairfield County, Connecticut</t>
  </si>
  <si>
    <t>1400000US09001210200</t>
  </si>
  <si>
    <t>Census Tract 2102, Fairfield County, Connecticut</t>
  </si>
  <si>
    <t>1400000US09001210300</t>
  </si>
  <si>
    <t>Census Tract 2103, Fairfield County, Connecticut</t>
  </si>
  <si>
    <t>1400000US09001210400</t>
  </si>
  <si>
    <t>Census Tract 2104, Fairfield County, Connecticut</t>
  </si>
  <si>
    <t>1400000US09001210500</t>
  </si>
  <si>
    <t>Census Tract 2105, Fairfield County, Connecticut</t>
  </si>
  <si>
    <t>1400000US09001210600</t>
  </si>
  <si>
    <t>Census Tract 2106, Fairfield County, Connecticut</t>
  </si>
  <si>
    <t>1400000US09001210701</t>
  </si>
  <si>
    <t>Census Tract 2107.01, Fairfield County, Connecticut</t>
  </si>
  <si>
    <t>1400000US09001210702</t>
  </si>
  <si>
    <t>Census Tract 2107.02, Fairfield County, Connecticut</t>
  </si>
  <si>
    <t>1400000US09001210800</t>
  </si>
  <si>
    <t>Census Tract 2108, Fairfield County, Connecticut</t>
  </si>
  <si>
    <t>1400000US09001210900</t>
  </si>
  <si>
    <t>Census Tract 2109, Fairfield County, Connecticut</t>
  </si>
  <si>
    <t>1400000US09001211000</t>
  </si>
  <si>
    <t>Census Tract 2110, Fairfield County, Connecticut</t>
  </si>
  <si>
    <t>1400000US09001211200</t>
  </si>
  <si>
    <t>Census Tract 2112, Fairfield County, Connecticut</t>
  </si>
  <si>
    <t>1400000US09001211300</t>
  </si>
  <si>
    <t>Census Tract 2113, Fairfield County, Connecticut</t>
  </si>
  <si>
    <t>1400000US09001211400</t>
  </si>
  <si>
    <t>Census Tract 2114, Fairfield County, Connecticut</t>
  </si>
  <si>
    <t>1400000US09001220100</t>
  </si>
  <si>
    <t>Census Tract 2201, Fairfield County, Connecticut</t>
  </si>
  <si>
    <t>1400000US09001220200</t>
  </si>
  <si>
    <t>Census Tract 2202, Fairfield County, Connecticut</t>
  </si>
  <si>
    <t>1400000US09001220300</t>
  </si>
  <si>
    <t>Census Tract 2203, Fairfield County, Connecticut</t>
  </si>
  <si>
    <t>1400000US09001230100</t>
  </si>
  <si>
    <t>Census Tract 2301, Fairfield County, Connecticut</t>
  </si>
  <si>
    <t>1400000US09001230200</t>
  </si>
  <si>
    <t>Census Tract 2302, Fairfield County, Connecticut</t>
  </si>
  <si>
    <t>1400000US09001230300</t>
  </si>
  <si>
    <t>Census Tract 2303, Fairfield County, Connecticut</t>
  </si>
  <si>
    <t>1400000US09001230400</t>
  </si>
  <si>
    <t>Census Tract 2304, Fairfield County, Connecticut</t>
  </si>
  <si>
    <t>1400000US09001230501</t>
  </si>
  <si>
    <t>Census Tract 2305.01, Fairfield County, Connecticut</t>
  </si>
  <si>
    <t>1400000US09001230502</t>
  </si>
  <si>
    <t>Census Tract 2305.02, Fairfield County, Connecticut</t>
  </si>
  <si>
    <t>1400000US09001240100</t>
  </si>
  <si>
    <t>Census Tract 2401, Fairfield County, Connecticut</t>
  </si>
  <si>
    <t>1400000US09001240200</t>
  </si>
  <si>
    <t>Census Tract 2402, Fairfield County, Connecticut</t>
  </si>
  <si>
    <t>1400000US09001245100</t>
  </si>
  <si>
    <t>Census Tract 2451, Fairfield County, Connecticut</t>
  </si>
  <si>
    <t>1400000US09001245200</t>
  </si>
  <si>
    <t>Census Tract 2452, Fairfield County, Connecticut</t>
  </si>
  <si>
    <t>1400000US09001245300</t>
  </si>
  <si>
    <t>Census Tract 2453, Fairfield County, Connecticut</t>
  </si>
  <si>
    <t>1400000US09001245400</t>
  </si>
  <si>
    <t>Census Tract 2454, Fairfield County, Connecticut</t>
  </si>
  <si>
    <t>1400000US09001245500</t>
  </si>
  <si>
    <t>Census Tract 2455, Fairfield County, Connecticut</t>
  </si>
  <si>
    <t>1400000US09001245600</t>
  </si>
  <si>
    <t>Census Tract 2456, Fairfield County, Connecticut</t>
  </si>
  <si>
    <t>1400000US09001257100</t>
  </si>
  <si>
    <t>Census Tract 2571, Fairfield County, Connecticut</t>
  </si>
  <si>
    <t>1400000US09001257200</t>
  </si>
  <si>
    <t>Census Tract 2572, Fairfield County, Connecticut</t>
  </si>
  <si>
    <t>1400000US09003330100</t>
  </si>
  <si>
    <t>Census Tract 3301, Hartford County, Connecticut</t>
  </si>
  <si>
    <t>1400000US09003400100</t>
  </si>
  <si>
    <t>Census Tract 4001, Hartford County, Connecticut</t>
  </si>
  <si>
    <t>1400000US09003400200</t>
  </si>
  <si>
    <t>Census Tract 4002, Hartford County, Connecticut</t>
  </si>
  <si>
    <t>1400000US09003400300</t>
  </si>
  <si>
    <t>Census Tract 4003, Hartford County, Connecticut</t>
  </si>
  <si>
    <t>1400000US09003405100</t>
  </si>
  <si>
    <t>Census Tract 4051, Hartford County, Connecticut</t>
  </si>
  <si>
    <t>1400000US09003405200</t>
  </si>
  <si>
    <t>Census Tract 4052, Hartford County, Connecticut</t>
  </si>
  <si>
    <t>1400000US09003405300</t>
  </si>
  <si>
    <t>Census Tract 4053, Hartford County, Connecticut</t>
  </si>
  <si>
    <t>1400000US09003405401</t>
  </si>
  <si>
    <t>Census Tract 4054.01, Hartford County, Connecticut</t>
  </si>
  <si>
    <t>1400000US09003405402</t>
  </si>
  <si>
    <t>Census Tract 4054.02, Hartford County, Connecticut</t>
  </si>
  <si>
    <t>1400000US09003405500</t>
  </si>
  <si>
    <t>Census Tract 4055, Hartford County, Connecticut</t>
  </si>
  <si>
    <t>1400000US09003405600</t>
  </si>
  <si>
    <t>Census Tract 4056, Hartford County, Connecticut</t>
  </si>
  <si>
    <t>1400000US09003405700</t>
  </si>
  <si>
    <t>Census Tract 4057, Hartford County, Connecticut</t>
  </si>
  <si>
    <t>1400000US09003405800</t>
  </si>
  <si>
    <t>Census Tract 4058, Hartford County, Connecticut</t>
  </si>
  <si>
    <t>1400000US09003405900</t>
  </si>
  <si>
    <t>Census Tract 4059, Hartford County, Connecticut</t>
  </si>
  <si>
    <t>1400000US09003406001</t>
  </si>
  <si>
    <t>Census Tract 4060.01, Hartford County, Connecticut</t>
  </si>
  <si>
    <t>1400000US09003406002</t>
  </si>
  <si>
    <t>Census Tract 4060.02, Hartford County, Connecticut</t>
  </si>
  <si>
    <t>1400000US09003406100</t>
  </si>
  <si>
    <t>Census Tract 4061, Hartford County, Connecticut</t>
  </si>
  <si>
    <t>1400000US09003410101</t>
  </si>
  <si>
    <t>Census Tract 4101.01, Hartford County, Connecticut</t>
  </si>
  <si>
    <t>1400000US09003410102</t>
  </si>
  <si>
    <t>Census Tract 4101.02, Hartford County, Connecticut</t>
  </si>
  <si>
    <t>1400000US09003415300</t>
  </si>
  <si>
    <t>Census Tract 4153, Hartford County, Connecticut</t>
  </si>
  <si>
    <t>1400000US09003415400</t>
  </si>
  <si>
    <t>Census Tract 4154, Hartford County, Connecticut</t>
  </si>
  <si>
    <t>1400000US09003415500</t>
  </si>
  <si>
    <t>Census Tract 4155, Hartford County, Connecticut</t>
  </si>
  <si>
    <t>1400000US09003415600</t>
  </si>
  <si>
    <t>Census Tract 4156, Hartford County, Connecticut</t>
  </si>
  <si>
    <t>1400000US09003415700</t>
  </si>
  <si>
    <t>Census Tract 4157, Hartford County, Connecticut</t>
  </si>
  <si>
    <t>1400000US09003415800</t>
  </si>
  <si>
    <t>Census Tract 4158, Hartford County, Connecticut</t>
  </si>
  <si>
    <t>1400000US09003415900</t>
  </si>
  <si>
    <t>Census Tract 4159, Hartford County, Connecticut</t>
  </si>
  <si>
    <t>1400000US09003416000</t>
  </si>
  <si>
    <t>Census Tract 4160, Hartford County, Connecticut</t>
  </si>
  <si>
    <t>1400000US09003416100</t>
  </si>
  <si>
    <t>Census Tract 4161, Hartford County, Connecticut</t>
  </si>
  <si>
    <t>1400000US09003416200</t>
  </si>
  <si>
    <t>Census Tract 4162, Hartford County, Connecticut</t>
  </si>
  <si>
    <t>1400000US09003416300</t>
  </si>
  <si>
    <t>Census Tract 4163, Hartford County, Connecticut</t>
  </si>
  <si>
    <t>1400000US09003416400</t>
  </si>
  <si>
    <t>Census Tract 4164, Hartford County, Connecticut</t>
  </si>
  <si>
    <t>1400000US09003416500</t>
  </si>
  <si>
    <t>Census Tract 4165, Hartford County, Connecticut</t>
  </si>
  <si>
    <t>1400000US09003416600</t>
  </si>
  <si>
    <t>Census Tract 4166, Hartford County, Connecticut</t>
  </si>
  <si>
    <t>1400000US09003416700</t>
  </si>
  <si>
    <t>Census Tract 4167, Hartford County, Connecticut</t>
  </si>
  <si>
    <t>1400000US09003416800</t>
  </si>
  <si>
    <t>Census Tract 4168, Hartford County, Connecticut</t>
  </si>
  <si>
    <t>1400000US09003417100</t>
  </si>
  <si>
    <t>Census Tract 4171, Hartford County, Connecticut</t>
  </si>
  <si>
    <t>1400000US09003417200</t>
  </si>
  <si>
    <t>Census Tract 4172, Hartford County, Connecticut</t>
  </si>
  <si>
    <t>1400000US09003417400</t>
  </si>
  <si>
    <t>Census Tract 4174, Hartford County, Connecticut</t>
  </si>
  <si>
    <t>1400000US09003417500</t>
  </si>
  <si>
    <t>Census Tract 4175, Hartford County, Connecticut</t>
  </si>
  <si>
    <t>1400000US09003420400</t>
  </si>
  <si>
    <t>Census Tract 4204, Hartford County, Connecticut</t>
  </si>
  <si>
    <t>1400000US09003420500</t>
  </si>
  <si>
    <t>Census Tract 4205, Hartford County, Connecticut</t>
  </si>
  <si>
    <t>1400000US09003420600</t>
  </si>
  <si>
    <t>Census Tract 4206, Hartford County, Connecticut</t>
  </si>
  <si>
    <t>1400000US09003420700</t>
  </si>
  <si>
    <t>Census Tract 4207, Hartford County, Connecticut</t>
  </si>
  <si>
    <t>1400000US09003430100</t>
  </si>
  <si>
    <t>Census Tract 4301, Hartford County, Connecticut</t>
  </si>
  <si>
    <t>1400000US09003430201</t>
  </si>
  <si>
    <t>Census Tract 4302.01, Hartford County, Connecticut</t>
  </si>
  <si>
    <t>1400000US09003430202</t>
  </si>
  <si>
    <t>Census Tract 4302.02, Hartford County, Connecticut</t>
  </si>
  <si>
    <t>1400000US09003430203</t>
  </si>
  <si>
    <t>Census Tract 4302.03, Hartford County, Connecticut</t>
  </si>
  <si>
    <t>1400000US09003430301</t>
  </si>
  <si>
    <t>Census Tract 4303.01, Hartford County, Connecticut</t>
  </si>
  <si>
    <t>1400000US09003430302</t>
  </si>
  <si>
    <t>Census Tract 4303.02, Hartford County, Connecticut</t>
  </si>
  <si>
    <t>1400000US09003430400</t>
  </si>
  <si>
    <t>Census Tract 4304, Hartford County, Connecticut</t>
  </si>
  <si>
    <t>1400000US09003430500</t>
  </si>
  <si>
    <t>Census Tract 4305, Hartford County, Connecticut</t>
  </si>
  <si>
    <t>1400000US09003430601</t>
  </si>
  <si>
    <t>Census Tract 4306.01, Hartford County, Connecticut</t>
  </si>
  <si>
    <t>1400000US09003430602</t>
  </si>
  <si>
    <t>Census Tract 4306.02, Hartford County, Connecticut</t>
  </si>
  <si>
    <t>1400000US09003460100</t>
  </si>
  <si>
    <t>Census Tract 4601, Hartford County, Connecticut</t>
  </si>
  <si>
    <t>1400000US09003460202</t>
  </si>
  <si>
    <t>Census Tract 4602.02, Hartford County, Connecticut</t>
  </si>
  <si>
    <t>1400000US09003460203</t>
  </si>
  <si>
    <t>Census Tract 4602.03, Hartford County, Connecticut</t>
  </si>
  <si>
    <t>1400000US09003460204</t>
  </si>
  <si>
    <t>Census Tract 4602.04, Hartford County, Connecticut</t>
  </si>
  <si>
    <t>1400000US09003460301</t>
  </si>
  <si>
    <t>Census Tract 4603.01, Hartford County, Connecticut</t>
  </si>
  <si>
    <t>1400000US09003460302</t>
  </si>
  <si>
    <t>Census Tract 4603.02, Hartford County, Connecticut</t>
  </si>
  <si>
    <t>1400000US09003462101</t>
  </si>
  <si>
    <t>Census Tract 4621.01, Hartford County, Connecticut</t>
  </si>
  <si>
    <t>1400000US09003462102</t>
  </si>
  <si>
    <t>Census Tract 4621.02, Hartford County, Connecticut</t>
  </si>
  <si>
    <t>1400000US09003462201</t>
  </si>
  <si>
    <t>Census Tract 4622.01, Hartford County, Connecticut</t>
  </si>
  <si>
    <t>1400000US09003462202</t>
  </si>
  <si>
    <t>Census Tract 4622.02, Hartford County, Connecticut</t>
  </si>
  <si>
    <t>1400000US09003464101</t>
  </si>
  <si>
    <t>Census Tract 4641.01, Hartford County, Connecticut</t>
  </si>
  <si>
    <t>1400000US09003464102</t>
  </si>
  <si>
    <t>Census Tract 4641.02, Hartford County, Connecticut</t>
  </si>
  <si>
    <t>1400000US09003466101</t>
  </si>
  <si>
    <t>Census Tract 4661.01, Hartford County, Connecticut</t>
  </si>
  <si>
    <t>1400000US09003466102</t>
  </si>
  <si>
    <t>Census Tract 4661.02, Hartford County, Connecticut</t>
  </si>
  <si>
    <t>1400000US09003466201</t>
  </si>
  <si>
    <t>Census Tract 4662.01, Hartford County, Connecticut</t>
  </si>
  <si>
    <t>1400000US09003466202</t>
  </si>
  <si>
    <t>Census Tract 4662.02, Hartford County, Connecticut</t>
  </si>
  <si>
    <t>1400000US09003466300</t>
  </si>
  <si>
    <t>Census Tract 4663, Hartford County, Connecticut</t>
  </si>
  <si>
    <t>1400000US09003466400</t>
  </si>
  <si>
    <t>Census Tract 4664, Hartford County, Connecticut</t>
  </si>
  <si>
    <t>1400000US09003468101</t>
  </si>
  <si>
    <t>Census Tract 4681.01, Hartford County, Connecticut</t>
  </si>
  <si>
    <t>1400000US09003468102</t>
  </si>
  <si>
    <t>Census Tract 4681.02, Hartford County, Connecticut</t>
  </si>
  <si>
    <t>1400000US09003470100</t>
  </si>
  <si>
    <t>Census Tract 4701, Hartford County, Connecticut</t>
  </si>
  <si>
    <t>1400000US09003471100</t>
  </si>
  <si>
    <t>Census Tract 4711, Hartford County, Connecticut</t>
  </si>
  <si>
    <t>1400000US09003471200</t>
  </si>
  <si>
    <t>Census Tract 4712, Hartford County, Connecticut</t>
  </si>
  <si>
    <t>1400000US09003471300</t>
  </si>
  <si>
    <t>Census Tract 4713, Hartford County, Connecticut</t>
  </si>
  <si>
    <t>1400000US09003471400</t>
  </si>
  <si>
    <t>Census Tract 4714, Hartford County, Connecticut</t>
  </si>
  <si>
    <t>1400000US09003471500</t>
  </si>
  <si>
    <t>Census Tract 4715, Hartford County, Connecticut</t>
  </si>
  <si>
    <t>1400000US09003473100</t>
  </si>
  <si>
    <t>Census Tract 4731, Hartford County, Connecticut</t>
  </si>
  <si>
    <t>1400000US09003473400</t>
  </si>
  <si>
    <t>Census Tract 4734, Hartford County, Connecticut</t>
  </si>
  <si>
    <t>1400000US09003473501</t>
  </si>
  <si>
    <t>Census Tract 4735.01, Hartford County, Connecticut</t>
  </si>
  <si>
    <t>1400000US09003473502</t>
  </si>
  <si>
    <t>Census Tract 4735.02, Hartford County, Connecticut</t>
  </si>
  <si>
    <t>1400000US09003473601</t>
  </si>
  <si>
    <t>Census Tract 4736.01, Hartford County, Connecticut</t>
  </si>
  <si>
    <t>1400000US09003473602</t>
  </si>
  <si>
    <t>Census Tract 4736.02, Hartford County, Connecticut</t>
  </si>
  <si>
    <t>1400000US09003473700</t>
  </si>
  <si>
    <t>Census Tract 4737, Hartford County, Connecticut</t>
  </si>
  <si>
    <t>1400000US09003473800</t>
  </si>
  <si>
    <t>Census Tract 4738, Hartford County, Connecticut</t>
  </si>
  <si>
    <t>1400000US09003476100</t>
  </si>
  <si>
    <t>Census Tract 4761, Hartford County, Connecticut</t>
  </si>
  <si>
    <t>1400000US09003476200</t>
  </si>
  <si>
    <t>Census Tract 4762, Hartford County, Connecticut</t>
  </si>
  <si>
    <t>1400000US09003476300</t>
  </si>
  <si>
    <t>Census Tract 4763, Hartford County, Connecticut</t>
  </si>
  <si>
    <t>1400000US09003477101</t>
  </si>
  <si>
    <t>Census Tract 4771.01, Hartford County, Connecticut</t>
  </si>
  <si>
    <t>1400000US09003477102</t>
  </si>
  <si>
    <t>Census Tract 4771.02, Hartford County, Connecticut</t>
  </si>
  <si>
    <t>1400000US09003477200</t>
  </si>
  <si>
    <t>Census Tract 4772, Hartford County, Connecticut</t>
  </si>
  <si>
    <t>1400000US09003480300</t>
  </si>
  <si>
    <t>Census Tract 4803, Hartford County, Connecticut</t>
  </si>
  <si>
    <t>1400000US09003480400</t>
  </si>
  <si>
    <t>Census Tract 4804, Hartford County, Connecticut</t>
  </si>
  <si>
    <t>1400000US09003480500</t>
  </si>
  <si>
    <t>Census Tract 4805, Hartford County, Connecticut</t>
  </si>
  <si>
    <t>1400000US09003480600</t>
  </si>
  <si>
    <t>Census Tract 4806, Hartford County, Connecticut</t>
  </si>
  <si>
    <t>1400000US09003480700</t>
  </si>
  <si>
    <t>Census Tract 4807, Hartford County, Connecticut</t>
  </si>
  <si>
    <t>1400000US09003480800</t>
  </si>
  <si>
    <t>Census Tract 4808, Hartford County, Connecticut</t>
  </si>
  <si>
    <t>1400000US09003480900</t>
  </si>
  <si>
    <t>Census Tract 4809, Hartford County, Connecticut</t>
  </si>
  <si>
    <t>1400000US09003481000</t>
  </si>
  <si>
    <t>Census Tract 4810, Hartford County, Connecticut</t>
  </si>
  <si>
    <t>1400000US09003481100</t>
  </si>
  <si>
    <t>Census Tract 4811, Hartford County, Connecticut</t>
  </si>
  <si>
    <t>1400000US09003481200</t>
  </si>
  <si>
    <t>Census Tract 4812, Hartford County, Connecticut</t>
  </si>
  <si>
    <t>1400000US09003481300</t>
  </si>
  <si>
    <t>Census Tract 4813, Hartford County, Connecticut</t>
  </si>
  <si>
    <t>1400000US09003484100</t>
  </si>
  <si>
    <t>Census Tract 4841, Hartford County, Connecticut</t>
  </si>
  <si>
    <t>1400000US09003484200</t>
  </si>
  <si>
    <t>Census Tract 4842, Hartford County, Connecticut</t>
  </si>
  <si>
    <t>1400000US09003487100</t>
  </si>
  <si>
    <t>Census Tract 4871, Hartford County, Connecticut</t>
  </si>
  <si>
    <t>1400000US09003487201</t>
  </si>
  <si>
    <t>Census Tract 4872.01, Hartford County, Connecticut</t>
  </si>
  <si>
    <t>1400000US09003487202</t>
  </si>
  <si>
    <t>Census Tract 4872.02, Hartford County, Connecticut</t>
  </si>
  <si>
    <t>1400000US09003487300</t>
  </si>
  <si>
    <t>Census Tract 4873, Hartford County, Connecticut</t>
  </si>
  <si>
    <t>1400000US09003487400</t>
  </si>
  <si>
    <t>Census Tract 4874, Hartford County, Connecticut</t>
  </si>
  <si>
    <t>1400000US09003487500</t>
  </si>
  <si>
    <t>Census Tract 4875, Hartford County, Connecticut</t>
  </si>
  <si>
    <t>1400000US09003490100</t>
  </si>
  <si>
    <t>Census Tract 4901, Hartford County, Connecticut</t>
  </si>
  <si>
    <t>1400000US09003490302</t>
  </si>
  <si>
    <t>Census Tract 4903.02, Hartford County, Connecticut</t>
  </si>
  <si>
    <t>1400000US09003492100</t>
  </si>
  <si>
    <t>Census Tract 4921, Hartford County, Connecticut</t>
  </si>
  <si>
    <t>1400000US09003492200</t>
  </si>
  <si>
    <t>Census Tract 4922, Hartford County, Connecticut</t>
  </si>
  <si>
    <t>1400000US09003492300</t>
  </si>
  <si>
    <t>Census Tract 4923, Hartford County, Connecticut</t>
  </si>
  <si>
    <t>1400000US09003492400</t>
  </si>
  <si>
    <t>Census Tract 4924, Hartford County, Connecticut</t>
  </si>
  <si>
    <t>1400000US09003492500</t>
  </si>
  <si>
    <t>Census Tract 4925, Hartford County, Connecticut</t>
  </si>
  <si>
    <t>1400000US09003492600</t>
  </si>
  <si>
    <t>Census Tract 4926, Hartford County, Connecticut</t>
  </si>
  <si>
    <t>1400000US09003494100</t>
  </si>
  <si>
    <t>Census Tract 4941, Hartford County, Connecticut</t>
  </si>
  <si>
    <t>1400000US09003494201</t>
  </si>
  <si>
    <t>Census Tract 4942.01, Hartford County, Connecticut</t>
  </si>
  <si>
    <t>1400000US09003494202</t>
  </si>
  <si>
    <t>Census Tract 4942.02, Hartford County, Connecticut</t>
  </si>
  <si>
    <t>1400000US09003494300</t>
  </si>
  <si>
    <t>Census Tract 4943, Hartford County, Connecticut</t>
  </si>
  <si>
    <t>1400000US09003494400</t>
  </si>
  <si>
    <t>Census Tract 4944, Hartford County, Connecticut</t>
  </si>
  <si>
    <t>1400000US09003494500</t>
  </si>
  <si>
    <t>Census Tract 4945, Hartford County, Connecticut</t>
  </si>
  <si>
    <t>1400000US09003494600</t>
  </si>
  <si>
    <t>Census Tract 4946, Hartford County, Connecticut</t>
  </si>
  <si>
    <t>1400000US09003496100</t>
  </si>
  <si>
    <t>Census Tract 4961, Hartford County, Connecticut</t>
  </si>
  <si>
    <t>1400000US09003496200</t>
  </si>
  <si>
    <t>Census Tract 4962, Hartford County, Connecticut</t>
  </si>
  <si>
    <t>1400000US09003496300</t>
  </si>
  <si>
    <t>Census Tract 4963, Hartford County, Connecticut</t>
  </si>
  <si>
    <t>1400000US09003496400</t>
  </si>
  <si>
    <t>Census Tract 4964, Hartford County, Connecticut</t>
  </si>
  <si>
    <t>1400000US09003496500</t>
  </si>
  <si>
    <t>Census Tract 4965, Hartford County, Connecticut</t>
  </si>
  <si>
    <t>1400000US09003496600</t>
  </si>
  <si>
    <t>Census Tract 4966, Hartford County, Connecticut</t>
  </si>
  <si>
    <t>1400000US09003496700</t>
  </si>
  <si>
    <t>Census Tract 4967, Hartford County, Connecticut</t>
  </si>
  <si>
    <t>1400000US09003496800</t>
  </si>
  <si>
    <t>Census Tract 4968, Hartford County, Connecticut</t>
  </si>
  <si>
    <t>1400000US09003496900</t>
  </si>
  <si>
    <t>Census Tract 4969, Hartford County, Connecticut</t>
  </si>
  <si>
    <t>1400000US09003497000</t>
  </si>
  <si>
    <t>Census Tract 4970, Hartford County, Connecticut</t>
  </si>
  <si>
    <t>1400000US09003497100</t>
  </si>
  <si>
    <t>Census Tract 4971, Hartford County, Connecticut</t>
  </si>
  <si>
    <t>1400000US09003497200</t>
  </si>
  <si>
    <t>Census Tract 4972, Hartford County, Connecticut</t>
  </si>
  <si>
    <t>1400000US09003497300</t>
  </si>
  <si>
    <t>Census Tract 4973, Hartford County, Connecticut</t>
  </si>
  <si>
    <t>1400000US09003497400</t>
  </si>
  <si>
    <t>Census Tract 4974, Hartford County, Connecticut</t>
  </si>
  <si>
    <t>1400000US09003497500</t>
  </si>
  <si>
    <t>Census Tract 4975, Hartford County, Connecticut</t>
  </si>
  <si>
    <t>1400000US09003497600</t>
  </si>
  <si>
    <t>Census Tract 4976, Hartford County, Connecticut</t>
  </si>
  <si>
    <t>1400000US09003497700</t>
  </si>
  <si>
    <t>Census Tract 4977, Hartford County, Connecticut</t>
  </si>
  <si>
    <t>1400000US09003500100</t>
  </si>
  <si>
    <t>Census Tract 5001, Hartford County, Connecticut</t>
  </si>
  <si>
    <t>1400000US09003500200</t>
  </si>
  <si>
    <t>Census Tract 5002, Hartford County, Connecticut</t>
  </si>
  <si>
    <t>1400000US09003500300</t>
  </si>
  <si>
    <t>Census Tract 5003, Hartford County, Connecticut</t>
  </si>
  <si>
    <t>1400000US09003500400</t>
  </si>
  <si>
    <t>Census Tract 5004, Hartford County, Connecticut</t>
  </si>
  <si>
    <t>1400000US09003500500</t>
  </si>
  <si>
    <t>Census Tract 5005, Hartford County, Connecticut</t>
  </si>
  <si>
    <t>1400000US09003500900</t>
  </si>
  <si>
    <t>Census Tract 5009, Hartford County, Connecticut</t>
  </si>
  <si>
    <t>1400000US09003501200</t>
  </si>
  <si>
    <t>Census Tract 5012, Hartford County, Connecticut</t>
  </si>
  <si>
    <t>1400000US09003501300</t>
  </si>
  <si>
    <t>Census Tract 5013, Hartford County, Connecticut</t>
  </si>
  <si>
    <t>1400000US09003501400</t>
  </si>
  <si>
    <t>Census Tract 5014, Hartford County, Connecticut</t>
  </si>
  <si>
    <t>1400000US09003501500</t>
  </si>
  <si>
    <t>Census Tract 5015, Hartford County, Connecticut</t>
  </si>
  <si>
    <t>1400000US09003501700</t>
  </si>
  <si>
    <t>Census Tract 5017, Hartford County, Connecticut</t>
  </si>
  <si>
    <t>1400000US09003501800</t>
  </si>
  <si>
    <t>Census Tract 5018, Hartford County, Connecticut</t>
  </si>
  <si>
    <t>1400000US09003502100</t>
  </si>
  <si>
    <t>Census Tract 5021, Hartford County, Connecticut</t>
  </si>
  <si>
    <t>1400000US09003502300</t>
  </si>
  <si>
    <t>Census Tract 5023, Hartford County, Connecticut</t>
  </si>
  <si>
    <t>1400000US09003502400</t>
  </si>
  <si>
    <t>Census Tract 5024, Hartford County, Connecticut</t>
  </si>
  <si>
    <t>1400000US09003502500</t>
  </si>
  <si>
    <t>Census Tract 5025, Hartford County, Connecticut</t>
  </si>
  <si>
    <t>1400000US09003502600</t>
  </si>
  <si>
    <t>Census Tract 5026, Hartford County, Connecticut</t>
  </si>
  <si>
    <t>1400000US09003502700</t>
  </si>
  <si>
    <t>Census Tract 5027, Hartford County, Connecticut</t>
  </si>
  <si>
    <t>1400000US09003502800</t>
  </si>
  <si>
    <t>Census Tract 5028, Hartford County, Connecticut</t>
  </si>
  <si>
    <t>1400000US09003502900</t>
  </si>
  <si>
    <t>Census Tract 5029, Hartford County, Connecticut</t>
  </si>
  <si>
    <t>1400000US09003503000</t>
  </si>
  <si>
    <t>Census Tract 5030, Hartford County, Connecticut</t>
  </si>
  <si>
    <t>1400000US09003503100</t>
  </si>
  <si>
    <t>Census Tract 5031, Hartford County, Connecticut</t>
  </si>
  <si>
    <t>1400000US09003503300</t>
  </si>
  <si>
    <t>Census Tract 5033, Hartford County, Connecticut</t>
  </si>
  <si>
    <t>1400000US09003503500</t>
  </si>
  <si>
    <t>Census Tract 5035, Hartford County, Connecticut</t>
  </si>
  <si>
    <t>1400000US09003503700</t>
  </si>
  <si>
    <t>Census Tract 5037, Hartford County, Connecticut</t>
  </si>
  <si>
    <t>1400000US09003503800</t>
  </si>
  <si>
    <t>Census Tract 5038, Hartford County, Connecticut</t>
  </si>
  <si>
    <t>1400000US09003503900</t>
  </si>
  <si>
    <t>Census Tract 5039, Hartford County, Connecticut</t>
  </si>
  <si>
    <t>1400000US09003504000</t>
  </si>
  <si>
    <t>Census Tract 5040, Hartford County, Connecticut</t>
  </si>
  <si>
    <t>1400000US09003504100</t>
  </si>
  <si>
    <t>Census Tract 5041, Hartford County, Connecticut</t>
  </si>
  <si>
    <t>1400000US09003504200</t>
  </si>
  <si>
    <t>Census Tract 5042, Hartford County, Connecticut</t>
  </si>
  <si>
    <t>1400000US09003504300</t>
  </si>
  <si>
    <t>Census Tract 5043, Hartford County, Connecticut</t>
  </si>
  <si>
    <t>1400000US09003504500</t>
  </si>
  <si>
    <t>Census Tract 5045, Hartford County, Connecticut</t>
  </si>
  <si>
    <t>1400000US09003504800</t>
  </si>
  <si>
    <t>Census Tract 5048, Hartford County, Connecticut</t>
  </si>
  <si>
    <t>1400000US09003504900</t>
  </si>
  <si>
    <t>Census Tract 5049, Hartford County, Connecticut</t>
  </si>
  <si>
    <t>1400000US09003510100</t>
  </si>
  <si>
    <t>Census Tract 5101, Hartford County, Connecticut</t>
  </si>
  <si>
    <t>1400000US09003510200</t>
  </si>
  <si>
    <t>Census Tract 5102, Hartford County, Connecticut</t>
  </si>
  <si>
    <t>1400000US09003510300</t>
  </si>
  <si>
    <t>Census Tract 5103, Hartford County, Connecticut</t>
  </si>
  <si>
    <t>1400000US09003510400</t>
  </si>
  <si>
    <t>Census Tract 5104, Hartford County, Connecticut</t>
  </si>
  <si>
    <t>1400000US09003510500</t>
  </si>
  <si>
    <t>Census Tract 5105, Hartford County, Connecticut</t>
  </si>
  <si>
    <t>1400000US09003510600</t>
  </si>
  <si>
    <t>Census Tract 5106, Hartford County, Connecticut</t>
  </si>
  <si>
    <t>1400000US09003510700</t>
  </si>
  <si>
    <t>Census Tract 5107, Hartford County, Connecticut</t>
  </si>
  <si>
    <t>1400000US09003510800</t>
  </si>
  <si>
    <t>Census Tract 5108, Hartford County, Connecticut</t>
  </si>
  <si>
    <t>1400000US09003510900</t>
  </si>
  <si>
    <t>Census Tract 5109, Hartford County, Connecticut</t>
  </si>
  <si>
    <t>1400000US09003511000</t>
  </si>
  <si>
    <t>Census Tract 5110, Hartford County, Connecticut</t>
  </si>
  <si>
    <t>1400000US09003511100</t>
  </si>
  <si>
    <t>Census Tract 5111, Hartford County, Connecticut</t>
  </si>
  <si>
    <t>1400000US09003511200</t>
  </si>
  <si>
    <t>Census Tract 5112, Hartford County, Connecticut</t>
  </si>
  <si>
    <t>1400000US09003511300</t>
  </si>
  <si>
    <t>Census Tract 5113, Hartford County, Connecticut</t>
  </si>
  <si>
    <t>1400000US09003511400</t>
  </si>
  <si>
    <t>Census Tract 5114, Hartford County, Connecticut</t>
  </si>
  <si>
    <t>1400000US09003514101</t>
  </si>
  <si>
    <t>Census Tract 5141.01, Hartford County, Connecticut</t>
  </si>
  <si>
    <t>1400000US09003514102</t>
  </si>
  <si>
    <t>Census Tract 5141.02, Hartford County, Connecticut</t>
  </si>
  <si>
    <t>1400000US09003514200</t>
  </si>
  <si>
    <t>Census Tract 5142, Hartford County, Connecticut</t>
  </si>
  <si>
    <t>1400000US09003514300</t>
  </si>
  <si>
    <t>Census Tract 5143, Hartford County, Connecticut</t>
  </si>
  <si>
    <t>1400000US09003514400</t>
  </si>
  <si>
    <t>Census Tract 5144, Hartford County, Connecticut</t>
  </si>
  <si>
    <t>1400000US09003514500</t>
  </si>
  <si>
    <t>Census Tract 5145, Hartford County, Connecticut</t>
  </si>
  <si>
    <t>1400000US09003514600</t>
  </si>
  <si>
    <t>Census Tract 5146, Hartford County, Connecticut</t>
  </si>
  <si>
    <t>1400000US09003514700</t>
  </si>
  <si>
    <t>Census Tract 5147, Hartford County, Connecticut</t>
  </si>
  <si>
    <t>1400000US09003514800</t>
  </si>
  <si>
    <t>Census Tract 5148, Hartford County, Connecticut</t>
  </si>
  <si>
    <t>1400000US09003514900</t>
  </si>
  <si>
    <t>Census Tract 5149, Hartford County, Connecticut</t>
  </si>
  <si>
    <t>1400000US09003515000</t>
  </si>
  <si>
    <t>Census Tract 5150, Hartford County, Connecticut</t>
  </si>
  <si>
    <t>1400000US09003515101</t>
  </si>
  <si>
    <t>Census Tract 5151.01, Hartford County, Connecticut</t>
  </si>
  <si>
    <t>1400000US09003515102</t>
  </si>
  <si>
    <t>Census Tract 5151.02, Hartford County, Connecticut</t>
  </si>
  <si>
    <t>1400000US09003515200</t>
  </si>
  <si>
    <t>Census Tract 5152, Hartford County, Connecticut</t>
  </si>
  <si>
    <t>1400000US09003520100</t>
  </si>
  <si>
    <t>Census Tract 5201, Hartford County, Connecticut</t>
  </si>
  <si>
    <t>1400000US09003520201</t>
  </si>
  <si>
    <t>Census Tract 5202.01, Hartford County, Connecticut</t>
  </si>
  <si>
    <t>1400000US09003520202</t>
  </si>
  <si>
    <t>Census Tract 5202.02, Hartford County, Connecticut</t>
  </si>
  <si>
    <t>1400000US09003520301</t>
  </si>
  <si>
    <t>Census Tract 5203.01, Hartford County, Connecticut</t>
  </si>
  <si>
    <t>1400000US09003520302</t>
  </si>
  <si>
    <t>Census Tract 5203.02, Hartford County, Connecticut</t>
  </si>
  <si>
    <t>1400000US09003520400</t>
  </si>
  <si>
    <t>Census Tract 5204, Hartford County, Connecticut</t>
  </si>
  <si>
    <t>1400000US09003520501</t>
  </si>
  <si>
    <t>Census Tract 5205.01, Hartford County, Connecticut</t>
  </si>
  <si>
    <t>1400000US09003524100</t>
  </si>
  <si>
    <t>Census Tract 5241, Hartford County, Connecticut</t>
  </si>
  <si>
    <t>1400000US09003524200</t>
  </si>
  <si>
    <t>Census Tract 5242, Hartford County, Connecticut</t>
  </si>
  <si>
    <t>1400000US09003524300</t>
  </si>
  <si>
    <t>Census Tract 5243, Hartford County, Connecticut</t>
  </si>
  <si>
    <t>1400000US09003524400</t>
  </si>
  <si>
    <t>Census Tract 5244, Hartford County, Connecticut</t>
  </si>
  <si>
    <t>1400000US09003524501</t>
  </si>
  <si>
    <t>Census Tract 5245.01, Hartford County, Connecticut</t>
  </si>
  <si>
    <t>1400000US09003524502</t>
  </si>
  <si>
    <t>Census Tract 5245.02, Hartford County, Connecticut</t>
  </si>
  <si>
    <t>1400000US09003524600</t>
  </si>
  <si>
    <t>Census Tract 5246, Hartford County, Connecticut</t>
  </si>
  <si>
    <t>1400000US09003524700</t>
  </si>
  <si>
    <t>Census Tract 5247, Hartford County, Connecticut</t>
  </si>
  <si>
    <t>1400000US09005250100</t>
  </si>
  <si>
    <t>Census Tract 2501, Litchfield County, Connecticut</t>
  </si>
  <si>
    <t>1400000US09005253100</t>
  </si>
  <si>
    <t>Census Tract 2531, Litchfield County, Connecticut</t>
  </si>
  <si>
    <t>1400000US09005253200</t>
  </si>
  <si>
    <t>Census Tract 2532, Litchfield County, Connecticut</t>
  </si>
  <si>
    <t>1400000US09005253300</t>
  </si>
  <si>
    <t>Census Tract 2533, Litchfield County, Connecticut</t>
  </si>
  <si>
    <t>1400000US09005253400</t>
  </si>
  <si>
    <t>Census Tract 2534, Litchfield County, Connecticut</t>
  </si>
  <si>
    <t>1400000US09005253500</t>
  </si>
  <si>
    <t>Census Tract 2535, Litchfield County, Connecticut</t>
  </si>
  <si>
    <t>1400000US09005253600</t>
  </si>
  <si>
    <t>Census Tract 2536, Litchfield County, Connecticut</t>
  </si>
  <si>
    <t>1400000US09005260200</t>
  </si>
  <si>
    <t>Census Tract 2602, Litchfield County, Connecticut</t>
  </si>
  <si>
    <t>1400000US09005261100</t>
  </si>
  <si>
    <t>Census Tract 2611, Litchfield County, Connecticut</t>
  </si>
  <si>
    <t>1400000US09005262100</t>
  </si>
  <si>
    <t>Census Tract 2621, Litchfield County, Connecticut</t>
  </si>
  <si>
    <t>1400000US09005263200</t>
  </si>
  <si>
    <t>Census Tract 2632, Litchfield County, Connecticut</t>
  </si>
  <si>
    <t>1400000US09005265100</t>
  </si>
  <si>
    <t>Census Tract 2651, Litchfield County, Connecticut</t>
  </si>
  <si>
    <t>1400000US09005266100</t>
  </si>
  <si>
    <t>Census Tract 2661, Litchfield County, Connecticut</t>
  </si>
  <si>
    <t>1400000US09005267100</t>
  </si>
  <si>
    <t>Census Tract 2671, Litchfield County, Connecticut</t>
  </si>
  <si>
    <t>1400000US09005268100</t>
  </si>
  <si>
    <t>Census Tract 2681, Litchfield County, Connecticut</t>
  </si>
  <si>
    <t>1400000US09005290100</t>
  </si>
  <si>
    <t>Census Tract 2901, Litchfield County, Connecticut</t>
  </si>
  <si>
    <t>1400000US09005293100</t>
  </si>
  <si>
    <t>Census Tract 2931, Litchfield County, Connecticut</t>
  </si>
  <si>
    <t>1400000US09005296100</t>
  </si>
  <si>
    <t>Census Tract 2961, Litchfield County, Connecticut</t>
  </si>
  <si>
    <t>1400000US09005298300</t>
  </si>
  <si>
    <t>Census Tract 2983, Litchfield County, Connecticut</t>
  </si>
  <si>
    <t>1400000US09005298400</t>
  </si>
  <si>
    <t>Census Tract 2984, Litchfield County, Connecticut</t>
  </si>
  <si>
    <t>1400000US09005300100</t>
  </si>
  <si>
    <t>Census Tract 3001, Litchfield County, Connecticut</t>
  </si>
  <si>
    <t>1400000US09005300400</t>
  </si>
  <si>
    <t>Census Tract 3004, Litchfield County, Connecticut</t>
  </si>
  <si>
    <t>1400000US09005300500</t>
  </si>
  <si>
    <t>Census Tract 3005, Litchfield County, Connecticut</t>
  </si>
  <si>
    <t>1400000US09005303100</t>
  </si>
  <si>
    <t>Census Tract 3031, Litchfield County, Connecticut</t>
  </si>
  <si>
    <t>1400000US09005306100</t>
  </si>
  <si>
    <t>Census Tract 3061, Litchfield County, Connecticut</t>
  </si>
  <si>
    <t>1400000US09005310100</t>
  </si>
  <si>
    <t>Census Tract 3101, Litchfield County, Connecticut</t>
  </si>
  <si>
    <t>1400000US09005310200</t>
  </si>
  <si>
    <t>Census Tract 3102, Litchfield County, Connecticut</t>
  </si>
  <si>
    <t>1400000US09005310300</t>
  </si>
  <si>
    <t>Census Tract 3103, Litchfield County, Connecticut</t>
  </si>
  <si>
    <t>1400000US09005310400</t>
  </si>
  <si>
    <t>Census Tract 3104, Litchfield County, Connecticut</t>
  </si>
  <si>
    <t>1400000US09005310500</t>
  </si>
  <si>
    <t>Census Tract 3105, Litchfield County, Connecticut</t>
  </si>
  <si>
    <t>1400000US09005310601</t>
  </si>
  <si>
    <t>Census Tract 3106.01, Litchfield County, Connecticut</t>
  </si>
  <si>
    <t>1400000US09005310602</t>
  </si>
  <si>
    <t>Census Tract 3106.02, Litchfield County, Connecticut</t>
  </si>
  <si>
    <t>1400000US09005310700</t>
  </si>
  <si>
    <t>Census Tract 3107, Litchfield County, Connecticut</t>
  </si>
  <si>
    <t>1400000US09005310801</t>
  </si>
  <si>
    <t>Census Tract 3108.01, Litchfield County, Connecticut</t>
  </si>
  <si>
    <t>1400000US09005310803</t>
  </si>
  <si>
    <t>Census Tract 3108.03, Litchfield County, Connecticut</t>
  </si>
  <si>
    <t>1400000US09005310804</t>
  </si>
  <si>
    <t>Census Tract 3108.04, Litchfield County, Connecticut</t>
  </si>
  <si>
    <t>1400000US09005320100</t>
  </si>
  <si>
    <t>Census Tract 3201, Litchfield County, Connecticut</t>
  </si>
  <si>
    <t>1400000US09005320200</t>
  </si>
  <si>
    <t>Census Tract 3202, Litchfield County, Connecticut</t>
  </si>
  <si>
    <t>1400000US09005342100</t>
  </si>
  <si>
    <t>Census Tract 3421, Litchfield County, Connecticut</t>
  </si>
  <si>
    <t>1400000US09005349100</t>
  </si>
  <si>
    <t>Census Tract 3491, Litchfield County, Connecticut</t>
  </si>
  <si>
    <t>1400000US09005349200</t>
  </si>
  <si>
    <t>Census Tract 3492, Litchfield County, Connecticut</t>
  </si>
  <si>
    <t>1400000US09005360100</t>
  </si>
  <si>
    <t>Census Tract 3601, Litchfield County, Connecticut</t>
  </si>
  <si>
    <t>1400000US09005360200</t>
  </si>
  <si>
    <t>Census Tract 3602, Litchfield County, Connecticut</t>
  </si>
  <si>
    <t>1400000US09005360300</t>
  </si>
  <si>
    <t>Census Tract 3603, Litchfield County, Connecticut</t>
  </si>
  <si>
    <t>1400000US09005360400</t>
  </si>
  <si>
    <t>Census Tract 3604, Litchfield County, Connecticut</t>
  </si>
  <si>
    <t>1400000US09005362101</t>
  </si>
  <si>
    <t>Census Tract 3621.01, Litchfield County, Connecticut</t>
  </si>
  <si>
    <t>1400000US09005362102</t>
  </si>
  <si>
    <t>Census Tract 3621.02, Litchfield County, Connecticut</t>
  </si>
  <si>
    <t>1400000US09005425300</t>
  </si>
  <si>
    <t>Census Tract 4253, Litchfield County, Connecticut</t>
  </si>
  <si>
    <t>1400000US09005425400</t>
  </si>
  <si>
    <t>Census Tract 4254, Litchfield County, Connecticut</t>
  </si>
  <si>
    <t>1400000US09005425500</t>
  </si>
  <si>
    <t>Census Tract 4255, Litchfield County, Connecticut</t>
  </si>
  <si>
    <t>1400000US09005425600</t>
  </si>
  <si>
    <t>Census Tract 4256, Litchfield County, Connecticut</t>
  </si>
  <si>
    <t>1400000US09007541100</t>
  </si>
  <si>
    <t>Census Tract 5411, Middlesex County, Connecticut</t>
  </si>
  <si>
    <t>1400000US09007541200</t>
  </si>
  <si>
    <t>Census Tract 5412, Middlesex County, Connecticut</t>
  </si>
  <si>
    <t>1400000US09007541300</t>
  </si>
  <si>
    <t>Census Tract 5413, Middlesex County, Connecticut</t>
  </si>
  <si>
    <t>1400000US09007541401</t>
  </si>
  <si>
    <t>Census Tract 5414.01, Middlesex County, Connecticut</t>
  </si>
  <si>
    <t>1400000US09007541402</t>
  </si>
  <si>
    <t>Census Tract 5414.02, Middlesex County, Connecticut</t>
  </si>
  <si>
    <t>1400000US09007541500</t>
  </si>
  <si>
    <t>Census Tract 5415, Middlesex County, Connecticut</t>
  </si>
  <si>
    <t>1400000US09007541600</t>
  </si>
  <si>
    <t>Census Tract 5416, Middlesex County, Connecticut</t>
  </si>
  <si>
    <t>1400000US09007541700</t>
  </si>
  <si>
    <t>Census Tract 5417, Middlesex County, Connecticut</t>
  </si>
  <si>
    <t>1400000US09007542000</t>
  </si>
  <si>
    <t>Census Tract 5420, Middlesex County, Connecticut</t>
  </si>
  <si>
    <t>1400000US09007542100</t>
  </si>
  <si>
    <t>Census Tract 5421, Middlesex County, Connecticut</t>
  </si>
  <si>
    <t>1400000US09007542200</t>
  </si>
  <si>
    <t>Census Tract 5422, Middlesex County, Connecticut</t>
  </si>
  <si>
    <t>1400000US09007550100</t>
  </si>
  <si>
    <t>Census Tract 5501, Middlesex County, Connecticut</t>
  </si>
  <si>
    <t>1400000US09007550201</t>
  </si>
  <si>
    <t>Census Tract 5502.01, Middlesex County, Connecticut</t>
  </si>
  <si>
    <t>1400000US09007550202</t>
  </si>
  <si>
    <t>Census Tract 5502.02, Middlesex County, Connecticut</t>
  </si>
  <si>
    <t>1400000US09007560100</t>
  </si>
  <si>
    <t>Census Tract 5601, Middlesex County, Connecticut</t>
  </si>
  <si>
    <t>1400000US09007560200</t>
  </si>
  <si>
    <t>Census Tract 5602, Middlesex County, Connecticut</t>
  </si>
  <si>
    <t>1400000US09007570100</t>
  </si>
  <si>
    <t>Census Tract 5701, Middlesex County, Connecticut</t>
  </si>
  <si>
    <t>1400000US09007570200</t>
  </si>
  <si>
    <t>Census Tract 5702, Middlesex County, Connecticut</t>
  </si>
  <si>
    <t>1400000US09007570300</t>
  </si>
  <si>
    <t>Census Tract 5703, Middlesex County, Connecticut</t>
  </si>
  <si>
    <t>1400000US09007580100</t>
  </si>
  <si>
    <t>Census Tract 5801, Middlesex County, Connecticut</t>
  </si>
  <si>
    <t>1400000US09007585100</t>
  </si>
  <si>
    <t>Census Tract 5851, Middlesex County, Connecticut</t>
  </si>
  <si>
    <t>1400000US09007590100</t>
  </si>
  <si>
    <t>Census Tract 5901, Middlesex County, Connecticut</t>
  </si>
  <si>
    <t>1400000US09007595101</t>
  </si>
  <si>
    <t>Census Tract 5951.01, Middlesex County, Connecticut</t>
  </si>
  <si>
    <t>1400000US09007595102</t>
  </si>
  <si>
    <t>Census Tract 5951.02, Middlesex County, Connecticut</t>
  </si>
  <si>
    <t>1400000US09007600100</t>
  </si>
  <si>
    <t>Census Tract 6001, Middlesex County, Connecticut</t>
  </si>
  <si>
    <t>1400000US09007610100</t>
  </si>
  <si>
    <t>Census Tract 6101, Middlesex County, Connecticut</t>
  </si>
  <si>
    <t>1400000US09007610200</t>
  </si>
  <si>
    <t>Census Tract 6102, Middlesex County, Connecticut</t>
  </si>
  <si>
    <t>1400000US09007610300</t>
  </si>
  <si>
    <t>Census Tract 6103, Middlesex County, Connecticut</t>
  </si>
  <si>
    <t>1400000US09007610400</t>
  </si>
  <si>
    <t>Census Tract 6104, Middlesex County, Connecticut</t>
  </si>
  <si>
    <t>1400000US09007620100</t>
  </si>
  <si>
    <t>Census Tract 6201, Middlesex County, Connecticut</t>
  </si>
  <si>
    <t>1400000US09007630100</t>
  </si>
  <si>
    <t>Census Tract 6301, Middlesex County, Connecticut</t>
  </si>
  <si>
    <t>1400000US09007640100</t>
  </si>
  <si>
    <t>Census Tract 6401, Middlesex County, Connecticut</t>
  </si>
  <si>
    <t>1400000US09007670100</t>
  </si>
  <si>
    <t>Census Tract 6701, Middlesex County, Connecticut</t>
  </si>
  <si>
    <t>1400000US09007670200</t>
  </si>
  <si>
    <t>Census Tract 6702, Middlesex County, Connecticut</t>
  </si>
  <si>
    <t>1400000US09007680100</t>
  </si>
  <si>
    <t>Census Tract 6801, Middlesex County, Connecticut</t>
  </si>
  <si>
    <t>1400000US09007680200</t>
  </si>
  <si>
    <t>Census Tract 6802, Middlesex County, Connecticut</t>
  </si>
  <si>
    <t>1400000US09009120100</t>
  </si>
  <si>
    <t>Census Tract 1201, New Haven County, Connecticut</t>
  </si>
  <si>
    <t>1400000US09009120200</t>
  </si>
  <si>
    <t>Census Tract 1202, New Haven County, Connecticut</t>
  </si>
  <si>
    <t>1400000US09009125100</t>
  </si>
  <si>
    <t>Census Tract 1251, New Haven County, Connecticut</t>
  </si>
  <si>
    <t>1400000US09009125200</t>
  </si>
  <si>
    <t>Census Tract 1252, New Haven County, Connecticut</t>
  </si>
  <si>
    <t>1400000US09009125300</t>
  </si>
  <si>
    <t>Census Tract 1253, New Haven County, Connecticut</t>
  </si>
  <si>
    <t>1400000US09009125400</t>
  </si>
  <si>
    <t>Census Tract 1254, New Haven County, Connecticut</t>
  </si>
  <si>
    <t>1400000US09009130101</t>
  </si>
  <si>
    <t>Census Tract 1301.01, New Haven County, Connecticut</t>
  </si>
  <si>
    <t>1400000US09009130102</t>
  </si>
  <si>
    <t>Census Tract 1301.02, New Haven County, Connecticut</t>
  </si>
  <si>
    <t>1400000US09009130200</t>
  </si>
  <si>
    <t>Census Tract 1302, New Haven County, Connecticut</t>
  </si>
  <si>
    <t>1400000US09009140100</t>
  </si>
  <si>
    <t>Census Tract 1401, New Haven County, Connecticut</t>
  </si>
  <si>
    <t>1400000US09009140200</t>
  </si>
  <si>
    <t>Census Tract 1402, New Haven County, Connecticut</t>
  </si>
  <si>
    <t>1400000US09009140300</t>
  </si>
  <si>
    <t>Census Tract 1403, New Haven County, Connecticut</t>
  </si>
  <si>
    <t>1400000US09009140400</t>
  </si>
  <si>
    <t>Census Tract 1404, New Haven County, Connecticut</t>
  </si>
  <si>
    <t>1400000US09009140500</t>
  </si>
  <si>
    <t>Census Tract 1405, New Haven County, Connecticut</t>
  </si>
  <si>
    <t>1400000US09009140600</t>
  </si>
  <si>
    <t>Census Tract 1406, New Haven County, Connecticut</t>
  </si>
  <si>
    <t>1400000US09009140700</t>
  </si>
  <si>
    <t>Census Tract 1407, New Haven County, Connecticut</t>
  </si>
  <si>
    <t>1400000US09009140800</t>
  </si>
  <si>
    <t>Census Tract 1408, New Haven County, Connecticut</t>
  </si>
  <si>
    <t>1400000US09009140900</t>
  </si>
  <si>
    <t>Census Tract 1409, New Haven County, Connecticut</t>
  </si>
  <si>
    <t>1400000US09009141000</t>
  </si>
  <si>
    <t>Census Tract 1410, New Haven County, Connecticut</t>
  </si>
  <si>
    <t>1400000US09009141100</t>
  </si>
  <si>
    <t>Census Tract 1411, New Haven County, Connecticut</t>
  </si>
  <si>
    <t>1400000US09009141200</t>
  </si>
  <si>
    <t>Census Tract 1412, New Haven County, Connecticut</t>
  </si>
  <si>
    <t>1400000US09009141300</t>
  </si>
  <si>
    <t>Census Tract 1413, New Haven County, Connecticut</t>
  </si>
  <si>
    <t>1400000US09009141400</t>
  </si>
  <si>
    <t>Census Tract 1414, New Haven County, Connecticut</t>
  </si>
  <si>
    <t>1400000US09009141500</t>
  </si>
  <si>
    <t>Census Tract 1415, New Haven County, Connecticut</t>
  </si>
  <si>
    <t>1400000US09009141600</t>
  </si>
  <si>
    <t>Census Tract 1416, New Haven County, Connecticut</t>
  </si>
  <si>
    <t>1400000US09009141800</t>
  </si>
  <si>
    <t>Census Tract 1418, New Haven County, Connecticut</t>
  </si>
  <si>
    <t>1400000US09009141900</t>
  </si>
  <si>
    <t>Census Tract 1419, New Haven County, Connecticut</t>
  </si>
  <si>
    <t>1400000US09009142000</t>
  </si>
  <si>
    <t>Census Tract 1420, New Haven County, Connecticut</t>
  </si>
  <si>
    <t>1400000US09009142100</t>
  </si>
  <si>
    <t>Census Tract 1421, New Haven County, Connecticut</t>
  </si>
  <si>
    <t>1400000US09009142200</t>
  </si>
  <si>
    <t>Census Tract 1422, New Haven County, Connecticut</t>
  </si>
  <si>
    <t>1400000US09009142300</t>
  </si>
  <si>
    <t>Census Tract 1423, New Haven County, Connecticut</t>
  </si>
  <si>
    <t>1400000US09009142400</t>
  </si>
  <si>
    <t>Census Tract 1424, New Haven County, Connecticut</t>
  </si>
  <si>
    <t>1400000US09009142500</t>
  </si>
  <si>
    <t>Census Tract 1425, New Haven County, Connecticut</t>
  </si>
  <si>
    <t>1400000US09009142601</t>
  </si>
  <si>
    <t>Census Tract 1426.01, New Haven County, Connecticut</t>
  </si>
  <si>
    <t>1400000US09009142603</t>
  </si>
  <si>
    <t>Census Tract 1426.03, New Haven County, Connecticut</t>
  </si>
  <si>
    <t>1400000US09009142604</t>
  </si>
  <si>
    <t>Census Tract 1426.04, New Haven County, Connecticut</t>
  </si>
  <si>
    <t>1400000US09009142700</t>
  </si>
  <si>
    <t>Census Tract 1427, New Haven County, Connecticut</t>
  </si>
  <si>
    <t>1400000US09009142800</t>
  </si>
  <si>
    <t>Census Tract 1428, New Haven County, Connecticut</t>
  </si>
  <si>
    <t>1400000US09009150100</t>
  </si>
  <si>
    <t>Census Tract 1501, New Haven County, Connecticut</t>
  </si>
  <si>
    <t>1400000US09009150200</t>
  </si>
  <si>
    <t>Census Tract 1502, New Haven County, Connecticut</t>
  </si>
  <si>
    <t>1400000US09009150300</t>
  </si>
  <si>
    <t>Census Tract 1503, New Haven County, Connecticut</t>
  </si>
  <si>
    <t>1400000US09009150400</t>
  </si>
  <si>
    <t>Census Tract 1504, New Haven County, Connecticut</t>
  </si>
  <si>
    <t>1400000US09009150500</t>
  </si>
  <si>
    <t>Census Tract 1505, New Haven County, Connecticut</t>
  </si>
  <si>
    <t>1400000US09009150600</t>
  </si>
  <si>
    <t>Census Tract 1506, New Haven County, Connecticut</t>
  </si>
  <si>
    <t>1400000US09009150700</t>
  </si>
  <si>
    <t>Census Tract 1507, New Haven County, Connecticut</t>
  </si>
  <si>
    <t>1400000US09009150800</t>
  </si>
  <si>
    <t>Census Tract 1508, New Haven County, Connecticut</t>
  </si>
  <si>
    <t>1400000US09009150900</t>
  </si>
  <si>
    <t>Census Tract 1509, New Haven County, Connecticut</t>
  </si>
  <si>
    <t>1400000US09009151000</t>
  </si>
  <si>
    <t>Census Tract 1510, New Haven County, Connecticut</t>
  </si>
  <si>
    <t>1400000US09009151100</t>
  </si>
  <si>
    <t>Census Tract 1511, New Haven County, Connecticut</t>
  </si>
  <si>
    <t>1400000US09009151200</t>
  </si>
  <si>
    <t>Census Tract 1512, New Haven County, Connecticut</t>
  </si>
  <si>
    <t>1400000US09009154100</t>
  </si>
  <si>
    <t>Census Tract 1541, New Haven County, Connecticut</t>
  </si>
  <si>
    <t>1400000US09009154200</t>
  </si>
  <si>
    <t>Census Tract 1542, New Haven County, Connecticut</t>
  </si>
  <si>
    <t>1400000US09009154500</t>
  </si>
  <si>
    <t>Census Tract 1545, New Haven County, Connecticut</t>
  </si>
  <si>
    <t>1400000US09009154600</t>
  </si>
  <si>
    <t>Census Tract 1546, New Haven County, Connecticut</t>
  </si>
  <si>
    <t>1400000US09009154700</t>
  </si>
  <si>
    <t>Census Tract 1547, New Haven County, Connecticut</t>
  </si>
  <si>
    <t>1400000US09009154800</t>
  </si>
  <si>
    <t>Census Tract 1548, New Haven County, Connecticut</t>
  </si>
  <si>
    <t>1400000US09009154900</t>
  </si>
  <si>
    <t>Census Tract 1549, New Haven County, Connecticut</t>
  </si>
  <si>
    <t>1400000US09009155000</t>
  </si>
  <si>
    <t>Census Tract 1550, New Haven County, Connecticut</t>
  </si>
  <si>
    <t>1400000US09009155100</t>
  </si>
  <si>
    <t>Census Tract 1551, New Haven County, Connecticut</t>
  </si>
  <si>
    <t>1400000US09009157100</t>
  </si>
  <si>
    <t>Census Tract 1571, New Haven County, Connecticut</t>
  </si>
  <si>
    <t>1400000US09009157200</t>
  </si>
  <si>
    <t>Census Tract 1572, New Haven County, Connecticut</t>
  </si>
  <si>
    <t>1400000US09009157300</t>
  </si>
  <si>
    <t>Census Tract 1573, New Haven County, Connecticut</t>
  </si>
  <si>
    <t>1400000US09009157400</t>
  </si>
  <si>
    <t>Census Tract 1574, New Haven County, Connecticut</t>
  </si>
  <si>
    <t>1400000US09009160100</t>
  </si>
  <si>
    <t>Census Tract 1601, New Haven County, Connecticut</t>
  </si>
  <si>
    <t>1400000US09009160200</t>
  </si>
  <si>
    <t>Census Tract 1602, New Haven County, Connecticut</t>
  </si>
  <si>
    <t>1400000US09009161100</t>
  </si>
  <si>
    <t>Census Tract 1611, New Haven County, Connecticut</t>
  </si>
  <si>
    <t>1400000US09009165100</t>
  </si>
  <si>
    <t>Census Tract 1651, New Haven County, Connecticut</t>
  </si>
  <si>
    <t>1400000US09009165200</t>
  </si>
  <si>
    <t>Census Tract 1652, New Haven County, Connecticut</t>
  </si>
  <si>
    <t>1400000US09009165300</t>
  </si>
  <si>
    <t>Census Tract 1653, New Haven County, Connecticut</t>
  </si>
  <si>
    <t>1400000US09009165400</t>
  </si>
  <si>
    <t>Census Tract 1654, New Haven County, Connecticut</t>
  </si>
  <si>
    <t>1400000US09009165500</t>
  </si>
  <si>
    <t>Census Tract 1655, New Haven County, Connecticut</t>
  </si>
  <si>
    <t>1400000US09009165600</t>
  </si>
  <si>
    <t>Census Tract 1656, New Haven County, Connecticut</t>
  </si>
  <si>
    <t>1400000US09009165700</t>
  </si>
  <si>
    <t>Census Tract 1657, New Haven County, Connecticut</t>
  </si>
  <si>
    <t>1400000US09009165801</t>
  </si>
  <si>
    <t>Census Tract 1658.01, New Haven County, Connecticut</t>
  </si>
  <si>
    <t>1400000US09009165802</t>
  </si>
  <si>
    <t>Census Tract 1658.02, New Haven County, Connecticut</t>
  </si>
  <si>
    <t>1400000US09009165900</t>
  </si>
  <si>
    <t>Census Tract 1659, New Haven County, Connecticut</t>
  </si>
  <si>
    <t>1400000US09009166001</t>
  </si>
  <si>
    <t>Census Tract 1660.01, New Haven County, Connecticut</t>
  </si>
  <si>
    <t>1400000US09009166002</t>
  </si>
  <si>
    <t>Census Tract 1660.02, New Haven County, Connecticut</t>
  </si>
  <si>
    <t>1400000US09009167100</t>
  </si>
  <si>
    <t>Census Tract 1671, New Haven County, Connecticut</t>
  </si>
  <si>
    <t>1400000US09009167201</t>
  </si>
  <si>
    <t>Census Tract 1672.01, New Haven County, Connecticut</t>
  </si>
  <si>
    <t>1400000US09009167202</t>
  </si>
  <si>
    <t>Census Tract 1672.02, New Haven County, Connecticut</t>
  </si>
  <si>
    <t>1400000US09009167300</t>
  </si>
  <si>
    <t>Census Tract 1673, New Haven County, Connecticut</t>
  </si>
  <si>
    <t>1400000US09009170100</t>
  </si>
  <si>
    <t>Census Tract 1701, New Haven County, Connecticut</t>
  </si>
  <si>
    <t>1400000US09009170200</t>
  </si>
  <si>
    <t>Census Tract 1702, New Haven County, Connecticut</t>
  </si>
  <si>
    <t>1400000US09009170300</t>
  </si>
  <si>
    <t>Census Tract 1703, New Haven County, Connecticut</t>
  </si>
  <si>
    <t>1400000US09009170400</t>
  </si>
  <si>
    <t>Census Tract 1704, New Haven County, Connecticut</t>
  </si>
  <si>
    <t>1400000US09009170500</t>
  </si>
  <si>
    <t>Census Tract 1705, New Haven County, Connecticut</t>
  </si>
  <si>
    <t>1400000US09009170600</t>
  </si>
  <si>
    <t>Census Tract 1706, New Haven County, Connecticut</t>
  </si>
  <si>
    <t>1400000US09009170700</t>
  </si>
  <si>
    <t>Census Tract 1707, New Haven County, Connecticut</t>
  </si>
  <si>
    <t>1400000US09009170800</t>
  </si>
  <si>
    <t>Census Tract 1708, New Haven County, Connecticut</t>
  </si>
  <si>
    <t>1400000US09009170900</t>
  </si>
  <si>
    <t>Census Tract 1709, New Haven County, Connecticut</t>
  </si>
  <si>
    <t>1400000US09009171000</t>
  </si>
  <si>
    <t>Census Tract 1710, New Haven County, Connecticut</t>
  </si>
  <si>
    <t>1400000US09009171100</t>
  </si>
  <si>
    <t>Census Tract 1711, New Haven County, Connecticut</t>
  </si>
  <si>
    <t>1400000US09009171200</t>
  </si>
  <si>
    <t>Census Tract 1712, New Haven County, Connecticut</t>
  </si>
  <si>
    <t>1400000US09009171300</t>
  </si>
  <si>
    <t>Census Tract 1713, New Haven County, Connecticut</t>
  </si>
  <si>
    <t>1400000US09009171400</t>
  </si>
  <si>
    <t>Census Tract 1714, New Haven County, Connecticut</t>
  </si>
  <si>
    <t>1400000US09009171500</t>
  </si>
  <si>
    <t>Census Tract 1715, New Haven County, Connecticut</t>
  </si>
  <si>
    <t>1400000US09009171600</t>
  </si>
  <si>
    <t>Census Tract 1716, New Haven County, Connecticut</t>
  </si>
  <si>
    <t>1400000US09009171700</t>
  </si>
  <si>
    <t>Census Tract 1717, New Haven County, Connecticut</t>
  </si>
  <si>
    <t>1400000US09009175100</t>
  </si>
  <si>
    <t>Census Tract 1751, New Haven County, Connecticut</t>
  </si>
  <si>
    <t>1400000US09009175200</t>
  </si>
  <si>
    <t>Census Tract 1752, New Haven County, Connecticut</t>
  </si>
  <si>
    <t>1400000US09009175300</t>
  </si>
  <si>
    <t>Census Tract 1753, New Haven County, Connecticut</t>
  </si>
  <si>
    <t>1400000US09009175400</t>
  </si>
  <si>
    <t>Census Tract 1754, New Haven County, Connecticut</t>
  </si>
  <si>
    <t>1400000US09009175500</t>
  </si>
  <si>
    <t>Census Tract 1755, New Haven County, Connecticut</t>
  </si>
  <si>
    <t>1400000US09009175600</t>
  </si>
  <si>
    <t>Census Tract 1756, New Haven County, Connecticut</t>
  </si>
  <si>
    <t>1400000US09009175700</t>
  </si>
  <si>
    <t>Census Tract 1757, New Haven County, Connecticut</t>
  </si>
  <si>
    <t>1400000US09009175800</t>
  </si>
  <si>
    <t>Census Tract 1758, New Haven County, Connecticut</t>
  </si>
  <si>
    <t>1400000US09009175900</t>
  </si>
  <si>
    <t>Census Tract 1759, New Haven County, Connecticut</t>
  </si>
  <si>
    <t>1400000US09009176000</t>
  </si>
  <si>
    <t>Census Tract 1760, New Haven County, Connecticut</t>
  </si>
  <si>
    <t>1400000US09009180100</t>
  </si>
  <si>
    <t>Census Tract 1801, New Haven County, Connecticut</t>
  </si>
  <si>
    <t>1400000US09009180200</t>
  </si>
  <si>
    <t>Census Tract 1802, New Haven County, Connecticut</t>
  </si>
  <si>
    <t>1400000US09009180300</t>
  </si>
  <si>
    <t>Census Tract 1803, New Haven County, Connecticut</t>
  </si>
  <si>
    <t>1400000US09009180400</t>
  </si>
  <si>
    <t>Census Tract 1804, New Haven County, Connecticut</t>
  </si>
  <si>
    <t>1400000US09009180500</t>
  </si>
  <si>
    <t>Census Tract 1805, New Haven County, Connecticut</t>
  </si>
  <si>
    <t>1400000US09009180601</t>
  </si>
  <si>
    <t>Census Tract 1806.01, New Haven County, Connecticut</t>
  </si>
  <si>
    <t>1400000US09009180602</t>
  </si>
  <si>
    <t>Census Tract 1806.02, New Haven County, Connecticut</t>
  </si>
  <si>
    <t>1400000US09009184100</t>
  </si>
  <si>
    <t>Census Tract 1841, New Haven County, Connecticut</t>
  </si>
  <si>
    <t>1400000US09009184200</t>
  </si>
  <si>
    <t>Census Tract 1842, New Haven County, Connecticut</t>
  </si>
  <si>
    <t>1400000US09009184300</t>
  </si>
  <si>
    <t>Census Tract 1843, New Haven County, Connecticut</t>
  </si>
  <si>
    <t>1400000US09009184400</t>
  </si>
  <si>
    <t>Census Tract 1844, New Haven County, Connecticut</t>
  </si>
  <si>
    <t>1400000US09009184500</t>
  </si>
  <si>
    <t>Census Tract 1845, New Haven County, Connecticut</t>
  </si>
  <si>
    <t>1400000US09009184600</t>
  </si>
  <si>
    <t>Census Tract 1846, New Haven County, Connecticut</t>
  </si>
  <si>
    <t>1400000US09009184700</t>
  </si>
  <si>
    <t>Census Tract 1847, New Haven County, Connecticut</t>
  </si>
  <si>
    <t>1400000US09009186100</t>
  </si>
  <si>
    <t>Census Tract 1861, New Haven County, Connecticut</t>
  </si>
  <si>
    <t>1400000US09009186200</t>
  </si>
  <si>
    <t>Census Tract 1862, New Haven County, Connecticut</t>
  </si>
  <si>
    <t>1400000US09009190100</t>
  </si>
  <si>
    <t>Census Tract 1901, New Haven County, Connecticut</t>
  </si>
  <si>
    <t>1400000US09009190200</t>
  </si>
  <si>
    <t>Census Tract 1902, New Haven County, Connecticut</t>
  </si>
  <si>
    <t>1400000US09009190301</t>
  </si>
  <si>
    <t>Census Tract 1903.01, New Haven County, Connecticut</t>
  </si>
  <si>
    <t>1400000US09009190302</t>
  </si>
  <si>
    <t>Census Tract 1903.02, New Haven County, Connecticut</t>
  </si>
  <si>
    <t>1400000US09009190303</t>
  </si>
  <si>
    <t>Census Tract 1903.03, New Haven County, Connecticut</t>
  </si>
  <si>
    <t>1400000US09009194100</t>
  </si>
  <si>
    <t>Census Tract 1941, New Haven County, Connecticut</t>
  </si>
  <si>
    <t>1400000US09009194201</t>
  </si>
  <si>
    <t>Census Tract 1942.01, New Haven County, Connecticut</t>
  </si>
  <si>
    <t>1400000US09009194202</t>
  </si>
  <si>
    <t>Census Tract 1942.02, New Haven County, Connecticut</t>
  </si>
  <si>
    <t>1400000US09009341100</t>
  </si>
  <si>
    <t>Census Tract 3411, New Haven County, Connecticut</t>
  </si>
  <si>
    <t>1400000US09009343101</t>
  </si>
  <si>
    <t>Census Tract 3431.01, New Haven County, Connecticut</t>
  </si>
  <si>
    <t>1400000US09009343102</t>
  </si>
  <si>
    <t>Census Tract 3431.02, New Haven County, Connecticut</t>
  </si>
  <si>
    <t>1400000US09009343200</t>
  </si>
  <si>
    <t>Census Tract 3432, New Haven County, Connecticut</t>
  </si>
  <si>
    <t>1400000US09009343300</t>
  </si>
  <si>
    <t>Census Tract 3433, New Haven County, Connecticut</t>
  </si>
  <si>
    <t>1400000US09009343400</t>
  </si>
  <si>
    <t>Census Tract 3434, New Haven County, Connecticut</t>
  </si>
  <si>
    <t>1400000US09009344100</t>
  </si>
  <si>
    <t>Census Tract 3441, New Haven County, Connecticut</t>
  </si>
  <si>
    <t>1400000US09009344200</t>
  </si>
  <si>
    <t>Census Tract 3442, New Haven County, Connecticut</t>
  </si>
  <si>
    <t>1400000US09009345100</t>
  </si>
  <si>
    <t>Census Tract 3451, New Haven County, Connecticut</t>
  </si>
  <si>
    <t>1400000US09009345201</t>
  </si>
  <si>
    <t>Census Tract 3452.01, New Haven County, Connecticut</t>
  </si>
  <si>
    <t>1400000US09009345202</t>
  </si>
  <si>
    <t>Census Tract 3452.02, New Haven County, Connecticut</t>
  </si>
  <si>
    <t>1400000US09009345300</t>
  </si>
  <si>
    <t>Census Tract 3453, New Haven County, Connecticut</t>
  </si>
  <si>
    <t>1400000US09009345400</t>
  </si>
  <si>
    <t>Census Tract 3454, New Haven County, Connecticut</t>
  </si>
  <si>
    <t>1400000US09009346101</t>
  </si>
  <si>
    <t>Census Tract 3461.01, New Haven County, Connecticut</t>
  </si>
  <si>
    <t>1400000US09009346102</t>
  </si>
  <si>
    <t>Census Tract 3461.02, New Haven County, Connecticut</t>
  </si>
  <si>
    <t>1400000US09009347100</t>
  </si>
  <si>
    <t>Census Tract 3471, New Haven County, Connecticut</t>
  </si>
  <si>
    <t>1400000US09009347200</t>
  </si>
  <si>
    <t>Census Tract 3472, New Haven County, Connecticut</t>
  </si>
  <si>
    <t>1400000US09009348111</t>
  </si>
  <si>
    <t>Census Tract 3481.11, New Haven County, Connecticut</t>
  </si>
  <si>
    <t>1400000US09009348122</t>
  </si>
  <si>
    <t>Census Tract 3481.22, New Haven County, Connecticut</t>
  </si>
  <si>
    <t>1400000US09009348123</t>
  </si>
  <si>
    <t>Census Tract 3481.23, New Haven County, Connecticut</t>
  </si>
  <si>
    <t>1400000US09009348124</t>
  </si>
  <si>
    <t>Census Tract 3481.24, New Haven County, Connecticut</t>
  </si>
  <si>
    <t>1400000US09009348125</t>
  </si>
  <si>
    <t>Census Tract 3481.25, New Haven County, Connecticut</t>
  </si>
  <si>
    <t>1400000US09009350100</t>
  </si>
  <si>
    <t>Census Tract 3501, New Haven County, Connecticut</t>
  </si>
  <si>
    <t>1400000US09009350200</t>
  </si>
  <si>
    <t>Census Tract 3502, New Haven County, Connecticut</t>
  </si>
  <si>
    <t>1400000US09009350300</t>
  </si>
  <si>
    <t>Census Tract 3503, New Haven County, Connecticut</t>
  </si>
  <si>
    <t>1400000US09009350400</t>
  </si>
  <si>
    <t>Census Tract 3504, New Haven County, Connecticut</t>
  </si>
  <si>
    <t>1400000US09009350500</t>
  </si>
  <si>
    <t>Census Tract 3505, New Haven County, Connecticut</t>
  </si>
  <si>
    <t>1400000US09009350800</t>
  </si>
  <si>
    <t>Census Tract 3508, New Haven County, Connecticut</t>
  </si>
  <si>
    <t>1400000US09009350900</t>
  </si>
  <si>
    <t>Census Tract 3509, New Haven County, Connecticut</t>
  </si>
  <si>
    <t>1400000US09009351000</t>
  </si>
  <si>
    <t>Census Tract 3510, New Haven County, Connecticut</t>
  </si>
  <si>
    <t>1400000US09009351100</t>
  </si>
  <si>
    <t>Census Tract 3511, New Haven County, Connecticut</t>
  </si>
  <si>
    <t>1400000US09009351200</t>
  </si>
  <si>
    <t>Census Tract 3512, New Haven County, Connecticut</t>
  </si>
  <si>
    <t>1400000US09009351300</t>
  </si>
  <si>
    <t>Census Tract 3513, New Haven County, Connecticut</t>
  </si>
  <si>
    <t>1400000US09009351400</t>
  </si>
  <si>
    <t>Census Tract 3514, New Haven County, Connecticut</t>
  </si>
  <si>
    <t>1400000US09009351500</t>
  </si>
  <si>
    <t>Census Tract 3515, New Haven County, Connecticut</t>
  </si>
  <si>
    <t>1400000US09009351601</t>
  </si>
  <si>
    <t>Census Tract 3516.01, New Haven County, Connecticut</t>
  </si>
  <si>
    <t>1400000US09009351602</t>
  </si>
  <si>
    <t>Census Tract 3516.02, New Haven County, Connecticut</t>
  </si>
  <si>
    <t>1400000US09009351700</t>
  </si>
  <si>
    <t>Census Tract 3517, New Haven County, Connecticut</t>
  </si>
  <si>
    <t>1400000US09009351800</t>
  </si>
  <si>
    <t>Census Tract 3518, New Haven County, Connecticut</t>
  </si>
  <si>
    <t>1400000US09009351900</t>
  </si>
  <si>
    <t>Census Tract 3519, New Haven County, Connecticut</t>
  </si>
  <si>
    <t>1400000US09009352000</t>
  </si>
  <si>
    <t>Census Tract 3520, New Haven County, Connecticut</t>
  </si>
  <si>
    <t>1400000US09009352100</t>
  </si>
  <si>
    <t>Census Tract 3521, New Haven County, Connecticut</t>
  </si>
  <si>
    <t>1400000US09009352200</t>
  </si>
  <si>
    <t>Census Tract 3522, New Haven County, Connecticut</t>
  </si>
  <si>
    <t>1400000US09009352300</t>
  </si>
  <si>
    <t>Census Tract 3523, New Haven County, Connecticut</t>
  </si>
  <si>
    <t>1400000US09009352400</t>
  </si>
  <si>
    <t>Census Tract 3524, New Haven County, Connecticut</t>
  </si>
  <si>
    <t>1400000US09009352500</t>
  </si>
  <si>
    <t>Census Tract 3525, New Haven County, Connecticut</t>
  </si>
  <si>
    <t>1400000US09009352600</t>
  </si>
  <si>
    <t>Census Tract 3526, New Haven County, Connecticut</t>
  </si>
  <si>
    <t>1400000US09009352701</t>
  </si>
  <si>
    <t>Census Tract 3527.01, New Haven County, Connecticut</t>
  </si>
  <si>
    <t>1400000US09009352702</t>
  </si>
  <si>
    <t>Census Tract 3527.02, New Haven County, Connecticut</t>
  </si>
  <si>
    <t>1400000US09009352800</t>
  </si>
  <si>
    <t>Census Tract 3528, New Haven County, Connecticut</t>
  </si>
  <si>
    <t>1400000US09009361100</t>
  </si>
  <si>
    <t>Census Tract 3611, New Haven County, Connecticut</t>
  </si>
  <si>
    <t>1400000US09009361200</t>
  </si>
  <si>
    <t>Census Tract 3612, New Haven County, Connecticut</t>
  </si>
  <si>
    <t>1400000US09009361300</t>
  </si>
  <si>
    <t>Census Tract 3613, New Haven County, Connecticut</t>
  </si>
  <si>
    <t>1400000US09009361401</t>
  </si>
  <si>
    <t>Census Tract 3614.01, New Haven County, Connecticut</t>
  </si>
  <si>
    <t>1400000US09009361402</t>
  </si>
  <si>
    <t>Census Tract 3614.02, New Haven County, Connecticut</t>
  </si>
  <si>
    <t>1400000US09009361500</t>
  </si>
  <si>
    <t>Census Tract 3615, New Haven County, Connecticut</t>
  </si>
  <si>
    <t>1400000US09011650100</t>
  </si>
  <si>
    <t>Census Tract 6501, New London County, Connecticut</t>
  </si>
  <si>
    <t>1400000US09011660101</t>
  </si>
  <si>
    <t>Census Tract 6601.01, New London County, Connecticut</t>
  </si>
  <si>
    <t>1400000US09011660102</t>
  </si>
  <si>
    <t>Census Tract 6601.02, New London County, Connecticut</t>
  </si>
  <si>
    <t>1400000US09011690300</t>
  </si>
  <si>
    <t>Census Tract 6903, New London County, Connecticut</t>
  </si>
  <si>
    <t>1400000US09011690400</t>
  </si>
  <si>
    <t>Census Tract 6904, New London County, Connecticut</t>
  </si>
  <si>
    <t>1400000US09011690500</t>
  </si>
  <si>
    <t>Census Tract 6905, New London County, Connecticut</t>
  </si>
  <si>
    <t>1400000US09011690700</t>
  </si>
  <si>
    <t>Census Tract 6907, New London County, Connecticut</t>
  </si>
  <si>
    <t>1400000US09011690800</t>
  </si>
  <si>
    <t>Census Tract 6908, New London County, Connecticut</t>
  </si>
  <si>
    <t>1400000US09011690900</t>
  </si>
  <si>
    <t>Census Tract 6909, New London County, Connecticut</t>
  </si>
  <si>
    <t>1400000US09011693300</t>
  </si>
  <si>
    <t>Census Tract 6933, New London County, Connecticut</t>
  </si>
  <si>
    <t>1400000US09011693400</t>
  </si>
  <si>
    <t>Census Tract 6934, New London County, Connecticut</t>
  </si>
  <si>
    <t>1400000US09011693500</t>
  </si>
  <si>
    <t>Census Tract 6935, New London County, Connecticut</t>
  </si>
  <si>
    <t>1400000US09011693600</t>
  </si>
  <si>
    <t>Census Tract 6936, New London County, Connecticut</t>
  </si>
  <si>
    <t>1400000US09011693700</t>
  </si>
  <si>
    <t>Census Tract 6937, New London County, Connecticut</t>
  </si>
  <si>
    <t>1400000US09011695201</t>
  </si>
  <si>
    <t>Census Tract 6952.01, New London County, Connecticut</t>
  </si>
  <si>
    <t>1400000US09011695202</t>
  </si>
  <si>
    <t>Census Tract 6952.02, New London County, Connecticut</t>
  </si>
  <si>
    <t>1400000US09011696100</t>
  </si>
  <si>
    <t>Census Tract 6961, New London County, Connecticut</t>
  </si>
  <si>
    <t>1400000US09011696200</t>
  </si>
  <si>
    <t>Census Tract 6962, New London County, Connecticut</t>
  </si>
  <si>
    <t>1400000US09011696300</t>
  </si>
  <si>
    <t>Census Tract 6963, New London County, Connecticut</t>
  </si>
  <si>
    <t>1400000US09011696400</t>
  </si>
  <si>
    <t>Census Tract 6964, New London County, Connecticut</t>
  </si>
  <si>
    <t>1400000US09011696500</t>
  </si>
  <si>
    <t>Census Tract 6965, New London County, Connecticut</t>
  </si>
  <si>
    <t>1400000US09011696600</t>
  </si>
  <si>
    <t>Census Tract 6966, New London County, Connecticut</t>
  </si>
  <si>
    <t>1400000US09011696700</t>
  </si>
  <si>
    <t>Census Tract 6967, New London County, Connecticut</t>
  </si>
  <si>
    <t>1400000US09011696800</t>
  </si>
  <si>
    <t>Census Tract 6968, New London County, Connecticut</t>
  </si>
  <si>
    <t>1400000US09011697000</t>
  </si>
  <si>
    <t>Census Tract 6970, New London County, Connecticut</t>
  </si>
  <si>
    <t>1400000US09011700100</t>
  </si>
  <si>
    <t>Census Tract 7001, New London County, Connecticut</t>
  </si>
  <si>
    <t>1400000US09011701100</t>
  </si>
  <si>
    <t>Census Tract 7011, New London County, Connecticut</t>
  </si>
  <si>
    <t>1400000US09011701200</t>
  </si>
  <si>
    <t>Census Tract 7012, New London County, Connecticut</t>
  </si>
  <si>
    <t>1400000US09011702100</t>
  </si>
  <si>
    <t>Census Tract 7021, New London County, Connecticut</t>
  </si>
  <si>
    <t>1400000US09011702300</t>
  </si>
  <si>
    <t>Census Tract 7023, New London County, Connecticut</t>
  </si>
  <si>
    <t>1400000US09011702400</t>
  </si>
  <si>
    <t>Census Tract 7024, New London County, Connecticut</t>
  </si>
  <si>
    <t>1400000US09011702500</t>
  </si>
  <si>
    <t>Census Tract 7025, New London County, Connecticut</t>
  </si>
  <si>
    <t>1400000US09011702600</t>
  </si>
  <si>
    <t>Census Tract 7026, New London County, Connecticut</t>
  </si>
  <si>
    <t>1400000US09011702700</t>
  </si>
  <si>
    <t>Census Tract 7027, New London County, Connecticut</t>
  </si>
  <si>
    <t>1400000US09011702800</t>
  </si>
  <si>
    <t>Census Tract 7028, New London County, Connecticut</t>
  </si>
  <si>
    <t>1400000US09011702900</t>
  </si>
  <si>
    <t>Census Tract 7029, New London County, Connecticut</t>
  </si>
  <si>
    <t>1400000US09011703000</t>
  </si>
  <si>
    <t>Census Tract 7030, New London County, Connecticut</t>
  </si>
  <si>
    <t>1400000US09011705101</t>
  </si>
  <si>
    <t>Census Tract 7051.01, New London County, Connecticut</t>
  </si>
  <si>
    <t>1400000US09011705102</t>
  </si>
  <si>
    <t>Census Tract 7051.02, New London County, Connecticut</t>
  </si>
  <si>
    <t>1400000US09011705200</t>
  </si>
  <si>
    <t>Census Tract 7052, New London County, Connecticut</t>
  </si>
  <si>
    <t>1400000US09011705300</t>
  </si>
  <si>
    <t>Census Tract 7053, New London County, Connecticut</t>
  </si>
  <si>
    <t>1400000US09011705400</t>
  </si>
  <si>
    <t>Census Tract 7054, New London County, Connecticut</t>
  </si>
  <si>
    <t>1400000US09011707100</t>
  </si>
  <si>
    <t>Census Tract 7071, New London County, Connecticut</t>
  </si>
  <si>
    <t>1400000US09011708100</t>
  </si>
  <si>
    <t>Census Tract 7081, New London County, Connecticut</t>
  </si>
  <si>
    <t>1400000US09011709100</t>
  </si>
  <si>
    <t>Census Tract 7091, New London County, Connecticut</t>
  </si>
  <si>
    <t>1400000US09011709200</t>
  </si>
  <si>
    <t>Census Tract 7092, New London County, Connecticut</t>
  </si>
  <si>
    <t>1400000US09011710100</t>
  </si>
  <si>
    <t>Census Tract 7101, New London County, Connecticut</t>
  </si>
  <si>
    <t>1400000US09011711100</t>
  </si>
  <si>
    <t>Census Tract 7111, New London County, Connecticut</t>
  </si>
  <si>
    <t>1400000US09011712100</t>
  </si>
  <si>
    <t>Census Tract 7121, New London County, Connecticut</t>
  </si>
  <si>
    <t>1400000US09011713100</t>
  </si>
  <si>
    <t>Census Tract 7131, New London County, Connecticut</t>
  </si>
  <si>
    <t>1400000US09011714101</t>
  </si>
  <si>
    <t>Census Tract 7141.01, New London County, Connecticut</t>
  </si>
  <si>
    <t>1400000US09011714103</t>
  </si>
  <si>
    <t>Census Tract 7141.03, New London County, Connecticut</t>
  </si>
  <si>
    <t>1400000US09011714104</t>
  </si>
  <si>
    <t>Census Tract 7141.04, New London County, Connecticut</t>
  </si>
  <si>
    <t>1400000US09011715100</t>
  </si>
  <si>
    <t>Census Tract 7151, New London County, Connecticut</t>
  </si>
  <si>
    <t>1400000US09011716101</t>
  </si>
  <si>
    <t>Census Tract 7161.01, New London County, Connecticut</t>
  </si>
  <si>
    <t>1400000US09011716102</t>
  </si>
  <si>
    <t>Census Tract 7161.02, New London County, Connecticut</t>
  </si>
  <si>
    <t>1400000US09011870100</t>
  </si>
  <si>
    <t>Census Tract 8701, New London County, Connecticut</t>
  </si>
  <si>
    <t>1400000US09011870200</t>
  </si>
  <si>
    <t>Census Tract 8702, New London County, Connecticut</t>
  </si>
  <si>
    <t>1400000US09011870300</t>
  </si>
  <si>
    <t>Census Tract 8703, New London County, Connecticut</t>
  </si>
  <si>
    <t>1400000US09011870501</t>
  </si>
  <si>
    <t>Census Tract 8705.01, New London County, Connecticut</t>
  </si>
  <si>
    <t>1400000US09011870502</t>
  </si>
  <si>
    <t>Census Tract 8705.02, New London County, Connecticut</t>
  </si>
  <si>
    <t>1400000US09011870701</t>
  </si>
  <si>
    <t>Census Tract 8707.01, New London County, Connecticut</t>
  </si>
  <si>
    <t>1400000US09011870703</t>
  </si>
  <si>
    <t>Census Tract 8707.03, New London County, Connecticut</t>
  </si>
  <si>
    <t>1400000US09011870704</t>
  </si>
  <si>
    <t>Census Tract 8707.04, New London County, Connecticut</t>
  </si>
  <si>
    <t>1400000US09013526101</t>
  </si>
  <si>
    <t>Census Tract 5261.01, Tolland County, Connecticut</t>
  </si>
  <si>
    <t>1400000US09013526102</t>
  </si>
  <si>
    <t>Census Tract 5261.02, Tolland County, Connecticut</t>
  </si>
  <si>
    <t>1400000US09013528100</t>
  </si>
  <si>
    <t>Census Tract 5281, Tolland County, Connecticut</t>
  </si>
  <si>
    <t>1400000US09013529100</t>
  </si>
  <si>
    <t>Census Tract 5291, Tolland County, Connecticut</t>
  </si>
  <si>
    <t>1400000US09013530100</t>
  </si>
  <si>
    <t>Census Tract 5301, Tolland County, Connecticut</t>
  </si>
  <si>
    <t>1400000US09013530200</t>
  </si>
  <si>
    <t>Census Tract 5302, Tolland County, Connecticut</t>
  </si>
  <si>
    <t>1400000US09013530301</t>
  </si>
  <si>
    <t>Census Tract 5303.01, Tolland County, Connecticut</t>
  </si>
  <si>
    <t>1400000US09013530302</t>
  </si>
  <si>
    <t>Census Tract 5303.02, Tolland County, Connecticut</t>
  </si>
  <si>
    <t>1400000US09013530400</t>
  </si>
  <si>
    <t>Census Tract 5304, Tolland County, Connecticut</t>
  </si>
  <si>
    <t>1400000US09013530500</t>
  </si>
  <si>
    <t>Census Tract 5305, Tolland County, Connecticut</t>
  </si>
  <si>
    <t>1400000US09013530600</t>
  </si>
  <si>
    <t>Census Tract 5306, Tolland County, Connecticut</t>
  </si>
  <si>
    <t>1400000US09013533101</t>
  </si>
  <si>
    <t>Census Tract 5331.01, Tolland County, Connecticut</t>
  </si>
  <si>
    <t>1400000US09013533102</t>
  </si>
  <si>
    <t>Census Tract 5331.02, Tolland County, Connecticut</t>
  </si>
  <si>
    <t>1400000US09013535100</t>
  </si>
  <si>
    <t>Census Tract 5351, Tolland County, Connecticut</t>
  </si>
  <si>
    <t>1400000US09013535200</t>
  </si>
  <si>
    <t>Census Tract 5352, Tolland County, Connecticut</t>
  </si>
  <si>
    <t>1400000US09013538201</t>
  </si>
  <si>
    <t>Census Tract 5382.01, Tolland County, Connecticut</t>
  </si>
  <si>
    <t>1400000US09013538202</t>
  </si>
  <si>
    <t>Census Tract 5382.02, Tolland County, Connecticut</t>
  </si>
  <si>
    <t>1400000US09013840100</t>
  </si>
  <si>
    <t>Census Tract 8401, Tolland County, Connecticut</t>
  </si>
  <si>
    <t>1400000US09013850100</t>
  </si>
  <si>
    <t>Census Tract 8501, Tolland County, Connecticut</t>
  </si>
  <si>
    <t>1400000US09013850200</t>
  </si>
  <si>
    <t>Census Tract 8502, Tolland County, Connecticut</t>
  </si>
  <si>
    <t>1400000US09013860100</t>
  </si>
  <si>
    <t>Census Tract 8601, Tolland County, Connecticut</t>
  </si>
  <si>
    <t>1400000US09013881100</t>
  </si>
  <si>
    <t>Census Tract 8811, Tolland County, Connecticut</t>
  </si>
  <si>
    <t>1400000US09013881200</t>
  </si>
  <si>
    <t>Census Tract 8812, Tolland County, Connecticut</t>
  </si>
  <si>
    <t>1400000US09013881300</t>
  </si>
  <si>
    <t>Census Tract 8813, Tolland County, Connecticut</t>
  </si>
  <si>
    <t>1400000US09013881500</t>
  </si>
  <si>
    <t>Census Tract 8815, Tolland County, Connecticut</t>
  </si>
  <si>
    <t>1400000US09013890100</t>
  </si>
  <si>
    <t>Census Tract 8901, Tolland County, Connecticut</t>
  </si>
  <si>
    <t>1400000US09013890201</t>
  </si>
  <si>
    <t>Census Tract 8902.01, Tolland County, Connecticut</t>
  </si>
  <si>
    <t>1400000US09013890202</t>
  </si>
  <si>
    <t>Census Tract 8902.02, Tolland County, Connecticut</t>
  </si>
  <si>
    <t>1400000US09015800300</t>
  </si>
  <si>
    <t>Census Tract 8003, Windham County, Connecticut</t>
  </si>
  <si>
    <t>1400000US09015800400</t>
  </si>
  <si>
    <t>Census Tract 8004, Windham County, Connecticut</t>
  </si>
  <si>
    <t>1400000US09015800500</t>
  </si>
  <si>
    <t>Census Tract 8005, Windham County, Connecticut</t>
  </si>
  <si>
    <t>1400000US09015800600</t>
  </si>
  <si>
    <t>Census Tract 8006, Windham County, Connecticut</t>
  </si>
  <si>
    <t>1400000US09015800700</t>
  </si>
  <si>
    <t>Census Tract 8007, Windham County, Connecticut</t>
  </si>
  <si>
    <t>1400000US09015815000</t>
  </si>
  <si>
    <t>Census Tract 8150, Windham County, Connecticut</t>
  </si>
  <si>
    <t>1400000US09015820000</t>
  </si>
  <si>
    <t>Census Tract 8200, Windham County, Connecticut</t>
  </si>
  <si>
    <t>1400000US09015825000</t>
  </si>
  <si>
    <t>Census Tract 8250, Windham County, Connecticut</t>
  </si>
  <si>
    <t>1400000US09015830100</t>
  </si>
  <si>
    <t>Census Tract 8301, Windham County, Connecticut</t>
  </si>
  <si>
    <t>1400000US09015900100</t>
  </si>
  <si>
    <t>Census Tract 9001, Windham County, Connecticut</t>
  </si>
  <si>
    <t>1400000US09015900200</t>
  </si>
  <si>
    <t>Census Tract 9002, Windham County, Connecticut</t>
  </si>
  <si>
    <t>1400000US09015901100</t>
  </si>
  <si>
    <t>Census Tract 9011, Windham County, Connecticut</t>
  </si>
  <si>
    <t>1400000US09015902200</t>
  </si>
  <si>
    <t>Census Tract 9022, Windham County, Connecticut</t>
  </si>
  <si>
    <t>1400000US09015902500</t>
  </si>
  <si>
    <t>Census Tract 9025, Windham County, Connecticut</t>
  </si>
  <si>
    <t>1400000US09015903100</t>
  </si>
  <si>
    <t>Census Tract 9031, Windham County, Connecticut</t>
  </si>
  <si>
    <t>1400000US09015903200</t>
  </si>
  <si>
    <t>Census Tract 9032, Windham County, Connecticut</t>
  </si>
  <si>
    <t>1400000US09015904100</t>
  </si>
  <si>
    <t>Census Tract 9041, Windham County, Connecticut</t>
  </si>
  <si>
    <t>1400000US09015904400</t>
  </si>
  <si>
    <t>Census Tract 9044, Windham County, Connecticut</t>
  </si>
  <si>
    <t>1400000US09015904500</t>
  </si>
  <si>
    <t>Census Tract 9045, Windham County, Connecticut</t>
  </si>
  <si>
    <t>1400000US09015905100</t>
  </si>
  <si>
    <t>Census Tract 9051, Windham County, Connecticut</t>
  </si>
  <si>
    <t>1400000US09015906100</t>
  </si>
  <si>
    <t>Census Tract 9061, Windham County, Connecticut</t>
  </si>
  <si>
    <t>1400000US09015907100</t>
  </si>
  <si>
    <t>Census Tract 9071, Windham County, Connecticut</t>
  </si>
  <si>
    <t>1400000US09015907200</t>
  </si>
  <si>
    <t>Census Tract 9072, Windham County, Connecticut</t>
  </si>
  <si>
    <t>1400000US09015907300</t>
  </si>
  <si>
    <t>Census Tract 9073, Windham County, Connecticut</t>
  </si>
  <si>
    <t>CTRUCA.Tract Population, 2010</t>
  </si>
  <si>
    <t>CTRUCA.Land Area (square miles), 2010</t>
  </si>
  <si>
    <t>CTRUCA.Population Density (per square mile), 2010</t>
  </si>
  <si>
    <t>Rural Rank</t>
  </si>
  <si>
    <t>POC population</t>
  </si>
  <si>
    <t>POC % of population</t>
  </si>
  <si>
    <t>racialdiversitytable.percentile rank</t>
  </si>
  <si>
    <t>racial diversity index</t>
  </si>
  <si>
    <t>Composite Index (Income/Rural Rank/DI/Housing)</t>
  </si>
  <si>
    <t>rounded composite</t>
  </si>
  <si>
    <t>Check composites with Mike; all 4 values?</t>
  </si>
  <si>
    <t>RUCA Codes</t>
  </si>
  <si>
    <t>USDA ERS - Rural-Urban Commuting Area Codes</t>
  </si>
  <si>
    <t>Racial/Ethnicity data is from the ACS/Census</t>
  </si>
  <si>
    <t>Placeholder Tab</t>
  </si>
  <si>
    <t>LEAD Data.Avg. Energy Burden (% income)</t>
  </si>
  <si>
    <t>LEAD Data.EnergyBurdened</t>
  </si>
  <si>
    <t>LEAD database from DOE</t>
  </si>
  <si>
    <t>https://www.energy.gov/eere/slsc/maps/lead-tool</t>
  </si>
  <si>
    <t>These tracts are from both ES and UI</t>
  </si>
  <si>
    <t>Eversource CT 2019</t>
  </si>
  <si>
    <t>Totals</t>
  </si>
  <si>
    <t xml:space="preserve">All Customers </t>
  </si>
  <si>
    <t>Customers &lt; 100kW</t>
  </si>
  <si>
    <t>Customers &gt; 100kW</t>
  </si>
  <si>
    <t>Combined</t>
  </si>
  <si>
    <t>Residential</t>
  </si>
  <si>
    <t>C&amp;I</t>
  </si>
  <si>
    <t>CLM Collections</t>
  </si>
  <si>
    <t>Incentives Disbursements</t>
  </si>
  <si>
    <t>As Collected</t>
  </si>
  <si>
    <t xml:space="preserve"> </t>
  </si>
  <si>
    <t>1. Distressed Tracts are tracts that are less than or equal to 60% of the State Median Income and 100% Distressed (Source - Experian).</t>
  </si>
  <si>
    <t>2. CLM $ Collected equals the Conservation Adjustment Mechanism (CAM) Charge.</t>
  </si>
  <si>
    <t>Row Labels</t>
  </si>
  <si>
    <t>Count of BIPOC Index</t>
  </si>
  <si>
    <t>(blank)</t>
  </si>
  <si>
    <t>EQUITABLE DISTRIBUTION OF FUNDS</t>
  </si>
  <si>
    <t>Census Tract</t>
  </si>
  <si>
    <t>Town</t>
  </si>
  <si>
    <r>
      <t>Distressed Tract</t>
    </r>
    <r>
      <rPr>
        <b/>
        <vertAlign val="superscript"/>
        <sz val="12"/>
        <color theme="1"/>
        <rFont val="Calibri"/>
        <family val="2"/>
      </rPr>
      <t>1</t>
    </r>
  </si>
  <si>
    <t xml:space="preserve">CLM $ Collected </t>
  </si>
  <si>
    <t xml:space="preserve">% of Total CLM $ Collected </t>
  </si>
  <si>
    <t>Incentive Disbursements</t>
  </si>
  <si>
    <t>% of Total Incentive Disbursements</t>
  </si>
  <si>
    <t>Residential CLM $ Collected</t>
  </si>
  <si>
    <t>% of Total Residential CLM $ Collected</t>
  </si>
  <si>
    <t>Residential Incentive Disbursements</t>
  </si>
  <si>
    <t xml:space="preserve">% of Total Residential Incentive Disbursements </t>
  </si>
  <si>
    <t>C&amp;I CLM $ Collected</t>
  </si>
  <si>
    <t>% of Total C&amp;I CLM $ Collected</t>
  </si>
  <si>
    <t>C&amp;I Incentive Disbursements</t>
  </si>
  <si>
    <t xml:space="preserve">% of TotalC&amp;I Incentive Disbursements </t>
  </si>
  <si>
    <t xml:space="preserve">Affluence Rank </t>
  </si>
  <si>
    <t>BIPOC Index</t>
  </si>
  <si>
    <t>Energy Burdened?</t>
  </si>
  <si>
    <t>Ratio of Billed Collects to Incentives</t>
  </si>
  <si>
    <t>ANDOVER</t>
  </si>
  <si>
    <t>ASHFORD</t>
  </si>
  <si>
    <t>AVON</t>
  </si>
  <si>
    <t>BARKHAMSTED</t>
  </si>
  <si>
    <t>BEACON FALLS</t>
  </si>
  <si>
    <t>BERLIN</t>
  </si>
  <si>
    <t>BETHANY</t>
  </si>
  <si>
    <t>BETHEL</t>
  </si>
  <si>
    <t>BETHLEHEM</t>
  </si>
  <si>
    <t>BLOOMFIELD</t>
  </si>
  <si>
    <t>BOLTON</t>
  </si>
  <si>
    <t>BRANFORD</t>
  </si>
  <si>
    <t>BRIDGEWATER</t>
  </si>
  <si>
    <t>BRISTOL</t>
  </si>
  <si>
    <t>BROOKFIELD</t>
  </si>
  <si>
    <t>BROOKLYN</t>
  </si>
  <si>
    <t>BURLINGTON</t>
  </si>
  <si>
    <t>CANAAN</t>
  </si>
  <si>
    <t>CANTERBURY</t>
  </si>
  <si>
    <t>CANTON</t>
  </si>
  <si>
    <t>CHAPLIN</t>
  </si>
  <si>
    <t>CHESHIRE</t>
  </si>
  <si>
    <t>CHESTER</t>
  </si>
  <si>
    <t>CLINTON</t>
  </si>
  <si>
    <t>COLCHESTER</t>
  </si>
  <si>
    <t>COLEBROOK</t>
  </si>
  <si>
    <t>COLUMBIA</t>
  </si>
  <si>
    <t>CORNWALL</t>
  </si>
  <si>
    <t>COVENTRY</t>
  </si>
  <si>
    <t>CROMWELL</t>
  </si>
  <si>
    <t>DANBURY</t>
  </si>
  <si>
    <t>DARIEN</t>
  </si>
  <si>
    <t>DEEP RIVER</t>
  </si>
  <si>
    <t>DURHAM</t>
  </si>
  <si>
    <t>EAST GRANBY</t>
  </si>
  <si>
    <t>EAST HADDAM</t>
  </si>
  <si>
    <t>EAST HAMPTON</t>
  </si>
  <si>
    <t>EAST HARTFORD</t>
  </si>
  <si>
    <t>EAST LYME</t>
  </si>
  <si>
    <t>EAST WINDSOR</t>
  </si>
  <si>
    <t>EASTFORD</t>
  </si>
  <si>
    <t>ELLINGTON</t>
  </si>
  <si>
    <t>ENFIELD</t>
  </si>
  <si>
    <t>ESSEX</t>
  </si>
  <si>
    <t>FARMINGTON</t>
  </si>
  <si>
    <t>FRANKLIN</t>
  </si>
  <si>
    <t>GLASTONBURY</t>
  </si>
  <si>
    <t>GOSHEN</t>
  </si>
  <si>
    <t>GRANBY</t>
  </si>
  <si>
    <t>GREENWICH</t>
  </si>
  <si>
    <t>GRISWOLD</t>
  </si>
  <si>
    <t>GROTON</t>
  </si>
  <si>
    <t>GUILFORD</t>
  </si>
  <si>
    <t>HADDAM</t>
  </si>
  <si>
    <t>HAMPTON</t>
  </si>
  <si>
    <t>HARTLAND</t>
  </si>
  <si>
    <t>HARWINTON</t>
  </si>
  <si>
    <t>HEBRON</t>
  </si>
  <si>
    <t>KENT</t>
  </si>
  <si>
    <t>KILLINGLY</t>
  </si>
  <si>
    <t>KILLINGWORTH</t>
  </si>
  <si>
    <t>LEBANON</t>
  </si>
  <si>
    <t>LEDYARD</t>
  </si>
  <si>
    <t>LISBON</t>
  </si>
  <si>
    <t>LITCHFIELD</t>
  </si>
  <si>
    <t>LYME</t>
  </si>
  <si>
    <t>MADISON</t>
  </si>
  <si>
    <t>MANCHESTER</t>
  </si>
  <si>
    <t>MANSFIELD</t>
  </si>
  <si>
    <t>MARLBOROUGH</t>
  </si>
  <si>
    <t>MIDDLEBURY</t>
  </si>
  <si>
    <t>MIDDLEFIELD</t>
  </si>
  <si>
    <t>MIDDLETOWN</t>
  </si>
  <si>
    <t>MONROE</t>
  </si>
  <si>
    <t>MONTVILLE</t>
  </si>
  <si>
    <t>MORRIS</t>
  </si>
  <si>
    <t>NAUGATUCK</t>
  </si>
  <si>
    <t>NEW CANAAN</t>
  </si>
  <si>
    <t>NEW FAIRFIELD</t>
  </si>
  <si>
    <t>NEW HARTFORD</t>
  </si>
  <si>
    <t>NEW LONDON</t>
  </si>
  <si>
    <t>NEW MILFORD</t>
  </si>
  <si>
    <t>NEWINGTON</t>
  </si>
  <si>
    <t>NEWTOWN</t>
  </si>
  <si>
    <t>NORFOLK</t>
  </si>
  <si>
    <t>NORTH CANAAN</t>
  </si>
  <si>
    <t>NORTH STONINGTON</t>
  </si>
  <si>
    <t>NORWALK</t>
  </si>
  <si>
    <t>OLD LYME</t>
  </si>
  <si>
    <t>OLD SAYBROOK</t>
  </si>
  <si>
    <t>OXFORD</t>
  </si>
  <si>
    <t>PLAINFIELD</t>
  </si>
  <si>
    <t>PLAINVILLE</t>
  </si>
  <si>
    <t>PLYMOUTH</t>
  </si>
  <si>
    <t>POMFRET</t>
  </si>
  <si>
    <t>PORTLAND</t>
  </si>
  <si>
    <t>PRESTON</t>
  </si>
  <si>
    <t>PROSPECT</t>
  </si>
  <si>
    <t>PUTNAM</t>
  </si>
  <si>
    <t>REDDING</t>
  </si>
  <si>
    <t>RIDGEFIELD</t>
  </si>
  <si>
    <t>ROCKY HILL</t>
  </si>
  <si>
    <t>ROXBURY</t>
  </si>
  <si>
    <t>SALEM</t>
  </si>
  <si>
    <t>SALISBURY</t>
  </si>
  <si>
    <t>SCOTLAND</t>
  </si>
  <si>
    <t>SEYMOUR</t>
  </si>
  <si>
    <t>SHARON</t>
  </si>
  <si>
    <t>SHERMAN</t>
  </si>
  <si>
    <t>SIMSBURY</t>
  </si>
  <si>
    <t>SOMERS</t>
  </si>
  <si>
    <t>SOUTH WINDSOR</t>
  </si>
  <si>
    <t>SOUTHBURY</t>
  </si>
  <si>
    <t>SOUTHINGTON</t>
  </si>
  <si>
    <t>SPRAGUE</t>
  </si>
  <si>
    <t>STAFFORD</t>
  </si>
  <si>
    <t>STERLING</t>
  </si>
  <si>
    <t>STONINGTON</t>
  </si>
  <si>
    <t>SUFFIELD</t>
  </si>
  <si>
    <t>THOMASTON</t>
  </si>
  <si>
    <t>THOMPSON</t>
  </si>
  <si>
    <t>TOLLAND</t>
  </si>
  <si>
    <t>TORRINGTON</t>
  </si>
  <si>
    <t>UNION</t>
  </si>
  <si>
    <t>VERNON</t>
  </si>
  <si>
    <t>VOLUNTOWN</t>
  </si>
  <si>
    <t>WARREN</t>
  </si>
  <si>
    <t>WASHINGTON</t>
  </si>
  <si>
    <t>WATERFORD</t>
  </si>
  <si>
    <t>WATERTOWN</t>
  </si>
  <si>
    <t>WEST HARTFORD</t>
  </si>
  <si>
    <t>WESTBROOK</t>
  </si>
  <si>
    <t>WESTON</t>
  </si>
  <si>
    <t>WESTPORT</t>
  </si>
  <si>
    <t>WETHERSFIELD</t>
  </si>
  <si>
    <t>WILLINGTON</t>
  </si>
  <si>
    <t>WILTON</t>
  </si>
  <si>
    <t>WINCHESTER</t>
  </si>
  <si>
    <t>WINDHAM</t>
  </si>
  <si>
    <t>WINDSOR</t>
  </si>
  <si>
    <t>WINDSOR LOCKS</t>
  </si>
  <si>
    <t>WOLCOTT</t>
  </si>
  <si>
    <t>WOODBURY</t>
  </si>
  <si>
    <t>WOODSTOCK</t>
  </si>
  <si>
    <t>Customers &gt;100kW</t>
  </si>
  <si>
    <t>Residential Customers</t>
  </si>
  <si>
    <t>Single Family</t>
  </si>
  <si>
    <t>2-4 Units</t>
  </si>
  <si>
    <t>&gt;4 Units</t>
  </si>
  <si>
    <t>Total Units2</t>
  </si>
  <si>
    <t xml:space="preserve">Single Family </t>
  </si>
  <si>
    <t xml:space="preserve"> 2-4 Units</t>
  </si>
  <si>
    <t xml:space="preserve">&gt;4 Units </t>
  </si>
  <si>
    <t xml:space="preserve">Incentives </t>
  </si>
  <si>
    <t xml:space="preserve">Total </t>
  </si>
  <si>
    <t xml:space="preserve">3. Incentives include all residential incentives and is not just inclusive of HES and HES-IE.   </t>
  </si>
  <si>
    <t>CT Electric Residential Terminations by Town</t>
  </si>
  <si>
    <t>Year</t>
  </si>
  <si>
    <t>Month</t>
  </si>
  <si>
    <t># Terminations</t>
  </si>
  <si>
    <t>Sum of # Terminations</t>
  </si>
  <si>
    <t>AMSTON</t>
  </si>
  <si>
    <t>WILLIMANTIC</t>
  </si>
  <si>
    <t>WINSTED</t>
  </si>
  <si>
    <t>BALLOUVILLE</t>
  </si>
  <si>
    <t>BALTIC</t>
  </si>
  <si>
    <t>TERRYVILLE</t>
  </si>
  <si>
    <t>DANIELSON</t>
  </si>
  <si>
    <t>BANTAM</t>
  </si>
  <si>
    <t>OAKVILLE</t>
  </si>
  <si>
    <t>STORRS</t>
  </si>
  <si>
    <t>SANDY HOOK</t>
  </si>
  <si>
    <t>PLANTSVILLE</t>
  </si>
  <si>
    <t>STAFFORD SPGS</t>
  </si>
  <si>
    <t>UNCASVILLE</t>
  </si>
  <si>
    <t>PAWCATUCK</t>
  </si>
  <si>
    <t>MYSTIC</t>
  </si>
  <si>
    <t>NIANTIC</t>
  </si>
  <si>
    <t>KENSINGTON</t>
  </si>
  <si>
    <t>BROAD BROOK</t>
  </si>
  <si>
    <t>MOOSUP</t>
  </si>
  <si>
    <t>COLLINSVILLE</t>
  </si>
  <si>
    <t>DAYVILLE</t>
  </si>
  <si>
    <t>OAKDALE</t>
  </si>
  <si>
    <t>GALES FERRY</t>
  </si>
  <si>
    <t>NORTH GROSVENORDALE</t>
  </si>
  <si>
    <t>QUAKER HILL</t>
  </si>
  <si>
    <t>UNIONVILLE</t>
  </si>
  <si>
    <t>HIGGANUM</t>
  </si>
  <si>
    <t>NORTH WINDHAM</t>
  </si>
  <si>
    <t>COS COB</t>
  </si>
  <si>
    <t>LAKEVILLE</t>
  </si>
  <si>
    <t>MOODUS</t>
  </si>
  <si>
    <t>WASHINGTON DEPOT</t>
  </si>
  <si>
    <t>WEATOGUE</t>
  </si>
  <si>
    <t>WEST REDDING</t>
  </si>
  <si>
    <t>RIVERSIDE</t>
  </si>
  <si>
    <t>SOUTH GLASTONBURY</t>
  </si>
  <si>
    <t>OLD GREENWICH</t>
  </si>
  <si>
    <t>TARIFFVILLE</t>
  </si>
  <si>
    <t>WAUREGAN</t>
  </si>
  <si>
    <t>MANSFIELD CTR</t>
  </si>
  <si>
    <t>CENTRAL VILLAGE</t>
  </si>
  <si>
    <t>IVORYTON</t>
  </si>
  <si>
    <t>ROGERS</t>
  </si>
  <si>
    <t>WEST SUFFIELD</t>
  </si>
  <si>
    <t>PLEASANT VALLEY</t>
  </si>
  <si>
    <t>WEST SIMSBURY</t>
  </si>
  <si>
    <t>CORNWALL BRG</t>
  </si>
  <si>
    <t>FALLS VILLAGE</t>
  </si>
  <si>
    <t>SOUTH KENT</t>
  </si>
  <si>
    <t>EAST KILLINGLY</t>
  </si>
  <si>
    <t>NORTHFIELD</t>
  </si>
  <si>
    <t>POMFRET CTR</t>
  </si>
  <si>
    <t>GAYLORDSVILLE</t>
  </si>
  <si>
    <t>NEW PRESTON</t>
  </si>
  <si>
    <t>SOUTH WINDHAM</t>
  </si>
  <si>
    <t>NORTH FRANKLIN</t>
  </si>
  <si>
    <t>QUINEBAUG</t>
  </si>
  <si>
    <t>EAST HARTLAND</t>
  </si>
  <si>
    <t>WEST CORNWALL</t>
  </si>
  <si>
    <t>CENTERBROOK</t>
  </si>
  <si>
    <t>EAST CANAAN</t>
  </si>
  <si>
    <t>GROSVENORDALE</t>
  </si>
  <si>
    <t>NORTH GRANBY</t>
  </si>
  <si>
    <t>WEST GRANBY</t>
  </si>
  <si>
    <t>EAST BERLIN</t>
  </si>
  <si>
    <t>MARION</t>
  </si>
  <si>
    <t>WOODSTOCK VLY</t>
  </si>
  <si>
    <t>OLD MYSTIC</t>
  </si>
  <si>
    <t>REDDING RIDGE</t>
  </si>
  <si>
    <t>ROCKFALL</t>
  </si>
  <si>
    <t>COBALT</t>
  </si>
  <si>
    <t>MIDDLE HADDAM</t>
  </si>
  <si>
    <t>ONECO</t>
  </si>
  <si>
    <t>PEQUABUCK</t>
  </si>
  <si>
    <t>PINE MEADOW</t>
  </si>
  <si>
    <t>WINCHESTER CENTER</t>
  </si>
  <si>
    <t>RIVERTON</t>
  </si>
  <si>
    <t>LAKESIDE</t>
  </si>
  <si>
    <t>VERSAILLES</t>
  </si>
  <si>
    <t>WEST HARTLAND</t>
  </si>
  <si>
    <t>HADDAM NECK</t>
  </si>
  <si>
    <t>HADLYME</t>
  </si>
  <si>
    <t>HANOVER</t>
  </si>
  <si>
    <t>NORTH BRANFORD</t>
  </si>
  <si>
    <t>WOODBRIDGE</t>
  </si>
  <si>
    <t>GEORGETOWN</t>
  </si>
  <si>
    <t>MILLDALE</t>
  </si>
  <si>
    <t>TACONIC</t>
  </si>
  <si>
    <t>WOODSTOCK VALLEY</t>
  </si>
  <si>
    <t>Note</t>
  </si>
  <si>
    <t>2018: Total CLM Collections were $30M, but $11.7M of that was earmarked for the diversions to the CT General Fund.</t>
  </si>
  <si>
    <t>Column1</t>
  </si>
  <si>
    <t>Equitable</t>
  </si>
  <si>
    <t>Equitable 2</t>
  </si>
  <si>
    <t>Equitable 3</t>
  </si>
  <si>
    <t>09001055100</t>
  </si>
  <si>
    <t>Easton</t>
  </si>
  <si>
    <t>N/A</t>
  </si>
  <si>
    <t>09001055200</t>
  </si>
  <si>
    <t>09001060100</t>
  </si>
  <si>
    <t>Fairfield</t>
  </si>
  <si>
    <t>NO</t>
  </si>
  <si>
    <t>Trumbull</t>
  </si>
  <si>
    <t>09001060200</t>
  </si>
  <si>
    <t>09001060300</t>
  </si>
  <si>
    <t>09001060400</t>
  </si>
  <si>
    <t>09001060500</t>
  </si>
  <si>
    <t>09001060600</t>
  </si>
  <si>
    <t>YES</t>
  </si>
  <si>
    <t>09001060700</t>
  </si>
  <si>
    <t>09001060800</t>
  </si>
  <si>
    <t>09001060900</t>
  </si>
  <si>
    <t>09001061000</t>
  </si>
  <si>
    <t>09001061100</t>
  </si>
  <si>
    <t>09001061200</t>
  </si>
  <si>
    <t>09001061300</t>
  </si>
  <si>
    <t>09001061400</t>
  </si>
  <si>
    <t>09001061500</t>
  </si>
  <si>
    <t>09001061600</t>
  </si>
  <si>
    <t>09001070100</t>
  </si>
  <si>
    <t>BRIDGEPORT</t>
  </si>
  <si>
    <t>TRUMBULL</t>
  </si>
  <si>
    <t>ANSONIA</t>
  </si>
  <si>
    <t>Milford</t>
  </si>
  <si>
    <t>Shelton</t>
  </si>
  <si>
    <t>Ansonia</t>
  </si>
  <si>
    <t>Derby</t>
  </si>
  <si>
    <t>Orange</t>
  </si>
  <si>
    <t>DERBY</t>
  </si>
  <si>
    <t>Woodbridge</t>
  </si>
  <si>
    <t>NEW HAVEN</t>
  </si>
  <si>
    <t>EAST HAVEN</t>
  </si>
  <si>
    <t>HAMDEN</t>
  </si>
  <si>
    <t>MILFORD</t>
  </si>
  <si>
    <t>NORTH HAVEN</t>
  </si>
  <si>
    <t>ORANGE</t>
  </si>
  <si>
    <t>SHELTON</t>
  </si>
  <si>
    <t>STRATFORD</t>
  </si>
  <si>
    <t>WEST HAVEN</t>
  </si>
  <si>
    <t>East  Haven</t>
  </si>
  <si>
    <t>North Haven</t>
  </si>
  <si>
    <t>North Branford</t>
  </si>
  <si>
    <t>09009361500</t>
  </si>
  <si>
    <t>UNKNOWN</t>
  </si>
  <si>
    <t>EASTON</t>
  </si>
  <si>
    <t>2-4 Units2</t>
  </si>
  <si>
    <t xml:space="preserve">Shuttoff/Arrearages </t>
  </si>
  <si>
    <t>Total per Town</t>
  </si>
  <si>
    <t>FAIRFIELD</t>
  </si>
  <si>
    <t>SOUTHPORT</t>
  </si>
  <si>
    <t>Monthly Totals</t>
  </si>
  <si>
    <t>Table 1: Housing Cost Data</t>
  </si>
  <si>
    <t>Table 2: Housing Rank Calculations</t>
  </si>
  <si>
    <t>NAME</t>
  </si>
  <si>
    <t>S2503_C01_013E</t>
  </si>
  <si>
    <t>S2503_C01_024E</t>
  </si>
  <si>
    <t>Housing Cost as a Percent of Income</t>
  </si>
  <si>
    <t>Housing Cost Percentile</t>
  </si>
  <si>
    <t>Housing Cost Rank on abolsute housing cost</t>
  </si>
  <si>
    <t>!Median household income (dollars)</t>
  </si>
  <si>
    <t xml:space="preserve">MONTHLY HOUSING COSTS!!Median </t>
  </si>
  <si>
    <t>Directions: Copy Census Tracts and data to rank</t>
  </si>
  <si>
    <t>Census Tract 7029 New London County Connecticut</t>
  </si>
  <si>
    <t>Census Tract 703 Fairfield County Connecticut</t>
  </si>
  <si>
    <t>Sort by smallest to largest</t>
  </si>
  <si>
    <t>Census Tract 4701 Hartford County Connecticut</t>
  </si>
  <si>
    <t>Census Tract 3501 New Haven County Connecticut</t>
  </si>
  <si>
    <t>Calculation</t>
  </si>
  <si>
    <t>Census Tract 2984 Litchfield County Connecticut</t>
  </si>
  <si>
    <t>Census Tract 1402 New Haven County Connecticut</t>
  </si>
  <si>
    <t>To import to main table, use Vlookup to make sure census tracts match</t>
  </si>
  <si>
    <t>Census Tract 2983 Litchfield County Connecticut</t>
  </si>
  <si>
    <t>Census Tract 5416 Middlesex County Connecticut</t>
  </si>
  <si>
    <t>Census Tract 4926 Hartford County Connecticut</t>
  </si>
  <si>
    <t>Census Tract 1426.03 New Haven County Connecticut</t>
  </si>
  <si>
    <t>Census Tract 4974 Hartford County Connecticut</t>
  </si>
  <si>
    <t>Census Tract 5009 Hartford County Connecticut</t>
  </si>
  <si>
    <t>Census Tract 7131 New London County Connecticut</t>
  </si>
  <si>
    <t>Census Tract 738 Fairfield County Connecticut</t>
  </si>
  <si>
    <t>Census Tract 4714 Hartford County Connecticut</t>
  </si>
  <si>
    <t>Census Tract 716 Fairfield County Connecticut</t>
  </si>
  <si>
    <t>Census Tract 4812 Hartford County Connecticut</t>
  </si>
  <si>
    <t>Census Tract 5012 Hartford County Connecticut</t>
  </si>
  <si>
    <t>Census Tract 9025 Windham County Connecticut</t>
  </si>
  <si>
    <t>Census Tract 5018 Hartford County Connecticut</t>
  </si>
  <si>
    <t>Census Tract 2621 Litchfield County Connecticut</t>
  </si>
  <si>
    <t>Census Tract 3504 New Haven County Connecticut</t>
  </si>
  <si>
    <t>Census Tract 4808 Hartford County Connecticut</t>
  </si>
  <si>
    <t>Census Tract 5030 Hartford County Connecticut</t>
  </si>
  <si>
    <t>Census Tract 8902.01 Tolland County Connecticut</t>
  </si>
  <si>
    <t>Census Tract 5014 Hartford County Connecticut</t>
  </si>
  <si>
    <t>Census Tract 6937 New London County Connecticut</t>
  </si>
  <si>
    <t>Census Tract 706 Fairfield County Connecticut</t>
  </si>
  <si>
    <t>Census Tract 5601 Middlesex County Connecticut</t>
  </si>
  <si>
    <t>Census Tract 5027 Hartford County Connecticut</t>
  </si>
  <si>
    <t>Census Tract 3432 New Haven County Connecticut</t>
  </si>
  <si>
    <t>Census Tract 712 Fairfield County Connecticut</t>
  </si>
  <si>
    <t>Census Tract 3433 New Haven County Connecticut</t>
  </si>
  <si>
    <t>Census Tract 5003 Hartford County Connecticut</t>
  </si>
  <si>
    <t>Census Tract 4809 Hartford County Connecticut</t>
  </si>
  <si>
    <t>Census Tract 705 Fairfield County Connecticut</t>
  </si>
  <si>
    <t>Census Tract 7161.02 New London County Connecticut</t>
  </si>
  <si>
    <t>Census Tract 8703 New London County Connecticut</t>
  </si>
  <si>
    <t>Census Tract 4622.02 Hartford County Connecticut</t>
  </si>
  <si>
    <t>Census Tract 5002 Hartford County Connecticut</t>
  </si>
  <si>
    <t>Census Tract 9022 Windham County Connecticut</t>
  </si>
  <si>
    <t>Census Tract 3505 New Haven County Connecticut</t>
  </si>
  <si>
    <t>Census Tract 4661.02 Hartford County Connecticut</t>
  </si>
  <si>
    <t>Census Tract 5042 Hartford County Connecticut</t>
  </si>
  <si>
    <t>Census Tract 2961 Litchfield County Connecticut</t>
  </si>
  <si>
    <t>Census Tract 5043 Hartford County Connecticut</t>
  </si>
  <si>
    <t>Census Tract 4976 Hartford County Connecticut</t>
  </si>
  <si>
    <t>Census Tract 5038 Hartford County Connecticut</t>
  </si>
  <si>
    <t>Census Tract 6909 New London County Connecticut</t>
  </si>
  <si>
    <t>Census Tract 1415 New Haven County Connecticut</t>
  </si>
  <si>
    <t>Census Tract 5021 Hartford County Connecticut</t>
  </si>
  <si>
    <t>Census Tract 3503 New Haven County Connecticut</t>
  </si>
  <si>
    <t>Census Tract 4734 Hartford County Connecticut</t>
  </si>
  <si>
    <t>Census Tract 8003 Windham County Connecticut</t>
  </si>
  <si>
    <t>Census Tract 606 Fairfield County Connecticut</t>
  </si>
  <si>
    <t>Census Tract 713 Fairfield County Connecticut</t>
  </si>
  <si>
    <t>Census Tract 4304 Hartford County Connecticut</t>
  </si>
  <si>
    <t>Census Tract 1406 New Haven County Connecticut</t>
  </si>
  <si>
    <t>Census Tract 3001 Litchfield County Connecticut</t>
  </si>
  <si>
    <t>Census Tract 5017 Hartford County Connecticut</t>
  </si>
  <si>
    <t>Census Tract 4661.01 Hartford County Connecticut</t>
  </si>
  <si>
    <t>Census Tract 6905 New London County Connecticut</t>
  </si>
  <si>
    <t>Census Tract 3434 New Haven County Connecticut</t>
  </si>
  <si>
    <t>Census Tract 5001 Hartford County Connecticut</t>
  </si>
  <si>
    <t>Census Tract 8601 Tolland County Connecticut</t>
  </si>
  <si>
    <t>Census Tract 4159 Hartford County Connecticut</t>
  </si>
  <si>
    <t>Census Tract 1713 New Haven County Connecticut</t>
  </si>
  <si>
    <t>Census Tract 1709 New Haven County Connecticut</t>
  </si>
  <si>
    <t>Census Tract 1717 New Haven County Connecticut</t>
  </si>
  <si>
    <t>Census Tract 1405 New Haven County Connecticut</t>
  </si>
  <si>
    <t>Census Tract 6601.02 New London County Connecticut</t>
  </si>
  <si>
    <t>Census Tract 1408 New Haven County Connecticut</t>
  </si>
  <si>
    <t>Census Tract 1758 New Haven County Connecticut</t>
  </si>
  <si>
    <t>Census Tract 4171 Hartford County Connecticut</t>
  </si>
  <si>
    <t>Census Tract 4969 Hartford County Connecticut</t>
  </si>
  <si>
    <t>Census Tract 5013 Hartford County Connecticut</t>
  </si>
  <si>
    <t>Census Tract 1654 New Haven County Connecticut</t>
  </si>
  <si>
    <t>Census Tract 8812 Tolland County Connecticut</t>
  </si>
  <si>
    <t>Census Tract 4253 Litchfield County Connecticut</t>
  </si>
  <si>
    <t>Census Tract 5031 Hartford County Connecticut</t>
  </si>
  <si>
    <t>Census Tract 4622.01 Hartford County Connecticut</t>
  </si>
  <si>
    <t>Census Tract 4161 Hartford County Connecticut</t>
  </si>
  <si>
    <t>Census Tract 5205.01 Hartford County Connecticut</t>
  </si>
  <si>
    <t>Census Tract 1407 New Haven County Connecticut</t>
  </si>
  <si>
    <t>Census Tract 1756 New Haven County Connecticut</t>
  </si>
  <si>
    <t>Census Tract 1701 New Haven County Connecticut</t>
  </si>
  <si>
    <t>Census Tract 9002 Windham County Connecticut</t>
  </si>
  <si>
    <t>Census Tract 4166 Hartford County Connecticut</t>
  </si>
  <si>
    <t>Census Tract 4970 Hartford County Connecticut</t>
  </si>
  <si>
    <t>Census Tract 3522 New Haven County Connecticut</t>
  </si>
  <si>
    <t>Census Tract 4964 Hartford County Connecticut</t>
  </si>
  <si>
    <t>Census Tract 5028 Hartford County Connecticut</t>
  </si>
  <si>
    <t>Census Tract 4052 Hartford County Connecticut</t>
  </si>
  <si>
    <t>Census Tract 3502 New Haven County Connecticut</t>
  </si>
  <si>
    <t>Census Tract 3106.02 Litchfield County Connecticut</t>
  </si>
  <si>
    <t>Census Tract 5024 Hartford County Connecticut</t>
  </si>
  <si>
    <t>Census Tract 8707.04 New London County Connecticut</t>
  </si>
  <si>
    <t>Census Tract 5015 Hartford County Connecticut</t>
  </si>
  <si>
    <t>Census Tract 5243 Hartford County Connecticut</t>
  </si>
  <si>
    <t>Census Tract 5417 Middlesex County Connecticut</t>
  </si>
  <si>
    <t>Census Tract 4002 Hartford County Connecticut</t>
  </si>
  <si>
    <t>Census Tract 3614.01 New Haven County Connecticut</t>
  </si>
  <si>
    <t>Census Tract 732 Fairfield County Connecticut</t>
  </si>
  <si>
    <t>Census Tract 5045 Hartford County Connecticut</t>
  </si>
  <si>
    <t>Census Tract 5382.01 Tolland County Connecticut</t>
  </si>
  <si>
    <t>Census Tract 3517 New Haven County Connecticut</t>
  </si>
  <si>
    <t>Census Tract 9032 Windham County Connecticut</t>
  </si>
  <si>
    <t>Census Tract 1416 New Haven County Connecticut</t>
  </si>
  <si>
    <t>Census Tract 7024 New London County Connecticut</t>
  </si>
  <si>
    <t>Census Tract 4172 Hartford County Connecticut</t>
  </si>
  <si>
    <t>Census Tract 5201 Hartford County Connecticut</t>
  </si>
  <si>
    <t>Census Tract 1409 New Haven County Connecticut</t>
  </si>
  <si>
    <t>Census Tract 5414.02 Middlesex County Connecticut</t>
  </si>
  <si>
    <t>Census Tract 4153 Hartford County Connecticut</t>
  </si>
  <si>
    <t>Census Tract 7054 New London County Connecticut</t>
  </si>
  <si>
    <t>Census Tract 4155 Hartford County Connecticut</t>
  </si>
  <si>
    <t>Census Tract 3431.02 New Haven County Connecticut</t>
  </si>
  <si>
    <t>Census Tract 4806 Hartford County Connecticut</t>
  </si>
  <si>
    <t>Census Tract 5281 Tolland County Connecticut</t>
  </si>
  <si>
    <t>Census Tract 5004 Hartford County Connecticut</t>
  </si>
  <si>
    <t>Census Tract 5242 Hartford County Connecticut</t>
  </si>
  <si>
    <t>Census Tract 1403 New Haven County Connecticut</t>
  </si>
  <si>
    <t>Census Tract 112 Fairfield County Connecticut</t>
  </si>
  <si>
    <t>Census Tract 5033 Hartford County Connecticut</t>
  </si>
  <si>
    <t>Census Tract 1760 New Haven County Connecticut</t>
  </si>
  <si>
    <t>Census Tract 733 Fairfield County Connecticut</t>
  </si>
  <si>
    <t>Census Tract 4762 Hartford County Connecticut</t>
  </si>
  <si>
    <t>Census Tract 736 Fairfield County Connecticut</t>
  </si>
  <si>
    <t>Census Tract 5152 Hartford County Connecticut</t>
  </si>
  <si>
    <t>Census Tract 3514 New Haven County Connecticut</t>
  </si>
  <si>
    <t>Census Tract 5331.01 Tolland County Connecticut</t>
  </si>
  <si>
    <t>Census Tract 3511 New Haven County Connecticut</t>
  </si>
  <si>
    <t>Census Tract 9011 Windham County Connecticut</t>
  </si>
  <si>
    <t>Census Tract 5035 Hartford County Connecticut</t>
  </si>
  <si>
    <t>Census Tract 4771.02 Hartford County Connecticut</t>
  </si>
  <si>
    <t>Census Tract 739 Fairfield County Connecticut</t>
  </si>
  <si>
    <t>Census Tract 4621.01 Hartford County Connecticut</t>
  </si>
  <si>
    <t>Census Tract 5411 Middlesex County Connecticut</t>
  </si>
  <si>
    <t>Census Tract 8707.03 New London County Connecticut</t>
  </si>
  <si>
    <t>Census Tract 704 Fairfield County Connecticut</t>
  </si>
  <si>
    <t>Census Tract 4621.02 Hartford County Connecticut</t>
  </si>
  <si>
    <t>Census Tract 1710 New Haven County Connecticut</t>
  </si>
  <si>
    <t>Census Tract 4603.01 Hartford County Connecticut</t>
  </si>
  <si>
    <t>Census Tract 4162 Hartford County Connecticut</t>
  </si>
  <si>
    <t>Census Tract 4736.01 Hartford County Connecticut</t>
  </si>
  <si>
    <t>Census Tract 709 Fairfield County Connecticut</t>
  </si>
  <si>
    <t>Census Tract 4255 Litchfield County Connecticut</t>
  </si>
  <si>
    <t>Census Tract 8006 Windham County Connecticut</t>
  </si>
  <si>
    <t>Census Tract 4942.02 Hartford County Connecticut</t>
  </si>
  <si>
    <t>Census Tract 1424 New Haven County Connecticut</t>
  </si>
  <si>
    <t>Census Tract 4813 Hartford County Connecticut</t>
  </si>
  <si>
    <t>Census Tract 5246 Hartford County Connecticut</t>
  </si>
  <si>
    <t>Census Tract 4771.01 Hartford County Connecticut</t>
  </si>
  <si>
    <t>Census Tract 1413 New Haven County Connecticut</t>
  </si>
  <si>
    <t>Census Tract 4305 Hartford County Connecticut</t>
  </si>
  <si>
    <t>Census Tract 5026 Hartford County Connecticut</t>
  </si>
  <si>
    <t>Census Tract 4841 Hartford County Connecticut</t>
  </si>
  <si>
    <t>Census Tract 3508 New Haven County Connecticut</t>
  </si>
  <si>
    <t>Census Tract 4302.01 Hartford County Connecticut</t>
  </si>
  <si>
    <t>Census Tract 5041 Hartford County Connecticut</t>
  </si>
  <si>
    <t>Census Tract 7101 New London County Connecticut</t>
  </si>
  <si>
    <t>Census Tract 5037 Hartford County Connecticut</t>
  </si>
  <si>
    <t>Census Tract 4054.02 Hartford County Connecticut</t>
  </si>
  <si>
    <t>Census Tract 5104 Hartford County Connecticut</t>
  </si>
  <si>
    <t>Census Tract 4663 Hartford County Connecticut</t>
  </si>
  <si>
    <t>Census Tract 4163 Hartford County Connecticut</t>
  </si>
  <si>
    <t>Census Tract 4965 Hartford County Connecticut</t>
  </si>
  <si>
    <t>Census Tract 1423 New Haven County Connecticut</t>
  </si>
  <si>
    <t>Census Tract 3301 Hartford County Connecticut</t>
  </si>
  <si>
    <t>Census Tract 3512 New Haven County Connecticut</t>
  </si>
  <si>
    <t>Census Tract 446 Fairfield County Connecticut</t>
  </si>
  <si>
    <t>Census Tract 731 Fairfield County Connecticut</t>
  </si>
  <si>
    <t>Census Tract 3441 New Haven County Connecticut</t>
  </si>
  <si>
    <t>Census Tract 735 Fairfield County Connecticut</t>
  </si>
  <si>
    <t>Census Tract 1653 New Haven County Connecticut</t>
  </si>
  <si>
    <t>Census Tract 5049 Hartford County Connecticut</t>
  </si>
  <si>
    <t>Census Tract 7151 New London County Connecticut</t>
  </si>
  <si>
    <t>Census Tract 1254 New Haven County Connecticut</t>
  </si>
  <si>
    <t>Census Tract 4872.01 Hartford County Connecticut</t>
  </si>
  <si>
    <t>Census Tract 5025 Hartford County Connecticut</t>
  </si>
  <si>
    <t>Census Tract 7091 New London County Connecticut</t>
  </si>
  <si>
    <t>Census Tract 740 Fairfield County Connecticut</t>
  </si>
  <si>
    <t>Census Tract 4973 Hartford County Connecticut</t>
  </si>
  <si>
    <t>Census Tract 7025 New London County Connecticut</t>
  </si>
  <si>
    <t>Census Tract 5331.02 Tolland County Connecticut</t>
  </si>
  <si>
    <t>Census Tract 737 Fairfield County Connecticut</t>
  </si>
  <si>
    <t>Census Tract 3004 Litchfield County Connecticut</t>
  </si>
  <si>
    <t>Census Tract 3102 Litchfield County Connecticut</t>
  </si>
  <si>
    <t>Census Tract 4641.01 Hartford County Connecticut</t>
  </si>
  <si>
    <t>Census Tract 714 Fairfield County Connecticut</t>
  </si>
  <si>
    <t>Census Tract 7141.03 New London County Connecticut</t>
  </si>
  <si>
    <t>Census Tract 1412 New Haven County Connecticut</t>
  </si>
  <si>
    <t>Census Tract 1755 New Haven County Connecticut</t>
  </si>
  <si>
    <t>Census Tract 743 Fairfield County Connecticut</t>
  </si>
  <si>
    <t>Census Tract 5149 Hartford County Connecticut</t>
  </si>
  <si>
    <t>Census Tract 6903 New London County Connecticut</t>
  </si>
  <si>
    <t>Census Tract 7053 New London County Connecticut</t>
  </si>
  <si>
    <t>Census Tract 2101 Fairfield County Connecticut</t>
  </si>
  <si>
    <t>Census Tract 4963 Hartford County Connecticut</t>
  </si>
  <si>
    <t>Census Tract 5106 Hartford County Connecticut</t>
  </si>
  <si>
    <t>Census Tract 3104 Litchfield County Connecticut</t>
  </si>
  <si>
    <t>Census Tract 1551 New Haven County Connecticut</t>
  </si>
  <si>
    <t>Census Tract 1105 Fairfield County Connecticut</t>
  </si>
  <si>
    <t>Census Tract 4160 Hartford County Connecticut</t>
  </si>
  <si>
    <t>Census Tract 4059 Hartford County Connecticut</t>
  </si>
  <si>
    <t>Census Tract 1427 New Haven County Connecticut</t>
  </si>
  <si>
    <t>Census Tract 6935 New London County Connecticut</t>
  </si>
  <si>
    <t>Census Tract 5245.01 Hartford County Connecticut</t>
  </si>
  <si>
    <t>Census Tract 4174 Hartford County Connecticut</t>
  </si>
  <si>
    <t>Census Tract 1425 New Haven County Connecticut</t>
  </si>
  <si>
    <t>Census Tract 4101.02 Hartford County Connecticut</t>
  </si>
  <si>
    <t>Census Tract 3103 Litchfield County Connecticut</t>
  </si>
  <si>
    <t>Census Tract 5351 Tolland County Connecticut</t>
  </si>
  <si>
    <t>Census Tract 1703 New Haven County Connecticut</t>
  </si>
  <si>
    <t>Census Tract 5202.02 Hartford County Connecticut</t>
  </si>
  <si>
    <t>Census Tract 702 Fairfield County Connecticut</t>
  </si>
  <si>
    <t>Census Tract 7121 New London County Connecticut</t>
  </si>
  <si>
    <t>Census Tract 1404 New Haven County Connecticut</t>
  </si>
  <si>
    <t>Census Tract 6952.02 New London County Connecticut</t>
  </si>
  <si>
    <t>Census Tract 719 Fairfield County Connecticut</t>
  </si>
  <si>
    <t>Census Tract 1106 Fairfield County Connecticut</t>
  </si>
  <si>
    <t>Census Tract 3526 New Haven County Connecticut</t>
  </si>
  <si>
    <t>Census Tract 3108.04 Litchfield County Connecticut</t>
  </si>
  <si>
    <t>Census Tract 215 Fairfield County Connecticut</t>
  </si>
  <si>
    <t>Census Tract 4874 Hartford County Connecticut</t>
  </si>
  <si>
    <t>Census Tract 4057 Hartford County Connecticut</t>
  </si>
  <si>
    <t>Census Tract 7030 New London County Connecticut</t>
  </si>
  <si>
    <t>Census Tract 5029 Hartford County Connecticut</t>
  </si>
  <si>
    <t>Census Tract 103 Fairfield County Connecticut</t>
  </si>
  <si>
    <t>Census Tract 6961 New London County Connecticut</t>
  </si>
  <si>
    <t>Census Tract 6802 Middlesex County Connecticut</t>
  </si>
  <si>
    <t>Census Tract 1702 New Haven County Connecticut</t>
  </si>
  <si>
    <t>Census Tract 7012 New London County Connecticut</t>
  </si>
  <si>
    <t>Census Tract 5147 Hartford County Connecticut</t>
  </si>
  <si>
    <t>Census Tract 5303.02 Tolland County Connecticut</t>
  </si>
  <si>
    <t>Census Tract 3523 New Haven County Connecticut</t>
  </si>
  <si>
    <t>Census Tract 4872.02 Hartford County Connecticut</t>
  </si>
  <si>
    <t>Census Tract 3513 New Haven County Connecticut</t>
  </si>
  <si>
    <t>Census Tract 3452.02 New Haven County Connecticut</t>
  </si>
  <si>
    <t>Census Tract 2107.01 Fairfield County Connecticut</t>
  </si>
  <si>
    <t>Census Tract 5202.01 Hartford County Connecticut</t>
  </si>
  <si>
    <t>Census Tract 1421 New Haven County Connecticut</t>
  </si>
  <si>
    <t>Census Tract 8902.02 Tolland County Connecticut</t>
  </si>
  <si>
    <t>Census Tract 1202 New Haven County Connecticut</t>
  </si>
  <si>
    <t>Census Tract 3603 Litchfield County Connecticut</t>
  </si>
  <si>
    <t>Census Tract 5102 Hartford County Connecticut</t>
  </si>
  <si>
    <t>Census Tract 1843 New Haven County Connecticut</t>
  </si>
  <si>
    <t>Census Tract 5005 Hartford County Connecticut</t>
  </si>
  <si>
    <t>Census Tract 1759 New Haven County Connecticut</t>
  </si>
  <si>
    <t>Census Tract 4154 Hartford County Connecticut</t>
  </si>
  <si>
    <t>Census Tract 6966 New London County Connecticut</t>
  </si>
  <si>
    <t>Census Tract 1545 New Haven County Connecticut</t>
  </si>
  <si>
    <t>Census Tract 1712 New Haven County Connecticut</t>
  </si>
  <si>
    <t>Census Tract 4061 Hartford County Connecticut</t>
  </si>
  <si>
    <t>Census Tract 3481.11 New Haven County Connecticut</t>
  </si>
  <si>
    <t>Census Tract 5244 Hartford County Connecticut</t>
  </si>
  <si>
    <t>Census Tract 4060.02 Hartford County Connecticut</t>
  </si>
  <si>
    <t>Census Tract 8007 Windham County Connecticut</t>
  </si>
  <si>
    <t>Census Tract 7021 New London County Connecticut</t>
  </si>
  <si>
    <t>Census Tract 1252 New Haven County Connecticut</t>
  </si>
  <si>
    <t>Census Tract 3061 Litchfield County Connecticut</t>
  </si>
  <si>
    <t>Census Tract 4167 Hartford County Connecticut</t>
  </si>
  <si>
    <t>Census Tract 1846 New Haven County Connecticut</t>
  </si>
  <si>
    <t>Census Tract 6964 New London County Connecticut</t>
  </si>
  <si>
    <t>Census Tract 701 Fairfield County Connecticut</t>
  </si>
  <si>
    <t>Census Tract 8813 Tolland County Connecticut</t>
  </si>
  <si>
    <t>Census Tract 4810 Hartford County Connecticut</t>
  </si>
  <si>
    <t>Census Tract 214 Fairfield County Connecticut</t>
  </si>
  <si>
    <t>Census Tract 5701 Middlesex County Connecticut</t>
  </si>
  <si>
    <t>Census Tract 5113 Hartford County Connecticut</t>
  </si>
  <si>
    <t>Census Tract 102.02 Fairfield County Connecticut</t>
  </si>
  <si>
    <t>Census Tract 744 Fairfield County Connecticut</t>
  </si>
  <si>
    <t>Census Tract 4681.01 Hartford County Connecticut</t>
  </si>
  <si>
    <t>Census Tract 6970 New London County Connecticut</t>
  </si>
  <si>
    <t>Census Tract 2931 Litchfield County Connecticut</t>
  </si>
  <si>
    <t>Census Tract 1715 New Haven County Connecticut</t>
  </si>
  <si>
    <t>Census Tract 4003 Hartford County Connecticut</t>
  </si>
  <si>
    <t>Census Tract 1546 New Haven County Connecticut</t>
  </si>
  <si>
    <t>Census Tract 5420 Middlesex County Connecticut</t>
  </si>
  <si>
    <t>Census Tract 1714 New Haven County Connecticut</t>
  </si>
  <si>
    <t>Census Tract 504 Fairfield County Connecticut</t>
  </si>
  <si>
    <t>Census Tract 6968 New London County Connecticut</t>
  </si>
  <si>
    <t>Census Tract 4921 Hartford County Connecticut</t>
  </si>
  <si>
    <t>Census Tract 710 Fairfield County Connecticut</t>
  </si>
  <si>
    <t>Census Tract 3471 New Haven County Connecticut</t>
  </si>
  <si>
    <t>Census Tract 1655 New Haven County Connecticut</t>
  </si>
  <si>
    <t>Census Tract 102.01 Fairfield County Connecticut</t>
  </si>
  <si>
    <t>Census Tract 711 Fairfield County Connecticut</t>
  </si>
  <si>
    <t>Census Tract 4966 Hartford County Connecticut</t>
  </si>
  <si>
    <t>Census Tract 6967 New London County Connecticut</t>
  </si>
  <si>
    <t>Census Tract 1652 New Haven County Connecticut</t>
  </si>
  <si>
    <t>Census Tract 1803 New Haven County Connecticut</t>
  </si>
  <si>
    <t>Census Tract 5261.02 Tolland County Connecticut</t>
  </si>
  <si>
    <t>Census Tract 4158 Hartford County Connecticut</t>
  </si>
  <si>
    <t>Census Tract 4977 Hartford County Connecticut</t>
  </si>
  <si>
    <t>Census Tract 3108.03 Litchfield County Connecticut</t>
  </si>
  <si>
    <t>Census Tract 4945 Hartford County Connecticut</t>
  </si>
  <si>
    <t>Census Tract 5302 Tolland County Connecticut</t>
  </si>
  <si>
    <t>Census Tract 5203.01 Hartford County Connecticut</t>
  </si>
  <si>
    <t>Census Tract 4156 Hartford County Connecticut</t>
  </si>
  <si>
    <t>Census Tract 5951.02 Middlesex County Connecticut</t>
  </si>
  <si>
    <t>Census Tract 6907 New London County Connecticut</t>
  </si>
  <si>
    <t>Census Tract 5261.01 Tolland County Connecticut</t>
  </si>
  <si>
    <t>Census Tract 5039 Hartford County Connecticut</t>
  </si>
  <si>
    <t>Census Tract 4662.01 Hartford County Connecticut</t>
  </si>
  <si>
    <t>Census Tract 3614.02 New Haven County Connecticut</t>
  </si>
  <si>
    <t>Census Tract 5352 Tolland County Connecticut</t>
  </si>
  <si>
    <t>Census Tract 722 Fairfield County Connecticut</t>
  </si>
  <si>
    <t>Census Tract 1901 New Haven County Connecticut</t>
  </si>
  <si>
    <t>Census Tract 4303.01 Hartford County Connecticut</t>
  </si>
  <si>
    <t>Census Tract 4157 Hartford County Connecticut</t>
  </si>
  <si>
    <t>Census Tract 6963 New London County Connecticut</t>
  </si>
  <si>
    <t>Census Tract 5023 Hartford County Connecticut</t>
  </si>
  <si>
    <t>Census Tract 109 Fairfield County Connecticut</t>
  </si>
  <si>
    <t>Census Tract 3516.01 New Haven County Connecticut</t>
  </si>
  <si>
    <t>Census Tract 6936 New London County Connecticut</t>
  </si>
  <si>
    <t>Census Tract 5112 Hartford County Connecticut</t>
  </si>
  <si>
    <t>Census Tract 4735.02 Hartford County Connecticut</t>
  </si>
  <si>
    <t>Census Tract 6904 New London County Connecticut</t>
  </si>
  <si>
    <t>Census Tract 8502 Tolland County Connecticut</t>
  </si>
  <si>
    <t>Census Tract 3527.01 New Haven County Connecticut</t>
  </si>
  <si>
    <t>Census Tract 110 Fairfield County Connecticut</t>
  </si>
  <si>
    <t>Census Tract 3524 New Haven County Connecticut</t>
  </si>
  <si>
    <t>Census Tract 302 Fairfield County Connecticut</t>
  </si>
  <si>
    <t>Census Tract 2102 Fairfield County Connecticut</t>
  </si>
  <si>
    <t>Census Tract 5151.01 Hartford County Connecticut</t>
  </si>
  <si>
    <t>Census Tract 4060.01 Hartford County Connecticut</t>
  </si>
  <si>
    <t>Census Tract 5204 Hartford County Connecticut</t>
  </si>
  <si>
    <t>Census Tract 2572 Fairfield County Connecticut</t>
  </si>
  <si>
    <t>Census Tract 5851 Middlesex County Connecticut</t>
  </si>
  <si>
    <t>Census Tract 3525 New Haven County Connecticut</t>
  </si>
  <si>
    <t>Census Tract 8701 New London County Connecticut</t>
  </si>
  <si>
    <t>Census Tract 1420 New Haven County Connecticut</t>
  </si>
  <si>
    <t>Census Tract 501 Fairfield County Connecticut</t>
  </si>
  <si>
    <t>Census Tract 6908 New London County Connecticut</t>
  </si>
  <si>
    <t>Census Tract 4302.03 Hartford County Connecticut</t>
  </si>
  <si>
    <t>Census Tract 1414 New Haven County Connecticut</t>
  </si>
  <si>
    <t>Census Tract 5301 Tolland County Connecticut</t>
  </si>
  <si>
    <t>Census Tract 440 Fairfield County Connecticut</t>
  </si>
  <si>
    <t>Census Tract 1711 New Haven County Connecticut</t>
  </si>
  <si>
    <t>Census Tract 804 Fairfield County Connecticut</t>
  </si>
  <si>
    <t>Census Tract 1506 New Haven County Connecticut</t>
  </si>
  <si>
    <t>Census Tract 7092 New London County Connecticut</t>
  </si>
  <si>
    <t>Census Tract 4871 Hartford County Connecticut</t>
  </si>
  <si>
    <t>Census Tract 1253 New Haven County Connecticut</t>
  </si>
  <si>
    <t>Census Tract 6962 New London County Connecticut</t>
  </si>
  <si>
    <t>Census Tract 728 Fairfield County Connecticut</t>
  </si>
  <si>
    <t>Census Tract 8250 Windham County Connecticut</t>
  </si>
  <si>
    <t>Census Tract 5103 Hartford County Connecticut</t>
  </si>
  <si>
    <t>Census Tract 3612 New Haven County Connecticut</t>
  </si>
  <si>
    <t>Census Tract 720 Fairfield County Connecticut</t>
  </si>
  <si>
    <t>Census Tract 3107 Litchfield County Connecticut</t>
  </si>
  <si>
    <t>Census Tract 734 Fairfield County Connecticut</t>
  </si>
  <si>
    <t>Census Tract 3454 New Haven County Connecticut</t>
  </si>
  <si>
    <t>Census Tract 5146 Hartford County Connecticut</t>
  </si>
  <si>
    <t>Census Tract 1757 New Haven County Connecticut</t>
  </si>
  <si>
    <t>Census Tract 5148 Hartford County Connecticut</t>
  </si>
  <si>
    <t>Census Tract 5382.02 Tolland County Connecticut</t>
  </si>
  <si>
    <t>Census Tract 9045 Windham County Connecticut</t>
  </si>
  <si>
    <t>Census Tract 8707.01 New London County Connecticut</t>
  </si>
  <si>
    <t>Census Tract 3518 New Haven County Connecticut</t>
  </si>
  <si>
    <t>Census Tract 4001 Hartford County Connecticut</t>
  </si>
  <si>
    <t>Census Tract 8815 Tolland County Connecticut</t>
  </si>
  <si>
    <t>Census Tract 4944 Hartford County Connecticut</t>
  </si>
  <si>
    <t>Census Tract 5105 Hartford County Connecticut</t>
  </si>
  <si>
    <t>Census Tract 3201 Litchfield County Connecticut</t>
  </si>
  <si>
    <t>Census Tract 3105 Litchfield County Connecticut</t>
  </si>
  <si>
    <t>Census Tract 1501 New Haven County Connecticut</t>
  </si>
  <si>
    <t>Census Tract 5048 Hartford County Connecticut</t>
  </si>
  <si>
    <t>Census Tract 5801 Middlesex County Connecticut</t>
  </si>
  <si>
    <t>Census Tract 4165 Hartford County Connecticut</t>
  </si>
  <si>
    <t>Census Tract 4207 Hartford County Connecticut</t>
  </si>
  <si>
    <t>Census Tract 5303.01 Tolland County Connecticut</t>
  </si>
  <si>
    <t>Census Tract 8301 Windham County Connecticut</t>
  </si>
  <si>
    <t>Census Tract 1708 New Haven County Connecticut</t>
  </si>
  <si>
    <t>Census Tract 9061 Windham County Connecticut</t>
  </si>
  <si>
    <t>Census Tract 3528 New Haven County Connecticut</t>
  </si>
  <si>
    <t>Census Tract 604 Fairfield County Connecticut</t>
  </si>
  <si>
    <t>Census Tract 442 Fairfield County Connecticut</t>
  </si>
  <si>
    <t>Census Tract 6601.01 New London County Connecticut</t>
  </si>
  <si>
    <t>Census Tract 1418 New Haven County Connecticut</t>
  </si>
  <si>
    <t>Census Tract 4681.02 Hartford County Connecticut</t>
  </si>
  <si>
    <t>Census Tract 2106 Fairfield County Connecticut</t>
  </si>
  <si>
    <t>Census Tract 4164 Hartford County Connecticut</t>
  </si>
  <si>
    <t>Census Tract 3510 New Haven County Connecticut</t>
  </si>
  <si>
    <t>Census Tract 4101.01 Hartford County Connecticut</t>
  </si>
  <si>
    <t>Census Tract 2536 Litchfield County Connecticut</t>
  </si>
  <si>
    <t>Census Tract 7011 New London County Connecticut</t>
  </si>
  <si>
    <t>Census Tract 5040 Hartford County Connecticut</t>
  </si>
  <si>
    <t>Census Tract 4942.01 Hartford County Connecticut</t>
  </si>
  <si>
    <t>Census Tract 1426.01 New Haven County Connecticut</t>
  </si>
  <si>
    <t>Census Tract 4903.02 Hartford County Connecticut</t>
  </si>
  <si>
    <t>Census Tract 5415 Middlesex County Connecticut</t>
  </si>
  <si>
    <t>Census Tract 1753 New Haven County Connecticut</t>
  </si>
  <si>
    <t>Census Tract 8702 New London County Connecticut</t>
  </si>
  <si>
    <t>Census Tract 9073 Windham County Connecticut</t>
  </si>
  <si>
    <t>Census Tract 721 Fairfield County Connecticut</t>
  </si>
  <si>
    <t>Census Tract 4256 Litchfield County Connecticut</t>
  </si>
  <si>
    <t>Census Tract 7027 New London County Connecticut</t>
  </si>
  <si>
    <t>Census Tract 9001 Windham County Connecticut</t>
  </si>
  <si>
    <t>Census Tract 3515 New Haven County Connecticut</t>
  </si>
  <si>
    <t>Census Tract 4206 Hartford County Connecticut</t>
  </si>
  <si>
    <t>Census Tract 1542 New Haven County Connecticut</t>
  </si>
  <si>
    <t>Census Tract 4055 Hartford County Connecticut</t>
  </si>
  <si>
    <t>Census Tract 4306.01 Hartford County Connecticut</t>
  </si>
  <si>
    <t>Census Tract 208 Fairfield County Connecticut</t>
  </si>
  <si>
    <t>Census Tract 2107.02 Fairfield County Connecticut</t>
  </si>
  <si>
    <t>Census Tract 2901 Litchfield County Connecticut</t>
  </si>
  <si>
    <t>Census Tract 2531 Litchfield County Connecticut</t>
  </si>
  <si>
    <t>Census Tract 6933 New London County Connecticut</t>
  </si>
  <si>
    <t>Census Tract 9031 Windham County Connecticut</t>
  </si>
  <si>
    <t>Census Tract 3101 Litchfield County Connecticut</t>
  </si>
  <si>
    <t>Census Tract 7051.02 New London County Connecticut</t>
  </si>
  <si>
    <t>Census Tract 4972 Hartford County Connecticut</t>
  </si>
  <si>
    <t>Census Tract 1706 New Haven County Connecticut</t>
  </si>
  <si>
    <t>Census Tract 4735.01 Hartford County Connecticut</t>
  </si>
  <si>
    <t>Census Tract 3521 New Haven County Connecticut</t>
  </si>
  <si>
    <t>Census Tract 6301 Middlesex County Connecticut</t>
  </si>
  <si>
    <t>Census Tract 5245.02 Hartford County Connecticut</t>
  </si>
  <si>
    <t>Census Tract 5150 Hartford County Connecticut</t>
  </si>
  <si>
    <t>Census Tract 3108.01 Litchfield County Connecticut</t>
  </si>
  <si>
    <t>Census Tract 2681 Litchfield County Connecticut</t>
  </si>
  <si>
    <t>Census Tract 9044 Windham County Connecticut</t>
  </si>
  <si>
    <t>Census Tract 8501 Tolland County Connecticut</t>
  </si>
  <si>
    <t>Census Tract 3615 New Haven County Connecticut</t>
  </si>
  <si>
    <t>Census Tract 1716 New Haven County Connecticut</t>
  </si>
  <si>
    <t>Census Tract 4807 Hartford County Connecticut</t>
  </si>
  <si>
    <t>Census Tract 1673 New Haven County Connecticut</t>
  </si>
  <si>
    <t>Census Tract 5107 Hartford County Connecticut</t>
  </si>
  <si>
    <t>Census Tract 5151.02 Hartford County Connecticut</t>
  </si>
  <si>
    <t>Census Tract 1704 New Haven County Connecticut</t>
  </si>
  <si>
    <t>Census Tract 221 Fairfield County Connecticut</t>
  </si>
  <si>
    <t>Census Tract 1509 New Haven County Connecticut</t>
  </si>
  <si>
    <t>Census Tract 8005 Windham County Connecticut</t>
  </si>
  <si>
    <t>Census Tract 1602 New Haven County Connecticut</t>
  </si>
  <si>
    <t>Census Tract 445 Fairfield County Connecticut</t>
  </si>
  <si>
    <t>Census Tract 205 Fairfield County Connecticut</t>
  </si>
  <si>
    <t>Census Tract 1101 Fairfield County Connecticut</t>
  </si>
  <si>
    <t>Census Tract 8200 Windham County Connecticut</t>
  </si>
  <si>
    <t>Census Tract 4967 Hartford County Connecticut</t>
  </si>
  <si>
    <t>Census Tract 202 Fairfield County Connecticut</t>
  </si>
  <si>
    <t>Census Tract 724 Fairfield County Connecticut</t>
  </si>
  <si>
    <t>Census Tract 552 Fairfield County Connecticut</t>
  </si>
  <si>
    <t>Census Tract 5108 Hartford County Connecticut</t>
  </si>
  <si>
    <t>Census Tract 5141.01 Hartford County Connecticut</t>
  </si>
  <si>
    <t>Census Tract 3481.24 New Haven County Connecticut</t>
  </si>
  <si>
    <t>Census Tract 2501 Litchfield County Connecticut</t>
  </si>
  <si>
    <t>Census Tract 6965 New London County Connecticut</t>
  </si>
  <si>
    <t>Census Tract 1507 New Haven County Connecticut</t>
  </si>
  <si>
    <t>Census Tract 4053 Hartford County Connecticut</t>
  </si>
  <si>
    <t>Census Tract 4601 Hartford County Connecticut</t>
  </si>
  <si>
    <t>Census Tract 3516.02 New Haven County Connecticut</t>
  </si>
  <si>
    <t>Census Tract 5111 Hartford County Connecticut</t>
  </si>
  <si>
    <t>Census Tract 4961 Hartford County Connecticut</t>
  </si>
  <si>
    <t>Census Tract 4603.02 Hartford County Connecticut</t>
  </si>
  <si>
    <t>Census Tract 4842 Hartford County Connecticut</t>
  </si>
  <si>
    <t>Census Tract 5304 Tolland County Connecticut</t>
  </si>
  <si>
    <t>Census Tract 2103 Fairfield County Connecticut</t>
  </si>
  <si>
    <t>Census Tract 4303.02 Hartford County Connecticut</t>
  </si>
  <si>
    <t>Census Tract 4662.02 Hartford County Connecticut</t>
  </si>
  <si>
    <t>Census Tract 1752 New Haven County Connecticut</t>
  </si>
  <si>
    <t>Census Tract 2632 Litchfield County Connecticut</t>
  </si>
  <si>
    <t>Census Tract 1656 New Haven County Connecticut</t>
  </si>
  <si>
    <t>Census Tract 1660.02 New Haven County Connecticut</t>
  </si>
  <si>
    <t>Census Tract 107 Fairfield County Connecticut</t>
  </si>
  <si>
    <t>Census Tract 7052 New London County Connecticut</t>
  </si>
  <si>
    <t>Census Tract 8004 Windham County Connecticut</t>
  </si>
  <si>
    <t>Census Tract 2671 Litchfield County Connecticut</t>
  </si>
  <si>
    <t>Census Tract 1841 New Haven County Connecticut</t>
  </si>
  <si>
    <t>Census Tract 2112 Fairfield County Connecticut</t>
  </si>
  <si>
    <t>Census Tract 2002 Fairfield County Connecticut</t>
  </si>
  <si>
    <t>Census Tract 1903.01 New Haven County Connecticut</t>
  </si>
  <si>
    <t>Census Tract 8901 Tolland County Connecticut</t>
  </si>
  <si>
    <t>Census Tract 5702 Middlesex County Connecticut</t>
  </si>
  <si>
    <t>Census Tract 4205 Hartford County Connecticut</t>
  </si>
  <si>
    <t>Census Tract 5602 Middlesex County Connecticut</t>
  </si>
  <si>
    <t>Census Tract 4761 Hartford County Connecticut</t>
  </si>
  <si>
    <t>Census Tract 506 Fairfield County Connecticut</t>
  </si>
  <si>
    <t>Census Tract 3461.01 New Haven County Connecticut</t>
  </si>
  <si>
    <t>Census Tract 2602 Litchfield County Connecticut</t>
  </si>
  <si>
    <t>Census Tract 3613 New Haven County Connecticut</t>
  </si>
  <si>
    <t>Census Tract 4175 Hartford County Connecticut</t>
  </si>
  <si>
    <t>Census Tract 5101 Hartford County Connecticut</t>
  </si>
  <si>
    <t>Census Tract 5144 Hartford County Connecticut</t>
  </si>
  <si>
    <t>Census Tract 1401 New Haven County Connecticut</t>
  </si>
  <si>
    <t>Census Tract 4168 Hartford County Connecticut</t>
  </si>
  <si>
    <t>Census Tract 6101 Middlesex County Connecticut</t>
  </si>
  <si>
    <t>United States</t>
  </si>
  <si>
    <t>Census Tract 1802 New Haven County Connecticut</t>
  </si>
  <si>
    <t>Census Tract 3431.01 New Haven County Connecticut</t>
  </si>
  <si>
    <t>Census Tract 5421 Middlesex County Connecticut</t>
  </si>
  <si>
    <t>Census Tract 4922 Hartford County Connecticut</t>
  </si>
  <si>
    <t>Census Tract 4763 Hartford County Connecticut</t>
  </si>
  <si>
    <t>Census Tract 2453 Fairfield County Connecticut</t>
  </si>
  <si>
    <t>Census Tract 726 Fairfield County Connecticut</t>
  </si>
  <si>
    <t>Census Tract 1601 New Haven County Connecticut</t>
  </si>
  <si>
    <t>Census Tract 4056 Hartford County Connecticut</t>
  </si>
  <si>
    <t>Census Tract 1754 New Haven County Connecticut</t>
  </si>
  <si>
    <t>Census Tract 5142 Hartford County Connecticut</t>
  </si>
  <si>
    <t>Census Tract 4941 Hartford County Connecticut</t>
  </si>
  <si>
    <t>Census Tract 6934 New London County Connecticut</t>
  </si>
  <si>
    <t>Census Tract 2452 Fairfield County Connecticut</t>
  </si>
  <si>
    <t>Census Tract 4712 Hartford County Connecticut</t>
  </si>
  <si>
    <t>Census Tract 1751 New Haven County Connecticut</t>
  </si>
  <si>
    <t>Census Tract 201 Fairfield County Connecticut</t>
  </si>
  <si>
    <t>Census Tract 106 Fairfield County Connecticut</t>
  </si>
  <si>
    <t>Census Tract 1806.01 New Haven County Connecticut</t>
  </si>
  <si>
    <t>Census Tract 1102.01 Fairfield County Connecticut</t>
  </si>
  <si>
    <t>Census Tract 729 Fairfield County Connecticut</t>
  </si>
  <si>
    <t>Census Tract 5412 Middlesex County Connecticut</t>
  </si>
  <si>
    <t>Census Tract 3604 Litchfield County Connecticut</t>
  </si>
  <si>
    <t>Census Tract 4602.02 Hartford County Connecticut</t>
  </si>
  <si>
    <t>Census Tract 1550 New Haven County Connecticut</t>
  </si>
  <si>
    <t>Census Tract 7141.04 New London County Connecticut</t>
  </si>
  <si>
    <t>Census Tract 5203.02 Hartford County Connecticut</t>
  </si>
  <si>
    <t>Census Tract 209 Fairfield County Connecticut</t>
  </si>
  <si>
    <t>Census Tract 5241 Hartford County Connecticut</t>
  </si>
  <si>
    <t>Census Tract 3451 New Haven County Connecticut</t>
  </si>
  <si>
    <t>Census Tract 1707 New Haven County Connecticut</t>
  </si>
  <si>
    <t>Census Tract 1842 New Haven County Connecticut</t>
  </si>
  <si>
    <t>Census Tract 3202 Litchfield County Connecticut</t>
  </si>
  <si>
    <t>Census Tract 1671 New Haven County Connecticut</t>
  </si>
  <si>
    <t>Census Tract 6102 Middlesex County Connecticut</t>
  </si>
  <si>
    <t>Census Tract 6201 Middlesex County Connecticut</t>
  </si>
  <si>
    <t>Census Tract 3492 Litchfield County Connecticut</t>
  </si>
  <si>
    <t>Census Tract 7081 New London County Connecticut</t>
  </si>
  <si>
    <t>Census Tract 723 Fairfield County Connecticut</t>
  </si>
  <si>
    <t>Census Tract 6952.01 New London County Connecticut</t>
  </si>
  <si>
    <t>Census Tract 725 Fairfield County Connecticut</t>
  </si>
  <si>
    <t>Census Tract 4772 Hartford County Connecticut</t>
  </si>
  <si>
    <t>Census Tract 9072 Windham County Connecticut</t>
  </si>
  <si>
    <t>Census Tract 1504 New Haven County Connecticut</t>
  </si>
  <si>
    <t>Census Tract 601 Fairfield County Connecticut</t>
  </si>
  <si>
    <t>Census Tract 4901 Hartford County Connecticut</t>
  </si>
  <si>
    <t>Census Tract 1410 New Haven County Connecticut</t>
  </si>
  <si>
    <t>Census Tract 3481.25 New Haven County Connecticut</t>
  </si>
  <si>
    <t>Census Tract 1001 Fairfield County Connecticut</t>
  </si>
  <si>
    <t>Census Tract 5413 Middlesex County Connecticut</t>
  </si>
  <si>
    <t>Census Tract 6501 New London County Connecticut</t>
  </si>
  <si>
    <t>Census Tract 1201 New Haven County Connecticut</t>
  </si>
  <si>
    <t>Census Tract 2611 Litchfield County Connecticut</t>
  </si>
  <si>
    <t>Census Tract 810 Fairfield County Connecticut</t>
  </si>
  <si>
    <t>Census Tract 5143 Hartford County Connecticut</t>
  </si>
  <si>
    <t>Census Tract 219 Fairfield County Connecticut</t>
  </si>
  <si>
    <t>Census Tract 5502.02 Middlesex County Connecticut</t>
  </si>
  <si>
    <t>Census Tract 5901 Middlesex County Connecticut</t>
  </si>
  <si>
    <t>Census Tract 8705.02 New London County Connecticut</t>
  </si>
  <si>
    <t>Census Tract 5501 Middlesex County Connecticut</t>
  </si>
  <si>
    <t>Census Tract 3453 New Haven County Connecticut</t>
  </si>
  <si>
    <t>Census Tract 3481.22 New Haven County Connecticut</t>
  </si>
  <si>
    <t>Census Tract 8401 Tolland County Connecticut</t>
  </si>
  <si>
    <t>Census Tract 1571 New Haven County Connecticut</t>
  </si>
  <si>
    <t>Census Tract 4924 Hartford County Connecticut</t>
  </si>
  <si>
    <t>Census Tract 1301.01 New Haven County Connecticut</t>
  </si>
  <si>
    <t>Census Tract 2451 Fairfield County Connecticut</t>
  </si>
  <si>
    <t>Census Tract 1541 New Haven County Connecticut</t>
  </si>
  <si>
    <t>Census Tract 4805 Hartford County Connecticut</t>
  </si>
  <si>
    <t>Census Tract 1422 New Haven County Connecticut</t>
  </si>
  <si>
    <t>Census Tract 9041 Windham County Connecticut</t>
  </si>
  <si>
    <t>Census Tract 7141.01 New London County Connecticut</t>
  </si>
  <si>
    <t>Census Tract 1903.02 New Haven County Connecticut</t>
  </si>
  <si>
    <t>Census Tract 1801 New Haven County Connecticut</t>
  </si>
  <si>
    <t>Census Tract 4971 Hartford County Connecticut</t>
  </si>
  <si>
    <t>Census Tract 4923 Hartford County Connecticut</t>
  </si>
  <si>
    <t>Census Tract 503 Fairfield County Connecticut</t>
  </si>
  <si>
    <t>Census Tract 5703 Middlesex County Connecticut</t>
  </si>
  <si>
    <t>Census Tract 1705 New Haven County Connecticut</t>
  </si>
  <si>
    <t>Census Tract 7111 New London County Connecticut</t>
  </si>
  <si>
    <t>Census Tract 1573 New Haven County Connecticut</t>
  </si>
  <si>
    <t>Census Tract 3527.02 New Haven County Connecticut</t>
  </si>
  <si>
    <t>Census Tract 607 Fairfield County Connecticut</t>
  </si>
  <si>
    <t>Census Tract 4968 Hartford County Connecticut</t>
  </si>
  <si>
    <t>Census Tract 4803 Hartford County Connecticut</t>
  </si>
  <si>
    <t>Census Tract 2303 Fairfield County Connecticut</t>
  </si>
  <si>
    <t>Census Tract 218.02 Fairfield County Connecticut</t>
  </si>
  <si>
    <t>Census Tract 104 Fairfield County Connecticut</t>
  </si>
  <si>
    <t>Census Tract 1428 New Haven County Connecticut</t>
  </si>
  <si>
    <t>Census Tract 2305.01 Fairfield County Connecticut</t>
  </si>
  <si>
    <t>Census Tract 3601 Litchfield County Connecticut</t>
  </si>
  <si>
    <t>Census Tract 4875 Hartford County Connecticut</t>
  </si>
  <si>
    <t>Census Tract 5291 Tolland County Connecticut</t>
  </si>
  <si>
    <t>Census Tract 1658.01 New Haven County Connecticut</t>
  </si>
  <si>
    <t>Census Tract 3421 Litchfield County Connecticut</t>
  </si>
  <si>
    <t>Census Tract 8705.01 New London County Connecticut</t>
  </si>
  <si>
    <t>Census Tract 432 Fairfield County Connecticut</t>
  </si>
  <si>
    <t>Census Tract 4051 Hartford County Connecticut</t>
  </si>
  <si>
    <t>Census Tract 2302 Fairfield County Connecticut</t>
  </si>
  <si>
    <t>Census Tract 2454 Fairfield County Connecticut</t>
  </si>
  <si>
    <t>Census Tract 1549 New Haven County Connecticut</t>
  </si>
  <si>
    <t>Census Tract 2534 Litchfield County Connecticut</t>
  </si>
  <si>
    <t>Census Tract 444 Fairfield County Connecticut</t>
  </si>
  <si>
    <t>Census Tract 907 Fairfield County Connecticut</t>
  </si>
  <si>
    <t>Census Tract 8150 Windham County Connecticut</t>
  </si>
  <si>
    <t>Census Tract 9051 Windham County Connecticut</t>
  </si>
  <si>
    <t>Census Tract 802 Fairfield County Connecticut</t>
  </si>
  <si>
    <t>Census Tract 4301 Hartford County Connecticut</t>
  </si>
  <si>
    <t>Census Tract 2533 Litchfield County Connecticut</t>
  </si>
  <si>
    <t>Census Tract 1660.01 New Haven County Connecticut</t>
  </si>
  <si>
    <t>Census Tract 4731 Hartford County Connecticut</t>
  </si>
  <si>
    <t>Census Tract 5145 Hartford County Connecticut</t>
  </si>
  <si>
    <t>Census Tract 431 Fairfield County Connecticut</t>
  </si>
  <si>
    <t>Census Tract 1672.02 New Haven County Connecticut</t>
  </si>
  <si>
    <t>Census Tract 437 Fairfield County Connecticut</t>
  </si>
  <si>
    <t>Census Tract 3509 New Haven County Connecticut</t>
  </si>
  <si>
    <t>Census Tract 5306 Tolland County Connecticut</t>
  </si>
  <si>
    <t>Census Tract 1502 New Haven County Connecticut</t>
  </si>
  <si>
    <t>Census Tract 4736.02 Hartford County Connecticut</t>
  </si>
  <si>
    <t>Census Tract 5109 Hartford County Connecticut</t>
  </si>
  <si>
    <t>Census Tract 813 Fairfield County Connecticut</t>
  </si>
  <si>
    <t>Census Tract 7028 New London County Connecticut</t>
  </si>
  <si>
    <t>Census Tract 2305.02 Fairfield County Connecticut</t>
  </si>
  <si>
    <t>Census Tract 1301.02 New Haven County Connecticut</t>
  </si>
  <si>
    <t>Census Tract 4713 Hartford County Connecticut</t>
  </si>
  <si>
    <t>Census Tract 4058 Hartford County Connecticut</t>
  </si>
  <si>
    <t>Census Tract 3611 New Haven County Connecticut</t>
  </si>
  <si>
    <t>Census Tract 352 Fairfield County Connecticut</t>
  </si>
  <si>
    <t>Census Tract 806 Fairfield County Connecticut</t>
  </si>
  <si>
    <t>Census Tract 1942.02 New Haven County Connecticut</t>
  </si>
  <si>
    <t>Census Tract 2202 Fairfield County Connecticut</t>
  </si>
  <si>
    <t>Census Tract 5305 Tolland County Connecticut</t>
  </si>
  <si>
    <t>Census Tract 4737 Hartford County Connecticut</t>
  </si>
  <si>
    <t>Census Tract 441 Fairfield County Connecticut</t>
  </si>
  <si>
    <t>Census Tract 4804 Hartford County Connecticut</t>
  </si>
  <si>
    <t>Census Tract 1847 New Haven County Connecticut</t>
  </si>
  <si>
    <t>Census Tract 5110 Hartford County Connecticut</t>
  </si>
  <si>
    <t>Census Tract 801 Fairfield County Connecticut</t>
  </si>
  <si>
    <t>Census Tract 605 Fairfield County Connecticut</t>
  </si>
  <si>
    <t>Census Tract 9071 Windham County Connecticut</t>
  </si>
  <si>
    <t>Census Tract 1503 New Haven County Connecticut</t>
  </si>
  <si>
    <t>Census Tract 3005 Litchfield County Connecticut</t>
  </si>
  <si>
    <t>Census Tract 303 Fairfield County Connecticut</t>
  </si>
  <si>
    <t>Census Tract 7051.01 New London County Connecticut</t>
  </si>
  <si>
    <t>Census Tract 2053 Fairfield County Connecticut</t>
  </si>
  <si>
    <t>Census Tract 4946 Hartford County Connecticut</t>
  </si>
  <si>
    <t>Census Tract 4641.02 Hartford County Connecticut</t>
  </si>
  <si>
    <t>Census Tract 502 Fairfield County Connecticut</t>
  </si>
  <si>
    <t>Census Tract 4811 Hartford County Connecticut</t>
  </si>
  <si>
    <t>Census Tract 1426.04 New Haven County Connecticut</t>
  </si>
  <si>
    <t>Census Tract 3602 Litchfield County Connecticut</t>
  </si>
  <si>
    <t>Census Tract 807 Fairfield County Connecticut</t>
  </si>
  <si>
    <t>Census Tract 5414.01 Middlesex County Connecticut</t>
  </si>
  <si>
    <t>Census Tract 108 Fairfield County Connecticut</t>
  </si>
  <si>
    <t>Census Tract 1104 Fairfield County Connecticut</t>
  </si>
  <si>
    <t>Census Tract 4204 Hartford County Connecticut</t>
  </si>
  <si>
    <t>Census Tract 2571 Fairfield County Connecticut</t>
  </si>
  <si>
    <t>Census Tract 1103.01 Fairfield County Connecticut</t>
  </si>
  <si>
    <t>Census Tract 6702 Middlesex County Connecticut</t>
  </si>
  <si>
    <t>Census Tract 101.02 Fairfield County Connecticut</t>
  </si>
  <si>
    <t>Census Tract 438 Fairfield County Connecticut</t>
  </si>
  <si>
    <t>Census Tract 3621.02 Litchfield County Connecticut</t>
  </si>
  <si>
    <t>Census Tract 7023 New London County Connecticut</t>
  </si>
  <si>
    <t>Census Tract 611 Fairfield County Connecticut</t>
  </si>
  <si>
    <t>Census Tract 3621.01 Litchfield County Connecticut</t>
  </si>
  <si>
    <t>Census Tract 5951.01 Middlesex County Connecticut</t>
  </si>
  <si>
    <t>Census Tract 2108 Fairfield County Connecticut</t>
  </si>
  <si>
    <t>Census Tract 6001 Middlesex County Connecticut</t>
  </si>
  <si>
    <t>Census Tract 6701 Middlesex County Connecticut</t>
  </si>
  <si>
    <t>Census Tract 1657 New Haven County Connecticut</t>
  </si>
  <si>
    <t>Census Tract 5141.02 Hartford County Connecticut</t>
  </si>
  <si>
    <t>Census Tract 111 Fairfield County Connecticut</t>
  </si>
  <si>
    <t>Census Tract 4602.04 Hartford County Connecticut</t>
  </si>
  <si>
    <t>Census Tract 7001 New London County Connecticut</t>
  </si>
  <si>
    <t>Census Tract 5247 Hartford County Connecticut</t>
  </si>
  <si>
    <t>Census Tract 1611 New Haven County Connecticut</t>
  </si>
  <si>
    <t>Census Tract 505 Fairfield County Connecticut</t>
  </si>
  <si>
    <t>Census Tract 4711 Hartford County Connecticut</t>
  </si>
  <si>
    <t>Census Tract 4962 Hartford County Connecticut</t>
  </si>
  <si>
    <t>Census Tract 1102.02 Fairfield County Connecticut</t>
  </si>
  <si>
    <t>Census Tract 203 Fairfield County Connecticut</t>
  </si>
  <si>
    <t>Census Tract 3442 New Haven County Connecticut</t>
  </si>
  <si>
    <t>Census Tract 4302.02 Hartford County Connecticut</t>
  </si>
  <si>
    <t>Census Tract 727 Fairfield County Connecticut</t>
  </si>
  <si>
    <t>Census Tract 5422 Middlesex County Connecticut</t>
  </si>
  <si>
    <t>Census Tract 7071 New London County Connecticut</t>
  </si>
  <si>
    <t>Census Tract 1103.02 Fairfield County Connecticut</t>
  </si>
  <si>
    <t>Census Tract 4664 Hartford County Connecticut</t>
  </si>
  <si>
    <t>Census Tract 2455 Fairfield County Connecticut</t>
  </si>
  <si>
    <t>Census Tract 1806.02 New Haven County Connecticut</t>
  </si>
  <si>
    <t>Census Tract 2661 Litchfield County Connecticut</t>
  </si>
  <si>
    <t>Census Tract 3519 New Haven County Connecticut</t>
  </si>
  <si>
    <t>Census Tract 3031 Litchfield County Connecticut</t>
  </si>
  <si>
    <t>Census Tract 6104 Middlesex County Connecticut</t>
  </si>
  <si>
    <t>Census Tract 351 Fairfield County Connecticut</t>
  </si>
  <si>
    <t>Census Tract 1508 New Haven County Connecticut</t>
  </si>
  <si>
    <t>Census Tract 2104 Fairfield County Connecticut</t>
  </si>
  <si>
    <t>Census Tract 7161.01 New London County Connecticut</t>
  </si>
  <si>
    <t>Census Tract 210 Fairfield County Connecticut</t>
  </si>
  <si>
    <t>Census Tract 2001 Fairfield County Connecticut</t>
  </si>
  <si>
    <t>Census Tract 454 Fairfield County Connecticut</t>
  </si>
  <si>
    <t>Census Tract 3452.01 New Haven County Connecticut</t>
  </si>
  <si>
    <t>Census Tract 207 Fairfield County Connecticut</t>
  </si>
  <si>
    <t>Census Tract 1845 New Haven County Connecticut</t>
  </si>
  <si>
    <t>Census Tract 353 Fairfield County Connecticut</t>
  </si>
  <si>
    <t>Census Tract 434 Fairfield County Connecticut</t>
  </si>
  <si>
    <t>Census Tract 3520 New Haven County Connecticut</t>
  </si>
  <si>
    <t>Census Tract 5502.01 Middlesex County Connecticut</t>
  </si>
  <si>
    <t>Census Tract 2456 Fairfield County Connecticut</t>
  </si>
  <si>
    <t>Census Tract 1651 New Haven County Connecticut</t>
  </si>
  <si>
    <t>Census Tract 354 Fairfield County Connecticut</t>
  </si>
  <si>
    <t>Census Tract 1574 New Haven County Connecticut</t>
  </si>
  <si>
    <t>Census Tract 1861 New Haven County Connecticut</t>
  </si>
  <si>
    <t>Census Tract 9081 Windham County Connecticut</t>
  </si>
  <si>
    <t>Census Tract 2651 Litchfield County Connecticut</t>
  </si>
  <si>
    <t>Census Tract 4715 Hartford County Connecticut</t>
  </si>
  <si>
    <t>Census Tract 3481.23 New Haven County Connecticut</t>
  </si>
  <si>
    <t>Census Tract 610 Fairfield County Connecticut</t>
  </si>
  <si>
    <t>Census Tract 603 Fairfield County Connecticut</t>
  </si>
  <si>
    <t>Census Tract 1510 New Haven County Connecticut</t>
  </si>
  <si>
    <t>Census Tract 4738 Hartford County Connecticut</t>
  </si>
  <si>
    <t>Census Tract 4943 Hartford County Connecticut</t>
  </si>
  <si>
    <t>Census Tract 6401 Middlesex County Connecticut</t>
  </si>
  <si>
    <t>Census Tract 7026 New London County Connecticut</t>
  </si>
  <si>
    <t>Census Tract 6801 Middlesex County Connecticut</t>
  </si>
  <si>
    <t>Census Tract 608 Fairfield County Connecticut</t>
  </si>
  <si>
    <t>Census Tract 4602.03 Hartford County Connecticut</t>
  </si>
  <si>
    <t>Census Tract 4254 Litchfield County Connecticut</t>
  </si>
  <si>
    <t>Census Tract 616 Fairfield County Connecticut</t>
  </si>
  <si>
    <t>Census Tract 220 Fairfield County Connecticut</t>
  </si>
  <si>
    <t>Census Tract 301 Fairfield County Connecticut</t>
  </si>
  <si>
    <t>Census Tract 1941 New Haven County Connecticut</t>
  </si>
  <si>
    <t>Census Tract 2051 Fairfield County Connecticut</t>
  </si>
  <si>
    <t>Census Tract 223 Fairfield County Connecticut</t>
  </si>
  <si>
    <t>Census Tract 113 Fairfield County Connecticut</t>
  </si>
  <si>
    <t>Census Tract 3491 Litchfield County Connecticut</t>
  </si>
  <si>
    <t>Census Tract 4975 Hartford County Connecticut</t>
  </si>
  <si>
    <t>Census Tract 1805 New Haven County Connecticut</t>
  </si>
  <si>
    <t>Census Tract 4306.02 Hartford County Connecticut</t>
  </si>
  <si>
    <t>Census Tract 8811 Tolland County Connecticut</t>
  </si>
  <si>
    <t>Census Tract 5114 Hartford County Connecticut</t>
  </si>
  <si>
    <t>Census Tract 1844 New Haven County Connecticut</t>
  </si>
  <si>
    <t>Census Tract 435 Fairfield County Connecticut</t>
  </si>
  <si>
    <t>Census Tract 2114 Fairfield County Connecticut</t>
  </si>
  <si>
    <t>Census Tract 1903.03 New Haven County Connecticut</t>
  </si>
  <si>
    <t>Census Tract 612 Fairfield County Connecticut</t>
  </si>
  <si>
    <t>Census Tract 6103 Middlesex County Connecticut</t>
  </si>
  <si>
    <t>Census Tract 1804 New Haven County Connecticut</t>
  </si>
  <si>
    <t>Census Tract 812 Fairfield County Connecticut</t>
  </si>
  <si>
    <t>Census Tract 4054.01 Hartford County Connecticut</t>
  </si>
  <si>
    <t>Census Tract 2203 Fairfield County Connecticut</t>
  </si>
  <si>
    <t>Census Tract 615 Fairfield County Connecticut</t>
  </si>
  <si>
    <t>Census Tract 805 Fairfield County Connecticut</t>
  </si>
  <si>
    <t>Census Tract 3106.01 Litchfield County Connecticut</t>
  </si>
  <si>
    <t>Census Tract 2109 Fairfield County Connecticut</t>
  </si>
  <si>
    <t>Census Tract 433 Fairfield County Connecticut</t>
  </si>
  <si>
    <t>Census Tract 4925 Hartford County Connecticut</t>
  </si>
  <si>
    <t>Census Tract 1419 New Haven County Connecticut</t>
  </si>
  <si>
    <t>Census Tract 4873 Hartford County Connecticut</t>
  </si>
  <si>
    <t>Census Tract 1251 New Haven County Connecticut</t>
  </si>
  <si>
    <t>Census Tract 1302 New Haven County Connecticut</t>
  </si>
  <si>
    <t>Census Tract 2535 Litchfield County Connecticut</t>
  </si>
  <si>
    <t>Census Tract 212 Fairfield County Connecticut</t>
  </si>
  <si>
    <t>Census Tract 1512 New Haven County Connecticut</t>
  </si>
  <si>
    <t>Census Tract 1862 New Haven County Connecticut</t>
  </si>
  <si>
    <t>Census Tract 3472 New Haven County Connecticut</t>
  </si>
  <si>
    <t>Census Tract 3411 New Haven County Connecticut</t>
  </si>
  <si>
    <t>Census Tract 1902 New Haven County Connecticut</t>
  </si>
  <si>
    <t>Census Tract 211 Fairfield County Connecticut</t>
  </si>
  <si>
    <t>Census Tract 216 Fairfield County Connecticut</t>
  </si>
  <si>
    <t>Census Tract 3461.02 New Haven County Connecticut</t>
  </si>
  <si>
    <t>Census Tract 2301 Fairfield County Connecticut</t>
  </si>
  <si>
    <t>Census Tract 2401 Fairfield County Connecticut</t>
  </si>
  <si>
    <t>Census Tract 217 Fairfield County Connecticut</t>
  </si>
  <si>
    <t>Census Tract 904 Fairfield County Connecticut</t>
  </si>
  <si>
    <t>Census Tract 2003.01 Fairfield County Connecticut</t>
  </si>
  <si>
    <t>Census Tract 1547 New Haven County Connecticut</t>
  </si>
  <si>
    <t>Census Tract 1411 New Haven County Connecticut</t>
  </si>
  <si>
    <t>Census Tract 811 Fairfield County Connecticut</t>
  </si>
  <si>
    <t>Census Tract 1052 Fairfield County Connecticut</t>
  </si>
  <si>
    <t>Census Tract 1672.01 New Haven County Connecticut</t>
  </si>
  <si>
    <t>Census Tract 1548 New Haven County Connecticut</t>
  </si>
  <si>
    <t>Census Tract 1942.01 New Haven County Connecticut</t>
  </si>
  <si>
    <t>Census Tract 453 Fairfield County Connecticut</t>
  </si>
  <si>
    <t>Census Tract 427 Fairfield County Connecticut</t>
  </si>
  <si>
    <t>Census Tract 439 Fairfield County Connecticut</t>
  </si>
  <si>
    <t>Census Tract 436 Fairfield County Connecticut</t>
  </si>
  <si>
    <t>Census Tract 2304 Fairfield County Connecticut</t>
  </si>
  <si>
    <t>Census Tract 2110 Fairfield County Connecticut</t>
  </si>
  <si>
    <t>Census Tract 206 Fairfield County Connecticut</t>
  </si>
  <si>
    <t>Census Tract 1505 New Haven County Connecticut</t>
  </si>
  <si>
    <t>Census Tract 426 Fairfield County Connecticut</t>
  </si>
  <si>
    <t>Census Tract 1511 New Haven County Connecticut</t>
  </si>
  <si>
    <t>Census Tract 1572 New Haven County Connecticut</t>
  </si>
  <si>
    <t>Census Tract 2532 Litchfield County Connecticut</t>
  </si>
  <si>
    <t>Census Tract 218.01 Fairfield County Connecticut</t>
  </si>
  <si>
    <t>Census Tract 809 Fairfield County Connecticut</t>
  </si>
  <si>
    <t>Census Tract 808 Fairfield County Connecticut</t>
  </si>
  <si>
    <t>Census Tract 1051 Fairfield County Connecticut</t>
  </si>
  <si>
    <t>Census Tract 2105 Fairfield County Connecticut</t>
  </si>
  <si>
    <t>Census Tract 613 Fairfield County Connecticut</t>
  </si>
  <si>
    <t>Census Tract 901 Fairfield County Connecticut</t>
  </si>
  <si>
    <t>Census Tract 101.01 Fairfield County Connecticut</t>
  </si>
  <si>
    <t>Census Tract 614 Fairfield County Connecticut</t>
  </si>
  <si>
    <t>Census Tract 903 Fairfield County Connecticut</t>
  </si>
  <si>
    <t>Census Tract 730 Fairfield County Connecticut</t>
  </si>
  <si>
    <t>Census Tract 105 Fairfield County Connecticut</t>
  </si>
  <si>
    <t>Census Tract 905 Fairfield County Connecticut</t>
  </si>
  <si>
    <t>Census Tract 2003.02 Fairfield County Connecticut</t>
  </si>
  <si>
    <t>Census Tract 430 Fairfield County Connecticut</t>
  </si>
  <si>
    <t>Census Tract 222 Fairfield County Connecticut</t>
  </si>
  <si>
    <t>Census Tract 2201 Fairfield County Connecticut</t>
  </si>
  <si>
    <t>Census Tract 452 Fairfield County Connecticut</t>
  </si>
  <si>
    <t>Census Tract 2113 Fairfield County Connecticut</t>
  </si>
  <si>
    <t>Census Tract 451.01 Fairfield County Connecticut</t>
  </si>
  <si>
    <t>Census Tract 2052 Fairfield County Connecticut</t>
  </si>
  <si>
    <t>Census Tract 602 Fairfield County Connecticut</t>
  </si>
  <si>
    <t>Census Tract 609 Fairfield County Connecticut</t>
  </si>
  <si>
    <t>Census Tract 425 Fairfield County Connecticut</t>
  </si>
  <si>
    <t>Census Tract 443 Fairfield County Connecticut</t>
  </si>
  <si>
    <t>Census Tract 1658.02 New Haven County Connecticut</t>
  </si>
  <si>
    <t>Census Tract 1003 Fairfield County Connecticut</t>
  </si>
  <si>
    <t>Census Tract 204 Fairfield County Connecticut</t>
  </si>
  <si>
    <t>Census Tract 451.02 Fairfield County Connecticut</t>
  </si>
  <si>
    <t>Census Tract 551 Fairfield County Connecticut</t>
  </si>
  <si>
    <t>Census Tract 305 Fairfield County Connecticut</t>
  </si>
  <si>
    <t>Census Tract 1659 New Haven County Connecticut</t>
  </si>
  <si>
    <t>Census Tract 906 Fairfield County Connecticut</t>
  </si>
  <si>
    <t>Census Tract 213 Fairfield County Connecticut</t>
  </si>
  <si>
    <t>Census Tract 428 Fairfield County Connecticut</t>
  </si>
  <si>
    <t>Census Tract 224 Fairfield County Connecticut</t>
  </si>
  <si>
    <t>Census Tract 2402 Fairfield County Connecticut</t>
  </si>
  <si>
    <t>Census Tract 1002 Fairfield County Connecticut</t>
  </si>
  <si>
    <t>Census Tract 429 Fairfield County Connecticut</t>
  </si>
  <si>
    <t>Census Tract 902 Fairfield County Connecticut</t>
  </si>
  <si>
    <t>Census Tract 304 Fairfield County Connecticut</t>
  </si>
  <si>
    <t>Census Tract 2111 Fairfield County Connecticut</t>
  </si>
  <si>
    <t>Census Tract 4173 Hartford County Connecticut</t>
  </si>
  <si>
    <t>Census Tract 5007 Hartford County Connecticut</t>
  </si>
  <si>
    <t>Census Tract 5381 Tolland County Connecticut</t>
  </si>
  <si>
    <t>Census Tract 9800 Hartford County Connecticut</t>
  </si>
  <si>
    <t>Census Tract 9800 New London County Connecticut</t>
  </si>
  <si>
    <t>Census Tract 9900 Fairfield County Connecticut</t>
  </si>
  <si>
    <t>Census Tract 9900 New Haven County Connecticut</t>
  </si>
  <si>
    <t>Census Tract 9901 Middlesex County Connecticut</t>
  </si>
  <si>
    <t>Census Tract 9901 New London County Connecticut</t>
  </si>
  <si>
    <t>Adjusted income in thousands of dollars</t>
  </si>
  <si>
    <t>Percentile Rank</t>
  </si>
  <si>
    <t>Data from B</t>
  </si>
  <si>
    <t>Percentile Rank, With Function</t>
  </si>
  <si>
    <t>Median household income in the past 12 months (in 2019 inflation-adjusted dollars)</t>
  </si>
  <si>
    <t>Median Household Income Adjusted for Household Size</t>
  </si>
  <si>
    <t>Income Percentile Rank</t>
  </si>
  <si>
    <t>Reverse Income Percentile</t>
  </si>
  <si>
    <t>Reverse Income Rank</t>
  </si>
  <si>
    <t>Median Housing Cost, Census</t>
  </si>
  <si>
    <t>Housing Cost Rank</t>
  </si>
  <si>
    <t>Column B&amp;C are from the Census Website</t>
  </si>
  <si>
    <t>Column E is calculated with the formula (Household income/(Avg HH size^0.5))</t>
  </si>
  <si>
    <t>Column F is calculated with the RANK.EQ function</t>
  </si>
  <si>
    <t>(additional processing required; open file, copy data, transpose to rearrange)</t>
  </si>
  <si>
    <t>-</t>
  </si>
  <si>
    <t>This table needs to be manually updated later</t>
  </si>
  <si>
    <t>2019 Tract Breakdown by % of SMI</t>
  </si>
  <si>
    <t>Moderately Distressed Tracts</t>
  </si>
  <si>
    <t>Non Distressed Tracts</t>
  </si>
  <si>
    <t>Household income</t>
  </si>
  <si>
    <t>Moderately Distressed?</t>
  </si>
  <si>
    <t>60% smi</t>
  </si>
  <si>
    <t>80% smi</t>
  </si>
  <si>
    <t>Household Income</t>
  </si>
  <si>
    <t>n/a</t>
  </si>
  <si>
    <t>Moderately Distressed Collections and Incentives, HES/HES-IE Participation ALL</t>
  </si>
  <si>
    <t>Moderately Distressed Collections and Incentives, HES Participation</t>
  </si>
  <si>
    <t>Moderately Distressed Collections and Incentives, HES-IE Participation</t>
  </si>
  <si>
    <t> HES Incentive Disbursements  </t>
  </si>
  <si>
    <t>Energy Burdened Tracts</t>
  </si>
  <si>
    <t>Non-Energy Burdened Tracts</t>
  </si>
  <si>
    <r>
      <t xml:space="preserve">Energy-burdened </t>
    </r>
    <r>
      <rPr>
        <b/>
        <sz val="12"/>
        <color rgb="FF000000"/>
        <rFont val="Arial"/>
        <family val="2"/>
      </rPr>
      <t>census tracts, HES</t>
    </r>
  </si>
  <si>
    <r>
      <t xml:space="preserve">Energy-burdened </t>
    </r>
    <r>
      <rPr>
        <b/>
        <sz val="12"/>
        <color rgb="FF000000"/>
        <rFont val="Arial"/>
        <family val="2"/>
      </rPr>
      <t>census tracts, HES</t>
    </r>
    <r>
      <rPr>
        <sz val="12"/>
        <color rgb="FF000000"/>
        <rFont val="Arial"/>
        <family val="2"/>
      </rPr>
      <t>-IE</t>
    </r>
  </si>
  <si>
    <t>2019 HES-IE Program Participation</t>
  </si>
  <si>
    <t>2019 HES Program Participation</t>
  </si>
  <si>
    <t>HES/HES-IE Participants</t>
  </si>
  <si>
    <t xml:space="preserve">Communities of color </t>
  </si>
  <si>
    <t>Add % of totals to these tables</t>
  </si>
  <si>
    <t xml:space="preserve">UI </t>
  </si>
  <si>
    <t>Greenbank</t>
  </si>
  <si>
    <t>Overall C&amp;LM</t>
  </si>
  <si>
    <t>Completed</t>
  </si>
  <si>
    <t>108091</t>
  </si>
  <si>
    <t>CT</t>
  </si>
  <si>
    <t>39744</t>
  </si>
  <si>
    <t>0</t>
  </si>
  <si>
    <t>5000</t>
  </si>
  <si>
    <t>Low Income - Posigen</t>
  </si>
  <si>
    <t>SmartEMatched8724-8251</t>
  </si>
  <si>
    <t>Branford</t>
  </si>
  <si>
    <t>80-100</t>
  </si>
  <si>
    <t>9550</t>
  </si>
  <si>
    <t>Smart-E</t>
  </si>
  <si>
    <t>SmartEMatched8741-8268</t>
  </si>
  <si>
    <t>East Haven</t>
  </si>
  <si>
    <t>60-80</t>
  </si>
  <si>
    <t>14850</t>
  </si>
  <si>
    <t>RPV-38364</t>
  </si>
  <si>
    <t>120+</t>
  </si>
  <si>
    <t>NULL</t>
  </si>
  <si>
    <t>Residential Solar</t>
  </si>
  <si>
    <t>RPV-38380</t>
  </si>
  <si>
    <t>Granby</t>
  </si>
  <si>
    <t>RPV-38320</t>
  </si>
  <si>
    <t>Guilford</t>
  </si>
  <si>
    <t>RPV-38459</t>
  </si>
  <si>
    <t>RPV-38460</t>
  </si>
  <si>
    <t>RPV-38413</t>
  </si>
  <si>
    <t>RPV-38373</t>
  </si>
  <si>
    <t>East Lyme</t>
  </si>
  <si>
    <t>RPV-38403</t>
  </si>
  <si>
    <t>Hartford</t>
  </si>
  <si>
    <t>RPV-38423</t>
  </si>
  <si>
    <t>RPV-38402</t>
  </si>
  <si>
    <t>RPV-38357</t>
  </si>
  <si>
    <t>100-120</t>
  </si>
  <si>
    <t>RPV-38372</t>
  </si>
  <si>
    <t>Stonington</t>
  </si>
  <si>
    <t>RPV-38406</t>
  </si>
  <si>
    <t>Glastonbury</t>
  </si>
  <si>
    <t>RPV-38428</t>
  </si>
  <si>
    <t>Bristol</t>
  </si>
  <si>
    <t>RPV-38431</t>
  </si>
  <si>
    <t>Manchester</t>
  </si>
  <si>
    <t>RPV-38356</t>
  </si>
  <si>
    <t>RPV-38379</t>
  </si>
  <si>
    <t>Tolland</t>
  </si>
  <si>
    <t>RPV-38361</t>
  </si>
  <si>
    <t>RPV-38297</t>
  </si>
  <si>
    <t>RPV-38426</t>
  </si>
  <si>
    <t>Southington</t>
  </si>
  <si>
    <t>SmartEMatched8714-8241</t>
  </si>
  <si>
    <t>11697.63</t>
  </si>
  <si>
    <t>SmartEMatched8684-10896</t>
  </si>
  <si>
    <t>17799.26</t>
  </si>
  <si>
    <t>SmartEMatched8757-8284</t>
  </si>
  <si>
    <t>11975.07</t>
  </si>
  <si>
    <t>108326</t>
  </si>
  <si>
    <t>21504</t>
  </si>
  <si>
    <t>108008</t>
  </si>
  <si>
    <t>Windham</t>
  </si>
  <si>
    <t>21196.8</t>
  </si>
  <si>
    <t>RPV-38073</t>
  </si>
  <si>
    <t>RPV-38271</t>
  </si>
  <si>
    <t>RPV-38227</t>
  </si>
  <si>
    <t>Brookfield</t>
  </si>
  <si>
    <t>RPV-38153</t>
  </si>
  <si>
    <t>RPV-38334</t>
  </si>
  <si>
    <t>Colchester</t>
  </si>
  <si>
    <t>RPV-38218</t>
  </si>
  <si>
    <t>RPV-38272</t>
  </si>
  <si>
    <t>Torrington</t>
  </si>
  <si>
    <t>Closed</t>
  </si>
  <si>
    <t>RPV-38350</t>
  </si>
  <si>
    <t>Meriden</t>
  </si>
  <si>
    <t>RPV-38182</t>
  </si>
  <si>
    <t>RPV-38289</t>
  </si>
  <si>
    <t>RPV-37689</t>
  </si>
  <si>
    <t>Plainfield</t>
  </si>
  <si>
    <t>RPV-37711</t>
  </si>
  <si>
    <t>East Hartford</t>
  </si>
  <si>
    <t>RPV-38390</t>
  </si>
  <si>
    <t>RPV-38453</t>
  </si>
  <si>
    <t>New London</t>
  </si>
  <si>
    <t>RPV-38467</t>
  </si>
  <si>
    <t>RPV-38398</t>
  </si>
  <si>
    <t>Bloomfield</t>
  </si>
  <si>
    <t>RPV-38450</t>
  </si>
  <si>
    <t>RPV-38456</t>
  </si>
  <si>
    <t>Salem</t>
  </si>
  <si>
    <t>RPV-38386</t>
  </si>
  <si>
    <t>Naugatuck</t>
  </si>
  <si>
    <t>RPV-38389</t>
  </si>
  <si>
    <t>RPV-38470</t>
  </si>
  <si>
    <t>Waterbury</t>
  </si>
  <si>
    <t>RPV-38479</t>
  </si>
  <si>
    <t>RPV-38313</t>
  </si>
  <si>
    <t>RPV-38317</t>
  </si>
  <si>
    <t>RPV-38455</t>
  </si>
  <si>
    <t>RPV-38463</t>
  </si>
  <si>
    <t>RPV-38471</t>
  </si>
  <si>
    <t>RPV-38231</t>
  </si>
  <si>
    <t>RPV-38035</t>
  </si>
  <si>
    <t>RPV-38354</t>
  </si>
  <si>
    <t>Norwalk</t>
  </si>
  <si>
    <t>RPV-38454</t>
  </si>
  <si>
    <t>Franklin</t>
  </si>
  <si>
    <t>RPV-37836</t>
  </si>
  <si>
    <t>RPV-38475</t>
  </si>
  <si>
    <t>RPV-38480</t>
  </si>
  <si>
    <t>South Windsor</t>
  </si>
  <si>
    <t>RPV-38388</t>
  </si>
  <si>
    <t>Danbury</t>
  </si>
  <si>
    <t>RPV-38412</t>
  </si>
  <si>
    <t>RPV-38449</t>
  </si>
  <si>
    <t>Ledyard</t>
  </si>
  <si>
    <t>RPV-38452</t>
  </si>
  <si>
    <t>Montville</t>
  </si>
  <si>
    <t>RPV-38468</t>
  </si>
  <si>
    <t>RPV-38474</t>
  </si>
  <si>
    <t>RPV-38219</t>
  </si>
  <si>
    <t>Woodstock</t>
  </si>
  <si>
    <t>RPV-38457</t>
  </si>
  <si>
    <t>SmartEMatched8705-8232</t>
  </si>
  <si>
    <t>5360</t>
  </si>
  <si>
    <t>SmartEMatched8739-8266</t>
  </si>
  <si>
    <t>7450</t>
  </si>
  <si>
    <t>106536</t>
  </si>
  <si>
    <t>23603.2</t>
  </si>
  <si>
    <t>SmartEMatched8728-8255</t>
  </si>
  <si>
    <t>Simsbury</t>
  </si>
  <si>
    <t>11278</t>
  </si>
  <si>
    <t>SmartEMatched8735-8262</t>
  </si>
  <si>
    <t>15155</t>
  </si>
  <si>
    <t>SmartEMatched8607-8136</t>
  </si>
  <si>
    <t>11432</t>
  </si>
  <si>
    <t>RPV-36721</t>
  </si>
  <si>
    <t>Morris</t>
  </si>
  <si>
    <t>RPV-38311</t>
  </si>
  <si>
    <t>RPV-38322</t>
  </si>
  <si>
    <t>Portland</t>
  </si>
  <si>
    <t>RPV-38437</t>
  </si>
  <si>
    <t>RPV-38323</t>
  </si>
  <si>
    <t>RPV-38435</t>
  </si>
  <si>
    <t>Stamford</t>
  </si>
  <si>
    <t>RPV-38425</t>
  </si>
  <si>
    <t>RPV-38424</t>
  </si>
  <si>
    <t>RPV-38436</t>
  </si>
  <si>
    <t>New Milford</t>
  </si>
  <si>
    <t>RPV-38063</t>
  </si>
  <si>
    <t>RPV-38248</t>
  </si>
  <si>
    <t>RPV-38265</t>
  </si>
  <si>
    <t>RPV-38332</t>
  </si>
  <si>
    <t>RPV-38335</t>
  </si>
  <si>
    <t>Newington</t>
  </si>
  <si>
    <t>RPV-38429</t>
  </si>
  <si>
    <t>RPV-38337</t>
  </si>
  <si>
    <t>RPV-38427</t>
  </si>
  <si>
    <t>RPV-38528</t>
  </si>
  <si>
    <t>RPV-38422</t>
  </si>
  <si>
    <t>Griswold</t>
  </si>
  <si>
    <t>RPV-38562</t>
  </si>
  <si>
    <t>Groton</t>
  </si>
  <si>
    <t>RPV-38260</t>
  </si>
  <si>
    <t>RPV-38256</t>
  </si>
  <si>
    <t>RPV-38338</t>
  </si>
  <si>
    <t>RPV-38419</t>
  </si>
  <si>
    <t>RPV-38430</t>
  </si>
  <si>
    <t>RPV-38442</t>
  </si>
  <si>
    <t>Windsor Locks</t>
  </si>
  <si>
    <t>RPV-38244</t>
  </si>
  <si>
    <t>RPV-38254</t>
  </si>
  <si>
    <t>PT-101750</t>
  </si>
  <si>
    <t>390000</t>
  </si>
  <si>
    <t>CPACE</t>
  </si>
  <si>
    <t>PT-101753</t>
  </si>
  <si>
    <t>768074</t>
  </si>
  <si>
    <t>107804</t>
  </si>
  <si>
    <t>29145.6</t>
  </si>
  <si>
    <t>108166</t>
  </si>
  <si>
    <t>107474</t>
  </si>
  <si>
    <t>93165</t>
  </si>
  <si>
    <t>SmartEMatched8771-8298</t>
  </si>
  <si>
    <t>Enfield</t>
  </si>
  <si>
    <t>6100</t>
  </si>
  <si>
    <t>SmartEMatched8847-8365</t>
  </si>
  <si>
    <t>Windsor</t>
  </si>
  <si>
    <t>7527.47</t>
  </si>
  <si>
    <t>SmartEMatched8725-8252</t>
  </si>
  <si>
    <t>Cheshire</t>
  </si>
  <si>
    <t>11800</t>
  </si>
  <si>
    <t>SmartEMatched8493-8028</t>
  </si>
  <si>
    <t>26413</t>
  </si>
  <si>
    <t>SmartEMatched8626-8155</t>
  </si>
  <si>
    <t>Suffield</t>
  </si>
  <si>
    <t>25347</t>
  </si>
  <si>
    <t>SmartEMatched8727-8254</t>
  </si>
  <si>
    <t>25472</t>
  </si>
  <si>
    <t>RPV-38469</t>
  </si>
  <si>
    <t>Newtown</t>
  </si>
  <si>
    <t>RPV-38483</t>
  </si>
  <si>
    <t>Westport</t>
  </si>
  <si>
    <t>RPV-38515</t>
  </si>
  <si>
    <t>RPV-38577</t>
  </si>
  <si>
    <t>Pomfret</t>
  </si>
  <si>
    <t>RPV-38546</t>
  </si>
  <si>
    <t>RPV-38247</t>
  </si>
  <si>
    <t>RPV-38277</t>
  </si>
  <si>
    <t>RPV-38382</t>
  </si>
  <si>
    <t>RPV-38511</t>
  </si>
  <si>
    <t>RPV-38525</t>
  </si>
  <si>
    <t>SmartEMatched8738-8265</t>
  </si>
  <si>
    <t>Rocky Hill</t>
  </si>
  <si>
    <t>3052</t>
  </si>
  <si>
    <t>108540</t>
  </si>
  <si>
    <t>129352</t>
  </si>
  <si>
    <t>108471</t>
  </si>
  <si>
    <t>RPV-37654</t>
  </si>
  <si>
    <t>RPV-38160</t>
  </si>
  <si>
    <t>RPV-38385</t>
  </si>
  <si>
    <t>RPV-37382</t>
  </si>
  <si>
    <t>RPV-38396</t>
  </si>
  <si>
    <t>Wethersfield</t>
  </si>
  <si>
    <t>RPV-38392</t>
  </si>
  <si>
    <t>RPV-38600</t>
  </si>
  <si>
    <t>RPV-38514</t>
  </si>
  <si>
    <t>RPV-38417</t>
  </si>
  <si>
    <t>RPV-38363</t>
  </si>
  <si>
    <t>RPV-38409</t>
  </si>
  <si>
    <t>RPV-38473</t>
  </si>
  <si>
    <t>RPV-38513</t>
  </si>
  <si>
    <t>RPV-38524</t>
  </si>
  <si>
    <t>RPV-38415</t>
  </si>
  <si>
    <t>RPV-38362</t>
  </si>
  <si>
    <t>East Windsor</t>
  </si>
  <si>
    <t>RPV-38387</t>
  </si>
  <si>
    <t>RPV-38520</t>
  </si>
  <si>
    <t>RPV-38418</t>
  </si>
  <si>
    <t>RPV-38465</t>
  </si>
  <si>
    <t>RPV-38548</t>
  </si>
  <si>
    <t>RPV-38564</t>
  </si>
  <si>
    <t>RPV-38445</t>
  </si>
  <si>
    <t>RPV-38129</t>
  </si>
  <si>
    <t>Old Saybrook</t>
  </si>
  <si>
    <t>RPV-38446</t>
  </si>
  <si>
    <t>Westbrook</t>
  </si>
  <si>
    <t>RPV-38441</t>
  </si>
  <si>
    <t>Plymouth</t>
  </si>
  <si>
    <t>RPV-38472</t>
  </si>
  <si>
    <t>RPV-38420</t>
  </si>
  <si>
    <t>RPV-38549</t>
  </si>
  <si>
    <t>RPV-38552</t>
  </si>
  <si>
    <t>RPV-38606</t>
  </si>
  <si>
    <t>RPV-38523</t>
  </si>
  <si>
    <t>RPV-38395</t>
  </si>
  <si>
    <t>RPV-38443</t>
  </si>
  <si>
    <t>RPV-38464</t>
  </si>
  <si>
    <t>RPV-38478</t>
  </si>
  <si>
    <t>RPV-38512</t>
  </si>
  <si>
    <t>RPV-38625</t>
  </si>
  <si>
    <t>PT-101685</t>
  </si>
  <si>
    <t>1085594.89</t>
  </si>
  <si>
    <t>SmartEMatched8859-8374</t>
  </si>
  <si>
    <t>12697.63</t>
  </si>
  <si>
    <t>108106</t>
  </si>
  <si>
    <t>108283</t>
  </si>
  <si>
    <t>43867.2</t>
  </si>
  <si>
    <t>108385</t>
  </si>
  <si>
    <t>99642</t>
  </si>
  <si>
    <t>RPV-38012</t>
  </si>
  <si>
    <t>RPV-38197</t>
  </si>
  <si>
    <t>RPV-38267</t>
  </si>
  <si>
    <t>New Fairfield</t>
  </si>
  <si>
    <t>RPV-38598</t>
  </si>
  <si>
    <t>RPV-38302</t>
  </si>
  <si>
    <t>Watertown</t>
  </si>
  <si>
    <t>RPV-38622</t>
  </si>
  <si>
    <t>RPV-38621</t>
  </si>
  <si>
    <t>Somers</t>
  </si>
  <si>
    <t>RPV-38618</t>
  </si>
  <si>
    <t>RPV-38615</t>
  </si>
  <si>
    <t>PT-101752</t>
  </si>
  <si>
    <t>379030</t>
  </si>
  <si>
    <t>SmartEMatched8625-8154</t>
  </si>
  <si>
    <t>9100</t>
  </si>
  <si>
    <t>SmartEMatched8731-8258</t>
  </si>
  <si>
    <t>9700</t>
  </si>
  <si>
    <t>108537</t>
  </si>
  <si>
    <t>New Britain</t>
  </si>
  <si>
    <t>108447</t>
  </si>
  <si>
    <t>108581</t>
  </si>
  <si>
    <t>108662</t>
  </si>
  <si>
    <t>109039</t>
  </si>
  <si>
    <t>RPV-38143</t>
  </si>
  <si>
    <t>RPV-38028</t>
  </si>
  <si>
    <t>Middlefield</t>
  </si>
  <si>
    <t>RPV-38370</t>
  </si>
  <si>
    <t>RPV-38307</t>
  </si>
  <si>
    <t>RPV-38568</t>
  </si>
  <si>
    <t>RPV-38399</t>
  </si>
  <si>
    <t>Redding</t>
  </si>
  <si>
    <t>RPV-38557</t>
  </si>
  <si>
    <t>RPV-38681</t>
  </si>
  <si>
    <t>RPV-38687</t>
  </si>
  <si>
    <t>RPV-38316</t>
  </si>
  <si>
    <t>RPV-38637</t>
  </si>
  <si>
    <t>RPV-38670</t>
  </si>
  <si>
    <t>Seymour</t>
  </si>
  <si>
    <t>RPV-38717</t>
  </si>
  <si>
    <t>RPV-38319</t>
  </si>
  <si>
    <t>Vernon</t>
  </si>
  <si>
    <t>RPV-38366</t>
  </si>
  <si>
    <t>RPV-38383</t>
  </si>
  <si>
    <t>RPV-38503</t>
  </si>
  <si>
    <t>Farmington</t>
  </si>
  <si>
    <t>RPV-38501</t>
  </si>
  <si>
    <t>RPV-38308</t>
  </si>
  <si>
    <t>RPV-38270</t>
  </si>
  <si>
    <t>RPV-38329</t>
  </si>
  <si>
    <t>Mansfield</t>
  </si>
  <si>
    <t>RPV-38494</t>
  </si>
  <si>
    <t>RPV-38496</t>
  </si>
  <si>
    <t>RPV-38502</t>
  </si>
  <si>
    <t>Union</t>
  </si>
  <si>
    <t>RPV-38709</t>
  </si>
  <si>
    <t>Killingly</t>
  </si>
  <si>
    <t>RPV-38531</t>
  </si>
  <si>
    <t>RPV-38534</t>
  </si>
  <si>
    <t>RPV-38326</t>
  </si>
  <si>
    <t>Stafford</t>
  </si>
  <si>
    <t>RPV-38128</t>
  </si>
  <si>
    <t>RPV-38507</t>
  </si>
  <si>
    <t>RPV-38508</t>
  </si>
  <si>
    <t>RPV-38536</t>
  </si>
  <si>
    <t>RPV-38724</t>
  </si>
  <si>
    <t>RPV-38612</t>
  </si>
  <si>
    <t>RPV-38666</t>
  </si>
  <si>
    <t>RPV-38668</t>
  </si>
  <si>
    <t>RPV-38535</t>
  </si>
  <si>
    <t>RPV-38723</t>
  </si>
  <si>
    <t>RPV-38543</t>
  </si>
  <si>
    <t>RPV-38667</t>
  </si>
  <si>
    <t>RPV-38669</t>
  </si>
  <si>
    <t>RPV-38510</t>
  </si>
  <si>
    <t>West Hartford</t>
  </si>
  <si>
    <t>RPV-38532</t>
  </si>
  <si>
    <t>RPV-38533</t>
  </si>
  <si>
    <t>RPV-38658</t>
  </si>
  <si>
    <t>RPV-38665</t>
  </si>
  <si>
    <t>RPV-38722</t>
  </si>
  <si>
    <t>RPV-38495</t>
  </si>
  <si>
    <t>Canterbury</t>
  </si>
  <si>
    <t>RPV-38542</t>
  </si>
  <si>
    <t>RPV-38663</t>
  </si>
  <si>
    <t>RPV-38718</t>
  </si>
  <si>
    <t>SmartEMatched8759-8286</t>
  </si>
  <si>
    <t>20850</t>
  </si>
  <si>
    <t>SmartEMatched8802-8327</t>
  </si>
  <si>
    <t>28595</t>
  </si>
  <si>
    <t>108536</t>
  </si>
  <si>
    <t>108546</t>
  </si>
  <si>
    <t>108663</t>
  </si>
  <si>
    <t>83745</t>
  </si>
  <si>
    <t>Weston</t>
  </si>
  <si>
    <t>RPV-38186</t>
  </si>
  <si>
    <t>Woodbury</t>
  </si>
  <si>
    <t>RPV-35538</t>
  </si>
  <si>
    <t>RPV-38582</t>
  </si>
  <si>
    <t>Chester</t>
  </si>
  <si>
    <t>RPV-38597</t>
  </si>
  <si>
    <t>Bolton</t>
  </si>
  <si>
    <t>RPV-38716</t>
  </si>
  <si>
    <t>Hebron</t>
  </si>
  <si>
    <t>RPV-38537</t>
  </si>
  <si>
    <t>RPV-38538</t>
  </si>
  <si>
    <t>RPV-38580</t>
  </si>
  <si>
    <t>North Stonington</t>
  </si>
  <si>
    <t>RPV-38596</t>
  </si>
  <si>
    <t>RPV-38664</t>
  </si>
  <si>
    <t>RPV-38541</t>
  </si>
  <si>
    <t>RPV-38559</t>
  </si>
  <si>
    <t>Wolcott</t>
  </si>
  <si>
    <t>RPV-38529</t>
  </si>
  <si>
    <t>RPV-38591</t>
  </si>
  <si>
    <t>RPV-38632</t>
  </si>
  <si>
    <t>Lisbon</t>
  </si>
  <si>
    <t>RPV-38647</t>
  </si>
  <si>
    <t>RPV-38677</t>
  </si>
  <si>
    <t>RPV-38639</t>
  </si>
  <si>
    <t>RPV-38640</t>
  </si>
  <si>
    <t>RPV-38642</t>
  </si>
  <si>
    <t>RPV-38683</t>
  </si>
  <si>
    <t>RPV-38711</t>
  </si>
  <si>
    <t>Ashford</t>
  </si>
  <si>
    <t>RPV-38569</t>
  </si>
  <si>
    <t>RPV-38575</t>
  </si>
  <si>
    <t>RPV-38576</t>
  </si>
  <si>
    <t>RPV-38630</t>
  </si>
  <si>
    <t>Waterford</t>
  </si>
  <si>
    <t>RPV-38631</t>
  </si>
  <si>
    <t>RPV-38660</t>
  </si>
  <si>
    <t>RPV-38671</t>
  </si>
  <si>
    <t>RPV-38689</t>
  </si>
  <si>
    <t>RPV-38694</t>
  </si>
  <si>
    <t>RPV-38726</t>
  </si>
  <si>
    <t>Clinton</t>
  </si>
  <si>
    <t>RPV-38560</t>
  </si>
  <si>
    <t>RPV-38581</t>
  </si>
  <si>
    <t>RPV-38599</t>
  </si>
  <si>
    <t>RPV-38629</t>
  </si>
  <si>
    <t>RPV-38638</t>
  </si>
  <si>
    <t>RPV-38641</t>
  </si>
  <si>
    <t>RPV-38651</t>
  </si>
  <si>
    <t>RPV-38686</t>
  </si>
  <si>
    <t>RPV-38712</t>
  </si>
  <si>
    <t>RPV-38727</t>
  </si>
  <si>
    <t>RPV-38730</t>
  </si>
  <si>
    <t>RPV-38539</t>
  </si>
  <si>
    <t>RPV-38574</t>
  </si>
  <si>
    <t>RPV-38644</t>
  </si>
  <si>
    <t>RPV-38653</t>
  </si>
  <si>
    <t>RPV-38674</t>
  </si>
  <si>
    <t>RPV-38684</t>
  </si>
  <si>
    <t>RPV-38701</t>
  </si>
  <si>
    <t>RPV-38571</t>
  </si>
  <si>
    <t>RPV-38633</t>
  </si>
  <si>
    <t>RPV-38682</t>
  </si>
  <si>
    <t>RPV-38558</t>
  </si>
  <si>
    <t>Cromwell</t>
  </si>
  <si>
    <t>RPV-38646</t>
  </si>
  <si>
    <t>RPV-38649</t>
  </si>
  <si>
    <t>RPV-38655</t>
  </si>
  <si>
    <t>RPV-38676</t>
  </si>
  <si>
    <t>RPV-38731</t>
  </si>
  <si>
    <t>108730</t>
  </si>
  <si>
    <t>108491</t>
  </si>
  <si>
    <t>24627.2</t>
  </si>
  <si>
    <t>98169</t>
  </si>
  <si>
    <t>108234</t>
  </si>
  <si>
    <t>108724</t>
  </si>
  <si>
    <t>108676</t>
  </si>
  <si>
    <t>SmartEMatched8706-8233</t>
  </si>
  <si>
    <t>16000</t>
  </si>
  <si>
    <t>SmartEMatched8737-8264</t>
  </si>
  <si>
    <t>20949.07</t>
  </si>
  <si>
    <t>SmartEMatched8758-8285</t>
  </si>
  <si>
    <t>3982.77</t>
  </si>
  <si>
    <t>108784</t>
  </si>
  <si>
    <t>SmartEMatched8800-8326</t>
  </si>
  <si>
    <t>Haddam</t>
  </si>
  <si>
    <t>20950</t>
  </si>
  <si>
    <t>SmartEMatched9135-14403</t>
  </si>
  <si>
    <t>20900</t>
  </si>
  <si>
    <t>RPV-35235</t>
  </si>
  <si>
    <t>RPV-35764</t>
  </si>
  <si>
    <t>RPV-36660</t>
  </si>
  <si>
    <t>RPV-38155</t>
  </si>
  <si>
    <t>RPV-38710</t>
  </si>
  <si>
    <t>RPV-38721</t>
  </si>
  <si>
    <t>RPV-38729</t>
  </si>
  <si>
    <t>RPV-38733</t>
  </si>
  <si>
    <t>RPV-33623</t>
  </si>
  <si>
    <t>Bethlehem</t>
  </si>
  <si>
    <t>RPV-38438</t>
  </si>
  <si>
    <t>RPV-38444</t>
  </si>
  <si>
    <t>RPV-38451</t>
  </si>
  <si>
    <t>RPV-38697</t>
  </si>
  <si>
    <t>Middletown</t>
  </si>
  <si>
    <t>RPV-38755</t>
  </si>
  <si>
    <t>RPV-38734</t>
  </si>
  <si>
    <t>RPV-38736</t>
  </si>
  <si>
    <t>RPV-38737</t>
  </si>
  <si>
    <t>RPV-38745</t>
  </si>
  <si>
    <t>RPV-38609</t>
  </si>
  <si>
    <t>RPV-38757</t>
  </si>
  <si>
    <t>RPV-38679</t>
  </si>
  <si>
    <t>RPV-38680</t>
  </si>
  <si>
    <t>RPV-38738</t>
  </si>
  <si>
    <t>RPV-38744</t>
  </si>
  <si>
    <t>RPV-38750</t>
  </si>
  <si>
    <t>RPV-38743</t>
  </si>
  <si>
    <t>RPV-38753</t>
  </si>
  <si>
    <t>Coventry</t>
  </si>
  <si>
    <t>RPV-38740</t>
  </si>
  <si>
    <t>RPV-38752</t>
  </si>
  <si>
    <t>RPV-38742</t>
  </si>
  <si>
    <t>RPV-38747</t>
  </si>
  <si>
    <t>SmartEMatched8783-8309</t>
  </si>
  <si>
    <t>7300</t>
  </si>
  <si>
    <t>SmartEMatched8733-8260</t>
  </si>
  <si>
    <t>7521</t>
  </si>
  <si>
    <t>108666</t>
  </si>
  <si>
    <t>SmartEMatched8674-8202</t>
  </si>
  <si>
    <t>8556</t>
  </si>
  <si>
    <t>SmartEMatched8850-8368</t>
  </si>
  <si>
    <t>14565</t>
  </si>
  <si>
    <t>107928</t>
  </si>
  <si>
    <t>Bethel</t>
  </si>
  <si>
    <t>108775</t>
  </si>
  <si>
    <t>Deep River</t>
  </si>
  <si>
    <t>RPV-38790</t>
  </si>
  <si>
    <t>RPV-38484</t>
  </si>
  <si>
    <t>RPV-35621</t>
  </si>
  <si>
    <t>RPV-38775</t>
  </si>
  <si>
    <t>RPV-37937</t>
  </si>
  <si>
    <t>RPV-38635</t>
  </si>
  <si>
    <t>RPV-38485</t>
  </si>
  <si>
    <t>RPV-38401</t>
  </si>
  <si>
    <t>RPV-38756</t>
  </si>
  <si>
    <t>RPV-38492</t>
  </si>
  <si>
    <t>Lebanon</t>
  </si>
  <si>
    <t>RPV-38678</t>
  </si>
  <si>
    <t>RPV-38798</t>
  </si>
  <si>
    <t>RPV-38811</t>
  </si>
  <si>
    <t>RPV-38773</t>
  </si>
  <si>
    <t>RPV-38787</t>
  </si>
  <si>
    <t>RPV-38728</t>
  </si>
  <si>
    <t>RPV-38793</t>
  </si>
  <si>
    <t>RPV-38816</t>
  </si>
  <si>
    <t>RPV-38739</t>
  </si>
  <si>
    <t>RPV-38741</t>
  </si>
  <si>
    <t>RPV-38780</t>
  </si>
  <si>
    <t>RPV-38782</t>
  </si>
  <si>
    <t>RPV-38807</t>
  </si>
  <si>
    <t>RPV-38778</t>
  </si>
  <si>
    <t>RPV-38781</t>
  </si>
  <si>
    <t>RPV-38720</t>
  </si>
  <si>
    <t>RPV-38783</t>
  </si>
  <si>
    <t>RPV-38788</t>
  </si>
  <si>
    <t>RPV-38796</t>
  </si>
  <si>
    <t>SmartEMatched8673-8201</t>
  </si>
  <si>
    <t>8135</t>
  </si>
  <si>
    <t>SmartEMatched8788-8314</t>
  </si>
  <si>
    <t>SmartEMatched8766-8293</t>
  </si>
  <si>
    <t>20919.73</t>
  </si>
  <si>
    <t>SmartEMatched8466-8007</t>
  </si>
  <si>
    <t>Greenwich</t>
  </si>
  <si>
    <t>15847</t>
  </si>
  <si>
    <t>SmartEMatched8919-8432</t>
  </si>
  <si>
    <t>8500</t>
  </si>
  <si>
    <t>98636</t>
  </si>
  <si>
    <t>RPV-38789</t>
  </si>
  <si>
    <t>RPV-38477</t>
  </si>
  <si>
    <t>RPV-38654</t>
  </si>
  <si>
    <t>RPV-38772</t>
  </si>
  <si>
    <t>RPV-38776</t>
  </si>
  <si>
    <t>RPV-38626</t>
  </si>
  <si>
    <t>RPV-38692</t>
  </si>
  <si>
    <t>RPV-38852</t>
  </si>
  <si>
    <t>RPV-38830</t>
  </si>
  <si>
    <t>RPV-38842</t>
  </si>
  <si>
    <t>RPV-38827</t>
  </si>
  <si>
    <t>RPV-38849</t>
  </si>
  <si>
    <t>RPV-38748</t>
  </si>
  <si>
    <t>RPV-38846</t>
  </si>
  <si>
    <t>RPV-38673</t>
  </si>
  <si>
    <t>RPV-38765</t>
  </si>
  <si>
    <t>RPV-38847</t>
  </si>
  <si>
    <t>RPV-38853</t>
  </si>
  <si>
    <t>RPV-38766</t>
  </si>
  <si>
    <t>RPV-38820</t>
  </si>
  <si>
    <t>RPV-38848</t>
  </si>
  <si>
    <t>RPV-38628</t>
  </si>
  <si>
    <t>RPV-38823</t>
  </si>
  <si>
    <t>SmartEMatched8852-8370</t>
  </si>
  <si>
    <t>Essex</t>
  </si>
  <si>
    <t>11145</t>
  </si>
  <si>
    <t>108248</t>
  </si>
  <si>
    <t>32900.4</t>
  </si>
  <si>
    <t>108809</t>
  </si>
  <si>
    <t>38976</t>
  </si>
  <si>
    <t>137202</t>
  </si>
  <si>
    <t>Putnam</t>
  </si>
  <si>
    <t>26752</t>
  </si>
  <si>
    <t>SmartEMatched8712-8239</t>
  </si>
  <si>
    <t>9356</t>
  </si>
  <si>
    <t>RPV-38801</t>
  </si>
  <si>
    <t>RPV-38014</t>
  </si>
  <si>
    <t>RPV-38794</t>
  </si>
  <si>
    <t>Willington</t>
  </si>
  <si>
    <t>RPV-36724</t>
  </si>
  <si>
    <t>RPV-38648</t>
  </si>
  <si>
    <t>RPV-38829</t>
  </si>
  <si>
    <t>RPV-38825</t>
  </si>
  <si>
    <t>RPV-38831</t>
  </si>
  <si>
    <t>RPV-38250</t>
  </si>
  <si>
    <t>SmartEMatched8792-8318</t>
  </si>
  <si>
    <t>4334</t>
  </si>
  <si>
    <t>SmartEMatched8840-8358</t>
  </si>
  <si>
    <t>12063</t>
  </si>
  <si>
    <t>SmartEMatched8917-8430</t>
  </si>
  <si>
    <t>Lyme</t>
  </si>
  <si>
    <t>12651</t>
  </si>
  <si>
    <t>SmartEMatched8866-8381</t>
  </si>
  <si>
    <t>New Canaan</t>
  </si>
  <si>
    <t>6865</t>
  </si>
  <si>
    <t>108096</t>
  </si>
  <si>
    <t>108827</t>
  </si>
  <si>
    <t>30412.8</t>
  </si>
  <si>
    <t>108699</t>
  </si>
  <si>
    <t>RPV-38795</t>
  </si>
  <si>
    <t>RPV-38797</t>
  </si>
  <si>
    <t>RPV-38786</t>
  </si>
  <si>
    <t>SmartEMatched8918-8431</t>
  </si>
  <si>
    <t>11273</t>
  </si>
  <si>
    <t>108558</t>
  </si>
  <si>
    <t>108869</t>
  </si>
  <si>
    <t>108807</t>
  </si>
  <si>
    <t>SmartEMatched8837-8355</t>
  </si>
  <si>
    <t>10000</t>
  </si>
  <si>
    <t>108855</t>
  </si>
  <si>
    <t>108675</t>
  </si>
  <si>
    <t>108860</t>
  </si>
  <si>
    <t>98357</t>
  </si>
  <si>
    <t>SmartEMatched8762-8289</t>
  </si>
  <si>
    <t>7280</t>
  </si>
  <si>
    <t>SmartEMatched8845-8363</t>
  </si>
  <si>
    <t>14253.86</t>
  </si>
  <si>
    <t>108560</t>
  </si>
  <si>
    <t>108995</t>
  </si>
  <si>
    <t>RPV-38905</t>
  </si>
  <si>
    <t>Chaplin</t>
  </si>
  <si>
    <t>RPV-38916</t>
  </si>
  <si>
    <t>Berlin</t>
  </si>
  <si>
    <t>RPV-38942</t>
  </si>
  <si>
    <t>RPV-38870</t>
  </si>
  <si>
    <t>RPV-38867</t>
  </si>
  <si>
    <t>East Haddam</t>
  </si>
  <si>
    <t>RPV-38872</t>
  </si>
  <si>
    <t>RPV-38200</t>
  </si>
  <si>
    <t>RPV-38792</t>
  </si>
  <si>
    <t>Ellington</t>
  </si>
  <si>
    <t>RPV-38504</t>
  </si>
  <si>
    <t>RPV-38556</t>
  </si>
  <si>
    <t>RPV-38578</t>
  </si>
  <si>
    <t>RPV-38376</t>
  </si>
  <si>
    <t>RPV-38603</t>
  </si>
  <si>
    <t>RPV-38838</t>
  </si>
  <si>
    <t>RPV-38906</t>
  </si>
  <si>
    <t>RPV-38857</t>
  </si>
  <si>
    <t>RPV-38888</t>
  </si>
  <si>
    <t>RPV-38907</t>
  </si>
  <si>
    <t>RPV-38858</t>
  </si>
  <si>
    <t>RPV-38862</t>
  </si>
  <si>
    <t>RPV-38861</t>
  </si>
  <si>
    <t>RPV-38974</t>
  </si>
  <si>
    <t>RPV-38936</t>
  </si>
  <si>
    <t>RPV-38943</t>
  </si>
  <si>
    <t>RPV-38579</t>
  </si>
  <si>
    <t>RPV-38839</t>
  </si>
  <si>
    <t>RPV-38855</t>
  </si>
  <si>
    <t>RPV-38944</t>
  </si>
  <si>
    <t>SmartEMatched8842-8360</t>
  </si>
  <si>
    <t>9375</t>
  </si>
  <si>
    <t>SmartEMatched8796-8322</t>
  </si>
  <si>
    <t>13600</t>
  </si>
  <si>
    <t>109015</t>
  </si>
  <si>
    <t>39785.4</t>
  </si>
  <si>
    <t>RPV-38980</t>
  </si>
  <si>
    <t>RPV-38893</t>
  </si>
  <si>
    <t>RPV-38922</t>
  </si>
  <si>
    <t>RPV-38869</t>
  </si>
  <si>
    <t>RPV-38871</t>
  </si>
  <si>
    <t>RPV-38885</t>
  </si>
  <si>
    <t>RPV-38927</t>
  </si>
  <si>
    <t>RPV-38979</t>
  </si>
  <si>
    <t>RPV-38859</t>
  </si>
  <si>
    <t>RPV-38928</t>
  </si>
  <si>
    <t>RPV-38932</t>
  </si>
  <si>
    <t>Southbury</t>
  </si>
  <si>
    <t>RPV-38966</t>
  </si>
  <si>
    <t>RPV-38926</t>
  </si>
  <si>
    <t>RPV-38934</t>
  </si>
  <si>
    <t>RPV-38962</t>
  </si>
  <si>
    <t>RPV-38969</t>
  </si>
  <si>
    <t>RPV-38937</t>
  </si>
  <si>
    <t>RPV-38949</t>
  </si>
  <si>
    <t>RPV-38929</t>
  </si>
  <si>
    <t>RPV-38948</t>
  </si>
  <si>
    <t>RPV-38971</t>
  </si>
  <si>
    <t>RPV-38910</t>
  </si>
  <si>
    <t>RPV-38972</t>
  </si>
  <si>
    <t>RPV-38868</t>
  </si>
  <si>
    <t>RPV-38875</t>
  </si>
  <si>
    <t>RPV-38964</t>
  </si>
  <si>
    <t>108694</t>
  </si>
  <si>
    <t>108383</t>
  </si>
  <si>
    <t>108846</t>
  </si>
  <si>
    <t>108618</t>
  </si>
  <si>
    <t>SmartEMatched8831-8349</t>
  </si>
  <si>
    <t>2850</t>
  </si>
  <si>
    <t>93498</t>
  </si>
  <si>
    <t>RPV-39020</t>
  </si>
  <si>
    <t>RPV-38982</t>
  </si>
  <si>
    <t>RPV-38923</t>
  </si>
  <si>
    <t>RPV-38988</t>
  </si>
  <si>
    <t>Madison</t>
  </si>
  <si>
    <t>RPV-39007</t>
  </si>
  <si>
    <t>RPV-39026</t>
  </si>
  <si>
    <t>RPV-39035</t>
  </si>
  <si>
    <t>RPV-38981</t>
  </si>
  <si>
    <t>RPV-38995</t>
  </si>
  <si>
    <t>RPV-39019</t>
  </si>
  <si>
    <t>RPV-39033</t>
  </si>
  <si>
    <t>RPV-39008</t>
  </si>
  <si>
    <t>RPV-39031</t>
  </si>
  <si>
    <t>RPV-39025</t>
  </si>
  <si>
    <t>RPV-39032</t>
  </si>
  <si>
    <t>RPV-39034</t>
  </si>
  <si>
    <t>RPV-38993</t>
  </si>
  <si>
    <t>RPV-38985</t>
  </si>
  <si>
    <t>RPV-39001</t>
  </si>
  <si>
    <t>RPV-39028</t>
  </si>
  <si>
    <t>RPV-39039</t>
  </si>
  <si>
    <t>RPV-38924</t>
  </si>
  <si>
    <t>RPV-38963</t>
  </si>
  <si>
    <t>RPV-38967</t>
  </si>
  <si>
    <t>RPV-38992</t>
  </si>
  <si>
    <t>RPV-39023</t>
  </si>
  <si>
    <t>RPV-39030</t>
  </si>
  <si>
    <t>RPV-39040</t>
  </si>
  <si>
    <t>SmartEMatched8793-8319</t>
  </si>
  <si>
    <t>9050</t>
  </si>
  <si>
    <t>SmartEMatched8763-8290</t>
  </si>
  <si>
    <t>108917</t>
  </si>
  <si>
    <t>RPV-38891</t>
  </si>
  <si>
    <t>RPV-38735</t>
  </si>
  <si>
    <t>RPV-39069</t>
  </si>
  <si>
    <t>RPV-39042</t>
  </si>
  <si>
    <t>RPV-39046</t>
  </si>
  <si>
    <t>RPV-39066</t>
  </si>
  <si>
    <t>RPV-39070</t>
  </si>
  <si>
    <t>RPV-39048</t>
  </si>
  <si>
    <t>RPV-39067</t>
  </si>
  <si>
    <t>RPV-39068</t>
  </si>
  <si>
    <t>RPV-39049</t>
  </si>
  <si>
    <t>RPV-39064</t>
  </si>
  <si>
    <t>PT-101768</t>
  </si>
  <si>
    <t>428520</t>
  </si>
  <si>
    <t>108782</t>
  </si>
  <si>
    <t>Burlington</t>
  </si>
  <si>
    <t>109148</t>
  </si>
  <si>
    <t>109123</t>
  </si>
  <si>
    <t>109109</t>
  </si>
  <si>
    <t>109110</t>
  </si>
  <si>
    <t>108584</t>
  </si>
  <si>
    <t>108689</t>
  </si>
  <si>
    <t>SmartEMatched8839-8357</t>
  </si>
  <si>
    <t>9500</t>
  </si>
  <si>
    <t>108941</t>
  </si>
  <si>
    <t>108810</t>
  </si>
  <si>
    <t>109070</t>
  </si>
  <si>
    <t>RPV-39072</t>
  </si>
  <si>
    <t>RPV-39045</t>
  </si>
  <si>
    <t>RPV-38941</t>
  </si>
  <si>
    <t>RPV-39012</t>
  </si>
  <si>
    <t>RPV-38602</t>
  </si>
  <si>
    <t>RPV-38610</t>
  </si>
  <si>
    <t>Middlebury</t>
  </si>
  <si>
    <t>RPV-39015</t>
  </si>
  <si>
    <t>RPV-39018</t>
  </si>
  <si>
    <t>RPV-38691</t>
  </si>
  <si>
    <t>East Hampton</t>
  </si>
  <si>
    <t>RPV-38918</t>
  </si>
  <si>
    <t>RPV-38978</t>
  </si>
  <si>
    <t>RPV-39078</t>
  </si>
  <si>
    <t>Eastford</t>
  </si>
  <si>
    <t>SmartEMatched8846-8364</t>
  </si>
  <si>
    <t>8530</t>
  </si>
  <si>
    <t>103196</t>
  </si>
  <si>
    <t>Brooklyn</t>
  </si>
  <si>
    <t>108836</t>
  </si>
  <si>
    <t>109076</t>
  </si>
  <si>
    <t>109152</t>
  </si>
  <si>
    <t>Sterling</t>
  </si>
  <si>
    <t>96168</t>
  </si>
  <si>
    <t>39648</t>
  </si>
  <si>
    <t>RPV-39063</t>
  </si>
  <si>
    <t>RPV-39102</t>
  </si>
  <si>
    <t>RPV-39094</t>
  </si>
  <si>
    <t>RPV-39096</t>
  </si>
  <si>
    <t>RPV-39037</t>
  </si>
  <si>
    <t>RPV-39056</t>
  </si>
  <si>
    <t>RPV-33711</t>
  </si>
  <si>
    <t>RPV-38994</t>
  </si>
  <si>
    <t>RPV-38476</t>
  </si>
  <si>
    <t>109138</t>
  </si>
  <si>
    <t>109192</t>
  </si>
  <si>
    <t>109047</t>
  </si>
  <si>
    <t>29518.2</t>
  </si>
  <si>
    <t>SmartEMatched8836-8354</t>
  </si>
  <si>
    <t>8205.83</t>
  </si>
  <si>
    <t>109320</t>
  </si>
  <si>
    <t>106935</t>
  </si>
  <si>
    <t>30015</t>
  </si>
  <si>
    <t>109307</t>
  </si>
  <si>
    <t>RPV-39079</t>
  </si>
  <si>
    <t>RPV-39186</t>
  </si>
  <si>
    <t>RPV-39082</t>
  </si>
  <si>
    <t>RPV-39141</t>
  </si>
  <si>
    <t>RPV-39076</t>
  </si>
  <si>
    <t>RPV-39178</t>
  </si>
  <si>
    <t>RPV-39136</t>
  </si>
  <si>
    <t>RPV-39050</t>
  </si>
  <si>
    <t>RPV-38953</t>
  </si>
  <si>
    <t>SmartEMatched8799-8325</t>
  </si>
  <si>
    <t>Oxford</t>
  </si>
  <si>
    <t>9000</t>
  </si>
  <si>
    <t>SmartEMatched8849-8367</t>
  </si>
  <si>
    <t>12500</t>
  </si>
  <si>
    <t>109169</t>
  </si>
  <si>
    <t>109376</t>
  </si>
  <si>
    <t>RPV-38940</t>
  </si>
  <si>
    <t>RPV-39044</t>
  </si>
  <si>
    <t>RPV-38947</t>
  </si>
  <si>
    <t>RPV-38946</t>
  </si>
  <si>
    <t>RPV-38367</t>
  </si>
  <si>
    <t>RPV-38815</t>
  </si>
  <si>
    <t>RPV-38760</t>
  </si>
  <si>
    <t>RPV-38761</t>
  </si>
  <si>
    <t>RPV-38774</t>
  </si>
  <si>
    <t>RPV-38777</t>
  </si>
  <si>
    <t>RPV-39092</t>
  </si>
  <si>
    <t>RPV-39099</t>
  </si>
  <si>
    <t>PT-101770</t>
  </si>
  <si>
    <t>752670</t>
  </si>
  <si>
    <t>108801</t>
  </si>
  <si>
    <t>109331</t>
  </si>
  <si>
    <t>109241</t>
  </si>
  <si>
    <t>SmartEMatched8872-8387</t>
  </si>
  <si>
    <t>6500</t>
  </si>
  <si>
    <t>SmartEMatched8826-8344</t>
  </si>
  <si>
    <t>Barkhamsted</t>
  </si>
  <si>
    <t>SmartEMatched8834-8352</t>
  </si>
  <si>
    <t>18618</t>
  </si>
  <si>
    <t>109080</t>
  </si>
  <si>
    <t>RPV-39158</t>
  </si>
  <si>
    <t>RPV-39129</t>
  </si>
  <si>
    <t>RPV-39109</t>
  </si>
  <si>
    <t>RPV-39112</t>
  </si>
  <si>
    <t>RPV-39203</t>
  </si>
  <si>
    <t>RPV-39139</t>
  </si>
  <si>
    <t>RPV-39111</t>
  </si>
  <si>
    <t>RPV-39124</t>
  </si>
  <si>
    <t>RPV-39137</t>
  </si>
  <si>
    <t>RPV-39138</t>
  </si>
  <si>
    <t>RPV-39192</t>
  </si>
  <si>
    <t>RPV-39110</t>
  </si>
  <si>
    <t>RPV-39115</t>
  </si>
  <si>
    <t>SmartEMatched8844-8362</t>
  </si>
  <si>
    <t>3000</t>
  </si>
  <si>
    <t>107110</t>
  </si>
  <si>
    <t>14136</t>
  </si>
  <si>
    <t>109286</t>
  </si>
  <si>
    <t>SmartEMatched8798-8324</t>
  </si>
  <si>
    <t>23300</t>
  </si>
  <si>
    <t>RPV-38822</t>
  </si>
  <si>
    <t>RPV-39091</t>
  </si>
  <si>
    <t>RPV-39205</t>
  </si>
  <si>
    <t>RPV-39153</t>
  </si>
  <si>
    <t>RPV-39182</t>
  </si>
  <si>
    <t>RPV-39189</t>
  </si>
  <si>
    <t>RPV-39194</t>
  </si>
  <si>
    <t>RPV-39236</t>
  </si>
  <si>
    <t>RPV-39240</t>
  </si>
  <si>
    <t>RPV-39245</t>
  </si>
  <si>
    <t>RPV-39198</t>
  </si>
  <si>
    <t>RPV-39242</t>
  </si>
  <si>
    <t>RPV-39244</t>
  </si>
  <si>
    <t>RPV-39088</t>
  </si>
  <si>
    <t>RPV-39122</t>
  </si>
  <si>
    <t>RPV-39179</t>
  </si>
  <si>
    <t>RPV-39169</t>
  </si>
  <si>
    <t>RPV-39183</t>
  </si>
  <si>
    <t>RPV-39202</t>
  </si>
  <si>
    <t>RPV-39239</t>
  </si>
  <si>
    <t>RPV-39241</t>
  </si>
  <si>
    <t>RPV-39143</t>
  </si>
  <si>
    <t>RPV-39144</t>
  </si>
  <si>
    <t>RPV-38690</t>
  </si>
  <si>
    <t>RPV-39155</t>
  </si>
  <si>
    <t>RPV-39171</t>
  </si>
  <si>
    <t>RPV-39177</t>
  </si>
  <si>
    <t>RPV-39195</t>
  </si>
  <si>
    <t>RPV-39220</t>
  </si>
  <si>
    <t>RPV-39243</t>
  </si>
  <si>
    <t>RPV-39156</t>
  </si>
  <si>
    <t>RPV-39176</t>
  </si>
  <si>
    <t>RPV-39207</t>
  </si>
  <si>
    <t>RPV-39229</t>
  </si>
  <si>
    <t>RPV-39230</t>
  </si>
  <si>
    <t>RPV-39237</t>
  </si>
  <si>
    <t>SmartEMatched8835-8353</t>
  </si>
  <si>
    <t>SmartEMatched8830-8348</t>
  </si>
  <si>
    <t>19816</t>
  </si>
  <si>
    <t>109473</t>
  </si>
  <si>
    <t>Sherman</t>
  </si>
  <si>
    <t>109494</t>
  </si>
  <si>
    <t>109317</t>
  </si>
  <si>
    <t>108541</t>
  </si>
  <si>
    <t>RPV-39084</t>
  </si>
  <si>
    <t>RPV-39055</t>
  </si>
  <si>
    <t>RPV-39024</t>
  </si>
  <si>
    <t>RPV-39130</t>
  </si>
  <si>
    <t>RPV-38340</t>
  </si>
  <si>
    <t>RPV-37935</t>
  </si>
  <si>
    <t>RPV-39116</t>
  </si>
  <si>
    <t>RPV-39131</t>
  </si>
  <si>
    <t>RPV-39196</t>
  </si>
  <si>
    <t>RPV-39258</t>
  </si>
  <si>
    <t>RPV-39291</t>
  </si>
  <si>
    <t>RPV-39210</t>
  </si>
  <si>
    <t>RPV-39226</t>
  </si>
  <si>
    <t>RPV-39247</t>
  </si>
  <si>
    <t>Bethany</t>
  </si>
  <si>
    <t>RPV-39172</t>
  </si>
  <si>
    <t>RPV-39262</t>
  </si>
  <si>
    <t>RPV-39231</t>
  </si>
  <si>
    <t>RPV-39287</t>
  </si>
  <si>
    <t>RPV-39246</t>
  </si>
  <si>
    <t>RPV-39282</t>
  </si>
  <si>
    <t>RPV-39061</t>
  </si>
  <si>
    <t>RPV-39170</t>
  </si>
  <si>
    <t>RPV-39213</t>
  </si>
  <si>
    <t>RPV-39293</t>
  </si>
  <si>
    <t>RPV-39234</t>
  </si>
  <si>
    <t>RPV-39284</t>
  </si>
  <si>
    <t>RPV-39151</t>
  </si>
  <si>
    <t>RPV-39248</t>
  </si>
  <si>
    <t>RPV-39288</t>
  </si>
  <si>
    <t>RPV-39289</t>
  </si>
  <si>
    <t>RPV-39292</t>
  </si>
  <si>
    <t>RPV-38914</t>
  </si>
  <si>
    <t>SmartEMatched8780-8306</t>
  </si>
  <si>
    <t>15525</t>
  </si>
  <si>
    <t>SmartEMatched8833-8351</t>
  </si>
  <si>
    <t>8720.7</t>
  </si>
  <si>
    <t>SmartEMatched8829-8347</t>
  </si>
  <si>
    <t>4150</t>
  </si>
  <si>
    <t>109419</t>
  </si>
  <si>
    <t>20276.8</t>
  </si>
  <si>
    <t>109552</t>
  </si>
  <si>
    <t>RPV-38889</t>
  </si>
  <si>
    <t>RPV-39307</t>
  </si>
  <si>
    <t>RPV-38785</t>
  </si>
  <si>
    <t>RPV-38921</t>
  </si>
  <si>
    <t>Ridgefield</t>
  </si>
  <si>
    <t>RPV-39302</t>
  </si>
  <si>
    <t>RPV-37272</t>
  </si>
  <si>
    <t>RPV-39038</t>
  </si>
  <si>
    <t>RPV-39174</t>
  </si>
  <si>
    <t>RPV-39281</t>
  </si>
  <si>
    <t>RPV-37275</t>
  </si>
  <si>
    <t>RPV-37266</t>
  </si>
  <si>
    <t>RPV-38879</t>
  </si>
  <si>
    <t>RPV-39257</t>
  </si>
  <si>
    <t>RPV-37270</t>
  </si>
  <si>
    <t>RPV-37967</t>
  </si>
  <si>
    <t>RPV-38058</t>
  </si>
  <si>
    <t>RPV-38407</t>
  </si>
  <si>
    <t>RPV-38595</t>
  </si>
  <si>
    <t>RPV-38518</t>
  </si>
  <si>
    <t>RPV-38614</t>
  </si>
  <si>
    <t>RPV-38672</t>
  </si>
  <si>
    <t>RPV-39065</t>
  </si>
  <si>
    <t>RPV-39200</t>
  </si>
  <si>
    <t>RPV-39011</t>
  </si>
  <si>
    <t>RPV-39297</t>
  </si>
  <si>
    <t>RPV-39325</t>
  </si>
  <si>
    <t>RPV-39275</t>
  </si>
  <si>
    <t>RPV-39313</t>
  </si>
  <si>
    <t>RPV-39315</t>
  </si>
  <si>
    <t>RPV-39326</t>
  </si>
  <si>
    <t>RPV-39003</t>
  </si>
  <si>
    <t>RPV-39329</t>
  </si>
  <si>
    <t>RPV-39150</t>
  </si>
  <si>
    <t>RPV-39319</t>
  </si>
  <si>
    <t>RPV-39332</t>
  </si>
  <si>
    <t>RPV-39306</t>
  </si>
  <si>
    <t>RPV-39324</t>
  </si>
  <si>
    <t>Hampton</t>
  </si>
  <si>
    <t>RPV-39285</t>
  </si>
  <si>
    <t>RPV-39320</t>
  </si>
  <si>
    <t>RPV-38925</t>
  </si>
  <si>
    <t>RPV-39279</t>
  </si>
  <si>
    <t>RPV-38945</t>
  </si>
  <si>
    <t>RPV-38331</t>
  </si>
  <si>
    <t>RPV-39314</t>
  </si>
  <si>
    <t>SmartEMatched8862-8377</t>
  </si>
  <si>
    <t>3500</t>
  </si>
  <si>
    <t>109548</t>
  </si>
  <si>
    <t>109543</t>
  </si>
  <si>
    <t>95768</t>
  </si>
  <si>
    <t>RPV-38550</t>
  </si>
  <si>
    <t>RPV-39350</t>
  </si>
  <si>
    <t>RPV-39357</t>
  </si>
  <si>
    <t>RPV-39359</t>
  </si>
  <si>
    <t>RPV-39371</t>
  </si>
  <si>
    <t>RPV-39373</t>
  </si>
  <si>
    <t>RPV-39355</t>
  </si>
  <si>
    <t>RPV-39142</t>
  </si>
  <si>
    <t>RPV-39375</t>
  </si>
  <si>
    <t>RPV-39346</t>
  </si>
  <si>
    <t>RPV-39358</t>
  </si>
  <si>
    <t>RPV-39344</t>
  </si>
  <si>
    <t>RPV-39352</t>
  </si>
  <si>
    <t>RPV-39348</t>
  </si>
  <si>
    <t>RPV-39351</t>
  </si>
  <si>
    <t>SmartEMatched8863-8378</t>
  </si>
  <si>
    <t>20875</t>
  </si>
  <si>
    <t>109482</t>
  </si>
  <si>
    <t>99133</t>
  </si>
  <si>
    <t>SmartEMatched8832-8350</t>
  </si>
  <si>
    <t>10406.77</t>
  </si>
  <si>
    <t>SmartEMatched8817-10914</t>
  </si>
  <si>
    <t>17145</t>
  </si>
  <si>
    <t>109680</t>
  </si>
  <si>
    <t>109693</t>
  </si>
  <si>
    <t>109472</t>
  </si>
  <si>
    <t>Andover</t>
  </si>
  <si>
    <t>109559</t>
  </si>
  <si>
    <t>79642</t>
  </si>
  <si>
    <t>Thomaston</t>
  </si>
  <si>
    <t>94296</t>
  </si>
  <si>
    <t>RPV-39123</t>
  </si>
  <si>
    <t>RPV-39073</t>
  </si>
  <si>
    <t>RPV-39345</t>
  </si>
  <si>
    <t>RPV-39335</t>
  </si>
  <si>
    <t>RPV-39052</t>
  </si>
  <si>
    <t>RPV-38702</t>
  </si>
  <si>
    <t>RPV-39334</t>
  </si>
  <si>
    <t>RPV-39118</t>
  </si>
  <si>
    <t>RPV-39340</t>
  </si>
  <si>
    <t>RPV-39363</t>
  </si>
  <si>
    <t>RPV-39353</t>
  </si>
  <si>
    <t>RPV-39366</t>
  </si>
  <si>
    <t>RPV-38977</t>
  </si>
  <si>
    <t>RPV-39389</t>
  </si>
  <si>
    <t>RPV-39364</t>
  </si>
  <si>
    <t>RPV-39374</t>
  </si>
  <si>
    <t>RPV-39338</t>
  </si>
  <si>
    <t>RPV-39367</t>
  </si>
  <si>
    <t>SmartEMatched8843-8361</t>
  </si>
  <si>
    <t>7325.55</t>
  </si>
  <si>
    <t>SmartEMatched8893-8406</t>
  </si>
  <si>
    <t>38188</t>
  </si>
  <si>
    <t>109731</t>
  </si>
  <si>
    <t>SmartEMatched8820-11307</t>
  </si>
  <si>
    <t>8668.81</t>
  </si>
  <si>
    <t>SmartEMatched8910-8423</t>
  </si>
  <si>
    <t>8000</t>
  </si>
  <si>
    <t>SmartEMatched8914-8427</t>
  </si>
  <si>
    <t>9400</t>
  </si>
  <si>
    <t>SmartEMatched8676-8204</t>
  </si>
  <si>
    <t>3634.86</t>
  </si>
  <si>
    <t>109024</t>
  </si>
  <si>
    <t>109455</t>
  </si>
  <si>
    <t>18547.2</t>
  </si>
  <si>
    <t>91689</t>
  </si>
  <si>
    <t>109703</t>
  </si>
  <si>
    <t>109696</t>
  </si>
  <si>
    <t>RPV-39393</t>
  </si>
  <si>
    <t>RPV-39422</t>
  </si>
  <si>
    <t>RPV-39424</t>
  </si>
  <si>
    <t>RPV-39399</t>
  </si>
  <si>
    <t>RPV-39062</t>
  </si>
  <si>
    <t>RPV-39224</t>
  </si>
  <si>
    <t>RPV-39398</t>
  </si>
  <si>
    <t>Columbia</t>
  </si>
  <si>
    <t>RPV-39394</t>
  </si>
  <si>
    <t>RPV-39420</t>
  </si>
  <si>
    <t>RPV-39417</t>
  </si>
  <si>
    <t>RPV-39402</t>
  </si>
  <si>
    <t>RPV-39435</t>
  </si>
  <si>
    <t>SmartEMatched8878-8391</t>
  </si>
  <si>
    <t>38838</t>
  </si>
  <si>
    <t>109737</t>
  </si>
  <si>
    <t>109808</t>
  </si>
  <si>
    <t>91391</t>
  </si>
  <si>
    <t>109682</t>
  </si>
  <si>
    <t>RPV-39456</t>
  </si>
  <si>
    <t>RPV-39466</t>
  </si>
  <si>
    <t>RPV-39489</t>
  </si>
  <si>
    <t>RPV-39441</t>
  </si>
  <si>
    <t>RPV-39439</t>
  </si>
  <si>
    <t>Preston</t>
  </si>
  <si>
    <t>RPV-39487</t>
  </si>
  <si>
    <t>RPV-39451</t>
  </si>
  <si>
    <t>RPV-39453</t>
  </si>
  <si>
    <t>RPV-39454</t>
  </si>
  <si>
    <t>RPV-39477</t>
  </si>
  <si>
    <t>RPV-39491</t>
  </si>
  <si>
    <t>RPV-39469</t>
  </si>
  <si>
    <t>RPV-39485</t>
  </si>
  <si>
    <t>RPV-39492</t>
  </si>
  <si>
    <t>RPV-39443</t>
  </si>
  <si>
    <t>RPV-39445</t>
  </si>
  <si>
    <t>RPV-39460</t>
  </si>
  <si>
    <t>RPV-39475</t>
  </si>
  <si>
    <t>RPV-39488</t>
  </si>
  <si>
    <t>RPV-39472</t>
  </si>
  <si>
    <t>PT-101710</t>
  </si>
  <si>
    <t>Multi-Family Pre-Dev</t>
  </si>
  <si>
    <t>PT-101651</t>
  </si>
  <si>
    <t>36153.68</t>
  </si>
  <si>
    <t>109832</t>
  </si>
  <si>
    <t>109857</t>
  </si>
  <si>
    <t>Plainville</t>
  </si>
  <si>
    <t>109855</t>
  </si>
  <si>
    <t>SmartEMatched8795-8321</t>
  </si>
  <si>
    <t>8600</t>
  </si>
  <si>
    <t>RPV-39286</t>
  </si>
  <si>
    <t>RPV-39395</t>
  </si>
  <si>
    <t>RPV-39484</t>
  </si>
  <si>
    <t>RPV-39474</t>
  </si>
  <si>
    <t>RPV-39498</t>
  </si>
  <si>
    <t>RPV-39500</t>
  </si>
  <si>
    <t>RPV-39515</t>
  </si>
  <si>
    <t>RPV-38487</t>
  </si>
  <si>
    <t>RPV-39128</t>
  </si>
  <si>
    <t>RPV-39362</t>
  </si>
  <si>
    <t>RPV-39497</t>
  </si>
  <si>
    <t>RPV-39429</t>
  </si>
  <si>
    <t>RPV-39496</t>
  </si>
  <si>
    <t>RPV-39517</t>
  </si>
  <si>
    <t>RPV-39444</t>
  </si>
  <si>
    <t>RPV-39413</t>
  </si>
  <si>
    <t>RPV-39440</t>
  </si>
  <si>
    <t>RPV-39134</t>
  </si>
  <si>
    <t>RPV-39167</t>
  </si>
  <si>
    <t>RPV-39365</t>
  </si>
  <si>
    <t>RPV-39407</t>
  </si>
  <si>
    <t>RPV-39463</t>
  </si>
  <si>
    <t>RPV-39486</t>
  </si>
  <si>
    <t>RPV-39494</t>
  </si>
  <si>
    <t>PT-101724</t>
  </si>
  <si>
    <t>154529.95</t>
  </si>
  <si>
    <t>RPV-39495</t>
  </si>
  <si>
    <t>107916</t>
  </si>
  <si>
    <t>108879</t>
  </si>
  <si>
    <t>109866</t>
  </si>
  <si>
    <t>109813</t>
  </si>
  <si>
    <t>109031</t>
  </si>
  <si>
    <t>21942</t>
  </si>
  <si>
    <t>SmartEMatched8848-8366</t>
  </si>
  <si>
    <t>7700</t>
  </si>
  <si>
    <t>106284</t>
  </si>
  <si>
    <t>109793</t>
  </si>
  <si>
    <t>97406</t>
  </si>
  <si>
    <t>109923</t>
  </si>
  <si>
    <t>RPV-39559</t>
  </si>
  <si>
    <t>RPV-39548</t>
  </si>
  <si>
    <t>RPV-39571</t>
  </si>
  <si>
    <t>RPV-39133</t>
  </si>
  <si>
    <t>RPV-39557</t>
  </si>
  <si>
    <t>RPV-39555</t>
  </si>
  <si>
    <t>RPV-39568</t>
  </si>
  <si>
    <t>RPV-39546</t>
  </si>
  <si>
    <t>RPV-39527</t>
  </si>
  <si>
    <t>RPV-39532</t>
  </si>
  <si>
    <t>RPV-39569</t>
  </si>
  <si>
    <t>RPV-39551</t>
  </si>
  <si>
    <t>RPV-39554</t>
  </si>
  <si>
    <t>RPV-39528</t>
  </si>
  <si>
    <t>RPV-39529</t>
  </si>
  <si>
    <t>RPV-39556</t>
  </si>
  <si>
    <t>SmartEMatched8841-8359</t>
  </si>
  <si>
    <t>7600</t>
  </si>
  <si>
    <t>SmartEMatched8908-8421</t>
  </si>
  <si>
    <t>18982.94</t>
  </si>
  <si>
    <t>109873</t>
  </si>
  <si>
    <t>54834</t>
  </si>
  <si>
    <t>109984</t>
  </si>
  <si>
    <t>SmartEMatched8870-8385</t>
  </si>
  <si>
    <t>13077.13</t>
  </si>
  <si>
    <t>109802</t>
  </si>
  <si>
    <t>RPV-39540</t>
  </si>
  <si>
    <t>RPV-39609</t>
  </si>
  <si>
    <t>RPV-39562</t>
  </si>
  <si>
    <t>RPV-39583</t>
  </si>
  <si>
    <t>RPV-39409</t>
  </si>
  <si>
    <t>RPV-39526</t>
  </si>
  <si>
    <t>RPV-39132</t>
  </si>
  <si>
    <t>RPV-39408</t>
  </si>
  <si>
    <t>RPV-39534</t>
  </si>
  <si>
    <t>RPV-39597</t>
  </si>
  <si>
    <t>RPV-39613</t>
  </si>
  <si>
    <t>RPV-39536</t>
  </si>
  <si>
    <t>RPV-39580</t>
  </si>
  <si>
    <t>RPV-39564</t>
  </si>
  <si>
    <t>SmartEMatched8865-8380</t>
  </si>
  <si>
    <t>8790.98</t>
  </si>
  <si>
    <t>RPV-39145</t>
  </si>
  <si>
    <t>RPV-39148</t>
  </si>
  <si>
    <t>RPV-39147</t>
  </si>
  <si>
    <t>RPV-39204</t>
  </si>
  <si>
    <t>RPV-39397</t>
  </si>
  <si>
    <t>Canton</t>
  </si>
  <si>
    <t>RPV-39431</t>
  </si>
  <si>
    <t>RPV-39197</t>
  </si>
  <si>
    <t>RPV-39388</t>
  </si>
  <si>
    <t>RPV-38607</t>
  </si>
  <si>
    <t>Litchfield</t>
  </si>
  <si>
    <t>SmartEMatched8827-8345</t>
  </si>
  <si>
    <t>110029</t>
  </si>
  <si>
    <t>RPV-39663</t>
  </si>
  <si>
    <t>RPV-38192</t>
  </si>
  <si>
    <t>RPV-39614</t>
  </si>
  <si>
    <t>RPV-39655</t>
  </si>
  <si>
    <t>RPV-39670</t>
  </si>
  <si>
    <t>RPV-39673</t>
  </si>
  <si>
    <t>RPV-39656</t>
  </si>
  <si>
    <t>109979</t>
  </si>
  <si>
    <t>109985</t>
  </si>
  <si>
    <t>110009</t>
  </si>
  <si>
    <t>110060</t>
  </si>
  <si>
    <t>20277</t>
  </si>
  <si>
    <t>109928</t>
  </si>
  <si>
    <t>SmartEMatched8873-8388</t>
  </si>
  <si>
    <t>109215</t>
  </si>
  <si>
    <t>109687</t>
  </si>
  <si>
    <t>SmartEMatched8912-8425</t>
  </si>
  <si>
    <t>Monroe</t>
  </si>
  <si>
    <t>16325</t>
  </si>
  <si>
    <t>SmartEMatched8906-8419</t>
  </si>
  <si>
    <t>20702</t>
  </si>
  <si>
    <t>110134</t>
  </si>
  <si>
    <t>SmartEMatched8888-8401</t>
  </si>
  <si>
    <t>109384</t>
  </si>
  <si>
    <t>110053</t>
  </si>
  <si>
    <t>SmartEMatched8855-8371</t>
  </si>
  <si>
    <t>Norwich</t>
  </si>
  <si>
    <t>7662.65</t>
  </si>
  <si>
    <t>RPV-39478</t>
  </si>
  <si>
    <t>RPV-37951</t>
  </si>
  <si>
    <t>RPV-39269</t>
  </si>
  <si>
    <t>RPV-39272</t>
  </si>
  <si>
    <t>RPV-39448</t>
  </si>
  <si>
    <t>RPV-39519</t>
  </si>
  <si>
    <t>RPV-39593</t>
  </si>
  <si>
    <t>RPV-38481</t>
  </si>
  <si>
    <t>RPV-39677</t>
  </si>
  <si>
    <t>RPV-36340</t>
  </si>
  <si>
    <t>RPV-39547</t>
  </si>
  <si>
    <t>RPV-38586</t>
  </si>
  <si>
    <t>RPV-39071</t>
  </si>
  <si>
    <t>RPV-39623</t>
  </si>
  <si>
    <t>RPV-39602</t>
  </si>
  <si>
    <t>RPV-39688</t>
  </si>
  <si>
    <t>RPV-39675</t>
  </si>
  <si>
    <t>RPV-39687</t>
  </si>
  <si>
    <t>RPV-39596</t>
  </si>
  <si>
    <t>SmartEMatched8880-8393</t>
  </si>
  <si>
    <t>14492</t>
  </si>
  <si>
    <t>SmartEMatched8915-8428</t>
  </si>
  <si>
    <t>17931.13</t>
  </si>
  <si>
    <t>109485</t>
  </si>
  <si>
    <t>110130</t>
  </si>
  <si>
    <t>Thompson</t>
  </si>
  <si>
    <t>SmartEMatched8856-8372</t>
  </si>
  <si>
    <t>18255.3</t>
  </si>
  <si>
    <t>RPV-38959</t>
  </si>
  <si>
    <t>RPV-39227</t>
  </si>
  <si>
    <t>RPV-34079</t>
  </si>
  <si>
    <t>RPV-39043</t>
  </si>
  <si>
    <t>RPV-39051</t>
  </si>
  <si>
    <t>RPV-39672</t>
  </si>
  <si>
    <t>RPV-39404</t>
  </si>
  <si>
    <t>RPV-39679</t>
  </si>
  <si>
    <t>RPV-39228</t>
  </si>
  <si>
    <t>RPV-39681</t>
  </si>
  <si>
    <t>RPV-39669</t>
  </si>
  <si>
    <t>RPV-39703</t>
  </si>
  <si>
    <t>RPV-39680</t>
  </si>
  <si>
    <t>RPV-38983</t>
  </si>
  <si>
    <t>RPV-39578</t>
  </si>
  <si>
    <t>RPV-39616</t>
  </si>
  <si>
    <t>RPV-39574</t>
  </si>
  <si>
    <t>RPV-39585</t>
  </si>
  <si>
    <t>RPV-39360</t>
  </si>
  <si>
    <t>RPV-39603</t>
  </si>
  <si>
    <t>RPV-39563</t>
  </si>
  <si>
    <t>RPV-39582</t>
  </si>
  <si>
    <t>RPV-39584</t>
  </si>
  <si>
    <t>RPV-39577</t>
  </si>
  <si>
    <t>RPV-39605</t>
  </si>
  <si>
    <t>RPV-39573</t>
  </si>
  <si>
    <t>RPV-39581</t>
  </si>
  <si>
    <t>RPV-39586</t>
  </si>
  <si>
    <t>RPV-39606</t>
  </si>
  <si>
    <t>RPV-39617</t>
  </si>
  <si>
    <t>RPV-39587</t>
  </si>
  <si>
    <t>RPV-39632</t>
  </si>
  <si>
    <t>RPV-39698</t>
  </si>
  <si>
    <t>RPV-39615</t>
  </si>
  <si>
    <t>RPV-39629</t>
  </si>
  <si>
    <t>PT-101704</t>
  </si>
  <si>
    <t>134580.99</t>
  </si>
  <si>
    <t>110107</t>
  </si>
  <si>
    <t>110110</t>
  </si>
  <si>
    <t>110178</t>
  </si>
  <si>
    <t>SmartEMatched8891-8404</t>
  </si>
  <si>
    <t>8180</t>
  </si>
  <si>
    <t>110273</t>
  </si>
  <si>
    <t>110218</t>
  </si>
  <si>
    <t>109799</t>
  </si>
  <si>
    <t>SmartEMatched8964-8475</t>
  </si>
  <si>
    <t>18298</t>
  </si>
  <si>
    <t>RPV-39634</t>
  </si>
  <si>
    <t>SmartEMatched8868-8383</t>
  </si>
  <si>
    <t>20746</t>
  </si>
  <si>
    <t>110264</t>
  </si>
  <si>
    <t>110280</t>
  </si>
  <si>
    <t>110292</t>
  </si>
  <si>
    <t>110277</t>
  </si>
  <si>
    <t>110094</t>
  </si>
  <si>
    <t>110304</t>
  </si>
  <si>
    <t>36480</t>
  </si>
  <si>
    <t>109927</t>
  </si>
  <si>
    <t>110243</t>
  </si>
  <si>
    <t>SmartEMatched8901-8414</t>
  </si>
  <si>
    <t>4081</t>
  </si>
  <si>
    <t>SmartEMatched8861-8376</t>
  </si>
  <si>
    <t>13706.41</t>
  </si>
  <si>
    <t>SmartEMatched8860-8375</t>
  </si>
  <si>
    <t>7848.63</t>
  </si>
  <si>
    <t>SmartEMatched8900-8413</t>
  </si>
  <si>
    <t>8294</t>
  </si>
  <si>
    <t>SmartEMatched8675-8203</t>
  </si>
  <si>
    <t>110265</t>
  </si>
  <si>
    <t>110346</t>
  </si>
  <si>
    <t>110164</t>
  </si>
  <si>
    <t>SmartEMatched8867-8382</t>
  </si>
  <si>
    <t>RPV-39027</t>
  </si>
  <si>
    <t>RPV-39368</t>
  </si>
  <si>
    <t>RPV-39763</t>
  </si>
  <si>
    <t>RPV-39250</t>
  </si>
  <si>
    <t>RPV-39645</t>
  </si>
  <si>
    <t>RPV-39392</t>
  </si>
  <si>
    <t>RPV-39450</t>
  </si>
  <si>
    <t>SmartEMatched8894-8407</t>
  </si>
  <si>
    <t>2607.9</t>
  </si>
  <si>
    <t>SmartEMatched8904-8417</t>
  </si>
  <si>
    <t>7160</t>
  </si>
  <si>
    <t>SmartEMatched8905-8418</t>
  </si>
  <si>
    <t>4900</t>
  </si>
  <si>
    <t>SmartEMatched8886-8399</t>
  </si>
  <si>
    <t>3180</t>
  </si>
  <si>
    <t>SmartEMatched8940-8452</t>
  </si>
  <si>
    <t>13286.8</t>
  </si>
  <si>
    <t>110364</t>
  </si>
  <si>
    <t>110316</t>
  </si>
  <si>
    <t>RPV-39711</t>
  </si>
  <si>
    <t>RPV-39385</t>
  </si>
  <si>
    <t>RPV-39686</t>
  </si>
  <si>
    <t>RPV-39692</t>
  </si>
  <si>
    <t>RPV-39761</t>
  </si>
  <si>
    <t>RPV-39820</t>
  </si>
  <si>
    <t>RPV-39724</t>
  </si>
  <si>
    <t>SmartEMatched8828-8346</t>
  </si>
  <si>
    <t>19400</t>
  </si>
  <si>
    <t>110254</t>
  </si>
  <si>
    <t>110392</t>
  </si>
  <si>
    <t>110282</t>
  </si>
  <si>
    <t>108533</t>
  </si>
  <si>
    <t>110037</t>
  </si>
  <si>
    <t>RPV-39754</t>
  </si>
  <si>
    <t>RPV-39757</t>
  </si>
  <si>
    <t>RPV-39765</t>
  </si>
  <si>
    <t>RPV-39778</t>
  </si>
  <si>
    <t>RPV-39575</t>
  </si>
  <si>
    <t>RPV-39756</t>
  </si>
  <si>
    <t>RPV-39758</t>
  </si>
  <si>
    <t>RPV-39697</t>
  </si>
  <si>
    <t>RPV-39651</t>
  </si>
  <si>
    <t>RPV-39752</t>
  </si>
  <si>
    <t>PT-101591</t>
  </si>
  <si>
    <t>47449.8</t>
  </si>
  <si>
    <t>20403.41</t>
  </si>
  <si>
    <t>CPACE backed Commercial Lease</t>
  </si>
  <si>
    <t>SmartEMatched8883-8396</t>
  </si>
  <si>
    <t>7276</t>
  </si>
  <si>
    <t>SmartEMatched8887-8400</t>
  </si>
  <si>
    <t>14469</t>
  </si>
  <si>
    <t>110445</t>
  </si>
  <si>
    <t>SmartEMatched8879-8392</t>
  </si>
  <si>
    <t>5270.69</t>
  </si>
  <si>
    <t>SmartEMatched8882-8395</t>
  </si>
  <si>
    <t>40000</t>
  </si>
  <si>
    <t>110407</t>
  </si>
  <si>
    <t>108476</t>
  </si>
  <si>
    <t>110175</t>
  </si>
  <si>
    <t>RPV-38951</t>
  </si>
  <si>
    <t>RPV-38873</t>
  </si>
  <si>
    <t>RPV-39619</t>
  </si>
  <si>
    <t>RPV-39565</t>
  </si>
  <si>
    <t>RPV-39779</t>
  </si>
  <si>
    <t>PT-101670</t>
  </si>
  <si>
    <t>160000</t>
  </si>
  <si>
    <t>RPV-39923</t>
  </si>
  <si>
    <t>New Hartford</t>
  </si>
  <si>
    <t>RPV-39826</t>
  </si>
  <si>
    <t>RPV-39781</t>
  </si>
  <si>
    <t>RPV-39787</t>
  </si>
  <si>
    <t>RPV-39790</t>
  </si>
  <si>
    <t>RPV-39806</t>
  </si>
  <si>
    <t>RPV-39833</t>
  </si>
  <si>
    <t>RPV-39794</t>
  </si>
  <si>
    <t>RPV-39800</t>
  </si>
  <si>
    <t>110247</t>
  </si>
  <si>
    <t>RPV-39935</t>
  </si>
  <si>
    <t>RPV-39760</t>
  </si>
  <si>
    <t>RPV-39993</t>
  </si>
  <si>
    <t>RPV-39749</t>
  </si>
  <si>
    <t>RPV-39795</t>
  </si>
  <si>
    <t>RPV-39859</t>
  </si>
  <si>
    <t>RPV-39879</t>
  </si>
  <si>
    <t>RPV-39880</t>
  </si>
  <si>
    <t>RPV-39887</t>
  </si>
  <si>
    <t>RPV-39888</t>
  </si>
  <si>
    <t>RPV-39908</t>
  </si>
  <si>
    <t>RPV-39622</t>
  </si>
  <si>
    <t>RPV-39641</t>
  </si>
  <si>
    <t>RPV-39850</t>
  </si>
  <si>
    <t>RPV-39881</t>
  </si>
  <si>
    <t>RPV-39901</t>
  </si>
  <si>
    <t>RPV-39847</t>
  </si>
  <si>
    <t>RPV-39633</t>
  </si>
  <si>
    <t>RPV-39657</t>
  </si>
  <si>
    <t>RPV-39691</t>
  </si>
  <si>
    <t>RPV-39693</t>
  </si>
  <si>
    <t>RPV-39739</t>
  </si>
  <si>
    <t>RPV-39628</t>
  </si>
  <si>
    <t>RPV-39630</t>
  </si>
  <si>
    <t>RPV-39851</t>
  </si>
  <si>
    <t>RPV-39917</t>
  </si>
  <si>
    <t>RPV-39636</t>
  </si>
  <si>
    <t>SmartEMatched8897-8410</t>
  </si>
  <si>
    <t>7800</t>
  </si>
  <si>
    <t>SmartEMatched9091-8588</t>
  </si>
  <si>
    <t>27300</t>
  </si>
  <si>
    <t>110365</t>
  </si>
  <si>
    <t>110527</t>
  </si>
  <si>
    <t>SmartEMatched8913-8426</t>
  </si>
  <si>
    <t>SmartEMatched8898-8411</t>
  </si>
  <si>
    <t>12698.32</t>
  </si>
  <si>
    <t>108481</t>
  </si>
  <si>
    <t>110374</t>
  </si>
  <si>
    <t>RPV-39146</t>
  </si>
  <si>
    <t>RPV-39612</t>
  </si>
  <si>
    <t>RPV-39283</t>
  </si>
  <si>
    <t>RPV-39560</t>
  </si>
  <si>
    <t>RPV-39523</t>
  </si>
  <si>
    <t>RPV-39643</t>
  </si>
  <si>
    <t>RPV-39740</t>
  </si>
  <si>
    <t>RPV-39766</t>
  </si>
  <si>
    <t>RPV-39006</t>
  </si>
  <si>
    <t>RPV-39009</t>
  </si>
  <si>
    <t>RPV-39637</t>
  </si>
  <si>
    <t>RPV-39732</t>
  </si>
  <si>
    <t>RPV-39695</t>
  </si>
  <si>
    <t>RPV-37634</t>
  </si>
  <si>
    <t>RPV-39968</t>
  </si>
  <si>
    <t>Voluntown</t>
  </si>
  <si>
    <t>RPV-39780</t>
  </si>
  <si>
    <t>RPV-39906</t>
  </si>
  <si>
    <t>RPV-39975</t>
  </si>
  <si>
    <t>RPV-39784</t>
  </si>
  <si>
    <t>RPV-39821</t>
  </si>
  <si>
    <t>RPV-39832</t>
  </si>
  <si>
    <t>RPV-39861</t>
  </si>
  <si>
    <t>RPV-39782</t>
  </si>
  <si>
    <t>RPV-39823</t>
  </si>
  <si>
    <t>RPV-39825</t>
  </si>
  <si>
    <t>RPV-39308</t>
  </si>
  <si>
    <t>RPV-39412</t>
  </si>
  <si>
    <t>Darien</t>
  </si>
  <si>
    <t>RPV-39567</t>
  </si>
  <si>
    <t>RPV-39552</t>
  </si>
  <si>
    <t>RPV-39762</t>
  </si>
  <si>
    <t>RPV-39862</t>
  </si>
  <si>
    <t>RPV-39667</t>
  </si>
  <si>
    <t>RPV-39678</t>
  </si>
  <si>
    <t>RPV-39776</t>
  </si>
  <si>
    <t>RPV-38224</t>
  </si>
  <si>
    <t>Prospect</t>
  </si>
  <si>
    <t>RPV-39898</t>
  </si>
  <si>
    <t>RPV-39963</t>
  </si>
  <si>
    <t>RPV-40000</t>
  </si>
  <si>
    <t>RPV-39707</t>
  </si>
  <si>
    <t>SmartEMatched8903-8416</t>
  </si>
  <si>
    <t>8700</t>
  </si>
  <si>
    <t>SmartEMatched8896-8409</t>
  </si>
  <si>
    <t>7807.03</t>
  </si>
  <si>
    <t>110514</t>
  </si>
  <si>
    <t>110633</t>
  </si>
  <si>
    <t>RPV-38968</t>
  </si>
  <si>
    <t>RPV-39533</t>
  </si>
  <si>
    <t>RPV-39184</t>
  </si>
  <si>
    <t>RPV-39208</t>
  </si>
  <si>
    <t>RPV-39336</t>
  </si>
  <si>
    <t>RPV-39100</t>
  </si>
  <si>
    <t>RPV-39252</t>
  </si>
  <si>
    <t>RPV-39558</t>
  </si>
  <si>
    <t>RPV-39212</t>
  </si>
  <si>
    <t>RPV-39710</t>
  </si>
  <si>
    <t>RPV-39777</t>
  </si>
  <si>
    <t>RPV-39743</t>
  </si>
  <si>
    <t>RPV-39729</t>
  </si>
  <si>
    <t>RPV-39098</t>
  </si>
  <si>
    <t>RPV-39343</t>
  </si>
  <si>
    <t>RPV-39788</t>
  </si>
  <si>
    <t>RPV-39835</t>
  </si>
  <si>
    <t>RPV-39905</t>
  </si>
  <si>
    <t>RPV-39933</t>
  </si>
  <si>
    <t>RPV-39877</t>
  </si>
  <si>
    <t>RPV-39916</t>
  </si>
  <si>
    <t>RPV-39932</t>
  </si>
  <si>
    <t>RPV-39936</t>
  </si>
  <si>
    <t>RPV-39969</t>
  </si>
  <si>
    <t>RPV-39997</t>
  </si>
  <si>
    <t>RPV-40047</t>
  </si>
  <si>
    <t>RPV-39972</t>
  </si>
  <si>
    <t>RPV-39985</t>
  </si>
  <si>
    <t>RPV-39987</t>
  </si>
  <si>
    <t>RPV-39875</t>
  </si>
  <si>
    <t>RPV-39753</t>
  </si>
  <si>
    <t>RPV-39902</t>
  </si>
  <si>
    <t>RPV-39983</t>
  </si>
  <si>
    <t>RPV-40018</t>
  </si>
  <si>
    <t>RPV-40034</t>
  </si>
  <si>
    <t>RPV-39998</t>
  </si>
  <si>
    <t>RPV-40017</t>
  </si>
  <si>
    <t>RPV-40045</t>
  </si>
  <si>
    <t>RPV-39946</t>
  </si>
  <si>
    <t>RPV-39915</t>
  </si>
  <si>
    <t>RPV-39942</t>
  </si>
  <si>
    <t>RPV-39702</t>
  </si>
  <si>
    <t>RPV-39705</t>
  </si>
  <si>
    <t>RPV-39709</t>
  </si>
  <si>
    <t>RPV-39730</t>
  </si>
  <si>
    <t>RPV-39723</t>
  </si>
  <si>
    <t>RPV-39652</t>
  </si>
  <si>
    <t>RPV-39661</t>
  </si>
  <si>
    <t>RPV-39728</t>
  </si>
  <si>
    <t>RPV-39733</t>
  </si>
  <si>
    <t>RPV-39731</t>
  </si>
  <si>
    <t>RPV-39737</t>
  </si>
  <si>
    <t>RPV-39996</t>
  </si>
  <si>
    <t>RPV-39666</t>
  </si>
  <si>
    <t>RPV-39716</t>
  </si>
  <si>
    <t>RPV-39722</t>
  </si>
  <si>
    <t>RPV-39727</t>
  </si>
  <si>
    <t>110584</t>
  </si>
  <si>
    <t>SmartEMatched8899-8412</t>
  </si>
  <si>
    <t>Roxbury</t>
  </si>
  <si>
    <t>35006.49</t>
  </si>
  <si>
    <t>SmartEMatched8937-8449</t>
  </si>
  <si>
    <t>15000</t>
  </si>
  <si>
    <t>SmartEMatched8949-8461</t>
  </si>
  <si>
    <t>Avon</t>
  </si>
  <si>
    <t>5040</t>
  </si>
  <si>
    <t>110563</t>
  </si>
  <si>
    <t>110613</t>
  </si>
  <si>
    <t>21817.8</t>
  </si>
  <si>
    <t>SmartEMatched8935-8447</t>
  </si>
  <si>
    <t>7599.85</t>
  </si>
  <si>
    <t>96200</t>
  </si>
  <si>
    <t>RPV-39549</t>
  </si>
  <si>
    <t>RPV-39097</t>
  </si>
  <si>
    <t>RPV-40007</t>
  </si>
  <si>
    <t>RPV-35316</t>
  </si>
  <si>
    <t>Wilton</t>
  </si>
  <si>
    <t>RPV-39872</t>
  </si>
  <si>
    <t>RPV-39951</t>
  </si>
  <si>
    <t>RPV-39947</t>
  </si>
  <si>
    <t>RPV-39878</t>
  </si>
  <si>
    <t>RPV-39925</t>
  </si>
  <si>
    <t>RPV-39930</t>
  </si>
  <si>
    <t>RPV-40064</t>
  </si>
  <si>
    <t>RPV-39991</t>
  </si>
  <si>
    <t>RPV-38505</t>
  </si>
  <si>
    <t>RPV-39954</t>
  </si>
  <si>
    <t>RPV-39931</t>
  </si>
  <si>
    <t>RPV-39964</t>
  </si>
  <si>
    <t>RPV-39973</t>
  </si>
  <si>
    <t>RPV-40037</t>
  </si>
  <si>
    <t>RPV-39938</t>
  </si>
  <si>
    <t>RPV-39718</t>
  </si>
  <si>
    <t>RPV-39824</t>
  </si>
  <si>
    <t>SmartEMatched8890-8403</t>
  </si>
  <si>
    <t>8350</t>
  </si>
  <si>
    <t>SmartEMatched8902-8415</t>
  </si>
  <si>
    <t>20912.66</t>
  </si>
  <si>
    <t>110734</t>
  </si>
  <si>
    <t>110120</t>
  </si>
  <si>
    <t>110660</t>
  </si>
  <si>
    <t>110710</t>
  </si>
  <si>
    <t>RPV-39956</t>
  </si>
  <si>
    <t>RPV-39988</t>
  </si>
  <si>
    <t>RPV-39960</t>
  </si>
  <si>
    <t>RPV-40072</t>
  </si>
  <si>
    <t>RPV-40074</t>
  </si>
  <si>
    <t>RPV-39927</t>
  </si>
  <si>
    <t>RPV-39911</t>
  </si>
  <si>
    <t>RPV-40035</t>
  </si>
  <si>
    <t>RPV-40057</t>
  </si>
  <si>
    <t>RPV-40071</t>
  </si>
  <si>
    <t>RPV-40058</t>
  </si>
  <si>
    <t>RPV-39620</t>
  </si>
  <si>
    <t>RPV-39736</t>
  </si>
  <si>
    <t>RPV-39926</t>
  </si>
  <si>
    <t>RPV-40020</t>
  </si>
  <si>
    <t>RPV-40054</t>
  </si>
  <si>
    <t>RPV-39735</t>
  </si>
  <si>
    <t>110421</t>
  </si>
  <si>
    <t>110496</t>
  </si>
  <si>
    <t>110715</t>
  </si>
  <si>
    <t>99346</t>
  </si>
  <si>
    <t>110763</t>
  </si>
  <si>
    <t>SmartEMatched8871-8386</t>
  </si>
  <si>
    <t>87930</t>
  </si>
  <si>
    <t>SmartEMatched9147-8637</t>
  </si>
  <si>
    <t>22500</t>
  </si>
  <si>
    <t>RPV-40023</t>
  </si>
  <si>
    <t>RPV-40019</t>
  </si>
  <si>
    <t>RPV-39333</t>
  </si>
  <si>
    <t>SmartEMatched8892-8405</t>
  </si>
  <si>
    <t>27950</t>
  </si>
  <si>
    <t>SmartEMatched8869-8384</t>
  </si>
  <si>
    <t>19862.45</t>
  </si>
  <si>
    <t>SmartEMatched8885-8398</t>
  </si>
  <si>
    <t>7984</t>
  </si>
  <si>
    <t>108465</t>
  </si>
  <si>
    <t>40447.8</t>
  </si>
  <si>
    <t>RPV-40052</t>
  </si>
  <si>
    <t>RPV-40122</t>
  </si>
  <si>
    <t>RPV-40096</t>
  </si>
  <si>
    <t>RPV-40130</t>
  </si>
  <si>
    <t>RPV-39708</t>
  </si>
  <si>
    <t>PT-101734</t>
  </si>
  <si>
    <t>189750</t>
  </si>
  <si>
    <t>SmartEMatched8874-11019</t>
  </si>
  <si>
    <t>5530.2</t>
  </si>
  <si>
    <t>SmartEMatched8825-8343</t>
  </si>
  <si>
    <t>38921</t>
  </si>
  <si>
    <t>SmartEMatched8881-8394</t>
  </si>
  <si>
    <t>4500</t>
  </si>
  <si>
    <t>SmartEMatched8959-8471</t>
  </si>
  <si>
    <t>4950</t>
  </si>
  <si>
    <t>110747</t>
  </si>
  <si>
    <t>110651</t>
  </si>
  <si>
    <t>55068</t>
  </si>
  <si>
    <t>RPV-40271</t>
  </si>
  <si>
    <t>PT-101781</t>
  </si>
  <si>
    <t>106993.25</t>
  </si>
  <si>
    <t>SmartEMatched8956-8468</t>
  </si>
  <si>
    <t>6334</t>
  </si>
  <si>
    <t>110643</t>
  </si>
  <si>
    <t>110144</t>
  </si>
  <si>
    <t>RPV-39642</t>
  </si>
  <si>
    <t>RPV-40170</t>
  </si>
  <si>
    <t>RPV-38195</t>
  </si>
  <si>
    <t>RPV-40205</t>
  </si>
  <si>
    <t>RPV-40232</t>
  </si>
  <si>
    <t>RPV-40077</t>
  </si>
  <si>
    <t>RPV-39660</t>
  </si>
  <si>
    <t>RPV-40225</t>
  </si>
  <si>
    <t>RPV-40206</t>
  </si>
  <si>
    <t>RPV-40228</t>
  </si>
  <si>
    <t>RPV-40283</t>
  </si>
  <si>
    <t>RPV-40151</t>
  </si>
  <si>
    <t>RPV-40197</t>
  </si>
  <si>
    <t>RPV-40168</t>
  </si>
  <si>
    <t>RPV-40089</t>
  </si>
  <si>
    <t>RPV-40119</t>
  </si>
  <si>
    <t>RPV-40191</t>
  </si>
  <si>
    <t>PT-101733</t>
  </si>
  <si>
    <t>150000</t>
  </si>
  <si>
    <t>5809</t>
  </si>
  <si>
    <t>Multi-Family Term</t>
  </si>
  <si>
    <t>110853</t>
  </si>
  <si>
    <t>22190.4</t>
  </si>
  <si>
    <t>110890</t>
  </si>
  <si>
    <t>26839.8</t>
  </si>
  <si>
    <t>SmartEMatched8909-8422</t>
  </si>
  <si>
    <t>15595.82</t>
  </si>
  <si>
    <t>110809</t>
  </si>
  <si>
    <t>24675.3</t>
  </si>
  <si>
    <t>110865</t>
  </si>
  <si>
    <t>110941</t>
  </si>
  <si>
    <t>SmartEMatched8876-8389</t>
  </si>
  <si>
    <t>35699</t>
  </si>
  <si>
    <t>SmartEMatched8943-8455</t>
  </si>
  <si>
    <t>5313</t>
  </si>
  <si>
    <t>110973</t>
  </si>
  <si>
    <t>130079</t>
  </si>
  <si>
    <t>110757</t>
  </si>
  <si>
    <t>Approved</t>
  </si>
  <si>
    <t>SmartEMatched8797-8323</t>
  </si>
  <si>
    <t>SmartEMatched8889-8402</t>
  </si>
  <si>
    <t>16299</t>
  </si>
  <si>
    <t>SmartEMatched8945-8457</t>
  </si>
  <si>
    <t>10533.37</t>
  </si>
  <si>
    <t>109364</t>
  </si>
  <si>
    <t>RPV-39744</t>
  </si>
  <si>
    <t>Norfolk</t>
  </si>
  <si>
    <t>RPV-40277</t>
  </si>
  <si>
    <t>RPV-39683</t>
  </si>
  <si>
    <t>RPV-39746</t>
  </si>
  <si>
    <t>RPV-40132</t>
  </si>
  <si>
    <t>RPV-40210</t>
  </si>
  <si>
    <t>RPV-40303</t>
  </si>
  <si>
    <t>RPV-40182</t>
  </si>
  <si>
    <t>RPV-40187</t>
  </si>
  <si>
    <t>RPV-40217</t>
  </si>
  <si>
    <t>RPV-40227</t>
  </si>
  <si>
    <t>RPV-40249</t>
  </si>
  <si>
    <t>RPV-40307</t>
  </si>
  <si>
    <t>RPV-40046</t>
  </si>
  <si>
    <t>RPV-39984</t>
  </si>
  <si>
    <t>RPV-40270</t>
  </si>
  <si>
    <t>RPV-40221</t>
  </si>
  <si>
    <t>RPV-40306</t>
  </si>
  <si>
    <t>RPV-39970</t>
  </si>
  <si>
    <t>RPV-40102</t>
  </si>
  <si>
    <t>RPV-39928</t>
  </si>
  <si>
    <t>RPV-40097</t>
  </si>
  <si>
    <t>RPV-39981</t>
  </si>
  <si>
    <t>RPV-40093</t>
  </si>
  <si>
    <t>RPV-40095</t>
  </si>
  <si>
    <t>RPV-40110</t>
  </si>
  <si>
    <t>RPV-40111</t>
  </si>
  <si>
    <t>RPV-40094</t>
  </si>
  <si>
    <t>Killingworth</t>
  </si>
  <si>
    <t>RPV-40264</t>
  </si>
  <si>
    <t>RPV-40075</t>
  </si>
  <si>
    <t>RPV-40105</t>
  </si>
  <si>
    <t>RPV-40263</t>
  </si>
  <si>
    <t>RPV-40081</t>
  </si>
  <si>
    <t>RPV-40083</t>
  </si>
  <si>
    <t>RPV-40090</t>
  </si>
  <si>
    <t>RPV-40092</t>
  </si>
  <si>
    <t>RPV-40255</t>
  </si>
  <si>
    <t>RPV-40293</t>
  </si>
  <si>
    <t>RPV-40287</t>
  </si>
  <si>
    <t>RPV-39978</t>
  </si>
  <si>
    <t>RPV-40076</t>
  </si>
  <si>
    <t>RPV-40078</t>
  </si>
  <si>
    <t>RPV-40252</t>
  </si>
  <si>
    <t>SmartEMatched8927-8440</t>
  </si>
  <si>
    <t>16388</t>
  </si>
  <si>
    <t>SmartEMatched9144-8634</t>
  </si>
  <si>
    <t>15330</t>
  </si>
  <si>
    <t>111012</t>
  </si>
  <si>
    <t>111030</t>
  </si>
  <si>
    <t>111090</t>
  </si>
  <si>
    <t>SmartEMatched8939-8451</t>
  </si>
  <si>
    <t>6657.52</t>
  </si>
  <si>
    <t>SmartEMatched8930-8442</t>
  </si>
  <si>
    <t>7000</t>
  </si>
  <si>
    <t>RPV-40145</t>
  </si>
  <si>
    <t>RPV-40196</t>
  </si>
  <si>
    <t>RPV-40106</t>
  </si>
  <si>
    <t>RPV-40126</t>
  </si>
  <si>
    <t>RPV-40149</t>
  </si>
  <si>
    <t>RPV-40150</t>
  </si>
  <si>
    <t>RPV-40207</t>
  </si>
  <si>
    <t>RPV-40153</t>
  </si>
  <si>
    <t>RPV-40141</t>
  </si>
  <si>
    <t>RPV-40201</t>
  </si>
  <si>
    <t>RPV-40257</t>
  </si>
  <si>
    <t>RPV-40259</t>
  </si>
  <si>
    <t>RPV-40265</t>
  </si>
  <si>
    <t>RPV-40267</t>
  </si>
  <si>
    <t>RPV-40124</t>
  </si>
  <si>
    <t>RPV-40147</t>
  </si>
  <si>
    <t>RPV-40243</t>
  </si>
  <si>
    <t>RPV-40240</t>
  </si>
  <si>
    <t>RPV-40288</t>
  </si>
  <si>
    <t>RPV-40300</t>
  </si>
  <si>
    <t>RPV-40236</t>
  </si>
  <si>
    <t>RPV-40239</t>
  </si>
  <si>
    <t>RPV-40269</t>
  </si>
  <si>
    <t>RPV-40272</t>
  </si>
  <si>
    <t>RPV-40125</t>
  </si>
  <si>
    <t>RPV-40215</t>
  </si>
  <si>
    <t>RPV-40244</t>
  </si>
  <si>
    <t>RPV-40253</t>
  </si>
  <si>
    <t>RPV-40260</t>
  </si>
  <si>
    <t>RPV-40143</t>
  </si>
  <si>
    <t>RPV-40216</t>
  </si>
  <si>
    <t>RPV-40231</t>
  </si>
  <si>
    <t>RPV-40238</t>
  </si>
  <si>
    <t>RPV-40251</t>
  </si>
  <si>
    <t>RPV-40258</t>
  </si>
  <si>
    <t>RPV-40262</t>
  </si>
  <si>
    <t>RPV-40266</t>
  </si>
  <si>
    <t>PT-101556</t>
  </si>
  <si>
    <t>3750</t>
  </si>
  <si>
    <t>6000</t>
  </si>
  <si>
    <t>110859</t>
  </si>
  <si>
    <t>111005</t>
  </si>
  <si>
    <t>SmartEMatched8936-8448</t>
  </si>
  <si>
    <t>18000</t>
  </si>
  <si>
    <t>111017</t>
  </si>
  <si>
    <t>RPV-39054</t>
  </si>
  <si>
    <t>RPV-40107</t>
  </si>
  <si>
    <t>RPV-40305</t>
  </si>
  <si>
    <t>PT-101649</t>
  </si>
  <si>
    <t>275740</t>
  </si>
  <si>
    <t>165444</t>
  </si>
  <si>
    <t>Commercial Lease</t>
  </si>
  <si>
    <t>PT-101648</t>
  </si>
  <si>
    <t>278497.4</t>
  </si>
  <si>
    <t>167098.44</t>
  </si>
  <si>
    <t>SmartEMatched8957-8469</t>
  </si>
  <si>
    <t>18048</t>
  </si>
  <si>
    <t>SmartEMatched8926-8439</t>
  </si>
  <si>
    <t>7256</t>
  </si>
  <si>
    <t>SmartEMatched8952-8464</t>
  </si>
  <si>
    <t>8976.23</t>
  </si>
  <si>
    <t>110505</t>
  </si>
  <si>
    <t>SmartEMatched8923-8436</t>
  </si>
  <si>
    <t>7717.04</t>
  </si>
  <si>
    <t>111156</t>
  </si>
  <si>
    <t>RPV-40250</t>
  </si>
  <si>
    <t>RPV-40331</t>
  </si>
  <si>
    <t>RPV-40409</t>
  </si>
  <si>
    <t>RPV-40310</t>
  </si>
  <si>
    <t>RPV-40327</t>
  </si>
  <si>
    <t>RPV-39961</t>
  </si>
  <si>
    <t>RPV-39918</t>
  </si>
  <si>
    <t>RPV-40022</t>
  </si>
  <si>
    <t>RPV-40091</t>
  </si>
  <si>
    <t>RPV-39914</t>
  </si>
  <si>
    <t>RPV-40056</t>
  </si>
  <si>
    <t>RPV-40245</t>
  </si>
  <si>
    <t>RPV-40356</t>
  </si>
  <si>
    <t>RPV-40376</t>
  </si>
  <si>
    <t>RPV-40199</t>
  </si>
  <si>
    <t>RPV-40375</t>
  </si>
  <si>
    <t>RPV-39846</t>
  </si>
  <si>
    <t>RPV-40109</t>
  </si>
  <si>
    <t>RPV-40161</t>
  </si>
  <si>
    <t>RPV-40242</t>
  </si>
  <si>
    <t>RPV-40362</t>
  </si>
  <si>
    <t>RPV-39726</t>
  </si>
  <si>
    <t>RPV-39715</t>
  </si>
  <si>
    <t>SmartEMatched8884-8397</t>
  </si>
  <si>
    <t>SmartEMatched8948-8460</t>
  </si>
  <si>
    <t>4112</t>
  </si>
  <si>
    <t>SmartEMatched8931-8443</t>
  </si>
  <si>
    <t>10487.65</t>
  </si>
  <si>
    <t>RPV-40203</t>
  </si>
  <si>
    <t>RPV-40146</t>
  </si>
  <si>
    <t>RPV-40192</t>
  </si>
  <si>
    <t>RPV-39860</t>
  </si>
  <si>
    <t>RPV-40314</t>
  </si>
  <si>
    <t>RPV-40418</t>
  </si>
  <si>
    <t>RPV-40316</t>
  </si>
  <si>
    <t>RPV-39812</t>
  </si>
  <si>
    <t>RPV-39793</t>
  </si>
  <si>
    <t>RPV-39786</t>
  </si>
  <si>
    <t>RPV-39755</t>
  </si>
  <si>
    <t>RPV-39631</t>
  </si>
  <si>
    <t>RPV-40268</t>
  </si>
  <si>
    <t>RPV-40319</t>
  </si>
  <si>
    <t>RPV-40322</t>
  </si>
  <si>
    <t>RPV-40351</t>
  </si>
  <si>
    <t>RPV-40365</t>
  </si>
  <si>
    <t>RPV-40328</t>
  </si>
  <si>
    <t>RPV-40423</t>
  </si>
  <si>
    <t>RPV-40425</t>
  </si>
  <si>
    <t>RPV-40428</t>
  </si>
  <si>
    <t>RPV-40431</t>
  </si>
  <si>
    <t>RPV-40073</t>
  </si>
  <si>
    <t>RPV-40285</t>
  </si>
  <si>
    <t>RPV-40330</t>
  </si>
  <si>
    <t>RPV-40427</t>
  </si>
  <si>
    <t>RPV-40429</t>
  </si>
  <si>
    <t>RPV-40154</t>
  </si>
  <si>
    <t>RPV-40355</t>
  </si>
  <si>
    <t>RPV-40113</t>
  </si>
  <si>
    <t>RPV-40348</t>
  </si>
  <si>
    <t>RPV-40366</t>
  </si>
  <si>
    <t>RPV-40315</t>
  </si>
  <si>
    <t>RPV-40318</t>
  </si>
  <si>
    <t>RPV-40339</t>
  </si>
  <si>
    <t>RPV-40148</t>
  </si>
  <si>
    <t>RPV-40325</t>
  </si>
  <si>
    <t>RPV-40350</t>
  </si>
  <si>
    <t>RPV-40359</t>
  </si>
  <si>
    <t>RPV-40419</t>
  </si>
  <si>
    <t>RPV-40446</t>
  </si>
  <si>
    <t>RPV-39682</t>
  </si>
  <si>
    <t>RPV-39717</t>
  </si>
  <si>
    <t>RPV-40128</t>
  </si>
  <si>
    <t>RPV-40202</t>
  </si>
  <si>
    <t>RPV-40338</t>
  </si>
  <si>
    <t>RPV-40421</t>
  </si>
  <si>
    <t>RPV-40426</t>
  </si>
  <si>
    <t>RPV-40454</t>
  </si>
  <si>
    <t>111133</t>
  </si>
  <si>
    <t>110911</t>
  </si>
  <si>
    <t>111234</t>
  </si>
  <si>
    <t>111182</t>
  </si>
  <si>
    <t>111161</t>
  </si>
  <si>
    <t>111242</t>
  </si>
  <si>
    <t>111230</t>
  </si>
  <si>
    <t>110976</t>
  </si>
  <si>
    <t>111065</t>
  </si>
  <si>
    <t>SmartEMatched8924-8437</t>
  </si>
  <si>
    <t>6850</t>
  </si>
  <si>
    <t>SmartEMatched8921-8434</t>
  </si>
  <si>
    <t>25000</t>
  </si>
  <si>
    <t>SmartEMatched8920-8433</t>
  </si>
  <si>
    <t>14709</t>
  </si>
  <si>
    <t>RPV-40440</t>
  </si>
  <si>
    <t>RPV-40443</t>
  </si>
  <si>
    <t>Cornwall</t>
  </si>
  <si>
    <t>RPV-40459</t>
  </si>
  <si>
    <t>RPV-40043</t>
  </si>
  <si>
    <t>RPV-40195</t>
  </si>
  <si>
    <t>RPV-40399</t>
  </si>
  <si>
    <t>RPV-40087</t>
  </si>
  <si>
    <t>RPV-40360</t>
  </si>
  <si>
    <t>RPV-40391</t>
  </si>
  <si>
    <t>RPV-40414</t>
  </si>
  <si>
    <t>RPV-40436</t>
  </si>
  <si>
    <t>RPV-40304</t>
  </si>
  <si>
    <t>RPV-40309</t>
  </si>
  <si>
    <t>RPV-40352</t>
  </si>
  <si>
    <t>RPV-40050</t>
  </si>
  <si>
    <t>RPV-40297</t>
  </si>
  <si>
    <t>RPV-40434</t>
  </si>
  <si>
    <t>RPV-40445</t>
  </si>
  <si>
    <t>RPV-39894</t>
  </si>
  <si>
    <t>RPV-40320</t>
  </si>
  <si>
    <t>RPV-40455</t>
  </si>
  <si>
    <t>RPV-40480</t>
  </si>
  <si>
    <t>RPV-40402</t>
  </si>
  <si>
    <t>RPV-40456</t>
  </si>
  <si>
    <t>SmartEMatched8922-8435</t>
  </si>
  <si>
    <t>SmartEMatched9000-8504</t>
  </si>
  <si>
    <t>14775</t>
  </si>
  <si>
    <t>SmartEMatched8960-8472</t>
  </si>
  <si>
    <t>11924.74</t>
  </si>
  <si>
    <t>111270</t>
  </si>
  <si>
    <t>SmartEMatched8934-8446</t>
  </si>
  <si>
    <t>9250</t>
  </si>
  <si>
    <t>RPV-34643</t>
  </si>
  <si>
    <t>RPV-40114</t>
  </si>
  <si>
    <t>RPV-40003</t>
  </si>
  <si>
    <t>RPV-40286</t>
  </si>
  <si>
    <t>RPV-40336</t>
  </si>
  <si>
    <t>RPV-40361</t>
  </si>
  <si>
    <t>RPV-40435</t>
  </si>
  <si>
    <t>RPV-40394</t>
  </si>
  <si>
    <t>RPV-40137</t>
  </si>
  <si>
    <t>RPV-40133</t>
  </si>
  <si>
    <t>RPV-40324</t>
  </si>
  <si>
    <t>RPV-40345</t>
  </si>
  <si>
    <t>SmartEMatched9015-8513</t>
  </si>
  <si>
    <t>12990</t>
  </si>
  <si>
    <t>SmartEMatched8911-8424</t>
  </si>
  <si>
    <t>3946</t>
  </si>
  <si>
    <t>SmartEMatched8958-8470</t>
  </si>
  <si>
    <t>6478.66</t>
  </si>
  <si>
    <t>110867</t>
  </si>
  <si>
    <t>110752</t>
  </si>
  <si>
    <t>RPV-40497</t>
  </si>
  <si>
    <t>RPV-40484</t>
  </si>
  <si>
    <t>RPV-40079</t>
  </si>
  <si>
    <t>RPV-40490</t>
  </si>
  <si>
    <t>RPV-40462</t>
  </si>
  <si>
    <t>RPV-39962</t>
  </si>
  <si>
    <t>RPV-39751</t>
  </si>
  <si>
    <t>RPV-40499</t>
  </si>
  <si>
    <t>RPV-40473</t>
  </si>
  <si>
    <t>RPV-40496</t>
  </si>
  <si>
    <t>RPV-40213</t>
  </si>
  <si>
    <t>RPV-40370</t>
  </si>
  <si>
    <t>RPV-40467</t>
  </si>
  <si>
    <t>RPV-40492</t>
  </si>
  <si>
    <t>SmartEMatched8857-8373</t>
  </si>
  <si>
    <t>24390</t>
  </si>
  <si>
    <t>SmartEMatched8944-8456</t>
  </si>
  <si>
    <t>110738</t>
  </si>
  <si>
    <t>111279</t>
  </si>
  <si>
    <t>SmartEMatched8933-8445</t>
  </si>
  <si>
    <t>10587</t>
  </si>
  <si>
    <t>RPV-39664</t>
  </si>
  <si>
    <t>RPV-40533</t>
  </si>
  <si>
    <t>RPV-40518</t>
  </si>
  <si>
    <t>RPV-40524</t>
  </si>
  <si>
    <t>RPV-40537</t>
  </si>
  <si>
    <t>RPV-40540</t>
  </si>
  <si>
    <t>RPV-40517</t>
  </si>
  <si>
    <t>RPV-40519</t>
  </si>
  <si>
    <t>RPV-40523</t>
  </si>
  <si>
    <t>RPV-40535</t>
  </si>
  <si>
    <t>RPV-40547</t>
  </si>
  <si>
    <t>RPV-40528</t>
  </si>
  <si>
    <t>RPV-40516</t>
  </si>
  <si>
    <t>RPV-40546</t>
  </si>
  <si>
    <t>RPV-40551</t>
  </si>
  <si>
    <t>RPV-39864</t>
  </si>
  <si>
    <t>RPV-40515</t>
  </si>
  <si>
    <t>RPV-40053</t>
  </si>
  <si>
    <t>RPV-40514</t>
  </si>
  <si>
    <t>RPV-40387</t>
  </si>
  <si>
    <t>RPV-40234</t>
  </si>
  <si>
    <t>RPV-40512</t>
  </si>
  <si>
    <t>RPV-40500</t>
  </si>
  <si>
    <t>RPV-40503</t>
  </si>
  <si>
    <t>RPV-40509</t>
  </si>
  <si>
    <t>RPV-39725</t>
  </si>
  <si>
    <t>RPV-40522</t>
  </si>
  <si>
    <t>RPV-40534</t>
  </si>
  <si>
    <t>111372</t>
  </si>
  <si>
    <t>RPV-40569</t>
  </si>
  <si>
    <t>RPV-39977</t>
  </si>
  <si>
    <t>RPV-40498</t>
  </si>
  <si>
    <t>111541</t>
  </si>
  <si>
    <t>111177</t>
  </si>
  <si>
    <t>111343</t>
  </si>
  <si>
    <t>110943</t>
  </si>
  <si>
    <t>111493</t>
  </si>
  <si>
    <t>111243</t>
  </si>
  <si>
    <t>110391</t>
  </si>
  <si>
    <t>RPV-40532</t>
  </si>
  <si>
    <t>RPV-40568</t>
  </si>
  <si>
    <t>RPV-40610</t>
  </si>
  <si>
    <t>RPV-40574</t>
  </si>
  <si>
    <t>RPV-40595</t>
  </si>
  <si>
    <t>RPV-40581</t>
  </si>
  <si>
    <t>RPV-40578</t>
  </si>
  <si>
    <t>RPV-40620</t>
  </si>
  <si>
    <t>RPV-40592</t>
  </si>
  <si>
    <t>RPV-40609</t>
  </si>
  <si>
    <t>RPV-40613</t>
  </si>
  <si>
    <t>111580</t>
  </si>
  <si>
    <t>SmartEMatched8985-8491</t>
  </si>
  <si>
    <t>9060</t>
  </si>
  <si>
    <t>SmartEMatched8999-8503</t>
  </si>
  <si>
    <t>11315</t>
  </si>
  <si>
    <t>111276</t>
  </si>
  <si>
    <t>111509</t>
  </si>
  <si>
    <t>111450</t>
  </si>
  <si>
    <t>109709</t>
  </si>
  <si>
    <t>SmartEMatched9099-8591</t>
  </si>
  <si>
    <t>SmartEMatched8990-8496</t>
  </si>
  <si>
    <t>23017.5</t>
  </si>
  <si>
    <t>RPV-40552</t>
  </si>
  <si>
    <t>RPV-40482</t>
  </si>
  <si>
    <t>RPV-40630</t>
  </si>
  <si>
    <t>RPV-40635</t>
  </si>
  <si>
    <t>RPV-40662</t>
  </si>
  <si>
    <t>RPV-40669</t>
  </si>
  <si>
    <t>RPV-40631</t>
  </si>
  <si>
    <t>RPV-40655</t>
  </si>
  <si>
    <t>RPV-40615</t>
  </si>
  <si>
    <t>RPV-40663</t>
  </si>
  <si>
    <t>RPV-40665</t>
  </si>
  <si>
    <t>RPV-40666</t>
  </si>
  <si>
    <t>RPV-40668</t>
  </si>
  <si>
    <t>RPV-40672</t>
  </si>
  <si>
    <t>RPV-40645</t>
  </si>
  <si>
    <t>RPV-40619</t>
  </si>
  <si>
    <t>RPV-40622</t>
  </si>
  <si>
    <t>RPV-40632</t>
  </si>
  <si>
    <t>RPV-40633</t>
  </si>
  <si>
    <t>RPV-40654</t>
  </si>
  <si>
    <t>RPV-40659</t>
  </si>
  <si>
    <t>RPV-40649</t>
  </si>
  <si>
    <t>RPV-40004</t>
  </si>
  <si>
    <t>RPV-40643</t>
  </si>
  <si>
    <t>RPV-40646</t>
  </si>
  <si>
    <t>RPV-40667</t>
  </si>
  <si>
    <t>SmartEMatched8953-8465</t>
  </si>
  <si>
    <t>8900</t>
  </si>
  <si>
    <t>111505</t>
  </si>
  <si>
    <t>111638</t>
  </si>
  <si>
    <t>111496</t>
  </si>
  <si>
    <t>108852</t>
  </si>
  <si>
    <t>RPV-40682</t>
  </si>
  <si>
    <t>RPV-40698</t>
  </si>
  <si>
    <t>RPV-40541</t>
  </si>
  <si>
    <t>RPV-40660</t>
  </si>
  <si>
    <t>RPV-38007</t>
  </si>
  <si>
    <t>RPV-40144</t>
  </si>
  <si>
    <t>RPV-40661</t>
  </si>
  <si>
    <t>RPV-33326</t>
  </si>
  <si>
    <t>RPV-40602</t>
  </si>
  <si>
    <t>RPV-40611</t>
  </si>
  <si>
    <t>RPV-40616</t>
  </si>
  <si>
    <t>RPV-40629</t>
  </si>
  <si>
    <t>RPV-40651</t>
  </si>
  <si>
    <t>RPV-40617</t>
  </si>
  <si>
    <t>RPV-40344</t>
  </si>
  <si>
    <t>RPV-40368</t>
  </si>
  <si>
    <t>111527</t>
  </si>
  <si>
    <t>111681</t>
  </si>
  <si>
    <t>111627</t>
  </si>
  <si>
    <t>RPV-40704</t>
  </si>
  <si>
    <t>RPV-40640</t>
  </si>
  <si>
    <t>RPV-39462</t>
  </si>
  <si>
    <t>RPV-39767</t>
  </si>
  <si>
    <t>RPV-39570</t>
  </si>
  <si>
    <t>RPV-38131</t>
  </si>
  <si>
    <t>RPV-39774</t>
  </si>
  <si>
    <t>RPV-39849</t>
  </si>
  <si>
    <t>RPV-39499</t>
  </si>
  <si>
    <t>RPV-39719</t>
  </si>
  <si>
    <t>RPV-39747</t>
  </si>
  <si>
    <t>RPV-39768</t>
  </si>
  <si>
    <t>111643</t>
  </si>
  <si>
    <t>SmartEMatched8925-8438</t>
  </si>
  <si>
    <t>10595</t>
  </si>
  <si>
    <t>111326</t>
  </si>
  <si>
    <t>111587</t>
  </si>
  <si>
    <t>111469</t>
  </si>
  <si>
    <t>111661</t>
  </si>
  <si>
    <t>26334</t>
  </si>
  <si>
    <t>99079</t>
  </si>
  <si>
    <t>RPV-40529</t>
  </si>
  <si>
    <t>Salisbury</t>
  </si>
  <si>
    <t>RPV-40685</t>
  </si>
  <si>
    <t>RPV-40756</t>
  </si>
  <si>
    <t>RPV-40036</t>
  </si>
  <si>
    <t>RPV-40282</t>
  </si>
  <si>
    <t>RPV-40347</t>
  </si>
  <si>
    <t>RPV-40184</t>
  </si>
  <si>
    <t>RPV-40372</t>
  </si>
  <si>
    <t>RPV-40555</t>
  </si>
  <si>
    <t>RPV-40738</t>
  </si>
  <si>
    <t>RPV-40751</t>
  </si>
  <si>
    <t>RPV-40652</t>
  </si>
  <si>
    <t>RPV-40706</t>
  </si>
  <si>
    <t>RPV-40744</t>
  </si>
  <si>
    <t>RPV-40585</t>
  </si>
  <si>
    <t>RPV-40719</t>
  </si>
  <si>
    <t>RPV-40776</t>
  </si>
  <si>
    <t>RPV-40039</t>
  </si>
  <si>
    <t>RPV-40650</t>
  </si>
  <si>
    <t>SmartEMatched8932-8444</t>
  </si>
  <si>
    <t>6779.52</t>
  </si>
  <si>
    <t>111767</t>
  </si>
  <si>
    <t>111790</t>
  </si>
  <si>
    <t>SmartEMatched8961-8473</t>
  </si>
  <si>
    <t>111378</t>
  </si>
  <si>
    <t>22680</t>
  </si>
  <si>
    <t>110562</t>
  </si>
  <si>
    <t>29808</t>
  </si>
  <si>
    <t>110674</t>
  </si>
  <si>
    <t>SmartEMatched8942-8454</t>
  </si>
  <si>
    <t>18049</t>
  </si>
  <si>
    <t>SmartEMatched8976-8483</t>
  </si>
  <si>
    <t>12000</t>
  </si>
  <si>
    <t>111392</t>
  </si>
  <si>
    <t>111548</t>
  </si>
  <si>
    <t>91616</t>
  </si>
  <si>
    <t>111653</t>
  </si>
  <si>
    <t>111849</t>
  </si>
  <si>
    <t>SmartEMatched8967-8478</t>
  </si>
  <si>
    <t>17655</t>
  </si>
  <si>
    <t>SmartEMatched9067-8565</t>
  </si>
  <si>
    <t>16580</t>
  </si>
  <si>
    <t>107529</t>
  </si>
  <si>
    <t>110509</t>
  </si>
  <si>
    <t>SmartEMatched9061-8559</t>
  </si>
  <si>
    <t>RPV-39772</t>
  </si>
  <si>
    <t>RPV-39713</t>
  </si>
  <si>
    <t>PT-101791</t>
  </si>
  <si>
    <t>641167.34</t>
  </si>
  <si>
    <t>SmartEMatched8966-8477</t>
  </si>
  <si>
    <t>4769.86</t>
  </si>
  <si>
    <t>SmartEMatched8963-8474</t>
  </si>
  <si>
    <t>34102.6</t>
  </si>
  <si>
    <t>SmartEMatched9001-8505</t>
  </si>
  <si>
    <t>23399</t>
  </si>
  <si>
    <t>SmartEMatched9024-8522</t>
  </si>
  <si>
    <t>111908</t>
  </si>
  <si>
    <t>SmartEMatched8954-8466</t>
  </si>
  <si>
    <t>13200</t>
  </si>
  <si>
    <t>111358</t>
  </si>
  <si>
    <t>111848</t>
  </si>
  <si>
    <t>RPV-40874</t>
  </si>
  <si>
    <t>RPV-40870</t>
  </si>
  <si>
    <t>RPV-40463</t>
  </si>
  <si>
    <t>RPV-40832</t>
  </si>
  <si>
    <t>RPV-40807</t>
  </si>
  <si>
    <t>RPV-40855</t>
  </si>
  <si>
    <t>RPV-40636</t>
  </si>
  <si>
    <t>RPV-40703</t>
  </si>
  <si>
    <t>RPV-39900</t>
  </si>
  <si>
    <t>RPV-40584</t>
  </si>
  <si>
    <t>RPV-40256</t>
  </si>
  <si>
    <t>RPV-40458</t>
  </si>
  <si>
    <t>SmartEMatched8978-8485</t>
  </si>
  <si>
    <t>7976.25</t>
  </si>
  <si>
    <t>111956</t>
  </si>
  <si>
    <t>111829</t>
  </si>
  <si>
    <t>SmartEMatched8975-8482</t>
  </si>
  <si>
    <t>4000</t>
  </si>
  <si>
    <t>RPV-40724</t>
  </si>
  <si>
    <t>PT-101763</t>
  </si>
  <si>
    <t>785182.86</t>
  </si>
  <si>
    <t>SmartEMatched8968-8479</t>
  </si>
  <si>
    <t>Wallingford</t>
  </si>
  <si>
    <t>9242</t>
  </si>
  <si>
    <t>111953</t>
  </si>
  <si>
    <t>SmartEMatched8965-8476</t>
  </si>
  <si>
    <t>14932</t>
  </si>
  <si>
    <t>SmartEMatched8981-8487</t>
  </si>
  <si>
    <t>RPV-40493</t>
  </si>
  <si>
    <t>RPV-40511</t>
  </si>
  <si>
    <t>RPV-40573</t>
  </si>
  <si>
    <t>RPV-40059</t>
  </si>
  <si>
    <t>RPV-40346</t>
  </si>
  <si>
    <t>RPV-40405</t>
  </si>
  <si>
    <t>RPV-40880</t>
  </si>
  <si>
    <t>RPV-39870</t>
  </si>
  <si>
    <t>RPV-39876</t>
  </si>
  <si>
    <t>RPV-39958</t>
  </si>
  <si>
    <t>RPV-40373</t>
  </si>
  <si>
    <t>RPV-39869</t>
  </si>
  <si>
    <t>RPV-40069</t>
  </si>
  <si>
    <t>RPV-40476</t>
  </si>
  <si>
    <t>RPV-39966</t>
  </si>
  <si>
    <t>RPV-40371</t>
  </si>
  <si>
    <t>RPV-40572</t>
  </si>
  <si>
    <t>RPV-40614</t>
  </si>
  <si>
    <t>RPV-40637</t>
  </si>
  <si>
    <t>RPV-39909</t>
  </si>
  <si>
    <t>RPV-40447</t>
  </si>
  <si>
    <t>PT-101798</t>
  </si>
  <si>
    <t>SmartEMatched9013-8511</t>
  </si>
  <si>
    <t>12850.3</t>
  </si>
  <si>
    <t>SmartEMatched9002-8506</t>
  </si>
  <si>
    <t>24206.98</t>
  </si>
  <si>
    <t>RPV-40711</t>
  </si>
  <si>
    <t>RPV-40699</t>
  </si>
  <si>
    <t>RPV-40671</t>
  </si>
  <si>
    <t>RPV-40690</t>
  </si>
  <si>
    <t>RPV-40658</t>
  </si>
  <si>
    <t>PT-101799</t>
  </si>
  <si>
    <t>111265</t>
  </si>
  <si>
    <t>111920</t>
  </si>
  <si>
    <t>RPV-40802</t>
  </si>
  <si>
    <t>RPV-41019</t>
  </si>
  <si>
    <t>RPV-40805</t>
  </si>
  <si>
    <t>RPV-40819</t>
  </si>
  <si>
    <t>RPV-40794</t>
  </si>
  <si>
    <t>RPV-40815</t>
  </si>
  <si>
    <t>RPV-40889</t>
  </si>
  <si>
    <t>RPV-40904</t>
  </si>
  <si>
    <t>RPV-40915</t>
  </si>
  <si>
    <t>RPV-40866</t>
  </si>
  <si>
    <t>111223</t>
  </si>
  <si>
    <t>112083</t>
  </si>
  <si>
    <t>SmartEMatched9036-8534</t>
  </si>
  <si>
    <t>17392</t>
  </si>
  <si>
    <t>111226</t>
  </si>
  <si>
    <t>35148</t>
  </si>
  <si>
    <t>SmartEMatched9022-8520</t>
  </si>
  <si>
    <t>27394</t>
  </si>
  <si>
    <t>SmartEMatched8974-8481</t>
  </si>
  <si>
    <t>RPV-40468</t>
  </si>
  <si>
    <t>RPV-40590</t>
  </si>
  <si>
    <t>RPV-40220</t>
  </si>
  <si>
    <t>RPV-40475</t>
  </si>
  <si>
    <t>RPV-40688</t>
  </si>
  <si>
    <t>RPV-40691</t>
  </si>
  <si>
    <t>RPV-40710</t>
  </si>
  <si>
    <t>RPV-40005</t>
  </si>
  <si>
    <t>RPV-40038</t>
  </si>
  <si>
    <t>RPV-40714</t>
  </si>
  <si>
    <t>RPV-40702</t>
  </si>
  <si>
    <t>RPV-40713</t>
  </si>
  <si>
    <t>RPV-40686</t>
  </si>
  <si>
    <t>RPV-40825</t>
  </si>
  <si>
    <t>RPV-40086</t>
  </si>
  <si>
    <t>Beacon Falls</t>
  </si>
  <si>
    <t>RPV-40689</t>
  </si>
  <si>
    <t>RPV-39980</t>
  </si>
  <si>
    <t>RPV-40104</t>
  </si>
  <si>
    <t>RPV-40281</t>
  </si>
  <si>
    <t>RPV-40280</t>
  </si>
  <si>
    <t>RPV-40461</t>
  </si>
  <si>
    <t>RPV-40006</t>
  </si>
  <si>
    <t>RPV-40008</t>
  </si>
  <si>
    <t>RPV-40415</t>
  </si>
  <si>
    <t>RPV-40278</t>
  </si>
  <si>
    <t>RPV-40876</t>
  </si>
  <si>
    <t>111945</t>
  </si>
  <si>
    <t>RPV-40950</t>
  </si>
  <si>
    <t>RPV-40737</t>
  </si>
  <si>
    <t>RPV-40739</t>
  </si>
  <si>
    <t>RPV-40712</t>
  </si>
  <si>
    <t>RPV-40695</t>
  </si>
  <si>
    <t>RPV-40721</t>
  </si>
  <si>
    <t>RPV-40728</t>
  </si>
  <si>
    <t>RPV-40692</t>
  </si>
  <si>
    <t>RPV-40693</t>
  </si>
  <si>
    <t>RPV-40716</t>
  </si>
  <si>
    <t>RPV-40709</t>
  </si>
  <si>
    <t>RPV-40730</t>
  </si>
  <si>
    <t>RPV-40723</t>
  </si>
  <si>
    <t>RPV-40726</t>
  </si>
  <si>
    <t>RPV-40732</t>
  </si>
  <si>
    <t>RPV-40734</t>
  </si>
  <si>
    <t>RPV-40725</t>
  </si>
  <si>
    <t>RPV-40731</t>
  </si>
  <si>
    <t>RPV-40798</t>
  </si>
  <si>
    <t>PT-101628</t>
  </si>
  <si>
    <t>320908.22</t>
  </si>
  <si>
    <t>137990.53</t>
  </si>
  <si>
    <t>SmartEMatched9017-8515</t>
  </si>
  <si>
    <t>8492.98</t>
  </si>
  <si>
    <t>SmartEMatched8970-8480</t>
  </si>
  <si>
    <t>7900</t>
  </si>
  <si>
    <t>112181</t>
  </si>
  <si>
    <t>112170</t>
  </si>
  <si>
    <t>112221</t>
  </si>
  <si>
    <t>RPV-40755</t>
  </si>
  <si>
    <t>RPV-40742</t>
  </si>
  <si>
    <t>RPV-40763</t>
  </si>
  <si>
    <t>RPV-40754</t>
  </si>
  <si>
    <t>RPV-40765</t>
  </si>
  <si>
    <t>RPV-40772</t>
  </si>
  <si>
    <t>RPV-40747</t>
  </si>
  <si>
    <t>RPV-40752</t>
  </si>
  <si>
    <t>SmartEMatched9039-8537</t>
  </si>
  <si>
    <t>10791.21</t>
  </si>
  <si>
    <t>SmartEMatched9052-8550</t>
  </si>
  <si>
    <t>10700</t>
  </si>
  <si>
    <t>111855</t>
  </si>
  <si>
    <t>111819</t>
  </si>
  <si>
    <t>SmartEMatched9057-8555</t>
  </si>
  <si>
    <t>8860</t>
  </si>
  <si>
    <t>RPV-40750</t>
  </si>
  <si>
    <t>Old Lyme</t>
  </si>
  <si>
    <t>RPV-40899</t>
  </si>
  <si>
    <t>RPV-40792</t>
  </si>
  <si>
    <t>RPV-39884</t>
  </si>
  <si>
    <t>RPV-40340</t>
  </si>
  <si>
    <t>RPV-40131</t>
  </si>
  <si>
    <t>RPV-40341</t>
  </si>
  <si>
    <t>RPV-40407</t>
  </si>
  <si>
    <t>RPV-39867</t>
  </si>
  <si>
    <t>RPV-40367</t>
  </si>
  <si>
    <t>SmartEMatched8998-8502</t>
  </si>
  <si>
    <t>15403.12</t>
  </si>
  <si>
    <t>112052</t>
  </si>
  <si>
    <t>112354</t>
  </si>
  <si>
    <t>115342</t>
  </si>
  <si>
    <t>111989</t>
  </si>
  <si>
    <t>RPV-40895</t>
  </si>
  <si>
    <t>RPV-40398</t>
  </si>
  <si>
    <t>RPV-39839</t>
  </si>
  <si>
    <t>RPV-39855</t>
  </si>
  <si>
    <t>RPV-40992</t>
  </si>
  <si>
    <t>SmartEMatched8982-8488</t>
  </si>
  <si>
    <t>18740</t>
  </si>
  <si>
    <t>112369</t>
  </si>
  <si>
    <t>SmartEMatched8992-8498</t>
  </si>
  <si>
    <t>3200</t>
  </si>
  <si>
    <t>SmartEMatched8988-8494</t>
  </si>
  <si>
    <t>6200</t>
  </si>
  <si>
    <t>112207</t>
  </si>
  <si>
    <t>112223</t>
  </si>
  <si>
    <t>112171</t>
  </si>
  <si>
    <t>112381</t>
  </si>
  <si>
    <t>111907</t>
  </si>
  <si>
    <t>112285</t>
  </si>
  <si>
    <t>RPV-41194</t>
  </si>
  <si>
    <t>RPV-41162</t>
  </si>
  <si>
    <t>RPV-40817</t>
  </si>
  <si>
    <t>RPV-41005</t>
  </si>
  <si>
    <t>RPV-40894</t>
  </si>
  <si>
    <t>RPV-40789</t>
  </si>
  <si>
    <t>RPV-40793</t>
  </si>
  <si>
    <t>RPV-40796</t>
  </si>
  <si>
    <t>RPV-40791</t>
  </si>
  <si>
    <t>RPV-40753</t>
  </si>
  <si>
    <t>RPV-40451</t>
  </si>
  <si>
    <t>RPV-40470</t>
  </si>
  <si>
    <t>RPV-40364</t>
  </si>
  <si>
    <t>RPV-40474</t>
  </si>
  <si>
    <t>RPV-40412</t>
  </si>
  <si>
    <t>RPV-40396</t>
  </si>
  <si>
    <t>RPV-40386</t>
  </si>
  <si>
    <t>RPV-40388</t>
  </si>
  <si>
    <t>RPV-40410</t>
  </si>
  <si>
    <t>RPV-40452</t>
  </si>
  <si>
    <t>RPV-40413</t>
  </si>
  <si>
    <t>RPV-40469</t>
  </si>
  <si>
    <t>SmartEMatched9049-8547</t>
  </si>
  <si>
    <t>7504</t>
  </si>
  <si>
    <t>SmartEMatched9016-8514</t>
  </si>
  <si>
    <t>11900</t>
  </si>
  <si>
    <t>SmartEMatched9226-8716</t>
  </si>
  <si>
    <t>RPV-40465</t>
  </si>
  <si>
    <t>Harwinton</t>
  </si>
  <si>
    <t>RPV-40441</t>
  </si>
  <si>
    <t>RPV-40556</t>
  </si>
  <si>
    <t>RPV-40586</t>
  </si>
  <si>
    <t>RPV-40558</t>
  </si>
  <si>
    <t>RPV-40553</t>
  </si>
  <si>
    <t>RPV-40564</t>
  </si>
  <si>
    <t>RPV-40577</t>
  </si>
  <si>
    <t>RPV-40579</t>
  </si>
  <si>
    <t>RPV-40580</t>
  </si>
  <si>
    <t>RPV-40570</t>
  </si>
  <si>
    <t>RPV-40816</t>
  </si>
  <si>
    <t>RPV-40900</t>
  </si>
  <si>
    <t>RPV-40563</t>
  </si>
  <si>
    <t>RPV-40562</t>
  </si>
  <si>
    <t>RPV-40575</t>
  </si>
  <si>
    <t>RPV-40809</t>
  </si>
  <si>
    <t>RPV-40799</t>
  </si>
  <si>
    <t>RPV-40941</t>
  </si>
  <si>
    <t>RPV-40224</t>
  </si>
  <si>
    <t>RPV-40481</t>
  </si>
  <si>
    <t>RPV-40507</t>
  </si>
  <si>
    <t>RPV-40505</t>
  </si>
  <si>
    <t>RPV-40342</t>
  </si>
  <si>
    <t>RPV-40506</t>
  </si>
  <si>
    <t>SmartEMatched9046-8544</t>
  </si>
  <si>
    <t>SmartEMatched9027-8525</t>
  </si>
  <si>
    <t>112507</t>
  </si>
  <si>
    <t>112580</t>
  </si>
  <si>
    <t>SmartEMatched8928-14764</t>
  </si>
  <si>
    <t>15300</t>
  </si>
  <si>
    <t>SmartEMatched8983-8489</t>
  </si>
  <si>
    <t>East Granby</t>
  </si>
  <si>
    <t>30000</t>
  </si>
  <si>
    <t>RPV-40758</t>
  </si>
  <si>
    <t>RPV-41125</t>
  </si>
  <si>
    <t>RPV-41292</t>
  </si>
  <si>
    <t>RPV-40743</t>
  </si>
  <si>
    <t>RPV-40766</t>
  </si>
  <si>
    <t>RPV-41130</t>
  </si>
  <si>
    <t>RPV-41265</t>
  </si>
  <si>
    <t>RPV-41259</t>
  </si>
  <si>
    <t>RPV-41264</t>
  </si>
  <si>
    <t>RPV-40677</t>
  </si>
  <si>
    <t>RPV-40675</t>
  </si>
  <si>
    <t>RPV-40727</t>
  </si>
  <si>
    <t>RPV-40741</t>
  </si>
  <si>
    <t>RPV-40601</t>
  </si>
  <si>
    <t>RPV-40607</t>
  </si>
  <si>
    <t>RPV-40608</t>
  </si>
  <si>
    <t>RPV-40676</t>
  </si>
  <si>
    <t>RPV-40681</t>
  </si>
  <si>
    <t>RPV-40822</t>
  </si>
  <si>
    <t>RPV-40827</t>
  </si>
  <si>
    <t>RPV-40603</t>
  </si>
  <si>
    <t>RPV-40674</t>
  </si>
  <si>
    <t>RPV-40878</t>
  </si>
  <si>
    <t>RPV-40881</t>
  </si>
  <si>
    <t>RPV-40598</t>
  </si>
  <si>
    <t>RPV-40606</t>
  </si>
  <si>
    <t>RPV-40697</t>
  </si>
  <si>
    <t>RPV-40749</t>
  </si>
  <si>
    <t>RPV-40940</t>
  </si>
  <si>
    <t>RPV-41061</t>
  </si>
  <si>
    <t>RPV-40882</t>
  </si>
  <si>
    <t>RPV-41137</t>
  </si>
  <si>
    <t>RPV-41120</t>
  </si>
  <si>
    <t>RPV-40679</t>
  </si>
  <si>
    <t>RPV-40680</t>
  </si>
  <si>
    <t>RPV-40905</t>
  </si>
  <si>
    <t>RPV-41057</t>
  </si>
  <si>
    <t>RPV-41115</t>
  </si>
  <si>
    <t>RPV-41140</t>
  </si>
  <si>
    <t>SmartEMatched8977-8484</t>
  </si>
  <si>
    <t>4661.8</t>
  </si>
  <si>
    <t>SmartEMatched8929-11069</t>
  </si>
  <si>
    <t>6680</t>
  </si>
  <si>
    <t>SmartEMatched9032-8530</t>
  </si>
  <si>
    <t>13394</t>
  </si>
  <si>
    <t>SmartEMatched9035-8533</t>
  </si>
  <si>
    <t>12188.93</t>
  </si>
  <si>
    <t>112412</t>
  </si>
  <si>
    <t>SmartEMatched8989-8495</t>
  </si>
  <si>
    <t>SmartEMatched9073-8571</t>
  </si>
  <si>
    <t>3099</t>
  </si>
  <si>
    <t>RPV-40939</t>
  </si>
  <si>
    <t>RPV-41076</t>
  </si>
  <si>
    <t>RPV-41223</t>
  </si>
  <si>
    <t>RPV-41046</t>
  </si>
  <si>
    <t>RPV-40823</t>
  </si>
  <si>
    <t>Washington</t>
  </si>
  <si>
    <t>RPV-41241</t>
  </si>
  <si>
    <t>RPV-41224</t>
  </si>
  <si>
    <t>RPV-41250</t>
  </si>
  <si>
    <t>RPV-41219</t>
  </si>
  <si>
    <t>RPV-41236</t>
  </si>
  <si>
    <t>Durham</t>
  </si>
  <si>
    <t>RPV-41235</t>
  </si>
  <si>
    <t>RPV-41189</t>
  </si>
  <si>
    <t>RPV-41249</t>
  </si>
  <si>
    <t>RPV-40761</t>
  </si>
  <si>
    <t>RPV-40784</t>
  </si>
  <si>
    <t>RPV-40852</t>
  </si>
  <si>
    <t>RPV-40957</t>
  </si>
  <si>
    <t>RPV-40969</t>
  </si>
  <si>
    <t>RPV-40778</t>
  </si>
  <si>
    <t>RPV-40800</t>
  </si>
  <si>
    <t>RPV-40803</t>
  </si>
  <si>
    <t>RPV-40847</t>
  </si>
  <si>
    <t>RPV-40767</t>
  </si>
  <si>
    <t>RPV-40821</t>
  </si>
  <si>
    <t>RPV-40853</t>
  </si>
  <si>
    <t>RPV-40888</t>
  </si>
  <si>
    <t>RPV-40921</t>
  </si>
  <si>
    <t>RPV-40759</t>
  </si>
  <si>
    <t>RPV-40770</t>
  </si>
  <si>
    <t>RPV-40783</t>
  </si>
  <si>
    <t>RPV-40785</t>
  </si>
  <si>
    <t>RPV-40968</t>
  </si>
  <si>
    <t>RPV-40771</t>
  </si>
  <si>
    <t>RPV-40892</t>
  </si>
  <si>
    <t>RPV-40923</t>
  </si>
  <si>
    <t>RPV-40970</t>
  </si>
  <si>
    <t>RPV-40780</t>
  </si>
  <si>
    <t>RPV-40801</t>
  </si>
  <si>
    <t>RPV-40916</t>
  </si>
  <si>
    <t>RPV-40917</t>
  </si>
  <si>
    <t>RPV-40946</t>
  </si>
  <si>
    <t>RPV-40953</t>
  </si>
  <si>
    <t>RPV-40960</t>
  </si>
  <si>
    <t>RPV-40844</t>
  </si>
  <si>
    <t>RPV-40845</t>
  </si>
  <si>
    <t>RPV-40919</t>
  </si>
  <si>
    <t>RPV-41216</t>
  </si>
  <si>
    <t>RPV-41212</t>
  </si>
  <si>
    <t>RPV-41289</t>
  </si>
  <si>
    <t>RPV-40769</t>
  </si>
  <si>
    <t>RPV-40775</t>
  </si>
  <si>
    <t>RPV-40786</t>
  </si>
  <si>
    <t>RPV-41220</t>
  </si>
  <si>
    <t>RPV-40951</t>
  </si>
  <si>
    <t>SmartEMatched9019-8517</t>
  </si>
  <si>
    <t>6800</t>
  </si>
  <si>
    <t>SmartEMatched9038-8536</t>
  </si>
  <si>
    <t>12994.4</t>
  </si>
  <si>
    <t>SmartEMatched8955-8467</t>
  </si>
  <si>
    <t>10400</t>
  </si>
  <si>
    <t>112062</t>
  </si>
  <si>
    <t>112685</t>
  </si>
  <si>
    <t>112644</t>
  </si>
  <si>
    <t>RPV-40885</t>
  </si>
  <si>
    <t>RPV-40974</t>
  </si>
  <si>
    <t>RPV-40988</t>
  </si>
  <si>
    <t>RPV-41016</t>
  </si>
  <si>
    <t>RPV-41022</t>
  </si>
  <si>
    <t>RPV-40700</t>
  </si>
  <si>
    <t>RPV-40884</t>
  </si>
  <si>
    <t>RPV-40978</t>
  </si>
  <si>
    <t>RPV-41010</t>
  </si>
  <si>
    <t>RPV-41021</t>
  </si>
  <si>
    <t>RPV-40973</t>
  </si>
  <si>
    <t>RPV-41000</t>
  </si>
  <si>
    <t>RPV-41002</t>
  </si>
  <si>
    <t>Marlborough</t>
  </si>
  <si>
    <t>RPV-41011</t>
  </si>
  <si>
    <t>RPV-41013</t>
  </si>
  <si>
    <t>RPV-40811</t>
  </si>
  <si>
    <t>RPV-41001</t>
  </si>
  <si>
    <t>RPV-41018</t>
  </si>
  <si>
    <t>RPV-40976</t>
  </si>
  <si>
    <t>RPV-40998</t>
  </si>
  <si>
    <t>RPV-40343</t>
  </si>
  <si>
    <t>RPV-41014</t>
  </si>
  <si>
    <t>RPV-40975</t>
  </si>
  <si>
    <t>RPV-40997</t>
  </si>
  <si>
    <t>RPV-41015</t>
  </si>
  <si>
    <t>RPV-41017</t>
  </si>
  <si>
    <t>PT-101794</t>
  </si>
  <si>
    <t>997465.84</t>
  </si>
  <si>
    <t>SmartEMatched9042-8540</t>
  </si>
  <si>
    <t>8645</t>
  </si>
  <si>
    <t>112699</t>
  </si>
  <si>
    <t>59644</t>
  </si>
  <si>
    <t>111506</t>
  </si>
  <si>
    <t>111419</t>
  </si>
  <si>
    <t>112754</t>
  </si>
  <si>
    <t>SmartEMatched8987-8493</t>
  </si>
  <si>
    <t>10487.22</t>
  </si>
  <si>
    <t>RPV-41095</t>
  </si>
  <si>
    <t>RPV-40790</t>
  </si>
  <si>
    <t>RPV-40820</t>
  </si>
  <si>
    <t>RPV-41068</t>
  </si>
  <si>
    <t>RPV-40886</t>
  </si>
  <si>
    <t>RPV-41054</t>
  </si>
  <si>
    <t>RPV-41028</t>
  </si>
  <si>
    <t>RPV-41032</t>
  </si>
  <si>
    <t>RPV-41093</t>
  </si>
  <si>
    <t>RPV-40808</t>
  </si>
  <si>
    <t>RPV-41023</t>
  </si>
  <si>
    <t>RPV-40962</t>
  </si>
  <si>
    <t>RPV-40795</t>
  </si>
  <si>
    <t>RPV-40824</t>
  </si>
  <si>
    <t>RPV-40887</t>
  </si>
  <si>
    <t>RPV-40947</t>
  </si>
  <si>
    <t>RPV-41096</t>
  </si>
  <si>
    <t>RPV-40943</t>
  </si>
  <si>
    <t>RPV-41038</t>
  </si>
  <si>
    <t>RPV-41089</t>
  </si>
  <si>
    <t>RPV-41092</t>
  </si>
  <si>
    <t>RPV-41094</t>
  </si>
  <si>
    <t>RPV-41101</t>
  </si>
  <si>
    <t>RPV-41128</t>
  </si>
  <si>
    <t>RPV-41079</t>
  </si>
  <si>
    <t>RPV-41090</t>
  </si>
  <si>
    <t>RPV-40818</t>
  </si>
  <si>
    <t>RPV-40965</t>
  </si>
  <si>
    <t>RPV-41087</t>
  </si>
  <si>
    <t>112710</t>
  </si>
  <si>
    <t>22512</t>
  </si>
  <si>
    <t>112669</t>
  </si>
  <si>
    <t>112655</t>
  </si>
  <si>
    <t>112707</t>
  </si>
  <si>
    <t>RPV-40849</t>
  </si>
  <si>
    <t>RPV-40861</t>
  </si>
  <si>
    <t>RPV-40893</t>
  </si>
  <si>
    <t>RPV-40877</t>
  </si>
  <si>
    <t>RPV-40981</t>
  </si>
  <si>
    <t>RPV-41191</t>
  </si>
  <si>
    <t>RPV-40538</t>
  </si>
  <si>
    <t>RPV-41033</t>
  </si>
  <si>
    <t>RPV-40863</t>
  </si>
  <si>
    <t>RPV-41163</t>
  </si>
  <si>
    <t>RPV-40859</t>
  </si>
  <si>
    <t>RPV-40873</t>
  </si>
  <si>
    <t>RPV-40996</t>
  </si>
  <si>
    <t>Colebrook</t>
  </si>
  <si>
    <t>RPV-41024</t>
  </si>
  <si>
    <t>RPV-41037</t>
  </si>
  <si>
    <t>RPV-41150</t>
  </si>
  <si>
    <t>RPV-41246</t>
  </si>
  <si>
    <t>RPV-41248</t>
  </si>
  <si>
    <t>RPV-40871</t>
  </si>
  <si>
    <t>RPV-40938</t>
  </si>
  <si>
    <t>RPV-41004</t>
  </si>
  <si>
    <t>RPV-41164</t>
  </si>
  <si>
    <t>RPV-41166</t>
  </si>
  <si>
    <t>RPV-41180</t>
  </si>
  <si>
    <t>RPV-41301</t>
  </si>
  <si>
    <t>RPV-41251</t>
  </si>
  <si>
    <t>RPV-41253</t>
  </si>
  <si>
    <t>RPV-40964</t>
  </si>
  <si>
    <t>RPV-41113</t>
  </si>
  <si>
    <t>RPV-41161</t>
  </si>
  <si>
    <t>RPV-41116</t>
  </si>
  <si>
    <t>RPV-41217</t>
  </si>
  <si>
    <t>RPV-41222</t>
  </si>
  <si>
    <t>RPV-41110</t>
  </si>
  <si>
    <t>RPV-41111</t>
  </si>
  <si>
    <t>RPV-41129</t>
  </si>
  <si>
    <t>RPV-41138</t>
  </si>
  <si>
    <t>RPV-41154</t>
  </si>
  <si>
    <t>RPV-41139</t>
  </si>
  <si>
    <t>RPV-41141</t>
  </si>
  <si>
    <t>RPV-41143</t>
  </si>
  <si>
    <t>RPV-41147</t>
  </si>
  <si>
    <t>RPV-41152</t>
  </si>
  <si>
    <t>RPV-41148</t>
  </si>
  <si>
    <t>RPV-41151</t>
  </si>
  <si>
    <t>RPV-41157</t>
  </si>
  <si>
    <t>RPV-41158</t>
  </si>
  <si>
    <t>RPV-41119</t>
  </si>
  <si>
    <t>RPV-41144</t>
  </si>
  <si>
    <t>RPV-41153</t>
  </si>
  <si>
    <t>RPV-41177</t>
  </si>
  <si>
    <t>RPV-41218</t>
  </si>
  <si>
    <t>RPV-41275</t>
  </si>
  <si>
    <t>RPV-41109</t>
  </si>
  <si>
    <t>RPV-41156</t>
  </si>
  <si>
    <t>SmartEMatched9143-8633</t>
  </si>
  <si>
    <t>84830</t>
  </si>
  <si>
    <t>SmartEMatched8986-8492</t>
  </si>
  <si>
    <t>9200</t>
  </si>
  <si>
    <t>RPV-41310</t>
  </si>
  <si>
    <t>RPV-41351</t>
  </si>
  <si>
    <t>RPV-41345</t>
  </si>
  <si>
    <t>RPV-41340</t>
  </si>
  <si>
    <t>RPV-41407</t>
  </si>
  <si>
    <t>RPV-41316</t>
  </si>
  <si>
    <t>RPV-41170</t>
  </si>
  <si>
    <t>RPV-41329</t>
  </si>
  <si>
    <t>RPV-41422</t>
  </si>
  <si>
    <t>RPV-41174</t>
  </si>
  <si>
    <t>RPV-41420</t>
  </si>
  <si>
    <t>RPV-41384</t>
  </si>
  <si>
    <t>RPV-41421</t>
  </si>
  <si>
    <t>RPV-41419</t>
  </si>
  <si>
    <t>RPV-41308</t>
  </si>
  <si>
    <t>SmartEMatched9018-8516</t>
  </si>
  <si>
    <t>14500</t>
  </si>
  <si>
    <t>SmartEMatched9023-8521</t>
  </si>
  <si>
    <t>10200</t>
  </si>
  <si>
    <t>SmartEMatched8971-11093</t>
  </si>
  <si>
    <t>3926</t>
  </si>
  <si>
    <t>SmartEMatched9078-8575</t>
  </si>
  <si>
    <t>13808.51</t>
  </si>
  <si>
    <t>112243</t>
  </si>
  <si>
    <t>SmartEMatched9043-8541</t>
  </si>
  <si>
    <t>21658</t>
  </si>
  <si>
    <t>112922</t>
  </si>
  <si>
    <t>SmartEMatched8941-8453</t>
  </si>
  <si>
    <t>RPV-41473</t>
  </si>
  <si>
    <t>RPV-41268</t>
  </si>
  <si>
    <t>RPV-41489</t>
  </si>
  <si>
    <t>RPV-41201</t>
  </si>
  <si>
    <t>RPV-41207</t>
  </si>
  <si>
    <t>RPV-41226</t>
  </si>
  <si>
    <t>RPV-41278</t>
  </si>
  <si>
    <t>RPV-41282</t>
  </si>
  <si>
    <t>RPV-41188</t>
  </si>
  <si>
    <t>RPV-41185</t>
  </si>
  <si>
    <t>RPV-41211</t>
  </si>
  <si>
    <t>RPV-41243</t>
  </si>
  <si>
    <t>RPV-41245</t>
  </si>
  <si>
    <t>RPV-41324</t>
  </si>
  <si>
    <t>RPV-41183</t>
  </si>
  <si>
    <t>RPV-41208</t>
  </si>
  <si>
    <t>RPV-40806</t>
  </si>
  <si>
    <t>RPV-41172</t>
  </si>
  <si>
    <t>RPV-41228</t>
  </si>
  <si>
    <t>RPV-41286</t>
  </si>
  <si>
    <t>RPV-41458</t>
  </si>
  <si>
    <t>RPV-41366</t>
  </si>
  <si>
    <t>RPV-41272</t>
  </si>
  <si>
    <t>RPV-41284</t>
  </si>
  <si>
    <t>RPV-41205</t>
  </si>
  <si>
    <t>RPV-41240</t>
  </si>
  <si>
    <t>RPV-41267</t>
  </si>
  <si>
    <t>RPV-41285</t>
  </si>
  <si>
    <t>RPV-41270</t>
  </si>
  <si>
    <t>RPV-41271</t>
  </si>
  <si>
    <t>RPV-41309</t>
  </si>
  <si>
    <t>RPV-41494</t>
  </si>
  <si>
    <t>RPV-41204</t>
  </si>
  <si>
    <t>RPV-41283</t>
  </si>
  <si>
    <t>RPV-41319</t>
  </si>
  <si>
    <t>SmartEMatched8979-11097</t>
  </si>
  <si>
    <t>11942</t>
  </si>
  <si>
    <t>SmartEMatched9086-8583</t>
  </si>
  <si>
    <t>21924</t>
  </si>
  <si>
    <t>SmartEMatched9191-8681</t>
  </si>
  <si>
    <t>8239</t>
  </si>
  <si>
    <t>112793</t>
  </si>
  <si>
    <t>SmartEMatched9129-8619</t>
  </si>
  <si>
    <t>7301</t>
  </si>
  <si>
    <t>RPV-41536</t>
  </si>
  <si>
    <t>RPV-41077</t>
  </si>
  <si>
    <t>RPV-41565</t>
  </si>
  <si>
    <t>RPV-41483</t>
  </si>
  <si>
    <t>RPV-41103</t>
  </si>
  <si>
    <t>RPV-41260</t>
  </si>
  <si>
    <t>RPV-41330</t>
  </si>
  <si>
    <t>RPV-41332</t>
  </si>
  <si>
    <t>RPV-41276</t>
  </si>
  <si>
    <t>RPV-41331</t>
  </si>
  <si>
    <t>RPV-41337</t>
  </si>
  <si>
    <t>RPV-40972</t>
  </si>
  <si>
    <t>RPV-41334</t>
  </si>
  <si>
    <t>RPV-41360</t>
  </si>
  <si>
    <t>RPV-41362</t>
  </si>
  <si>
    <t>RPV-41367</t>
  </si>
  <si>
    <t>RPV-41371</t>
  </si>
  <si>
    <t>RPV-41396</t>
  </si>
  <si>
    <t>RPV-41408</t>
  </si>
  <si>
    <t>RPV-41323</t>
  </si>
  <si>
    <t>RPV-41338</t>
  </si>
  <si>
    <t>RPV-41402</t>
  </si>
  <si>
    <t>RPV-41372</t>
  </si>
  <si>
    <t>RPV-41395</t>
  </si>
  <si>
    <t>RPV-41344</t>
  </si>
  <si>
    <t>RPV-41392</t>
  </si>
  <si>
    <t>RPV-41326</t>
  </si>
  <si>
    <t>RPV-41507</t>
  </si>
  <si>
    <t>RPV-41401</t>
  </si>
  <si>
    <t>RPV-41342</t>
  </si>
  <si>
    <t>SmartEMatched9047-8545</t>
  </si>
  <si>
    <t>8470</t>
  </si>
  <si>
    <t>SmartEMatched9165-8655</t>
  </si>
  <si>
    <t>13965</t>
  </si>
  <si>
    <t>SmartEMatched9227-8717</t>
  </si>
  <si>
    <t>15165.1</t>
  </si>
  <si>
    <t>SmartEMatched9003-8507</t>
  </si>
  <si>
    <t>3897</t>
  </si>
  <si>
    <t>SmartEMatched9216-8706</t>
  </si>
  <si>
    <t>21087</t>
  </si>
  <si>
    <t>112155</t>
  </si>
  <si>
    <t>111623</t>
  </si>
  <si>
    <t>22134</t>
  </si>
  <si>
    <t>SmartEMatched9113-8603</t>
  </si>
  <si>
    <t>SmartEMatched9033-8531</t>
  </si>
  <si>
    <t>6838</t>
  </si>
  <si>
    <t>RPV-41304</t>
  </si>
  <si>
    <t>RPV-40897</t>
  </si>
  <si>
    <t>RPV-40797</t>
  </si>
  <si>
    <t>RPV-41039</t>
  </si>
  <si>
    <t>112449</t>
  </si>
  <si>
    <t>112501</t>
  </si>
  <si>
    <t>112807</t>
  </si>
  <si>
    <t>40158</t>
  </si>
  <si>
    <t>39058</t>
  </si>
  <si>
    <t>112575</t>
  </si>
  <si>
    <t>RPV-41574</t>
  </si>
  <si>
    <t>RPV-40932</t>
  </si>
  <si>
    <t>RPV-40813</t>
  </si>
  <si>
    <t>RPV-41009</t>
  </si>
  <si>
    <t>RPV-41498</t>
  </si>
  <si>
    <t>RPV-41618</t>
  </si>
  <si>
    <t>RPV-41479</t>
  </si>
  <si>
    <t>RPV-41485</t>
  </si>
  <si>
    <t>RPV-41502</t>
  </si>
  <si>
    <t>RPV-41594</t>
  </si>
  <si>
    <t>RPV-41613</t>
  </si>
  <si>
    <t>RPV-41306</t>
  </si>
  <si>
    <t>RPV-40781</t>
  </si>
  <si>
    <t>RPV-40843</t>
  </si>
  <si>
    <t>RPV-40883</t>
  </si>
  <si>
    <t>RPV-40928</t>
  </si>
  <si>
    <t>RPV-41030</t>
  </si>
  <si>
    <t>RPV-41567</t>
  </si>
  <si>
    <t>SmartEMatched9055-8553</t>
  </si>
  <si>
    <t>14638.27</t>
  </si>
  <si>
    <t>SmartEMatched9031-8529</t>
  </si>
  <si>
    <t>8191</t>
  </si>
  <si>
    <t>111341</t>
  </si>
  <si>
    <t>17149.2</t>
  </si>
  <si>
    <t>SmartEMatched9220-8710</t>
  </si>
  <si>
    <t>7995</t>
  </si>
  <si>
    <t>SmartEMatched9242-8524</t>
  </si>
  <si>
    <t>29166</t>
  </si>
  <si>
    <t>112825</t>
  </si>
  <si>
    <t>RPV-41313</t>
  </si>
  <si>
    <t>RPV-41633</t>
  </si>
  <si>
    <t>RPV-41453</t>
  </si>
  <si>
    <t>RPV-41425</t>
  </si>
  <si>
    <t>RPV-41484</t>
  </si>
  <si>
    <t>RPV-41646</t>
  </si>
  <si>
    <t>RPV-41465</t>
  </si>
  <si>
    <t>RPV-41454</t>
  </si>
  <si>
    <t>SmartEMatched9045-8543</t>
  </si>
  <si>
    <t>4570</t>
  </si>
  <si>
    <t>SmartEMatched9014-8512</t>
  </si>
  <si>
    <t>20223</t>
  </si>
  <si>
    <t>SmartEMatched9087-8584</t>
  </si>
  <si>
    <t>7496</t>
  </si>
  <si>
    <t>112572</t>
  </si>
  <si>
    <t>112756</t>
  </si>
  <si>
    <t>RPV-41660</t>
  </si>
  <si>
    <t>RPV-41599</t>
  </si>
  <si>
    <t>RPV-40922</t>
  </si>
  <si>
    <t>RPV-41447</t>
  </si>
  <si>
    <t>RPV-41435</t>
  </si>
  <si>
    <t>RPV-41437</t>
  </si>
  <si>
    <t>RPV-41504</t>
  </si>
  <si>
    <t>RPV-41434</t>
  </si>
  <si>
    <t>RPV-41444</t>
  </si>
  <si>
    <t>RPV-41452</t>
  </si>
  <si>
    <t>RPV-41438</t>
  </si>
  <si>
    <t>RPV-41430</t>
  </si>
  <si>
    <t>RPV-41442</t>
  </si>
  <si>
    <t>RPV-41527</t>
  </si>
  <si>
    <t>RPV-41159</t>
  </si>
  <si>
    <t>SmartEMatched9029-8527</t>
  </si>
  <si>
    <t>7190</t>
  </si>
  <si>
    <t>SmartEMatched9030-8528</t>
  </si>
  <si>
    <t>29041.75</t>
  </si>
  <si>
    <t>SmartEMatched9080-8577</t>
  </si>
  <si>
    <t>14839</t>
  </si>
  <si>
    <t>SmartEMatched9021-8519</t>
  </si>
  <si>
    <t>8454.42</t>
  </si>
  <si>
    <t>114371</t>
  </si>
  <si>
    <t>113120</t>
  </si>
  <si>
    <t>112986</t>
  </si>
  <si>
    <t>RPV-41134</t>
  </si>
  <si>
    <t>RPV-41666</t>
  </si>
  <si>
    <t>RPV-41493</t>
  </si>
  <si>
    <t>Canaan</t>
  </si>
  <si>
    <t>RPV-41328</t>
  </si>
  <si>
    <t>RPV-41352</t>
  </si>
  <si>
    <t>RPV-41069</t>
  </si>
  <si>
    <t>RPV-40648</t>
  </si>
  <si>
    <t>RPV-41114</t>
  </si>
  <si>
    <t>RPV-41441</t>
  </si>
  <si>
    <t>RPV-41411</t>
  </si>
  <si>
    <t>RPV-41445</t>
  </si>
  <si>
    <t>RPV-41518</t>
  </si>
  <si>
    <t>RPV-41537</t>
  </si>
  <si>
    <t>RPV-41443</t>
  </si>
  <si>
    <t>RPV-41409</t>
  </si>
  <si>
    <t>RPV-41410</t>
  </si>
  <si>
    <t>RPV-41501</t>
  </si>
  <si>
    <t>RPV-41534</t>
  </si>
  <si>
    <t>RPV-41449</t>
  </si>
  <si>
    <t>RPV-41456</t>
  </si>
  <si>
    <t>RPV-41515</t>
  </si>
  <si>
    <t>RPV-41540</t>
  </si>
  <si>
    <t>RPV-41346</t>
  </si>
  <si>
    <t>RPV-40449</t>
  </si>
  <si>
    <t>RPV-41339</t>
  </si>
  <si>
    <t>RPV-41349</t>
  </si>
  <si>
    <t>RPV-41446</t>
  </si>
  <si>
    <t>RPV-41460</t>
  </si>
  <si>
    <t>RPV-41548</t>
  </si>
  <si>
    <t>PT-101806</t>
  </si>
  <si>
    <t>165000</t>
  </si>
  <si>
    <t>SmartEMatched9065-8563</t>
  </si>
  <si>
    <t>11300</t>
  </si>
  <si>
    <t>67357</t>
  </si>
  <si>
    <t>33936</t>
  </si>
  <si>
    <t>RPV-41221</t>
  </si>
  <si>
    <t>RPV-40850</t>
  </si>
  <si>
    <t>RPV-41511</t>
  </si>
  <si>
    <t>RPV-41529</t>
  </si>
  <si>
    <t>RPV-41592</t>
  </si>
  <si>
    <t>RPV-41623</t>
  </si>
  <si>
    <t>RPV-41620</t>
  </si>
  <si>
    <t>RPV-41176</t>
  </si>
  <si>
    <t>RPV-41173</t>
  </si>
  <si>
    <t>RPV-41247</t>
  </si>
  <si>
    <t>RPV-40851</t>
  </si>
  <si>
    <t>RPV-40926</t>
  </si>
  <si>
    <t>RPV-40925</t>
  </si>
  <si>
    <t>RPV-40779</t>
  </si>
  <si>
    <t>RPV-40848</t>
  </si>
  <si>
    <t>RPV-41500</t>
  </si>
  <si>
    <t>RPV-41632</t>
  </si>
  <si>
    <t>RPV-41637</t>
  </si>
  <si>
    <t>RPV-41519</t>
  </si>
  <si>
    <t>RPV-41593</t>
  </si>
  <si>
    <t>RPV-41589</t>
  </si>
  <si>
    <t>RPV-40846</t>
  </si>
  <si>
    <t>RPV-41495</t>
  </si>
  <si>
    <t>RPV-41497</t>
  </si>
  <si>
    <t>SmartEMatched8980-8486</t>
  </si>
  <si>
    <t>SmartEMatched9202-8692</t>
  </si>
  <si>
    <t>7200</t>
  </si>
  <si>
    <t>49174</t>
  </si>
  <si>
    <t>36358</t>
  </si>
  <si>
    <t>112816</t>
  </si>
  <si>
    <t>RPV-40683</t>
  </si>
  <si>
    <t>RPV-40935</t>
  </si>
  <si>
    <t>RPV-40929</t>
  </si>
  <si>
    <t>RPV-41198</t>
  </si>
  <si>
    <t>RPV-41397</t>
  </si>
  <si>
    <t>RPV-41398</t>
  </si>
  <si>
    <t>PT-102049</t>
  </si>
  <si>
    <t>6503800</t>
  </si>
  <si>
    <t>1200000</t>
  </si>
  <si>
    <t>Comprehensive Energy Strategy</t>
  </si>
  <si>
    <t>SmartEMatched9163-8653</t>
  </si>
  <si>
    <t>6059.73</t>
  </si>
  <si>
    <t>113171</t>
  </si>
  <si>
    <t>RPV-41596</t>
  </si>
  <si>
    <t>RPV-41553</t>
  </si>
  <si>
    <t>RPV-41550</t>
  </si>
  <si>
    <t>RPV-41542</t>
  </si>
  <si>
    <t>RPV-41558</t>
  </si>
  <si>
    <t>SmartEMatched9066-8564</t>
  </si>
  <si>
    <t>SmartEMatched9020-8518</t>
  </si>
  <si>
    <t>45000</t>
  </si>
  <si>
    <t>SmartEMatched9071-8569</t>
  </si>
  <si>
    <t>8127.83</t>
  </si>
  <si>
    <t>SmartEMatched9151-8641</t>
  </si>
  <si>
    <t>7500</t>
  </si>
  <si>
    <t>SmartEMatched9051-8549</t>
  </si>
  <si>
    <t>27207</t>
  </si>
  <si>
    <t>112273</t>
  </si>
  <si>
    <t>RPV-41020</t>
  </si>
  <si>
    <t>RPV-41067</t>
  </si>
  <si>
    <t>RPV-41582</t>
  </si>
  <si>
    <t>RPV-40949</t>
  </si>
  <si>
    <t>RPV-40971</t>
  </si>
  <si>
    <t>RPV-41025</t>
  </si>
  <si>
    <t>RPV-40908</t>
  </si>
  <si>
    <t>RPV-40979</t>
  </si>
  <si>
    <t>RPV-41573</t>
  </si>
  <si>
    <t>RPV-41575</t>
  </si>
  <si>
    <t>RPV-41606</t>
  </si>
  <si>
    <t>RPV-41648</t>
  </si>
  <si>
    <t>RPV-41547</t>
  </si>
  <si>
    <t>RPV-41555</t>
  </si>
  <si>
    <t>RPV-41579</t>
  </si>
  <si>
    <t>RPV-41600</t>
  </si>
  <si>
    <t>RPV-41635</t>
  </si>
  <si>
    <t>RPV-41568</t>
  </si>
  <si>
    <t>RPV-41598</t>
  </si>
  <si>
    <t>RPV-41603</t>
  </si>
  <si>
    <t>RPV-41322</t>
  </si>
  <si>
    <t>RPV-41585</t>
  </si>
  <si>
    <t>RPV-41605</t>
  </si>
  <si>
    <t>RPV-41621</t>
  </si>
  <si>
    <t>RPV-41587</t>
  </si>
  <si>
    <t>SmartEMatched9082-8579</t>
  </si>
  <si>
    <t>11831.42</t>
  </si>
  <si>
    <t>113344</t>
  </si>
  <si>
    <t>113077</t>
  </si>
  <si>
    <t>SmartEMatched9137-8627</t>
  </si>
  <si>
    <t>9288</t>
  </si>
  <si>
    <t>RPV-40401</t>
  </si>
  <si>
    <t>RPV-41721</t>
  </si>
  <si>
    <t>RPV-41887</t>
  </si>
  <si>
    <t>RPV-41049</t>
  </si>
  <si>
    <t>RPV-41051</t>
  </si>
  <si>
    <t>RPV-41102</t>
  </si>
  <si>
    <t>RPV-41107</t>
  </si>
  <si>
    <t>RPV-41127</t>
  </si>
  <si>
    <t>RPV-40991</t>
  </si>
  <si>
    <t>RPV-41056</t>
  </si>
  <si>
    <t>RPV-41099</t>
  </si>
  <si>
    <t>RPV-41698</t>
  </si>
  <si>
    <t>RPV-41645</t>
  </si>
  <si>
    <t>RPV-41725</t>
  </si>
  <si>
    <t>RPV-41699</t>
  </si>
  <si>
    <t>RPV-41741</t>
  </si>
  <si>
    <t>RPV-41482</t>
  </si>
  <si>
    <t>RPV-41616</t>
  </si>
  <si>
    <t>RPV-41724</t>
  </si>
  <si>
    <t>RPV-41729</t>
  </si>
  <si>
    <t>RPV-41736</t>
  </si>
  <si>
    <t>RPV-41756</t>
  </si>
  <si>
    <t>RPV-41641</t>
  </si>
  <si>
    <t>RPV-41663</t>
  </si>
  <si>
    <t>RPV-41677</t>
  </si>
  <si>
    <t>RPV-41732</t>
  </si>
  <si>
    <t>RPV-41803</t>
  </si>
  <si>
    <t>RPV-41814</t>
  </si>
  <si>
    <t>RPV-41833</t>
  </si>
  <si>
    <t>RPV-41835</t>
  </si>
  <si>
    <t>RPV-41624</t>
  </si>
  <si>
    <t>RPV-41655</t>
  </si>
  <si>
    <t>RPV-41656</t>
  </si>
  <si>
    <t>RPV-41722</t>
  </si>
  <si>
    <t>RPV-41747</t>
  </si>
  <si>
    <t>RPV-41782</t>
  </si>
  <si>
    <t>RPV-41917</t>
  </si>
  <si>
    <t>RPV-41098</t>
  </si>
  <si>
    <t>RPV-41131</t>
  </si>
  <si>
    <t>RPV-41106</t>
  </si>
  <si>
    <t>RPV-41745</t>
  </si>
  <si>
    <t>RPV-41759</t>
  </si>
  <si>
    <t>RPV-41798</t>
  </si>
  <si>
    <t>RPV-41800</t>
  </si>
  <si>
    <t>RPV-41809</t>
  </si>
  <si>
    <t>RPV-41799</t>
  </si>
  <si>
    <t>RPV-41805</t>
  </si>
  <si>
    <t>RPV-41728</t>
  </si>
  <si>
    <t>RPV-41749</t>
  </si>
  <si>
    <t>RPV-41802</t>
  </si>
  <si>
    <t>RPV-41804</t>
  </si>
  <si>
    <t>RPV-41105</t>
  </si>
  <si>
    <t>RPV-41541</t>
  </si>
  <si>
    <t>RPV-41044</t>
  </si>
  <si>
    <t>RPV-41627</t>
  </si>
  <si>
    <t>RPV-41795</t>
  </si>
  <si>
    <t>SmartEMatched9081-8578</t>
  </si>
  <si>
    <t>6780</t>
  </si>
  <si>
    <t>SmartEMatched9247-8737</t>
  </si>
  <si>
    <t>9286.8</t>
  </si>
  <si>
    <t>SmartEMatched9028-8526</t>
  </si>
  <si>
    <t>11995</t>
  </si>
  <si>
    <t>SmartEMatched9069-8567</t>
  </si>
  <si>
    <t>7895.1</t>
  </si>
  <si>
    <t>SmartEMatched9159-8649</t>
  </si>
  <si>
    <t>12496.13</t>
  </si>
  <si>
    <t>113419</t>
  </si>
  <si>
    <t>SmartEMatched8877-8390</t>
  </si>
  <si>
    <t>RPV-39924</t>
  </si>
  <si>
    <t>RPV-41184</t>
  </si>
  <si>
    <t>RPV-41210</t>
  </si>
  <si>
    <t>RPV-41274</t>
  </si>
  <si>
    <t>RPV-41662</t>
  </si>
  <si>
    <t>RPV-41794</t>
  </si>
  <si>
    <t>RPV-41192</t>
  </si>
  <si>
    <t>RPV-41214</t>
  </si>
  <si>
    <t>RPV-41551</t>
  </si>
  <si>
    <t>RPV-41665</t>
  </si>
  <si>
    <t>RPV-41735</t>
  </si>
  <si>
    <t>RPV-41955</t>
  </si>
  <si>
    <t>RPV-41779</t>
  </si>
  <si>
    <t>RPV-41657</t>
  </si>
  <si>
    <t>RPV-41175</t>
  </si>
  <si>
    <t>RPV-41133</t>
  </si>
  <si>
    <t>RPV-41239</t>
  </si>
  <si>
    <t>RPV-41661</t>
  </si>
  <si>
    <t>RPV-41734</t>
  </si>
  <si>
    <t>RPV-41758</t>
  </si>
  <si>
    <t>RPV-41801</t>
  </si>
  <si>
    <t>RPV-41297</t>
  </si>
  <si>
    <t>RPV-41293</t>
  </si>
  <si>
    <t>RPV-41863</t>
  </si>
  <si>
    <t>RPV-41874</t>
  </si>
  <si>
    <t>RPV-41295</t>
  </si>
  <si>
    <t>RPV-41888</t>
  </si>
  <si>
    <t>RPV-41869</t>
  </si>
  <si>
    <t>RPV-41889</t>
  </si>
  <si>
    <t>RPV-41132</t>
  </si>
  <si>
    <t>RPV-41872</t>
  </si>
  <si>
    <t>RPV-41871</t>
  </si>
  <si>
    <t>RPV-41881</t>
  </si>
  <si>
    <t>RPV-41883</t>
  </si>
  <si>
    <t>RPV-41229</t>
  </si>
  <si>
    <t>SmartEMatched9040-8538</t>
  </si>
  <si>
    <t>Hartland</t>
  </si>
  <si>
    <t>25396</t>
  </si>
  <si>
    <t>SmartEMatched9180-8670</t>
  </si>
  <si>
    <t>8295.3</t>
  </si>
  <si>
    <t>SmartEMatched9079-8576</t>
  </si>
  <si>
    <t>21579</t>
  </si>
  <si>
    <t>SmartEMatched9058-8556</t>
  </si>
  <si>
    <t>8505</t>
  </si>
  <si>
    <t>113456</t>
  </si>
  <si>
    <t>19456</t>
  </si>
  <si>
    <t>113513</t>
  </si>
  <si>
    <t>SmartEMatched9170-8660</t>
  </si>
  <si>
    <t>16540</t>
  </si>
  <si>
    <t>SmartEMatched9084-8581</t>
  </si>
  <si>
    <t>12593.35</t>
  </si>
  <si>
    <t>SmartEMatched9085-8582</t>
  </si>
  <si>
    <t>20000</t>
  </si>
  <si>
    <t>SmartEMatched9234-8724</t>
  </si>
  <si>
    <t>27685</t>
  </si>
  <si>
    <t>SmartEMatched9123-8613</t>
  </si>
  <si>
    <t>11360</t>
  </si>
  <si>
    <t>RPV-41305</t>
  </si>
  <si>
    <t>RPV-41750</t>
  </si>
  <si>
    <t>RPV-41806</t>
  </si>
  <si>
    <t>RPV-41953</t>
  </si>
  <si>
    <t>RPV-41350</t>
  </si>
  <si>
    <t>RPV-41753</t>
  </si>
  <si>
    <t>RPV-41311</t>
  </si>
  <si>
    <t>RPV-41314</t>
  </si>
  <si>
    <t>RPV-41726</t>
  </si>
  <si>
    <t>RPV-41733</t>
  </si>
  <si>
    <t>RPV-41619</t>
  </si>
  <si>
    <t>RPV-41961</t>
  </si>
  <si>
    <t>RPV-41588</t>
  </si>
  <si>
    <t>RPV-41412</t>
  </si>
  <si>
    <t>RPV-41960</t>
  </si>
  <si>
    <t>RPV-41964</t>
  </si>
  <si>
    <t>RPV-41902</t>
  </si>
  <si>
    <t>RPV-41572</t>
  </si>
  <si>
    <t>SmartEMatched9072-8570</t>
  </si>
  <si>
    <t>113516</t>
  </si>
  <si>
    <t>112278</t>
  </si>
  <si>
    <t>113259</t>
  </si>
  <si>
    <t>112751</t>
  </si>
  <si>
    <t>SmartEMatched9118-8608</t>
  </si>
  <si>
    <t>11000</t>
  </si>
  <si>
    <t>RPV-41230</t>
  </si>
  <si>
    <t>RPV-41317</t>
  </si>
  <si>
    <t>RPV-41356</t>
  </si>
  <si>
    <t>RPV-41617</t>
  </si>
  <si>
    <t>RPV-41941</t>
  </si>
  <si>
    <t>RPV-41951</t>
  </si>
  <si>
    <t>RPV-41840</t>
  </si>
  <si>
    <t>RPV-41894</t>
  </si>
  <si>
    <t>RPV-41895</t>
  </si>
  <si>
    <t>RPV-41940</t>
  </si>
  <si>
    <t>RPV-41629</t>
  </si>
  <si>
    <t>RPV-41948</t>
  </si>
  <si>
    <t>RPV-41990</t>
  </si>
  <si>
    <t>RPV-41578</t>
  </si>
  <si>
    <t>RPV-41723</t>
  </si>
  <si>
    <t>RPV-41901</t>
  </si>
  <si>
    <t>RPV-41764</t>
  </si>
  <si>
    <t>RPV-41938</t>
  </si>
  <si>
    <t>RPV-41963</t>
  </si>
  <si>
    <t>RPV-41918</t>
  </si>
  <si>
    <t>RPV-41906</t>
  </si>
  <si>
    <t>RPV-41915</t>
  </si>
  <si>
    <t>RPV-41786</t>
  </si>
  <si>
    <t>RPV-41910</t>
  </si>
  <si>
    <t>RPV-41995</t>
  </si>
  <si>
    <t>RPV-41909</t>
  </si>
  <si>
    <t>SmartEMatched9146-8636</t>
  </si>
  <si>
    <t>11225</t>
  </si>
  <si>
    <t>SmartEMatched9145-8635</t>
  </si>
  <si>
    <t>24445</t>
  </si>
  <si>
    <t>113569</t>
  </si>
  <si>
    <t>113350</t>
  </si>
  <si>
    <t>112527</t>
  </si>
  <si>
    <t>24499.2</t>
  </si>
  <si>
    <t>85000</t>
  </si>
  <si>
    <t>SmartEMatched9025-8523</t>
  </si>
  <si>
    <t>113465</t>
  </si>
  <si>
    <t>113511</t>
  </si>
  <si>
    <t>22356</t>
  </si>
  <si>
    <t>113270</t>
  </si>
  <si>
    <t>SmartEMatched9217-8707</t>
  </si>
  <si>
    <t>5546.2</t>
  </si>
  <si>
    <t>SmartEMatched9264-8751</t>
  </si>
  <si>
    <t>27400</t>
  </si>
  <si>
    <t>SmartEMatched9012-8510</t>
  </si>
  <si>
    <t>11996.3</t>
  </si>
  <si>
    <t>SmartEMatched9185-8675</t>
  </si>
  <si>
    <t>SmartEMatched9195-8685</t>
  </si>
  <si>
    <t>18413</t>
  </si>
  <si>
    <t>SmartEMatched9050-8548</t>
  </si>
  <si>
    <t>SmartEMatched9063-8561</t>
  </si>
  <si>
    <t>24462</t>
  </si>
  <si>
    <t>SmartEMatched9248-8738</t>
  </si>
  <si>
    <t>20241</t>
  </si>
  <si>
    <t>113502</t>
  </si>
  <si>
    <t>97198</t>
  </si>
  <si>
    <t>RPV-41325</t>
  </si>
  <si>
    <t>RPV-42053</t>
  </si>
  <si>
    <t>RPV-42009</t>
  </si>
  <si>
    <t>RPV-41706</t>
  </si>
  <si>
    <t>RPV-41879</t>
  </si>
  <si>
    <t>RPV-41690</t>
  </si>
  <si>
    <t>RPV-42034</t>
  </si>
  <si>
    <t>RPV-41388</t>
  </si>
  <si>
    <t>RPV-41692</t>
  </si>
  <si>
    <t>RPV-41347</t>
  </si>
  <si>
    <t>RPV-41686</t>
  </si>
  <si>
    <t>RPV-41687</t>
  </si>
  <si>
    <t>RPV-41792</t>
  </si>
  <si>
    <t>RPV-41720</t>
  </si>
  <si>
    <t>RPV-41934</t>
  </si>
  <si>
    <t>SmartEMatched9059-8557</t>
  </si>
  <si>
    <t>10150</t>
  </si>
  <si>
    <t>SmartEMatched9053-8551</t>
  </si>
  <si>
    <t>7490</t>
  </si>
  <si>
    <t>SmartEMatched9140-8630</t>
  </si>
  <si>
    <t>113448</t>
  </si>
  <si>
    <t>113550</t>
  </si>
  <si>
    <t>RPV-41006</t>
  </si>
  <si>
    <t>RPV-41255</t>
  </si>
  <si>
    <t>RPV-41413</t>
  </si>
  <si>
    <t>RPV-41416</t>
  </si>
  <si>
    <t>RPV-41429</t>
  </si>
  <si>
    <t>Sharon</t>
  </si>
  <si>
    <t>RPV-41417</t>
  </si>
  <si>
    <t>RPV-41370</t>
  </si>
  <si>
    <t>RPV-41418</t>
  </si>
  <si>
    <t>RPV-40757</t>
  </si>
  <si>
    <t>RPV-41652</t>
  </si>
  <si>
    <t>RPV-41705</t>
  </si>
  <si>
    <t>RPV-41590</t>
  </si>
  <si>
    <t>RPV-41455</t>
  </si>
  <si>
    <t>RPV-41559</t>
  </si>
  <si>
    <t>RPV-41586</t>
  </si>
  <si>
    <t>RPV-41517</t>
  </si>
  <si>
    <t>RPV-41691</t>
  </si>
  <si>
    <t>RPV-41466</t>
  </si>
  <si>
    <t>RPV-41653</t>
  </si>
  <si>
    <t>RPV-41695</t>
  </si>
  <si>
    <t>RPV-41432</t>
  </si>
  <si>
    <t>RPV-41468</t>
  </si>
  <si>
    <t>RPV-41718</t>
  </si>
  <si>
    <t>RPV-41475</t>
  </si>
  <si>
    <t>RPV-41817</t>
  </si>
  <si>
    <t>RPV-41717</t>
  </si>
  <si>
    <t>RPV-41854</t>
  </si>
  <si>
    <t>RPV-41885</t>
  </si>
  <si>
    <t>RPV-41769</t>
  </si>
  <si>
    <t>RPV-41848</t>
  </si>
  <si>
    <t>RPV-41905</t>
  </si>
  <si>
    <t>RPV-41433</t>
  </si>
  <si>
    <t>RPV-41560</t>
  </si>
  <si>
    <t>RPV-41651</t>
  </si>
  <si>
    <t>RPV-41668</t>
  </si>
  <si>
    <t>RPV-41719</t>
  </si>
  <si>
    <t>RPV-41823</t>
  </si>
  <si>
    <t>RPV-41926</t>
  </si>
  <si>
    <t>SmartEMatched9044-8542</t>
  </si>
  <si>
    <t>SmartEMatched9083-8580</t>
  </si>
  <si>
    <t>22770</t>
  </si>
  <si>
    <t>107471</t>
  </si>
  <si>
    <t>SmartEMatched9169-8659</t>
  </si>
  <si>
    <t>SmartEMatched9048-8546</t>
  </si>
  <si>
    <t>20800</t>
  </si>
  <si>
    <t>SmartEMatched9139-8629</t>
  </si>
  <si>
    <t>6600</t>
  </si>
  <si>
    <t>113558</t>
  </si>
  <si>
    <t>SmartEMatched9126-8616</t>
  </si>
  <si>
    <t>14708.61</t>
  </si>
  <si>
    <t>RPV-40002</t>
  </si>
  <si>
    <t>RPV-41612</t>
  </si>
  <si>
    <t>RPV-41855</t>
  </si>
  <si>
    <t>112154</t>
  </si>
  <si>
    <t>113037</t>
  </si>
  <si>
    <t>113759</t>
  </si>
  <si>
    <t>37277.5</t>
  </si>
  <si>
    <t>SmartEMatched9214-8704</t>
  </si>
  <si>
    <t>11150</t>
  </si>
  <si>
    <t>113867</t>
  </si>
  <si>
    <t>113835</t>
  </si>
  <si>
    <t>46608.9</t>
  </si>
  <si>
    <t>RPV-41491</t>
  </si>
  <si>
    <t>RPV-41658</t>
  </si>
  <si>
    <t>RPV-41968</t>
  </si>
  <si>
    <t>RPV-40812</t>
  </si>
  <si>
    <t>RPV-41643</t>
  </si>
  <si>
    <t>RPV-41448</t>
  </si>
  <si>
    <t>RPV-41773</t>
  </si>
  <si>
    <t>RPV-42021</t>
  </si>
  <si>
    <t>RPV-41945</t>
  </si>
  <si>
    <t>RPV-42085</t>
  </si>
  <si>
    <t>RPV-42239</t>
  </si>
  <si>
    <t>RPV-41834</t>
  </si>
  <si>
    <t>RPV-41907</t>
  </si>
  <si>
    <t>RPV-41924</t>
  </si>
  <si>
    <t>RPV-41932</t>
  </si>
  <si>
    <t>RPV-41904</t>
  </si>
  <si>
    <t>RPV-41930</t>
  </si>
  <si>
    <t>RPV-41994</t>
  </si>
  <si>
    <t>RPV-42016</t>
  </si>
  <si>
    <t>RPV-42112</t>
  </si>
  <si>
    <t>SmartEMatched9105-8596</t>
  </si>
  <si>
    <t>19137.88</t>
  </si>
  <si>
    <t>SmartEMatched9034-8532</t>
  </si>
  <si>
    <t>2000</t>
  </si>
  <si>
    <t>SmartEMatched9184-8674</t>
  </si>
  <si>
    <t>7114</t>
  </si>
  <si>
    <t>SmartEMatched9238-8728</t>
  </si>
  <si>
    <t>6872</t>
  </si>
  <si>
    <t>SmartEMatched9056-8554</t>
  </si>
  <si>
    <t>27734</t>
  </si>
  <si>
    <t>113871</t>
  </si>
  <si>
    <t>RPV-41513</t>
  </si>
  <si>
    <t>RPV-41200</t>
  </si>
  <si>
    <t>RPV-41381</t>
  </si>
  <si>
    <t>RPV-41974</t>
  </si>
  <si>
    <t>RPV-41988</t>
  </si>
  <si>
    <t>RPV-42010</t>
  </si>
  <si>
    <t>RPV-42043</t>
  </si>
  <si>
    <t>RPV-40985</t>
  </si>
  <si>
    <t>RPV-41611</t>
  </si>
  <si>
    <t>RPV-41469</t>
  </si>
  <si>
    <t>RPV-41320</t>
  </si>
  <si>
    <t>RPV-41436</t>
  </si>
  <si>
    <t>RPV-41503</t>
  </si>
  <si>
    <t>RPV-41528</t>
  </si>
  <si>
    <t>RPV-41431</t>
  </si>
  <si>
    <t>RPV-41943</t>
  </si>
  <si>
    <t>RPV-41979</t>
  </si>
  <si>
    <t>RPV-41980</t>
  </si>
  <si>
    <t>RPV-41991</t>
  </si>
  <si>
    <t>RPV-42055</t>
  </si>
  <si>
    <t>RPV-41977</t>
  </si>
  <si>
    <t>RPV-41989</t>
  </si>
  <si>
    <t>RPV-42006</t>
  </si>
  <si>
    <t>RPV-42011</t>
  </si>
  <si>
    <t>RPV-42030</t>
  </si>
  <si>
    <t>RPV-42056</t>
  </si>
  <si>
    <t>RPV-42065</t>
  </si>
  <si>
    <t>RPV-41970</t>
  </si>
  <si>
    <t>RPV-41972</t>
  </si>
  <si>
    <t>RPV-42035</t>
  </si>
  <si>
    <t>RPV-42046</t>
  </si>
  <si>
    <t>RPV-42062</t>
  </si>
  <si>
    <t>RPV-42102</t>
  </si>
  <si>
    <t>RPV-42125</t>
  </si>
  <si>
    <t>RPV-41944</t>
  </si>
  <si>
    <t>RPV-41978</t>
  </si>
  <si>
    <t>RPV-41986</t>
  </si>
  <si>
    <t>RPV-41992</t>
  </si>
  <si>
    <t>RPV-42038</t>
  </si>
  <si>
    <t>RPV-42067</t>
  </si>
  <si>
    <t>RPV-41942</t>
  </si>
  <si>
    <t>RPV-41975</t>
  </si>
  <si>
    <t>RPV-42015</t>
  </si>
  <si>
    <t>RPV-41958</t>
  </si>
  <si>
    <t>RPV-41981</t>
  </si>
  <si>
    <t>RPV-42045</t>
  </si>
  <si>
    <t>RPV-41862</t>
  </si>
  <si>
    <t>RPV-41916</t>
  </si>
  <si>
    <t>RPV-41913</t>
  </si>
  <si>
    <t>RPV-41920</t>
  </si>
  <si>
    <t>RPV-41936</t>
  </si>
  <si>
    <t>RPV-41935</t>
  </si>
  <si>
    <t>RPV-41812</t>
  </si>
  <si>
    <t>RPV-41912</t>
  </si>
  <si>
    <t>RPV-41929</t>
  </si>
  <si>
    <t>RPV-41514</t>
  </si>
  <si>
    <t>RPV-41530</t>
  </si>
  <si>
    <t>RPV-41557</t>
  </si>
  <si>
    <t>RPV-41956</t>
  </si>
  <si>
    <t>RPV-41973</t>
  </si>
  <si>
    <t>RPV-41984</t>
  </si>
  <si>
    <t>RPV-42091</t>
  </si>
  <si>
    <t>RPV-41832</t>
  </si>
  <si>
    <t>RPV-41893</t>
  </si>
  <si>
    <t>SmartEMatched9198-8688</t>
  </si>
  <si>
    <t>8736.87</t>
  </si>
  <si>
    <t>SmartEMatched9233-8723</t>
  </si>
  <si>
    <t>113941</t>
  </si>
  <si>
    <t>113898</t>
  </si>
  <si>
    <t>113950</t>
  </si>
  <si>
    <t>SmartEMatched9064-8562</t>
  </si>
  <si>
    <t>RPV-41628</t>
  </si>
  <si>
    <t>RPV-42179</t>
  </si>
  <si>
    <t>RPV-42050</t>
  </si>
  <si>
    <t>RPV-42141</t>
  </si>
  <si>
    <t>RPV-41604</t>
  </si>
  <si>
    <t>RPV-41952</t>
  </si>
  <si>
    <t>RPV-42106</t>
  </si>
  <si>
    <t>RPV-42108</t>
  </si>
  <si>
    <t>RPV-41636</t>
  </si>
  <si>
    <t>RPV-42153</t>
  </si>
  <si>
    <t>RPV-42159</t>
  </si>
  <si>
    <t>RPV-42170</t>
  </si>
  <si>
    <t>RPV-42122</t>
  </si>
  <si>
    <t>RPV-42140</t>
  </si>
  <si>
    <t>RPV-42151</t>
  </si>
  <si>
    <t>RPV-42168</t>
  </si>
  <si>
    <t>RPV-42178</t>
  </si>
  <si>
    <t>RPV-41957</t>
  </si>
  <si>
    <t>RPV-42104</t>
  </si>
  <si>
    <t>RPV-42164</t>
  </si>
  <si>
    <t>RPV-42177</t>
  </si>
  <si>
    <t>RPV-42080</t>
  </si>
  <si>
    <t>RPV-42160</t>
  </si>
  <si>
    <t>RPV-42175</t>
  </si>
  <si>
    <t>RPV-42198</t>
  </si>
  <si>
    <t>RPV-42118</t>
  </si>
  <si>
    <t>RPV-42120</t>
  </si>
  <si>
    <t>RPV-42174</t>
  </si>
  <si>
    <t>RPV-42182</t>
  </si>
  <si>
    <t>RPV-42285</t>
  </si>
  <si>
    <t>RPV-42121</t>
  </si>
  <si>
    <t>RPV-42169</t>
  </si>
  <si>
    <t>RPV-41937</t>
  </si>
  <si>
    <t>RPV-42176</t>
  </si>
  <si>
    <t>RPV-42281</t>
  </si>
  <si>
    <t>RPV-42103</t>
  </si>
  <si>
    <t>PT-101584</t>
  </si>
  <si>
    <t>417253</t>
  </si>
  <si>
    <t>RPV-42119</t>
  </si>
  <si>
    <t>RPV-42138</t>
  </si>
  <si>
    <t>RPV-42156</t>
  </si>
  <si>
    <t>RPV-42165</t>
  </si>
  <si>
    <t>RPV-42171</t>
  </si>
  <si>
    <t>RPV-42263</t>
  </si>
  <si>
    <t>PT-101784</t>
  </si>
  <si>
    <t>187250</t>
  </si>
  <si>
    <t>80517.5</t>
  </si>
  <si>
    <t>SmartEMatched9236-8726</t>
  </si>
  <si>
    <t>8750</t>
  </si>
  <si>
    <t>SmartEMatched9221-8711</t>
  </si>
  <si>
    <t>SmartEMatched9182-8672</t>
  </si>
  <si>
    <t>23475</t>
  </si>
  <si>
    <t>SmartEMatched9205-8695</t>
  </si>
  <si>
    <t>16329.42</t>
  </si>
  <si>
    <t>SmartEMatched9200-8690</t>
  </si>
  <si>
    <t>8010.53</t>
  </si>
  <si>
    <t>114061</t>
  </si>
  <si>
    <t>SmartEMatched9209-8699</t>
  </si>
  <si>
    <t>5976</t>
  </si>
  <si>
    <t>SmartEMatched9160-8650</t>
  </si>
  <si>
    <t>RPV-42078</t>
  </si>
  <si>
    <t>RPV-42226</t>
  </si>
  <si>
    <t>RPV-42265</t>
  </si>
  <si>
    <t>RPV-42077</t>
  </si>
  <si>
    <t>RPV-42082</t>
  </si>
  <si>
    <t>RPV-42079</t>
  </si>
  <si>
    <t>RPV-41827</t>
  </si>
  <si>
    <t>RPV-41684</t>
  </si>
  <si>
    <t>RPV-41856</t>
  </si>
  <si>
    <t>RPV-42181</t>
  </si>
  <si>
    <t>RPV-42185</t>
  </si>
  <si>
    <t>RPV-42261</t>
  </si>
  <si>
    <t>RPV-42259</t>
  </si>
  <si>
    <t>RPV-42139</t>
  </si>
  <si>
    <t>RPV-42188</t>
  </si>
  <si>
    <t>RPV-42280</t>
  </si>
  <si>
    <t>RPV-42113</t>
  </si>
  <si>
    <t>RPV-42115</t>
  </si>
  <si>
    <t>RPV-42273</t>
  </si>
  <si>
    <t>RPV-42274</t>
  </si>
  <si>
    <t>RPV-42247</t>
  </si>
  <si>
    <t>RPV-42291</t>
  </si>
  <si>
    <t>RPV-42063</t>
  </si>
  <si>
    <t>SmartEMatched9068-8566</t>
  </si>
  <si>
    <t>14990</t>
  </si>
  <si>
    <t>SmartEMatched9192-8682</t>
  </si>
  <si>
    <t>10533</t>
  </si>
  <si>
    <t>SmartEMatched9219-8709</t>
  </si>
  <si>
    <t>17900</t>
  </si>
  <si>
    <t>SmartEMatched9228-8718</t>
  </si>
  <si>
    <t>5250</t>
  </si>
  <si>
    <t>SmartEMatched9176-8666</t>
  </si>
  <si>
    <t>25262</t>
  </si>
  <si>
    <t>113753</t>
  </si>
  <si>
    <t>SmartEMatched9148-8638</t>
  </si>
  <si>
    <t>12973</t>
  </si>
  <si>
    <t>RPV-41836</t>
  </si>
  <si>
    <t>RPV-42041</t>
  </si>
  <si>
    <t>RPV-42371</t>
  </si>
  <si>
    <t>RPV-42089</t>
  </si>
  <si>
    <t>RPV-42081</t>
  </si>
  <si>
    <t>RPV-42363</t>
  </si>
  <si>
    <t>RPV-42058</t>
  </si>
  <si>
    <t>RPV-42109</t>
  </si>
  <si>
    <t>RPV-42326</t>
  </si>
  <si>
    <t>RPV-42207</t>
  </si>
  <si>
    <t>RPV-42257</t>
  </si>
  <si>
    <t>RPV-41609</t>
  </si>
  <si>
    <t>RPV-42042</t>
  </si>
  <si>
    <t>RPV-41625</t>
  </si>
  <si>
    <t>RPV-42036</t>
  </si>
  <si>
    <t>RPV-41976</t>
  </si>
  <si>
    <t>RPV-41031</t>
  </si>
  <si>
    <t>RPV-41987</t>
  </si>
  <si>
    <t>RPV-42090</t>
  </si>
  <si>
    <t>RPV-42129</t>
  </si>
  <si>
    <t>RPV-42191</t>
  </si>
  <si>
    <t>RPV-42236</t>
  </si>
  <si>
    <t>RPV-42086</t>
  </si>
  <si>
    <t>RPV-42096</t>
  </si>
  <si>
    <t>RPV-42130</t>
  </si>
  <si>
    <t>RPV-42245</t>
  </si>
  <si>
    <t>RPV-42205</t>
  </si>
  <si>
    <t>RPV-42230</t>
  </si>
  <si>
    <t>RPV-42249</t>
  </si>
  <si>
    <t>RPV-42241</t>
  </si>
  <si>
    <t>RPV-42242</t>
  </si>
  <si>
    <t>RPV-42304</t>
  </si>
  <si>
    <t>RPV-42349</t>
  </si>
  <si>
    <t>RPV-42196</t>
  </si>
  <si>
    <t>RPV-42246</t>
  </si>
  <si>
    <t>RPV-42250</t>
  </si>
  <si>
    <t>RPV-42252</t>
  </si>
  <si>
    <t>RPV-42260</t>
  </si>
  <si>
    <t>RPV-42300</t>
  </si>
  <si>
    <t>RPV-42192</t>
  </si>
  <si>
    <t>RPV-42210</t>
  </si>
  <si>
    <t>RPV-42222</t>
  </si>
  <si>
    <t>RPV-42254</t>
  </si>
  <si>
    <t>RPV-42346</t>
  </si>
  <si>
    <t>RPV-42348</t>
  </si>
  <si>
    <t>RPV-41765</t>
  </si>
  <si>
    <t>RPV-41892</t>
  </si>
  <si>
    <t>RPV-42218</t>
  </si>
  <si>
    <t>RPV-42248</t>
  </si>
  <si>
    <t>RPV-42262</t>
  </si>
  <si>
    <t>RPV-42290</t>
  </si>
  <si>
    <t>RPV-42355</t>
  </si>
  <si>
    <t>RPV-42253</t>
  </si>
  <si>
    <t>RPV-42255</t>
  </si>
  <si>
    <t>RPV-42345</t>
  </si>
  <si>
    <t>RPV-42258</t>
  </si>
  <si>
    <t>RPV-42275</t>
  </si>
  <si>
    <t>RPV-42286</t>
  </si>
  <si>
    <t>RPV-42288</t>
  </si>
  <si>
    <t>RPV-42293</t>
  </si>
  <si>
    <t>RPV-42351</t>
  </si>
  <si>
    <t>RPV-41966</t>
  </si>
  <si>
    <t>RPV-41595</t>
  </si>
  <si>
    <t>RPV-42183</t>
  </si>
  <si>
    <t>RPV-42197</t>
  </si>
  <si>
    <t>RPV-42213</t>
  </si>
  <si>
    <t>RPV-42228</t>
  </si>
  <si>
    <t>RPV-42244</t>
  </si>
  <si>
    <t>RPV-42302</t>
  </si>
  <si>
    <t>RPV-42332</t>
  </si>
  <si>
    <t>RPV-42352</t>
  </si>
  <si>
    <t>114067</t>
  </si>
  <si>
    <t>114148</t>
  </si>
  <si>
    <t>113827</t>
  </si>
  <si>
    <t>SmartEMatched9249-8739</t>
  </si>
  <si>
    <t>10089</t>
  </si>
  <si>
    <t>SmartEMatched9108-8599</t>
  </si>
  <si>
    <t>SmartEMatched9168-8658</t>
  </si>
  <si>
    <t>18158.32</t>
  </si>
  <si>
    <t>SmartEMatched9110-8601</t>
  </si>
  <si>
    <t>8881.41</t>
  </si>
  <si>
    <t>113500</t>
  </si>
  <si>
    <t>37440</t>
  </si>
  <si>
    <t>114009</t>
  </si>
  <si>
    <t>SmartEMatched9074-8572</t>
  </si>
  <si>
    <t>RPV-42033</t>
  </si>
  <si>
    <t>RPV-42383</t>
  </si>
  <si>
    <t>RPV-42137</t>
  </si>
  <si>
    <t>RPV-42186</t>
  </si>
  <si>
    <t>RPV-42073</t>
  </si>
  <si>
    <t>RPV-39300</t>
  </si>
  <si>
    <t>RPV-42076</t>
  </si>
  <si>
    <t>RPV-41355</t>
  </si>
  <si>
    <t>RPV-41701</t>
  </si>
  <si>
    <t>RPV-42069</t>
  </si>
  <si>
    <t>RPV-42135</t>
  </si>
  <si>
    <t>RPV-42306</t>
  </si>
  <si>
    <t>RPV-42384</t>
  </si>
  <si>
    <t>RPV-42095</t>
  </si>
  <si>
    <t>RPV-42133</t>
  </si>
  <si>
    <t>RPV-42189</t>
  </si>
  <si>
    <t>RPV-42303</t>
  </si>
  <si>
    <t>RPV-42387</t>
  </si>
  <si>
    <t>RPV-42301</t>
  </si>
  <si>
    <t>RPV-42310</t>
  </si>
  <si>
    <t>RPV-42373</t>
  </si>
  <si>
    <t>RPV-42315</t>
  </si>
  <si>
    <t>RPV-42317</t>
  </si>
  <si>
    <t>RPV-42385</t>
  </si>
  <si>
    <t>RPV-42305</t>
  </si>
  <si>
    <t>RPV-42093</t>
  </si>
  <si>
    <t>Sprague</t>
  </si>
  <si>
    <t>RPV-42319</t>
  </si>
  <si>
    <t>SmartEMatched9076-8574</t>
  </si>
  <si>
    <t>14600</t>
  </si>
  <si>
    <t>SmartEMatched9207-8697</t>
  </si>
  <si>
    <t>12931.69</t>
  </si>
  <si>
    <t>113911</t>
  </si>
  <si>
    <t>114236</t>
  </si>
  <si>
    <t>SmartEMatched9127-8617</t>
  </si>
  <si>
    <t>RPV-41672</t>
  </si>
  <si>
    <t>RPV-41318</t>
  </si>
  <si>
    <t>RPV-42152</t>
  </si>
  <si>
    <t>RPV-42448</t>
  </si>
  <si>
    <t>RPV-42007</t>
  </si>
  <si>
    <t>RPV-42136</t>
  </si>
  <si>
    <t>RPV-42322</t>
  </si>
  <si>
    <t>RPV-42324</t>
  </si>
  <si>
    <t>RPV-42370</t>
  </si>
  <si>
    <t>RPV-42330</t>
  </si>
  <si>
    <t>RPV-42362</t>
  </si>
  <si>
    <t>RPV-42320</t>
  </si>
  <si>
    <t>RPV-42327</t>
  </si>
  <si>
    <t>RPV-42342</t>
  </si>
  <si>
    <t>RPV-42344</t>
  </si>
  <si>
    <t>RPV-42361</t>
  </si>
  <si>
    <t>114265</t>
  </si>
  <si>
    <t>SmartEMatched9196-8686</t>
  </si>
  <si>
    <t>21000</t>
  </si>
  <si>
    <t>SmartEMatched9054-8552</t>
  </si>
  <si>
    <t>SmartEMatched9244-8734</t>
  </si>
  <si>
    <t>18735</t>
  </si>
  <si>
    <t>114281</t>
  </si>
  <si>
    <t>SmartEMatched9153-8643</t>
  </si>
  <si>
    <t>16620</t>
  </si>
  <si>
    <t>RPV-40641</t>
  </si>
  <si>
    <t>RPV-40642</t>
  </si>
  <si>
    <t>RPV-41676</t>
  </si>
  <si>
    <t>RPV-41634</t>
  </si>
  <si>
    <t>RPV-41523</t>
  </si>
  <si>
    <t>RPV-41564</t>
  </si>
  <si>
    <t>RPV-42476</t>
  </si>
  <si>
    <t>RPV-42500</t>
  </si>
  <si>
    <t>RPV-41714</t>
  </si>
  <si>
    <t>RPV-41476</t>
  </si>
  <si>
    <t>RPV-41149</t>
  </si>
  <si>
    <t>RPV-41788</t>
  </si>
  <si>
    <t>RPV-41877</t>
  </si>
  <si>
    <t>RPV-42107</t>
  </si>
  <si>
    <t>RPV-42426</t>
  </si>
  <si>
    <t>RPV-42425</t>
  </si>
  <si>
    <t>RPV-42427</t>
  </si>
  <si>
    <t>RPV-42461</t>
  </si>
  <si>
    <t>RPV-42368</t>
  </si>
  <si>
    <t>RPV-42380</t>
  </si>
  <si>
    <t>RPV-42446</t>
  </si>
  <si>
    <t>RPV-42449</t>
  </si>
  <si>
    <t>RPV-42460</t>
  </si>
  <si>
    <t>RPV-42417</t>
  </si>
  <si>
    <t>RPV-42438</t>
  </si>
  <si>
    <t>RPV-42457</t>
  </si>
  <si>
    <t>RPV-42377</t>
  </si>
  <si>
    <t>RPV-42389</t>
  </si>
  <si>
    <t>RPV-42396</t>
  </si>
  <si>
    <t>RPV-42431</t>
  </si>
  <si>
    <t>RPV-42429</t>
  </si>
  <si>
    <t>RPV-42435</t>
  </si>
  <si>
    <t>RPV-42440</t>
  </si>
  <si>
    <t>RPV-42374</t>
  </si>
  <si>
    <t>SmartEMatched9060-8558</t>
  </si>
  <si>
    <t>9793.29</t>
  </si>
  <si>
    <t>112555</t>
  </si>
  <si>
    <t>114376</t>
  </si>
  <si>
    <t>108255</t>
  </si>
  <si>
    <t>SmartEMatched9100-8592</t>
  </si>
  <si>
    <t>4966</t>
  </si>
  <si>
    <t>SmartEMatched9102-8594</t>
  </si>
  <si>
    <t>RPV-41680</t>
  </si>
  <si>
    <t>RPV-42048</t>
  </si>
  <si>
    <t>RPV-42496</t>
  </si>
  <si>
    <t>RPV-42513</t>
  </si>
  <si>
    <t>RPV-42487</t>
  </si>
  <si>
    <t>RPV-41818</t>
  </si>
  <si>
    <t>RPV-42451</t>
  </si>
  <si>
    <t>RPV-42472</t>
  </si>
  <si>
    <t>RPV-42471</t>
  </si>
  <si>
    <t>RPV-42132</t>
  </si>
  <si>
    <t>RPV-42134</t>
  </si>
  <si>
    <t>RPV-42519</t>
  </si>
  <si>
    <t>RPV-42403</t>
  </si>
  <si>
    <t>RPV-42474</t>
  </si>
  <si>
    <t>RPV-42455</t>
  </si>
  <si>
    <t>RPV-42388</t>
  </si>
  <si>
    <t>RPV-42464</t>
  </si>
  <si>
    <t>RPV-42397</t>
  </si>
  <si>
    <t>RPV-42454</t>
  </si>
  <si>
    <t>RPV-42412</t>
  </si>
  <si>
    <t>RPV-42450</t>
  </si>
  <si>
    <t>RPV-42482</t>
  </si>
  <si>
    <t>RPV-42442</t>
  </si>
  <si>
    <t>SmartEMatched9075-8573</t>
  </si>
  <si>
    <t>2720</t>
  </si>
  <si>
    <t>SmartEMatched9203-8693</t>
  </si>
  <si>
    <t>10850</t>
  </si>
  <si>
    <t>SmartEMatched9041-8539</t>
  </si>
  <si>
    <t>13065</t>
  </si>
  <si>
    <t>114401</t>
  </si>
  <si>
    <t>114403</t>
  </si>
  <si>
    <t>34295.3</t>
  </si>
  <si>
    <t>114372</t>
  </si>
  <si>
    <t>RPV-42075</t>
  </si>
  <si>
    <t>RPV-42173</t>
  </si>
  <si>
    <t>RPV-42334</t>
  </si>
  <si>
    <t>RPV-42256</t>
  </si>
  <si>
    <t>RPV-42163</t>
  </si>
  <si>
    <t>RPV-42533</t>
  </si>
  <si>
    <t>RPV-41931</t>
  </si>
  <si>
    <t>RPV-42146</t>
  </si>
  <si>
    <t>RPV-42511</t>
  </si>
  <si>
    <t>RPV-41704</t>
  </si>
  <si>
    <t>RPV-41962</t>
  </si>
  <si>
    <t>RPV-42127</t>
  </si>
  <si>
    <t>RPV-42110</t>
  </si>
  <si>
    <t>RPV-42126</t>
  </si>
  <si>
    <t>RPV-42128</t>
  </si>
  <si>
    <t>114446</t>
  </si>
  <si>
    <t>113168</t>
  </si>
  <si>
    <t>113868</t>
  </si>
  <si>
    <t>113074</t>
  </si>
  <si>
    <t>114391</t>
  </si>
  <si>
    <t>114406</t>
  </si>
  <si>
    <t>114343</t>
  </si>
  <si>
    <t>114043</t>
  </si>
  <si>
    <t>SmartEMatched9172-8662</t>
  </si>
  <si>
    <t>SmartEMatched9106-8597</t>
  </si>
  <si>
    <t>15884</t>
  </si>
  <si>
    <t>SmartEMatched9183-8673</t>
  </si>
  <si>
    <t>12128.84</t>
  </si>
  <si>
    <t>SmartEMatched9150-8640</t>
  </si>
  <si>
    <t>6160</t>
  </si>
  <si>
    <t>SmartEMatched9178-8668</t>
  </si>
  <si>
    <t>21804</t>
  </si>
  <si>
    <t>114006</t>
  </si>
  <si>
    <t>34524</t>
  </si>
  <si>
    <t>114260</t>
  </si>
  <si>
    <t>16128</t>
  </si>
  <si>
    <t>114453</t>
  </si>
  <si>
    <t>114374</t>
  </si>
  <si>
    <t>RPV-41122</t>
  </si>
  <si>
    <t>RPV-41307</t>
  </si>
  <si>
    <t>RPV-41716</t>
  </si>
  <si>
    <t>RPV-42111</t>
  </si>
  <si>
    <t>RPV-42088</t>
  </si>
  <si>
    <t>RPV-42583</t>
  </si>
  <si>
    <t>RPV-42441</t>
  </si>
  <si>
    <t>RPV-42535</t>
  </si>
  <si>
    <t>RPV-42542</t>
  </si>
  <si>
    <t>RPV-42620</t>
  </si>
  <si>
    <t>RPV-42004</t>
  </si>
  <si>
    <t>RPV-41740</t>
  </si>
  <si>
    <t>RPV-41813</t>
  </si>
  <si>
    <t>RPV-41496</t>
  </si>
  <si>
    <t>RPV-41678</t>
  </si>
  <si>
    <t>RPV-42027</t>
  </si>
  <si>
    <t>RPV-42433</t>
  </si>
  <si>
    <t>RPV-41781</t>
  </si>
  <si>
    <t>RPV-41169</t>
  </si>
  <si>
    <t>RPV-42359</t>
  </si>
  <si>
    <t>RPV-41669</t>
  </si>
  <si>
    <t>RPV-41673</t>
  </si>
  <si>
    <t>RPV-41670</t>
  </si>
  <si>
    <t>RPV-41778</t>
  </si>
  <si>
    <t>RPV-42017</t>
  </si>
  <si>
    <t>RPV-42039</t>
  </si>
  <si>
    <t>RPV-41971</t>
  </si>
  <si>
    <t>RPV-42144</t>
  </si>
  <si>
    <t>RPV-42225</t>
  </si>
  <si>
    <t>RPV-42240</t>
  </si>
  <si>
    <t>RPV-42570</t>
  </si>
  <si>
    <t>RPV-42019</t>
  </si>
  <si>
    <t>RPV-42382</t>
  </si>
  <si>
    <t>RPV-42468</t>
  </si>
  <si>
    <t>RPV-42025</t>
  </si>
  <si>
    <t>RPV-42194</t>
  </si>
  <si>
    <t>RPV-42190</t>
  </si>
  <si>
    <t>RPV-42212</t>
  </si>
  <si>
    <t>RPV-42309</t>
  </si>
  <si>
    <t>RPV-42123</t>
  </si>
  <si>
    <t>RPV-42143</t>
  </si>
  <si>
    <t>RPV-42216</t>
  </si>
  <si>
    <t>RPV-42243</t>
  </si>
  <si>
    <t>RPV-42515</t>
  </si>
  <si>
    <t>RPV-42593</t>
  </si>
  <si>
    <t>RPV-42341</t>
  </si>
  <si>
    <t>RPV-42375</t>
  </si>
  <si>
    <t>RPV-42386</t>
  </si>
  <si>
    <t>RPV-42516</t>
  </si>
  <si>
    <t>RPV-42539</t>
  </si>
  <si>
    <t>RPV-42311</t>
  </si>
  <si>
    <t>RPV-42421</t>
  </si>
  <si>
    <t>RPV-42447</t>
  </si>
  <si>
    <t>RPV-42540</t>
  </si>
  <si>
    <t>RPV-42458</t>
  </si>
  <si>
    <t>RPV-42477</t>
  </si>
  <si>
    <t>RPV-42479</t>
  </si>
  <si>
    <t>RPV-42596</t>
  </si>
  <si>
    <t>RPV-41058</t>
  </si>
  <si>
    <t>RPV-42166</t>
  </si>
  <si>
    <t>RPV-42475</t>
  </si>
  <si>
    <t>PT-101790</t>
  </si>
  <si>
    <t>North Canaan</t>
  </si>
  <si>
    <t>683321</t>
  </si>
  <si>
    <t>293828.03</t>
  </si>
  <si>
    <t>SmartEMatched9243-8733</t>
  </si>
  <si>
    <t>14000</t>
  </si>
  <si>
    <t>SmartEMatched9109-8600</t>
  </si>
  <si>
    <t>SmartEMatched9225-8715</t>
  </si>
  <si>
    <t>4745.12</t>
  </si>
  <si>
    <t>SmartEMatched9171-8661</t>
  </si>
  <si>
    <t>19651.27</t>
  </si>
  <si>
    <t>SmartEMatched9245-8735</t>
  </si>
  <si>
    <t>5682.56</t>
  </si>
  <si>
    <t>SmartEMatched9122-8612</t>
  </si>
  <si>
    <t>112552</t>
  </si>
  <si>
    <t>RPV-42469</t>
  </si>
  <si>
    <t>RPV-42299</t>
  </si>
  <si>
    <t>RPV-42343</t>
  </si>
  <si>
    <t>RPV-42510</t>
  </si>
  <si>
    <t>RPV-41908</t>
  </si>
  <si>
    <t>RPV-42509</t>
  </si>
  <si>
    <t>RPV-42399</t>
  </si>
  <si>
    <t>RPV-42508</t>
  </si>
  <si>
    <t>RPV-42567</t>
  </si>
  <si>
    <t>RPV-42552</t>
  </si>
  <si>
    <t>RPV-42565</t>
  </si>
  <si>
    <t>RPV-42485</t>
  </si>
  <si>
    <t>RPV-42517</t>
  </si>
  <si>
    <t>RPV-42544</t>
  </si>
  <si>
    <t>RPV-42488</t>
  </si>
  <si>
    <t>RPV-42518</t>
  </si>
  <si>
    <t>RPV-42563</t>
  </si>
  <si>
    <t>RPV-42480</t>
  </si>
  <si>
    <t>RPV-42494</t>
  </si>
  <si>
    <t>RPV-42506</t>
  </si>
  <si>
    <t>RPV-42490</t>
  </si>
  <si>
    <t>RPV-42492</t>
  </si>
  <si>
    <t>RPV-42514</t>
  </si>
  <si>
    <t>RPV-42504</t>
  </si>
  <si>
    <t>RPV-42507</t>
  </si>
  <si>
    <t>RPV-42512</t>
  </si>
  <si>
    <t>RPV-42465</t>
  </si>
  <si>
    <t>RPV-42484</t>
  </si>
  <si>
    <t>RPV-42520</t>
  </si>
  <si>
    <t>RPV-42564</t>
  </si>
  <si>
    <t>RPV-42365</t>
  </si>
  <si>
    <t>RPV-42498</t>
  </si>
  <si>
    <t>SmartEMatched9250-8740</t>
  </si>
  <si>
    <t>8609.03</t>
  </si>
  <si>
    <t>SmartEMatched9167-8657</t>
  </si>
  <si>
    <t>29983.9</t>
  </si>
  <si>
    <t>SmartEMatched9199-8689</t>
  </si>
  <si>
    <t>7295</t>
  </si>
  <si>
    <t>112746</t>
  </si>
  <si>
    <t>114216</t>
  </si>
  <si>
    <t>114304</t>
  </si>
  <si>
    <t>114497</t>
  </si>
  <si>
    <t>RPV-42569</t>
  </si>
  <si>
    <t>RPV-42584</t>
  </si>
  <si>
    <t>RPV-42405</t>
  </si>
  <si>
    <t>RPV-42537</t>
  </si>
  <si>
    <t>RPV-42641</t>
  </si>
  <si>
    <t>RPV-41354</t>
  </si>
  <si>
    <t>RPV-42599</t>
  </si>
  <si>
    <t>RPV-42436</t>
  </si>
  <si>
    <t>RPV-42598</t>
  </si>
  <si>
    <t>RPV-42605</t>
  </si>
  <si>
    <t>RPV-42619</t>
  </si>
  <si>
    <t>SmartEMatched9162-8652</t>
  </si>
  <si>
    <t>6665</t>
  </si>
  <si>
    <t>SmartEMatched9181-8671</t>
  </si>
  <si>
    <t>7970</t>
  </si>
  <si>
    <t>SmartEMatched9088-8585</t>
  </si>
  <si>
    <t>39675.97</t>
  </si>
  <si>
    <t>SmartEMatched9206-8696</t>
  </si>
  <si>
    <t>10789</t>
  </si>
  <si>
    <t>SmartEMatched9115-8605</t>
  </si>
  <si>
    <t>RPV-42551</t>
  </si>
  <si>
    <t>RPV-42550</t>
  </si>
  <si>
    <t>RPV-42528</t>
  </si>
  <si>
    <t>RPV-42541</t>
  </si>
  <si>
    <t>RPV-42527</t>
  </si>
  <si>
    <t>RPV-42529</t>
  </si>
  <si>
    <t>RPV-42548</t>
  </si>
  <si>
    <t>RPV-42522</t>
  </si>
  <si>
    <t>RPV-42526</t>
  </si>
  <si>
    <t>RPV-42543</t>
  </si>
  <si>
    <t>RPV-42545</t>
  </si>
  <si>
    <t>RPV-42531</t>
  </si>
  <si>
    <t>SmartEMatched9161-8651</t>
  </si>
  <si>
    <t>21984</t>
  </si>
  <si>
    <t>SmartEMatched9187-8677</t>
  </si>
  <si>
    <t>15985.4</t>
  </si>
  <si>
    <t>114619</t>
  </si>
  <si>
    <t>21933.6</t>
  </si>
  <si>
    <t>RPV-41685</t>
  </si>
  <si>
    <t>RPV-41816</t>
  </si>
  <si>
    <t>RPV-42768</t>
  </si>
  <si>
    <t>RPV-41730</t>
  </si>
  <si>
    <t>RPV-42655</t>
  </si>
  <si>
    <t>RPV-42676</t>
  </si>
  <si>
    <t>Warren</t>
  </si>
  <si>
    <t>RPV-42024</t>
  </si>
  <si>
    <t>RPV-42555</t>
  </si>
  <si>
    <t>RPV-42556</t>
  </si>
  <si>
    <t>RPV-42585</t>
  </si>
  <si>
    <t>RPV-42602</t>
  </si>
  <si>
    <t>RPV-42609</t>
  </si>
  <si>
    <t>RPV-42612</t>
  </si>
  <si>
    <t>RPV-42557</t>
  </si>
  <si>
    <t>RPV-42572</t>
  </si>
  <si>
    <t>RPV-42613</t>
  </si>
  <si>
    <t>RPV-42623</t>
  </si>
  <si>
    <t>RPV-42588</t>
  </si>
  <si>
    <t>RPV-42559</t>
  </si>
  <si>
    <t>RPV-42571</t>
  </si>
  <si>
    <t>RPV-42582</t>
  </si>
  <si>
    <t>RPV-42628</t>
  </si>
  <si>
    <t>RPV-42589</t>
  </si>
  <si>
    <t>RPV-42618</t>
  </si>
  <si>
    <t>RPV-42621</t>
  </si>
  <si>
    <t>RPV-41985</t>
  </si>
  <si>
    <t>RPV-42581</t>
  </si>
  <si>
    <t>RPV-42626</t>
  </si>
  <si>
    <t>RPV-42627</t>
  </si>
  <si>
    <t>RPV-42573</t>
  </si>
  <si>
    <t>RPV-42622</t>
  </si>
  <si>
    <t>RPV-42624</t>
  </si>
  <si>
    <t>RPV-42633</t>
  </si>
  <si>
    <t>RPV-42574</t>
  </si>
  <si>
    <t>RPV-42575</t>
  </si>
  <si>
    <t>RPV-42586</t>
  </si>
  <si>
    <t>RPV-42608</t>
  </si>
  <si>
    <t>RPV-42625</t>
  </si>
  <si>
    <t>RPV-42635</t>
  </si>
  <si>
    <t>132651</t>
  </si>
  <si>
    <t>20064</t>
  </si>
  <si>
    <t>SmartEMatched9107-8598</t>
  </si>
  <si>
    <t>9760</t>
  </si>
  <si>
    <t>SmartEMatched9224-8714</t>
  </si>
  <si>
    <t>26748</t>
  </si>
  <si>
    <t>SmartEMatched9189-8679</t>
  </si>
  <si>
    <t>17940</t>
  </si>
  <si>
    <t>114805</t>
  </si>
  <si>
    <t>114577</t>
  </si>
  <si>
    <t>114864</t>
  </si>
  <si>
    <t>RPV-41882</t>
  </si>
  <si>
    <t>RPV-41386</t>
  </si>
  <si>
    <t>RPV-42801</t>
  </si>
  <si>
    <t>RPV-42391</t>
  </si>
  <si>
    <t>RPV-42735</t>
  </si>
  <si>
    <t>RPV-42047</t>
  </si>
  <si>
    <t>RPV-42587</t>
  </si>
  <si>
    <t>RPV-41780</t>
  </si>
  <si>
    <t>RPV-42524</t>
  </si>
  <si>
    <t>RPV-41165</t>
  </si>
  <si>
    <t>RPV-42562</t>
  </si>
  <si>
    <t>RPV-42645</t>
  </si>
  <si>
    <t>RPV-42647</t>
  </si>
  <si>
    <t>RPV-42700</t>
  </si>
  <si>
    <t>RPV-42638</t>
  </si>
  <si>
    <t>RPV-42592</t>
  </si>
  <si>
    <t>RPV-42639</t>
  </si>
  <si>
    <t>RPV-42648</t>
  </si>
  <si>
    <t>RPV-42466</t>
  </si>
  <si>
    <t>RPV-42730</t>
  </si>
  <si>
    <t>RPV-42799</t>
  </si>
  <si>
    <t>RPV-42523</t>
  </si>
  <si>
    <t>RPV-42603</t>
  </si>
  <si>
    <t>114932</t>
  </si>
  <si>
    <t>SmartEMatched9117-17267</t>
  </si>
  <si>
    <t>RPV-41998</t>
  </si>
  <si>
    <t>RPV-42757</t>
  </si>
  <si>
    <t>RPV-42434</t>
  </si>
  <si>
    <t>RPV-42669</t>
  </si>
  <si>
    <t>RPV-42792</t>
  </si>
  <si>
    <t>RPV-42040</t>
  </si>
  <si>
    <t>RPV-42705</t>
  </si>
  <si>
    <t>RPV-42827</t>
  </si>
  <si>
    <t>RPV-42637</t>
  </si>
  <si>
    <t>RPV-42710</t>
  </si>
  <si>
    <t>RPV-42711</t>
  </si>
  <si>
    <t>RPV-42800</t>
  </si>
  <si>
    <t>RPV-42763</t>
  </si>
  <si>
    <t>RPV-42671</t>
  </si>
  <si>
    <t>RPV-42718</t>
  </si>
  <si>
    <t>RPV-42698</t>
  </si>
  <si>
    <t>RPV-42699</t>
  </si>
  <si>
    <t>RPV-42772</t>
  </si>
  <si>
    <t>RPV-42643</t>
  </si>
  <si>
    <t>Winchester</t>
  </si>
  <si>
    <t>RPV-41822</t>
  </si>
  <si>
    <t>SmartEMatched9232-8722</t>
  </si>
  <si>
    <t>8100</t>
  </si>
  <si>
    <t>115125</t>
  </si>
  <si>
    <t>34542</t>
  </si>
  <si>
    <t>RPV-42701</t>
  </si>
  <si>
    <t>RPV-42740</t>
  </si>
  <si>
    <t>RPV-42215</t>
  </si>
  <si>
    <t>RPV-42865</t>
  </si>
  <si>
    <t>RPV-42849</t>
  </si>
  <si>
    <t>RPV-42854</t>
  </si>
  <si>
    <t>RPV-42868</t>
  </si>
  <si>
    <t>RPV-42869</t>
  </si>
  <si>
    <t>RPV-42650</t>
  </si>
  <si>
    <t>RPV-42675</t>
  </si>
  <si>
    <t>RPV-42713</t>
  </si>
  <si>
    <t>RPV-42672</t>
  </si>
  <si>
    <t>RPV-42704</t>
  </si>
  <si>
    <t>RPV-42714</t>
  </si>
  <si>
    <t>RPV-42724</t>
  </si>
  <si>
    <t>RPV-42689</t>
  </si>
  <si>
    <t>RPV-42692</t>
  </si>
  <si>
    <t>RPV-42678</t>
  </si>
  <si>
    <t>RPV-42726</t>
  </si>
  <si>
    <t>RPV-42733</t>
  </si>
  <si>
    <t>RPV-42670</t>
  </si>
  <si>
    <t>RPV-42684</t>
  </si>
  <si>
    <t>RPV-42688</t>
  </si>
  <si>
    <t>RPV-42717</t>
  </si>
  <si>
    <t>RPV-42725</t>
  </si>
  <si>
    <t>RPV-42731</t>
  </si>
  <si>
    <t>RPV-42685</t>
  </si>
  <si>
    <t>RPV-42693</t>
  </si>
  <si>
    <t>RPV-42721</t>
  </si>
  <si>
    <t>RPV-42739</t>
  </si>
  <si>
    <t>RPV-42547</t>
  </si>
  <si>
    <t>RPV-42674</t>
  </si>
  <si>
    <t>RPV-42694</t>
  </si>
  <si>
    <t>RPV-42702</t>
  </si>
  <si>
    <t>SmartEMatched9252-8741</t>
  </si>
  <si>
    <t>SmartEMatched9215-8705</t>
  </si>
  <si>
    <t>4778.81</t>
  </si>
  <si>
    <t>115083</t>
  </si>
  <si>
    <t>114724</t>
  </si>
  <si>
    <t>SmartEMatched9101-8593</t>
  </si>
  <si>
    <t>9637</t>
  </si>
  <si>
    <t>SmartEMatched9141-8631</t>
  </si>
  <si>
    <t>8375.44</t>
  </si>
  <si>
    <t>RPV-42630</t>
  </si>
  <si>
    <t>RPV-42666</t>
  </si>
  <si>
    <t>RPV-42087</t>
  </si>
  <si>
    <t>RPV-42407</t>
  </si>
  <si>
    <t>RPV-42116</t>
  </si>
  <si>
    <t>RPV-42720</t>
  </si>
  <si>
    <t>RPV-42867</t>
  </si>
  <si>
    <t>RPV-42817</t>
  </si>
  <si>
    <t>RPV-42807</t>
  </si>
  <si>
    <t>RPV-42722</t>
  </si>
  <si>
    <t>RPV-42741</t>
  </si>
  <si>
    <t>RPV-42743</t>
  </si>
  <si>
    <t>RPV-42752</t>
  </si>
  <si>
    <t>RPV-42796</t>
  </si>
  <si>
    <t>RPV-42798</t>
  </si>
  <si>
    <t>RPV-42658</t>
  </si>
  <si>
    <t>RPV-42729</t>
  </si>
  <si>
    <t>RPV-42719</t>
  </si>
  <si>
    <t>RPV-42751</t>
  </si>
  <si>
    <t>RPV-42809</t>
  </si>
  <si>
    <t>RPV-42813</t>
  </si>
  <si>
    <t>RPV-42862</t>
  </si>
  <si>
    <t>RPV-42100</t>
  </si>
  <si>
    <t>RPV-42748</t>
  </si>
  <si>
    <t>RPV-42797</t>
  </si>
  <si>
    <t>RPV-42803</t>
  </si>
  <si>
    <t>RPV-42855</t>
  </si>
  <si>
    <t>RPV-42787</t>
  </si>
  <si>
    <t>RPV-42823</t>
  </si>
  <si>
    <t>RPV-42835</t>
  </si>
  <si>
    <t>RPV-42901</t>
  </si>
  <si>
    <t>RPV-42905</t>
  </si>
  <si>
    <t>RPV-42723</t>
  </si>
  <si>
    <t>RPV-42762</t>
  </si>
  <si>
    <t>RPV-42783</t>
  </si>
  <si>
    <t>RPV-42887</t>
  </si>
  <si>
    <t>RPV-42810</t>
  </si>
  <si>
    <t>RPV-42851</t>
  </si>
  <si>
    <t>RPV-42907</t>
  </si>
  <si>
    <t>RPV-42750</t>
  </si>
  <si>
    <t>RPV-42808</t>
  </si>
  <si>
    <t>RPV-42859</t>
  </si>
  <si>
    <t>RPV-42863</t>
  </si>
  <si>
    <t>RPV-42861</t>
  </si>
  <si>
    <t>RPV-42903</t>
  </si>
  <si>
    <t>RPV-42483</t>
  </si>
  <si>
    <t>RPV-42742</t>
  </si>
  <si>
    <t>RPV-42753</t>
  </si>
  <si>
    <t>RPV-42789</t>
  </si>
  <si>
    <t>RPV-42836</t>
  </si>
  <si>
    <t>RPV-42853</t>
  </si>
  <si>
    <t>RPV-42877</t>
  </si>
  <si>
    <t>RPV-42899</t>
  </si>
  <si>
    <t>RPV-42922</t>
  </si>
  <si>
    <t>SmartEMatched9256-8743</t>
  </si>
  <si>
    <t>11212.83</t>
  </si>
  <si>
    <t>SmartEMatched9177-8667</t>
  </si>
  <si>
    <t>14341.3</t>
  </si>
  <si>
    <t>114842</t>
  </si>
  <si>
    <t>113015</t>
  </si>
  <si>
    <t>SmartEMatched9116-8606</t>
  </si>
  <si>
    <t>10535</t>
  </si>
  <si>
    <t>RPV-42831</t>
  </si>
  <si>
    <t>RPV-42896</t>
  </si>
  <si>
    <t>RPV-42595</t>
  </si>
  <si>
    <t>RPV-42746</t>
  </si>
  <si>
    <t>RPV-42858</t>
  </si>
  <si>
    <t>RPV-42749</t>
  </si>
  <si>
    <t>RPV-42839</t>
  </si>
  <si>
    <t>RPV-42924</t>
  </si>
  <si>
    <t>RPV-42745</t>
  </si>
  <si>
    <t>RPV-42840</t>
  </si>
  <si>
    <t>RPV-42873</t>
  </si>
  <si>
    <t>RPV-42894</t>
  </si>
  <si>
    <t>RPV-42744</t>
  </si>
  <si>
    <t>PT-101785</t>
  </si>
  <si>
    <t>1109922.68</t>
  </si>
  <si>
    <t>RPV-42874</t>
  </si>
  <si>
    <t>SmartEMatched9218-8708</t>
  </si>
  <si>
    <t>SmartEMatched9164-8654</t>
  </si>
  <si>
    <t>115207</t>
  </si>
  <si>
    <t>SmartEMatched9152-8642</t>
  </si>
  <si>
    <t>6875</t>
  </si>
  <si>
    <t>SmartEMatched9186-8676</t>
  </si>
  <si>
    <t>SmartEMatched9197-8687</t>
  </si>
  <si>
    <t>5200</t>
  </si>
  <si>
    <t>114200</t>
  </si>
  <si>
    <t>115197</t>
  </si>
  <si>
    <t>114450</t>
  </si>
  <si>
    <t>99049</t>
  </si>
  <si>
    <t>SmartEMatched9142-14824</t>
  </si>
  <si>
    <t>RPV-42804</t>
  </si>
  <si>
    <t>RPV-42597</t>
  </si>
  <si>
    <t>RPV-42400</t>
  </si>
  <si>
    <t>RPV-42591</t>
  </si>
  <si>
    <t>RPV-42875</t>
  </si>
  <si>
    <t>RPV-42876</t>
  </si>
  <si>
    <t>RPV-42921</t>
  </si>
  <si>
    <t>RPV-42857</t>
  </si>
  <si>
    <t>RPV-42607</t>
  </si>
  <si>
    <t>RPV-42864</t>
  </si>
  <si>
    <t>RPV-42892</t>
  </si>
  <si>
    <t>RPV-42812</t>
  </si>
  <si>
    <t>RPV-42779</t>
  </si>
  <si>
    <t>RPV-42790</t>
  </si>
  <si>
    <t>PT-101819</t>
  </si>
  <si>
    <t>47217.6</t>
  </si>
  <si>
    <t>PT-101818</t>
  </si>
  <si>
    <t>PT-101829</t>
  </si>
  <si>
    <t>216391.82</t>
  </si>
  <si>
    <t>RPV-42977</t>
  </si>
  <si>
    <t>RPV-42984</t>
  </si>
  <si>
    <t>PT-101828</t>
  </si>
  <si>
    <t>291536.35</t>
  </si>
  <si>
    <t>SmartEMatched9237-8727</t>
  </si>
  <si>
    <t>110764</t>
  </si>
  <si>
    <t>112277</t>
  </si>
  <si>
    <t>115300</t>
  </si>
  <si>
    <t>115291</t>
  </si>
  <si>
    <t>SmartEMatched9138-14686</t>
  </si>
  <si>
    <t>14008</t>
  </si>
  <si>
    <t>99922</t>
  </si>
  <si>
    <t>RPV-42884</t>
  </si>
  <si>
    <t>SmartEMatched9261-8748</t>
  </si>
  <si>
    <t>7440</t>
  </si>
  <si>
    <t>SmartEMatched9213-8703</t>
  </si>
  <si>
    <t>33281.42</t>
  </si>
  <si>
    <t>SmartEMatched9155-8645</t>
  </si>
  <si>
    <t>20156</t>
  </si>
  <si>
    <t>SmartEMatched9263-8750</t>
  </si>
  <si>
    <t>20243</t>
  </si>
  <si>
    <t>SmartEMatched9104-8595</t>
  </si>
  <si>
    <t>12700</t>
  </si>
  <si>
    <t>SmartEMatched9211-8701</t>
  </si>
  <si>
    <t>10499</t>
  </si>
  <si>
    <t>SmartEMatched9098-8590</t>
  </si>
  <si>
    <t>7400</t>
  </si>
  <si>
    <t>115485</t>
  </si>
  <si>
    <t>27399.9</t>
  </si>
  <si>
    <t>RPV-43053</t>
  </si>
  <si>
    <t>RPV-42925</t>
  </si>
  <si>
    <t>RPV-42930</t>
  </si>
  <si>
    <t>114955</t>
  </si>
  <si>
    <t>SmartEMatched9166-8656</t>
  </si>
  <si>
    <t>SmartEMatched9173-8663</t>
  </si>
  <si>
    <t>9900</t>
  </si>
  <si>
    <t>115296</t>
  </si>
  <si>
    <t>115404</t>
  </si>
  <si>
    <t>SmartEMatched9097-8589</t>
  </si>
  <si>
    <t>8280</t>
  </si>
  <si>
    <t>RPV-41868</t>
  </si>
  <si>
    <t>RPV-42822</t>
  </si>
  <si>
    <t>RPV-42941</t>
  </si>
  <si>
    <t>RPV-42950</t>
  </si>
  <si>
    <t>RPV-42974</t>
  </si>
  <si>
    <t>RPV-42993</t>
  </si>
  <si>
    <t>RPV-43007</t>
  </si>
  <si>
    <t>RPV-42756</t>
  </si>
  <si>
    <t>RPV-42879</t>
  </si>
  <si>
    <t>RPV-42971</t>
  </si>
  <si>
    <t>RPV-42964</t>
  </si>
  <si>
    <t>RPV-42966</t>
  </si>
  <si>
    <t>RPV-42994</t>
  </si>
  <si>
    <t>RPV-42821</t>
  </si>
  <si>
    <t>RPV-42935</t>
  </si>
  <si>
    <t>RPV-43009</t>
  </si>
  <si>
    <t>RPV-43010</t>
  </si>
  <si>
    <t>RPV-43039</t>
  </si>
  <si>
    <t>RPV-43006</t>
  </si>
  <si>
    <t>RPV-43038</t>
  </si>
  <si>
    <t>RPV-42946</t>
  </si>
  <si>
    <t>RPV-42968</t>
  </si>
  <si>
    <t>RPV-43026</t>
  </si>
  <si>
    <t>RPV-43028</t>
  </si>
  <si>
    <t>RPV-42825</t>
  </si>
  <si>
    <t>RPV-43023</t>
  </si>
  <si>
    <t>RPV-42967</t>
  </si>
  <si>
    <t>RPV-42972</t>
  </si>
  <si>
    <t>RPV-43025</t>
  </si>
  <si>
    <t>RPV-43027</t>
  </si>
  <si>
    <t>RPV-42828</t>
  </si>
  <si>
    <t>RPV-42952</t>
  </si>
  <si>
    <t>RPV-43005</t>
  </si>
  <si>
    <t>RPV-43029</t>
  </si>
  <si>
    <t>115335</t>
  </si>
  <si>
    <t>115024</t>
  </si>
  <si>
    <t>115536</t>
  </si>
  <si>
    <t>SmartEMatched9174-8664</t>
  </si>
  <si>
    <t>9342</t>
  </si>
  <si>
    <t>SmartEMatched9188-8678</t>
  </si>
  <si>
    <t>11101.92</t>
  </si>
  <si>
    <t>SmartEMatched9222-8712</t>
  </si>
  <si>
    <t>115577</t>
  </si>
  <si>
    <t>115606</t>
  </si>
  <si>
    <t>115031</t>
  </si>
  <si>
    <t>109576</t>
  </si>
  <si>
    <t>115455</t>
  </si>
  <si>
    <t>SmartEMatched9231-8721</t>
  </si>
  <si>
    <t>5770</t>
  </si>
  <si>
    <t>SmartEMatched9103-14472</t>
  </si>
  <si>
    <t>7950</t>
  </si>
  <si>
    <t>SmartEMatched9130-14683</t>
  </si>
  <si>
    <t>12768.55</t>
  </si>
  <si>
    <t>RPV-42959</t>
  </si>
  <si>
    <t>RPV-42955</t>
  </si>
  <si>
    <t>RPV-42521</t>
  </si>
  <si>
    <t>RPV-43051</t>
  </si>
  <si>
    <t>RPV-42682</t>
  </si>
  <si>
    <t>RPV-42706</t>
  </si>
  <si>
    <t>RPV-42147</t>
  </si>
  <si>
    <t>RPV-42769</t>
  </si>
  <si>
    <t>RPV-42963</t>
  </si>
  <si>
    <t>RPV-42958</t>
  </si>
  <si>
    <t>RPV-42992</t>
  </si>
  <si>
    <t>RPV-43032</t>
  </si>
  <si>
    <t>RPV-43033</t>
  </si>
  <si>
    <t>RPV-43050</t>
  </si>
  <si>
    <t>RPV-42943</t>
  </si>
  <si>
    <t>RPV-43047</t>
  </si>
  <si>
    <t>RPV-43049</t>
  </si>
  <si>
    <t>RPV-43052</t>
  </si>
  <si>
    <t>RPV-43126</t>
  </si>
  <si>
    <t>RPV-43045</t>
  </si>
  <si>
    <t>PT-101814</t>
  </si>
  <si>
    <t>773834</t>
  </si>
  <si>
    <t>PT-101817</t>
  </si>
  <si>
    <t>Unknown</t>
  </si>
  <si>
    <t>316958</t>
  </si>
  <si>
    <t>PT-101809</t>
  </si>
  <si>
    <t>787086.37</t>
  </si>
  <si>
    <t>RPV-43034</t>
  </si>
  <si>
    <t>RPV-43044</t>
  </si>
  <si>
    <t>SmartEMatched9175-8665</t>
  </si>
  <si>
    <t>7250</t>
  </si>
  <si>
    <t>SmartEMatched9230-8720</t>
  </si>
  <si>
    <t>11400</t>
  </si>
  <si>
    <t>SmartEMatched9260-8747</t>
  </si>
  <si>
    <t>17247</t>
  </si>
  <si>
    <t>113495</t>
  </si>
  <si>
    <t>114535</t>
  </si>
  <si>
    <t>17702.4</t>
  </si>
  <si>
    <t>SmartEMatched9096-8756</t>
  </si>
  <si>
    <t>7615</t>
  </si>
  <si>
    <t>RPV-43065</t>
  </si>
  <si>
    <t>RPV-42913</t>
  </si>
  <si>
    <t>RPV-42914</t>
  </si>
  <si>
    <t>RPV-43088</t>
  </si>
  <si>
    <t>RPV-43067</t>
  </si>
  <si>
    <t>RPV-43068</t>
  </si>
  <si>
    <t>RPV-43070</t>
  </si>
  <si>
    <t>RPV-42773</t>
  </si>
  <si>
    <t>RPV-43074</t>
  </si>
  <si>
    <t>RPV-43078</t>
  </si>
  <si>
    <t>RPV-43077</t>
  </si>
  <si>
    <t>RPV-43084</t>
  </si>
  <si>
    <t>RPV-42844</t>
  </si>
  <si>
    <t>SmartEMatched9156-8646</t>
  </si>
  <si>
    <t>8950</t>
  </si>
  <si>
    <t>SmartEMatched9128-8618</t>
  </si>
  <si>
    <t>17724</t>
  </si>
  <si>
    <t>SmartEMatched9259-8746</t>
  </si>
  <si>
    <t>115700</t>
  </si>
  <si>
    <t>114435</t>
  </si>
  <si>
    <t>SmartEMatched9132-14540</t>
  </si>
  <si>
    <t>12600</t>
  </si>
  <si>
    <t>RPV-42978</t>
  </si>
  <si>
    <t>RPV-43004</t>
  </si>
  <si>
    <t>RPV-42878</t>
  </si>
  <si>
    <t>RPV-42999</t>
  </si>
  <si>
    <t>RPV-42980</t>
  </si>
  <si>
    <t>RPV-41353</t>
  </si>
  <si>
    <t>RPV-43110</t>
  </si>
  <si>
    <t>RPV-43117</t>
  </si>
  <si>
    <t>RPV-43128</t>
  </si>
  <si>
    <t>RPV-43057</t>
  </si>
  <si>
    <t>RPV-42662</t>
  </si>
  <si>
    <t>RPV-42816</t>
  </si>
  <si>
    <t>RPV-43127</t>
  </si>
  <si>
    <t>RPV-41679</t>
  </si>
  <si>
    <t>RPV-43146</t>
  </si>
  <si>
    <t>RPV-42961</t>
  </si>
  <si>
    <t>RPV-42998</t>
  </si>
  <si>
    <t>RPV-43089</t>
  </si>
  <si>
    <t>RPV-43106</t>
  </si>
  <si>
    <t>RPV-43154</t>
  </si>
  <si>
    <t>RPV-43170</t>
  </si>
  <si>
    <t>RPV-43096</t>
  </si>
  <si>
    <t>RPV-43111</t>
  </si>
  <si>
    <t>RPV-42880</t>
  </si>
  <si>
    <t>RPV-43116</t>
  </si>
  <si>
    <t>RPV-43094</t>
  </si>
  <si>
    <t>RPV-42995</t>
  </si>
  <si>
    <t>RPV-43102</t>
  </si>
  <si>
    <t>RPV-43107</t>
  </si>
  <si>
    <t>RPV-43148</t>
  </si>
  <si>
    <t>SmartEMatched9251-11194</t>
  </si>
  <si>
    <t>13027</t>
  </si>
  <si>
    <t>SmartEMatched9266-11235</t>
  </si>
  <si>
    <t>SmartEMatched9212-8702</t>
  </si>
  <si>
    <t>24409.2</t>
  </si>
  <si>
    <t>SmartEMatched9254-11222</t>
  </si>
  <si>
    <t>15309</t>
  </si>
  <si>
    <t>115813</t>
  </si>
  <si>
    <t>SmartEMatched9268-14650</t>
  </si>
  <si>
    <t>RPV-42553</t>
  </si>
  <si>
    <t>RPV-43134</t>
  </si>
  <si>
    <t>RPV-43177</t>
  </si>
  <si>
    <t>RPV-42737</t>
  </si>
  <si>
    <t>RPV-43048</t>
  </si>
  <si>
    <t>RPV-43079</t>
  </si>
  <si>
    <t>RPV-41838</t>
  </si>
  <si>
    <t>RPV-42897</t>
  </si>
  <si>
    <t>RPV-43223</t>
  </si>
  <si>
    <t>RPV-42805</t>
  </si>
  <si>
    <t>RPV-42759</t>
  </si>
  <si>
    <t>RPV-42933</t>
  </si>
  <si>
    <t>RPV-43087</t>
  </si>
  <si>
    <t>RPV-43138</t>
  </si>
  <si>
    <t>RPV-42703</t>
  </si>
  <si>
    <t>RPV-42656</t>
  </si>
  <si>
    <t>RPV-42834</t>
  </si>
  <si>
    <t>RPV-43109</t>
  </si>
  <si>
    <t>RPV-43120</t>
  </si>
  <si>
    <t>RPV-43072</t>
  </si>
  <si>
    <t>RPV-43119</t>
  </si>
  <si>
    <t>RPV-43231</t>
  </si>
  <si>
    <t>RPV-42997</t>
  </si>
  <si>
    <t>RPV-43105</t>
  </si>
  <si>
    <t>RPV-43155</t>
  </si>
  <si>
    <t>RPV-43081</t>
  </si>
  <si>
    <t>RPV-43108</t>
  </si>
  <si>
    <t>RPV-43131</t>
  </si>
  <si>
    <t>RPV-42282</t>
  </si>
  <si>
    <t>RPV-43022</t>
  </si>
  <si>
    <t>SmartEMatched9246-8736</t>
  </si>
  <si>
    <t>9864</t>
  </si>
  <si>
    <t>SmartEMatched9194-8684</t>
  </si>
  <si>
    <t>9784</t>
  </si>
  <si>
    <t>113069</t>
  </si>
  <si>
    <t>115755</t>
  </si>
  <si>
    <t>115855</t>
  </si>
  <si>
    <t>25318</t>
  </si>
  <si>
    <t>115400</t>
  </si>
  <si>
    <t>26418</t>
  </si>
  <si>
    <t>RPV-42195</t>
  </si>
  <si>
    <t>RPV-43240</t>
  </si>
  <si>
    <t>RPV-43225</t>
  </si>
  <si>
    <t>RPV-42424</t>
  </si>
  <si>
    <t>RPV-43016</t>
  </si>
  <si>
    <t>RPV-43192</t>
  </si>
  <si>
    <t>RPV-43135</t>
  </si>
  <si>
    <t>RPV-43101</t>
  </si>
  <si>
    <t>RPV-42727</t>
  </si>
  <si>
    <t>RPV-43226</t>
  </si>
  <si>
    <t>RPV-43103</t>
  </si>
  <si>
    <t>RPV-43227</t>
  </si>
  <si>
    <t>RPV-43233</t>
  </si>
  <si>
    <t>RPV-43247</t>
  </si>
  <si>
    <t>RPV-43263</t>
  </si>
  <si>
    <t>RPV-43254</t>
  </si>
  <si>
    <t>RPV-43245</t>
  </si>
  <si>
    <t>RPV-43104</t>
  </si>
  <si>
    <t>RPV-43076</t>
  </si>
  <si>
    <t>RPV-43118</t>
  </si>
  <si>
    <t>RPV-43080</t>
  </si>
  <si>
    <t>RPV-43095</t>
  </si>
  <si>
    <t>RPV-42312</t>
  </si>
  <si>
    <t>RPV-43235</t>
  </si>
  <si>
    <t>RPV-43255</t>
  </si>
  <si>
    <t>RPV-43270</t>
  </si>
  <si>
    <t>115494</t>
  </si>
  <si>
    <t>108097</t>
  </si>
  <si>
    <t>115926</t>
  </si>
  <si>
    <t>115895</t>
  </si>
  <si>
    <t>115670</t>
  </si>
  <si>
    <t>SmartEMatched9273-8964</t>
  </si>
  <si>
    <t>28876</t>
  </si>
  <si>
    <t>SmartEMatched9111-8602</t>
  </si>
  <si>
    <t>115858</t>
  </si>
  <si>
    <t>115918</t>
  </si>
  <si>
    <t>115856</t>
  </si>
  <si>
    <t>115899</t>
  </si>
  <si>
    <t>SmartEMatched9114-8604</t>
  </si>
  <si>
    <t>9370</t>
  </si>
  <si>
    <t>SmartEMatched9133-14823</t>
  </si>
  <si>
    <t>28797</t>
  </si>
  <si>
    <t>33642</t>
  </si>
  <si>
    <t>RPV-43169</t>
  </si>
  <si>
    <t>RPV-43210</t>
  </si>
  <si>
    <t>RPV-43203</t>
  </si>
  <si>
    <t>RPV-43213</t>
  </si>
  <si>
    <t>RPV-43217</t>
  </si>
  <si>
    <t>RPV-43220</t>
  </si>
  <si>
    <t>RPV-43212</t>
  </si>
  <si>
    <t>RPV-43205</t>
  </si>
  <si>
    <t>RPV-43218</t>
  </si>
  <si>
    <t>RPV-43125</t>
  </si>
  <si>
    <t>RPV-43136</t>
  </si>
  <si>
    <t>RPV-43201</t>
  </si>
  <si>
    <t>RPV-43211</t>
  </si>
  <si>
    <t>RPV-43216</t>
  </si>
  <si>
    <t>RPV-43115</t>
  </si>
  <si>
    <t>RPV-43139</t>
  </si>
  <si>
    <t>SmartEMatched9240-8730</t>
  </si>
  <si>
    <t>16425</t>
  </si>
  <si>
    <t>113923</t>
  </si>
  <si>
    <t>115811</t>
  </si>
  <si>
    <t>SmartEMatched9125-14742</t>
  </si>
  <si>
    <t>15500</t>
  </si>
  <si>
    <t>SmartEMatched9276-11309</t>
  </si>
  <si>
    <t>4556</t>
  </si>
  <si>
    <t>RPV-43190</t>
  </si>
  <si>
    <t>RPV-43141</t>
  </si>
  <si>
    <t>RPV-43151</t>
  </si>
  <si>
    <t>RPV-43158</t>
  </si>
  <si>
    <t>RPV-42942</t>
  </si>
  <si>
    <t>RPV-43147</t>
  </si>
  <si>
    <t>RPV-43160</t>
  </si>
  <si>
    <t>RPV-43180</t>
  </si>
  <si>
    <t>RPV-43173</t>
  </si>
  <si>
    <t>RPV-43184</t>
  </si>
  <si>
    <t>RPV-43172</t>
  </si>
  <si>
    <t>RPV-43182</t>
  </si>
  <si>
    <t>RPV-43178</t>
  </si>
  <si>
    <t>RPV-43157</t>
  </si>
  <si>
    <t>RPV-43142</t>
  </si>
  <si>
    <t>RPV-43168</t>
  </si>
  <si>
    <t>RPV-42947</t>
  </si>
  <si>
    <t>RPV-43159</t>
  </si>
  <si>
    <t>RPV-43164</t>
  </si>
  <si>
    <t>RPV-43167</t>
  </si>
  <si>
    <t>RPV-43140</t>
  </si>
  <si>
    <t>RPV-42502</t>
  </si>
  <si>
    <t>RPV-43153</t>
  </si>
  <si>
    <t>RPV-43156</t>
  </si>
  <si>
    <t>SmartEMatched9095-11304</t>
  </si>
  <si>
    <t>39550</t>
  </si>
  <si>
    <t>SmartEMatched9158-8648</t>
  </si>
  <si>
    <t>9418.2</t>
  </si>
  <si>
    <t>115963</t>
  </si>
  <si>
    <t>115930</t>
  </si>
  <si>
    <t>SmartEMatched9279-8935</t>
  </si>
  <si>
    <t>9953</t>
  </si>
  <si>
    <t>SmartEMatched9280-8931</t>
  </si>
  <si>
    <t>13729</t>
  </si>
  <si>
    <t>116149</t>
  </si>
  <si>
    <t>115409</t>
  </si>
  <si>
    <t>SmartEMatched9265-14802</t>
  </si>
  <si>
    <t>5695</t>
  </si>
  <si>
    <t>RPV-43250</t>
  </si>
  <si>
    <t>RPV-43221</t>
  </si>
  <si>
    <t>RPV-43253</t>
  </si>
  <si>
    <t>RPV-43258</t>
  </si>
  <si>
    <t>RPV-43261</t>
  </si>
  <si>
    <t>RPV-43276</t>
  </si>
  <si>
    <t>RPV-43206</t>
  </si>
  <si>
    <t>RPV-43265</t>
  </si>
  <si>
    <t>RPV-43267</t>
  </si>
  <si>
    <t>RPV-43189</t>
  </si>
  <si>
    <t>RPV-43202</t>
  </si>
  <si>
    <t>RPV-43200</t>
  </si>
  <si>
    <t>RPV-43260</t>
  </si>
  <si>
    <t>RPV-43262</t>
  </si>
  <si>
    <t>RPV-43145</t>
  </si>
  <si>
    <t>RPV-43283</t>
  </si>
  <si>
    <t>115931</t>
  </si>
  <si>
    <t>116096</t>
  </si>
  <si>
    <t>116056</t>
  </si>
  <si>
    <t>Kent</t>
  </si>
  <si>
    <t>116147</t>
  </si>
  <si>
    <t>SmartEMatched9208-8698</t>
  </si>
  <si>
    <t>15972.31</t>
  </si>
  <si>
    <t>RPV-42696</t>
  </si>
  <si>
    <t>RPV-42774</t>
  </si>
  <si>
    <t>RPV-42830</t>
  </si>
  <si>
    <t>RPV-42832</t>
  </si>
  <si>
    <t>RPV-42356</t>
  </si>
  <si>
    <t>RPV-43123</t>
  </si>
  <si>
    <t>RPV-42687</t>
  </si>
  <si>
    <t>RPV-42775</t>
  </si>
  <si>
    <t>RPV-41927</t>
  </si>
  <si>
    <t>RPV-42860</t>
  </si>
  <si>
    <t>RPV-43020</t>
  </si>
  <si>
    <t>RPV-42614</t>
  </si>
  <si>
    <t>RPV-42910</t>
  </si>
  <si>
    <t>RPV-42912</t>
  </si>
  <si>
    <t>RPV-43019</t>
  </si>
  <si>
    <t>RPV-41896</t>
  </si>
  <si>
    <t>RPV-43063</t>
  </si>
  <si>
    <t>RPV-43042</t>
  </si>
  <si>
    <t>RPV-43083</t>
  </si>
  <si>
    <t>RPV-42267</t>
  </si>
  <si>
    <t>RPV-42872</t>
  </si>
  <si>
    <t>RPV-43329</t>
  </si>
  <si>
    <t>RPV-43369</t>
  </si>
  <si>
    <t>RPV-43288</t>
  </si>
  <si>
    <t>RPV-43421</t>
  </si>
  <si>
    <t>RPV-43422</t>
  </si>
  <si>
    <t>RPV-43424</t>
  </si>
  <si>
    <t>RPV-43279</t>
  </si>
  <si>
    <t>SmartEMatched9275-8758</t>
  </si>
  <si>
    <t>24500</t>
  </si>
  <si>
    <t>116107</t>
  </si>
  <si>
    <t>116198</t>
  </si>
  <si>
    <t>37401</t>
  </si>
  <si>
    <t>SmartEMatched9124-8614</t>
  </si>
  <si>
    <t>14994</t>
  </si>
  <si>
    <t>115796</t>
  </si>
  <si>
    <t>116272</t>
  </si>
  <si>
    <t>RPV-41358</t>
  </si>
  <si>
    <t>RPV-42501</t>
  </si>
  <si>
    <t>RPV-42927</t>
  </si>
  <si>
    <t>RPV-42991</t>
  </si>
  <si>
    <t>RPV-42211</t>
  </si>
  <si>
    <t>RPV-42428</t>
  </si>
  <si>
    <t>RPV-41819</t>
  </si>
  <si>
    <t>RPV-42023</t>
  </si>
  <si>
    <t>RPV-41996</t>
  </si>
  <si>
    <t>RPV-41478</t>
  </si>
  <si>
    <t>RPV-43308</t>
  </si>
  <si>
    <t>RPV-42640</t>
  </si>
  <si>
    <t>RPV-42936</t>
  </si>
  <si>
    <t>RPV-42180</t>
  </si>
  <si>
    <t>RPV-41123</t>
  </si>
  <si>
    <t>RPV-42600</t>
  </si>
  <si>
    <t>RPV-42690</t>
  </si>
  <si>
    <t>RPV-40983</t>
  </si>
  <si>
    <t>RPV-42616</t>
  </si>
  <si>
    <t>RPV-43342</t>
  </si>
  <si>
    <t>RPV-43347</t>
  </si>
  <si>
    <t>RPV-43351</t>
  </si>
  <si>
    <t>RPV-43362</t>
  </si>
  <si>
    <t>RPV-43348</t>
  </si>
  <si>
    <t>RPV-43368</t>
  </si>
  <si>
    <t>RPV-43365</t>
  </si>
  <si>
    <t>RPV-43299</t>
  </si>
  <si>
    <t>RPV-43389</t>
  </si>
  <si>
    <t>RPV-43327</t>
  </si>
  <si>
    <t>RPV-43341</t>
  </si>
  <si>
    <t>RPV-43353</t>
  </si>
  <si>
    <t>RPV-43340</t>
  </si>
  <si>
    <t>RPV-43358</t>
  </si>
  <si>
    <t>RPV-43370</t>
  </si>
  <si>
    <t>RPV-43338</t>
  </si>
  <si>
    <t>RPV-42979</t>
  </si>
  <si>
    <t>RPV-42534</t>
  </si>
  <si>
    <t>RPV-42491</t>
  </si>
  <si>
    <t>RPV-43366</t>
  </si>
  <si>
    <t>SmartEMatched9274-8934</t>
  </si>
  <si>
    <t>19000</t>
  </si>
  <si>
    <t>110370</t>
  </si>
  <si>
    <t>115944</t>
  </si>
  <si>
    <t>116344</t>
  </si>
  <si>
    <t>32804.2</t>
  </si>
  <si>
    <t>116188</t>
  </si>
  <si>
    <t>116215</t>
  </si>
  <si>
    <t>116224</t>
  </si>
  <si>
    <t>SmartEMatched9121-8611</t>
  </si>
  <si>
    <t>17709</t>
  </si>
  <si>
    <t>116016</t>
  </si>
  <si>
    <t>116342</t>
  </si>
  <si>
    <t>SmartEMatched9179-8669</t>
  </si>
  <si>
    <t>18250</t>
  </si>
  <si>
    <t>RPV-43495</t>
  </si>
  <si>
    <t>RPV-42360</t>
  </si>
  <si>
    <t>RPV-43330</t>
  </si>
  <si>
    <t>RPV-43204</t>
  </si>
  <si>
    <t>RPV-43467</t>
  </si>
  <si>
    <t>RPV-43457</t>
  </si>
  <si>
    <t>RPV-43011</t>
  </si>
  <si>
    <t>RPV-43391</t>
  </si>
  <si>
    <t>RPV-43519</t>
  </si>
  <si>
    <t>RPV-42444</t>
  </si>
  <si>
    <t>RPV-43000</t>
  </si>
  <si>
    <t>RPV-43291</t>
  </si>
  <si>
    <t>RPV-43472</t>
  </si>
  <si>
    <t>RPV-43513</t>
  </si>
  <si>
    <t>RPV-43393</t>
  </si>
  <si>
    <t>RPV-43522</t>
  </si>
  <si>
    <t>RPV-43546</t>
  </si>
  <si>
    <t>RPV-43385</t>
  </si>
  <si>
    <t>RPV-43392</t>
  </si>
  <si>
    <t>RPV-43394</t>
  </si>
  <si>
    <t>RPV-43432</t>
  </si>
  <si>
    <t>RPV-43434</t>
  </si>
  <si>
    <t>RPV-43462</t>
  </si>
  <si>
    <t>RPV-43470</t>
  </si>
  <si>
    <t>RPV-43475</t>
  </si>
  <si>
    <t>RPV-43479</t>
  </si>
  <si>
    <t>RPV-43506</t>
  </si>
  <si>
    <t>RPV-43516</t>
  </si>
  <si>
    <t>RPV-43375</t>
  </si>
  <si>
    <t>RPV-43398</t>
  </si>
  <si>
    <t>RPV-43428</t>
  </si>
  <si>
    <t>RPV-43430</t>
  </si>
  <si>
    <t>RPV-43510</t>
  </si>
  <si>
    <t>RPV-43390</t>
  </si>
  <si>
    <t>RPV-43437</t>
  </si>
  <si>
    <t>RPV-43458</t>
  </si>
  <si>
    <t>RPV-43501</t>
  </si>
  <si>
    <t>RPV-43284</t>
  </si>
  <si>
    <t>RPV-43286</t>
  </si>
  <si>
    <t>RPV-43313</t>
  </si>
  <si>
    <t>RPV-43427</t>
  </si>
  <si>
    <t>RPV-43454</t>
  </si>
  <si>
    <t>RPV-43465</t>
  </si>
  <si>
    <t>RPV-43515</t>
  </si>
  <si>
    <t>RPV-43525</t>
  </si>
  <si>
    <t>RPV-43540</t>
  </si>
  <si>
    <t>RPV-43281</t>
  </si>
  <si>
    <t>RPV-43400</t>
  </si>
  <si>
    <t>RPV-43459</t>
  </si>
  <si>
    <t>RPV-43461</t>
  </si>
  <si>
    <t>RPV-43496</t>
  </si>
  <si>
    <t>RPV-43509</t>
  </si>
  <si>
    <t>RPV-43511</t>
  </si>
  <si>
    <t>RPV-43075</t>
  </si>
  <si>
    <t>RPV-43433</t>
  </si>
  <si>
    <t>RPV-43499</t>
  </si>
  <si>
    <t>RPV-43514</t>
  </si>
  <si>
    <t>RPV-43539</t>
  </si>
  <si>
    <t>RPV-43541</t>
  </si>
  <si>
    <t>115974</t>
  </si>
  <si>
    <t>SmartEMatched9077-9482</t>
  </si>
  <si>
    <t>10528.8</t>
  </si>
  <si>
    <t>SmartEMatched9229-8719</t>
  </si>
  <si>
    <t>SmartEMatched9309-8946</t>
  </si>
  <si>
    <t>9875</t>
  </si>
  <si>
    <t>116465</t>
  </si>
  <si>
    <t>116387</t>
  </si>
  <si>
    <t>SmartEMatched9302-8930</t>
  </si>
  <si>
    <t>RPV-43373</t>
  </si>
  <si>
    <t>RPV-42590</t>
  </si>
  <si>
    <t>RPV-43314</t>
  </si>
  <si>
    <t>RPV-43377</t>
  </si>
  <si>
    <t>RPV-43441</t>
  </si>
  <si>
    <t>RPV-43480</t>
  </si>
  <si>
    <t>RPV-43402</t>
  </si>
  <si>
    <t>RPV-43488</t>
  </si>
  <si>
    <t>RPV-42996</t>
  </si>
  <si>
    <t>RPV-43214</t>
  </si>
  <si>
    <t>RPV-43523</t>
  </si>
  <si>
    <t>RPV-43549</t>
  </si>
  <si>
    <t>RPV-43317</t>
  </si>
  <si>
    <t>RPV-43318</t>
  </si>
  <si>
    <t>RPV-43436</t>
  </si>
  <si>
    <t>RPV-43498</t>
  </si>
  <si>
    <t>RPV-43553</t>
  </si>
  <si>
    <t>RPV-43287</t>
  </si>
  <si>
    <t>RPV-43290</t>
  </si>
  <si>
    <t>RPV-43295</t>
  </si>
  <si>
    <t>RPV-43561</t>
  </si>
  <si>
    <t>RPV-43282</t>
  </si>
  <si>
    <t>RPV-43557</t>
  </si>
  <si>
    <t>RPV-43558</t>
  </si>
  <si>
    <t>PT-101841</t>
  </si>
  <si>
    <t>1500000</t>
  </si>
  <si>
    <t>RPV-43303</t>
  </si>
  <si>
    <t>SmartEMatched9301-8932</t>
  </si>
  <si>
    <t>13416.5</t>
  </si>
  <si>
    <t>SmartEMatched9272-9260</t>
  </si>
  <si>
    <t>SmartEMatched9299-8933</t>
  </si>
  <si>
    <t>SmartEMatched9295-8942</t>
  </si>
  <si>
    <t>19561</t>
  </si>
  <si>
    <t>SmartEMatched9136-8626</t>
  </si>
  <si>
    <t>9454</t>
  </si>
  <si>
    <t>115506</t>
  </si>
  <si>
    <t>56876</t>
  </si>
  <si>
    <t>115914</t>
  </si>
  <si>
    <t>RPV-43551</t>
  </si>
  <si>
    <t>RPV-43588</t>
  </si>
  <si>
    <t>RPV-43374</t>
  </si>
  <si>
    <t>RPV-43036</t>
  </si>
  <si>
    <t>RPV-43494</t>
  </si>
  <si>
    <t>Scotland</t>
  </si>
  <si>
    <t>RPV-43384</t>
  </si>
  <si>
    <t>RPV-43447</t>
  </si>
  <si>
    <t>SmartEMatched9312-8937</t>
  </si>
  <si>
    <t>13227</t>
  </si>
  <si>
    <t>115927</t>
  </si>
  <si>
    <t>116559</t>
  </si>
  <si>
    <t>35786.4</t>
  </si>
  <si>
    <t>RPV-43364</t>
  </si>
  <si>
    <t>RPV-43587</t>
  </si>
  <si>
    <t>RPV-43592</t>
  </si>
  <si>
    <t>RPV-43586</t>
  </si>
  <si>
    <t>RPV-43611</t>
  </si>
  <si>
    <t>RPV-43582</t>
  </si>
  <si>
    <t>SmartEMatched9253-8938</t>
  </si>
  <si>
    <t>3712.8</t>
  </si>
  <si>
    <t>SmartEMatched9278-8936</t>
  </si>
  <si>
    <t>8400</t>
  </si>
  <si>
    <t>116157</t>
  </si>
  <si>
    <t>SmartEMatched9284-9522</t>
  </si>
  <si>
    <t>20798</t>
  </si>
  <si>
    <t>SmartEMatched9283-14478</t>
  </si>
  <si>
    <t>12549.3</t>
  </si>
  <si>
    <t>RPV-43645</t>
  </si>
  <si>
    <t>RPV-43040</t>
  </si>
  <si>
    <t>RPV-43566</t>
  </si>
  <si>
    <t>RPV-43567</t>
  </si>
  <si>
    <t>RPV-43629</t>
  </si>
  <si>
    <t>RPV-43572</t>
  </si>
  <si>
    <t>RPV-43565</t>
  </si>
  <si>
    <t>RPV-43568</t>
  </si>
  <si>
    <t>RPV-43345</t>
  </si>
  <si>
    <t>RPV-43395</t>
  </si>
  <si>
    <t>RPV-43574</t>
  </si>
  <si>
    <t>RPV-43605</t>
  </si>
  <si>
    <t>RPV-43646</t>
  </si>
  <si>
    <t>RPV-43583</t>
  </si>
  <si>
    <t>RPV-43589</t>
  </si>
  <si>
    <t>RPV-43594</t>
  </si>
  <si>
    <t>RPV-43600</t>
  </si>
  <si>
    <t>RPV-43635</t>
  </si>
  <si>
    <t>RPV-43585</t>
  </si>
  <si>
    <t>116720</t>
  </si>
  <si>
    <t>116200</t>
  </si>
  <si>
    <t>84798</t>
  </si>
  <si>
    <t>SmartEMatched9322-8947</t>
  </si>
  <si>
    <t>11595</t>
  </si>
  <si>
    <t>SmartEMatched9289-8945</t>
  </si>
  <si>
    <t>3270</t>
  </si>
  <si>
    <t>116742</t>
  </si>
  <si>
    <t>SmartEMatched9327-8962</t>
  </si>
  <si>
    <t>11166.75</t>
  </si>
  <si>
    <t>116813</t>
  </si>
  <si>
    <t>116488</t>
  </si>
  <si>
    <t>116665</t>
  </si>
  <si>
    <t>RPV-43658</t>
  </si>
  <si>
    <t>RPV-43578</t>
  </si>
  <si>
    <t>RPV-43542</t>
  </si>
  <si>
    <t>RPV-43612</t>
  </si>
  <si>
    <t>RPV-43545</t>
  </si>
  <si>
    <t>RPV-43343</t>
  </si>
  <si>
    <t>RPV-43355</t>
  </si>
  <si>
    <t>RPV-43610</t>
  </si>
  <si>
    <t>RPV-43663</t>
  </si>
  <si>
    <t>RPV-43512</t>
  </si>
  <si>
    <t>RPV-43652</t>
  </si>
  <si>
    <t>RPV-43678</t>
  </si>
  <si>
    <t>RPV-43431</t>
  </si>
  <si>
    <t>RPV-43616</t>
  </si>
  <si>
    <t>RPV-43639</t>
  </si>
  <si>
    <t>RPV-43665</t>
  </si>
  <si>
    <t>RPV-43666</t>
  </si>
  <si>
    <t>RPV-43670</t>
  </si>
  <si>
    <t>RPV-43664</t>
  </si>
  <si>
    <t>RPV-43668</t>
  </si>
  <si>
    <t>RPV-43675</t>
  </si>
  <si>
    <t>RPV-43456</t>
  </si>
  <si>
    <t>RPV-43622</t>
  </si>
  <si>
    <t>RPV-43627</t>
  </si>
  <si>
    <t>RPV-43630</t>
  </si>
  <si>
    <t>SmartEMatched9328-8939</t>
  </si>
  <si>
    <t>8029.55</t>
  </si>
  <si>
    <t>SmartEMatched9313-9528</t>
  </si>
  <si>
    <t>10721.9</t>
  </si>
  <si>
    <t>SmartEMatched9281-8941</t>
  </si>
  <si>
    <t>116467</t>
  </si>
  <si>
    <t>113097</t>
  </si>
  <si>
    <t>SmartEMatched9326-8940</t>
  </si>
  <si>
    <t>5400</t>
  </si>
  <si>
    <t>RPV-43649</t>
  </si>
  <si>
    <t>RPV-43704</t>
  </si>
  <si>
    <t>RPV-43683</t>
  </si>
  <si>
    <t>RPV-43617</t>
  </si>
  <si>
    <t>RPV-43230</t>
  </si>
  <si>
    <t>RPV-43418</t>
  </si>
  <si>
    <t>RPV-43717</t>
  </si>
  <si>
    <t>RPV-43407</t>
  </si>
  <si>
    <t>RPV-43408</t>
  </si>
  <si>
    <t>RPV-43438</t>
  </si>
  <si>
    <t>RPV-43690</t>
  </si>
  <si>
    <t>RPV-43689</t>
  </si>
  <si>
    <t>RPV-43695</t>
  </si>
  <si>
    <t>RPV-43724</t>
  </si>
  <si>
    <t>RPV-43726</t>
  </si>
  <si>
    <t>RPV-43730</t>
  </si>
  <si>
    <t>RPV-43708</t>
  </si>
  <si>
    <t>RPV-43713</t>
  </si>
  <si>
    <t>RPV-43715</t>
  </si>
  <si>
    <t>RPV-43707</t>
  </si>
  <si>
    <t>RPV-43729</t>
  </si>
  <si>
    <t>RPV-43691</t>
  </si>
  <si>
    <t>RPV-43692</t>
  </si>
  <si>
    <t>RPV-43721</t>
  </si>
  <si>
    <t>RPV-43722</t>
  </si>
  <si>
    <t>RPV-43650</t>
  </si>
  <si>
    <t>RPV-43709</t>
  </si>
  <si>
    <t>RPV-43693</t>
  </si>
  <si>
    <t>RPV-43718</t>
  </si>
  <si>
    <t>RPV-43723</t>
  </si>
  <si>
    <t>PT-101826</t>
  </si>
  <si>
    <t>400000</t>
  </si>
  <si>
    <t>RPV-43336</t>
  </si>
  <si>
    <t>RPV-43719</t>
  </si>
  <si>
    <t>RPV-43731</t>
  </si>
  <si>
    <t>SmartEMatched9306-11221</t>
  </si>
  <si>
    <t>23500</t>
  </si>
  <si>
    <t>SmartEMatched9131-8621</t>
  </si>
  <si>
    <t>29910.3</t>
  </si>
  <si>
    <t>116860</t>
  </si>
  <si>
    <t>SmartEMatched9286-8944</t>
  </si>
  <si>
    <t>13356</t>
  </si>
  <si>
    <t>SmartEMatched9120-8610</t>
  </si>
  <si>
    <t>15138</t>
  </si>
  <si>
    <t>SmartEMatched9193-8683</t>
  </si>
  <si>
    <t>23000</t>
  </si>
  <si>
    <t>SmartEMatched9307-9521</t>
  </si>
  <si>
    <t>28977</t>
  </si>
  <si>
    <t>116812</t>
  </si>
  <si>
    <t>RPV-43705</t>
  </si>
  <si>
    <t>RPV-43562</t>
  </si>
  <si>
    <t>RPV-43573</t>
  </si>
  <si>
    <t>RPV-43591</t>
  </si>
  <si>
    <t>RPV-42536</t>
  </si>
  <si>
    <t>RPV-43752</t>
  </si>
  <si>
    <t>RPV-43753</t>
  </si>
  <si>
    <t>RPV-43735</t>
  </si>
  <si>
    <t>RPV-43755</t>
  </si>
  <si>
    <t>RPV-43776</t>
  </si>
  <si>
    <t>RPV-43777</t>
  </si>
  <si>
    <t>RPV-43742</t>
  </si>
  <si>
    <t>RPV-43745</t>
  </si>
  <si>
    <t>RPV-43751</t>
  </si>
  <si>
    <t>SmartEMatched9316-9629</t>
  </si>
  <si>
    <t>5875</t>
  </si>
  <si>
    <t>SmartEMatched9311-11245</t>
  </si>
  <si>
    <t>11380</t>
  </si>
  <si>
    <t>SmartEMatched9325-11297</t>
  </si>
  <si>
    <t>6180</t>
  </si>
  <si>
    <t>116636</t>
  </si>
  <si>
    <t>117018</t>
  </si>
  <si>
    <t>115495</t>
  </si>
  <si>
    <t>29145.8</t>
  </si>
  <si>
    <t>RPV-43673</t>
  </si>
  <si>
    <t>RPV-43706</t>
  </si>
  <si>
    <t>RPV-43799</t>
  </si>
  <si>
    <t>RPV-43503</t>
  </si>
  <si>
    <t>RPV-43661</t>
  </si>
  <si>
    <t>RPV-43505</t>
  </si>
  <si>
    <t>RPV-43595</t>
  </si>
  <si>
    <t>RPV-43613</t>
  </si>
  <si>
    <t>RPV-43654</t>
  </si>
  <si>
    <t>RPV-43641</t>
  </si>
  <si>
    <t>RPV-43798</t>
  </si>
  <si>
    <t>RPV-43651</t>
  </si>
  <si>
    <t>RPV-43598</t>
  </si>
  <si>
    <t>RPV-43820</t>
  </si>
  <si>
    <t>RPV-43821</t>
  </si>
  <si>
    <t>RPV-43831</t>
  </si>
  <si>
    <t>RPV-43271</t>
  </si>
  <si>
    <t>RPV-43552</t>
  </si>
  <si>
    <t>RPV-43285</t>
  </si>
  <si>
    <t>RPV-43532</t>
  </si>
  <si>
    <t>RPV-43737</t>
  </si>
  <si>
    <t>RPV-43491</t>
  </si>
  <si>
    <t>RPV-43493</t>
  </si>
  <si>
    <t>RPV-43171</t>
  </si>
  <si>
    <t>RPV-43487</t>
  </si>
  <si>
    <t>RPV-43497</t>
  </si>
  <si>
    <t>RPV-43518</t>
  </si>
  <si>
    <t>RPV-43829</t>
  </si>
  <si>
    <t>RPV-43054</t>
  </si>
  <si>
    <t>RPV-43149</t>
  </si>
  <si>
    <t>RPV-43642</t>
  </si>
  <si>
    <t>RPV-43648</t>
  </si>
  <si>
    <t>RPV-43787</t>
  </si>
  <si>
    <t>RPV-43810</t>
  </si>
  <si>
    <t>RPV-43601</t>
  </si>
  <si>
    <t>RPV-43685</t>
  </si>
  <si>
    <t>RPV-43785</t>
  </si>
  <si>
    <t>RPV-43596</t>
  </si>
  <si>
    <t>RPV-43647</t>
  </si>
  <si>
    <t>RPV-43659</t>
  </si>
  <si>
    <t>RPV-43786</t>
  </si>
  <si>
    <t>RPV-43640</t>
  </si>
  <si>
    <t>RPV-43778</t>
  </si>
  <si>
    <t>RPV-43779</t>
  </si>
  <si>
    <t>RPV-43794</t>
  </si>
  <si>
    <t>RPV-43797</t>
  </si>
  <si>
    <t>RPV-43657</t>
  </si>
  <si>
    <t>RPV-43672</t>
  </si>
  <si>
    <t>RPV-43782</t>
  </si>
  <si>
    <t>RPV-43792</t>
  </si>
  <si>
    <t>RPV-43803</t>
  </si>
  <si>
    <t>RPV-43744</t>
  </si>
  <si>
    <t>RPV-43780</t>
  </si>
  <si>
    <t>RPV-43795</t>
  </si>
  <si>
    <t>RPV-43761</t>
  </si>
  <si>
    <t>RPV-43277</t>
  </si>
  <si>
    <t>RPV-43827</t>
  </si>
  <si>
    <t>RPV-43830</t>
  </si>
  <si>
    <t>SmartEMatched9331-8961</t>
  </si>
  <si>
    <t>SmartEMatched9269-9259</t>
  </si>
  <si>
    <t>SmartEMatched9288-11230</t>
  </si>
  <si>
    <t>30350</t>
  </si>
  <si>
    <t>116908</t>
  </si>
  <si>
    <t>117150</t>
  </si>
  <si>
    <t>27881</t>
  </si>
  <si>
    <t>116975</t>
  </si>
  <si>
    <t>RPV-43764</t>
  </si>
  <si>
    <t>RPV-43741</t>
  </si>
  <si>
    <t>RPV-42920</t>
  </si>
  <si>
    <t>RPV-43736</t>
  </si>
  <si>
    <t>RPV-43771</t>
  </si>
  <si>
    <t>RPV-43743</t>
  </si>
  <si>
    <t>RPV-43738</t>
  </si>
  <si>
    <t>RPV-43775</t>
  </si>
  <si>
    <t>PT-101691</t>
  </si>
  <si>
    <t>67500</t>
  </si>
  <si>
    <t>116115</t>
  </si>
  <si>
    <t>116097</t>
  </si>
  <si>
    <t>117035</t>
  </si>
  <si>
    <t>RPV-43814</t>
  </si>
  <si>
    <t>RPV-43524</t>
  </si>
  <si>
    <t>RPV-42003</t>
  </si>
  <si>
    <t>RPV-43815</t>
  </si>
  <si>
    <t>RPV-43811</t>
  </si>
  <si>
    <t>RPV-43874</t>
  </si>
  <si>
    <t>RPV-42771</t>
  </si>
  <si>
    <t>RPV-42778</t>
  </si>
  <si>
    <t>RPV-43856</t>
  </si>
  <si>
    <t>RPV-43851</t>
  </si>
  <si>
    <t>RPV-43886</t>
  </si>
  <si>
    <t>RPV-43841</t>
  </si>
  <si>
    <t>RPV-43867</t>
  </si>
  <si>
    <t>RPV-43838</t>
  </si>
  <si>
    <t>RPV-43852</t>
  </si>
  <si>
    <t>RPV-43854</t>
  </si>
  <si>
    <t>RPV-43871</t>
  </si>
  <si>
    <t>RPV-43873</t>
  </si>
  <si>
    <t>RPV-43058</t>
  </si>
  <si>
    <t>RPV-42982</t>
  </si>
  <si>
    <t>RPV-43850</t>
  </si>
  <si>
    <t>RPV-43877</t>
  </si>
  <si>
    <t>RPV-42847</t>
  </si>
  <si>
    <t>RPV-43055</t>
  </si>
  <si>
    <t>RPV-42820</t>
  </si>
  <si>
    <t>RPV-43866</t>
  </si>
  <si>
    <t>RPV-42333</t>
  </si>
  <si>
    <t>RPV-42367</t>
  </si>
  <si>
    <t>RPV-42505</t>
  </si>
  <si>
    <t>RPV-43809</t>
  </si>
  <si>
    <t>RPV-43808</t>
  </si>
  <si>
    <t>RPV-43813</t>
  </si>
  <si>
    <t>RPV-43817</t>
  </si>
  <si>
    <t>RPV-43816</t>
  </si>
  <si>
    <t>RPV-43834</t>
  </si>
  <si>
    <t>RPV-43879</t>
  </si>
  <si>
    <t>RPV-43882</t>
  </si>
  <si>
    <t>SmartEMatched9329-11280</t>
  </si>
  <si>
    <t>SmartEMatched9346-11313</t>
  </si>
  <si>
    <t>4062</t>
  </si>
  <si>
    <t>106376</t>
  </si>
  <si>
    <t>RPV-43671</t>
  </si>
  <si>
    <t>RPV-43805</t>
  </si>
  <si>
    <t>RPV-43899</t>
  </si>
  <si>
    <t>RPV-43669</t>
  </si>
  <si>
    <t>RPV-43208</t>
  </si>
  <si>
    <t>RPV-43046</t>
  </si>
  <si>
    <t>RPV-43191</t>
  </si>
  <si>
    <t>RPV-43219</t>
  </si>
  <si>
    <t>RPV-43133</t>
  </si>
  <si>
    <t>RPV-43853</t>
  </si>
  <si>
    <t>RPV-43904</t>
  </si>
  <si>
    <t>RPV-43907</t>
  </si>
  <si>
    <t>RPV-43911</t>
  </si>
  <si>
    <t>RPV-43380</t>
  </si>
  <si>
    <t>RPV-43371</t>
  </si>
  <si>
    <t>RPV-43508</t>
  </si>
  <si>
    <t>RPV-43555</t>
  </si>
  <si>
    <t>RPV-43272</t>
  </si>
  <si>
    <t>RPV-43538</t>
  </si>
  <si>
    <t>RPV-43603</t>
  </si>
  <si>
    <t>RPV-43298</t>
  </si>
  <si>
    <t>RPV-43900</t>
  </si>
  <si>
    <t>RPV-43878</t>
  </si>
  <si>
    <t>RPV-43750</t>
  </si>
  <si>
    <t>RPV-43781</t>
  </si>
  <si>
    <t>PT-101778</t>
  </si>
  <si>
    <t>242082.18</t>
  </si>
  <si>
    <t>145249.31</t>
  </si>
  <si>
    <t>RPV-43602</t>
  </si>
  <si>
    <t>SmartEMatched9310-9523</t>
  </si>
  <si>
    <t>SmartEMatched9154-8644</t>
  </si>
  <si>
    <t>SmartEMatched9112-9630</t>
  </si>
  <si>
    <t>SmartEMatched9333-14370</t>
  </si>
  <si>
    <t>117083</t>
  </si>
  <si>
    <t>SmartEMatched9335-14752</t>
  </si>
  <si>
    <t>16655.57</t>
  </si>
  <si>
    <t>RPV-43807</t>
  </si>
  <si>
    <t>RPV-43863</t>
  </si>
  <si>
    <t>RPV-43297</t>
  </si>
  <si>
    <t>RPV-42617</t>
  </si>
  <si>
    <t>RPV-42770</t>
  </si>
  <si>
    <t>RPV-43193</t>
  </si>
  <si>
    <t>RPV-43859</t>
  </si>
  <si>
    <t>RPV-43246</t>
  </si>
  <si>
    <t>RPV-43259</t>
  </si>
  <si>
    <t>RPV-42987</t>
  </si>
  <si>
    <t>RPV-43832</t>
  </si>
  <si>
    <t>RPV-43857</t>
  </si>
  <si>
    <t>RPV-43870</t>
  </si>
  <si>
    <t>RPV-43909</t>
  </si>
  <si>
    <t>RPV-43914</t>
  </si>
  <si>
    <t>RPV-43920</t>
  </si>
  <si>
    <t>RPV-43922</t>
  </si>
  <si>
    <t>RPV-43926</t>
  </si>
  <si>
    <t>RPV-43847</t>
  </si>
  <si>
    <t>RPV-43865</t>
  </si>
  <si>
    <t>RPV-43868</t>
  </si>
  <si>
    <t>RPV-43876</t>
  </si>
  <si>
    <t>RPV-43824</t>
  </si>
  <si>
    <t>RPV-43837</t>
  </si>
  <si>
    <t>RPV-43848</t>
  </si>
  <si>
    <t>RPV-43927</t>
  </si>
  <si>
    <t>RPV-43381</t>
  </si>
  <si>
    <t>RPV-43376</t>
  </si>
  <si>
    <t>RPV-43502</t>
  </si>
  <si>
    <t>RPV-43864</t>
  </si>
  <si>
    <t>RPV-43913</t>
  </si>
  <si>
    <t>RPV-43929</t>
  </si>
  <si>
    <t>RPV-43933</t>
  </si>
  <si>
    <t>RPV-43956</t>
  </si>
  <si>
    <t>RPV-43908</t>
  </si>
  <si>
    <t>RPV-43919</t>
  </si>
  <si>
    <t>RPV-43921</t>
  </si>
  <si>
    <t>RPV-43923</t>
  </si>
  <si>
    <t>RPV-43902</t>
  </si>
  <si>
    <t>RPV-43912</t>
  </si>
  <si>
    <t>RPV-43928</t>
  </si>
  <si>
    <t>RPV-43946</t>
  </si>
  <si>
    <t>RPV-43951</t>
  </si>
  <si>
    <t>RPV-43644</t>
  </si>
  <si>
    <t>RPV-43739</t>
  </si>
  <si>
    <t>RPV-43790</t>
  </si>
  <si>
    <t>RPV-43728</t>
  </si>
  <si>
    <t>RPV-43772</t>
  </si>
  <si>
    <t>RPV-43746</t>
  </si>
  <si>
    <t>RPV-43625</t>
  </si>
  <si>
    <t>PT-101839</t>
  </si>
  <si>
    <t>141036</t>
  </si>
  <si>
    <t>RPV-43862</t>
  </si>
  <si>
    <t>RPV-43869</t>
  </si>
  <si>
    <t>RPV-43903</t>
  </si>
  <si>
    <t>RPV-43924</t>
  </si>
  <si>
    <t>RPV-43791</t>
  </si>
  <si>
    <t>RPV-43802</t>
  </si>
  <si>
    <t>RPV-43818</t>
  </si>
  <si>
    <t>SmartEMatched9317-11305</t>
  </si>
  <si>
    <t>5915.44</t>
  </si>
  <si>
    <t>SmartEMatched9348-11296</t>
  </si>
  <si>
    <t>22952</t>
  </si>
  <si>
    <t>116658</t>
  </si>
  <si>
    <t>117427</t>
  </si>
  <si>
    <t>SmartEMatched9093-11298</t>
  </si>
  <si>
    <t>16277</t>
  </si>
  <si>
    <t>116945</t>
  </si>
  <si>
    <t>RPV-43825</t>
  </si>
  <si>
    <t>RPV-43905</t>
  </si>
  <si>
    <t>RPV-43906</t>
  </si>
  <si>
    <t>RPV-43918</t>
  </si>
  <si>
    <t>RPV-43768</t>
  </si>
  <si>
    <t>RPV-43961</t>
  </si>
  <si>
    <t>RPV-43003</t>
  </si>
  <si>
    <t>RPV-43061</t>
  </si>
  <si>
    <t>RPV-43379</t>
  </si>
  <si>
    <t>RPV-43274</t>
  </si>
  <si>
    <t>RPV-43316</t>
  </si>
  <si>
    <t>RPV-43463</t>
  </si>
  <si>
    <t>RPV-43849</t>
  </si>
  <si>
    <t>RPV-41751</t>
  </si>
  <si>
    <t>RPV-43949</t>
  </si>
  <si>
    <t>RPV-42815</t>
  </si>
  <si>
    <t>RPV-43959</t>
  </si>
  <si>
    <t>RPV-43974</t>
  </si>
  <si>
    <t>RPV-43953</t>
  </si>
  <si>
    <t>RPV-43955</t>
  </si>
  <si>
    <t>RPV-43992</t>
  </si>
  <si>
    <t>RPV-43941</t>
  </si>
  <si>
    <t>RPV-43943</t>
  </si>
  <si>
    <t>RPV-42200</t>
  </si>
  <si>
    <t>RPV-42906</t>
  </si>
  <si>
    <t>RPV-43056</t>
  </si>
  <si>
    <t>RPV-43643</t>
  </si>
  <si>
    <t>RPV-43294</t>
  </si>
  <si>
    <t>RPV-43861</t>
  </si>
  <si>
    <t>RPV-43952</t>
  </si>
  <si>
    <t>RPV-43966</t>
  </si>
  <si>
    <t>RPV-43967</t>
  </si>
  <si>
    <t>RPV-43938</t>
  </si>
  <si>
    <t>RPV-43975</t>
  </si>
  <si>
    <t>RPV-43993</t>
  </si>
  <si>
    <t>RPV-43971</t>
  </si>
  <si>
    <t>RPV-43968</t>
  </si>
  <si>
    <t>RPV-43989</t>
  </si>
  <si>
    <t>RPV-43994</t>
  </si>
  <si>
    <t>RPV-42981</t>
  </si>
  <si>
    <t>RPV-42445</t>
  </si>
  <si>
    <t>RPV-43964</t>
  </si>
  <si>
    <t>RPV-43969</t>
  </si>
  <si>
    <t>RPV-43378</t>
  </si>
  <si>
    <t>RPV-43676</t>
  </si>
  <si>
    <t>86105</t>
  </si>
  <si>
    <t>SmartEMatched9320-14355</t>
  </si>
  <si>
    <t>RPV-43769</t>
  </si>
  <si>
    <t>RPV-44012</t>
  </si>
  <si>
    <t>RPV-43304</t>
  </si>
  <si>
    <t>RPV-43972</t>
  </si>
  <si>
    <t>RPV-44021</t>
  </si>
  <si>
    <t>RPV-44024</t>
  </si>
  <si>
    <t>RPV-43985</t>
  </si>
  <si>
    <t>RPV-43973</t>
  </si>
  <si>
    <t>RPV-44013</t>
  </si>
  <si>
    <t>RPV-44015</t>
  </si>
  <si>
    <t>RPV-43901</t>
  </si>
  <si>
    <t>RPV-44009</t>
  </si>
  <si>
    <t>RPV-44011</t>
  </si>
  <si>
    <t>RPV-44004</t>
  </si>
  <si>
    <t>RPV-44016</t>
  </si>
  <si>
    <t>RPV-44033</t>
  </si>
  <si>
    <t>RPV-43958</t>
  </si>
  <si>
    <t>RPV-44031</t>
  </si>
  <si>
    <t>RPV-44007</t>
  </si>
  <si>
    <t>RPV-44030</t>
  </si>
  <si>
    <t>RPV-44032</t>
  </si>
  <si>
    <t>RPV-43754</t>
  </si>
  <si>
    <t>RPV-43740</t>
  </si>
  <si>
    <t>RPV-44006</t>
  </si>
  <si>
    <t>RPV-43788</t>
  </si>
  <si>
    <t>SmartEMatched9360-9526</t>
  </si>
  <si>
    <t>8295</t>
  </si>
  <si>
    <t>SmartEMatched9270-8960</t>
  </si>
  <si>
    <t>4361.45</t>
  </si>
  <si>
    <t>117421</t>
  </si>
  <si>
    <t>117067</t>
  </si>
  <si>
    <t>117469</t>
  </si>
  <si>
    <t>117163</t>
  </si>
  <si>
    <t>SmartEMatched9351-11278</t>
  </si>
  <si>
    <t>5600</t>
  </si>
  <si>
    <t>SmartEMatched9340-8963</t>
  </si>
  <si>
    <t>16500</t>
  </si>
  <si>
    <t>SmartEMatched9255-8742</t>
  </si>
  <si>
    <t>24639</t>
  </si>
  <si>
    <t>SmartEMatched9372-11244</t>
  </si>
  <si>
    <t>117479</t>
  </si>
  <si>
    <t>117588</t>
  </si>
  <si>
    <t>SmartEMatched9315-11279</t>
  </si>
  <si>
    <t>12936</t>
  </si>
  <si>
    <t>117522</t>
  </si>
  <si>
    <t>RPV-44008</t>
  </si>
  <si>
    <t>RPV-43485</t>
  </si>
  <si>
    <t>RPV-43581</t>
  </si>
  <si>
    <t>RPV-44078</t>
  </si>
  <si>
    <t>RPV-43579</t>
  </si>
  <si>
    <t>RPV-43887</t>
  </si>
  <si>
    <t>RPV-44020</t>
  </si>
  <si>
    <t>RPV-44047</t>
  </si>
  <si>
    <t>SmartEMatched9362-11322</t>
  </si>
  <si>
    <t>SmartEMatched9356-11276</t>
  </si>
  <si>
    <t>3492.5</t>
  </si>
  <si>
    <t>117187</t>
  </si>
  <si>
    <t>17480</t>
  </si>
  <si>
    <t>117682</t>
  </si>
  <si>
    <t>37364</t>
  </si>
  <si>
    <t>117307</t>
  </si>
  <si>
    <t>RPV-44051</t>
  </si>
  <si>
    <t>RPV-44057</t>
  </si>
  <si>
    <t>RPV-44059</t>
  </si>
  <si>
    <t>RPV-44002</t>
  </si>
  <si>
    <t>RPV-43747</t>
  </si>
  <si>
    <t>PT-101762</t>
  </si>
  <si>
    <t>229350</t>
  </si>
  <si>
    <t>SmartEMatched9287-11312</t>
  </si>
  <si>
    <t>12950</t>
  </si>
  <si>
    <t>SmartEMatched9357-11323</t>
  </si>
  <si>
    <t>10265</t>
  </si>
  <si>
    <t>SmartEMatched9376-11310</t>
  </si>
  <si>
    <t>10475.48</t>
  </si>
  <si>
    <t>117400</t>
  </si>
  <si>
    <t>117636</t>
  </si>
  <si>
    <t>RPV-44065</t>
  </si>
  <si>
    <t>RPV-44066</t>
  </si>
  <si>
    <t>SmartEMatched9375-11315</t>
  </si>
  <si>
    <t>26238</t>
  </si>
  <si>
    <t>SmartEMatched9345-11288</t>
  </si>
  <si>
    <t>6295</t>
  </si>
  <si>
    <t>SmartEMatched9350-9268</t>
  </si>
  <si>
    <t>9063</t>
  </si>
  <si>
    <t>SmartEMatched9373-11316</t>
  </si>
  <si>
    <t>5700</t>
  </si>
  <si>
    <t>SmartEMatched9365-11301</t>
  </si>
  <si>
    <t>9929</t>
  </si>
  <si>
    <t>SmartEMatched9379-11302</t>
  </si>
  <si>
    <t>10588.1</t>
  </si>
  <si>
    <t>SmartEMatched8916-8429</t>
  </si>
  <si>
    <t>112904</t>
  </si>
  <si>
    <t>116872</t>
  </si>
  <si>
    <t>SmartEMatched9378-11324</t>
  </si>
  <si>
    <t>5960</t>
  </si>
  <si>
    <t>117713</t>
  </si>
  <si>
    <t>116755</t>
  </si>
  <si>
    <t>24499</t>
  </si>
  <si>
    <t>RPV-44061</t>
  </si>
  <si>
    <t>RPV-44090</t>
  </si>
  <si>
    <t>RPV-44092</t>
  </si>
  <si>
    <t>RPV-44082</t>
  </si>
  <si>
    <t>RPV-44083</t>
  </si>
  <si>
    <t>RPV-44071</t>
  </si>
  <si>
    <t>RPV-44073</t>
  </si>
  <si>
    <t>RPV-44069</t>
  </si>
  <si>
    <t>RPV-44085</t>
  </si>
  <si>
    <t>SmartEMatched9355-9256</t>
  </si>
  <si>
    <t>117814</t>
  </si>
  <si>
    <t>111923</t>
  </si>
  <si>
    <t>RPV-44113</t>
  </si>
  <si>
    <t>RPV-44145</t>
  </si>
  <si>
    <t>RPV-44179</t>
  </si>
  <si>
    <t>RPV-44095</t>
  </si>
  <si>
    <t>RPV-44110</t>
  </si>
  <si>
    <t>RPV-44194</t>
  </si>
  <si>
    <t>RPV-44199</t>
  </si>
  <si>
    <t>RPV-44217</t>
  </si>
  <si>
    <t>RPV-44220</t>
  </si>
  <si>
    <t>RPV-44148</t>
  </si>
  <si>
    <t>RPV-44165</t>
  </si>
  <si>
    <t>RPV-44201</t>
  </si>
  <si>
    <t>RPV-44114</t>
  </si>
  <si>
    <t>RPV-44119</t>
  </si>
  <si>
    <t>RPV-44155</t>
  </si>
  <si>
    <t>RPV-44189</t>
  </si>
  <si>
    <t>RPV-44197</t>
  </si>
  <si>
    <t>RPV-44123</t>
  </si>
  <si>
    <t>RPV-44143</t>
  </si>
  <si>
    <t>RPV-44149</t>
  </si>
  <si>
    <t>RPV-44166</t>
  </si>
  <si>
    <t>RPV-44168</t>
  </si>
  <si>
    <t>RPV-44182</t>
  </si>
  <si>
    <t>RPV-44096</t>
  </si>
  <si>
    <t>RPV-44105</t>
  </si>
  <si>
    <t>RPV-44107</t>
  </si>
  <si>
    <t>RPV-44118</t>
  </si>
  <si>
    <t>RPV-44153</t>
  </si>
  <si>
    <t>RPV-44228</t>
  </si>
  <si>
    <t>RPV-44207</t>
  </si>
  <si>
    <t>RPV-44171</t>
  </si>
  <si>
    <t>RPV-44219</t>
  </si>
  <si>
    <t>PT-101686</t>
  </si>
  <si>
    <t>224311</t>
  </si>
  <si>
    <t>RPV-44112</t>
  </si>
  <si>
    <t>RPV-44160</t>
  </si>
  <si>
    <t>RPV-44185</t>
  </si>
  <si>
    <t>RPV-44216</t>
  </si>
  <si>
    <t>RPV-44094</t>
  </si>
  <si>
    <t>RPV-44098</t>
  </si>
  <si>
    <t>RPV-44099</t>
  </si>
  <si>
    <t>RPV-44101</t>
  </si>
  <si>
    <t>RPV-44121</t>
  </si>
  <si>
    <t>RPV-44116</t>
  </si>
  <si>
    <t>RPV-44117</t>
  </si>
  <si>
    <t>RPV-44126</t>
  </si>
  <si>
    <t>RPV-44235</t>
  </si>
  <si>
    <t>RPV-44017</t>
  </si>
  <si>
    <t>RPV-44077</t>
  </si>
  <si>
    <t>RPV-44239</t>
  </si>
  <si>
    <t>RPV-44127</t>
  </si>
  <si>
    <t>RPV-44221</t>
  </si>
  <si>
    <t>RPV-44102</t>
  </si>
  <si>
    <t>RPV-44122</t>
  </si>
  <si>
    <t>SmartEMatched9358-11308</t>
  </si>
  <si>
    <t>12400</t>
  </si>
  <si>
    <t>SmartEMatched9389-10897</t>
  </si>
  <si>
    <t>117926</t>
  </si>
  <si>
    <t>24077</t>
  </si>
  <si>
    <t>RPV-43970</t>
  </si>
  <si>
    <t>RPV-44269</t>
  </si>
  <si>
    <t>RPV-43976</t>
  </si>
  <si>
    <t>RPV-44042</t>
  </si>
  <si>
    <t>RPV-44173</t>
  </si>
  <si>
    <t>RPV-44175</t>
  </si>
  <si>
    <t>RPV-43945</t>
  </si>
  <si>
    <t>RPV-44070</t>
  </si>
  <si>
    <t>RPV-43599</t>
  </si>
  <si>
    <t>RPV-43845</t>
  </si>
  <si>
    <t>RPV-44198</t>
  </si>
  <si>
    <t>RPV-44272</t>
  </si>
  <si>
    <t>RPV-44291</t>
  </si>
  <si>
    <t>RPV-43843</t>
  </si>
  <si>
    <t>RPV-44224</t>
  </si>
  <si>
    <t>RPV-44225</t>
  </si>
  <si>
    <t>RPV-44230</t>
  </si>
  <si>
    <t>RPV-44236</t>
  </si>
  <si>
    <t>RPV-44244</t>
  </si>
  <si>
    <t>RPV-44246</t>
  </si>
  <si>
    <t>RPV-44251</t>
  </si>
  <si>
    <t>RPV-44271</t>
  </si>
  <si>
    <t>RPV-44158</t>
  </si>
  <si>
    <t>RPV-44193</t>
  </si>
  <si>
    <t>RPV-44258</t>
  </si>
  <si>
    <t>RPV-44262</t>
  </si>
  <si>
    <t>RPV-44264</t>
  </si>
  <si>
    <t>RPV-44278</t>
  </si>
  <si>
    <t>RPV-44240</t>
  </si>
  <si>
    <t>RPV-44243</t>
  </si>
  <si>
    <t>RPV-44260</t>
  </si>
  <si>
    <t>RPV-44285</t>
  </si>
  <si>
    <t>RPV-44353</t>
  </si>
  <si>
    <t>RPV-44232</t>
  </si>
  <si>
    <t>RPV-44248</t>
  </si>
  <si>
    <t>RPV-44275</t>
  </si>
  <si>
    <t>RPV-44231</t>
  </si>
  <si>
    <t>RPV-44233</t>
  </si>
  <si>
    <t>RPV-44249</t>
  </si>
  <si>
    <t>RPV-44266</t>
  </si>
  <si>
    <t>RPV-44274</t>
  </si>
  <si>
    <t>RPV-44293</t>
  </si>
  <si>
    <t>RPV-44241</t>
  </si>
  <si>
    <t>RPV-44261</t>
  </si>
  <si>
    <t>RPV-44014</t>
  </si>
  <si>
    <t>RPV-44237</t>
  </si>
  <si>
    <t>RPV-44277</t>
  </si>
  <si>
    <t>RPV-44290</t>
  </si>
  <si>
    <t>SmartEMatched9380-11327</t>
  </si>
  <si>
    <t>3450.26</t>
  </si>
  <si>
    <t>SmartEMatched9382-9267</t>
  </si>
  <si>
    <t>117614</t>
  </si>
  <si>
    <t>117686</t>
  </si>
  <si>
    <t>RPV-44218</t>
  </si>
  <si>
    <t>RPV-43981</t>
  </si>
  <si>
    <t>RPV-43980</t>
  </si>
  <si>
    <t>RPV-44137</t>
  </si>
  <si>
    <t>RPV-43015</t>
  </si>
  <si>
    <t>RPV-43982</t>
  </si>
  <si>
    <t>RPV-44139</t>
  </si>
  <si>
    <t>RPV-44140</t>
  </si>
  <si>
    <t>RPV-43060</t>
  </si>
  <si>
    <t>RPV-42336</t>
  </si>
  <si>
    <t>RPV-44138</t>
  </si>
  <si>
    <t>RPV-44337</t>
  </si>
  <si>
    <t>RPV-43983</t>
  </si>
  <si>
    <t>PT-101835</t>
  </si>
  <si>
    <t>163925</t>
  </si>
  <si>
    <t>PT-101836</t>
  </si>
  <si>
    <t>RPV-44135</t>
  </si>
  <si>
    <t>SmartEMatched9399-11318</t>
  </si>
  <si>
    <t>9830</t>
  </si>
  <si>
    <t>117860</t>
  </si>
  <si>
    <t>SmartEMatched9393-11210</t>
  </si>
  <si>
    <t>13400</t>
  </si>
  <si>
    <t>117502</t>
  </si>
  <si>
    <t>SmartEMatched9368-11306</t>
  </si>
  <si>
    <t>13000</t>
  </si>
  <si>
    <t>RPV-44206</t>
  </si>
  <si>
    <t>RPV-43464</t>
  </si>
  <si>
    <t>RPV-43466</t>
  </si>
  <si>
    <t>RPV-43300</t>
  </si>
  <si>
    <t>RPV-43324</t>
  </si>
  <si>
    <t>RPV-43344</t>
  </si>
  <si>
    <t>RPV-43311</t>
  </si>
  <si>
    <t>RPV-44204</t>
  </si>
  <si>
    <t>RPV-44188</t>
  </si>
  <si>
    <t>RPV-44203</t>
  </si>
  <si>
    <t>RPV-43679</t>
  </si>
  <si>
    <t>RPV-43686</t>
  </si>
  <si>
    <t>RPV-43720</t>
  </si>
  <si>
    <t>RPV-44195</t>
  </si>
  <si>
    <t>RPV-44212</t>
  </si>
  <si>
    <t>RPV-44346</t>
  </si>
  <si>
    <t>RPV-44214</t>
  </si>
  <si>
    <t>RPV-44213</t>
  </si>
  <si>
    <t>RPV-44338</t>
  </si>
  <si>
    <t>RPV-44345</t>
  </si>
  <si>
    <t>RPV-44355</t>
  </si>
  <si>
    <t>RPV-44347</t>
  </si>
  <si>
    <t>RPV-43312</t>
  </si>
  <si>
    <t>117828</t>
  </si>
  <si>
    <t>117763</t>
  </si>
  <si>
    <t>SmartEMatched9397-11317</t>
  </si>
  <si>
    <t>10953</t>
  </si>
  <si>
    <t>83935</t>
  </si>
  <si>
    <t>RPV-43634</t>
  </si>
  <si>
    <t>RPV-44304</t>
  </si>
  <si>
    <t>RPV-44311</t>
  </si>
  <si>
    <t>RPV-44312</t>
  </si>
  <si>
    <t>RPV-44315</t>
  </si>
  <si>
    <t>117440</t>
  </si>
  <si>
    <t>SmartEMatched9398-11319</t>
  </si>
  <si>
    <t>7379</t>
  </si>
  <si>
    <t>115391</t>
  </si>
  <si>
    <t>117591</t>
  </si>
  <si>
    <t>RPV-44106</t>
  </si>
  <si>
    <t>RPV-44132</t>
  </si>
  <si>
    <t>RPV-44084</t>
  </si>
  <si>
    <t>RPV-44456</t>
  </si>
  <si>
    <t>RPV-44424</t>
  </si>
  <si>
    <t>RPV-44467</t>
  </si>
  <si>
    <t>RPV-44253</t>
  </si>
  <si>
    <t>RPV-44234</t>
  </si>
  <si>
    <t>RPV-44279</t>
  </si>
  <si>
    <t>RPV-44447</t>
  </si>
  <si>
    <t>RPV-43621</t>
  </si>
  <si>
    <t>RPV-43608</t>
  </si>
  <si>
    <t>RPV-44295</t>
  </si>
  <si>
    <t>RPV-44411</t>
  </si>
  <si>
    <t>RPV-44081</t>
  </si>
  <si>
    <t>RPV-44288</t>
  </si>
  <si>
    <t>RPV-44321</t>
  </si>
  <si>
    <t>RPV-44327</t>
  </si>
  <si>
    <t>RPV-44086</t>
  </si>
  <si>
    <t>RPV-44088</t>
  </si>
  <si>
    <t>RPV-44350</t>
  </si>
  <si>
    <t>RPV-44336</t>
  </si>
  <si>
    <t>RPV-44322</t>
  </si>
  <si>
    <t>RPV-44324</t>
  </si>
  <si>
    <t>RPV-44341</t>
  </si>
  <si>
    <t>RPV-44152</t>
  </si>
  <si>
    <t>RPV-44326</t>
  </si>
  <si>
    <t>RPV-44334</t>
  </si>
  <si>
    <t>118115</t>
  </si>
  <si>
    <t>RPV-44481</t>
  </si>
  <si>
    <t>RPV-44462</t>
  </si>
  <si>
    <t>RPV-44494</t>
  </si>
  <si>
    <t>RPV-44501</t>
  </si>
  <si>
    <t>RPV-44498</t>
  </si>
  <si>
    <t>RPV-43880</t>
  </si>
  <si>
    <t>RPV-44254</t>
  </si>
  <si>
    <t>SmartEMatched9402-11320</t>
  </si>
  <si>
    <t>9082.29</t>
  </si>
  <si>
    <t>RPV-43507</t>
  </si>
  <si>
    <t>RPV-44401</t>
  </si>
  <si>
    <t>RPV-44403</t>
  </si>
  <si>
    <t>RPV-44433</t>
  </si>
  <si>
    <t>RPV-44416</t>
  </si>
  <si>
    <t>RPV-44444</t>
  </si>
  <si>
    <t>RPV-44437</t>
  </si>
  <si>
    <t>RPV-44417</t>
  </si>
  <si>
    <t>RPV-44422</t>
  </si>
  <si>
    <t>RPV-44443</t>
  </si>
  <si>
    <t>RPV-44446</t>
  </si>
  <si>
    <t>RPV-44455</t>
  </si>
  <si>
    <t>RPV-44460</t>
  </si>
  <si>
    <t>RPV-44461</t>
  </si>
  <si>
    <t>RPV-44427</t>
  </si>
  <si>
    <t>RPV-44454</t>
  </si>
  <si>
    <t>RPV-44407</t>
  </si>
  <si>
    <t>RPV-44412</t>
  </si>
  <si>
    <t>RPV-44429</t>
  </si>
  <si>
    <t>RPV-44442</t>
  </si>
  <si>
    <t>RPV-44451</t>
  </si>
  <si>
    <t>RPV-44292</t>
  </si>
  <si>
    <t>RPV-44375</t>
  </si>
  <si>
    <t>RPV-44373</t>
  </si>
  <si>
    <t>RPV-44367</t>
  </si>
  <si>
    <t>RPV-44380</t>
  </si>
  <si>
    <t>RPV-44366</t>
  </si>
  <si>
    <t>RPV-44372</t>
  </si>
  <si>
    <t>RPV-44374</t>
  </si>
  <si>
    <t>RPV-44384</t>
  </si>
  <si>
    <t>RPV-44370</t>
  </si>
  <si>
    <t>RPV-44414</t>
  </si>
  <si>
    <t>RPV-44439</t>
  </si>
  <si>
    <t>RPV-44441</t>
  </si>
  <si>
    <t>RPV-44452</t>
  </si>
  <si>
    <t>RPV-44459</t>
  </si>
  <si>
    <t>RPV-43954</t>
  </si>
  <si>
    <t>RPV-44358</t>
  </si>
  <si>
    <t>RPV-44378</t>
  </si>
  <si>
    <t>RPV-44382</t>
  </si>
  <si>
    <t>SmartEMatched9390-11321</t>
  </si>
  <si>
    <t>2725.78</t>
  </si>
  <si>
    <t>116654</t>
  </si>
  <si>
    <t>117915</t>
  </si>
  <si>
    <t>SmartEMatched9381-17264</t>
  </si>
  <si>
    <t>RPV-43766</t>
  </si>
  <si>
    <t>RPV-44109</t>
  </si>
  <si>
    <t>RPV-44058</t>
  </si>
  <si>
    <t>RPV-44146</t>
  </si>
  <si>
    <t>RPV-44223</t>
  </si>
  <si>
    <t>RPV-43884</t>
  </si>
  <si>
    <t>RPV-44259</t>
  </si>
  <si>
    <t>RPV-44053</t>
  </si>
  <si>
    <t>RPV-44141</t>
  </si>
  <si>
    <t>RPV-44357</t>
  </si>
  <si>
    <t>RPV-44475</t>
  </si>
  <si>
    <t>RPV-44215</t>
  </si>
  <si>
    <t>RPV-43073</t>
  </si>
  <si>
    <t>RPV-44508</t>
  </si>
  <si>
    <t>RPV-43319</t>
  </si>
  <si>
    <t>RPV-43455</t>
  </si>
  <si>
    <t>RPV-44361</t>
  </si>
  <si>
    <t>RPV-44523</t>
  </si>
  <si>
    <t>RPV-42219</t>
  </si>
  <si>
    <t>RPV-44453</t>
  </si>
  <si>
    <t>RPV-44464</t>
  </si>
  <si>
    <t>RPV-44476</t>
  </si>
  <si>
    <t>RPV-44480</t>
  </si>
  <si>
    <t>RPV-44487</t>
  </si>
  <si>
    <t>RPV-44491</t>
  </si>
  <si>
    <t>RPV-44493</t>
  </si>
  <si>
    <t>RPV-44502</t>
  </si>
  <si>
    <t>RPV-44479</t>
  </si>
  <si>
    <t>RPV-44490</t>
  </si>
  <si>
    <t>RPV-43446</t>
  </si>
  <si>
    <t>RPV-44458</t>
  </si>
  <si>
    <t>RPV-44499</t>
  </si>
  <si>
    <t>RPV-44485</t>
  </si>
  <si>
    <t>RPV-44512</t>
  </si>
  <si>
    <t>RPV-44474</t>
  </si>
  <si>
    <t>RPV-44506</t>
  </si>
  <si>
    <t>RPV-44525</t>
  </si>
  <si>
    <t>RPV-44463</t>
  </si>
  <si>
    <t>RPV-44470</t>
  </si>
  <si>
    <t>RPV-44492</t>
  </si>
  <si>
    <t>RPV-44505</t>
  </si>
  <si>
    <t>RPV-44001</t>
  </si>
  <si>
    <t>RPV-44050</t>
  </si>
  <si>
    <t>RPV-44300</t>
  </si>
  <si>
    <t>RPV-44489</t>
  </si>
  <si>
    <t>SmartEMatched9401-11329</t>
  </si>
  <si>
    <t>20600</t>
  </si>
  <si>
    <t>SmartEMatched9433-11325</t>
  </si>
  <si>
    <t>13351</t>
  </si>
  <si>
    <t>118142</t>
  </si>
  <si>
    <t>RPV-42841</t>
  </si>
  <si>
    <t>RPV-42962</t>
  </si>
  <si>
    <t>RPV-42990</t>
  </si>
  <si>
    <t>RPV-44546</t>
  </si>
  <si>
    <t>RPV-43305</t>
  </si>
  <si>
    <t>RPV-44531</t>
  </si>
  <si>
    <t>RPV-44555</t>
  </si>
  <si>
    <t>RPV-44557</t>
  </si>
  <si>
    <t>RPV-44468</t>
  </si>
  <si>
    <t>RPV-44553</t>
  </si>
  <si>
    <t>RPV-42956</t>
  </si>
  <si>
    <t>RPV-42409</t>
  </si>
  <si>
    <t>RPV-42357</t>
  </si>
  <si>
    <t>RPV-44436</t>
  </si>
  <si>
    <t>SmartEMatched9411-11332</t>
  </si>
  <si>
    <t>2960</t>
  </si>
  <si>
    <t>SmartEMatched9415-11331</t>
  </si>
  <si>
    <t>15995</t>
  </si>
  <si>
    <t>SmartEMatched9388-11328</t>
  </si>
  <si>
    <t>34627</t>
  </si>
  <si>
    <t>SmartEMatched9413-11368</t>
  </si>
  <si>
    <t>12837</t>
  </si>
  <si>
    <t>SmartEMatched9427-11326</t>
  </si>
  <si>
    <t>8800</t>
  </si>
  <si>
    <t>118260</t>
  </si>
  <si>
    <t>RPV-44529</t>
  </si>
  <si>
    <t>RPV-42819</t>
  </si>
  <si>
    <t>RPV-44536</t>
  </si>
  <si>
    <t>RPV-44578</t>
  </si>
  <si>
    <t>RPV-44577</t>
  </si>
  <si>
    <t>RPV-44574</t>
  </si>
  <si>
    <t>RPV-44580</t>
  </si>
  <si>
    <t>RPV-44585</t>
  </si>
  <si>
    <t>RPV-44600</t>
  </si>
  <si>
    <t>RPV-44575</t>
  </si>
  <si>
    <t>RPV-44581</t>
  </si>
  <si>
    <t>RPV-43560</t>
  </si>
  <si>
    <t>RPV-44202</t>
  </si>
  <si>
    <t>SmartEMatched9423-11342</t>
  </si>
  <si>
    <t>12735</t>
  </si>
  <si>
    <t>SmartEMatched9445-11335</t>
  </si>
  <si>
    <t>8901.73</t>
  </si>
  <si>
    <t>SmartEMatched9441-11330</t>
  </si>
  <si>
    <t>15595</t>
  </si>
  <si>
    <t>118305</t>
  </si>
  <si>
    <t>RPV-44471</t>
  </si>
  <si>
    <t>RPV-44037</t>
  </si>
  <si>
    <t>RPV-44595</t>
  </si>
  <si>
    <t>RPV-42838</t>
  </si>
  <si>
    <t>RPV-43273</t>
  </si>
  <si>
    <t>RPV-43948</t>
  </si>
  <si>
    <t>RPV-44532</t>
  </si>
  <si>
    <t>RPV-43767</t>
  </si>
  <si>
    <t>RPV-44573</t>
  </si>
  <si>
    <t>RPV-44587</t>
  </si>
  <si>
    <t>RPV-44533</t>
  </si>
  <si>
    <t>RPV-44571</t>
  </si>
  <si>
    <t>RPV-44538</t>
  </si>
  <si>
    <t>118287</t>
  </si>
  <si>
    <t>118363</t>
  </si>
  <si>
    <t>118439</t>
  </si>
  <si>
    <t>RPV-43199</t>
  </si>
  <si>
    <t>SmartEMatched9391-11336</t>
  </si>
  <si>
    <t>9850</t>
  </si>
  <si>
    <t>SmartEMatched9409-11339</t>
  </si>
  <si>
    <t>6975.6</t>
  </si>
  <si>
    <t>SmartEMatched9418-11369</t>
  </si>
  <si>
    <t>22105</t>
  </si>
  <si>
    <t>SmartEMatched9454-11286</t>
  </si>
  <si>
    <t>SmartEMatched9386-11349</t>
  </si>
  <si>
    <t>8784.22</t>
  </si>
  <si>
    <t>SmartEMatched9450-11338</t>
  </si>
  <si>
    <t>5226</t>
  </si>
  <si>
    <t>121369</t>
  </si>
  <si>
    <t>116360</t>
  </si>
  <si>
    <t>43771</t>
  </si>
  <si>
    <t>117922</t>
  </si>
  <si>
    <t>RPV-44710</t>
  </si>
  <si>
    <t>RPV-44597</t>
  </si>
  <si>
    <t>RPV-44653</t>
  </si>
  <si>
    <t>RPV-44589</t>
  </si>
  <si>
    <t>RPV-44682</t>
  </si>
  <si>
    <t>RPV-44669</t>
  </si>
  <si>
    <t>RPV-44645</t>
  </si>
  <si>
    <t>RPV-42615</t>
  </si>
  <si>
    <t>RPV-42986</t>
  </si>
  <si>
    <t>RPV-44616</t>
  </si>
  <si>
    <t>RPV-44636</t>
  </si>
  <si>
    <t>RPV-44729</t>
  </si>
  <si>
    <t>RPV-44421</t>
  </si>
  <si>
    <t>RPV-44509</t>
  </si>
  <si>
    <t>RPV-44610</t>
  </si>
  <si>
    <t>RPV-44637</t>
  </si>
  <si>
    <t>RPV-44691</t>
  </si>
  <si>
    <t>RPV-43322</t>
  </si>
  <si>
    <t>RPV-43280</t>
  </si>
  <si>
    <t>RPV-43423</t>
  </si>
  <si>
    <t>RPV-43307</t>
  </si>
  <si>
    <t>RPV-43451</t>
  </si>
  <si>
    <t>RPV-44621</t>
  </si>
  <si>
    <t>RPV-44659</t>
  </si>
  <si>
    <t>RPV-44603</t>
  </si>
  <si>
    <t>RPV-44619</t>
  </si>
  <si>
    <t>RPV-44713</t>
  </si>
  <si>
    <t>RPV-43944</t>
  </si>
  <si>
    <t>RPV-44227</t>
  </si>
  <si>
    <t>RPV-44005</t>
  </si>
  <si>
    <t>RPV-44725</t>
  </si>
  <si>
    <t>RPV-43783</t>
  </si>
  <si>
    <t>RPV-44299</t>
  </si>
  <si>
    <t>RPV-42900</t>
  </si>
  <si>
    <t>RPV-44620</t>
  </si>
  <si>
    <t>RPV-44685</t>
  </si>
  <si>
    <t>RPV-43681</t>
  </si>
  <si>
    <t>RPV-44192</t>
  </si>
  <si>
    <t>RPV-44245</t>
  </si>
  <si>
    <t>SmartEMatched8938-8624</t>
  </si>
  <si>
    <t>29396.65</t>
  </si>
  <si>
    <t>SmartEMatched9430-11334</t>
  </si>
  <si>
    <t>12450</t>
  </si>
  <si>
    <t>SmartEMatched9461-11341</t>
  </si>
  <si>
    <t>15975</t>
  </si>
  <si>
    <t>SmartEMatched9444-11343</t>
  </si>
  <si>
    <t>118523</t>
  </si>
  <si>
    <t>RPV-44052</t>
  </si>
  <si>
    <t>RPV-44167</t>
  </si>
  <si>
    <t>RPV-44371</t>
  </si>
  <si>
    <t>RPV-44430</t>
  </si>
  <si>
    <t>RPV-44592</t>
  </si>
  <si>
    <t>RPV-44298</t>
  </si>
  <si>
    <t>RPV-44672</t>
  </si>
  <si>
    <t>RPV-44488</t>
  </si>
  <si>
    <t>RPV-44644</t>
  </si>
  <si>
    <t>RPV-43607</t>
  </si>
  <si>
    <t>RPV-44598</t>
  </si>
  <si>
    <t>RPV-44124</t>
  </si>
  <si>
    <t>RPV-44397</t>
  </si>
  <si>
    <t>RPV-42697</t>
  </si>
  <si>
    <t>RPV-44643</t>
  </si>
  <si>
    <t>RPV-44661</t>
  </si>
  <si>
    <t>RPV-44663</t>
  </si>
  <si>
    <t>RPV-44678</t>
  </si>
  <si>
    <t>RPV-44688</t>
  </si>
  <si>
    <t>RPV-44520</t>
  </si>
  <si>
    <t>RPV-44677</t>
  </si>
  <si>
    <t>RPV-44689</t>
  </si>
  <si>
    <t>RPV-43416</t>
  </si>
  <si>
    <t>RPV-43292</t>
  </si>
  <si>
    <t>RPV-44646</t>
  </si>
  <si>
    <t>RPV-44652</t>
  </si>
  <si>
    <t>RPV-44526</t>
  </si>
  <si>
    <t>RPV-44601</t>
  </si>
  <si>
    <t>RPV-44624</t>
  </si>
  <si>
    <t>RPV-44625</t>
  </si>
  <si>
    <t>RPV-44627</t>
  </si>
  <si>
    <t>RPV-44630</t>
  </si>
  <si>
    <t>RPV-44655</t>
  </si>
  <si>
    <t>RPV-44642</t>
  </si>
  <si>
    <t>RPV-44654</t>
  </si>
  <si>
    <t>RPV-44656</t>
  </si>
  <si>
    <t>RPV-44658</t>
  </si>
  <si>
    <t>RPV-44721</t>
  </si>
  <si>
    <t>RPV-44519</t>
  </si>
  <si>
    <t>RPV-44626</t>
  </si>
  <si>
    <t>RPV-44667</t>
  </si>
  <si>
    <t>RPV-44675</t>
  </si>
  <si>
    <t>RPV-44692</t>
  </si>
  <si>
    <t>RPV-44752</t>
  </si>
  <si>
    <t>RPV-44180</t>
  </si>
  <si>
    <t>RPV-43162</t>
  </si>
  <si>
    <t>RPV-44172</t>
  </si>
  <si>
    <t>RPV-44136</t>
  </si>
  <si>
    <t>RPV-44177</t>
  </si>
  <si>
    <t>RPV-44211</t>
  </si>
  <si>
    <t>RPV-44205</t>
  </si>
  <si>
    <t>RPV-44306</t>
  </si>
  <si>
    <t>RPV-44317</t>
  </si>
  <si>
    <t>RPV-42358</t>
  </si>
  <si>
    <t>RPV-44695</t>
  </si>
  <si>
    <t>RPV-44751</t>
  </si>
  <si>
    <t>RPV-44305</t>
  </si>
  <si>
    <t>RPV-44316</t>
  </si>
  <si>
    <t>RPV-42651</t>
  </si>
  <si>
    <t>RPV-44549</t>
  </si>
  <si>
    <t>RPV-44591</t>
  </si>
  <si>
    <t>RPV-44594</t>
  </si>
  <si>
    <t>RPV-44629</t>
  </si>
  <si>
    <t>RPV-44686</t>
  </si>
  <si>
    <t>RPV-44693</t>
  </si>
  <si>
    <t>RPV-44176</t>
  </si>
  <si>
    <t>RPV-44314</t>
  </si>
  <si>
    <t>SmartEMatched9201-8691</t>
  </si>
  <si>
    <t>RPV-44763</t>
  </si>
  <si>
    <t>RPV-44387</t>
  </si>
  <si>
    <t>RPV-44540</t>
  </si>
  <si>
    <t>RPV-44739</t>
  </si>
  <si>
    <t>RPV-44570</t>
  </si>
  <si>
    <t>RPV-44049</t>
  </si>
  <si>
    <t>RPV-44319</t>
  </si>
  <si>
    <t>RPV-44348</t>
  </si>
  <si>
    <t>RPV-44606</t>
  </si>
  <si>
    <t>RPV-44712</t>
  </si>
  <si>
    <t>RPV-44719</t>
  </si>
  <si>
    <t>RPV-44738</t>
  </si>
  <si>
    <t>RPV-44604</t>
  </si>
  <si>
    <t>RPV-44759</t>
  </si>
  <si>
    <t>RPV-44811</t>
  </si>
  <si>
    <t>RPV-44772</t>
  </si>
  <si>
    <t>RPV-44087</t>
  </si>
  <si>
    <t>RPV-44559</t>
  </si>
  <si>
    <t>RPV-43346</t>
  </si>
  <si>
    <t>RPV-44674</t>
  </si>
  <si>
    <t>RPV-44434</t>
  </si>
  <si>
    <t>RPV-44445</t>
  </si>
  <si>
    <t>RPV-44679</t>
  </si>
  <si>
    <t>RPV-44435</t>
  </si>
  <si>
    <t>RPV-44648</t>
  </si>
  <si>
    <t>RPV-43278</t>
  </si>
  <si>
    <t>RPV-44500</t>
  </si>
  <si>
    <t>RPV-44593</t>
  </si>
  <si>
    <t>RPV-44731</t>
  </si>
  <si>
    <t>RPV-44742</t>
  </si>
  <si>
    <t>RPV-44765</t>
  </si>
  <si>
    <t>RPV-44706</t>
  </si>
  <si>
    <t>RPV-44714</t>
  </si>
  <si>
    <t>RPV-44716</t>
  </si>
  <si>
    <t>RPV-44769</t>
  </si>
  <si>
    <t>RPV-44696</t>
  </si>
  <si>
    <t>RPV-44707</t>
  </si>
  <si>
    <t>RPV-44715</t>
  </si>
  <si>
    <t>RPV-44745</t>
  </si>
  <si>
    <t>RPV-44750</t>
  </si>
  <si>
    <t>RPV-44764</t>
  </si>
  <si>
    <t>RPV-44792</t>
  </si>
  <si>
    <t>RPV-44698</t>
  </si>
  <si>
    <t>RPV-44701</t>
  </si>
  <si>
    <t>RPV-44703</t>
  </si>
  <si>
    <t>RPV-44717</t>
  </si>
  <si>
    <t>RPV-44753</t>
  </si>
  <si>
    <t>RPV-44755</t>
  </si>
  <si>
    <t>RPV-44773</t>
  </si>
  <si>
    <t>RPV-44775</t>
  </si>
  <si>
    <t>RPV-43988</t>
  </si>
  <si>
    <t>RPV-44075</t>
  </si>
  <si>
    <t>RPV-44734</t>
  </si>
  <si>
    <t>RPV-44757</t>
  </si>
  <si>
    <t>RPV-44782</t>
  </si>
  <si>
    <t>RPV-44803</t>
  </si>
  <si>
    <t>RPV-44810</t>
  </si>
  <si>
    <t>RPV-44718</t>
  </si>
  <si>
    <t>RPV-44730</t>
  </si>
  <si>
    <t>RPV-44754</t>
  </si>
  <si>
    <t>RPV-44767</t>
  </si>
  <si>
    <t>RPV-44776</t>
  </si>
  <si>
    <t>RPV-44758</t>
  </si>
  <si>
    <t>RPV-44783</t>
  </si>
  <si>
    <t>RPV-44267</t>
  </si>
  <si>
    <t>RPV-44771</t>
  </si>
  <si>
    <t>RPV-44806</t>
  </si>
  <si>
    <t>RPV-44426</t>
  </si>
  <si>
    <t>RPV-44711</t>
  </si>
  <si>
    <t>RPV-44737</t>
  </si>
  <si>
    <t>RPV-44743</t>
  </si>
  <si>
    <t>RPV-44760</t>
  </si>
  <si>
    <t>RPV-44766</t>
  </si>
  <si>
    <t>RPV-44774</t>
  </si>
  <si>
    <t>RPV-44807</t>
  </si>
  <si>
    <t>RPV-44329</t>
  </si>
  <si>
    <t>SmartEMatched9440-11337</t>
  </si>
  <si>
    <t>6890</t>
  </si>
  <si>
    <t>118364</t>
  </si>
  <si>
    <t>113369</t>
  </si>
  <si>
    <t>118618</t>
  </si>
  <si>
    <t>118221</t>
  </si>
  <si>
    <t>SmartEMatched9470-14640</t>
  </si>
  <si>
    <t>13876.95</t>
  </si>
  <si>
    <t>RPV-44064</t>
  </si>
  <si>
    <t>RPV-44756</t>
  </si>
  <si>
    <t>RPV-44747</t>
  </si>
  <si>
    <t>RPV-44789</t>
  </si>
  <si>
    <t>RPV-44793</t>
  </si>
  <si>
    <t>RPV-43530</t>
  </si>
  <si>
    <t>RPV-44588</t>
  </si>
  <si>
    <t>RPV-42227</t>
  </si>
  <si>
    <t>RPV-42232</t>
  </si>
  <si>
    <t>RPV-42989</t>
  </si>
  <si>
    <t>RPV-42323</t>
  </si>
  <si>
    <t>RPV-44733</t>
  </si>
  <si>
    <t>RPV-43527</t>
  </si>
  <si>
    <t>RPV-43241</t>
  </si>
  <si>
    <t>RPV-44748</t>
  </si>
  <si>
    <t>RPV-44797</t>
  </si>
  <si>
    <t>RPV-44744</t>
  </si>
  <si>
    <t>RPV-44842</t>
  </si>
  <si>
    <t>RPV-44736</t>
  </si>
  <si>
    <t>RPV-44770</t>
  </si>
  <si>
    <t>RPV-44790</t>
  </si>
  <si>
    <t>RPV-42328</t>
  </si>
  <si>
    <t>RPV-44802</t>
  </si>
  <si>
    <t>RPV-44800</t>
  </si>
  <si>
    <t>RPV-44814</t>
  </si>
  <si>
    <t>RPV-44840</t>
  </si>
  <si>
    <t>RPV-44801</t>
  </si>
  <si>
    <t>PT-101848</t>
  </si>
  <si>
    <t>676630.29</t>
  </si>
  <si>
    <t>PT-101849</t>
  </si>
  <si>
    <t>435750</t>
  </si>
  <si>
    <t>SmartEMatched9474-11359</t>
  </si>
  <si>
    <t>11080</t>
  </si>
  <si>
    <t>SmartEMatched9417-11367</t>
  </si>
  <si>
    <t>6995</t>
  </si>
  <si>
    <t>SmartEMatched9475-11355</t>
  </si>
  <si>
    <t>6346</t>
  </si>
  <si>
    <t>118492</t>
  </si>
  <si>
    <t>56979</t>
  </si>
  <si>
    <t>19927</t>
  </si>
  <si>
    <t>118542</t>
  </si>
  <si>
    <t>114316</t>
  </si>
  <si>
    <t>SmartEMatched9442-14541</t>
  </si>
  <si>
    <t>RPV-44039</t>
  </si>
  <si>
    <t>RPV-43478</t>
  </si>
  <si>
    <t>RPV-44851</t>
  </si>
  <si>
    <t>RPV-44144</t>
  </si>
  <si>
    <t>RPV-43476</t>
  </si>
  <si>
    <t>RPV-44000</t>
  </si>
  <si>
    <t>RPV-42214</t>
  </si>
  <si>
    <t>RPV-44477</t>
  </si>
  <si>
    <t>RPV-44560</t>
  </si>
  <si>
    <t>RPV-44561</t>
  </si>
  <si>
    <t>RPV-44639</t>
  </si>
  <si>
    <t>RPV-44638</t>
  </si>
  <si>
    <t>RPV-43435</t>
  </si>
  <si>
    <t>RPV-43337</t>
  </si>
  <si>
    <t>RPV-43535</t>
  </si>
  <si>
    <t>RPV-44815</t>
  </si>
  <si>
    <t>RPV-44671</t>
  </si>
  <si>
    <t>RPV-44844</t>
  </si>
  <si>
    <t>RPV-44852</t>
  </si>
  <si>
    <t>RPV-44628</t>
  </si>
  <si>
    <t>RPV-44633</t>
  </si>
  <si>
    <t>RPV-44673</t>
  </si>
  <si>
    <t>RPV-42915</t>
  </si>
  <si>
    <t>RPV-43064</t>
  </si>
  <si>
    <t>RPV-43990</t>
  </si>
  <si>
    <t>RPV-44256</t>
  </si>
  <si>
    <t>RPV-43018</t>
  </si>
  <si>
    <t>RPV-44779</t>
  </si>
  <si>
    <t>RPV-44830</t>
  </si>
  <si>
    <t>RPV-44857</t>
  </si>
  <si>
    <t>RPV-44866</t>
  </si>
  <si>
    <t>RPV-44854</t>
  </si>
  <si>
    <t>RPV-44861</t>
  </si>
  <si>
    <t>RPV-44887</t>
  </si>
  <si>
    <t>RPV-44865</t>
  </si>
  <si>
    <t>RPV-43995</t>
  </si>
  <si>
    <t>RPV-44841</t>
  </si>
  <si>
    <t>RPV-44846</t>
  </si>
  <si>
    <t>RPV-44853</t>
  </si>
  <si>
    <t>RPV-44860</t>
  </si>
  <si>
    <t>PT-101664</t>
  </si>
  <si>
    <t>312120.59</t>
  </si>
  <si>
    <t>SmartEMatched9463-11360</t>
  </si>
  <si>
    <t>11615</t>
  </si>
  <si>
    <t>SmartEMatched9471-11346</t>
  </si>
  <si>
    <t>9825</t>
  </si>
  <si>
    <t>SmartEMatched9478-11358</t>
  </si>
  <si>
    <t>118620</t>
  </si>
  <si>
    <t>RPV-44723</t>
  </si>
  <si>
    <t>RPV-44918</t>
  </si>
  <si>
    <t>RPV-44761</t>
  </si>
  <si>
    <t>RPV-44785</t>
  </si>
  <si>
    <t>RPV-44917</t>
  </si>
  <si>
    <t>RPV-44046</t>
  </si>
  <si>
    <t>RPV-42908</t>
  </si>
  <si>
    <t>RPV-42917</t>
  </si>
  <si>
    <t>RPV-44563</t>
  </si>
  <si>
    <t>RPV-44726</t>
  </si>
  <si>
    <t>RPV-44728</t>
  </si>
  <si>
    <t>RPV-43445</t>
  </si>
  <si>
    <t>RPV-44432</t>
  </si>
  <si>
    <t>RPV-44837</t>
  </si>
  <si>
    <t>RPV-44898</t>
  </si>
  <si>
    <t>RPV-44473</t>
  </si>
  <si>
    <t>RPV-44010</t>
  </si>
  <si>
    <t>RPV-43940</t>
  </si>
  <si>
    <t>RPV-44041</t>
  </si>
  <si>
    <t>RPV-43999</t>
  </si>
  <si>
    <t>RPV-44025</t>
  </si>
  <si>
    <t>RPV-44873</t>
  </si>
  <si>
    <t>RPV-44874</t>
  </si>
  <si>
    <t>RPV-44889</t>
  </si>
  <si>
    <t>RPV-44899</t>
  </si>
  <si>
    <t>RPV-44930</t>
  </si>
  <si>
    <t>RPV-44762</t>
  </si>
  <si>
    <t>RPV-43687</t>
  </si>
  <si>
    <t>RPV-43699</t>
  </si>
  <si>
    <t>RPV-43710</t>
  </si>
  <si>
    <t>RPV-43682</t>
  </si>
  <si>
    <t>RPV-44343</t>
  </si>
  <si>
    <t>RPV-44150</t>
  </si>
  <si>
    <t>RPV-44916</t>
  </si>
  <si>
    <t>RPV-44872</t>
  </si>
  <si>
    <t>RPV-43942</t>
  </si>
  <si>
    <t>RPV-42307</t>
  </si>
  <si>
    <t>RPV-44676</t>
  </si>
  <si>
    <t>RPV-44915</t>
  </si>
  <si>
    <t>RPV-43534</t>
  </si>
  <si>
    <t>SmartEMatched9530-11617</t>
  </si>
  <si>
    <t>17866</t>
  </si>
  <si>
    <t>118792</t>
  </si>
  <si>
    <t>RPV-43749</t>
  </si>
  <si>
    <t>RPV-44819</t>
  </si>
  <si>
    <t>RPV-44845</t>
  </si>
  <si>
    <t>RPV-44900</t>
  </si>
  <si>
    <t>RPV-43997</t>
  </si>
  <si>
    <t>RPV-44781</t>
  </si>
  <si>
    <t>RPV-44472</t>
  </si>
  <si>
    <t>RPV-43963</t>
  </si>
  <si>
    <t>RPV-44741</t>
  </si>
  <si>
    <t>RPV-44975</t>
  </si>
  <si>
    <t>RPV-44808</t>
  </si>
  <si>
    <t>RPV-44804</t>
  </si>
  <si>
    <t>RPV-44904</t>
  </si>
  <si>
    <t>RPV-43609</t>
  </si>
  <si>
    <t>RPV-43328</t>
  </si>
  <si>
    <t>RPV-44590</t>
  </si>
  <si>
    <t>RPV-44888</t>
  </si>
  <si>
    <t>RPV-44297</t>
  </si>
  <si>
    <t>RPV-44909</t>
  </si>
  <si>
    <t>RPV-44913</t>
  </si>
  <si>
    <t>RPV-44903</t>
  </si>
  <si>
    <t>RPV-44929</t>
  </si>
  <si>
    <t>RPV-44908</t>
  </si>
  <si>
    <t>RPV-44936</t>
  </si>
  <si>
    <t>RPV-44941</t>
  </si>
  <si>
    <t>RPV-44885</t>
  </si>
  <si>
    <t>RPV-44912</t>
  </si>
  <si>
    <t>RPV-44914</t>
  </si>
  <si>
    <t>RPV-44937</t>
  </si>
  <si>
    <t>RPV-44911</t>
  </si>
  <si>
    <t>RPV-44923</t>
  </si>
  <si>
    <t>RPV-44924</t>
  </si>
  <si>
    <t>RPV-44368</t>
  </si>
  <si>
    <t>RPV-44905</t>
  </si>
  <si>
    <t>RPV-44927</t>
  </si>
  <si>
    <t>PT-101802</t>
  </si>
  <si>
    <t>256395.44</t>
  </si>
  <si>
    <t>RPV-44910</t>
  </si>
  <si>
    <t>RPV-44926</t>
  </si>
  <si>
    <t>RPV-44938</t>
  </si>
  <si>
    <t>SmartEMatched9267-11111</t>
  </si>
  <si>
    <t>11950</t>
  </si>
  <si>
    <t>SmartEMatched9479-11448</t>
  </si>
  <si>
    <t>118871</t>
  </si>
  <si>
    <t>118736</t>
  </si>
  <si>
    <t>118814</t>
  </si>
  <si>
    <t>118902</t>
  </si>
  <si>
    <t>SmartEMatched9496-11458</t>
  </si>
  <si>
    <t>RPV-44823</t>
  </si>
  <si>
    <t>RPV-44828</t>
  </si>
  <si>
    <t>RPV-44877</t>
  </si>
  <si>
    <t>RPV-42911</t>
  </si>
  <si>
    <t>RPV-44515</t>
  </si>
  <si>
    <t>RPV-44514</t>
  </si>
  <si>
    <t>RPV-43556</t>
  </si>
  <si>
    <t>RPV-44564</t>
  </si>
  <si>
    <t>RPV-44818</t>
  </si>
  <si>
    <t>RPV-44128</t>
  </si>
  <si>
    <t>RPV-44181</t>
  </si>
  <si>
    <t>RPV-44134</t>
  </si>
  <si>
    <t>RPV-44879</t>
  </si>
  <si>
    <t>RPV-44922</t>
  </si>
  <si>
    <t>RPV-44954</t>
  </si>
  <si>
    <t>RPV-44880</t>
  </si>
  <si>
    <t>RPV-44882</t>
  </si>
  <si>
    <t>RPV-44876</t>
  </si>
  <si>
    <t>RPV-44959</t>
  </si>
  <si>
    <t>RPV-44962</t>
  </si>
  <si>
    <t>RPV-45002</t>
  </si>
  <si>
    <t>RPV-45012</t>
  </si>
  <si>
    <t>RPV-45010</t>
  </si>
  <si>
    <t>RPV-45007</t>
  </si>
  <si>
    <t>RPV-45009</t>
  </si>
  <si>
    <t>RPV-45015</t>
  </si>
  <si>
    <t>RPV-45017</t>
  </si>
  <si>
    <t>RPV-45011</t>
  </si>
  <si>
    <t>RPV-44302</t>
  </si>
  <si>
    <t>RPV-44920</t>
  </si>
  <si>
    <t>RPV-45001</t>
  </si>
  <si>
    <t>118817</t>
  </si>
  <si>
    <t>118622</t>
  </si>
  <si>
    <t>RPV-44196</t>
  </si>
  <si>
    <t>RPV-44283</t>
  </si>
  <si>
    <t>RPV-45056</t>
  </si>
  <si>
    <t>RPV-45024</t>
  </si>
  <si>
    <t>RPV-44896</t>
  </si>
  <si>
    <t>RPV-45040</t>
  </si>
  <si>
    <t>RPV-44822</t>
  </si>
  <si>
    <t>RPV-44863</t>
  </si>
  <si>
    <t>RPV-44934</t>
  </si>
  <si>
    <t>RPV-44943</t>
  </si>
  <si>
    <t>RPV-44945</t>
  </si>
  <si>
    <t>RPV-44969</t>
  </si>
  <si>
    <t>RPV-44957</t>
  </si>
  <si>
    <t>RPV-44961</t>
  </si>
  <si>
    <t>RPV-44974</t>
  </si>
  <si>
    <t>RPV-44979</t>
  </si>
  <si>
    <t>RPV-44702</t>
  </si>
  <si>
    <t>RPV-44947</t>
  </si>
  <si>
    <t>RPV-44952</t>
  </si>
  <si>
    <t>RPV-44970</t>
  </si>
  <si>
    <t>RPV-44980</t>
  </si>
  <si>
    <t>RPV-44946</t>
  </si>
  <si>
    <t>RPV-44948</t>
  </si>
  <si>
    <t>RPV-44953</t>
  </si>
  <si>
    <t>RPV-44955</t>
  </si>
  <si>
    <t>RPV-44858</t>
  </si>
  <si>
    <t>RPV-44859</t>
  </si>
  <si>
    <t>RPV-44964</t>
  </si>
  <si>
    <t>RPV-44973</t>
  </si>
  <si>
    <t>RPV-45057</t>
  </si>
  <si>
    <t>RPV-45042</t>
  </si>
  <si>
    <t>RPV-45022</t>
  </si>
  <si>
    <t>RPV-44379</t>
  </si>
  <si>
    <t>RPV-44950</t>
  </si>
  <si>
    <t>RPV-44985</t>
  </si>
  <si>
    <t>RPV-44951</t>
  </si>
  <si>
    <t>RPV-44965</t>
  </si>
  <si>
    <t>RPV-44967</t>
  </si>
  <si>
    <t>RPV-44971</t>
  </si>
  <si>
    <t>RPV-44966</t>
  </si>
  <si>
    <t>PT-101847</t>
  </si>
  <si>
    <t>157000</t>
  </si>
  <si>
    <t>PT-101498</t>
  </si>
  <si>
    <t>117989</t>
  </si>
  <si>
    <t>118873</t>
  </si>
  <si>
    <t>118948</t>
  </si>
  <si>
    <t>118939</t>
  </si>
  <si>
    <t>91308</t>
  </si>
  <si>
    <t>SmartEMatched9434-11462</t>
  </si>
  <si>
    <t>SmartEMatched9119-8609</t>
  </si>
  <si>
    <t>10328</t>
  </si>
  <si>
    <t>118827</t>
  </si>
  <si>
    <t>RPV-44276</t>
  </si>
  <si>
    <t>RPV-45030</t>
  </si>
  <si>
    <t>RPV-45121</t>
  </si>
  <si>
    <t>RPV-44572</t>
  </si>
  <si>
    <t>RPV-45032</t>
  </si>
  <si>
    <t>RPV-45038</t>
  </si>
  <si>
    <t>RPV-44901</t>
  </si>
  <si>
    <t>RPV-44906</t>
  </si>
  <si>
    <t>RPV-44928</t>
  </si>
  <si>
    <t>RPV-44986</t>
  </si>
  <si>
    <t>RPV-45062</t>
  </si>
  <si>
    <t>RPV-45113</t>
  </si>
  <si>
    <t>RPV-44886</t>
  </si>
  <si>
    <t>RPV-45008</t>
  </si>
  <si>
    <t>RPV-45087</t>
  </si>
  <si>
    <t>RPV-42631</t>
  </si>
  <si>
    <t>RPV-43984</t>
  </si>
  <si>
    <t>RPV-44607</t>
  </si>
  <si>
    <t>RPV-44794</t>
  </si>
  <si>
    <t>RPV-44932</t>
  </si>
  <si>
    <t>RPV-44991</t>
  </si>
  <si>
    <t>RPV-44174</t>
  </si>
  <si>
    <t>RPV-42953</t>
  </si>
  <si>
    <t>RPV-44960</t>
  </si>
  <si>
    <t>RPV-44982</t>
  </si>
  <si>
    <t>RPV-44995</t>
  </si>
  <si>
    <t>RPV-44994</t>
  </si>
  <si>
    <t>RPV-44897</t>
  </si>
  <si>
    <t>RPV-44978</t>
  </si>
  <si>
    <t>RPV-44992</t>
  </si>
  <si>
    <t>RPV-45045</t>
  </si>
  <si>
    <t>RPV-45059</t>
  </si>
  <si>
    <t>RPV-45067</t>
  </si>
  <si>
    <t>RPV-45068</t>
  </si>
  <si>
    <t>RPV-45075</t>
  </si>
  <si>
    <t>RPV-45077</t>
  </si>
  <si>
    <t>RPV-45025</t>
  </si>
  <si>
    <t>RPV-45074</t>
  </si>
  <si>
    <t>RPV-45090</t>
  </si>
  <si>
    <t>RPV-45104</t>
  </si>
  <si>
    <t>RPV-45069</t>
  </si>
  <si>
    <t>RPV-45073</t>
  </si>
  <si>
    <t>RPV-45078</t>
  </si>
  <si>
    <t>RPV-45093</t>
  </si>
  <si>
    <t>RPV-45098</t>
  </si>
  <si>
    <t>RPV-45112</t>
  </si>
  <si>
    <t>RPV-45020</t>
  </si>
  <si>
    <t>RPV-45036</t>
  </si>
  <si>
    <t>RPV-45071</t>
  </si>
  <si>
    <t>RPV-45115</t>
  </si>
  <si>
    <t>RPV-45127</t>
  </si>
  <si>
    <t>RPV-45114</t>
  </si>
  <si>
    <t>RPV-45120</t>
  </si>
  <si>
    <t>RPV-45058</t>
  </si>
  <si>
    <t>RPV-45091</t>
  </si>
  <si>
    <t>RPV-44328</t>
  </si>
  <si>
    <t>RPV-44933</t>
  </si>
  <si>
    <t>RPV-44902</t>
  </si>
  <si>
    <t>RPV-45049</t>
  </si>
  <si>
    <t>RPV-45079</t>
  </si>
  <si>
    <t>SmartEMatched9277-9291</t>
  </si>
  <si>
    <t>28250</t>
  </si>
  <si>
    <t>SmartEMatched9504-11463</t>
  </si>
  <si>
    <t>25940.6</t>
  </si>
  <si>
    <t>RPV-45021</t>
  </si>
  <si>
    <t>RPV-45133</t>
  </si>
  <si>
    <t>RPV-45110</t>
  </si>
  <si>
    <t>RPV-45126</t>
  </si>
  <si>
    <t>RPV-43939</t>
  </si>
  <si>
    <t>RPV-43306</t>
  </si>
  <si>
    <t>RPV-44722</t>
  </si>
  <si>
    <t>RPV-44958</t>
  </si>
  <si>
    <t>RPV-45117</t>
  </si>
  <si>
    <t>RPV-45141</t>
  </si>
  <si>
    <t>RPV-45083</t>
  </si>
  <si>
    <t>RPV-45105</t>
  </si>
  <si>
    <t>RPV-45099</t>
  </si>
  <si>
    <t>RPV-45103</t>
  </si>
  <si>
    <t>RPV-45084</t>
  </si>
  <si>
    <t>RPV-45119</t>
  </si>
  <si>
    <t>RPV-45125</t>
  </si>
  <si>
    <t>RPV-45139</t>
  </si>
  <si>
    <t>RPV-45150</t>
  </si>
  <si>
    <t>RPV-45131</t>
  </si>
  <si>
    <t>RPV-45136</t>
  </si>
  <si>
    <t>RPV-45143</t>
  </si>
  <si>
    <t>RPV-45100</t>
  </si>
  <si>
    <t>RPV-45118</t>
  </si>
  <si>
    <t>RPV-45122</t>
  </si>
  <si>
    <t>RPV-45134</t>
  </si>
  <si>
    <t>RPV-45140</t>
  </si>
  <si>
    <t>PT-101825</t>
  </si>
  <si>
    <t>213910.49</t>
  </si>
  <si>
    <t>RPV-45055</t>
  </si>
  <si>
    <t>RPV-45128</t>
  </si>
  <si>
    <t>RPV-45137</t>
  </si>
  <si>
    <t>RPV-45142</t>
  </si>
  <si>
    <t>SmartEMatched9507-11465</t>
  </si>
  <si>
    <t>1660.9</t>
  </si>
  <si>
    <t>SmartEMatched9497-11460</t>
  </si>
  <si>
    <t>10979</t>
  </si>
  <si>
    <t>SmartEMatched9420-11333</t>
  </si>
  <si>
    <t>29175</t>
  </si>
  <si>
    <t>114323</t>
  </si>
  <si>
    <t>53561</t>
  </si>
  <si>
    <t>RPV-43977</t>
  </si>
  <si>
    <t>RPV-45046</t>
  </si>
  <si>
    <t>RPV-45129</t>
  </si>
  <si>
    <t>RPV-45156</t>
  </si>
  <si>
    <t>RPV-45190</t>
  </si>
  <si>
    <t>RPV-44632</t>
  </si>
  <si>
    <t>RPV-44640</t>
  </si>
  <si>
    <t>RPV-44332</t>
  </si>
  <si>
    <t>RPV-44825</t>
  </si>
  <si>
    <t>RPV-45135</t>
  </si>
  <si>
    <t>RPV-45155</t>
  </si>
  <si>
    <t>RPV-45159</t>
  </si>
  <si>
    <t>RPV-45170</t>
  </si>
  <si>
    <t>RPV-45176</t>
  </si>
  <si>
    <t>RPV-45147</t>
  </si>
  <si>
    <t>RPV-45148</t>
  </si>
  <si>
    <t>RPV-45146</t>
  </si>
  <si>
    <t>RPV-45144</t>
  </si>
  <si>
    <t>RPV-45152</t>
  </si>
  <si>
    <t>RPV-44301</t>
  </si>
  <si>
    <t>RPV-43335</t>
  </si>
  <si>
    <t>RPV-45149</t>
  </si>
  <si>
    <t>SmartEMatched9503-11442</t>
  </si>
  <si>
    <t>17075.1</t>
  </si>
  <si>
    <t>RPV-45092</t>
  </si>
  <si>
    <t>RPV-44856</t>
  </si>
  <si>
    <t>RPV-45206</t>
  </si>
  <si>
    <t>SmartEMatched9484-11453</t>
  </si>
  <si>
    <t>SmartEMatched9486-11454</t>
  </si>
  <si>
    <t>119225</t>
  </si>
  <si>
    <t>SmartEMatched9490-11451</t>
  </si>
  <si>
    <t>21371</t>
  </si>
  <si>
    <t>SmartEMatched9515-11469</t>
  </si>
  <si>
    <t>10706.3</t>
  </si>
  <si>
    <t>SmartEMatched9512-19535</t>
  </si>
  <si>
    <t>23371</t>
  </si>
  <si>
    <t>RPV-44147</t>
  </si>
  <si>
    <t>RPV-45095</t>
  </si>
  <si>
    <t>RPV-45194</t>
  </si>
  <si>
    <t>RPV-45225</t>
  </si>
  <si>
    <t>RPV-45227</t>
  </si>
  <si>
    <t>RPV-45179</t>
  </si>
  <si>
    <t>RPV-42848</t>
  </si>
  <si>
    <t>RPV-44977</t>
  </si>
  <si>
    <t>RPV-45184</t>
  </si>
  <si>
    <t>RPV-45226</t>
  </si>
  <si>
    <t>RPV-45228</t>
  </si>
  <si>
    <t>RPV-45233</t>
  </si>
  <si>
    <t>RPV-45241</t>
  </si>
  <si>
    <t>RPV-45242</t>
  </si>
  <si>
    <t>RPV-45048</t>
  </si>
  <si>
    <t>RPV-45182</t>
  </si>
  <si>
    <t>RPV-45251</t>
  </si>
  <si>
    <t>RPV-45262</t>
  </si>
  <si>
    <t>RPV-45265</t>
  </si>
  <si>
    <t>RPV-45063</t>
  </si>
  <si>
    <t>RPV-45178</t>
  </si>
  <si>
    <t>RPV-45215</t>
  </si>
  <si>
    <t>RPV-45218</t>
  </si>
  <si>
    <t>RPV-45220</t>
  </si>
  <si>
    <t>RPV-45264</t>
  </si>
  <si>
    <t>RPV-45186</t>
  </si>
  <si>
    <t>RPV-45198</t>
  </si>
  <si>
    <t>RPV-45230</t>
  </si>
  <si>
    <t>RPV-45235</t>
  </si>
  <si>
    <t>RPV-45252</t>
  </si>
  <si>
    <t>RPV-45269</t>
  </si>
  <si>
    <t>RPV-45160</t>
  </si>
  <si>
    <t>RPV-45177</t>
  </si>
  <si>
    <t>RPV-45222</t>
  </si>
  <si>
    <t>RPV-45229</t>
  </si>
  <si>
    <t>RPV-45236</t>
  </si>
  <si>
    <t>RPV-45253</t>
  </si>
  <si>
    <t>RPV-45266</t>
  </si>
  <si>
    <t>RPV-45260</t>
  </si>
  <si>
    <t>RPV-45208</t>
  </si>
  <si>
    <t>RPV-45232</t>
  </si>
  <si>
    <t>RPV-45240</t>
  </si>
  <si>
    <t>RPV-45259</t>
  </si>
  <si>
    <t>RPV-44984</t>
  </si>
  <si>
    <t>RPV-44894</t>
  </si>
  <si>
    <t>RPV-45181</t>
  </si>
  <si>
    <t>RPV-45188</t>
  </si>
  <si>
    <t>RPV-45199</t>
  </si>
  <si>
    <t>RPV-45214</t>
  </si>
  <si>
    <t>RPV-45238</t>
  </si>
  <si>
    <t>RPV-45255</t>
  </si>
  <si>
    <t>RPV-45268</t>
  </si>
  <si>
    <t>119293</t>
  </si>
  <si>
    <t>118997</t>
  </si>
  <si>
    <t>SmartEMatched9516-11468</t>
  </si>
  <si>
    <t>10285</t>
  </si>
  <si>
    <t>114303</t>
  </si>
  <si>
    <t>120722</t>
  </si>
  <si>
    <t>SmartEMatched9455-11459</t>
  </si>
  <si>
    <t>118217</t>
  </si>
  <si>
    <t>RPV-45054</t>
  </si>
  <si>
    <t>RPV-45250</t>
  </si>
  <si>
    <t>RPV-45306</t>
  </si>
  <si>
    <t>RPV-45254</t>
  </si>
  <si>
    <t>RPV-45243</t>
  </si>
  <si>
    <t>RPV-45256</t>
  </si>
  <si>
    <t>RPV-45066</t>
  </si>
  <si>
    <t>RPV-45287</t>
  </si>
  <si>
    <t>RPV-45267</t>
  </si>
  <si>
    <t>RPV-45285</t>
  </si>
  <si>
    <t>RPV-45231</t>
  </si>
  <si>
    <t>RPV-45294</t>
  </si>
  <si>
    <t>RPV-45276</t>
  </si>
  <si>
    <t>118167</t>
  </si>
  <si>
    <t>119340</t>
  </si>
  <si>
    <t>119369</t>
  </si>
  <si>
    <t>119333</t>
  </si>
  <si>
    <t>97947</t>
  </si>
  <si>
    <t>RPV-45288</t>
  </si>
  <si>
    <t>RPV-45299</t>
  </si>
  <si>
    <t>RPV-45333</t>
  </si>
  <si>
    <t>RPV-45334</t>
  </si>
  <si>
    <t>RPV-45275</t>
  </si>
  <si>
    <t>RPV-45335</t>
  </si>
  <si>
    <t>SmartEMatched9521-11470</t>
  </si>
  <si>
    <t>118207</t>
  </si>
  <si>
    <t>119468</t>
  </si>
  <si>
    <t>SmartEMatched9524-14661</t>
  </si>
  <si>
    <t>26500</t>
  </si>
  <si>
    <t>RPV-45348</t>
  </si>
  <si>
    <t>RPV-44263</t>
  </si>
  <si>
    <t>RPV-45353</t>
  </si>
  <si>
    <t>RPV-45355</t>
  </si>
  <si>
    <t>RPV-44683</t>
  </si>
  <si>
    <t>RPV-45385</t>
  </si>
  <si>
    <t>RPV-45322</t>
  </si>
  <si>
    <t>RPV-45367</t>
  </si>
  <si>
    <t>RPV-45395</t>
  </si>
  <si>
    <t>RPV-45338</t>
  </si>
  <si>
    <t>RPV-45394</t>
  </si>
  <si>
    <t>RPV-45313</t>
  </si>
  <si>
    <t>RPV-45319</t>
  </si>
  <si>
    <t>RPV-45293</t>
  </si>
  <si>
    <t>RPV-45350</t>
  </si>
  <si>
    <t>RPV-45284</t>
  </si>
  <si>
    <t>RPV-45289</t>
  </si>
  <si>
    <t>RPV-45315</t>
  </si>
  <si>
    <t>RPV-45337</t>
  </si>
  <si>
    <t>RPV-45345</t>
  </si>
  <si>
    <t>RPV-45298</t>
  </si>
  <si>
    <t>RPV-45312</t>
  </si>
  <si>
    <t>RPV-45318</t>
  </si>
  <si>
    <t>RPV-45351</t>
  </si>
  <si>
    <t>RPV-45307</t>
  </si>
  <si>
    <t>RPV-45310</t>
  </si>
  <si>
    <t>RPV-45324</t>
  </si>
  <si>
    <t>RPV-45096</t>
  </si>
  <si>
    <t>RPV-45356</t>
  </si>
  <si>
    <t>RPV-45384</t>
  </si>
  <si>
    <t>SmartEMatched9510-11472</t>
  </si>
  <si>
    <t>11560</t>
  </si>
  <si>
    <t>SmartEMatched9508-11475</t>
  </si>
  <si>
    <t>14750</t>
  </si>
  <si>
    <t>119108</t>
  </si>
  <si>
    <t>SmartEMatched9527-11477</t>
  </si>
  <si>
    <t>7668</t>
  </si>
  <si>
    <t>118961</t>
  </si>
  <si>
    <t>SmartEMatched9518-11485</t>
  </si>
  <si>
    <t>RPV-45435</t>
  </si>
  <si>
    <t>RPV-44998</t>
  </si>
  <si>
    <t>RPV-45301</t>
  </si>
  <si>
    <t>RPV-45426</t>
  </si>
  <si>
    <t>RPV-43688</t>
  </si>
  <si>
    <t>RPV-45039</t>
  </si>
  <si>
    <t>RPV-45321</t>
  </si>
  <si>
    <t>RPV-45354</t>
  </si>
  <si>
    <t>RPV-45388</t>
  </si>
  <si>
    <t>RPV-45034</t>
  </si>
  <si>
    <t>RPV-45360</t>
  </si>
  <si>
    <t>RPV-45358</t>
  </si>
  <si>
    <t>RPV-45271</t>
  </si>
  <si>
    <t>RPV-45339</t>
  </si>
  <si>
    <t>RPV-45361</t>
  </si>
  <si>
    <t>RPV-45387</t>
  </si>
  <si>
    <t>RPV-45421</t>
  </si>
  <si>
    <t>RPV-45359</t>
  </si>
  <si>
    <t>RPV-45399</t>
  </si>
  <si>
    <t>RPV-45417</t>
  </si>
  <si>
    <t>RPV-45423</t>
  </si>
  <si>
    <t>RPV-45425</t>
  </si>
  <si>
    <t>RPV-45405</t>
  </si>
  <si>
    <t>RPV-44993</t>
  </si>
  <si>
    <t>RPV-45408</t>
  </si>
  <si>
    <t>SmartEMatched9383-11380</t>
  </si>
  <si>
    <t>11084</t>
  </si>
  <si>
    <t>SmartEMatched9489-11352</t>
  </si>
  <si>
    <t>32514</t>
  </si>
  <si>
    <t>SmartEMatched9511-11473</t>
  </si>
  <si>
    <t>7895</t>
  </si>
  <si>
    <t>SmartEMatched9473-11464</t>
  </si>
  <si>
    <t>8290</t>
  </si>
  <si>
    <t>119640</t>
  </si>
  <si>
    <t>119523</t>
  </si>
  <si>
    <t>119359</t>
  </si>
  <si>
    <t>RPV-45346</t>
  </si>
  <si>
    <t>RPV-45456</t>
  </si>
  <si>
    <t>RPV-45479</t>
  </si>
  <si>
    <t>RPV-45369</t>
  </si>
  <si>
    <t>RPV-45476</t>
  </si>
  <si>
    <t>RPV-45472</t>
  </si>
  <si>
    <t>RPV-45462</t>
  </si>
  <si>
    <t>RPV-45507</t>
  </si>
  <si>
    <t>RPV-45489</t>
  </si>
  <si>
    <t>119121</t>
  </si>
  <si>
    <t>64047</t>
  </si>
  <si>
    <t>119246</t>
  </si>
  <si>
    <t>115706</t>
  </si>
  <si>
    <t>SmartEMatched9533-11486</t>
  </si>
  <si>
    <t>23930</t>
  </si>
  <si>
    <t>SmartEMatched9488-14517</t>
  </si>
  <si>
    <t>4995</t>
  </si>
  <si>
    <t>RPV-45522</t>
  </si>
  <si>
    <t>RPV-45498</t>
  </si>
  <si>
    <t>RPV-45527</t>
  </si>
  <si>
    <t>RPV-45410</t>
  </si>
  <si>
    <t>RPV-45413</t>
  </si>
  <si>
    <t>RPV-45466</t>
  </si>
  <si>
    <t>RPV-45389</t>
  </si>
  <si>
    <t>RPV-45403</t>
  </si>
  <si>
    <t>RPV-45390</t>
  </si>
  <si>
    <t>RPV-45427</t>
  </si>
  <si>
    <t>RPV-45439</t>
  </si>
  <si>
    <t>RPV-45475</t>
  </si>
  <si>
    <t>RPV-45398</t>
  </si>
  <si>
    <t>RPV-45416</t>
  </si>
  <si>
    <t>RPV-45458</t>
  </si>
  <si>
    <t>RPV-45386</t>
  </si>
  <si>
    <t>RPV-45406</t>
  </si>
  <si>
    <t>RPV-45433</t>
  </si>
  <si>
    <t>RPV-45440</t>
  </si>
  <si>
    <t>RPV-45457</t>
  </si>
  <si>
    <t>RPV-45499</t>
  </si>
  <si>
    <t>RPV-45396</t>
  </si>
  <si>
    <t>RPV-45448</t>
  </si>
  <si>
    <t>RPV-45450</t>
  </si>
  <si>
    <t>RPV-45452</t>
  </si>
  <si>
    <t>RPV-45461</t>
  </si>
  <si>
    <t>RPV-45492</t>
  </si>
  <si>
    <t>RPV-45508</t>
  </si>
  <si>
    <t>RPV-45523</t>
  </si>
  <si>
    <t>RPV-45404</t>
  </si>
  <si>
    <t>RPV-45447</t>
  </si>
  <si>
    <t>RPV-45451</t>
  </si>
  <si>
    <t>RPV-45464</t>
  </si>
  <si>
    <t>RPV-45493</t>
  </si>
  <si>
    <t>RPV-45509</t>
  </si>
  <si>
    <t>RPV-45412</t>
  </si>
  <si>
    <t>RPV-45430</t>
  </si>
  <si>
    <t>RPV-45444</t>
  </si>
  <si>
    <t>RPV-45454</t>
  </si>
  <si>
    <t>RPV-45465</t>
  </si>
  <si>
    <t>RPV-45494</t>
  </si>
  <si>
    <t>RPV-45496</t>
  </si>
  <si>
    <t>PT-101820</t>
  </si>
  <si>
    <t>617193.02</t>
  </si>
  <si>
    <t>RPV-45419</t>
  </si>
  <si>
    <t>RPV-45443</t>
  </si>
  <si>
    <t>RPV-45455</t>
  </si>
  <si>
    <t>RPV-45497</t>
  </si>
  <si>
    <t>SmartEMatched9544-11484</t>
  </si>
  <si>
    <t>6595</t>
  </si>
  <si>
    <t>SmartEMatched9485-11480</t>
  </si>
  <si>
    <t>5696</t>
  </si>
  <si>
    <t>SmartEMatched9542-11489</t>
  </si>
  <si>
    <t>19114.53</t>
  </si>
  <si>
    <t>SmartEMatched9514-11479</t>
  </si>
  <si>
    <t>119611</t>
  </si>
  <si>
    <t>119816</t>
  </si>
  <si>
    <t>119380</t>
  </si>
  <si>
    <t>119667</t>
  </si>
  <si>
    <t>28120</t>
  </si>
  <si>
    <t>SmartEMatched8572-8107</t>
  </si>
  <si>
    <t>24155</t>
  </si>
  <si>
    <t>RPV-45586</t>
  </si>
  <si>
    <t>RPV-45578</t>
  </si>
  <si>
    <t>RPV-45574</t>
  </si>
  <si>
    <t>RPV-45543</t>
  </si>
  <si>
    <t>RPV-45340</t>
  </si>
  <si>
    <t>RPV-45500</t>
  </si>
  <si>
    <t>RPV-45460</t>
  </si>
  <si>
    <t>RPV-45526</t>
  </si>
  <si>
    <t>RPV-45618</t>
  </si>
  <si>
    <t>RPV-45542</t>
  </si>
  <si>
    <t>RPV-45428</t>
  </si>
  <si>
    <t>RPV-44527</t>
  </si>
  <si>
    <t>RPV-45518</t>
  </si>
  <si>
    <t>RPV-45530</t>
  </si>
  <si>
    <t>RPV-45533</t>
  </si>
  <si>
    <t>RPV-45585</t>
  </si>
  <si>
    <t>RPV-45587</t>
  </si>
  <si>
    <t>RPV-45591</t>
  </si>
  <si>
    <t>RPV-45407</t>
  </si>
  <si>
    <t>RPV-45520</t>
  </si>
  <si>
    <t>RPV-45596</t>
  </si>
  <si>
    <t>RPV-45521</t>
  </si>
  <si>
    <t>RPV-45553</t>
  </si>
  <si>
    <t>RPV-45573</t>
  </si>
  <si>
    <t>RPV-45576</t>
  </si>
  <si>
    <t>RPV-45581</t>
  </si>
  <si>
    <t>RPV-45597</t>
  </si>
  <si>
    <t>RPV-45598</t>
  </si>
  <si>
    <t>RPV-45515</t>
  </si>
  <si>
    <t>RPV-45534</t>
  </si>
  <si>
    <t>RPV-45588</t>
  </si>
  <si>
    <t>RPV-45516</t>
  </si>
  <si>
    <t>RPV-45589</t>
  </si>
  <si>
    <t>RPV-45418</t>
  </si>
  <si>
    <t>RPV-45519</t>
  </si>
  <si>
    <t>RPV-45556</t>
  </si>
  <si>
    <t>RPV-45557</t>
  </si>
  <si>
    <t>RPV-45590</t>
  </si>
  <si>
    <t>RPV-45600</t>
  </si>
  <si>
    <t>RPV-45575</t>
  </si>
  <si>
    <t>RPV-45579</t>
  </si>
  <si>
    <t>RPV-45584</t>
  </si>
  <si>
    <t>RPV-45592</t>
  </si>
  <si>
    <t>SmartEMatched9537-11482</t>
  </si>
  <si>
    <t>9800</t>
  </si>
  <si>
    <t>SmartEMatched9439-11344</t>
  </si>
  <si>
    <t>37379.74</t>
  </si>
  <si>
    <t>SmartEMatched9435-11447</t>
  </si>
  <si>
    <t>119440</t>
  </si>
  <si>
    <t>119881</t>
  </si>
  <si>
    <t>RPV-45653</t>
  </si>
  <si>
    <t>RPV-44151</t>
  </si>
  <si>
    <t>RPV-44247</t>
  </si>
  <si>
    <t>RPV-44335</t>
  </si>
  <si>
    <t>RPV-45651</t>
  </si>
  <si>
    <t>SmartEMatched9547-11542</t>
  </si>
  <si>
    <t>11769.57</t>
  </si>
  <si>
    <t>119642</t>
  </si>
  <si>
    <t>119797</t>
  </si>
  <si>
    <t>SmartEMatched9550-11548</t>
  </si>
  <si>
    <t>RPV-45658</t>
  </si>
  <si>
    <t>RPV-44062</t>
  </si>
  <si>
    <t>RPV-45343</t>
  </si>
  <si>
    <t>RPV-45621</t>
  </si>
  <si>
    <t>RPV-45617</t>
  </si>
  <si>
    <t>RPV-43960</t>
  </si>
  <si>
    <t>RPV-45204</t>
  </si>
  <si>
    <t>RPV-45660</t>
  </si>
  <si>
    <t>RPV-45665</t>
  </si>
  <si>
    <t>PT-101858</t>
  </si>
  <si>
    <t>69997.5</t>
  </si>
  <si>
    <t>PT-101860</t>
  </si>
  <si>
    <t>155975</t>
  </si>
  <si>
    <t>RPV-45664</t>
  </si>
  <si>
    <t>PT-101859</t>
  </si>
  <si>
    <t>96730</t>
  </si>
  <si>
    <t>SmartEMatched9505-11347</t>
  </si>
  <si>
    <t>SmartEMatched9563-11561</t>
  </si>
  <si>
    <t>9265.05</t>
  </si>
  <si>
    <t>SmartEMatched9612-14944</t>
  </si>
  <si>
    <t>5245.28</t>
  </si>
  <si>
    <t>107492</t>
  </si>
  <si>
    <t>15624</t>
  </si>
  <si>
    <t>118561</t>
  </si>
  <si>
    <t>116393</t>
  </si>
  <si>
    <t>15960</t>
  </si>
  <si>
    <t>119754</t>
  </si>
  <si>
    <t>SmartEMatched9552-11547</t>
  </si>
  <si>
    <t>15027</t>
  </si>
  <si>
    <t>RPV-45702</t>
  </si>
  <si>
    <t>RPV-45722</t>
  </si>
  <si>
    <t>RPV-45491</t>
  </si>
  <si>
    <t>RPV-44855</t>
  </si>
  <si>
    <t>RPV-45357</t>
  </si>
  <si>
    <t>RPV-45189</t>
  </si>
  <si>
    <t>RPV-45647</t>
  </si>
  <si>
    <t>RPV-45438</t>
  </si>
  <si>
    <t>RPV-45453</t>
  </si>
  <si>
    <t>RPV-42161</t>
  </si>
  <si>
    <t>RPV-45612</t>
  </si>
  <si>
    <t>RPV-45625</t>
  </si>
  <si>
    <t>RPV-45639</t>
  </si>
  <si>
    <t>RPV-45641</t>
  </si>
  <si>
    <t>RPV-45626</t>
  </si>
  <si>
    <t>RPV-45640</t>
  </si>
  <si>
    <t>RPV-45656</t>
  </si>
  <si>
    <t>RPV-45667</t>
  </si>
  <si>
    <t>RPV-45673</t>
  </si>
  <si>
    <t>RPV-45620</t>
  </si>
  <si>
    <t>RPV-45623</t>
  </si>
  <si>
    <t>RPV-45645</t>
  </si>
  <si>
    <t>RPV-45670</t>
  </si>
  <si>
    <t>RPV-45619</t>
  </si>
  <si>
    <t>RPV-45634</t>
  </si>
  <si>
    <t>RPV-45646</t>
  </si>
  <si>
    <t>RPV-44170</t>
  </si>
  <si>
    <t>RPV-45649</t>
  </si>
  <si>
    <t>RPV-45655</t>
  </si>
  <si>
    <t>RPV-45668</t>
  </si>
  <si>
    <t>RPV-45669</t>
  </si>
  <si>
    <t>RPV-45671</t>
  </si>
  <si>
    <t>RPV-45654</t>
  </si>
  <si>
    <t>RPV-45615</t>
  </si>
  <si>
    <t>RPV-45624</t>
  </si>
  <si>
    <t>RPV-45636</t>
  </si>
  <si>
    <t>RPV-45638</t>
  </si>
  <si>
    <t>RPV-45648</t>
  </si>
  <si>
    <t>RPV-42919</t>
  </si>
  <si>
    <t>RPV-45003</t>
  </si>
  <si>
    <t>RPV-45019</t>
  </si>
  <si>
    <t>RPV-45164</t>
  </si>
  <si>
    <t>RPV-45211</t>
  </si>
  <si>
    <t>RPV-45213</t>
  </si>
  <si>
    <t>RPV-45210</t>
  </si>
  <si>
    <t>RPV-45524</t>
  </si>
  <si>
    <t>RPV-42234</t>
  </si>
  <si>
    <t>RPV-45628</t>
  </si>
  <si>
    <t>RPV-45737</t>
  </si>
  <si>
    <t>PT-101772</t>
  </si>
  <si>
    <t>418028.62</t>
  </si>
  <si>
    <t>119623</t>
  </si>
  <si>
    <t>SmartEMatched9557-11560</t>
  </si>
  <si>
    <t>118243</t>
  </si>
  <si>
    <t>120109</t>
  </si>
  <si>
    <t>116926</t>
  </si>
  <si>
    <t>110450</t>
  </si>
  <si>
    <t>SmartEMatched9493-11430</t>
  </si>
  <si>
    <t>119785</t>
  </si>
  <si>
    <t>119557</t>
  </si>
  <si>
    <t>119839</t>
  </si>
  <si>
    <t>SmartEMatched9567-14836</t>
  </si>
  <si>
    <t>16200</t>
  </si>
  <si>
    <t>RPV-43734</t>
  </si>
  <si>
    <t>RPV-45675</t>
  </si>
  <si>
    <t>RPV-45677</t>
  </si>
  <si>
    <t>RPV-44521</t>
  </si>
  <si>
    <t>RPV-44522</t>
  </si>
  <si>
    <t>RPV-45375</t>
  </si>
  <si>
    <t>RPV-45374</t>
  </si>
  <si>
    <t>PT-101862</t>
  </si>
  <si>
    <t>SmartEMatched9414-11616</t>
  </si>
  <si>
    <t>7246</t>
  </si>
  <si>
    <t>SmartEMatched9421-11413</t>
  </si>
  <si>
    <t>9039.75</t>
  </si>
  <si>
    <t>118286</t>
  </si>
  <si>
    <t>120099</t>
  </si>
  <si>
    <t>116982</t>
  </si>
  <si>
    <t>SmartEMatched9464-11350</t>
  </si>
  <si>
    <t>36000</t>
  </si>
  <si>
    <t>SmartEMatched9520-14838</t>
  </si>
  <si>
    <t>6284.19</t>
  </si>
  <si>
    <t>116806</t>
  </si>
  <si>
    <t>SmartEMatched9553-14577</t>
  </si>
  <si>
    <t>13918</t>
  </si>
  <si>
    <t>SmartEMatched9574-14733</t>
  </si>
  <si>
    <t>RPV-45754</t>
  </si>
  <si>
    <t>RPV-45652</t>
  </si>
  <si>
    <t>RPV-45709</t>
  </si>
  <si>
    <t>RPV-45607</t>
  </si>
  <si>
    <t>RPV-45793</t>
  </si>
  <si>
    <t>RPV-44680</t>
  </si>
  <si>
    <t>RPV-45738</t>
  </si>
  <si>
    <t>RPV-45779</t>
  </si>
  <si>
    <t>RPV-45681</t>
  </si>
  <si>
    <t>RPV-45756</t>
  </si>
  <si>
    <t>RPV-45305</t>
  </si>
  <si>
    <t>RPV-45720</t>
  </si>
  <si>
    <t>RPV-45723</t>
  </si>
  <si>
    <t>RPV-45780</t>
  </si>
  <si>
    <t>RPV-45693</t>
  </si>
  <si>
    <t>RPV-45694</t>
  </si>
  <si>
    <t>RPV-45715</t>
  </si>
  <si>
    <t>RPV-45728</t>
  </si>
  <si>
    <t>RPV-45731</t>
  </si>
  <si>
    <t>RPV-45718</t>
  </si>
  <si>
    <t>RPV-45721</t>
  </si>
  <si>
    <t>RPV-45726</t>
  </si>
  <si>
    <t>RPV-45680</t>
  </si>
  <si>
    <t>RPV-45703</t>
  </si>
  <si>
    <t>RPV-45698</t>
  </si>
  <si>
    <t>RPV-45713</t>
  </si>
  <si>
    <t>RPV-45729</t>
  </si>
  <si>
    <t>RPV-45695</t>
  </si>
  <si>
    <t>RPV-45724</t>
  </si>
  <si>
    <t>RPV-45643</t>
  </si>
  <si>
    <t>RPV-45704</t>
  </si>
  <si>
    <t>RPV-45717</t>
  </si>
  <si>
    <t>RPV-45776</t>
  </si>
  <si>
    <t>SmartEMatched9584-14942</t>
  </si>
  <si>
    <t>SmartEMatched9523-14839</t>
  </si>
  <si>
    <t>31990</t>
  </si>
  <si>
    <t>SmartEMatched9575-14840</t>
  </si>
  <si>
    <t>118876</t>
  </si>
  <si>
    <t>119458</t>
  </si>
  <si>
    <t>SmartEMatched9593-14844</t>
  </si>
  <si>
    <t>4030</t>
  </si>
  <si>
    <t>SmartEMatched9578-14846</t>
  </si>
  <si>
    <t>RPV-45745</t>
  </si>
  <si>
    <t>RPV-45762</t>
  </si>
  <si>
    <t>RPV-45802</t>
  </si>
  <si>
    <t>RPV-45812</t>
  </si>
  <si>
    <t>RPV-45849</t>
  </si>
  <si>
    <t>RPV-45751</t>
  </si>
  <si>
    <t>RPV-45786</t>
  </si>
  <si>
    <t>RPV-45823</t>
  </si>
  <si>
    <t>RPV-45841</t>
  </si>
  <si>
    <t>RPV-45415</t>
  </si>
  <si>
    <t>RPV-44186</t>
  </si>
  <si>
    <t>RPV-45830</t>
  </si>
  <si>
    <t>RPV-45855</t>
  </si>
  <si>
    <t>RPV-45362</t>
  </si>
  <si>
    <t>RPV-45845</t>
  </si>
  <si>
    <t>RPV-45502</t>
  </si>
  <si>
    <t>RPV-45629</t>
  </si>
  <si>
    <t>RPV-45758</t>
  </si>
  <si>
    <t>RPV-45783</t>
  </si>
  <si>
    <t>RPV-45864</t>
  </si>
  <si>
    <t>RPV-45752</t>
  </si>
  <si>
    <t>RPV-45789</t>
  </si>
  <si>
    <t>RPV-45750</t>
  </si>
  <si>
    <t>RPV-45757</t>
  </si>
  <si>
    <t>RPV-45784</t>
  </si>
  <si>
    <t>RPV-45822</t>
  </si>
  <si>
    <t>RPV-45761</t>
  </si>
  <si>
    <t>RPV-45806</t>
  </si>
  <si>
    <t>RPV-45747</t>
  </si>
  <si>
    <t>RPV-45785</t>
  </si>
  <si>
    <t>RPV-45842</t>
  </si>
  <si>
    <t>RPV-45273</t>
  </si>
  <si>
    <t>RPV-45292</t>
  </si>
  <si>
    <t>RPV-45270</t>
  </si>
  <si>
    <t>RPV-45295</t>
  </si>
  <si>
    <t>RPV-45363</t>
  </si>
  <si>
    <t>SmartEMatched9581-14847</t>
  </si>
  <si>
    <t>SmartEMatched9522-11476</t>
  </si>
  <si>
    <t>12638</t>
  </si>
  <si>
    <t>SmartEMatched9532-11618</t>
  </si>
  <si>
    <t>SmartEMatched9582-14841</t>
  </si>
  <si>
    <t>8568</t>
  </si>
  <si>
    <t>SmartEMatched9592-14842</t>
  </si>
  <si>
    <t>10810</t>
  </si>
  <si>
    <t>119848</t>
  </si>
  <si>
    <t>120216</t>
  </si>
  <si>
    <t>120237</t>
  </si>
  <si>
    <t>15540</t>
  </si>
  <si>
    <t>SmartEMatched9579-14854</t>
  </si>
  <si>
    <t>13800</t>
  </si>
  <si>
    <t>120309</t>
  </si>
  <si>
    <t>SmartEMatched9595-14848</t>
  </si>
  <si>
    <t>12380</t>
  </si>
  <si>
    <t>SmartEMatched9566-14856</t>
  </si>
  <si>
    <t>RPV-45755</t>
  </si>
  <si>
    <t>RPV-45913</t>
  </si>
  <si>
    <t>RPV-45279</t>
  </si>
  <si>
    <t>SmartEMatched9572-11353</t>
  </si>
  <si>
    <t>15244</t>
  </si>
  <si>
    <t>SmartEMatched9576-13970</t>
  </si>
  <si>
    <t>4766</t>
  </si>
  <si>
    <t>SmartEMatched9590-14849</t>
  </si>
  <si>
    <t>6969.85</t>
  </si>
  <si>
    <t>SmartEMatched9644-16240</t>
  </si>
  <si>
    <t>24276</t>
  </si>
  <si>
    <t>SmartEMatched9587-14851</t>
  </si>
  <si>
    <t>27500</t>
  </si>
  <si>
    <t>SmartEMatched9586-14843</t>
  </si>
  <si>
    <t>12988.57</t>
  </si>
  <si>
    <t>SmartEMatched9607-14862</t>
  </si>
  <si>
    <t>RPV-45563</t>
  </si>
  <si>
    <t>RPV-45860</t>
  </si>
  <si>
    <t>RPV-45541</t>
  </si>
  <si>
    <t>RPV-45341</t>
  </si>
  <si>
    <t>RPV-45434</t>
  </si>
  <si>
    <t>RPV-45736</t>
  </si>
  <si>
    <t>RPV-45739</t>
  </si>
  <si>
    <t>RPV-45848</t>
  </si>
  <si>
    <t>RPV-45825</t>
  </si>
  <si>
    <t>RPV-45827</t>
  </si>
  <si>
    <t>RPV-45853</t>
  </si>
  <si>
    <t>RPV-45903</t>
  </si>
  <si>
    <t>RPV-45742</t>
  </si>
  <si>
    <t>RPV-45824</t>
  </si>
  <si>
    <t>RPV-45381</t>
  </si>
  <si>
    <t>RPV-45320</t>
  </si>
  <si>
    <t>RPV-45379</t>
  </si>
  <si>
    <t>RPV-45175</t>
  </si>
  <si>
    <t>RPV-45372</t>
  </si>
  <si>
    <t>RPV-45364</t>
  </si>
  <si>
    <t>RPV-45380</t>
  </si>
  <si>
    <t>RPV-45549</t>
  </si>
  <si>
    <t>RPV-45551</t>
  </si>
  <si>
    <t>RPV-45571</t>
  </si>
  <si>
    <t>RPV-45560</t>
  </si>
  <si>
    <t>RPV-45547</t>
  </si>
  <si>
    <t>RPV-45566</t>
  </si>
  <si>
    <t>RPV-45568</t>
  </si>
  <si>
    <t>RPV-45548</t>
  </si>
  <si>
    <t>RPV-45565</t>
  </si>
  <si>
    <t>RPV-45606</t>
  </si>
  <si>
    <t>RPV-45544</t>
  </si>
  <si>
    <t>RPV-45564</t>
  </si>
  <si>
    <t>RPV-45572</t>
  </si>
  <si>
    <t>RPV-45733</t>
  </si>
  <si>
    <t>RPV-45811</t>
  </si>
  <si>
    <t>RPV-45821</t>
  </si>
  <si>
    <t>RPV-45829</t>
  </si>
  <si>
    <t>RPV-45852</t>
  </si>
  <si>
    <t>RPV-44208</t>
  </si>
  <si>
    <t>RPV-45550</t>
  </si>
  <si>
    <t>RPV-45559</t>
  </si>
  <si>
    <t>RPV-45562</t>
  </si>
  <si>
    <t>SmartEMatched9790-16689</t>
  </si>
  <si>
    <t>24525</t>
  </si>
  <si>
    <t>119943</t>
  </si>
  <si>
    <t>15897.6</t>
  </si>
  <si>
    <t>120111</t>
  </si>
  <si>
    <t>120323</t>
  </si>
  <si>
    <t>SmartEMatched9502-14859</t>
  </si>
  <si>
    <t>9630.6</t>
  </si>
  <si>
    <t>115960</t>
  </si>
  <si>
    <t>120101</t>
  </si>
  <si>
    <t>SmartEMatched9601-14855</t>
  </si>
  <si>
    <t>12614.66</t>
  </si>
  <si>
    <t>SmartEMatched9573-11614</t>
  </si>
  <si>
    <t>SmartEMatched9674-16784</t>
  </si>
  <si>
    <t>11600</t>
  </si>
  <si>
    <t>117064</t>
  </si>
  <si>
    <t>120240</t>
  </si>
  <si>
    <t>119906</t>
  </si>
  <si>
    <t>37380</t>
  </si>
  <si>
    <t>100428</t>
  </si>
  <si>
    <t>120439</t>
  </si>
  <si>
    <t>120243</t>
  </si>
  <si>
    <t>117113</t>
  </si>
  <si>
    <t>119044</t>
  </si>
  <si>
    <t>120184</t>
  </si>
  <si>
    <t>SmartEMatched9539-16037</t>
  </si>
  <si>
    <t>8137.69</t>
  </si>
  <si>
    <t>RPV-46018</t>
  </si>
  <si>
    <t>RPV-45950</t>
  </si>
  <si>
    <t>RPV-46028</t>
  </si>
  <si>
    <t>RPV-45995</t>
  </si>
  <si>
    <t>RPV-45342</t>
  </si>
  <si>
    <t>RPV-45820</t>
  </si>
  <si>
    <t>RPV-45420</t>
  </si>
  <si>
    <t>RPV-45422</t>
  </si>
  <si>
    <t>RPV-46026</t>
  </si>
  <si>
    <t>RPV-45368</t>
  </si>
  <si>
    <t>SmartEMatched9616-14940</t>
  </si>
  <si>
    <t>33253</t>
  </si>
  <si>
    <t>SmartEMatched9603-14939</t>
  </si>
  <si>
    <t>120600</t>
  </si>
  <si>
    <t>28704</t>
  </si>
  <si>
    <t>116537</t>
  </si>
  <si>
    <t>120223</t>
  </si>
  <si>
    <t>SmartEMatched9519-11435</t>
  </si>
  <si>
    <t>2400</t>
  </si>
  <si>
    <t>SmartEMatched9759-17272</t>
  </si>
  <si>
    <t>SmartEMatched9591-14937</t>
  </si>
  <si>
    <t>RPV-45302</t>
  </si>
  <si>
    <t>RPV-45431</t>
  </si>
  <si>
    <t>RPV-45436</t>
  </si>
  <si>
    <t>RPV-45609</t>
  </si>
  <si>
    <t>RPV-45657</t>
  </si>
  <si>
    <t>RPV-45799</t>
  </si>
  <si>
    <t>RPV-44504</t>
  </si>
  <si>
    <t>RPV-45727</t>
  </si>
  <si>
    <t>RPV-45766</t>
  </si>
  <si>
    <t>RPV-45884</t>
  </si>
  <si>
    <t>RPV-43017</t>
  </si>
  <si>
    <t>RPV-45790</t>
  </si>
  <si>
    <t>RPV-45840</t>
  </si>
  <si>
    <t>RPV-45881</t>
  </si>
  <si>
    <t>RPV-45887</t>
  </si>
  <si>
    <t>RPV-45674</t>
  </si>
  <si>
    <t>RPV-45892</t>
  </si>
  <si>
    <t>RPV-45906</t>
  </si>
  <si>
    <t>RPV-45907</t>
  </si>
  <si>
    <t>RPV-45879</t>
  </si>
  <si>
    <t>RPV-45880</t>
  </si>
  <si>
    <t>RPV-45899</t>
  </si>
  <si>
    <t>RPV-45908</t>
  </si>
  <si>
    <t>RPV-45765</t>
  </si>
  <si>
    <t>RPV-45815</t>
  </si>
  <si>
    <t>RPV-45828</t>
  </si>
  <si>
    <t>RPV-45895</t>
  </si>
  <si>
    <t>RPV-45863</t>
  </si>
  <si>
    <t>RPV-45871</t>
  </si>
  <si>
    <t>RPV-45873</t>
  </si>
  <si>
    <t>RPV-45882</t>
  </si>
  <si>
    <t>RPV-45888</t>
  </si>
  <si>
    <t>RPV-45900</t>
  </si>
  <si>
    <t>RPV-42503</t>
  </si>
  <si>
    <t>RPV-45760</t>
  </si>
  <si>
    <t>RPV-45883</t>
  </si>
  <si>
    <t>RPV-44834</t>
  </si>
  <si>
    <t>RPV-45326</t>
  </si>
  <si>
    <t>RPV-45216</t>
  </si>
  <si>
    <t>RPV-45441</t>
  </si>
  <si>
    <t>RPV-45495</t>
  </si>
  <si>
    <t>RPV-45429</t>
  </si>
  <si>
    <t>RPV-45449</t>
  </si>
  <si>
    <t>RPV-45432</t>
  </si>
  <si>
    <t>RPV-45482</t>
  </si>
  <si>
    <t>RPV-45501</t>
  </si>
  <si>
    <t>RPV-45582</t>
  </si>
  <si>
    <t>RPV-45605</t>
  </si>
  <si>
    <t>RPV-45446</t>
  </si>
  <si>
    <t>RPV-45488</t>
  </si>
  <si>
    <t>RPV-45602</t>
  </si>
  <si>
    <t>RPV-45725</t>
  </si>
  <si>
    <t>RPV-45835</t>
  </si>
  <si>
    <t>RPV-45889</t>
  </si>
  <si>
    <t>RPV-45897</t>
  </si>
  <si>
    <t>SmartEMatched9506-11474</t>
  </si>
  <si>
    <t>11215</t>
  </si>
  <si>
    <t>119866</t>
  </si>
  <si>
    <t>120645</t>
  </si>
  <si>
    <t>122432</t>
  </si>
  <si>
    <t>RPV-46041</t>
  </si>
  <si>
    <t>RPV-45735</t>
  </si>
  <si>
    <t>RPV-46094</t>
  </si>
  <si>
    <t>RPV-46097</t>
  </si>
  <si>
    <t>RPV-46039</t>
  </si>
  <si>
    <t>RPV-45168</t>
  </si>
  <si>
    <t>RPV-45486</t>
  </si>
  <si>
    <t>RPV-45344</t>
  </si>
  <si>
    <t>RPV-45679</t>
  </si>
  <si>
    <t>RPV-42777</t>
  </si>
  <si>
    <t>RPV-45867</t>
  </si>
  <si>
    <t>RPV-45938</t>
  </si>
  <si>
    <t>RPV-46017</t>
  </si>
  <si>
    <t>RPV-46060</t>
  </si>
  <si>
    <t>RPV-45814</t>
  </si>
  <si>
    <t>RPV-45816</t>
  </si>
  <si>
    <t>RPV-45988</t>
  </si>
  <si>
    <t>RPV-46013</t>
  </si>
  <si>
    <t>RPV-46006</t>
  </si>
  <si>
    <t>RPV-46011</t>
  </si>
  <si>
    <t>RPV-45926</t>
  </si>
  <si>
    <t>RPV-45930</t>
  </si>
  <si>
    <t>RPV-45989</t>
  </si>
  <si>
    <t>RPV-45684</t>
  </si>
  <si>
    <t>RPV-45730</t>
  </si>
  <si>
    <t>RPV-45928</t>
  </si>
  <si>
    <t>RPV-46047</t>
  </si>
  <si>
    <t>RPV-46123</t>
  </si>
  <si>
    <t>RPV-46119</t>
  </si>
  <si>
    <t>RPV-45445</t>
  </si>
  <si>
    <t>SmartEMatched9602-14941</t>
  </si>
  <si>
    <t>13999</t>
  </si>
  <si>
    <t>SmartEMatched9559-14985</t>
  </si>
  <si>
    <t>SmartEMatched9620-15018</t>
  </si>
  <si>
    <t>SmartEMatched9627-16699</t>
  </si>
  <si>
    <t>SmartEMatched9540-11385</t>
  </si>
  <si>
    <t>118361</t>
  </si>
  <si>
    <t>SmartEMatched9611-14947</t>
  </si>
  <si>
    <t>8430</t>
  </si>
  <si>
    <t>SmartEMatched9643-15019</t>
  </si>
  <si>
    <t>15683</t>
  </si>
  <si>
    <t>RPV-46156</t>
  </si>
  <si>
    <t>RPV-44080</t>
  </si>
  <si>
    <t>RPV-46165</t>
  </si>
  <si>
    <t>RPV-44229</t>
  </si>
  <si>
    <t>RPV-45966</t>
  </si>
  <si>
    <t>RPV-46162</t>
  </si>
  <si>
    <t>RPV-45940</t>
  </si>
  <si>
    <t>RPV-46154</t>
  </si>
  <si>
    <t>119053</t>
  </si>
  <si>
    <t>120354</t>
  </si>
  <si>
    <t>120708</t>
  </si>
  <si>
    <t>SmartEMatched9634-14946</t>
  </si>
  <si>
    <t>5455.75</t>
  </si>
  <si>
    <t>119262</t>
  </si>
  <si>
    <t>39432</t>
  </si>
  <si>
    <t>94666</t>
  </si>
  <si>
    <t>SmartEMatched9639-15022</t>
  </si>
  <si>
    <t>1100</t>
  </si>
  <si>
    <t>SmartEMatched9554-11348</t>
  </si>
  <si>
    <t>11911.47</t>
  </si>
  <si>
    <t>SmartEMatched9589-9264</t>
  </si>
  <si>
    <t>SmartEMatched9619-15021</t>
  </si>
  <si>
    <t>17718</t>
  </si>
  <si>
    <t>RPV-46090</t>
  </si>
  <si>
    <t>RPV-46188</t>
  </si>
  <si>
    <t>RPV-44990</t>
  </si>
  <si>
    <t>RPV-45061</t>
  </si>
  <si>
    <t>RPV-44935</t>
  </si>
  <si>
    <t>RPV-44768</t>
  </si>
  <si>
    <t>RPV-45274</t>
  </si>
  <si>
    <t>RPV-45308</t>
  </si>
  <si>
    <t>RPV-46171</t>
  </si>
  <si>
    <t>RPV-46176</t>
  </si>
  <si>
    <t>RPV-45277</t>
  </si>
  <si>
    <t>RPV-45157</t>
  </si>
  <si>
    <t>RPV-46175</t>
  </si>
  <si>
    <t>RPV-45942</t>
  </si>
  <si>
    <t>RPV-46007</t>
  </si>
  <si>
    <t>RPV-46044</t>
  </si>
  <si>
    <t>RPV-46117</t>
  </si>
  <si>
    <t>RPV-46120</t>
  </si>
  <si>
    <t>RPV-46129</t>
  </si>
  <si>
    <t>RPV-45800</t>
  </si>
  <si>
    <t>RPV-45885</t>
  </si>
  <si>
    <t>RPV-45949</t>
  </si>
  <si>
    <t>RPV-45959</t>
  </si>
  <si>
    <t>RPV-45963</t>
  </si>
  <si>
    <t>RPV-45976</t>
  </si>
  <si>
    <t>RPV-46021</t>
  </si>
  <si>
    <t>RPV-46038</t>
  </si>
  <si>
    <t>RPV-45831</t>
  </si>
  <si>
    <t>RPV-45939</t>
  </si>
  <si>
    <t>RPV-45944</t>
  </si>
  <si>
    <t>RPV-45951</t>
  </si>
  <si>
    <t>RPV-45954</t>
  </si>
  <si>
    <t>RPV-46048</t>
  </si>
  <si>
    <t>RPV-46111</t>
  </si>
  <si>
    <t>RPV-46114</t>
  </si>
  <si>
    <t>RPV-46131</t>
  </si>
  <si>
    <t>RPV-46132</t>
  </si>
  <si>
    <t>RPV-46143</t>
  </si>
  <si>
    <t>RPV-46173</t>
  </si>
  <si>
    <t>RPV-46202</t>
  </si>
  <si>
    <t>RPV-45877</t>
  </si>
  <si>
    <t>RPV-45943</t>
  </si>
  <si>
    <t>RPV-45948</t>
  </si>
  <si>
    <t>RPV-45960</t>
  </si>
  <si>
    <t>RPV-45973</t>
  </si>
  <si>
    <t>RPV-46035</t>
  </si>
  <si>
    <t>RPV-45891</t>
  </si>
  <si>
    <t>RPV-45956</t>
  </si>
  <si>
    <t>RPV-45964</t>
  </si>
  <si>
    <t>RPV-45975</t>
  </si>
  <si>
    <t>RPV-45977</t>
  </si>
  <si>
    <t>RPV-45955</t>
  </si>
  <si>
    <t>RPV-45961</t>
  </si>
  <si>
    <t>RPV-46053</t>
  </si>
  <si>
    <t>RPV-46081</t>
  </si>
  <si>
    <t>RPV-46118</t>
  </si>
  <si>
    <t>RPV-46121</t>
  </si>
  <si>
    <t>RPV-46178</t>
  </si>
  <si>
    <t>RPV-46194</t>
  </si>
  <si>
    <t>RPV-45237</t>
  </si>
  <si>
    <t>RPV-46125</t>
  </si>
  <si>
    <t>RPV-46138</t>
  </si>
  <si>
    <t>RPV-46150</t>
  </si>
  <si>
    <t>RPV-46042</t>
  </si>
  <si>
    <t>RPV-46080</t>
  </si>
  <si>
    <t>RPV-46197</t>
  </si>
  <si>
    <t>RPV-46177</t>
  </si>
  <si>
    <t>RPV-46191</t>
  </si>
  <si>
    <t>RPV-46078</t>
  </si>
  <si>
    <t>RPV-46199</t>
  </si>
  <si>
    <t>RPV-46206</t>
  </si>
  <si>
    <t>RPV-46036</t>
  </si>
  <si>
    <t>RPV-46083</t>
  </si>
  <si>
    <t>RPV-46086</t>
  </si>
  <si>
    <t>RPV-46116</t>
  </si>
  <si>
    <t>RPV-46174</t>
  </si>
  <si>
    <t>RPV-46201</t>
  </si>
  <si>
    <t>RPV-45795</t>
  </si>
  <si>
    <t>RPV-45803</t>
  </si>
  <si>
    <t>RPV-45972</t>
  </si>
  <si>
    <t>RPV-45991</t>
  </si>
  <si>
    <t>RPV-46049</t>
  </si>
  <si>
    <t>RPV-46093</t>
  </si>
  <si>
    <t>RPV-46112</t>
  </si>
  <si>
    <t>RPV-46193</t>
  </si>
  <si>
    <t>111510</t>
  </si>
  <si>
    <t>120403</t>
  </si>
  <si>
    <t>120359</t>
  </si>
  <si>
    <t>23857.6</t>
  </si>
  <si>
    <t>120443</t>
  </si>
  <si>
    <t>120522</t>
  </si>
  <si>
    <t>120663</t>
  </si>
  <si>
    <t>SmartEMatched9645-15002</t>
  </si>
  <si>
    <t>SmartEMatched9723-16067</t>
  </si>
  <si>
    <t>7056</t>
  </si>
  <si>
    <t>RPV-46070</t>
  </si>
  <si>
    <t>RPV-45878</t>
  </si>
  <si>
    <t>RPV-46297</t>
  </si>
  <si>
    <t>RPV-46185</t>
  </si>
  <si>
    <t>RPV-44157</t>
  </si>
  <si>
    <t>RPV-46005</t>
  </si>
  <si>
    <t>RPV-46245</t>
  </si>
  <si>
    <t>RPV-46247</t>
  </si>
  <si>
    <t>RPV-44187</t>
  </si>
  <si>
    <t>RPV-45929</t>
  </si>
  <si>
    <t>RPV-46115</t>
  </si>
  <si>
    <t>RPV-46057</t>
  </si>
  <si>
    <t>RPV-45846</t>
  </si>
  <si>
    <t>RPV-45911</t>
  </si>
  <si>
    <t>RPV-45934</t>
  </si>
  <si>
    <t>RPV-45980</t>
  </si>
  <si>
    <t>RPV-45994</t>
  </si>
  <si>
    <t>RPV-46225</t>
  </si>
  <si>
    <t>RPV-44133</t>
  </si>
  <si>
    <t>RPV-45936</t>
  </si>
  <si>
    <t>RPV-45801</t>
  </si>
  <si>
    <t>RPV-45921</t>
  </si>
  <si>
    <t>RPV-46023</t>
  </si>
  <si>
    <t>RPV-46055</t>
  </si>
  <si>
    <t>RPV-46145</t>
  </si>
  <si>
    <t>RPV-46216</t>
  </si>
  <si>
    <t>RPV-46267</t>
  </si>
  <si>
    <t>RPV-46236</t>
  </si>
  <si>
    <t>RPV-46198</t>
  </si>
  <si>
    <t>RPV-46231</t>
  </si>
  <si>
    <t>RPV-46233</t>
  </si>
  <si>
    <t>RPV-46227</t>
  </si>
  <si>
    <t>RPV-46209</t>
  </si>
  <si>
    <t>RPV-46232</t>
  </si>
  <si>
    <t>RPV-46130</t>
  </si>
  <si>
    <t>RPV-46223</t>
  </si>
  <si>
    <t>RPV-44313</t>
  </si>
  <si>
    <t>RPV-45373</t>
  </si>
  <si>
    <t>RPV-45545</t>
  </si>
  <si>
    <t>RPV-45741</t>
  </si>
  <si>
    <t>RPV-46210</t>
  </si>
  <si>
    <t>RPV-46222</t>
  </si>
  <si>
    <t>RPV-45570</t>
  </si>
  <si>
    <t>SmartEMatched9562-15023</t>
  </si>
  <si>
    <t>16664.9</t>
  </si>
  <si>
    <t>SmartEMatched9583-14936</t>
  </si>
  <si>
    <t>18512</t>
  </si>
  <si>
    <t>SmartEMatched9569-14845</t>
  </si>
  <si>
    <t>12645.91</t>
  </si>
  <si>
    <t>110310</t>
  </si>
  <si>
    <t>120533</t>
  </si>
  <si>
    <t>120171</t>
  </si>
  <si>
    <t>SmartEMatched9653-15025</t>
  </si>
  <si>
    <t>RPV-46043</t>
  </si>
  <si>
    <t>RPV-46291</t>
  </si>
  <si>
    <t>RPV-46292</t>
  </si>
  <si>
    <t>RPV-46261</t>
  </si>
  <si>
    <t>RPV-46263</t>
  </si>
  <si>
    <t>RPV-46280</t>
  </si>
  <si>
    <t>RPV-45770</t>
  </si>
  <si>
    <t>RPV-46059</t>
  </si>
  <si>
    <t>RPV-46091</t>
  </si>
  <si>
    <t>RPV-46269</t>
  </si>
  <si>
    <t>RPV-46320</t>
  </si>
  <si>
    <t>RPV-46258</t>
  </si>
  <si>
    <t>RPV-46265</t>
  </si>
  <si>
    <t>RPV-46257</t>
  </si>
  <si>
    <t>RPV-46321</t>
  </si>
  <si>
    <t>RPV-46268</t>
  </si>
  <si>
    <t>RPV-46248</t>
  </si>
  <si>
    <t>RPV-46262</t>
  </si>
  <si>
    <t>RPV-46286</t>
  </si>
  <si>
    <t>RPV-46228</t>
  </si>
  <si>
    <t>RPV-46074</t>
  </si>
  <si>
    <t>RPV-46105</t>
  </si>
  <si>
    <t>RPV-46213</t>
  </si>
  <si>
    <t>RPV-46076</t>
  </si>
  <si>
    <t>RPV-46167</t>
  </si>
  <si>
    <t>RPV-46234</t>
  </si>
  <si>
    <t>RPV-46161</t>
  </si>
  <si>
    <t>RPV-46200</t>
  </si>
  <si>
    <t>RPV-45818</t>
  </si>
  <si>
    <t>RPV-46107</t>
  </si>
  <si>
    <t>RPV-45569</t>
  </si>
  <si>
    <t>SmartEMatched9529-11478</t>
  </si>
  <si>
    <t>5760</t>
  </si>
  <si>
    <t>SmartEMatched9614-15020</t>
  </si>
  <si>
    <t>4250</t>
  </si>
  <si>
    <t>SmartEMatched9577-11351</t>
  </si>
  <si>
    <t>25500</t>
  </si>
  <si>
    <t>SmartEMatched9652-16032</t>
  </si>
  <si>
    <t>13472</t>
  </si>
  <si>
    <t>RPV-46276</t>
  </si>
  <si>
    <t>RPV-46348</t>
  </si>
  <si>
    <t>RPV-42776</t>
  </si>
  <si>
    <t>RPV-43014</t>
  </si>
  <si>
    <t>RPV-46305</t>
  </si>
  <si>
    <t>RPV-46301</t>
  </si>
  <si>
    <t>RPV-46303</t>
  </si>
  <si>
    <t>RPV-46304</t>
  </si>
  <si>
    <t>RPV-46350</t>
  </si>
  <si>
    <t>RPV-46300</t>
  </si>
  <si>
    <t>RPV-45187</t>
  </si>
  <si>
    <t>RPV-46164</t>
  </si>
  <si>
    <t>RPV-46358</t>
  </si>
  <si>
    <t>RPV-46181</t>
  </si>
  <si>
    <t>RPV-46356</t>
  </si>
  <si>
    <t>SmartEMatched9670-16234</t>
  </si>
  <si>
    <t>13790</t>
  </si>
  <si>
    <t>119258</t>
  </si>
  <si>
    <t>SmartEMatched9599-14850</t>
  </si>
  <si>
    <t>6700</t>
  </si>
  <si>
    <t>120905</t>
  </si>
  <si>
    <t>120798</t>
  </si>
  <si>
    <t>SmartEMatched9615-15028</t>
  </si>
  <si>
    <t>12141.06</t>
  </si>
  <si>
    <t>40012</t>
  </si>
  <si>
    <t>120933</t>
  </si>
  <si>
    <t>RPV-46029</t>
  </si>
  <si>
    <t>RPV-46349</t>
  </si>
  <si>
    <t>RPV-45945</t>
  </si>
  <si>
    <t>RPV-45791</t>
  </si>
  <si>
    <t>RPV-45352</t>
  </si>
  <si>
    <t>RPV-45469</t>
  </si>
  <si>
    <t>RPV-45594</t>
  </si>
  <si>
    <t>RPV-46186</t>
  </si>
  <si>
    <t>RPV-46168</t>
  </si>
  <si>
    <t>RPV-46289</t>
  </si>
  <si>
    <t>RPV-46295</t>
  </si>
  <si>
    <t>RPV-46308</t>
  </si>
  <si>
    <t>RPV-46243</t>
  </si>
  <si>
    <t>RPV-46253</t>
  </si>
  <si>
    <t>RPV-46254</t>
  </si>
  <si>
    <t>RPV-46264</t>
  </si>
  <si>
    <t>RPV-46240</t>
  </si>
  <si>
    <t>RPV-46180</t>
  </si>
  <si>
    <t>RPV-46195</t>
  </si>
  <si>
    <t>RPV-46211</t>
  </si>
  <si>
    <t>RPV-46204</t>
  </si>
  <si>
    <t>RPV-46207</t>
  </si>
  <si>
    <t>RPV-46218</t>
  </si>
  <si>
    <t>RPV-46141</t>
  </si>
  <si>
    <t>RPV-45471</t>
  </si>
  <si>
    <t>RPV-46309</t>
  </si>
  <si>
    <t>120096</t>
  </si>
  <si>
    <t>120944</t>
  </si>
  <si>
    <t>120938</t>
  </si>
  <si>
    <t>SmartEMatched9456-15027</t>
  </si>
  <si>
    <t>39717.39</t>
  </si>
  <si>
    <t>121028</t>
  </si>
  <si>
    <t>SmartEMatched9749-16508</t>
  </si>
  <si>
    <t>SmartEMatched9650-14638</t>
  </si>
  <si>
    <t>27000</t>
  </si>
  <si>
    <t>RPV-45992</t>
  </si>
  <si>
    <t>RPV-45876</t>
  </si>
  <si>
    <t>RPV-46363</t>
  </si>
  <si>
    <t>RPV-46299</t>
  </si>
  <si>
    <t>RPV-46050</t>
  </si>
  <si>
    <t>RPV-46351</t>
  </si>
  <si>
    <t>RPV-46332</t>
  </si>
  <si>
    <t>RPV-46371</t>
  </si>
  <si>
    <t>RPV-46397</t>
  </si>
  <si>
    <t>RPV-46238</t>
  </si>
  <si>
    <t>RPV-46246</t>
  </si>
  <si>
    <t>RPV-46294</t>
  </si>
  <si>
    <t>RPV-46343</t>
  </si>
  <si>
    <t>RPV-46345</t>
  </si>
  <si>
    <t>RPV-46378</t>
  </si>
  <si>
    <t>RPV-46392</t>
  </si>
  <si>
    <t>RPV-46402</t>
  </si>
  <si>
    <t>RPV-46410</t>
  </si>
  <si>
    <t>RPV-46244</t>
  </si>
  <si>
    <t>RPV-46333</t>
  </si>
  <si>
    <t>RPV-46310</t>
  </si>
  <si>
    <t>RPV-46328</t>
  </si>
  <si>
    <t>RPV-46367</t>
  </si>
  <si>
    <t>RPV-46407</t>
  </si>
  <si>
    <t>RPV-46342</t>
  </si>
  <si>
    <t>RPV-46398</t>
  </si>
  <si>
    <t>RPV-46403</t>
  </si>
  <si>
    <t>RPV-46372</t>
  </si>
  <si>
    <t>RPV-46404</t>
  </si>
  <si>
    <t>RPV-46412</t>
  </si>
  <si>
    <t>RPV-46366</t>
  </si>
  <si>
    <t>RPV-46373</t>
  </si>
  <si>
    <t>RPV-46376</t>
  </si>
  <si>
    <t>RPV-46388</t>
  </si>
  <si>
    <t>RPV-46391</t>
  </si>
  <si>
    <t>RPV-46364</t>
  </si>
  <si>
    <t>RPV-46370</t>
  </si>
  <si>
    <t>RPV-46375</t>
  </si>
  <si>
    <t>RPV-46386</t>
  </si>
  <si>
    <t>RPV-46390</t>
  </si>
  <si>
    <t>RPV-46408</t>
  </si>
  <si>
    <t>RPV-46442</t>
  </si>
  <si>
    <t>RPV-46302</t>
  </si>
  <si>
    <t>RPV-46312</t>
  </si>
  <si>
    <t>RPV-46334</t>
  </si>
  <si>
    <t>RPV-46341</t>
  </si>
  <si>
    <t>RPV-46382</t>
  </si>
  <si>
    <t>RPV-46387</t>
  </si>
  <si>
    <t>RPV-46405</t>
  </si>
  <si>
    <t>RPV-46413</t>
  </si>
  <si>
    <t>RPV-46441</t>
  </si>
  <si>
    <t>SmartEMatched9659-15030</t>
  </si>
  <si>
    <t>26558</t>
  </si>
  <si>
    <t>SmartEMatched9571-11615</t>
  </si>
  <si>
    <t>12283.43</t>
  </si>
  <si>
    <t>100018</t>
  </si>
  <si>
    <t>SmartEMatched9675-15033</t>
  </si>
  <si>
    <t>16895</t>
  </si>
  <si>
    <t>RPV-45990</t>
  </si>
  <si>
    <t>RPV-46340</t>
  </si>
  <si>
    <t>RPV-46417</t>
  </si>
  <si>
    <t>RPV-45971</t>
  </si>
  <si>
    <t>RPV-46045</t>
  </si>
  <si>
    <t>RPV-46192</t>
  </si>
  <si>
    <t>RPV-46296</t>
  </si>
  <si>
    <t>RPV-46414</t>
  </si>
  <si>
    <t>RPV-46424</t>
  </si>
  <si>
    <t>RPV-46298</t>
  </si>
  <si>
    <t>RPV-46327</t>
  </si>
  <si>
    <t>RPV-46329</t>
  </si>
  <si>
    <t>RPV-46400</t>
  </si>
  <si>
    <t>RPV-46313</t>
  </si>
  <si>
    <t>RPV-46135</t>
  </si>
  <si>
    <t>RPV-46326</t>
  </si>
  <si>
    <t>RPV-46429</t>
  </si>
  <si>
    <t>RPV-46450</t>
  </si>
  <si>
    <t>RPV-46425</t>
  </si>
  <si>
    <t>RPV-46427</t>
  </si>
  <si>
    <t>RPV-46455</t>
  </si>
  <si>
    <t>RPV-46419</t>
  </si>
  <si>
    <t>RPV-46433</t>
  </si>
  <si>
    <t>RPV-46458</t>
  </si>
  <si>
    <t>RPV-46418</t>
  </si>
  <si>
    <t>RPV-46420</t>
  </si>
  <si>
    <t>RPV-46423</t>
  </si>
  <si>
    <t>RPV-46431</t>
  </si>
  <si>
    <t>RPV-46456</t>
  </si>
  <si>
    <t>RPV-46489</t>
  </si>
  <si>
    <t>SmartEMatched9509-15034</t>
  </si>
  <si>
    <t>8893.82</t>
  </si>
  <si>
    <t>117388</t>
  </si>
  <si>
    <t>121007</t>
  </si>
  <si>
    <t>121063</t>
  </si>
  <si>
    <t>120866</t>
  </si>
  <si>
    <t>SmartEMatched9613-15032</t>
  </si>
  <si>
    <t>5800</t>
  </si>
  <si>
    <t>SmartEMatched9680-15035</t>
  </si>
  <si>
    <t>31814.46</t>
  </si>
  <si>
    <t>RPV-44778</t>
  </si>
  <si>
    <t>RPV-45905</t>
  </si>
  <si>
    <t>RPV-46062</t>
  </si>
  <si>
    <t>RPV-46077</t>
  </si>
  <si>
    <t>RPV-46537</t>
  </si>
  <si>
    <t>RPV-46504</t>
  </si>
  <si>
    <t>PT-101867</t>
  </si>
  <si>
    <t>3132545.62</t>
  </si>
  <si>
    <t>SmartEMatched9679-15029</t>
  </si>
  <si>
    <t>12100</t>
  </si>
  <si>
    <t>SmartEMatched9458-11340</t>
  </si>
  <si>
    <t>39519.44</t>
  </si>
  <si>
    <t>121226</t>
  </si>
  <si>
    <t>RPV-45712</t>
  </si>
  <si>
    <t>RPV-45837</t>
  </si>
  <si>
    <t>RPV-45746</t>
  </si>
  <si>
    <t>RPV-45705</t>
  </si>
  <si>
    <t>RPV-45711</t>
  </si>
  <si>
    <t>RPV-45817</t>
  </si>
  <si>
    <t>RPV-45536</t>
  </si>
  <si>
    <t>RPV-45531</t>
  </si>
  <si>
    <t>RPV-45685</t>
  </si>
  <si>
    <t>RPV-45710</t>
  </si>
  <si>
    <t>RPV-45836</t>
  </si>
  <si>
    <t>RPV-45768</t>
  </si>
  <si>
    <t>SmartEMatched9664-15037</t>
  </si>
  <si>
    <t>6825</t>
  </si>
  <si>
    <t>SmartEMatched9694-15036</t>
  </si>
  <si>
    <t>10728.26</t>
  </si>
  <si>
    <t>RPV-45984</t>
  </si>
  <si>
    <t>RPV-45982</t>
  </si>
  <si>
    <t>RPV-45985</t>
  </si>
  <si>
    <t>RPV-46014</t>
  </si>
  <si>
    <t>RPV-44812</t>
  </si>
  <si>
    <t>RPV-45909</t>
  </si>
  <si>
    <t>RPV-45953</t>
  </si>
  <si>
    <t>RPV-45866</t>
  </si>
  <si>
    <t>RPV-45874</t>
  </si>
  <si>
    <t>RPV-45047</t>
  </si>
  <si>
    <t>SmartEMatched9618-15040</t>
  </si>
  <si>
    <t>SmartEMatched9667-15039</t>
  </si>
  <si>
    <t>6625</t>
  </si>
  <si>
    <t>120865</t>
  </si>
  <si>
    <t>RPV-46316</t>
  </si>
  <si>
    <t>RPV-46538</t>
  </si>
  <si>
    <t>RPV-46512</t>
  </si>
  <si>
    <t>RPV-46516</t>
  </si>
  <si>
    <t>RPV-46528</t>
  </si>
  <si>
    <t>RPV-46000</t>
  </si>
  <si>
    <t>RPV-46497</t>
  </si>
  <si>
    <t>RPV-46524</t>
  </si>
  <si>
    <t>RPV-45997</t>
  </si>
  <si>
    <t>RPV-46479</t>
  </si>
  <si>
    <t>RPV-46067</t>
  </si>
  <si>
    <t>RPV-46480</t>
  </si>
  <si>
    <t>RPV-46487</t>
  </si>
  <si>
    <t>RPV-46514</t>
  </si>
  <si>
    <t>RPV-46531</t>
  </si>
  <si>
    <t>RPV-46235</t>
  </si>
  <si>
    <t>RPV-46157</t>
  </si>
  <si>
    <t>RPV-46483</t>
  </si>
  <si>
    <t>RPV-46495</t>
  </si>
  <si>
    <t>RPV-46560</t>
  </si>
  <si>
    <t>RPV-46632</t>
  </si>
  <si>
    <t>RPV-46518</t>
  </si>
  <si>
    <t>RPV-46544</t>
  </si>
  <si>
    <t>RPV-46535</t>
  </si>
  <si>
    <t>RPV-46600</t>
  </si>
  <si>
    <t>RPV-46636</t>
  </si>
  <si>
    <t>SmartEMatched9657-15042</t>
  </si>
  <si>
    <t>2640</t>
  </si>
  <si>
    <t>SmartEMatched9656-15013</t>
  </si>
  <si>
    <t>RPV-45714</t>
  </si>
  <si>
    <t>RPV-46134</t>
  </si>
  <si>
    <t>RPV-45753</t>
  </si>
  <si>
    <t>RPV-46347</t>
  </si>
  <si>
    <t>RPV-46508</t>
  </si>
  <si>
    <t>RPV-46677</t>
  </si>
  <si>
    <t>RPV-46679</t>
  </si>
  <si>
    <t>RPV-46683</t>
  </si>
  <si>
    <t>RPV-46475</t>
  </si>
  <si>
    <t>RPV-46498</t>
  </si>
  <si>
    <t>RPV-46590</t>
  </si>
  <si>
    <t>RPV-46229</t>
  </si>
  <si>
    <t>RPV-46439</t>
  </si>
  <si>
    <t>RPV-46354</t>
  </si>
  <si>
    <t>RPV-46471</t>
  </si>
  <si>
    <t>RPV-46597</t>
  </si>
  <si>
    <t>RPV-46490</t>
  </si>
  <si>
    <t>RPV-46290</t>
  </si>
  <si>
    <t>RPV-46239</t>
  </si>
  <si>
    <t>RPV-46024</t>
  </si>
  <si>
    <t>RPV-45787</t>
  </si>
  <si>
    <t>RPV-45833</t>
  </si>
  <si>
    <t>RPV-45826</t>
  </si>
  <si>
    <t>RPV-46454</t>
  </si>
  <si>
    <t>RPV-46510</t>
  </si>
  <si>
    <t>RPV-46315</t>
  </si>
  <si>
    <t>RPV-46478</t>
  </si>
  <si>
    <t>RPV-46492</t>
  </si>
  <si>
    <t>RPV-46494</t>
  </si>
  <si>
    <t>RPV-46214</t>
  </si>
  <si>
    <t>RPV-46169</t>
  </si>
  <si>
    <t>RPV-46594</t>
  </si>
  <si>
    <t>RPV-46689</t>
  </si>
  <si>
    <t>RPV-46476</t>
  </si>
  <si>
    <t>RPV-46486</t>
  </si>
  <si>
    <t>RPV-46506</t>
  </si>
  <si>
    <t>RPV-46461</t>
  </si>
  <si>
    <t>RPV-46472</t>
  </si>
  <si>
    <t>RPV-46491</t>
  </si>
  <si>
    <t>RPV-46542</t>
  </si>
  <si>
    <t>SmartEMatched9693-15038</t>
  </si>
  <si>
    <t>SmartEMatched9403-11483</t>
  </si>
  <si>
    <t>121212</t>
  </si>
  <si>
    <t>RPV-46384</t>
  </si>
  <si>
    <t>RPV-46110</t>
  </si>
  <si>
    <t>RPV-45744</t>
  </si>
  <si>
    <t>RPV-46322</t>
  </si>
  <si>
    <t>RPV-46360</t>
  </si>
  <si>
    <t>RPV-46596</t>
  </si>
  <si>
    <t>RPV-46608</t>
  </si>
  <si>
    <t>RPV-45371</t>
  </si>
  <si>
    <t>RPV-46189</t>
  </si>
  <si>
    <t>RPV-46051</t>
  </si>
  <si>
    <t>RPV-46438</t>
  </si>
  <si>
    <t>RPV-46575</t>
  </si>
  <si>
    <t>RPV-46614</t>
  </si>
  <si>
    <t>RPV-46616</t>
  </si>
  <si>
    <t>RPV-46633</t>
  </si>
  <si>
    <t>RPV-46361</t>
  </si>
  <si>
    <t>RPV-46436</t>
  </si>
  <si>
    <t>RPV-46571</t>
  </si>
  <si>
    <t>RPV-46578</t>
  </si>
  <si>
    <t>RPV-46588</t>
  </si>
  <si>
    <t>RPV-46610</t>
  </si>
  <si>
    <t>RPV-46612</t>
  </si>
  <si>
    <t>RPV-46581</t>
  </si>
  <si>
    <t>RPV-46591</t>
  </si>
  <si>
    <t>RPV-46593</t>
  </si>
  <si>
    <t>RPV-46620</t>
  </si>
  <si>
    <t>RPV-46422</t>
  </si>
  <si>
    <t>RPV-46520</t>
  </si>
  <si>
    <t>RPV-46568</t>
  </si>
  <si>
    <t>RPV-46619</t>
  </si>
  <si>
    <t>RPV-46625</t>
  </si>
  <si>
    <t>RPV-46432</t>
  </si>
  <si>
    <t>RPV-46457</t>
  </si>
  <si>
    <t>RPV-46462</t>
  </si>
  <si>
    <t>RPV-46585</t>
  </si>
  <si>
    <t>RPV-46624</t>
  </si>
  <si>
    <t>RPV-46627</t>
  </si>
  <si>
    <t>RPV-46567</t>
  </si>
  <si>
    <t>RPV-46570</t>
  </si>
  <si>
    <t>RPV-46579</t>
  </si>
  <si>
    <t>RPV-46587</t>
  </si>
  <si>
    <t>RPV-46611</t>
  </si>
  <si>
    <t>RPV-46693</t>
  </si>
  <si>
    <t>RPV-46507</t>
  </si>
  <si>
    <t>RPV-46577</t>
  </si>
  <si>
    <t>RPV-45383</t>
  </si>
  <si>
    <t>RPV-46696</t>
  </si>
  <si>
    <t>SmartEMatched9661-15043</t>
  </si>
  <si>
    <t>20632</t>
  </si>
  <si>
    <t>SmartEMatched9703-15077</t>
  </si>
  <si>
    <t>SmartEMatched9708-15062</t>
  </si>
  <si>
    <t>SmartEMatched9660-15044</t>
  </si>
  <si>
    <t>17000</t>
  </si>
  <si>
    <t>SmartEMatched9713-15064</t>
  </si>
  <si>
    <t>12200</t>
  </si>
  <si>
    <t>121112</t>
  </si>
  <si>
    <t>121420</t>
  </si>
  <si>
    <t>RPV-45933</t>
  </si>
  <si>
    <t>RPV-46511</t>
  </si>
  <si>
    <t>RPV-46720</t>
  </si>
  <si>
    <t>RPV-46718</t>
  </si>
  <si>
    <t>RPV-46452</t>
  </si>
  <si>
    <t>RPV-46716</t>
  </si>
  <si>
    <t>RPV-46756</t>
  </si>
  <si>
    <t>RPV-45810</t>
  </si>
  <si>
    <t>RPV-46468</t>
  </si>
  <si>
    <t>RPV-46493</t>
  </si>
  <si>
    <t>RPV-46517</t>
  </si>
  <si>
    <t>RPV-46607</t>
  </si>
  <si>
    <t>RPV-46609</t>
  </si>
  <si>
    <t>RPV-46652</t>
  </si>
  <si>
    <t>RPV-46724</t>
  </si>
  <si>
    <t>RPV-46758</t>
  </si>
  <si>
    <t>RPV-46463</t>
  </si>
  <si>
    <t>RPV-46513</t>
  </si>
  <si>
    <t>RPV-46637</t>
  </si>
  <si>
    <t>RPV-46642</t>
  </si>
  <si>
    <t>RPV-46651</t>
  </si>
  <si>
    <t>RPV-46598</t>
  </si>
  <si>
    <t>RPV-46649</t>
  </si>
  <si>
    <t>RPV-46626</t>
  </si>
  <si>
    <t>RPV-46645</t>
  </si>
  <si>
    <t>RPV-46653</t>
  </si>
  <si>
    <t>RPV-46618</t>
  </si>
  <si>
    <t>RPV-46643</t>
  </si>
  <si>
    <t>RPV-46646</t>
  </si>
  <si>
    <t>RPV-46657</t>
  </si>
  <si>
    <t>RPV-46623</t>
  </si>
  <si>
    <t>RPV-46628</t>
  </si>
  <si>
    <t>RPV-46711</t>
  </si>
  <si>
    <t>RPV-46778</t>
  </si>
  <si>
    <t>RPV-46552</t>
  </si>
  <si>
    <t>RPV-46602</t>
  </si>
  <si>
    <t>RPV-46641</t>
  </si>
  <si>
    <t>121320</t>
  </si>
  <si>
    <t>120877</t>
  </si>
  <si>
    <t>121245</t>
  </si>
  <si>
    <t>121388</t>
  </si>
  <si>
    <t>121443</t>
  </si>
  <si>
    <t>121363</t>
  </si>
  <si>
    <t>121364</t>
  </si>
  <si>
    <t>RPV-46669</t>
  </si>
  <si>
    <t>RPV-46815</t>
  </si>
  <si>
    <t>RPV-45962</t>
  </si>
  <si>
    <t>RPV-46634</t>
  </si>
  <si>
    <t>RPV-46817</t>
  </si>
  <si>
    <t>RPV-46805</t>
  </si>
  <si>
    <t>RPV-46701</t>
  </si>
  <si>
    <t>RPV-46830</t>
  </si>
  <si>
    <t>RPV-46788</t>
  </si>
  <si>
    <t>RPV-46369</t>
  </si>
  <si>
    <t>RPV-46801</t>
  </si>
  <si>
    <t>RPV-46655</t>
  </si>
  <si>
    <t>RPV-46664</t>
  </si>
  <si>
    <t>RPV-46839</t>
  </si>
  <si>
    <t>RPV-46808</t>
  </si>
  <si>
    <t>RPV-46813</t>
  </si>
  <si>
    <t>RPV-46752</t>
  </si>
  <si>
    <t>SmartEMatched9698-16238</t>
  </si>
  <si>
    <t>7267</t>
  </si>
  <si>
    <t>SmartEMatched9706-16249</t>
  </si>
  <si>
    <t>11055.55</t>
  </si>
  <si>
    <t>121234</t>
  </si>
  <si>
    <t>92606</t>
  </si>
  <si>
    <t>SmartEMatched9709-16239</t>
  </si>
  <si>
    <t>15867.08</t>
  </si>
  <si>
    <t>RPV-46631</t>
  </si>
  <si>
    <t>RPV-46700</t>
  </si>
  <si>
    <t>RPV-46728</t>
  </si>
  <si>
    <t>RPV-46834</t>
  </si>
  <si>
    <t>RPV-46446</t>
  </si>
  <si>
    <t>RPV-45561</t>
  </si>
  <si>
    <t>RPV-46548</t>
  </si>
  <si>
    <t>RPV-46776</t>
  </si>
  <si>
    <t>RPV-45894</t>
  </si>
  <si>
    <t>RPV-45805</t>
  </si>
  <si>
    <t>RPV-45797</t>
  </si>
  <si>
    <t>RPV-46058</t>
  </si>
  <si>
    <t>RPV-45902</t>
  </si>
  <si>
    <t>RPV-46448</t>
  </si>
  <si>
    <t>RPV-45382</t>
  </si>
  <si>
    <t>RPV-46182</t>
  </si>
  <si>
    <t>RPV-46674</t>
  </si>
  <si>
    <t>RPV-46688</t>
  </si>
  <si>
    <t>RPV-46671</t>
  </si>
  <si>
    <t>RPV-46741</t>
  </si>
  <si>
    <t>RPV-46846</t>
  </si>
  <si>
    <t>RPV-46705</t>
  </si>
  <si>
    <t>RPV-46721</t>
  </si>
  <si>
    <t>RPV-46811</t>
  </si>
  <si>
    <t>RPV-46583</t>
  </si>
  <si>
    <t>RPV-46687</t>
  </si>
  <si>
    <t>RPV-45378</t>
  </si>
  <si>
    <t>RPV-46659</t>
  </si>
  <si>
    <t>RPV-46699</t>
  </si>
  <si>
    <t>RPV-46713</t>
  </si>
  <si>
    <t>RPV-46733</t>
  </si>
  <si>
    <t>RPV-46704</t>
  </si>
  <si>
    <t>RPV-46564</t>
  </si>
  <si>
    <t>RPV-46582</t>
  </si>
  <si>
    <t>RPV-46698</t>
  </si>
  <si>
    <t>RPV-46747</t>
  </si>
  <si>
    <t>RPV-46709</t>
  </si>
  <si>
    <t>RPV-46847</t>
  </si>
  <si>
    <t>RPV-46732</t>
  </si>
  <si>
    <t>RPV-46858</t>
  </si>
  <si>
    <t>RPV-45983</t>
  </si>
  <si>
    <t>RPV-46127</t>
  </si>
  <si>
    <t>RPV-46665</t>
  </si>
  <si>
    <t>RPV-46686</t>
  </si>
  <si>
    <t>RPV-46691</t>
  </si>
  <si>
    <t>RPV-46706</t>
  </si>
  <si>
    <t>RPV-46729</t>
  </si>
  <si>
    <t>120890</t>
  </si>
  <si>
    <t>121515</t>
  </si>
  <si>
    <t>118043</t>
  </si>
  <si>
    <t>SmartEMatched9654-16250</t>
  </si>
  <si>
    <t>SmartEMatched9669-16253</t>
  </si>
  <si>
    <t>6900</t>
  </si>
  <si>
    <t>SmartEMatched9438-11456</t>
  </si>
  <si>
    <t>10623</t>
  </si>
  <si>
    <t>121497</t>
  </si>
  <si>
    <t>120641</t>
  </si>
  <si>
    <t>121467</t>
  </si>
  <si>
    <t>121568</t>
  </si>
  <si>
    <t>SmartEMatched9676-16251</t>
  </si>
  <si>
    <t>RPV-46897</t>
  </si>
  <si>
    <t>RPV-46909</t>
  </si>
  <si>
    <t>RPV-45781</t>
  </si>
  <si>
    <t>RPV-46913</t>
  </si>
  <si>
    <t>RPV-46904</t>
  </si>
  <si>
    <t>RPV-46015</t>
  </si>
  <si>
    <t>RPV-46694</t>
  </si>
  <si>
    <t>RPV-46755</t>
  </si>
  <si>
    <t>RPV-46779</t>
  </si>
  <si>
    <t>RPV-46780</t>
  </si>
  <si>
    <t>RPV-46786</t>
  </si>
  <si>
    <t>RPV-46554</t>
  </si>
  <si>
    <t>RPV-46790</t>
  </si>
  <si>
    <t>RPV-46804</t>
  </si>
  <si>
    <t>RPV-46750</t>
  </si>
  <si>
    <t>RPV-46545</t>
  </si>
  <si>
    <t>RPV-46957</t>
  </si>
  <si>
    <t>RPV-46782</t>
  </si>
  <si>
    <t>RPV-46785</t>
  </si>
  <si>
    <t>RPV-46735</t>
  </si>
  <si>
    <t>RPV-46787</t>
  </si>
  <si>
    <t>RPV-46010</t>
  </si>
  <si>
    <t>RPV-46532</t>
  </si>
  <si>
    <t>SmartEMatched9724-16255</t>
  </si>
  <si>
    <t>11509.8</t>
  </si>
  <si>
    <t>SmartEMatched9623-16252</t>
  </si>
  <si>
    <t>14407</t>
  </si>
  <si>
    <t>SmartEMatched9701-15078</t>
  </si>
  <si>
    <t>6141.27</t>
  </si>
  <si>
    <t>121273</t>
  </si>
  <si>
    <t>121448</t>
  </si>
  <si>
    <t>RPV-46502</t>
  </si>
  <si>
    <t>RPV-46793</t>
  </si>
  <si>
    <t>RPV-46794</t>
  </si>
  <si>
    <t>RPV-46944</t>
  </si>
  <si>
    <t>RPV-42414</t>
  </si>
  <si>
    <t>RPV-46736</t>
  </si>
  <si>
    <t>RPV-46821</t>
  </si>
  <si>
    <t>RPV-46852</t>
  </si>
  <si>
    <t>RPV-46749</t>
  </si>
  <si>
    <t>RPV-46558</t>
  </si>
  <si>
    <t>RPV-45510</t>
  </si>
  <si>
    <t>RPV-46836</t>
  </si>
  <si>
    <t>RPV-46823</t>
  </si>
  <si>
    <t>RPV-46835</t>
  </si>
  <si>
    <t>RPV-46848</t>
  </si>
  <si>
    <t>RPV-46879</t>
  </si>
  <si>
    <t>RPV-46826</t>
  </si>
  <si>
    <t>RPV-46851</t>
  </si>
  <si>
    <t>RPV-46832</t>
  </si>
  <si>
    <t>RPV-46837</t>
  </si>
  <si>
    <t>RPV-46978</t>
  </si>
  <si>
    <t>RPV-46880</t>
  </si>
  <si>
    <t>121604</t>
  </si>
  <si>
    <t>SmartEMatched9658-16256</t>
  </si>
  <si>
    <t>11054</t>
  </si>
  <si>
    <t>119077</t>
  </si>
  <si>
    <t>121692</t>
  </si>
  <si>
    <t>RPV-45890</t>
  </si>
  <si>
    <t>RPV-46764</t>
  </si>
  <si>
    <t>RPV-46802</t>
  </si>
  <si>
    <t>RPV-46886</t>
  </si>
  <si>
    <t>RPV-46800</t>
  </si>
  <si>
    <t>RPV-47006</t>
  </si>
  <si>
    <t>RPV-46774</t>
  </si>
  <si>
    <t>RPV-46809</t>
  </si>
  <si>
    <t>Bridgewater</t>
  </si>
  <si>
    <t>RPV-44507</t>
  </si>
  <si>
    <t>RPV-46889</t>
  </si>
  <si>
    <t>RPV-46932</t>
  </si>
  <si>
    <t>RPV-46100</t>
  </si>
  <si>
    <t>RPV-46900</t>
  </si>
  <si>
    <t>RPV-46927</t>
  </si>
  <si>
    <t>RPV-46915</t>
  </si>
  <si>
    <t>RPV-45808</t>
  </si>
  <si>
    <t>RPV-46926</t>
  </si>
  <si>
    <t>RPV-46928</t>
  </si>
  <si>
    <t>RPV-46890</t>
  </si>
  <si>
    <t>RPV-46337</t>
  </si>
  <si>
    <t>RPV-46153</t>
  </si>
  <si>
    <t>RPV-46063</t>
  </si>
  <si>
    <t>RPV-46529</t>
  </si>
  <si>
    <t>RPV-46850</t>
  </si>
  <si>
    <t>RPV-46854</t>
  </si>
  <si>
    <t>RPV-46352</t>
  </si>
  <si>
    <t>RPV-46771</t>
  </si>
  <si>
    <t>RPV-46505</t>
  </si>
  <si>
    <t>RPV-46765</t>
  </si>
  <si>
    <t>RPV-46816</t>
  </si>
  <si>
    <t>RPV-46922</t>
  </si>
  <si>
    <t>RPV-45952</t>
  </si>
  <si>
    <t>SmartEMatched9746-16509</t>
  </si>
  <si>
    <t>5375.5</t>
  </si>
  <si>
    <t>119604</t>
  </si>
  <si>
    <t>121706</t>
  </si>
  <si>
    <t>121527</t>
  </si>
  <si>
    <t>SmartEMatched9741-16514</t>
  </si>
  <si>
    <t>7556</t>
  </si>
  <si>
    <t>RPV-46885</t>
  </si>
  <si>
    <t>RPV-46983</t>
  </si>
  <si>
    <t>PT-101842</t>
  </si>
  <si>
    <t>320192.76</t>
  </si>
  <si>
    <t>SmartEMatched9734-16521</t>
  </si>
  <si>
    <t>9293.7</t>
  </si>
  <si>
    <t>SmartEMatched9641-16516</t>
  </si>
  <si>
    <t>9057.6</t>
  </si>
  <si>
    <t>SmartEMatched9735-16524</t>
  </si>
  <si>
    <t>7290</t>
  </si>
  <si>
    <t>SmartEMatched9686-16522</t>
  </si>
  <si>
    <t>14786.8</t>
  </si>
  <si>
    <t>RPV-47032</t>
  </si>
  <si>
    <t>RPV-46196</t>
  </si>
  <si>
    <t>RPV-45819</t>
  </si>
  <si>
    <t>RPV-47007</t>
  </si>
  <si>
    <t>RPV-46825</t>
  </si>
  <si>
    <t>RPV-46919</t>
  </si>
  <si>
    <t>RPV-46954</t>
  </si>
  <si>
    <t>RPV-46994</t>
  </si>
  <si>
    <t>RPV-47028</t>
  </si>
  <si>
    <t>RPV-46936</t>
  </si>
  <si>
    <t>RPV-46938</t>
  </si>
  <si>
    <t>RPV-46947</t>
  </si>
  <si>
    <t>RPV-46963</t>
  </si>
  <si>
    <t>RPV-46970</t>
  </si>
  <si>
    <t>RPV-46672</t>
  </si>
  <si>
    <t>RPV-46831</t>
  </si>
  <si>
    <t>RPV-46933</t>
  </si>
  <si>
    <t>RPV-46956</t>
  </si>
  <si>
    <t>RPV-46996</t>
  </si>
  <si>
    <t>RPV-46680</t>
  </si>
  <si>
    <t>RPV-46997</t>
  </si>
  <si>
    <t>RPV-47123</t>
  </si>
  <si>
    <t>RPV-46682</t>
  </si>
  <si>
    <t>RPV-46824</t>
  </si>
  <si>
    <t>PT-101713</t>
  </si>
  <si>
    <t>13615</t>
  </si>
  <si>
    <t>RPV-46952</t>
  </si>
  <si>
    <t>RPV-46959</t>
  </si>
  <si>
    <t>RPV-46966</t>
  </si>
  <si>
    <t>RPV-46992</t>
  </si>
  <si>
    <t>RPV-46819</t>
  </si>
  <si>
    <t>SmartEMatched9726-16513</t>
  </si>
  <si>
    <t>113982</t>
  </si>
  <si>
    <t>SmartEMatched9764-16519</t>
  </si>
  <si>
    <t>9953.75</t>
  </si>
  <si>
    <t>121701</t>
  </si>
  <si>
    <t>SmartEMatched9610-16512</t>
  </si>
  <si>
    <t>11250</t>
  </si>
  <si>
    <t>SmartEMatched9677-16511</t>
  </si>
  <si>
    <t>9357.14</t>
  </si>
  <si>
    <t>RPV-46989</t>
  </si>
  <si>
    <t>RPV-47001</t>
  </si>
  <si>
    <t>RPV-47014</t>
  </si>
  <si>
    <t>RPV-47016</t>
  </si>
  <si>
    <t>RPV-46958</t>
  </si>
  <si>
    <t>RPV-46975</t>
  </si>
  <si>
    <t>RPV-46991</t>
  </si>
  <si>
    <t>RPV-46998</t>
  </si>
  <si>
    <t>RPV-46973</t>
  </si>
  <si>
    <t>RPV-47033</t>
  </si>
  <si>
    <t>RPV-47044</t>
  </si>
  <si>
    <t>RPV-46977</t>
  </si>
  <si>
    <t>RPV-47013</t>
  </si>
  <si>
    <t>RPV-47025</t>
  </si>
  <si>
    <t>RPV-47037</t>
  </si>
  <si>
    <t>RPV-47041</t>
  </si>
  <si>
    <t>RPV-47050</t>
  </si>
  <si>
    <t>RPV-47042</t>
  </si>
  <si>
    <t>RPV-46995</t>
  </si>
  <si>
    <t>RPV-47040</t>
  </si>
  <si>
    <t>RPV-46985</t>
  </si>
  <si>
    <t>RPV-46987</t>
  </si>
  <si>
    <t>RPV-47004</t>
  </si>
  <si>
    <t>RPV-47012</t>
  </si>
  <si>
    <t>RPV-47047</t>
  </si>
  <si>
    <t>RPV-46676</t>
  </si>
  <si>
    <t>SmartEMatched9597-16510</t>
  </si>
  <si>
    <t>7024</t>
  </si>
  <si>
    <t>SmartEMatched9748-16526</t>
  </si>
  <si>
    <t>5050</t>
  </si>
  <si>
    <t>121595</t>
  </si>
  <si>
    <t>RPV-45687</t>
  </si>
  <si>
    <t>RPV-47097</t>
  </si>
  <si>
    <t>RPV-46435</t>
  </si>
  <si>
    <t>RPV-46737</t>
  </si>
  <si>
    <t>RPV-46399</t>
  </si>
  <si>
    <t>RPV-46030</t>
  </si>
  <si>
    <t>RPV-46918</t>
  </si>
  <si>
    <t>RPV-47121</t>
  </si>
  <si>
    <t>RPV-46515</t>
  </si>
  <si>
    <t>RPV-46876</t>
  </si>
  <si>
    <t>RPV-46981</t>
  </si>
  <si>
    <t>RPV-46898</t>
  </si>
  <si>
    <t>RPV-47078</t>
  </si>
  <si>
    <t>RPV-47139</t>
  </si>
  <si>
    <t>RPV-46437</t>
  </si>
  <si>
    <t>RPV-46569</t>
  </si>
  <si>
    <t>RPV-46855</t>
  </si>
  <si>
    <t>RPV-47087</t>
  </si>
  <si>
    <t>RPV-47148</t>
  </si>
  <si>
    <t>RPV-46964</t>
  </si>
  <si>
    <t>RPV-45644</t>
  </si>
  <si>
    <t>RPV-46941</t>
  </si>
  <si>
    <t>RPV-47104</t>
  </si>
  <si>
    <t>RPV-46931</t>
  </si>
  <si>
    <t>RPV-46972</t>
  </si>
  <si>
    <t>RPV-47080</t>
  </si>
  <si>
    <t>RPV-46451</t>
  </si>
  <si>
    <t>RPV-46346</t>
  </si>
  <si>
    <t>RPV-47105</t>
  </si>
  <si>
    <t>RPV-46474</t>
  </si>
  <si>
    <t>RPV-47135</t>
  </si>
  <si>
    <t>RPV-47147</t>
  </si>
  <si>
    <t>RPV-46409</t>
  </si>
  <si>
    <t>RPV-47083</t>
  </si>
  <si>
    <t>RPV-47088</t>
  </si>
  <si>
    <t>RPV-47101</t>
  </si>
  <si>
    <t>RPV-46613</t>
  </si>
  <si>
    <t>RPV-45185</t>
  </si>
  <si>
    <t>SmartEMatched9710-16523</t>
  </si>
  <si>
    <t>37141</t>
  </si>
  <si>
    <t>SmartEMatched9662-16235</t>
  </si>
  <si>
    <t>27165.81</t>
  </si>
  <si>
    <t>SmartEMatched9665-16529</t>
  </si>
  <si>
    <t>SmartEMatched9622-16525</t>
  </si>
  <si>
    <t>115968</t>
  </si>
  <si>
    <t>16849.8</t>
  </si>
  <si>
    <t>121715</t>
  </si>
  <si>
    <t>SmartEMatched9775-16527</t>
  </si>
  <si>
    <t>8225.77</t>
  </si>
  <si>
    <t>RPV-46960</t>
  </si>
  <si>
    <t>RPV-44142</t>
  </si>
  <si>
    <t>RPV-46962</t>
  </si>
  <si>
    <t>RPV-45089</t>
  </si>
  <si>
    <t>RPV-45060</t>
  </si>
  <si>
    <t>RPV-46955</t>
  </si>
  <si>
    <t>RPV-46974</t>
  </si>
  <si>
    <t>RPV-46875</t>
  </si>
  <si>
    <t>RPV-47056</t>
  </si>
  <si>
    <t>RPV-47157</t>
  </si>
  <si>
    <t>RPV-47170</t>
  </si>
  <si>
    <t>RPV-47015</t>
  </si>
  <si>
    <t>RPV-47173</t>
  </si>
  <si>
    <t>RPV-46383</t>
  </si>
  <si>
    <t>RPV-46990</t>
  </si>
  <si>
    <t>RPV-47054</t>
  </si>
  <si>
    <t>RPV-47159</t>
  </si>
  <si>
    <t>PT-101899</t>
  </si>
  <si>
    <t>167320</t>
  </si>
  <si>
    <t>RPV-47091</t>
  </si>
  <si>
    <t>RPV-47154</t>
  </si>
  <si>
    <t>SmartEMatched9773-16531</t>
  </si>
  <si>
    <t>15644</t>
  </si>
  <si>
    <t>SmartEMatched9682-16528</t>
  </si>
  <si>
    <t>23724.64</t>
  </si>
  <si>
    <t>SmartEMatched9771-16536</t>
  </si>
  <si>
    <t>SmartEMatched9840-16783</t>
  </si>
  <si>
    <t>3119.1</t>
  </si>
  <si>
    <t>SmartEMatched9702-16541</t>
  </si>
  <si>
    <t>118938</t>
  </si>
  <si>
    <t>SmartEMatched9647-15041</t>
  </si>
  <si>
    <t>21348.6</t>
  </si>
  <si>
    <t>121874</t>
  </si>
  <si>
    <t>SmartEMatched9668-16532</t>
  </si>
  <si>
    <t>10980</t>
  </si>
  <si>
    <t>121855</t>
  </si>
  <si>
    <t>SmartEMatched9628-16520</t>
  </si>
  <si>
    <t>15385.42</t>
  </si>
  <si>
    <t>SmartEMatched9786-16537</t>
  </si>
  <si>
    <t>27550</t>
  </si>
  <si>
    <t>99810</t>
  </si>
  <si>
    <t>RPV-46715</t>
  </si>
  <si>
    <t>RPV-46525</t>
  </si>
  <si>
    <t>RPV-45481</t>
  </si>
  <si>
    <t>RPV-47174</t>
  </si>
  <si>
    <t>RPV-47177</t>
  </si>
  <si>
    <t>RPV-46061</t>
  </si>
  <si>
    <t>RPV-47039</t>
  </si>
  <si>
    <t>RPV-47075</t>
  </si>
  <si>
    <t>RPV-46406</t>
  </si>
  <si>
    <t>RPV-47120</t>
  </si>
  <si>
    <t>RPV-47176</t>
  </si>
  <si>
    <t>RPV-47175</t>
  </si>
  <si>
    <t>RPV-47190</t>
  </si>
  <si>
    <t>RPV-45869</t>
  </si>
  <si>
    <t>SmartEMatched9546-16534</t>
  </si>
  <si>
    <t>37422</t>
  </si>
  <si>
    <t>SmartEMatched9754-16731</t>
  </si>
  <si>
    <t>5550</t>
  </si>
  <si>
    <t>SmartEMatched9745-16535</t>
  </si>
  <si>
    <t>21525</t>
  </si>
  <si>
    <t>121926</t>
  </si>
  <si>
    <t>121791</t>
  </si>
  <si>
    <t>47715.2</t>
  </si>
  <si>
    <t>RPV-46430</t>
  </si>
  <si>
    <t>RPV-46447</t>
  </si>
  <si>
    <t>RPV-46603</t>
  </si>
  <si>
    <t>RPV-47130</t>
  </si>
  <si>
    <t>RPV-46857</t>
  </si>
  <si>
    <t>RPV-47009</t>
  </si>
  <si>
    <t>RPV-46485</t>
  </si>
  <si>
    <t>RPV-47149</t>
  </si>
  <si>
    <t>RPV-46440</t>
  </si>
  <si>
    <t>RPV-47205</t>
  </si>
  <si>
    <t>RPV-47204</t>
  </si>
  <si>
    <t>PT-101823</t>
  </si>
  <si>
    <t>254677.5</t>
  </si>
  <si>
    <t>109511.33</t>
  </si>
  <si>
    <t>RPV-47201</t>
  </si>
  <si>
    <t>RPV-46887</t>
  </si>
  <si>
    <t>SmartEMatched9736-15457</t>
  </si>
  <si>
    <t>121696</t>
  </si>
  <si>
    <t>120714</t>
  </si>
  <si>
    <t>RPV-47243</t>
  </si>
  <si>
    <t>RPV-46278</t>
  </si>
  <si>
    <t>RPV-46149</t>
  </si>
  <si>
    <t>RPV-46828</t>
  </si>
  <si>
    <t>RPV-46840</t>
  </si>
  <si>
    <t>RPV-47127</t>
  </si>
  <si>
    <t>RPV-47181</t>
  </si>
  <si>
    <t>RPV-46843</t>
  </si>
  <si>
    <t>RPV-45987</t>
  </si>
  <si>
    <t>RPV-46576</t>
  </si>
  <si>
    <t>RPV-46795</t>
  </si>
  <si>
    <t>RPV-47150</t>
  </si>
  <si>
    <t>RPV-47172</t>
  </si>
  <si>
    <t>RPV-47187</t>
  </si>
  <si>
    <t>RPV-46920</t>
  </si>
  <si>
    <t>RPV-47114</t>
  </si>
  <si>
    <t>RPV-46965</t>
  </si>
  <si>
    <t>RPV-47092</t>
  </si>
  <si>
    <t>RPV-47113</t>
  </si>
  <si>
    <t>RPV-47227</t>
  </si>
  <si>
    <t>RPV-46873</t>
  </si>
  <si>
    <t>RPV-47125</t>
  </si>
  <si>
    <t>RPV-46580</t>
  </si>
  <si>
    <t>RPV-46739</t>
  </si>
  <si>
    <t>RPV-46937</t>
  </si>
  <si>
    <t>RPV-46281</t>
  </si>
  <si>
    <t>RPV-46697</t>
  </si>
  <si>
    <t>RPV-47193</t>
  </si>
  <si>
    <t>RPV-47217</t>
  </si>
  <si>
    <t>RPV-46942</t>
  </si>
  <si>
    <t>RPV-45538</t>
  </si>
  <si>
    <t>RPV-47199</t>
  </si>
  <si>
    <t>RPV-47208</t>
  </si>
  <si>
    <t>SmartEMatched9767-16533</t>
  </si>
  <si>
    <t>30063</t>
  </si>
  <si>
    <t>121473</t>
  </si>
  <si>
    <t>122028</t>
  </si>
  <si>
    <t>26288</t>
  </si>
  <si>
    <t>56434</t>
  </si>
  <si>
    <t>RPV-47277</t>
  </si>
  <si>
    <t>RPV-46943</t>
  </si>
  <si>
    <t>RPV-47274</t>
  </si>
  <si>
    <t>RPV-46929</t>
  </si>
  <si>
    <t>RPV-47053</t>
  </si>
  <si>
    <t>RPV-47233</t>
  </si>
  <si>
    <t>RPV-47281</t>
  </si>
  <si>
    <t>RPV-46877</t>
  </si>
  <si>
    <t>RPV-45898</t>
  </si>
  <si>
    <t>RPV-46126</t>
  </si>
  <si>
    <t>RPV-46389</t>
  </si>
  <si>
    <t>RPV-47305</t>
  </si>
  <si>
    <t>RPV-46893</t>
  </si>
  <si>
    <t>RPV-46719</t>
  </si>
  <si>
    <t>121888</t>
  </si>
  <si>
    <t>121973</t>
  </si>
  <si>
    <t>RPV-47253</t>
  </si>
  <si>
    <t>RPV-46940</t>
  </si>
  <si>
    <t>RPV-47230</t>
  </si>
  <si>
    <t>RPV-47237</t>
  </si>
  <si>
    <t>RPV-47228</t>
  </si>
  <si>
    <t>RPV-47232</t>
  </si>
  <si>
    <t>RPV-47234</t>
  </si>
  <si>
    <t>RPV-46640</t>
  </si>
  <si>
    <t>RPV-47219</t>
  </si>
  <si>
    <t>RPV-47003</t>
  </si>
  <si>
    <t>RPV-47221</t>
  </si>
  <si>
    <t>RPV-47225</t>
  </si>
  <si>
    <t>RPV-47197</t>
  </si>
  <si>
    <t>RPV-46792</t>
  </si>
  <si>
    <t>RPV-47216</t>
  </si>
  <si>
    <t>RPV-47224</t>
  </si>
  <si>
    <t>SmartEMatched9651-16546</t>
  </si>
  <si>
    <t>6540.53</t>
  </si>
  <si>
    <t>SmartEMatched9719-16538</t>
  </si>
  <si>
    <t>4643.24</t>
  </si>
  <si>
    <t>SmartEMatched9766-16543</t>
  </si>
  <si>
    <t>8120</t>
  </si>
  <si>
    <t>SmartEMatched9747-16539</t>
  </si>
  <si>
    <t>21907.04</t>
  </si>
  <si>
    <t>SmartEMatched9768-16545</t>
  </si>
  <si>
    <t>13750</t>
  </si>
  <si>
    <t>121776</t>
  </si>
  <si>
    <t>115699</t>
  </si>
  <si>
    <t>RPV-47072</t>
  </si>
  <si>
    <t>RPV-47134</t>
  </si>
  <si>
    <t>RPV-47153</t>
  </si>
  <si>
    <t>RPV-45859</t>
  </si>
  <si>
    <t>RPV-47245</t>
  </si>
  <si>
    <t>RPV-47266</t>
  </si>
  <si>
    <t>RPV-47285</t>
  </si>
  <si>
    <t>RPV-47287</t>
  </si>
  <si>
    <t>RPV-47290</t>
  </si>
  <si>
    <t>RPV-47268</t>
  </si>
  <si>
    <t>RPV-47209</t>
  </si>
  <si>
    <t>RPV-47210</t>
  </si>
  <si>
    <t>RPV-47214</t>
  </si>
  <si>
    <t>RPV-47273</t>
  </si>
  <si>
    <t>RPV-47276</t>
  </si>
  <si>
    <t>RPV-47070</t>
  </si>
  <si>
    <t>RPV-47142</t>
  </si>
  <si>
    <t>RPV-47239</t>
  </si>
  <si>
    <t>RPV-47241</t>
  </si>
  <si>
    <t>RPV-47283</t>
  </si>
  <si>
    <t>RPV-47292</t>
  </si>
  <si>
    <t>RPV-47271</t>
  </si>
  <si>
    <t>RPV-47282</t>
  </si>
  <si>
    <t>RPV-47275</t>
  </si>
  <si>
    <t>RPV-47231</t>
  </si>
  <si>
    <t>RPV-47248</t>
  </si>
  <si>
    <t>RPV-47259</t>
  </si>
  <si>
    <t>RPV-47267</t>
  </si>
  <si>
    <t>RPV-47296</t>
  </si>
  <si>
    <t>RPV-43453</t>
  </si>
  <si>
    <t>RPV-46999</t>
  </si>
  <si>
    <t>RPV-47131</t>
  </si>
  <si>
    <t>RPV-47211</t>
  </si>
  <si>
    <t>RPV-47280</t>
  </si>
  <si>
    <t>SmartEMatched9756-16547</t>
  </si>
  <si>
    <t>5950</t>
  </si>
  <si>
    <t>122090</t>
  </si>
  <si>
    <t>RPV-45978</t>
  </si>
  <si>
    <t>RPV-46444</t>
  </si>
  <si>
    <t>RPV-45932</t>
  </si>
  <si>
    <t>RPV-46662</t>
  </si>
  <si>
    <t>RPV-45925</t>
  </si>
  <si>
    <t>RPV-46159</t>
  </si>
  <si>
    <t>RPV-46668</t>
  </si>
  <si>
    <t>RPV-47141</t>
  </si>
  <si>
    <t>RPV-47279</t>
  </si>
  <si>
    <t>RPV-46252</t>
  </si>
  <si>
    <t>RPV-46784</t>
  </si>
  <si>
    <t>RPV-45107</t>
  </si>
  <si>
    <t>RPV-46923</t>
  </si>
  <si>
    <t>RPV-45893</t>
  </si>
  <si>
    <t>RPV-47089</t>
  </si>
  <si>
    <t>RPV-47258</t>
  </si>
  <si>
    <t>RPV-47307</t>
  </si>
  <si>
    <t>RPV-47321</t>
  </si>
  <si>
    <t>RPV-46807</t>
  </si>
  <si>
    <t>RPV-47263</t>
  </si>
  <si>
    <t>RPV-47299</t>
  </si>
  <si>
    <t>RPV-47311</t>
  </si>
  <si>
    <t>RPV-47340</t>
  </si>
  <si>
    <t>RPV-47240</t>
  </si>
  <si>
    <t>RPV-47256</t>
  </si>
  <si>
    <t>RPV-47242</t>
  </si>
  <si>
    <t>RPV-47254</t>
  </si>
  <si>
    <t>RPV-47278</t>
  </si>
  <si>
    <t>RPV-47316</t>
  </si>
  <si>
    <t>RPV-47020</t>
  </si>
  <si>
    <t>RPV-47061</t>
  </si>
  <si>
    <t>RPV-47073</t>
  </si>
  <si>
    <t>RPV-47182</t>
  </si>
  <si>
    <t>RPV-47206</t>
  </si>
  <si>
    <t>RPV-47269</t>
  </si>
  <si>
    <t>RPV-47286</t>
  </si>
  <si>
    <t>RPV-47319</t>
  </si>
  <si>
    <t>RPV-47195</t>
  </si>
  <si>
    <t>RPV-47325</t>
  </si>
  <si>
    <t>RPV-47336</t>
  </si>
  <si>
    <t>RPV-47347</t>
  </si>
  <si>
    <t>RPV-47349</t>
  </si>
  <si>
    <t>RPV-47350</t>
  </si>
  <si>
    <t>RPV-45748</t>
  </si>
  <si>
    <t>PT-101811</t>
  </si>
  <si>
    <t>303393.36</t>
  </si>
  <si>
    <t>RPV-47226</t>
  </si>
  <si>
    <t>RPV-47257</t>
  </si>
  <si>
    <t>RPV-47264</t>
  </si>
  <si>
    <t>RPV-47309</t>
  </si>
  <si>
    <t>RPV-47341</t>
  </si>
  <si>
    <t>RPV-47351</t>
  </si>
  <si>
    <t>SmartEMatched9812-16552</t>
  </si>
  <si>
    <t>8999</t>
  </si>
  <si>
    <t>SmartEMatched9810-16712</t>
  </si>
  <si>
    <t>17638.56</t>
  </si>
  <si>
    <t>SmartEMatched9794-16701</t>
  </si>
  <si>
    <t>14146.95</t>
  </si>
  <si>
    <t>SmartEMatched9817-16549</t>
  </si>
  <si>
    <t>6561</t>
  </si>
  <si>
    <t>RPV-47406</t>
  </si>
  <si>
    <t>RPV-47405</t>
  </si>
  <si>
    <t>RPV-46818</t>
  </si>
  <si>
    <t>RPV-47346</t>
  </si>
  <si>
    <t>RPV-47394</t>
  </si>
  <si>
    <t>RPV-47246</t>
  </si>
  <si>
    <t>RPV-47339</t>
  </si>
  <si>
    <t>RPV-47151</t>
  </si>
  <si>
    <t>RPV-46845</t>
  </si>
  <si>
    <t>RPV-46984</t>
  </si>
  <si>
    <t>RPV-47358</t>
  </si>
  <si>
    <t>RPV-46282</t>
  </si>
  <si>
    <t>RPV-47317</t>
  </si>
  <si>
    <t>RPV-47337</t>
  </si>
  <si>
    <t>RPV-47048</t>
  </si>
  <si>
    <t>RPV-45915</t>
  </si>
  <si>
    <t>RPV-46311</t>
  </si>
  <si>
    <t>RPV-47289</t>
  </si>
  <si>
    <t>RPV-47294</t>
  </si>
  <si>
    <t>RPV-47314</t>
  </si>
  <si>
    <t>RPV-47191</t>
  </si>
  <si>
    <t>RPV-47000</t>
  </si>
  <si>
    <t>RPV-47354</t>
  </si>
  <si>
    <t>RPV-47355</t>
  </si>
  <si>
    <t>RPV-47363</t>
  </si>
  <si>
    <t>RPV-47357</t>
  </si>
  <si>
    <t>RPV-47364</t>
  </si>
  <si>
    <t>RPV-47372</t>
  </si>
  <si>
    <t>RPV-46980</t>
  </si>
  <si>
    <t>RPV-47360</t>
  </si>
  <si>
    <t>RPV-47383</t>
  </si>
  <si>
    <t>RPV-47313</t>
  </si>
  <si>
    <t>RPV-47320</t>
  </si>
  <si>
    <t>RPV-47366</t>
  </si>
  <si>
    <t>RPV-47381</t>
  </si>
  <si>
    <t>RPV-46559</t>
  </si>
  <si>
    <t>RPV-47331</t>
  </si>
  <si>
    <t>RPV-47338</t>
  </si>
  <si>
    <t>PT-101902</t>
  </si>
  <si>
    <t>448200</t>
  </si>
  <si>
    <t>PT-101901</t>
  </si>
  <si>
    <t>874946.5</t>
  </si>
  <si>
    <t>RPV-47180</t>
  </si>
  <si>
    <t>RPV-47298</t>
  </si>
  <si>
    <t>RPV-46362</t>
  </si>
  <si>
    <t>RPV-46841</t>
  </si>
  <si>
    <t>RPV-47384</t>
  </si>
  <si>
    <t>SmartEMatched9824-16729</t>
  </si>
  <si>
    <t>11841</t>
  </si>
  <si>
    <t>122165</t>
  </si>
  <si>
    <t>RPV-46903</t>
  </si>
  <si>
    <t>RPV-47418</t>
  </si>
  <si>
    <t>122016</t>
  </si>
  <si>
    <t>RPV-47409</t>
  </si>
  <si>
    <t>RPV-47410</t>
  </si>
  <si>
    <t>RPV-47421</t>
  </si>
  <si>
    <t>RPV-47411</t>
  </si>
  <si>
    <t>RPV-47407</t>
  </si>
  <si>
    <t>RPV-47413</t>
  </si>
  <si>
    <t>SmartEMatched9604-16550</t>
  </si>
  <si>
    <t>27427.52</t>
  </si>
  <si>
    <t>SmartEMatched9814-16671</t>
  </si>
  <si>
    <t>10654</t>
  </si>
  <si>
    <t>SmartEMatched9712-15063</t>
  </si>
  <si>
    <t>25006</t>
  </si>
  <si>
    <t>107843</t>
  </si>
  <si>
    <t>121726</t>
  </si>
  <si>
    <t>SmartEMatched9570-15024</t>
  </si>
  <si>
    <t>4400</t>
  </si>
  <si>
    <t>RPV-47371</t>
  </si>
  <si>
    <t>RPV-47416</t>
  </si>
  <si>
    <t>RPV-46910</t>
  </si>
  <si>
    <t>RPV-45904</t>
  </si>
  <si>
    <t>RPV-46394</t>
  </si>
  <si>
    <t>RPV-46179</t>
  </si>
  <si>
    <t>RPV-46401</t>
  </si>
  <si>
    <t>RPV-47379</t>
  </si>
  <si>
    <t>RPV-47300</t>
  </si>
  <si>
    <t>RPV-46249</t>
  </si>
  <si>
    <t>RPV-45051</t>
  </si>
  <si>
    <t>RPV-45053</t>
  </si>
  <si>
    <t>RPV-45086</t>
  </si>
  <si>
    <t>RPV-47362</t>
  </si>
  <si>
    <t>RPV-47387</t>
  </si>
  <si>
    <t>RPV-47408</t>
  </si>
  <si>
    <t>RPV-47464</t>
  </si>
  <si>
    <t>RPV-47388</t>
  </si>
  <si>
    <t>RPV-47389</t>
  </si>
  <si>
    <t>RPV-47391</t>
  </si>
  <si>
    <t>RPV-47392</t>
  </si>
  <si>
    <t>RPV-47460</t>
  </si>
  <si>
    <t>RPV-47326</t>
  </si>
  <si>
    <t>RPV-47353</t>
  </si>
  <si>
    <t>RPV-47373</t>
  </si>
  <si>
    <t>RPV-47376</t>
  </si>
  <si>
    <t>RPV-47427</t>
  </si>
  <si>
    <t>RPV-47466</t>
  </si>
  <si>
    <t>RPV-47390</t>
  </si>
  <si>
    <t>RPV-47461</t>
  </si>
  <si>
    <t>PT-101909</t>
  </si>
  <si>
    <t>570398.1</t>
  </si>
  <si>
    <t>RPV-45050</t>
  </si>
  <si>
    <t>SmartEMatched9776-16675</t>
  </si>
  <si>
    <t>12580.63</t>
  </si>
  <si>
    <t>SmartEMatched9782-16673</t>
  </si>
  <si>
    <t>18197.2</t>
  </si>
  <si>
    <t>122197</t>
  </si>
  <si>
    <t>122056</t>
  </si>
  <si>
    <t>121809</t>
  </si>
  <si>
    <t>SmartEMatched9823-16706</t>
  </si>
  <si>
    <t>SmartEMatched9815-16716</t>
  </si>
  <si>
    <t>26000</t>
  </si>
  <si>
    <t>RPV-47361</t>
  </si>
  <si>
    <t>RPV-47396</t>
  </si>
  <si>
    <t>RPV-47419</t>
  </si>
  <si>
    <t>RPV-46395</t>
  </si>
  <si>
    <t>RPV-47035</t>
  </si>
  <si>
    <t>RPV-46827</t>
  </si>
  <si>
    <t>RPV-46921</t>
  </si>
  <si>
    <t>RPV-47218</t>
  </si>
  <si>
    <t>RPV-44820</t>
  </si>
  <si>
    <t>RPV-47036</t>
  </si>
  <si>
    <t>RPV-45161</t>
  </si>
  <si>
    <t>RPV-47059</t>
  </si>
  <si>
    <t>RPV-47467</t>
  </si>
  <si>
    <t>RPV-47469</t>
  </si>
  <si>
    <t>RPV-47470</t>
  </si>
  <si>
    <t>RPV-47475</t>
  </si>
  <si>
    <t>RPV-47146</t>
  </si>
  <si>
    <t>RPV-47402</t>
  </si>
  <si>
    <t>RPV-47458</t>
  </si>
  <si>
    <t>RPV-47476</t>
  </si>
  <si>
    <t>RPV-47404</t>
  </si>
  <si>
    <t>RPV-47478</t>
  </si>
  <si>
    <t>RPV-47348</t>
  </si>
  <si>
    <t>RPV-47400</t>
  </si>
  <si>
    <t>RPV-47440</t>
  </si>
  <si>
    <t>RPV-47453</t>
  </si>
  <si>
    <t>RPV-47359</t>
  </si>
  <si>
    <t>RPV-47397</t>
  </si>
  <si>
    <t>RPV-47452</t>
  </si>
  <si>
    <t>RPV-47454</t>
  </si>
  <si>
    <t>RPV-47445</t>
  </si>
  <si>
    <t>RPV-47477</t>
  </si>
  <si>
    <t>RPV-46473</t>
  </si>
  <si>
    <t>RPV-46775</t>
  </si>
  <si>
    <t>RPV-47310</t>
  </si>
  <si>
    <t>RPV-47457</t>
  </si>
  <si>
    <t>RPV-47465</t>
  </si>
  <si>
    <t>SmartEMatched9781-16688</t>
  </si>
  <si>
    <t>31866.3</t>
  </si>
  <si>
    <t>121592</t>
  </si>
  <si>
    <t>121832</t>
  </si>
  <si>
    <t>121682</t>
  </si>
  <si>
    <t>SmartEMatched9875-16705</t>
  </si>
  <si>
    <t>10020</t>
  </si>
  <si>
    <t>SmartEMatched9826-17276</t>
  </si>
  <si>
    <t>11377.23</t>
  </si>
  <si>
    <t>RPV-47481</t>
  </si>
  <si>
    <t>RPV-47497</t>
  </si>
  <si>
    <t>RPV-47451</t>
  </si>
  <si>
    <t>RPV-47480</t>
  </si>
  <si>
    <t>RPV-47513</t>
  </si>
  <si>
    <t>RPV-46415</t>
  </si>
  <si>
    <t>RPV-47472</t>
  </si>
  <si>
    <t>RPV-47252</t>
  </si>
  <si>
    <t>RPV-47332</t>
  </si>
  <si>
    <t>RPV-47393</t>
  </si>
  <si>
    <t>RPV-47434</t>
  </si>
  <si>
    <t>PT-101775</t>
  </si>
  <si>
    <t>380000</t>
  </si>
  <si>
    <t>239400</t>
  </si>
  <si>
    <t>PT-101905</t>
  </si>
  <si>
    <t>283599.36</t>
  </si>
  <si>
    <t>178667.6</t>
  </si>
  <si>
    <t>RPV-47442</t>
  </si>
  <si>
    <t>SmartEMatched9798-16677</t>
  </si>
  <si>
    <t>SmartEMatched9792-16676</t>
  </si>
  <si>
    <t>10900</t>
  </si>
  <si>
    <t>SmartEMatched9779-16678</t>
  </si>
  <si>
    <t>27384</t>
  </si>
  <si>
    <t>SmartEMatched9780-16714</t>
  </si>
  <si>
    <t>24238.2</t>
  </si>
  <si>
    <t>111173</t>
  </si>
  <si>
    <t>SmartEMatched9760-16679</t>
  </si>
  <si>
    <t>3120</t>
  </si>
  <si>
    <t>122281</t>
  </si>
  <si>
    <t>RPV-47468</t>
  </si>
  <si>
    <t>RPV-47474</t>
  </si>
  <si>
    <t>RPV-46054</t>
  </si>
  <si>
    <t>RPV-47495</t>
  </si>
  <si>
    <t>RPV-47343</t>
  </si>
  <si>
    <t>RPV-47220</t>
  </si>
  <si>
    <t>RPV-47447</t>
  </si>
  <si>
    <t>RPV-43727</t>
  </si>
  <si>
    <t>RPV-46273</t>
  </si>
  <si>
    <t>RPV-45052</t>
  </si>
  <si>
    <t>RPV-47502</t>
  </si>
  <si>
    <t>RPV-47508</t>
  </si>
  <si>
    <t>RPV-46573</t>
  </si>
  <si>
    <t>RPV-46799</t>
  </si>
  <si>
    <t>RPV-47260</t>
  </si>
  <si>
    <t>RPV-47444</t>
  </si>
  <si>
    <t>RPV-47517</t>
  </si>
  <si>
    <t>RPV-47547</t>
  </si>
  <si>
    <t>RPV-47261</t>
  </si>
  <si>
    <t>RPV-47526</t>
  </si>
  <si>
    <t>RPV-46861</t>
  </si>
  <si>
    <t>RPV-47489</t>
  </si>
  <si>
    <t>RPV-47511</t>
  </si>
  <si>
    <t>RPV-47479</t>
  </si>
  <si>
    <t>RPV-47516</t>
  </si>
  <si>
    <t>RPV-47536</t>
  </si>
  <si>
    <t>RPV-47556</t>
  </si>
  <si>
    <t>RPV-47441</t>
  </si>
  <si>
    <t>RPV-47493</t>
  </si>
  <si>
    <t>RPV-47520</t>
  </si>
  <si>
    <t>RPV-47537</t>
  </si>
  <si>
    <t>RPV-47571</t>
  </si>
  <si>
    <t>RPV-47527</t>
  </si>
  <si>
    <t>RPV-47491</t>
  </si>
  <si>
    <t>RPV-47504</t>
  </si>
  <si>
    <t>RPV-47514</t>
  </si>
  <si>
    <t>RPV-47524</t>
  </si>
  <si>
    <t>RPV-47543</t>
  </si>
  <si>
    <t>SmartEMatched9811-16690</t>
  </si>
  <si>
    <t>2133.59</t>
  </si>
  <si>
    <t>SmartEMatched9765-16721</t>
  </si>
  <si>
    <t>SmartEMatched9804-16718</t>
  </si>
  <si>
    <t>SmartEMatched9813-16719</t>
  </si>
  <si>
    <t>112313</t>
  </si>
  <si>
    <t>18255.6</t>
  </si>
  <si>
    <t>SmartEMatched9801-16715</t>
  </si>
  <si>
    <t>3002</t>
  </si>
  <si>
    <t>122238</t>
  </si>
  <si>
    <t>RPV-46546</t>
  </si>
  <si>
    <t>RPV-47471</t>
  </si>
  <si>
    <t>RPV-47503</t>
  </si>
  <si>
    <t>RPV-47533</t>
  </si>
  <si>
    <t>RPV-46279</t>
  </si>
  <si>
    <t>RPV-47575</t>
  </si>
  <si>
    <t>RPV-47577</t>
  </si>
  <si>
    <t>RPV-47576</t>
  </si>
  <si>
    <t>RPV-47539</t>
  </si>
  <si>
    <t>RPV-47560</t>
  </si>
  <si>
    <t>RPV-47255</t>
  </si>
  <si>
    <t>RPV-47541</t>
  </si>
  <si>
    <t>RPV-47437</t>
  </si>
  <si>
    <t>RPV-47512</t>
  </si>
  <si>
    <t>RPV-47559</t>
  </si>
  <si>
    <t>RPV-47550</t>
  </si>
  <si>
    <t>RPV-47567</t>
  </si>
  <si>
    <t>RPV-47578</t>
  </si>
  <si>
    <t>RPV-47594</t>
  </si>
  <si>
    <t>RPV-47562</t>
  </si>
  <si>
    <t>RPV-47572</t>
  </si>
  <si>
    <t>RPV-47579</t>
  </si>
  <si>
    <t>RPV-47488</t>
  </si>
  <si>
    <t>115958</t>
  </si>
  <si>
    <t>122143</t>
  </si>
  <si>
    <t>122344</t>
  </si>
  <si>
    <t>RPV-47593</t>
  </si>
  <si>
    <t>SmartEMatched9797-16717</t>
  </si>
  <si>
    <t>18905.46</t>
  </si>
  <si>
    <t>SmartEMatched9832-16723</t>
  </si>
  <si>
    <t>12588</t>
  </si>
  <si>
    <t>117676</t>
  </si>
  <si>
    <t>SmartEMatched9788-16730</t>
  </si>
  <si>
    <t>122331</t>
  </si>
  <si>
    <t>54170</t>
  </si>
  <si>
    <t>RPV-47611</t>
  </si>
  <si>
    <t>RPV-47573</t>
  </si>
  <si>
    <t>RPV-47583</t>
  </si>
  <si>
    <t>RPV-47551</t>
  </si>
  <si>
    <t>RPV-47561</t>
  </si>
  <si>
    <t>RPV-46730</t>
  </si>
  <si>
    <t>RPV-47614</t>
  </si>
  <si>
    <t>RPV-47596</t>
  </si>
  <si>
    <t>RPV-47598</t>
  </si>
  <si>
    <t>RPV-47600</t>
  </si>
  <si>
    <t>RPV-47601</t>
  </si>
  <si>
    <t>RPV-47607</t>
  </si>
  <si>
    <t>RPV-47610</t>
  </si>
  <si>
    <t>RPV-47483</t>
  </si>
  <si>
    <t>RPV-47528</t>
  </si>
  <si>
    <t>RPV-47545</t>
  </si>
  <si>
    <t>RPV-47544</t>
  </si>
  <si>
    <t>RPV-47595</t>
  </si>
  <si>
    <t>RPV-47609</t>
  </si>
  <si>
    <t>RPV-47612</t>
  </si>
  <si>
    <t>SmartEMatched9809-16687</t>
  </si>
  <si>
    <t>22000</t>
  </si>
  <si>
    <t>SmartEMatched9695-16530</t>
  </si>
  <si>
    <t>21275</t>
  </si>
  <si>
    <t>122441</t>
  </si>
  <si>
    <t>89155</t>
  </si>
  <si>
    <t>RPV-47535</t>
  </si>
  <si>
    <t>RPV-47538</t>
  </si>
  <si>
    <t>RPV-47565</t>
  </si>
  <si>
    <t>RPV-47608</t>
  </si>
  <si>
    <t>RPV-47492</t>
  </si>
  <si>
    <t>RPV-47599</t>
  </si>
  <si>
    <t>RPV-46550</t>
  </si>
  <si>
    <t>RPV-46723</t>
  </si>
  <si>
    <t>RPV-47136</t>
  </si>
  <si>
    <t>RPV-47628</t>
  </si>
  <si>
    <t>RPV-47244</t>
  </si>
  <si>
    <t>RPV-45922</t>
  </si>
  <si>
    <t>RPV-44003</t>
  </si>
  <si>
    <t>RPV-47586</t>
  </si>
  <si>
    <t>RPV-47646</t>
  </si>
  <si>
    <t>RPV-47589</t>
  </si>
  <si>
    <t>RPV-47603</t>
  </si>
  <si>
    <t>RPV-47590</t>
  </si>
  <si>
    <t>RPV-47648</t>
  </si>
  <si>
    <t>RPV-45282</t>
  </si>
  <si>
    <t>RPV-47207</t>
  </si>
  <si>
    <t>RPV-47398</t>
  </si>
  <si>
    <t>RPV-47029</t>
  </si>
  <si>
    <t>RPV-47171</t>
  </si>
  <si>
    <t>RPV-47425</t>
  </si>
  <si>
    <t>RPV-46869</t>
  </si>
  <si>
    <t>RPV-47496</t>
  </si>
  <si>
    <t>RPV-47515</t>
  </si>
  <si>
    <t>RPV-47645</t>
  </si>
  <si>
    <t>RPV-46772</t>
  </si>
  <si>
    <t>RPV-47629</t>
  </si>
  <si>
    <t>RPV-45085</t>
  </si>
  <si>
    <t>SmartEMatched9721-16680</t>
  </si>
  <si>
    <t>SmartEMatched9822-16775</t>
  </si>
  <si>
    <t>16336</t>
  </si>
  <si>
    <t>SmartEMatched9847-16782</t>
  </si>
  <si>
    <t>19495</t>
  </si>
  <si>
    <t>SmartEMatched9841-16779</t>
  </si>
  <si>
    <t>Goshen</t>
  </si>
  <si>
    <t>28806.4</t>
  </si>
  <si>
    <t>SmartEMatched9835-16785</t>
  </si>
  <si>
    <t>3600</t>
  </si>
  <si>
    <t>SmartEMatched9836-16774</t>
  </si>
  <si>
    <t>122370</t>
  </si>
  <si>
    <t>RPV-47633</t>
  </si>
  <si>
    <t>RPV-47707</t>
  </si>
  <si>
    <t>RPV-47631</t>
  </si>
  <si>
    <t>RPV-47632</t>
  </si>
  <si>
    <t>RPV-47345</t>
  </si>
  <si>
    <t>RPV-47655</t>
  </si>
  <si>
    <t>RPV-47657</t>
  </si>
  <si>
    <t>RPV-47622</t>
  </si>
  <si>
    <t>RPV-47661</t>
  </si>
  <si>
    <t>RPV-47663</t>
  </si>
  <si>
    <t>RPV-47665</t>
  </si>
  <si>
    <t>RPV-47660</t>
  </si>
  <si>
    <t>RPV-47654</t>
  </si>
  <si>
    <t>RPV-47656</t>
  </si>
  <si>
    <t>RPV-47380</t>
  </si>
  <si>
    <t>RPV-47375</t>
  </si>
  <si>
    <t>RPV-47374</t>
  </si>
  <si>
    <t>RPV-47382</t>
  </si>
  <si>
    <t>RPV-47662</t>
  </si>
  <si>
    <t>RPV-47659</t>
  </si>
  <si>
    <t>RPV-46888</t>
  </si>
  <si>
    <t>RPV-47439</t>
  </si>
  <si>
    <t>SmartEMatched9359-11314</t>
  </si>
  <si>
    <t>18409.3</t>
  </si>
  <si>
    <t>SmartEMatched9821-16778</t>
  </si>
  <si>
    <t>18347.24</t>
  </si>
  <si>
    <t>SmartEMatched9846-16786</t>
  </si>
  <si>
    <t>3911</t>
  </si>
  <si>
    <t>SmartEMatched9718-16773</t>
  </si>
  <si>
    <t>12159</t>
  </si>
  <si>
    <t>SmartEMatched9820-16720</t>
  </si>
  <si>
    <t>21099</t>
  </si>
  <si>
    <t>122266</t>
  </si>
  <si>
    <t>114462</t>
  </si>
  <si>
    <t>SmartEMatched9843-16781</t>
  </si>
  <si>
    <t>6877</t>
  </si>
  <si>
    <t>SmartEMatched9854-16780</t>
  </si>
  <si>
    <t>5834.51</t>
  </si>
  <si>
    <t>SmartEMatched9853-16703</t>
  </si>
  <si>
    <t>11012</t>
  </si>
  <si>
    <t>RPV-47342</t>
  </si>
  <si>
    <t>RPV-47459</t>
  </si>
  <si>
    <t>RPV-47630</t>
  </si>
  <si>
    <t>RPV-47676</t>
  </si>
  <si>
    <t>RPV-47680</t>
  </si>
  <si>
    <t>RPV-46979</t>
  </si>
  <si>
    <t>RPV-47052</t>
  </si>
  <si>
    <t>RPV-46767</t>
  </si>
  <si>
    <t>RPV-46856</t>
  </si>
  <si>
    <t>RPV-46911</t>
  </si>
  <si>
    <t>RPV-47698</t>
  </si>
  <si>
    <t>RPV-47756</t>
  </si>
  <si>
    <t>RPV-47691</t>
  </si>
  <si>
    <t>RPV-47641</t>
  </si>
  <si>
    <t>RPV-47675</t>
  </si>
  <si>
    <t>RPV-47682</t>
  </si>
  <si>
    <t>RPV-47706</t>
  </si>
  <si>
    <t>RPV-47708</t>
  </si>
  <si>
    <t>RPV-47712</t>
  </si>
  <si>
    <t>RPV-47718</t>
  </si>
  <si>
    <t>RPV-47767</t>
  </si>
  <si>
    <t>RPV-47687</t>
  </si>
  <si>
    <t>RPV-47719</t>
  </si>
  <si>
    <t>RPV-47725</t>
  </si>
  <si>
    <t>RPV-47463</t>
  </si>
  <si>
    <t>RPV-46647</t>
  </si>
  <si>
    <t>RPV-47288</t>
  </si>
  <si>
    <t>RPV-47507</t>
  </si>
  <si>
    <t>RPV-47728</t>
  </si>
  <si>
    <t>RPV-47736</t>
  </si>
  <si>
    <t>RPV-47757</t>
  </si>
  <si>
    <t>RPV-47624</t>
  </si>
  <si>
    <t>RPV-47674</t>
  </si>
  <si>
    <t>RPV-47711</t>
  </si>
  <si>
    <t>RPV-47713</t>
  </si>
  <si>
    <t>RPV-47733</t>
  </si>
  <si>
    <t>RPV-47763</t>
  </si>
  <si>
    <t>RPV-47765</t>
  </si>
  <si>
    <t>RPV-47726</t>
  </si>
  <si>
    <t>RPV-47727</t>
  </si>
  <si>
    <t>RPV-47740</t>
  </si>
  <si>
    <t>RPV-47760</t>
  </si>
  <si>
    <t>RPV-47639</t>
  </si>
  <si>
    <t>RPV-47643</t>
  </si>
  <si>
    <t>RPV-47714</t>
  </si>
  <si>
    <t>RPV-47722</t>
  </si>
  <si>
    <t>RPV-47739</t>
  </si>
  <si>
    <t>RPV-47604</t>
  </si>
  <si>
    <t>RPV-47658</t>
  </si>
  <si>
    <t>RPV-47670</t>
  </si>
  <si>
    <t>RPV-47684</t>
  </si>
  <si>
    <t>RPV-47689</t>
  </si>
  <si>
    <t>RPV-47690</t>
  </si>
  <si>
    <t>RPV-47723</t>
  </si>
  <si>
    <t>RPV-47738</t>
  </si>
  <si>
    <t>RPV-47744</t>
  </si>
  <si>
    <t>SmartEMatched9858-16787</t>
  </si>
  <si>
    <t>10202</t>
  </si>
  <si>
    <t>122421</t>
  </si>
  <si>
    <t>122349</t>
  </si>
  <si>
    <t>RPV-47369</t>
  </si>
  <si>
    <t>RPV-46040</t>
  </si>
  <si>
    <t>RPV-47570</t>
  </si>
  <si>
    <t>RPV-47638</t>
  </si>
  <si>
    <t>RPV-47634</t>
  </si>
  <si>
    <t>RPV-47318</t>
  </si>
  <si>
    <t>RPV-47623</t>
  </si>
  <si>
    <t>RPV-46902</t>
  </si>
  <si>
    <t>RPV-47750</t>
  </si>
  <si>
    <t>RPV-47431</t>
  </si>
  <si>
    <t>PT-101910</t>
  </si>
  <si>
    <t>594750</t>
  </si>
  <si>
    <t>PT-101172</t>
  </si>
  <si>
    <t>133000000</t>
  </si>
  <si>
    <t>110546</t>
  </si>
  <si>
    <t>113960</t>
  </si>
  <si>
    <t>122443</t>
  </si>
  <si>
    <t>115432</t>
  </si>
  <si>
    <t>122527</t>
  </si>
  <si>
    <t>122499</t>
  </si>
  <si>
    <t>SmartEMatched9818-16629</t>
  </si>
  <si>
    <t>SmartEMatched9860-16874</t>
  </si>
  <si>
    <t>6499</t>
  </si>
  <si>
    <t>RPV-47652</t>
  </si>
  <si>
    <t>RPV-47647</t>
  </si>
  <si>
    <t>RPV-47824</t>
  </si>
  <si>
    <t>RPV-47851</t>
  </si>
  <si>
    <t>RPV-47026</t>
  </si>
  <si>
    <t>RPV-47295</t>
  </si>
  <si>
    <t>RPV-47745</t>
  </si>
  <si>
    <t>RPV-47751</t>
  </si>
  <si>
    <t>RPV-47781</t>
  </si>
  <si>
    <t>RPV-47291</t>
  </si>
  <si>
    <t>RPV-47810</t>
  </si>
  <si>
    <t>RPV-47677</t>
  </si>
  <si>
    <t>RPV-47557</t>
  </si>
  <si>
    <t>RPV-47766</t>
  </si>
  <si>
    <t>RPV-47737</t>
  </si>
  <si>
    <t>RPV-47794</t>
  </si>
  <si>
    <t>RPV-47834</t>
  </si>
  <si>
    <t>RPV-47776</t>
  </si>
  <si>
    <t>RPV-47827</t>
  </si>
  <si>
    <t>RPV-47807</t>
  </si>
  <si>
    <t>RPV-47799</t>
  </si>
  <si>
    <t>SmartEMatched9839-16871</t>
  </si>
  <si>
    <t>122453</t>
  </si>
  <si>
    <t>RPV-47838</t>
  </si>
  <si>
    <t>RPV-47817</t>
  </si>
  <si>
    <t>RPV-47462</t>
  </si>
  <si>
    <t>RPV-47860</t>
  </si>
  <si>
    <t>RPV-47831</t>
  </si>
  <si>
    <t>RPV-47857</t>
  </si>
  <si>
    <t>RPV-47839</t>
  </si>
  <si>
    <t>RPV-47840</t>
  </si>
  <si>
    <t>RPV-47814</t>
  </si>
  <si>
    <t>RPV-47779</t>
  </si>
  <si>
    <t>RPV-46899</t>
  </si>
  <si>
    <t>RPV-47797</t>
  </si>
  <si>
    <t>RPV-47805</t>
  </si>
  <si>
    <t>RPV-47821</t>
  </si>
  <si>
    <t>RPV-47832</t>
  </si>
  <si>
    <t>RPV-47842</t>
  </si>
  <si>
    <t>RPV-47861</t>
  </si>
  <si>
    <t>RPV-47872</t>
  </si>
  <si>
    <t>RPV-47671</t>
  </si>
  <si>
    <t>RPV-47703</t>
  </si>
  <si>
    <t>RPV-46104</t>
  </si>
  <si>
    <t>RPV-47500</t>
  </si>
  <si>
    <t>RPV-47777</t>
  </si>
  <si>
    <t>RPV-47785</t>
  </si>
  <si>
    <t>RPV-47788</t>
  </si>
  <si>
    <t>RPV-47790</t>
  </si>
  <si>
    <t>RPV-47791</t>
  </si>
  <si>
    <t>RPV-47802</t>
  </si>
  <si>
    <t>RPV-47866</t>
  </si>
  <si>
    <t>RPV-47869</t>
  </si>
  <si>
    <t>RPV-47804</t>
  </si>
  <si>
    <t>RPV-47843</t>
  </si>
  <si>
    <t>RPV-47849</t>
  </si>
  <si>
    <t>RPV-47859</t>
  </si>
  <si>
    <t>RPV-47782</t>
  </si>
  <si>
    <t>RPV-47798</t>
  </si>
  <si>
    <t>RPV-47811</t>
  </si>
  <si>
    <t>RPV-47818</t>
  </si>
  <si>
    <t>RPV-47820</t>
  </si>
  <si>
    <t>RPV-47870</t>
  </si>
  <si>
    <t>RPV-47787</t>
  </si>
  <si>
    <t>RPV-47795</t>
  </si>
  <si>
    <t>RPV-47803</t>
  </si>
  <si>
    <t>RPV-47828</t>
  </si>
  <si>
    <t>RPV-47853</t>
  </si>
  <si>
    <t>RPV-47867</t>
  </si>
  <si>
    <t>RPV-47697</t>
  </si>
  <si>
    <t>RPV-47836</t>
  </si>
  <si>
    <t>RPV-47850</t>
  </si>
  <si>
    <t>RPV-47865</t>
  </si>
  <si>
    <t>RPV-47871</t>
  </si>
  <si>
    <t>RPV-47773</t>
  </si>
  <si>
    <t>RPV-47789</t>
  </si>
  <si>
    <t>RPV-47844</t>
  </si>
  <si>
    <t>RPV-47846</t>
  </si>
  <si>
    <t>RPV-47858</t>
  </si>
  <si>
    <t>RPV-46901</t>
  </si>
  <si>
    <t>RPV-47108</t>
  </si>
  <si>
    <t>RPV-47644</t>
  </si>
  <si>
    <t>RPV-47762</t>
  </si>
  <si>
    <t>RPV-47774</t>
  </si>
  <si>
    <t>RPV-47783</t>
  </si>
  <si>
    <t>RPV-47792</t>
  </si>
  <si>
    <t>RPV-47800</t>
  </si>
  <si>
    <t>RPV-47868</t>
  </si>
  <si>
    <t>SmartEMatched9697-16518</t>
  </si>
  <si>
    <t>4446.67</t>
  </si>
  <si>
    <t>SmartEMatched9855-16872</t>
  </si>
  <si>
    <t>12756.68</t>
  </si>
  <si>
    <t>SmartEMatched9696-16515</t>
  </si>
  <si>
    <t>10450</t>
  </si>
  <si>
    <t>SmartEMatched9859-16873</t>
  </si>
  <si>
    <t>4473</t>
  </si>
  <si>
    <t>122399</t>
  </si>
  <si>
    <t>RPV-47625</t>
  </si>
  <si>
    <t>RPV-46874</t>
  </si>
  <si>
    <t>RPV-47880</t>
  </si>
  <si>
    <t>RPV-47895</t>
  </si>
  <si>
    <t>RPV-47701</t>
  </si>
  <si>
    <t>RPV-46533</t>
  </si>
  <si>
    <t>RPV-47509</t>
  </si>
  <si>
    <t>RPV-47854</t>
  </si>
  <si>
    <t>RPV-47922</t>
  </si>
  <si>
    <t>RPV-47822</t>
  </si>
  <si>
    <t>RPV-47841</t>
  </si>
  <si>
    <t>RPV-47873</t>
  </si>
  <si>
    <t>RPV-47881</t>
  </si>
  <si>
    <t>RPV-47892</t>
  </si>
  <si>
    <t>RPV-47894</t>
  </si>
  <si>
    <t>RPV-47813</t>
  </si>
  <si>
    <t>RPV-47887</t>
  </si>
  <si>
    <t>RPV-47905</t>
  </si>
  <si>
    <t>RPV-47907</t>
  </si>
  <si>
    <t>RPV-47915</t>
  </si>
  <si>
    <t>RPV-47917</t>
  </si>
  <si>
    <t>RPV-47920</t>
  </si>
  <si>
    <t>RPV-47884</t>
  </si>
  <si>
    <t>RPV-47908</t>
  </si>
  <si>
    <t>RPV-47911</t>
  </si>
  <si>
    <t>RPV-47921</t>
  </si>
  <si>
    <t>RPV-47825</t>
  </si>
  <si>
    <t>RPV-47885</t>
  </si>
  <si>
    <t>RPV-47886</t>
  </si>
  <si>
    <t>RPV-47906</t>
  </si>
  <si>
    <t>RPV-47914</t>
  </si>
  <si>
    <t>RPV-47923</t>
  </si>
  <si>
    <t>RPV-47890</t>
  </si>
  <si>
    <t>RPV-47893</t>
  </si>
  <si>
    <t>RPV-47918</t>
  </si>
  <si>
    <t>PT-102047</t>
  </si>
  <si>
    <t>18000000</t>
  </si>
  <si>
    <t>5873188.45</t>
  </si>
  <si>
    <t>RPV-47668</t>
  </si>
  <si>
    <t>RPV-47823</t>
  </si>
  <si>
    <t>RPV-47878</t>
  </si>
  <si>
    <t>RPV-47898</t>
  </si>
  <si>
    <t>RPV-47904</t>
  </si>
  <si>
    <t>RPV-47916</t>
  </si>
  <si>
    <t>RPV-47925</t>
  </si>
  <si>
    <t>122607</t>
  </si>
  <si>
    <t>RPV-47948</t>
  </si>
  <si>
    <t>RPV-47900</t>
  </si>
  <si>
    <t>RPV-47937</t>
  </si>
  <si>
    <t>RPV-47940</t>
  </si>
  <si>
    <t>RPV-47934</t>
  </si>
  <si>
    <t>RPV-47953</t>
  </si>
  <si>
    <t>RPV-47951</t>
  </si>
  <si>
    <t>RPV-47935</t>
  </si>
  <si>
    <t>RPV-47959</t>
  </si>
  <si>
    <t>RPV-47944</t>
  </si>
  <si>
    <t>119961</t>
  </si>
  <si>
    <t>RPV-47941</t>
  </si>
  <si>
    <t>RPV-46109</t>
  </si>
  <si>
    <t>RPV-47530</t>
  </si>
  <si>
    <t>RPV-47958</t>
  </si>
  <si>
    <t>RPV-47882</t>
  </si>
  <si>
    <t>RPV-47367</t>
  </si>
  <si>
    <t>RPV-47966</t>
  </si>
  <si>
    <t>RPV-45603</t>
  </si>
  <si>
    <t>RPV-47970</t>
  </si>
  <si>
    <t>RPV-47936</t>
  </si>
  <si>
    <t>RPV-47955</t>
  </si>
  <si>
    <t>RPV-47938</t>
  </si>
  <si>
    <t>RPV-47942</t>
  </si>
  <si>
    <t>RPV-47967</t>
  </si>
  <si>
    <t>PT-101914</t>
  </si>
  <si>
    <t>118978</t>
  </si>
  <si>
    <t>SmartEMatched9716-16544</t>
  </si>
  <si>
    <t>11335</t>
  </si>
  <si>
    <t>122609</t>
  </si>
  <si>
    <t>122598</t>
  </si>
  <si>
    <t>SmartEMatched9834-16777</t>
  </si>
  <si>
    <t>37536</t>
  </si>
  <si>
    <t>122261</t>
  </si>
  <si>
    <t>RPV-47499</t>
  </si>
  <si>
    <t>RPV-47943</t>
  </si>
  <si>
    <t>RPV-47987</t>
  </si>
  <si>
    <t>RPV-47770</t>
  </si>
  <si>
    <t>RPV-47564</t>
  </si>
  <si>
    <t>RPV-47980</t>
  </si>
  <si>
    <t>RPV-47984</t>
  </si>
  <si>
    <t>PT-101928</t>
  </si>
  <si>
    <t>135750</t>
  </si>
  <si>
    <t>SmartEMatched9868-16880</t>
  </si>
  <si>
    <t>SmartEMatched9881-16877</t>
  </si>
  <si>
    <t>SmartEMatched9879-16881</t>
  </si>
  <si>
    <t>SmartEMatched9871-19536</t>
  </si>
  <si>
    <t>24100</t>
  </si>
  <si>
    <t>RPV-47972</t>
  </si>
  <si>
    <t>RPV-47973</t>
  </si>
  <si>
    <t>RPV-47981</t>
  </si>
  <si>
    <t>RPV-47998</t>
  </si>
  <si>
    <t>RPV-47968</t>
  </si>
  <si>
    <t>RPV-47976</t>
  </si>
  <si>
    <t>RPV-47985</t>
  </si>
  <si>
    <t>RPV-47969</t>
  </si>
  <si>
    <t>RPV-47975</t>
  </si>
  <si>
    <t>RPV-47974</t>
  </si>
  <si>
    <t>SmartEMatched9888-16884</t>
  </si>
  <si>
    <t>8160</t>
  </si>
  <si>
    <t>SmartEMatched9869-16879</t>
  </si>
  <si>
    <t>7980</t>
  </si>
  <si>
    <t>SmartEMatched9885-16883</t>
  </si>
  <si>
    <t>6575</t>
  </si>
  <si>
    <t>SmartEMatched9867-16886</t>
  </si>
  <si>
    <t>10156</t>
  </si>
  <si>
    <t>SmartEMatched9877-16882</t>
  </si>
  <si>
    <t>122707</t>
  </si>
  <si>
    <t>122615</t>
  </si>
  <si>
    <t>SmartEMatched9850-16888</t>
  </si>
  <si>
    <t>10694.71</t>
  </si>
  <si>
    <t>RPV-47672</t>
  </si>
  <si>
    <t>SmartEMatched9689-16540</t>
  </si>
  <si>
    <t>SmartEMatched9886-16885</t>
  </si>
  <si>
    <t>3780</t>
  </si>
  <si>
    <t>121950</t>
  </si>
  <si>
    <t>SmartEMatched9870-20022</t>
  </si>
  <si>
    <t>13569.23</t>
  </si>
  <si>
    <t>RPV-48043</t>
  </si>
  <si>
    <t>RPV-48045</t>
  </si>
  <si>
    <t>RPV-48010</t>
  </si>
  <si>
    <t>RPV-48026</t>
  </si>
  <si>
    <t>RPV-48058</t>
  </si>
  <si>
    <t>RPV-48023</t>
  </si>
  <si>
    <t>RPV-48028</t>
  </si>
  <si>
    <t>RPV-48054</t>
  </si>
  <si>
    <t>RPV-48024</t>
  </si>
  <si>
    <t>RPV-48027</t>
  </si>
  <si>
    <t>RPV-48014</t>
  </si>
  <si>
    <t>RPV-48022</t>
  </si>
  <si>
    <t>RPV-48025</t>
  </si>
  <si>
    <t>RPV-48019</t>
  </si>
  <si>
    <t>RPV-48055</t>
  </si>
  <si>
    <t>RPV-48015</t>
  </si>
  <si>
    <t>RPV-48017</t>
  </si>
  <si>
    <t>RPV-48018</t>
  </si>
  <si>
    <t>PT-101915</t>
  </si>
  <si>
    <t>225802.5</t>
  </si>
  <si>
    <t>PT-101931</t>
  </si>
  <si>
    <t>248267</t>
  </si>
  <si>
    <t>RPV-48030</t>
  </si>
  <si>
    <t>RPV-48046</t>
  </si>
  <si>
    <t>RPV-48052</t>
  </si>
  <si>
    <t>RPV-48057</t>
  </si>
  <si>
    <t>RPV-48063</t>
  </si>
  <si>
    <t>SmartEMatched9833-16911</t>
  </si>
  <si>
    <t>14399.3</t>
  </si>
  <si>
    <t>122747</t>
  </si>
  <si>
    <t>ClosedDate</t>
  </si>
  <si>
    <t>CYClosed</t>
  </si>
  <si>
    <t>FYClosed</t>
  </si>
  <si>
    <t>ProjectCounter</t>
  </si>
  <si>
    <t>ProjectUnitCounter</t>
  </si>
  <si>
    <t>Duplicate</t>
  </si>
  <si>
    <t>Status</t>
  </si>
  <si>
    <t>ProjectCode</t>
  </si>
  <si>
    <t>Municipality</t>
  </si>
  <si>
    <t>State</t>
  </si>
  <si>
    <t>Zip</t>
  </si>
  <si>
    <t>CensusTract</t>
  </si>
  <si>
    <t>Vintage MSA SMI Band</t>
  </si>
  <si>
    <t>AmountFinanced</t>
  </si>
  <si>
    <t>CGBIncentiveAmount2</t>
  </si>
  <si>
    <t>TotalCGBCreditEnhancements</t>
  </si>
  <si>
    <t>TotalCGBLoansLeases</t>
  </si>
  <si>
    <t>TotalCGBInvestment2</t>
  </si>
  <si>
    <t>TotalPrivateInvestment2</t>
  </si>
  <si>
    <t>TotalInvestment2</t>
  </si>
  <si>
    <t>ProgramName</t>
  </si>
  <si>
    <t>Overall Collections and Incentives</t>
  </si>
  <si>
    <t>2019 Overall, All Loads </t>
  </si>
  <si>
    <t>Green Bank</t>
  </si>
  <si>
    <t>Distressed Tract?</t>
  </si>
  <si>
    <t>UI+ES</t>
  </si>
  <si>
    <t>Distressed</t>
  </si>
  <si>
    <t>Non-Distressed</t>
  </si>
  <si>
    <t>EDC OVERALL TOTAL</t>
  </si>
  <si>
    <t>Distressed Vs Non Distressed</t>
  </si>
  <si>
    <t>Overall, Totals only</t>
  </si>
  <si>
    <t>2019 Small Load, All Tracts</t>
  </si>
  <si>
    <t>% of Budget</t>
  </si>
  <si>
    <t>Small Load,Res vs C&amp;I, All Tracts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</si>
</sst>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_);[Red]\(&quot;$&quot;#,##0.00\)"/>
    <numFmt numFmtId="42" formatCode="_(&quot;$&quot;* #,##0_);_(&quot;$&quot;* \(#,##0\);_(&quot;$&quot;* &quot;-&quot;_);_(@_)"/>
    <numFmt numFmtId="44" formatCode="_(&quot;$&quot;* #,##0.00_);_(&quot;$&quot;* \(#,##0.00\);_(&quot;$&quot;* &quot;-&quot;??_);_(@_)"/>
    <numFmt numFmtId="164" formatCode="0.000"/>
    <numFmt numFmtId="165" formatCode="_(&quot;$&quot;* #,##0_);_(&quot;$&quot;* \(#,##0\);_(&quot;$&quot;* &quot;-&quot;??_);_(@_)"/>
    <numFmt numFmtId="166" formatCode="0.000%"/>
    <numFmt numFmtId="167" formatCode="&quot;$&quot;#,##0.00"/>
    <numFmt numFmtId="168" formatCode="0##########"/>
  </numFmts>
  <fonts count="32" x14ac:knownFonts="1">
    <font>
      <sz val="11"/>
      <color theme="1"/>
      <name val="Calibri"/>
      <family val="2"/>
      <scheme val="minor"/>
    </font>
    <font>
      <sz val="11"/>
      <color theme="1"/>
      <name val="Calibri"/>
      <family val="2"/>
      <scheme val="minor"/>
    </font>
    <font>
      <b/>
      <sz val="16"/>
      <name val="Calibri"/>
      <family val="2"/>
    </font>
    <font>
      <b/>
      <sz val="11"/>
      <name val="Calibri"/>
      <family val="2"/>
    </font>
    <font>
      <b/>
      <sz val="11"/>
      <color theme="1"/>
      <name val="Calibri"/>
      <family val="2"/>
      <scheme val="minor"/>
    </font>
    <font>
      <b/>
      <sz val="14"/>
      <color rgb="FF333333"/>
      <name val="Roboto"/>
    </font>
    <font>
      <sz val="12"/>
      <color rgb="FF0A0101"/>
      <name val="Arial"/>
      <family val="2"/>
    </font>
    <font>
      <b/>
      <sz val="11"/>
      <color rgb="FF333333"/>
      <name val="Calibri"/>
      <family val="2"/>
      <scheme val="minor"/>
    </font>
    <font>
      <sz val="11"/>
      <color theme="1"/>
      <name val="Calibri"/>
      <family val="2"/>
      <scheme val="minor"/>
    </font>
    <font>
      <sz val="10"/>
      <color theme="1"/>
      <name val="Calibri"/>
      <family val="2"/>
      <scheme val="minor"/>
    </font>
    <font>
      <b/>
      <sz val="10"/>
      <color theme="1"/>
      <name val="Calibri"/>
      <family val="2"/>
    </font>
    <font>
      <sz val="10"/>
      <color theme="1"/>
      <name val="Calibri"/>
      <family val="2"/>
    </font>
    <font>
      <sz val="9"/>
      <color rgb="FF000000"/>
      <name val="Arial"/>
      <family val="2"/>
    </font>
    <font>
      <sz val="11"/>
      <name val="Calibri"/>
      <family val="2"/>
      <scheme val="minor"/>
    </font>
    <font>
      <sz val="11"/>
      <color rgb="FF000000"/>
      <name val="Calibri"/>
      <family val="2"/>
    </font>
    <font>
      <b/>
      <sz val="12"/>
      <name val="Calibri"/>
      <family val="2"/>
      <scheme val="minor"/>
    </font>
    <font>
      <b/>
      <sz val="11"/>
      <name val="Calibri"/>
      <family val="2"/>
      <scheme val="minor"/>
    </font>
    <font>
      <b/>
      <sz val="12"/>
      <color theme="1"/>
      <name val="Calibri"/>
      <family val="2"/>
    </font>
    <font>
      <b/>
      <vertAlign val="superscript"/>
      <sz val="12"/>
      <color theme="1"/>
      <name val="Calibri"/>
      <family val="2"/>
    </font>
    <font>
      <sz val="11"/>
      <color theme="1"/>
      <name val="Calibri"/>
      <family val="2"/>
    </font>
    <font>
      <b/>
      <sz val="12"/>
      <color rgb="FF000000"/>
      <name val="Calibri"/>
      <family val="2"/>
    </font>
    <font>
      <b/>
      <sz val="14"/>
      <color theme="1"/>
      <name val="Calibri"/>
      <family val="2"/>
      <scheme val="minor"/>
    </font>
    <font>
      <sz val="10"/>
      <color theme="1"/>
      <name val="Arial"/>
      <family val="2"/>
    </font>
    <font>
      <b/>
      <u/>
      <sz val="11"/>
      <color theme="1"/>
      <name val="Calibri"/>
      <family val="2"/>
      <scheme val="minor"/>
    </font>
    <font>
      <sz val="11"/>
      <color rgb="FF000000"/>
      <name val="Calibri"/>
      <family val="2"/>
    </font>
    <font>
      <b/>
      <sz val="12"/>
      <name val="Calibri"/>
      <family val="2"/>
      <scheme val="minor"/>
    </font>
    <font>
      <sz val="16"/>
      <color theme="1"/>
      <name val="Calibri"/>
      <family val="2"/>
      <scheme val="minor"/>
    </font>
    <font>
      <u/>
      <sz val="11"/>
      <color theme="10"/>
      <name val="Calibri"/>
      <family val="2"/>
      <scheme val="minor"/>
    </font>
    <font>
      <sz val="11"/>
      <color rgb="FF000000"/>
      <name val="Calibri"/>
      <family val="2"/>
      <scheme val="minor"/>
    </font>
    <font>
      <sz val="12"/>
      <color rgb="FF000000"/>
      <name val="Arial"/>
      <family val="2"/>
    </font>
    <font>
      <b/>
      <sz val="12"/>
      <color rgb="FF000000"/>
      <name val="Arial"/>
      <family val="2"/>
    </font>
    <font>
      <b/>
      <sz val="11"/>
      <color rgb="FF000000"/>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rgb="FFDCE6F1"/>
        <bgColor rgb="FF000000"/>
      </patternFill>
    </fill>
    <fill>
      <patternFill patternType="solid">
        <fgColor rgb="FFF2DCDB"/>
        <bgColor rgb="FF000000"/>
      </patternFill>
    </fill>
    <fill>
      <patternFill patternType="solid">
        <fgColor theme="3" tint="0.79998168889431442"/>
        <bgColor indexed="64"/>
      </patternFill>
    </fill>
    <fill>
      <patternFill patternType="solid">
        <fgColor theme="5" tint="0.59999389629810485"/>
        <bgColor indexed="64"/>
      </patternFill>
    </fill>
    <fill>
      <patternFill patternType="solid">
        <fgColor theme="0"/>
        <bgColor rgb="FF000000"/>
      </patternFill>
    </fill>
    <fill>
      <patternFill patternType="solid">
        <fgColor theme="0"/>
        <bgColor indexed="64"/>
      </patternFill>
    </fill>
    <fill>
      <patternFill patternType="solid">
        <fgColor rgb="FFF2DCDC"/>
        <bgColor indexed="64"/>
      </patternFill>
    </fill>
    <fill>
      <patternFill patternType="solid">
        <fgColor rgb="FFFFFDCD"/>
        <bgColor indexed="64"/>
      </patternFill>
    </fill>
    <fill>
      <patternFill patternType="solid">
        <fgColor theme="6" tint="0.79998168889431442"/>
        <bgColor indexed="64"/>
      </patternFill>
    </fill>
    <fill>
      <patternFill patternType="solid">
        <fgColor rgb="FFDCE6F1"/>
        <bgColor rgb="FFDCE6F1"/>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theme="0" tint="-0.14999847407452621"/>
      </patternFill>
    </fill>
    <fill>
      <patternFill patternType="solid">
        <fgColor theme="0" tint="-0.249977111117893"/>
        <bgColor rgb="FF000000"/>
      </patternFill>
    </fill>
    <fill>
      <patternFill patternType="solid">
        <fgColor theme="9" tint="0.79998168889431442"/>
        <bgColor theme="9" tint="0.79998168889431442"/>
      </patternFill>
    </fill>
  </fills>
  <borders count="54">
    <border>
      <left/>
      <right/>
      <top/>
      <bottom/>
      <diagonal/>
    </border>
    <border>
      <left/>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right style="medium">
        <color indexed="64"/>
      </right>
      <top style="medium">
        <color indexed="64"/>
      </top>
      <bottom style="thin">
        <color indexed="64"/>
      </bottom>
      <diagonal/>
    </border>
    <border>
      <left style="thin">
        <color indexed="64"/>
      </left>
      <right style="medium">
        <color indexed="64"/>
      </right>
      <top/>
      <bottom/>
      <diagonal/>
    </border>
    <border>
      <left style="medium">
        <color auto="1"/>
      </left>
      <right style="thin">
        <color auto="1"/>
      </right>
      <top style="thin">
        <color auto="1"/>
      </top>
      <bottom/>
      <diagonal/>
    </border>
    <border>
      <left/>
      <right/>
      <top style="thin">
        <color rgb="FF95B3D7"/>
      </top>
      <bottom/>
      <diagonal/>
    </border>
    <border>
      <left/>
      <right/>
      <top/>
      <bottom style="thin">
        <color rgb="FF95B3D7"/>
      </bottom>
      <diagonal/>
    </border>
    <border>
      <left/>
      <right/>
      <top style="thin">
        <color indexed="64"/>
      </top>
      <bottom style="thin">
        <color theme="1"/>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right/>
      <top/>
      <bottom style="thin">
        <color theme="9" tint="0.39997558519241921"/>
      </bottom>
      <diagonal/>
    </border>
    <border>
      <left style="thin">
        <color rgb="FF000000"/>
      </left>
      <right/>
      <top/>
      <bottom/>
      <diagonal/>
    </border>
    <border>
      <left style="thin">
        <color indexed="64"/>
      </left>
      <right style="thin">
        <color indexed="64"/>
      </right>
      <top/>
      <bottom style="thin">
        <color theme="1"/>
      </bottom>
      <diagonal/>
    </border>
    <border>
      <left/>
      <right style="medium">
        <color indexed="64"/>
      </right>
      <top/>
      <bottom style="thin">
        <color theme="1"/>
      </bottom>
      <diagonal/>
    </border>
    <border>
      <left/>
      <right/>
      <top/>
      <bottom style="thin">
        <color theme="1"/>
      </bottom>
      <diagonal/>
    </border>
    <border>
      <left style="thin">
        <color rgb="FF000000"/>
      </left>
      <right/>
      <top/>
      <bottom style="thin">
        <color theme="1"/>
      </bottom>
      <diagonal/>
    </border>
  </borders>
  <cellStyleXfs count="5">
    <xf numFmtId="0" fontId="0" fillId="0" borderId="0"/>
    <xf numFmtId="44" fontId="8" fillId="0" borderId="0" applyFont="0" applyFill="0" applyBorder="0" applyAlignment="0" applyProtection="0"/>
    <xf numFmtId="9" fontId="8" fillId="0" borderId="0" applyFont="0" applyFill="0" applyBorder="0" applyAlignment="0" applyProtection="0"/>
    <xf numFmtId="0" fontId="22" fillId="0" borderId="0"/>
    <xf numFmtId="0" fontId="27" fillId="0" borderId="0" applyNumberFormat="0" applyFill="0" applyBorder="0" applyAlignment="0" applyProtection="0"/>
  </cellStyleXfs>
  <cellXfs count="361">
    <xf numFmtId="0" fontId="0" fillId="0" borderId="0" xfId="0"/>
    <xf numFmtId="0" fontId="0" fillId="0" borderId="0" xfId="0" applyAlignment="1">
      <alignment vertical="top" wrapText="1"/>
    </xf>
    <xf numFmtId="0" fontId="0" fillId="0" borderId="1" xfId="0" applyBorder="1"/>
    <xf numFmtId="0" fontId="3" fillId="0" borderId="0" xfId="0" applyFont="1" applyAlignment="1">
      <alignment vertical="top" wrapText="1"/>
    </xf>
    <xf numFmtId="0" fontId="0" fillId="0" borderId="0" xfId="0" applyAlignment="1">
      <alignment wrapText="1"/>
    </xf>
    <xf numFmtId="0" fontId="0" fillId="0" borderId="0" xfId="0" applyAlignment="1">
      <alignment horizontal="center" vertical="center"/>
    </xf>
    <xf numFmtId="0" fontId="5" fillId="0" borderId="0" xfId="0" applyFont="1" applyAlignment="1">
      <alignment vertical="center"/>
    </xf>
    <xf numFmtId="164" fontId="0" fillId="0" borderId="0" xfId="0" applyNumberFormat="1"/>
    <xf numFmtId="164" fontId="6" fillId="0" borderId="0" xfId="0" applyNumberFormat="1" applyFont="1"/>
    <xf numFmtId="0" fontId="0" fillId="0" borderId="0" xfId="0" applyFont="1"/>
    <xf numFmtId="0" fontId="7" fillId="0" borderId="0" xfId="0" applyFont="1" applyAlignment="1">
      <alignment vertical="center"/>
    </xf>
    <xf numFmtId="0" fontId="4" fillId="0" borderId="0" xfId="0" applyFont="1"/>
    <xf numFmtId="164" fontId="0" fillId="0" borderId="0" xfId="0" applyNumberFormat="1" applyAlignment="1">
      <alignment horizontal="center" vertical="center"/>
    </xf>
    <xf numFmtId="0" fontId="0" fillId="2" borderId="0" xfId="0" applyFill="1"/>
    <xf numFmtId="3" fontId="0" fillId="0" borderId="0" xfId="0" applyNumberFormat="1"/>
    <xf numFmtId="0" fontId="4" fillId="2" borderId="2" xfId="0" applyFont="1" applyFill="1" applyBorder="1" applyAlignment="1">
      <alignment horizontal="left"/>
    </xf>
    <xf numFmtId="165" fontId="11" fillId="0" borderId="6" xfId="1" applyNumberFormat="1" applyFont="1" applyFill="1" applyBorder="1" applyAlignment="1">
      <alignment horizontal="center" vertical="center"/>
    </xf>
    <xf numFmtId="165" fontId="11" fillId="0" borderId="2" xfId="1" applyNumberFormat="1" applyFont="1" applyFill="1" applyBorder="1" applyAlignment="1">
      <alignment horizontal="center" vertical="center"/>
    </xf>
    <xf numFmtId="165" fontId="11" fillId="0" borderId="4" xfId="1" applyNumberFormat="1" applyFont="1" applyFill="1" applyBorder="1" applyAlignment="1">
      <alignment horizontal="center" vertical="center"/>
    </xf>
    <xf numFmtId="165" fontId="11" fillId="0" borderId="5" xfId="1" applyNumberFormat="1" applyFont="1" applyFill="1" applyBorder="1" applyAlignment="1">
      <alignment horizontal="center" vertical="center"/>
    </xf>
    <xf numFmtId="0" fontId="0" fillId="0" borderId="2" xfId="0" applyBorder="1" applyAlignment="1">
      <alignment horizontal="right"/>
    </xf>
    <xf numFmtId="42" fontId="12" fillId="0" borderId="8" xfId="0" applyNumberFormat="1" applyFont="1" applyBorder="1"/>
    <xf numFmtId="42" fontId="0" fillId="0" borderId="3" xfId="0" applyNumberFormat="1" applyBorder="1"/>
    <xf numFmtId="42" fontId="0" fillId="0" borderId="9" xfId="0" applyNumberFormat="1" applyBorder="1"/>
    <xf numFmtId="42" fontId="0" fillId="0" borderId="10" xfId="0" applyNumberFormat="1" applyBorder="1"/>
    <xf numFmtId="42" fontId="12" fillId="0" borderId="11" xfId="0" applyNumberFormat="1" applyFont="1" applyBorder="1"/>
    <xf numFmtId="42" fontId="0" fillId="0" borderId="7" xfId="0" applyNumberFormat="1" applyBorder="1"/>
    <xf numFmtId="42" fontId="0" fillId="0" borderId="12" xfId="0" applyNumberFormat="1" applyBorder="1"/>
    <xf numFmtId="42" fontId="0" fillId="0" borderId="13" xfId="0" applyNumberFormat="1" applyBorder="1"/>
    <xf numFmtId="9" fontId="0" fillId="0" borderId="0" xfId="0" applyNumberFormat="1"/>
    <xf numFmtId="0" fontId="13" fillId="0" borderId="0" xfId="0" applyFont="1"/>
    <xf numFmtId="0" fontId="14" fillId="0" borderId="0" xfId="0" applyFont="1"/>
    <xf numFmtId="0" fontId="14" fillId="0" borderId="0" xfId="0" applyFont="1" applyAlignment="1">
      <alignment horizontal="center"/>
    </xf>
    <xf numFmtId="165" fontId="14" fillId="0" borderId="0" xfId="1" applyNumberFormat="1" applyFont="1" applyFill="1" applyBorder="1" applyAlignment="1">
      <alignment horizontal="center"/>
    </xf>
    <xf numFmtId="0" fontId="0" fillId="0" borderId="0" xfId="0" applyAlignment="1">
      <alignment horizontal="right"/>
    </xf>
    <xf numFmtId="9" fontId="0" fillId="0" borderId="0" xfId="2" applyFont="1"/>
    <xf numFmtId="42" fontId="0" fillId="0" borderId="0" xfId="0" applyNumberFormat="1"/>
    <xf numFmtId="166" fontId="14" fillId="0" borderId="2" xfId="2" applyNumberFormat="1" applyFont="1" applyBorder="1" applyAlignment="1">
      <alignment horizontal="center"/>
    </xf>
    <xf numFmtId="42" fontId="14" fillId="0" borderId="2" xfId="1" applyNumberFormat="1" applyFont="1" applyBorder="1" applyAlignment="1">
      <alignment horizontal="center"/>
    </xf>
    <xf numFmtId="0" fontId="0" fillId="0" borderId="2" xfId="0" applyBorder="1"/>
    <xf numFmtId="166" fontId="14" fillId="0" borderId="6" xfId="2" applyNumberFormat="1" applyFont="1" applyBorder="1" applyAlignment="1">
      <alignment horizontal="center"/>
    </xf>
    <xf numFmtId="42" fontId="14" fillId="0" borderId="2" xfId="1" applyNumberFormat="1" applyFont="1" applyBorder="1" applyAlignment="1">
      <alignment horizontal="right"/>
    </xf>
    <xf numFmtId="42" fontId="0" fillId="0" borderId="2" xfId="1" applyNumberFormat="1" applyFont="1" applyBorder="1"/>
    <xf numFmtId="42" fontId="14" fillId="0" borderId="2" xfId="1" applyNumberFormat="1" applyFont="1" applyBorder="1" applyAlignment="1">
      <alignment horizontal="center" vertical="center"/>
    </xf>
    <xf numFmtId="42" fontId="0" fillId="0" borderId="14" xfId="1" applyNumberFormat="1" applyFont="1" applyBorder="1"/>
    <xf numFmtId="9" fontId="15" fillId="0" borderId="2" xfId="0" applyNumberFormat="1" applyFont="1" applyBorder="1" applyAlignment="1">
      <alignment horizontal="center" vertical="center" wrapText="1"/>
    </xf>
    <xf numFmtId="0" fontId="15" fillId="0" borderId="2" xfId="0" applyFont="1" applyBorder="1" applyAlignment="1">
      <alignment horizontal="center" vertical="center" wrapText="1"/>
    </xf>
    <xf numFmtId="9" fontId="16" fillId="0" borderId="2" xfId="2" applyFont="1" applyBorder="1" applyAlignment="1">
      <alignment horizontal="center" vertical="center" wrapText="1"/>
    </xf>
    <xf numFmtId="42" fontId="16" fillId="0" borderId="2" xfId="0" applyNumberFormat="1" applyFont="1" applyBorder="1" applyAlignment="1">
      <alignment horizontal="center" vertical="center" wrapText="1"/>
    </xf>
    <xf numFmtId="0" fontId="17" fillId="0" borderId="2" xfId="0" applyFont="1" applyBorder="1" applyAlignment="1">
      <alignment horizontal="center" vertical="center" wrapText="1"/>
    </xf>
    <xf numFmtId="0" fontId="17" fillId="0" borderId="2" xfId="0" applyFont="1" applyBorder="1" applyAlignment="1">
      <alignment horizontal="center" vertical="center"/>
    </xf>
    <xf numFmtId="166" fontId="0" fillId="0" borderId="0" xfId="0" applyNumberFormat="1"/>
    <xf numFmtId="167" fontId="0" fillId="0" borderId="0" xfId="0" applyNumberFormat="1"/>
    <xf numFmtId="166" fontId="14" fillId="0" borderId="8" xfId="2" applyNumberFormat="1" applyFont="1" applyBorder="1" applyAlignment="1">
      <alignment horizontal="center"/>
    </xf>
    <xf numFmtId="42" fontId="14" fillId="0" borderId="3" xfId="1" applyNumberFormat="1" applyFont="1" applyBorder="1" applyAlignment="1">
      <alignment horizontal="center"/>
    </xf>
    <xf numFmtId="166" fontId="14" fillId="0" borderId="3" xfId="2" applyNumberFormat="1" applyFont="1" applyBorder="1" applyAlignment="1">
      <alignment horizontal="center"/>
    </xf>
    <xf numFmtId="42" fontId="14" fillId="0" borderId="3" xfId="1" applyNumberFormat="1" applyFont="1" applyBorder="1" applyAlignment="1">
      <alignment horizontal="right"/>
    </xf>
    <xf numFmtId="49" fontId="4" fillId="0" borderId="3" xfId="0" applyNumberFormat="1" applyFont="1" applyBorder="1" applyAlignment="1">
      <alignment horizontal="center"/>
    </xf>
    <xf numFmtId="0" fontId="0" fillId="0" borderId="3" xfId="0" applyBorder="1"/>
    <xf numFmtId="49" fontId="0" fillId="0" borderId="10" xfId="0" applyNumberFormat="1" applyBorder="1"/>
    <xf numFmtId="166" fontId="15" fillId="0" borderId="11" xfId="0" applyNumberFormat="1" applyFont="1" applyBorder="1" applyAlignment="1">
      <alignment horizontal="center" vertical="center" wrapText="1"/>
    </xf>
    <xf numFmtId="42" fontId="15" fillId="0" borderId="7" xfId="0" applyNumberFormat="1" applyFont="1" applyBorder="1" applyAlignment="1">
      <alignment horizontal="center" vertical="center" wrapText="1"/>
    </xf>
    <xf numFmtId="166" fontId="15" fillId="0" borderId="7" xfId="0" applyNumberFormat="1" applyFont="1" applyBorder="1" applyAlignment="1">
      <alignment horizontal="center" vertical="center" wrapText="1"/>
    </xf>
    <xf numFmtId="166" fontId="16" fillId="0" borderId="7" xfId="0" applyNumberFormat="1" applyFont="1" applyBorder="1" applyAlignment="1">
      <alignment horizontal="center" vertical="center" wrapText="1"/>
    </xf>
    <xf numFmtId="167" fontId="16" fillId="0" borderId="7" xfId="0" applyNumberFormat="1" applyFont="1" applyBorder="1" applyAlignment="1">
      <alignment horizontal="center" vertical="center" wrapText="1"/>
    </xf>
    <xf numFmtId="0" fontId="17" fillId="0" borderId="7" xfId="0" applyFont="1" applyBorder="1" applyAlignment="1">
      <alignment horizontal="center" vertical="center" wrapText="1"/>
    </xf>
    <xf numFmtId="0" fontId="17" fillId="0" borderId="7" xfId="0" applyFont="1" applyBorder="1" applyAlignment="1">
      <alignment horizontal="center" vertical="center"/>
    </xf>
    <xf numFmtId="0" fontId="17" fillId="0" borderId="13" xfId="0" applyFont="1" applyBorder="1" applyAlignment="1">
      <alignment horizontal="center" vertical="center"/>
    </xf>
    <xf numFmtId="49" fontId="14" fillId="0" borderId="0" xfId="0" applyNumberFormat="1" applyFont="1" applyProtection="1">
      <protection hidden="1"/>
    </xf>
    <xf numFmtId="42" fontId="0" fillId="0" borderId="14" xfId="1" applyNumberFormat="1" applyFont="1" applyFill="1" applyBorder="1"/>
    <xf numFmtId="42" fontId="14" fillId="0" borderId="0" xfId="1" applyNumberFormat="1" applyFont="1" applyFill="1" applyBorder="1" applyAlignment="1">
      <alignment horizontal="center"/>
    </xf>
    <xf numFmtId="0" fontId="15" fillId="0" borderId="30" xfId="0" applyFont="1" applyBorder="1" applyAlignment="1">
      <alignment horizontal="center" vertical="center" wrapText="1"/>
    </xf>
    <xf numFmtId="0" fontId="15" fillId="0" borderId="16" xfId="0" applyFont="1" applyBorder="1" applyAlignment="1">
      <alignment horizontal="center" vertical="center" wrapText="1"/>
    </xf>
    <xf numFmtId="0" fontId="15" fillId="0" borderId="15" xfId="0" applyFont="1" applyBorder="1" applyAlignment="1">
      <alignment horizontal="center" vertical="center" wrapText="1"/>
    </xf>
    <xf numFmtId="0" fontId="15" fillId="0" borderId="17" xfId="0" applyFont="1" applyBorder="1" applyAlignment="1">
      <alignment horizontal="center" vertical="center" wrapText="1"/>
    </xf>
    <xf numFmtId="42" fontId="16" fillId="0" borderId="8" xfId="0" applyNumberFormat="1" applyFont="1" applyBorder="1" applyAlignment="1">
      <alignment horizontal="center" vertical="center" wrapText="1"/>
    </xf>
    <xf numFmtId="42" fontId="16" fillId="0" borderId="9" xfId="0" applyNumberFormat="1" applyFont="1" applyBorder="1" applyAlignment="1">
      <alignment horizontal="center" vertical="center" wrapText="1"/>
    </xf>
    <xf numFmtId="0" fontId="17" fillId="0" borderId="30" xfId="0" applyFont="1" applyBorder="1" applyAlignment="1">
      <alignment horizontal="center" vertical="center" wrapText="1"/>
    </xf>
    <xf numFmtId="0" fontId="17" fillId="0" borderId="8" xfId="0" applyFont="1" applyBorder="1" applyAlignment="1">
      <alignment horizontal="center" vertical="center"/>
    </xf>
    <xf numFmtId="0" fontId="17" fillId="0" borderId="20" xfId="0" applyFont="1" applyBorder="1" applyAlignment="1">
      <alignment horizontal="center" vertical="center"/>
    </xf>
    <xf numFmtId="8" fontId="0" fillId="0" borderId="2" xfId="1" applyNumberFormat="1" applyFont="1" applyBorder="1"/>
    <xf numFmtId="167" fontId="22" fillId="0" borderId="2" xfId="3" applyNumberFormat="1" applyBorder="1"/>
    <xf numFmtId="0" fontId="23" fillId="0" borderId="0" xfId="0" applyFont="1"/>
    <xf numFmtId="0" fontId="17" fillId="0" borderId="8" xfId="0" applyFont="1" applyBorder="1" applyAlignment="1">
      <alignment horizontal="center" vertical="center" wrapText="1"/>
    </xf>
    <xf numFmtId="167" fontId="16" fillId="0" borderId="20" xfId="0" applyNumberFormat="1" applyFont="1" applyBorder="1" applyAlignment="1">
      <alignment horizontal="center" vertical="center" wrapText="1"/>
    </xf>
    <xf numFmtId="9" fontId="16" fillId="0" borderId="8" xfId="2" applyFont="1" applyBorder="1" applyAlignment="1">
      <alignment horizontal="center" vertical="center" wrapText="1"/>
    </xf>
    <xf numFmtId="167" fontId="16" fillId="0" borderId="8" xfId="0" applyNumberFormat="1" applyFont="1" applyBorder="1" applyAlignment="1">
      <alignment horizontal="center" vertical="center" wrapText="1"/>
    </xf>
    <xf numFmtId="9" fontId="16" fillId="0" borderId="0" xfId="2" applyFont="1" applyBorder="1" applyAlignment="1">
      <alignment horizontal="center" vertical="center" wrapText="1"/>
    </xf>
    <xf numFmtId="0" fontId="15" fillId="0" borderId="22" xfId="0" applyFont="1" applyBorder="1" applyAlignment="1">
      <alignment horizontal="center" vertical="center" wrapText="1"/>
    </xf>
    <xf numFmtId="0" fontId="15" fillId="0" borderId="32" xfId="0" applyFont="1" applyBorder="1" applyAlignment="1">
      <alignment horizontal="center" vertical="center" wrapText="1"/>
    </xf>
    <xf numFmtId="0" fontId="15" fillId="0" borderId="1" xfId="0" applyFont="1" applyBorder="1" applyAlignment="1">
      <alignment horizontal="center" vertical="center" wrapText="1"/>
    </xf>
    <xf numFmtId="0" fontId="15" fillId="0" borderId="33" xfId="0" applyFont="1" applyBorder="1" applyAlignment="1">
      <alignment horizontal="center" vertical="center" wrapText="1"/>
    </xf>
    <xf numFmtId="49" fontId="0" fillId="0" borderId="18" xfId="0" applyNumberFormat="1" applyBorder="1" applyAlignment="1">
      <alignment horizontal="center" vertical="center"/>
    </xf>
    <xf numFmtId="49" fontId="0" fillId="0" borderId="0" xfId="0" applyNumberFormat="1" applyAlignment="1">
      <alignment horizontal="center"/>
    </xf>
    <xf numFmtId="167" fontId="14" fillId="0" borderId="18" xfId="1" applyNumberFormat="1" applyFont="1" applyBorder="1" applyAlignment="1">
      <alignment horizontal="center"/>
    </xf>
    <xf numFmtId="9" fontId="14" fillId="0" borderId="0" xfId="2" applyFont="1" applyBorder="1" applyAlignment="1">
      <alignment horizontal="center"/>
    </xf>
    <xf numFmtId="167" fontId="14" fillId="0" borderId="0" xfId="1" applyNumberFormat="1" applyFont="1" applyBorder="1" applyAlignment="1">
      <alignment horizontal="center"/>
    </xf>
    <xf numFmtId="167" fontId="14" fillId="0" borderId="17" xfId="1" applyNumberFormat="1" applyFont="1" applyBorder="1" applyAlignment="1">
      <alignment horizontal="center"/>
    </xf>
    <xf numFmtId="166" fontId="14" fillId="0" borderId="16" xfId="2" applyNumberFormat="1" applyFont="1" applyBorder="1" applyAlignment="1">
      <alignment horizontal="center"/>
    </xf>
    <xf numFmtId="167" fontId="14" fillId="0" borderId="16" xfId="1" applyNumberFormat="1" applyFont="1" applyBorder="1" applyAlignment="1">
      <alignment horizontal="center"/>
    </xf>
    <xf numFmtId="10" fontId="14" fillId="0" borderId="16" xfId="2" applyNumberFormat="1" applyFont="1" applyBorder="1" applyAlignment="1">
      <alignment horizontal="center"/>
    </xf>
    <xf numFmtId="9" fontId="14" fillId="0" borderId="15" xfId="2" applyFont="1" applyBorder="1" applyAlignment="1">
      <alignment horizontal="center"/>
    </xf>
    <xf numFmtId="167" fontId="24" fillId="0" borderId="17" xfId="1" applyNumberFormat="1" applyFont="1" applyBorder="1" applyAlignment="1">
      <alignment horizontal="center"/>
    </xf>
    <xf numFmtId="166" fontId="24" fillId="0" borderId="16" xfId="2" applyNumberFormat="1" applyFont="1" applyBorder="1" applyAlignment="1">
      <alignment horizontal="center"/>
    </xf>
    <xf numFmtId="167" fontId="24" fillId="0" borderId="16" xfId="1" applyNumberFormat="1" applyFont="1" applyBorder="1" applyAlignment="1">
      <alignment horizontal="center"/>
    </xf>
    <xf numFmtId="10" fontId="24" fillId="0" borderId="16" xfId="2" applyNumberFormat="1" applyFont="1" applyBorder="1" applyAlignment="1">
      <alignment horizontal="center"/>
    </xf>
    <xf numFmtId="9" fontId="24" fillId="0" borderId="15" xfId="2" applyFont="1" applyBorder="1" applyAlignment="1">
      <alignment horizontal="center"/>
    </xf>
    <xf numFmtId="49" fontId="0" fillId="0" borderId="6" xfId="0" applyNumberFormat="1" applyBorder="1"/>
    <xf numFmtId="0" fontId="0" fillId="0" borderId="4" xfId="0" applyBorder="1"/>
    <xf numFmtId="49" fontId="4" fillId="0" borderId="4" xfId="0" applyNumberFormat="1" applyFont="1" applyBorder="1" applyAlignment="1">
      <alignment horizontal="center"/>
    </xf>
    <xf numFmtId="167" fontId="14" fillId="0" borderId="34" xfId="1" applyNumberFormat="1" applyFont="1" applyBorder="1" applyAlignment="1">
      <alignment horizontal="center"/>
    </xf>
    <xf numFmtId="9" fontId="14" fillId="0" borderId="4" xfId="2" applyFont="1" applyBorder="1" applyAlignment="1">
      <alignment horizontal="center"/>
    </xf>
    <xf numFmtId="167" fontId="14" fillId="0" borderId="4" xfId="1" applyNumberFormat="1" applyFont="1" applyBorder="1" applyAlignment="1">
      <alignment horizontal="center"/>
    </xf>
    <xf numFmtId="10" fontId="14" fillId="0" borderId="4" xfId="2" applyNumberFormat="1" applyFont="1" applyBorder="1" applyAlignment="1">
      <alignment horizontal="center"/>
    </xf>
    <xf numFmtId="9" fontId="14" fillId="0" borderId="5" xfId="2" applyFont="1" applyBorder="1" applyAlignment="1">
      <alignment horizontal="center"/>
    </xf>
    <xf numFmtId="0" fontId="25" fillId="0" borderId="35" xfId="0" applyFont="1" applyBorder="1" applyAlignment="1">
      <alignment horizontal="center" vertical="center" wrapText="1"/>
    </xf>
    <xf numFmtId="0" fontId="16" fillId="0" borderId="8" xfId="0" applyFont="1" applyBorder="1" applyAlignment="1">
      <alignment horizontal="center" vertical="center" wrapText="1"/>
    </xf>
    <xf numFmtId="0" fontId="16" fillId="0" borderId="0" xfId="0" applyFont="1" applyAlignment="1">
      <alignment horizontal="center" vertical="center" wrapText="1"/>
    </xf>
    <xf numFmtId="42" fontId="14" fillId="0" borderId="16" xfId="2" applyNumberFormat="1" applyFont="1" applyBorder="1" applyAlignment="1">
      <alignment horizontal="center"/>
    </xf>
    <xf numFmtId="49" fontId="0" fillId="0" borderId="27" xfId="0" applyNumberFormat="1" applyBorder="1"/>
    <xf numFmtId="0" fontId="0" fillId="0" borderId="26" xfId="0" applyBorder="1"/>
    <xf numFmtId="49" fontId="4" fillId="0" borderId="26" xfId="0" applyNumberFormat="1" applyFont="1" applyBorder="1"/>
    <xf numFmtId="167" fontId="14" fillId="0" borderId="27" xfId="1" applyNumberFormat="1" applyFont="1" applyBorder="1" applyAlignment="1">
      <alignment horizontal="center"/>
    </xf>
    <xf numFmtId="166" fontId="14" fillId="0" borderId="26" xfId="2" applyNumberFormat="1" applyFont="1" applyBorder="1" applyAlignment="1">
      <alignment horizontal="center"/>
    </xf>
    <xf numFmtId="167" fontId="14" fillId="0" borderId="26" xfId="1" applyNumberFormat="1" applyFont="1" applyBorder="1" applyAlignment="1">
      <alignment horizontal="center"/>
    </xf>
    <xf numFmtId="167" fontId="0" fillId="0" borderId="27" xfId="0" applyNumberFormat="1" applyBorder="1"/>
    <xf numFmtId="166" fontId="0" fillId="0" borderId="26" xfId="2" applyNumberFormat="1" applyFont="1" applyBorder="1"/>
    <xf numFmtId="167" fontId="0" fillId="0" borderId="26" xfId="0" applyNumberFormat="1" applyBorder="1"/>
    <xf numFmtId="10" fontId="0" fillId="0" borderId="25" xfId="2" applyNumberFormat="1" applyFont="1" applyBorder="1"/>
    <xf numFmtId="42" fontId="0" fillId="0" borderId="26" xfId="0" applyNumberFormat="1" applyBorder="1"/>
    <xf numFmtId="167" fontId="0" fillId="0" borderId="26" xfId="0" applyNumberFormat="1" applyBorder="1" applyAlignment="1">
      <alignment horizontal="center"/>
    </xf>
    <xf numFmtId="10" fontId="0" fillId="0" borderId="28" xfId="2" applyNumberFormat="1" applyFont="1" applyBorder="1"/>
    <xf numFmtId="8" fontId="0" fillId="0" borderId="2" xfId="0" applyNumberFormat="1" applyBorder="1"/>
    <xf numFmtId="1" fontId="0" fillId="0" borderId="2" xfId="0" applyNumberFormat="1" applyBorder="1"/>
    <xf numFmtId="167" fontId="0" fillId="0" borderId="2" xfId="0" applyNumberFormat="1" applyBorder="1" applyAlignment="1">
      <alignment horizontal="right"/>
    </xf>
    <xf numFmtId="2" fontId="0" fillId="0" borderId="0" xfId="0" applyNumberFormat="1"/>
    <xf numFmtId="42" fontId="24" fillId="0" borderId="2" xfId="1" applyNumberFormat="1" applyFont="1" applyBorder="1" applyAlignment="1">
      <alignment horizontal="right"/>
    </xf>
    <xf numFmtId="166" fontId="24" fillId="0" borderId="2" xfId="2" applyNumberFormat="1" applyFont="1" applyBorder="1" applyAlignment="1">
      <alignment horizontal="center"/>
    </xf>
    <xf numFmtId="42" fontId="24" fillId="0" borderId="2" xfId="1" applyNumberFormat="1" applyFont="1" applyBorder="1" applyAlignment="1">
      <alignment horizontal="center"/>
    </xf>
    <xf numFmtId="166" fontId="24" fillId="0" borderId="6" xfId="2" applyNumberFormat="1" applyFont="1" applyBorder="1" applyAlignment="1">
      <alignment horizontal="center"/>
    </xf>
    <xf numFmtId="168" fontId="0" fillId="0" borderId="2" xfId="0" applyNumberFormat="1" applyBorder="1"/>
    <xf numFmtId="42" fontId="24" fillId="0" borderId="3" xfId="1" applyNumberFormat="1" applyFont="1" applyBorder="1" applyAlignment="1">
      <alignment horizontal="right"/>
    </xf>
    <xf numFmtId="166" fontId="24" fillId="0" borderId="3" xfId="2" applyNumberFormat="1" applyFont="1" applyBorder="1" applyAlignment="1">
      <alignment horizontal="center"/>
    </xf>
    <xf numFmtId="42" fontId="24" fillId="0" borderId="3" xfId="1" applyNumberFormat="1" applyFont="1" applyBorder="1" applyAlignment="1">
      <alignment horizontal="center"/>
    </xf>
    <xf numFmtId="166" fontId="24" fillId="0" borderId="8" xfId="2" applyNumberFormat="1" applyFont="1" applyBorder="1" applyAlignment="1">
      <alignment horizontal="center"/>
    </xf>
    <xf numFmtId="167" fontId="24" fillId="0" borderId="2" xfId="1" applyNumberFormat="1" applyFont="1" applyBorder="1" applyAlignment="1">
      <alignment horizontal="center"/>
    </xf>
    <xf numFmtId="42" fontId="24" fillId="0" borderId="0" xfId="1" applyNumberFormat="1" applyFont="1" applyFill="1" applyBorder="1" applyAlignment="1">
      <alignment horizontal="center"/>
    </xf>
    <xf numFmtId="168" fontId="0" fillId="9" borderId="0" xfId="0" applyNumberFormat="1" applyFill="1"/>
    <xf numFmtId="0" fontId="0" fillId="0" borderId="35" xfId="0" applyBorder="1"/>
    <xf numFmtId="0" fontId="0" fillId="0" borderId="15" xfId="0" applyBorder="1" applyAlignment="1">
      <alignment horizontal="center"/>
    </xf>
    <xf numFmtId="0" fontId="0" fillId="0" borderId="14" xfId="0" applyBorder="1" applyAlignment="1">
      <alignment horizontal="center"/>
    </xf>
    <xf numFmtId="42" fontId="0" fillId="0" borderId="14" xfId="1" applyNumberFormat="1" applyFont="1" applyFill="1" applyBorder="1" applyAlignment="1">
      <alignment horizontal="center"/>
    </xf>
    <xf numFmtId="42" fontId="24" fillId="0" borderId="9" xfId="1" applyNumberFormat="1" applyFont="1" applyFill="1" applyBorder="1" applyAlignment="1">
      <alignment horizontal="center"/>
    </xf>
    <xf numFmtId="0" fontId="0" fillId="0" borderId="0" xfId="0" applyAlignment="1">
      <alignment vertical="top"/>
    </xf>
    <xf numFmtId="0" fontId="0" fillId="0" borderId="0" xfId="0" applyFill="1" applyAlignment="1">
      <alignment vertical="top"/>
    </xf>
    <xf numFmtId="0" fontId="27" fillId="0" borderId="0" xfId="4"/>
    <xf numFmtId="0" fontId="0" fillId="0" borderId="0" xfId="0" applyFill="1" applyAlignment="1">
      <alignment vertical="top" wrapText="1"/>
    </xf>
    <xf numFmtId="0" fontId="0" fillId="0" borderId="0" xfId="0" applyFill="1"/>
    <xf numFmtId="0" fontId="0" fillId="10" borderId="0" xfId="0" applyFill="1" applyAlignment="1">
      <alignment vertical="top" wrapText="1"/>
    </xf>
    <xf numFmtId="0" fontId="0" fillId="11" borderId="0" xfId="0" applyFill="1" applyAlignment="1">
      <alignment vertical="top" wrapText="1"/>
    </xf>
    <xf numFmtId="0" fontId="0" fillId="11" borderId="0" xfId="0" applyFill="1" applyAlignment="1">
      <alignment vertical="top"/>
    </xf>
    <xf numFmtId="0" fontId="0" fillId="12" borderId="0" xfId="0" applyFill="1" applyAlignment="1">
      <alignment vertical="top" wrapText="1"/>
    </xf>
    <xf numFmtId="0" fontId="13" fillId="12" borderId="0" xfId="0" applyFont="1" applyFill="1" applyAlignment="1">
      <alignment vertical="top" wrapText="1"/>
    </xf>
    <xf numFmtId="0" fontId="0" fillId="12" borderId="0" xfId="0" applyFill="1" applyAlignment="1">
      <alignment vertical="top"/>
    </xf>
    <xf numFmtId="0" fontId="28" fillId="0" borderId="0" xfId="0" applyFont="1"/>
    <xf numFmtId="0" fontId="28" fillId="13" borderId="39" xfId="0" applyFont="1" applyFill="1" applyBorder="1"/>
    <xf numFmtId="0" fontId="28" fillId="13" borderId="0" xfId="0" applyFont="1" applyFill="1"/>
    <xf numFmtId="0" fontId="28" fillId="0" borderId="40" xfId="0" applyFont="1" applyBorder="1"/>
    <xf numFmtId="4" fontId="28" fillId="0" borderId="0" xfId="0" applyNumberFormat="1" applyFont="1"/>
    <xf numFmtId="0" fontId="29" fillId="0" borderId="0" xfId="0" applyFont="1"/>
    <xf numFmtId="0" fontId="15" fillId="0" borderId="35" xfId="0" applyFont="1" applyBorder="1" applyAlignment="1">
      <alignment horizontal="center" vertical="center" wrapText="1"/>
    </xf>
    <xf numFmtId="2" fontId="0" fillId="11" borderId="0" xfId="0" applyNumberFormat="1" applyFill="1"/>
    <xf numFmtId="0" fontId="25" fillId="0" borderId="7" xfId="0" applyFont="1" applyBorder="1" applyAlignment="1">
      <alignment horizontal="center" vertical="center" wrapText="1"/>
    </xf>
    <xf numFmtId="0" fontId="15" fillId="0" borderId="0" xfId="0" applyFont="1" applyAlignment="1">
      <alignment horizontal="center" vertical="center" wrapText="1"/>
    </xf>
    <xf numFmtId="0" fontId="0" fillId="0" borderId="18" xfId="0" applyNumberFormat="1" applyFont="1" applyBorder="1" applyAlignment="1">
      <alignment horizontal="center" vertical="center"/>
    </xf>
    <xf numFmtId="0" fontId="0" fillId="0" borderId="18" xfId="0" applyNumberFormat="1" applyBorder="1" applyAlignment="1">
      <alignment horizontal="center" vertical="center"/>
    </xf>
    <xf numFmtId="0" fontId="28" fillId="0" borderId="0" xfId="0" applyFont="1" applyAlignment="1">
      <alignment horizontal="left" indent="1"/>
    </xf>
    <xf numFmtId="49" fontId="0" fillId="0" borderId="2" xfId="0" applyNumberFormat="1" applyBorder="1"/>
    <xf numFmtId="49" fontId="0" fillId="0" borderId="2" xfId="0" applyNumberFormat="1" applyBorder="1" applyAlignment="1">
      <alignment horizontal="center"/>
    </xf>
    <xf numFmtId="167" fontId="14" fillId="0" borderId="2" xfId="1" applyNumberFormat="1" applyFont="1" applyFill="1" applyBorder="1" applyAlignment="1">
      <alignment horizontal="center"/>
    </xf>
    <xf numFmtId="49" fontId="4" fillId="0" borderId="2" xfId="0" applyNumberFormat="1" applyFont="1" applyBorder="1"/>
    <xf numFmtId="0" fontId="0" fillId="0" borderId="27" xfId="0" applyBorder="1"/>
    <xf numFmtId="2" fontId="0" fillId="0" borderId="26" xfId="0" applyNumberFormat="1" applyBorder="1"/>
    <xf numFmtId="0" fontId="0" fillId="0" borderId="2" xfId="0" applyNumberFormat="1" applyBorder="1"/>
    <xf numFmtId="0" fontId="0" fillId="0" borderId="0" xfId="0" pivotButton="1"/>
    <xf numFmtId="0" fontId="0" fillId="0" borderId="0" xfId="0" applyAlignment="1">
      <alignment horizontal="left"/>
    </xf>
    <xf numFmtId="0" fontId="0" fillId="0" borderId="0" xfId="0" applyNumberFormat="1"/>
    <xf numFmtId="0" fontId="28" fillId="11" borderId="0" xfId="0" applyFont="1" applyFill="1"/>
    <xf numFmtId="2" fontId="28" fillId="0" borderId="0" xfId="0" applyNumberFormat="1" applyFont="1"/>
    <xf numFmtId="0" fontId="0" fillId="0" borderId="0" xfId="0" applyAlignment="1">
      <alignment vertical="center"/>
    </xf>
    <xf numFmtId="2" fontId="0" fillId="16" borderId="0" xfId="0" applyNumberFormat="1" applyFill="1" applyAlignment="1">
      <alignment vertical="center"/>
    </xf>
    <xf numFmtId="2" fontId="0" fillId="16" borderId="0" xfId="0" applyNumberFormat="1" applyFill="1" applyAlignment="1">
      <alignment horizontal="center" vertical="center" wrapText="1"/>
    </xf>
    <xf numFmtId="2" fontId="0" fillId="16" borderId="0" xfId="0" applyNumberFormat="1" applyFill="1" applyAlignment="1">
      <alignment horizontal="center" vertical="center"/>
    </xf>
    <xf numFmtId="2" fontId="0" fillId="16" borderId="0" xfId="0" applyNumberFormat="1" applyFill="1" applyAlignment="1">
      <alignment vertical="center" wrapText="1"/>
    </xf>
    <xf numFmtId="0" fontId="28" fillId="16" borderId="0" xfId="0" applyFont="1" applyFill="1"/>
    <xf numFmtId="9" fontId="28" fillId="16" borderId="0" xfId="0" applyNumberFormat="1" applyFont="1" applyFill="1"/>
    <xf numFmtId="0" fontId="0" fillId="16" borderId="0" xfId="0" applyFill="1" applyAlignment="1">
      <alignment vertical="center"/>
    </xf>
    <xf numFmtId="0" fontId="0" fillId="16" borderId="0" xfId="0" applyFill="1" applyAlignment="1">
      <alignment horizontal="center" vertical="center" wrapText="1"/>
    </xf>
    <xf numFmtId="0" fontId="4" fillId="16" borderId="0" xfId="0" applyFont="1" applyFill="1" applyAlignment="1">
      <alignment vertical="center"/>
    </xf>
    <xf numFmtId="0" fontId="0" fillId="0" borderId="0" xfId="0" applyAlignment="1">
      <alignment vertical="top" wrapText="1"/>
    </xf>
    <xf numFmtId="0" fontId="0" fillId="0" borderId="0" xfId="0" applyAlignment="1">
      <alignment horizontal="center" vertical="center"/>
    </xf>
    <xf numFmtId="0" fontId="0" fillId="0" borderId="0" xfId="0" applyAlignment="1">
      <alignment horizontal="center" vertical="center" wrapText="1"/>
    </xf>
    <xf numFmtId="0" fontId="0" fillId="16" borderId="0" xfId="0" applyFill="1" applyAlignment="1">
      <alignment horizontal="center" vertical="center"/>
    </xf>
    <xf numFmtId="165" fontId="19" fillId="3" borderId="0" xfId="1" applyNumberFormat="1" applyFont="1" applyFill="1" applyBorder="1" applyAlignment="1">
      <alignment horizontal="center" vertical="center"/>
    </xf>
    <xf numFmtId="165" fontId="19" fillId="7" borderId="0" xfId="1" applyNumberFormat="1" applyFont="1" applyFill="1" applyBorder="1" applyAlignment="1">
      <alignment horizontal="center" vertical="center"/>
    </xf>
    <xf numFmtId="17" fontId="4" fillId="0" borderId="2" xfId="0" applyNumberFormat="1" applyFont="1" applyBorder="1"/>
    <xf numFmtId="0" fontId="0" fillId="0" borderId="0" xfId="0" applyAlignment="1">
      <alignment horizontal="left" vertical="top" wrapText="1"/>
    </xf>
    <xf numFmtId="0" fontId="0" fillId="0" borderId="0" xfId="0" applyAlignment="1">
      <alignment horizontal="left" vertical="top"/>
    </xf>
    <xf numFmtId="167" fontId="14" fillId="18" borderId="2" xfId="1" applyNumberFormat="1" applyFont="1" applyFill="1" applyBorder="1" applyAlignment="1">
      <alignment horizontal="center"/>
    </xf>
    <xf numFmtId="167" fontId="14" fillId="0" borderId="2" xfId="1" applyNumberFormat="1" applyFont="1" applyBorder="1" applyAlignment="1">
      <alignment horizontal="center"/>
    </xf>
    <xf numFmtId="167" fontId="0" fillId="0" borderId="0" xfId="0" applyNumberFormat="1" applyAlignment="1">
      <alignment horizontal="center" vertical="center"/>
    </xf>
    <xf numFmtId="0" fontId="31" fillId="19" borderId="2" xfId="0" applyFont="1" applyFill="1" applyBorder="1" applyAlignment="1">
      <alignment horizontal="center" vertical="top"/>
    </xf>
    <xf numFmtId="0" fontId="31" fillId="19" borderId="2" xfId="0" applyFont="1" applyFill="1" applyBorder="1" applyAlignment="1">
      <alignment vertical="top"/>
    </xf>
    <xf numFmtId="0" fontId="28" fillId="0" borderId="2" xfId="0" applyFont="1" applyBorder="1" applyAlignment="1">
      <alignment horizontal="center" vertical="top"/>
    </xf>
    <xf numFmtId="0" fontId="28" fillId="0" borderId="2" xfId="0" applyFont="1" applyBorder="1" applyAlignment="1">
      <alignment vertical="top"/>
    </xf>
    <xf numFmtId="42" fontId="14" fillId="0" borderId="41" xfId="1" applyNumberFormat="1" applyFont="1" applyBorder="1" applyAlignment="1">
      <alignment horizontal="center"/>
    </xf>
    <xf numFmtId="39" fontId="14" fillId="0" borderId="41" xfId="1" applyNumberFormat="1" applyFont="1" applyBorder="1" applyAlignment="1">
      <alignment horizontal="center"/>
    </xf>
    <xf numFmtId="0" fontId="0" fillId="0" borderId="0" xfId="0" applyAlignment="1">
      <alignment horizontal="center"/>
    </xf>
    <xf numFmtId="0" fontId="0" fillId="0" borderId="0" xfId="0" applyAlignment="1">
      <alignment horizontal="center" vertical="center"/>
    </xf>
    <xf numFmtId="0" fontId="0" fillId="16" borderId="0" xfId="0" applyFill="1" applyAlignment="1">
      <alignment horizontal="center" vertical="center"/>
    </xf>
    <xf numFmtId="168" fontId="1" fillId="0" borderId="3" xfId="0" applyNumberFormat="1" applyFont="1" applyBorder="1"/>
    <xf numFmtId="0" fontId="1" fillId="0" borderId="3" xfId="0" applyFont="1" applyBorder="1"/>
    <xf numFmtId="49" fontId="1" fillId="0" borderId="3" xfId="0" applyNumberFormat="1" applyFont="1" applyBorder="1" applyAlignment="1">
      <alignment horizontal="center"/>
    </xf>
    <xf numFmtId="49" fontId="1" fillId="0" borderId="5" xfId="0" applyNumberFormat="1" applyFont="1" applyBorder="1" applyAlignment="1">
      <alignment horizontal="center" vertical="center"/>
    </xf>
    <xf numFmtId="0" fontId="1" fillId="0" borderId="2" xfId="0" applyFont="1" applyBorder="1" applyAlignment="1">
      <alignment horizontal="center" vertical="center"/>
    </xf>
    <xf numFmtId="49" fontId="1" fillId="0" borderId="2" xfId="0" applyNumberFormat="1" applyFont="1" applyBorder="1" applyAlignment="1">
      <alignment horizontal="center"/>
    </xf>
    <xf numFmtId="0" fontId="1" fillId="0" borderId="0" xfId="0" applyFont="1" applyFill="1"/>
    <xf numFmtId="0" fontId="1" fillId="0" borderId="35" xfId="0" applyFont="1" applyBorder="1"/>
    <xf numFmtId="49" fontId="1" fillId="0" borderId="37" xfId="0" applyNumberFormat="1" applyFont="1" applyBorder="1" applyAlignment="1">
      <alignment horizontal="center"/>
    </xf>
    <xf numFmtId="3" fontId="1" fillId="0" borderId="0" xfId="0" applyNumberFormat="1" applyFont="1"/>
    <xf numFmtId="42" fontId="1" fillId="0" borderId="14" xfId="1" applyNumberFormat="1" applyFont="1" applyFill="1" applyBorder="1"/>
    <xf numFmtId="42" fontId="1" fillId="0" borderId="14" xfId="1" applyNumberFormat="1" applyFont="1" applyFill="1" applyBorder="1" applyAlignment="1">
      <alignment horizontal="center"/>
    </xf>
    <xf numFmtId="168" fontId="1" fillId="9" borderId="38" xfId="0" applyNumberFormat="1" applyFont="1" applyFill="1" applyBorder="1"/>
    <xf numFmtId="0" fontId="1" fillId="0" borderId="35" xfId="0" applyFont="1" applyFill="1" applyBorder="1"/>
    <xf numFmtId="49" fontId="1" fillId="0" borderId="37" xfId="0" applyNumberFormat="1" applyFont="1" applyFill="1" applyBorder="1" applyAlignment="1">
      <alignment horizontal="center"/>
    </xf>
    <xf numFmtId="3" fontId="1" fillId="0" borderId="9" xfId="0" applyNumberFormat="1" applyFont="1" applyFill="1" applyBorder="1"/>
    <xf numFmtId="0" fontId="1" fillId="0" borderId="9" xfId="0" applyNumberFormat="1" applyFont="1" applyFill="1" applyBorder="1"/>
    <xf numFmtId="49" fontId="1" fillId="0" borderId="18" xfId="0" applyNumberFormat="1" applyFont="1" applyBorder="1" applyAlignment="1">
      <alignment horizontal="center" vertical="center"/>
    </xf>
    <xf numFmtId="0" fontId="1" fillId="0" borderId="0" xfId="0" applyFont="1" applyAlignment="1">
      <alignment horizontal="center" vertical="center"/>
    </xf>
    <xf numFmtId="49" fontId="1" fillId="0" borderId="0" xfId="0" applyNumberFormat="1" applyFont="1" applyAlignment="1">
      <alignment horizontal="center"/>
    </xf>
    <xf numFmtId="0" fontId="1" fillId="0" borderId="18" xfId="0" applyNumberFormat="1" applyFont="1" applyBorder="1" applyAlignment="1">
      <alignment horizontal="center" vertical="center"/>
    </xf>
    <xf numFmtId="1" fontId="1" fillId="0" borderId="7" xfId="0" applyNumberFormat="1" applyFont="1" applyFill="1" applyBorder="1"/>
    <xf numFmtId="2" fontId="1" fillId="0" borderId="7" xfId="0" applyNumberFormat="1" applyFont="1" applyFill="1" applyBorder="1"/>
    <xf numFmtId="1" fontId="1" fillId="0" borderId="2" xfId="0" applyNumberFormat="1" applyFont="1" applyFill="1" applyBorder="1"/>
    <xf numFmtId="2" fontId="1" fillId="0" borderId="2" xfId="0" applyNumberFormat="1" applyFont="1" applyFill="1" applyBorder="1"/>
    <xf numFmtId="1" fontId="1" fillId="0" borderId="3" xfId="0" applyNumberFormat="1" applyFont="1" applyFill="1" applyBorder="1"/>
    <xf numFmtId="2" fontId="1" fillId="0" borderId="3" xfId="0" applyNumberFormat="1" applyFont="1" applyFill="1" applyBorder="1"/>
    <xf numFmtId="0" fontId="0" fillId="15" borderId="0" xfId="0" applyFill="1"/>
    <xf numFmtId="0" fontId="0" fillId="0" borderId="0" xfId="0" applyFont="1" applyFill="1"/>
    <xf numFmtId="2" fontId="0" fillId="0" borderId="2" xfId="0" applyNumberFormat="1" applyFont="1" applyFill="1" applyBorder="1"/>
    <xf numFmtId="2" fontId="0" fillId="0" borderId="7" xfId="0" applyNumberFormat="1" applyFont="1" applyFill="1" applyBorder="1"/>
    <xf numFmtId="2" fontId="0" fillId="0" borderId="3" xfId="0" applyNumberFormat="1" applyFont="1" applyFill="1" applyBorder="1"/>
    <xf numFmtId="10" fontId="0" fillId="0" borderId="0" xfId="0" applyNumberFormat="1"/>
    <xf numFmtId="0" fontId="0" fillId="12" borderId="0" xfId="0" applyFill="1" applyAlignment="1">
      <alignment vertical="center"/>
    </xf>
    <xf numFmtId="0" fontId="0" fillId="0" borderId="0" xfId="0" applyAlignment="1">
      <alignment vertical="center" wrapText="1"/>
    </xf>
    <xf numFmtId="0" fontId="0" fillId="15" borderId="0" xfId="0" applyFill="1" applyAlignment="1">
      <alignment vertical="center"/>
    </xf>
    <xf numFmtId="0" fontId="0" fillId="0" borderId="0" xfId="0" applyAlignment="1"/>
    <xf numFmtId="8" fontId="0" fillId="0" borderId="0" xfId="0" applyNumberFormat="1"/>
    <xf numFmtId="10" fontId="0" fillId="0" borderId="0" xfId="0" applyNumberFormat="1" applyAlignment="1"/>
    <xf numFmtId="10" fontId="14" fillId="0" borderId="0" xfId="1" applyNumberFormat="1" applyFont="1" applyBorder="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16" borderId="0" xfId="0" applyFill="1" applyAlignment="1">
      <alignment horizontal="center" vertical="center"/>
    </xf>
    <xf numFmtId="44" fontId="0" fillId="0" borderId="0" xfId="0" applyNumberFormat="1"/>
    <xf numFmtId="0" fontId="0" fillId="16" borderId="0" xfId="0" applyFill="1" applyAlignment="1">
      <alignment horizontal="center" vertical="center"/>
    </xf>
    <xf numFmtId="0" fontId="0" fillId="0" borderId="0" xfId="0" applyAlignment="1">
      <alignment horizontal="center" vertical="center"/>
    </xf>
    <xf numFmtId="22" fontId="0" fillId="20" borderId="42" xfId="0" applyNumberFormat="1" applyFill="1" applyBorder="1"/>
    <xf numFmtId="0" fontId="0" fillId="20" borderId="43" xfId="0" applyFill="1" applyBorder="1"/>
    <xf numFmtId="0" fontId="0" fillId="20" borderId="44" xfId="0" applyFill="1" applyBorder="1"/>
    <xf numFmtId="22" fontId="0" fillId="0" borderId="42" xfId="0" applyNumberFormat="1" applyBorder="1"/>
    <xf numFmtId="0" fontId="0" fillId="0" borderId="43" xfId="0" applyBorder="1"/>
    <xf numFmtId="0" fontId="0" fillId="0" borderId="44" xfId="0" applyBorder="1"/>
    <xf numFmtId="22" fontId="0" fillId="20" borderId="45" xfId="0" applyNumberFormat="1" applyFill="1" applyBorder="1"/>
    <xf numFmtId="0" fontId="0" fillId="20" borderId="46" xfId="0" applyFill="1" applyBorder="1"/>
    <xf numFmtId="0" fontId="0" fillId="20" borderId="47" xfId="0" applyFill="1" applyBorder="1"/>
    <xf numFmtId="0" fontId="0" fillId="11" borderId="0" xfId="0" applyFill="1" applyAlignment="1">
      <alignment vertical="center"/>
    </xf>
    <xf numFmtId="0" fontId="0" fillId="20" borderId="48" xfId="0" applyFill="1" applyBorder="1"/>
    <xf numFmtId="168" fontId="0" fillId="9" borderId="49" xfId="0" applyNumberFormat="1" applyFont="1" applyFill="1" applyBorder="1"/>
    <xf numFmtId="0" fontId="0" fillId="18" borderId="35" xfId="0" applyFont="1" applyFill="1" applyBorder="1"/>
    <xf numFmtId="0" fontId="0" fillId="18" borderId="14" xfId="0" applyFont="1" applyFill="1" applyBorder="1" applyAlignment="1">
      <alignment horizontal="center"/>
    </xf>
    <xf numFmtId="0" fontId="0" fillId="0" borderId="35" xfId="0" applyFont="1" applyBorder="1"/>
    <xf numFmtId="0" fontId="0" fillId="0" borderId="14" xfId="0" applyFont="1" applyBorder="1" applyAlignment="1">
      <alignment horizontal="center"/>
    </xf>
    <xf numFmtId="168" fontId="0" fillId="9" borderId="53" xfId="0" applyNumberFormat="1" applyFont="1" applyFill="1" applyBorder="1"/>
    <xf numFmtId="0" fontId="0" fillId="18" borderId="50" xfId="0" applyFont="1" applyFill="1" applyBorder="1"/>
    <xf numFmtId="0" fontId="0" fillId="18" borderId="51" xfId="0" applyFont="1" applyFill="1" applyBorder="1" applyAlignment="1">
      <alignment horizontal="center"/>
    </xf>
    <xf numFmtId="168" fontId="0" fillId="9" borderId="0" xfId="0" applyNumberFormat="1" applyFont="1" applyFill="1" applyBorder="1"/>
    <xf numFmtId="168" fontId="0" fillId="9" borderId="52" xfId="0" applyNumberFormat="1" applyFont="1" applyFill="1" applyBorder="1"/>
    <xf numFmtId="2" fontId="0" fillId="0" borderId="0" xfId="0" applyNumberFormat="1" applyAlignment="1">
      <alignment horizontal="center"/>
    </xf>
    <xf numFmtId="10" fontId="0" fillId="0" borderId="0" xfId="0" applyNumberFormat="1" applyAlignment="1">
      <alignment horizontal="center"/>
    </xf>
    <xf numFmtId="0" fontId="0" fillId="0" borderId="0" xfId="0" applyAlignment="1">
      <alignment vertical="top" wrapText="1"/>
    </xf>
    <xf numFmtId="0" fontId="2" fillId="0" borderId="1" xfId="0" applyFont="1" applyBorder="1" applyAlignment="1">
      <alignment horizontal="center" vertical="center" wrapText="1"/>
    </xf>
    <xf numFmtId="0" fontId="3" fillId="0" borderId="0" xfId="0" applyFont="1" applyAlignment="1"/>
    <xf numFmtId="0" fontId="0" fillId="0" borderId="3" xfId="0" applyBorder="1" applyAlignment="1">
      <alignment horizontal="center" vertical="top"/>
    </xf>
    <xf numFmtId="0" fontId="0" fillId="0" borderId="7" xfId="0" applyBorder="1" applyAlignment="1">
      <alignment horizontal="center" vertical="top"/>
    </xf>
    <xf numFmtId="0" fontId="9" fillId="3" borderId="4" xfId="0" applyFont="1" applyFill="1" applyBorder="1" applyAlignment="1">
      <alignment horizontal="center"/>
    </xf>
    <xf numFmtId="0" fontId="9" fillId="3" borderId="5" xfId="0" applyFont="1" applyFill="1" applyBorder="1" applyAlignment="1">
      <alignment horizontal="center"/>
    </xf>
    <xf numFmtId="165" fontId="10" fillId="4" borderId="6" xfId="1" applyNumberFormat="1" applyFont="1" applyFill="1" applyBorder="1" applyAlignment="1">
      <alignment horizontal="center" vertical="center"/>
    </xf>
    <xf numFmtId="165" fontId="10" fillId="4" borderId="4" xfId="1" applyNumberFormat="1" applyFont="1" applyFill="1" applyBorder="1" applyAlignment="1">
      <alignment horizontal="center" vertical="center"/>
    </xf>
    <xf numFmtId="165" fontId="10" fillId="5" borderId="6" xfId="1" applyNumberFormat="1" applyFont="1" applyFill="1" applyBorder="1" applyAlignment="1">
      <alignment horizontal="center" vertical="center"/>
    </xf>
    <xf numFmtId="165" fontId="10" fillId="5" borderId="4" xfId="1" applyNumberFormat="1" applyFont="1" applyFill="1" applyBorder="1" applyAlignment="1">
      <alignment horizontal="center" vertical="center"/>
    </xf>
    <xf numFmtId="165" fontId="10" fillId="5" borderId="5" xfId="1" applyNumberFormat="1" applyFont="1" applyFill="1" applyBorder="1" applyAlignment="1">
      <alignment horizontal="center" vertical="center"/>
    </xf>
    <xf numFmtId="0" fontId="0" fillId="0" borderId="0" xfId="0" applyAlignment="1">
      <alignment horizontal="center"/>
    </xf>
    <xf numFmtId="165" fontId="17" fillId="8" borderId="22" xfId="1" applyNumberFormat="1" applyFont="1" applyFill="1" applyBorder="1" applyAlignment="1">
      <alignment horizontal="center" vertical="center"/>
    </xf>
    <xf numFmtId="165" fontId="17" fillId="8" borderId="1" xfId="1" applyNumberFormat="1" applyFont="1" applyFill="1" applyBorder="1" applyAlignment="1">
      <alignment horizontal="center" vertical="center"/>
    </xf>
    <xf numFmtId="165" fontId="17" fillId="8" borderId="21" xfId="1" applyNumberFormat="1" applyFont="1" applyFill="1" applyBorder="1" applyAlignment="1">
      <alignment horizontal="center" vertical="center"/>
    </xf>
    <xf numFmtId="0" fontId="21" fillId="0" borderId="17" xfId="0" applyFont="1" applyBorder="1" applyAlignment="1">
      <alignment horizontal="center" vertical="center"/>
    </xf>
    <xf numFmtId="0" fontId="21" fillId="0" borderId="16" xfId="0" applyFont="1" applyBorder="1" applyAlignment="1">
      <alignment horizontal="center" vertical="center"/>
    </xf>
    <xf numFmtId="0" fontId="21" fillId="0" borderId="15" xfId="0" applyFont="1" applyBorder="1" applyAlignment="1">
      <alignment horizontal="center" vertical="center"/>
    </xf>
    <xf numFmtId="0" fontId="21" fillId="0" borderId="27" xfId="0" applyFont="1" applyBorder="1" applyAlignment="1">
      <alignment horizontal="center" vertical="center"/>
    </xf>
    <xf numFmtId="0" fontId="21" fillId="0" borderId="26" xfId="0" applyFont="1" applyBorder="1" applyAlignment="1">
      <alignment horizontal="center" vertical="center"/>
    </xf>
    <xf numFmtId="0" fontId="21" fillId="0" borderId="25" xfId="0" applyFont="1" applyBorder="1" applyAlignment="1">
      <alignment horizontal="center" vertical="center"/>
    </xf>
    <xf numFmtId="165" fontId="19" fillId="6" borderId="17" xfId="1" applyNumberFormat="1" applyFont="1" applyFill="1" applyBorder="1" applyAlignment="1">
      <alignment horizontal="center" vertical="center"/>
    </xf>
    <xf numFmtId="165" fontId="19" fillId="6" borderId="16" xfId="1" applyNumberFormat="1" applyFont="1" applyFill="1" applyBorder="1" applyAlignment="1">
      <alignment horizontal="center" vertical="center"/>
    </xf>
    <xf numFmtId="165" fontId="19" fillId="6" borderId="15" xfId="1" applyNumberFormat="1" applyFont="1" applyFill="1" applyBorder="1" applyAlignment="1">
      <alignment horizontal="center" vertical="center"/>
    </xf>
    <xf numFmtId="165" fontId="19" fillId="3" borderId="18" xfId="1" applyNumberFormat="1" applyFont="1" applyFill="1" applyBorder="1" applyAlignment="1">
      <alignment horizontal="center" vertical="center"/>
    </xf>
    <xf numFmtId="165" fontId="19" fillId="3" borderId="0" xfId="1" applyNumberFormat="1" applyFont="1" applyFill="1" applyBorder="1" applyAlignment="1">
      <alignment horizontal="center" vertical="center"/>
    </xf>
    <xf numFmtId="165" fontId="19" fillId="7" borderId="18" xfId="1" applyNumberFormat="1" applyFont="1" applyFill="1" applyBorder="1" applyAlignment="1">
      <alignment horizontal="center" vertical="center"/>
    </xf>
    <xf numFmtId="165" fontId="19" fillId="7" borderId="0" xfId="1" applyNumberFormat="1" applyFont="1" applyFill="1" applyBorder="1" applyAlignment="1">
      <alignment horizontal="center" vertical="center"/>
    </xf>
    <xf numFmtId="0" fontId="20" fillId="2" borderId="24" xfId="0" applyFont="1" applyFill="1" applyBorder="1" applyAlignment="1">
      <alignment horizontal="center"/>
    </xf>
    <xf numFmtId="0" fontId="20" fillId="2" borderId="23" xfId="0" applyFont="1" applyFill="1" applyBorder="1" applyAlignment="1">
      <alignment horizontal="center"/>
    </xf>
    <xf numFmtId="0" fontId="14" fillId="0" borderId="20" xfId="0" applyFont="1" applyBorder="1" applyAlignment="1">
      <alignment horizontal="center"/>
    </xf>
    <xf numFmtId="0" fontId="14" fillId="0" borderId="9" xfId="0" applyFont="1" applyBorder="1" applyAlignment="1">
      <alignment horizontal="center"/>
    </xf>
    <xf numFmtId="0" fontId="14" fillId="0" borderId="19" xfId="0" applyFont="1" applyBorder="1" applyAlignment="1">
      <alignment horizontal="center"/>
    </xf>
    <xf numFmtId="165" fontId="17" fillId="8" borderId="16" xfId="1" applyNumberFormat="1" applyFont="1" applyFill="1" applyBorder="1" applyAlignment="1">
      <alignment horizontal="center" vertical="center"/>
    </xf>
    <xf numFmtId="165" fontId="19" fillId="7" borderId="17" xfId="1" applyNumberFormat="1" applyFont="1" applyFill="1" applyBorder="1" applyAlignment="1">
      <alignment horizontal="center" vertical="center"/>
    </xf>
    <xf numFmtId="165" fontId="19" fillId="7" borderId="16" xfId="1" applyNumberFormat="1" applyFont="1" applyFill="1" applyBorder="1" applyAlignment="1">
      <alignment horizontal="center" vertical="center"/>
    </xf>
    <xf numFmtId="165" fontId="19" fillId="7" borderId="15" xfId="1" applyNumberFormat="1" applyFont="1" applyFill="1" applyBorder="1" applyAlignment="1">
      <alignment horizontal="center" vertical="center"/>
    </xf>
    <xf numFmtId="0" fontId="14" fillId="0" borderId="31" xfId="0" applyFont="1" applyBorder="1" applyAlignment="1">
      <alignment horizontal="center"/>
    </xf>
    <xf numFmtId="0" fontId="14" fillId="0" borderId="29" xfId="0" applyFont="1" applyBorder="1" applyAlignment="1">
      <alignment horizontal="center"/>
    </xf>
    <xf numFmtId="42" fontId="19" fillId="3" borderId="27" xfId="1" applyNumberFormat="1" applyFont="1" applyFill="1" applyBorder="1" applyAlignment="1">
      <alignment horizontal="center" vertical="center"/>
    </xf>
    <xf numFmtId="42" fontId="19" fillId="3" borderId="26" xfId="1" applyNumberFormat="1" applyFont="1" applyFill="1" applyBorder="1" applyAlignment="1">
      <alignment horizontal="center" vertical="center"/>
    </xf>
    <xf numFmtId="165" fontId="19" fillId="6" borderId="1" xfId="1" applyNumberFormat="1" applyFont="1" applyFill="1" applyBorder="1" applyAlignment="1">
      <alignment horizontal="center" vertical="center"/>
    </xf>
    <xf numFmtId="165" fontId="19" fillId="6" borderId="21" xfId="1" applyNumberFormat="1" applyFont="1" applyFill="1" applyBorder="1" applyAlignment="1">
      <alignment horizontal="center" vertical="center"/>
    </xf>
    <xf numFmtId="165" fontId="19" fillId="7" borderId="22" xfId="1" applyNumberFormat="1" applyFont="1" applyFill="1" applyBorder="1" applyAlignment="1">
      <alignment horizontal="center" vertical="center"/>
    </xf>
    <xf numFmtId="165" fontId="19" fillId="7" borderId="1" xfId="1" applyNumberFormat="1" applyFont="1" applyFill="1" applyBorder="1" applyAlignment="1">
      <alignment horizontal="center" vertical="center"/>
    </xf>
    <xf numFmtId="165" fontId="19" fillId="7" borderId="21" xfId="1" applyNumberFormat="1" applyFont="1" applyFill="1" applyBorder="1" applyAlignment="1">
      <alignment horizontal="center" vertical="center"/>
    </xf>
    <xf numFmtId="0" fontId="31" fillId="19" borderId="6" xfId="0" applyFont="1" applyFill="1" applyBorder="1" applyAlignment="1">
      <alignment horizontal="center" vertical="top"/>
    </xf>
    <xf numFmtId="0" fontId="31" fillId="19" borderId="4" xfId="0" applyFont="1" applyFill="1" applyBorder="1" applyAlignment="1">
      <alignment horizontal="center" vertical="top"/>
    </xf>
    <xf numFmtId="0" fontId="31" fillId="19" borderId="5" xfId="0" applyFont="1" applyFill="1" applyBorder="1" applyAlignment="1">
      <alignment horizontal="center" vertical="top"/>
    </xf>
    <xf numFmtId="0" fontId="0" fillId="16" borderId="0" xfId="0" applyFill="1" applyAlignment="1">
      <alignment horizontal="center" vertical="center"/>
    </xf>
    <xf numFmtId="0" fontId="0" fillId="15" borderId="0" xfId="0" applyFill="1" applyAlignment="1">
      <alignment horizontal="center" vertical="center"/>
    </xf>
    <xf numFmtId="0" fontId="0" fillId="0" borderId="0" xfId="0" applyAlignment="1">
      <alignment horizontal="center" vertical="center"/>
    </xf>
    <xf numFmtId="0" fontId="0" fillId="12" borderId="0" xfId="0" applyFill="1" applyAlignment="1">
      <alignment horizontal="center" vertical="center"/>
    </xf>
    <xf numFmtId="0" fontId="26" fillId="2" borderId="0" xfId="0" applyFont="1" applyFill="1" applyAlignment="1">
      <alignment horizontal="center"/>
    </xf>
    <xf numFmtId="0" fontId="0" fillId="0" borderId="0" xfId="0" applyAlignment="1">
      <alignment horizontal="center" vertical="center" wrapText="1"/>
    </xf>
    <xf numFmtId="0" fontId="26" fillId="2" borderId="0" xfId="0" applyFont="1" applyFill="1" applyAlignment="1">
      <alignment horizontal="center" vertical="center"/>
    </xf>
    <xf numFmtId="0" fontId="0" fillId="0" borderId="0" xfId="0" applyAlignment="1">
      <alignment horizontal="center" vertical="top"/>
    </xf>
    <xf numFmtId="0" fontId="0" fillId="12" borderId="0" xfId="0" applyFill="1" applyAlignment="1">
      <alignment horizontal="center"/>
    </xf>
    <xf numFmtId="0" fontId="28" fillId="14" borderId="0" xfId="0" applyFont="1" applyFill="1" applyAlignment="1">
      <alignment horizontal="center"/>
    </xf>
    <xf numFmtId="0" fontId="28" fillId="11" borderId="0" xfId="0" applyFont="1" applyFill="1" applyAlignment="1">
      <alignment horizontal="center"/>
    </xf>
    <xf numFmtId="0" fontId="0" fillId="17" borderId="0" xfId="0" applyFill="1" applyAlignment="1">
      <alignment horizontal="center"/>
    </xf>
    <xf numFmtId="0" fontId="0" fillId="11" borderId="0" xfId="0" applyFill="1" applyAlignment="1">
      <alignment horizontal="center" vertical="center"/>
    </xf>
    <xf numFmtId="0" fontId="0" fillId="0" borderId="10" xfId="0" applyBorder="1" applyAlignment="1">
      <alignment horizontal="center" vertical="top"/>
    </xf>
    <xf numFmtId="0" fontId="0" fillId="0" borderId="13" xfId="0" applyBorder="1" applyAlignment="1">
      <alignment horizontal="center" vertical="top"/>
    </xf>
    <xf numFmtId="0" fontId="20" fillId="2" borderId="36" xfId="0" applyFont="1" applyFill="1" applyBorder="1" applyAlignment="1">
      <alignment horizontal="center"/>
    </xf>
    <xf numFmtId="0" fontId="14" fillId="0" borderId="28" xfId="0" applyFont="1" applyBorder="1" applyAlignment="1">
      <alignment horizontal="center"/>
    </xf>
    <xf numFmtId="165" fontId="19" fillId="3" borderId="22" xfId="1" applyNumberFormat="1" applyFont="1" applyFill="1" applyBorder="1" applyAlignment="1">
      <alignment horizontal="center" vertical="center"/>
    </xf>
    <xf numFmtId="165" fontId="19" fillId="3" borderId="1" xfId="1" applyNumberFormat="1" applyFont="1" applyFill="1" applyBorder="1" applyAlignment="1">
      <alignment horizontal="center" vertical="center"/>
    </xf>
    <xf numFmtId="165" fontId="19" fillId="6" borderId="22" xfId="1" applyNumberFormat="1" applyFont="1" applyFill="1" applyBorder="1" applyAlignment="1">
      <alignment horizontal="center" vertical="center"/>
    </xf>
    <xf numFmtId="165" fontId="19" fillId="3" borderId="27" xfId="1" applyNumberFormat="1" applyFont="1" applyFill="1" applyBorder="1" applyAlignment="1">
      <alignment horizontal="center" vertical="center"/>
    </xf>
    <xf numFmtId="165" fontId="19" fillId="3" borderId="26" xfId="1" applyNumberFormat="1" applyFont="1" applyFill="1" applyBorder="1" applyAlignment="1">
      <alignment horizontal="center" vertical="center"/>
    </xf>
  </cellXfs>
  <cellStyles count="5">
    <cellStyle name="Currency" xfId="1" builtinId="4"/>
    <cellStyle name="Hyperlink" xfId="4" builtinId="8"/>
    <cellStyle name="Normal" xfId="0" builtinId="0"/>
    <cellStyle name="Normal 20" xfId="3" xr:uid="{B7DB083B-4BF6-427B-BB3D-9E53AD916401}"/>
    <cellStyle name="Percent" xfId="2" builtinId="5"/>
  </cellStyles>
  <dxfs count="171">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 formatCode="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67" formatCode="&quot;$&quot;#,##0.00"/>
      <fill>
        <patternFill patternType="none">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7" formatCode="&quot;$&quot;#,##0.00"/>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7" formatCode="&quot;$&quot;#,##0.00"/>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0" formatCode="@"/>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0" formatCode="@"/>
      <fill>
        <patternFill patternType="none">
          <bgColor auto="1"/>
        </patternFill>
      </fill>
      <border diagonalUp="0" diagonalDown="0" outline="0">
        <left style="thin">
          <color indexed="64"/>
        </left>
        <right style="thin">
          <color indexed="64"/>
        </right>
        <top style="thin">
          <color indexed="64"/>
        </top>
        <bottom style="thin">
          <color indexed="64"/>
        </bottom>
      </border>
    </dxf>
    <dxf>
      <border outline="0">
        <left style="thin">
          <color rgb="FF000000"/>
        </left>
      </border>
    </dxf>
    <dxf>
      <fill>
        <patternFill patternType="none">
          <bgColor auto="1"/>
        </patternFill>
      </fill>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border diagonalUp="0" diagonalDown="0">
        <left/>
        <right style="medium">
          <color indexed="64"/>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7" formatCode="&quot;$&quot;#,##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32" formatCode="_(&quot;$&quot;* #,##0_);_(&quot;$&quot;* \(#,##0\);_(&quot;$&quot;* &quot;-&quot;_);_(@_)"/>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7" formatCode="&quot;$&quot;#,##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6" formatCode="0.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7" formatCode="&quot;$&quot;#,##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166" formatCode="0.00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32" formatCode="_(&quot;$&quot;* #,##0_);_(&quot;$&quot;* \(#,##0\);_(&quot;$&quot;* &quot;-&quot;_);_(@_)"/>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style="medium">
          <color indexed="64"/>
        </left>
        <right/>
        <top style="medium">
          <color auto="1"/>
        </top>
        <bottom style="medium">
          <color auto="1"/>
        </bottom>
        <vertical/>
        <horizontal style="medium">
          <color auto="1"/>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30" formatCode="@"/>
    </dxf>
    <dxf>
      <border outline="0">
        <left style="thin">
          <color rgb="FF000000"/>
        </left>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right style="medium">
          <color indexed="64"/>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4" formatCode="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style="medium">
          <color indexed="64"/>
        </top>
        <bottom/>
        <vertical/>
        <horizontal/>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bottom/>
        <vertical/>
        <horizontal/>
      </border>
    </dxf>
    <dxf>
      <numFmt numFmtId="30" formatCode="@"/>
      <alignment horizontal="center" vertical="bottom" textRotation="0" wrapText="0" indent="0" justifyLastLine="0" shrinkToFit="0" readingOrder="0"/>
    </dxf>
    <dxf>
      <alignment horizontal="center" vertical="center" textRotation="0" wrapText="0" indent="0" justifyLastLine="0" shrinkToFit="0" readingOrder="0"/>
    </dxf>
    <dxf>
      <numFmt numFmtId="30" formatCode="@"/>
      <alignment horizontal="center" vertical="center" textRotation="0" wrapText="0" indent="0" justifyLastLine="0" shrinkToFit="0" readingOrder="0"/>
      <border diagonalUp="0" diagonalDown="0">
        <left style="medium">
          <color indexed="64"/>
        </left>
        <right/>
        <top/>
        <bottom/>
        <vertical/>
        <horizontal/>
      </border>
    </dxf>
    <dxf>
      <font>
        <b/>
        <i val="0"/>
        <strike val="0"/>
        <condense val="0"/>
        <extend val="0"/>
        <outline val="0"/>
        <shadow val="0"/>
        <u val="none"/>
        <vertAlign val="baseline"/>
        <sz val="12"/>
        <color auto="1"/>
        <name val="Calibri"/>
        <family val="2"/>
        <scheme val="minor"/>
      </font>
      <alignment horizontal="center" vertical="center" textRotation="0" wrapText="1" indent="0" justifyLastLine="0" shrinkToFit="0" readingOrder="0"/>
    </dxf>
    <dxf>
      <fill>
        <patternFill patternType="solid">
          <fgColor theme="9" tint="0.79998168889431442"/>
          <bgColor theme="9" tint="0.79998168889431442"/>
        </patternFill>
      </fill>
      <border diagonalUp="0" diagonalDown="0" outline="0">
        <left/>
        <right/>
        <top style="thin">
          <color theme="9" tint="0.39997558519241921"/>
        </top>
        <bottom/>
      </border>
    </dxf>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style="thin">
          <color theme="9" tint="0.39997558519241921"/>
        </right>
        <top style="thin">
          <color theme="9" tint="0.39997558519241921"/>
        </top>
        <bottom/>
      </border>
    </dxf>
    <dxf>
      <fill>
        <patternFill patternType="solid">
          <fgColor theme="9" tint="0.79998168889431442"/>
          <bgColor theme="9" tint="0.79998168889431442"/>
        </patternFill>
      </fill>
      <border diagonalUp="0" diagonalDown="0">
        <left/>
        <right style="thin">
          <color theme="9" tint="0.39997558519241921"/>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27" formatCode="m/d/yyyy\ h:mm"/>
      <fill>
        <patternFill patternType="solid">
          <fgColor theme="9" tint="0.79998168889431442"/>
          <bgColor theme="9" tint="0.79998168889431442"/>
        </patternFill>
      </fill>
      <border diagonalUp="0" diagonalDown="0" outline="0">
        <left style="thin">
          <color theme="9" tint="0.39997558519241921"/>
        </left>
        <right/>
        <top style="thin">
          <color theme="9" tint="0.39997558519241921"/>
        </top>
        <bottom/>
      </border>
    </dxf>
    <dxf>
      <numFmt numFmtId="27" formatCode="m/d/yyyy\ h:mm"/>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style="thin">
          <color theme="9" tint="0.39997558519241921"/>
        </bottom>
        <vertical/>
        <horizontal/>
      </border>
    </dxf>
    <dxf>
      <border outline="0">
        <bottom style="thin">
          <color theme="9" tint="0.39997558519241921"/>
        </bottom>
      </border>
    </dxf>
    <dxf>
      <fill>
        <patternFill patternType="solid">
          <fgColor theme="9" tint="0.79998168889431442"/>
          <bgColor theme="9" tint="0.79998168889431442"/>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theme="1"/>
        <name val="Calibri"/>
        <scheme val="minor"/>
      </font>
      <numFmt numFmtId="3" formatCode="#,##0"/>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32" formatCode="_(&quot;$&quot;* #,##0_);_(&quot;$&quot;* \(#,##0\);_(&quot;$&quot;* &quot;-&quot;_);_(@_)"/>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theme="1"/>
        <name val="Calibri"/>
        <scheme val="minor"/>
      </font>
      <numFmt numFmtId="3" formatCode="#,##0"/>
      <fill>
        <patternFill patternType="none">
          <bgColor auto="1"/>
        </patternFill>
      </fill>
    </dxf>
    <dxf>
      <font>
        <b val="0"/>
        <i val="0"/>
        <strike val="0"/>
        <condense val="0"/>
        <extend val="0"/>
        <outline val="0"/>
        <shadow val="0"/>
        <u val="none"/>
        <vertAlign val="baseline"/>
        <sz val="11"/>
        <color rgb="FF000000"/>
        <name val="Calibri"/>
        <scheme val="none"/>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0" formatCode="@"/>
      <fill>
        <patternFill patternType="none">
          <bgColor auto="1"/>
        </patternFill>
      </fill>
      <alignment horizontal="center" vertical="bottom" textRotation="0" wrapText="0" indent="0" justifyLastLine="0" shrinkToFit="0" readingOrder="0"/>
      <border diagonalUp="0" diagonalDown="0">
        <left style="thin">
          <color indexed="64"/>
        </left>
        <right style="medium">
          <color indexed="64"/>
        </right>
        <top/>
        <bottom/>
        <vertical/>
        <horizontal/>
      </border>
    </dxf>
    <dxf>
      <font>
        <b val="0"/>
        <i val="0"/>
        <strike val="0"/>
        <condense val="0"/>
        <extend val="0"/>
        <outline val="0"/>
        <shadow val="0"/>
        <u val="none"/>
        <vertAlign val="baseline"/>
        <sz val="11"/>
        <color theme="1"/>
        <name val="Calibri"/>
        <scheme val="minor"/>
      </font>
      <fill>
        <patternFill patternType="none">
          <bgColor auto="1"/>
        </patternFill>
      </fill>
      <border diagonalUp="0" diagonalDown="0">
        <left style="thin">
          <color indexed="64"/>
        </left>
        <right style="thin">
          <color indexed="64"/>
        </right>
        <top/>
        <bottom/>
        <vertical/>
        <horizontal/>
      </border>
    </dxf>
    <dxf>
      <font>
        <b val="0"/>
        <i val="0"/>
        <strike val="0"/>
        <condense val="0"/>
        <extend val="0"/>
        <outline val="0"/>
        <shadow val="0"/>
        <u val="none"/>
        <vertAlign val="baseline"/>
        <sz val="11"/>
        <color theme="1"/>
        <name val="Calibri"/>
        <scheme val="minor"/>
      </font>
      <numFmt numFmtId="168" formatCode="0##########"/>
      <fill>
        <patternFill patternType="solid">
          <fgColor indexed="64"/>
          <bgColor theme="0"/>
        </patternFill>
      </fill>
      <border diagonalUp="0" diagonalDown="0" outline="0">
        <right style="thin">
          <color auto="1"/>
        </right>
      </border>
    </dxf>
    <dxf>
      <border outline="0">
        <left style="thin">
          <color rgb="FF000000"/>
        </left>
      </border>
    </dxf>
    <dxf>
      <font>
        <b val="0"/>
        <i val="0"/>
        <strike val="0"/>
        <condense val="0"/>
        <extend val="0"/>
        <outline val="0"/>
        <shadow val="0"/>
        <u val="none"/>
        <vertAlign val="baseline"/>
        <sz val="11"/>
        <color theme="1"/>
        <name val="Calibri"/>
        <scheme val="minor"/>
      </font>
      <fill>
        <patternFill patternType="none">
          <bgColor auto="1"/>
        </patternFill>
      </fill>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font>
        <color rgb="FF000000"/>
      </font>
      <numFmt numFmtId="166" formatCode="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30" formatCode="@"/>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0" formatCode="General"/>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8" formatCode="0##########"/>
      <border diagonalUp="0" diagonalDown="0">
        <left style="thin">
          <color indexed="64"/>
        </left>
        <right style="thin">
          <color indexed="64"/>
        </right>
        <top style="thin">
          <color indexed="64"/>
        </top>
        <bottom style="thin">
          <color indexed="64"/>
        </bottom>
        <vertical/>
        <horizontal/>
      </border>
    </dxf>
    <dxf>
      <border outline="0">
        <left style="thin">
          <color indexed="64"/>
        </left>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FFFDCD"/>
      <color rgb="FFF2DC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sharedStrings" Target="sharedStrings.xml"/><Relationship Id="rId35"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xdr:from>
      <xdr:col>2</xdr:col>
      <xdr:colOff>95999</xdr:colOff>
      <xdr:row>0</xdr:row>
      <xdr:rowOff>125999</xdr:rowOff>
    </xdr:from>
    <xdr:ext cx="1228725" cy="476250"/>
    <xdr:pic>
      <xdr:nvPicPr>
        <xdr:cNvPr id="2" name="Picture 1">
          <a:hlinkClick xmlns:r="http://schemas.openxmlformats.org/officeDocument/2006/relationships" r:id="rId1"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88.576908912037" createdVersion="7" refreshedVersion="8" minRefreshableVersion="3" recordCount="932" xr:uid="{3378345A-F552-4E57-8DEF-D491B1C457AB}">
  <cacheSource type="worksheet">
    <worksheetSource name="Table3"/>
  </cacheSource>
  <cacheFields count="19">
    <cacheField name="Census Tract" numFmtId="168">
      <sharedItems containsString="0" containsBlank="1" containsNumber="1" containsInteger="1" minValue="9000016000" maxValue="9015908100" count="640">
        <n v="9013528100"/>
        <n v="9013529100"/>
        <n v="9013850100"/>
        <n v="9015830100"/>
        <n v="9015902200"/>
        <n v="9003460301"/>
        <n v="9003460302"/>
        <n v="9003462101"/>
        <n v="9003462102"/>
        <n v="9003462201"/>
        <n v="9003462202"/>
        <n v="9003330100"/>
        <n v="9005290100"/>
        <n v="9005320100"/>
        <n v="9009130101"/>
        <n v="9009341100"/>
        <n v="9003400100"/>
        <n v="9003400200"/>
        <n v="9003400300"/>
        <n v="9003490302"/>
        <n v="9009171600"/>
        <n v="9009161100"/>
        <n v="9001200100"/>
        <n v="9001200200"/>
        <n v="9001200301"/>
        <n v="9001200302"/>
        <n v="9001205300"/>
        <n v="9001210400"/>
        <n v="9001210500"/>
        <n v="9001230400"/>
        <n v="9005303100"/>
        <n v="9005342100"/>
        <n v="9005362102"/>
        <n v="9003471100"/>
        <n v="9003471200"/>
        <n v="9003471300"/>
        <n v="9003471400"/>
        <n v="9003471500"/>
        <n v="9003473100"/>
        <n v="9003473501"/>
        <n v="9003503900"/>
        <n v="9003514900"/>
        <n v="9013526102"/>
        <n v="9013530600"/>
        <n v="9009184100"/>
        <n v="9009184200"/>
        <n v="9009184300"/>
        <n v="9009184400"/>
        <n v="9009184500"/>
        <n v="9009184600"/>
        <n v="9009184700"/>
        <n v="9005250100"/>
        <n v="9005268100"/>
        <n v="9003405100"/>
        <n v="9003405200"/>
        <n v="9003405300"/>
        <n v="9003405401"/>
        <n v="9003405402"/>
        <n v="9003405500"/>
        <n v="9003405600"/>
        <n v="9003405700"/>
        <n v="9003405800"/>
        <n v="9003405900"/>
        <n v="9003406001"/>
        <n v="9003406002"/>
        <n v="9003406100"/>
        <n v="9003410101"/>
        <n v="9003420500"/>
        <n v="9003430601"/>
        <n v="9005425400"/>
        <n v="9001205100"/>
        <n v="9001205200"/>
        <n v="9001211400"/>
        <n v="9005253400"/>
        <n v="9015902500"/>
        <n v="9015905100"/>
        <n v="9003410102"/>
        <n v="9005260200"/>
        <n v="9005261100"/>
        <n v="9005263200"/>
        <n v="9005425600"/>
        <n v="9015825000"/>
        <n v="9015906100"/>
        <n v="9003464101"/>
        <n v="9003464102"/>
        <n v="9003466102"/>
        <n v="9003466202"/>
        <n v="9013881100"/>
        <n v="9015815000"/>
        <n v="9009166002"/>
        <n v="9009343101"/>
        <n v="9009343102"/>
        <n v="9009343200"/>
        <n v="9009343300"/>
        <n v="9009343400"/>
        <n v="9009347100"/>
        <n v="9007600100"/>
        <n v="9007610100"/>
        <n v="9007610200"/>
        <n v="9007610300"/>
        <n v="9007610400"/>
        <n v="9007550201"/>
        <n v="9007595101"/>
        <n v="9011714101"/>
        <n v="9011714103"/>
        <n v="9011714104"/>
        <n v="9011715100"/>
        <n v="9011870100"/>
        <n v="9013526101"/>
        <n v="9005293100"/>
        <n v="9013850200"/>
        <n v="9013860100"/>
        <n v="9005262100"/>
        <n v="9005265100"/>
        <n v="9005266100"/>
        <n v="9007570100"/>
        <n v="9007570200"/>
        <n v="9007570300"/>
        <n v="9001210100"/>
        <n v="9001210200"/>
        <n v="9001210300"/>
        <n v="9001210600"/>
        <n v="9001210701"/>
        <n v="9001210702"/>
        <n v="9001210800"/>
        <n v="9001210900"/>
        <n v="9001211000"/>
        <n v="9001211100"/>
        <n v="9001211200"/>
        <n v="9001211300"/>
        <n v="9001220200"/>
        <n v="9001220300"/>
        <n v="9001240100"/>
        <n v="9001245200"/>
        <n v="9001245600"/>
        <n v="9001030100"/>
        <n v="9001030200"/>
        <n v="9001030300"/>
        <n v="9001030400"/>
        <n v="9001030500"/>
        <n v="9007620100"/>
        <n v="9007585100"/>
        <n v="9009190303"/>
        <n v="9003470100"/>
        <n v="9003477101"/>
        <n v="9003477200"/>
        <n v="9007595102"/>
        <n v="9007550100"/>
        <n v="9007550202"/>
        <n v="9007590100"/>
        <n v="9003496900"/>
        <n v="9003510100"/>
        <n v="9003510200"/>
        <n v="9003510300"/>
        <n v="9003510400"/>
        <n v="9003510500"/>
        <n v="9003510600"/>
        <n v="9003510700"/>
        <n v="9003510800"/>
        <n v="9003510900"/>
        <n v="9003511000"/>
        <n v="9003511100"/>
        <n v="9003511200"/>
        <n v="9003511300"/>
        <n v="9003511400"/>
        <n v="9003514102"/>
        <n v="9011695202"/>
        <n v="9011716101"/>
        <n v="9011716102"/>
        <n v="9011870701"/>
        <n v="9011870703"/>
        <n v="9011870704"/>
        <n v="9003484100"/>
        <n v="9003484200"/>
        <n v="9003487100"/>
        <n v="9013530100"/>
        <n v="9013535100"/>
        <n v="9013535200"/>
        <n v="9013538201"/>
        <n v="9013538202"/>
        <n v="9003480300"/>
        <n v="9003480400"/>
        <n v="9003480500"/>
        <n v="9003480600"/>
        <n v="9003480700"/>
        <n v="9003480800"/>
        <n v="9003480900"/>
        <n v="9003481000"/>
        <n v="9003481100"/>
        <n v="9003481200"/>
        <n v="9003481300"/>
        <n v="9003524300"/>
        <n v="9007630100"/>
        <n v="9007670100"/>
        <n v="9003420600"/>
        <n v="9003460100"/>
        <n v="9003460202"/>
        <n v="9003460203"/>
        <n v="9003460204"/>
        <n v="9003496200"/>
        <n v="9011712100"/>
        <n v="9003520100"/>
        <n v="9003520201"/>
        <n v="9003520202"/>
        <n v="9003520301"/>
        <n v="9003520302"/>
        <n v="9003520400"/>
        <n v="9003520501"/>
        <n v="9007560100"/>
        <n v="9005296100"/>
        <n v="9003468101"/>
        <n v="9003468102"/>
        <n v="9001010101"/>
        <n v="9001010102"/>
        <n v="9001010201"/>
        <n v="9001010202"/>
        <n v="9001010300"/>
        <n v="9001010400"/>
        <n v="9001010500"/>
        <n v="9001010600"/>
        <n v="9001010700"/>
        <n v="9001010800"/>
        <n v="9001010900"/>
        <n v="9001011000"/>
        <n v="9001011100"/>
        <n v="9001011200"/>
        <n v="9001011300"/>
        <n v="9001020200"/>
        <n v="9001021400"/>
        <n v="9011709100"/>
        <n v="9011709200"/>
        <n v="9011710100"/>
        <n v="9011702100"/>
        <n v="9011702400"/>
        <n v="9011702600"/>
        <n v="9011702700"/>
        <n v="9011702800"/>
        <n v="9011702900"/>
        <n v="9011703000"/>
        <n v="9009190100"/>
        <n v="9009190200"/>
        <n v="9009190301"/>
        <n v="9009190302"/>
        <n v="9009194201"/>
        <n v="9015820000"/>
        <n v="9003496700"/>
        <n v="9003496800"/>
        <n v="9003497100"/>
        <n v="9003500100"/>
        <n v="9003500200"/>
        <n v="9003500300"/>
        <n v="9003500400"/>
        <n v="9003500500"/>
        <n v="9003500900"/>
        <n v="9003501200"/>
        <n v="9003501300"/>
        <n v="9003501400"/>
        <n v="9003501500"/>
        <n v="9003501700"/>
        <n v="9003501800"/>
        <n v="9003502100"/>
        <n v="9003502300"/>
        <n v="9003502400"/>
        <n v="9003502500"/>
        <n v="9003502600"/>
        <n v="9003502700"/>
        <n v="9003502800"/>
        <n v="9003502900"/>
        <n v="9003503000"/>
        <n v="9003503100"/>
        <n v="9003503300"/>
        <n v="9003503500"/>
        <n v="9003503700"/>
        <n v="9003503800"/>
        <n v="9003504000"/>
        <n v="9003504100"/>
        <n v="9003504200"/>
        <n v="9003504300"/>
        <n v="9003504500"/>
        <n v="9003504800"/>
        <n v="9003504900"/>
        <n v="9003524400"/>
        <n v="9003524501"/>
        <n v="9003524502"/>
        <n v="9003524600"/>
        <n v="9003524700"/>
        <n v="9005298300"/>
        <n v="9005298400"/>
        <n v="9005310400"/>
        <n v="9005349200"/>
        <n v="9005425300"/>
        <n v="9005253500"/>
        <n v="9015904100"/>
        <n v="9015904400"/>
        <n v="9015904500"/>
        <n v="9015907100"/>
        <n v="9015907200"/>
        <n v="9015908100"/>
        <n v="9007640100"/>
        <n v="9011701100"/>
        <n v="9011701200"/>
        <n v="9011980000"/>
        <n v="9000016000"/>
        <n v="9011693400"/>
        <n v="9005300100"/>
        <n v="9005300400"/>
        <n v="9005300500"/>
        <n v="9005349100"/>
        <n v="9011650100"/>
        <n v="9009194100"/>
        <n v="9009194202"/>
        <n v="9003487201"/>
        <n v="9003487500"/>
        <n v="9003514101"/>
        <n v="9003514200"/>
        <n v="9003514300"/>
        <n v="9003514400"/>
        <n v="9003514500"/>
        <n v="9003514600"/>
        <n v="9003514700"/>
        <n v="9003514800"/>
        <n v="9003515000"/>
        <n v="9003515101"/>
        <n v="9003515102"/>
        <n v="9003515200"/>
        <n v="9013530500"/>
        <n v="9013840100"/>
        <n v="9013881200"/>
        <n v="9013881300"/>
        <n v="9013881500"/>
        <n v="9003524100"/>
        <n v="9003430301"/>
        <n v="9009170100"/>
        <n v="9009170200"/>
        <n v="9009170300"/>
        <n v="9009170400"/>
        <n v="9009170500"/>
        <n v="9009170600"/>
        <n v="9009170700"/>
        <n v="9009170800"/>
        <n v="9009170900"/>
        <n v="9009171000"/>
        <n v="9009171100"/>
        <n v="9009171200"/>
        <n v="9009171300"/>
        <n v="9009171400"/>
        <n v="9009171500"/>
        <n v="9009171700"/>
        <n v="9009175400"/>
        <n v="9009175700"/>
        <n v="9009344100"/>
        <n v="9009344200"/>
        <n v="9009345400"/>
        <n v="9007580100"/>
        <n v="9007541100"/>
        <n v="9007541200"/>
        <n v="9007541300"/>
        <n v="9007541401"/>
        <n v="9007541402"/>
        <n v="9007541500"/>
        <n v="9007541600"/>
        <n v="9007541700"/>
        <n v="9007542000"/>
        <n v="9007542100"/>
        <n v="9007542200"/>
        <n v="9007680200"/>
        <n v="9001100100"/>
        <n v="9001100200"/>
        <n v="9001100300"/>
        <n v="9001105200"/>
        <n v="9001110500"/>
        <n v="9011693600"/>
        <n v="9011695201"/>
        <n v="9011870501"/>
        <n v="9011870502"/>
        <n v="9009345100"/>
        <n v="9009345201"/>
        <n v="9009345202"/>
        <n v="9009345300"/>
        <n v="9009346102"/>
        <n v="9009347200"/>
        <n v="9009351900"/>
        <n v="9003415300"/>
        <n v="9003415400"/>
        <n v="9003415500"/>
        <n v="9003415600"/>
        <n v="9003415700"/>
        <n v="9003415800"/>
        <n v="9003417100"/>
        <n v="9003416000"/>
        <n v="9003416100"/>
        <n v="9003416200"/>
        <n v="9003416300"/>
        <n v="9003416400"/>
        <n v="9003416500"/>
        <n v="9003416600"/>
        <n v="9003416700"/>
        <n v="9003416800"/>
        <n v="9001020100"/>
        <n v="9003417300"/>
        <n v="9003417400"/>
        <n v="9003417500"/>
        <n v="9003494300"/>
        <n v="9001035100"/>
        <n v="9001035200"/>
        <n v="9001035300"/>
        <n v="9001035400"/>
        <n v="9001220100"/>
        <n v="9001257100"/>
        <n v="9005306100"/>
        <n v="9011690300"/>
        <n v="9011690400"/>
        <n v="9011690500"/>
        <n v="9011690700"/>
        <n v="9011690800"/>
        <n v="9011690900"/>
        <n v="9011870300"/>
        <n v="9005253100"/>
        <n v="9005253200"/>
        <n v="9005253300"/>
        <n v="9005253600"/>
        <n v="9005267100"/>
        <n v="9003492600"/>
        <n v="9003494100"/>
        <n v="9003494201"/>
        <n v="9003494202"/>
        <n v="9003494400"/>
        <n v="9003494500"/>
        <n v="9003494600"/>
        <n v="9001230100"/>
        <n v="9001230200"/>
        <n v="9001230300"/>
        <n v="9001230501"/>
        <n v="9001230502"/>
        <n v="9011707100"/>
        <n v="9011708100"/>
        <n v="9001042500"/>
        <n v="9001042600"/>
        <n v="9001042700"/>
        <n v="9001042800"/>
        <n v="9001042900"/>
        <n v="9001043000"/>
        <n v="9001043100"/>
        <n v="9001043200"/>
        <n v="9001043300"/>
        <n v="9001043400"/>
        <n v="9001043500"/>
        <n v="9001043600"/>
        <n v="9001043700"/>
        <n v="9001043800"/>
        <n v="9001043900"/>
        <n v="9001044000"/>
        <n v="9001044200"/>
        <n v="9001044300"/>
        <n v="9001044400"/>
        <n v="9001044500"/>
        <n v="9001044600"/>
        <n v="9001045300"/>
        <n v="9001045400"/>
        <n v="9001050400"/>
        <n v="9011660101"/>
        <n v="9011660102"/>
        <n v="9007670200"/>
        <n v="9009346101"/>
        <n v="9015907300"/>
        <n v="9003420400"/>
        <n v="9003420700"/>
        <n v="9005425500"/>
        <n v="9015901100"/>
        <n v="9007560200"/>
        <n v="9011697000"/>
        <n v="9011700100"/>
        <n v="9009352800"/>
        <n v="9015903100"/>
        <n v="9015903200"/>
        <n v="9001055100"/>
        <n v="9001240200"/>
        <n v="9001045102"/>
        <n v="9001245100"/>
        <n v="9001245300"/>
        <n v="9001245400"/>
        <n v="9001245500"/>
        <n v="9003490100"/>
        <n v="9003524200"/>
        <n v="9009120200"/>
        <n v="9009125300"/>
        <n v="9009125400"/>
        <n v="9009130102"/>
        <n v="9009130200"/>
        <n v="9003466101"/>
        <n v="9003466201"/>
        <n v="9003466300"/>
        <n v="9003466400"/>
        <n v="9013890202"/>
        <n v="9003487202"/>
        <n v="9003487300"/>
        <n v="9003487400"/>
        <n v="9013530301"/>
        <n v="9009348111"/>
        <n v="9009348122"/>
        <n v="9009348123"/>
        <n v="9009348124"/>
        <n v="9009348125"/>
        <n v="9003430100"/>
        <n v="9003430201"/>
        <n v="9003430202"/>
        <n v="9003430203"/>
        <n v="9003430302"/>
        <n v="9003430400"/>
        <n v="9003430500"/>
        <n v="9003430602"/>
        <n v="9011711100"/>
        <n v="9013890100"/>
        <n v="9013890201"/>
        <n v="9001020300"/>
        <n v="9001020400"/>
        <n v="9001020500"/>
        <n v="9001020600"/>
        <n v="9001020700"/>
        <n v="9001020800"/>
        <n v="9001020900"/>
        <n v="9001021000"/>
        <n v="9001021100"/>
        <n v="9001021200"/>
        <n v="9001021300"/>
        <n v="9001021500"/>
        <n v="9001021600"/>
        <n v="9001021700"/>
        <n v="9001021801"/>
        <n v="9001021802"/>
        <n v="9001021900"/>
        <n v="9001022000"/>
        <n v="9001022100"/>
        <n v="9001022200"/>
        <n v="9001022300"/>
        <n v="9001022400"/>
        <n v="9011705101"/>
        <n v="9011705102"/>
        <n v="9011705200"/>
        <n v="9011705300"/>
        <n v="9011705400"/>
        <n v="9003477102"/>
        <n v="9015900100"/>
        <n v="9015900200"/>
        <n v="9013533101"/>
        <n v="9013533102"/>
        <n v="9005310100"/>
        <n v="9005310200"/>
        <n v="9005310300"/>
        <n v="9005310500"/>
        <n v="9005310601"/>
        <n v="9005310602"/>
        <n v="9005310700"/>
        <n v="9005310801"/>
        <n v="9005310803"/>
        <n v="9005310804"/>
        <n v="9005320200"/>
        <n v="9013530302"/>
        <n v="9013530200"/>
        <n v="9013530400"/>
        <n v="9009350100"/>
        <n v="9009350200"/>
        <n v="9009350300"/>
        <n v="9009350400"/>
        <n v="9009350500"/>
        <n v="9009350800"/>
        <n v="9009350900"/>
        <n v="9009351000"/>
        <n v="9009351100"/>
        <n v="9009351200"/>
        <n v="9009351300"/>
        <n v="9009351400"/>
        <n v="9009351500"/>
        <n v="9009351601"/>
        <n v="9009351602"/>
        <n v="9009351700"/>
        <n v="9009351800"/>
        <n v="9009352000"/>
        <n v="9009352100"/>
        <n v="9009352200"/>
        <n v="9009352300"/>
        <n v="9009352400"/>
        <n v="9009352500"/>
        <n v="9009352600"/>
        <n v="9009352701"/>
        <n v="9009352702"/>
        <n v="9009361100"/>
        <n v="9011693300"/>
        <n v="9011693500"/>
        <n v="9011693700"/>
        <n v="9005360100"/>
        <n v="9005360200"/>
        <n v="9005360300"/>
        <n v="9005360400"/>
        <n v="9003496100"/>
        <n v="9003496300"/>
        <n v="9003496400"/>
        <n v="9003496500"/>
        <n v="9003496600"/>
        <n v="9003497000"/>
        <n v="9003497200"/>
        <n v="9003497300"/>
        <n v="9003497400"/>
        <n v="9003497500"/>
        <n v="9003497600"/>
        <n v="9003497700"/>
        <n v="9007680100"/>
        <n v="9001050100"/>
        <n v="9001050300"/>
        <n v="9001055200"/>
        <n v="9001105100"/>
        <n v="9001050200"/>
        <n v="9001050500"/>
        <n v="9001050600"/>
        <n v="9001060400"/>
        <n v="9003492100"/>
        <n v="9003492200"/>
        <n v="9003492300"/>
        <n v="9003492400"/>
        <n v="9003492500"/>
        <n v="9001045101"/>
        <n v="9001045200"/>
        <n v="9015800300"/>
        <n v="9015800400"/>
        <n v="9015800500"/>
        <n v="9015800600"/>
        <n v="9015800700"/>
        <n v="9003473400"/>
        <n v="9003473502"/>
        <n v="9003473601"/>
        <n v="9003473602"/>
        <n v="9003473700"/>
        <n v="9003473800"/>
        <n v="9003476100"/>
        <n v="9003476200"/>
        <n v="9003476300"/>
        <n v="9009361200"/>
        <n v="9009361300"/>
        <n v="9005362101"/>
        <m/>
      </sharedItems>
    </cacheField>
    <cacheField name="Town" numFmtId="0">
      <sharedItems containsBlank="1"/>
    </cacheField>
    <cacheField name="Distressed Tract1" numFmtId="0">
      <sharedItems/>
    </cacheField>
    <cacheField name="CLM $ Collected " numFmtId="42">
      <sharedItems containsSemiMixedTypes="0" containsString="0" containsNumber="1" minValue="7.6933152000000007" maxValue="70659148.926617205"/>
    </cacheField>
    <cacheField name="% of Total CLM $ Collected " numFmtId="166">
      <sharedItems containsSemiMixedTypes="0" containsString="0" containsNumber="1" minValue="6.825233499803976E-8" maxValue="0.62686264345647225"/>
    </cacheField>
    <cacheField name="Incentive Disbursements" numFmtId="42">
      <sharedItems containsSemiMixedTypes="0" containsString="0" containsNumber="1" minValue="0" maxValue="44405301.081499971"/>
    </cacheField>
    <cacheField name="% of Total Incentive Disbursements" numFmtId="166">
      <sharedItems containsSemiMixedTypes="0" containsString="0" containsNumber="1" minValue="0" maxValue="0.54328340943107023"/>
    </cacheField>
    <cacheField name="Residential CLM $ Collected" numFmtId="42">
      <sharedItems containsSemiMixedTypes="0" containsString="0" containsNumber="1" minValue="7.6933152000000007" maxValue="52629786.815592907"/>
    </cacheField>
    <cacheField name="% of Total Residential CLM $ Collected" numFmtId="166">
      <sharedItems containsSemiMixedTypes="0" containsString="0" containsNumber="1" minValue="6.825233499803976E-8" maxValue="0.4669126049343803"/>
    </cacheField>
    <cacheField name="Residential Incentive Disbursements" numFmtId="42">
      <sharedItems containsSemiMixedTypes="0" containsString="0" containsNumber="1" minValue="0" maxValue="36999853.3169"/>
    </cacheField>
    <cacheField name="% of Total Residential Incentive Disbursements " numFmtId="166">
      <sharedItems containsSemiMixedTypes="0" containsString="0" containsNumber="1" minValue="0" maxValue="0.45268033250267781"/>
    </cacheField>
    <cacheField name="C&amp;I CLM $ Collected" numFmtId="42">
      <sharedItems containsSemiMixedTypes="0" containsString="0" containsNumber="1" minValue="0" maxValue="18029362.111024335"/>
    </cacheField>
    <cacheField name="% of Total C&amp;I CLM $ Collected" numFmtId="166">
      <sharedItems containsSemiMixedTypes="0" containsString="0" containsNumber="1" minValue="0" maxValue="0.1599500385220923"/>
    </cacheField>
    <cacheField name="C&amp;I Incentive Disbursements" numFmtId="42">
      <sharedItems containsSemiMixedTypes="0" containsString="0" containsNumber="1" minValue="0" maxValue="7405447.7646000003"/>
    </cacheField>
    <cacheField name="% of TotalC&amp;I Incentive Disbursements " numFmtId="166">
      <sharedItems containsSemiMixedTypes="0" containsString="0" containsNumber="1" minValue="0" maxValue="9.0603076928392798E-2"/>
    </cacheField>
    <cacheField name="Affluence Rank " numFmtId="0">
      <sharedItems containsNonDate="0" containsString="0" containsBlank="1"/>
    </cacheField>
    <cacheField name="BIPOC Index" numFmtId="0">
      <sharedItems containsMixedTypes="1" containsNumber="1" containsInteger="1" minValue="1" maxValue="5"/>
    </cacheField>
    <cacheField name="Energy Burdened?" numFmtId="0">
      <sharedItems/>
    </cacheField>
    <cacheField name="Ratio of Billed Collects to Incentive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2">
  <r>
    <x v="0"/>
    <s v="ANDOVER"/>
    <s v="No"/>
    <n v="78377.260780799988"/>
    <n v="6.9533496548274587E-4"/>
    <n v="28236.48"/>
    <n v="3.4546350888550357E-4"/>
    <n v="66033.272865599996"/>
    <n v="5.8582352906064476E-4"/>
    <n v="14369.65"/>
    <n v="1.7580766832326749E-4"/>
    <n v="12343.987915199999"/>
    <n v="1.0951143642210119E-4"/>
    <n v="13866.83"/>
    <n v="1.6965584056223608E-4"/>
    <m/>
    <n v="1"/>
    <s v="No"/>
    <m/>
  </r>
  <r>
    <x v="1"/>
    <s v="ANDOVER"/>
    <s v="No"/>
    <n v="992.09612159999995"/>
    <n v="8.8015212013800227E-6"/>
    <n v="0"/>
    <n v="0"/>
    <n v="992.09612159999995"/>
    <n v="8.8015212013800227E-6"/>
    <n v="0"/>
    <n v="0"/>
    <n v="0"/>
    <n v="0"/>
    <n v="0"/>
    <n v="0"/>
    <m/>
    <n v="2"/>
    <s v="No"/>
    <m/>
  </r>
  <r>
    <x v="2"/>
    <s v="ANDOVER"/>
    <s v="No"/>
    <n v="209.21302080000001"/>
    <n v="1.8560629339083183E-6"/>
    <n v="0"/>
    <n v="0"/>
    <n v="209.21302080000001"/>
    <n v="1.8560629339083183E-6"/>
    <n v="0"/>
    <n v="0"/>
    <n v="0"/>
    <n v="0"/>
    <n v="0"/>
    <n v="0"/>
    <m/>
    <n v="3"/>
    <s v="No"/>
    <m/>
  </r>
  <r>
    <x v="3"/>
    <s v="ASHFORD"/>
    <s v="No"/>
    <n v="112486.96013760001"/>
    <n v="9.9794399249657933E-4"/>
    <n v="106590.4568"/>
    <n v="1.3040971544553955E-3"/>
    <n v="88003.867884480002"/>
    <n v="7.8073877331514521E-4"/>
    <n v="106590.4568"/>
    <n v="1.3040971544553955E-3"/>
    <n v="24483.092253120005"/>
    <n v="2.1720521918143412E-4"/>
    <n v="0"/>
    <n v="0"/>
    <m/>
    <n v="4"/>
    <s v="No"/>
    <m/>
  </r>
  <r>
    <x v="4"/>
    <s v="ASHFORD"/>
    <s v="No"/>
    <n v="1561.7371968000002"/>
    <n v="1.3855172648443309E-5"/>
    <n v="2802.3708999999999"/>
    <n v="3.4286032972687342E-5"/>
    <n v="1561.7371968000002"/>
    <n v="1.3855172648443309E-5"/>
    <n v="2802.3708999999999"/>
    <n v="3.4286032972687342E-5"/>
    <n v="0"/>
    <n v="0"/>
    <n v="0"/>
    <n v="0"/>
    <m/>
    <n v="2"/>
    <s v="No"/>
    <m/>
  </r>
  <r>
    <x v="5"/>
    <s v="AVON"/>
    <s v="No"/>
    <n v="456.74789760000004"/>
    <n v="4.0521036388377228E-6"/>
    <n v="0"/>
    <n v="0"/>
    <n v="456.74789760000004"/>
    <n v="4.0521036388377228E-6"/>
    <n v="0"/>
    <n v="0"/>
    <n v="0"/>
    <n v="0"/>
    <n v="0"/>
    <n v="0"/>
    <m/>
    <n v="3"/>
    <s v="No"/>
    <m/>
  </r>
  <r>
    <x v="6"/>
    <s v="AVON"/>
    <s v="No"/>
    <n v="1956.2149727999999"/>
    <n v="1.7354838087451147E-5"/>
    <n v="0"/>
    <n v="0"/>
    <n v="1956.2149727999999"/>
    <n v="1.7354838087451147E-5"/>
    <n v="0"/>
    <n v="0"/>
    <n v="0"/>
    <n v="0"/>
    <n v="0"/>
    <n v="0"/>
    <m/>
    <n v="3"/>
    <s v="No"/>
    <m/>
  </r>
  <r>
    <x v="7"/>
    <s v="AVON"/>
    <s v="No"/>
    <n v="275379.37238880002"/>
    <n v="2.4430670897028005E-3"/>
    <n v="220994.56520000001"/>
    <n v="2.7037916177447829E-3"/>
    <n v="138431.24565696"/>
    <n v="1.2281123946117235E-3"/>
    <n v="186175.93520000001"/>
    <n v="2.2777977936425551E-3"/>
    <n v="136948.12673184002"/>
    <n v="1.214954695091077E-3"/>
    <n v="34818.629999999997"/>
    <n v="4.2599382410222732E-4"/>
    <m/>
    <n v="4"/>
    <s v="No"/>
    <m/>
  </r>
  <r>
    <x v="8"/>
    <s v="AVON"/>
    <s v="No"/>
    <n v="95029.398115199991"/>
    <n v="8.4306675941481224E-4"/>
    <n v="14426.35"/>
    <n v="1.7650137309644775E-4"/>
    <n v="95029.398115199991"/>
    <n v="8.4306675941481224E-4"/>
    <n v="14426.35"/>
    <n v="1.7650137309644775E-4"/>
    <n v="0"/>
    <n v="0"/>
    <n v="0"/>
    <n v="0"/>
    <m/>
    <n v="4"/>
    <s v="No"/>
    <m/>
  </r>
  <r>
    <x v="9"/>
    <s v="AVON"/>
    <s v="No"/>
    <n v="111900.19984415999"/>
    <n v="9.9273846548120171E-4"/>
    <n v="68021.914199999999"/>
    <n v="8.3222445434560758E-4"/>
    <n v="111899.55728735999"/>
    <n v="9.9273276494757866E-4"/>
    <n v="68021.914199999999"/>
    <n v="8.3222445434560758E-4"/>
    <n v="0.64255680000000004"/>
    <n v="5.7005336228611085E-9"/>
    <n v="0"/>
    <n v="0"/>
    <m/>
    <n v="4"/>
    <s v="No"/>
    <m/>
  </r>
  <r>
    <x v="10"/>
    <s v="AVON"/>
    <s v="No"/>
    <n v="83246.663882880006"/>
    <n v="7.3853456450134053E-4"/>
    <n v="17796.78"/>
    <n v="2.1773741152095983E-4"/>
    <n v="83246.663882880006"/>
    <n v="7.3853456450134053E-4"/>
    <n v="17796.78"/>
    <n v="2.1773741152095983E-4"/>
    <n v="0"/>
    <n v="0"/>
    <n v="0"/>
    <n v="0"/>
    <m/>
    <n v="5"/>
    <s v="No"/>
    <m/>
  </r>
  <r>
    <x v="11"/>
    <s v="BARKHAMSTED"/>
    <s v="No"/>
    <n v="3140.5924540799997"/>
    <n v="2.7862210593969155E-5"/>
    <n v="0"/>
    <n v="0"/>
    <n v="3140.5924540799997"/>
    <n v="2.7862210593969155E-5"/>
    <n v="0"/>
    <n v="0"/>
    <n v="0"/>
    <n v="0"/>
    <n v="0"/>
    <n v="0"/>
    <m/>
    <n v="3"/>
    <s v="No"/>
    <m/>
  </r>
  <r>
    <x v="12"/>
    <s v="BARKHAMSTED"/>
    <s v="No"/>
    <n v="80928.668013120012"/>
    <n v="7.1797013596643121E-4"/>
    <n v="51220.400099999999"/>
    <n v="6.2666377484252279E-4"/>
    <n v="72807.389144640008"/>
    <n v="6.4592106069339436E-4"/>
    <n v="47244.700100000002"/>
    <n v="5.7802246855094195E-4"/>
    <n v="8121.2788684800007"/>
    <n v="7.2049075273036814E-5"/>
    <n v="3975.7"/>
    <n v="4.8641306291580841E-5"/>
    <m/>
    <n v="2"/>
    <s v="No"/>
    <m/>
  </r>
  <r>
    <x v="13"/>
    <s v="BARKHAMSTED"/>
    <s v="No"/>
    <n v="168.22252800000001"/>
    <n v="1.4924099736967913E-6"/>
    <n v="0"/>
    <n v="0"/>
    <n v="168.22252800000001"/>
    <n v="1.4924099736967913E-6"/>
    <n v="0"/>
    <n v="0"/>
    <n v="0"/>
    <n v="0"/>
    <n v="0"/>
    <n v="0"/>
    <m/>
    <n v="1"/>
    <s v="No"/>
    <m/>
  </r>
  <r>
    <x v="14"/>
    <s v="BEACON FALLS"/>
    <s v="No"/>
    <n v="639.00826559999996"/>
    <n v="5.6690522975384611E-6"/>
    <n v="0"/>
    <n v="0"/>
    <n v="639.00826559999996"/>
    <n v="5.6690522975384611E-6"/>
    <n v="0"/>
    <n v="0"/>
    <n v="0"/>
    <n v="0"/>
    <n v="0"/>
    <n v="0"/>
    <m/>
    <n v="2"/>
    <s v="No"/>
    <m/>
  </r>
  <r>
    <x v="15"/>
    <s v="BEACON FALLS"/>
    <s v="No"/>
    <n v="139240.40006879999"/>
    <n v="1.235290922534516E-3"/>
    <n v="125450.95"/>
    <n v="1.5348487268958405E-3"/>
    <n v="113902.65690912001"/>
    <n v="1.0105035468360956E-3"/>
    <n v="123113.15"/>
    <n v="1.5062465572531468E-3"/>
    <n v="25337.743159679998"/>
    <n v="2.2478737569842056E-4"/>
    <n v="2337.8000000000002"/>
    <n v="2.8602169642693788E-5"/>
    <m/>
    <n v="1"/>
    <s v="No"/>
    <m/>
  </r>
  <r>
    <x v="16"/>
    <s v="BERLIN"/>
    <s v="No"/>
    <n v="308615.61708"/>
    <n v="2.7379271399891325E-3"/>
    <n v="439874.09740000003"/>
    <n v="5.3817065425877369E-3"/>
    <n v="134773.82566560002"/>
    <n v="1.1956650753495632E-3"/>
    <n v="362603.68420000002"/>
    <n v="4.4363299206750641E-3"/>
    <n v="173841.79141439998"/>
    <n v="1.5422620646395691E-3"/>
    <n v="77270.413199999995"/>
    <n v="9.4537662191267224E-4"/>
    <m/>
    <n v="2"/>
    <s v="No"/>
    <m/>
  </r>
  <r>
    <x v="17"/>
    <s v="BERLIN"/>
    <s v="No"/>
    <n v="119228.18040288001"/>
    <n v="1.0577496824859178E-3"/>
    <n v="19579.490000000002"/>
    <n v="2.3954824813817547E-4"/>
    <n v="119228.18040288001"/>
    <n v="1.0577496824859178E-3"/>
    <n v="19579.490000000002"/>
    <n v="2.3954824813817547E-4"/>
    <n v="0"/>
    <n v="0"/>
    <n v="0"/>
    <n v="0"/>
    <m/>
    <n v="2"/>
    <s v="No"/>
    <m/>
  </r>
  <r>
    <x v="18"/>
    <s v="BERLIN"/>
    <s v="No"/>
    <n v="118629.3053088"/>
    <n v="1.0524366773014778E-3"/>
    <n v="26337.480200000002"/>
    <n v="3.2222990702433432E-4"/>
    <n v="118629.3053088"/>
    <n v="1.0524366773014778E-3"/>
    <n v="26337.480200000002"/>
    <n v="3.2222990702433432E-4"/>
    <n v="0"/>
    <n v="0"/>
    <n v="0"/>
    <n v="0"/>
    <m/>
    <n v="2"/>
    <s v="No"/>
    <m/>
  </r>
  <r>
    <x v="19"/>
    <s v="BERLIN"/>
    <s v="No"/>
    <n v="76.724755200000004"/>
    <n v="6.8067452826487507E-7"/>
    <n v="0"/>
    <n v="0"/>
    <n v="76.724755200000004"/>
    <n v="6.8067452826487507E-7"/>
    <n v="0"/>
    <n v="0"/>
    <n v="0"/>
    <n v="0"/>
    <n v="0"/>
    <n v="0"/>
    <m/>
    <n v="5"/>
    <s v="No"/>
    <m/>
  </r>
  <r>
    <x v="20"/>
    <s v="BERLIN"/>
    <s v="No"/>
    <n v="154.1210112"/>
    <n v="1.3673063709464338E-6"/>
    <n v="228.35"/>
    <n v="2.7937828034515895E-6"/>
    <n v="154.1210112"/>
    <n v="1.3673063709464338E-6"/>
    <n v="228.35"/>
    <n v="2.7937828034515895E-6"/>
    <n v="0"/>
    <n v="0"/>
    <n v="0"/>
    <n v="0"/>
    <m/>
    <n v="3"/>
    <s v="No"/>
    <m/>
  </r>
  <r>
    <x v="21"/>
    <s v="BETHANY"/>
    <s v="No"/>
    <n v="139960.93200479998"/>
    <n v="1.2416832236159352E-3"/>
    <n v="52036.621699999996"/>
    <n v="6.366499621422195E-4"/>
    <n v="119240.17653311999"/>
    <n v="1.0578561078537253E-3"/>
    <n v="37333.951699999998"/>
    <n v="4.5676790998183594E-4"/>
    <n v="20720.75547168"/>
    <n v="1.8382711576220986E-4"/>
    <n v="14702.67"/>
    <n v="1.7988205216038354E-4"/>
    <m/>
    <n v="4"/>
    <s v="No"/>
    <m/>
  </r>
  <r>
    <x v="22"/>
    <s v="BETHEL"/>
    <s v="No"/>
    <n v="67102.061904000002"/>
    <n v="5.9530544233141647E-4"/>
    <n v="10371.963599999999"/>
    <n v="1.2689736607710025E-4"/>
    <n v="67101.224843520002"/>
    <n v="5.9529801623085907E-4"/>
    <n v="10371.963599999999"/>
    <n v="1.2689736607710025E-4"/>
    <n v="0.83706048000000011"/>
    <n v="7.4261005573487962E-9"/>
    <n v="0"/>
    <n v="0"/>
    <m/>
    <n v="4"/>
    <s v="No"/>
    <m/>
  </r>
  <r>
    <x v="23"/>
    <s v="BETHEL"/>
    <s v="No"/>
    <n v="247653.1882944"/>
    <n v="2.1970903221022334E-3"/>
    <n v="176536.53519999998"/>
    <n v="2.1598630883410824E-3"/>
    <n v="130171.54616064001"/>
    <n v="1.1548353011415415E-3"/>
    <n v="103523.648"/>
    <n v="1.2665758157783032E-3"/>
    <n v="117481.64213376"/>
    <n v="1.0422550209606919E-3"/>
    <n v="73012.887199999997"/>
    <n v="8.9328727256277941E-4"/>
    <m/>
    <n v="4"/>
    <s v="No"/>
    <m/>
  </r>
  <r>
    <x v="24"/>
    <s v="BETHEL"/>
    <s v="No"/>
    <n v="95432.935363199998"/>
    <n v="8.4664679724228656E-4"/>
    <n v="16100.537899999999"/>
    <n v="1.9698447957670491E-4"/>
    <n v="95432.935363199998"/>
    <n v="8.4664679724228656E-4"/>
    <n v="16100.537899999999"/>
    <n v="1.9698447957670491E-4"/>
    <n v="0"/>
    <n v="0"/>
    <n v="0"/>
    <n v="0"/>
    <m/>
    <n v="4"/>
    <s v="No"/>
    <m/>
  </r>
  <r>
    <x v="25"/>
    <s v="BETHEL"/>
    <s v="No"/>
    <n v="112578.35429088002"/>
    <n v="9.9875480866676953E-4"/>
    <n v="17053.723399999999"/>
    <n v="2.0864637254101149E-4"/>
    <n v="112578.35429088002"/>
    <n v="9.9875480866676953E-4"/>
    <n v="17053.723399999999"/>
    <n v="2.0864637254101149E-4"/>
    <n v="0"/>
    <n v="0"/>
    <n v="0"/>
    <n v="0"/>
    <m/>
    <n v="1"/>
    <s v="No"/>
    <m/>
  </r>
  <r>
    <x v="26"/>
    <s v="BETHEL"/>
    <s v="No"/>
    <n v="227.8298016"/>
    <n v="2.0212243404949967E-6"/>
    <n v="0"/>
    <n v="0"/>
    <n v="227.8298016"/>
    <n v="2.0212243404949967E-6"/>
    <n v="0"/>
    <n v="0"/>
    <n v="0"/>
    <n v="0"/>
    <n v="0"/>
    <n v="0"/>
    <m/>
    <n v="4"/>
    <s v="No"/>
    <m/>
  </r>
  <r>
    <x v="27"/>
    <s v="BETHEL"/>
    <s v="No"/>
    <n v="2053.6578431999997"/>
    <n v="1.8219316307934214E-5"/>
    <n v="0"/>
    <n v="0"/>
    <n v="2053.6578431999997"/>
    <n v="1.8219316307934214E-5"/>
    <n v="0"/>
    <n v="0"/>
    <n v="0"/>
    <n v="0"/>
    <n v="0"/>
    <n v="0"/>
    <m/>
    <n v="5"/>
    <s v="No"/>
    <m/>
  </r>
  <r>
    <x v="28"/>
    <s v="BETHEL"/>
    <s v="No"/>
    <n v="232.81395839999999"/>
    <n v="2.0654419931912439E-6"/>
    <n v="0"/>
    <n v="0"/>
    <n v="232.81395839999999"/>
    <n v="2.0654419931912439E-6"/>
    <n v="0"/>
    <n v="0"/>
    <n v="0"/>
    <n v="0"/>
    <n v="0"/>
    <n v="0"/>
    <m/>
    <n v="4"/>
    <s v="No"/>
    <m/>
  </r>
  <r>
    <x v="29"/>
    <s v="BETHEL"/>
    <s v="No"/>
    <n v="1151.9191007999998"/>
    <n v="1.0219413388709501E-5"/>
    <n v="1429.53"/>
    <n v="1.7489802194079926E-5"/>
    <n v="1151.9191007999998"/>
    <n v="1.0219413388709501E-5"/>
    <n v="1429.53"/>
    <n v="1.7489802194079926E-5"/>
    <n v="0"/>
    <n v="0"/>
    <n v="0"/>
    <n v="0"/>
    <m/>
    <n v="2"/>
    <s v="No"/>
    <m/>
  </r>
  <r>
    <x v="30"/>
    <s v="BETHLEHEM"/>
    <s v="No"/>
    <n v="164.1356352"/>
    <n v="1.4561525256090438E-6"/>
    <n v="0"/>
    <n v="0"/>
    <n v="164.1356352"/>
    <n v="1.4561525256090438E-6"/>
    <n v="0"/>
    <n v="0"/>
    <n v="0"/>
    <n v="0"/>
    <n v="0"/>
    <n v="0"/>
    <m/>
    <n v="1"/>
    <s v="No"/>
    <m/>
  </r>
  <r>
    <x v="31"/>
    <s v="BETHLEHEM"/>
    <s v="No"/>
    <n v="102039.57239616"/>
    <n v="9.0525851303212463E-4"/>
    <n v="35443.029300000002"/>
    <n v="4.3363313229941247E-4"/>
    <n v="86632.990318080003"/>
    <n v="7.6857683889924736E-4"/>
    <n v="35443.029300000002"/>
    <n v="4.3363313229941247E-4"/>
    <n v="15406.582078080002"/>
    <n v="1.366816741328773E-4"/>
    <n v="0"/>
    <n v="0"/>
    <m/>
    <n v="2"/>
    <s v="No"/>
    <m/>
  </r>
  <r>
    <x v="32"/>
    <s v="BETHLEHEM"/>
    <s v="No"/>
    <n v="203.81785919999999"/>
    <n v="1.8081989939397906E-6"/>
    <n v="0"/>
    <n v="0"/>
    <n v="203.81785919999999"/>
    <n v="1.8081989939397906E-6"/>
    <n v="0"/>
    <n v="0"/>
    <n v="0"/>
    <n v="0"/>
    <n v="0"/>
    <n v="0"/>
    <m/>
    <n v="1"/>
    <s v="No"/>
    <m/>
  </r>
  <r>
    <x v="33"/>
    <s v="BLOOMFIELD"/>
    <s v="No"/>
    <n v="47323.947098880002"/>
    <n v="4.1984109669941373E-4"/>
    <n v="41951.821199999998"/>
    <n v="5.1326593668507038E-4"/>
    <n v="47323.947098880002"/>
    <n v="4.1984109669941373E-4"/>
    <n v="41951.821199999998"/>
    <n v="5.1326593668507038E-4"/>
    <n v="0"/>
    <n v="0"/>
    <n v="0"/>
    <n v="0"/>
    <m/>
    <n v="3"/>
    <s v="No"/>
    <m/>
  </r>
  <r>
    <x v="34"/>
    <s v="BLOOMFIELD"/>
    <s v="No"/>
    <n v="39966.161745599995"/>
    <n v="3.5456546224006685E-4"/>
    <n v="17709.740000000002"/>
    <n v="2.1667250740354176E-4"/>
    <n v="39966.161745599995"/>
    <n v="3.5456546224006685E-4"/>
    <n v="17709.740000000002"/>
    <n v="2.1667250740354176E-4"/>
    <n v="0"/>
    <n v="0"/>
    <n v="0"/>
    <n v="0"/>
    <m/>
    <n v="1"/>
    <s v="No"/>
    <m/>
  </r>
  <r>
    <x v="35"/>
    <s v="BLOOMFIELD"/>
    <s v="No"/>
    <n v="96587.341911359996"/>
    <n v="8.5688827837241712E-4"/>
    <n v="52661.58"/>
    <n v="6.4429610950991973E-4"/>
    <n v="96587.341911359996"/>
    <n v="8.5688827837241712E-4"/>
    <n v="52661.58"/>
    <n v="6.4429610950991973E-4"/>
    <n v="0"/>
    <n v="0"/>
    <n v="0"/>
    <n v="0"/>
    <m/>
    <n v="1"/>
    <s v="No"/>
    <m/>
  </r>
  <r>
    <x v="36"/>
    <s v="BLOOMFIELD"/>
    <s v="No"/>
    <n v="363014.11744128005"/>
    <n v="3.2205311375543269E-3"/>
    <n v="478020.00659999996"/>
    <n v="5.8484084700893158E-3"/>
    <n v="142783.02120960003"/>
    <n v="1.2667197875409859E-3"/>
    <n v="440854.14079999999"/>
    <n v="5.3936970326142579E-3"/>
    <n v="220231.09623168001"/>
    <n v="1.953811350013341E-3"/>
    <n v="37165.8658"/>
    <n v="4.5471143747505824E-4"/>
    <m/>
    <n v="2"/>
    <s v="No"/>
    <m/>
  </r>
  <r>
    <x v="37"/>
    <s v="BLOOMFIELD"/>
    <s v="No"/>
    <n v="49318.771052159995"/>
    <n v="4.3753845982336066E-4"/>
    <n v="38345.180200000003"/>
    <n v="4.6913993885707198E-4"/>
    <n v="49318.771052159995"/>
    <n v="4.3753845982336066E-4"/>
    <n v="38345.180200000003"/>
    <n v="4.6913993885707198E-4"/>
    <n v="0"/>
    <n v="0"/>
    <n v="0"/>
    <n v="0"/>
    <m/>
    <n v="3"/>
    <s v="No"/>
    <m/>
  </r>
  <r>
    <x v="38"/>
    <s v="BLOOMFIELD"/>
    <s v="No"/>
    <n v="1546.3737216000002"/>
    <n v="1.3718873403082286E-5"/>
    <n v="6947.03"/>
    <n v="8.4994495069245872E-5"/>
    <n v="1546.3737216000002"/>
    <n v="1.3718873403082286E-5"/>
    <n v="6947.03"/>
    <n v="8.4994495069245872E-5"/>
    <n v="0"/>
    <n v="0"/>
    <n v="0"/>
    <n v="0"/>
    <m/>
    <n v="1"/>
    <s v="No"/>
    <m/>
  </r>
  <r>
    <x v="39"/>
    <s v="BLOOMFIELD"/>
    <s v="No"/>
    <n v="287.77282560000003"/>
    <n v="2.5530173645015446E-6"/>
    <n v="0"/>
    <n v="0"/>
    <n v="287.77282560000003"/>
    <n v="2.5530173645015446E-6"/>
    <n v="0"/>
    <n v="0"/>
    <n v="0"/>
    <n v="0"/>
    <n v="0"/>
    <n v="0"/>
    <m/>
    <n v="3"/>
    <s v="No"/>
    <m/>
  </r>
  <r>
    <x v="40"/>
    <s v="BLOOMFIELD"/>
    <s v="No"/>
    <n v="201.31130880000001"/>
    <n v="1.785961777194756E-6"/>
    <n v="0"/>
    <n v="0"/>
    <n v="201.31130880000001"/>
    <n v="1.785961777194756E-6"/>
    <n v="0"/>
    <n v="0"/>
    <n v="0"/>
    <n v="0"/>
    <n v="0"/>
    <n v="0"/>
    <m/>
    <n v="2"/>
    <s v="No"/>
    <m/>
  </r>
  <r>
    <x v="41"/>
    <s v="BOLTON"/>
    <s v="No"/>
    <n v="157.35695040000002"/>
    <n v="1.3960144636957974E-6"/>
    <n v="0"/>
    <n v="0"/>
    <n v="157.35695040000002"/>
    <n v="1.3960144636957974E-6"/>
    <n v="0"/>
    <n v="0"/>
    <n v="0"/>
    <n v="0"/>
    <n v="0"/>
    <n v="0"/>
    <m/>
    <n v="3"/>
    <s v="No"/>
    <m/>
  </r>
  <r>
    <x v="42"/>
    <s v="BOLTON"/>
    <s v="No"/>
    <n v="146.4682176"/>
    <n v="1.2994135290597457E-6"/>
    <n v="0"/>
    <n v="0"/>
    <n v="146.4682176"/>
    <n v="1.2994135290597457E-6"/>
    <n v="0"/>
    <n v="0"/>
    <n v="0"/>
    <n v="0"/>
    <n v="0"/>
    <n v="0"/>
    <m/>
    <n v="1"/>
    <s v="No"/>
    <m/>
  </r>
  <r>
    <x v="0"/>
    <s v="BOLTON"/>
    <s v="No"/>
    <n v="230.72420160000001"/>
    <n v="2.0469024198772541E-6"/>
    <n v="0"/>
    <n v="0"/>
    <n v="230.72420160000001"/>
    <n v="2.0469024198772541E-6"/>
    <n v="0"/>
    <n v="0"/>
    <n v="0"/>
    <n v="0"/>
    <n v="0"/>
    <n v="0"/>
    <m/>
    <n v="1"/>
    <s v="No"/>
    <m/>
  </r>
  <r>
    <x v="1"/>
    <s v="BOLTON"/>
    <s v="No"/>
    <n v="121854.88024128"/>
    <n v="1.0810528219841894E-3"/>
    <n v="98228.382099999988"/>
    <n v="1.2017900797979062E-3"/>
    <n v="101516.74534656"/>
    <n v="9.0062017884098996E-4"/>
    <n v="75181.872099999993"/>
    <n v="9.1982404819039554E-4"/>
    <n v="20338.134894720002"/>
    <n v="1.8043264314319938E-4"/>
    <n v="23046.51"/>
    <n v="2.819660316075108E-4"/>
    <m/>
    <n v="2"/>
    <s v="No"/>
    <m/>
  </r>
  <r>
    <x v="43"/>
    <s v="BOLTON"/>
    <s v="No"/>
    <n v="388.26639360000001"/>
    <n v="3.4445602806535159E-6"/>
    <n v="0"/>
    <n v="0"/>
    <n v="388.26639360000001"/>
    <n v="3.4445602806535159E-6"/>
    <n v="0"/>
    <n v="0"/>
    <n v="0"/>
    <n v="0"/>
    <n v="0"/>
    <n v="0"/>
    <m/>
    <n v="4"/>
    <s v="No"/>
    <m/>
  </r>
  <r>
    <x v="44"/>
    <s v="BRANFORD"/>
    <s v="No"/>
    <n v="98810.04429215999"/>
    <n v="8.7660729722859271E-4"/>
    <n v="14180.251700000001"/>
    <n v="1.7349044601740825E-4"/>
    <n v="98810.04429215999"/>
    <n v="8.7660729722859271E-4"/>
    <n v="14180.251700000001"/>
    <n v="1.7349044601740825E-4"/>
    <n v="0"/>
    <n v="0"/>
    <n v="0"/>
    <n v="0"/>
    <m/>
    <n v="3"/>
    <s v="No"/>
    <m/>
  </r>
  <r>
    <x v="45"/>
    <s v="BRANFORD"/>
    <s v="No"/>
    <n v="64502.505169920005"/>
    <n v="5.7224310672597577E-4"/>
    <n v="10900.4157"/>
    <n v="1.3336279366382185E-4"/>
    <n v="64502.505169920005"/>
    <n v="5.7224310672597577E-4"/>
    <n v="10900.4157"/>
    <n v="1.3336279366382185E-4"/>
    <n v="0"/>
    <n v="0"/>
    <n v="0"/>
    <n v="0"/>
    <m/>
    <n v="5"/>
    <s v="No"/>
    <m/>
  </r>
  <r>
    <x v="46"/>
    <s v="BRANFORD"/>
    <s v="No"/>
    <n v="83683.552723200002"/>
    <n v="7.4241048570192062E-4"/>
    <n v="11085.186100000001"/>
    <n v="1.3562339522330019E-4"/>
    <n v="83683.552723200002"/>
    <n v="7.4241048570192062E-4"/>
    <n v="11085.186100000001"/>
    <n v="1.3562339522330019E-4"/>
    <n v="0"/>
    <n v="0"/>
    <n v="0"/>
    <n v="0"/>
    <m/>
    <n v="2"/>
    <s v="No"/>
    <m/>
  </r>
  <r>
    <x v="47"/>
    <s v="BRANFORD"/>
    <s v="No"/>
    <n v="71578.025161919999"/>
    <n v="6.3501458407026962E-4"/>
    <n v="22676.038700000001"/>
    <n v="2.7743344414478974E-4"/>
    <n v="71578.025161919999"/>
    <n v="6.3501458407026962E-4"/>
    <n v="22676.038700000001"/>
    <n v="2.7743344414478974E-4"/>
    <n v="0"/>
    <n v="0"/>
    <n v="0"/>
    <n v="0"/>
    <m/>
    <n v="1"/>
    <s v="No"/>
    <m/>
  </r>
  <r>
    <x v="48"/>
    <s v="BRANFORD"/>
    <s v="No"/>
    <n v="51159.279490560002"/>
    <n v="4.5386679100942672E-4"/>
    <n v="16216.5388"/>
    <n v="1.9840371022967145E-4"/>
    <n v="51159.279490560002"/>
    <n v="4.5386679100942672E-4"/>
    <n v="16216.5388"/>
    <n v="1.9840371022967145E-4"/>
    <n v="0"/>
    <n v="0"/>
    <n v="0"/>
    <n v="0"/>
    <m/>
    <n v="1"/>
    <s v="No"/>
    <m/>
  </r>
  <r>
    <x v="49"/>
    <s v="BRANFORD"/>
    <s v="No"/>
    <n v="71746.751315519999"/>
    <n v="6.3651146202977889E-4"/>
    <n v="19083.82"/>
    <n v="2.3348389813954683E-4"/>
    <n v="71746.751315519999"/>
    <n v="6.3651146202977889E-4"/>
    <n v="19083.82"/>
    <n v="2.3348389813954683E-4"/>
    <n v="0"/>
    <n v="0"/>
    <n v="0"/>
    <n v="0"/>
    <m/>
    <n v="1"/>
    <s v="No"/>
    <m/>
  </r>
  <r>
    <x v="50"/>
    <s v="BRANFORD"/>
    <s v="No"/>
    <n v="386662.77964512003"/>
    <n v="3.4303335924169543E-3"/>
    <n v="306803.8248"/>
    <n v="3.7536380545627954E-3"/>
    <n v="127510.82612351999"/>
    <n v="1.1312303466338265E-3"/>
    <n v="184133.80179999999"/>
    <n v="2.2528130019838113E-3"/>
    <n v="259151.95352160002"/>
    <n v="2.299103245783128E-3"/>
    <n v="122670.023"/>
    <n v="1.500825052578984E-3"/>
    <m/>
    <n v="4"/>
    <s v="No"/>
    <m/>
  </r>
  <r>
    <x v="51"/>
    <s v="BRIDGEWATER"/>
    <s v="No"/>
    <n v="69851.627285760012"/>
    <n v="6.1969860089261736E-4"/>
    <n v="14188.062400000001"/>
    <n v="1.7358600721444314E-4"/>
    <n v="63737.97777504001"/>
    <n v="5.6546049370233048E-4"/>
    <n v="14188.062400000001"/>
    <n v="1.7358600721444314E-4"/>
    <n v="6113.6495107199999"/>
    <n v="5.4238107190286871E-5"/>
    <n v="0"/>
    <n v="0"/>
    <m/>
    <n v="2"/>
    <s v="No"/>
    <m/>
  </r>
  <r>
    <x v="52"/>
    <s v="BRIDGEWATER"/>
    <s v="No"/>
    <n v="1019.2745376"/>
    <n v="9.0426383667794178E-6"/>
    <n v="0"/>
    <n v="0"/>
    <n v="1019.2745376"/>
    <n v="9.0426383667794178E-6"/>
    <n v="0"/>
    <n v="0"/>
    <n v="0"/>
    <n v="0"/>
    <n v="0"/>
    <n v="0"/>
    <m/>
    <n v="1"/>
    <s v="No"/>
    <m/>
  </r>
  <r>
    <x v="53"/>
    <s v="BRISTOL"/>
    <s v="No"/>
    <n v="73591.994413439999"/>
    <n v="6.5288179741809836E-4"/>
    <n v="30053.519799999998"/>
    <n v="3.6769435866184302E-4"/>
    <n v="73591.994413439999"/>
    <n v="6.5288179741809836E-4"/>
    <n v="30053.519799999998"/>
    <n v="3.6769435866184302E-4"/>
    <n v="0"/>
    <n v="0"/>
    <n v="0"/>
    <n v="0"/>
    <m/>
    <n v="4"/>
    <s v="No"/>
    <m/>
  </r>
  <r>
    <x v="54"/>
    <s v="BRISTOL"/>
    <s v="No"/>
    <n v="78441.760748159999"/>
    <n v="6.9590718607493189E-4"/>
    <n v="42995.71"/>
    <n v="5.2603755296777555E-4"/>
    <n v="78441.760748159999"/>
    <n v="6.9590718607493189E-4"/>
    <n v="42995.71"/>
    <n v="5.2603755296777555E-4"/>
    <n v="0"/>
    <n v="0"/>
    <n v="0"/>
    <n v="0"/>
    <m/>
    <n v="2"/>
    <s v="No"/>
    <m/>
  </r>
  <r>
    <x v="55"/>
    <s v="BRISTOL"/>
    <s v="No"/>
    <n v="104034.2122656"/>
    <n v="9.2295424303022293E-4"/>
    <n v="85654.017500000002"/>
    <n v="1.0479471037356757E-3"/>
    <n v="104034.2122656"/>
    <n v="9.2295424303022293E-4"/>
    <n v="85654.017500000002"/>
    <n v="1.0479471037356757E-3"/>
    <n v="0"/>
    <n v="0"/>
    <n v="0"/>
    <n v="0"/>
    <m/>
    <n v="3"/>
    <s v="No"/>
    <m/>
  </r>
  <r>
    <x v="56"/>
    <s v="BRISTOL"/>
    <s v="No"/>
    <n v="70101.589985280007"/>
    <n v="6.2191618037053256E-4"/>
    <n v="9810.9004999999997"/>
    <n v="1.2003295425125728E-4"/>
    <n v="70101.589985280007"/>
    <n v="6.2191618037053256E-4"/>
    <n v="9810.9004999999997"/>
    <n v="1.2003295425125728E-4"/>
    <n v="0"/>
    <n v="0"/>
    <n v="0"/>
    <n v="0"/>
    <m/>
    <n v="4"/>
    <s v="No"/>
    <m/>
  </r>
  <r>
    <x v="57"/>
    <s v="BRISTOL"/>
    <s v="No"/>
    <n v="84617.753319359996"/>
    <n v="7.5069837855264903E-4"/>
    <n v="14170.022000000001"/>
    <n v="1.7336528919698139E-4"/>
    <n v="84617.753319359996"/>
    <n v="7.5069837855264903E-4"/>
    <n v="14170.022000000001"/>
    <n v="1.7336528919698139E-4"/>
    <n v="0"/>
    <n v="0"/>
    <n v="0"/>
    <n v="0"/>
    <m/>
    <n v="5"/>
    <s v="No"/>
    <m/>
  </r>
  <r>
    <x v="58"/>
    <s v="BRISTOL"/>
    <s v="No"/>
    <n v="95029.491893759987"/>
    <n v="8.4306759138458418E-4"/>
    <n v="79289.1728"/>
    <n v="9.7007544326052782E-4"/>
    <n v="95029.491893759987"/>
    <n v="8.4306759138458418E-4"/>
    <n v="79289.1728"/>
    <n v="9.7007544326052782E-4"/>
    <n v="0"/>
    <n v="0"/>
    <n v="0"/>
    <n v="0"/>
    <m/>
    <n v="2"/>
    <s v="No"/>
    <m/>
  </r>
  <r>
    <x v="59"/>
    <s v="BRISTOL"/>
    <s v="No"/>
    <n v="125510.08948992001"/>
    <n v="1.1134805283293176E-3"/>
    <n v="64317.655200000001"/>
    <n v="7.8690413425044328E-4"/>
    <n v="125510.08948992001"/>
    <n v="1.1134805283293176E-3"/>
    <n v="64317.655200000001"/>
    <n v="7.8690413425044328E-4"/>
    <n v="0"/>
    <n v="0"/>
    <n v="0"/>
    <n v="0"/>
    <m/>
    <n v="3"/>
    <s v="No"/>
    <m/>
  </r>
  <r>
    <x v="60"/>
    <s v="BRISTOL"/>
    <s v="No"/>
    <n v="33239.069625599994"/>
    <n v="2.9488511209180908E-4"/>
    <n v="28576.05"/>
    <n v="3.496180296937718E-4"/>
    <n v="33239.069625599994"/>
    <n v="2.9488511209180908E-4"/>
    <n v="28576.05"/>
    <n v="3.496180296937718E-4"/>
    <n v="0"/>
    <n v="0"/>
    <n v="0"/>
    <n v="0"/>
    <m/>
    <n v="3"/>
    <s v="Yes"/>
    <m/>
  </r>
  <r>
    <x v="61"/>
    <s v="BRISTOL"/>
    <s v="No"/>
    <n v="509551.29354240006"/>
    <n v="4.5205564417197391E-3"/>
    <n v="739362.14009999996"/>
    <n v="9.0458385484324284E-3"/>
    <n v="199806.49982016004"/>
    <n v="1.7726116512828348E-3"/>
    <n v="450736.245"/>
    <n v="5.5146011393621304E-3"/>
    <n v="309744.79372224002"/>
    <n v="2.7479447904369039E-3"/>
    <n v="288625.89510000002"/>
    <n v="3.5312374090702976E-3"/>
    <m/>
    <n v="2"/>
    <s v="No"/>
    <m/>
  </r>
  <r>
    <x v="62"/>
    <s v="BRISTOL"/>
    <s v="No"/>
    <n v="95207.098066559993"/>
    <n v="8.4464324969163831E-4"/>
    <n v="47858.912400000001"/>
    <n v="5.8553714234734421E-4"/>
    <n v="95207.098066559993"/>
    <n v="8.4464324969163831E-4"/>
    <n v="47858.912400000001"/>
    <n v="5.8553714234734421E-4"/>
    <n v="0"/>
    <n v="0"/>
    <n v="0"/>
    <n v="0"/>
    <m/>
    <n v="1"/>
    <s v="No"/>
    <m/>
  </r>
  <r>
    <x v="63"/>
    <s v="BRISTOL"/>
    <s v="No"/>
    <n v="65823.076327679999"/>
    <n v="5.8395874071536229E-4"/>
    <n v="61190"/>
    <n v="7.4863836103876847E-4"/>
    <n v="65823.076327679999"/>
    <n v="5.8395874071536229E-4"/>
    <n v="61190"/>
    <n v="7.4863836103876847E-4"/>
    <n v="0"/>
    <n v="0"/>
    <n v="0"/>
    <n v="0"/>
    <m/>
    <n v="4"/>
    <s v="No"/>
    <m/>
  </r>
  <r>
    <x v="64"/>
    <s v="BRISTOL"/>
    <s v="No"/>
    <n v="98369.128762559994"/>
    <n v="8.7269565268397592E-4"/>
    <n v="88476.909499999994"/>
    <n v="1.0824842052272502E-3"/>
    <n v="98369.128762559994"/>
    <n v="8.7269565268397592E-4"/>
    <n v="88476.909499999994"/>
    <n v="1.0824842052272502E-3"/>
    <n v="0"/>
    <n v="0"/>
    <n v="0"/>
    <n v="0"/>
    <m/>
    <n v="2"/>
    <s v="No"/>
    <m/>
  </r>
  <r>
    <x v="65"/>
    <s v="BRISTOL"/>
    <s v="No"/>
    <n v="52063.520731199998"/>
    <n v="4.6188889519608532E-4"/>
    <n v="10335.120000000001"/>
    <n v="1.2644659744956687E-4"/>
    <n v="52048.524265920001"/>
    <n v="4.6175585193118998E-4"/>
    <n v="10335.120000000001"/>
    <n v="1.2644659744956687E-4"/>
    <n v="14.996465279999999"/>
    <n v="1.3304326489535124E-7"/>
    <n v="0"/>
    <n v="0"/>
    <m/>
    <n v="4"/>
    <s v="No"/>
    <m/>
  </r>
  <r>
    <x v="66"/>
    <s v="BRISTOL"/>
    <s v="No"/>
    <n v="392.66588160000003"/>
    <n v="3.4835909613145471E-6"/>
    <n v="0"/>
    <n v="0"/>
    <n v="392.66588160000003"/>
    <n v="3.4835909613145471E-6"/>
    <n v="0"/>
    <n v="0"/>
    <n v="0"/>
    <n v="0"/>
    <n v="0"/>
    <n v="0"/>
    <m/>
    <n v="1"/>
    <s v="No"/>
    <m/>
  </r>
  <r>
    <x v="67"/>
    <s v="BRISTOL"/>
    <s v="No"/>
    <n v="546.64217280000003"/>
    <n v="4.8496134282918682E-6"/>
    <n v="894.67"/>
    <n v="1.0945976180267281E-5"/>
    <n v="546.64217280000003"/>
    <n v="4.8496134282918682E-6"/>
    <n v="894.67"/>
    <n v="1.0945976180267281E-5"/>
    <n v="0"/>
    <n v="0"/>
    <n v="0"/>
    <n v="0"/>
    <m/>
    <n v="4"/>
    <s v="No"/>
    <m/>
  </r>
  <r>
    <x v="68"/>
    <s v="BRISTOL"/>
    <s v="No"/>
    <n v="1476.5607936000001"/>
    <n v="1.3099518128382241E-5"/>
    <n v="0"/>
    <n v="0"/>
    <n v="1476.5607936000001"/>
    <n v="1.3099518128382241E-5"/>
    <n v="0"/>
    <n v="0"/>
    <n v="0"/>
    <n v="0"/>
    <n v="0"/>
    <n v="0"/>
    <m/>
    <n v="2"/>
    <s v="No"/>
    <m/>
  </r>
  <r>
    <x v="69"/>
    <s v="BRISTOL"/>
    <s v="No"/>
    <n v="559.63802880000003"/>
    <n v="4.964908004718203E-6"/>
    <n v="0"/>
    <n v="0"/>
    <n v="559.63802880000003"/>
    <n v="4.964908004718203E-6"/>
    <n v="0"/>
    <n v="0"/>
    <n v="0"/>
    <n v="0"/>
    <n v="0"/>
    <n v="0"/>
    <m/>
    <n v="2"/>
    <s v="No"/>
    <m/>
  </r>
  <r>
    <x v="70"/>
    <s v="BROOKFIELD"/>
    <s v="No"/>
    <n v="93675.313857600006"/>
    <n v="8.310538092154903E-4"/>
    <n v="12836.5"/>
    <n v="1.5705011148021164E-4"/>
    <n v="93675.313857600006"/>
    <n v="8.310538092154903E-4"/>
    <n v="12836.5"/>
    <n v="1.5705011148021164E-4"/>
    <n v="0"/>
    <n v="0"/>
    <n v="0"/>
    <n v="0"/>
    <m/>
    <n v="3"/>
    <s v="No"/>
    <m/>
  </r>
  <r>
    <x v="71"/>
    <s v="BROOKFIELD"/>
    <s v="No"/>
    <n v="332730.52255008003"/>
    <n v="2.9518659379978197E-3"/>
    <n v="427613.46220000001"/>
    <n v="5.2317019365831245E-3"/>
    <n v="173065.61753280001"/>
    <n v="1.5353761281601058E-3"/>
    <n v="346329.2622"/>
    <n v="4.2372180296318665E-3"/>
    <n v="159664.90501728002"/>
    <n v="1.416489809837714E-3"/>
    <n v="81284.2"/>
    <n v="9.9448390695125758E-4"/>
    <m/>
    <n v="1"/>
    <s v="No"/>
    <m/>
  </r>
  <r>
    <x v="26"/>
    <s v="BROOKFIELD"/>
    <s v="No"/>
    <n v="134676.70291584003"/>
    <n v="1.19480343712466E-3"/>
    <n v="17564.3"/>
    <n v="2.1489309960440005E-4"/>
    <n v="134676.70291584003"/>
    <n v="1.19480343712466E-3"/>
    <n v="17564.3"/>
    <n v="2.1489309960440005E-4"/>
    <n v="0"/>
    <n v="0"/>
    <n v="0"/>
    <n v="0"/>
    <m/>
    <n v="4"/>
    <s v="No"/>
    <m/>
  </r>
  <r>
    <x v="72"/>
    <s v="BROOKFIELD"/>
    <s v="No"/>
    <n v="1156.7643264000001"/>
    <n v="1.0262398493595402E-5"/>
    <n v="0"/>
    <n v="0"/>
    <n v="1156.7643264000001"/>
    <n v="1.0262398493595402E-5"/>
    <n v="0"/>
    <n v="0"/>
    <n v="0"/>
    <n v="0"/>
    <n v="0"/>
    <n v="0"/>
    <m/>
    <n v="4"/>
    <s v="No"/>
    <m/>
  </r>
  <r>
    <x v="73"/>
    <s v="BROOKFIELD"/>
    <s v="No"/>
    <n v="1729.7165952"/>
    <n v="1.5345425663471989E-5"/>
    <n v="888.71"/>
    <n v="1.087305765384481E-5"/>
    <n v="1729.7165952"/>
    <n v="1.5345425663471989E-5"/>
    <n v="888.71"/>
    <n v="1.087305765384481E-5"/>
    <n v="0"/>
    <n v="0"/>
    <n v="0"/>
    <n v="0"/>
    <m/>
    <n v="2"/>
    <s v="No"/>
    <m/>
  </r>
  <r>
    <x v="74"/>
    <s v="BROOKLYN"/>
    <s v="No"/>
    <n v="40.784411519999999"/>
    <n v="3.6182468095951038E-7"/>
    <n v="0"/>
    <n v="0"/>
    <n v="40.784411519999999"/>
    <n v="3.6182468095951038E-7"/>
    <n v="0"/>
    <n v="0"/>
    <n v="0"/>
    <n v="0"/>
    <n v="0"/>
    <n v="0"/>
    <m/>
    <n v="2"/>
    <s v="No"/>
    <m/>
  </r>
  <r>
    <x v="75"/>
    <s v="BROOKLYN"/>
    <s v="No"/>
    <n v="190454.70152448001"/>
    <n v="1.6896458486973839E-3"/>
    <n v="124998.14720000001"/>
    <n v="1.5293088421750405E-3"/>
    <n v="149299.51099680003"/>
    <n v="1.3245317492772317E-3"/>
    <n v="89586.357199999999"/>
    <n v="1.0960579118424853E-3"/>
    <n v="41155.190527679995"/>
    <n v="3.6511409942015217E-4"/>
    <n v="35411.79"/>
    <n v="4.3325093033255518E-4"/>
    <m/>
    <n v="4"/>
    <s v="No"/>
    <m/>
  </r>
  <r>
    <x v="63"/>
    <s v="BURLINGTON"/>
    <s v="No"/>
    <n v="70.362864000000002"/>
    <n v="6.2423410978267364E-7"/>
    <n v="0"/>
    <n v="0"/>
    <n v="70.362864000000002"/>
    <n v="6.2423410978267364E-7"/>
    <n v="0"/>
    <n v="0"/>
    <n v="0"/>
    <n v="0"/>
    <n v="0"/>
    <n v="0"/>
    <m/>
    <n v="4"/>
    <s v="No"/>
    <m/>
  </r>
  <r>
    <x v="66"/>
    <s v="BURLINGTON"/>
    <s v="No"/>
    <n v="142207.52071104001"/>
    <n v="1.2616141533900208E-3"/>
    <n v="95237.751399999994"/>
    <n v="1.1652007536707579E-3"/>
    <n v="121175.56571904001"/>
    <n v="1.0750261870244055E-3"/>
    <n v="88803.831399999995"/>
    <n v="1.0864839809324909E-3"/>
    <n v="21031.954991999999"/>
    <n v="1.8658796636561551E-4"/>
    <n v="6433.92"/>
    <n v="7.8716772738266925E-5"/>
    <m/>
    <n v="1"/>
    <s v="No"/>
    <m/>
  </r>
  <r>
    <x v="76"/>
    <s v="BURLINGTON"/>
    <s v="No"/>
    <n v="91578.06808704001"/>
    <n v="8.124477964389069E-4"/>
    <n v="36952.3531"/>
    <n v="4.5209918387497717E-4"/>
    <n v="91578.06808704001"/>
    <n v="8.124477964389069E-4"/>
    <n v="36952.3531"/>
    <n v="4.5209918387497717E-4"/>
    <n v="0"/>
    <n v="0"/>
    <n v="0"/>
    <n v="0"/>
    <m/>
    <n v="2"/>
    <s v="No"/>
    <m/>
  </r>
  <r>
    <x v="6"/>
    <s v="BURLINGTON"/>
    <s v="No"/>
    <n v="255.88232640000001"/>
    <n v="2.270096285867834E-6"/>
    <n v="0"/>
    <n v="0"/>
    <n v="255.88232640000001"/>
    <n v="2.270096285867834E-6"/>
    <n v="0"/>
    <n v="0"/>
    <n v="0"/>
    <n v="0"/>
    <n v="0"/>
    <n v="0"/>
    <m/>
    <n v="3"/>
    <s v="No"/>
    <m/>
  </r>
  <r>
    <x v="77"/>
    <s v="CANAAN"/>
    <s v="No"/>
    <n v="19721.679793920001"/>
    <n v="1.7496367444020747E-4"/>
    <n v="14058.66"/>
    <n v="1.7200281387156876E-4"/>
    <n v="19721.679793920001"/>
    <n v="1.7496367444020747E-4"/>
    <n v="14058.66"/>
    <n v="1.7200281387156876E-4"/>
    <n v="0"/>
    <n v="0"/>
    <n v="0"/>
    <n v="0"/>
    <m/>
    <n v="1"/>
    <s v="No"/>
    <m/>
  </r>
  <r>
    <x v="78"/>
    <s v="CANAAN"/>
    <s v="No"/>
    <n v="51.971846400000004"/>
    <n v="4.6107559338781112E-7"/>
    <n v="0"/>
    <n v="0"/>
    <n v="51.971846400000004"/>
    <n v="4.6107559338781112E-7"/>
    <n v="0"/>
    <n v="0"/>
    <n v="0"/>
    <n v="0"/>
    <n v="0"/>
    <n v="0"/>
    <m/>
    <n v="1"/>
    <s v="No"/>
    <m/>
  </r>
  <r>
    <x v="79"/>
    <s v="CANAAN"/>
    <s v="No"/>
    <n v="63.364204800000003"/>
    <n v="5.6214451383637567E-7"/>
    <n v="0"/>
    <n v="0"/>
    <n v="63.364204800000003"/>
    <n v="5.6214451383637567E-7"/>
    <n v="0"/>
    <n v="0"/>
    <n v="0"/>
    <n v="0"/>
    <n v="0"/>
    <n v="0"/>
    <m/>
    <n v="3"/>
    <s v="No"/>
    <m/>
  </r>
  <r>
    <x v="80"/>
    <s v="CANAAN"/>
    <s v="No"/>
    <n v="46016.585982720004"/>
    <n v="4.0824265746432778E-4"/>
    <n v="27381.788800000002"/>
    <n v="3.3500665941398441E-4"/>
    <n v="29049.917094720004"/>
    <n v="2.5772045232387092E-4"/>
    <n v="18845.7088"/>
    <n v="2.3057069045016989E-4"/>
    <n v="16966.668888"/>
    <n v="1.5052220514045683E-4"/>
    <n v="8536.08"/>
    <n v="1.0443596896381451E-4"/>
    <m/>
    <n v="1"/>
    <s v="No"/>
    <m/>
  </r>
  <r>
    <x v="81"/>
    <s v="CANTERBURY"/>
    <s v="No"/>
    <n v="1158.3620352"/>
    <n v="1.0276572793414407E-5"/>
    <n v="1214.33"/>
    <n v="1.4856905065536977E-5"/>
    <n v="1158.3620352"/>
    <n v="1.0276572793414407E-5"/>
    <n v="1214.33"/>
    <n v="1.4856905065536977E-5"/>
    <n v="0"/>
    <n v="0"/>
    <n v="0"/>
    <n v="0"/>
    <m/>
    <n v="2"/>
    <s v="No"/>
    <m/>
  </r>
  <r>
    <x v="82"/>
    <s v="CANTERBURY"/>
    <s v="No"/>
    <n v="116609.2051392"/>
    <n v="1.0345150726459014E-3"/>
    <n v="37815.000800000002"/>
    <n v="4.6265337835580517E-4"/>
    <n v="101396.99244096001"/>
    <n v="8.995577739846285E-4"/>
    <n v="34497.020799999998"/>
    <n v="4.2205904743311491E-4"/>
    <n v="15212.212698239999"/>
    <n v="1.3495729866127293E-4"/>
    <n v="3317.98"/>
    <n v="4.0594330922690195E-5"/>
    <m/>
    <n v="1"/>
    <s v="No"/>
    <m/>
  </r>
  <r>
    <x v="83"/>
    <s v="CANTON"/>
    <s v="No"/>
    <n v="203315.20553952002"/>
    <n v="1.8037396308263347E-3"/>
    <n v="381996.05530000001"/>
    <n v="4.6735888341733409E-3"/>
    <n v="118631.9710512"/>
    <n v="1.0524603268125888E-3"/>
    <n v="275715.35590000002"/>
    <n v="3.3732814537374856E-3"/>
    <n v="84683.234488320013"/>
    <n v="7.5127930401374581E-4"/>
    <n v="106280.6994"/>
    <n v="1.3003073804358559E-3"/>
    <m/>
    <n v="1"/>
    <s v="No"/>
    <m/>
  </r>
  <r>
    <x v="84"/>
    <s v="CANTON"/>
    <s v="No"/>
    <n v="92435.087191679995"/>
    <n v="8.2005096276044386E-4"/>
    <n v="43294.517699999997"/>
    <n v="5.2969336121738762E-4"/>
    <n v="92435.087191679995"/>
    <n v="8.2005096276044386E-4"/>
    <n v="43294.517699999997"/>
    <n v="5.2969336121738762E-4"/>
    <n v="0"/>
    <n v="0"/>
    <n v="0"/>
    <n v="0"/>
    <m/>
    <n v="3"/>
    <s v="No"/>
    <m/>
  </r>
  <r>
    <x v="85"/>
    <s v="CANTON"/>
    <s v="No"/>
    <n v="243.67374719999998"/>
    <n v="2.1617861470334727E-6"/>
    <n v="0"/>
    <n v="0"/>
    <n v="243.67374719999998"/>
    <n v="2.1617861470334727E-6"/>
    <n v="0"/>
    <n v="0"/>
    <n v="0"/>
    <n v="0"/>
    <n v="0"/>
    <n v="0"/>
    <m/>
    <n v="2"/>
    <s v="No"/>
    <m/>
  </r>
  <r>
    <x v="86"/>
    <s v="CANTON"/>
    <s v="No"/>
    <n v="466.21258560000001"/>
    <n v="4.1360709584177033E-6"/>
    <n v="0"/>
    <n v="0"/>
    <n v="466.21258560000001"/>
    <n v="4.1360709584177033E-6"/>
    <n v="0"/>
    <n v="0"/>
    <n v="0"/>
    <n v="0"/>
    <n v="0"/>
    <n v="0"/>
    <m/>
    <n v="2"/>
    <s v="No"/>
    <m/>
  </r>
  <r>
    <x v="87"/>
    <s v="CHAPLIN"/>
    <s v="No"/>
    <n v="94.999996800000005"/>
    <n v="8.4280592148444735E-7"/>
    <n v="0"/>
    <n v="0"/>
    <n v="94.999996800000005"/>
    <n v="8.4280592148444735E-7"/>
    <n v="0"/>
    <n v="0"/>
    <n v="0"/>
    <n v="0"/>
    <n v="0"/>
    <n v="0"/>
    <m/>
    <n v="4"/>
    <s v="No"/>
    <m/>
  </r>
  <r>
    <x v="88"/>
    <s v="CHAPLIN"/>
    <s v="No"/>
    <n v="56435.665334400008"/>
    <n v="5.0067699504119227E-4"/>
    <n v="36685.682000000001"/>
    <n v="4.4883655574553763E-4"/>
    <n v="47722.246640640005"/>
    <n v="4.2337466747443793E-4"/>
    <n v="36685.682000000001"/>
    <n v="4.4883655574553763E-4"/>
    <n v="8713.4186937600007"/>
    <n v="7.7302327566754265E-5"/>
    <n v="0"/>
    <n v="0"/>
    <m/>
    <n v="5"/>
    <s v="No"/>
    <m/>
  </r>
  <r>
    <x v="89"/>
    <s v="CHESHIRE"/>
    <s v="No"/>
    <n v="481.21136640000003"/>
    <n v="4.2691347657765608E-6"/>
    <n v="0"/>
    <n v="0"/>
    <n v="481.21136640000003"/>
    <n v="4.2691347657765608E-6"/>
    <n v="0"/>
    <n v="0"/>
    <n v="0"/>
    <n v="0"/>
    <n v="0"/>
    <n v="0"/>
    <m/>
    <n v="3"/>
    <s v="No"/>
    <m/>
  </r>
  <r>
    <x v="90"/>
    <s v="CHESHIRE"/>
    <s v="No"/>
    <n v="82328.833434240019"/>
    <n v="7.3039190173198232E-4"/>
    <n v="39982.78"/>
    <n v="4.8917540266340328E-4"/>
    <n v="82328.833434240019"/>
    <n v="7.3039190173198232E-4"/>
    <n v="39982.78"/>
    <n v="4.8917540266340328E-4"/>
    <n v="0"/>
    <n v="0"/>
    <n v="0"/>
    <n v="0"/>
    <m/>
    <n v="4"/>
    <s v="No"/>
    <m/>
  </r>
  <r>
    <x v="91"/>
    <s v="CHESHIRE"/>
    <s v="No"/>
    <n v="82879.846151039994"/>
    <n v="7.3528028906014111E-4"/>
    <n v="29712.117900000001"/>
    <n v="3.6351742519442155E-4"/>
    <n v="82879.846151039994"/>
    <n v="7.3528028906014111E-4"/>
    <n v="29712.117900000001"/>
    <n v="3.6351742519442155E-4"/>
    <n v="0"/>
    <n v="0"/>
    <n v="0"/>
    <n v="0"/>
    <m/>
    <n v="3"/>
    <s v="No"/>
    <m/>
  </r>
  <r>
    <x v="92"/>
    <s v="CHESHIRE"/>
    <s v="No"/>
    <n v="124500.06834911999"/>
    <n v="1.104519982782323E-3"/>
    <n v="63604.970600000001"/>
    <n v="7.7818468612359947E-4"/>
    <n v="124500.06834911999"/>
    <n v="1.104519982782323E-3"/>
    <n v="63604.970600000001"/>
    <n v="7.7818468612359947E-4"/>
    <n v="0"/>
    <n v="0"/>
    <n v="0"/>
    <n v="0"/>
    <m/>
    <n v="3"/>
    <s v="No"/>
    <m/>
  </r>
  <r>
    <x v="93"/>
    <s v="CHESHIRE"/>
    <s v="No"/>
    <n v="135596.24742815999"/>
    <n v="1.2029613064526283E-3"/>
    <n v="35106.553699999997"/>
    <n v="4.2951647039855383E-4"/>
    <n v="135596.24742815999"/>
    <n v="1.2029613064526283E-3"/>
    <n v="35106.553699999997"/>
    <n v="4.2951647039855383E-4"/>
    <n v="0"/>
    <n v="0"/>
    <n v="0"/>
    <n v="0"/>
    <m/>
    <n v="3"/>
    <s v="No"/>
    <m/>
  </r>
  <r>
    <x v="94"/>
    <s v="CHESHIRE"/>
    <s v="No"/>
    <n v="319177.76662368001"/>
    <n v="2.8316307450298619E-3"/>
    <n v="233729.35649999999"/>
    <n v="2.8595973586665472E-3"/>
    <n v="152085.30442559998"/>
    <n v="1.3492463100868283E-3"/>
    <n v="198425.37349999999"/>
    <n v="2.4276654094712445E-3"/>
    <n v="167092.46219808003"/>
    <n v="1.4823844349430338E-3"/>
    <n v="35303.983"/>
    <n v="4.319319491953022E-4"/>
    <m/>
    <n v="4"/>
    <s v="No"/>
    <m/>
  </r>
  <r>
    <x v="95"/>
    <s v="CHESHIRE"/>
    <s v="No"/>
    <n v="65.558160000000001"/>
    <n v="5.8160849800812663E-7"/>
    <n v="0"/>
    <n v="0"/>
    <n v="65.558160000000001"/>
    <n v="5.8160849800812663E-7"/>
    <n v="0"/>
    <n v="0"/>
    <n v="0"/>
    <n v="0"/>
    <n v="0"/>
    <n v="0"/>
    <m/>
    <n v="1"/>
    <s v="No"/>
    <m/>
  </r>
  <r>
    <x v="96"/>
    <s v="CHESTER"/>
    <s v="No"/>
    <n v="118950.99702912"/>
    <n v="1.0552906109426441E-3"/>
    <n v="36099.027499999997"/>
    <n v="4.4165904204434431E-4"/>
    <n v="88488.774820799998"/>
    <n v="7.8504069385267701E-4"/>
    <n v="28427.077499999999"/>
    <n v="3.4779540298614237E-4"/>
    <n v="30462.222208320003"/>
    <n v="2.7024991708996703E-4"/>
    <n v="7671.95"/>
    <n v="9.3863639058201979E-5"/>
    <m/>
    <n v="1"/>
    <s v="No"/>
    <m/>
  </r>
  <r>
    <x v="97"/>
    <s v="CLINTON"/>
    <s v="No"/>
    <n v="49833.557458559997"/>
    <n v="4.4210546030997138E-4"/>
    <n v="5070.47"/>
    <n v="6.203543635391803E-5"/>
    <n v="49833.557458559997"/>
    <n v="4.4210546030997138E-4"/>
    <n v="5070.47"/>
    <n v="6.203543635391803E-5"/>
    <n v="0"/>
    <n v="0"/>
    <n v="0"/>
    <n v="0"/>
    <m/>
    <n v="1"/>
    <s v="No"/>
    <m/>
  </r>
  <r>
    <x v="98"/>
    <s v="CLINTON"/>
    <s v="No"/>
    <n v="82281.225185279996"/>
    <n v="7.2996953841107095E-4"/>
    <n v="16245.14"/>
    <n v="1.9875363596086513E-4"/>
    <n v="82281.225185279996"/>
    <n v="7.2996953841107095E-4"/>
    <n v="16245.14"/>
    <n v="1.9875363596086513E-4"/>
    <n v="0"/>
    <n v="0"/>
    <n v="0"/>
    <n v="0"/>
    <m/>
    <n v="2"/>
    <s v="No"/>
    <m/>
  </r>
  <r>
    <x v="99"/>
    <s v="CLINTON"/>
    <s v="No"/>
    <n v="199379.29564224"/>
    <n v="1.7688216489358676E-3"/>
    <n v="120258.32740000001"/>
    <n v="1.4713187959797291E-3"/>
    <n v="89308.608989759989"/>
    <n v="7.9231396875277429E-4"/>
    <n v="89279.610400000005"/>
    <n v="1.0923049714665106E-3"/>
    <n v="110070.68665248001"/>
    <n v="9.7650768018309317E-4"/>
    <n v="30978.717000000001"/>
    <n v="3.7901382451321837E-4"/>
    <m/>
    <n v="1"/>
    <s v="No"/>
    <m/>
  </r>
  <r>
    <x v="100"/>
    <s v="CLINTON"/>
    <s v="No"/>
    <n v="67552.741402560001"/>
    <n v="5.9930370930902138E-4"/>
    <n v="9962.2000000000007"/>
    <n v="1.2188405099428696E-4"/>
    <n v="67241.355482879997"/>
    <n v="5.9654120503730345E-4"/>
    <n v="9962.2000000000007"/>
    <n v="1.2188405099428696E-4"/>
    <n v="311.38591968000003"/>
    <n v="2.7625042717178758E-6"/>
    <n v="0"/>
    <n v="0"/>
    <m/>
    <n v="1"/>
    <s v="No"/>
    <m/>
  </r>
  <r>
    <x v="101"/>
    <s v="COLCHESTER"/>
    <s v="No"/>
    <n v="472.47606719999999"/>
    <n v="4.1916383222009083E-6"/>
    <n v="0"/>
    <n v="0"/>
    <n v="472.47606719999999"/>
    <n v="4.1916383222009083E-6"/>
    <n v="0"/>
    <n v="0"/>
    <n v="0"/>
    <n v="0"/>
    <n v="0"/>
    <n v="0"/>
    <m/>
    <n v="2"/>
    <s v="No"/>
    <m/>
  </r>
  <r>
    <x v="102"/>
    <s v="COLCHESTER"/>
    <s v="No"/>
    <n v="1526.8828320000002"/>
    <n v="1.3545957216522166E-5"/>
    <n v="0"/>
    <n v="0"/>
    <n v="1526.8828320000002"/>
    <n v="1.3545957216522166E-5"/>
    <n v="0"/>
    <n v="0"/>
    <n v="0"/>
    <n v="0"/>
    <n v="0"/>
    <n v="0"/>
    <m/>
    <n v="1"/>
    <s v="No"/>
    <m/>
  </r>
  <r>
    <x v="103"/>
    <s v="COLCHESTER"/>
    <s v="No"/>
    <n v="62837.596506239999"/>
    <n v="5.5747263380233596E-4"/>
    <n v="68354.2"/>
    <n v="8.3628985550116333E-4"/>
    <n v="62835.427442879998"/>
    <n v="5.5745339064964693E-4"/>
    <n v="68354.2"/>
    <n v="8.3628985550116333E-4"/>
    <n v="2.16906336"/>
    <n v="1.924315268906358E-8"/>
    <n v="0"/>
    <n v="0"/>
    <m/>
    <n v="1"/>
    <s v="No"/>
    <m/>
  </r>
  <r>
    <x v="104"/>
    <s v="COLCHESTER"/>
    <s v="No"/>
    <n v="220309.76660256003"/>
    <n v="1.9545092853465668E-3"/>
    <n v="297088.71460000001"/>
    <n v="3.6347770613050895E-3"/>
    <n v="142560.62014464004"/>
    <n v="1.2647467250061803E-3"/>
    <n v="273925.8946"/>
    <n v="3.351388017313653E-3"/>
    <n v="77749.146457919996"/>
    <n v="6.8976256034038641E-4"/>
    <n v="23162.82"/>
    <n v="2.8338904399143663E-4"/>
    <m/>
    <n v="3"/>
    <s v="No"/>
    <m/>
  </r>
  <r>
    <x v="105"/>
    <s v="COLCHESTER"/>
    <s v="No"/>
    <n v="98284.121392319998"/>
    <n v="8.7194149776375078E-4"/>
    <n v="30020.496500000001"/>
    <n v="3.6729033007566736E-4"/>
    <n v="98268.869062080004"/>
    <n v="8.7180618455663813E-4"/>
    <n v="30020.496500000001"/>
    <n v="3.6729033007566736E-4"/>
    <n v="15.252330240000003"/>
    <n v="1.3531320711274281E-7"/>
    <n v="0"/>
    <n v="0"/>
    <m/>
    <n v="1"/>
    <s v="No"/>
    <m/>
  </r>
  <r>
    <x v="106"/>
    <s v="COLCHESTER"/>
    <s v="No"/>
    <n v="428.2438464"/>
    <n v="3.7992259130812528E-6"/>
    <n v="1963.71"/>
    <n v="2.402530864447524E-5"/>
    <n v="428.2438464"/>
    <n v="3.7992259130812528E-6"/>
    <n v="1963.71"/>
    <n v="2.402530864447524E-5"/>
    <n v="0"/>
    <n v="0"/>
    <n v="0"/>
    <n v="0"/>
    <m/>
    <n v="3"/>
    <s v="No"/>
    <m/>
  </r>
  <r>
    <x v="107"/>
    <s v="COLCHESTER"/>
    <s v="No"/>
    <n v="1162.304208"/>
    <n v="1.0311546337533041E-5"/>
    <n v="0"/>
    <n v="0"/>
    <n v="1162.304208"/>
    <n v="1.0311546337533041E-5"/>
    <n v="0"/>
    <n v="0"/>
    <n v="0"/>
    <n v="0"/>
    <n v="0"/>
    <n v="0"/>
    <m/>
    <n v="1"/>
    <s v="No"/>
    <m/>
  </r>
  <r>
    <x v="108"/>
    <s v="COLCHESTER"/>
    <s v="No"/>
    <n v="787.97724479999999"/>
    <n v="6.9906516871844766E-6"/>
    <n v="1107.58"/>
    <n v="1.3550855955537164E-5"/>
    <n v="787.97724479999999"/>
    <n v="6.9906516871844766E-6"/>
    <n v="1107.58"/>
    <n v="1.3550855955537164E-5"/>
    <n v="0"/>
    <n v="0"/>
    <n v="0"/>
    <n v="0"/>
    <m/>
    <n v="2"/>
    <s v="No"/>
    <m/>
  </r>
  <r>
    <x v="109"/>
    <s v="COLEBROOK"/>
    <s v="No"/>
    <n v="40187.747168639995"/>
    <n v="3.5653128869210255E-4"/>
    <n v="31218.78"/>
    <n v="3.8195091179653345E-4"/>
    <n v="33902.455685759996"/>
    <n v="3.0077043544513672E-4"/>
    <n v="31218.78"/>
    <n v="3.8195091179653345E-4"/>
    <n v="6285.2914828800003"/>
    <n v="5.5760853246965867E-5"/>
    <n v="0"/>
    <n v="0"/>
    <m/>
    <n v="1"/>
    <s v="No"/>
    <m/>
  </r>
  <r>
    <x v="13"/>
    <s v="COLEBROOK"/>
    <s v="No"/>
    <n v="236.81980800000002"/>
    <n v="2.1009804550562881E-6"/>
    <n v="0"/>
    <n v="0"/>
    <n v="236.81980800000002"/>
    <n v="2.1009804550562881E-6"/>
    <n v="0"/>
    <n v="0"/>
    <n v="0"/>
    <n v="0"/>
    <n v="0"/>
    <n v="0"/>
    <m/>
    <n v="1"/>
    <s v="No"/>
    <m/>
  </r>
  <r>
    <x v="110"/>
    <s v="COLUMBIA"/>
    <s v="No"/>
    <n v="384.0116256"/>
    <n v="3.4068135039615976E-6"/>
    <n v="0"/>
    <n v="0"/>
    <n v="384.0116256"/>
    <n v="3.4068135039615976E-6"/>
    <n v="0"/>
    <n v="0"/>
    <n v="0"/>
    <n v="0"/>
    <n v="0"/>
    <n v="0"/>
    <m/>
    <n v="1"/>
    <s v="No"/>
    <m/>
  </r>
  <r>
    <x v="111"/>
    <s v="COLUMBIA"/>
    <s v="No"/>
    <n v="134293.73153760002"/>
    <n v="1.1914058523224283E-3"/>
    <n v="44825.78"/>
    <n v="5.4842782270770392E-4"/>
    <n v="114568.80654240001"/>
    <n v="1.0164133876196175E-3"/>
    <n v="43500.86"/>
    <n v="5.3221788746816339E-4"/>
    <n v="19724.924995200003"/>
    <n v="1.7499246470281088E-4"/>
    <n v="1324.92"/>
    <n v="1.6209935239540532E-5"/>
    <m/>
    <n v="1"/>
    <s v="No"/>
    <m/>
  </r>
  <r>
    <x v="112"/>
    <s v="CORNWALL"/>
    <s v="No"/>
    <n v="207.17536319999999"/>
    <n v="1.8379855660232091E-6"/>
    <n v="0"/>
    <n v="0"/>
    <n v="207.17536319999999"/>
    <n v="1.8379855660232091E-6"/>
    <n v="0"/>
    <n v="0"/>
    <n v="0"/>
    <n v="0"/>
    <n v="0"/>
    <n v="0"/>
    <m/>
    <n v="1"/>
    <s v="No"/>
    <m/>
  </r>
  <r>
    <x v="79"/>
    <s v="CORNWALL"/>
    <s v="No"/>
    <n v="58439.273212799992"/>
    <n v="5.1845228600044834E-4"/>
    <n v="15124.35"/>
    <n v="1.850411602512943E-4"/>
    <n v="48379.472259839997"/>
    <n v="4.2920533760360826E-4"/>
    <n v="13559.24"/>
    <n v="1.6589258392762395E-4"/>
    <n v="10059.800952959999"/>
    <n v="8.9246948396840085E-5"/>
    <n v="1565.11"/>
    <n v="1.914857632367032E-5"/>
    <m/>
    <n v="3"/>
    <s v="No"/>
    <m/>
  </r>
  <r>
    <x v="113"/>
    <s v="CORNWALL"/>
    <s v="No"/>
    <n v="381.16122048"/>
    <n v="3.381525731385951E-6"/>
    <n v="0"/>
    <n v="0"/>
    <n v="381.16122048"/>
    <n v="3.381525731385951E-6"/>
    <n v="0"/>
    <n v="0"/>
    <n v="0"/>
    <n v="0"/>
    <n v="0"/>
    <n v="0"/>
    <m/>
    <n v="1"/>
    <s v="No"/>
    <m/>
  </r>
  <r>
    <x v="114"/>
    <s v="CORNWALL"/>
    <s v="No"/>
    <n v="40.9326048"/>
    <n v="3.6313939862388195E-7"/>
    <n v="0"/>
    <n v="0"/>
    <n v="40.9326048"/>
    <n v="3.6313939862388195E-7"/>
    <n v="0"/>
    <n v="0"/>
    <n v="0"/>
    <n v="0"/>
    <n v="0"/>
    <n v="0"/>
    <m/>
    <n v="2"/>
    <s v="No"/>
    <m/>
  </r>
  <r>
    <x v="2"/>
    <s v="COVENTRY"/>
    <s v="No"/>
    <n v="114483.14040672001"/>
    <n v="1.0156533883685249E-3"/>
    <n v="26282.479299999999"/>
    <n v="3.2155699014851051E-4"/>
    <n v="114445.98788832"/>
    <n v="1.0153237845415741E-3"/>
    <n v="26282.479299999999"/>
    <n v="3.2155699014851051E-4"/>
    <n v="37.152518400000005"/>
    <n v="3.2960382695065403E-7"/>
    <n v="0"/>
    <n v="0"/>
    <m/>
    <n v="3"/>
    <s v="No"/>
    <m/>
  </r>
  <r>
    <x v="110"/>
    <s v="COVENTRY"/>
    <s v="No"/>
    <n v="174738.03427008004"/>
    <n v="1.5502132100216632E-3"/>
    <n v="98738.7261"/>
    <n v="1.2080339610812203E-3"/>
    <n v="136588.91316768003"/>
    <n v="1.2117678811000309E-3"/>
    <n v="52139.396099999998"/>
    <n v="6.3790737116939291E-4"/>
    <n v="38149.121102400008"/>
    <n v="3.3844532892163227E-4"/>
    <n v="46599.33"/>
    <n v="5.701265899118273E-4"/>
    <m/>
    <n v="1"/>
    <s v="No"/>
    <m/>
  </r>
  <r>
    <x v="115"/>
    <s v="CROMWELL"/>
    <s v="No"/>
    <n v="105823.17838656"/>
    <n v="9.3882530924988146E-4"/>
    <n v="12420.4566"/>
    <n v="1.5195996522923932E-4"/>
    <n v="105823.17838656"/>
    <n v="9.3882530924988146E-4"/>
    <n v="12420.4566"/>
    <n v="1.5195996522923932E-4"/>
    <n v="0"/>
    <n v="0"/>
    <n v="0"/>
    <n v="0"/>
    <m/>
    <n v="2"/>
    <s v="No"/>
    <m/>
  </r>
  <r>
    <x v="116"/>
    <s v="CROMWELL"/>
    <s v="No"/>
    <n v="60556.671532799999"/>
    <n v="5.3723708497253864E-4"/>
    <n v="14839.490299999999"/>
    <n v="1.8155600092895411E-4"/>
    <n v="60556.671532799999"/>
    <n v="5.3723708497253864E-4"/>
    <n v="14839.490299999999"/>
    <n v="1.8155600092895411E-4"/>
    <n v="0"/>
    <n v="0"/>
    <n v="0"/>
    <n v="0"/>
    <m/>
    <n v="2"/>
    <s v="No"/>
    <m/>
  </r>
  <r>
    <x v="117"/>
    <s v="CROMWELL"/>
    <s v="No"/>
    <n v="258744.63329279999"/>
    <n v="2.2954896467059006E-3"/>
    <n v="300876.64160000003"/>
    <n v="3.6811210302708443E-3"/>
    <n v="129484.10068992"/>
    <n v="1.1487365313211566E-3"/>
    <n v="197087.67060000001"/>
    <n v="2.411299079897576E-3"/>
    <n v="129260.53260288"/>
    <n v="1.1467531153847442E-3"/>
    <n v="103788.97100000001"/>
    <n v="1.2698219503732681E-3"/>
    <m/>
    <n v="2"/>
    <s v="No"/>
    <m/>
  </r>
  <r>
    <x v="22"/>
    <s v="DANBURY"/>
    <s v="No"/>
    <n v="3129.7147199999999"/>
    <n v="2.776570723603476E-5"/>
    <n v="0"/>
    <n v="0"/>
    <n v="3129.7147199999999"/>
    <n v="2.776570723603476E-5"/>
    <n v="0"/>
    <n v="0"/>
    <n v="0"/>
    <n v="0"/>
    <n v="0"/>
    <n v="0"/>
    <m/>
    <n v="4"/>
    <s v="No"/>
    <m/>
  </r>
  <r>
    <x v="24"/>
    <s v="DANBURY"/>
    <s v="No"/>
    <n v="1133.7191136000001"/>
    <n v="1.005794962555387E-5"/>
    <n v="0"/>
    <n v="0"/>
    <n v="1133.7191136000001"/>
    <n v="1.005794962555387E-5"/>
    <n v="0"/>
    <n v="0"/>
    <n v="0"/>
    <n v="0"/>
    <n v="0"/>
    <n v="0"/>
    <m/>
    <n v="4"/>
    <s v="No"/>
    <m/>
  </r>
  <r>
    <x v="118"/>
    <s v="DANBURY"/>
    <s v="No"/>
    <n v="80635.962551039993"/>
    <n v="7.1537335801904621E-4"/>
    <n v="11314.693300000001"/>
    <n v="1.3843133596614372E-4"/>
    <n v="80635.962551039993"/>
    <n v="7.1537335801904621E-4"/>
    <n v="11314.693300000001"/>
    <n v="1.3843133596614372E-4"/>
    <n v="0"/>
    <n v="0"/>
    <n v="0"/>
    <n v="0"/>
    <m/>
    <n v="5"/>
    <s v="No"/>
    <m/>
  </r>
  <r>
    <x v="119"/>
    <s v="DANBURY"/>
    <s v="No"/>
    <n v="66177.26174016"/>
    <n v="5.871009467469056E-4"/>
    <n v="3072.29"/>
    <n v="3.7588399252096715E-5"/>
    <n v="66177.26174016"/>
    <n v="5.871009467469056E-4"/>
    <n v="3072.29"/>
    <n v="3.7588399252096715E-5"/>
    <n v="0"/>
    <n v="0"/>
    <n v="0"/>
    <n v="0"/>
    <m/>
    <n v="5"/>
    <s v="Yes"/>
    <m/>
  </r>
  <r>
    <x v="120"/>
    <s v="DANBURY"/>
    <s v="No"/>
    <n v="72919.210815359998"/>
    <n v="6.4691310247663248E-4"/>
    <n v="9926.9599999999991"/>
    <n v="1.2145290185483596E-4"/>
    <n v="72913.375704959995"/>
    <n v="6.4686133546859787E-4"/>
    <n v="9926.9599999999991"/>
    <n v="1.2145290185483596E-4"/>
    <n v="5.8351103999999996"/>
    <n v="5.1767008034630603E-8"/>
    <n v="0"/>
    <n v="0"/>
    <m/>
    <n v="5"/>
    <s v="No"/>
    <m/>
  </r>
  <r>
    <x v="27"/>
    <s v="DANBURY"/>
    <s v="No"/>
    <n v="164937.70064736"/>
    <n v="1.4632681627798135E-3"/>
    <n v="14744.53"/>
    <n v="1.8039419469663266E-4"/>
    <n v="164937.70064736"/>
    <n v="1.4632681627798135E-3"/>
    <n v="14744.53"/>
    <n v="1.8039419469663266E-4"/>
    <n v="0"/>
    <n v="0"/>
    <n v="0"/>
    <n v="0"/>
    <m/>
    <n v="5"/>
    <s v="No"/>
    <m/>
  </r>
  <r>
    <x v="28"/>
    <s v="DANBURY"/>
    <s v="No"/>
    <n v="876122.01728640008"/>
    <n v="7.7726405156244944E-3"/>
    <n v="897178.81859999895"/>
    <n v="1.0976670702980907E-2"/>
    <n v="237105.11016576004"/>
    <n v="2.1035115536122292E-3"/>
    <n v="664344.47099999897"/>
    <n v="8.1280234668182193E-3"/>
    <n v="639016.90712064004"/>
    <n v="5.6691289620122648E-3"/>
    <n v="232834.34760000001"/>
    <n v="2.8486472361626885E-3"/>
    <m/>
    <n v="4"/>
    <s v="No"/>
    <m/>
  </r>
  <r>
    <x v="121"/>
    <s v="DANBURY"/>
    <s v="No"/>
    <n v="79251.416470080003"/>
    <n v="7.0309016144107369E-4"/>
    <n v="3809.8373999999999"/>
    <n v="4.6612035086782201E-5"/>
    <n v="79251.416470080003"/>
    <n v="7.0309016144107369E-4"/>
    <n v="3809.8373999999999"/>
    <n v="4.6612035086782201E-5"/>
    <n v="0"/>
    <n v="0"/>
    <n v="0"/>
    <n v="0"/>
    <m/>
    <n v="5"/>
    <s v="No"/>
    <m/>
  </r>
  <r>
    <x v="122"/>
    <s v="DANBURY"/>
    <s v="No"/>
    <n v="103630.93667135999"/>
    <n v="9.1937652650112467E-4"/>
    <n v="7306.01"/>
    <n v="8.9386490474470542E-5"/>
    <n v="103630.93667135999"/>
    <n v="9.1937652650112467E-4"/>
    <n v="7306.01"/>
    <n v="8.9386490474470542E-5"/>
    <n v="0"/>
    <n v="0"/>
    <n v="0"/>
    <n v="0"/>
    <m/>
    <n v="5"/>
    <s v="No"/>
    <m/>
  </r>
  <r>
    <x v="123"/>
    <s v="DANBURY"/>
    <s v="No"/>
    <n v="69888.772857600008"/>
    <n v="6.2002814309217755E-4"/>
    <n v="4260.4978000000001"/>
    <n v="5.2125708288956999E-5"/>
    <n v="69888.772857600008"/>
    <n v="6.2002814309217755E-4"/>
    <n v="4260.4978000000001"/>
    <n v="5.2125708288956999E-5"/>
    <n v="0"/>
    <n v="0"/>
    <n v="0"/>
    <n v="0"/>
    <m/>
    <n v="5"/>
    <s v="No"/>
    <m/>
  </r>
  <r>
    <x v="124"/>
    <s v="DANBURY"/>
    <s v="No"/>
    <n v="112936.28332031998"/>
    <n v="1.0019302267261856E-3"/>
    <n v="15526.7817"/>
    <n v="1.8996477208849065E-4"/>
    <n v="112885.17400511999"/>
    <n v="1.0014768032004537E-3"/>
    <n v="15526.7817"/>
    <n v="1.8996477208849065E-4"/>
    <n v="51.109315200000005"/>
    <n v="4.5342352573189848E-7"/>
    <n v="0"/>
    <n v="0"/>
    <m/>
    <n v="4"/>
    <s v="No"/>
    <m/>
  </r>
  <r>
    <x v="125"/>
    <s v="DANBURY"/>
    <s v="No"/>
    <n v="129253.82222592001"/>
    <n v="1.1466935833255045E-3"/>
    <n v="22839.652999999998"/>
    <n v="2.7943520818130723E-4"/>
    <n v="129253.82222592001"/>
    <n v="1.1466935833255045E-3"/>
    <n v="22839.652999999998"/>
    <n v="2.7943520818130723E-4"/>
    <n v="0"/>
    <n v="0"/>
    <n v="0"/>
    <n v="0"/>
    <m/>
    <n v="4"/>
    <s v="No"/>
    <m/>
  </r>
  <r>
    <x v="126"/>
    <s v="DANBURY"/>
    <s v="No"/>
    <n v="90044.851150080009"/>
    <n v="7.9884564531346462E-4"/>
    <n v="25082.14"/>
    <n v="3.0687125642988943E-4"/>
    <n v="90044.851150080009"/>
    <n v="7.9884564531346462E-4"/>
    <n v="25082.14"/>
    <n v="3.0687125642988943E-4"/>
    <n v="0"/>
    <n v="0"/>
    <n v="0"/>
    <n v="0"/>
    <m/>
    <n v="5"/>
    <s v="No"/>
    <m/>
  </r>
  <r>
    <x v="127"/>
    <s v="DANBURY"/>
    <s v="No"/>
    <n v="854.27637120000009"/>
    <n v="7.5788337735144622E-6"/>
    <n v="0"/>
    <n v="0"/>
    <n v="854.27637120000009"/>
    <n v="7.5788337735144622E-6"/>
    <n v="0"/>
    <n v="0"/>
    <n v="0"/>
    <n v="0"/>
    <n v="0"/>
    <n v="0"/>
    <m/>
    <e v="#N/A"/>
    <e v="#N/A"/>
    <m/>
  </r>
  <r>
    <x v="128"/>
    <s v="DANBURY"/>
    <s v="No"/>
    <n v="126281.56981248001"/>
    <n v="1.1203248252352549E-3"/>
    <n v="9848.92"/>
    <n v="1.2049810960617662E-4"/>
    <n v="126281.56981248001"/>
    <n v="1.1203248252352549E-3"/>
    <n v="9848.92"/>
    <n v="1.2049810960617662E-4"/>
    <n v="0"/>
    <n v="0"/>
    <n v="0"/>
    <n v="0"/>
    <m/>
    <n v="5"/>
    <s v="No"/>
    <m/>
  </r>
  <r>
    <x v="129"/>
    <s v="DANBURY"/>
    <s v="No"/>
    <n v="81086.724829440005"/>
    <n v="7.1937235938972157E-4"/>
    <n v="21246.9"/>
    <n v="2.5994842937007045E-4"/>
    <n v="81086.724829440005"/>
    <n v="7.1937235938972157E-4"/>
    <n v="21246.9"/>
    <n v="2.5994842937007045E-4"/>
    <n v="0"/>
    <n v="0"/>
    <n v="0"/>
    <n v="0"/>
    <m/>
    <n v="3"/>
    <s v="No"/>
    <m/>
  </r>
  <r>
    <x v="72"/>
    <s v="DANBURY"/>
    <s v="No"/>
    <n v="96778.791999359993"/>
    <n v="8.5858675493315651E-4"/>
    <n v="19683.9421"/>
    <n v="2.4082618324115074E-4"/>
    <n v="96778.791999359993"/>
    <n v="8.5858675493315651E-4"/>
    <n v="19683.9421"/>
    <n v="2.4082618324115074E-4"/>
    <n v="0"/>
    <n v="0"/>
    <n v="0"/>
    <n v="0"/>
    <m/>
    <n v="4"/>
    <s v="No"/>
    <m/>
  </r>
  <r>
    <x v="130"/>
    <s v="DANBURY"/>
    <s v="No"/>
    <n v="607.07724480000002"/>
    <n v="5.3857717257933997E-6"/>
    <n v="1235.32"/>
    <n v="1.5113710412786589E-5"/>
    <n v="607.07724480000002"/>
    <n v="5.3857717257933997E-6"/>
    <n v="1235.32"/>
    <n v="1.5113710412786589E-5"/>
    <n v="0"/>
    <n v="0"/>
    <n v="0"/>
    <n v="0"/>
    <m/>
    <n v="3"/>
    <s v="No"/>
    <m/>
  </r>
  <r>
    <x v="131"/>
    <s v="DANBURY"/>
    <s v="No"/>
    <n v="570.49781759999996"/>
    <n v="5.0612521585604313E-6"/>
    <n v="0"/>
    <n v="0"/>
    <n v="570.49781759999996"/>
    <n v="5.0612521585604313E-6"/>
    <n v="0"/>
    <n v="0"/>
    <n v="0"/>
    <n v="0"/>
    <n v="0"/>
    <n v="0"/>
    <m/>
    <n v="2"/>
    <s v="No"/>
    <m/>
  </r>
  <r>
    <x v="132"/>
    <s v="DANBURY"/>
    <s v="No"/>
    <n v="66.391747200000012"/>
    <n v="5.8900378487021683E-7"/>
    <n v="0"/>
    <n v="0"/>
    <n v="66.391747200000012"/>
    <n v="5.8900378487021683E-7"/>
    <n v="0"/>
    <n v="0"/>
    <n v="0"/>
    <n v="0"/>
    <n v="0"/>
    <n v="0"/>
    <m/>
    <n v="1"/>
    <s v="No"/>
    <m/>
  </r>
  <r>
    <x v="133"/>
    <s v="DANBURY"/>
    <s v="No"/>
    <n v="295.62822719999997"/>
    <n v="2.6227076719449901E-6"/>
    <n v="0"/>
    <n v="0"/>
    <n v="295.62822719999997"/>
    <n v="2.6227076719449901E-6"/>
    <n v="0"/>
    <n v="0"/>
    <n v="0"/>
    <n v="0"/>
    <n v="0"/>
    <n v="0"/>
    <m/>
    <n v="3"/>
    <s v="No"/>
    <m/>
  </r>
  <r>
    <x v="134"/>
    <s v="DANBURY"/>
    <s v="No"/>
    <n v="3350.3837759999997"/>
    <n v="2.972340400813805E-5"/>
    <n v="0"/>
    <n v="0"/>
    <n v="3350.3837759999997"/>
    <n v="2.972340400813805E-5"/>
    <n v="0"/>
    <n v="0"/>
    <n v="0"/>
    <n v="0"/>
    <n v="0"/>
    <n v="0"/>
    <m/>
    <n v="3"/>
    <s v="No"/>
    <m/>
  </r>
  <r>
    <x v="135"/>
    <s v="DARIEN"/>
    <s v="No"/>
    <n v="144986.32474272"/>
    <n v="1.2862667067735254E-3"/>
    <n v="21254.052"/>
    <n v="2.6003593160177737E-4"/>
    <n v="144509.90071392001"/>
    <n v="1.2820400435510472E-3"/>
    <n v="21254.052"/>
    <n v="2.6003593160177737E-4"/>
    <n v="476.42402879999997"/>
    <n v="4.2266632224783071E-6"/>
    <n v="0"/>
    <n v="0"/>
    <m/>
    <n v="1"/>
    <s v="No"/>
    <m/>
  </r>
  <r>
    <x v="136"/>
    <s v="DARIEN"/>
    <s v="No"/>
    <n v="90975.895113599996"/>
    <n v="8.0710553365081876E-4"/>
    <n v="24472.4656"/>
    <n v="2.9941210226118057E-4"/>
    <n v="90975.895113599996"/>
    <n v="8.0710553365081876E-4"/>
    <n v="24472.4656"/>
    <n v="2.9941210226118057E-4"/>
    <n v="0"/>
    <n v="0"/>
    <n v="0"/>
    <n v="0"/>
    <m/>
    <n v="3"/>
    <s v="No"/>
    <m/>
  </r>
  <r>
    <x v="137"/>
    <s v="DARIEN"/>
    <s v="No"/>
    <n v="329747.23436832003"/>
    <n v="2.9253992745265018E-3"/>
    <n v="224847.87"/>
    <n v="2.7509354613475742E-3"/>
    <n v="178578.25472448004"/>
    <n v="1.5842822694721371E-3"/>
    <n v="84416.53"/>
    <n v="1.0328068747144962E-3"/>
    <n v="151168.97964383999"/>
    <n v="1.3411170050543647E-3"/>
    <n v="140431.34"/>
    <n v="1.718128586633078E-3"/>
    <m/>
    <n v="1"/>
    <s v="No"/>
    <m/>
  </r>
  <r>
    <x v="138"/>
    <s v="DARIEN"/>
    <s v="No"/>
    <n v="83365.854695999995"/>
    <n v="7.3959198267468593E-4"/>
    <n v="14030.75"/>
    <n v="1.7166134473189573E-4"/>
    <n v="83365.854695999995"/>
    <n v="7.3959198267468593E-4"/>
    <n v="14030.75"/>
    <n v="1.7166134473189573E-4"/>
    <n v="0"/>
    <n v="0"/>
    <n v="0"/>
    <n v="0"/>
    <m/>
    <n v="3"/>
    <s v="No"/>
    <m/>
  </r>
  <r>
    <x v="139"/>
    <s v="DARIEN"/>
    <s v="No"/>
    <n v="137375.18561088003"/>
    <n v="1.2187434083984594E-3"/>
    <n v="32728.266500000002"/>
    <n v="4.0041895394999234E-4"/>
    <n v="137375.18561088003"/>
    <n v="1.2187434083984594E-3"/>
    <n v="32728.266500000002"/>
    <n v="4.0041895394999234E-4"/>
    <n v="0"/>
    <n v="0"/>
    <n v="0"/>
    <n v="0"/>
    <m/>
    <n v="3"/>
    <s v="No"/>
    <m/>
  </r>
  <r>
    <x v="140"/>
    <s v="DEEP RIVER"/>
    <s v="No"/>
    <n v="136656.11013695999"/>
    <n v="1.212364028526585E-3"/>
    <n v="60771.553199999995"/>
    <n v="7.4351881002497665E-4"/>
    <n v="104659.926552"/>
    <n v="9.2850535590915874E-4"/>
    <n v="55582.743199999997"/>
    <n v="6.8003552494340163E-4"/>
    <n v="31996.183584960003"/>
    <n v="2.8385867261742644E-4"/>
    <n v="5188.8100000000004"/>
    <n v="6.3483285081574966E-5"/>
    <m/>
    <n v="1"/>
    <s v="No"/>
    <m/>
  </r>
  <r>
    <x v="141"/>
    <s v="DURHAM"/>
    <s v="No"/>
    <n v="186133.39589951999"/>
    <n v="1.6513087740453944E-3"/>
    <n v="75403.70670000001"/>
    <n v="9.2253811734165731E-4"/>
    <n v="149595.26773535999"/>
    <n v="1.327155597055901E-3"/>
    <n v="60194.636700000003"/>
    <n v="7.364604373657804E-4"/>
    <n v="36538.128164160007"/>
    <n v="3.2415317698949347E-4"/>
    <n v="15209.07"/>
    <n v="1.8607767997587681E-4"/>
    <m/>
    <n v="1"/>
    <s v="No"/>
    <m/>
  </r>
  <r>
    <x v="142"/>
    <s v="DURHAM"/>
    <s v="No"/>
    <n v="86.247331200000005"/>
    <n v="7.651554094325014E-7"/>
    <n v="0"/>
    <n v="0"/>
    <n v="86.247331200000005"/>
    <n v="7.651554094325014E-7"/>
    <n v="0"/>
    <n v="0"/>
    <n v="0"/>
    <n v="0"/>
    <n v="0"/>
    <n v="0"/>
    <m/>
    <n v="2"/>
    <s v="No"/>
    <m/>
  </r>
  <r>
    <x v="143"/>
    <s v="EAST GRANBY"/>
    <s v="No"/>
    <n v="175550.4483552"/>
    <n v="1.557420656597456E-3"/>
    <n v="67359.439799999993"/>
    <n v="8.2411931054684725E-4"/>
    <n v="111288.10370976001"/>
    <n v="9.8730816796575947E-4"/>
    <n v="53479.969799999999"/>
    <n v="6.5430882398226559E-4"/>
    <n v="64262.344645439996"/>
    <n v="5.7011248863169642E-4"/>
    <n v="13879.47"/>
    <n v="1.698104865645817E-4"/>
    <m/>
    <n v="3"/>
    <s v="No"/>
    <m/>
  </r>
  <r>
    <x v="144"/>
    <s v="EAST GRANBY"/>
    <s v="No"/>
    <n v="279.3906432"/>
    <n v="2.4786536466105272E-6"/>
    <n v="0"/>
    <n v="0"/>
    <n v="279.3906432"/>
    <n v="2.4786536466105272E-6"/>
    <n v="0"/>
    <n v="0"/>
    <n v="0"/>
    <n v="0"/>
    <n v="0"/>
    <n v="0"/>
    <m/>
    <n v="1"/>
    <s v="No"/>
    <m/>
  </r>
  <r>
    <x v="145"/>
    <s v="EAST GRANBY"/>
    <s v="No"/>
    <n v="239.47686720000002"/>
    <n v="2.1245529319292002E-6"/>
    <n v="0"/>
    <n v="0"/>
    <n v="239.47686720000002"/>
    <n v="2.1245529319292002E-6"/>
    <n v="0"/>
    <n v="0"/>
    <n v="0"/>
    <n v="0"/>
    <n v="0"/>
    <n v="0"/>
    <m/>
    <n v="1"/>
    <s v="No"/>
    <m/>
  </r>
  <r>
    <x v="102"/>
    <s v="EAST HADDAM"/>
    <s v="No"/>
    <n v="63151.540496640009"/>
    <n v="5.6025783236061195E-4"/>
    <n v="4781.78"/>
    <n v="5.8503414643699325E-5"/>
    <n v="63105.536903040011"/>
    <n v="5.5984970496691044E-4"/>
    <n v="4781.78"/>
    <n v="5.8503414643699325E-5"/>
    <n v="46.003593600000002"/>
    <n v="4.0812739370159666E-7"/>
    <n v="0"/>
    <n v="0"/>
    <m/>
    <n v="1"/>
    <s v="No"/>
    <m/>
  </r>
  <r>
    <x v="146"/>
    <s v="EAST HADDAM"/>
    <s v="No"/>
    <n v="164063.69662464"/>
    <n v="1.4555143123528454E-3"/>
    <n v="63836.366699999999"/>
    <n v="7.8101573690076505E-4"/>
    <n v="140629.99803552"/>
    <n v="1.2476189376322425E-3"/>
    <n v="55971.386700000003"/>
    <n v="6.8479044295072927E-4"/>
    <n v="23433.698589120002"/>
    <n v="2.078953747206029E-4"/>
    <n v="7864.98"/>
    <n v="9.6225293950035829E-5"/>
    <m/>
    <n v="1"/>
    <s v="No"/>
    <m/>
  </r>
  <r>
    <x v="147"/>
    <s v="EAST HAMPTON"/>
    <s v="No"/>
    <n v="173298.61325952"/>
    <n v="1.537443182736682E-3"/>
    <n v="123940.35619999999"/>
    <n v="1.5163671373121287E-3"/>
    <n v="122937.67875456001"/>
    <n v="1.0906590222947872E-3"/>
    <n v="79748.796199999997"/>
    <n v="9.7569877564933425E-4"/>
    <n v="50360.934504959994"/>
    <n v="4.4678416044189494E-4"/>
    <n v="44191.56"/>
    <n v="5.4066836166279445E-4"/>
    <m/>
    <n v="3"/>
    <s v="No"/>
    <m/>
  </r>
  <r>
    <x v="101"/>
    <s v="EAST HAMPTON"/>
    <s v="No"/>
    <n v="76930.412739840016"/>
    <n v="6.8249904824607037E-4"/>
    <n v="15684.3472"/>
    <n v="1.9189253116148059E-4"/>
    <n v="76930.412739840016"/>
    <n v="6.8249904824607037E-4"/>
    <n v="15684.3472"/>
    <n v="1.9189253116148059E-4"/>
    <n v="0"/>
    <n v="0"/>
    <n v="0"/>
    <n v="0"/>
    <m/>
    <n v="2"/>
    <s v="No"/>
    <m/>
  </r>
  <r>
    <x v="148"/>
    <s v="EAST HAMPTON"/>
    <s v="No"/>
    <n v="72378.179726400005"/>
    <n v="6.4211326857303115E-4"/>
    <n v="17842.5468"/>
    <n v="2.1829735239597194E-4"/>
    <n v="72315.440712000011"/>
    <n v="6.4155667052434139E-4"/>
    <n v="17842.5468"/>
    <n v="2.1829735239597194E-4"/>
    <n v="62.739014400000002"/>
    <n v="5.5659804868980808E-7"/>
    <n v="0"/>
    <n v="0"/>
    <m/>
    <n v="1"/>
    <s v="No"/>
    <m/>
  </r>
  <r>
    <x v="149"/>
    <s v="EAST HAMPTON"/>
    <s v="No"/>
    <n v="775.89023040000006"/>
    <n v="6.8834200276841713E-6"/>
    <n v="515.64"/>
    <n v="6.3086760007522563E-6"/>
    <n v="775.89023040000006"/>
    <n v="6.8834200276841713E-6"/>
    <n v="515.64"/>
    <n v="6.3086760007522563E-6"/>
    <n v="0"/>
    <n v="0"/>
    <n v="0"/>
    <n v="0"/>
    <m/>
    <n v="1"/>
    <s v="No"/>
    <m/>
  </r>
  <r>
    <x v="150"/>
    <s v="EAST HARTFORD"/>
    <s v="No"/>
    <n v="236.11936320000001"/>
    <n v="2.0947663598457818E-6"/>
    <n v="0"/>
    <n v="0"/>
    <n v="236.11936320000001"/>
    <n v="2.0947663598457818E-6"/>
    <n v="0"/>
    <n v="0"/>
    <n v="0"/>
    <n v="0"/>
    <n v="0"/>
    <n v="0"/>
    <m/>
    <n v="3"/>
    <s v="No"/>
    <m/>
  </r>
  <r>
    <x v="151"/>
    <s v="EAST HARTFORD"/>
    <s v="No"/>
    <n v="28572.322570560002"/>
    <n v="2.5348340488609041E-4"/>
    <n v="22163.206699999999"/>
    <n v="2.7115912304709024E-4"/>
    <n v="28572.322570560002"/>
    <n v="2.5348340488609041E-4"/>
    <n v="22163.206699999999"/>
    <n v="2.7115912304709024E-4"/>
    <n v="0"/>
    <n v="0"/>
    <n v="0"/>
    <n v="0"/>
    <m/>
    <n v="4"/>
    <s v="No"/>
    <m/>
  </r>
  <r>
    <x v="152"/>
    <s v="EAST HARTFORD"/>
    <s v="No"/>
    <n v="23940.745948800002"/>
    <n v="2.1239371715856136E-4"/>
    <n v="2074.27"/>
    <n v="2.5377971778916262E-5"/>
    <n v="23940.745948800002"/>
    <n v="2.1239371715856136E-4"/>
    <n v="2074.27"/>
    <n v="2.5377971778916262E-5"/>
    <n v="0"/>
    <n v="0"/>
    <n v="0"/>
    <n v="0"/>
    <m/>
    <n v="5"/>
    <s v="No"/>
    <m/>
  </r>
  <r>
    <x v="153"/>
    <s v="EAST HARTFORD"/>
    <s v="No"/>
    <n v="45262.2046176"/>
    <n v="4.0155005638014901E-4"/>
    <n v="42202.34"/>
    <n v="5.1633094704364854E-4"/>
    <n v="45069.819638400004"/>
    <n v="3.9984328579976915E-4"/>
    <n v="42202.34"/>
    <n v="5.1633094704364854E-4"/>
    <n v="192.38497919999998"/>
    <n v="1.7067705803798743E-6"/>
    <n v="0"/>
    <n v="0"/>
    <m/>
    <n v="4"/>
    <s v="No"/>
    <m/>
  </r>
  <r>
    <x v="154"/>
    <s v="EAST HARTFORD"/>
    <s v="No"/>
    <n v="57149.46894816"/>
    <n v="5.070096048592793E-4"/>
    <n v="9259.56"/>
    <n v="1.1328749505376922E-4"/>
    <n v="57149.46894816"/>
    <n v="5.070096048592793E-4"/>
    <n v="9259.56"/>
    <n v="1.1328749505376922E-4"/>
    <n v="0"/>
    <n v="0"/>
    <n v="0"/>
    <n v="0"/>
    <m/>
    <n v="4"/>
    <s v="No"/>
    <m/>
  </r>
  <r>
    <x v="155"/>
    <s v="EAST HARTFORD"/>
    <s v="No"/>
    <n v="47422.277971200005"/>
    <n v="4.2071345295465135E-4"/>
    <n v="3607.91"/>
    <n v="4.4141523601493431E-5"/>
    <n v="47422.277971200005"/>
    <n v="4.2071345295465135E-4"/>
    <n v="3607.91"/>
    <n v="4.4141523601493431E-5"/>
    <n v="0"/>
    <n v="0"/>
    <n v="0"/>
    <n v="0"/>
    <m/>
    <n v="5"/>
    <s v="No"/>
    <m/>
  </r>
  <r>
    <x v="156"/>
    <s v="EAST HARTFORD"/>
    <s v="No"/>
    <n v="59338.273852800005"/>
    <n v="5.2642789745657747E-4"/>
    <n v="16098.58"/>
    <n v="1.9696052535138906E-4"/>
    <n v="59338.273852800005"/>
    <n v="5.2642789745657747E-4"/>
    <n v="16098.58"/>
    <n v="1.9696052535138906E-4"/>
    <n v="0"/>
    <n v="0"/>
    <n v="0"/>
    <n v="0"/>
    <m/>
    <n v="5"/>
    <s v="No"/>
    <m/>
  </r>
  <r>
    <x v="157"/>
    <s v="EAST HARTFORD"/>
    <s v="No"/>
    <n v="682247.42991647997"/>
    <n v="6.052654665469997E-3"/>
    <n v="698719.04249999998"/>
    <n v="8.5485843896678793E-3"/>
    <n v="98289.779944319991"/>
    <n v="8.7199169840894311E-4"/>
    <n v="409325.7415"/>
    <n v="5.0079580364036378E-3"/>
    <n v="583957.64997216"/>
    <n v="5.1806629670610544E-3"/>
    <n v="289393.30099999998"/>
    <n v="3.5406263532642419E-3"/>
    <m/>
    <n v="5"/>
    <s v="No"/>
    <m/>
  </r>
  <r>
    <x v="158"/>
    <s v="EAST HARTFORD"/>
    <s v="No"/>
    <n v="40521.756297600004"/>
    <n v="3.5949449796788814E-4"/>
    <n v="5767.2932000000001"/>
    <n v="7.056082577019177E-5"/>
    <n v="40521.756297600004"/>
    <n v="3.5949449796788814E-4"/>
    <n v="5767.2932000000001"/>
    <n v="7.056082577019177E-5"/>
    <n v="0"/>
    <n v="0"/>
    <n v="0"/>
    <n v="0"/>
    <m/>
    <n v="3"/>
    <s v="No"/>
    <m/>
  </r>
  <r>
    <x v="159"/>
    <s v="EAST HARTFORD"/>
    <s v="No"/>
    <n v="56760.885907200005"/>
    <n v="5.0356223539674142E-4"/>
    <n v="28094.3"/>
    <n v="3.4372398605215674E-4"/>
    <n v="56760.885907200005"/>
    <n v="5.0356223539674142E-4"/>
    <n v="28094.3"/>
    <n v="3.4372398605215674E-4"/>
    <n v="0"/>
    <n v="0"/>
    <n v="0"/>
    <n v="0"/>
    <m/>
    <n v="4"/>
    <s v="No"/>
    <m/>
  </r>
  <r>
    <x v="160"/>
    <s v="EAST HARTFORD"/>
    <s v="No"/>
    <n v="52835.4427392"/>
    <n v="4.6873711057693644E-4"/>
    <n v="18406.3269"/>
    <n v="2.2519500577152795E-4"/>
    <n v="52835.4427392"/>
    <n v="4.6873711057693644E-4"/>
    <n v="18406.3269"/>
    <n v="2.2519500577152795E-4"/>
    <n v="0"/>
    <n v="0"/>
    <n v="0"/>
    <n v="0"/>
    <m/>
    <n v="4"/>
    <s v="No"/>
    <m/>
  </r>
  <r>
    <x v="161"/>
    <s v="EAST HARTFORD"/>
    <s v="No"/>
    <n v="56665.462170240004"/>
    <n v="5.0271567020443539E-4"/>
    <n v="32384.834299999999"/>
    <n v="3.9621718046844404E-4"/>
    <n v="56665.462170240004"/>
    <n v="5.0271567020443539E-4"/>
    <n v="32384.834299999999"/>
    <n v="3.9621718046844404E-4"/>
    <n v="0"/>
    <n v="0"/>
    <n v="0"/>
    <n v="0"/>
    <m/>
    <n v="4"/>
    <s v="No"/>
    <m/>
  </r>
  <r>
    <x v="162"/>
    <s v="EAST HARTFORD"/>
    <s v="No"/>
    <n v="37711.687535999998"/>
    <n v="3.3456457510651225E-4"/>
    <n v="16579.5"/>
    <n v="2.0284441423177416E-4"/>
    <n v="37711.687535999998"/>
    <n v="3.3456457510651225E-4"/>
    <n v="16579.5"/>
    <n v="2.0284441423177416E-4"/>
    <n v="0"/>
    <n v="0"/>
    <n v="0"/>
    <n v="0"/>
    <m/>
    <n v="5"/>
    <s v="No"/>
    <m/>
  </r>
  <r>
    <x v="163"/>
    <s v="EAST HARTFORD"/>
    <s v="No"/>
    <n v="38897.82654912"/>
    <n v="3.4508757529214232E-4"/>
    <n v="21005.37"/>
    <n v="2.5699339385214763E-4"/>
    <n v="38897.82654912"/>
    <n v="3.4508757529214232E-4"/>
    <n v="21005.37"/>
    <n v="2.5699339385214763E-4"/>
    <n v="0"/>
    <n v="0"/>
    <n v="0"/>
    <n v="0"/>
    <m/>
    <n v="4"/>
    <s v="No"/>
    <m/>
  </r>
  <r>
    <x v="164"/>
    <s v="EAST HARTFORD"/>
    <s v="No"/>
    <n v="33981.297984000004"/>
    <n v="3.0146989605627769E-4"/>
    <n v="15077.28"/>
    <n v="1.8446527517768595E-4"/>
    <n v="33981.297984000004"/>
    <n v="3.0146989605627769E-4"/>
    <n v="15077.28"/>
    <n v="1.8446527517768595E-4"/>
    <n v="0"/>
    <n v="0"/>
    <n v="0"/>
    <n v="0"/>
    <m/>
    <n v="4"/>
    <s v="No"/>
    <m/>
  </r>
  <r>
    <x v="165"/>
    <s v="EAST HARTFORD"/>
    <s v="No"/>
    <n v="1951.9243142400001"/>
    <n v="1.731677290257489E-5"/>
    <n v="0"/>
    <n v="0"/>
    <n v="1951.9243142400001"/>
    <n v="1.731677290257489E-5"/>
    <n v="0"/>
    <n v="0"/>
    <n v="0"/>
    <n v="0"/>
    <n v="0"/>
    <n v="0"/>
    <m/>
    <n v="5"/>
    <s v="No"/>
    <m/>
  </r>
  <r>
    <x v="166"/>
    <s v="EAST LYME"/>
    <s v="No"/>
    <n v="70.605993600000005"/>
    <n v="6.2639106845078325E-7"/>
    <n v="0"/>
    <n v="0"/>
    <n v="70.605993600000005"/>
    <n v="6.2639106845078325E-7"/>
    <n v="0"/>
    <n v="0"/>
    <n v="0"/>
    <n v="0"/>
    <n v="0"/>
    <n v="0"/>
    <m/>
    <n v="3"/>
    <s v="No"/>
    <m/>
  </r>
  <r>
    <x v="167"/>
    <s v="EAST LYME"/>
    <s v="No"/>
    <n v="94268.427937920002"/>
    <n v="8.3631570475072774E-4"/>
    <n v="40280.123399999997"/>
    <n v="4.928132957119683E-4"/>
    <n v="94268.427937920002"/>
    <n v="8.3631570475072774E-4"/>
    <n v="40280.123399999997"/>
    <n v="4.928132957119683E-4"/>
    <n v="0"/>
    <n v="0"/>
    <n v="0"/>
    <n v="0"/>
    <m/>
    <n v="5"/>
    <s v="No"/>
    <m/>
  </r>
  <r>
    <x v="168"/>
    <s v="EAST LYME"/>
    <s v="No"/>
    <n v="255083.41237536"/>
    <n v="2.2630086069898958E-3"/>
    <n v="240683.9578"/>
    <n v="2.9446844859571191E-3"/>
    <n v="138124.48498847999"/>
    <n v="1.2253909239108584E-3"/>
    <n v="220651.68780000001"/>
    <n v="2.6995966320482109E-3"/>
    <n v="116958.92738688001"/>
    <n v="1.0376176830790374E-3"/>
    <n v="20032.27"/>
    <n v="2.4508785390890816E-4"/>
    <m/>
    <n v="4"/>
    <s v="No"/>
    <m/>
  </r>
  <r>
    <x v="169"/>
    <s v="EAST LYME"/>
    <s v="No"/>
    <n v="50602.6302192"/>
    <n v="4.4892839818947865E-4"/>
    <n v="7191.9422999999997"/>
    <n v="8.7990911850913396E-5"/>
    <n v="50602.6302192"/>
    <n v="4.4892839818947865E-4"/>
    <n v="7191.9422999999997"/>
    <n v="8.7990911850913396E-5"/>
    <n v="0"/>
    <n v="0"/>
    <n v="0"/>
    <n v="0"/>
    <m/>
    <n v="3"/>
    <s v="No"/>
    <m/>
  </r>
  <r>
    <x v="170"/>
    <s v="EAST LYME"/>
    <s v="No"/>
    <n v="42616.216497600006"/>
    <n v="3.7807579816087405E-4"/>
    <n v="14608.0656"/>
    <n v="1.787246002407389E-4"/>
    <n v="42616.216497600006"/>
    <n v="3.7807579816087405E-4"/>
    <n v="14608.0656"/>
    <n v="1.787246002407389E-4"/>
    <n v="0"/>
    <n v="0"/>
    <n v="0"/>
    <n v="0"/>
    <m/>
    <n v="4"/>
    <s v="No"/>
    <m/>
  </r>
  <r>
    <x v="171"/>
    <s v="EAST LYME"/>
    <s v="No"/>
    <n v="110586.99898655999"/>
    <n v="9.8108821815315393E-4"/>
    <n v="67520.932400000005"/>
    <n v="8.2609511632203761E-4"/>
    <n v="110586.99898655999"/>
    <n v="9.8108821815315393E-4"/>
    <n v="67520.932400000005"/>
    <n v="8.2609511632203761E-4"/>
    <n v="0"/>
    <n v="0"/>
    <n v="0"/>
    <n v="0"/>
    <m/>
    <n v="4"/>
    <s v="No"/>
    <m/>
  </r>
  <r>
    <x v="172"/>
    <s v="EAST WINDSOR"/>
    <s v="No"/>
    <n v="173372.84362080001"/>
    <n v="1.5381017278961353E-3"/>
    <n v="304630.3566"/>
    <n v="3.7270464273194896E-3"/>
    <n v="108316.02669695999"/>
    <n v="9.609409659671205E-4"/>
    <n v="234607.06659999999"/>
    <n v="2.8703358363709294E-3"/>
    <n v="65056.816923840001"/>
    <n v="5.7716076192901474E-4"/>
    <n v="70023.289999999994"/>
    <n v="8.5671059094855984E-4"/>
    <m/>
    <n v="4"/>
    <s v="No"/>
    <m/>
  </r>
  <r>
    <x v="173"/>
    <s v="EAST WINDSOR"/>
    <s v="No"/>
    <n v="95034.406584960001"/>
    <n v="8.4311119276337537E-4"/>
    <n v="25148.027699999999"/>
    <n v="3.0767736951602467E-4"/>
    <n v="95034.406584960001"/>
    <n v="8.4311119276337537E-4"/>
    <n v="25148.027699999999"/>
    <n v="3.0767736951602467E-4"/>
    <n v="0"/>
    <n v="0"/>
    <n v="0"/>
    <n v="0"/>
    <m/>
    <n v="3"/>
    <s v="No"/>
    <m/>
  </r>
  <r>
    <x v="174"/>
    <s v="EAST WINDSOR"/>
    <s v="No"/>
    <n v="330.62152320000001"/>
    <n v="2.9331556516764806E-6"/>
    <n v="792.94"/>
    <n v="9.7013450237306931E-6"/>
    <n v="330.62152320000001"/>
    <n v="2.9331556516764806E-6"/>
    <n v="792.94"/>
    <n v="9.7013450237306931E-6"/>
    <n v="0"/>
    <n v="0"/>
    <n v="0"/>
    <n v="0"/>
    <m/>
    <n v="3"/>
    <s v="No"/>
    <m/>
  </r>
  <r>
    <x v="4"/>
    <s v="EASTFORD"/>
    <s v="No"/>
    <n v="42614.721250560004"/>
    <n v="3.7806253286506514E-4"/>
    <n v="21504.103599999999"/>
    <n v="2.6309522593090178E-4"/>
    <n v="35663.583467520002"/>
    <n v="3.1639452989729673E-4"/>
    <n v="21504.103599999999"/>
    <n v="2.6309522593090178E-4"/>
    <n v="6951.1377830399997"/>
    <n v="6.1668002967768358E-5"/>
    <n v="0"/>
    <n v="0"/>
    <m/>
    <n v="2"/>
    <s v="No"/>
    <m/>
  </r>
  <r>
    <x v="175"/>
    <s v="ELLINGTON"/>
    <s v="No"/>
    <n v="41.766192000000004"/>
    <n v="3.705346854859721E-7"/>
    <n v="0"/>
    <n v="0"/>
    <n v="41.766192000000004"/>
    <n v="3.705346854859721E-7"/>
    <n v="0"/>
    <n v="0"/>
    <n v="0"/>
    <n v="0"/>
    <n v="0"/>
    <n v="0"/>
    <m/>
    <n v="5"/>
    <s v="No"/>
    <m/>
  </r>
  <r>
    <x v="176"/>
    <s v="ELLINGTON"/>
    <s v="No"/>
    <n v="267742.94314752001"/>
    <n v="2.3753194265413238E-3"/>
    <n v="200257.17310000001"/>
    <n v="2.4500768402654183E-3"/>
    <n v="207453.90752064"/>
    <n v="1.8404567113994082E-3"/>
    <n v="175122.63310000001"/>
    <n v="2.1425644880663113E-3"/>
    <n v="60289.035626880002"/>
    <n v="5.348627151419154E-4"/>
    <n v="25134.54"/>
    <n v="3.0751235219910714E-4"/>
    <m/>
    <n v="4"/>
    <s v="No"/>
    <m/>
  </r>
  <r>
    <x v="177"/>
    <s v="ELLINGTON"/>
    <s v="No"/>
    <n v="127771.96699584002"/>
    <n v="1.1335470948543162E-3"/>
    <n v="36380.263400000003"/>
    <n v="4.4509986543446141E-4"/>
    <n v="127771.96699584002"/>
    <n v="1.1335470948543162E-3"/>
    <n v="36380.263400000003"/>
    <n v="4.4509986543446141E-4"/>
    <n v="0"/>
    <n v="0"/>
    <n v="0"/>
    <n v="0"/>
    <m/>
    <n v="5"/>
    <s v="No"/>
    <m/>
  </r>
  <r>
    <x v="178"/>
    <s v="ELLINGTON"/>
    <s v="No"/>
    <n v="165.72176639999998"/>
    <n v="1.4702241131105207E-6"/>
    <n v="0"/>
    <n v="0"/>
    <n v="165.72176639999998"/>
    <n v="1.4702241131105207E-6"/>
    <n v="0"/>
    <n v="0"/>
    <n v="0"/>
    <n v="0"/>
    <n v="0"/>
    <n v="0"/>
    <m/>
    <n v="3"/>
    <s v="No"/>
    <m/>
  </r>
  <r>
    <x v="179"/>
    <s v="ELLINGTON"/>
    <s v="No"/>
    <n v="227.66771520000003"/>
    <n v="2.0197863680495906E-6"/>
    <n v="0"/>
    <n v="0"/>
    <n v="227.66771520000003"/>
    <n v="2.0197863680495906E-6"/>
    <n v="0"/>
    <n v="0"/>
    <n v="0"/>
    <n v="0"/>
    <n v="0"/>
    <n v="0"/>
    <m/>
    <n v="1"/>
    <s v="No"/>
    <m/>
  </r>
  <r>
    <x v="180"/>
    <s v="ENFIELD"/>
    <s v="No"/>
    <n v="34392.488025599996"/>
    <n v="3.0511782672563862E-4"/>
    <n v="14221.0897"/>
    <n v="1.7399008473922717E-4"/>
    <n v="34392.488025599996"/>
    <n v="3.0511782672563862E-4"/>
    <n v="14221.0897"/>
    <n v="1.7399008473922717E-4"/>
    <n v="0"/>
    <n v="0"/>
    <n v="0"/>
    <n v="0"/>
    <m/>
    <n v="2"/>
    <s v="No"/>
    <m/>
  </r>
  <r>
    <x v="181"/>
    <s v="ENFIELD"/>
    <s v="No"/>
    <n v="58521.540743999998"/>
    <n v="5.1918213405073024E-4"/>
    <n v="9810.43"/>
    <n v="1.2002719784745163E-4"/>
    <n v="58521.540743999998"/>
    <n v="5.1918213405073024E-4"/>
    <n v="9810.43"/>
    <n v="1.2002719784745163E-4"/>
    <n v="0"/>
    <n v="0"/>
    <n v="0"/>
    <n v="0"/>
    <m/>
    <n v="3"/>
    <s v="No"/>
    <m/>
  </r>
  <r>
    <x v="182"/>
    <s v="ENFIELD"/>
    <s v="No"/>
    <n v="53208.866649600001"/>
    <n v="4.7204999366651771E-4"/>
    <n v="14584.495500000001"/>
    <n v="1.7843622826764659E-4"/>
    <n v="53208.866649600001"/>
    <n v="4.7204999366651771E-4"/>
    <n v="14584.495500000001"/>
    <n v="1.7843622826764659E-4"/>
    <n v="0"/>
    <n v="0"/>
    <n v="0"/>
    <n v="0"/>
    <m/>
    <n v="2"/>
    <s v="No"/>
    <m/>
  </r>
  <r>
    <x v="183"/>
    <s v="ENFIELD"/>
    <s v="No"/>
    <n v="52973.169868800003"/>
    <n v="4.6995897630626178E-4"/>
    <n v="43649.13"/>
    <n v="5.3403191933270363E-4"/>
    <n v="52973.169868800003"/>
    <n v="4.6995897630626178E-4"/>
    <n v="43649.13"/>
    <n v="5.3403191933270363E-4"/>
    <n v="0"/>
    <n v="0"/>
    <n v="0"/>
    <n v="0"/>
    <m/>
    <n v="5"/>
    <s v="No"/>
    <m/>
  </r>
  <r>
    <x v="184"/>
    <s v="ENFIELD"/>
    <s v="No"/>
    <n v="28925.4816288"/>
    <n v="2.5661650547068477E-4"/>
    <n v="16334.19"/>
    <n v="1.9984313172897273E-4"/>
    <n v="28925.4816288"/>
    <n v="2.5661650547068477E-4"/>
    <n v="16334.19"/>
    <n v="1.9984313172897273E-4"/>
    <n v="0"/>
    <n v="0"/>
    <n v="0"/>
    <n v="0"/>
    <m/>
    <n v="3"/>
    <s v="No"/>
    <m/>
  </r>
  <r>
    <x v="185"/>
    <s v="ENFIELD"/>
    <s v="No"/>
    <n v="400528.32643296011"/>
    <n v="3.5533437537963626E-3"/>
    <n v="936957.13520000002"/>
    <n v="1.1463344567081349E-2"/>
    <n v="93708.069782400009"/>
    <n v="8.3134440803985931E-4"/>
    <n v="798268.12080000003"/>
    <n v="9.7665327279818533E-3"/>
    <n v="306820.25665056007"/>
    <n v="2.7219993457565034E-3"/>
    <n v="138689.01439999999"/>
    <n v="1.6968118390994957E-3"/>
    <m/>
    <n v="3"/>
    <s v="No"/>
    <m/>
  </r>
  <r>
    <x v="186"/>
    <s v="ENFIELD"/>
    <s v="No"/>
    <n v="35031.230585279998"/>
    <n v="3.1078452177548982E-4"/>
    <n v="12948.832700000001"/>
    <n v="1.5842446298240252E-4"/>
    <n v="35031.230585279998"/>
    <n v="3.1078452177548982E-4"/>
    <n v="12948.832700000001"/>
    <n v="1.5842446298240252E-4"/>
    <n v="0"/>
    <n v="0"/>
    <n v="0"/>
    <n v="0"/>
    <m/>
    <n v="2"/>
    <s v="No"/>
    <m/>
  </r>
  <r>
    <x v="187"/>
    <s v="ENFIELD"/>
    <s v="No"/>
    <n v="63039.794659200001"/>
    <n v="5.5926646334305348E-4"/>
    <n v="5864.6796999999997"/>
    <n v="7.1752315715400167E-5"/>
    <n v="63039.794659200001"/>
    <n v="5.5926646334305348E-4"/>
    <n v="5864.6796999999997"/>
    <n v="7.1752315715400167E-5"/>
    <n v="0"/>
    <n v="0"/>
    <n v="0"/>
    <n v="0"/>
    <m/>
    <n v="1"/>
    <s v="No"/>
    <m/>
  </r>
  <r>
    <x v="188"/>
    <s v="ENFIELD"/>
    <s v="No"/>
    <n v="63124.477856640005"/>
    <n v="5.6001774231838786E-4"/>
    <n v="8987.7000000000007"/>
    <n v="1.0996138253812943E-4"/>
    <n v="63124.477856640005"/>
    <n v="5.6001774231838786E-4"/>
    <n v="8987.7000000000007"/>
    <n v="1.0996138253812943E-4"/>
    <n v="0"/>
    <n v="0"/>
    <n v="0"/>
    <n v="0"/>
    <m/>
    <n v="2"/>
    <s v="No"/>
    <m/>
  </r>
  <r>
    <x v="189"/>
    <s v="ENFIELD"/>
    <s v="No"/>
    <n v="64998.361042559998"/>
    <n v="5.7664216230219473E-4"/>
    <n v="15440.29"/>
    <n v="1.8890657623081038E-4"/>
    <n v="64998.361042559998"/>
    <n v="5.7664216230219473E-4"/>
    <n v="15440.29"/>
    <n v="1.8890657623081038E-4"/>
    <n v="0"/>
    <n v="0"/>
    <n v="0"/>
    <n v="0"/>
    <m/>
    <n v="3"/>
    <s v="No"/>
    <m/>
  </r>
  <r>
    <x v="190"/>
    <s v="ENFIELD"/>
    <s v="No"/>
    <n v="47713.246214400002"/>
    <n v="4.2329481891879086E-4"/>
    <n v="5946.1067999999996"/>
    <n v="7.2748547954134272E-5"/>
    <n v="47713.246214400002"/>
    <n v="4.2329481891879086E-4"/>
    <n v="5946.1067999999996"/>
    <n v="7.2748547954134272E-5"/>
    <n v="0"/>
    <n v="0"/>
    <n v="0"/>
    <n v="0"/>
    <m/>
    <n v="1"/>
    <s v="No"/>
    <m/>
  </r>
  <r>
    <x v="173"/>
    <s v="ENFIELD"/>
    <s v="No"/>
    <n v="658.84648319999997"/>
    <n v="5.8450498536244516E-6"/>
    <n v="0"/>
    <n v="0"/>
    <n v="658.84648319999997"/>
    <n v="5.8450498536244516E-6"/>
    <n v="0"/>
    <n v="0"/>
    <n v="0"/>
    <n v="0"/>
    <n v="0"/>
    <n v="0"/>
    <m/>
    <n v="3"/>
    <s v="No"/>
    <m/>
  </r>
  <r>
    <x v="191"/>
    <s v="ENFIELD"/>
    <s v="No"/>
    <n v="77128.346283840016"/>
    <n v="6.8425504370462601E-4"/>
    <n v="31690.293099999999"/>
    <n v="3.8771971052822671E-4"/>
    <n v="77128.346283840016"/>
    <n v="6.8425504370462601E-4"/>
    <n v="31690.293099999999"/>
    <n v="3.8771971052822671E-4"/>
    <n v="0"/>
    <n v="0"/>
    <n v="0"/>
    <n v="0"/>
    <m/>
    <n v="4"/>
    <s v="No"/>
    <m/>
  </r>
  <r>
    <x v="192"/>
    <s v="ESSEX"/>
    <s v="No"/>
    <n v="243904.75794719998"/>
    <n v="2.1638355915832089E-3"/>
    <n v="111069.48940000001"/>
    <n v="1.3588965599906663E-3"/>
    <n v="175416.2494992"/>
    <n v="1.5562300924468976E-3"/>
    <n v="96197.329400000002"/>
    <n v="1.1769408566485134E-3"/>
    <n v="68488.508447999993"/>
    <n v="6.0760549913631138E-4"/>
    <n v="14872.16"/>
    <n v="1.819557033421528E-4"/>
    <m/>
    <n v="2"/>
    <s v="No"/>
    <m/>
  </r>
  <r>
    <x v="193"/>
    <s v="ESSEX"/>
    <s v="No"/>
    <n v="449.22824639999999"/>
    <n v="3.9853919886026175E-6"/>
    <n v="0"/>
    <n v="0"/>
    <n v="449.22824639999999"/>
    <n v="3.9853919886026175E-6"/>
    <n v="0"/>
    <n v="0"/>
    <n v="0"/>
    <n v="0"/>
    <n v="0"/>
    <n v="0"/>
    <m/>
    <n v="2"/>
    <s v="No"/>
    <m/>
  </r>
  <r>
    <x v="64"/>
    <s v="FARMINGTON"/>
    <s v="No"/>
    <n v="1028.8434240000001"/>
    <n v="9.127530097217162E-6"/>
    <n v="0"/>
    <n v="0"/>
    <n v="1028.8434240000001"/>
    <n v="9.127530097217162E-6"/>
    <n v="0"/>
    <n v="0"/>
    <n v="0"/>
    <n v="0"/>
    <n v="0"/>
    <n v="0"/>
    <m/>
    <n v="2"/>
    <s v="No"/>
    <m/>
  </r>
  <r>
    <x v="66"/>
    <s v="FARMINGTON"/>
    <s v="No"/>
    <n v="170.59593599999999"/>
    <n v="1.513465998790242E-6"/>
    <n v="0"/>
    <n v="0"/>
    <n v="170.59593599999999"/>
    <n v="1.513465998790242E-6"/>
    <n v="0"/>
    <n v="0"/>
    <n v="0"/>
    <n v="0"/>
    <n v="0"/>
    <n v="0"/>
    <m/>
    <n v="1"/>
    <s v="No"/>
    <m/>
  </r>
  <r>
    <x v="76"/>
    <s v="FARMINGTON"/>
    <s v="No"/>
    <n v="37.430380799999995"/>
    <n v="3.3206892257135066E-7"/>
    <n v="361.58"/>
    <n v="4.423805500643861E-6"/>
    <n v="37.430380799999995"/>
    <n v="3.3206892257135066E-7"/>
    <n v="361.58"/>
    <n v="4.423805500643861E-6"/>
    <n v="0"/>
    <n v="0"/>
    <n v="0"/>
    <n v="0"/>
    <m/>
    <n v="2"/>
    <s v="No"/>
    <m/>
  </r>
  <r>
    <x v="194"/>
    <s v="FARMINGTON"/>
    <s v="No"/>
    <n v="1096.0629696000001"/>
    <n v="9.7238778127907042E-6"/>
    <n v="1548.06"/>
    <n v="1.8939975505632879E-5"/>
    <n v="1096.0629696000001"/>
    <n v="9.7238778127907042E-6"/>
    <n v="1548.06"/>
    <n v="1.8939975505632879E-5"/>
    <n v="0"/>
    <n v="0"/>
    <n v="0"/>
    <n v="0"/>
    <m/>
    <n v="3"/>
    <s v="No"/>
    <m/>
  </r>
  <r>
    <x v="195"/>
    <s v="FARMINGTON"/>
    <s v="No"/>
    <n v="58080.654737279998"/>
    <n v="5.1527075142252324E-4"/>
    <n v="4140.0200000000004"/>
    <n v="5.0651704322074235E-5"/>
    <n v="58080.654737279998"/>
    <n v="5.1527075142252324E-4"/>
    <n v="4140.0200000000004"/>
    <n v="5.0651704322074235E-5"/>
    <n v="0"/>
    <n v="0"/>
    <n v="0"/>
    <n v="0"/>
    <m/>
    <n v="3"/>
    <s v="No"/>
    <m/>
  </r>
  <r>
    <x v="196"/>
    <s v="FARMINGTON"/>
    <s v="No"/>
    <n v="92611.060343999998"/>
    <n v="8.2161213349511058E-4"/>
    <n v="17059.78"/>
    <n v="2.087204729348253E-4"/>
    <n v="92611.060343999998"/>
    <n v="8.2161213349511058E-4"/>
    <n v="17059.78"/>
    <n v="2.087204729348253E-4"/>
    <n v="0"/>
    <n v="0"/>
    <n v="0"/>
    <n v="0"/>
    <m/>
    <n v="4"/>
    <s v="No"/>
    <m/>
  </r>
  <r>
    <x v="197"/>
    <s v="FARMINGTON"/>
    <s v="No"/>
    <n v="101702.457576"/>
    <n v="9.0226775117716203E-4"/>
    <n v="21242.799999999999"/>
    <n v="2.5989826729652476E-4"/>
    <n v="101695.72983264001"/>
    <n v="9.0220806504944591E-4"/>
    <n v="21242.799999999999"/>
    <n v="2.5989826729652476E-4"/>
    <n v="6.7277433599999998"/>
    <n v="5.9686127716118744E-8"/>
    <n v="0"/>
    <n v="0"/>
    <m/>
    <n v="5"/>
    <s v="No"/>
    <m/>
  </r>
  <r>
    <x v="198"/>
    <s v="FARMINGTON"/>
    <s v="No"/>
    <n v="197109.42727680001"/>
    <n v="1.7486841903693105E-3"/>
    <n v="142165.11420000001"/>
    <n v="1.7393407107628264E-3"/>
    <n v="122782.0920192"/>
    <n v="1.0892787125444416E-3"/>
    <n v="95321.2546"/>
    <n v="1.1662223862706842E-3"/>
    <n v="74327.335257600003"/>
    <n v="6.5940547782486893E-4"/>
    <n v="46843.859600000003"/>
    <n v="5.7311832449214221E-4"/>
    <m/>
    <n v="4"/>
    <s v="No"/>
    <m/>
  </r>
  <r>
    <x v="5"/>
    <s v="FARMINGTON"/>
    <s v="No"/>
    <n v="85855.085585280001"/>
    <n v="7.6167554692831315E-4"/>
    <n v="15872.5816"/>
    <n v="1.9419551355577891E-4"/>
    <n v="85855.085585280001"/>
    <n v="7.6167554692831315E-4"/>
    <n v="15872.5816"/>
    <n v="1.9419551355577891E-4"/>
    <n v="0"/>
    <n v="0"/>
    <n v="0"/>
    <n v="0"/>
    <m/>
    <n v="3"/>
    <s v="No"/>
    <m/>
  </r>
  <r>
    <x v="6"/>
    <s v="FARMINGTON"/>
    <s v="No"/>
    <n v="62555.017970879999"/>
    <n v="5.5496569831909378E-4"/>
    <n v="11949.12"/>
    <n v="1.4619332591363899E-4"/>
    <n v="62555.017970879999"/>
    <n v="5.5496569831909378E-4"/>
    <n v="11949.12"/>
    <n v="1.4619332591363899E-4"/>
    <n v="0"/>
    <n v="0"/>
    <n v="0"/>
    <n v="0"/>
    <m/>
    <n v="3"/>
    <s v="No"/>
    <m/>
  </r>
  <r>
    <x v="7"/>
    <s v="FARMINGTON"/>
    <s v="No"/>
    <n v="634.86348480000004"/>
    <n v="5.6322812878630688E-6"/>
    <n v="599.75"/>
    <n v="7.3377325875633496E-6"/>
    <n v="634.86348480000004"/>
    <n v="5.6322812878630688E-6"/>
    <n v="599.75"/>
    <n v="7.3377325875633496E-6"/>
    <n v="0"/>
    <n v="0"/>
    <n v="0"/>
    <n v="0"/>
    <m/>
    <n v="4"/>
    <s v="No"/>
    <m/>
  </r>
  <r>
    <x v="199"/>
    <s v="FARMINGTON"/>
    <s v="No"/>
    <n v="151394.14717631997"/>
    <n v="1.3431146106974436E-3"/>
    <n v="61.31"/>
    <n v="7.5010651928888531E-7"/>
    <n v="5802.2531712"/>
    <n v="5.1475510477483219E-5"/>
    <n v="61.31"/>
    <n v="7.5010651928888531E-7"/>
    <n v="145591.89400511998"/>
    <n v="1.2916391002199604E-3"/>
    <n v="0"/>
    <n v="0"/>
    <m/>
    <n v="5"/>
    <s v="No"/>
    <m/>
  </r>
  <r>
    <x v="200"/>
    <s v="FRANKLIN"/>
    <s v="No"/>
    <n v="45315.20629152"/>
    <n v="4.0202026823418102E-4"/>
    <n v="14386.054400000001"/>
    <n v="1.7600837044991932E-4"/>
    <n v="40434.531238080002"/>
    <n v="3.5872066850324027E-4"/>
    <n v="13070.7744"/>
    <n v="1.5991637725647152E-4"/>
    <n v="4880.6750534399998"/>
    <n v="4.3299599730940758E-5"/>
    <n v="1315.28"/>
    <n v="1.6091993193447806E-5"/>
    <m/>
    <n v="1"/>
    <s v="No"/>
    <m/>
  </r>
  <r>
    <x v="107"/>
    <s v="FRANKLIN"/>
    <s v="No"/>
    <n v="49.980499199999997"/>
    <n v="4.4340907477281809E-7"/>
    <n v="0"/>
    <n v="0"/>
    <n v="49.980499199999997"/>
    <n v="4.4340907477281809E-7"/>
    <n v="0"/>
    <n v="0"/>
    <n v="0"/>
    <n v="0"/>
    <n v="0"/>
    <n v="0"/>
    <m/>
    <n v="1"/>
    <s v="No"/>
    <m/>
  </r>
  <r>
    <x v="157"/>
    <s v="GLASTONBURY"/>
    <s v="No"/>
    <n v="132.70245120000001"/>
    <n v="1.1772885835177304E-6"/>
    <n v="0"/>
    <n v="0"/>
    <n v="132.70245120000001"/>
    <n v="1.1772885835177304E-6"/>
    <n v="0"/>
    <n v="0"/>
    <n v="0"/>
    <n v="0"/>
    <n v="0"/>
    <n v="0"/>
    <m/>
    <n v="5"/>
    <s v="No"/>
    <m/>
  </r>
  <r>
    <x v="201"/>
    <s v="GLASTONBURY"/>
    <s v="No"/>
    <n v="99045.453948480019"/>
    <n v="8.7869576732337419E-4"/>
    <n v="7809.0663999999997"/>
    <n v="9.5541210507254706E-5"/>
    <n v="99045.453948480019"/>
    <n v="8.7869576732337419E-4"/>
    <n v="7809.0663999999997"/>
    <n v="9.5541210507254706E-5"/>
    <n v="0"/>
    <n v="0"/>
    <n v="0"/>
    <n v="0"/>
    <m/>
    <n v="4"/>
    <s v="No"/>
    <m/>
  </r>
  <r>
    <x v="202"/>
    <s v="GLASTONBURY"/>
    <s v="No"/>
    <n v="82610.552332799998"/>
    <n v="7.3289121082564768E-4"/>
    <n v="23410.549800000001"/>
    <n v="2.8641993190535166E-4"/>
    <n v="82572.919343999994"/>
    <n v="7.3255734443751963E-4"/>
    <n v="23410.549800000001"/>
    <n v="2.8641993190535166E-4"/>
    <n v="37.6329888"/>
    <n v="3.3386638812810869E-7"/>
    <n v="0"/>
    <n v="0"/>
    <m/>
    <n v="4"/>
    <s v="No"/>
    <m/>
  </r>
  <r>
    <x v="203"/>
    <s v="GLASTONBURY"/>
    <s v="No"/>
    <n v="92569.522809600006"/>
    <n v="8.2124362737789587E-4"/>
    <n v="20573.626"/>
    <n v="2.5171115622266046E-4"/>
    <n v="92512.798358400003"/>
    <n v="8.2074038837816235E-4"/>
    <n v="20573.626"/>
    <n v="2.5171115622266046E-4"/>
    <n v="56.724451200000004"/>
    <n v="5.0323899973347751E-7"/>
    <n v="0"/>
    <n v="0"/>
    <m/>
    <n v="2"/>
    <s v="No"/>
    <m/>
  </r>
  <r>
    <x v="204"/>
    <s v="GLASTONBURY"/>
    <s v="No"/>
    <n v="90725.333852160009"/>
    <n v="8.0488264394608735E-4"/>
    <n v="19678.828099999999"/>
    <n v="2.4076361523039157E-4"/>
    <n v="90718.103640960006"/>
    <n v="8.0481850010379042E-4"/>
    <n v="19678.828099999999"/>
    <n v="2.4076361523039157E-4"/>
    <n v="7.2302111999999994"/>
    <n v="6.4143842296878594E-8"/>
    <n v="0"/>
    <n v="0"/>
    <m/>
    <n v="4"/>
    <s v="No"/>
    <m/>
  </r>
  <r>
    <x v="205"/>
    <s v="GLASTONBURY"/>
    <s v="No"/>
    <n v="57957.166319040007"/>
    <n v="5.1417520643691104E-4"/>
    <n v="28100.66"/>
    <n v="3.4380179843941297E-4"/>
    <n v="57957.166319040007"/>
    <n v="5.1417520643691104E-4"/>
    <n v="28100.66"/>
    <n v="3.4380179843941297E-4"/>
    <n v="0"/>
    <n v="0"/>
    <n v="0"/>
    <n v="0"/>
    <m/>
    <n v="5"/>
    <s v="No"/>
    <m/>
  </r>
  <r>
    <x v="206"/>
    <s v="GLASTONBURY"/>
    <s v="No"/>
    <n v="409220.56738080003"/>
    <n v="3.6304581999918924E-3"/>
    <n v="412347.66379999998"/>
    <n v="5.0449302043699476E-3"/>
    <n v="167362.33605407999"/>
    <n v="1.4847786590646351E-3"/>
    <n v="366228.74699999997"/>
    <n v="4.4806813028168292E-3"/>
    <n v="241858.23132672001"/>
    <n v="2.1456795409272567E-3"/>
    <n v="46118.916799999999"/>
    <n v="5.6424890155311856E-4"/>
    <m/>
    <n v="3"/>
    <s v="No"/>
    <m/>
  </r>
  <r>
    <x v="207"/>
    <s v="GLASTONBURY"/>
    <s v="No"/>
    <n v="94824.764035200002"/>
    <n v="8.4125131920248671E-4"/>
    <n v="16202.107099999999"/>
    <n v="1.9822714340118634E-4"/>
    <n v="94824.764035200002"/>
    <n v="8.4125131920248671E-4"/>
    <n v="16202.107099999999"/>
    <n v="1.9822714340118634E-4"/>
    <n v="0"/>
    <n v="0"/>
    <n v="0"/>
    <n v="0"/>
    <m/>
    <n v="3"/>
    <s v="No"/>
    <m/>
  </r>
  <r>
    <x v="208"/>
    <s v="GLASTONBURY"/>
    <s v="No"/>
    <n v="360.64802880000002"/>
    <n v="3.1995400471880173E-6"/>
    <n v="0"/>
    <n v="0"/>
    <n v="360.64802880000002"/>
    <n v="3.1995400471880173E-6"/>
    <n v="0"/>
    <n v="0"/>
    <n v="0"/>
    <n v="0"/>
    <n v="0"/>
    <n v="0"/>
    <m/>
    <n v="1"/>
    <s v="No"/>
    <m/>
  </r>
  <r>
    <x v="209"/>
    <s v="GOSHEN"/>
    <s v="No"/>
    <n v="100384.60425984001"/>
    <n v="8.9057622890431544E-4"/>
    <n v="47056.84"/>
    <n v="5.7572406558691871E-4"/>
    <n v="87595.087141440003"/>
    <n v="7.7711221707906202E-4"/>
    <n v="47056.84"/>
    <n v="5.7572406558691871E-4"/>
    <n v="12789.517118399999"/>
    <n v="1.1346401182525328E-4"/>
    <n v="0"/>
    <n v="0"/>
    <m/>
    <n v="3"/>
    <s v="No"/>
    <m/>
  </r>
  <r>
    <x v="11"/>
    <s v="GRANBY"/>
    <s v="No"/>
    <n v="47.225030400000001"/>
    <n v="4.189635432009092E-7"/>
    <n v="0"/>
    <n v="0"/>
    <n v="47.225030400000001"/>
    <n v="4.189635432009092E-7"/>
    <n v="0"/>
    <n v="0"/>
    <n v="0"/>
    <n v="0"/>
    <n v="0"/>
    <n v="0"/>
    <m/>
    <n v="3"/>
    <s v="No"/>
    <m/>
  </r>
  <r>
    <x v="210"/>
    <s v="GRANBY"/>
    <s v="No"/>
    <n v="203015.85685056"/>
    <n v="1.8010839165511516E-3"/>
    <n v="112382.2395"/>
    <n v="1.3749576007378059E-3"/>
    <n v="151167.66732288001"/>
    <n v="1.3411053626131728E-3"/>
    <n v="101117.8395"/>
    <n v="1.2371415857993339E-3"/>
    <n v="51848.189527679999"/>
    <n v="4.5997855393797876E-4"/>
    <n v="11264.4"/>
    <n v="1.3781601493847201E-4"/>
    <m/>
    <n v="1"/>
    <s v="No"/>
    <m/>
  </r>
  <r>
    <x v="211"/>
    <s v="GRANBY"/>
    <s v="No"/>
    <n v="81276.893277120005"/>
    <n v="7.2105946569691053E-4"/>
    <n v="23168.03"/>
    <n v="2.8345278652879582E-4"/>
    <n v="81261.084064320006"/>
    <n v="7.2091921202732461E-4"/>
    <n v="23168.03"/>
    <n v="2.8345278652879582E-4"/>
    <n v="15.809212799999999"/>
    <n v="1.4025366958588906E-7"/>
    <n v="0"/>
    <n v="0"/>
    <m/>
    <n v="2"/>
    <s v="No"/>
    <m/>
  </r>
  <r>
    <x v="143"/>
    <s v="GRANBY"/>
    <s v="No"/>
    <n v="761.58031679999999"/>
    <n v="6.7564676032182905E-6"/>
    <n v="0"/>
    <n v="0"/>
    <n v="761.58031679999999"/>
    <n v="6.7564676032182905E-6"/>
    <n v="0"/>
    <n v="0"/>
    <n v="0"/>
    <n v="0"/>
    <n v="0"/>
    <n v="0"/>
    <m/>
    <n v="3"/>
    <s v="No"/>
    <m/>
  </r>
  <r>
    <x v="212"/>
    <s v="GREENWICH"/>
    <s v="No"/>
    <n v="240578.94357504"/>
    <n v="2.1343301585197154E-3"/>
    <n v="21123.27"/>
    <n v="2.5843585933288751E-4"/>
    <n v="240328.44483264"/>
    <n v="2.1321078234614985E-3"/>
    <n v="21123.27"/>
    <n v="2.5843585933288751E-4"/>
    <n v="250.49874240000003"/>
    <n v="2.2223350582168356E-6"/>
    <n v="0"/>
    <n v="0"/>
    <m/>
    <n v="2"/>
    <s v="No"/>
    <m/>
  </r>
  <r>
    <x v="213"/>
    <s v="GREENWICH"/>
    <s v="No"/>
    <n v="815679.35501184"/>
    <n v="7.23641487992759E-3"/>
    <n v="354251.39610000001"/>
    <n v="4.3341425816636634E-3"/>
    <n v="347737.14485856006"/>
    <n v="3.0849993124093394E-3"/>
    <n v="199896.71350000001"/>
    <n v="2.44566674246897E-3"/>
    <n v="467942.21015327994"/>
    <n v="4.1514155675182506E-3"/>
    <n v="154354.6826"/>
    <n v="1.8884758391946937E-3"/>
    <m/>
    <n v="3"/>
    <s v="No"/>
    <m/>
  </r>
  <r>
    <x v="214"/>
    <s v="GREENWICH"/>
    <s v="No"/>
    <n v="185024.45169216002"/>
    <n v="1.6414706185081211E-3"/>
    <n v="4279.21"/>
    <n v="5.2354645545688974E-5"/>
    <n v="184550.60946816002"/>
    <n v="1.6372668601324519E-3"/>
    <n v="4279.21"/>
    <n v="5.2354645545688974E-5"/>
    <n v="473.84222399999999"/>
    <n v="4.2037583756693337E-6"/>
    <n v="0"/>
    <n v="0"/>
    <m/>
    <n v="3"/>
    <s v="No"/>
    <m/>
  </r>
  <r>
    <x v="215"/>
    <s v="GREENWICH"/>
    <s v="No"/>
    <n v="149235.83767008001"/>
    <n v="1.3239668623445172E-3"/>
    <n v="12605.017599999999"/>
    <n v="1.5421800485257116E-4"/>
    <n v="149235.83767008001"/>
    <n v="1.3239668623445172E-3"/>
    <n v="12605.017599999999"/>
    <n v="1.5421800485257116E-4"/>
    <n v="0"/>
    <n v="0"/>
    <n v="0"/>
    <n v="0"/>
    <m/>
    <n v="4"/>
    <s v="No"/>
    <m/>
  </r>
  <r>
    <x v="216"/>
    <s v="GREENWICH"/>
    <s v="No"/>
    <n v="232331.66626463999"/>
    <n v="2.0611632702306256E-3"/>
    <n v="14940.7438"/>
    <n v="1.8279480227377252E-4"/>
    <n v="232331.66626463999"/>
    <n v="2.0611632702306256E-3"/>
    <n v="14940.7438"/>
    <n v="1.8279480227377252E-4"/>
    <n v="0"/>
    <n v="0"/>
    <n v="0"/>
    <n v="0"/>
    <m/>
    <n v="2"/>
    <s v="No"/>
    <m/>
  </r>
  <r>
    <x v="217"/>
    <s v="GREENWICH"/>
    <s v="No"/>
    <n v="104263.06610592001"/>
    <n v="9.2498455227520344E-4"/>
    <n v="6235.2754999999997"/>
    <n v="7.6286426392305722E-5"/>
    <n v="104263.06610592001"/>
    <n v="9.2498455227520344E-4"/>
    <n v="6235.2754999999997"/>
    <n v="7.6286426392305722E-5"/>
    <n v="0"/>
    <n v="0"/>
    <n v="0"/>
    <n v="0"/>
    <m/>
    <n v="3"/>
    <s v="No"/>
    <m/>
  </r>
  <r>
    <x v="218"/>
    <s v="GREENWICH"/>
    <s v="No"/>
    <n v="79218.90946368"/>
    <n v="7.0280177093153147E-4"/>
    <n v="2031.71"/>
    <n v="2.4857264986208143E-5"/>
    <n v="79218.90946368"/>
    <n v="7.0280177093153147E-4"/>
    <n v="2031.71"/>
    <n v="2.4857264986208143E-5"/>
    <n v="0"/>
    <n v="0"/>
    <n v="0"/>
    <n v="0"/>
    <m/>
    <n v="3"/>
    <s v="No"/>
    <m/>
  </r>
  <r>
    <x v="219"/>
    <s v="GREENWICH"/>
    <s v="No"/>
    <n v="37228.613912640001"/>
    <n v="3.3027891906446118E-4"/>
    <n v="0"/>
    <n v="0"/>
    <n v="37228.613912640001"/>
    <n v="3.3027891906446118E-4"/>
    <n v="0"/>
    <n v="0"/>
    <n v="0"/>
    <n v="0"/>
    <n v="0"/>
    <n v="0"/>
    <m/>
    <n v="3"/>
    <s v="No"/>
    <m/>
  </r>
  <r>
    <x v="220"/>
    <s v="GREENWICH"/>
    <s v="No"/>
    <n v="75171.932176319999"/>
    <n v="6.6689843896531318E-4"/>
    <n v="287.59500000000003"/>
    <n v="3.5186247661863806E-6"/>
    <n v="75171.932176319999"/>
    <n v="6.6689843896531318E-4"/>
    <n v="287.59500000000003"/>
    <n v="3.5186247661863806E-6"/>
    <n v="0"/>
    <n v="0"/>
    <n v="0"/>
    <n v="0"/>
    <m/>
    <n v="3"/>
    <s v="No"/>
    <m/>
  </r>
  <r>
    <x v="221"/>
    <s v="GREENWICH"/>
    <s v="No"/>
    <n v="69440.01003071999"/>
    <n v="6.1604688013873943E-4"/>
    <n v="4273.3671000000004"/>
    <n v="5.2283159697025576E-5"/>
    <n v="69433.055366399989"/>
    <n v="6.1598518084959972E-4"/>
    <n v="4273.3671000000004"/>
    <n v="5.2283159697025576E-5"/>
    <n v="6.9546643200000009"/>
    <n v="6.1699289139687715E-8"/>
    <n v="0"/>
    <n v="0"/>
    <m/>
    <n v="3"/>
    <s v="No"/>
    <m/>
  </r>
  <r>
    <x v="222"/>
    <s v="GREENWICH"/>
    <s v="No"/>
    <n v="95240.909289600007"/>
    <n v="8.4494321074375016E-4"/>
    <n v="5192.7631000000001"/>
    <n v="6.3531649884729445E-5"/>
    <n v="95240.909289600007"/>
    <n v="8.4494321074375016E-4"/>
    <n v="5192.7631000000001"/>
    <n v="6.3531649884729445E-5"/>
    <n v="0"/>
    <n v="0"/>
    <n v="0"/>
    <n v="0"/>
    <m/>
    <n v="5"/>
    <s v="No"/>
    <m/>
  </r>
  <r>
    <x v="223"/>
    <s v="GREENWICH"/>
    <s v="No"/>
    <n v="149163.66117504"/>
    <n v="1.3233265383501935E-3"/>
    <n v="6130.23"/>
    <n v="7.5001231246783613E-5"/>
    <n v="149163.66117504"/>
    <n v="1.3233265383501935E-3"/>
    <n v="6130.23"/>
    <n v="7.5001231246783613E-5"/>
    <n v="0"/>
    <n v="0"/>
    <n v="0"/>
    <n v="0"/>
    <m/>
    <n v="2"/>
    <s v="No"/>
    <m/>
  </r>
  <r>
    <x v="224"/>
    <s v="GREENWICH"/>
    <s v="No"/>
    <n v="156251.62535040002"/>
    <n v="1.3862084160289837E-3"/>
    <n v="3011.9016999999999"/>
    <n v="3.6849569411633932E-5"/>
    <n v="155955.16353600001"/>
    <n v="1.3835783130701764E-3"/>
    <n v="3011.9016999999999"/>
    <n v="3.6849569411633932E-5"/>
    <n v="296.46181439999998"/>
    <n v="2.6301029588070805E-6"/>
    <n v="0"/>
    <n v="0"/>
    <m/>
    <n v="3"/>
    <s v="No"/>
    <m/>
  </r>
  <r>
    <x v="225"/>
    <s v="GREENWICH"/>
    <s v="No"/>
    <n v="117303.06865248001"/>
    <n v="1.0406707810395085E-3"/>
    <n v="2614.33"/>
    <n v="3.1985417983567306E-5"/>
    <n v="117112.78500768001"/>
    <n v="1.0389826527447601E-3"/>
    <n v="2614.33"/>
    <n v="3.1985417983567306E-5"/>
    <n v="190.28364479999999"/>
    <n v="1.6881282947483556E-6"/>
    <n v="0"/>
    <n v="0"/>
    <m/>
    <n v="4"/>
    <s v="No"/>
    <m/>
  </r>
  <r>
    <x v="226"/>
    <s v="GREENWICH"/>
    <s v="No"/>
    <n v="58602.084949439995"/>
    <n v="5.1989669337254791E-4"/>
    <n v="628.98"/>
    <n v="7.6953514679876551E-6"/>
    <n v="58601.731832639998"/>
    <n v="5.1989356064686336E-4"/>
    <n v="628.98"/>
    <n v="7.6953514679876551E-6"/>
    <n v="0.35311680000000001"/>
    <n v="3.1327256846353841E-9"/>
    <n v="0"/>
    <n v="0"/>
    <m/>
    <n v="5"/>
    <s v="No"/>
    <m/>
  </r>
  <r>
    <x v="227"/>
    <s v="GREENWICH"/>
    <s v="No"/>
    <n v="19079.450639999999"/>
    <n v="1.6926604757593243E-4"/>
    <n v="0"/>
    <n v="0"/>
    <n v="19079.450639999999"/>
    <n v="1.6926604757593243E-4"/>
    <n v="0"/>
    <n v="0"/>
    <n v="0"/>
    <n v="0"/>
    <n v="0"/>
    <n v="0"/>
    <m/>
    <n v="4"/>
    <s v="No"/>
    <m/>
  </r>
  <r>
    <x v="228"/>
    <s v="GREENWICH"/>
    <s v="No"/>
    <n v="1134.8595072000003"/>
    <n v="1.0068066788830481E-5"/>
    <n v="615.08000000000004"/>
    <n v="7.5252898040157824E-6"/>
    <n v="1134.8595072000003"/>
    <n v="1.0068066788830481E-5"/>
    <n v="615.08000000000004"/>
    <n v="7.5252898040157824E-6"/>
    <n v="0"/>
    <n v="0"/>
    <n v="0"/>
    <n v="0"/>
    <m/>
    <n v="4"/>
    <s v="No"/>
    <m/>
  </r>
  <r>
    <x v="229"/>
    <s v="GRISWOLD"/>
    <s v="No"/>
    <n v="154501.39903680002"/>
    <n v="1.370681035495009E-3"/>
    <n v="76633.350099999996"/>
    <n v="9.375823765284219E-4"/>
    <n v="132624.27114048001"/>
    <n v="1.1765949980511519E-3"/>
    <n v="76633.350099999996"/>
    <n v="9.375823765284219E-4"/>
    <n v="21877.127896320002"/>
    <n v="1.9408603744385691E-4"/>
    <n v="0"/>
    <n v="0"/>
    <m/>
    <n v="3"/>
    <s v="No"/>
    <m/>
  </r>
  <r>
    <x v="230"/>
    <s v="GRISWOLD"/>
    <s v="No"/>
    <n v="26264.613977280002"/>
    <n v="2.3301024138092146E-4"/>
    <n v="3627.62"/>
    <n v="4.4382668594075126E-5"/>
    <n v="26264.613977280002"/>
    <n v="2.3301024138092146E-4"/>
    <n v="3627.62"/>
    <n v="4.4382668594075126E-5"/>
    <n v="0"/>
    <n v="0"/>
    <n v="0"/>
    <n v="0"/>
    <m/>
    <n v="5"/>
    <s v="No"/>
    <m/>
  </r>
  <r>
    <x v="231"/>
    <s v="GRISWOLD"/>
    <s v="No"/>
    <n v="230.99048640000001"/>
    <n v="2.0492648031804218E-6"/>
    <n v="0"/>
    <n v="0"/>
    <n v="230.99048640000001"/>
    <n v="2.0492648031804218E-6"/>
    <n v="0"/>
    <n v="0"/>
    <n v="0"/>
    <n v="0"/>
    <n v="0"/>
    <n v="0"/>
    <m/>
    <n v="3"/>
    <s v="No"/>
    <m/>
  </r>
  <r>
    <x v="232"/>
    <s v="GROTON"/>
    <s v="No"/>
    <n v="1500.225408"/>
    <n v="1.3309462105411576E-5"/>
    <n v="0"/>
    <n v="0"/>
    <n v="1500.225408"/>
    <n v="1.3309462105411576E-5"/>
    <n v="0"/>
    <n v="0"/>
    <n v="0"/>
    <n v="0"/>
    <n v="0"/>
    <n v="0"/>
    <m/>
    <n v="4"/>
    <s v="No"/>
    <m/>
  </r>
  <r>
    <x v="233"/>
    <s v="GROTON"/>
    <s v="No"/>
    <n v="159.43512960000001"/>
    <n v="1.4144513246922582E-6"/>
    <n v="0"/>
    <n v="0"/>
    <n v="159.43512960000001"/>
    <n v="1.4144513246922582E-6"/>
    <n v="0"/>
    <n v="0"/>
    <n v="0"/>
    <n v="0"/>
    <n v="0"/>
    <n v="0"/>
    <m/>
    <n v="5"/>
    <s v="No"/>
    <m/>
  </r>
  <r>
    <x v="234"/>
    <s v="GROTON"/>
    <s v="No"/>
    <n v="30.819571199999999"/>
    <n v="2.7342018926227514E-7"/>
    <n v="0"/>
    <n v="0"/>
    <n v="30.819571199999999"/>
    <n v="2.7342018926227514E-7"/>
    <n v="0"/>
    <n v="0"/>
    <n v="0"/>
    <n v="0"/>
    <n v="0"/>
    <n v="0"/>
    <m/>
    <n v="3"/>
    <s v="No"/>
    <m/>
  </r>
  <r>
    <x v="235"/>
    <s v="GROTON"/>
    <s v="No"/>
    <n v="2747.5092"/>
    <n v="2.4374916853607691E-5"/>
    <n v="59.2"/>
    <n v="7.242914033909968E-7"/>
    <n v="2747.5092"/>
    <n v="2.4374916853607691E-5"/>
    <n v="59.2"/>
    <n v="7.242914033909968E-7"/>
    <n v="0"/>
    <n v="0"/>
    <n v="0"/>
    <n v="0"/>
    <m/>
    <n v="5"/>
    <s v="No"/>
    <m/>
  </r>
  <r>
    <x v="236"/>
    <s v="GROTON"/>
    <s v="No"/>
    <n v="4683.0465792000005"/>
    <n v="4.1546310741951998E-5"/>
    <n v="456.93"/>
    <n v="5.5903795768825697E-6"/>
    <n v="4683.0465792000005"/>
    <n v="4.1546310741951998E-5"/>
    <n v="456.93"/>
    <n v="5.5903795768825697E-6"/>
    <n v="0"/>
    <n v="0"/>
    <n v="0"/>
    <n v="0"/>
    <m/>
    <n v="5"/>
    <s v="No"/>
    <m/>
  </r>
  <r>
    <x v="237"/>
    <s v="GROTON"/>
    <s v="No"/>
    <n v="50928.539080319999"/>
    <n v="4.5181974479230493E-4"/>
    <n v="58206.132299999997"/>
    <n v="7.1213177786366591E-4"/>
    <n v="35301.1096512"/>
    <n v="3.131787921176344E-4"/>
    <n v="49359.212299999999"/>
    <n v="6.0389278964596534E-4"/>
    <n v="15627.429429119999"/>
    <n v="1.3864095267467053E-4"/>
    <n v="8846.92"/>
    <n v="1.0823898821770063E-4"/>
    <m/>
    <n v="2"/>
    <s v="No"/>
    <m/>
  </r>
  <r>
    <x v="238"/>
    <s v="GROTON"/>
    <s v="No"/>
    <n v="39.334896000000001"/>
    <n v="3.4896509880487595E-7"/>
    <n v="0"/>
    <n v="0"/>
    <n v="39.334896000000001"/>
    <n v="3.4896509880487595E-7"/>
    <n v="0"/>
    <n v="0"/>
    <n v="0"/>
    <n v="0"/>
    <n v="0"/>
    <n v="0"/>
    <m/>
    <n v="2"/>
    <s v="No"/>
    <m/>
  </r>
  <r>
    <x v="239"/>
    <s v="GUILFORD"/>
    <s v="No"/>
    <n v="74457.283976639999"/>
    <n v="6.6055833628366238E-4"/>
    <n v="30283.0586"/>
    <n v="3.7050268601969248E-4"/>
    <n v="74457.283976639999"/>
    <n v="6.6055833628366238E-4"/>
    <n v="30283.0586"/>
    <n v="3.7050268601969248E-4"/>
    <n v="0"/>
    <n v="0"/>
    <n v="0"/>
    <n v="0"/>
    <m/>
    <n v="2"/>
    <s v="No"/>
    <m/>
  </r>
  <r>
    <x v="240"/>
    <s v="GUILFORD"/>
    <s v="No"/>
    <n v="99217.489559040012"/>
    <n v="8.8022200559884913E-4"/>
    <n v="24604.87"/>
    <n v="3.0103202402961203E-4"/>
    <n v="99217.489559040012"/>
    <n v="8.8022200559884913E-4"/>
    <n v="24604.87"/>
    <n v="3.0103202402961203E-4"/>
    <n v="0"/>
    <n v="0"/>
    <n v="0"/>
    <n v="0"/>
    <m/>
    <n v="3"/>
    <s v="No"/>
    <m/>
  </r>
  <r>
    <x v="241"/>
    <s v="GUILFORD"/>
    <s v="No"/>
    <n v="304348.46683679998"/>
    <n v="2.7000705124736167E-3"/>
    <n v="204784.0661"/>
    <n v="2.5054618011433045E-3"/>
    <n v="168002.32320576001"/>
    <n v="1.4904563956886208E-3"/>
    <n v="178510.27609999999"/>
    <n v="2.1840111215571502E-3"/>
    <n v="136346.14363104"/>
    <n v="1.2096141167849963E-3"/>
    <n v="26273.79"/>
    <n v="3.2145067958615437E-4"/>
    <m/>
    <n v="3"/>
    <s v="No"/>
    <m/>
  </r>
  <r>
    <x v="242"/>
    <s v="GUILFORD"/>
    <s v="No"/>
    <n v="114957.60608448001"/>
    <n v="1.0198626778024932E-3"/>
    <n v="20711.39"/>
    <n v="2.5339665083240297E-4"/>
    <n v="114957.60608448001"/>
    <n v="1.0198626778024932E-3"/>
    <n v="20711.39"/>
    <n v="2.5339665083240297E-4"/>
    <n v="0"/>
    <n v="0"/>
    <n v="0"/>
    <n v="0"/>
    <m/>
    <n v="2"/>
    <s v="No"/>
    <m/>
  </r>
  <r>
    <x v="142"/>
    <s v="GUILFORD"/>
    <s v="No"/>
    <n v="79355.569138560008"/>
    <n v="7.0401416658518075E-4"/>
    <n v="18373.099999999999"/>
    <n v="2.2478848621018785E-4"/>
    <n v="79310.844869760011"/>
    <n v="7.036173889025661E-4"/>
    <n v="18373.099999999999"/>
    <n v="2.2478848621018785E-4"/>
    <n v="44.724268800000004"/>
    <n v="3.9677768261463897E-7"/>
    <n v="0"/>
    <n v="0"/>
    <m/>
    <n v="2"/>
    <s v="No"/>
    <m/>
  </r>
  <r>
    <x v="243"/>
    <s v="GUILFORD"/>
    <s v="No"/>
    <n v="910.06882560000008"/>
    <n v="8.0738044316868533E-6"/>
    <n v="0"/>
    <n v="0"/>
    <n v="910.06882560000008"/>
    <n v="8.0738044316868533E-6"/>
    <n v="0"/>
    <n v="0"/>
    <n v="0"/>
    <n v="0"/>
    <n v="0"/>
    <n v="0"/>
    <m/>
    <n v="3"/>
    <s v="No"/>
    <m/>
  </r>
  <r>
    <x v="149"/>
    <s v="HADDAM"/>
    <s v="No"/>
    <n v="217943.65422720002"/>
    <n v="1.9335179844200065E-3"/>
    <n v="74360.083700000003"/>
    <n v="9.0976975302947607E-4"/>
    <n v="183426.55475616001"/>
    <n v="1.6272946496139551E-3"/>
    <n v="59673.923699999999"/>
    <n v="7.3008969497500437E-4"/>
    <n v="34517.099471039997"/>
    <n v="3.0622333480605121E-4"/>
    <n v="14686.16"/>
    <n v="1.7968005805447164E-4"/>
    <m/>
    <n v="1"/>
    <s v="No"/>
    <m/>
  </r>
  <r>
    <x v="244"/>
    <s v="HAMPTON"/>
    <s v="No"/>
    <n v="44289.82572768"/>
    <n v="3.9292345939113678E-4"/>
    <n v="11419.08"/>
    <n v="1.3970847092287269E-4"/>
    <n v="39907.668815999998"/>
    <n v="3.540465339338308E-4"/>
    <n v="11419.08"/>
    <n v="1.3970847092287269E-4"/>
    <n v="4382.1569116800001"/>
    <n v="3.8876925457305935E-5"/>
    <n v="0"/>
    <n v="0"/>
    <m/>
    <n v="4"/>
    <s v="No"/>
    <m/>
  </r>
  <r>
    <x v="33"/>
    <s v="HARTFORD"/>
    <s v="No"/>
    <n v="393.70786559999999"/>
    <n v="3.4928350698921594E-6"/>
    <n v="823.31"/>
    <n v="1.0072911407531107E-5"/>
    <n v="393.70786559999999"/>
    <n v="3.4928350698921594E-6"/>
    <n v="823.31"/>
    <n v="1.0072911407531107E-5"/>
    <n v="0"/>
    <n v="0"/>
    <n v="0"/>
    <n v="0"/>
    <m/>
    <n v="3"/>
    <s v="No"/>
    <m/>
  </r>
  <r>
    <x v="245"/>
    <s v="HARTFORD"/>
    <s v="No"/>
    <n v="144.50581439999999"/>
    <n v="1.2820037912385751E-6"/>
    <n v="0"/>
    <n v="0"/>
    <n v="144.50581439999999"/>
    <n v="1.2820037912385751E-6"/>
    <n v="0"/>
    <n v="0"/>
    <n v="0"/>
    <n v="0"/>
    <n v="0"/>
    <n v="0"/>
    <m/>
    <n v="5"/>
    <s v="No"/>
    <m/>
  </r>
  <r>
    <x v="246"/>
    <s v="HARTFORD"/>
    <s v="No"/>
    <n v="153.42635519999999"/>
    <n v="1.3611436318946919E-6"/>
    <n v="0"/>
    <n v="0"/>
    <n v="153.42635519999999"/>
    <n v="1.3611436318946919E-6"/>
    <n v="0"/>
    <n v="0"/>
    <n v="0"/>
    <n v="0"/>
    <n v="0"/>
    <n v="0"/>
    <m/>
    <n v="5"/>
    <s v="No"/>
    <m/>
  </r>
  <r>
    <x v="150"/>
    <s v="HARTFORD"/>
    <s v="No"/>
    <n v="284.866848"/>
    <n v="2.527236572801758E-6"/>
    <n v="0"/>
    <n v="0"/>
    <n v="284.866848"/>
    <n v="2.527236572801758E-6"/>
    <n v="0"/>
    <n v="0"/>
    <n v="0"/>
    <n v="0"/>
    <n v="0"/>
    <n v="0"/>
    <m/>
    <n v="3"/>
    <s v="No"/>
    <m/>
  </r>
  <r>
    <x v="247"/>
    <s v="HARTFORD"/>
    <s v="No"/>
    <n v="80.979523199999988"/>
    <n v="7.1842130495679313E-7"/>
    <n v="0"/>
    <n v="0"/>
    <n v="80.979523199999988"/>
    <n v="7.1842130495679313E-7"/>
    <n v="0"/>
    <n v="0"/>
    <n v="0"/>
    <n v="0"/>
    <n v="0"/>
    <n v="0"/>
    <m/>
    <n v="2"/>
    <s v="No"/>
    <m/>
  </r>
  <r>
    <x v="248"/>
    <s v="HARTFORD"/>
    <s v="No"/>
    <n v="27599.33412"/>
    <n v="2.4485140009356031E-4"/>
    <n v="2246.44"/>
    <n v="2.7484411828271466E-5"/>
    <n v="27599.33412"/>
    <n v="2.4485140009356031E-4"/>
    <n v="2246.44"/>
    <n v="2.7484411828271466E-5"/>
    <n v="0"/>
    <n v="0"/>
    <n v="0"/>
    <n v="0"/>
    <m/>
    <n v="5"/>
    <s v="Yes"/>
    <m/>
  </r>
  <r>
    <x v="249"/>
    <s v="HARTFORD"/>
    <s v="No"/>
    <n v="18357.163539839996"/>
    <n v="1.6285817530717586E-4"/>
    <n v="1257.69"/>
    <n v="1.5387399579912547E-5"/>
    <n v="18357.163539839996"/>
    <n v="1.6285817530717586E-4"/>
    <n v="1257.69"/>
    <n v="1.5387399579912547E-5"/>
    <n v="0"/>
    <n v="0"/>
    <n v="0"/>
    <n v="0"/>
    <m/>
    <n v="5"/>
    <s v="Yes"/>
    <m/>
  </r>
  <r>
    <x v="250"/>
    <s v="HARTFORD"/>
    <s v="Yes"/>
    <n v="19192.581737280001"/>
    <n v="1.7026970612228322E-4"/>
    <n v="15607.35"/>
    <n v="1.9095049720801476E-4"/>
    <n v="19192.581737280001"/>
    <n v="1.7026970612228322E-4"/>
    <n v="15607.35"/>
    <n v="1.9095049720801476E-4"/>
    <n v="0"/>
    <n v="0"/>
    <n v="0"/>
    <n v="0"/>
    <m/>
    <n v="5"/>
    <e v="#N/A"/>
    <m/>
  </r>
  <r>
    <x v="251"/>
    <s v="HARTFORD"/>
    <s v="No"/>
    <n v="20330.00047296"/>
    <n v="1.8036047746890349E-4"/>
    <n v="601.65"/>
    <n v="7.3609784265235331E-6"/>
    <n v="20330.00047296"/>
    <n v="1.8036047746890349E-4"/>
    <n v="601.65"/>
    <n v="7.3609784265235331E-6"/>
    <n v="0"/>
    <n v="0"/>
    <n v="0"/>
    <n v="0"/>
    <m/>
    <n v="5"/>
    <s v="Yes"/>
    <m/>
  </r>
  <r>
    <x v="252"/>
    <s v="HARTFORD"/>
    <s v="No"/>
    <n v="16445.239833600001"/>
    <n v="1.4589627346166381E-4"/>
    <n v="148437.2053"/>
    <n v="1.8160775632124072E-3"/>
    <n v="16445.239833600001"/>
    <n v="1.4589627346166381E-4"/>
    <n v="148437.2053"/>
    <n v="1.8160775632124072E-3"/>
    <n v="0"/>
    <n v="0"/>
    <n v="0"/>
    <n v="0"/>
    <m/>
    <n v="5"/>
    <s v="No"/>
    <m/>
  </r>
  <r>
    <x v="253"/>
    <s v="HARTFORD"/>
    <s v="No"/>
    <n v="20985.07844736"/>
    <n v="1.8617209446317222E-4"/>
    <n v="8680.39"/>
    <n v="1.0620155160610091E-4"/>
    <n v="20985.07844736"/>
    <n v="1.8617209446317222E-4"/>
    <n v="8680.39"/>
    <n v="1.0620155160610091E-4"/>
    <n v="0"/>
    <n v="0"/>
    <n v="0"/>
    <n v="0"/>
    <m/>
    <n v="5"/>
    <s v="Yes"/>
    <m/>
  </r>
  <r>
    <x v="254"/>
    <s v="HARTFORD"/>
    <s v="No"/>
    <n v="23903.896184639998"/>
    <n v="2.1206679925871405E-4"/>
    <n v="1628.75"/>
    <n v="1.992718958231564E-5"/>
    <n v="23903.896184639998"/>
    <n v="2.1206679925871405E-4"/>
    <n v="1628.75"/>
    <n v="1.992718958231564E-5"/>
    <n v="0"/>
    <n v="0"/>
    <n v="0"/>
    <n v="0"/>
    <m/>
    <n v="4"/>
    <s v="Yes"/>
    <m/>
  </r>
  <r>
    <x v="255"/>
    <s v="HARTFORD"/>
    <s v="No"/>
    <n v="14078.583889920001"/>
    <n v="1.249001501917958E-4"/>
    <n v="2029.63"/>
    <n v="2.4831816909872782E-5"/>
    <n v="14078.583889920001"/>
    <n v="1.249001501917958E-4"/>
    <n v="2029.63"/>
    <n v="2.4831816909872782E-5"/>
    <n v="0"/>
    <n v="0"/>
    <n v="0"/>
    <n v="0"/>
    <m/>
    <n v="4"/>
    <s v="Yes"/>
    <m/>
  </r>
  <r>
    <x v="256"/>
    <s v="HARTFORD"/>
    <s v="No"/>
    <n v="25922.267818560002"/>
    <n v="2.2997306896528334E-4"/>
    <n v="53046.98"/>
    <n v="6.4901134442321175E-4"/>
    <n v="25922.267818560002"/>
    <n v="2.2997306896528334E-4"/>
    <n v="53046.98"/>
    <n v="6.4901134442321175E-4"/>
    <n v="0"/>
    <n v="0"/>
    <n v="0"/>
    <n v="0"/>
    <m/>
    <n v="4"/>
    <s v="Yes"/>
    <m/>
  </r>
  <r>
    <x v="257"/>
    <s v="HARTFORD"/>
    <s v="No"/>
    <n v="34494.509257919999"/>
    <n v="3.0602292253208857E-4"/>
    <n v="10977.39"/>
    <n v="1.3430454744375495E-4"/>
    <n v="34494.509257919999"/>
    <n v="3.0602292253208857E-4"/>
    <n v="10977.39"/>
    <n v="1.3430454744375495E-4"/>
    <n v="0"/>
    <n v="0"/>
    <n v="0"/>
    <n v="0"/>
    <m/>
    <n v="3"/>
    <s v="Yes"/>
    <m/>
  </r>
  <r>
    <x v="258"/>
    <s v="HARTFORD"/>
    <s v="No"/>
    <n v="10912.4263584"/>
    <n v="9.6811135393874909E-5"/>
    <n v="1164.8900000000001"/>
    <n v="1.4252023866488823E-5"/>
    <n v="10912.4263584"/>
    <n v="9.6811135393874909E-5"/>
    <n v="1164.8900000000001"/>
    <n v="1.4252023866488823E-5"/>
    <n v="0"/>
    <n v="0"/>
    <n v="0"/>
    <n v="0"/>
    <m/>
    <n v="5"/>
    <s v="Yes"/>
    <m/>
  </r>
  <r>
    <x v="259"/>
    <s v="HARTFORD"/>
    <s v="Yes"/>
    <n v="19569.573285120001"/>
    <n v="1.7361424001251108E-4"/>
    <n v="1213.1500000000001"/>
    <n v="1.4842468176077495E-5"/>
    <n v="19569.573285120001"/>
    <n v="1.7361424001251108E-4"/>
    <n v="1213.1500000000001"/>
    <n v="1.4842468176077495E-5"/>
    <n v="0"/>
    <n v="0"/>
    <n v="0"/>
    <n v="0"/>
    <m/>
    <n v="5"/>
    <e v="#N/A"/>
    <m/>
  </r>
  <r>
    <x v="260"/>
    <s v="HARTFORD"/>
    <s v="No"/>
    <n v="27091.375603200002"/>
    <n v="2.4034497419621231E-4"/>
    <n v="2298.11"/>
    <n v="2.8116576301467627E-5"/>
    <n v="27091.375603200002"/>
    <n v="2.4034497419621231E-4"/>
    <n v="2298.11"/>
    <n v="2.8116576301467627E-5"/>
    <n v="0"/>
    <n v="0"/>
    <n v="0"/>
    <n v="0"/>
    <m/>
    <n v="5"/>
    <s v="No"/>
    <m/>
  </r>
  <r>
    <x v="261"/>
    <s v="HARTFORD"/>
    <s v="No"/>
    <n v="61237.230647040007"/>
    <n v="5.4327476150645712E-4"/>
    <n v="31422.542399999998"/>
    <n v="3.8444387386839691E-4"/>
    <n v="61237.230647040007"/>
    <n v="5.4327476150645712E-4"/>
    <n v="31422.542399999998"/>
    <n v="3.8444387386839691E-4"/>
    <n v="0"/>
    <n v="0"/>
    <n v="0"/>
    <n v="0"/>
    <m/>
    <n v="5"/>
    <s v="No"/>
    <m/>
  </r>
  <r>
    <x v="262"/>
    <s v="HARTFORD"/>
    <s v="No"/>
    <n v="1035759.4729718401"/>
    <n v="9.1888868048285791E-3"/>
    <n v="1565113.7553999999"/>
    <n v="1.9148622269682756E-2"/>
    <n v="171829.57790591998"/>
    <n v="1.5244104276146936E-3"/>
    <n v="1207764.3359999999"/>
    <n v="1.4776576450794514E-2"/>
    <n v="863929.89506592008"/>
    <n v="7.6644763772138851E-3"/>
    <n v="357349.41940000001"/>
    <n v="4.3720458188882417E-3"/>
    <m/>
    <n v="5"/>
    <s v="Yes"/>
    <m/>
  </r>
  <r>
    <x v="263"/>
    <s v="HARTFORD"/>
    <s v="No"/>
    <n v="19614.414487680002"/>
    <n v="1.7401205508953276E-4"/>
    <n v="18113.2"/>
    <n v="2.2160870013347641E-4"/>
    <n v="19596.776592960003"/>
    <n v="1.7385557800939319E-4"/>
    <n v="18113.2"/>
    <n v="2.2160870013347641E-4"/>
    <n v="17.637894720000002"/>
    <n v="1.5647708013959921E-7"/>
    <n v="0"/>
    <n v="0"/>
    <m/>
    <n v="5"/>
    <s v="Yes"/>
    <m/>
  </r>
  <r>
    <x v="264"/>
    <s v="HARTFORD"/>
    <s v="No"/>
    <n v="36489.036245759999"/>
    <n v="3.237176510850909E-4"/>
    <n v="8703.0400000000009"/>
    <n v="1.0647866647581049E-4"/>
    <n v="36489.036245759999"/>
    <n v="3.237176510850909E-4"/>
    <n v="8703.0400000000009"/>
    <n v="1.0647866647581049E-4"/>
    <n v="0"/>
    <n v="0"/>
    <n v="0"/>
    <n v="0"/>
    <m/>
    <n v="5"/>
    <s v="Yes"/>
    <m/>
  </r>
  <r>
    <x v="265"/>
    <s v="HARTFORD"/>
    <s v="No"/>
    <n v="32741.750923200001"/>
    <n v="2.9047307881427035E-4"/>
    <n v="2431"/>
    <n v="2.9742439216951235E-5"/>
    <n v="32741.750923200001"/>
    <n v="2.9047307881427035E-4"/>
    <n v="2431"/>
    <n v="2.9742439216951235E-5"/>
    <n v="0"/>
    <n v="0"/>
    <n v="0"/>
    <n v="0"/>
    <m/>
    <n v="5"/>
    <s v="Yes"/>
    <m/>
  </r>
  <r>
    <x v="266"/>
    <s v="HARTFORD"/>
    <s v="Yes"/>
    <n v="34597.11747456"/>
    <n v="3.0693322585303724E-4"/>
    <n v="3386.56"/>
    <n v="4.1433383362631992E-5"/>
    <n v="34597.11747456"/>
    <n v="3.0693322585303724E-4"/>
    <n v="3386.56"/>
    <n v="4.1433383362631992E-5"/>
    <n v="0"/>
    <n v="0"/>
    <n v="0"/>
    <n v="0"/>
    <m/>
    <n v="5"/>
    <e v="#N/A"/>
    <m/>
  </r>
  <r>
    <x v="267"/>
    <s v="HARTFORD"/>
    <s v="No"/>
    <n v="21805.829562239996"/>
    <n v="1.9345350417881784E-4"/>
    <n v="534.38"/>
    <n v="6.5379533808121765E-6"/>
    <n v="21805.829562239996"/>
    <n v="1.9345350417881784E-4"/>
    <n v="534.38"/>
    <n v="6.5379533808121765E-6"/>
    <n v="0"/>
    <n v="0"/>
    <n v="0"/>
    <n v="0"/>
    <m/>
    <n v="5"/>
    <s v="No"/>
    <m/>
  </r>
  <r>
    <x v="268"/>
    <s v="HARTFORD"/>
    <s v="Yes"/>
    <n v="27613.769650560003"/>
    <n v="2.4497946694667137E-4"/>
    <n v="677.72"/>
    <n v="8.2916684105767965E-6"/>
    <n v="27613.769650560003"/>
    <n v="2.4497946694667137E-4"/>
    <n v="677.72"/>
    <n v="8.2916684105767965E-6"/>
    <n v="0"/>
    <n v="0"/>
    <n v="0"/>
    <n v="0"/>
    <m/>
    <n v="5"/>
    <e v="#N/A"/>
    <m/>
  </r>
  <r>
    <x v="269"/>
    <s v="HARTFORD"/>
    <s v="No"/>
    <n v="37160.74254816"/>
    <n v="3.2967678864541074E-4"/>
    <n v="78848.03"/>
    <n v="9.6467821458303066E-4"/>
    <n v="37160.74254816"/>
    <n v="3.2967678864541074E-4"/>
    <n v="78848.03"/>
    <n v="9.6467821458303066E-4"/>
    <n v="0"/>
    <n v="0"/>
    <n v="0"/>
    <n v="0"/>
    <m/>
    <n v="5"/>
    <s v="No"/>
    <m/>
  </r>
  <r>
    <x v="270"/>
    <s v="HARTFORD"/>
    <s v="No"/>
    <n v="24785.822180160001"/>
    <n v="2.1989093058895137E-4"/>
    <n v="61180.35"/>
    <n v="7.4852029664615482E-4"/>
    <n v="24785.822180160001"/>
    <n v="2.1989093058895137E-4"/>
    <n v="61180.35"/>
    <n v="7.4852029664615482E-4"/>
    <n v="0"/>
    <n v="0"/>
    <n v="0"/>
    <n v="0"/>
    <m/>
    <n v="5"/>
    <s v="Yes"/>
    <m/>
  </r>
  <r>
    <x v="271"/>
    <s v="HARTFORD"/>
    <s v="No"/>
    <n v="14693.71104"/>
    <n v="1.3035733779196714E-4"/>
    <n v="2186.64"/>
    <n v="2.6752779633629883E-5"/>
    <n v="14693.213203200001"/>
    <n v="1.3035292116231339E-4"/>
    <n v="2186.64"/>
    <n v="2.6752779633629883E-5"/>
    <n v="0.49783680000000002"/>
    <n v="4.4166296537482467E-9"/>
    <n v="0"/>
    <n v="0"/>
    <m/>
    <n v="4"/>
    <s v="Yes"/>
    <m/>
  </r>
  <r>
    <x v="272"/>
    <s v="HARTFORD"/>
    <s v="No"/>
    <n v="32750.498957759999"/>
    <n v="2.9055068824139523E-4"/>
    <n v="26309.74"/>
    <n v="3.2189051532858522E-4"/>
    <n v="32750.498957759999"/>
    <n v="2.9055068824139523E-4"/>
    <n v="26309.74"/>
    <n v="3.2189051532858522E-4"/>
    <n v="0"/>
    <n v="0"/>
    <n v="0"/>
    <n v="0"/>
    <m/>
    <n v="2"/>
    <s v="Yes"/>
    <m/>
  </r>
  <r>
    <x v="273"/>
    <s v="HARTFORD"/>
    <s v="No"/>
    <n v="5708.3524675200006"/>
    <n v="5.0642457090548158E-5"/>
    <n v="98479.72"/>
    <n v="1.204865111560007E-3"/>
    <n v="5708.3524675200006"/>
    <n v="5.0642457090548158E-5"/>
    <n v="98479.72"/>
    <n v="1.204865111560007E-3"/>
    <n v="0"/>
    <n v="0"/>
    <n v="0"/>
    <n v="0"/>
    <m/>
    <n v="4"/>
    <s v="Yes"/>
    <m/>
  </r>
  <r>
    <x v="40"/>
    <s v="HARTFORD"/>
    <s v="No"/>
    <n v="55706.715325440004"/>
    <n v="4.9421001183369768E-4"/>
    <n v="43874.208400000003"/>
    <n v="5.3678567524839628E-4"/>
    <n v="55706.715325440004"/>
    <n v="4.9421001183369768E-4"/>
    <n v="43874.208400000003"/>
    <n v="5.3678567524839628E-4"/>
    <n v="0"/>
    <n v="0"/>
    <n v="0"/>
    <n v="0"/>
    <m/>
    <n v="2"/>
    <s v="No"/>
    <m/>
  </r>
  <r>
    <x v="274"/>
    <s v="HARTFORD"/>
    <s v="No"/>
    <n v="32737.94073504"/>
    <n v="2.9043927619057153E-4"/>
    <n v="14980.31"/>
    <n v="1.8327888096507063E-4"/>
    <n v="32737.94073504"/>
    <n v="2.9043927619057153E-4"/>
    <n v="14980.31"/>
    <n v="1.8327888096507063E-4"/>
    <n v="0"/>
    <n v="0"/>
    <n v="0"/>
    <n v="0"/>
    <m/>
    <n v="1"/>
    <s v="Yes"/>
    <m/>
  </r>
  <r>
    <x v="275"/>
    <s v="HARTFORD"/>
    <s v="No"/>
    <n v="16383.093013440001"/>
    <n v="1.453449291480156E-4"/>
    <n v="14080.65"/>
    <n v="1.7227185387090266E-4"/>
    <n v="16383.093013440001"/>
    <n v="1.453449291480156E-4"/>
    <n v="14080.65"/>
    <n v="1.7227185387090266E-4"/>
    <n v="0"/>
    <n v="0"/>
    <n v="0"/>
    <n v="0"/>
    <m/>
    <n v="5"/>
    <s v="Yes"/>
    <m/>
  </r>
  <r>
    <x v="276"/>
    <s v="HARTFORD"/>
    <s v="No"/>
    <n v="54014.641560000004"/>
    <n v="4.7919853986382375E-4"/>
    <n v="3657.96"/>
    <n v="4.4753867938313014E-5"/>
    <n v="54014.641560000004"/>
    <n v="4.7919853986382375E-4"/>
    <n v="3657.96"/>
    <n v="4.4753867938313014E-5"/>
    <n v="0"/>
    <n v="0"/>
    <n v="0"/>
    <n v="0"/>
    <m/>
    <n v="5"/>
    <s v="No"/>
    <m/>
  </r>
  <r>
    <x v="277"/>
    <s v="HARTFORD"/>
    <s v="No"/>
    <n v="23985.625936320001"/>
    <n v="2.1279187632184676E-4"/>
    <n v="18422.213"/>
    <n v="2.2538936667800447E-4"/>
    <n v="23985.625936320001"/>
    <n v="2.1279187632184676E-4"/>
    <n v="18422.213"/>
    <n v="2.2538936667800447E-4"/>
    <n v="0"/>
    <n v="0"/>
    <n v="0"/>
    <n v="0"/>
    <m/>
    <n v="5"/>
    <s v="Yes"/>
    <m/>
  </r>
  <r>
    <x v="278"/>
    <s v="HARTFORD"/>
    <s v="No"/>
    <n v="37871.045095680005"/>
    <n v="3.3597833825867716E-4"/>
    <n v="81361.004799999995"/>
    <n v="9.9542358695766243E-4"/>
    <n v="37871.045095680005"/>
    <n v="3.3597833825867716E-4"/>
    <n v="81361.004799999995"/>
    <n v="9.9542358695766243E-4"/>
    <n v="0"/>
    <n v="0"/>
    <n v="0"/>
    <n v="0"/>
    <m/>
    <n v="5"/>
    <s v="Yes"/>
    <m/>
  </r>
  <r>
    <x v="279"/>
    <s v="HARTFORD"/>
    <s v="No"/>
    <n v="58254.756370559997"/>
    <n v="5.1681531871106124E-4"/>
    <n v="18063.281900000002"/>
    <n v="2.2099796954726676E-4"/>
    <n v="58254.756370559997"/>
    <n v="5.1681531871106124E-4"/>
    <n v="18063.281900000002"/>
    <n v="2.2099796954726676E-4"/>
    <n v="0"/>
    <n v="0"/>
    <n v="0"/>
    <n v="0"/>
    <m/>
    <n v="5"/>
    <s v="Yes"/>
    <m/>
  </r>
  <r>
    <x v="280"/>
    <s v="HARTFORD"/>
    <s v="No"/>
    <n v="42553.5758928"/>
    <n v="3.7752007316688315E-4"/>
    <n v="30501.02"/>
    <n v="3.7316936791650099E-4"/>
    <n v="42553.5758928"/>
    <n v="3.7752007316688315E-4"/>
    <n v="30501.02"/>
    <n v="3.7316936791650099E-4"/>
    <n v="0"/>
    <n v="0"/>
    <n v="0"/>
    <n v="0"/>
    <m/>
    <n v="5"/>
    <s v="Yes"/>
    <m/>
  </r>
  <r>
    <x v="281"/>
    <s v="HARTFORD"/>
    <s v="No"/>
    <n v="36222.419747520005"/>
    <n v="3.2135232507402608E-4"/>
    <n v="28619.973300000001"/>
    <n v="3.5015541598766651E-4"/>
    <n v="36222.419747520005"/>
    <n v="3.2135232507402608E-4"/>
    <n v="28619.973300000001"/>
    <n v="3.5015541598766651E-4"/>
    <n v="0"/>
    <n v="0"/>
    <n v="0"/>
    <n v="0"/>
    <m/>
    <n v="5"/>
    <s v="Yes"/>
    <m/>
  </r>
  <r>
    <x v="282"/>
    <s v="HARTFORD"/>
    <s v="No"/>
    <n v="26853.682265279996"/>
    <n v="2.382362440967984E-4"/>
    <n v="1003.633"/>
    <n v="1.2279100575329666E-5"/>
    <n v="26853.682265279996"/>
    <n v="2.382362440967984E-4"/>
    <n v="1003.633"/>
    <n v="1.2279100575329666E-5"/>
    <n v="0"/>
    <n v="0"/>
    <n v="0"/>
    <n v="0"/>
    <m/>
    <n v="5"/>
    <s v="No"/>
    <m/>
  </r>
  <r>
    <x v="283"/>
    <s v="HARTFORD"/>
    <s v="No"/>
    <n v="38598.850080000004"/>
    <n v="3.4243516321796799E-4"/>
    <n v="2487.0500000000002"/>
    <n v="3.0428191466276665E-5"/>
    <n v="38598.850080000004"/>
    <n v="3.4243516321796799E-4"/>
    <n v="2487.0500000000002"/>
    <n v="3.0428191466276665E-5"/>
    <n v="0"/>
    <n v="0"/>
    <n v="0"/>
    <n v="0"/>
    <m/>
    <n v="5"/>
    <s v="No"/>
    <m/>
  </r>
  <r>
    <x v="284"/>
    <s v="HARTFORD"/>
    <s v="No"/>
    <n v="29057.523577920001"/>
    <n v="2.577879343164875E-4"/>
    <n v="2328.62"/>
    <n v="2.8489855536559844E-5"/>
    <n v="29057.523577920001"/>
    <n v="2.577879343164875E-4"/>
    <n v="2328.62"/>
    <n v="2.8489855536559844E-5"/>
    <n v="0"/>
    <n v="0"/>
    <n v="0"/>
    <n v="0"/>
    <m/>
    <n v="5"/>
    <s v="No"/>
    <m/>
  </r>
  <r>
    <x v="285"/>
    <s v="HARTFORD"/>
    <s v="No"/>
    <n v="39743.093231999999"/>
    <n v="3.5258647834015568E-4"/>
    <n v="14436.07"/>
    <n v="1.7662029391470719E-4"/>
    <n v="39743.093231999999"/>
    <n v="3.5258647834015568E-4"/>
    <n v="14436.07"/>
    <n v="1.7662029391470719E-4"/>
    <n v="0"/>
    <n v="0"/>
    <n v="0"/>
    <n v="0"/>
    <m/>
    <n v="5"/>
    <s v="No"/>
    <m/>
  </r>
  <r>
    <x v="11"/>
    <s v="HARTLAND"/>
    <s v="No"/>
    <n v="40778.266129920004"/>
    <n v="3.61770161261366E-4"/>
    <n v="12321.41"/>
    <n v="1.5074816453810577E-4"/>
    <n v="36984.536107200001"/>
    <n v="3.2811354825754596E-4"/>
    <n v="12321.41"/>
    <n v="1.5074816453810577E-4"/>
    <n v="3793.7300227200003"/>
    <n v="3.3656613003820052E-5"/>
    <n v="0"/>
    <n v="0"/>
    <m/>
    <n v="3"/>
    <s v="No"/>
    <m/>
  </r>
  <r>
    <x v="210"/>
    <s v="HARTLAND"/>
    <s v="No"/>
    <n v="58.605811199999998"/>
    <n v="5.1992975133194472E-7"/>
    <n v="0"/>
    <n v="0"/>
    <n v="58.605811199999998"/>
    <n v="5.1992975133194472E-7"/>
    <n v="0"/>
    <n v="0"/>
    <n v="0"/>
    <n v="0"/>
    <n v="0"/>
    <n v="0"/>
    <m/>
    <n v="1"/>
    <s v="No"/>
    <m/>
  </r>
  <r>
    <x v="76"/>
    <s v="HARWINTON"/>
    <s v="No"/>
    <n v="819.44516160000001"/>
    <n v="7.2698237662283782E-6"/>
    <n v="0"/>
    <n v="0"/>
    <n v="819.44516160000001"/>
    <n v="7.2698237662283782E-6"/>
    <n v="0"/>
    <n v="0"/>
    <n v="0"/>
    <n v="0"/>
    <n v="0"/>
    <n v="0"/>
    <m/>
    <n v="2"/>
    <s v="No"/>
    <m/>
  </r>
  <r>
    <x v="286"/>
    <s v="HARWINTON"/>
    <s v="No"/>
    <n v="56629.998823680005"/>
    <n v="5.0240105210461227E-4"/>
    <n v="11448.81"/>
    <n v="1.4007220712933914E-4"/>
    <n v="56592.082183680002"/>
    <n v="5.0206466926470462E-4"/>
    <n v="11448.81"/>
    <n v="1.4007220712933914E-4"/>
    <n v="37.916640000000001"/>
    <n v="3.3638283990756994E-7"/>
    <n v="0"/>
    <n v="0"/>
    <m/>
    <n v="1"/>
    <s v="No"/>
    <m/>
  </r>
  <r>
    <x v="287"/>
    <s v="HARWINTON"/>
    <s v="No"/>
    <n v="84260.560625280006"/>
    <n v="7.4752949299662771E-4"/>
    <n v="57299.408799999997"/>
    <n v="7.010383313045004E-4"/>
    <n v="67464.014728320006"/>
    <n v="5.9851655805679002E-4"/>
    <n v="51350.918799999999"/>
    <n v="6.282606257275189E-4"/>
    <n v="16796.54589696"/>
    <n v="1.4901293493983767E-4"/>
    <n v="5948.49"/>
    <n v="7.2777705576981591E-5"/>
    <m/>
    <n v="1"/>
    <s v="No"/>
    <m/>
  </r>
  <r>
    <x v="288"/>
    <s v="HARWINTON"/>
    <s v="No"/>
    <n v="525.13099199999999"/>
    <n v="4.6587739423229321E-6"/>
    <n v="841.03"/>
    <n v="1.0289709442465033E-5"/>
    <n v="525.13099199999999"/>
    <n v="4.6587739423229321E-6"/>
    <n v="841.03"/>
    <n v="1.0289709442465033E-5"/>
    <n v="0"/>
    <n v="0"/>
    <n v="0"/>
    <n v="0"/>
    <m/>
    <n v="3"/>
    <s v="No"/>
    <m/>
  </r>
  <r>
    <x v="289"/>
    <s v="HARWINTON"/>
    <s v="No"/>
    <n v="24.486623999999999"/>
    <n v="2.1723655157389628E-7"/>
    <n v="0"/>
    <n v="0"/>
    <n v="24.486623999999999"/>
    <n v="2.1723655157389628E-7"/>
    <n v="0"/>
    <n v="0"/>
    <n v="0"/>
    <n v="0"/>
    <n v="0"/>
    <n v="0"/>
    <m/>
    <n v="1"/>
    <s v="No"/>
    <m/>
  </r>
  <r>
    <x v="290"/>
    <s v="HARWINTON"/>
    <s v="No"/>
    <n v="51.618729600000002"/>
    <n v="4.5794286770317574E-7"/>
    <n v="0"/>
    <n v="0"/>
    <n v="51.618729600000002"/>
    <n v="4.5794286770317574E-7"/>
    <n v="0"/>
    <n v="0"/>
    <n v="0"/>
    <n v="0"/>
    <n v="0"/>
    <n v="0"/>
    <m/>
    <n v="1"/>
    <s v="No"/>
    <m/>
  </r>
  <r>
    <x v="202"/>
    <s v="HEBRON"/>
    <s v="No"/>
    <n v="66.993782400000001"/>
    <n v="5.9434482538172624E-7"/>
    <n v="0"/>
    <n v="0"/>
    <n v="66.993782400000001"/>
    <n v="5.9434482538172624E-7"/>
    <n v="0"/>
    <n v="0"/>
    <n v="0"/>
    <n v="0"/>
    <n v="0"/>
    <n v="0"/>
    <m/>
    <n v="4"/>
    <s v="No"/>
    <m/>
  </r>
  <r>
    <x v="105"/>
    <s v="HEBRON"/>
    <s v="No"/>
    <n v="991.81825920000006"/>
    <n v="8.7990561057593257E-6"/>
    <n v="0"/>
    <n v="0"/>
    <n v="991.81825920000006"/>
    <n v="8.7990561057593257E-6"/>
    <n v="0"/>
    <n v="0"/>
    <n v="0"/>
    <n v="0"/>
    <n v="0"/>
    <n v="0"/>
    <m/>
    <n v="1"/>
    <s v="No"/>
    <m/>
  </r>
  <r>
    <x v="108"/>
    <s v="HEBRON"/>
    <s v="No"/>
    <n v="49109.467147199997"/>
    <n v="4.3568159059775976E-4"/>
    <n v="6905.26"/>
    <n v="8.4483453651684358E-5"/>
    <n v="49109.467147199997"/>
    <n v="4.3568159059775976E-4"/>
    <n v="6905.26"/>
    <n v="8.4483453651684358E-5"/>
    <n v="0"/>
    <n v="0"/>
    <n v="0"/>
    <n v="0"/>
    <m/>
    <n v="2"/>
    <s v="No"/>
    <m/>
  </r>
  <r>
    <x v="42"/>
    <s v="HEBRON"/>
    <s v="No"/>
    <n v="166494.54109824001"/>
    <n v="1.477079893253558E-3"/>
    <n v="82230.272499999992"/>
    <n v="1.0060587748352886E-3"/>
    <n v="136065.06323711999"/>
    <n v="1.2071204722756423E-3"/>
    <n v="75257.462499999994"/>
    <n v="9.2074887043530921E-4"/>
    <n v="30429.477861120002"/>
    <n v="2.6995942097791557E-4"/>
    <n v="6972.81"/>
    <n v="8.5309904399979324E-5"/>
    <m/>
    <n v="1"/>
    <s v="No"/>
    <m/>
  </r>
  <r>
    <x v="111"/>
    <s v="HEBRON"/>
    <s v="No"/>
    <n v="234.27273600000001"/>
    <n v="2.0783837451999016E-6"/>
    <n v="0"/>
    <n v="0"/>
    <n v="234.27273600000001"/>
    <n v="2.0783837451999016E-6"/>
    <n v="0"/>
    <n v="0"/>
    <n v="0"/>
    <n v="0"/>
    <n v="0"/>
    <n v="0"/>
    <m/>
    <n v="1"/>
    <s v="No"/>
    <m/>
  </r>
  <r>
    <x v="291"/>
    <s v="KENT"/>
    <s v="No"/>
    <n v="135.63158400000003"/>
    <n v="1.2032747998525748E-6"/>
    <n v="0"/>
    <n v="0"/>
    <n v="135.63158400000003"/>
    <n v="1.2032747998525748E-6"/>
    <n v="0"/>
    <n v="0"/>
    <n v="0"/>
    <n v="0"/>
    <n v="0"/>
    <n v="0"/>
    <m/>
    <n v="4"/>
    <s v="No"/>
    <m/>
  </r>
  <r>
    <x v="113"/>
    <s v="KENT"/>
    <s v="No"/>
    <n v="75.347020799999996"/>
    <n v="6.6845176247892055E-7"/>
    <n v="0"/>
    <n v="0"/>
    <n v="75.347020799999996"/>
    <n v="6.6845176247892055E-7"/>
    <n v="0"/>
    <n v="0"/>
    <n v="0"/>
    <n v="0"/>
    <n v="0"/>
    <n v="0"/>
    <m/>
    <n v="1"/>
    <s v="No"/>
    <m/>
  </r>
  <r>
    <x v="114"/>
    <s v="KENT"/>
    <s v="No"/>
    <n v="153538.50220128"/>
    <n v="1.3621385598940529E-3"/>
    <n v="30652.258000000002"/>
    <n v="3.7501971222842753E-4"/>
    <n v="107590.69931904001"/>
    <n v="9.5450612144378107E-4"/>
    <n v="25083.518"/>
    <n v="3.0688811578046161E-4"/>
    <n v="45947.802882239994"/>
    <n v="4.0763243845027186E-4"/>
    <n v="5568.74"/>
    <n v="6.8131596447965862E-5"/>
    <m/>
    <n v="2"/>
    <s v="No"/>
    <m/>
  </r>
  <r>
    <x v="292"/>
    <s v="KILLINGLY"/>
    <s v="No"/>
    <n v="259469.20060127997"/>
    <n v="2.3019177481655943E-3"/>
    <n v="230692.6937"/>
    <n v="2.8224448458111884E-3"/>
    <n v="154442.43547775998"/>
    <n v="1.3701579319330651E-3"/>
    <n v="226131.45370000001"/>
    <n v="2.7666396613381622E-3"/>
    <n v="105026.76512351999"/>
    <n v="9.3175981623252937E-4"/>
    <n v="4561.24"/>
    <n v="5.5805184473026181E-5"/>
    <m/>
    <n v="2"/>
    <s v="No"/>
    <m/>
  </r>
  <r>
    <x v="293"/>
    <s v="KILLINGLY"/>
    <s v="No"/>
    <n v="60618.712996800001"/>
    <n v="5.3778749460409734E-4"/>
    <n v="12798.2778"/>
    <n v="1.5658247616131483E-4"/>
    <n v="60618.712996800001"/>
    <n v="5.3778749460409734E-4"/>
    <n v="12798.2778"/>
    <n v="1.5658247616131483E-4"/>
    <n v="0"/>
    <n v="0"/>
    <n v="0"/>
    <n v="0"/>
    <m/>
    <n v="3"/>
    <s v="No"/>
    <m/>
  </r>
  <r>
    <x v="294"/>
    <s v="KILLINGLY"/>
    <s v="No"/>
    <n v="103701.58665984"/>
    <n v="9.2000330787638212E-4"/>
    <n v="41168.17"/>
    <n v="5.0367823689762047E-4"/>
    <n v="103701.58665984"/>
    <n v="9.2000330787638212E-4"/>
    <n v="41168.17"/>
    <n v="5.0367823689762047E-4"/>
    <n v="0"/>
    <n v="0"/>
    <n v="0"/>
    <n v="0"/>
    <m/>
    <n v="5"/>
    <s v="No"/>
    <m/>
  </r>
  <r>
    <x v="295"/>
    <s v="KILLINGLY"/>
    <s v="No"/>
    <n v="1382.5854144"/>
    <n v="1.2265802246999111E-5"/>
    <n v="0"/>
    <n v="0"/>
    <n v="1382.5854144"/>
    <n v="1.2265802246999111E-5"/>
    <n v="0"/>
    <n v="0"/>
    <n v="0"/>
    <n v="0"/>
    <n v="0"/>
    <n v="0"/>
    <m/>
    <n v="4"/>
    <s v="No"/>
    <m/>
  </r>
  <r>
    <x v="296"/>
    <s v="KILLINGLY"/>
    <s v="No"/>
    <n v="306.37802879999998"/>
    <n v="2.7180760587706937E-6"/>
    <n v="0"/>
    <n v="0"/>
    <n v="306.37802879999998"/>
    <n v="2.7180760587706937E-6"/>
    <n v="0"/>
    <n v="0"/>
    <n v="0"/>
    <n v="0"/>
    <n v="0"/>
    <n v="0"/>
    <m/>
    <n v="3"/>
    <s v="No"/>
    <m/>
  </r>
  <r>
    <x v="297"/>
    <s v="KILLINGLY"/>
    <s v="No"/>
    <n v="141.2640864"/>
    <n v="1.2532443423304471E-6"/>
    <n v="0"/>
    <n v="0"/>
    <n v="141.2640864"/>
    <n v="1.2532443423304471E-6"/>
    <n v="0"/>
    <n v="0"/>
    <n v="0"/>
    <n v="0"/>
    <n v="0"/>
    <n v="0"/>
    <m/>
    <e v="#N/A"/>
    <e v="#N/A"/>
    <m/>
  </r>
  <r>
    <x v="149"/>
    <s v="KILLINGWORTH"/>
    <s v="No"/>
    <n v="798.21763200000009"/>
    <n v="7.0815007320389038E-6"/>
    <n v="0"/>
    <n v="0"/>
    <n v="798.21763200000009"/>
    <n v="7.0815007320389038E-6"/>
    <n v="0"/>
    <n v="0"/>
    <n v="0"/>
    <n v="0"/>
    <n v="0"/>
    <n v="0"/>
    <m/>
    <n v="1"/>
    <s v="No"/>
    <m/>
  </r>
  <r>
    <x v="298"/>
    <s v="KILLINGWORTH"/>
    <s v="No"/>
    <n v="171906.27661151998"/>
    <n v="1.5250908710402438E-3"/>
    <n v="77881.463700000008"/>
    <n v="9.5285261218611443E-4"/>
    <n v="152083.24419167999"/>
    <n v="1.3492280324299238E-3"/>
    <n v="67481.353700000007"/>
    <n v="8.2561088469758847E-4"/>
    <n v="19823.032419839998"/>
    <n v="1.7586283861032007E-4"/>
    <n v="10400.11"/>
    <n v="1.2724172748852601E-4"/>
    <m/>
    <n v="1"/>
    <s v="No"/>
    <m/>
  </r>
  <r>
    <x v="105"/>
    <s v="LEBANON"/>
    <s v="No"/>
    <n v="49.528972799999998"/>
    <n v="4.3940329438918598E-7"/>
    <n v="0"/>
    <n v="0"/>
    <n v="49.528972799999998"/>
    <n v="4.3940329438918598E-7"/>
    <n v="0"/>
    <n v="0"/>
    <n v="0"/>
    <n v="0"/>
    <n v="0"/>
    <n v="0"/>
    <m/>
    <n v="1"/>
    <s v="No"/>
    <m/>
  </r>
  <r>
    <x v="107"/>
    <s v="LEBANON"/>
    <s v="No"/>
    <n v="105876.06717888001"/>
    <n v="9.3929451965881763E-4"/>
    <n v="66859.39"/>
    <n v="8.1800137521901987E-4"/>
    <n v="93097.006948800001"/>
    <n v="8.2592327759875648E-4"/>
    <n v="66859.39"/>
    <n v="8.1800137521901987E-4"/>
    <n v="12779.060230080002"/>
    <n v="1.1337124206006109E-4"/>
    <n v="0"/>
    <n v="0"/>
    <m/>
    <n v="1"/>
    <s v="No"/>
    <m/>
  </r>
  <r>
    <x v="299"/>
    <s v="LEDYARD"/>
    <s v="No"/>
    <n v="233295.33706271998"/>
    <n v="2.0697126121500082E-3"/>
    <n v="103588.01820000009"/>
    <n v="1.2673633627799017E-3"/>
    <n v="174690.90243935998"/>
    <n v="1.549795073312618E-3"/>
    <n v="90400.118200000099"/>
    <n v="1.1060139945572645E-3"/>
    <n v="58604.434623360001"/>
    <n v="5.1991753883739045E-4"/>
    <n v="13187.9"/>
    <n v="1.6134936822263725E-4"/>
    <m/>
    <n v="4"/>
    <s v="No"/>
    <m/>
  </r>
  <r>
    <x v="300"/>
    <s v="LEDYARD"/>
    <s v="No"/>
    <n v="138641.1926976"/>
    <n v="1.2299749695065631E-3"/>
    <n v="35876.579899999997"/>
    <n v="4.3893747305135512E-4"/>
    <n v="138641.1926976"/>
    <n v="1.2299749695065631E-3"/>
    <n v="35876.579899999997"/>
    <n v="4.3893747305135512E-4"/>
    <n v="0"/>
    <n v="0"/>
    <n v="0"/>
    <n v="0"/>
    <m/>
    <n v="3"/>
    <s v="No"/>
    <m/>
  </r>
  <r>
    <x v="301"/>
    <s v="LEDYARD"/>
    <s v="No"/>
    <n v="64.956124800000012"/>
    <n v="5.7626745749661721E-7"/>
    <n v="0"/>
    <n v="0"/>
    <n v="64.956124800000012"/>
    <n v="5.7626745749661721E-7"/>
    <n v="0"/>
    <n v="0"/>
    <n v="0"/>
    <n v="0"/>
    <n v="0"/>
    <n v="0"/>
    <m/>
    <e v="#N/A"/>
    <e v="#N/A"/>
    <m/>
  </r>
  <r>
    <x v="302"/>
    <s v="LISBON"/>
    <s v="No"/>
    <n v="84.533846399999987"/>
    <n v="7.4995398643820495E-7"/>
    <n v="0"/>
    <n v="0"/>
    <n v="84.533846399999987"/>
    <n v="7.4995398643820495E-7"/>
    <n v="0"/>
    <n v="0"/>
    <n v="0"/>
    <n v="0"/>
    <n v="0"/>
    <n v="0"/>
    <m/>
    <e v="#N/A"/>
    <e v="#N/A"/>
    <m/>
  </r>
  <r>
    <x v="199"/>
    <s v="LISBON"/>
    <s v="No"/>
    <n v="13291.498120319999"/>
    <n v="1.1791740735306105E-4"/>
    <n v="0"/>
    <n v="0"/>
    <n v="511.48679040000002"/>
    <n v="4.5377274761149711E-6"/>
    <n v="0"/>
    <n v="0"/>
    <n v="12780.011329919998"/>
    <n v="1.1337967987694607E-4"/>
    <n v="0"/>
    <n v="0"/>
    <m/>
    <n v="5"/>
    <s v="No"/>
    <m/>
  </r>
  <r>
    <x v="303"/>
    <s v="LISBON"/>
    <s v="No"/>
    <n v="44.7532128"/>
    <n v="3.9703446340846151E-7"/>
    <n v="0"/>
    <n v="0"/>
    <n v="44.7532128"/>
    <n v="3.9703446340846151E-7"/>
    <n v="0"/>
    <n v="0"/>
    <n v="0"/>
    <n v="0"/>
    <n v="0"/>
    <n v="0"/>
    <m/>
    <n v="3"/>
    <s v="No"/>
    <m/>
  </r>
  <r>
    <x v="229"/>
    <s v="LISBON"/>
    <s v="No"/>
    <n v="1041.2546112"/>
    <n v="9.2376377016082786E-6"/>
    <n v="0"/>
    <n v="0"/>
    <n v="1041.2546112"/>
    <n v="9.2376377016082786E-6"/>
    <n v="0"/>
    <n v="0"/>
    <n v="0"/>
    <n v="0"/>
    <n v="0"/>
    <n v="0"/>
    <m/>
    <n v="3"/>
    <s v="No"/>
    <m/>
  </r>
  <r>
    <x v="230"/>
    <s v="LISBON"/>
    <s v="No"/>
    <n v="14.0899392"/>
    <n v="1.2500089043282827E-7"/>
    <n v="0"/>
    <n v="0"/>
    <n v="14.0899392"/>
    <n v="1.2500089043282827E-7"/>
    <n v="0"/>
    <n v="0"/>
    <n v="0"/>
    <n v="0"/>
    <n v="0"/>
    <n v="0"/>
    <m/>
    <n v="5"/>
    <s v="No"/>
    <m/>
  </r>
  <r>
    <x v="231"/>
    <s v="LISBON"/>
    <s v="No"/>
    <n v="93374.923184639993"/>
    <n v="8.2838885083172961E-4"/>
    <n v="184063.5822"/>
    <n v="2.2519538896083125E-3"/>
    <n v="81352.816283519991"/>
    <n v="7.2173302739718631E-4"/>
    <n v="178185.68220000001"/>
    <n v="2.180039828121962E-3"/>
    <n v="12022.106901119998"/>
    <n v="1.0665582343454324E-4"/>
    <n v="5877.9"/>
    <n v="7.191406148635033E-5"/>
    <m/>
    <n v="3"/>
    <s v="No"/>
    <m/>
  </r>
  <r>
    <x v="168"/>
    <s v="LISBON"/>
    <s v="No"/>
    <n v="67.653705599999995"/>
    <n v="6.0019942748088085E-7"/>
    <n v="0"/>
    <n v="0"/>
    <n v="67.653705599999995"/>
    <n v="6.0019942748088085E-7"/>
    <n v="0"/>
    <n v="0"/>
    <n v="0"/>
    <n v="0"/>
    <n v="0"/>
    <n v="0"/>
    <m/>
    <n v="4"/>
    <s v="No"/>
    <m/>
  </r>
  <r>
    <x v="75"/>
    <s v="LISBON"/>
    <s v="No"/>
    <n v="45.320515200000003"/>
    <n v="4.0206736696738397E-7"/>
    <n v="0"/>
    <n v="0"/>
    <n v="45.320515200000003"/>
    <n v="4.0206736696738397E-7"/>
    <n v="0"/>
    <n v="0"/>
    <n v="0"/>
    <n v="0"/>
    <n v="0"/>
    <n v="0"/>
    <m/>
    <n v="4"/>
    <s v="No"/>
    <m/>
  </r>
  <r>
    <x v="209"/>
    <s v="LITCHFIELD"/>
    <s v="No"/>
    <n v="509.46071040000004"/>
    <n v="4.5197528205473915E-6"/>
    <n v="0"/>
    <n v="0"/>
    <n v="509.46071040000004"/>
    <n v="4.5197528205473915E-6"/>
    <n v="0"/>
    <n v="0"/>
    <n v="0"/>
    <n v="0"/>
    <n v="0"/>
    <n v="0"/>
    <m/>
    <n v="3"/>
    <s v="No"/>
    <m/>
  </r>
  <r>
    <x v="304"/>
    <s v="LITCHFIELD"/>
    <s v="No"/>
    <n v="69544.787889600004"/>
    <n v="6.1697643174799313E-4"/>
    <n v="74664.482900000003"/>
    <n v="9.1349397133621754E-4"/>
    <n v="68888.674877760001"/>
    <n v="6.1115563227253722E-4"/>
    <n v="74664.482900000003"/>
    <n v="9.1349397133621754E-4"/>
    <n v="656.1130118399999"/>
    <n v="5.8207994754558479E-6"/>
    <n v="0"/>
    <n v="0"/>
    <m/>
    <n v="1"/>
    <s v="No"/>
    <m/>
  </r>
  <r>
    <x v="305"/>
    <s v="LITCHFIELD"/>
    <s v="No"/>
    <n v="46661.577552000002"/>
    <n v="4.1396479148756522E-4"/>
    <n v="11260.856400000001"/>
    <n v="1.3777266022534608E-4"/>
    <n v="46661.577552000002"/>
    <n v="4.1396479148756522E-4"/>
    <n v="11260.856400000001"/>
    <n v="1.3777266022534608E-4"/>
    <n v="0"/>
    <n v="0"/>
    <n v="0"/>
    <n v="0"/>
    <m/>
    <n v="2"/>
    <s v="No"/>
    <m/>
  </r>
  <r>
    <x v="306"/>
    <s v="LITCHFIELD"/>
    <s v="No"/>
    <n v="184605.2111664"/>
    <n v="1.6377512668287661E-3"/>
    <n v="100008.2558"/>
    <n v="1.2235662152714154E-3"/>
    <n v="108012.43597536"/>
    <n v="9.5824761789879503E-4"/>
    <n v="85264.085800000001"/>
    <n v="1.0431764250495332E-3"/>
    <n v="76592.775191040011"/>
    <n v="6.795036489299712E-4"/>
    <n v="14744.17"/>
    <n v="1.803897902218823E-4"/>
    <m/>
    <n v="1"/>
    <s v="No"/>
    <m/>
  </r>
  <r>
    <x v="30"/>
    <s v="LITCHFIELD"/>
    <s v="No"/>
    <n v="538.43944320000003"/>
    <n v="4.7768417513225511E-6"/>
    <n v="1069.8900000000001"/>
    <n v="1.3089731918479622E-5"/>
    <n v="538.43944320000003"/>
    <n v="4.7768417513225511E-6"/>
    <n v="1069.8900000000001"/>
    <n v="1.3089731918479622E-5"/>
    <n v="0"/>
    <n v="0"/>
    <n v="0"/>
    <n v="0"/>
    <m/>
    <n v="1"/>
    <s v="No"/>
    <m/>
  </r>
  <r>
    <x v="307"/>
    <s v="LITCHFIELD"/>
    <s v="No"/>
    <n v="278.03027520000001"/>
    <n v="2.4665849493008667E-6"/>
    <n v="0"/>
    <n v="0"/>
    <n v="278.03027520000001"/>
    <n v="2.4665849493008667E-6"/>
    <n v="0"/>
    <n v="0"/>
    <n v="0"/>
    <n v="0"/>
    <n v="0"/>
    <n v="0"/>
    <m/>
    <n v="1"/>
    <s v="No"/>
    <m/>
  </r>
  <r>
    <x v="308"/>
    <s v="LYME"/>
    <s v="No"/>
    <n v="84478.104887040012"/>
    <n v="7.4945946771422993E-4"/>
    <n v="36851.571000000004"/>
    <n v="4.5086614994515136E-4"/>
    <n v="79093.234615680005"/>
    <n v="7.0168682872475394E-4"/>
    <n v="36851.571000000004"/>
    <n v="4.5086614994515136E-4"/>
    <n v="5384.8702713599996"/>
    <n v="4.7772638989475945E-5"/>
    <n v="0"/>
    <n v="0"/>
    <m/>
    <n v="1"/>
    <s v="No"/>
    <m/>
  </r>
  <r>
    <x v="241"/>
    <s v="MADISON"/>
    <s v="No"/>
    <n v="1231.9318943999999"/>
    <n v="1.0929258215152622E-5"/>
    <n v="957.25"/>
    <n v="1.1711620707703237E-5"/>
    <n v="1231.9318943999999"/>
    <n v="1.0929258215152622E-5"/>
    <n v="957.25"/>
    <n v="1.1711620707703237E-5"/>
    <n v="0"/>
    <n v="0"/>
    <n v="0"/>
    <n v="0"/>
    <m/>
    <n v="3"/>
    <s v="No"/>
    <m/>
  </r>
  <r>
    <x v="309"/>
    <s v="MADISON"/>
    <s v="No"/>
    <n v="147742.19007552002"/>
    <n v="1.3107157562423099E-3"/>
    <n v="34658.589500000002"/>
    <n v="4.240357842653288E-4"/>
    <n v="147620.49213312002"/>
    <n v="1.3096360957166034E-3"/>
    <n v="34658.589500000002"/>
    <n v="4.240357842653288E-4"/>
    <n v="121.6979424"/>
    <n v="1.0796605257063881E-6"/>
    <n v="0"/>
    <n v="0"/>
    <m/>
    <n v="1"/>
    <s v="No"/>
    <m/>
  </r>
  <r>
    <x v="243"/>
    <s v="MADISON"/>
    <s v="No"/>
    <n v="291931.58114208002"/>
    <n v="2.5899123530798104E-3"/>
    <n v="188699.47329999998"/>
    <n v="2.308672404317549E-3"/>
    <n v="189577.17501696001"/>
    <n v="1.6818607480478076E-3"/>
    <n v="170986.45329999999"/>
    <n v="2.0919597672551709E-3"/>
    <n v="102354.40612512"/>
    <n v="9.0805160503200269E-4"/>
    <n v="17713.02"/>
    <n v="2.1671263706237825E-4"/>
    <m/>
    <n v="3"/>
    <s v="No"/>
    <m/>
  </r>
  <r>
    <x v="310"/>
    <s v="MADISON"/>
    <s v="No"/>
    <n v="130404.20613695998"/>
    <n v="1.1568993770609093E-3"/>
    <n v="29098.8796"/>
    <n v="3.5601466794914942E-4"/>
    <n v="130324.01967935999"/>
    <n v="1.1561879915497034E-3"/>
    <n v="29098.8796"/>
    <n v="3.5601466794914942E-4"/>
    <n v="80.186457599999997"/>
    <n v="7.1138551120605468E-7"/>
    <n v="0"/>
    <n v="0"/>
    <m/>
    <n v="3"/>
    <s v="No"/>
    <m/>
  </r>
  <r>
    <x v="311"/>
    <s v="MANCHESTER"/>
    <s v="No"/>
    <n v="744.42231360000005"/>
    <n v="6.6042479486402706E-6"/>
    <n v="0"/>
    <n v="0"/>
    <n v="744.42231360000005"/>
    <n v="6.6042479486402706E-6"/>
    <n v="0"/>
    <n v="0"/>
    <n v="0"/>
    <n v="0"/>
    <n v="0"/>
    <n v="0"/>
    <m/>
    <n v="4"/>
    <s v="No"/>
    <m/>
  </r>
  <r>
    <x v="312"/>
    <s v="MANCHESTER"/>
    <s v="No"/>
    <n v="1016.2990943999999"/>
    <n v="9.0162413011744574E-6"/>
    <n v="304.04000000000002"/>
    <n v="3.7198236197128152E-6"/>
    <n v="1016.2990943999999"/>
    <n v="9.0162413011744574E-6"/>
    <n v="304.04000000000002"/>
    <n v="3.7198236197128152E-6"/>
    <n v="0"/>
    <n v="0"/>
    <n v="0"/>
    <n v="0"/>
    <m/>
    <n v="5"/>
    <s v="No"/>
    <m/>
  </r>
  <r>
    <x v="313"/>
    <s v="MANCHESTER"/>
    <s v="No"/>
    <n v="53717.175388800002"/>
    <n v="4.76559526611471E-4"/>
    <n v="17130.2068"/>
    <n v="2.095821203302364E-4"/>
    <n v="53717.175388800002"/>
    <n v="4.76559526611471E-4"/>
    <n v="17130.2068"/>
    <n v="2.095821203302364E-4"/>
    <n v="0"/>
    <n v="0"/>
    <n v="0"/>
    <n v="0"/>
    <m/>
    <n v="3"/>
    <s v="No"/>
    <m/>
  </r>
  <r>
    <x v="165"/>
    <s v="MANCHESTER"/>
    <s v="No"/>
    <n v="631648.48832064006"/>
    <n v="5.6037589914248835E-3"/>
    <n v="943389.83539999998"/>
    <n v="1.1542046415991004E-2"/>
    <n v="132904.43400960002"/>
    <n v="1.1790805026093418E-3"/>
    <n v="734509.85600000003"/>
    <n v="8.9864725406547125E-3"/>
    <n v="498744.05431103997"/>
    <n v="4.4246784888155415E-3"/>
    <n v="208879.97940000001"/>
    <n v="2.5555738753362924E-3"/>
    <m/>
    <n v="5"/>
    <s v="No"/>
    <m/>
  </r>
  <r>
    <x v="314"/>
    <s v="MANCHESTER"/>
    <s v="No"/>
    <n v="43657.98804864"/>
    <n v="3.8731802196745991E-4"/>
    <n v="17546.2"/>
    <n v="2.1467165240167413E-4"/>
    <n v="43657.86648384"/>
    <n v="3.8731694348812586E-4"/>
    <n v="17546.2"/>
    <n v="2.1467165240167413E-4"/>
    <n v="0.1215648"/>
    <n v="1.0784793340548043E-9"/>
    <n v="0"/>
    <n v="0"/>
    <m/>
    <n v="5"/>
    <s v="No"/>
    <m/>
  </r>
  <r>
    <x v="315"/>
    <s v="MANCHESTER"/>
    <s v="No"/>
    <n v="59959.54349856"/>
    <n v="5.3193957907681389E-4"/>
    <n v="23289.680899999999"/>
    <n v="2.8494114296603873E-4"/>
    <n v="59959.54349856"/>
    <n v="5.3193957907681389E-4"/>
    <n v="23289.680899999999"/>
    <n v="2.8494114296603873E-4"/>
    <n v="0"/>
    <n v="0"/>
    <n v="0"/>
    <n v="0"/>
    <m/>
    <n v="3"/>
    <s v="No"/>
    <m/>
  </r>
  <r>
    <x v="316"/>
    <s v="MANCHESTER"/>
    <s v="No"/>
    <n v="56814.210017279998"/>
    <n v="5.0403530778881658E-4"/>
    <n v="19789.490000000002"/>
    <n v="2.4211752507588002E-4"/>
    <n v="56749.340724479996"/>
    <n v="5.0345981067370139E-4"/>
    <n v="19789.490000000002"/>
    <n v="2.4211752507588002E-4"/>
    <n v="64.869292800000011"/>
    <n v="5.7549711511514953E-7"/>
    <n v="0"/>
    <n v="0"/>
    <m/>
    <n v="4"/>
    <s v="No"/>
    <m/>
  </r>
  <r>
    <x v="317"/>
    <s v="MANCHESTER"/>
    <s v="No"/>
    <n v="54927.830548799997"/>
    <n v="4.8730002526508459E-4"/>
    <n v="25536.752199999999"/>
    <n v="3.1243327853017097E-4"/>
    <n v="54927.830548799997"/>
    <n v="4.8730002526508459E-4"/>
    <n v="25536.752199999999"/>
    <n v="3.1243327853017097E-4"/>
    <n v="0"/>
    <n v="0"/>
    <n v="0"/>
    <n v="0"/>
    <m/>
    <n v="5"/>
    <s v="No"/>
    <m/>
  </r>
  <r>
    <x v="318"/>
    <s v="MANCHESTER"/>
    <s v="No"/>
    <n v="65624.928019200001"/>
    <n v="5.8220083994331656E-4"/>
    <n v="48251.67"/>
    <n v="5.9034239493681176E-4"/>
    <n v="65624.928019200001"/>
    <n v="5.8220083994331656E-4"/>
    <n v="48251.67"/>
    <n v="5.9034239493681176E-4"/>
    <n v="0"/>
    <n v="0"/>
    <n v="0"/>
    <n v="0"/>
    <m/>
    <n v="5"/>
    <s v="No"/>
    <m/>
  </r>
  <r>
    <x v="319"/>
    <s v="MANCHESTER"/>
    <s v="No"/>
    <n v="61058.657744640004"/>
    <n v="5.416905267208894E-4"/>
    <n v="8211.23"/>
    <n v="1.0046154223422726E-4"/>
    <n v="61058.657744640004"/>
    <n v="5.416905267208894E-4"/>
    <n v="8211.23"/>
    <n v="1.0046154223422726E-4"/>
    <n v="0"/>
    <n v="0"/>
    <n v="0"/>
    <n v="0"/>
    <m/>
    <n v="5"/>
    <s v="No"/>
    <m/>
  </r>
  <r>
    <x v="320"/>
    <s v="MANCHESTER"/>
    <s v="No"/>
    <n v="42600.301349760004"/>
    <n v="3.7793460467358271E-4"/>
    <n v="8567.1447000000007"/>
    <n v="1.0481603476041791E-4"/>
    <n v="42600.301349760004"/>
    <n v="3.7793460467358271E-4"/>
    <n v="8567.1447000000007"/>
    <n v="1.0481603476041791E-4"/>
    <n v="0"/>
    <n v="0"/>
    <n v="0"/>
    <n v="0"/>
    <m/>
    <n v="5"/>
    <s v="Yes"/>
    <m/>
  </r>
  <r>
    <x v="41"/>
    <s v="MANCHESTER"/>
    <s v="No"/>
    <n v="46407.520434240003"/>
    <n v="4.1171088779855584E-4"/>
    <n v="37234.143300000003"/>
    <n v="4.5554678893274463E-4"/>
    <n v="46407.520434240003"/>
    <n v="4.1171088779855584E-4"/>
    <n v="37234.143300000003"/>
    <n v="4.5554678893274463E-4"/>
    <n v="0"/>
    <n v="0"/>
    <n v="0"/>
    <n v="0"/>
    <m/>
    <n v="3"/>
    <s v="No"/>
    <m/>
  </r>
  <r>
    <x v="321"/>
    <s v="MANCHESTER"/>
    <s v="No"/>
    <n v="54351.689230079995"/>
    <n v="4.8218870598734463E-4"/>
    <n v="14280.3079"/>
    <n v="1.7471459881328611E-4"/>
    <n v="54351.689230079995"/>
    <n v="4.8218870598734463E-4"/>
    <n v="14280.3079"/>
    <n v="1.7471459881328611E-4"/>
    <n v="0"/>
    <n v="0"/>
    <n v="0"/>
    <n v="0"/>
    <m/>
    <n v="4"/>
    <s v="No"/>
    <m/>
  </r>
  <r>
    <x v="322"/>
    <s v="MANCHESTER"/>
    <s v="No"/>
    <n v="38263.875379200006"/>
    <n v="3.3946338773490058E-4"/>
    <n v="5126.2425000000003"/>
    <n v="6.2717793487290064E-5"/>
    <n v="38263.875379200006"/>
    <n v="3.3946338773490058E-4"/>
    <n v="5126.2425000000003"/>
    <n v="6.2717793487290064E-5"/>
    <n v="0"/>
    <n v="0"/>
    <n v="0"/>
    <n v="0"/>
    <m/>
    <n v="3"/>
    <s v="No"/>
    <m/>
  </r>
  <r>
    <x v="323"/>
    <s v="MANCHESTER"/>
    <s v="No"/>
    <n v="77689.852358400007"/>
    <n v="6.8923652434177743E-4"/>
    <n v="17970.6512"/>
    <n v="2.1986466516044087E-4"/>
    <n v="77689.852358400007"/>
    <n v="6.8923652434177743E-4"/>
    <n v="17970.6512"/>
    <n v="2.1986466516044087E-4"/>
    <n v="0"/>
    <n v="0"/>
    <n v="0"/>
    <n v="0"/>
    <m/>
    <n v="5"/>
    <s v="No"/>
    <m/>
  </r>
  <r>
    <x v="324"/>
    <s v="MANCHESTER"/>
    <s v="No"/>
    <n v="65201.310581760001"/>
    <n v="5.7844265787231986E-4"/>
    <n v="11137.36"/>
    <n v="1.3626172473768161E-4"/>
    <n v="65201.310581760001"/>
    <n v="5.7844265787231986E-4"/>
    <n v="11137.36"/>
    <n v="1.3626172473768161E-4"/>
    <n v="0"/>
    <n v="0"/>
    <n v="0"/>
    <n v="0"/>
    <m/>
    <n v="4"/>
    <s v="No"/>
    <m/>
  </r>
  <r>
    <x v="201"/>
    <s v="MANCHESTER"/>
    <s v="No"/>
    <n v="138.59544959999999"/>
    <n v="1.2295691531400059E-6"/>
    <n v="0"/>
    <n v="0"/>
    <n v="138.59544959999999"/>
    <n v="1.2295691531400059E-6"/>
    <n v="0"/>
    <n v="0"/>
    <n v="0"/>
    <n v="0"/>
    <n v="0"/>
    <n v="0"/>
    <m/>
    <n v="4"/>
    <s v="No"/>
    <m/>
  </r>
  <r>
    <x v="325"/>
    <s v="MANCHESTER"/>
    <s v="No"/>
    <n v="26.200108799999999"/>
    <n v="2.3243797456819258E-7"/>
    <n v="0"/>
    <n v="0"/>
    <n v="26.200108799999999"/>
    <n v="2.3243797456819258E-7"/>
    <n v="0"/>
    <n v="0"/>
    <n v="0"/>
    <n v="0"/>
    <n v="0"/>
    <n v="0"/>
    <m/>
    <n v="4"/>
    <s v="No"/>
    <m/>
  </r>
  <r>
    <x v="326"/>
    <s v="MANSFIELD"/>
    <s v="No"/>
    <n v="135.83419199999997"/>
    <n v="1.2050722654093323E-6"/>
    <n v="0"/>
    <n v="0"/>
    <n v="135.83419199999997"/>
    <n v="1.2050722654093323E-6"/>
    <n v="0"/>
    <n v="0"/>
    <n v="0"/>
    <n v="0"/>
    <n v="0"/>
    <n v="0"/>
    <m/>
    <n v="4"/>
    <s v="No"/>
    <m/>
  </r>
  <r>
    <x v="87"/>
    <s v="MANSFIELD"/>
    <s v="No"/>
    <n v="88638.925294079992"/>
    <n v="7.8637277503432689E-4"/>
    <n v="31198.000400000001"/>
    <n v="3.8169668062008243E-4"/>
    <n v="88594.930414079994"/>
    <n v="7.8598246822771654E-4"/>
    <n v="31198.000400000001"/>
    <n v="3.8169668062008243E-4"/>
    <n v="43.994880000000002"/>
    <n v="3.9030680661031012E-7"/>
    <n v="0"/>
    <n v="0"/>
    <m/>
    <n v="4"/>
    <s v="No"/>
    <m/>
  </r>
  <r>
    <x v="327"/>
    <s v="MANSFIELD"/>
    <s v="No"/>
    <n v="5767.4219616000009"/>
    <n v="5.1166500470197149E-5"/>
    <n v="154"/>
    <n v="1.8841364209833361E-6"/>
    <n v="5767.4219616000009"/>
    <n v="5.1166500470197149E-5"/>
    <n v="154"/>
    <n v="1.8841364209833361E-6"/>
    <n v="0"/>
    <n v="0"/>
    <n v="0"/>
    <n v="0"/>
    <m/>
    <n v="5"/>
    <s v="No"/>
    <m/>
  </r>
  <r>
    <x v="328"/>
    <s v="MANSFIELD"/>
    <s v="No"/>
    <n v="61596.592404479998"/>
    <n v="5.4646289021516759E-4"/>
    <n v="16521.36"/>
    <n v="2.0213309155959255E-4"/>
    <n v="61596.592404479998"/>
    <n v="5.4646289021516759E-4"/>
    <n v="16521.36"/>
    <n v="2.0213309155959255E-4"/>
    <n v="0"/>
    <n v="0"/>
    <n v="0"/>
    <n v="0"/>
    <m/>
    <n v="4"/>
    <s v="No"/>
    <m/>
  </r>
  <r>
    <x v="329"/>
    <s v="MANSFIELD"/>
    <s v="No"/>
    <n v="206961.85025856001"/>
    <n v="1.8360913557345705E-3"/>
    <n v="189906.91070000012"/>
    <n v="2.3234449808201313E-3"/>
    <n v="102936.9654864"/>
    <n v="9.132198628829649E-4"/>
    <n v="73029.014800000106"/>
    <n v="8.9348458813773562E-4"/>
    <n v="104024.88477216"/>
    <n v="9.2287149285160569E-4"/>
    <n v="116877.8959"/>
    <n v="1.4299603926823958E-3"/>
    <m/>
    <n v="4"/>
    <s v="No"/>
    <m/>
  </r>
  <r>
    <x v="88"/>
    <s v="MANSFIELD"/>
    <s v="No"/>
    <n v="297.9263808"/>
    <n v="2.643096066974503E-6"/>
    <n v="0"/>
    <n v="0"/>
    <n v="297.9263808"/>
    <n v="2.643096066974503E-6"/>
    <n v="0"/>
    <n v="0"/>
    <n v="0"/>
    <n v="0"/>
    <n v="0"/>
    <n v="0"/>
    <m/>
    <n v="5"/>
    <s v="No"/>
    <m/>
  </r>
  <r>
    <x v="330"/>
    <s v="MARLBOROUGH"/>
    <s v="No"/>
    <n v="159114.29809535999"/>
    <n v="1.4116050225762842E-3"/>
    <n v="48667.315399999999"/>
    <n v="5.9542767179625452E-4"/>
    <n v="136171.01564351999"/>
    <n v="1.2080604440495091E-3"/>
    <n v="32944.274400000002"/>
    <n v="4.0306173545395422E-4"/>
    <n v="22943.282451840001"/>
    <n v="2.0354457852677488E-4"/>
    <n v="15723.040999999999"/>
    <n v="1.9236593634230033E-4"/>
    <m/>
    <n v="1"/>
    <s v="No"/>
    <m/>
  </r>
  <r>
    <x v="108"/>
    <s v="MARLBOROUGH"/>
    <s v="No"/>
    <n v="514.10911680000004"/>
    <n v="4.5609918160352967E-6"/>
    <n v="0"/>
    <n v="0"/>
    <n v="514.10911680000004"/>
    <n v="4.5609918160352967E-6"/>
    <n v="0"/>
    <n v="0"/>
    <n v="0"/>
    <n v="0"/>
    <n v="0"/>
    <n v="0"/>
    <m/>
    <n v="2"/>
    <s v="No"/>
    <m/>
  </r>
  <r>
    <x v="42"/>
    <s v="MARLBOROUGH"/>
    <s v="No"/>
    <n v="656.1315360000001"/>
    <n v="5.8209638151638962E-6"/>
    <n v="0"/>
    <n v="0"/>
    <n v="656.1315360000001"/>
    <n v="5.8209638151638962E-6"/>
    <n v="0"/>
    <n v="0"/>
    <n v="0"/>
    <n v="0"/>
    <n v="0"/>
    <n v="0"/>
    <m/>
    <n v="1"/>
    <s v="No"/>
    <m/>
  </r>
  <r>
    <x v="331"/>
    <s v="MERIDEN"/>
    <s v="No"/>
    <n v="2211.6110400000002"/>
    <n v="1.9620620455982763E-5"/>
    <n v="176.8"/>
    <n v="2.1630864885055446E-6"/>
    <n v="2211.6110400000002"/>
    <n v="1.9620620455982763E-5"/>
    <n v="176.8"/>
    <n v="2.1630864885055446E-6"/>
    <n v="0"/>
    <n v="0"/>
    <n v="0"/>
    <n v="0"/>
    <m/>
    <n v="1"/>
    <s v="No"/>
    <m/>
  </r>
  <r>
    <x v="332"/>
    <s v="MERIDEN"/>
    <s v="Yes"/>
    <n v="15409.842909120001"/>
    <n v="1.3671060305710936E-4"/>
    <n v="24.64"/>
    <n v="3.0146182735733378E-7"/>
    <n v="15409.842909120001"/>
    <n v="1.3671060305710936E-4"/>
    <n v="24.64"/>
    <n v="3.0146182735733378E-7"/>
    <n v="0"/>
    <n v="0"/>
    <n v="0"/>
    <n v="0"/>
    <m/>
    <n v="5"/>
    <e v="#N/A"/>
    <m/>
  </r>
  <r>
    <x v="333"/>
    <s v="MERIDEN"/>
    <s v="No"/>
    <n v="27634.187327039999"/>
    <n v="2.4516060525424968E-4"/>
    <n v="10720.27"/>
    <n v="1.3115877369983785E-4"/>
    <n v="27634.187327039999"/>
    <n v="2.4516060525424968E-4"/>
    <n v="10720.27"/>
    <n v="1.3115877369983785E-4"/>
    <n v="0"/>
    <n v="0"/>
    <n v="0"/>
    <n v="0"/>
    <m/>
    <n v="5"/>
    <s v="No"/>
    <m/>
  </r>
  <r>
    <x v="334"/>
    <s v="MERIDEN"/>
    <s v="No"/>
    <n v="26998.412106239997"/>
    <n v="2.3952023537138117E-4"/>
    <n v="10029.17"/>
    <n v="1.2270340564437301E-4"/>
    <n v="26998.412106239997"/>
    <n v="2.3952023537138117E-4"/>
    <n v="10029.17"/>
    <n v="1.2270340564437301E-4"/>
    <n v="0"/>
    <n v="0"/>
    <n v="0"/>
    <n v="0"/>
    <m/>
    <n v="4"/>
    <s v="No"/>
    <m/>
  </r>
  <r>
    <x v="335"/>
    <s v="MERIDEN"/>
    <s v="No"/>
    <n v="25467.548316479999"/>
    <n v="2.2593896052447668E-4"/>
    <n v="90980.7"/>
    <n v="1.1131172108867441E-3"/>
    <n v="25467.548316479999"/>
    <n v="2.2593896052447668E-4"/>
    <n v="90980.7"/>
    <n v="1.1131172108867441E-3"/>
    <n v="0"/>
    <n v="0"/>
    <n v="0"/>
    <n v="0"/>
    <m/>
    <n v="5"/>
    <s v="No"/>
    <m/>
  </r>
  <r>
    <x v="336"/>
    <s v="MERIDEN"/>
    <s v="No"/>
    <n v="96969.884918399999"/>
    <n v="8.6028206281890023E-4"/>
    <n v="50845.675799999997"/>
    <n v="6.2207915340448713E-4"/>
    <n v="96969.884918399999"/>
    <n v="8.6028206281890023E-4"/>
    <n v="50845.675799999997"/>
    <n v="6.2207915340448713E-4"/>
    <n v="0"/>
    <n v="0"/>
    <n v="0"/>
    <n v="0"/>
    <m/>
    <n v="4"/>
    <s v="No"/>
    <m/>
  </r>
  <r>
    <x v="337"/>
    <s v="MERIDEN"/>
    <s v="No"/>
    <n v="38795.349159359997"/>
    <n v="3.4417843262038174E-4"/>
    <n v="5765.8999000000003"/>
    <n v="7.0543779229442709E-5"/>
    <n v="38795.349159359997"/>
    <n v="3.4417843262038174E-4"/>
    <n v="5765.8999000000003"/>
    <n v="7.0543779229442709E-5"/>
    <n v="0"/>
    <n v="0"/>
    <n v="0"/>
    <n v="0"/>
    <m/>
    <n v="3"/>
    <s v="No"/>
    <m/>
  </r>
  <r>
    <x v="338"/>
    <s v="MERIDEN"/>
    <s v="No"/>
    <n v="41239.000774079999"/>
    <n v="3.6585763388674483E-4"/>
    <n v="16580.21"/>
    <n v="2.02853100834754E-4"/>
    <n v="41239.000774079999"/>
    <n v="3.6585763388674483E-4"/>
    <n v="16580.21"/>
    <n v="2.02853100834754E-4"/>
    <n v="0"/>
    <n v="0"/>
    <n v="0"/>
    <n v="0"/>
    <m/>
    <n v="4"/>
    <s v="No"/>
    <m/>
  </r>
  <r>
    <x v="339"/>
    <s v="MERIDEN"/>
    <s v="No"/>
    <n v="78850.006606080002"/>
    <n v="6.9952899700194535E-4"/>
    <n v="25700.38"/>
    <n v="3.1443520773449167E-4"/>
    <n v="78850.006606080002"/>
    <n v="6.9952899700194535E-4"/>
    <n v="25700.38"/>
    <n v="3.1443520773449167E-4"/>
    <n v="0"/>
    <n v="0"/>
    <n v="0"/>
    <n v="0"/>
    <m/>
    <n v="3"/>
    <s v="No"/>
    <m/>
  </r>
  <r>
    <x v="340"/>
    <s v="MERIDEN"/>
    <s v="No"/>
    <n v="25729.242598079996"/>
    <n v="2.2826061839374405E-4"/>
    <n v="4202.71"/>
    <n v="5.1418694661239462E-5"/>
    <n v="25729.242598079996"/>
    <n v="2.2826061839374405E-4"/>
    <n v="4202.71"/>
    <n v="5.1418694661239462E-5"/>
    <n v="0"/>
    <n v="0"/>
    <n v="0"/>
    <n v="0"/>
    <m/>
    <n v="4"/>
    <s v="No"/>
    <m/>
  </r>
  <r>
    <x v="341"/>
    <s v="MERIDEN"/>
    <s v="No"/>
    <n v="21095.331353280002"/>
    <n v="1.8715021872738532E-4"/>
    <n v="11921.13"/>
    <n v="1.4585087800179919E-4"/>
    <n v="21095.331353280002"/>
    <n v="1.8715021872738532E-4"/>
    <n v="11921.13"/>
    <n v="1.4585087800179919E-4"/>
    <n v="0"/>
    <n v="0"/>
    <n v="0"/>
    <n v="0"/>
    <m/>
    <n v="5"/>
    <s v="No"/>
    <m/>
  </r>
  <r>
    <x v="342"/>
    <s v="MERIDEN"/>
    <s v="No"/>
    <n v="86641.140948479995"/>
    <n v="7.6864914837078782E-4"/>
    <n v="71986.295199999993"/>
    <n v="8.8072727661024609E-4"/>
    <n v="86641.140948479995"/>
    <n v="7.6864914837078782E-4"/>
    <n v="71986.295199999993"/>
    <n v="8.8072727661024609E-4"/>
    <n v="0"/>
    <n v="0"/>
    <n v="0"/>
    <n v="0"/>
    <m/>
    <n v="3"/>
    <s v="No"/>
    <m/>
  </r>
  <r>
    <x v="343"/>
    <s v="MERIDEN"/>
    <s v="No"/>
    <n v="506628.12262752"/>
    <n v="4.4946231170928056E-3"/>
    <n v="578343.46900000004"/>
    <n v="7.0758311284464092E-3"/>
    <n v="174906.90572255998"/>
    <n v="1.5517113770207572E-3"/>
    <n v="483872.49900000001"/>
    <n v="5.9200116784293693E-3"/>
    <n v="331721.21690495999"/>
    <n v="2.9429117400720482E-3"/>
    <n v="94470.97"/>
    <n v="1.1558194500170397E-3"/>
    <m/>
    <n v="3"/>
    <s v="No"/>
    <m/>
  </r>
  <r>
    <x v="344"/>
    <s v="MERIDEN"/>
    <s v="No"/>
    <n v="72013.899225600006"/>
    <n v="6.3888150253621837E-4"/>
    <n v="39596.46"/>
    <n v="4.8444891187019367E-4"/>
    <n v="72013.899225600006"/>
    <n v="6.3888150253621837E-4"/>
    <n v="39596.46"/>
    <n v="4.8444891187019367E-4"/>
    <n v="0"/>
    <n v="0"/>
    <n v="0"/>
    <n v="0"/>
    <m/>
    <n v="2"/>
    <s v="No"/>
    <m/>
  </r>
  <r>
    <x v="345"/>
    <s v="MERIDEN"/>
    <s v="No"/>
    <n v="25513.065071999998"/>
    <n v="2.2634276886522616E-4"/>
    <n v="677.99"/>
    <n v="8.2949717666395595E-6"/>
    <n v="25513.065071999998"/>
    <n v="2.2634276886522616E-4"/>
    <n v="677.99"/>
    <n v="8.2949717666395595E-6"/>
    <n v="0"/>
    <n v="0"/>
    <n v="0"/>
    <n v="0"/>
    <m/>
    <n v="5"/>
    <s v="No"/>
    <m/>
  </r>
  <r>
    <x v="346"/>
    <s v="MERIDEN"/>
    <s v="No"/>
    <n v="39338.779705920009"/>
    <n v="3.4899955365179114E-4"/>
    <n v="134145.59239999999"/>
    <n v="1.6412246516573079E-3"/>
    <n v="39338.779705920009"/>
    <n v="3.4899955365179114E-4"/>
    <n v="134145.59239999999"/>
    <n v="1.6412246516573079E-3"/>
    <n v="0"/>
    <n v="0"/>
    <n v="0"/>
    <n v="0"/>
    <m/>
    <n v="5"/>
    <s v="No"/>
    <m/>
  </r>
  <r>
    <x v="20"/>
    <s v="MERIDEN"/>
    <s v="No"/>
    <n v="74736.719772479992"/>
    <n v="6.6303739050831113E-4"/>
    <n v="22467.59"/>
    <n v="2.7488314682286362E-4"/>
    <n v="74736.719772479992"/>
    <n v="6.6303739050831113E-4"/>
    <n v="22467.59"/>
    <n v="2.7488314682286362E-4"/>
    <n v="0"/>
    <n v="0"/>
    <n v="0"/>
    <n v="0"/>
    <m/>
    <n v="3"/>
    <s v="No"/>
    <m/>
  </r>
  <r>
    <x v="347"/>
    <s v="MERIDEN"/>
    <s v="No"/>
    <n v="71849.104246079994"/>
    <n v="6.3741950054412597E-4"/>
    <n v="40708.639999999999"/>
    <n v="4.9805604722531868E-4"/>
    <n v="71849.104246079994"/>
    <n v="6.3741950054412597E-4"/>
    <n v="40708.639999999999"/>
    <n v="4.9805604722531868E-4"/>
    <n v="0"/>
    <n v="0"/>
    <n v="0"/>
    <n v="0"/>
    <m/>
    <n v="2"/>
    <s v="No"/>
    <m/>
  </r>
  <r>
    <x v="348"/>
    <s v="MERIDEN"/>
    <s v="No"/>
    <n v="95.069462399999992"/>
    <n v="8.4342219538962138E-7"/>
    <n v="0"/>
    <n v="0"/>
    <n v="95.069462399999992"/>
    <n v="8.4342219538962138E-7"/>
    <n v="0"/>
    <n v="0"/>
    <n v="0"/>
    <n v="0"/>
    <n v="0"/>
    <n v="0"/>
    <m/>
    <n v="4"/>
    <s v="No"/>
    <m/>
  </r>
  <r>
    <x v="349"/>
    <s v="MERIDEN"/>
    <s v="No"/>
    <n v="292.10284799999999"/>
    <n v="2.5914317712574011E-6"/>
    <n v="264.70999999999998"/>
    <n v="3.2386347532370057E-6"/>
    <n v="292.10284799999999"/>
    <n v="2.5914317712574011E-6"/>
    <n v="264.70999999999998"/>
    <n v="3.2386347532370057E-6"/>
    <n v="0"/>
    <n v="0"/>
    <n v="0"/>
    <n v="0"/>
    <m/>
    <n v="2"/>
    <s v="No"/>
    <m/>
  </r>
  <r>
    <x v="90"/>
    <s v="MERIDEN"/>
    <s v="No"/>
    <n v="718.03117440000005"/>
    <n v="6.3701152208328485E-6"/>
    <n v="0"/>
    <n v="0"/>
    <n v="718.03117440000005"/>
    <n v="6.3701152208328485E-6"/>
    <n v="0"/>
    <n v="0"/>
    <n v="0"/>
    <n v="0"/>
    <n v="0"/>
    <n v="0"/>
    <m/>
    <n v="4"/>
    <s v="No"/>
    <m/>
  </r>
  <r>
    <x v="350"/>
    <s v="MIDDLEBURY"/>
    <s v="No"/>
    <n v="166541.10562656002"/>
    <n v="1.477492997059044E-3"/>
    <n v="51741.262999999999"/>
    <n v="6.3303635120764621E-4"/>
    <n v="107042.58100224001"/>
    <n v="9.4964341219500427E-4"/>
    <n v="48404.012999999999"/>
    <n v="5.9220625853929139E-4"/>
    <n v="59498.524624320002"/>
    <n v="5.2784958486403963E-4"/>
    <n v="3337.25"/>
    <n v="4.0830092668354795E-5"/>
    <m/>
    <n v="2"/>
    <s v="No"/>
    <m/>
  </r>
  <r>
    <x v="351"/>
    <s v="MIDDLEBURY"/>
    <s v="No"/>
    <n v="66473.724133440017"/>
    <n v="5.8973105484132877E-4"/>
    <n v="18638.996200000001"/>
    <n v="2.2804163370772731E-4"/>
    <n v="66473.724133440017"/>
    <n v="5.8973105484132877E-4"/>
    <n v="18638.996200000001"/>
    <n v="2.2804163370772731E-4"/>
    <n v="0"/>
    <n v="0"/>
    <n v="0"/>
    <n v="0"/>
    <m/>
    <n v="3"/>
    <s v="No"/>
    <m/>
  </r>
  <r>
    <x v="352"/>
    <s v="MIDDLEBURY"/>
    <s v="No"/>
    <n v="381.09985920000003"/>
    <n v="3.3809813561030471E-6"/>
    <n v="0"/>
    <n v="0"/>
    <n v="381.09985920000003"/>
    <n v="3.3809813561030471E-6"/>
    <n v="0"/>
    <n v="0"/>
    <n v="0"/>
    <n v="0"/>
    <n v="0"/>
    <n v="0"/>
    <m/>
    <n v="4"/>
    <s v="No"/>
    <m/>
  </r>
  <r>
    <x v="353"/>
    <s v="MIDDLEFIELD"/>
    <s v="No"/>
    <n v="124991.71460640003"/>
    <n v="1.1088816921598888E-3"/>
    <n v="131187.26260000002"/>
    <n v="1.6050305158036694E-3"/>
    <n v="98224.217153280013"/>
    <n v="8.714100488260081E-4"/>
    <n v="53267.192600000002"/>
    <n v="6.5170556896879258E-4"/>
    <n v="26767.497453120006"/>
    <n v="2.3747164333388064E-4"/>
    <n v="77920.070000000007"/>
    <n v="9.5332494683487686E-4"/>
    <m/>
    <n v="1"/>
    <s v="No"/>
    <m/>
  </r>
  <r>
    <x v="141"/>
    <s v="MIDDLEFIELD"/>
    <s v="No"/>
    <n v="395.59501440000003"/>
    <n v="3.5095771776493913E-6"/>
    <n v="0"/>
    <n v="0"/>
    <n v="395.59501440000003"/>
    <n v="3.5095771776493913E-6"/>
    <n v="0"/>
    <n v="0"/>
    <n v="0"/>
    <n v="0"/>
    <n v="0"/>
    <n v="0"/>
    <m/>
    <n v="1"/>
    <s v="No"/>
    <m/>
  </r>
  <r>
    <x v="354"/>
    <s v="MIDDLETOWN"/>
    <s v="No"/>
    <n v="32800.354997759998"/>
    <n v="2.9099299315875463E-4"/>
    <n v="3801.79"/>
    <n v="4.6513577947598945E-5"/>
    <n v="32734.81420416"/>
    <n v="2.9041153872922282E-4"/>
    <n v="3801.79"/>
    <n v="4.6513577947598945E-5"/>
    <n v="65.540793600000001"/>
    <n v="5.8145442953183307E-7"/>
    <n v="0"/>
    <n v="0"/>
    <m/>
    <n v="4"/>
    <s v="Yes"/>
    <m/>
  </r>
  <r>
    <x v="355"/>
    <s v="MIDDLETOWN"/>
    <s v="No"/>
    <n v="93768.011069760003"/>
    <n v="8.3187618565701824E-4"/>
    <n v="34895.177799999998"/>
    <n v="4.2693035980304652E-4"/>
    <n v="93768.011069760003"/>
    <n v="8.3187618565701824E-4"/>
    <n v="34895.177799999998"/>
    <n v="4.2693035980304652E-4"/>
    <n v="0"/>
    <n v="0"/>
    <n v="0"/>
    <n v="0"/>
    <m/>
    <n v="4"/>
    <s v="No"/>
    <m/>
  </r>
  <r>
    <x v="356"/>
    <s v="MIDDLETOWN"/>
    <s v="No"/>
    <n v="500137.82079263998"/>
    <n v="4.4370434854831943E-3"/>
    <n v="452025.68660000002"/>
    <n v="5.5303770087211639E-3"/>
    <n v="160261.96821695997"/>
    <n v="1.4217867405444601E-3"/>
    <n v="356256.52659999998"/>
    <n v="4.3586746557147966E-3"/>
    <n v="339875.85257568001"/>
    <n v="3.015256744938734E-3"/>
    <n v="95769.16"/>
    <n v="1.1717023530063667E-3"/>
    <m/>
    <n v="4"/>
    <s v="No"/>
    <m/>
  </r>
  <r>
    <x v="357"/>
    <s v="MIDDLETOWN"/>
    <s v="No"/>
    <n v="69125.694399359985"/>
    <n v="6.1325838451507071E-4"/>
    <n v="17537.349699999999"/>
    <n v="2.1456337206033236E-4"/>
    <n v="69095.818402559991"/>
    <n v="6.1299333537968717E-4"/>
    <n v="17537.349699999999"/>
    <n v="2.1456337206033236E-4"/>
    <n v="29.875996800000003"/>
    <n v="2.6504913538365933E-7"/>
    <n v="0"/>
    <n v="0"/>
    <m/>
    <n v="2"/>
    <s v="No"/>
    <m/>
  </r>
  <r>
    <x v="358"/>
    <s v="MIDDLETOWN"/>
    <s v="No"/>
    <n v="112928.96280384"/>
    <n v="1.0018652817278121E-3"/>
    <n v="285103.42810000002"/>
    <n v="3.4881412508468439E-3"/>
    <n v="112928.96280384"/>
    <n v="1.0018652817278121E-3"/>
    <n v="285103.42810000002"/>
    <n v="3.4881412508468439E-3"/>
    <n v="0"/>
    <n v="0"/>
    <n v="0"/>
    <n v="0"/>
    <m/>
    <n v="2"/>
    <s v="No"/>
    <m/>
  </r>
  <r>
    <x v="359"/>
    <s v="MIDDLETOWN"/>
    <s v="No"/>
    <n v="21092.82943392"/>
    <n v="1.8712802259556726E-4"/>
    <n v="7092.3125"/>
    <n v="8.6771975910684268E-5"/>
    <n v="21092.82943392"/>
    <n v="1.8712802259556726E-4"/>
    <n v="7092.3125"/>
    <n v="8.6771975910684268E-5"/>
    <n v="0"/>
    <n v="0"/>
    <n v="0"/>
    <n v="0"/>
    <m/>
    <n v="5"/>
    <s v="No"/>
    <m/>
  </r>
  <r>
    <x v="360"/>
    <s v="MIDDLETOWN"/>
    <s v="No"/>
    <n v="15013.82183904"/>
    <n v="1.3319724606617489E-4"/>
    <n v="37706.81"/>
    <n v="4.6132970155908222E-4"/>
    <n v="15013.82183904"/>
    <n v="1.3319724606617489E-4"/>
    <n v="37706.81"/>
    <n v="4.6132970155908222E-4"/>
    <n v="0"/>
    <n v="0"/>
    <n v="0"/>
    <n v="0"/>
    <m/>
    <n v="5"/>
    <s v="Yes"/>
    <m/>
  </r>
  <r>
    <x v="361"/>
    <s v="MIDDLETOWN"/>
    <s v="No"/>
    <n v="36521.771909760006"/>
    <n v="3.2400807016290433E-4"/>
    <n v="4608.43"/>
    <n v="5.6382537704884649E-5"/>
    <n v="36521.771909760006"/>
    <n v="3.2400807016290433E-4"/>
    <n v="4608.43"/>
    <n v="5.6382537704884649E-5"/>
    <n v="0"/>
    <n v="0"/>
    <n v="0"/>
    <n v="0"/>
    <m/>
    <n v="4"/>
    <s v="Yes"/>
    <m/>
  </r>
  <r>
    <x v="362"/>
    <s v="MIDDLETOWN"/>
    <s v="No"/>
    <n v="71103.73662144001"/>
    <n v="6.3080686613475954E-4"/>
    <n v="22533.360000000001"/>
    <n v="2.7568781989044849E-4"/>
    <n v="71103.73662144001"/>
    <n v="6.3080686613475954E-4"/>
    <n v="22533.360000000001"/>
    <n v="2.7568781989044849E-4"/>
    <n v="0"/>
    <n v="0"/>
    <n v="0"/>
    <n v="0"/>
    <m/>
    <n v="2"/>
    <s v="No"/>
    <m/>
  </r>
  <r>
    <x v="363"/>
    <s v="MIDDLETOWN"/>
    <s v="No"/>
    <n v="59097.286108800006"/>
    <n v="5.2428994056721075E-4"/>
    <n v="30046.16"/>
    <n v="3.6760431406943295E-4"/>
    <n v="59097.286108800006"/>
    <n v="5.2428994056721075E-4"/>
    <n v="30046.16"/>
    <n v="3.6760431406943295E-4"/>
    <n v="0"/>
    <n v="0"/>
    <n v="0"/>
    <n v="0"/>
    <m/>
    <n v="4"/>
    <s v="No"/>
    <m/>
  </r>
  <r>
    <x v="364"/>
    <s v="MIDDLETOWN"/>
    <s v="No"/>
    <n v="46529.618961600005"/>
    <n v="4.1279410217044877E-4"/>
    <n v="11053.972100000001"/>
    <n v="1.3524150279314062E-4"/>
    <n v="46529.618961600005"/>
    <n v="4.1279410217044877E-4"/>
    <n v="11053.972100000001"/>
    <n v="1.3524150279314062E-4"/>
    <n v="0"/>
    <n v="0"/>
    <n v="0"/>
    <n v="0"/>
    <m/>
    <n v="3"/>
    <s v="No"/>
    <m/>
  </r>
  <r>
    <x v="353"/>
    <s v="MIDDLETOWN"/>
    <s v="No"/>
    <n v="289.41684480000004"/>
    <n v="2.5676025135906669E-6"/>
    <n v="0"/>
    <n v="0"/>
    <n v="289.41684480000004"/>
    <n v="2.5676025135906669E-6"/>
    <n v="0"/>
    <n v="0"/>
    <n v="0"/>
    <n v="0"/>
    <n v="0"/>
    <n v="0"/>
    <m/>
    <n v="1"/>
    <s v="No"/>
    <m/>
  </r>
  <r>
    <x v="149"/>
    <s v="MIDDLETOWN"/>
    <s v="No"/>
    <n v="599.83545600000002"/>
    <n v="5.3215251711789913E-6"/>
    <n v="0"/>
    <n v="0"/>
    <n v="599.83545600000002"/>
    <n v="5.3215251711789913E-6"/>
    <n v="0"/>
    <n v="0"/>
    <n v="0"/>
    <n v="0"/>
    <n v="0"/>
    <n v="0"/>
    <m/>
    <n v="1"/>
    <s v="No"/>
    <m/>
  </r>
  <r>
    <x v="365"/>
    <s v="MIDDLETOWN"/>
    <s v="No"/>
    <n v="109151.62550496"/>
    <n v="9.683540990943814E-4"/>
    <n v="359384.16"/>
    <n v="4.3969401622110556E-3"/>
    <n v="109151.62550496"/>
    <n v="9.683540990943814E-4"/>
    <n v="359384.16"/>
    <n v="4.3969401622110556E-3"/>
    <n v="0"/>
    <n v="0"/>
    <n v="0"/>
    <n v="0"/>
    <m/>
    <n v="2"/>
    <s v="No"/>
    <m/>
  </r>
  <r>
    <x v="366"/>
    <s v="MONROE"/>
    <s v="No"/>
    <n v="100563.03417888001"/>
    <n v="8.921591951927617E-4"/>
    <n v="20403.166799999999"/>
    <n v="2.4962564721609106E-4"/>
    <n v="100563.03417888001"/>
    <n v="8.921591951927617E-4"/>
    <n v="20403.166799999999"/>
    <n v="2.4962564721609106E-4"/>
    <n v="0"/>
    <n v="0"/>
    <n v="0"/>
    <n v="0"/>
    <m/>
    <n v="3"/>
    <s v="No"/>
    <m/>
  </r>
  <r>
    <x v="367"/>
    <s v="MONROE"/>
    <s v="No"/>
    <n v="133580.15600255999"/>
    <n v="1.1850752659369962E-3"/>
    <n v="32119.5658"/>
    <n v="3.9297171266201798E-4"/>
    <n v="133580.15600255999"/>
    <n v="1.1850752659369962E-3"/>
    <n v="32119.5658"/>
    <n v="3.9297171266201798E-4"/>
    <n v="0"/>
    <n v="0"/>
    <n v="0"/>
    <n v="0"/>
    <m/>
    <n v="4"/>
    <s v="No"/>
    <m/>
  </r>
  <r>
    <x v="368"/>
    <s v="MONROE"/>
    <s v="No"/>
    <n v="256326.97744223999"/>
    <n v="2.2740410705417015E-3"/>
    <n v="156101.05499999999"/>
    <n v="1.9098420979183305E-3"/>
    <n v="139355.86578912"/>
    <n v="1.2363152930196966E-3"/>
    <n v="96915.585000000006"/>
    <n v="1.1857284640221189E-3"/>
    <n v="116971.11165312"/>
    <n v="1.0377257775220049E-3"/>
    <n v="59185.47"/>
    <n v="7.2411363389621175E-4"/>
    <m/>
    <n v="2"/>
    <s v="No"/>
    <m/>
  </r>
  <r>
    <x v="369"/>
    <s v="MONROE"/>
    <s v="No"/>
    <n v="279.45432000000005"/>
    <n v="2.4792185643569375E-6"/>
    <n v="0"/>
    <n v="0"/>
    <n v="279.45432000000005"/>
    <n v="2.4792185643569375E-6"/>
    <n v="0"/>
    <n v="0"/>
    <n v="0"/>
    <n v="0"/>
    <n v="0"/>
    <n v="0"/>
    <m/>
    <n v="3"/>
    <s v="No"/>
    <m/>
  </r>
  <r>
    <x v="370"/>
    <s v="MONROE"/>
    <s v="No"/>
    <n v="763.01015040000004"/>
    <n v="6.7691525744331265E-6"/>
    <n v="0"/>
    <n v="0"/>
    <n v="763.01015040000004"/>
    <n v="6.7691525744331265E-6"/>
    <n v="0"/>
    <n v="0"/>
    <n v="0"/>
    <n v="0"/>
    <n v="0"/>
    <n v="0"/>
    <m/>
    <n v="1"/>
    <s v="No"/>
    <m/>
  </r>
  <r>
    <x v="29"/>
    <s v="MONROE"/>
    <s v="No"/>
    <n v="408.54455999999999"/>
    <n v="3.6244609048056099E-6"/>
    <n v="1374.16"/>
    <n v="1.6812369508171827E-5"/>
    <n v="408.54455999999999"/>
    <n v="3.6244609048056099E-6"/>
    <n v="1374.16"/>
    <n v="1.6812369508171827E-5"/>
    <n v="0"/>
    <n v="0"/>
    <n v="0"/>
    <n v="0"/>
    <m/>
    <n v="2"/>
    <s v="No"/>
    <m/>
  </r>
  <r>
    <x v="371"/>
    <s v="MONTVILLE"/>
    <s v="No"/>
    <n v="386.32135679999999"/>
    <n v="3.427304611308639E-6"/>
    <n v="467.33"/>
    <n v="5.7176199585593669E-6"/>
    <n v="386.32135679999999"/>
    <n v="3.427304611308639E-6"/>
    <n v="467.33"/>
    <n v="5.7176199585593669E-6"/>
    <n v="0"/>
    <n v="0"/>
    <n v="0"/>
    <n v="0"/>
    <m/>
    <n v="2"/>
    <s v="No"/>
    <m/>
  </r>
  <r>
    <x v="372"/>
    <s v="MONTVILLE"/>
    <s v="No"/>
    <n v="192522.74222016"/>
    <n v="1.7079927645173843E-3"/>
    <n v="190334.15599999999"/>
    <n v="2.3286721784202854E-3"/>
    <n v="106350.08769791998"/>
    <n v="9.4349985980417663E-4"/>
    <n v="162569.386"/>
    <n v="1.9889798772694707E-3"/>
    <n v="86172.654522240016"/>
    <n v="7.6449290471320753E-4"/>
    <n v="27764.77"/>
    <n v="3.3969230115081495E-4"/>
    <m/>
    <n v="3"/>
    <s v="No"/>
    <m/>
  </r>
  <r>
    <x v="166"/>
    <s v="MONTVILLE"/>
    <s v="No"/>
    <n v="99676.927511999995"/>
    <n v="8.8429797444466453E-4"/>
    <n v="14638.392099999999"/>
    <n v="1.7909563441717363E-4"/>
    <n v="99676.927511999995"/>
    <n v="8.8429797444466453E-4"/>
    <n v="14638.392099999999"/>
    <n v="1.7909563441717363E-4"/>
    <n v="0"/>
    <n v="0"/>
    <n v="0"/>
    <n v="0"/>
    <m/>
    <n v="3"/>
    <s v="No"/>
    <m/>
  </r>
  <r>
    <x v="106"/>
    <s v="MONTVILLE"/>
    <s v="No"/>
    <n v="663.31543680000004"/>
    <n v="5.8846968081906578E-6"/>
    <n v="0"/>
    <n v="0"/>
    <n v="663.31543680000004"/>
    <n v="5.8846968081906578E-6"/>
    <n v="0"/>
    <n v="0"/>
    <n v="0"/>
    <n v="0"/>
    <n v="0"/>
    <n v="0"/>
    <m/>
    <n v="3"/>
    <s v="No"/>
    <m/>
  </r>
  <r>
    <x v="168"/>
    <s v="MONTVILLE"/>
    <s v="No"/>
    <n v="658.65545280000003"/>
    <n v="5.8433551003852238E-6"/>
    <n v="0"/>
    <n v="0"/>
    <n v="658.65545280000003"/>
    <n v="5.8433551003852238E-6"/>
    <n v="0"/>
    <n v="0"/>
    <n v="0"/>
    <n v="0"/>
    <n v="0"/>
    <n v="0"/>
    <m/>
    <n v="4"/>
    <s v="No"/>
    <m/>
  </r>
  <r>
    <x v="373"/>
    <s v="MONTVILLE"/>
    <s v="No"/>
    <n v="80574.145113599996"/>
    <n v="7.1482493587083176E-4"/>
    <n v="31425.54"/>
    <n v="3.8448054846148487E-4"/>
    <n v="80574.145113599996"/>
    <n v="7.1482493587083176E-4"/>
    <n v="31425.54"/>
    <n v="3.8448054846148487E-4"/>
    <n v="0"/>
    <n v="0"/>
    <n v="0"/>
    <n v="0"/>
    <m/>
    <n v="5"/>
    <s v="No"/>
    <m/>
  </r>
  <r>
    <x v="374"/>
    <s v="MONTVILLE"/>
    <s v="No"/>
    <n v="40248.384848640002"/>
    <n v="3.5706924445516093E-4"/>
    <n v="10395.2546"/>
    <n v="1.2718232335879587E-4"/>
    <n v="40248.384848640002"/>
    <n v="3.5706924445516093E-4"/>
    <n v="10395.2546"/>
    <n v="1.2718232335879587E-4"/>
    <n v="0"/>
    <n v="0"/>
    <n v="0"/>
    <n v="0"/>
    <m/>
    <n v="5"/>
    <s v="No"/>
    <m/>
  </r>
  <r>
    <x v="304"/>
    <s v="MORRIS"/>
    <s v="No"/>
    <n v="536.4886176"/>
    <n v="4.7595347258189093E-6"/>
    <n v="0"/>
    <n v="0"/>
    <n v="536.4886176"/>
    <n v="4.7595347258189093E-6"/>
    <n v="0"/>
    <n v="0"/>
    <n v="0"/>
    <n v="0"/>
    <n v="0"/>
    <n v="0"/>
    <m/>
    <n v="1"/>
    <s v="No"/>
    <m/>
  </r>
  <r>
    <x v="30"/>
    <s v="MORRIS"/>
    <s v="No"/>
    <n v="70145.255482560009"/>
    <n v="6.2230356501170923E-4"/>
    <n v="31889.019799999998"/>
    <n v="3.9015106256258921E-4"/>
    <n v="58713.956403840006"/>
    <n v="5.2088917681875166E-4"/>
    <n v="31889.019799999998"/>
    <n v="3.9015106256258921E-4"/>
    <n v="11431.29907872"/>
    <n v="1.0141438819295753E-4"/>
    <n v="0"/>
    <n v="0"/>
    <m/>
    <n v="1"/>
    <s v="No"/>
    <m/>
  </r>
  <r>
    <x v="350"/>
    <s v="NAUGATUCK"/>
    <s v="No"/>
    <n v="231.36675839999998"/>
    <n v="2.052602953500115E-6"/>
    <n v="0"/>
    <n v="0"/>
    <n v="231.36675839999998"/>
    <n v="2.052602953500115E-6"/>
    <n v="0"/>
    <n v="0"/>
    <n v="0"/>
    <n v="0"/>
    <n v="0"/>
    <n v="0"/>
    <m/>
    <n v="2"/>
    <s v="No"/>
    <m/>
  </r>
  <r>
    <x v="375"/>
    <s v="NAUGATUCK"/>
    <s v="No"/>
    <n v="115370.42856768001"/>
    <n v="1.0235250909086256E-3"/>
    <n v="53359.099099999999"/>
    <n v="6.5283001302057894E-4"/>
    <n v="115340.70307968001"/>
    <n v="1.0232613770333699E-3"/>
    <n v="53359.099099999999"/>
    <n v="6.5283001302057894E-4"/>
    <n v="29.725488000000002"/>
    <n v="2.6371387525578193E-7"/>
    <n v="0"/>
    <n v="0"/>
    <m/>
    <n v="2"/>
    <s v="No"/>
    <m/>
  </r>
  <r>
    <x v="376"/>
    <s v="NAUGATUCK"/>
    <s v="No"/>
    <n v="120469.52720159998"/>
    <n v="1.0687624663576847E-3"/>
    <n v="55301.3724"/>
    <n v="6.7659305109871843E-4"/>
    <n v="120430.25714015999"/>
    <n v="1.0684140764478582E-3"/>
    <n v="55301.3724"/>
    <n v="6.7659305109871843E-4"/>
    <n v="39.270061440000006"/>
    <n v="3.4838990982671347E-7"/>
    <n v="0"/>
    <n v="0"/>
    <m/>
    <n v="4"/>
    <s v="No"/>
    <m/>
  </r>
  <r>
    <x v="377"/>
    <s v="NAUGATUCK"/>
    <s v="No"/>
    <n v="76552.852731840016"/>
    <n v="6.7914947118105184E-4"/>
    <n v="51535.862300000001"/>
    <n v="6.3052334510527305E-4"/>
    <n v="76552.852731840016"/>
    <n v="6.7914947118105184E-4"/>
    <n v="51535.862300000001"/>
    <n v="6.3052334510527305E-4"/>
    <n v="0"/>
    <n v="0"/>
    <n v="0"/>
    <n v="0"/>
    <m/>
    <n v="3"/>
    <s v="No"/>
    <m/>
  </r>
  <r>
    <x v="378"/>
    <s v="NAUGATUCK"/>
    <s v="No"/>
    <n v="93780.901569599999"/>
    <n v="8.3199054555135497E-4"/>
    <n v="25594.8802"/>
    <n v="3.131444543865276E-4"/>
    <n v="93771.541079999995"/>
    <n v="8.319075026426327E-4"/>
    <n v="25594.8802"/>
    <n v="3.131444543865276E-4"/>
    <n v="9.3604896000000011"/>
    <n v="8.3042908722219938E-8"/>
    <n v="0"/>
    <n v="0"/>
    <m/>
    <n v="4"/>
    <s v="No"/>
    <m/>
  </r>
  <r>
    <x v="352"/>
    <s v="NAUGATUCK"/>
    <s v="No"/>
    <n v="283435.20482112002"/>
    <n v="2.5145355476516936E-3"/>
    <n v="1161160.6663000002"/>
    <n v="1.4206396766163041E-2"/>
    <n v="141079.33048031997"/>
    <n v="1.2516052540317028E-3"/>
    <n v="1079229.5663000001"/>
    <n v="1.3203998262778443E-2"/>
    <n v="142355.87434080002"/>
    <n v="1.2629302936199903E-3"/>
    <n v="81931.100000000006"/>
    <n v="1.0023985033845962E-3"/>
    <m/>
    <n v="4"/>
    <s v="No"/>
    <m/>
  </r>
  <r>
    <x v="379"/>
    <s v="NAUGATUCK"/>
    <s v="No"/>
    <n v="364.28918399999998"/>
    <n v="3.2318430710508967E-6"/>
    <n v="0"/>
    <n v="0"/>
    <n v="364.28918399999998"/>
    <n v="3.2318430710508967E-6"/>
    <n v="0"/>
    <n v="0"/>
    <n v="0"/>
    <n v="0"/>
    <n v="0"/>
    <n v="0"/>
    <m/>
    <n v="2"/>
    <s v="No"/>
    <m/>
  </r>
  <r>
    <x v="380"/>
    <s v="NAUGATUCK"/>
    <s v="No"/>
    <n v="782.27527680000003"/>
    <n v="6.9400658708014303E-6"/>
    <n v="0"/>
    <n v="0"/>
    <n v="782.27527680000003"/>
    <n v="6.9400658708014303E-6"/>
    <n v="0"/>
    <n v="0"/>
    <n v="0"/>
    <n v="0"/>
    <n v="0"/>
    <n v="0"/>
    <m/>
    <n v="2"/>
    <s v="No"/>
    <m/>
  </r>
  <r>
    <x v="381"/>
    <s v="NAUGATUCK"/>
    <s v="No"/>
    <n v="679.60511999999994"/>
    <n v="6.0292130389540004E-6"/>
    <n v="0"/>
    <n v="0"/>
    <n v="679.60511999999994"/>
    <n v="6.0292130389540004E-6"/>
    <n v="0"/>
    <n v="0"/>
    <n v="0"/>
    <n v="0"/>
    <n v="0"/>
    <n v="0"/>
    <m/>
    <n v="4"/>
    <s v="No"/>
    <m/>
  </r>
  <r>
    <x v="18"/>
    <s v="NEW BRITAIN"/>
    <s v="No"/>
    <n v="617.43919679999999"/>
    <n v="5.47769924998188E-6"/>
    <n v="436.28"/>
    <n v="5.3377340113416223E-6"/>
    <n v="617.43919679999999"/>
    <n v="5.47769924998188E-6"/>
    <n v="436.28"/>
    <n v="5.3377340113416223E-6"/>
    <n v="0"/>
    <n v="0"/>
    <n v="0"/>
    <n v="0"/>
    <m/>
    <n v="2"/>
    <s v="No"/>
    <m/>
  </r>
  <r>
    <x v="382"/>
    <s v="NEW BRITAIN"/>
    <s v="No"/>
    <n v="61846.119786240008"/>
    <n v="5.4867660770994379E-4"/>
    <n v="907.27"/>
    <n v="1.1100132796529555E-5"/>
    <n v="61846.119786240008"/>
    <n v="5.4867660770994379E-4"/>
    <n v="907.27"/>
    <n v="1.1100132796529555E-5"/>
    <n v="0"/>
    <n v="0"/>
    <n v="0"/>
    <n v="0"/>
    <m/>
    <n v="5"/>
    <s v="Yes"/>
    <m/>
  </r>
  <r>
    <x v="383"/>
    <s v="NEW BRITAIN"/>
    <s v="No"/>
    <n v="60029.682335999998"/>
    <n v="5.3256182570325227E-4"/>
    <n v="7314.39"/>
    <n v="8.948901685893704E-5"/>
    <n v="60029.682335999998"/>
    <n v="5.3256182570325227E-4"/>
    <n v="7314.39"/>
    <n v="8.948901685893704E-5"/>
    <n v="0"/>
    <n v="0"/>
    <n v="0"/>
    <n v="0"/>
    <m/>
    <n v="3"/>
    <s v="Yes"/>
    <m/>
  </r>
  <r>
    <x v="384"/>
    <s v="NEW BRITAIN"/>
    <s v="No"/>
    <n v="30047.905635839998"/>
    <n v="2.6657424895925729E-4"/>
    <n v="2366.27"/>
    <n v="2.8950490187534019E-5"/>
    <n v="30047.905635839998"/>
    <n v="2.6657424895925729E-4"/>
    <n v="2366.27"/>
    <n v="2.8950490187534019E-5"/>
    <n v="0"/>
    <n v="0"/>
    <n v="0"/>
    <n v="0"/>
    <m/>
    <n v="4"/>
    <s v="Yes"/>
    <m/>
  </r>
  <r>
    <x v="385"/>
    <s v="NEW BRITAIN"/>
    <s v="No"/>
    <n v="37752.075993600003"/>
    <n v="3.3492288702621233E-4"/>
    <n v="1307.4318000000001"/>
    <n v="1.5995973196959748E-5"/>
    <n v="37751.387126400004"/>
    <n v="3.3491677564331937E-4"/>
    <n v="1307.4318000000001"/>
    <n v="1.5995973196959748E-5"/>
    <n v="0.68886720000000001"/>
    <n v="6.1113828929772247E-9"/>
    <n v="0"/>
    <n v="0"/>
    <m/>
    <n v="5"/>
    <s v="No"/>
    <m/>
  </r>
  <r>
    <x v="386"/>
    <s v="NEW BRITAIN"/>
    <s v="No"/>
    <n v="35649.427536000003"/>
    <n v="3.1626894354665403E-4"/>
    <n v="7072.64"/>
    <n v="8.6531289717555734E-5"/>
    <n v="35649.427536000003"/>
    <n v="3.1626894354665403E-4"/>
    <n v="7072.64"/>
    <n v="8.6531289717555734E-5"/>
    <n v="0"/>
    <n v="0"/>
    <n v="0"/>
    <n v="0"/>
    <m/>
    <n v="4"/>
    <s v="No"/>
    <m/>
  </r>
  <r>
    <x v="387"/>
    <s v="NEW BRITAIN"/>
    <s v="No"/>
    <n v="33526.781089920005"/>
    <n v="2.9743758508102785E-4"/>
    <n v="4495.78"/>
    <n v="5.5004304147587416E-5"/>
    <n v="33526.124061120005"/>
    <n v="2.9743175615700807E-4"/>
    <n v="4495.78"/>
    <n v="5.5004304147587416E-5"/>
    <n v="0.65702879999999997"/>
    <n v="5.8289240197723945E-9"/>
    <n v="0"/>
    <n v="0"/>
    <m/>
    <n v="3"/>
    <s v="No"/>
    <m/>
  </r>
  <r>
    <x v="388"/>
    <s v="NEW BRITAIN"/>
    <s v="Yes"/>
    <n v="13994.03441376"/>
    <n v="1.2415005754372893E-4"/>
    <n v="1500.57"/>
    <n v="1.835895187814912E-5"/>
    <n v="13994.03441376"/>
    <n v="1.2415005754372893E-4"/>
    <n v="1500.57"/>
    <n v="1.835895187814912E-5"/>
    <n v="0"/>
    <n v="0"/>
    <n v="0"/>
    <n v="0"/>
    <m/>
    <n v="4"/>
    <e v="#N/A"/>
    <m/>
  </r>
  <r>
    <x v="389"/>
    <s v="NEW BRITAIN"/>
    <s v="No"/>
    <n v="53175.932429759996"/>
    <n v="4.7175781307245876E-4"/>
    <n v="772.94"/>
    <n v="9.4566519820445456E-6"/>
    <n v="53175.932429759996"/>
    <n v="4.7175781307245876E-4"/>
    <n v="772.94"/>
    <n v="9.4566519820445456E-6"/>
    <n v="0"/>
    <n v="0"/>
    <n v="0"/>
    <n v="0"/>
    <m/>
    <n v="3"/>
    <s v="Yes"/>
    <m/>
  </r>
  <r>
    <x v="390"/>
    <s v="NEW BRITAIN"/>
    <s v="No"/>
    <n v="45937.126019520001"/>
    <n v="4.0753771715104663E-4"/>
    <n v="2835.0911999999998"/>
    <n v="3.4686354459281499E-5"/>
    <n v="45937.126019520001"/>
    <n v="4.0753771715104663E-4"/>
    <n v="2835.0911999999998"/>
    <n v="3.4686354459281499E-5"/>
    <n v="0"/>
    <n v="0"/>
    <n v="0"/>
    <n v="0"/>
    <m/>
    <n v="5"/>
    <s v="Yes"/>
    <m/>
  </r>
  <r>
    <x v="391"/>
    <s v="NEW BRITAIN"/>
    <s v="No"/>
    <n v="25037.862480000003"/>
    <n v="2.2212694179224722E-4"/>
    <n v="31916.26"/>
    <n v="3.9048433693229616E-4"/>
    <n v="25037.862480000003"/>
    <n v="2.2212694179224722E-4"/>
    <n v="31916.26"/>
    <n v="3.9048433693229616E-4"/>
    <n v="0"/>
    <n v="0"/>
    <n v="0"/>
    <n v="0"/>
    <m/>
    <n v="4"/>
    <s v="Yes"/>
    <m/>
  </r>
  <r>
    <x v="392"/>
    <s v="NEW BRITAIN"/>
    <s v="No"/>
    <n v="46612.013846400005"/>
    <n v="4.1352508005622346E-4"/>
    <n v="7464.55"/>
    <n v="9.132617221591663E-5"/>
    <n v="46612.013846400005"/>
    <n v="4.1352508005622346E-4"/>
    <n v="7464.55"/>
    <n v="9.132617221591663E-5"/>
    <n v="0"/>
    <n v="0"/>
    <n v="0"/>
    <n v="0"/>
    <m/>
    <n v="4"/>
    <s v="Yes"/>
    <m/>
  </r>
  <r>
    <x v="393"/>
    <s v="NEW BRITAIN"/>
    <s v="No"/>
    <n v="55528.130845440013"/>
    <n v="4.9262567433581257E-4"/>
    <n v="6996.7744000000002"/>
    <n v="8.5603100496388501E-5"/>
    <n v="55528.130845440013"/>
    <n v="4.9262567433581257E-4"/>
    <n v="6996.7744000000002"/>
    <n v="8.5603100496388501E-5"/>
    <n v="0"/>
    <n v="0"/>
    <n v="0"/>
    <n v="0"/>
    <m/>
    <n v="3"/>
    <s v="No"/>
    <m/>
  </r>
  <r>
    <x v="394"/>
    <s v="NEW BRITAIN"/>
    <s v="No"/>
    <n v="58912.03814112"/>
    <n v="5.2264648699497168E-4"/>
    <n v="9258.3799999999992"/>
    <n v="1.1327305816430972E-4"/>
    <n v="58902.579241920001"/>
    <n v="5.2256257103155046E-4"/>
    <n v="9258.3799999999992"/>
    <n v="1.1327305816430972E-4"/>
    <n v="9.4588992000000012"/>
    <n v="8.3915963421216693E-8"/>
    <n v="0"/>
    <n v="0"/>
    <m/>
    <n v="3"/>
    <s v="No"/>
    <m/>
  </r>
  <r>
    <x v="395"/>
    <s v="NEW BRITAIN"/>
    <s v="No"/>
    <n v="21919.58064"/>
    <n v="1.9446266296977235E-4"/>
    <n v="3646.41"/>
    <n v="4.4612557706739262E-5"/>
    <n v="21919.58064"/>
    <n v="1.9446266296977235E-4"/>
    <n v="3646.41"/>
    <n v="4.4612557706739262E-5"/>
    <n v="0"/>
    <n v="0"/>
    <n v="0"/>
    <n v="0"/>
    <m/>
    <n v="4"/>
    <s v="Yes"/>
    <m/>
  </r>
  <r>
    <x v="396"/>
    <s v="NEW BRITAIN"/>
    <s v="No"/>
    <n v="490335.53576543997"/>
    <n v="4.3500811260802257E-3"/>
    <n v="674060.61529999995"/>
    <n v="8.2468971119296578E-3"/>
    <n v="134497.10365920002"/>
    <n v="1.1932100968921433E-3"/>
    <n v="572786.77769999998"/>
    <n v="7.0078469436510114E-3"/>
    <n v="355838.43210623995"/>
    <n v="3.156871029188082E-3"/>
    <n v="101273.8376"/>
    <n v="1.2390501682786469E-3"/>
    <m/>
    <n v="5"/>
    <s v="No"/>
    <m/>
  </r>
  <r>
    <x v="397"/>
    <s v="NEW BRITAIN"/>
    <s v="No"/>
    <n v="37524.223036800002"/>
    <n v="3.3290145726108227E-4"/>
    <n v="42090.9902"/>
    <n v="5.1496862098099143E-4"/>
    <n v="37524.223036800002"/>
    <n v="3.3290145726108227E-4"/>
    <n v="42090.9902"/>
    <n v="5.1496862098099143E-4"/>
    <n v="0"/>
    <n v="0"/>
    <n v="0"/>
    <n v="0"/>
    <m/>
    <n v="5"/>
    <s v="No"/>
    <m/>
  </r>
  <r>
    <x v="388"/>
    <s v="NEW BRITAIN"/>
    <s v="Yes"/>
    <n v="18956.984523840001"/>
    <n v="1.68179572087958E-4"/>
    <n v="1649.1361999999999"/>
    <n v="2.0176607646636748E-5"/>
    <n v="18956.984523840001"/>
    <n v="1.68179572087958E-4"/>
    <n v="1649.1361999999999"/>
    <n v="2.0176607646636748E-5"/>
    <n v="0"/>
    <n v="0"/>
    <n v="0"/>
    <n v="0"/>
    <m/>
    <n v="4"/>
    <e v="#N/A"/>
    <m/>
  </r>
  <r>
    <x v="398"/>
    <s v="NEW BRITAIN"/>
    <s v="No"/>
    <n v="25307.12677536"/>
    <n v="2.2451575811033094E-4"/>
    <n v="29318.762900000002"/>
    <n v="3.5870486362379883E-4"/>
    <n v="25307.12677536"/>
    <n v="2.2451575811033094E-4"/>
    <n v="29318.762900000002"/>
    <n v="3.5870486362379883E-4"/>
    <n v="0"/>
    <n v="0"/>
    <n v="0"/>
    <n v="0"/>
    <m/>
    <n v="4"/>
    <s v="No"/>
    <m/>
  </r>
  <r>
    <x v="399"/>
    <s v="NEW BRITAIN"/>
    <s v="Yes"/>
    <n v="1344.3822288000001"/>
    <n v="1.1926877277232699E-5"/>
    <n v="0"/>
    <n v="0"/>
    <n v="1344.3822288000001"/>
    <n v="1.1926877277232699E-5"/>
    <n v="0"/>
    <n v="0"/>
    <n v="0"/>
    <n v="0"/>
    <n v="0"/>
    <n v="0"/>
    <m/>
    <e v="#N/A"/>
    <e v="#N/A"/>
    <m/>
  </r>
  <r>
    <x v="400"/>
    <s v="NEW BRITAIN"/>
    <s v="No"/>
    <n v="42183.385027200005"/>
    <n v="3.742358724919719E-4"/>
    <n v="6750.4196000000002"/>
    <n v="8.2589035229089372E-5"/>
    <n v="42183.385027200005"/>
    <n v="3.742358724919719E-4"/>
    <n v="6750.4196000000002"/>
    <n v="8.2589035229089372E-5"/>
    <n v="0"/>
    <n v="0"/>
    <n v="0"/>
    <n v="0"/>
    <m/>
    <n v="4"/>
    <s v="No"/>
    <m/>
  </r>
  <r>
    <x v="401"/>
    <s v="NEW BRITAIN"/>
    <s v="No"/>
    <n v="60109.840428480005"/>
    <n v="5.3327295956928048E-4"/>
    <n v="6313.4265999999998"/>
    <n v="7.724257791081163E-5"/>
    <n v="60109.840428480005"/>
    <n v="5.3327295956928048E-4"/>
    <n v="6313.4265999999998"/>
    <n v="7.724257791081163E-5"/>
    <n v="0"/>
    <n v="0"/>
    <n v="0"/>
    <n v="0"/>
    <m/>
    <n v="4"/>
    <s v="No"/>
    <m/>
  </r>
  <r>
    <x v="195"/>
    <s v="NEW BRITAIN"/>
    <s v="No"/>
    <n v="481.512384"/>
    <n v="4.2718052860323154E-6"/>
    <n v="0"/>
    <n v="0"/>
    <n v="481.512384"/>
    <n v="4.2718052860323154E-6"/>
    <n v="0"/>
    <n v="0"/>
    <n v="0"/>
    <n v="0"/>
    <n v="0"/>
    <n v="0"/>
    <m/>
    <n v="3"/>
    <s v="No"/>
    <m/>
  </r>
  <r>
    <x v="196"/>
    <s v="NEW BRITAIN"/>
    <s v="No"/>
    <n v="647.01417600000002"/>
    <n v="5.7400778651097848E-6"/>
    <n v="5360.46"/>
    <n v="6.5583363111846322E-5"/>
    <n v="647.01417600000002"/>
    <n v="5.7400778651097848E-6"/>
    <n v="5360.46"/>
    <n v="6.5583363111846322E-5"/>
    <n v="0"/>
    <n v="0"/>
    <n v="0"/>
    <n v="0"/>
    <m/>
    <n v="4"/>
    <s v="No"/>
    <m/>
  </r>
  <r>
    <x v="402"/>
    <s v="NEW BRITAIN"/>
    <s v="No"/>
    <n v="144.546336"/>
    <n v="1.2823632843499269E-6"/>
    <n v="0"/>
    <n v="0"/>
    <n v="144.546336"/>
    <n v="1.2823632843499269E-6"/>
    <n v="0"/>
    <n v="0"/>
    <n v="0"/>
    <n v="0"/>
    <n v="0"/>
    <n v="0"/>
    <m/>
    <n v="3"/>
    <s v="No"/>
    <m/>
  </r>
  <r>
    <x v="403"/>
    <s v="NEW CANAAN"/>
    <s v="No"/>
    <n v="371354.68936800002"/>
    <n v="3.2945257022405283E-3"/>
    <n v="173505.5471"/>
    <n v="2.1227800034659067E-3"/>
    <n v="247121.76777120001"/>
    <n v="2.1923757496934127E-3"/>
    <n v="87927.7071"/>
    <n v="1.0757649049393835E-3"/>
    <n v="124232.92159680001"/>
    <n v="1.1021499525471156E-3"/>
    <n v="85577.84"/>
    <n v="1.0470150985265232E-3"/>
    <m/>
    <n v="2"/>
    <s v="No"/>
    <m/>
  </r>
  <r>
    <x v="404"/>
    <s v="NEW CANAAN"/>
    <s v="No"/>
    <n v="168416.02037664002"/>
    <n v="1.4941265687103428E-3"/>
    <n v="16177.38"/>
    <n v="1.9792461593563248E-4"/>
    <n v="168416.02037664002"/>
    <n v="1.4941265687103428E-3"/>
    <n v="16177.38"/>
    <n v="1.9792461593563248E-4"/>
    <n v="0"/>
    <n v="0"/>
    <n v="0"/>
    <n v="0"/>
    <m/>
    <n v="2"/>
    <s v="No"/>
    <m/>
  </r>
  <r>
    <x v="405"/>
    <s v="NEW CANAAN"/>
    <s v="No"/>
    <n v="138509.7232608"/>
    <n v="1.2288086197848622E-3"/>
    <n v="18915.32"/>
    <n v="2.3142235926334101E-4"/>
    <n v="138484.17728639999"/>
    <n v="1.2285819850562344E-3"/>
    <n v="18915.32"/>
    <n v="2.3142235926334101E-4"/>
    <n v="25.545974400000002"/>
    <n v="2.2663472862780246E-7"/>
    <n v="0"/>
    <n v="0"/>
    <m/>
    <n v="3"/>
    <s v="No"/>
    <m/>
  </r>
  <r>
    <x v="406"/>
    <s v="NEW CANAAN"/>
    <s v="No"/>
    <n v="198378.27666432"/>
    <n v="1.7599409673513678E-3"/>
    <n v="65011.672400000003"/>
    <n v="7.9539519323296843E-4"/>
    <n v="198378.27666432"/>
    <n v="1.7599409673513678E-3"/>
    <n v="65011.672400000003"/>
    <n v="7.9539519323296843E-4"/>
    <n v="0"/>
    <n v="0"/>
    <n v="0"/>
    <n v="0"/>
    <m/>
    <n v="2"/>
    <s v="No"/>
    <m/>
  </r>
  <r>
    <x v="125"/>
    <s v="NEW FAIRFIELD"/>
    <s v="No"/>
    <n v="1348.85928672"/>
    <n v="1.1966596130421174E-5"/>
    <n v="0"/>
    <n v="0"/>
    <n v="1348.85928672"/>
    <n v="1.1966596130421174E-5"/>
    <n v="0"/>
    <n v="0"/>
    <n v="0"/>
    <n v="0"/>
    <n v="0"/>
    <n v="0"/>
    <m/>
    <n v="4"/>
    <s v="No"/>
    <m/>
  </r>
  <r>
    <x v="126"/>
    <s v="NEW FAIRFIELD"/>
    <s v="No"/>
    <n v="2135.6677728000004"/>
    <n v="1.8946879009151099E-5"/>
    <n v="0"/>
    <n v="0"/>
    <n v="2135.6677728000004"/>
    <n v="1.8946879009151099E-5"/>
    <n v="0"/>
    <n v="0"/>
    <n v="0"/>
    <n v="0"/>
    <n v="0"/>
    <n v="0"/>
    <m/>
    <n v="5"/>
    <s v="No"/>
    <m/>
  </r>
  <r>
    <x v="407"/>
    <s v="NEW FAIRFIELD"/>
    <s v="No"/>
    <n v="108677.484"/>
    <n v="9.6414768560530392E-4"/>
    <n v="12699.62"/>
    <n v="1.5537543230291167E-4"/>
    <n v="108677.484"/>
    <n v="9.6414768560530392E-4"/>
    <n v="12699.62"/>
    <n v="1.5537543230291167E-4"/>
    <n v="0"/>
    <n v="0"/>
    <n v="0"/>
    <n v="0"/>
    <m/>
    <n v="2"/>
    <s v="No"/>
    <m/>
  </r>
  <r>
    <x v="130"/>
    <s v="NEW FAIRFIELD"/>
    <s v="No"/>
    <n v="163374.38195040001"/>
    <n v="1.4493989596287959E-3"/>
    <n v="41482.424299999999"/>
    <n v="5.0752302892411794E-4"/>
    <n v="129933.76020192"/>
    <n v="1.1527257493435872E-3"/>
    <n v="41482.424299999999"/>
    <n v="5.0752302892411794E-4"/>
    <n v="33440.62174848"/>
    <n v="2.9667321028520853E-4"/>
    <n v="0"/>
    <n v="0"/>
    <m/>
    <n v="3"/>
    <s v="No"/>
    <m/>
  </r>
  <r>
    <x v="131"/>
    <s v="NEW FAIRFIELD"/>
    <s v="No"/>
    <n v="102730.65265440001"/>
    <n v="9.1138952938459765E-4"/>
    <n v="5080.6705000000002"/>
    <n v="6.2160235922504014E-5"/>
    <n v="102730.65265440001"/>
    <n v="9.1138952938459765E-4"/>
    <n v="5080.6705000000002"/>
    <n v="6.2160235922504014E-5"/>
    <n v="0"/>
    <n v="0"/>
    <n v="0"/>
    <n v="0"/>
    <m/>
    <n v="2"/>
    <s v="No"/>
    <m/>
  </r>
  <r>
    <x v="408"/>
    <s v="NEW FAIRFIELD"/>
    <s v="No"/>
    <n v="2100.1940064"/>
    <n v="1.8632168468242151E-5"/>
    <n v="0"/>
    <n v="0"/>
    <n v="2100.1940064"/>
    <n v="1.8632168468242151E-5"/>
    <n v="0"/>
    <n v="0"/>
    <n v="0"/>
    <n v="0"/>
    <n v="0"/>
    <n v="0"/>
    <m/>
    <n v="1"/>
    <s v="No"/>
    <m/>
  </r>
  <r>
    <x v="12"/>
    <s v="NEW HARTFORD"/>
    <s v="No"/>
    <n v="265.45121280000001"/>
    <n v="2.3549880163055765E-6"/>
    <n v="0"/>
    <n v="0"/>
    <n v="265.45121280000001"/>
    <n v="2.3549880163055765E-6"/>
    <n v="0"/>
    <n v="0"/>
    <n v="0"/>
    <n v="0"/>
    <n v="0"/>
    <n v="0"/>
    <m/>
    <n v="2"/>
    <s v="No"/>
    <m/>
  </r>
  <r>
    <x v="409"/>
    <s v="NEW HARTFORD"/>
    <s v="No"/>
    <n v="173563.23320064001"/>
    <n v="1.5397907960085892E-3"/>
    <n v="201562.2647"/>
    <n v="2.4660441819295705E-3"/>
    <n v="143068.34479392"/>
    <n v="1.2692510761147138E-3"/>
    <n v="178001.4547"/>
    <n v="2.1777858687551002E-3"/>
    <n v="30494.888406720002"/>
    <n v="2.7053971989387518E-4"/>
    <n v="23560.81"/>
    <n v="2.8825831317447014E-4"/>
    <m/>
    <n v="1"/>
    <s v="No"/>
    <m/>
  </r>
  <r>
    <x v="410"/>
    <s v="NEW LONDON"/>
    <s v="No"/>
    <n v="79342.157646720007"/>
    <n v="7.0389518463655513E-4"/>
    <n v="20285.972600000001"/>
    <n v="2.4819181695279234E-4"/>
    <n v="79342.157646720007"/>
    <n v="7.0389518463655513E-4"/>
    <n v="20285.972600000001"/>
    <n v="2.4819181695279234E-4"/>
    <n v="0"/>
    <n v="0"/>
    <n v="0"/>
    <n v="0"/>
    <m/>
    <n v="5"/>
    <s v="No"/>
    <m/>
  </r>
  <r>
    <x v="411"/>
    <s v="NEW LONDON"/>
    <s v="No"/>
    <n v="39959.697971520007"/>
    <n v="3.5450811795319047E-4"/>
    <n v="4461.97"/>
    <n v="5.4590650560616992E-5"/>
    <n v="39959.697971520007"/>
    <n v="3.5450811795319047E-4"/>
    <n v="4461.97"/>
    <n v="5.4590650560616992E-5"/>
    <n v="0"/>
    <n v="0"/>
    <n v="0"/>
    <n v="0"/>
    <m/>
    <n v="5"/>
    <s v="No"/>
    <m/>
  </r>
  <r>
    <x v="412"/>
    <s v="NEW LONDON"/>
    <s v="No"/>
    <n v="41927.549011199997"/>
    <n v="3.7196618705537412E-4"/>
    <n v="16842.5"/>
    <n v="2.06062127729947E-4"/>
    <n v="41927.549011199997"/>
    <n v="3.7196618705537412E-4"/>
    <n v="16842.5"/>
    <n v="2.06062127729947E-4"/>
    <n v="0"/>
    <n v="0"/>
    <n v="0"/>
    <n v="0"/>
    <m/>
    <n v="5"/>
    <s v="No"/>
    <m/>
  </r>
  <r>
    <x v="413"/>
    <s v="NEW LONDON"/>
    <s v="No"/>
    <n v="14865.608877119999"/>
    <n v="1.3188235379086352E-4"/>
    <n v="4541.3999999999996"/>
    <n v="5.5562448975673521E-5"/>
    <n v="14847.8146848"/>
    <n v="1.3172449009443726E-4"/>
    <n v="4541.3999999999996"/>
    <n v="5.5562448975673521E-5"/>
    <n v="17.794192320000001"/>
    <n v="1.5786369642624109E-7"/>
    <n v="0"/>
    <n v="0"/>
    <m/>
    <n v="5"/>
    <s v="No"/>
    <m/>
  </r>
  <r>
    <x v="414"/>
    <s v="NEW LONDON"/>
    <s v="No"/>
    <n v="43011.512809920001"/>
    <n v="3.8158272536073111E-4"/>
    <n v="11641.346100000001"/>
    <n v="1.4242781932650856E-4"/>
    <n v="43011.512809920001"/>
    <n v="3.8158272536073111E-4"/>
    <n v="11641.346100000001"/>
    <n v="1.4242781932650856E-4"/>
    <n v="0"/>
    <n v="0"/>
    <n v="0"/>
    <n v="0"/>
    <m/>
    <n v="5"/>
    <s v="Yes"/>
    <m/>
  </r>
  <r>
    <x v="415"/>
    <s v="NEW LONDON"/>
    <s v="No"/>
    <n v="314079.29086463997"/>
    <n v="2.7863988955034854E-3"/>
    <n v="226740.76459999999"/>
    <n v="2.7740943682108385E-3"/>
    <n v="104774.0469552"/>
    <n v="9.2951779122304231E-4"/>
    <n v="113608.8646"/>
    <n v="1.3899649320741846E-3"/>
    <n v="209305.24390943997"/>
    <n v="1.8568811042804431E-3"/>
    <n v="113131.9"/>
    <n v="1.3841294361366537E-3"/>
    <m/>
    <n v="5"/>
    <s v="No"/>
    <m/>
  </r>
  <r>
    <x v="303"/>
    <s v="NEW LONDON"/>
    <s v="No"/>
    <n v="472.06506239999999"/>
    <n v="4.1879920349286277E-6"/>
    <n v="0"/>
    <n v="0"/>
    <n v="472.06506239999999"/>
    <n v="4.1879920349286277E-6"/>
    <n v="0"/>
    <n v="0"/>
    <n v="0"/>
    <n v="0"/>
    <n v="0"/>
    <n v="0"/>
    <m/>
    <n v="3"/>
    <s v="No"/>
    <m/>
  </r>
  <r>
    <x v="371"/>
    <s v="NEW LONDON"/>
    <s v="No"/>
    <n v="117.425808"/>
    <n v="1.0417596805381766E-6"/>
    <n v="0"/>
    <n v="0"/>
    <n v="117.425808"/>
    <n v="1.0417596805381766E-6"/>
    <n v="0"/>
    <n v="0"/>
    <n v="0"/>
    <n v="0"/>
    <n v="0"/>
    <n v="0"/>
    <m/>
    <n v="2"/>
    <s v="No"/>
    <m/>
  </r>
  <r>
    <x v="416"/>
    <s v="NEW LONDON"/>
    <s v="No"/>
    <n v="41310.163071360003"/>
    <n v="3.6648896028205292E-4"/>
    <n v="21513.050299999999"/>
    <n v="2.6320468569270445E-4"/>
    <n v="41310.163071360003"/>
    <n v="3.6648896028205292E-4"/>
    <n v="21513.050299999999"/>
    <n v="2.6320468569270445E-4"/>
    <n v="0"/>
    <n v="0"/>
    <n v="0"/>
    <n v="0"/>
    <m/>
    <n v="5"/>
    <s v="No"/>
    <m/>
  </r>
  <r>
    <x v="417"/>
    <s v="NEW MILFORD"/>
    <s v="No"/>
    <n v="96741.50344416"/>
    <n v="8.5825594423647497E-4"/>
    <n v="48216.78"/>
    <n v="5.8991552792559028E-4"/>
    <n v="96741.50344416"/>
    <n v="8.5825594423647497E-4"/>
    <n v="48216.78"/>
    <n v="5.8991552792559028E-4"/>
    <n v="0"/>
    <n v="0"/>
    <n v="0"/>
    <n v="0"/>
    <m/>
    <n v="4"/>
    <s v="No"/>
    <m/>
  </r>
  <r>
    <x v="418"/>
    <s v="NEW MILFORD"/>
    <s v="No"/>
    <n v="373255.31217888003"/>
    <n v="3.3113873465929005E-3"/>
    <n v="435948.83130000002"/>
    <n v="5.3336822775159106E-3"/>
    <n v="182694.09673440002"/>
    <n v="1.6207965445742495E-3"/>
    <n v="376294.26130000001"/>
    <n v="4.6038293683269499E-3"/>
    <n v="190561.21544448001"/>
    <n v="1.6905908020186508E-3"/>
    <n v="59654.57"/>
    <n v="7.2985290918896036E-4"/>
    <m/>
    <n v="4"/>
    <s v="No"/>
    <m/>
  </r>
  <r>
    <x v="419"/>
    <s v="NEW MILFORD"/>
    <s v="No"/>
    <n v="51696.375353280004"/>
    <n v="4.5863171299630006E-4"/>
    <n v="13320.82"/>
    <n v="1.629755981776834E-4"/>
    <n v="51696.375353280004"/>
    <n v="4.5863171299630006E-4"/>
    <n v="13320.82"/>
    <n v="1.629755981776834E-4"/>
    <n v="0"/>
    <n v="0"/>
    <n v="0"/>
    <n v="0"/>
    <m/>
    <n v="3"/>
    <s v="No"/>
    <m/>
  </r>
  <r>
    <x v="73"/>
    <s v="NEW MILFORD"/>
    <s v="No"/>
    <n v="154072.5097392"/>
    <n v="1.3668760833702254E-3"/>
    <n v="19810.52"/>
    <n v="2.4237481980921298E-4"/>
    <n v="154010.8821744"/>
    <n v="1.3663293457040183E-3"/>
    <n v="19810.52"/>
    <n v="2.4237481980921298E-4"/>
    <n v="61.627564800000002"/>
    <n v="5.4673766620702125E-7"/>
    <n v="0"/>
    <n v="0"/>
    <m/>
    <n v="2"/>
    <s v="No"/>
    <m/>
  </r>
  <r>
    <x v="291"/>
    <s v="NEW MILFORD"/>
    <s v="No"/>
    <n v="147618.1887696"/>
    <n v="1.309615661101031E-3"/>
    <n v="29305.079600000001"/>
    <n v="3.5853745320893362E-4"/>
    <n v="147618.1887696"/>
    <n v="1.309615661101031E-3"/>
    <n v="29305.079600000001"/>
    <n v="3.5853745320893362E-4"/>
    <n v="0"/>
    <n v="0"/>
    <n v="0"/>
    <n v="0"/>
    <m/>
    <n v="4"/>
    <s v="No"/>
    <m/>
  </r>
  <r>
    <x v="420"/>
    <s v="NEW MILFORD"/>
    <s v="No"/>
    <n v="49566.037328640006"/>
    <n v="4.3973211760252345E-4"/>
    <n v="7377.73"/>
    <n v="9.0263959721957057E-5"/>
    <n v="49566.037328640006"/>
    <n v="4.3973211760252345E-4"/>
    <n v="7377.73"/>
    <n v="9.0263959721957057E-5"/>
    <n v="0"/>
    <n v="0"/>
    <n v="0"/>
    <n v="0"/>
    <m/>
    <n v="4"/>
    <s v="No"/>
    <m/>
  </r>
  <r>
    <x v="114"/>
    <s v="NEW MILFORD"/>
    <s v="No"/>
    <n v="101.72079360000001"/>
    <n v="9.0243042181004869E-7"/>
    <n v="0"/>
    <n v="0"/>
    <n v="101.72079360000001"/>
    <n v="9.0243042181004869E-7"/>
    <n v="0"/>
    <n v="0"/>
    <n v="0"/>
    <n v="0"/>
    <n v="0"/>
    <n v="0"/>
    <m/>
    <n v="2"/>
    <s v="No"/>
    <m/>
  </r>
  <r>
    <x v="421"/>
    <s v="NEW MILFORD"/>
    <s v="No"/>
    <n v="644.94757440000012"/>
    <n v="5.7217437164308539E-6"/>
    <n v="0"/>
    <n v="0"/>
    <n v="644.94757440000012"/>
    <n v="5.7217437164308539E-6"/>
    <n v="0"/>
    <n v="0"/>
    <n v="0"/>
    <n v="0"/>
    <n v="0"/>
    <n v="0"/>
    <m/>
    <n v="3"/>
    <s v="No"/>
    <m/>
  </r>
  <r>
    <x v="52"/>
    <s v="NEW MILFORD"/>
    <s v="No"/>
    <n v="82.426723199999998"/>
    <n v="7.3126034464792179E-7"/>
    <n v="0"/>
    <n v="0"/>
    <n v="82.426723199999998"/>
    <n v="7.3126034464792179E-7"/>
    <n v="0"/>
    <n v="0"/>
    <n v="0"/>
    <n v="0"/>
    <n v="0"/>
    <n v="0"/>
    <m/>
    <n v="1"/>
    <s v="No"/>
    <m/>
  </r>
  <r>
    <x v="16"/>
    <s v="NEWINGTON"/>
    <s v="No"/>
    <n v="585.9944352"/>
    <n v="5.1987325955730369E-6"/>
    <n v="0"/>
    <n v="0"/>
    <n v="585.9944352"/>
    <n v="5.1987325955730369E-6"/>
    <n v="0"/>
    <n v="0"/>
    <n v="0"/>
    <n v="0"/>
    <n v="0"/>
    <n v="0"/>
    <m/>
    <n v="2"/>
    <s v="No"/>
    <m/>
  </r>
  <r>
    <x v="392"/>
    <s v="NEWINGTON"/>
    <s v="No"/>
    <n v="152.5175136"/>
    <n v="1.3530807149686632E-6"/>
    <n v="0"/>
    <n v="0"/>
    <n v="152.5175136"/>
    <n v="1.3530807149686632E-6"/>
    <n v="0"/>
    <n v="0"/>
    <n v="0"/>
    <n v="0"/>
    <n v="0"/>
    <n v="0"/>
    <m/>
    <n v="4"/>
    <s v="Yes"/>
    <m/>
  </r>
  <r>
    <x v="422"/>
    <s v="NEWINGTON"/>
    <s v="No"/>
    <n v="234.1974816"/>
    <n v="2.0777161151359629E-6"/>
    <n v="0"/>
    <n v="0"/>
    <n v="234.1974816"/>
    <n v="2.0777161151359629E-6"/>
    <n v="0"/>
    <n v="0"/>
    <n v="0"/>
    <n v="0"/>
    <n v="0"/>
    <n v="0"/>
    <m/>
    <n v="1"/>
    <s v="No"/>
    <m/>
  </r>
  <r>
    <x v="423"/>
    <s v="NEWINGTON"/>
    <s v="No"/>
    <n v="339493.02707520005"/>
    <n v="3.0118604543117036E-3"/>
    <n v="315843.81949999998"/>
    <n v="3.8642392445612777E-3"/>
    <n v="100798.62502464"/>
    <n v="8.9424927273531215E-4"/>
    <n v="230400.13449999999"/>
    <n v="2.8188654857851251E-3"/>
    <n v="238694.40205056005"/>
    <n v="2.1176111815763917E-3"/>
    <n v="85443.684999999998"/>
    <n v="1.0453737587761531E-3"/>
    <m/>
    <n v="4"/>
    <s v="No"/>
    <m/>
  </r>
  <r>
    <x v="424"/>
    <s v="NEWINGTON"/>
    <s v="No"/>
    <n v="75521.807827200013"/>
    <n v="6.7000241033665653E-4"/>
    <n v="9254.0817000000006"/>
    <n v="1.1322046995925577E-4"/>
    <n v="75520.036454400019"/>
    <n v="6.6998669535207455E-4"/>
    <n v="9254.0817000000006"/>
    <n v="1.1322046995925577E-4"/>
    <n v="1.7713728"/>
    <n v="1.5714984581941433E-8"/>
    <n v="0"/>
    <n v="0"/>
    <m/>
    <n v="4"/>
    <s v="No"/>
    <m/>
  </r>
  <r>
    <x v="425"/>
    <s v="NEWINGTON"/>
    <s v="No"/>
    <n v="49848.942931199999"/>
    <n v="4.4224195470873574E-4"/>
    <n v="7119.7650000000003"/>
    <n v="8.710784769702872E-5"/>
    <n v="49848.942931199999"/>
    <n v="4.4224195470873574E-4"/>
    <n v="7119.7650000000003"/>
    <n v="8.710784769702872E-5"/>
    <n v="0"/>
    <n v="0"/>
    <n v="0"/>
    <n v="0"/>
    <m/>
    <n v="4"/>
    <s v="No"/>
    <m/>
  </r>
  <r>
    <x v="402"/>
    <s v="NEWINGTON"/>
    <s v="No"/>
    <n v="64243.089359999998"/>
    <n v="5.6994166264079805E-4"/>
    <n v="12201.13"/>
    <n v="1.4927658058540527E-4"/>
    <n v="64243.089359999998"/>
    <n v="5.6994166264079805E-4"/>
    <n v="12201.13"/>
    <n v="1.4927658058540527E-4"/>
    <n v="0"/>
    <n v="0"/>
    <n v="0"/>
    <n v="0"/>
    <m/>
    <n v="3"/>
    <s v="No"/>
    <m/>
  </r>
  <r>
    <x v="426"/>
    <s v="NEWINGTON"/>
    <s v="No"/>
    <n v="83430.791717760003"/>
    <n v="7.4016808065685861E-4"/>
    <n v="52850.414900000003"/>
    <n v="6.4660643881279468E-4"/>
    <n v="83406.999749759998"/>
    <n v="7.3995700684433648E-4"/>
    <n v="52850.414900000003"/>
    <n v="6.4660643881279468E-4"/>
    <n v="23.791968000000001"/>
    <n v="2.1107381252215455E-7"/>
    <n v="0"/>
    <n v="0"/>
    <m/>
    <n v="4"/>
    <s v="No"/>
    <m/>
  </r>
  <r>
    <x v="427"/>
    <s v="NEWINGTON"/>
    <s v="No"/>
    <n v="67984.732339200011"/>
    <n v="6.031361780636709E-4"/>
    <n v="18676.55"/>
    <n v="2.2850109138517093E-4"/>
    <n v="67984.732339200011"/>
    <n v="6.031361780636709E-4"/>
    <n v="18676.55"/>
    <n v="2.2850109138517093E-4"/>
    <n v="0"/>
    <n v="0"/>
    <n v="0"/>
    <n v="0"/>
    <m/>
    <n v="4"/>
    <s v="No"/>
    <m/>
  </r>
  <r>
    <x v="428"/>
    <s v="NEWINGTON"/>
    <s v="No"/>
    <n v="56666.718339840008"/>
    <n v="5.0272681449088728E-4"/>
    <n v="14589.277"/>
    <n v="1.7849472825658767E-4"/>
    <n v="56666.718339840008"/>
    <n v="5.0272681449088728E-4"/>
    <n v="14589.277"/>
    <n v="1.7849472825658767E-4"/>
    <n v="0"/>
    <n v="0"/>
    <n v="0"/>
    <n v="0"/>
    <m/>
    <n v="3"/>
    <s v="No"/>
    <m/>
  </r>
  <r>
    <x v="366"/>
    <s v="NEWTOWN"/>
    <s v="No"/>
    <n v="355.06762559999999"/>
    <n v="3.150032710139025E-6"/>
    <n v="0"/>
    <n v="0"/>
    <n v="355.06762559999999"/>
    <n v="3.150032710139025E-6"/>
    <n v="0"/>
    <n v="0"/>
    <n v="0"/>
    <n v="0"/>
    <n v="0"/>
    <n v="0"/>
    <m/>
    <n v="3"/>
    <s v="No"/>
    <m/>
  </r>
  <r>
    <x v="368"/>
    <s v="NEWTOWN"/>
    <s v="No"/>
    <n v="1648.5344640000001"/>
    <n v="1.4625206892958437E-5"/>
    <n v="0"/>
    <n v="0"/>
    <n v="1648.5344640000001"/>
    <n v="1.4625206892958437E-5"/>
    <n v="0"/>
    <n v="0"/>
    <n v="0"/>
    <n v="0"/>
    <n v="0"/>
    <n v="0"/>
    <m/>
    <n v="2"/>
    <s v="No"/>
    <m/>
  </r>
  <r>
    <x v="25"/>
    <s v="NEWTOWN"/>
    <s v="No"/>
    <n v="293.72371199999998"/>
    <n v="2.6058114957114649E-6"/>
    <n v="0"/>
    <n v="0"/>
    <n v="293.72371199999998"/>
    <n v="2.6058114957114649E-6"/>
    <n v="0"/>
    <n v="0"/>
    <n v="0"/>
    <n v="0"/>
    <n v="0"/>
    <n v="0"/>
    <m/>
    <n v="1"/>
    <s v="No"/>
    <m/>
  </r>
  <r>
    <x v="71"/>
    <s v="NEWTOWN"/>
    <s v="No"/>
    <n v="816.99071040000001"/>
    <n v="7.2480487549122235E-6"/>
    <n v="0"/>
    <n v="0"/>
    <n v="816.99071040000001"/>
    <n v="7.2480487549122235E-6"/>
    <n v="0"/>
    <n v="0"/>
    <n v="0"/>
    <n v="0"/>
    <n v="0"/>
    <n v="0"/>
    <m/>
    <n v="1"/>
    <s v="No"/>
    <m/>
  </r>
  <r>
    <x v="26"/>
    <s v="NEWTOWN"/>
    <s v="No"/>
    <n v="755.54259840000009"/>
    <n v="6.7029031296269031E-6"/>
    <n v="0"/>
    <n v="0"/>
    <n v="755.54259840000009"/>
    <n v="6.7029031296269031E-6"/>
    <n v="0"/>
    <n v="0"/>
    <n v="0"/>
    <n v="0"/>
    <n v="0"/>
    <n v="0"/>
    <m/>
    <n v="4"/>
    <s v="No"/>
    <m/>
  </r>
  <r>
    <x v="429"/>
    <s v="NEWTOWN"/>
    <s v="No"/>
    <n v="301855.53053664003"/>
    <n v="2.677954075142765E-3"/>
    <n v="142597.049"/>
    <n v="1.7446252827639313E-3"/>
    <n v="176786.60665248003"/>
    <n v="1.5683874099441228E-3"/>
    <n v="93877.471000000005"/>
    <n v="1.1485581962396554E-3"/>
    <n v="125068.92388416"/>
    <n v="1.109566665198642E-3"/>
    <n v="48719.578000000001"/>
    <n v="5.9606708652427585E-4"/>
    <m/>
    <n v="2"/>
    <s v="No"/>
    <m/>
  </r>
  <r>
    <x v="430"/>
    <s v="NEWTOWN"/>
    <s v="No"/>
    <n v="46300.658607359997"/>
    <n v="4.1076284797214699E-4"/>
    <n v="12190.543"/>
    <n v="1.4914705232378869E-4"/>
    <n v="46297.806465599999"/>
    <n v="4.1073754479272373E-4"/>
    <n v="12190.543"/>
    <n v="1.4914705232378869E-4"/>
    <n v="2.8521417599999999"/>
    <n v="2.5303179423276289E-8"/>
    <n v="0"/>
    <n v="0"/>
    <m/>
    <n v="2"/>
    <s v="No"/>
    <m/>
  </r>
  <r>
    <x v="431"/>
    <s v="NEWTOWN"/>
    <s v="No"/>
    <n v="78817.512913920014"/>
    <n v="6.992407246115684E-4"/>
    <n v="22507.883300000001"/>
    <n v="2.7537612132969225E-4"/>
    <n v="78817.512913920014"/>
    <n v="6.992407246115684E-4"/>
    <n v="22507.883300000001"/>
    <n v="2.7537612132969225E-4"/>
    <n v="0"/>
    <n v="0"/>
    <n v="0"/>
    <n v="0"/>
    <m/>
    <n v="1"/>
    <s v="No"/>
    <m/>
  </r>
  <r>
    <x v="29"/>
    <s v="NEWTOWN"/>
    <s v="No"/>
    <n v="125089.12448064002"/>
    <n v="1.109745877650267E-3"/>
    <n v="19995.774300000001"/>
    <n v="2.4464134171683493E-4"/>
    <n v="125089.12448064002"/>
    <n v="1.109745877650267E-3"/>
    <n v="19995.774300000001"/>
    <n v="2.4464134171683493E-4"/>
    <n v="0"/>
    <n v="0"/>
    <n v="0"/>
    <n v="0"/>
    <m/>
    <n v="2"/>
    <s v="No"/>
    <m/>
  </r>
  <r>
    <x v="432"/>
    <s v="NEWTOWN"/>
    <s v="No"/>
    <n v="88437.196612800006"/>
    <n v="7.8458311047808528E-4"/>
    <n v="18717.475399999999"/>
    <n v="2.2900179941558204E-4"/>
    <n v="88437.196612800006"/>
    <n v="7.8458311047808528E-4"/>
    <n v="18717.475399999999"/>
    <n v="2.2900179941558204E-4"/>
    <n v="0"/>
    <n v="0"/>
    <n v="0"/>
    <n v="0"/>
    <m/>
    <n v="2"/>
    <s v="No"/>
    <m/>
  </r>
  <r>
    <x v="433"/>
    <s v="NEWTOWN"/>
    <s v="No"/>
    <n v="84605.596839359991"/>
    <n v="7.5059053061924351E-4"/>
    <n v="9151.4843000000001"/>
    <n v="1.1196522646550125E-4"/>
    <n v="84605.596839359991"/>
    <n v="7.5059053061924351E-4"/>
    <n v="9151.4843000000001"/>
    <n v="1.1196522646550125E-4"/>
    <n v="0"/>
    <n v="0"/>
    <n v="0"/>
    <n v="0"/>
    <m/>
    <n v="2"/>
    <s v="No"/>
    <m/>
  </r>
  <r>
    <x v="209"/>
    <s v="NORFOLK"/>
    <s v="No"/>
    <n v="153.95313599999997"/>
    <n v="1.3658170423422626E-6"/>
    <n v="0"/>
    <n v="0"/>
    <n v="153.95313599999997"/>
    <n v="1.3658170423422626E-6"/>
    <n v="0"/>
    <n v="0"/>
    <n v="0"/>
    <n v="0"/>
    <n v="0"/>
    <n v="0"/>
    <m/>
    <n v="3"/>
    <s v="No"/>
    <m/>
  </r>
  <r>
    <x v="80"/>
    <s v="NORFOLK"/>
    <s v="No"/>
    <n v="54512.674021440005"/>
    <n v="4.8361690535573821E-4"/>
    <n v="13119.833199999999"/>
    <n v="1.6051659460614512E-4"/>
    <n v="40182.115245120003"/>
    <n v="3.5648132428524066E-4"/>
    <n v="13119.833199999999"/>
    <n v="1.6051659460614512E-4"/>
    <n v="14330.55877632"/>
    <n v="1.2713558107049758E-4"/>
    <n v="0"/>
    <n v="0"/>
    <m/>
    <n v="1"/>
    <s v="No"/>
    <m/>
  </r>
  <r>
    <x v="77"/>
    <s v="NORTH CANAAN"/>
    <s v="No"/>
    <n v="81507.38129568001"/>
    <n v="7.2310427278551024E-4"/>
    <n v="21234.362000000001"/>
    <n v="2.5979503130223739E-4"/>
    <n v="49637.050853759996"/>
    <n v="4.4036212414455116E-4"/>
    <n v="18834.362000000001"/>
    <n v="2.3043186629989967E-4"/>
    <n v="31870.330441920007"/>
    <n v="2.8274214864095897E-4"/>
    <n v="2400"/>
    <n v="2.9363165002337707E-5"/>
    <m/>
    <n v="1"/>
    <s v="No"/>
    <m/>
  </r>
  <r>
    <x v="434"/>
    <s v="NORTH STONINGTON"/>
    <s v="No"/>
    <n v="149000.57273376"/>
    <n v="1.3218796761537051E-3"/>
    <n v="51278.805999999997"/>
    <n v="6.2737835070869358E-4"/>
    <n v="113517.05510016001"/>
    <n v="1.0070826257953215E-3"/>
    <n v="51278.805999999997"/>
    <n v="6.2737835070869358E-4"/>
    <n v="35483.5176336"/>
    <n v="3.147970503583836E-4"/>
    <n v="0"/>
    <n v="0"/>
    <m/>
    <n v="3"/>
    <s v="No"/>
    <m/>
  </r>
  <r>
    <x v="435"/>
    <s v="NORTH STONINGTON"/>
    <s v="No"/>
    <n v="176.22264960000001"/>
    <n v="1.5633841851093503E-6"/>
    <n v="0"/>
    <n v="0"/>
    <n v="176.22264960000001"/>
    <n v="1.5633841851093503E-6"/>
    <n v="0"/>
    <n v="0"/>
    <n v="0"/>
    <n v="0"/>
    <n v="0"/>
    <n v="0"/>
    <m/>
    <n v="2"/>
    <s v="No"/>
    <m/>
  </r>
  <r>
    <x v="405"/>
    <s v="NORWALK"/>
    <s v="No"/>
    <n v="1061.2722816"/>
    <n v="9.4152272986159715E-6"/>
    <n v="0"/>
    <n v="0"/>
    <n v="1061.2722816"/>
    <n v="9.4152272986159715E-6"/>
    <n v="0"/>
    <n v="0"/>
    <n v="0"/>
    <n v="0"/>
    <n v="0"/>
    <n v="0"/>
    <m/>
    <n v="3"/>
    <s v="No"/>
    <m/>
  </r>
  <r>
    <x v="406"/>
    <s v="NORWALK"/>
    <s v="No"/>
    <n v="3028.5282326400002"/>
    <n v="2.6868016987678677E-5"/>
    <n v="0"/>
    <n v="0"/>
    <n v="3028.5282326400002"/>
    <n v="2.6868016987678677E-5"/>
    <n v="0"/>
    <n v="0"/>
    <n v="0"/>
    <n v="0"/>
    <n v="0"/>
    <n v="0"/>
    <m/>
    <n v="2"/>
    <s v="No"/>
    <m/>
  </r>
  <r>
    <x v="436"/>
    <s v="NORWALK"/>
    <s v="No"/>
    <n v="83103.254467200008"/>
    <n v="7.3726228756657193E-4"/>
    <n v="25488.235000000001"/>
    <n v="3.1183968746806626E-4"/>
    <n v="83103.254467200008"/>
    <n v="7.3726228756657193E-4"/>
    <n v="25488.235000000001"/>
    <n v="3.1183968746806626E-4"/>
    <n v="0"/>
    <n v="0"/>
    <n v="0"/>
    <n v="0"/>
    <m/>
    <n v="1"/>
    <s v="No"/>
    <m/>
  </r>
  <r>
    <x v="437"/>
    <s v="NORWALK"/>
    <s v="No"/>
    <n v="81284.181955200009"/>
    <n v="7.2112412823641093E-4"/>
    <n v="15735.29"/>
    <n v="1.9251579859568105E-4"/>
    <n v="81284.181955200009"/>
    <n v="7.2112412823641093E-4"/>
    <n v="15735.29"/>
    <n v="1.9251579859568105E-4"/>
    <n v="0"/>
    <n v="0"/>
    <n v="0"/>
    <n v="0"/>
    <m/>
    <n v="3"/>
    <s v="No"/>
    <m/>
  </r>
  <r>
    <x v="438"/>
    <s v="NORWALK"/>
    <s v="No"/>
    <n v="85645.313366399991"/>
    <n v="7.5981452298946807E-4"/>
    <n v="11611.1448"/>
    <n v="1.4205831692851476E-4"/>
    <n v="85645.313366399991"/>
    <n v="7.5981452298946807E-4"/>
    <n v="11611.1448"/>
    <n v="1.4205831692851476E-4"/>
    <n v="0"/>
    <n v="0"/>
    <n v="0"/>
    <n v="0"/>
    <m/>
    <n v="4"/>
    <s v="No"/>
    <m/>
  </r>
  <r>
    <x v="439"/>
    <s v="NORWALK"/>
    <s v="No"/>
    <n v="115974.89911584"/>
    <n v="1.0288877369561274E-3"/>
    <n v="22248.071899999999"/>
    <n v="2.7219741924315539E-4"/>
    <n v="115974.89911584"/>
    <n v="1.0288877369561274E-3"/>
    <n v="22248.071899999999"/>
    <n v="2.7219741924315539E-4"/>
    <n v="0"/>
    <n v="0"/>
    <n v="0"/>
    <n v="0"/>
    <m/>
    <n v="3"/>
    <s v="No"/>
    <m/>
  </r>
  <r>
    <x v="440"/>
    <s v="NORWALK"/>
    <s v="No"/>
    <n v="41161.070211839993"/>
    <n v="3.6516626187060923E-4"/>
    <n v="22228.298200000001"/>
    <n v="2.7195549490323595E-4"/>
    <n v="41161.070211839993"/>
    <n v="3.6516626187060923E-4"/>
    <n v="22228.298200000001"/>
    <n v="2.7195549490323595E-4"/>
    <n v="0"/>
    <n v="0"/>
    <n v="0"/>
    <n v="0"/>
    <m/>
    <n v="1"/>
    <s v="No"/>
    <m/>
  </r>
  <r>
    <x v="441"/>
    <s v="NORWALK"/>
    <s v="No"/>
    <n v="63115.726927679993"/>
    <n v="5.5994010721318341E-4"/>
    <n v="13700.7127"/>
    <n v="1.6762345319155155E-4"/>
    <n v="63115.726927679993"/>
    <n v="5.5994010721318341E-4"/>
    <n v="13700.7127"/>
    <n v="1.6762345319155155E-4"/>
    <n v="0"/>
    <n v="0"/>
    <n v="0"/>
    <n v="0"/>
    <m/>
    <n v="3"/>
    <s v="No"/>
    <m/>
  </r>
  <r>
    <x v="442"/>
    <s v="NORWALK"/>
    <s v="No"/>
    <n v="104499.4986432"/>
    <n v="9.2708209700323831E-4"/>
    <n v="28444.488799999999"/>
    <n v="3.4800842418397784E-4"/>
    <n v="104499.4986432"/>
    <n v="9.2708209700323831E-4"/>
    <n v="28444.488799999999"/>
    <n v="3.4800842418397784E-4"/>
    <n v="0"/>
    <n v="0"/>
    <n v="0"/>
    <n v="0"/>
    <m/>
    <n v="5"/>
    <s v="No"/>
    <m/>
  </r>
  <r>
    <x v="443"/>
    <s v="NORWALK"/>
    <s v="No"/>
    <n v="59452.694694720005"/>
    <n v="5.2744299815510104E-4"/>
    <n v="4285.76"/>
    <n v="5.2434782516841187E-5"/>
    <n v="59452.694694720005"/>
    <n v="5.2744299815510104E-4"/>
    <n v="4285.76"/>
    <n v="5.2434782516841187E-5"/>
    <n v="0"/>
    <n v="0"/>
    <n v="0"/>
    <n v="0"/>
    <m/>
    <n v="3"/>
    <s v="No"/>
    <m/>
  </r>
  <r>
    <x v="444"/>
    <s v="NORWALK"/>
    <s v="No"/>
    <n v="64142.895072960004"/>
    <n v="5.6905277483805419E-4"/>
    <n v="25985.81"/>
    <n v="3.1792734447891552E-4"/>
    <n v="64142.895072960004"/>
    <n v="5.6905277483805419E-4"/>
    <n v="25985.81"/>
    <n v="3.1792734447891552E-4"/>
    <n v="0"/>
    <n v="0"/>
    <n v="0"/>
    <n v="0"/>
    <m/>
    <n v="4"/>
    <s v="No"/>
    <m/>
  </r>
  <r>
    <x v="445"/>
    <s v="NORWALK"/>
    <s v="No"/>
    <n v="65534.864711040005"/>
    <n v="5.8140183055402654E-4"/>
    <n v="6121.5024000000003"/>
    <n v="7.4894452097252611E-5"/>
    <n v="65534.864711040005"/>
    <n v="5.8140183055402654E-4"/>
    <n v="6121.5024000000003"/>
    <n v="7.4894452097252611E-5"/>
    <n v="0"/>
    <n v="0"/>
    <n v="0"/>
    <n v="0"/>
    <m/>
    <n v="5"/>
    <s v="No"/>
    <m/>
  </r>
  <r>
    <x v="446"/>
    <s v="NORWALK"/>
    <s v="No"/>
    <n v="43101.77930496"/>
    <n v="3.8238353735119384E-4"/>
    <n v="5348.7452000000003"/>
    <n v="6.5440036609609086E-5"/>
    <n v="43101.77930496"/>
    <n v="3.8238353735119384E-4"/>
    <n v="5348.7452000000003"/>
    <n v="6.5440036609609086E-5"/>
    <n v="0"/>
    <n v="0"/>
    <n v="0"/>
    <n v="0"/>
    <m/>
    <n v="1"/>
    <s v="No"/>
    <m/>
  </r>
  <r>
    <x v="447"/>
    <s v="NORWALK"/>
    <s v="No"/>
    <n v="52708.824316800004"/>
    <n v="4.6761379731628024E-4"/>
    <n v="17760.28"/>
    <n v="2.172908467198826E-4"/>
    <n v="52708.824316800004"/>
    <n v="4.6761379731628024E-4"/>
    <n v="17760.28"/>
    <n v="2.172908467198826E-4"/>
    <n v="0"/>
    <n v="0"/>
    <n v="0"/>
    <n v="0"/>
    <m/>
    <n v="4"/>
    <s v="No"/>
    <m/>
  </r>
  <r>
    <x v="448"/>
    <s v="NORWALK"/>
    <s v="No"/>
    <n v="48043.2251808"/>
    <n v="4.2622227403684446E-4"/>
    <n v="204.88"/>
    <n v="2.5066355190328954E-6"/>
    <n v="48043.2251808"/>
    <n v="4.2622227403684446E-4"/>
    <n v="204.88"/>
    <n v="2.5066355190328954E-6"/>
    <n v="0"/>
    <n v="0"/>
    <n v="0"/>
    <n v="0"/>
    <m/>
    <n v="4"/>
    <s v="No"/>
    <m/>
  </r>
  <r>
    <x v="449"/>
    <s v="NORWALK"/>
    <s v="No"/>
    <n v="111989.26689984"/>
    <n v="9.9352863647556846E-4"/>
    <n v="20916.12"/>
    <n v="2.559014511536232E-4"/>
    <n v="111989.26689984"/>
    <n v="9.9352863647556846E-4"/>
    <n v="20916.12"/>
    <n v="2.559014511536232E-4"/>
    <n v="0"/>
    <n v="0"/>
    <n v="0"/>
    <n v="0"/>
    <m/>
    <n v="4"/>
    <s v="No"/>
    <m/>
  </r>
  <r>
    <x v="450"/>
    <s v="NORWALK"/>
    <s v="No"/>
    <n v="84960.330451200018"/>
    <n v="7.5373760007902205E-4"/>
    <n v="29575.041700000002"/>
    <n v="3.6184034557838263E-4"/>
    <n v="84960.330451200018"/>
    <n v="7.5373760007902205E-4"/>
    <n v="29575.041700000002"/>
    <n v="3.6184034557838263E-4"/>
    <n v="0"/>
    <n v="0"/>
    <n v="0"/>
    <n v="0"/>
    <m/>
    <n v="5"/>
    <s v="No"/>
    <m/>
  </r>
  <r>
    <x v="451"/>
    <s v="NORWALK"/>
    <s v="No"/>
    <n v="9493.4351807999992"/>
    <n v="8.4222354264405769E-5"/>
    <n v="1151.32"/>
    <n v="1.4085999637704769E-5"/>
    <n v="9493.4351807999992"/>
    <n v="8.4222354264405769E-5"/>
    <n v="1151.32"/>
    <n v="1.4085999637704769E-5"/>
    <n v="0"/>
    <n v="0"/>
    <n v="0"/>
    <n v="0"/>
    <m/>
    <n v="4"/>
    <s v="No"/>
    <m/>
  </r>
  <r>
    <x v="452"/>
    <s v="NORWALK"/>
    <s v="No"/>
    <n v="1613.0028096000001"/>
    <n v="1.4309982790461847E-5"/>
    <n v="0"/>
    <n v="0"/>
    <n v="1613.0028096000001"/>
    <n v="1.4309982790461847E-5"/>
    <n v="0"/>
    <n v="0"/>
    <n v="0"/>
    <n v="0"/>
    <n v="0"/>
    <n v="0"/>
    <m/>
    <n v="4"/>
    <s v="No"/>
    <m/>
  </r>
  <r>
    <x v="453"/>
    <s v="NORWALK"/>
    <s v="No"/>
    <n v="5216.0098175999992"/>
    <n v="4.6274569567083301E-5"/>
    <n v="0"/>
    <n v="0"/>
    <n v="5216.0098175999992"/>
    <n v="4.6274569567083301E-5"/>
    <n v="0"/>
    <n v="0"/>
    <n v="0"/>
    <n v="0"/>
    <n v="0"/>
    <n v="0"/>
    <m/>
    <n v="3"/>
    <s v="No"/>
    <m/>
  </r>
  <r>
    <x v="454"/>
    <s v="NORWALK"/>
    <s v="No"/>
    <n v="12491.628364799999"/>
    <n v="1.1082124957331075E-4"/>
    <n v="297.27"/>
    <n v="3.6369950251020541E-6"/>
    <n v="12491.628364799999"/>
    <n v="1.1082124957331075E-4"/>
    <n v="297.27"/>
    <n v="3.6369950251020541E-6"/>
    <n v="0"/>
    <n v="0"/>
    <n v="0"/>
    <n v="0"/>
    <m/>
    <n v="2"/>
    <s v="No"/>
    <m/>
  </r>
  <r>
    <x v="455"/>
    <s v="NORWALK"/>
    <s v="No"/>
    <n v="22822.7260608"/>
    <n v="2.0247504543557683E-4"/>
    <n v="1502.88"/>
    <n v="1.8387213924463873E-5"/>
    <n v="22822.7260608"/>
    <n v="2.0247504543557683E-4"/>
    <n v="1502.88"/>
    <n v="1.8387213924463873E-5"/>
    <n v="0"/>
    <n v="0"/>
    <n v="0"/>
    <n v="0"/>
    <m/>
    <n v="3"/>
    <s v="No"/>
    <m/>
  </r>
  <r>
    <x v="456"/>
    <s v="NORWALK"/>
    <s v="No"/>
    <n v="641725.94221919996"/>
    <n v="5.6931625504278759E-3"/>
    <n v="1222150.5935999991"/>
    <n v="1.4952587307325727E-2"/>
    <n v="156777.56966879999"/>
    <n v="1.3908744055116126E-3"/>
    <n v="950399.07779999904"/>
    <n v="1.1627802058129568E-2"/>
    <n v="484948.37255039997"/>
    <n v="4.3022881449162626E-3"/>
    <n v="271751.51579999999"/>
    <n v="3.3247852491961592E-3"/>
    <m/>
    <n v="1"/>
    <s v="No"/>
    <m/>
  </r>
  <r>
    <x v="457"/>
    <s v="NORWALK"/>
    <s v="No"/>
    <n v="471.47460479999995"/>
    <n v="4.1827537067346465E-6"/>
    <n v="0"/>
    <n v="0"/>
    <n v="471.47460479999995"/>
    <n v="4.1827537067346465E-6"/>
    <n v="0"/>
    <n v="0"/>
    <n v="0"/>
    <n v="0"/>
    <n v="0"/>
    <n v="0"/>
    <m/>
    <n v="4"/>
    <s v="No"/>
    <m/>
  </r>
  <r>
    <x v="458"/>
    <s v="NORWALK"/>
    <s v="No"/>
    <n v="3578.4509184000003"/>
    <n v="3.1746733951142399E-5"/>
    <n v="0"/>
    <n v="0"/>
    <n v="3578.4509184000003"/>
    <n v="3.1746733951142399E-5"/>
    <n v="0"/>
    <n v="0"/>
    <n v="0"/>
    <n v="0"/>
    <n v="0"/>
    <n v="0"/>
    <m/>
    <n v="4"/>
    <s v="No"/>
    <m/>
  </r>
  <r>
    <x v="459"/>
    <s v="NORWALK"/>
    <s v="No"/>
    <n v="42.460847999999999"/>
    <n v="3.7669742453771378E-7"/>
    <n v="0"/>
    <n v="0"/>
    <n v="42.460847999999999"/>
    <n v="3.7669742453771378E-7"/>
    <n v="0"/>
    <n v="0"/>
    <n v="0"/>
    <n v="0"/>
    <n v="0"/>
    <n v="0"/>
    <m/>
    <n v="3"/>
    <s v="No"/>
    <m/>
  </r>
  <r>
    <x v="308"/>
    <s v="OLD LYME"/>
    <s v="No"/>
    <n v="4295.9437343999998"/>
    <n v="3.8112073049210138E-5"/>
    <n v="4218.2299999999996"/>
    <n v="5.1608576461587901E-5"/>
    <n v="4295.9437343999998"/>
    <n v="3.8112073049210138E-5"/>
    <n v="4218.2299999999996"/>
    <n v="5.1608576461587901E-5"/>
    <n v="0"/>
    <n v="0"/>
    <n v="0"/>
    <n v="0"/>
    <m/>
    <n v="1"/>
    <s v="No"/>
    <m/>
  </r>
  <r>
    <x v="460"/>
    <s v="OLD LYME"/>
    <s v="No"/>
    <n v="111903.93362015999"/>
    <n v="9.9277159020360489E-4"/>
    <n v="24522.071"/>
    <n v="3.0001900707168352E-4"/>
    <n v="111864.65082335999"/>
    <n v="9.924230873102288E-4"/>
    <n v="24522.071"/>
    <n v="3.0001900707168352E-4"/>
    <n v="39.2827968"/>
    <n v="3.4850289337599532E-7"/>
    <n v="0"/>
    <n v="0"/>
    <m/>
    <n v="2"/>
    <s v="No"/>
    <m/>
  </r>
  <r>
    <x v="461"/>
    <s v="OLD LYME"/>
    <s v="No"/>
    <n v="168222.66808896"/>
    <n v="1.4924112165158332E-3"/>
    <n v="132131.85570000001"/>
    <n v="1.6165872837434069E-3"/>
    <n v="118541.5152624"/>
    <n v="1.0516578354757345E-3"/>
    <n v="90947.921300000002"/>
    <n v="1.1127161748964683E-3"/>
    <n v="49681.152826559999"/>
    <n v="4.4075338104009867E-4"/>
    <n v="41183.934399999998"/>
    <n v="5.0387110884693833E-4"/>
    <m/>
    <n v="1"/>
    <s v="No"/>
    <m/>
  </r>
  <r>
    <x v="193"/>
    <s v="OLD SAYBROOK"/>
    <s v="No"/>
    <n v="123009.35741279999"/>
    <n v="1.0912949296594569E-3"/>
    <n v="22006.809000000001"/>
    <n v="2.6924565160080439E-4"/>
    <n v="123009.35741279999"/>
    <n v="1.0912949296594569E-3"/>
    <n v="22006.809000000001"/>
    <n v="2.6924565160080439E-4"/>
    <n v="0"/>
    <n v="0"/>
    <n v="0"/>
    <n v="0"/>
    <m/>
    <n v="2"/>
    <s v="No"/>
    <m/>
  </r>
  <r>
    <x v="462"/>
    <s v="OLD SAYBROOK"/>
    <s v="No"/>
    <n v="309636.59236703999"/>
    <n v="2.7469848667953569E-3"/>
    <n v="207640.47029999999"/>
    <n v="2.5404089127424589E-3"/>
    <n v="157721.84856576001"/>
    <n v="1.3992517094347503E-3"/>
    <n v="155264.5803"/>
    <n v="1.8996081209865052E-3"/>
    <n v="151914.74380128001"/>
    <n v="1.3477331573606066E-3"/>
    <n v="52375.89"/>
    <n v="6.4080079175595395E-4"/>
    <m/>
    <n v="1"/>
    <s v="No"/>
    <m/>
  </r>
  <r>
    <x v="351"/>
    <s v="OXFORD"/>
    <s v="No"/>
    <n v="587.51688960000001"/>
    <n v="5.2122392653281044E-6"/>
    <n v="0"/>
    <n v="0"/>
    <n v="587.51688960000001"/>
    <n v="5.2122392653281044E-6"/>
    <n v="0"/>
    <n v="0"/>
    <n v="0"/>
    <n v="0"/>
    <n v="0"/>
    <n v="0"/>
    <m/>
    <n v="3"/>
    <s v="No"/>
    <m/>
  </r>
  <r>
    <x v="378"/>
    <s v="OXFORD"/>
    <s v="No"/>
    <n v="114.8034816"/>
    <n v="1.0184953406178514E-6"/>
    <n v="0"/>
    <n v="0"/>
    <n v="114.8034816"/>
    <n v="1.0184953406178514E-6"/>
    <n v="0"/>
    <n v="0"/>
    <n v="0"/>
    <n v="0"/>
    <n v="0"/>
    <n v="0"/>
    <m/>
    <n v="4"/>
    <s v="No"/>
    <m/>
  </r>
  <r>
    <x v="463"/>
    <s v="OXFORD"/>
    <s v="No"/>
    <n v="219250.79363231998"/>
    <n v="1.9451144567142115E-3"/>
    <n v="135049.008"/>
    <n v="1.6522776272108438E-3"/>
    <n v="140941.94373216"/>
    <n v="1.2503864080445129E-3"/>
    <n v="109352.74800000001"/>
    <n v="1.3378928262429395E-3"/>
    <n v="78308.849900159985"/>
    <n v="6.9472804866969851E-4"/>
    <n v="25696.26"/>
    <n v="3.1438480096790427E-4"/>
    <m/>
    <n v="1"/>
    <s v="No"/>
    <m/>
  </r>
  <r>
    <x v="379"/>
    <s v="OXFORD"/>
    <s v="No"/>
    <n v="131528.46519360002"/>
    <n v="1.1668734004518105E-3"/>
    <n v="33188.762199999997"/>
    <n v="4.0605295862581188E-4"/>
    <n v="131498.69918400003"/>
    <n v="1.1666093270834435E-3"/>
    <n v="33188.762199999997"/>
    <n v="4.0605295862581188E-4"/>
    <n v="29.7660096"/>
    <n v="2.6407336836713351E-7"/>
    <n v="0"/>
    <n v="0"/>
    <m/>
    <n v="2"/>
    <s v="No"/>
    <m/>
  </r>
  <r>
    <x v="229"/>
    <s v="PLAINFIELD"/>
    <s v="No"/>
    <n v="651.14737919999993"/>
    <n v="5.7767461624676474E-6"/>
    <n v="0"/>
    <n v="0"/>
    <n v="651.14737919999993"/>
    <n v="5.7767461624676474E-6"/>
    <n v="0"/>
    <n v="0"/>
    <n v="0"/>
    <n v="0"/>
    <n v="0"/>
    <n v="0"/>
    <m/>
    <n v="3"/>
    <s v="No"/>
    <m/>
  </r>
  <r>
    <x v="82"/>
    <s v="PLAINFIELD"/>
    <s v="No"/>
    <n v="366.52944960000002"/>
    <n v="3.2517179044927642E-6"/>
    <n v="0"/>
    <n v="0"/>
    <n v="366.52944960000002"/>
    <n v="3.2517179044927642E-6"/>
    <n v="0"/>
    <n v="0"/>
    <n v="0"/>
    <n v="0"/>
    <n v="0"/>
    <n v="0"/>
    <m/>
    <n v="1"/>
    <s v="No"/>
    <m/>
  </r>
  <r>
    <x v="295"/>
    <s v="PLAINFIELD"/>
    <s v="No"/>
    <n v="72711.842685120006"/>
    <n v="6.450734067505225E-4"/>
    <n v="10386.07"/>
    <n v="1.2706995297326231E-4"/>
    <n v="72711.842685120006"/>
    <n v="6.450734067505225E-4"/>
    <n v="10386.07"/>
    <n v="1.2706995297326231E-4"/>
    <n v="0"/>
    <n v="0"/>
    <n v="0"/>
    <n v="0"/>
    <m/>
    <n v="4"/>
    <s v="No"/>
    <m/>
  </r>
  <r>
    <x v="296"/>
    <s v="PLAINFIELD"/>
    <s v="No"/>
    <n v="94817.697647040011"/>
    <n v="8.4118862873948299E-4"/>
    <n v="24022.759900000001"/>
    <n v="2.9391010948135067E-4"/>
    <n v="94817.697647040011"/>
    <n v="8.4118862873948299E-4"/>
    <n v="24022.759900000001"/>
    <n v="2.9391010948135067E-4"/>
    <n v="0"/>
    <n v="0"/>
    <n v="0"/>
    <n v="0"/>
    <m/>
    <n v="3"/>
    <s v="No"/>
    <m/>
  </r>
  <r>
    <x v="464"/>
    <s v="PLAINFIELD"/>
    <s v="No"/>
    <n v="207982.41048864002"/>
    <n v="1.8451454003042117E-3"/>
    <n v="197372.1023"/>
    <n v="2.414779002788824E-3"/>
    <n v="111292.48756800001"/>
    <n v="9.8734705998479205E-4"/>
    <n v="140557.81229999999"/>
    <n v="1.7196759312218799E-3"/>
    <n v="96689.922920640005"/>
    <n v="8.5779834031941967E-4"/>
    <n v="56814.29"/>
    <n v="6.9510307156694375E-4"/>
    <m/>
    <n v="5"/>
    <s v="No"/>
    <m/>
  </r>
  <r>
    <x v="297"/>
    <s v="PLAINFIELD"/>
    <s v="No"/>
    <n v="115.2897408"/>
    <n v="1.0228092579540706E-6"/>
    <n v="0"/>
    <n v="0"/>
    <n v="115.2897408"/>
    <n v="1.0228092579540706E-6"/>
    <n v="0"/>
    <n v="0"/>
    <n v="0"/>
    <n v="0"/>
    <n v="0"/>
    <n v="0"/>
    <m/>
    <e v="#N/A"/>
    <e v="#N/A"/>
    <m/>
  </r>
  <r>
    <x v="56"/>
    <s v="PLAINVILLE"/>
    <s v="No"/>
    <n v="1739.9048831999999"/>
    <n v="1.5435812502897533E-5"/>
    <n v="0"/>
    <n v="0"/>
    <n v="1739.9048831999999"/>
    <n v="1.5435812502897533E-5"/>
    <n v="0"/>
    <n v="0"/>
    <n v="0"/>
    <n v="0"/>
    <n v="0"/>
    <n v="0"/>
    <m/>
    <n v="4"/>
    <s v="No"/>
    <m/>
  </r>
  <r>
    <x v="465"/>
    <s v="PLAINVILLE"/>
    <s v="No"/>
    <n v="59279.313767040003"/>
    <n v="5.2590482470832919E-4"/>
    <n v="16805.87"/>
    <n v="2.0561397242409882E-4"/>
    <n v="59279.313767040003"/>
    <n v="5.2590482470832919E-4"/>
    <n v="16805.87"/>
    <n v="2.0561397242409882E-4"/>
    <n v="0"/>
    <n v="0"/>
    <n v="0"/>
    <n v="0"/>
    <m/>
    <n v="4"/>
    <s v="No"/>
    <m/>
  </r>
  <r>
    <x v="67"/>
    <s v="PLAINVILLE"/>
    <s v="No"/>
    <n v="98484.200844479987"/>
    <n v="8.7371653095036036E-4"/>
    <n v="15583.0162"/>
    <n v="1.9065278163112563E-4"/>
    <n v="98461.290510719991"/>
    <n v="8.7351327868081814E-4"/>
    <n v="15583.0162"/>
    <n v="1.9065278163112563E-4"/>
    <n v="22.91033376"/>
    <n v="2.0325226954231901E-7"/>
    <n v="0"/>
    <n v="0"/>
    <m/>
    <n v="4"/>
    <s v="No"/>
    <m/>
  </r>
  <r>
    <x v="194"/>
    <s v="PLAINVILLE"/>
    <s v="No"/>
    <n v="270313.44936768"/>
    <n v="2.3981240363996205E-3"/>
    <n v="190483.17229999998"/>
    <n v="2.3304953410056761E-3"/>
    <n v="112485.94246655999"/>
    <n v="9.9793496408386853E-4"/>
    <n v="169878.43229999999"/>
    <n v="2.0784035158180644E-3"/>
    <n v="157827.50690112001"/>
    <n v="1.4001890723157522E-3"/>
    <n v="20604.740000000002"/>
    <n v="2.5209182518761162E-4"/>
    <m/>
    <n v="3"/>
    <s v="No"/>
    <m/>
  </r>
  <r>
    <x v="466"/>
    <s v="PLAINVILLE"/>
    <s v="No"/>
    <n v="69727.892843520007"/>
    <n v="6.1860087327025761E-4"/>
    <n v="8228.0300000000007"/>
    <n v="1.0066708438924364E-4"/>
    <n v="69727.892843520007"/>
    <n v="6.1860087327025761E-4"/>
    <n v="8228.0300000000007"/>
    <n v="1.0066708438924364E-4"/>
    <n v="0"/>
    <n v="0"/>
    <n v="0"/>
    <n v="0"/>
    <m/>
    <n v="1"/>
    <s v="No"/>
    <m/>
  </r>
  <r>
    <x v="307"/>
    <s v="PLYMOUTH"/>
    <s v="No"/>
    <n v="116.615376"/>
    <n v="1.0345698183111444E-6"/>
    <n v="0"/>
    <n v="0"/>
    <n v="116.615376"/>
    <n v="1.0345698183111444E-6"/>
    <n v="0"/>
    <n v="0"/>
    <n v="0"/>
    <n v="0"/>
    <n v="0"/>
    <n v="0"/>
    <m/>
    <n v="1"/>
    <s v="No"/>
    <m/>
  </r>
  <r>
    <x v="289"/>
    <s v="PLYMOUTH"/>
    <s v="No"/>
    <n v="69.610320000000002"/>
    <n v="6.1755780914328671E-7"/>
    <n v="0"/>
    <n v="0"/>
    <n v="69.610320000000002"/>
    <n v="6.1755780914328671E-7"/>
    <n v="0"/>
    <n v="0"/>
    <n v="0"/>
    <n v="0"/>
    <n v="0"/>
    <n v="0"/>
    <m/>
    <n v="1"/>
    <s v="No"/>
    <m/>
  </r>
  <r>
    <x v="290"/>
    <s v="PLYMOUTH"/>
    <s v="No"/>
    <n v="75679.634828159993"/>
    <n v="6.7140259492044373E-4"/>
    <n v="12089.58"/>
    <n v="1.4791180514540079E-4"/>
    <n v="75679.634828159993"/>
    <n v="6.7140259492044373E-4"/>
    <n v="12089.58"/>
    <n v="1.4791180514540079E-4"/>
    <n v="0"/>
    <n v="0"/>
    <n v="0"/>
    <n v="0"/>
    <m/>
    <n v="1"/>
    <s v="No"/>
    <m/>
  </r>
  <r>
    <x v="69"/>
    <s v="PLYMOUTH"/>
    <s v="No"/>
    <n v="172710.58232448"/>
    <n v="1.5322263830444556E-3"/>
    <n v="239097.30319999999"/>
    <n v="2.9252723189481531E-3"/>
    <n v="109175.17723776001"/>
    <n v="9.6856304162631489E-4"/>
    <n v="88599.410600000003"/>
    <n v="1.0839829635656952E-3"/>
    <n v="63535.405086719999"/>
    <n v="5.6366334141814088E-4"/>
    <n v="150497.89259999999"/>
    <n v="1.8412893553824577E-3"/>
    <m/>
    <n v="2"/>
    <s v="No"/>
    <m/>
  </r>
  <r>
    <x v="467"/>
    <s v="PLYMOUTH"/>
    <s v="No"/>
    <n v="59404.700332799999"/>
    <n v="5.2701720937840032E-4"/>
    <n v="14947.95"/>
    <n v="1.8288296762362246E-4"/>
    <n v="59404.700332799999"/>
    <n v="5.2701720937840032E-4"/>
    <n v="14947.95"/>
    <n v="1.8288296762362246E-4"/>
    <n v="0"/>
    <n v="0"/>
    <n v="0"/>
    <n v="0"/>
    <m/>
    <n v="3"/>
    <s v="No"/>
    <m/>
  </r>
  <r>
    <x v="468"/>
    <s v="POMFRET"/>
    <s v="No"/>
    <n v="83.202422399999989"/>
    <n v="7.3814206992236669E-7"/>
    <n v="0"/>
    <n v="0"/>
    <n v="83.202422399999989"/>
    <n v="7.3814206992236669E-7"/>
    <n v="0"/>
    <n v="0"/>
    <n v="0"/>
    <n v="0"/>
    <n v="0"/>
    <n v="0"/>
    <m/>
    <n v="1"/>
    <s v="No"/>
    <m/>
  </r>
  <r>
    <x v="4"/>
    <s v="POMFRET"/>
    <s v="No"/>
    <n v="150.11516160000002"/>
    <n v="1.33176790908139E-6"/>
    <n v="0"/>
    <n v="0"/>
    <n v="150.11516160000002"/>
    <n v="1.33176790908139E-6"/>
    <n v="0"/>
    <n v="0"/>
    <n v="0"/>
    <n v="0"/>
    <n v="0"/>
    <n v="0"/>
    <m/>
    <n v="2"/>
    <s v="No"/>
    <m/>
  </r>
  <r>
    <x v="74"/>
    <s v="POMFRET"/>
    <s v="No"/>
    <n v="102560.03529984"/>
    <n v="9.0987587336801993E-4"/>
    <n v="64726.646700000005"/>
    <n v="7.9190800295838226E-4"/>
    <n v="79728.11720352"/>
    <n v="7.0731927948794091E-4"/>
    <n v="49916.504200000003"/>
    <n v="6.1071106215186796E-4"/>
    <n v="22831.918096319998"/>
    <n v="2.0255659388007899E-4"/>
    <n v="14810.1425"/>
    <n v="1.8119694080651427E-4"/>
    <m/>
    <n v="2"/>
    <s v="No"/>
    <m/>
  </r>
  <r>
    <x v="75"/>
    <s v="POMFRET"/>
    <s v="No"/>
    <n v="917.38586880000003"/>
    <n v="8.1387186163651994E-6"/>
    <n v="0"/>
    <n v="0"/>
    <n v="917.38586880000003"/>
    <n v="8.1387186163651994E-6"/>
    <n v="0"/>
    <n v="0"/>
    <n v="0"/>
    <n v="0"/>
    <n v="0"/>
    <n v="0"/>
    <m/>
    <n v="4"/>
    <s v="No"/>
    <m/>
  </r>
  <r>
    <x v="208"/>
    <s v="PORTLAND"/>
    <s v="No"/>
    <n v="192776.68356191998"/>
    <n v="1.7102456410832182E-3"/>
    <n v="93783.939599999998"/>
    <n v="1.1474138721016972E-3"/>
    <n v="125121.51976319999"/>
    <n v="1.1100332769859447E-3"/>
    <n v="80210.659599999999"/>
    <n v="9.8134951365880956E-4"/>
    <n v="67655.163798719994"/>
    <n v="6.0021236409727352E-4"/>
    <n v="13573.28"/>
    <n v="1.6606435844288765E-4"/>
    <m/>
    <n v="1"/>
    <s v="No"/>
    <m/>
  </r>
  <r>
    <x v="469"/>
    <s v="PORTLAND"/>
    <s v="No"/>
    <n v="60508.24069536"/>
    <n v="5.3680742394146715E-4"/>
    <n v="31057.98"/>
    <n v="3.7998357974137684E-4"/>
    <n v="60508.24069536"/>
    <n v="5.3680742394146715E-4"/>
    <n v="31057.98"/>
    <n v="3.7998357974137684E-4"/>
    <n v="0"/>
    <n v="0"/>
    <n v="0"/>
    <n v="0"/>
    <m/>
    <n v="1"/>
    <s v="No"/>
    <m/>
  </r>
  <r>
    <x v="470"/>
    <s v="PRESTON"/>
    <s v="No"/>
    <n v="68.452560000000005"/>
    <n v="6.0728657739038394E-7"/>
    <n v="0"/>
    <n v="0"/>
    <n v="68.452560000000005"/>
    <n v="6.0728657739038394E-7"/>
    <n v="0"/>
    <n v="0"/>
    <n v="0"/>
    <n v="0"/>
    <n v="0"/>
    <n v="0"/>
    <m/>
    <n v="5"/>
    <s v="Yes"/>
    <m/>
  </r>
  <r>
    <x v="471"/>
    <s v="PRESTON"/>
    <s v="No"/>
    <n v="130427.25598079999"/>
    <n v="1.1571038670138778E-3"/>
    <n v="75747.447100000005"/>
    <n v="9.267436615429779E-4"/>
    <n v="106676.39367071999"/>
    <n v="9.463947294394943E-4"/>
    <n v="57765.007100000003"/>
    <n v="7.0673476451604551E-4"/>
    <n v="23750.86231008"/>
    <n v="2.1070913757438361E-4"/>
    <n v="17982.439999999999"/>
    <n v="2.2000889702693233E-4"/>
    <m/>
    <n v="4"/>
    <s v="No"/>
    <m/>
  </r>
  <r>
    <x v="434"/>
    <s v="PRESTON"/>
    <s v="No"/>
    <n v="751.86671039999999"/>
    <n v="6.6702919688114355E-6"/>
    <n v="0"/>
    <n v="0"/>
    <n v="751.86671039999999"/>
    <n v="6.6702919688114355E-6"/>
    <n v="0"/>
    <n v="0"/>
    <n v="0"/>
    <n v="0"/>
    <n v="0"/>
    <n v="0"/>
    <m/>
    <n v="3"/>
    <s v="No"/>
    <m/>
  </r>
  <r>
    <x v="95"/>
    <s v="PROSPECT"/>
    <s v="No"/>
    <n v="166091.78765376"/>
    <n v="1.4735068090499803E-3"/>
    <n v="114759.0438"/>
    <n v="1.4040369744207917E-3"/>
    <n v="122291.37139104001"/>
    <n v="1.0849252150166625E-3"/>
    <n v="100895.8768"/>
    <n v="1.2344259493891404E-3"/>
    <n v="43800.416262719998"/>
    <n v="3.8858159403331791E-4"/>
    <n v="13863.166999999999"/>
    <n v="1.6961102503165124E-4"/>
    <m/>
    <n v="1"/>
    <s v="No"/>
    <m/>
  </r>
  <r>
    <x v="380"/>
    <s v="PROSPECT"/>
    <s v="No"/>
    <n v="69831.277917119995"/>
    <n v="6.1951806858771233E-4"/>
    <n v="19924.240000000002"/>
    <n v="2.4376614444424045E-4"/>
    <n v="69819.393510719994"/>
    <n v="6.1941263439376881E-4"/>
    <n v="19924.240000000002"/>
    <n v="2.4376614444424045E-4"/>
    <n v="11.8844064"/>
    <n v="1.0543419394354825E-7"/>
    <n v="0"/>
    <n v="0"/>
    <m/>
    <n v="2"/>
    <s v="No"/>
    <m/>
  </r>
  <r>
    <x v="472"/>
    <s v="PROSPECT"/>
    <s v="No"/>
    <n v="1536.5559168"/>
    <n v="1.3631773357817667E-5"/>
    <n v="0"/>
    <n v="0"/>
    <n v="1536.5559168"/>
    <n v="1.3631773357817667E-5"/>
    <n v="0"/>
    <n v="0"/>
    <n v="0"/>
    <n v="0"/>
    <n v="0"/>
    <n v="0"/>
    <m/>
    <n v="5"/>
    <s v="No"/>
    <m/>
  </r>
  <r>
    <x v="468"/>
    <s v="PUTNAM"/>
    <s v="No"/>
    <n v="253.86203520000004"/>
    <n v="2.2521729864590189E-6"/>
    <n v="0"/>
    <n v="0"/>
    <n v="253.86203520000004"/>
    <n v="2.2521729864590189E-6"/>
    <n v="0"/>
    <n v="0"/>
    <n v="0"/>
    <n v="0"/>
    <n v="0"/>
    <n v="0"/>
    <m/>
    <n v="1"/>
    <s v="No"/>
    <m/>
  </r>
  <r>
    <x v="74"/>
    <s v="PUTNAM"/>
    <s v="No"/>
    <n v="328.95955872000002"/>
    <n v="2.9184112984951886E-6"/>
    <n v="0"/>
    <n v="0"/>
    <n v="328.95955872000002"/>
    <n v="2.9184112984951886E-6"/>
    <n v="0"/>
    <n v="0"/>
    <n v="0"/>
    <n v="0"/>
    <n v="0"/>
    <n v="0"/>
    <m/>
    <n v="2"/>
    <s v="No"/>
    <m/>
  </r>
  <r>
    <x v="473"/>
    <s v="PUTNAM"/>
    <s v="No"/>
    <n v="224139.23609759999"/>
    <n v="1.9884829661389828E-3"/>
    <n v="277851.3052"/>
    <n v="3.3994140502927052E-3"/>
    <n v="126091.598184"/>
    <n v="1.1186394650374639E-3"/>
    <n v="270102.65519999998"/>
    <n v="3.3046120134196367E-3"/>
    <n v="98047.637913599989"/>
    <n v="8.698435011015187E-4"/>
    <n v="7748.65"/>
    <n v="9.4802036873068351E-5"/>
    <m/>
    <n v="2"/>
    <s v="No"/>
    <m/>
  </r>
  <r>
    <x v="474"/>
    <s v="PUTNAM"/>
    <s v="No"/>
    <n v="45609.665760000004"/>
    <n v="4.0463260709767149E-4"/>
    <n v="4946.6899999999996"/>
    <n v="6.0521031118922454E-5"/>
    <n v="45609.665760000004"/>
    <n v="4.0463260709767149E-4"/>
    <n v="4946.6899999999996"/>
    <n v="6.0521031118922454E-5"/>
    <n v="0"/>
    <n v="0"/>
    <n v="0"/>
    <n v="0"/>
    <m/>
    <n v="3"/>
    <s v="No"/>
    <m/>
  </r>
  <r>
    <x v="292"/>
    <s v="PUTNAM"/>
    <s v="No"/>
    <n v="306.71377919999998"/>
    <n v="2.7210547159790357E-6"/>
    <n v="0"/>
    <n v="0"/>
    <n v="306.71377919999998"/>
    <n v="2.7210547159790357E-6"/>
    <n v="0"/>
    <n v="0"/>
    <n v="0"/>
    <n v="0"/>
    <n v="0"/>
    <n v="0"/>
    <m/>
    <n v="2"/>
    <s v="No"/>
    <m/>
  </r>
  <r>
    <x v="475"/>
    <s v="REDDING"/>
    <s v="No"/>
    <n v="6580.5052319999995"/>
    <n v="5.8379883817943308E-5"/>
    <n v="3388.5"/>
    <n v="4.1457118587675547E-5"/>
    <n v="6580.5052319999995"/>
    <n v="5.8379883817943308E-5"/>
    <n v="3388.5"/>
    <n v="4.1457118587675547E-5"/>
    <n v="0"/>
    <n v="0"/>
    <n v="0"/>
    <n v="0"/>
    <m/>
    <n v="4"/>
    <s v="No"/>
    <m/>
  </r>
  <r>
    <x v="132"/>
    <s v="REDDING"/>
    <s v="No"/>
    <n v="105997.58451071999"/>
    <n v="9.4037257787237037E-4"/>
    <n v="23180.573899999999"/>
    <n v="2.8360625678107616E-4"/>
    <n v="105989.61333311998"/>
    <n v="9.4030186044175164E-4"/>
    <n v="23180.573899999999"/>
    <n v="2.8360625678107616E-4"/>
    <n v="7.9711776000000008"/>
    <n v="7.0717430618736454E-8"/>
    <n v="0"/>
    <n v="0"/>
    <m/>
    <n v="1"/>
    <s v="No"/>
    <m/>
  </r>
  <r>
    <x v="476"/>
    <s v="REDDING"/>
    <s v="No"/>
    <n v="169993.67156351998"/>
    <n v="1.5081229245748453E-3"/>
    <n v="66021.557700000005"/>
    <n v="8.0775078852352489E-4"/>
    <n v="135659.58847776"/>
    <n v="1.2035232455418297E-3"/>
    <n v="62433.157700000003"/>
    <n v="7.6384796298419619E-4"/>
    <n v="34334.083085759994"/>
    <n v="3.0459967903301581E-4"/>
    <n v="3588.4"/>
    <n v="4.3902825539328596E-5"/>
    <m/>
    <n v="2"/>
    <s v="No"/>
    <m/>
  </r>
  <r>
    <x v="133"/>
    <s v="REDDING"/>
    <s v="No"/>
    <n v="324.96586560000003"/>
    <n v="2.8829806845635501E-6"/>
    <n v="0"/>
    <n v="0"/>
    <n v="324.96586560000003"/>
    <n v="2.8829806845635501E-6"/>
    <n v="0"/>
    <n v="0"/>
    <n v="0"/>
    <n v="0"/>
    <n v="0"/>
    <n v="0"/>
    <m/>
    <n v="3"/>
    <s v="No"/>
    <m/>
  </r>
  <r>
    <x v="477"/>
    <s v="RIDGEFIELD"/>
    <s v="No"/>
    <n v="226.29576959999997"/>
    <n v="2.0076149584224004E-6"/>
    <n v="0"/>
    <n v="0"/>
    <n v="226.29576959999997"/>
    <n v="2.0076149584224004E-6"/>
    <n v="0"/>
    <n v="0"/>
    <n v="0"/>
    <n v="0"/>
    <n v="0"/>
    <n v="0"/>
    <m/>
    <n v="3"/>
    <s v="No"/>
    <m/>
  </r>
  <r>
    <x v="28"/>
    <s v="RIDGEFIELD"/>
    <s v="No"/>
    <n v="1074.8122848"/>
    <n v="9.5353493539661704E-6"/>
    <n v="0"/>
    <n v="0"/>
    <n v="1074.8122848"/>
    <n v="9.5353493539661704E-6"/>
    <n v="0"/>
    <n v="0"/>
    <n v="0"/>
    <n v="0"/>
    <n v="0"/>
    <n v="0"/>
    <m/>
    <n v="4"/>
    <s v="No"/>
    <m/>
  </r>
  <r>
    <x v="132"/>
    <s v="RIDGEFIELD"/>
    <s v="No"/>
    <n v="1081.2262751999999"/>
    <n v="9.5922519778772511E-6"/>
    <n v="0"/>
    <n v="0"/>
    <n v="1081.2262751999999"/>
    <n v="9.5922519778772511E-6"/>
    <n v="0"/>
    <n v="0"/>
    <n v="0"/>
    <n v="0"/>
    <n v="0"/>
    <n v="0"/>
    <m/>
    <n v="1"/>
    <s v="No"/>
    <m/>
  </r>
  <r>
    <x v="478"/>
    <s v="RIDGEFIELD"/>
    <s v="No"/>
    <n v="57530.246371200003"/>
    <n v="5.1038772567733913E-4"/>
    <n v="11748.259099999999"/>
    <n v="1.4373586268479811E-4"/>
    <n v="57530.246371200003"/>
    <n v="5.1038772567733913E-4"/>
    <n v="11748.259099999999"/>
    <n v="1.4373586268479811E-4"/>
    <n v="0"/>
    <n v="0"/>
    <n v="0"/>
    <n v="0"/>
    <m/>
    <n v="1"/>
    <s v="No"/>
    <m/>
  </r>
  <r>
    <x v="133"/>
    <s v="RIDGEFIELD"/>
    <s v="No"/>
    <n v="98395.787923199998"/>
    <n v="8.7293216320193415E-4"/>
    <n v="10773.143099999999"/>
    <n v="1.3180565768295663E-4"/>
    <n v="98395.787923199998"/>
    <n v="8.7293216320193415E-4"/>
    <n v="10773.143099999999"/>
    <n v="1.3180565768295663E-4"/>
    <n v="0"/>
    <n v="0"/>
    <n v="0"/>
    <n v="0"/>
    <m/>
    <n v="3"/>
    <s v="No"/>
    <m/>
  </r>
  <r>
    <x v="479"/>
    <s v="RIDGEFIELD"/>
    <s v="No"/>
    <n v="134335.73796479998"/>
    <n v="1.1917785182885027E-3"/>
    <n v="64446.402699999999"/>
    <n v="7.8847931511966758E-4"/>
    <n v="134043.68142719998"/>
    <n v="1.1891874973665153E-3"/>
    <n v="64446.402699999999"/>
    <n v="7.8847931511966758E-4"/>
    <n v="292.05653759999996"/>
    <n v="2.5910209219872845E-6"/>
    <n v="0"/>
    <n v="0"/>
    <m/>
    <n v="2"/>
    <s v="No"/>
    <m/>
  </r>
  <r>
    <x v="480"/>
    <s v="RIDGEFIELD"/>
    <s v="No"/>
    <n v="92011.664257919998"/>
    <n v="8.1629450625638172E-4"/>
    <n v="15050.615299999999"/>
    <n v="1.8413904185025351E-4"/>
    <n v="92011.664257919998"/>
    <n v="8.1629450625638172E-4"/>
    <n v="15050.615299999999"/>
    <n v="1.8413904185025351E-4"/>
    <n v="0"/>
    <n v="0"/>
    <n v="0"/>
    <n v="0"/>
    <m/>
    <n v="1"/>
    <s v="No"/>
    <m/>
  </r>
  <r>
    <x v="481"/>
    <s v="RIDGEFIELD"/>
    <s v="No"/>
    <n v="81971.845084799992"/>
    <n v="7.2722482904836495E-4"/>
    <n v="16745.104599999999"/>
    <n v="2.0487052889633505E-4"/>
    <n v="81970.654328639997"/>
    <n v="7.2721426508650711E-4"/>
    <n v="16745.104599999999"/>
    <n v="2.0487052889633505E-4"/>
    <n v="1.1907561599999998"/>
    <n v="1.0563961857860629E-8"/>
    <n v="0"/>
    <n v="0"/>
    <m/>
    <n v="3"/>
    <s v="No"/>
    <m/>
  </r>
  <r>
    <x v="134"/>
    <s v="RIDGEFIELD"/>
    <s v="No"/>
    <n v="325127.62261727999"/>
    <n v="2.8844157348435224E-3"/>
    <n v="244622.0661"/>
    <n v="2.9928658708779422E-3"/>
    <n v="166942.71057311998"/>
    <n v="1.4810558922007224E-3"/>
    <n v="112930.68610000001"/>
    <n v="1.3816676540756273E-3"/>
    <n v="158184.91204416001"/>
    <n v="1.4033598426428002E-3"/>
    <n v="131691.38"/>
    <n v="1.6111982168023149E-3"/>
    <m/>
    <n v="3"/>
    <s v="No"/>
    <m/>
  </r>
  <r>
    <x v="482"/>
    <s v="ROCKY HILL"/>
    <s v="No"/>
    <n v="76843.239779519994"/>
    <n v="6.8172568098685122E-4"/>
    <n v="22526.2637"/>
    <n v="2.7560099912886263E-4"/>
    <n v="76843.239779519994"/>
    <n v="6.8172568098685122E-4"/>
    <n v="22526.2637"/>
    <n v="2.7560099912886263E-4"/>
    <n v="0"/>
    <n v="0"/>
    <n v="0"/>
    <n v="0"/>
    <m/>
    <n v="4"/>
    <s v="No"/>
    <m/>
  </r>
  <r>
    <x v="19"/>
    <s v="ROCKY HILL"/>
    <s v="No"/>
    <n v="320308.27468992001"/>
    <n v="2.8416602073941494E-3"/>
    <n v="161859.7885"/>
    <n v="1.9802981987370764E-3"/>
    <n v="159160.72948128002"/>
    <n v="1.4120169451901188E-3"/>
    <n v="98905.718500000003"/>
    <n v="1.2100770549959437E-3"/>
    <n v="161147.54520863999"/>
    <n v="1.4296432622040304E-3"/>
    <n v="62954.07"/>
    <n v="7.7022114374113257E-4"/>
    <m/>
    <n v="5"/>
    <s v="No"/>
    <m/>
  </r>
  <r>
    <x v="422"/>
    <s v="ROCKY HILL"/>
    <s v="No"/>
    <n v="64.359878399999999"/>
    <n v="5.7097777314387211E-7"/>
    <n v="0"/>
    <n v="0"/>
    <n v="64.359878399999999"/>
    <n v="5.7097777314387211E-7"/>
    <n v="0"/>
    <n v="0"/>
    <n v="0"/>
    <n v="0"/>
    <n v="0"/>
    <n v="0"/>
    <m/>
    <n v="1"/>
    <s v="No"/>
    <m/>
  </r>
  <r>
    <x v="483"/>
    <s v="ROCKY HILL"/>
    <s v="No"/>
    <n v="97311.370861440024"/>
    <n v="8.6331160370934615E-4"/>
    <n v="24959.3027"/>
    <n v="3.0536838480141375E-4"/>
    <n v="97311.370861440024"/>
    <n v="8.6331160370934615E-4"/>
    <n v="24959.3027"/>
    <n v="3.0536838480141375E-4"/>
    <n v="0"/>
    <n v="0"/>
    <n v="0"/>
    <n v="0"/>
    <m/>
    <n v="4"/>
    <s v="No"/>
    <m/>
  </r>
  <r>
    <x v="52"/>
    <s v="ROXBURY"/>
    <s v="No"/>
    <n v="95294.749181760009"/>
    <n v="8.454208589695713E-4"/>
    <n v="17705.96"/>
    <n v="2.1662626041866304E-4"/>
    <n v="89712.105716160004"/>
    <n v="7.9589364708713744E-4"/>
    <n v="17705.96"/>
    <n v="2.1662626041866304E-4"/>
    <n v="5582.6434656000001"/>
    <n v="4.9527211882433835E-5"/>
    <n v="0"/>
    <n v="0"/>
    <m/>
    <n v="1"/>
    <s v="No"/>
    <m/>
  </r>
  <r>
    <x v="102"/>
    <s v="SALEM"/>
    <s v="No"/>
    <n v="784.89181440000004"/>
    <n v="6.9632788545629911E-6"/>
    <n v="0"/>
    <n v="0"/>
    <n v="784.89181440000004"/>
    <n v="6.9632788545629911E-6"/>
    <n v="0"/>
    <n v="0"/>
    <n v="0"/>
    <n v="0"/>
    <n v="0"/>
    <n v="0"/>
    <m/>
    <n v="1"/>
    <s v="No"/>
    <m/>
  </r>
  <r>
    <x v="106"/>
    <s v="SALEM"/>
    <s v="No"/>
    <n v="113690.19405600001"/>
    <n v="1.008618652554657E-3"/>
    <n v="55249.99"/>
    <n v="6.7596440531146173E-4"/>
    <n v="97402.728545280013"/>
    <n v="8.6412209633573587E-4"/>
    <n v="47537.07"/>
    <n v="5.8159951255736572E-4"/>
    <n v="16287.465510719998"/>
    <n v="1.4449655621892108E-4"/>
    <n v="7712.92"/>
    <n v="9.4364892754096052E-5"/>
    <m/>
    <n v="3"/>
    <s v="No"/>
    <m/>
  </r>
  <r>
    <x v="78"/>
    <s v="SALISBURY"/>
    <s v="No"/>
    <n v="173975.28172128001"/>
    <n v="1.543446342796295E-3"/>
    <n v="274061.99890000001"/>
    <n v="3.3530532060713314E-3"/>
    <n v="133901.08475904001"/>
    <n v="1.1879224308364376E-3"/>
    <n v="71965.126900000003"/>
    <n v="8.8046828982452996E-4"/>
    <n v="40074.196962240007"/>
    <n v="3.555239119598573E-4"/>
    <n v="202096.872"/>
    <n v="2.4725849162468014E-3"/>
    <m/>
    <n v="1"/>
    <s v="No"/>
    <m/>
  </r>
  <r>
    <x v="112"/>
    <s v="SALISBURY"/>
    <s v="No"/>
    <n v="870.51974399999995"/>
    <n v="7.7229391550076886E-6"/>
    <n v="254.5"/>
    <n v="3.1137189554562274E-6"/>
    <n v="870.51974399999995"/>
    <n v="7.7229391550076886E-6"/>
    <n v="254.5"/>
    <n v="3.1137189554562274E-6"/>
    <n v="0"/>
    <n v="0"/>
    <n v="0"/>
    <n v="0"/>
    <m/>
    <n v="1"/>
    <s v="No"/>
    <m/>
  </r>
  <r>
    <x v="81"/>
    <s v="SCOTLAND"/>
    <s v="No"/>
    <n v="33417.828348479998"/>
    <n v="2.9647099541007323E-4"/>
    <n v="14083.63"/>
    <n v="1.7230831313411391E-4"/>
    <n v="30727.571538239998"/>
    <n v="2.7260400123787831E-4"/>
    <n v="14083.63"/>
    <n v="1.7230831313411391E-4"/>
    <n v="2690.25681024"/>
    <n v="2.386699417219489E-5"/>
    <n v="0"/>
    <n v="0"/>
    <m/>
    <n v="2"/>
    <s v="No"/>
    <m/>
  </r>
  <r>
    <x v="484"/>
    <s v="SEYMOUR"/>
    <s v="No"/>
    <n v="167.08792319999998"/>
    <n v="1.4823441665789461E-6"/>
    <n v="0"/>
    <n v="0"/>
    <n v="167.08792319999998"/>
    <n v="1.4823441665789461E-6"/>
    <n v="0"/>
    <n v="0"/>
    <n v="0"/>
    <n v="0"/>
    <n v="0"/>
    <n v="0"/>
    <m/>
    <n v="4"/>
    <s v="Yes"/>
    <m/>
  </r>
  <r>
    <x v="485"/>
    <s v="SEYMOUR"/>
    <s v="No"/>
    <n v="41.106268800000002"/>
    <n v="3.6468008338681744E-7"/>
    <n v="0"/>
    <n v="0"/>
    <n v="41.106268800000002"/>
    <n v="3.6468008338681744E-7"/>
    <n v="0"/>
    <n v="0"/>
    <n v="0"/>
    <n v="0"/>
    <n v="0"/>
    <n v="0"/>
    <m/>
    <n v="5"/>
    <s v="No"/>
    <m/>
  </r>
  <r>
    <x v="486"/>
    <s v="SEYMOUR"/>
    <s v="No"/>
    <n v="876.93952319999994"/>
    <n v="7.7798931350775357E-6"/>
    <n v="0"/>
    <n v="0"/>
    <n v="876.93952319999994"/>
    <n v="7.7798931350775357E-6"/>
    <n v="0"/>
    <n v="0"/>
    <n v="0"/>
    <n v="0"/>
    <n v="0"/>
    <n v="0"/>
    <m/>
    <n v="3"/>
    <s v="No"/>
    <m/>
  </r>
  <r>
    <x v="14"/>
    <s v="SEYMOUR"/>
    <s v="No"/>
    <n v="89614.184112000003"/>
    <n v="7.9502492171232449E-4"/>
    <n v="38284.129999999997"/>
    <n v="4.6839301090039457E-4"/>
    <n v="89614.184112000003"/>
    <n v="7.9502492171232449E-4"/>
    <n v="38284.129999999997"/>
    <n v="4.6839301090039457E-4"/>
    <n v="0"/>
    <n v="0"/>
    <n v="0"/>
    <n v="0"/>
    <m/>
    <n v="2"/>
    <s v="No"/>
    <m/>
  </r>
  <r>
    <x v="487"/>
    <s v="SEYMOUR"/>
    <s v="No"/>
    <n v="53976.907267200004"/>
    <n v="4.7886377474291723E-4"/>
    <n v="13351.72"/>
    <n v="1.6335364892708848E-4"/>
    <n v="53976.907267200004"/>
    <n v="4.7886377474291723E-4"/>
    <n v="13351.72"/>
    <n v="1.6335364892708848E-4"/>
    <n v="0"/>
    <n v="0"/>
    <n v="0"/>
    <n v="0"/>
    <m/>
    <n v="2"/>
    <s v="No"/>
    <m/>
  </r>
  <r>
    <x v="488"/>
    <s v="SEYMOUR"/>
    <s v="No"/>
    <n v="243716.62715712"/>
    <n v="2.1621665626439051E-3"/>
    <n v="300973.51299999998"/>
    <n v="3.6823062181467634E-3"/>
    <n v="167933.75602751999"/>
    <n v="1.4898480922592868E-3"/>
    <n v="113997.1498"/>
    <n v="1.3947154664056703E-3"/>
    <n v="75782.871129600011"/>
    <n v="6.723184703846185E-4"/>
    <n v="186976.36319999999"/>
    <n v="2.2875907517410929E-3"/>
    <m/>
    <n v="3"/>
    <s v="No"/>
    <m/>
  </r>
  <r>
    <x v="112"/>
    <s v="SHARON"/>
    <s v="No"/>
    <n v="113265.31408128"/>
    <n v="1.0048492697054337E-3"/>
    <n v="25351.057799999999"/>
    <n v="3.1016137215216676E-4"/>
    <n v="96003.921755520001"/>
    <n v="8.5171238386064674E-4"/>
    <n v="24987.0278"/>
    <n v="3.0570759175391638E-4"/>
    <n v="17261.392325760004"/>
    <n v="1.5313688584478696E-4"/>
    <n v="364.03"/>
    <n v="4.4537803982504141E-6"/>
    <m/>
    <n v="1"/>
    <s v="No"/>
    <m/>
  </r>
  <r>
    <x v="114"/>
    <s v="SHARON"/>
    <s v="No"/>
    <n v="572.91174720000004"/>
    <n v="5.0826676767652347E-6"/>
    <n v="0"/>
    <n v="0"/>
    <n v="572.91174720000004"/>
    <n v="5.0826676767652347E-6"/>
    <n v="0"/>
    <n v="0"/>
    <n v="0"/>
    <n v="0"/>
    <n v="0"/>
    <n v="0"/>
    <m/>
    <n v="2"/>
    <s v="No"/>
    <m/>
  </r>
  <r>
    <x v="130"/>
    <s v="SHERMAN"/>
    <s v="No"/>
    <n v="419.00492159999999"/>
    <n v="3.7172614836930878E-6"/>
    <n v="0"/>
    <n v="0"/>
    <n v="419.00492159999999"/>
    <n v="3.7172614836930878E-6"/>
    <n v="0"/>
    <n v="0"/>
    <n v="0"/>
    <n v="0"/>
    <n v="0"/>
    <n v="0"/>
    <m/>
    <n v="3"/>
    <s v="No"/>
    <m/>
  </r>
  <r>
    <x v="131"/>
    <s v="SHERMAN"/>
    <s v="No"/>
    <n v="1016.0791200000001"/>
    <n v="9.0142897671414071E-6"/>
    <n v="0"/>
    <n v="0"/>
    <n v="1016.0791200000001"/>
    <n v="9.0142897671414071E-6"/>
    <n v="0"/>
    <n v="0"/>
    <n v="0"/>
    <n v="0"/>
    <n v="0"/>
    <n v="0"/>
    <m/>
    <n v="2"/>
    <s v="No"/>
    <m/>
  </r>
  <r>
    <x v="408"/>
    <s v="SHERMAN"/>
    <s v="No"/>
    <n v="123593.69393568001"/>
    <n v="1.0964789538511599E-3"/>
    <n v="34462.43"/>
    <n v="4.2163584102979709E-4"/>
    <n v="114117.20257248002"/>
    <n v="1.0124069190634579E-3"/>
    <n v="34462.43"/>
    <n v="4.2163584102979709E-4"/>
    <n v="9476.4913632000007"/>
    <n v="8.4072034787702047E-5"/>
    <n v="0"/>
    <n v="0"/>
    <m/>
    <n v="1"/>
    <s v="No"/>
    <m/>
  </r>
  <r>
    <x v="73"/>
    <s v="SHERMAN"/>
    <s v="No"/>
    <n v="1058.5747007999998"/>
    <n v="9.3912953286317047E-6"/>
    <n v="0"/>
    <n v="0"/>
    <n v="1058.5747007999998"/>
    <n v="9.3912953286317047E-6"/>
    <n v="0"/>
    <n v="0"/>
    <n v="0"/>
    <n v="0"/>
    <n v="0"/>
    <n v="0"/>
    <m/>
    <n v="2"/>
    <s v="No"/>
    <m/>
  </r>
  <r>
    <x v="83"/>
    <s v="SIMSBURY"/>
    <s v="No"/>
    <n v="1219.9722336"/>
    <n v="1.0823156391145136E-5"/>
    <n v="0"/>
    <n v="0"/>
    <n v="1219.9722336"/>
    <n v="1.0823156391145136E-5"/>
    <n v="0"/>
    <n v="0"/>
    <n v="0"/>
    <n v="0"/>
    <n v="0"/>
    <n v="0"/>
    <m/>
    <n v="1"/>
    <s v="No"/>
    <m/>
  </r>
  <r>
    <x v="489"/>
    <s v="SIMSBURY"/>
    <s v="No"/>
    <n v="89359.129584000009"/>
    <n v="7.9276216935716005E-4"/>
    <n v="9945.31"/>
    <n v="1.21677407720583E-4"/>
    <n v="89359.129584000009"/>
    <n v="7.9276216935716005E-4"/>
    <n v="9945.31"/>
    <n v="1.21677407720583E-4"/>
    <n v="0"/>
    <n v="0"/>
    <n v="0"/>
    <n v="0"/>
    <m/>
    <n v="1"/>
    <s v="No"/>
    <m/>
  </r>
  <r>
    <x v="85"/>
    <s v="SIMSBURY"/>
    <s v="No"/>
    <n v="260268.55631136001"/>
    <n v="2.3090093455184466E-3"/>
    <n v="314302.68479999999"/>
    <n v="3.8453839976917243E-3"/>
    <n v="115211.62615391999"/>
    <n v="1.0221162528120864E-3"/>
    <n v="225976.02679999999"/>
    <n v="2.7647380672921199E-3"/>
    <n v="145056.93015744002"/>
    <n v="1.2868930927063605E-3"/>
    <n v="88326.657999999996"/>
    <n v="1.0806459303996049E-3"/>
    <m/>
    <n v="2"/>
    <s v="No"/>
    <m/>
  </r>
  <r>
    <x v="490"/>
    <s v="SIMSBURY"/>
    <s v="No"/>
    <n v="49398.020303040008"/>
    <n v="4.3824153077246284E-4"/>
    <n v="14239.196"/>
    <n v="1.7421160902026127E-4"/>
    <n v="49398.020303040008"/>
    <n v="4.3824153077246284E-4"/>
    <n v="14239.196"/>
    <n v="1.7421160902026127E-4"/>
    <n v="0"/>
    <n v="0"/>
    <n v="0"/>
    <n v="0"/>
    <m/>
    <n v="3"/>
    <s v="No"/>
    <m/>
  </r>
  <r>
    <x v="86"/>
    <s v="SIMSBURY"/>
    <s v="No"/>
    <n v="99425.036563200003"/>
    <n v="8.8206328823026495E-4"/>
    <n v="14061.6337"/>
    <n v="1.7203919605647186E-4"/>
    <n v="99425.036563200003"/>
    <n v="8.8206328823026495E-4"/>
    <n v="14061.6337"/>
    <n v="1.7203919605647186E-4"/>
    <n v="0"/>
    <n v="0"/>
    <n v="0"/>
    <n v="0"/>
    <m/>
    <n v="2"/>
    <s v="No"/>
    <m/>
  </r>
  <r>
    <x v="491"/>
    <s v="SIMSBURY"/>
    <s v="No"/>
    <n v="101449.18831391999"/>
    <n v="9.000208370613604E-4"/>
    <n v="41323.4208"/>
    <n v="5.055776764214308E-4"/>
    <n v="101449.18831391999"/>
    <n v="9.000208370613604E-4"/>
    <n v="41323.4208"/>
    <n v="5.055776764214308E-4"/>
    <n v="0"/>
    <n v="0"/>
    <n v="0"/>
    <n v="0"/>
    <m/>
    <n v="2"/>
    <s v="No"/>
    <m/>
  </r>
  <r>
    <x v="492"/>
    <s v="SIMSBURY"/>
    <s v="No"/>
    <n v="58695.277104000008"/>
    <n v="5.2072346076565031E-4"/>
    <n v="6847.7622000000001"/>
    <n v="8.3779988073071277E-5"/>
    <n v="58695.277104000008"/>
    <n v="5.2072346076565031E-4"/>
    <n v="6847.7622000000001"/>
    <n v="8.3779988073071277E-5"/>
    <n v="0"/>
    <n v="0"/>
    <n v="0"/>
    <n v="0"/>
    <m/>
    <n v="3"/>
    <s v="No"/>
    <m/>
  </r>
  <r>
    <x v="178"/>
    <s v="SOMERS"/>
    <s v="No"/>
    <n v="148145.13802368002"/>
    <n v="1.314290566012822E-3"/>
    <n v="83172.125400000004"/>
    <n v="1.0175820173813847E-3"/>
    <n v="114821.10560160001"/>
    <n v="1.0186516944432099E-3"/>
    <n v="69334.025399999999"/>
    <n v="8.4827767837353067E-4"/>
    <n v="33324.032422080003"/>
    <n v="2.9563887156961182E-4"/>
    <n v="13838.1"/>
    <n v="1.6930433900785391E-4"/>
    <m/>
    <n v="3"/>
    <s v="No"/>
    <m/>
  </r>
  <r>
    <x v="179"/>
    <s v="SOMERS"/>
    <s v="No"/>
    <n v="88279.68047040001"/>
    <n v="7.8318568372002357E-4"/>
    <n v="22506.682400000002"/>
    <n v="2.7536142873600417E-4"/>
    <n v="88279.68047040001"/>
    <n v="7.8318568372002357E-4"/>
    <n v="22506.682400000002"/>
    <n v="2.7536142873600417E-4"/>
    <n v="0"/>
    <n v="0"/>
    <n v="0"/>
    <n v="0"/>
    <m/>
    <n v="1"/>
    <s v="No"/>
    <m/>
  </r>
  <r>
    <x v="493"/>
    <s v="SOMERS"/>
    <s v="No"/>
    <n v="1114.67743488"/>
    <n v="9.8890186769138749E-6"/>
    <n v="0"/>
    <n v="0"/>
    <n v="1114.67743488"/>
    <n v="9.8890186769138749E-6"/>
    <n v="0"/>
    <n v="0"/>
    <n v="0"/>
    <n v="0"/>
    <n v="0"/>
    <n v="0"/>
    <m/>
    <n v="4"/>
    <s v="No"/>
    <m/>
  </r>
  <r>
    <x v="173"/>
    <s v="SOUTH WINDSOR"/>
    <s v="No"/>
    <n v="324.70536960000004"/>
    <n v="2.8806696574191472E-6"/>
    <n v="0"/>
    <n v="0"/>
    <n v="324.70536960000004"/>
    <n v="2.8806696574191472E-6"/>
    <n v="0"/>
    <n v="0"/>
    <n v="0"/>
    <n v="0"/>
    <n v="0"/>
    <n v="0"/>
    <m/>
    <n v="3"/>
    <s v="No"/>
    <m/>
  </r>
  <r>
    <x v="174"/>
    <s v="SOUTH WINDSOR"/>
    <s v="No"/>
    <n v="120748.35112128001"/>
    <n v="1.0712360922363526E-3"/>
    <n v="22797.2932"/>
    <n v="2.7891695076594643E-4"/>
    <n v="120748.35112128001"/>
    <n v="1.0712360922363526E-3"/>
    <n v="22797.2932"/>
    <n v="2.7891695076594643E-4"/>
    <n v="0"/>
    <n v="0"/>
    <n v="0"/>
    <n v="0"/>
    <m/>
    <n v="3"/>
    <s v="No"/>
    <m/>
  </r>
  <r>
    <x v="311"/>
    <s v="SOUTH WINDSOR"/>
    <s v="No"/>
    <n v="79853.237484479992"/>
    <n v="7.0842930177470874E-4"/>
    <n v="21358.700199999999"/>
    <n v="2.6131626592002639E-4"/>
    <n v="79853.237484479992"/>
    <n v="7.0842930177470874E-4"/>
    <n v="21358.700199999999"/>
    <n v="2.6131626592002639E-4"/>
    <n v="0"/>
    <n v="0"/>
    <n v="0"/>
    <n v="0"/>
    <m/>
    <n v="4"/>
    <s v="No"/>
    <m/>
  </r>
  <r>
    <x v="494"/>
    <s v="SOUTH WINDSOR"/>
    <s v="No"/>
    <n v="60291.457660800006"/>
    <n v="5.3488420255874247E-4"/>
    <n v="11518.674999999999"/>
    <n v="1.4092698109720926E-4"/>
    <n v="60291.457660800006"/>
    <n v="5.3488420255874247E-4"/>
    <n v="11518.674999999999"/>
    <n v="1.4092698109720926E-4"/>
    <n v="0"/>
    <n v="0"/>
    <n v="0"/>
    <n v="0"/>
    <m/>
    <n v="4"/>
    <s v="No"/>
    <m/>
  </r>
  <r>
    <x v="495"/>
    <s v="SOUTH WINDSOR"/>
    <s v="No"/>
    <n v="30797.602703999997"/>
    <n v="2.7322529263976381E-4"/>
    <n v="14270.43"/>
    <n v="1.7459374614346254E-4"/>
    <n v="30797.602703999997"/>
    <n v="2.7322529263976381E-4"/>
    <n v="14270.43"/>
    <n v="1.7459374614346254E-4"/>
    <n v="0"/>
    <n v="0"/>
    <n v="0"/>
    <n v="0"/>
    <m/>
    <n v="3"/>
    <s v="No"/>
    <m/>
  </r>
  <r>
    <x v="496"/>
    <s v="SOUTH WINDSOR"/>
    <s v="No"/>
    <n v="34129.392854400001"/>
    <n v="3.0278374066595027E-4"/>
    <n v="5484.4790000000003"/>
    <n v="6.7100692428690047E-5"/>
    <n v="34129.392854400001"/>
    <n v="3.0278374066595027E-4"/>
    <n v="5484.4790000000003"/>
    <n v="6.7100692428690047E-5"/>
    <n v="0"/>
    <n v="0"/>
    <n v="0"/>
    <n v="0"/>
    <m/>
    <n v="3"/>
    <s v="No"/>
    <m/>
  </r>
  <r>
    <x v="312"/>
    <s v="SOUTH WINDSOR"/>
    <s v="No"/>
    <n v="353530.29572063999"/>
    <n v="3.1363940704627808E-3"/>
    <n v="314002.65950000001"/>
    <n v="3.8417132925297349E-3"/>
    <n v="141313.93954559998"/>
    <n v="1.2536866215697268E-3"/>
    <n v="233869.0295"/>
    <n v="2.8613062092271188E-3"/>
    <n v="212216.35617504001"/>
    <n v="1.8827074488930538E-3"/>
    <n v="80133.63"/>
    <n v="9.804070833026163E-4"/>
    <m/>
    <n v="5"/>
    <s v="No"/>
    <m/>
  </r>
  <r>
    <x v="165"/>
    <s v="SOUTH WINDSOR"/>
    <s v="No"/>
    <n v="361.9910304"/>
    <n v="3.2114546760213846E-6"/>
    <n v="0"/>
    <n v="0"/>
    <n v="361.9910304"/>
    <n v="3.2114546760213846E-6"/>
    <n v="0"/>
    <n v="0"/>
    <n v="0"/>
    <n v="0"/>
    <n v="0"/>
    <n v="0"/>
    <m/>
    <n v="5"/>
    <s v="No"/>
    <m/>
  </r>
  <r>
    <x v="497"/>
    <s v="SOUTH WINDSOR"/>
    <s v="No"/>
    <n v="170.42227200000002"/>
    <n v="1.5119253140273069E-6"/>
    <n v="0"/>
    <n v="0"/>
    <n v="170.42227200000002"/>
    <n v="1.5119253140273069E-6"/>
    <n v="0"/>
    <n v="0"/>
    <n v="0"/>
    <n v="0"/>
    <n v="0"/>
    <n v="0"/>
    <m/>
    <n v="2"/>
    <s v="No"/>
    <m/>
  </r>
  <r>
    <x v="379"/>
    <s v="SOUTHBURY"/>
    <s v="No"/>
    <n v="418.067136"/>
    <n v="3.7089417859732367E-6"/>
    <n v="3108.15"/>
    <n v="3.802713387583998E-5"/>
    <n v="418.067136"/>
    <n v="3.7089417859732367E-6"/>
    <n v="3108.15"/>
    <n v="3.802713387583998E-5"/>
    <n v="0"/>
    <n v="0"/>
    <n v="0"/>
    <n v="0"/>
    <m/>
    <n v="2"/>
    <s v="No"/>
    <m/>
  </r>
  <r>
    <x v="498"/>
    <s v="SOUTHBURY"/>
    <s v="No"/>
    <n v="50319.654572159998"/>
    <n v="4.4641793967374523E-4"/>
    <n v="14313.4704"/>
    <n v="1.7512033046303196E-4"/>
    <n v="50315.399804159999"/>
    <n v="4.4638019289705333E-4"/>
    <n v="14313.4704"/>
    <n v="1.7512033046303196E-4"/>
    <n v="4.2547680000000003"/>
    <n v="3.7746776691918155E-8"/>
    <n v="0"/>
    <n v="0"/>
    <m/>
    <n v="2"/>
    <s v="No"/>
    <m/>
  </r>
  <r>
    <x v="499"/>
    <s v="SOUTHBURY"/>
    <s v="No"/>
    <n v="93121.412529599998"/>
    <n v="8.2613979516410767E-4"/>
    <n v="28005.930799999998"/>
    <n v="3.4264281963518816E-4"/>
    <n v="93121.412529599998"/>
    <n v="8.2613979516410767E-4"/>
    <n v="28005.930799999998"/>
    <n v="3.4264281963518816E-4"/>
    <n v="0"/>
    <n v="0"/>
    <n v="0"/>
    <n v="0"/>
    <m/>
    <n v="1"/>
    <s v="No"/>
    <m/>
  </r>
  <r>
    <x v="500"/>
    <s v="SOUTHBURY"/>
    <s v="No"/>
    <n v="126459.8903232"/>
    <n v="1.1219068208923005E-3"/>
    <n v="17211.9856"/>
    <n v="2.1058265549610858E-4"/>
    <n v="126415.91280960001"/>
    <n v="1.1215166681541665E-3"/>
    <n v="17211.9856"/>
    <n v="2.1058265549610858E-4"/>
    <n v="43.977513600000002"/>
    <n v="3.9015273813401662E-7"/>
    <n v="0"/>
    <n v="0"/>
    <m/>
    <n v="3"/>
    <s v="No"/>
    <m/>
  </r>
  <r>
    <x v="501"/>
    <s v="SOUTHBURY"/>
    <s v="No"/>
    <n v="139376.27825568002"/>
    <n v="1.2364963851067322E-3"/>
    <n v="20548.512500000001"/>
    <n v="2.5140390128754121E-4"/>
    <n v="139376.27825568002"/>
    <n v="1.2364963851067322E-3"/>
    <n v="20548.512500000001"/>
    <n v="2.5140390128754121E-4"/>
    <n v="0"/>
    <n v="0"/>
    <n v="0"/>
    <n v="0"/>
    <m/>
    <n v="2"/>
    <s v="No"/>
    <m/>
  </r>
  <r>
    <x v="502"/>
    <s v="SOUTHBURY"/>
    <s v="No"/>
    <n v="292580.02630944003"/>
    <n v="2.5956651261873666E-3"/>
    <n v="232556.77870000002"/>
    <n v="2.8452512772417647E-3"/>
    <n v="157866.03368063999"/>
    <n v="1.4005308680947932E-3"/>
    <n v="162406.00870000001"/>
    <n v="1.9869810128454973E-3"/>
    <n v="134713.99262880001"/>
    <n v="1.1951342580925734E-3"/>
    <n v="70150.77"/>
    <n v="8.5827026439626753E-4"/>
    <m/>
    <n v="1"/>
    <s v="No"/>
    <m/>
  </r>
  <r>
    <x v="503"/>
    <s v="SOUTHINGTON"/>
    <s v="No"/>
    <n v="65457.047030400005"/>
    <n v="5.8071145998298684E-4"/>
    <n v="15117.22"/>
    <n v="1.8495392718193316E-4"/>
    <n v="65457.047030400005"/>
    <n v="5.8071145998298684E-4"/>
    <n v="15117.22"/>
    <n v="1.8495392718193316E-4"/>
    <n v="0"/>
    <n v="0"/>
    <n v="0"/>
    <n v="0"/>
    <m/>
    <n v="3"/>
    <s v="No"/>
    <m/>
  </r>
  <r>
    <x v="504"/>
    <s v="SOUTHINGTON"/>
    <s v="No"/>
    <n v="64134.59972256"/>
    <n v="5.6897918146254459E-4"/>
    <n v="15521.53"/>
    <n v="1.8990051936613949E-4"/>
    <n v="64134.59972256"/>
    <n v="5.6897918146254459E-4"/>
    <n v="15521.53"/>
    <n v="1.8990051936613949E-4"/>
    <n v="0"/>
    <n v="0"/>
    <n v="0"/>
    <n v="0"/>
    <m/>
    <n v="2"/>
    <s v="No"/>
    <m/>
  </r>
  <r>
    <x v="505"/>
    <s v="SOUTHINGTON"/>
    <s v="No"/>
    <n v="98483.855832000001"/>
    <n v="8.7371347012329818E-4"/>
    <n v="11144.9805"/>
    <n v="1.3635495890389006E-4"/>
    <n v="98483.855832000001"/>
    <n v="8.7371347012329818E-4"/>
    <n v="11144.9805"/>
    <n v="1.3635495890389006E-4"/>
    <n v="0"/>
    <n v="0"/>
    <n v="0"/>
    <n v="0"/>
    <m/>
    <n v="2"/>
    <s v="No"/>
    <m/>
  </r>
  <r>
    <x v="506"/>
    <s v="SOUTHINGTON"/>
    <s v="No"/>
    <n v="75692.323877759991"/>
    <n v="6.7151516762045552E-4"/>
    <n v="10154.0301"/>
    <n v="1.2423102552708485E-4"/>
    <n v="75692.323877759991"/>
    <n v="6.7151516762045552E-4"/>
    <n v="10154.0301"/>
    <n v="1.2423102552708485E-4"/>
    <n v="0"/>
    <n v="0"/>
    <n v="0"/>
    <n v="0"/>
    <m/>
    <n v="2"/>
    <s v="No"/>
    <m/>
  </r>
  <r>
    <x v="331"/>
    <s v="SOUTHINGTON"/>
    <s v="No"/>
    <n v="75158.816492159996"/>
    <n v="6.6678208131640043E-4"/>
    <n v="47875.1031"/>
    <n v="5.8573522992884559E-4"/>
    <n v="75158.816492159996"/>
    <n v="6.6678208131640043E-4"/>
    <n v="47875.1031"/>
    <n v="5.8573522992884559E-4"/>
    <n v="0"/>
    <n v="0"/>
    <n v="0"/>
    <n v="0"/>
    <m/>
    <n v="1"/>
    <s v="No"/>
    <m/>
  </r>
  <r>
    <x v="507"/>
    <s v="SOUTHINGTON"/>
    <s v="No"/>
    <n v="52046.875036800004"/>
    <n v="4.61741220561558E-4"/>
    <n v="11547.05"/>
    <n v="1.4127413935010149E-4"/>
    <n v="52046.875036800004"/>
    <n v="4.61741220561558E-4"/>
    <n v="11547.05"/>
    <n v="1.4127413935010149E-4"/>
    <n v="0"/>
    <n v="0"/>
    <n v="0"/>
    <n v="0"/>
    <m/>
    <n v="1"/>
    <s v="No"/>
    <m/>
  </r>
  <r>
    <x v="508"/>
    <s v="SOUTHINGTON"/>
    <s v="No"/>
    <n v="88148.191930559988"/>
    <n v="7.8201916452299853E-4"/>
    <n v="81530.634699999995"/>
    <n v="9.9749894976725842E-4"/>
    <n v="88148.191930559988"/>
    <n v="7.8201916452299853E-4"/>
    <n v="81530.634699999995"/>
    <n v="9.9749894976725842E-4"/>
    <n v="0"/>
    <n v="0"/>
    <n v="0"/>
    <n v="0"/>
    <m/>
    <n v="1"/>
    <s v="No"/>
    <m/>
  </r>
  <r>
    <x v="509"/>
    <s v="SOUTHINGTON"/>
    <s v="No"/>
    <n v="449466.82252992003"/>
    <n v="3.9875085505162436E-3"/>
    <n v="751695.51569999999"/>
    <n v="9.1967331079235142E-3"/>
    <n v="135829.38787488002"/>
    <n v="1.205029644933174E-3"/>
    <n v="621202.5257"/>
    <n v="7.600196775832512E-3"/>
    <n v="313637.43465504004"/>
    <n v="2.78247890558307E-3"/>
    <n v="130492.99"/>
    <n v="1.5965363320910018E-3"/>
    <m/>
    <n v="1"/>
    <s v="No"/>
    <m/>
  </r>
  <r>
    <x v="68"/>
    <s v="SOUTHINGTON"/>
    <s v="No"/>
    <n v="116361.36461376"/>
    <n v="1.0323163203357893E-3"/>
    <n v="22448.91"/>
    <n v="2.7465460352192871E-4"/>
    <n v="116361.36461376"/>
    <n v="1.0323163203357893E-3"/>
    <n v="22448.91"/>
    <n v="2.7465460352192871E-4"/>
    <n v="0"/>
    <n v="0"/>
    <n v="0"/>
    <n v="0"/>
    <m/>
    <n v="2"/>
    <s v="No"/>
    <m/>
  </r>
  <r>
    <x v="510"/>
    <s v="SOUTHINGTON"/>
    <s v="No"/>
    <n v="67101.176217600005"/>
    <n v="5.9529758483912554E-4"/>
    <n v="15712.5005"/>
    <n v="1.9223697699200572E-4"/>
    <n v="67101.176217600005"/>
    <n v="5.9529758483912554E-4"/>
    <n v="15712.5005"/>
    <n v="1.9223697699200572E-4"/>
    <n v="0"/>
    <n v="0"/>
    <n v="0"/>
    <n v="0"/>
    <m/>
    <n v="2"/>
    <s v="No"/>
    <m/>
  </r>
  <r>
    <x v="90"/>
    <s v="SOUTHINGTON"/>
    <s v="No"/>
    <n v="670.55143679999992"/>
    <n v="5.9488920066462996E-6"/>
    <n v="2495.44"/>
    <n v="3.0530840197264004E-5"/>
    <n v="670.55143679999992"/>
    <n v="5.9488920066462996E-6"/>
    <n v="2495.44"/>
    <n v="3.0530840197264004E-5"/>
    <n v="0"/>
    <n v="0"/>
    <n v="0"/>
    <n v="0"/>
    <m/>
    <n v="4"/>
    <s v="No"/>
    <m/>
  </r>
  <r>
    <x v="511"/>
    <s v="SPRAGUE"/>
    <s v="No"/>
    <n v="70585.506457920012"/>
    <n v="6.2620931386929988E-4"/>
    <n v="40892.65"/>
    <n v="5.0030734555535209E-4"/>
    <n v="56322.814993920008"/>
    <n v="4.9967582726854153E-4"/>
    <n v="15629.35"/>
    <n v="1.9121965955386951E-4"/>
    <n v="14262.691464"/>
    <n v="1.2653348660075829E-4"/>
    <n v="25263.3"/>
    <n v="3.0908768600148255E-4"/>
    <m/>
    <n v="4"/>
    <s v="No"/>
    <m/>
  </r>
  <r>
    <x v="200"/>
    <s v="SPRAGUE"/>
    <s v="No"/>
    <n v="349.02411840000002"/>
    <n v="3.0964168803888723E-6"/>
    <n v="0"/>
    <n v="0"/>
    <n v="349.02411840000002"/>
    <n v="3.0964168803888723E-6"/>
    <n v="0"/>
    <n v="0"/>
    <n v="0"/>
    <n v="0"/>
    <n v="0"/>
    <n v="0"/>
    <m/>
    <n v="1"/>
    <s v="No"/>
    <m/>
  </r>
  <r>
    <x v="81"/>
    <s v="SPRAGUE"/>
    <s v="No"/>
    <n v="631.76068800000007"/>
    <n v="5.6047543867652896E-6"/>
    <n v="0"/>
    <n v="0"/>
    <n v="631.76068800000007"/>
    <n v="5.6047543867652896E-6"/>
    <n v="0"/>
    <n v="0"/>
    <n v="0"/>
    <n v="0"/>
    <n v="0"/>
    <n v="0"/>
    <m/>
    <n v="2"/>
    <s v="No"/>
    <m/>
  </r>
  <r>
    <x v="177"/>
    <s v="STAFFORD"/>
    <s v="No"/>
    <n v="356.42799360000004"/>
    <n v="3.1621014074486864E-6"/>
    <n v="0"/>
    <n v="0"/>
    <n v="356.42799360000004"/>
    <n v="3.1621014074486864E-6"/>
    <n v="0"/>
    <n v="0"/>
    <n v="0"/>
    <n v="0"/>
    <n v="0"/>
    <n v="0"/>
    <m/>
    <n v="5"/>
    <s v="No"/>
    <m/>
  </r>
  <r>
    <x v="326"/>
    <s v="STAFFORD"/>
    <s v="No"/>
    <n v="363.05616960000003"/>
    <n v="3.2209042092340554E-6"/>
    <n v="0"/>
    <n v="0"/>
    <n v="363.05616960000003"/>
    <n v="3.2209042092340554E-6"/>
    <n v="0"/>
    <n v="0"/>
    <n v="0"/>
    <n v="0"/>
    <n v="0"/>
    <n v="0"/>
    <m/>
    <n v="4"/>
    <s v="No"/>
    <m/>
  </r>
  <r>
    <x v="512"/>
    <s v="STAFFORD"/>
    <s v="No"/>
    <n v="78029.483569920005"/>
    <n v="6.9224961071895504E-4"/>
    <n v="10995.81"/>
    <n v="1.345299097351479E-4"/>
    <n v="78029.483569920005"/>
    <n v="6.9224961071895504E-4"/>
    <n v="10995.81"/>
    <n v="1.345299097351479E-4"/>
    <n v="0"/>
    <n v="0"/>
    <n v="0"/>
    <n v="0"/>
    <m/>
    <n v="2"/>
    <s v="No"/>
    <m/>
  </r>
  <r>
    <x v="513"/>
    <s v="STAFFORD"/>
    <s v="No"/>
    <n v="55163.823716159997"/>
    <n v="4.8939367206066934E-4"/>
    <n v="10087.122799999999"/>
    <n v="1.2341243798968447E-4"/>
    <n v="55163.823716159997"/>
    <n v="4.8939367206066934E-4"/>
    <n v="10087.122799999999"/>
    <n v="1.2341243798968447E-4"/>
    <n v="0"/>
    <n v="0"/>
    <n v="0"/>
    <n v="0"/>
    <m/>
    <n v="4"/>
    <s v="No"/>
    <m/>
  </r>
  <r>
    <x v="493"/>
    <s v="STAFFORD"/>
    <s v="No"/>
    <n v="206471.81676096001"/>
    <n v="1.831743954182837E-3"/>
    <n v="94722.85"/>
    <n v="1.1589011141840352E-3"/>
    <n v="99367.682869440003"/>
    <n v="8.8155446681607375E-4"/>
    <n v="72712.240000000005"/>
    <n v="8.8960895867065833E-4"/>
    <n v="107104.13389152"/>
    <n v="9.501894873667631E-4"/>
    <n v="22010.61"/>
    <n v="2.6929215551337683E-4"/>
    <m/>
    <n v="4"/>
    <s v="No"/>
    <m/>
  </r>
  <r>
    <x v="215"/>
    <s v="STAMFORD"/>
    <s v="No"/>
    <n v="1173.3781824000002"/>
    <n v="1.040979066924956E-5"/>
    <n v="0"/>
    <n v="0"/>
    <n v="1173.3781824000002"/>
    <n v="1.040979066924956E-5"/>
    <n v="0"/>
    <n v="0"/>
    <n v="0"/>
    <n v="0"/>
    <n v="0"/>
    <n v="0"/>
    <m/>
    <n v="4"/>
    <s v="No"/>
    <m/>
  </r>
  <r>
    <x v="398"/>
    <s v="STAMFORD"/>
    <s v="Yes"/>
    <n v="150857.61861599999"/>
    <n v="1.3383547216141295E-3"/>
    <n v="883.96"/>
    <n v="1.0814943056444349E-5"/>
    <n v="150821.6672736"/>
    <n v="1.3380357741901224E-3"/>
    <n v="883.96"/>
    <n v="1.0814943056444349E-5"/>
    <n v="35.951342400000001"/>
    <n v="3.1894742400701725E-7"/>
    <n v="0"/>
    <n v="0"/>
    <m/>
    <n v="4"/>
    <s v="No"/>
    <m/>
  </r>
  <r>
    <x v="227"/>
    <s v="STAMFORD"/>
    <s v="No"/>
    <n v="117205.36007616"/>
    <n v="1.039803945571338E-3"/>
    <n v="29147.88"/>
    <n v="3.5661417079514132E-4"/>
    <n v="117012.98667456"/>
    <n v="1.0380972777032757E-3"/>
    <n v="29147.88"/>
    <n v="3.5661417079514132E-4"/>
    <n v="192.37340159999999"/>
    <n v="1.7066678680623455E-6"/>
    <n v="0"/>
    <n v="0"/>
    <m/>
    <n v="4"/>
    <s v="No"/>
    <m/>
  </r>
  <r>
    <x v="514"/>
    <s v="STAMFORD"/>
    <s v="No"/>
    <n v="1185603.40382112"/>
    <n v="1.0518248451904752E-2"/>
    <n v="1034688.0803"/>
    <n v="1.2659048678250394E-2"/>
    <n v="317290.93215551996"/>
    <n v="2.8148914259120508E-3"/>
    <n v="847186.2023"/>
    <n v="1.0365028435766147E-2"/>
    <n v="868312.47166560008"/>
    <n v="7.7033570259927011E-3"/>
    <n v="187501.878"/>
    <n v="2.2940202424842474E-3"/>
    <m/>
    <n v="3"/>
    <s v="No"/>
    <m/>
  </r>
  <r>
    <x v="515"/>
    <s v="STAMFORD"/>
    <s v="No"/>
    <n v="98807.302137599996"/>
    <n v="8.7658296981618601E-4"/>
    <n v="11006.608099999999"/>
    <n v="1.3466202073181947E-4"/>
    <n v="98807.302137599996"/>
    <n v="8.7658296981618601E-4"/>
    <n v="11006.608099999999"/>
    <n v="1.3466202073181947E-4"/>
    <n v="0"/>
    <n v="0"/>
    <n v="0"/>
    <n v="0"/>
    <m/>
    <n v="4"/>
    <s v="No"/>
    <m/>
  </r>
  <r>
    <x v="516"/>
    <s v="STAMFORD"/>
    <s v="No"/>
    <n v="134841.29239295999"/>
    <n v="1.196263615973116E-3"/>
    <n v="23276.3524"/>
    <n v="2.8477807340573301E-4"/>
    <n v="134841.29239295999"/>
    <n v="1.196263615973116E-3"/>
    <n v="23276.3524"/>
    <n v="2.8477807340573301E-4"/>
    <n v="0"/>
    <n v="0"/>
    <n v="0"/>
    <n v="0"/>
    <m/>
    <n v="3"/>
    <s v="No"/>
    <m/>
  </r>
  <r>
    <x v="517"/>
    <s v="STAMFORD"/>
    <s v="No"/>
    <n v="109788.85834560001"/>
    <n v="9.7400740045802681E-4"/>
    <n v="9380.7999999999993"/>
    <n v="1.1477082427247063E-4"/>
    <n v="109788.85834560001"/>
    <n v="9.7400740045802681E-4"/>
    <n v="9380.7999999999993"/>
    <n v="1.1477082427247063E-4"/>
    <n v="0"/>
    <n v="0"/>
    <n v="0"/>
    <n v="0"/>
    <m/>
    <n v="4"/>
    <s v="No"/>
    <m/>
  </r>
  <r>
    <x v="518"/>
    <s v="STAMFORD"/>
    <s v="No"/>
    <n v="93484.321084800002"/>
    <n v="8.2935938979129321E-4"/>
    <n v="7756.2"/>
    <n v="9.4894408496304874E-5"/>
    <n v="93484.321084800002"/>
    <n v="8.2935938979129321E-4"/>
    <n v="7756.2"/>
    <n v="9.4894408496304874E-5"/>
    <n v="0"/>
    <n v="0"/>
    <n v="0"/>
    <n v="0"/>
    <m/>
    <n v="3"/>
    <s v="No"/>
    <m/>
  </r>
  <r>
    <x v="519"/>
    <s v="STAMFORD"/>
    <s v="No"/>
    <n v="60746.351405759997"/>
    <n v="5.3891985681992784E-4"/>
    <n v="12748.1304"/>
    <n v="1.5596894016938224E-4"/>
    <n v="60746.351405759997"/>
    <n v="5.3891985681992784E-4"/>
    <n v="12748.1304"/>
    <n v="1.5596894016938224E-4"/>
    <n v="0"/>
    <n v="0"/>
    <n v="0"/>
    <n v="0"/>
    <m/>
    <n v="4"/>
    <s v="No"/>
    <m/>
  </r>
  <r>
    <x v="520"/>
    <s v="STAMFORD"/>
    <s v="No"/>
    <n v="109799.58904416001"/>
    <n v="9.7410259936952864E-4"/>
    <n v="8620.5794999999998"/>
    <n v="1.0546979094761245E-4"/>
    <n v="109799.58904416001"/>
    <n v="9.7410259936952864E-4"/>
    <n v="8620.5794999999998"/>
    <n v="1.0546979094761245E-4"/>
    <n v="0"/>
    <n v="0"/>
    <n v="0"/>
    <n v="0"/>
    <m/>
    <n v="4"/>
    <s v="No"/>
    <m/>
  </r>
  <r>
    <x v="521"/>
    <s v="STAMFORD"/>
    <s v="No"/>
    <n v="70717.539144959999"/>
    <n v="6.2738066054524846E-4"/>
    <n v="2774.1374000000001"/>
    <n v="3.3940605923065049E-5"/>
    <n v="70717.539144959999"/>
    <n v="6.2738066054524846E-4"/>
    <n v="2774.1374000000001"/>
    <n v="3.3940605923065049E-5"/>
    <n v="0"/>
    <n v="0"/>
    <n v="0"/>
    <n v="0"/>
    <m/>
    <n v="4"/>
    <s v="No"/>
    <m/>
  </r>
  <r>
    <x v="522"/>
    <s v="STAMFORD"/>
    <s v="No"/>
    <n v="115220.04017471999"/>
    <n v="1.0221908989888505E-3"/>
    <n v="8369.6"/>
    <n v="1.0239914408481903E-4"/>
    <n v="115220.04017471999"/>
    <n v="1.0221908989888505E-3"/>
    <n v="8369.6"/>
    <n v="1.0239914408481903E-4"/>
    <n v="0"/>
    <n v="0"/>
    <n v="0"/>
    <n v="0"/>
    <m/>
    <n v="4"/>
    <s v="No"/>
    <m/>
  </r>
  <r>
    <x v="523"/>
    <s v="STAMFORD"/>
    <s v="No"/>
    <n v="111285.65852063999"/>
    <n v="9.8728647512429731E-4"/>
    <n v="23460"/>
    <n v="2.8702493789785105E-4"/>
    <n v="111285.65852063999"/>
    <n v="9.8728647512429731E-4"/>
    <n v="23460"/>
    <n v="2.8702493789785105E-4"/>
    <n v="0"/>
    <n v="0"/>
    <n v="0"/>
    <n v="0"/>
    <m/>
    <n v="4"/>
    <s v="No"/>
    <m/>
  </r>
  <r>
    <x v="524"/>
    <s v="STAMFORD"/>
    <s v="No"/>
    <n v="74577.157868159993"/>
    <n v="6.6162181448374199E-4"/>
    <n v="8945.08"/>
    <n v="1.0943994166629623E-4"/>
    <n v="74577.157868159993"/>
    <n v="6.6162181448374199E-4"/>
    <n v="8945.08"/>
    <n v="1.0943994166629623E-4"/>
    <n v="0"/>
    <n v="0"/>
    <n v="0"/>
    <n v="0"/>
    <m/>
    <n v="4"/>
    <s v="No"/>
    <m/>
  </r>
  <r>
    <x v="228"/>
    <s v="STAMFORD"/>
    <s v="No"/>
    <n v="89294.912110079997"/>
    <n v="7.9219245494552173E-4"/>
    <n v="4610.05"/>
    <n v="5.6402357841261227E-5"/>
    <n v="89294.912110079997"/>
    <n v="7.9219245494552173E-4"/>
    <n v="4610.05"/>
    <n v="5.6402357841261227E-5"/>
    <n v="0"/>
    <n v="0"/>
    <n v="0"/>
    <n v="0"/>
    <m/>
    <n v="4"/>
    <s v="No"/>
    <m/>
  </r>
  <r>
    <x v="525"/>
    <s v="STAMFORD"/>
    <s v="No"/>
    <n v="65226.474495360002"/>
    <n v="5.7866590309446923E-4"/>
    <n v="403"/>
    <n v="4.9305647899758734E-6"/>
    <n v="65225.455666560003"/>
    <n v="5.7865686441052665E-4"/>
    <n v="403"/>
    <n v="4.9305647899758734E-6"/>
    <n v="1.0188288000000001"/>
    <n v="9.0386839425545507E-9"/>
    <n v="0"/>
    <n v="0"/>
    <m/>
    <n v="5"/>
    <s v="No"/>
    <m/>
  </r>
  <r>
    <x v="526"/>
    <s v="STAMFORD"/>
    <s v="No"/>
    <n v="103228.87383072"/>
    <n v="9.1580956908728778E-4"/>
    <n v="6524.6980000000003"/>
    <n v="7.9827409985176186E-5"/>
    <n v="103216.67104032"/>
    <n v="9.1570131030461219E-4"/>
    <n v="6524.6980000000003"/>
    <n v="7.9827409985176186E-5"/>
    <n v="12.2027904"/>
    <n v="1.0825878267559654E-7"/>
    <n v="0"/>
    <n v="0"/>
    <m/>
    <n v="5"/>
    <s v="No"/>
    <m/>
  </r>
  <r>
    <x v="527"/>
    <s v="STAMFORD"/>
    <s v="No"/>
    <n v="111040.17635231998"/>
    <n v="9.8510864531326566E-4"/>
    <n v="10284.4203"/>
    <n v="1.2582630425928809E-4"/>
    <n v="111040.17635231998"/>
    <n v="9.8510864531326566E-4"/>
    <n v="10284.4203"/>
    <n v="1.2582630425928809E-4"/>
    <n v="0"/>
    <n v="0"/>
    <n v="0"/>
    <n v="0"/>
    <m/>
    <n v="5"/>
    <s v="No"/>
    <m/>
  </r>
  <r>
    <x v="528"/>
    <s v="STAMFORD"/>
    <s v="No"/>
    <n v="63583.488017279997"/>
    <n v="5.6408991594407063E-4"/>
    <n v="9221.6200000000008"/>
    <n v="1.128233123536906E-4"/>
    <n v="63583.488017279997"/>
    <n v="5.6408991594407063E-4"/>
    <n v="9221.6200000000008"/>
    <n v="1.128233123536906E-4"/>
    <n v="0"/>
    <n v="0"/>
    <n v="0"/>
    <n v="0"/>
    <m/>
    <n v="5"/>
    <s v="No"/>
    <m/>
  </r>
  <r>
    <x v="529"/>
    <s v="STAMFORD"/>
    <s v="No"/>
    <n v="76084.431719040003"/>
    <n v="6.7499380784806528E-4"/>
    <n v="9793.5617999999995"/>
    <n v="1.198208212891631E-4"/>
    <n v="76084.431719040003"/>
    <n v="6.7499380784806528E-4"/>
    <n v="9793.5617999999995"/>
    <n v="1.198208212891631E-4"/>
    <n v="0"/>
    <n v="0"/>
    <n v="0"/>
    <n v="0"/>
    <m/>
    <n v="5"/>
    <s v="No"/>
    <m/>
  </r>
  <r>
    <x v="530"/>
    <s v="STAMFORD"/>
    <s v="No"/>
    <n v="117333.27924191998"/>
    <n v="1.0409387985608684E-3"/>
    <n v="10290.35"/>
    <n v="1.2589885207575242E-4"/>
    <n v="117333.27924191998"/>
    <n v="1.0409387985608684E-3"/>
    <n v="10290.35"/>
    <n v="1.2589885207575242E-4"/>
    <n v="0"/>
    <n v="0"/>
    <n v="0"/>
    <n v="0"/>
    <m/>
    <n v="4"/>
    <s v="No"/>
    <m/>
  </r>
  <r>
    <x v="531"/>
    <s v="STAMFORD"/>
    <s v="No"/>
    <n v="37835.245998719998"/>
    <n v="3.3566074150164556E-4"/>
    <n v="6324.97"/>
    <n v="7.738380739368163E-5"/>
    <n v="37835.245998719998"/>
    <n v="3.3566074150164556E-4"/>
    <n v="6324.97"/>
    <n v="7.738380739368163E-5"/>
    <n v="0"/>
    <n v="0"/>
    <n v="0"/>
    <n v="0"/>
    <m/>
    <n v="4"/>
    <s v="No"/>
    <m/>
  </r>
  <r>
    <x v="532"/>
    <s v="STAMFORD"/>
    <s v="No"/>
    <n v="92737.622036159999"/>
    <n v="8.2273494346541093E-4"/>
    <n v="5543.82"/>
    <n v="6.7826708918024921E-5"/>
    <n v="92737.622036159999"/>
    <n v="8.2273494346541093E-4"/>
    <n v="5543.82"/>
    <n v="6.7826708918024921E-5"/>
    <n v="0"/>
    <n v="0"/>
    <n v="0"/>
    <n v="0"/>
    <m/>
    <n v="5"/>
    <s v="No"/>
    <m/>
  </r>
  <r>
    <x v="533"/>
    <s v="STAMFORD"/>
    <s v="No"/>
    <n v="81861.026613120019"/>
    <n v="7.262416872874408E-4"/>
    <n v="0"/>
    <n v="0"/>
    <n v="81861.026613120019"/>
    <n v="7.262416872874408E-4"/>
    <n v="0"/>
    <n v="0"/>
    <n v="0"/>
    <n v="0"/>
    <n v="0"/>
    <n v="0"/>
    <m/>
    <n v="5"/>
    <s v="No"/>
    <m/>
  </r>
  <r>
    <x v="534"/>
    <s v="STAMFORD"/>
    <s v="No"/>
    <n v="88271.146042559994"/>
    <n v="7.8310996933515689E-4"/>
    <n v="49293.5962"/>
    <n v="6.0308999949133617E-4"/>
    <n v="88271.146042559994"/>
    <n v="7.8310996933515689E-4"/>
    <n v="49293.5962"/>
    <n v="6.0308999949133617E-4"/>
    <n v="0"/>
    <n v="0"/>
    <n v="0"/>
    <n v="0"/>
    <m/>
    <n v="5"/>
    <s v="No"/>
    <m/>
  </r>
  <r>
    <x v="535"/>
    <s v="STAMFORD"/>
    <s v="No"/>
    <n v="65418.021835199994"/>
    <n v="5.803652424386758E-4"/>
    <n v="3895.87"/>
    <n v="4.7664614015690583E-5"/>
    <n v="65418.021835199994"/>
    <n v="5.803652424386758E-4"/>
    <n v="3895.87"/>
    <n v="4.7664614015690583E-5"/>
    <n v="0"/>
    <n v="0"/>
    <n v="0"/>
    <n v="0"/>
    <m/>
    <n v="2"/>
    <s v="No"/>
    <m/>
  </r>
  <r>
    <x v="296"/>
    <s v="STERLING"/>
    <s v="No"/>
    <n v="532.01387520000003"/>
    <n v="4.7198364150939399E-6"/>
    <n v="0"/>
    <n v="0"/>
    <n v="532.01387520000003"/>
    <n v="4.7198364150939399E-6"/>
    <n v="0"/>
    <n v="0"/>
    <n v="0"/>
    <n v="0"/>
    <n v="0"/>
    <n v="0"/>
    <m/>
    <n v="3"/>
    <s v="No"/>
    <m/>
  </r>
  <r>
    <x v="297"/>
    <s v="STERLING"/>
    <s v="No"/>
    <n v="85744.234117440006"/>
    <n v="7.6069211243728386E-4"/>
    <n v="33246.379999999997"/>
    <n v="4.0675789236267507E-4"/>
    <n v="74480.158419840009"/>
    <n v="6.6076127014502045E-4"/>
    <n v="33246.379999999997"/>
    <n v="4.0675789236267507E-4"/>
    <n v="11264.075697600001"/>
    <n v="9.9930842292263498E-5"/>
    <n v="0"/>
    <n v="0"/>
    <m/>
    <e v="#N/A"/>
    <e v="#N/A"/>
    <m/>
  </r>
  <r>
    <x v="232"/>
    <s v="STONINGTON"/>
    <s v="No"/>
    <n v="69336.15201215999"/>
    <n v="6.1512548902311346E-4"/>
    <n v="20803.311399999999"/>
    <n v="2.5452127718050539E-4"/>
    <n v="69336.15201215999"/>
    <n v="6.1512548902311346E-4"/>
    <n v="20803.311399999999"/>
    <n v="2.5452127718050539E-4"/>
    <n v="0"/>
    <n v="0"/>
    <n v="0"/>
    <n v="0"/>
    <m/>
    <n v="4"/>
    <s v="No"/>
    <m/>
  </r>
  <r>
    <x v="236"/>
    <s v="STONINGTON"/>
    <s v="No"/>
    <n v="23357.275430400001"/>
    <n v="2.0721737584820964E-4"/>
    <n v="8097.3274000000001"/>
    <n v="9.9067983551729243E-5"/>
    <n v="23357.275430400001"/>
    <n v="2.0721737584820964E-4"/>
    <n v="8097.3274000000001"/>
    <n v="9.9067983551729243E-5"/>
    <n v="0"/>
    <n v="0"/>
    <n v="0"/>
    <n v="0"/>
    <m/>
    <n v="5"/>
    <s v="No"/>
    <m/>
  </r>
  <r>
    <x v="237"/>
    <s v="STONINGTON"/>
    <s v="No"/>
    <n v="2033.2870560000001"/>
    <n v="1.8038593985241895E-5"/>
    <n v="0"/>
    <n v="0"/>
    <n v="2033.2870560000001"/>
    <n v="1.8038593985241895E-5"/>
    <n v="0"/>
    <n v="0"/>
    <n v="0"/>
    <n v="0"/>
    <n v="0"/>
    <n v="0"/>
    <m/>
    <n v="2"/>
    <s v="No"/>
    <m/>
  </r>
  <r>
    <x v="238"/>
    <s v="STONINGTON"/>
    <s v="No"/>
    <n v="88393.719830400005"/>
    <n v="7.8419740004768436E-4"/>
    <n v="26386.0635"/>
    <n v="3.2282430679694184E-4"/>
    <n v="88393.719830400005"/>
    <n v="7.8419740004768436E-4"/>
    <n v="26386.0635"/>
    <n v="3.2282430679694184E-4"/>
    <n v="0"/>
    <n v="0"/>
    <n v="0"/>
    <n v="0"/>
    <m/>
    <n v="2"/>
    <s v="No"/>
    <m/>
  </r>
  <r>
    <x v="536"/>
    <s v="STONINGTON"/>
    <s v="No"/>
    <n v="81245.80684224001"/>
    <n v="7.2078367798872919E-4"/>
    <n v="51276.364600000001"/>
    <n v="6.2734848102909504E-4"/>
    <n v="81245.80684224001"/>
    <n v="7.2078367798872919E-4"/>
    <n v="51276.364600000001"/>
    <n v="6.2734848102909504E-4"/>
    <n v="0"/>
    <n v="0"/>
    <n v="0"/>
    <n v="0"/>
    <m/>
    <n v="1"/>
    <s v="No"/>
    <m/>
  </r>
  <r>
    <x v="537"/>
    <s v="STONINGTON"/>
    <s v="No"/>
    <n v="70169.614752960013"/>
    <n v="6.2251967172779034E-4"/>
    <n v="12001.766100000001"/>
    <n v="1.4683743263073463E-4"/>
    <n v="70168.092877440009"/>
    <n v="6.2250617019365116E-4"/>
    <n v="12001.766100000001"/>
    <n v="1.4683743263073463E-4"/>
    <n v="1.52187552"/>
    <n v="1.3501534139190861E-8"/>
    <n v="0"/>
    <n v="0"/>
    <m/>
    <n v="4"/>
    <s v="No"/>
    <m/>
  </r>
  <r>
    <x v="538"/>
    <s v="STONINGTON"/>
    <s v="No"/>
    <n v="323531.31702239998"/>
    <n v="2.8702538837574012E-3"/>
    <n v="271299.88939999999"/>
    <n v="3.319259757320071E-3"/>
    <n v="112087.26838944"/>
    <n v="9.9439807056537219E-4"/>
    <n v="191467.23939999999"/>
    <n v="2.3425350596017894E-3"/>
    <n v="211444.04863296001"/>
    <n v="1.875855813192029E-3"/>
    <n v="79832.649999999994"/>
    <n v="9.7672469771828137E-4"/>
    <m/>
    <n v="2"/>
    <s v="No"/>
    <m/>
  </r>
  <r>
    <x v="539"/>
    <s v="STONINGTON"/>
    <s v="No"/>
    <n v="81742.746957120005"/>
    <n v="7.2519235257348478E-4"/>
    <n v="22836.517100000001"/>
    <n v="2.7939684153583609E-4"/>
    <n v="81740.860966079999"/>
    <n v="7.2517562073695922E-4"/>
    <n v="22836.517100000001"/>
    <n v="2.7939684153583609E-4"/>
    <n v="1.88599104"/>
    <n v="1.673183652547882E-8"/>
    <n v="0"/>
    <n v="0"/>
    <m/>
    <n v="3"/>
    <s v="No"/>
    <m/>
  </r>
  <r>
    <x v="540"/>
    <s v="STONINGTON"/>
    <s v="No"/>
    <n v="64517.608149120002"/>
    <n v="5.7237709494419237E-4"/>
    <n v="23641.341400000001"/>
    <n v="2.8924358683533229E-4"/>
    <n v="64517.608149120002"/>
    <n v="5.7237709494419237E-4"/>
    <n v="23641.341400000001"/>
    <n v="2.8924358683533229E-4"/>
    <n v="0"/>
    <n v="0"/>
    <n v="0"/>
    <n v="0"/>
    <m/>
    <n v="1"/>
    <s v="No"/>
    <m/>
  </r>
  <r>
    <x v="143"/>
    <s v="SUFFIELD"/>
    <s v="No"/>
    <n v="152.5522464"/>
    <n v="1.3533888519212503E-6"/>
    <n v="0"/>
    <n v="0"/>
    <n v="152.5522464"/>
    <n v="1.3533888519212503E-6"/>
    <n v="0"/>
    <n v="0"/>
    <n v="0"/>
    <n v="0"/>
    <n v="0"/>
    <n v="0"/>
    <m/>
    <n v="3"/>
    <s v="No"/>
    <m/>
  </r>
  <r>
    <x v="144"/>
    <s v="SUFFIELD"/>
    <s v="No"/>
    <n v="94801.637200320009"/>
    <n v="8.4104614621260661E-4"/>
    <n v="24103.85"/>
    <n v="2.9490221864233236E-4"/>
    <n v="94801.637200320009"/>
    <n v="8.4104614621260661E-4"/>
    <n v="24103.85"/>
    <n v="2.9490221864233236E-4"/>
    <n v="0"/>
    <n v="0"/>
    <n v="0"/>
    <n v="0"/>
    <m/>
    <n v="1"/>
    <s v="No"/>
    <m/>
  </r>
  <r>
    <x v="541"/>
    <s v="SUFFIELD"/>
    <s v="No"/>
    <n v="655629.93763775995"/>
    <n v="5.8165138142781811E-3"/>
    <n v="130820.77500000001"/>
    <n v="1.6005466675244565E-3"/>
    <n v="136802.6842896"/>
    <n v="1.2136643818733501E-3"/>
    <n v="120601.675"/>
    <n v="1.4755195344097109E-3"/>
    <n v="518827.25334815995"/>
    <n v="4.6028494324048307E-3"/>
    <n v="10219.1"/>
    <n v="1.2502713311474551E-4"/>
    <m/>
    <n v="4"/>
    <s v="No"/>
    <m/>
  </r>
  <r>
    <x v="145"/>
    <s v="SUFFIELD"/>
    <s v="No"/>
    <n v="64815.635833919994"/>
    <n v="5.7502108974394513E-4"/>
    <n v="12768.789500000001"/>
    <n v="1.5622169707025716E-4"/>
    <n v="64815.635833919994"/>
    <n v="5.7502108974394513E-4"/>
    <n v="12768.789500000001"/>
    <n v="1.5622169707025716E-4"/>
    <n v="0"/>
    <n v="0"/>
    <n v="0"/>
    <n v="0"/>
    <m/>
    <n v="1"/>
    <s v="No"/>
    <m/>
  </r>
  <r>
    <x v="306"/>
    <s v="THOMASTON"/>
    <s v="No"/>
    <n v="2560.0510684800001"/>
    <n v="2.2711855499952295E-5"/>
    <n v="933.36"/>
    <n v="1.1419334869409134E-5"/>
    <n v="2560.0510684800001"/>
    <n v="2.2711855499952295E-5"/>
    <n v="933.36"/>
    <n v="1.1419334869409134E-5"/>
    <n v="0"/>
    <n v="0"/>
    <n v="0"/>
    <n v="0"/>
    <m/>
    <n v="1"/>
    <s v="No"/>
    <m/>
  </r>
  <r>
    <x v="307"/>
    <s v="THOMASTON"/>
    <s v="No"/>
    <n v="172920.63703680001"/>
    <n v="1.5340899131638483E-3"/>
    <n v="101751.56359999999"/>
    <n v="1.2448949796802747E-3"/>
    <n v="106189.790616"/>
    <n v="9.420777615474445E-4"/>
    <n v="90896.353600000002"/>
    <n v="1.1120852620281805E-3"/>
    <n v="66730.846420800008"/>
    <n v="5.9201215161640384E-4"/>
    <n v="10855.21"/>
    <n v="1.3280971765209428E-4"/>
    <m/>
    <n v="1"/>
    <s v="No"/>
    <m/>
  </r>
  <r>
    <x v="289"/>
    <s v="THOMASTON"/>
    <s v="No"/>
    <n v="51583.641946560005"/>
    <n v="4.576315826180564E-4"/>
    <n v="34946.99"/>
    <n v="4.2756426404376907E-4"/>
    <n v="51583.641946560005"/>
    <n v="4.576315826180564E-4"/>
    <n v="34946.99"/>
    <n v="4.2756426404376907E-4"/>
    <n v="0"/>
    <n v="0"/>
    <n v="0"/>
    <n v="0"/>
    <m/>
    <n v="1"/>
    <s v="No"/>
    <m/>
  </r>
  <r>
    <x v="290"/>
    <s v="THOMASTON"/>
    <s v="No"/>
    <n v="125.9121888"/>
    <n v="1.1170478092869546E-6"/>
    <n v="0"/>
    <n v="0"/>
    <n v="125.9121888"/>
    <n v="1.1170478092869546E-6"/>
    <n v="0"/>
    <n v="0"/>
    <n v="0"/>
    <n v="0"/>
    <n v="0"/>
    <n v="0"/>
    <m/>
    <n v="1"/>
    <s v="No"/>
    <m/>
  </r>
  <r>
    <x v="542"/>
    <s v="THOMPSON"/>
    <s v="No"/>
    <n v="131978.84541119999"/>
    <n v="1.1708690123160071E-3"/>
    <n v="55611.319199999998"/>
    <n v="6.8038514236136286E-4"/>
    <n v="114098.2118352"/>
    <n v="1.012238440049015E-3"/>
    <n v="45721.439200000001"/>
    <n v="5.5938590140581308E-4"/>
    <n v="17880.633576"/>
    <n v="1.5863057226699219E-4"/>
    <n v="9889.8799999999992"/>
    <n v="1.2099924095554984E-4"/>
    <m/>
    <n v="2"/>
    <s v="No"/>
    <m/>
  </r>
  <r>
    <x v="543"/>
    <s v="THOMPSON"/>
    <s v="No"/>
    <n v="78065.277456960001"/>
    <n v="6.9256716125544362E-4"/>
    <n v="10634.31"/>
    <n v="1.3010708300667078E-4"/>
    <n v="78065.277456960001"/>
    <n v="6.9256716125544362E-4"/>
    <n v="10634.31"/>
    <n v="1.3010708300667078E-4"/>
    <n v="0"/>
    <n v="0"/>
    <n v="0"/>
    <n v="0"/>
    <m/>
    <n v="2"/>
    <s v="No"/>
    <m/>
  </r>
  <r>
    <x v="468"/>
    <s v="THOMPSON"/>
    <s v="No"/>
    <n v="378.51805440000004"/>
    <n v="3.3580765092940736E-6"/>
    <n v="0"/>
    <n v="0"/>
    <n v="378.51805440000004"/>
    <n v="3.3580765092940736E-6"/>
    <n v="0"/>
    <n v="0"/>
    <n v="0"/>
    <n v="0"/>
    <n v="0"/>
    <n v="0"/>
    <m/>
    <n v="1"/>
    <s v="No"/>
    <m/>
  </r>
  <r>
    <x v="474"/>
    <s v="THOMPSON"/>
    <s v="No"/>
    <n v="114.18408000000001"/>
    <n v="1.0130002316300485E-6"/>
    <n v="0"/>
    <n v="0"/>
    <n v="114.18408000000001"/>
    <n v="1.0130002316300485E-6"/>
    <n v="0"/>
    <n v="0"/>
    <n v="0"/>
    <n v="0"/>
    <n v="0"/>
    <n v="0"/>
    <m/>
    <n v="3"/>
    <s v="No"/>
    <m/>
  </r>
  <r>
    <x v="43"/>
    <s v="TOLLAND"/>
    <s v="No"/>
    <n v="546.76373760000001"/>
    <n v="4.850691907625923E-6"/>
    <n v="0"/>
    <n v="0"/>
    <n v="546.76373760000001"/>
    <n v="4.850691907625923E-6"/>
    <n v="0"/>
    <n v="0"/>
    <n v="0"/>
    <n v="0"/>
    <n v="0"/>
    <n v="0"/>
    <m/>
    <n v="4"/>
    <s v="No"/>
    <m/>
  </r>
  <r>
    <x v="544"/>
    <s v="TOLLAND"/>
    <s v="No"/>
    <n v="211485.03391584003"/>
    <n v="1.8762194199316979E-3"/>
    <n v="124145.8175"/>
    <n v="1.5188808848344184E-3"/>
    <n v="172674.64892736002"/>
    <n v="1.5319075948245411E-3"/>
    <n v="109420.7975"/>
    <n v="1.3387253881999505E-3"/>
    <n v="38810.38498848"/>
    <n v="3.4431182510715673E-4"/>
    <n v="14725.02"/>
    <n v="1.8015549663446783E-4"/>
    <m/>
    <n v="2"/>
    <s v="No"/>
    <m/>
  </r>
  <r>
    <x v="545"/>
    <s v="TOLLAND"/>
    <s v="No"/>
    <n v="102545.04115008"/>
    <n v="9.0974285064558799E-4"/>
    <n v="28463.101999999999"/>
    <n v="3.4823615021015348E-4"/>
    <n v="102538.85292288"/>
    <n v="9.0968795091186884E-4"/>
    <n v="28463.101999999999"/>
    <n v="3.4823615021015348E-4"/>
    <n v="6.1882272"/>
    <n v="5.4899733719265987E-8"/>
    <n v="0"/>
    <n v="0"/>
    <m/>
    <n v="4"/>
    <s v="No"/>
    <m/>
  </r>
  <r>
    <x v="177"/>
    <s v="TOLLAND"/>
    <s v="No"/>
    <n v="145.7156736"/>
    <n v="1.2927372284203588E-6"/>
    <n v="0"/>
    <n v="0"/>
    <n v="145.7156736"/>
    <n v="1.2927372284203588E-6"/>
    <n v="0"/>
    <n v="0"/>
    <n v="0"/>
    <n v="0"/>
    <n v="0"/>
    <n v="0"/>
    <m/>
    <n v="5"/>
    <s v="No"/>
    <m/>
  </r>
  <r>
    <x v="305"/>
    <s v="TORRINGTON"/>
    <s v="No"/>
    <n v="82.918771200000009"/>
    <n v="7.3562561814290564E-7"/>
    <n v="0"/>
    <n v="0"/>
    <n v="82.918771200000009"/>
    <n v="7.3562561814290564E-7"/>
    <n v="0"/>
    <n v="0"/>
    <n v="0"/>
    <n v="0"/>
    <n v="0"/>
    <n v="0"/>
    <m/>
    <n v="2"/>
    <s v="No"/>
    <m/>
  </r>
  <r>
    <x v="409"/>
    <s v="TORRINGTON"/>
    <s v="No"/>
    <n v="575.92192320000004"/>
    <n v="5.1093728793227824E-6"/>
    <n v="0"/>
    <n v="0"/>
    <n v="575.92192320000004"/>
    <n v="5.1093728793227824E-6"/>
    <n v="0"/>
    <n v="0"/>
    <n v="0"/>
    <n v="0"/>
    <n v="0"/>
    <n v="0"/>
    <m/>
    <n v="1"/>
    <s v="No"/>
    <m/>
  </r>
  <r>
    <x v="546"/>
    <s v="TORRINGTON"/>
    <s v="No"/>
    <n v="76307.070124799997"/>
    <n v="6.769689759853802E-4"/>
    <n v="20088.7081"/>
    <n v="2.4577835442670748E-4"/>
    <n v="76307.070124799997"/>
    <n v="6.769689759853802E-4"/>
    <n v="20088.7081"/>
    <n v="2.4577835442670748E-4"/>
    <n v="0"/>
    <n v="0"/>
    <n v="0"/>
    <n v="0"/>
    <m/>
    <n v="3"/>
    <s v="No"/>
    <m/>
  </r>
  <r>
    <x v="547"/>
    <s v="TORRINGTON"/>
    <s v="No"/>
    <n v="34487.976597120003"/>
    <n v="3.0596496710692285E-4"/>
    <n v="23654.6"/>
    <n v="2.8940580119345729E-4"/>
    <n v="34487.976597120003"/>
    <n v="3.0596496710692285E-4"/>
    <n v="23654.6"/>
    <n v="2.8940580119345729E-4"/>
    <n v="0"/>
    <n v="0"/>
    <n v="0"/>
    <n v="0"/>
    <m/>
    <n v="2"/>
    <s v="No"/>
    <m/>
  </r>
  <r>
    <x v="548"/>
    <s v="TORRINGTON"/>
    <s v="No"/>
    <n v="26950.979836799997"/>
    <n v="2.3909943327769651E-4"/>
    <n v="18765.400000000001"/>
    <n v="2.2958814022286167E-4"/>
    <n v="26950.979836799997"/>
    <n v="2.3909943327769651E-4"/>
    <n v="18765.400000000001"/>
    <n v="2.2958814022286167E-4"/>
    <n v="0"/>
    <n v="0"/>
    <n v="0"/>
    <n v="0"/>
    <m/>
    <n v="2"/>
    <s v="Yes"/>
    <m/>
  </r>
  <r>
    <x v="288"/>
    <s v="TORRINGTON"/>
    <s v="No"/>
    <n v="48205.948348799997"/>
    <n v="4.2766589565971494E-4"/>
    <n v="16981.6783"/>
    <n v="2.0776492580813234E-4"/>
    <n v="48205.948348799997"/>
    <n v="4.2766589565971494E-4"/>
    <n v="16981.6783"/>
    <n v="2.0776492580813234E-4"/>
    <n v="0"/>
    <n v="0"/>
    <n v="0"/>
    <n v="0"/>
    <m/>
    <n v="3"/>
    <s v="No"/>
    <m/>
  </r>
  <r>
    <x v="549"/>
    <s v="TORRINGTON"/>
    <s v="No"/>
    <n v="34178.324423040001"/>
    <n v="3.0321784400475497E-4"/>
    <n v="28920.17"/>
    <n v="3.5382821816902369E-4"/>
    <n v="34178.324423040001"/>
    <n v="3.0321784400475497E-4"/>
    <n v="28920.17"/>
    <n v="3.5382821816902369E-4"/>
    <n v="0"/>
    <n v="0"/>
    <n v="0"/>
    <n v="0"/>
    <m/>
    <n v="1"/>
    <s v="No"/>
    <m/>
  </r>
  <r>
    <x v="550"/>
    <s v="TORRINGTON"/>
    <s v="No"/>
    <n v="62090.761420800001"/>
    <n v="5.5084698060672269E-4"/>
    <n v="13849.6288"/>
    <n v="1.694453898648035E-4"/>
    <n v="62090.761420800001"/>
    <n v="5.5084698060672269E-4"/>
    <n v="13849.6288"/>
    <n v="1.694453898648035E-4"/>
    <n v="0"/>
    <n v="0"/>
    <n v="0"/>
    <n v="0"/>
    <m/>
    <n v="3"/>
    <s v="No"/>
    <m/>
  </r>
  <r>
    <x v="551"/>
    <s v="TORRINGTON"/>
    <s v="No"/>
    <n v="72546.218170559994"/>
    <n v="6.4360404542087907E-4"/>
    <n v="39940.89"/>
    <n v="4.8866289308759168E-4"/>
    <n v="72546.218170559994"/>
    <n v="6.4360404542087907E-4"/>
    <n v="39940.89"/>
    <n v="4.8866289308759168E-4"/>
    <n v="0"/>
    <n v="0"/>
    <n v="0"/>
    <n v="0"/>
    <m/>
    <n v="1"/>
    <s v="No"/>
    <m/>
  </r>
  <r>
    <x v="552"/>
    <s v="TORRINGTON"/>
    <s v="No"/>
    <n v="373023.51183936"/>
    <n v="3.3093308970631083E-3"/>
    <n v="358572.60279999999"/>
    <n v="4.3870110422225411E-3"/>
    <n v="144404.28637344"/>
    <n v="1.281103070976852E-3"/>
    <n v="197409.5528"/>
    <n v="2.4152371966267073E-3"/>
    <n v="228619.22546592"/>
    <n v="2.0282278260862563E-3"/>
    <n v="161163.04999999999"/>
    <n v="1.9717738455958338E-3"/>
    <m/>
    <n v="1"/>
    <s v="No"/>
    <m/>
  </r>
  <r>
    <x v="553"/>
    <s v="TORRINGTON"/>
    <s v="No"/>
    <n v="36919.849161600003"/>
    <n v="3.2753966886143191E-4"/>
    <n v="3462.34"/>
    <n v="4.2360525297580805E-5"/>
    <n v="36919.849161600003"/>
    <n v="3.2753966886143191E-4"/>
    <n v="3462.34"/>
    <n v="4.2360525297580805E-5"/>
    <n v="0"/>
    <n v="0"/>
    <n v="0"/>
    <n v="0"/>
    <m/>
    <n v="3"/>
    <s v="No"/>
    <m/>
  </r>
  <r>
    <x v="554"/>
    <s v="TORRINGTON"/>
    <s v="No"/>
    <n v="72946.220777279988"/>
    <n v="6.471527251778118E-4"/>
    <n v="28410.995900000002"/>
    <n v="3.4759865020518338E-4"/>
    <n v="72946.220777279988"/>
    <n v="6.471527251778118E-4"/>
    <n v="28410.995900000002"/>
    <n v="3.4759865020518338E-4"/>
    <n v="0"/>
    <n v="0"/>
    <n v="0"/>
    <n v="0"/>
    <m/>
    <n v="4"/>
    <s v="Yes"/>
    <m/>
  </r>
  <r>
    <x v="555"/>
    <s v="TORRINGTON"/>
    <s v="No"/>
    <n v="41928.608361600003"/>
    <n v="3.7197558523242809E-4"/>
    <n v="3042.1"/>
    <n v="3.7219035105671473E-5"/>
    <n v="41928.608361600003"/>
    <n v="3.7197558523242809E-4"/>
    <n v="3042.1"/>
    <n v="3.7219035105671473E-5"/>
    <n v="0"/>
    <n v="0"/>
    <n v="0"/>
    <n v="0"/>
    <m/>
    <n v="2"/>
    <s v="No"/>
    <m/>
  </r>
  <r>
    <x v="556"/>
    <s v="TORRINGTON"/>
    <s v="No"/>
    <n v="447.89103360000001"/>
    <n v="3.9735287159280155E-6"/>
    <n v="0"/>
    <n v="0"/>
    <n v="447.89103360000001"/>
    <n v="3.9735287159280155E-6"/>
    <n v="0"/>
    <n v="0"/>
    <n v="0"/>
    <n v="0"/>
    <n v="0"/>
    <n v="0"/>
    <m/>
    <n v="3"/>
    <s v="No"/>
    <m/>
  </r>
  <r>
    <x v="199"/>
    <s v="UNION"/>
    <s v="No"/>
    <n v="2415.7854892799996"/>
    <n v="2.1431982989302442E-5"/>
    <n v="0"/>
    <n v="0"/>
    <n v="54.552493439999999"/>
    <n v="4.8397016896503166E-7"/>
    <n v="0"/>
    <n v="0"/>
    <n v="2361.2329958399996"/>
    <n v="2.0948012820337409E-5"/>
    <n v="0"/>
    <n v="0"/>
    <m/>
    <n v="5"/>
    <s v="No"/>
    <m/>
  </r>
  <r>
    <x v="557"/>
    <s v="UNION"/>
    <s v="No"/>
    <n v="7.6933152000000007"/>
    <n v="6.825233499803976E-8"/>
    <n v="0"/>
    <n v="0"/>
    <n v="7.6933152000000007"/>
    <n v="6.825233499803976E-8"/>
    <n v="0"/>
    <n v="0"/>
    <n v="0"/>
    <n v="0"/>
    <n v="0"/>
    <n v="0"/>
    <m/>
    <n v="5"/>
    <s v="No"/>
    <m/>
  </r>
  <r>
    <x v="110"/>
    <s v="UNION"/>
    <s v="No"/>
    <n v="65.558160000000001"/>
    <n v="5.8160849800812663E-7"/>
    <n v="0"/>
    <n v="0"/>
    <n v="65.558160000000001"/>
    <n v="5.8160849800812663E-7"/>
    <n v="0"/>
    <n v="0"/>
    <n v="0"/>
    <n v="0"/>
    <n v="0"/>
    <n v="0"/>
    <m/>
    <n v="1"/>
    <s v="No"/>
    <m/>
  </r>
  <r>
    <x v="512"/>
    <s v="UNION"/>
    <s v="No"/>
    <n v="2220.5066889600002"/>
    <n v="1.9699539465156193E-5"/>
    <n v="0"/>
    <n v="0"/>
    <n v="2220.5066889600002"/>
    <n v="1.9699539465156193E-5"/>
    <n v="0"/>
    <n v="0"/>
    <n v="0"/>
    <n v="0"/>
    <n v="0"/>
    <n v="0"/>
    <m/>
    <n v="2"/>
    <s v="No"/>
    <m/>
  </r>
  <r>
    <x v="513"/>
    <s v="UNION"/>
    <s v="No"/>
    <n v="18433.834459199999"/>
    <n v="1.6353837222316426E-4"/>
    <n v="5573.38"/>
    <n v="6.8188365233637054E-5"/>
    <n v="15848.872447679998"/>
    <n v="1.4060551576520062E-4"/>
    <n v="3865.75"/>
    <n v="4.7296106294911244E-5"/>
    <n v="2584.9620115200005"/>
    <n v="2.2932856457963635E-5"/>
    <n v="1707.63"/>
    <n v="2.0892258938725807E-5"/>
    <m/>
    <n v="4"/>
    <s v="No"/>
    <m/>
  </r>
  <r>
    <x v="493"/>
    <s v="UNION"/>
    <s v="No"/>
    <n v="36.006336000000005"/>
    <n v="3.1943530751528019E-7"/>
    <n v="0"/>
    <n v="0"/>
    <n v="36.006336000000005"/>
    <n v="3.1943530751528019E-7"/>
    <n v="0"/>
    <n v="0"/>
    <n v="0"/>
    <n v="0"/>
    <n v="0"/>
    <n v="0"/>
    <m/>
    <n v="4"/>
    <s v="No"/>
    <m/>
  </r>
  <r>
    <x v="494"/>
    <s v="VERNON"/>
    <s v="No"/>
    <n v="343.50160319999998"/>
    <n v="3.047423104927525E-6"/>
    <n v="628.35299999999995"/>
    <n v="7.6876803411307927E-6"/>
    <n v="343.50160319999998"/>
    <n v="3.047423104927525E-6"/>
    <n v="628.35299999999995"/>
    <n v="7.6876803411307927E-6"/>
    <n v="0"/>
    <n v="0"/>
    <n v="0"/>
    <n v="0"/>
    <m/>
    <n v="4"/>
    <s v="No"/>
    <m/>
  </r>
  <r>
    <x v="313"/>
    <s v="VERNON"/>
    <s v="No"/>
    <n v="411.98310720000001"/>
    <n v="3.6549664631117318E-6"/>
    <n v="0"/>
    <n v="0"/>
    <n v="411.98310720000001"/>
    <n v="3.6549664631117318E-6"/>
    <n v="0"/>
    <n v="0"/>
    <n v="0"/>
    <n v="0"/>
    <n v="0"/>
    <n v="0"/>
    <m/>
    <n v="3"/>
    <s v="No"/>
    <m/>
  </r>
  <r>
    <x v="175"/>
    <s v="VERNON"/>
    <s v="No"/>
    <n v="34070.83161696"/>
    <n v="3.0226420635704078E-4"/>
    <n v="8725.9500000000007"/>
    <n v="1.0675896235506197E-4"/>
    <n v="34070.83161696"/>
    <n v="3.0226420635704078E-4"/>
    <n v="8725.9500000000007"/>
    <n v="1.0675896235506197E-4"/>
    <n v="0"/>
    <n v="0"/>
    <n v="0"/>
    <n v="0"/>
    <m/>
    <n v="5"/>
    <s v="No"/>
    <m/>
  </r>
  <r>
    <x v="558"/>
    <s v="VERNON"/>
    <s v="No"/>
    <n v="78604.228051200014"/>
    <n v="6.9734853775558516E-4"/>
    <n v="29090.1"/>
    <n v="3.5590725259771003E-4"/>
    <n v="78604.228051200014"/>
    <n v="6.9734853775558516E-4"/>
    <n v="29090.1"/>
    <n v="3.5590725259771003E-4"/>
    <n v="0"/>
    <n v="0"/>
    <n v="0"/>
    <n v="0"/>
    <m/>
    <n v="4"/>
    <s v="No"/>
    <m/>
  </r>
  <r>
    <x v="497"/>
    <s v="VERNON"/>
    <s v="No"/>
    <n v="74512.329096959991"/>
    <n v="6.6104667686173819E-4"/>
    <n v="23277.45"/>
    <n v="2.8479150215986079E-4"/>
    <n v="74448.189192959995"/>
    <n v="6.6047765062262741E-4"/>
    <n v="23277.45"/>
    <n v="2.8479150215986079E-4"/>
    <n v="64.139904000000001"/>
    <n v="5.6902623911082057E-7"/>
    <n v="0"/>
    <n v="0"/>
    <m/>
    <n v="2"/>
    <s v="No"/>
    <m/>
  </r>
  <r>
    <x v="557"/>
    <s v="VERNON"/>
    <s v="No"/>
    <n v="311439.87997920002"/>
    <n v="2.7629829881517989E-3"/>
    <n v="217918.8671"/>
    <n v="2.6661615215749176E-3"/>
    <n v="124042.64026751998"/>
    <n v="1.1004618447948305E-3"/>
    <n v="142414.7691"/>
    <n v="1.7423951516054689E-3"/>
    <n v="187397.23971168004"/>
    <n v="1.6625211433569686E-3"/>
    <n v="75504.097999999998"/>
    <n v="9.2376636996944843E-4"/>
    <m/>
    <n v="5"/>
    <s v="No"/>
    <m/>
  </r>
  <r>
    <x v="559"/>
    <s v="VERNON"/>
    <s v="No"/>
    <n v="65216.719788479997"/>
    <n v="5.7857936283133514E-4"/>
    <n v="10887.23"/>
    <n v="1.3320147121183379E-4"/>
    <n v="65216.719788479997"/>
    <n v="5.7857936283133514E-4"/>
    <n v="10887.23"/>
    <n v="1.3320147121183379E-4"/>
    <n v="0"/>
    <n v="0"/>
    <n v="0"/>
    <n v="0"/>
    <m/>
    <n v="5"/>
    <s v="No"/>
    <m/>
  </r>
  <r>
    <x v="325"/>
    <s v="VERNON"/>
    <s v="No"/>
    <n v="59253.694274879992"/>
    <n v="5.2567753775648496E-4"/>
    <n v="19884.302"/>
    <n v="2.4327751690929734E-4"/>
    <n v="59253.694274879992"/>
    <n v="5.2567753775648496E-4"/>
    <n v="19884.302"/>
    <n v="2.4327751690929734E-4"/>
    <n v="0"/>
    <n v="0"/>
    <n v="0"/>
    <n v="0"/>
    <m/>
    <n v="4"/>
    <s v="No"/>
    <m/>
  </r>
  <r>
    <x v="43"/>
    <s v="VERNON"/>
    <s v="No"/>
    <n v="52920.689765759998"/>
    <n v="4.6949339164213439E-4"/>
    <n v="19791.499500000002"/>
    <n v="2.4214211060924343E-4"/>
    <n v="52920.689765759998"/>
    <n v="4.6949339164213439E-4"/>
    <n v="19791.499500000002"/>
    <n v="2.4214211060924343E-4"/>
    <n v="0"/>
    <n v="0"/>
    <n v="0"/>
    <n v="0"/>
    <m/>
    <n v="4"/>
    <s v="No"/>
    <m/>
  </r>
  <r>
    <x v="176"/>
    <s v="VERNON"/>
    <s v="No"/>
    <n v="1230.0100127999999"/>
    <n v="1.0912207970442803E-5"/>
    <n v="164.09"/>
    <n v="2.0075840605139976E-6"/>
    <n v="1230.0100127999999"/>
    <n v="1.0912207970442803E-5"/>
    <n v="164.09"/>
    <n v="2.0075840605139976E-6"/>
    <n v="0"/>
    <n v="0"/>
    <n v="0"/>
    <n v="0"/>
    <m/>
    <n v="4"/>
    <s v="No"/>
    <m/>
  </r>
  <r>
    <x v="435"/>
    <s v="VOLUNTOWN"/>
    <s v="No"/>
    <n v="70807.896524159994"/>
    <n v="6.2818227882740368E-4"/>
    <n v="36101.566500000001"/>
    <n v="4.4169010582598638E-4"/>
    <n v="57747.690486719999"/>
    <n v="5.1231681193339472E-4"/>
    <n v="21450.676500000001"/>
    <n v="2.6244156395052829E-4"/>
    <n v="13060.206037439999"/>
    <n v="1.15865466894009E-4"/>
    <n v="14650.89"/>
    <n v="1.7924854187545809E-4"/>
    <m/>
    <n v="2"/>
    <s v="No"/>
    <m/>
  </r>
  <r>
    <x v="229"/>
    <s v="VOLUNTOWN"/>
    <s v="No"/>
    <n v="95.121561600000007"/>
    <n v="8.4388440081850216E-7"/>
    <n v="0"/>
    <n v="0"/>
    <n v="95.121561600000007"/>
    <n v="8.4388440081850216E-7"/>
    <n v="0"/>
    <n v="0"/>
    <n v="0"/>
    <n v="0"/>
    <n v="0"/>
    <n v="0"/>
    <m/>
    <n v="3"/>
    <s v="No"/>
    <m/>
  </r>
  <r>
    <x v="297"/>
    <s v="VOLUNTOWN"/>
    <s v="No"/>
    <n v="48.087561600000001"/>
    <n v="4.266156108568219E-7"/>
    <n v="0"/>
    <n v="0"/>
    <n v="48.087561600000001"/>
    <n v="4.266156108568219E-7"/>
    <n v="0"/>
    <n v="0"/>
    <n v="0"/>
    <n v="0"/>
    <n v="0"/>
    <n v="0"/>
    <m/>
    <e v="#N/A"/>
    <e v="#N/A"/>
    <m/>
  </r>
  <r>
    <x v="403"/>
    <s v="WARREN"/>
    <s v="No"/>
    <n v="46.987689599999996"/>
    <n v="4.1685794069156411E-7"/>
    <n v="0"/>
    <n v="0"/>
    <n v="46.987689599999996"/>
    <n v="4.1685794069156411E-7"/>
    <n v="0"/>
    <n v="0"/>
    <n v="0"/>
    <n v="0"/>
    <n v="0"/>
    <n v="0"/>
    <m/>
    <n v="2"/>
    <s v="No"/>
    <m/>
  </r>
  <r>
    <x v="199"/>
    <s v="WARREN"/>
    <s v="No"/>
    <n v="3678.0715353599999"/>
    <n v="3.2630532358552678E-5"/>
    <n v="0"/>
    <n v="0"/>
    <n v="24.110352000000002"/>
    <n v="2.1389840125420287E-7"/>
    <n v="0"/>
    <n v="0"/>
    <n v="3653.9611833599997"/>
    <n v="3.2416633957298471E-5"/>
    <n v="0"/>
    <n v="0"/>
    <m/>
    <n v="5"/>
    <s v="No"/>
    <m/>
  </r>
  <r>
    <x v="79"/>
    <s v="WARREN"/>
    <s v="No"/>
    <n v="1081.73337408"/>
    <n v="9.5967507773850237E-6"/>
    <n v="0"/>
    <n v="0"/>
    <n v="1081.73337408"/>
    <n v="9.5967507773850237E-6"/>
    <n v="0"/>
    <n v="0"/>
    <n v="0"/>
    <n v="0"/>
    <n v="0"/>
    <n v="0"/>
    <m/>
    <n v="3"/>
    <s v="No"/>
    <m/>
  </r>
  <r>
    <x v="113"/>
    <s v="WARREN"/>
    <s v="No"/>
    <n v="41666.761255679994"/>
    <n v="3.6965257156056921E-4"/>
    <n v="40234.6829"/>
    <n v="4.9225734700393141E-4"/>
    <n v="41431.092839999998"/>
    <n v="3.6756180584549122E-4"/>
    <n v="39393.502899999999"/>
    <n v="4.8196580236365371E-4"/>
    <n v="235.66841567999998"/>
    <n v="2.0907657150780255E-6"/>
    <n v="841.18"/>
    <n v="1.0291544640277678E-5"/>
    <m/>
    <n v="1"/>
    <s v="No"/>
    <m/>
  </r>
  <r>
    <x v="114"/>
    <s v="WARREN"/>
    <s v="No"/>
    <n v="107.6601024"/>
    <n v="9.551218407024404E-7"/>
    <n v="0"/>
    <n v="0"/>
    <n v="107.6601024"/>
    <n v="9.551218407024404E-7"/>
    <n v="0"/>
    <n v="0"/>
    <n v="0"/>
    <n v="0"/>
    <n v="0"/>
    <n v="0"/>
    <m/>
    <n v="2"/>
    <s v="No"/>
    <m/>
  </r>
  <r>
    <x v="421"/>
    <s v="WARREN"/>
    <s v="No"/>
    <n v="1739.6270208000001"/>
    <n v="1.5433347407276838E-5"/>
    <n v="0"/>
    <n v="0"/>
    <n v="1739.6270208000001"/>
    <n v="1.5433347407276838E-5"/>
    <n v="0"/>
    <n v="0"/>
    <n v="0"/>
    <n v="0"/>
    <n v="0"/>
    <n v="0"/>
    <m/>
    <n v="3"/>
    <s v="No"/>
    <m/>
  </r>
  <r>
    <x v="409"/>
    <s v="WARREN"/>
    <s v="No"/>
    <n v="34.269696000000003"/>
    <n v="3.0402845988592581E-7"/>
    <n v="0"/>
    <n v="0"/>
    <n v="34.269696000000003"/>
    <n v="3.0402845988592581E-7"/>
    <n v="0"/>
    <n v="0"/>
    <n v="0"/>
    <n v="0"/>
    <n v="0"/>
    <n v="0"/>
    <m/>
    <n v="1"/>
    <s v="No"/>
    <m/>
  </r>
  <r>
    <x v="291"/>
    <s v="WASHINGTON"/>
    <s v="No"/>
    <n v="105.3330048"/>
    <n v="9.3447666487910559E-7"/>
    <n v="0"/>
    <n v="0"/>
    <n v="105.3330048"/>
    <n v="9.3447666487910559E-7"/>
    <n v="0"/>
    <n v="0"/>
    <n v="0"/>
    <n v="0"/>
    <n v="0"/>
    <n v="0"/>
    <m/>
    <n v="4"/>
    <s v="No"/>
    <m/>
  </r>
  <r>
    <x v="113"/>
    <s v="WASHINGTON"/>
    <s v="No"/>
    <n v="2562.3306979200006"/>
    <n v="2.2732079555273765E-5"/>
    <n v="1202.22"/>
    <n v="1.4708743428796016E-5"/>
    <n v="2562.3306979200006"/>
    <n v="2.2732079555273765E-5"/>
    <n v="1202.22"/>
    <n v="1.4708743428796016E-5"/>
    <n v="0"/>
    <n v="0"/>
    <n v="0"/>
    <n v="0"/>
    <m/>
    <n v="1"/>
    <s v="No"/>
    <m/>
  </r>
  <r>
    <x v="421"/>
    <s v="WASHINGTON"/>
    <s v="No"/>
    <n v="181406.20740479999"/>
    <n v="1.6093708520503996E-3"/>
    <n v="49884.353299999995"/>
    <n v="6.103177070761706E-4"/>
    <n v="146825.70668064"/>
    <n v="1.3025850440510959E-3"/>
    <n v="46420.828399999999"/>
    <n v="5.6794268493933506E-4"/>
    <n v="34580.500724160003"/>
    <n v="3.0678580799930371E-4"/>
    <n v="3463.5248999999999"/>
    <n v="4.2375022136835496E-5"/>
    <m/>
    <n v="3"/>
    <s v="No"/>
    <m/>
  </r>
  <r>
    <x v="32"/>
    <s v="WASHINGTON"/>
    <s v="No"/>
    <n v="952.21128959999999"/>
    <n v="8.4476772674925177E-6"/>
    <n v="0"/>
    <n v="0"/>
    <n v="952.21128959999999"/>
    <n v="8.4476772674925177E-6"/>
    <n v="0"/>
    <n v="0"/>
    <n v="0"/>
    <n v="0"/>
    <n v="0"/>
    <n v="0"/>
    <m/>
    <n v="1"/>
    <s v="No"/>
    <m/>
  </r>
  <r>
    <x v="375"/>
    <s v="WATERBURY"/>
    <s v="No"/>
    <n v="1723.8467519999999"/>
    <n v="1.5293350518484769E-5"/>
    <n v="22.2"/>
    <n v="2.7160927627162378E-7"/>
    <n v="1723.8467519999999"/>
    <n v="1.5293350518484769E-5"/>
    <n v="22.2"/>
    <n v="2.7160927627162378E-7"/>
    <n v="0"/>
    <n v="0"/>
    <n v="0"/>
    <n v="0"/>
    <m/>
    <n v="2"/>
    <s v="No"/>
    <m/>
  </r>
  <r>
    <x v="95"/>
    <s v="WATERBURY"/>
    <s v="No"/>
    <n v="796.48099200000001"/>
    <n v="7.0660938844095492E-6"/>
    <n v="0"/>
    <n v="0"/>
    <n v="796.48099200000001"/>
    <n v="7.0660938844095492E-6"/>
    <n v="0"/>
    <n v="0"/>
    <n v="0"/>
    <n v="0"/>
    <n v="0"/>
    <n v="0"/>
    <m/>
    <n v="1"/>
    <s v="No"/>
    <m/>
  </r>
  <r>
    <x v="560"/>
    <s v="WATERBURY"/>
    <s v="Yes"/>
    <n v="38315.271240000002"/>
    <n v="3.3991935339049129E-4"/>
    <n v="12377.77"/>
    <n v="1.5143770952957732E-4"/>
    <n v="38315.271240000002"/>
    <n v="3.3991935339049129E-4"/>
    <n v="12377.77"/>
    <n v="1.5143770952957732E-4"/>
    <n v="0"/>
    <n v="0"/>
    <n v="0"/>
    <n v="0"/>
    <m/>
    <n v="5"/>
    <e v="#N/A"/>
    <m/>
  </r>
  <r>
    <x v="561"/>
    <s v="WATERBURY"/>
    <s v="Yes"/>
    <n v="44886.648113279996"/>
    <n v="3.9821825368167879E-4"/>
    <n v="14823.31"/>
    <n v="1.813580405878344E-4"/>
    <n v="44886.648113279996"/>
    <n v="3.9821825368167879E-4"/>
    <n v="14823.31"/>
    <n v="1.813580405878344E-4"/>
    <n v="0"/>
    <n v="0"/>
    <n v="0"/>
    <n v="0"/>
    <m/>
    <n v="4"/>
    <e v="#N/A"/>
    <m/>
  </r>
  <r>
    <x v="562"/>
    <s v="WATERBURY"/>
    <s v="No"/>
    <n v="26865.736862400001"/>
    <n v="2.3834318816180967E-4"/>
    <n v="7264.46"/>
    <n v="8.8878140680367568E-5"/>
    <n v="26865.736862400001"/>
    <n v="2.3834318816180967E-4"/>
    <n v="7264.46"/>
    <n v="8.8878140680367568E-5"/>
    <n v="0"/>
    <n v="0"/>
    <n v="0"/>
    <n v="0"/>
    <m/>
    <n v="5"/>
    <s v="Yes"/>
    <m/>
  </r>
  <r>
    <x v="563"/>
    <s v="WATERBURY"/>
    <s v="No"/>
    <n v="37398.924460800001"/>
    <n v="3.3178985320462433E-4"/>
    <n v="1172.21"/>
    <n v="1.4341581519745952E-5"/>
    <n v="37398.924460800001"/>
    <n v="3.3178985320462433E-4"/>
    <n v="1172.21"/>
    <n v="1.4341581519745952E-5"/>
    <n v="0"/>
    <n v="0"/>
    <n v="0"/>
    <n v="0"/>
    <m/>
    <n v="5"/>
    <s v="Yes"/>
    <m/>
  </r>
  <r>
    <x v="564"/>
    <s v="WATERBURY"/>
    <s v="No"/>
    <n v="30786.989518080001"/>
    <n v="2.7313113625828495E-4"/>
    <n v="5469.22"/>
    <n v="6.6914003872535596E-5"/>
    <n v="30786.702393600001"/>
    <n v="2.7312858899281023E-4"/>
    <n v="5469.22"/>
    <n v="6.6914003872535596E-5"/>
    <n v="0.28712448000000002"/>
    <n v="2.547265474719919E-9"/>
    <n v="0"/>
    <n v="0"/>
    <m/>
    <n v="5"/>
    <s v="Yes"/>
    <m/>
  </r>
  <r>
    <x v="565"/>
    <s v="WATERBURY"/>
    <s v="No"/>
    <n v="75308.789249280017"/>
    <n v="6.6811258586397637E-4"/>
    <n v="26025.75"/>
    <n v="3.184159964831627E-4"/>
    <n v="75305.171249280014"/>
    <n v="6.6808048826474855E-4"/>
    <n v="26025.75"/>
    <n v="3.184159964831627E-4"/>
    <n v="3.6179999999999999"/>
    <n v="3.2097599227821557E-8"/>
    <n v="0"/>
    <n v="0"/>
    <m/>
    <n v="3"/>
    <s v="Yes"/>
    <m/>
  </r>
  <r>
    <x v="566"/>
    <s v="WATERBURY"/>
    <s v="No"/>
    <n v="30064.937443199997"/>
    <n v="2.6672534904957423E-4"/>
    <n v="35858.410000000003"/>
    <n v="4.3871517064644853E-4"/>
    <n v="30064.937443199997"/>
    <n v="2.6672534904957423E-4"/>
    <n v="35858.410000000003"/>
    <n v="4.3871517064644853E-4"/>
    <n v="0"/>
    <n v="0"/>
    <n v="0"/>
    <n v="0"/>
    <m/>
    <n v="3"/>
    <s v="No"/>
    <m/>
  </r>
  <r>
    <x v="567"/>
    <s v="WATERBURY"/>
    <s v="No"/>
    <n v="60298.793807040005"/>
    <n v="5.3494928621874473E-4"/>
    <n v="118554.3701"/>
    <n v="1.4504714712477132E-3"/>
    <n v="60298.793807040005"/>
    <n v="5.3494928621874473E-4"/>
    <n v="118554.3701"/>
    <n v="1.4504714712477132E-3"/>
    <n v="0"/>
    <n v="0"/>
    <n v="0"/>
    <n v="0"/>
    <m/>
    <n v="4"/>
    <s v="No"/>
    <m/>
  </r>
  <r>
    <x v="568"/>
    <s v="WATERBURY"/>
    <s v="No"/>
    <n v="82675.970403840009"/>
    <n v="7.3347157650461388E-4"/>
    <n v="57259.17"/>
    <n v="7.0054602358621048E-4"/>
    <n v="82675.970403840009"/>
    <n v="7.3347157650461388E-4"/>
    <n v="57259.17"/>
    <n v="7.0054602358621048E-4"/>
    <n v="0"/>
    <n v="0"/>
    <n v="0"/>
    <n v="0"/>
    <m/>
    <n v="5"/>
    <s v="Yes"/>
    <m/>
  </r>
  <r>
    <x v="569"/>
    <s v="WATERBURY"/>
    <s v="No"/>
    <n v="54356.397840000005"/>
    <n v="4.8223047908688377E-4"/>
    <n v="7114.2227999999996"/>
    <n v="8.7040040808247061E-5"/>
    <n v="54356.397840000005"/>
    <n v="4.8223047908688377E-4"/>
    <n v="7114.2227999999996"/>
    <n v="8.7040040808247061E-5"/>
    <n v="0"/>
    <n v="0"/>
    <n v="0"/>
    <n v="0"/>
    <m/>
    <n v="5"/>
    <s v="Yes"/>
    <m/>
  </r>
  <r>
    <x v="570"/>
    <s v="WATERBURY"/>
    <s v="No"/>
    <n v="73467.303661440004"/>
    <n v="6.5177558575831083E-4"/>
    <n v="32921.589999999997"/>
    <n v="4.0278419971221286E-4"/>
    <n v="73465.479031680006"/>
    <n v="6.517593982970682E-4"/>
    <n v="32921.589999999997"/>
    <n v="4.0278419971221286E-4"/>
    <n v="1.8246297600000001"/>
    <n v="1.6187461242574969E-8"/>
    <n v="0"/>
    <n v="0"/>
    <m/>
    <n v="5"/>
    <s v="Yes"/>
    <m/>
  </r>
  <r>
    <x v="571"/>
    <s v="WATERBURY"/>
    <s v="No"/>
    <n v="53848.322968320004"/>
    <n v="4.777230209307446E-4"/>
    <n v="3381.01"/>
    <n v="4.1365481043564087E-5"/>
    <n v="53848.322968320004"/>
    <n v="4.777230209307446E-4"/>
    <n v="3381.01"/>
    <n v="4.1365481043564087E-5"/>
    <n v="0"/>
    <n v="0"/>
    <n v="0"/>
    <n v="0"/>
    <m/>
    <n v="5"/>
    <s v="Yes"/>
    <m/>
  </r>
  <r>
    <x v="572"/>
    <s v="WATERBURY"/>
    <s v="No"/>
    <n v="73375.150596480002"/>
    <n v="6.5095803679570676E-4"/>
    <n v="79377.770300000004"/>
    <n v="9.7115940284856731E-4"/>
    <n v="73375.150596480002"/>
    <n v="6.5095803679570676E-4"/>
    <n v="79377.770300000004"/>
    <n v="9.7115940284856731E-4"/>
    <n v="0"/>
    <n v="0"/>
    <n v="0"/>
    <n v="0"/>
    <m/>
    <n v="5"/>
    <s v="No"/>
    <m/>
  </r>
  <r>
    <x v="573"/>
    <s v="WATERBURY"/>
    <s v="No"/>
    <n v="54795.537365759999"/>
    <n v="4.8612636756199156E-4"/>
    <n v="22097.49"/>
    <n v="2.7035510208646147E-4"/>
    <n v="54795.537365759999"/>
    <n v="4.8612636756199156E-4"/>
    <n v="22097.49"/>
    <n v="2.7035510208646147E-4"/>
    <n v="0"/>
    <n v="0"/>
    <n v="0"/>
    <n v="0"/>
    <m/>
    <n v="3"/>
    <s v="Yes"/>
    <m/>
  </r>
  <r>
    <x v="574"/>
    <s v="WATERBURY"/>
    <s v="No"/>
    <n v="928086.51075263997"/>
    <n v="8.2336508764194408E-3"/>
    <n v="1583684.9359000002"/>
    <n v="1.9375834201895131E-2"/>
    <n v="223993.94705856004"/>
    <n v="1.9871940138594638E-3"/>
    <n v="1331999.4979000001"/>
    <n v="1.6296550433278618E-2"/>
    <n v="704092.56369407987"/>
    <n v="6.2464568625599775E-3"/>
    <n v="251685.43799999999"/>
    <n v="3.079283768616515E-3"/>
    <m/>
    <n v="1"/>
    <s v="No"/>
    <m/>
  </r>
  <r>
    <x v="575"/>
    <s v="WATERBURY"/>
    <s v="No"/>
    <n v="40955.166647999999"/>
    <n v="3.6333955925266665E-4"/>
    <n v="9409.7900000000009"/>
    <n v="1.1512550683639473E-4"/>
    <n v="40955.166647999999"/>
    <n v="3.6333955925266665E-4"/>
    <n v="9409.7900000000009"/>
    <n v="1.1512550683639473E-4"/>
    <n v="0"/>
    <n v="0"/>
    <n v="0"/>
    <n v="0"/>
    <m/>
    <n v="3"/>
    <s v="Yes"/>
    <m/>
  </r>
  <r>
    <x v="576"/>
    <s v="WATERBURY"/>
    <s v="No"/>
    <n v="78965.426015999998"/>
    <n v="7.0055295663785564E-4"/>
    <n v="32630.14"/>
    <n v="3.9921841036224154E-4"/>
    <n v="78963.979973759997"/>
    <n v="7.0054012786939632E-4"/>
    <n v="32630.14"/>
    <n v="3.9921841036224154E-4"/>
    <n v="1.4460422400000001"/>
    <n v="1.2828768459375722E-8"/>
    <n v="0"/>
    <n v="0"/>
    <m/>
    <n v="3"/>
    <s v="No"/>
    <m/>
  </r>
  <r>
    <x v="381"/>
    <s v="WATERBURY"/>
    <s v="No"/>
    <n v="46036.982819519995"/>
    <n v="4.0842361088973446E-4"/>
    <n v="33038.6175"/>
    <n v="4.0421599045900922E-4"/>
    <n v="46036.982819519995"/>
    <n v="4.0842361088973446E-4"/>
    <n v="33038.6175"/>
    <n v="4.0421599045900922E-4"/>
    <n v="0"/>
    <n v="0"/>
    <n v="0"/>
    <n v="0"/>
    <m/>
    <n v="4"/>
    <s v="No"/>
    <m/>
  </r>
  <r>
    <x v="577"/>
    <s v="WATERBURY"/>
    <s v="No"/>
    <n v="86934.247574400011"/>
    <n v="7.7124948529997512E-4"/>
    <n v="43374.961799999997"/>
    <n v="5.3067756679312287E-4"/>
    <n v="86934.247574400011"/>
    <n v="7.7124948529997512E-4"/>
    <n v="43374.961799999997"/>
    <n v="5.3067756679312287E-4"/>
    <n v="0"/>
    <n v="0"/>
    <n v="0"/>
    <n v="0"/>
    <m/>
    <n v="4"/>
    <s v="No"/>
    <m/>
  </r>
  <r>
    <x v="578"/>
    <s v="WATERBURY"/>
    <s v="No"/>
    <n v="66312.099100799998"/>
    <n v="5.882971754817757E-4"/>
    <n v="16926.25"/>
    <n v="2.0708677984200774E-4"/>
    <n v="66312.099100799998"/>
    <n v="5.882971754817757E-4"/>
    <n v="16926.25"/>
    <n v="2.0708677984200774E-4"/>
    <n v="0"/>
    <n v="0"/>
    <n v="0"/>
    <n v="0"/>
    <m/>
    <n v="2"/>
    <s v="No"/>
    <m/>
  </r>
  <r>
    <x v="579"/>
    <s v="WATERBURY"/>
    <s v="No"/>
    <n v="30857.74312608"/>
    <n v="2.7375883690878422E-4"/>
    <n v="3404.86"/>
    <n v="4.1657277495774817E-5"/>
    <n v="30857.74312608"/>
    <n v="2.7375883690878422E-4"/>
    <n v="3404.86"/>
    <n v="4.1657277495774817E-5"/>
    <n v="0"/>
    <n v="0"/>
    <n v="0"/>
    <n v="0"/>
    <m/>
    <n v="4"/>
    <s v="Yes"/>
    <m/>
  </r>
  <r>
    <x v="580"/>
    <s v="WATERBURY"/>
    <s v="No"/>
    <n v="41957.293023359998"/>
    <n v="3.7223006527033794E-4"/>
    <n v="70837.55"/>
    <n v="8.666727787547281E-4"/>
    <n v="41957.293023359998"/>
    <n v="3.7223006527033794E-4"/>
    <n v="70837.55"/>
    <n v="8.666727787547281E-4"/>
    <n v="0"/>
    <n v="0"/>
    <n v="0"/>
    <n v="0"/>
    <m/>
    <n v="2"/>
    <s v="Yes"/>
    <m/>
  </r>
  <r>
    <x v="581"/>
    <s v="WATERBURY"/>
    <s v="No"/>
    <n v="67570.252522559997"/>
    <n v="5.9945906168928399E-4"/>
    <n v="18995.95"/>
    <n v="2.3240883926089873E-4"/>
    <n v="67567.224980159997"/>
    <n v="5.9943220241825013E-4"/>
    <n v="18995.95"/>
    <n v="2.3240883926089873E-4"/>
    <n v="3.0275423999999997"/>
    <n v="2.6859271033841077E-8"/>
    <n v="0"/>
    <n v="0"/>
    <m/>
    <n v="4"/>
    <s v="Yes"/>
    <m/>
  </r>
  <r>
    <x v="582"/>
    <s v="WATERBURY"/>
    <s v="No"/>
    <n v="68249.952578880009"/>
    <n v="6.0548911696924176E-4"/>
    <n v="82131.960000000006"/>
    <n v="1.0048559556022501E-3"/>
    <n v="68249.952578880009"/>
    <n v="6.0548911696924176E-4"/>
    <n v="82131.960000000006"/>
    <n v="1.0048559556022501E-3"/>
    <n v="0"/>
    <n v="0"/>
    <n v="0"/>
    <n v="0"/>
    <m/>
    <n v="3"/>
    <s v="No"/>
    <m/>
  </r>
  <r>
    <x v="583"/>
    <s v="WATERBURY"/>
    <s v="No"/>
    <n v="102977.93166624001"/>
    <n v="9.1358330014730961E-4"/>
    <n v="126038.12"/>
    <n v="1.5420325475601832E-3"/>
    <n v="102977.93166624001"/>
    <n v="9.1358330014730961E-4"/>
    <n v="126038.12"/>
    <n v="1.5420325475601832E-3"/>
    <n v="0"/>
    <n v="0"/>
    <n v="0"/>
    <n v="0"/>
    <m/>
    <n v="3"/>
    <s v="Yes"/>
    <m/>
  </r>
  <r>
    <x v="584"/>
    <s v="WATERBURY"/>
    <s v="No"/>
    <n v="41794.131643200002"/>
    <n v="3.7078255598624901E-4"/>
    <n v="5658.59"/>
    <n v="6.923087993774089E-5"/>
    <n v="41794.131643200002"/>
    <n v="3.7078255598624901E-4"/>
    <n v="5658.59"/>
    <n v="6.923087993774089E-5"/>
    <n v="0"/>
    <n v="0"/>
    <n v="0"/>
    <n v="0"/>
    <m/>
    <n v="4"/>
    <s v="Yes"/>
    <m/>
  </r>
  <r>
    <x v="585"/>
    <s v="WATERBURY"/>
    <s v="No"/>
    <n v="111415.61708064002"/>
    <n v="9.8843942088856079E-4"/>
    <n v="168967.71100000001"/>
    <n v="2.0672611575667968E-3"/>
    <n v="111415.61708064002"/>
    <n v="9.8843942088856079E-4"/>
    <n v="168967.71100000001"/>
    <n v="2.0672611575667968E-3"/>
    <n v="0"/>
    <n v="0"/>
    <n v="0"/>
    <n v="0"/>
    <m/>
    <n v="4"/>
    <s v="No"/>
    <m/>
  </r>
  <r>
    <x v="472"/>
    <s v="WATERBURY"/>
    <s v="No"/>
    <n v="97466.550065279996"/>
    <n v="8.6468829798611447E-4"/>
    <n v="57930.291700000002"/>
    <n v="7.0875696409193937E-4"/>
    <n v="97466.550065279996"/>
    <n v="8.6468829798611447E-4"/>
    <n v="57930.291700000002"/>
    <n v="7.0875696409193937E-4"/>
    <n v="0"/>
    <n v="0"/>
    <n v="0"/>
    <n v="0"/>
    <m/>
    <n v="5"/>
    <s v="No"/>
    <m/>
  </r>
  <r>
    <x v="586"/>
    <s v="WATERBURY"/>
    <s v="No"/>
    <n v="944.42535360000011"/>
    <n v="8.3786032339542469E-6"/>
    <n v="0"/>
    <n v="0"/>
    <n v="944.42535360000011"/>
    <n v="8.3786032339542469E-6"/>
    <n v="0"/>
    <n v="0"/>
    <n v="0"/>
    <n v="0"/>
    <n v="0"/>
    <n v="0"/>
    <m/>
    <n v="2"/>
    <s v="No"/>
    <m/>
  </r>
  <r>
    <x v="410"/>
    <s v="WATERFORD"/>
    <s v="No"/>
    <n v="129.32179199999999"/>
    <n v="1.1472965867992536E-6"/>
    <n v="0"/>
    <n v="0"/>
    <n v="129.32179199999999"/>
    <n v="1.1472965867992536E-6"/>
    <n v="0"/>
    <n v="0"/>
    <n v="0"/>
    <n v="0"/>
    <n v="0"/>
    <n v="0"/>
    <m/>
    <n v="5"/>
    <s v="No"/>
    <m/>
  </r>
  <r>
    <x v="587"/>
    <s v="WATERFORD"/>
    <s v="No"/>
    <n v="298229.70639455999"/>
    <n v="2.6457870629307567E-3"/>
    <n v="526570.05579999997"/>
    <n v="6.4424014307273214E-3"/>
    <n v="136900.22556960001"/>
    <n v="1.2145297331485323E-3"/>
    <n v="454674.54180000001"/>
    <n v="5.5627848305148716E-3"/>
    <n v="161329.48082495999"/>
    <n v="1.4312573297822245E-3"/>
    <n v="71895.513999999996"/>
    <n v="8.7961660021245022E-4"/>
    <m/>
    <n v="4"/>
    <s v="No"/>
    <m/>
  </r>
  <r>
    <x v="303"/>
    <s v="WATERFORD"/>
    <s v="No"/>
    <n v="81427.319297280003"/>
    <n v="7.2239399143171753E-4"/>
    <n v="20885.86"/>
    <n v="2.5553123058155209E-4"/>
    <n v="81427.319297280003"/>
    <n v="7.2239399143171753E-4"/>
    <n v="20885.86"/>
    <n v="2.5553123058155209E-4"/>
    <n v="0"/>
    <n v="0"/>
    <n v="0"/>
    <n v="0"/>
    <m/>
    <n v="3"/>
    <s v="No"/>
    <m/>
  </r>
  <r>
    <x v="588"/>
    <s v="WATERFORD"/>
    <s v="No"/>
    <n v="82657.042764479993"/>
    <n v="7.333036572723014E-4"/>
    <n v="39929.422500000001"/>
    <n v="4.8852259221481486E-4"/>
    <n v="82657.042764479993"/>
    <n v="7.333036572723014E-4"/>
    <n v="39929.422500000001"/>
    <n v="4.8852259221481486E-4"/>
    <n v="0"/>
    <n v="0"/>
    <n v="0"/>
    <n v="0"/>
    <m/>
    <n v="1"/>
    <s v="No"/>
    <m/>
  </r>
  <r>
    <x v="371"/>
    <s v="WATERFORD"/>
    <s v="No"/>
    <n v="53180.512528320003"/>
    <n v="4.7179844606527326E-4"/>
    <n v="17703.873200000002"/>
    <n v="2.1660072914669355E-4"/>
    <n v="53180.512528320003"/>
    <n v="4.7179844606527326E-4"/>
    <n v="17703.873200000002"/>
    <n v="2.1660072914669355E-4"/>
    <n v="0"/>
    <n v="0"/>
    <n v="0"/>
    <n v="0"/>
    <m/>
    <n v="2"/>
    <s v="No"/>
    <m/>
  </r>
  <r>
    <x v="589"/>
    <s v="WATERFORD"/>
    <s v="No"/>
    <n v="68545.761995520006"/>
    <n v="6.0811343208895606E-4"/>
    <n v="23494.13"/>
    <n v="2.8744250657348851E-4"/>
    <n v="68545.761995520006"/>
    <n v="6.0811343208895606E-4"/>
    <n v="23494.13"/>
    <n v="2.8744250657348851E-4"/>
    <n v="0"/>
    <n v="0"/>
    <n v="0"/>
    <n v="0"/>
    <m/>
    <n v="4"/>
    <s v="No"/>
    <m/>
  </r>
  <r>
    <x v="372"/>
    <s v="WATERFORD"/>
    <s v="No"/>
    <n v="70.744924800000007"/>
    <n v="6.2762361626113162E-7"/>
    <n v="0"/>
    <n v="0"/>
    <n v="70.744924800000007"/>
    <n v="6.2762361626113162E-7"/>
    <n v="0"/>
    <n v="0"/>
    <n v="0"/>
    <n v="0"/>
    <n v="0"/>
    <n v="0"/>
    <m/>
    <n v="3"/>
    <s v="No"/>
    <m/>
  </r>
  <r>
    <x v="416"/>
    <s v="WATERFORD"/>
    <s v="No"/>
    <n v="26.3506176"/>
    <n v="2.3377323469606996E-7"/>
    <n v="0"/>
    <n v="0"/>
    <n v="26.3506176"/>
    <n v="2.3377323469606996E-7"/>
    <n v="0"/>
    <n v="0"/>
    <n v="0"/>
    <n v="0"/>
    <n v="0"/>
    <n v="0"/>
    <m/>
    <n v="5"/>
    <s v="No"/>
    <m/>
  </r>
  <r>
    <x v="374"/>
    <s v="WATERFORD"/>
    <s v="No"/>
    <n v="48.816950399999996"/>
    <n v="4.3308648686115064E-7"/>
    <n v="0"/>
    <n v="0"/>
    <n v="48.816950399999996"/>
    <n v="4.3308648686115064E-7"/>
    <n v="0"/>
    <n v="0"/>
    <n v="0"/>
    <n v="0"/>
    <n v="0"/>
    <n v="0"/>
    <m/>
    <n v="5"/>
    <s v="No"/>
    <m/>
  </r>
  <r>
    <x v="31"/>
    <s v="WATERTOWN"/>
    <s v="No"/>
    <n v="335.5998912"/>
    <n v="2.9773219482139629E-6"/>
    <n v="0"/>
    <n v="0"/>
    <n v="335.5998912"/>
    <n v="2.9773219482139629E-6"/>
    <n v="0"/>
    <n v="0"/>
    <n v="0"/>
    <n v="0"/>
    <n v="0"/>
    <n v="0"/>
    <m/>
    <n v="2"/>
    <s v="No"/>
    <m/>
  </r>
  <r>
    <x v="590"/>
    <s v="WATERTOWN"/>
    <s v="No"/>
    <n v="105586.70416991999"/>
    <n v="9.3672739475750332E-4"/>
    <n v="30575.06"/>
    <n v="3.7407522155682315E-4"/>
    <n v="105586.70416991999"/>
    <n v="9.3672739475750332E-4"/>
    <n v="30575.06"/>
    <n v="3.7407522155682315E-4"/>
    <n v="0"/>
    <n v="0"/>
    <n v="0"/>
    <n v="0"/>
    <m/>
    <n v="3"/>
    <s v="No"/>
    <m/>
  </r>
  <r>
    <x v="591"/>
    <s v="WATERTOWN"/>
    <s v="No"/>
    <n v="331283.27392415993"/>
    <n v="2.9390264669149567E-3"/>
    <n v="190649.19930000001"/>
    <n v="2.3325266235872779E-3"/>
    <n v="179501.00507423998"/>
    <n v="1.5924685798408287E-3"/>
    <n v="167458.0411"/>
    <n v="2.0487908715781456E-3"/>
    <n v="151782.26884991999"/>
    <n v="1.3465578870741281E-3"/>
    <n v="23191.158200000002"/>
    <n v="2.8373575200913212E-4"/>
    <m/>
    <n v="2"/>
    <s v="No"/>
    <m/>
  </r>
  <r>
    <x v="592"/>
    <s v="WATERTOWN"/>
    <s v="No"/>
    <n v="58545.817234560003"/>
    <n v="5.1939750637374101E-4"/>
    <n v="61008.1924"/>
    <n v="7.4641400830648553E-4"/>
    <n v="58545.817234560003"/>
    <n v="5.1939750637374101E-4"/>
    <n v="61008.1924"/>
    <n v="7.4641400830648553E-4"/>
    <n v="0"/>
    <n v="0"/>
    <n v="0"/>
    <n v="0"/>
    <m/>
    <n v="2"/>
    <s v="No"/>
    <m/>
  </r>
  <r>
    <x v="593"/>
    <s v="WATERTOWN"/>
    <s v="No"/>
    <n v="107974.49965344"/>
    <n v="9.5791106044794763E-4"/>
    <n v="39579.555399999997"/>
    <n v="4.8424208997056926E-4"/>
    <n v="107974.49965344"/>
    <n v="9.5791106044794763E-4"/>
    <n v="39579.555399999997"/>
    <n v="4.8424208997056926E-4"/>
    <n v="0"/>
    <n v="0"/>
    <n v="0"/>
    <n v="0"/>
    <m/>
    <n v="4"/>
    <s v="No"/>
    <m/>
  </r>
  <r>
    <x v="32"/>
    <s v="WATERTOWN"/>
    <s v="No"/>
    <n v="35.062761600000002"/>
    <n v="3.1106425363666427E-7"/>
    <n v="0"/>
    <n v="0"/>
    <n v="35.062761600000002"/>
    <n v="3.1106425363666427E-7"/>
    <n v="0"/>
    <n v="0"/>
    <n v="0"/>
    <n v="0"/>
    <n v="0"/>
    <n v="0"/>
    <m/>
    <n v="1"/>
    <s v="No"/>
    <m/>
  </r>
  <r>
    <x v="578"/>
    <s v="WATERTOWN"/>
    <s v="No"/>
    <n v="96.198278399999992"/>
    <n v="8.5343664634870177E-7"/>
    <n v="0"/>
    <n v="0"/>
    <n v="96.198278399999992"/>
    <n v="8.5343664634870177E-7"/>
    <n v="0"/>
    <n v="0"/>
    <n v="0"/>
    <n v="0"/>
    <n v="0"/>
    <n v="0"/>
    <m/>
    <n v="2"/>
    <s v="No"/>
    <m/>
  </r>
  <r>
    <x v="195"/>
    <s v="WEST HARTFORD"/>
    <s v="No"/>
    <n v="625.74612479999996"/>
    <n v="5.5513953378089582E-6"/>
    <n v="1300.4000000000001"/>
    <n v="1.5909941570433316E-5"/>
    <n v="625.74612479999996"/>
    <n v="5.5513953378089582E-6"/>
    <n v="1300.4000000000001"/>
    <n v="1.5909941570433316E-5"/>
    <n v="0"/>
    <n v="0"/>
    <n v="0"/>
    <n v="0"/>
    <m/>
    <n v="3"/>
    <s v="No"/>
    <m/>
  </r>
  <r>
    <x v="36"/>
    <s v="WEST HARTFORD"/>
    <s v="No"/>
    <n v="1128.0287232000001"/>
    <n v="1.0007466521488352E-5"/>
    <n v="0"/>
    <n v="0"/>
    <n v="1128.0287232000001"/>
    <n v="1.0007466521488352E-5"/>
    <n v="0"/>
    <n v="0"/>
    <n v="0"/>
    <n v="0"/>
    <n v="0"/>
    <n v="0"/>
    <m/>
    <n v="2"/>
    <s v="No"/>
    <m/>
  </r>
  <r>
    <x v="594"/>
    <s v="WEST HARTFORD"/>
    <s v="No"/>
    <n v="28610.9587584"/>
    <n v="2.5382617129653242E-4"/>
    <n v="2101.48"/>
    <n v="2.5710876662130269E-5"/>
    <n v="28610.9587584"/>
    <n v="2.5382617129653242E-4"/>
    <n v="2101.48"/>
    <n v="2.5710876662130269E-5"/>
    <n v="0"/>
    <n v="0"/>
    <n v="0"/>
    <n v="0"/>
    <m/>
    <n v="5"/>
    <s v="No"/>
    <m/>
  </r>
  <r>
    <x v="199"/>
    <s v="WEST HARTFORD"/>
    <s v="No"/>
    <n v="377930.25849023997"/>
    <n v="3.3528617946618927E-3"/>
    <n v="9423.9668000000001"/>
    <n v="1.1529895505206352E-4"/>
    <n v="82021.309801919997"/>
    <n v="7.2766366228939187E-4"/>
    <n v="9423.9668000000001"/>
    <n v="1.1529895505206352E-4"/>
    <n v="295908.94868832"/>
    <n v="2.625198132372501E-3"/>
    <n v="0"/>
    <n v="0"/>
    <m/>
    <n v="5"/>
    <s v="No"/>
    <m/>
  </r>
  <r>
    <x v="595"/>
    <s v="WEST HARTFORD"/>
    <s v="No"/>
    <n v="55727.230832640002"/>
    <n v="4.9439201806035916E-4"/>
    <n v="8621.5300000000007"/>
    <n v="1.054814199844186E-4"/>
    <n v="55727.230832640002"/>
    <n v="4.9439201806035916E-4"/>
    <n v="8621.5300000000007"/>
    <n v="1.054814199844186E-4"/>
    <n v="0"/>
    <n v="0"/>
    <n v="0"/>
    <n v="0"/>
    <m/>
    <n v="3"/>
    <s v="No"/>
    <m/>
  </r>
  <r>
    <x v="596"/>
    <s v="WEST HARTFORD"/>
    <s v="No"/>
    <n v="48185.508096000005"/>
    <n v="4.2748455706311748E-4"/>
    <n v="6747.1818000000003"/>
    <n v="8.2549421872570811E-5"/>
    <n v="48185.508096000005"/>
    <n v="4.2748455706311748E-4"/>
    <n v="6747.1818000000003"/>
    <n v="8.2549421872570811E-5"/>
    <n v="0"/>
    <n v="0"/>
    <n v="0"/>
    <n v="0"/>
    <m/>
    <n v="2"/>
    <s v="No"/>
    <m/>
  </r>
  <r>
    <x v="597"/>
    <s v="WEST HARTFORD"/>
    <s v="No"/>
    <n v="43302.135461760001"/>
    <n v="3.8416102536219243E-4"/>
    <n v="18052.32"/>
    <n v="2.2086385451458376E-4"/>
    <n v="43302.135461760001"/>
    <n v="3.8416102536219243E-4"/>
    <n v="18052.32"/>
    <n v="2.2086385451458376E-4"/>
    <n v="0"/>
    <n v="0"/>
    <n v="0"/>
    <n v="0"/>
    <m/>
    <n v="3"/>
    <s v="No"/>
    <m/>
  </r>
  <r>
    <x v="598"/>
    <s v="WEST HARTFORD"/>
    <s v="No"/>
    <n v="55092.762144000008"/>
    <n v="4.8876323926252388E-4"/>
    <n v="28113.459900000002"/>
    <n v="3.4395840076262692E-4"/>
    <n v="55057.849891200007"/>
    <n v="4.884535102690151E-4"/>
    <n v="28113.459900000002"/>
    <n v="3.4395840076262692E-4"/>
    <n v="34.912252800000005"/>
    <n v="3.0972899350878692E-7"/>
    <n v="0"/>
    <n v="0"/>
    <m/>
    <n v="4"/>
    <s v="No"/>
    <m/>
  </r>
  <r>
    <x v="245"/>
    <s v="WEST HARTFORD"/>
    <s v="No"/>
    <n v="46883.065144320004"/>
    <n v="4.159297500205178E-4"/>
    <n v="6747.4892"/>
    <n v="8.2553182804621518E-5"/>
    <n v="46883.065144320004"/>
    <n v="4.159297500205178E-4"/>
    <n v="6747.4892"/>
    <n v="8.2553182804621518E-5"/>
    <n v="0"/>
    <n v="0"/>
    <n v="0"/>
    <n v="0"/>
    <m/>
    <n v="5"/>
    <s v="No"/>
    <m/>
  </r>
  <r>
    <x v="246"/>
    <s v="WEST HARTFORD"/>
    <s v="No"/>
    <n v="43290.247003199998"/>
    <n v="3.8405555521893773E-4"/>
    <n v="4929.1130000000003"/>
    <n v="6.0305982639236594E-5"/>
    <n v="43290.247003199998"/>
    <n v="3.8405555521893773E-4"/>
    <n v="4929.1130000000003"/>
    <n v="6.0305982639236594E-5"/>
    <n v="0"/>
    <n v="0"/>
    <n v="0"/>
    <n v="0"/>
    <m/>
    <n v="5"/>
    <s v="No"/>
    <m/>
  </r>
  <r>
    <x v="150"/>
    <s v="WEST HARTFORD"/>
    <s v="No"/>
    <n v="76690.901718720008"/>
    <n v="6.8037419231280433E-4"/>
    <n v="8861.1478999999999"/>
    <n v="1.0841306162409094E-4"/>
    <n v="76690.901718720008"/>
    <n v="6.8037419231280433E-4"/>
    <n v="8861.1478999999999"/>
    <n v="1.0841306162409094E-4"/>
    <n v="0"/>
    <n v="0"/>
    <n v="0"/>
    <n v="0"/>
    <m/>
    <n v="3"/>
    <s v="No"/>
    <m/>
  </r>
  <r>
    <x v="599"/>
    <s v="WEST HARTFORD"/>
    <s v="No"/>
    <n v="74511.301584960005"/>
    <n v="6.6103756114355757E-4"/>
    <n v="10418.5515"/>
    <n v="1.2746735282493876E-4"/>
    <n v="74474.39798496"/>
    <n v="6.6071016563143382E-4"/>
    <n v="10418.5515"/>
    <n v="1.2746735282493876E-4"/>
    <n v="36.903599999999997"/>
    <n v="3.2739551212377984E-7"/>
    <n v="0"/>
    <n v="0"/>
    <m/>
    <n v="2"/>
    <s v="No"/>
    <m/>
  </r>
  <r>
    <x v="247"/>
    <s v="WEST HARTFORD"/>
    <s v="No"/>
    <n v="49008.924374399998"/>
    <n v="4.3478961115425826E-4"/>
    <n v="4881.03"/>
    <n v="5.9717703863066834E-5"/>
    <n v="49008.924374399998"/>
    <n v="4.3478961115425826E-4"/>
    <n v="4881.03"/>
    <n v="5.9717703863066834E-5"/>
    <n v="0"/>
    <n v="0"/>
    <n v="0"/>
    <n v="0"/>
    <m/>
    <n v="2"/>
    <s v="No"/>
    <m/>
  </r>
  <r>
    <x v="600"/>
    <s v="WEST HARTFORD"/>
    <s v="No"/>
    <n v="32413.523068800001"/>
    <n v="2.8756115893424297E-4"/>
    <n v="16865.05"/>
    <n v="2.0633801913444812E-4"/>
    <n v="32413.523068800001"/>
    <n v="2.8756115893424297E-4"/>
    <n v="16865.05"/>
    <n v="2.0633801913444812E-4"/>
    <n v="0"/>
    <n v="0"/>
    <n v="0"/>
    <n v="0"/>
    <m/>
    <n v="2"/>
    <s v="No"/>
    <m/>
  </r>
  <r>
    <x v="601"/>
    <s v="WEST HARTFORD"/>
    <s v="No"/>
    <n v="80343.415123200015"/>
    <n v="7.1277798209479595E-4"/>
    <n v="18040.036100000001"/>
    <n v="2.2071356527184535E-4"/>
    <n v="80343.415123200015"/>
    <n v="7.1277798209479595E-4"/>
    <n v="18040.036100000001"/>
    <n v="2.2071356527184535E-4"/>
    <n v="0"/>
    <n v="0"/>
    <n v="0"/>
    <n v="0"/>
    <m/>
    <n v="4"/>
    <s v="No"/>
    <m/>
  </r>
  <r>
    <x v="602"/>
    <s v="WEST HARTFORD"/>
    <s v="No"/>
    <n v="76001.059105919994"/>
    <n v="6.7425415590707523E-4"/>
    <n v="13016.7014"/>
    <n v="1.5925481291431676E-4"/>
    <n v="76001.059105919994"/>
    <n v="6.7425415590707523E-4"/>
    <n v="13016.7014"/>
    <n v="1.5925481291431676E-4"/>
    <n v="0"/>
    <n v="0"/>
    <n v="0"/>
    <n v="0"/>
    <m/>
    <n v="2"/>
    <s v="No"/>
    <m/>
  </r>
  <r>
    <x v="603"/>
    <s v="WEST HARTFORD"/>
    <s v="No"/>
    <n v="74873.673518400014"/>
    <n v="6.6425239505482571E-4"/>
    <n v="52438"/>
    <n v="6.4156068599691021E-4"/>
    <n v="74846.761387200007"/>
    <n v="6.6401364027272945E-4"/>
    <n v="52438"/>
    <n v="6.4156068599691021E-4"/>
    <n v="26.912131200000001"/>
    <n v="2.3875478209622789E-7"/>
    <n v="0"/>
    <n v="0"/>
    <m/>
    <n v="5"/>
    <s v="No"/>
    <m/>
  </r>
  <r>
    <x v="604"/>
    <s v="WEST HARTFORD"/>
    <s v="No"/>
    <n v="35446.190293439999"/>
    <n v="3.1446589557543829E-4"/>
    <n v="2038.99"/>
    <n v="2.4946333253381899E-5"/>
    <n v="35446.190293439999"/>
    <n v="3.1446589557543829E-4"/>
    <n v="2038.99"/>
    <n v="2.4946333253381899E-5"/>
    <n v="0"/>
    <n v="0"/>
    <n v="0"/>
    <n v="0"/>
    <m/>
    <n v="3"/>
    <s v="No"/>
    <m/>
  </r>
  <r>
    <x v="605"/>
    <s v="WEST HARTFORD"/>
    <s v="No"/>
    <n v="253494.14654016"/>
    <n v="2.248909210128448E-3"/>
    <n v="457020.29220000003"/>
    <n v="5.5914842705354966E-3"/>
    <n v="140466.29598143999"/>
    <n v="1.2461666316829249E-3"/>
    <n v="408944.72220000002"/>
    <n v="5.0032963978307319E-3"/>
    <n v="113027.85055872001"/>
    <n v="1.0027425784455229E-3"/>
    <n v="48075.57"/>
    <n v="5.8818787270476522E-4"/>
    <m/>
    <n v="3"/>
    <s v="No"/>
    <m/>
  </r>
  <r>
    <x v="140"/>
    <s v="WESTBROOK"/>
    <s v="No"/>
    <n v="98.137526400000013"/>
    <n v="8.7064095953481428E-7"/>
    <n v="0"/>
    <n v="0"/>
    <n v="98.137526400000013"/>
    <n v="8.7064095953481428E-7"/>
    <n v="0"/>
    <n v="0"/>
    <n v="0"/>
    <n v="0"/>
    <n v="0"/>
    <n v="0"/>
    <m/>
    <n v="1"/>
    <s v="No"/>
    <m/>
  </r>
  <r>
    <x v="606"/>
    <s v="WESTBROOK"/>
    <s v="No"/>
    <n v="254015.70005376"/>
    <n v="2.253536245964654E-3"/>
    <n v="98737.813800000004"/>
    <n v="1.2080227994081237E-3"/>
    <n v="182266.88039999999"/>
    <n v="1.6170064343793487E-3"/>
    <n v="75057.263800000001"/>
    <n v="9.1829950899307872E-4"/>
    <n v="71748.819653760002"/>
    <n v="6.3652981158530541E-4"/>
    <n v="23680.55"/>
    <n v="2.8972329041504507E-4"/>
    <m/>
    <n v="2"/>
    <s v="No"/>
    <m/>
  </r>
  <r>
    <x v="607"/>
    <s v="WESTON"/>
    <s v="No"/>
    <n v="538.72309440000004"/>
    <n v="4.779358203102012E-6"/>
    <n v="0"/>
    <n v="0"/>
    <n v="538.72309440000004"/>
    <n v="4.779358203102012E-6"/>
    <n v="0"/>
    <n v="0"/>
    <n v="0"/>
    <n v="0"/>
    <n v="0"/>
    <n v="0"/>
    <m/>
    <n v="2"/>
    <s v="No"/>
    <m/>
  </r>
  <r>
    <x v="608"/>
    <s v="WESTON"/>
    <s v="No"/>
    <n v="413.52292799999998"/>
    <n v="3.6686272013430926E-6"/>
    <n v="0"/>
    <n v="0"/>
    <n v="413.52292799999998"/>
    <n v="3.6686272013430926E-6"/>
    <n v="0"/>
    <n v="0"/>
    <n v="0"/>
    <n v="0"/>
    <n v="0"/>
    <n v="0"/>
    <m/>
    <n v="3"/>
    <s v="No"/>
    <m/>
  </r>
  <r>
    <x v="475"/>
    <s v="WESTON"/>
    <s v="No"/>
    <n v="208785.52544544"/>
    <n v="1.8522703483465652E-3"/>
    <n v="77275.853000000003"/>
    <n v="9.4544317597308053E-4"/>
    <n v="193190.98392576"/>
    <n v="1.7139211654166834E-3"/>
    <n v="77275.853000000003"/>
    <n v="9.4544317597308053E-4"/>
    <n v="15594.54151968"/>
    <n v="1.383491829298817E-4"/>
    <n v="0"/>
    <n v="0"/>
    <m/>
    <n v="4"/>
    <s v="No"/>
    <m/>
  </r>
  <r>
    <x v="609"/>
    <s v="WESTON"/>
    <s v="No"/>
    <n v="153141.29732160002"/>
    <n v="1.3586147005686512E-3"/>
    <n v="30830.174299999999"/>
    <n v="3.7719645625905473E-4"/>
    <n v="153141.29732160002"/>
    <n v="1.3586147005686512E-3"/>
    <n v="30830.174299999999"/>
    <n v="3.7719645625905473E-4"/>
    <n v="0"/>
    <n v="0"/>
    <n v="0"/>
    <n v="0"/>
    <m/>
    <n v="1"/>
    <s v="No"/>
    <m/>
  </r>
  <r>
    <x v="610"/>
    <s v="WESTON"/>
    <s v="No"/>
    <n v="932.56989120000003"/>
    <n v="8.2734258208045207E-6"/>
    <n v="0"/>
    <n v="0"/>
    <n v="932.56989120000003"/>
    <n v="8.2734258208045207E-6"/>
    <n v="0"/>
    <n v="0"/>
    <n v="0"/>
    <n v="0"/>
    <n v="0"/>
    <n v="0"/>
    <m/>
    <n v="1"/>
    <s v="No"/>
    <m/>
  </r>
  <r>
    <x v="436"/>
    <s v="WESTPORT"/>
    <s v="No"/>
    <n v="74.606054400000005"/>
    <n v="6.6187817415706277E-7"/>
    <n v="0"/>
    <n v="0"/>
    <n v="74.606054400000005"/>
    <n v="6.6187817415706277E-7"/>
    <n v="0"/>
    <n v="0"/>
    <n v="0"/>
    <n v="0"/>
    <n v="0"/>
    <n v="0"/>
    <m/>
    <n v="1"/>
    <s v="No"/>
    <m/>
  </r>
  <r>
    <x v="437"/>
    <s v="WESTPORT"/>
    <s v="No"/>
    <n v="1610.4267936000001"/>
    <n v="1.4287129299811638E-5"/>
    <n v="0"/>
    <n v="0"/>
    <n v="1610.4267936000001"/>
    <n v="1.4287129299811638E-5"/>
    <n v="0"/>
    <n v="0"/>
    <n v="0"/>
    <n v="0"/>
    <n v="0"/>
    <n v="0"/>
    <m/>
    <n v="3"/>
    <s v="No"/>
    <m/>
  </r>
  <r>
    <x v="446"/>
    <s v="WESTPORT"/>
    <s v="No"/>
    <n v="1005.7692671999999"/>
    <n v="8.9228244483818044E-6"/>
    <n v="1424.72"/>
    <n v="1.7430953517554408E-5"/>
    <n v="1005.7692671999999"/>
    <n v="8.9228244483818044E-6"/>
    <n v="1424.72"/>
    <n v="1.7430953517554408E-5"/>
    <n v="0"/>
    <n v="0"/>
    <n v="0"/>
    <n v="0"/>
    <m/>
    <n v="1"/>
    <s v="No"/>
    <m/>
  </r>
  <r>
    <x v="453"/>
    <s v="WESTPORT"/>
    <s v="No"/>
    <n v="2160.7506432"/>
    <n v="1.9169405245077738E-5"/>
    <n v="1007.24"/>
    <n v="1.2323230965397763E-5"/>
    <n v="2160.7506432"/>
    <n v="1.9169405245077738E-5"/>
    <n v="1007.24"/>
    <n v="1.2323230965397763E-5"/>
    <n v="0"/>
    <n v="0"/>
    <n v="0"/>
    <n v="0"/>
    <m/>
    <n v="3"/>
    <s v="No"/>
    <m/>
  </r>
  <r>
    <x v="458"/>
    <s v="WESTPORT"/>
    <s v="No"/>
    <n v="668.84374079999998"/>
    <n v="5.9337419398107683E-6"/>
    <n v="0"/>
    <n v="0"/>
    <n v="668.84374079999998"/>
    <n v="5.9337419398107683E-6"/>
    <n v="0"/>
    <n v="0"/>
    <n v="0"/>
    <n v="0"/>
    <n v="0"/>
    <n v="0"/>
    <m/>
    <n v="4"/>
    <s v="No"/>
    <m/>
  </r>
  <r>
    <x v="607"/>
    <s v="WESTPORT"/>
    <s v="No"/>
    <n v="130976.70803711998"/>
    <n v="1.1619784087216339E-3"/>
    <n v="20756.725299999998"/>
    <n v="2.5395131245504066E-4"/>
    <n v="130976.70803711998"/>
    <n v="1.1619784087216339E-3"/>
    <n v="20756.725299999998"/>
    <n v="2.5395131245504066E-4"/>
    <n v="0"/>
    <n v="0"/>
    <n v="0"/>
    <n v="0"/>
    <m/>
    <n v="2"/>
    <s v="No"/>
    <m/>
  </r>
  <r>
    <x v="611"/>
    <s v="WESTPORT"/>
    <s v="No"/>
    <n v="121173.53558688"/>
    <n v="1.0750081764195267E-3"/>
    <n v="21742.54"/>
    <n v="2.6601241232913653E-4"/>
    <n v="121173.53558688"/>
    <n v="1.0750081764195267E-3"/>
    <n v="21742.54"/>
    <n v="2.6601241232913653E-4"/>
    <n v="0"/>
    <n v="0"/>
    <n v="0"/>
    <n v="0"/>
    <m/>
    <n v="4"/>
    <s v="No"/>
    <m/>
  </r>
  <r>
    <x v="608"/>
    <s v="WESTPORT"/>
    <s v="No"/>
    <n v="563836.21070112009"/>
    <n v="5.0021527698225826E-3"/>
    <n v="203794.64620000002"/>
    <n v="2.4933565929015147E-3"/>
    <n v="279717.85917216004"/>
    <n v="2.4815565894340031E-3"/>
    <n v="126459.8762"/>
    <n v="1.5471925879315829E-3"/>
    <n v="284118.35152896005"/>
    <n v="2.5205961803885799E-3"/>
    <n v="77334.77"/>
    <n v="9.4616400496993168E-4"/>
    <m/>
    <n v="3"/>
    <s v="No"/>
    <m/>
  </r>
  <r>
    <x v="459"/>
    <s v="WESTPORT"/>
    <s v="No"/>
    <n v="74558.667283200004"/>
    <n v="6.6145777264141651E-4"/>
    <n v="7135.08"/>
    <n v="8.7295221393699879E-5"/>
    <n v="74558.667283200004"/>
    <n v="6.6145777264141651E-4"/>
    <n v="7135.08"/>
    <n v="8.7295221393699879E-5"/>
    <n v="0"/>
    <n v="0"/>
    <n v="0"/>
    <n v="0"/>
    <m/>
    <n v="3"/>
    <s v="No"/>
    <m/>
  </r>
  <r>
    <x v="612"/>
    <s v="WESTPORT"/>
    <s v="No"/>
    <n v="146978.52289631998"/>
    <n v="1.3039407747438565E-3"/>
    <n v="32140.67"/>
    <n v="3.932299152065356E-4"/>
    <n v="146823.64934111998"/>
    <n v="1.3025667920722708E-3"/>
    <n v="32140.67"/>
    <n v="3.932299152065356E-4"/>
    <n v="154.8735552"/>
    <n v="1.3739826715858207E-6"/>
    <n v="0"/>
    <n v="0"/>
    <m/>
    <n v="1"/>
    <s v="No"/>
    <m/>
  </r>
  <r>
    <x v="613"/>
    <s v="WESTPORT"/>
    <s v="No"/>
    <n v="125849.61476639999"/>
    <n v="1.1164926748887896E-3"/>
    <n v="10952.81"/>
    <n v="1.3400381969552269E-4"/>
    <n v="125849.61476639999"/>
    <n v="1.1164926748887896E-3"/>
    <n v="10952.81"/>
    <n v="1.3400381969552269E-4"/>
    <n v="0"/>
    <n v="0"/>
    <n v="0"/>
    <n v="0"/>
    <m/>
    <n v="3"/>
    <s v="No"/>
    <m/>
  </r>
  <r>
    <x v="609"/>
    <s v="WESTPORT"/>
    <s v="No"/>
    <n v="5646.9512448000005"/>
    <n v="5.009772745014883E-5"/>
    <n v="0"/>
    <n v="0"/>
    <n v="5646.9512448000005"/>
    <n v="5.009772745014883E-5"/>
    <n v="0"/>
    <n v="0"/>
    <n v="0"/>
    <n v="0"/>
    <n v="0"/>
    <n v="0"/>
    <m/>
    <n v="1"/>
    <s v="No"/>
    <m/>
  </r>
  <r>
    <x v="614"/>
    <s v="WESTPORT"/>
    <s v="No"/>
    <n v="4359.446870400001"/>
    <n v="3.8675450110856876E-5"/>
    <n v="1373.72"/>
    <n v="1.6806986261254731E-5"/>
    <n v="4359.446870400001"/>
    <n v="3.8675450110856876E-5"/>
    <n v="1373.72"/>
    <n v="1.6806986261254731E-5"/>
    <n v="0"/>
    <n v="0"/>
    <n v="0"/>
    <n v="0"/>
    <m/>
    <n v="1"/>
    <s v="No"/>
    <m/>
  </r>
  <r>
    <x v="615"/>
    <s v="WETHERSFIELD"/>
    <s v="No"/>
    <n v="57899.365729919999"/>
    <n v="5.1366242032726314E-4"/>
    <n v="7088.3504999999996"/>
    <n v="8.6723502219126234E-5"/>
    <n v="57897.0131616"/>
    <n v="5.1364154918434124E-4"/>
    <n v="7088.3504999999996"/>
    <n v="8.6723502219126234E-5"/>
    <n v="2.35256832"/>
    <n v="2.087114292189869E-8"/>
    <n v="0"/>
    <n v="0"/>
    <m/>
    <n v="1"/>
    <s v="No"/>
    <m/>
  </r>
  <r>
    <x v="616"/>
    <s v="WETHERSFIELD"/>
    <s v="No"/>
    <n v="60830.6149152"/>
    <n v="5.3966741247375174E-4"/>
    <n v="12981.8608"/>
    <n v="1.5882855029490824E-4"/>
    <n v="60830.6149152"/>
    <n v="5.3966741247375174E-4"/>
    <n v="12981.8608"/>
    <n v="1.5882855029490824E-4"/>
    <n v="0"/>
    <n v="0"/>
    <n v="0"/>
    <n v="0"/>
    <m/>
    <n v="3"/>
    <s v="No"/>
    <m/>
  </r>
  <r>
    <x v="617"/>
    <s v="WETHERSFIELD"/>
    <s v="No"/>
    <n v="86123.850307199988"/>
    <n v="7.6405993120989542E-4"/>
    <n v="9848.5290999999997"/>
    <n v="1.2049332708067686E-4"/>
    <n v="86123.850307199988"/>
    <n v="7.6405993120989542E-4"/>
    <n v="9848.5290999999997"/>
    <n v="1.2049332708067686E-4"/>
    <n v="0"/>
    <n v="0"/>
    <n v="0"/>
    <n v="0"/>
    <m/>
    <n v="5"/>
    <s v="No"/>
    <m/>
  </r>
  <r>
    <x v="618"/>
    <s v="WETHERSFIELD"/>
    <s v="No"/>
    <n v="49411.587513600003"/>
    <n v="4.383618942017592E-4"/>
    <n v="6725.7366000000002"/>
    <n v="8.2287047311692412E-5"/>
    <n v="49411.587513600003"/>
    <n v="4.383618942017592E-4"/>
    <n v="6725.7366000000002"/>
    <n v="8.2287047311692412E-5"/>
    <n v="0"/>
    <n v="0"/>
    <n v="0"/>
    <n v="0"/>
    <m/>
    <n v="4"/>
    <s v="No"/>
    <m/>
  </r>
  <r>
    <x v="619"/>
    <s v="WETHERSFIELD"/>
    <s v="No"/>
    <n v="59729.9845824"/>
    <n v="5.2990301465169584E-4"/>
    <n v="10869.7922"/>
    <n v="1.3298812579571806E-4"/>
    <n v="59729.9845824"/>
    <n v="5.2990301465169584E-4"/>
    <n v="10869.7922"/>
    <n v="1.3298812579571806E-4"/>
    <n v="0"/>
    <n v="0"/>
    <n v="0"/>
    <n v="0"/>
    <m/>
    <n v="2"/>
    <s v="No"/>
    <m/>
  </r>
  <r>
    <x v="422"/>
    <s v="WETHERSFIELD"/>
    <s v="No"/>
    <n v="289574.33547167998"/>
    <n v="2.5689997143816296E-3"/>
    <n v="121493.1286"/>
    <n v="1.4864261590550143E-3"/>
    <n v="142356.53831615997"/>
    <n v="1.2629361841714002E-3"/>
    <n v="85449.179099999994"/>
    <n v="1.0454409771781692E-3"/>
    <n v="147217.79715552001"/>
    <n v="1.3060635302102293E-3"/>
    <n v="36043.949500000002"/>
    <n v="4.4098518187684488E-4"/>
    <m/>
    <n v="1"/>
    <s v="No"/>
    <m/>
  </r>
  <r>
    <x v="423"/>
    <s v="WETHERSFIELD"/>
    <s v="No"/>
    <n v="1420.2241919999999"/>
    <n v="1.2599719991285985E-5"/>
    <n v="0"/>
    <n v="0"/>
    <n v="1420.2241919999999"/>
    <n v="1.2599719991285985E-5"/>
    <n v="0"/>
    <n v="0"/>
    <n v="0"/>
    <n v="0"/>
    <n v="0"/>
    <n v="0"/>
    <m/>
    <n v="4"/>
    <s v="No"/>
    <m/>
  </r>
  <r>
    <x v="326"/>
    <s v="WILLINGTON"/>
    <s v="No"/>
    <n v="138559.72344192001"/>
    <n v="1.2292522034705749E-3"/>
    <n v="60554.824200000003"/>
    <n v="7.4086720611339684E-4"/>
    <n v="112402.66594752"/>
    <n v="9.9719616465511387E-4"/>
    <n v="38610.5"/>
    <n v="4.7238603430115001E-4"/>
    <n v="26157.0574944"/>
    <n v="2.320560388154609E-4"/>
    <n v="21944.324199999999"/>
    <n v="2.6848117181224682E-4"/>
    <m/>
    <n v="4"/>
    <s v="No"/>
    <m/>
  </r>
  <r>
    <x v="513"/>
    <s v="WILLINGTON"/>
    <s v="No"/>
    <n v="219.38394240000002"/>
    <n v="1.9462957048575704E-6"/>
    <n v="0"/>
    <n v="0"/>
    <n v="219.38394240000002"/>
    <n v="1.9462957048575704E-6"/>
    <n v="0"/>
    <n v="0"/>
    <n v="0"/>
    <n v="0"/>
    <n v="0"/>
    <n v="0"/>
    <m/>
    <n v="4"/>
    <s v="No"/>
    <m/>
  </r>
  <r>
    <x v="3"/>
    <s v="WILLINGTON"/>
    <s v="No"/>
    <n v="663.49488960000008"/>
    <n v="5.8862888491123576E-6"/>
    <n v="0"/>
    <n v="0"/>
    <n v="663.49488960000008"/>
    <n v="5.8862888491123576E-6"/>
    <n v="0"/>
    <n v="0"/>
    <n v="0"/>
    <n v="0"/>
    <n v="0"/>
    <n v="0"/>
    <m/>
    <n v="4"/>
    <s v="No"/>
    <m/>
  </r>
  <r>
    <x v="406"/>
    <s v="WILTON"/>
    <s v="No"/>
    <n v="213.86721600000001"/>
    <n v="1.8973532855549879E-6"/>
    <n v="0"/>
    <n v="0"/>
    <n v="213.86721600000001"/>
    <n v="1.8973532855549879E-6"/>
    <n v="0"/>
    <n v="0"/>
    <n v="0"/>
    <n v="0"/>
    <n v="0"/>
    <n v="0"/>
    <m/>
    <n v="2"/>
    <s v="No"/>
    <m/>
  </r>
  <r>
    <x v="440"/>
    <s v="WILTON"/>
    <s v="No"/>
    <n v="355.58282880000002"/>
    <n v="3.1546034082690671E-6"/>
    <n v="0"/>
    <n v="0"/>
    <n v="355.58282880000002"/>
    <n v="3.1546034082690671E-6"/>
    <n v="0"/>
    <n v="0"/>
    <n v="0"/>
    <n v="0"/>
    <n v="0"/>
    <n v="0"/>
    <m/>
    <n v="1"/>
    <s v="No"/>
    <m/>
  </r>
  <r>
    <x v="620"/>
    <s v="WILTON"/>
    <s v="No"/>
    <n v="121792.58059679999"/>
    <n v="1.0805001218679496E-3"/>
    <n v="26942.549299999999"/>
    <n v="3.2963271694979928E-4"/>
    <n v="121792.58059679999"/>
    <n v="1.0805001218679496E-3"/>
    <n v="26942.549299999999"/>
    <n v="3.2963271694979928E-4"/>
    <n v="0"/>
    <n v="0"/>
    <n v="0"/>
    <n v="0"/>
    <m/>
    <n v="3"/>
    <s v="No"/>
    <m/>
  </r>
  <r>
    <x v="477"/>
    <s v="WILTON"/>
    <s v="No"/>
    <n v="280850.70244032005"/>
    <n v="2.4916067688727358E-3"/>
    <n v="98164.801600000108"/>
    <n v="1.2010121945010615E-3"/>
    <n v="164794.82669568001"/>
    <n v="1.4620006362897307E-3"/>
    <n v="80385.501600000105"/>
    <n v="9.8348864469853525E-4"/>
    <n v="116055.87574464001"/>
    <n v="1.0296061325830049E-3"/>
    <n v="17779.3"/>
    <n v="2.1752354980252614E-4"/>
    <m/>
    <n v="3"/>
    <s v="No"/>
    <m/>
  </r>
  <r>
    <x v="621"/>
    <s v="WILTON"/>
    <s v="No"/>
    <n v="79552.867651200009"/>
    <n v="7.0576452827311991E-4"/>
    <n v="17456.605100000001"/>
    <n v="2.135754899716458E-4"/>
    <n v="79552.867651200009"/>
    <n v="7.0576452827311991E-4"/>
    <n v="17456.605100000001"/>
    <n v="2.135754899716458E-4"/>
    <n v="0"/>
    <n v="0"/>
    <n v="0"/>
    <n v="0"/>
    <m/>
    <n v="3"/>
    <s v="No"/>
    <m/>
  </r>
  <r>
    <x v="457"/>
    <s v="WILTON"/>
    <s v="No"/>
    <n v="59936.719996799999"/>
    <n v="5.3173709714965302E-4"/>
    <n v="10246.200000000001"/>
    <n v="1.2535869218623026E-4"/>
    <n v="59936.719996799999"/>
    <n v="5.3173709714965302E-4"/>
    <n v="10246.200000000001"/>
    <n v="1.2535869218623026E-4"/>
    <n v="0"/>
    <n v="0"/>
    <n v="0"/>
    <n v="0"/>
    <m/>
    <n v="4"/>
    <s v="No"/>
    <m/>
  </r>
  <r>
    <x v="458"/>
    <s v="WILTON"/>
    <s v="No"/>
    <n v="84004.02648"/>
    <n v="7.4525361400728293E-4"/>
    <n v="24622.080000000002"/>
    <n v="3.0124258239198301E-4"/>
    <n v="84004.02648"/>
    <n v="7.4525361400728293E-4"/>
    <n v="24622.080000000002"/>
    <n v="3.0124258239198301E-4"/>
    <n v="0"/>
    <n v="0"/>
    <n v="0"/>
    <n v="0"/>
    <m/>
    <n v="4"/>
    <s v="No"/>
    <m/>
  </r>
  <r>
    <x v="475"/>
    <s v="WILTON"/>
    <s v="No"/>
    <n v="581.2128864"/>
    <n v="5.1563124084335481E-6"/>
    <n v="0"/>
    <n v="0"/>
    <n v="581.2128864"/>
    <n v="5.1563124084335481E-6"/>
    <n v="0"/>
    <n v="0"/>
    <n v="0"/>
    <n v="0"/>
    <n v="0"/>
    <n v="0"/>
    <m/>
    <n v="4"/>
    <s v="No"/>
    <m/>
  </r>
  <r>
    <x v="132"/>
    <s v="WILTON"/>
    <s v="No"/>
    <n v="504.25079040000003"/>
    <n v="4.4735322776593284E-6"/>
    <n v="0"/>
    <n v="0"/>
    <n v="504.25079040000003"/>
    <n v="4.4735322776593284E-6"/>
    <n v="0"/>
    <n v="0"/>
    <n v="0"/>
    <n v="0"/>
    <n v="0"/>
    <n v="0"/>
    <m/>
    <n v="1"/>
    <s v="No"/>
    <m/>
  </r>
  <r>
    <x v="480"/>
    <s v="WILTON"/>
    <s v="No"/>
    <n v="431.873424"/>
    <n v="3.8314262246266033E-6"/>
    <n v="0"/>
    <n v="0"/>
    <n v="431.873424"/>
    <n v="3.8314262246266033E-6"/>
    <n v="0"/>
    <n v="0"/>
    <n v="0"/>
    <n v="0"/>
    <n v="0"/>
    <n v="0"/>
    <m/>
    <n v="1"/>
    <s v="No"/>
    <m/>
  </r>
  <r>
    <x v="12"/>
    <s v="WINCHESTER"/>
    <s v="No"/>
    <n v="2422.8848736"/>
    <n v="2.1494966182411246E-5"/>
    <n v="0"/>
    <n v="0"/>
    <n v="2422.8848736"/>
    <n v="2.1494966182411246E-5"/>
    <n v="0"/>
    <n v="0"/>
    <n v="0"/>
    <n v="0"/>
    <n v="0"/>
    <n v="0"/>
    <m/>
    <n v="2"/>
    <s v="No"/>
    <m/>
  </r>
  <r>
    <x v="109"/>
    <s v="WINCHESTER"/>
    <s v="No"/>
    <n v="6067.4323103999996"/>
    <n v="5.3828084754326862E-5"/>
    <n v="1576.65"/>
    <n v="1.9289764208723227E-5"/>
    <n v="6067.4323103999996"/>
    <n v="5.3828084754326862E-5"/>
    <n v="1576.65"/>
    <n v="1.9289764208723227E-5"/>
    <n v="0"/>
    <n v="0"/>
    <n v="0"/>
    <n v="0"/>
    <m/>
    <n v="1"/>
    <s v="No"/>
    <m/>
  </r>
  <r>
    <x v="552"/>
    <s v="WINCHESTER"/>
    <s v="No"/>
    <n v="515.61999360000004"/>
    <n v="4.5743957734728354E-6"/>
    <n v="0"/>
    <n v="0"/>
    <n v="515.61999360000004"/>
    <n v="4.5743957734728354E-6"/>
    <n v="0"/>
    <n v="0"/>
    <n v="0"/>
    <n v="0"/>
    <n v="0"/>
    <n v="0"/>
    <m/>
    <n v="1"/>
    <s v="No"/>
    <m/>
  </r>
  <r>
    <x v="13"/>
    <s v="WINCHESTER"/>
    <s v="No"/>
    <n v="180682.43084640004"/>
    <n v="1.6029497658419933E-3"/>
    <n v="114368.24100000001"/>
    <n v="1.3992556381292186E-3"/>
    <n v="112367.13834528001"/>
    <n v="9.9688097650192848E-4"/>
    <n v="28255.501"/>
    <n v="3.4569622420279917E-4"/>
    <n v="68315.292501120013"/>
    <n v="6.0606878934006453E-4"/>
    <n v="86112.74"/>
    <n v="1.0535594139264193E-3"/>
    <m/>
    <n v="1"/>
    <s v="No"/>
    <m/>
  </r>
  <r>
    <x v="556"/>
    <s v="WINCHESTER"/>
    <s v="No"/>
    <n v="83128.746026879991"/>
    <n v="7.374884395473072E-4"/>
    <n v="13461.21"/>
    <n v="1.6469322098379931E-4"/>
    <n v="83128.746026879991"/>
    <n v="7.374884395473072E-4"/>
    <n v="13461.21"/>
    <n v="1.6469322098379931E-4"/>
    <n v="0"/>
    <n v="0"/>
    <n v="0"/>
    <n v="0"/>
    <m/>
    <n v="3"/>
    <s v="No"/>
    <m/>
  </r>
  <r>
    <x v="329"/>
    <s v="WINDHAM"/>
    <s v="No"/>
    <n v="3206.7462816000002"/>
    <n v="2.8449103640714156E-5"/>
    <n v="0"/>
    <n v="0"/>
    <n v="3206.7462816000002"/>
    <n v="2.8449103640714156E-5"/>
    <n v="0"/>
    <n v="0"/>
    <n v="0"/>
    <n v="0"/>
    <n v="0"/>
    <n v="0"/>
    <m/>
    <n v="4"/>
    <s v="No"/>
    <m/>
  </r>
  <r>
    <x v="622"/>
    <s v="WINDHAM"/>
    <s v="No"/>
    <n v="46300.286966400003"/>
    <n v="4.1075955090675437E-4"/>
    <n v="43359.29"/>
    <n v="5.3048582777258802E-4"/>
    <n v="46300.286966400003"/>
    <n v="4.1075955090675437E-4"/>
    <n v="43359.29"/>
    <n v="5.3048582777258802E-4"/>
    <n v="0"/>
    <n v="0"/>
    <n v="0"/>
    <n v="0"/>
    <m/>
    <n v="5"/>
    <s v="Yes"/>
    <m/>
  </r>
  <r>
    <x v="623"/>
    <s v="WINDHAM"/>
    <s v="No"/>
    <n v="60159.073014720001"/>
    <n v="5.337097334283409E-4"/>
    <n v="17243.333500000001"/>
    <n v="2.1096618614618222E-4"/>
    <n v="60159.073014720001"/>
    <n v="5.337097334283409E-4"/>
    <n v="17243.333500000001"/>
    <n v="2.1096618614618222E-4"/>
    <n v="0"/>
    <n v="0"/>
    <n v="0"/>
    <n v="0"/>
    <m/>
    <n v="5"/>
    <s v="No"/>
    <m/>
  </r>
  <r>
    <x v="624"/>
    <s v="WINDHAM"/>
    <s v="No"/>
    <n v="292503.24829727999"/>
    <n v="2.5949839791824408E-3"/>
    <n v="489387.0355"/>
    <n v="5.9874801139130837E-3"/>
    <n v="129961.80809568001"/>
    <n v="1.1529745802040332E-3"/>
    <n v="408720.65419999999"/>
    <n v="5.0005550038075049E-3"/>
    <n v="162541.44020159999"/>
    <n v="1.4420093989784078E-3"/>
    <n v="80666.381299999994"/>
    <n v="9.8692511010557856E-4"/>
    <m/>
    <n v="5"/>
    <s v="No"/>
    <m/>
  </r>
  <r>
    <x v="625"/>
    <s v="WINDHAM"/>
    <s v="No"/>
    <n v="64791.193204800002"/>
    <n v="5.748042434991779E-4"/>
    <n v="890.52359999999999"/>
    <n v="1.0895246418864909E-5"/>
    <n v="64791.193204800002"/>
    <n v="5.748042434991779E-4"/>
    <n v="890.52359999999999"/>
    <n v="1.0895246418864909E-5"/>
    <n v="0"/>
    <n v="0"/>
    <n v="0"/>
    <n v="0"/>
    <m/>
    <n v="5"/>
    <s v="Yes"/>
    <m/>
  </r>
  <r>
    <x v="626"/>
    <s v="WINDHAM"/>
    <s v="No"/>
    <n v="41272.490139839996"/>
    <n v="3.6615473953642927E-4"/>
    <n v="41619.35"/>
    <n v="5.0919826722501825E-4"/>
    <n v="41272.490139839996"/>
    <n v="3.6615473953642927E-4"/>
    <n v="41619.35"/>
    <n v="5.0919826722501825E-4"/>
    <n v="0"/>
    <n v="0"/>
    <n v="0"/>
    <n v="0"/>
    <m/>
    <n v="5"/>
    <s v="Yes"/>
    <m/>
  </r>
  <r>
    <x v="88"/>
    <s v="WINDHAM"/>
    <s v="No"/>
    <n v="265.50331199999999"/>
    <n v="2.3554502217344571E-6"/>
    <n v="0"/>
    <n v="0"/>
    <n v="265.50331199999999"/>
    <n v="2.3554502217344571E-6"/>
    <n v="0"/>
    <n v="0"/>
    <n v="0"/>
    <n v="0"/>
    <n v="0"/>
    <n v="0"/>
    <m/>
    <n v="5"/>
    <s v="No"/>
    <m/>
  </r>
  <r>
    <x v="81"/>
    <s v="WINDHAM"/>
    <s v="No"/>
    <n v="399.06829440000001"/>
    <n v="3.5403908729081002E-6"/>
    <n v="0"/>
    <n v="0"/>
    <n v="399.06829440000001"/>
    <n v="3.5403908729081002E-6"/>
    <n v="0"/>
    <n v="0"/>
    <n v="0"/>
    <n v="0"/>
    <n v="0"/>
    <n v="0"/>
    <m/>
    <n v="2"/>
    <s v="No"/>
    <m/>
  </r>
  <r>
    <x v="143"/>
    <s v="WINDSOR"/>
    <s v="No"/>
    <n v="284.12588160000001"/>
    <n v="2.5206629844799003E-6"/>
    <n v="0"/>
    <n v="0"/>
    <n v="284.12588160000001"/>
    <n v="2.5206629844799003E-6"/>
    <n v="0"/>
    <n v="0"/>
    <n v="0"/>
    <n v="0"/>
    <n v="0"/>
    <n v="0"/>
    <m/>
    <n v="3"/>
    <s v="No"/>
    <m/>
  </r>
  <r>
    <x v="36"/>
    <s v="WINDSOR"/>
    <s v="No"/>
    <n v="152.0659872"/>
    <n v="1.3490749345850311E-6"/>
    <n v="0"/>
    <n v="0"/>
    <n v="152.0659872"/>
    <n v="1.3490749345850311E-6"/>
    <n v="0"/>
    <n v="0"/>
    <n v="0"/>
    <n v="0"/>
    <n v="0"/>
    <n v="0"/>
    <m/>
    <n v="2"/>
    <s v="No"/>
    <m/>
  </r>
  <r>
    <x v="38"/>
    <s v="WINDSOR"/>
    <s v="No"/>
    <n v="324073.84451615997"/>
    <n v="2.8750669932280431E-3"/>
    <n v="305315.0306"/>
    <n v="3.7354231755006607E-3"/>
    <n v="118829.27187935999"/>
    <n v="1.0542107090429915E-3"/>
    <n v="227525.2506"/>
    <n v="2.7836922814858485E-3"/>
    <n v="205244.5726368"/>
    <n v="1.8208562841850518E-3"/>
    <n v="77789.78"/>
    <n v="9.5173089401481229E-4"/>
    <m/>
    <n v="1"/>
    <s v="No"/>
    <m/>
  </r>
  <r>
    <x v="627"/>
    <s v="WINDSOR"/>
    <s v="No"/>
    <n v="31967.588649600002"/>
    <n v="2.836049885999774E-4"/>
    <n v="52940.47"/>
    <n v="6.4770823162971225E-4"/>
    <n v="31967.588649600002"/>
    <n v="2.836049885999774E-4"/>
    <n v="52940.47"/>
    <n v="6.4770823162971225E-4"/>
    <n v="0"/>
    <n v="0"/>
    <n v="0"/>
    <n v="0"/>
    <m/>
    <n v="2"/>
    <s v="No"/>
    <m/>
  </r>
  <r>
    <x v="39"/>
    <s v="WINDSOR"/>
    <s v="No"/>
    <n v="82433.349060479988"/>
    <n v="7.3131912690724363E-4"/>
    <n v="20406.150000000001"/>
    <n v="2.49662145630189E-4"/>
    <n v="82414.184659199993"/>
    <n v="7.3114910720803786E-4"/>
    <n v="20406.150000000001"/>
    <n v="2.49662145630189E-4"/>
    <n v="19.16440128"/>
    <n v="1.7001969920580167E-7"/>
    <n v="0"/>
    <n v="0"/>
    <m/>
    <n v="3"/>
    <s v="No"/>
    <m/>
  </r>
  <r>
    <x v="628"/>
    <s v="WINDSOR"/>
    <s v="No"/>
    <n v="54612.039352320004"/>
    <n v="4.8449843895654698E-4"/>
    <n v="15242.11"/>
    <n v="1.8648191288074233E-4"/>
    <n v="54612.039352320004"/>
    <n v="4.8449843895654698E-4"/>
    <n v="15242.11"/>
    <n v="1.8648191288074233E-4"/>
    <n v="0"/>
    <n v="0"/>
    <n v="0"/>
    <n v="0"/>
    <m/>
    <n v="2"/>
    <s v="No"/>
    <m/>
  </r>
  <r>
    <x v="629"/>
    <s v="WINDSOR"/>
    <s v="No"/>
    <n v="56273.828431679998"/>
    <n v="4.9924123604622845E-4"/>
    <n v="30001.8174"/>
    <n v="3.6706179778591932E-4"/>
    <n v="56273.828431679998"/>
    <n v="4.9924123604622845E-4"/>
    <n v="30001.8174"/>
    <n v="3.6706179778591932E-4"/>
    <n v="0"/>
    <n v="0"/>
    <n v="0"/>
    <n v="0"/>
    <m/>
    <n v="3"/>
    <s v="No"/>
    <m/>
  </r>
  <r>
    <x v="630"/>
    <s v="WINDSOR"/>
    <s v="No"/>
    <n v="40136.663324160007"/>
    <n v="3.5607809113346933E-4"/>
    <n v="7232.82"/>
    <n v="8.8491036288420081E-5"/>
    <n v="40136.663324160007"/>
    <n v="3.5607809113346933E-4"/>
    <n v="7232.82"/>
    <n v="8.8491036288420081E-5"/>
    <n v="0"/>
    <n v="0"/>
    <n v="0"/>
    <n v="0"/>
    <m/>
    <n v="5"/>
    <s v="No"/>
    <m/>
  </r>
  <r>
    <x v="631"/>
    <s v="WINDSOR"/>
    <s v="No"/>
    <n v="82475.239132800009"/>
    <n v="7.3169076061452732E-4"/>
    <n v="115028.0877"/>
    <n v="1.4073286329326969E-3"/>
    <n v="82475.239132800009"/>
    <n v="7.3169076061452732E-4"/>
    <n v="115028.0877"/>
    <n v="1.4073286329326969E-3"/>
    <n v="0"/>
    <n v="0"/>
    <n v="0"/>
    <n v="0"/>
    <m/>
    <n v="3"/>
    <s v="No"/>
    <m/>
  </r>
  <r>
    <x v="632"/>
    <s v="WINDSOR"/>
    <s v="No"/>
    <n v="25234.275885120005"/>
    <n v="2.2386945112351134E-4"/>
    <n v="23928.34"/>
    <n v="2.9275491485501558E-4"/>
    <n v="25234.275885120005"/>
    <n v="2.2386945112351134E-4"/>
    <n v="23928.34"/>
    <n v="2.9275491485501558E-4"/>
    <n v="0"/>
    <n v="0"/>
    <n v="0"/>
    <n v="0"/>
    <m/>
    <n v="5"/>
    <s v="No"/>
    <m/>
  </r>
  <r>
    <x v="281"/>
    <s v="WINDSOR"/>
    <s v="No"/>
    <n v="500.29877664000003"/>
    <n v="4.4384714280707942E-6"/>
    <n v="0"/>
    <n v="0"/>
    <n v="500.29877664000003"/>
    <n v="4.4384714280707942E-6"/>
    <n v="0"/>
    <n v="0"/>
    <n v="0"/>
    <n v="0"/>
    <n v="0"/>
    <n v="0"/>
    <m/>
    <n v="5"/>
    <s v="Yes"/>
    <m/>
  </r>
  <r>
    <x v="633"/>
    <s v="WINDSOR LOCKS"/>
    <s v="No"/>
    <n v="70373.131015680003"/>
    <n v="6.2432519506585844E-4"/>
    <n v="22750.9817"/>
    <n v="2.7835034567594399E-4"/>
    <n v="70373.131015680003"/>
    <n v="6.2432519506585844E-4"/>
    <n v="22750.9817"/>
    <n v="2.7835034567594399E-4"/>
    <n v="0"/>
    <n v="0"/>
    <n v="0"/>
    <n v="0"/>
    <m/>
    <n v="2"/>
    <s v="No"/>
    <m/>
  </r>
  <r>
    <x v="634"/>
    <s v="WINDSOR LOCKS"/>
    <s v="No"/>
    <n v="41918.246409600004"/>
    <n v="3.7188365770823959E-4"/>
    <n v="14140.3282"/>
    <n v="1.7300199588492039E-4"/>
    <n v="41918.246409600004"/>
    <n v="3.7188365770823959E-4"/>
    <n v="14140.3282"/>
    <n v="1.7300199588492039E-4"/>
    <n v="0"/>
    <n v="0"/>
    <n v="0"/>
    <n v="0"/>
    <m/>
    <n v="2"/>
    <s v="No"/>
    <m/>
  </r>
  <r>
    <x v="635"/>
    <s v="WINDSOR LOCKS"/>
    <s v="No"/>
    <n v="217921.13174303999"/>
    <n v="1.9333181730131013E-3"/>
    <n v="395528.42539999995"/>
    <n v="4.8391526742229242E-3"/>
    <n v="94845.801692159992"/>
    <n v="8.4143795775466865E-4"/>
    <n v="363957.26539999997"/>
    <n v="4.452890515724923E-3"/>
    <n v="123075.33005088002"/>
    <n v="1.0918802152584328E-3"/>
    <n v="31571.16"/>
    <n v="3.8626215849800168E-4"/>
    <m/>
    <n v="4"/>
    <s v="No"/>
    <m/>
  </r>
  <r>
    <x v="583"/>
    <s v="WOLCOTT"/>
    <s v="No"/>
    <n v="260.68703039999997"/>
    <n v="2.3127218976423809E-6"/>
    <n v="0"/>
    <n v="0"/>
    <n v="260.68703039999997"/>
    <n v="2.3127218976423809E-6"/>
    <n v="0"/>
    <n v="0"/>
    <n v="0"/>
    <n v="0"/>
    <n v="0"/>
    <n v="0"/>
    <m/>
    <n v="3"/>
    <s v="Yes"/>
    <m/>
  </r>
  <r>
    <x v="584"/>
    <s v="WOLCOTT"/>
    <s v="No"/>
    <n v="82.195171200000004"/>
    <n v="7.2920609829734132E-7"/>
    <n v="0"/>
    <n v="0"/>
    <n v="82.195171200000004"/>
    <n v="7.2920609829734132E-7"/>
    <n v="0"/>
    <n v="0"/>
    <n v="0"/>
    <n v="0"/>
    <n v="0"/>
    <n v="0"/>
    <m/>
    <n v="4"/>
    <s v="Yes"/>
    <m/>
  </r>
  <r>
    <x v="472"/>
    <s v="WOLCOTT"/>
    <s v="No"/>
    <n v="1097.1107423999999"/>
    <n v="9.7331732775270787E-6"/>
    <n v="213.16"/>
    <n v="2.6079384382909604E-6"/>
    <n v="1097.1107423999999"/>
    <n v="9.7331732775270787E-6"/>
    <n v="213.16"/>
    <n v="2.6079384382909604E-6"/>
    <n v="0"/>
    <n v="0"/>
    <n v="0"/>
    <n v="0"/>
    <m/>
    <n v="5"/>
    <s v="No"/>
    <m/>
  </r>
  <r>
    <x v="586"/>
    <s v="WOLCOTT"/>
    <s v="No"/>
    <n v="219378.10555295998"/>
    <n v="1.9462439224426878E-3"/>
    <n v="257118.53869999998"/>
    <n v="3.1457558654200217E-3"/>
    <n v="148173.57724031998"/>
    <n v="1.3145428685495998E-3"/>
    <n v="252065.73869999999"/>
    <n v="3.0839366153684335E-3"/>
    <n v="71204.528312640003"/>
    <n v="6.3170105389308783E-4"/>
    <n v="5052.8"/>
    <n v="6.1819250051588321E-5"/>
    <m/>
    <n v="2"/>
    <s v="No"/>
    <m/>
  </r>
  <r>
    <x v="636"/>
    <s v="WOLCOTT"/>
    <s v="No"/>
    <n v="114930.85025088002"/>
    <n v="1.0196253096366836E-3"/>
    <n v="58843.71"/>
    <n v="7.1993231919987883E-4"/>
    <n v="114930.85025088002"/>
    <n v="1.0196253096366836E-3"/>
    <n v="58843.71"/>
    <n v="7.1993231919987883E-4"/>
    <n v="0"/>
    <n v="0"/>
    <n v="0"/>
    <n v="0"/>
    <m/>
    <n v="2"/>
    <s v="No"/>
    <m/>
  </r>
  <r>
    <x v="637"/>
    <s v="WOLCOTT"/>
    <s v="No"/>
    <n v="84377.259360000011"/>
    <n v="7.4856480234362509E-4"/>
    <n v="68011.649999999994"/>
    <n v="8.320988754296838E-4"/>
    <n v="84091.987296000007"/>
    <n v="7.4603397083970974E-4"/>
    <n v="68011.649999999994"/>
    <n v="8.320988754296838E-4"/>
    <n v="285.272064"/>
    <n v="2.5308315039152742E-6"/>
    <n v="0"/>
    <n v="0"/>
    <m/>
    <n v="1"/>
    <s v="No"/>
    <m/>
  </r>
  <r>
    <x v="31"/>
    <s v="WOODBURY"/>
    <s v="No"/>
    <n v="65.123999999999995"/>
    <n v="5.7775678610078797E-7"/>
    <n v="0"/>
    <n v="0"/>
    <n v="65.123999999999995"/>
    <n v="5.7775678610078797E-7"/>
    <n v="0"/>
    <n v="0"/>
    <n v="0"/>
    <n v="0"/>
    <n v="0"/>
    <n v="0"/>
    <m/>
    <n v="2"/>
    <s v="No"/>
    <m/>
  </r>
  <r>
    <x v="591"/>
    <s v="WOODBURY"/>
    <s v="No"/>
    <n v="58.432147200000003"/>
    <n v="5.1838906656900934E-7"/>
    <n v="0"/>
    <n v="0"/>
    <n v="58.432147200000003"/>
    <n v="5.1838906656900934E-7"/>
    <n v="0"/>
    <n v="0"/>
    <n v="0"/>
    <n v="0"/>
    <n v="0"/>
    <n v="0"/>
    <m/>
    <n v="2"/>
    <s v="No"/>
    <m/>
  </r>
  <r>
    <x v="638"/>
    <s v="WOODBURY"/>
    <s v="No"/>
    <n v="121304.12917823999"/>
    <n v="1.0761667559544064E-3"/>
    <n v="26145.79"/>
    <n v="3.1988464411936298E-4"/>
    <n v="121303.913256"/>
    <n v="1.0761648403696845E-3"/>
    <n v="26145.79"/>
    <n v="3.1988464411936298E-4"/>
    <n v="0.21592223999999999"/>
    <n v="1.9155847219163902E-9"/>
    <n v="0"/>
    <n v="0"/>
    <m/>
    <n v="2"/>
    <s v="No"/>
    <m/>
  </r>
  <r>
    <x v="32"/>
    <s v="WOODBURY"/>
    <s v="No"/>
    <n v="200979.21518495999"/>
    <n v="1.7830155616719056E-3"/>
    <n v="151431.49799999999"/>
    <n v="1.8527116926354884E-3"/>
    <n v="148869.85294655999"/>
    <n v="1.3207199770545639E-3"/>
    <n v="147193.30799999999"/>
    <n v="1.8008589125182977E-3"/>
    <n v="52109.362238400005"/>
    <n v="4.6229558461734156E-4"/>
    <n v="4238.1899999999996"/>
    <n v="5.1852780117190679E-5"/>
    <m/>
    <n v="1"/>
    <s v="No"/>
    <m/>
  </r>
  <r>
    <x v="543"/>
    <s v="WOODSTOCK"/>
    <s v="No"/>
    <n v="326.09468160000006"/>
    <n v="2.8929951355226307E-6"/>
    <n v="0"/>
    <n v="0"/>
    <n v="326.09468160000006"/>
    <n v="2.8929951355226307E-6"/>
    <n v="0"/>
    <n v="0"/>
    <n v="0"/>
    <n v="0"/>
    <n v="0"/>
    <n v="0"/>
    <m/>
    <n v="2"/>
    <s v="No"/>
    <m/>
  </r>
  <r>
    <x v="468"/>
    <s v="WOODSTOCK"/>
    <s v="No"/>
    <n v="212848.39530432"/>
    <n v="1.8883146735110556E-3"/>
    <n v="106399.69559999999"/>
    <n v="1.3017632575422105E-3"/>
    <n v="184113.15969311999"/>
    <n v="1.6333859625200871E-3"/>
    <n v="95417.545599999998"/>
    <n v="1.1674004731545343E-3"/>
    <n v="28735.235611200002"/>
    <n v="2.5492871099096838E-4"/>
    <n v="10982.15"/>
    <n v="1.3436278438767627E-4"/>
    <m/>
    <n v="1"/>
    <s v="No"/>
    <m/>
  </r>
  <r>
    <x v="4"/>
    <s v="WOODSTOCK"/>
    <s v="No"/>
    <n v="989.16698880000013"/>
    <n v="8.7755349850451793E-6"/>
    <n v="107.52"/>
    <n v="1.3154697921047291E-6"/>
    <n v="989.16698880000013"/>
    <n v="8.7755349850451793E-6"/>
    <n v="107.52"/>
    <n v="1.3154697921047291E-6"/>
    <n v="0"/>
    <n v="0"/>
    <n v="0"/>
    <n v="0"/>
    <m/>
    <n v="2"/>
    <s v="No"/>
    <m/>
  </r>
  <r>
    <x v="74"/>
    <s v="WOODSTOCK"/>
    <s v="No"/>
    <n v="2271.4498656000001"/>
    <n v="2.0151489069131548E-5"/>
    <n v="121.98"/>
    <n v="1.4923828612438139E-6"/>
    <n v="2271.4498656000001"/>
    <n v="2.0151489069131548E-5"/>
    <n v="121.98"/>
    <n v="1.4923828612438139E-6"/>
    <n v="0"/>
    <n v="0"/>
    <n v="0"/>
    <n v="0"/>
    <m/>
    <n v="2"/>
    <s v="No"/>
    <m/>
  </r>
  <r>
    <x v="639"/>
    <m/>
    <s v="Totals"/>
    <n v="70659148.926617205"/>
    <n v="0.62686264345647225"/>
    <n v="44405301.081499971"/>
    <n v="0.54328340943107023"/>
    <n v="52629786.815592907"/>
    <n v="0.4669126049343803"/>
    <n v="36999853.3169"/>
    <n v="0.45268033250267781"/>
    <n v="18029362.111024335"/>
    <n v="0.1599500385220923"/>
    <n v="7405447.7646000003"/>
    <n v="9.0603076928392798E-2"/>
    <m/>
    <e v="#N/A"/>
    <e v="#N/A"/>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46B70B-68A0-49C7-89CA-56836358B616}"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644" firstHeaderRow="0" firstDataRow="1" firstDataCol="1"/>
  <pivotFields count="19">
    <pivotField axis="axisRow" showAll="0">
      <items count="641">
        <item x="302"/>
        <item x="212"/>
        <item x="213"/>
        <item x="214"/>
        <item x="215"/>
        <item x="216"/>
        <item x="217"/>
        <item x="218"/>
        <item x="219"/>
        <item x="220"/>
        <item x="221"/>
        <item x="222"/>
        <item x="223"/>
        <item x="224"/>
        <item x="225"/>
        <item x="226"/>
        <item x="398"/>
        <item x="227"/>
        <item x="514"/>
        <item x="515"/>
        <item x="516"/>
        <item x="517"/>
        <item x="518"/>
        <item x="519"/>
        <item x="520"/>
        <item x="521"/>
        <item x="522"/>
        <item x="523"/>
        <item x="524"/>
        <item x="228"/>
        <item x="525"/>
        <item x="526"/>
        <item x="527"/>
        <item x="528"/>
        <item x="529"/>
        <item x="530"/>
        <item x="531"/>
        <item x="532"/>
        <item x="533"/>
        <item x="534"/>
        <item x="535"/>
        <item x="135"/>
        <item x="136"/>
        <item x="137"/>
        <item x="138"/>
        <item x="139"/>
        <item x="403"/>
        <item x="404"/>
        <item x="405"/>
        <item x="406"/>
        <item x="436"/>
        <item x="437"/>
        <item x="438"/>
        <item x="439"/>
        <item x="440"/>
        <item x="441"/>
        <item x="442"/>
        <item x="443"/>
        <item x="444"/>
        <item x="445"/>
        <item x="446"/>
        <item x="447"/>
        <item x="448"/>
        <item x="449"/>
        <item x="450"/>
        <item x="451"/>
        <item x="452"/>
        <item x="453"/>
        <item x="454"/>
        <item x="455"/>
        <item x="456"/>
        <item x="620"/>
        <item x="477"/>
        <item x="621"/>
        <item x="457"/>
        <item x="458"/>
        <item x="607"/>
        <item x="611"/>
        <item x="608"/>
        <item x="459"/>
        <item x="612"/>
        <item x="613"/>
        <item x="475"/>
        <item x="609"/>
        <item x="614"/>
        <item x="366"/>
        <item x="367"/>
        <item x="368"/>
        <item x="610"/>
        <item x="369"/>
        <item x="370"/>
        <item x="22"/>
        <item x="23"/>
        <item x="24"/>
        <item x="25"/>
        <item x="70"/>
        <item x="71"/>
        <item x="26"/>
        <item x="118"/>
        <item x="119"/>
        <item x="120"/>
        <item x="27"/>
        <item x="28"/>
        <item x="121"/>
        <item x="122"/>
        <item x="123"/>
        <item x="124"/>
        <item x="125"/>
        <item x="126"/>
        <item x="127"/>
        <item x="128"/>
        <item x="129"/>
        <item x="72"/>
        <item x="407"/>
        <item x="130"/>
        <item x="131"/>
        <item x="429"/>
        <item x="430"/>
        <item x="431"/>
        <item x="29"/>
        <item x="432"/>
        <item x="433"/>
        <item x="132"/>
        <item x="476"/>
        <item x="478"/>
        <item x="133"/>
        <item x="479"/>
        <item x="480"/>
        <item x="481"/>
        <item x="134"/>
        <item x="408"/>
        <item x="11"/>
        <item x="16"/>
        <item x="17"/>
        <item x="18"/>
        <item x="53"/>
        <item x="54"/>
        <item x="55"/>
        <item x="56"/>
        <item x="57"/>
        <item x="58"/>
        <item x="59"/>
        <item x="60"/>
        <item x="61"/>
        <item x="62"/>
        <item x="63"/>
        <item x="64"/>
        <item x="65"/>
        <item x="66"/>
        <item x="76"/>
        <item x="382"/>
        <item x="383"/>
        <item x="384"/>
        <item x="385"/>
        <item x="386"/>
        <item x="387"/>
        <item x="389"/>
        <item x="390"/>
        <item x="391"/>
        <item x="392"/>
        <item x="393"/>
        <item x="394"/>
        <item x="395"/>
        <item x="396"/>
        <item x="397"/>
        <item x="388"/>
        <item x="399"/>
        <item x="400"/>
        <item x="401"/>
        <item x="465"/>
        <item x="67"/>
        <item x="194"/>
        <item x="466"/>
        <item x="503"/>
        <item x="504"/>
        <item x="505"/>
        <item x="506"/>
        <item x="331"/>
        <item x="507"/>
        <item x="508"/>
        <item x="509"/>
        <item x="68"/>
        <item x="510"/>
        <item x="195"/>
        <item x="196"/>
        <item x="197"/>
        <item x="198"/>
        <item x="5"/>
        <item x="6"/>
        <item x="7"/>
        <item x="8"/>
        <item x="9"/>
        <item x="10"/>
        <item x="83"/>
        <item x="84"/>
        <item x="489"/>
        <item x="85"/>
        <item x="490"/>
        <item x="86"/>
        <item x="491"/>
        <item x="492"/>
        <item x="210"/>
        <item x="211"/>
        <item x="143"/>
        <item x="33"/>
        <item x="34"/>
        <item x="35"/>
        <item x="36"/>
        <item x="37"/>
        <item x="38"/>
        <item x="627"/>
        <item x="39"/>
        <item x="628"/>
        <item x="629"/>
        <item x="630"/>
        <item x="631"/>
        <item x="632"/>
        <item x="633"/>
        <item x="634"/>
        <item x="635"/>
        <item x="144"/>
        <item x="541"/>
        <item x="145"/>
        <item x="180"/>
        <item x="181"/>
        <item x="182"/>
        <item x="183"/>
        <item x="184"/>
        <item x="185"/>
        <item x="186"/>
        <item x="187"/>
        <item x="188"/>
        <item x="189"/>
        <item x="190"/>
        <item x="172"/>
        <item x="173"/>
        <item x="174"/>
        <item x="311"/>
        <item x="494"/>
        <item x="495"/>
        <item x="496"/>
        <item x="312"/>
        <item x="482"/>
        <item x="19"/>
        <item x="615"/>
        <item x="616"/>
        <item x="617"/>
        <item x="618"/>
        <item x="619"/>
        <item x="422"/>
        <item x="423"/>
        <item x="424"/>
        <item x="425"/>
        <item x="402"/>
        <item x="426"/>
        <item x="427"/>
        <item x="428"/>
        <item x="594"/>
        <item x="199"/>
        <item x="595"/>
        <item x="596"/>
        <item x="597"/>
        <item x="598"/>
        <item x="245"/>
        <item x="246"/>
        <item x="150"/>
        <item x="599"/>
        <item x="247"/>
        <item x="600"/>
        <item x="601"/>
        <item x="602"/>
        <item x="603"/>
        <item x="604"/>
        <item x="605"/>
        <item x="248"/>
        <item x="249"/>
        <item x="250"/>
        <item x="251"/>
        <item x="252"/>
        <item x="253"/>
        <item x="254"/>
        <item x="255"/>
        <item x="256"/>
        <item x="257"/>
        <item x="258"/>
        <item x="259"/>
        <item x="260"/>
        <item x="261"/>
        <item x="262"/>
        <item x="263"/>
        <item x="264"/>
        <item x="265"/>
        <item x="266"/>
        <item x="267"/>
        <item x="268"/>
        <item x="269"/>
        <item x="270"/>
        <item x="271"/>
        <item x="272"/>
        <item x="273"/>
        <item x="40"/>
        <item x="274"/>
        <item x="275"/>
        <item x="276"/>
        <item x="277"/>
        <item x="278"/>
        <item x="279"/>
        <item x="280"/>
        <item x="151"/>
        <item x="152"/>
        <item x="153"/>
        <item x="154"/>
        <item x="155"/>
        <item x="156"/>
        <item x="157"/>
        <item x="158"/>
        <item x="159"/>
        <item x="160"/>
        <item x="161"/>
        <item x="162"/>
        <item x="163"/>
        <item x="164"/>
        <item x="313"/>
        <item x="165"/>
        <item x="314"/>
        <item x="315"/>
        <item x="316"/>
        <item x="317"/>
        <item x="318"/>
        <item x="319"/>
        <item x="320"/>
        <item x="41"/>
        <item x="321"/>
        <item x="322"/>
        <item x="323"/>
        <item x="324"/>
        <item x="201"/>
        <item x="202"/>
        <item x="203"/>
        <item x="204"/>
        <item x="205"/>
        <item x="206"/>
        <item x="207"/>
        <item x="330"/>
        <item x="483"/>
        <item x="191"/>
        <item x="281"/>
        <item x="282"/>
        <item x="283"/>
        <item x="284"/>
        <item x="285"/>
        <item x="51"/>
        <item x="417"/>
        <item x="418"/>
        <item x="419"/>
        <item x="73"/>
        <item x="291"/>
        <item x="420"/>
        <item x="77"/>
        <item x="78"/>
        <item x="112"/>
        <item x="79"/>
        <item x="113"/>
        <item x="114"/>
        <item x="421"/>
        <item x="52"/>
        <item x="12"/>
        <item x="109"/>
        <item x="209"/>
        <item x="286"/>
        <item x="287"/>
        <item x="304"/>
        <item x="305"/>
        <item x="306"/>
        <item x="30"/>
        <item x="409"/>
        <item x="546"/>
        <item x="547"/>
        <item x="548"/>
        <item x="288"/>
        <item x="549"/>
        <item x="550"/>
        <item x="551"/>
        <item x="552"/>
        <item x="553"/>
        <item x="554"/>
        <item x="555"/>
        <item x="13"/>
        <item x="556"/>
        <item x="31"/>
        <item x="307"/>
        <item x="289"/>
        <item x="590"/>
        <item x="591"/>
        <item x="592"/>
        <item x="593"/>
        <item x="638"/>
        <item x="32"/>
        <item x="290"/>
        <item x="69"/>
        <item x="467"/>
        <item x="80"/>
        <item x="354"/>
        <item x="355"/>
        <item x="356"/>
        <item x="357"/>
        <item x="358"/>
        <item x="359"/>
        <item x="360"/>
        <item x="361"/>
        <item x="362"/>
        <item x="363"/>
        <item x="364"/>
        <item x="147"/>
        <item x="101"/>
        <item x="148"/>
        <item x="208"/>
        <item x="469"/>
        <item x="115"/>
        <item x="116"/>
        <item x="117"/>
        <item x="353"/>
        <item x="141"/>
        <item x="149"/>
        <item x="102"/>
        <item x="146"/>
        <item x="96"/>
        <item x="97"/>
        <item x="98"/>
        <item x="99"/>
        <item x="100"/>
        <item x="140"/>
        <item x="192"/>
        <item x="298"/>
        <item x="193"/>
        <item x="462"/>
        <item x="606"/>
        <item x="365"/>
        <item x="484"/>
        <item x="485"/>
        <item x="486"/>
        <item x="14"/>
        <item x="487"/>
        <item x="488"/>
        <item x="21"/>
        <item x="89"/>
        <item x="332"/>
        <item x="333"/>
        <item x="334"/>
        <item x="335"/>
        <item x="336"/>
        <item x="337"/>
        <item x="338"/>
        <item x="339"/>
        <item x="340"/>
        <item x="341"/>
        <item x="342"/>
        <item x="343"/>
        <item x="344"/>
        <item x="345"/>
        <item x="346"/>
        <item x="20"/>
        <item x="347"/>
        <item x="348"/>
        <item x="349"/>
        <item x="44"/>
        <item x="45"/>
        <item x="46"/>
        <item x="47"/>
        <item x="48"/>
        <item x="49"/>
        <item x="50"/>
        <item x="239"/>
        <item x="240"/>
        <item x="241"/>
        <item x="242"/>
        <item x="142"/>
        <item x="309"/>
        <item x="243"/>
        <item x="310"/>
        <item x="15"/>
        <item x="90"/>
        <item x="91"/>
        <item x="92"/>
        <item x="93"/>
        <item x="94"/>
        <item x="350"/>
        <item x="351"/>
        <item x="375"/>
        <item x="376"/>
        <item x="377"/>
        <item x="378"/>
        <item x="352"/>
        <item x="463"/>
        <item x="379"/>
        <item x="95"/>
        <item x="380"/>
        <item x="498"/>
        <item x="499"/>
        <item x="500"/>
        <item x="501"/>
        <item x="502"/>
        <item x="560"/>
        <item x="561"/>
        <item x="562"/>
        <item x="563"/>
        <item x="564"/>
        <item x="565"/>
        <item x="566"/>
        <item x="567"/>
        <item x="568"/>
        <item x="569"/>
        <item x="570"/>
        <item x="571"/>
        <item x="572"/>
        <item x="573"/>
        <item x="574"/>
        <item x="575"/>
        <item x="576"/>
        <item x="381"/>
        <item x="577"/>
        <item x="578"/>
        <item x="579"/>
        <item x="580"/>
        <item x="581"/>
        <item x="582"/>
        <item x="583"/>
        <item x="584"/>
        <item x="585"/>
        <item x="472"/>
        <item x="586"/>
        <item x="636"/>
        <item x="637"/>
        <item x="308"/>
        <item x="460"/>
        <item x="461"/>
        <item x="410"/>
        <item x="411"/>
        <item x="412"/>
        <item x="413"/>
        <item x="414"/>
        <item x="415"/>
        <item x="587"/>
        <item x="303"/>
        <item x="588"/>
        <item x="371"/>
        <item x="589"/>
        <item x="372"/>
        <item x="166"/>
        <item x="470"/>
        <item x="471"/>
        <item x="299"/>
        <item x="300"/>
        <item x="232"/>
        <item x="233"/>
        <item x="234"/>
        <item x="235"/>
        <item x="236"/>
        <item x="237"/>
        <item x="238"/>
        <item x="536"/>
        <item x="537"/>
        <item x="538"/>
        <item x="539"/>
        <item x="540"/>
        <item x="434"/>
        <item x="435"/>
        <item x="229"/>
        <item x="230"/>
        <item x="231"/>
        <item x="511"/>
        <item x="200"/>
        <item x="103"/>
        <item x="104"/>
        <item x="105"/>
        <item x="106"/>
        <item x="167"/>
        <item x="168"/>
        <item x="107"/>
        <item x="416"/>
        <item x="373"/>
        <item x="374"/>
        <item x="169"/>
        <item x="170"/>
        <item x="171"/>
        <item x="301"/>
        <item x="108"/>
        <item x="42"/>
        <item x="0"/>
        <item x="1"/>
        <item x="175"/>
        <item x="558"/>
        <item x="497"/>
        <item x="557"/>
        <item x="559"/>
        <item x="325"/>
        <item x="43"/>
        <item x="544"/>
        <item x="545"/>
        <item x="176"/>
        <item x="177"/>
        <item x="178"/>
        <item x="179"/>
        <item x="326"/>
        <item x="2"/>
        <item x="110"/>
        <item x="111"/>
        <item x="87"/>
        <item x="327"/>
        <item x="328"/>
        <item x="329"/>
        <item x="512"/>
        <item x="513"/>
        <item x="493"/>
        <item x="622"/>
        <item x="623"/>
        <item x="624"/>
        <item x="625"/>
        <item x="626"/>
        <item x="88"/>
        <item x="244"/>
        <item x="81"/>
        <item x="3"/>
        <item x="542"/>
        <item x="543"/>
        <item x="468"/>
        <item x="4"/>
        <item x="74"/>
        <item x="473"/>
        <item x="474"/>
        <item x="292"/>
        <item x="293"/>
        <item x="294"/>
        <item x="75"/>
        <item x="82"/>
        <item x="295"/>
        <item x="296"/>
        <item x="464"/>
        <item x="297"/>
        <item x="639"/>
        <item t="default"/>
      </items>
    </pivotField>
    <pivotField showAll="0"/>
    <pivotField showAll="0"/>
    <pivotField dataField="1" numFmtId="42" showAll="0"/>
    <pivotField numFmtId="166" showAll="0"/>
    <pivotField dataField="1" numFmtId="42" showAll="0"/>
    <pivotField numFmtId="166" showAll="0"/>
    <pivotField numFmtId="42" showAll="0"/>
    <pivotField numFmtId="166" showAll="0"/>
    <pivotField numFmtId="42" showAll="0"/>
    <pivotField numFmtId="166" showAll="0"/>
    <pivotField numFmtId="42" showAll="0"/>
    <pivotField numFmtId="166" showAll="0"/>
    <pivotField numFmtId="42" showAll="0"/>
    <pivotField numFmtId="166" showAll="0"/>
    <pivotField showAll="0"/>
    <pivotField dataField="1" showAll="0"/>
    <pivotField showAll="0"/>
    <pivotField showAll="0"/>
  </pivotFields>
  <rowFields count="1">
    <field x="0"/>
  </rowFields>
  <rowItems count="6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t="grand">
      <x/>
    </i>
  </rowItems>
  <colFields count="1">
    <field x="-2"/>
  </colFields>
  <colItems count="3">
    <i>
      <x/>
    </i>
    <i i="1">
      <x v="1"/>
    </i>
    <i i="2">
      <x v="2"/>
    </i>
  </colItems>
  <dataFields count="3">
    <dataField name="Count of BIPOC Index" fld="16" subtotal="count" baseField="0" baseItem="0"/>
    <dataField name="Sum of CLM $ Collected " fld="3" baseField="0" baseItem="0"/>
    <dataField name="Sum of Incentive Disbursement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61A2DD-42DD-4F92-9C7B-BF179A2E9561}" name="Table3" displayName="Table3" ref="A5:S937" totalsRowShown="0" headerRowDxfId="170" tableBorderDxfId="169">
  <autoFilter ref="A5:S937" xr:uid="{00000000-0009-0000-0100-000003000000}">
    <filterColumn colId="2">
      <filters>
        <filter val="Yes"/>
      </filters>
    </filterColumn>
  </autoFilter>
  <tableColumns count="19">
    <tableColumn id="1" xr3:uid="{00000000-0010-0000-0000-000001000000}" name="Census Tract" dataDxfId="168"/>
    <tableColumn id="2" xr3:uid="{00000000-0010-0000-0000-000002000000}" name="Town" dataDxfId="167"/>
    <tableColumn id="3" xr3:uid="{00000000-0010-0000-0000-000003000000}" name="Distressed Tract1" dataDxfId="166"/>
    <tableColumn id="4" xr3:uid="{00000000-0010-0000-0000-000004000000}" name="CLM $ Collected " dataDxfId="165" dataCellStyle="Currency"/>
    <tableColumn id="5" xr3:uid="{00000000-0010-0000-0000-000005000000}" name="% of Total CLM $ Collected " dataDxfId="164" dataCellStyle="Percent"/>
    <tableColumn id="6" xr3:uid="{00000000-0010-0000-0000-000006000000}" name="Incentive Disbursements" dataDxfId="163" dataCellStyle="Currency"/>
    <tableColumn id="7" xr3:uid="{00000000-0010-0000-0000-000007000000}" name="% of Total Incentive Disbursements" dataDxfId="162" dataCellStyle="Percent"/>
    <tableColumn id="9" xr3:uid="{00000000-0010-0000-0000-000009000000}" name="Residential CLM $ Collected" dataDxfId="161" dataCellStyle="Currency"/>
    <tableColumn id="10" xr3:uid="{00000000-0010-0000-0000-00000A000000}" name="% of Total Residential CLM $ Collected" dataDxfId="160" dataCellStyle="Percent"/>
    <tableColumn id="11" xr3:uid="{00000000-0010-0000-0000-00000B000000}" name="Residential Incentive Disbursements" dataDxfId="159" dataCellStyle="Currency"/>
    <tableColumn id="12" xr3:uid="{00000000-0010-0000-0000-00000C000000}" name="% of Total Residential Incentive Disbursements " dataDxfId="158" dataCellStyle="Percent"/>
    <tableColumn id="14" xr3:uid="{00000000-0010-0000-0000-00000E000000}" name="C&amp;I CLM $ Collected" dataDxfId="157" dataCellStyle="Currency"/>
    <tableColumn id="15" xr3:uid="{00000000-0010-0000-0000-00000F000000}" name="% of Total C&amp;I CLM $ Collected" dataDxfId="156" dataCellStyle="Percent"/>
    <tableColumn id="16" xr3:uid="{00000000-0010-0000-0000-000010000000}" name="C&amp;I Incentive Disbursements" dataDxfId="155" dataCellStyle="Currency"/>
    <tableColumn id="17" xr3:uid="{00000000-0010-0000-0000-000011000000}" name="% of TotalC&amp;I Incentive Disbursements " dataDxfId="154" dataCellStyle="Percent"/>
    <tableColumn id="8" xr3:uid="{24BD6032-BD7C-40E7-A363-64A2386C9F62}" name="Affluence Rank "/>
    <tableColumn id="13" xr3:uid="{30AEA127-371E-4384-9C35-A5D1BE96EC49}" name="BIPOC Index" dataDxfId="153">
      <calculatedColumnFormula>VLOOKUP(Table3[[#This Row],[Census Tract]],'Population and Diversity Data'!$B$2:$K$823,10,FALSE)</calculatedColumnFormula>
    </tableColumn>
    <tableColumn id="19" xr3:uid="{94F62DCD-6287-44B9-9E7A-5D09622A7040}" name="Energy Burdened?" dataDxfId="152">
      <calculatedColumnFormula>VLOOKUP(Table3[[#This Row],[Census Tract]],'ES Energy Burden'!$B$2:$E$914,4,FALSE)</calculatedColumnFormula>
    </tableColumn>
    <tableColumn id="20" xr3:uid="{4936EC74-80C0-4E8E-805E-F047CCED61D0}" name="Ratio of Billed Collects to Incentiv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EF1F16-4360-4AE6-BB31-014BFBF397DA}" name="Table32" displayName="Table32" ref="A5:Q233" totalsRowShown="0" headerRowDxfId="151" headerRowBorderDxfId="150" tableBorderDxfId="149" totalsRowBorderDxfId="148">
  <autoFilter ref="A5:Q233" xr:uid="{00000000-0009-0000-0100-000001000000}"/>
  <tableColumns count="17">
    <tableColumn id="1" xr3:uid="{00000000-0010-0000-0100-000001000000}" name="Census Tract" dataDxfId="147"/>
    <tableColumn id="2" xr3:uid="{00000000-0010-0000-0100-000002000000}" name="Town" dataDxfId="146"/>
    <tableColumn id="3" xr3:uid="{00000000-0010-0000-0100-000003000000}" name="Distressed Tract1" dataDxfId="145"/>
    <tableColumn id="4" xr3:uid="{00000000-0010-0000-0100-000004000000}" name="CLM $ Collected " dataDxfId="144" dataCellStyle="Currency"/>
    <tableColumn id="5" xr3:uid="{00000000-0010-0000-0100-000005000000}" name="% of Total CLM $ Collected " dataDxfId="143" dataCellStyle="Percent"/>
    <tableColumn id="6" xr3:uid="{00000000-0010-0000-0100-000006000000}" name="Incentive Disbursements" dataDxfId="142" dataCellStyle="Currency"/>
    <tableColumn id="7" xr3:uid="{00000000-0010-0000-0100-000007000000}" name="% of Total Incentive Disbursements" dataDxfId="141" dataCellStyle="Percent"/>
    <tableColumn id="9" xr3:uid="{00000000-0010-0000-0100-000009000000}" name="Residential CLM $ Collected" dataDxfId="140" dataCellStyle="Currency"/>
    <tableColumn id="10" xr3:uid="{00000000-0010-0000-0100-00000A000000}" name="% of Total Residential CLM $ Collected" dataDxfId="139" dataCellStyle="Percent"/>
    <tableColumn id="11" xr3:uid="{00000000-0010-0000-0100-00000B000000}" name="Residential Incentive Disbursements" dataDxfId="138" dataCellStyle="Currency"/>
    <tableColumn id="12" xr3:uid="{00000000-0010-0000-0100-00000C000000}" name="% of Total Residential Incentive Disbursements " dataDxfId="137" dataCellStyle="Percent"/>
    <tableColumn id="14" xr3:uid="{00000000-0010-0000-0100-00000E000000}" name="C&amp;I CLM $ Collected" dataDxfId="136" dataCellStyle="Currency"/>
    <tableColumn id="15" xr3:uid="{00000000-0010-0000-0100-00000F000000}" name="% of Total C&amp;I CLM $ Collected" dataDxfId="135" dataCellStyle="Percent"/>
    <tableColumn id="16" xr3:uid="{00000000-0010-0000-0100-000010000000}" name="C&amp;I Incentive Disbursements" dataDxfId="134" dataCellStyle="Currency"/>
    <tableColumn id="17" xr3:uid="{00000000-0010-0000-0100-000011000000}" name="% of TotalC&amp;I Incentive Disbursements " dataDxfId="133" dataCellStyle="Percent"/>
    <tableColumn id="8" xr3:uid="{69A92211-0CF9-4226-B5A4-C279A0989A9D}" name="BIPOC Index" dataDxfId="132">
      <calculatedColumnFormula>VLOOKUP(Table32[[#This Row],[Census Tract]],'Population and Diversity Data'!$B$2:$K$823,10,FALSE)</calculatedColumnFormula>
    </tableColumn>
    <tableColumn id="13" xr3:uid="{989F5790-2B25-42DD-88BF-494EBA225849}" name="Energy Burdened?" dataDxfId="131">
      <calculatedColumnFormula>VLOOKUP(Table32[[#This Row],[Census Tract]],'ES Energy Burden'!$B$2:$E$914,4,FALSE)</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606BC5-53CB-420B-82D1-E1859570CC98}" name="Table323" displayName="Table323" ref="A5:S937" totalsRowShown="0" headerRowDxfId="130" dataDxfId="129" tableBorderDxfId="128">
  <autoFilter ref="A5:S937" xr:uid="{00000000-0009-0000-0100-000002000000}"/>
  <tableColumns count="19">
    <tableColumn id="1" xr3:uid="{00000000-0010-0000-0200-000001000000}" name="Census Tract" dataDxfId="127"/>
    <tableColumn id="2" xr3:uid="{00000000-0010-0000-0200-000002000000}" name="Town" dataDxfId="126"/>
    <tableColumn id="3" xr3:uid="{00000000-0010-0000-0200-000003000000}" name="Distressed Tract1" dataDxfId="125"/>
    <tableColumn id="4" xr3:uid="{00000000-0010-0000-0200-000004000000}" name="CLM $ Collected " dataDxfId="124" dataCellStyle="Currency"/>
    <tableColumn id="6" xr3:uid="{00000000-0010-0000-0200-000006000000}" name="Incentive Disbursements" dataDxfId="123" dataCellStyle="Currency"/>
    <tableColumn id="9" xr3:uid="{00000000-0010-0000-0200-000009000000}" name="Total Units" dataDxfId="122"/>
    <tableColumn id="11" xr3:uid="{00000000-0010-0000-0200-00000B000000}" name="Single Family" dataDxfId="121"/>
    <tableColumn id="10" xr3:uid="{00000000-0010-0000-0200-00000A000000}" name="2-4 Units" dataDxfId="120"/>
    <tableColumn id="8" xr3:uid="{00000000-0010-0000-0200-000008000000}" name="&gt;4 Units" dataDxfId="119"/>
    <tableColumn id="7" xr3:uid="{00000000-0010-0000-0200-000007000000}" name="Incentives" dataDxfId="118" dataCellStyle="Currency"/>
    <tableColumn id="14" xr3:uid="{00000000-0010-0000-0200-00000E000000}" name="Total Units2" dataDxfId="117"/>
    <tableColumn id="15" xr3:uid="{00000000-0010-0000-0200-00000F000000}" name="Single Family " dataDxfId="116"/>
    <tableColumn id="13" xr3:uid="{00000000-0010-0000-0200-00000D000000}" name=" 2-4 Units" dataDxfId="115"/>
    <tableColumn id="12" xr3:uid="{00000000-0010-0000-0200-00000C000000}" name="&gt;4 Units " dataDxfId="114"/>
    <tableColumn id="16" xr3:uid="{00000000-0010-0000-0200-000010000000}" name="Incentives " dataDxfId="113" dataCellStyle="Currency"/>
    <tableColumn id="5" xr3:uid="{88F22D7C-6347-4F90-A656-D560652368D8}" name="BIPOC Index" dataDxfId="112">
      <calculatedColumnFormula>VLOOKUP(Table323[[#This Row],[Census Tract]],'Population and Diversity Data'!$B$2:$K$823,10,FALSE)</calculatedColumnFormula>
    </tableColumn>
    <tableColumn id="17" xr3:uid="{0DB47C55-0C62-46CD-9471-B1E08E6F9EAE}" name="Energy Burdened?" dataDxfId="111">
      <calculatedColumnFormula>VLOOKUP(Table323[[#This Row],[Census Tract]],'ES Energy Burden'!$B$2:$E$914,4,FALSE)</calculatedColumnFormula>
    </tableColumn>
    <tableColumn id="18" xr3:uid="{4EACE034-FBE6-4FDC-BA4A-F0B446AB472E}" name="Household income" dataDxfId="110">
      <calculatedColumnFormula>VLOOKUP(Table323[[#This Row],[Census Tract]],'Income and Housing Data'!$B$2:$D$823,3,FALSE)</calculatedColumnFormula>
    </tableColumn>
    <tableColumn id="19" xr3:uid="{CB015924-69F9-46F6-92B5-EB39A0CAFDA6}" name="Moderately Distressed?" dataDxfId="109">
      <calculatedColumnFormula>IF($U$6&lt;=Table323[[#This Row],[Household income]],IF(Table323[[#This Row],[Household income]]&lt;=$U$7, "Yes","No"),"No")</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89AA1B8-5B6B-4FC8-AEEF-89810B8A3E3A}" name="Table6" displayName="Table6" ref="G2:H239" totalsRowShown="0">
  <autoFilter ref="G2:H239" xr:uid="{289AA1B8-5B6B-4FC8-AEEF-89810B8A3E3A}"/>
  <sortState xmlns:xlrd2="http://schemas.microsoft.com/office/spreadsheetml/2017/richdata2" ref="G3:H239">
    <sortCondition descending="1" ref="H3:H239"/>
  </sortState>
  <tableColumns count="2">
    <tableColumn id="1" xr3:uid="{F0A40715-484B-4232-8705-D2912E110308}" name="Town"/>
    <tableColumn id="2" xr3:uid="{252E8A47-B249-474A-B176-468839C7FD1F}" name="Sum of # Termination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5269DB-6D65-4DFB-B13B-798E7BD30564}" name="Table7" displayName="Table7" ref="A1:V7899" totalsRowCount="1" dataDxfId="108" tableBorderDxfId="107">
  <autoFilter ref="A1:V7898" xr:uid="{DE5269DB-6D65-4DFB-B13B-798E7BD30564}">
    <filterColumn colId="21">
      <filters>
        <filter val="Yes"/>
      </filters>
    </filterColumn>
  </autoFilter>
  <tableColumns count="22">
    <tableColumn id="1" xr3:uid="{9BC2F14D-4149-4307-956E-3984CA4DCFE8}" name="ClosedDate" dataDxfId="106" totalsRowDxfId="105"/>
    <tableColumn id="2" xr3:uid="{4939E5AD-F80F-4959-A86F-F623B3B3913E}" name="CYClosed" dataDxfId="104" totalsRowDxfId="103"/>
    <tableColumn id="3" xr3:uid="{F42DCA13-4A7A-444C-9E31-B983A8F3E948}" name="FYClosed" dataDxfId="102" totalsRowDxfId="101"/>
    <tableColumn id="4" xr3:uid="{A7F4CD8F-DE0A-4145-A894-C30E66F4FA46}" name="ProjectCounter" dataDxfId="100" totalsRowDxfId="99"/>
    <tableColumn id="5" xr3:uid="{E7B58601-9B22-40C9-804D-982BC4F7C1CC}" name="ProjectUnitCounter" dataDxfId="98" totalsRowDxfId="97"/>
    <tableColumn id="6" xr3:uid="{F0CE3C57-0D23-42BA-992F-1E0311B42BDA}" name="Duplicate" dataDxfId="96" totalsRowDxfId="95"/>
    <tableColumn id="7" xr3:uid="{85DC56F0-77EA-485A-8309-8FD4E967FC07}" name="Status" dataDxfId="94" totalsRowDxfId="93"/>
    <tableColumn id="8" xr3:uid="{7C2591E5-90B3-4323-B4A5-01535A910D9F}" name="ProjectCode" dataDxfId="92" totalsRowDxfId="91"/>
    <tableColumn id="9" xr3:uid="{4608893A-E48E-4376-BE5F-B2160700336A}" name="Municipality" dataDxfId="90" totalsRowDxfId="89"/>
    <tableColumn id="10" xr3:uid="{CD6DC42C-3931-40D7-8184-B1AB9CA5810E}" name="State" dataDxfId="88" totalsRowDxfId="87"/>
    <tableColumn id="11" xr3:uid="{DCA41924-CD60-4504-A75B-73896921C4AC}" name="Zip" dataDxfId="86" totalsRowDxfId="85"/>
    <tableColumn id="12" xr3:uid="{3863497B-1399-4C49-B121-39D028ED1A65}" name="CensusTract" dataDxfId="84" totalsRowDxfId="83"/>
    <tableColumn id="13" xr3:uid="{6109770B-1F1A-4840-B1E8-5D5979C0DB93}" name="Vintage MSA SMI Band" dataDxfId="82" totalsRowDxfId="81"/>
    <tableColumn id="14" xr3:uid="{005A3400-32E5-43E5-BC10-F78E72D05E67}" name="AmountFinanced" dataDxfId="80" totalsRowDxfId="79"/>
    <tableColumn id="15" xr3:uid="{89C13371-C756-4BC6-9064-2B2A5109F91A}" name="CGBIncentiveAmount2" totalsRowFunction="custom" dataDxfId="78" totalsRowDxfId="77">
      <totalsRowFormula>SUM(Table7[CGBIncentiveAmount2])</totalsRowFormula>
    </tableColumn>
    <tableColumn id="16" xr3:uid="{40BB1E2A-7B89-4245-A6D6-D66B8574CB67}" name="TotalCGBCreditEnhancements" dataDxfId="76" totalsRowDxfId="75"/>
    <tableColumn id="17" xr3:uid="{EE2AB3E2-959F-46A2-BD3B-A1FED60E3B11}" name="TotalCGBLoansLeases" dataDxfId="74" totalsRowDxfId="73"/>
    <tableColumn id="18" xr3:uid="{ADE75357-B4BF-49F5-B1C5-7A8BD9C97B18}" name="TotalCGBInvestment2" dataDxfId="72" totalsRowDxfId="71"/>
    <tableColumn id="19" xr3:uid="{9F987E9C-4CB0-4A29-99CE-6B53B8744F61}" name="TotalPrivateInvestment2" dataDxfId="70" totalsRowDxfId="69"/>
    <tableColumn id="20" xr3:uid="{B60C4A77-A49E-4F9D-8D17-529A7137E447}" name="TotalInvestment2" dataDxfId="68" totalsRowDxfId="67"/>
    <tableColumn id="21" xr3:uid="{48FB2AAB-EC0D-4654-B6CC-83731389B995}" name="ProgramName" dataDxfId="66" totalsRowDxfId="65"/>
    <tableColumn id="22" xr3:uid="{F754536F-CF49-49C6-A9ED-057762CC9781}" name="Distressed Tract?" dataDxfId="64" totalsRowDxfId="6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B3D1267-7D36-4E25-8814-591BB8C0BA6A}" name="Table8" displayName="Table8" ref="A5:U423" totalsRowShown="0" headerRowDxfId="62">
  <autoFilter ref="A5:U423" xr:uid="{DB3D1267-7D36-4E25-8814-591BB8C0BA6A}"/>
  <tableColumns count="21">
    <tableColumn id="1" xr3:uid="{16783C68-A2C6-41AC-A1A7-D33A4A4F8614}" name="Census Tract" dataDxfId="61"/>
    <tableColumn id="2" xr3:uid="{6D311D33-E99C-4CC9-B440-2174BA106B94}" name="Town" dataDxfId="60"/>
    <tableColumn id="3" xr3:uid="{538A8AC7-8AF1-4658-BB1B-755E4407DE57}" name="Distressed Tract1" dataDxfId="59"/>
    <tableColumn id="4" xr3:uid="{2E6AEFDD-817D-432E-9376-3B9655676006}" name="CLM $ Collected " dataDxfId="58" dataCellStyle="Currency"/>
    <tableColumn id="5" xr3:uid="{735279B8-9D05-4367-A2EC-30EF1055F137}" name="% of Total CLM $ Collected " dataDxfId="57" dataCellStyle="Percent"/>
    <tableColumn id="6" xr3:uid="{2EBBF949-E256-42CF-8B9E-6E2B222D84FF}" name="Incentive Disbursements" dataDxfId="56" dataCellStyle="Currency"/>
    <tableColumn id="7" xr3:uid="{4E6D7BAE-44ED-403F-8F0C-E4792B8C5812}" name="% of Total Incentive Disbursements" dataDxfId="55" dataCellStyle="Percent"/>
    <tableColumn id="8" xr3:uid="{8ADA940D-2A9E-4B3C-A032-0C3DF7FBF9B1}" name="Column1" dataDxfId="54" dataCellStyle="Percent"/>
    <tableColumn id="9" xr3:uid="{787AF6A4-74EF-429E-B054-C109C8FF874C}" name="Equitable" dataDxfId="53" dataCellStyle="Percent">
      <calculatedColumnFormula>IF(ROUND(E6,5)&lt;0.00001,"N/A",IF(ROUND(E6,5)&lt;=ROUND(G6,5),"YES","NO"))</calculatedColumnFormula>
    </tableColumn>
    <tableColumn id="10" xr3:uid="{D5AEAE98-B238-4570-8FE4-49AA7EDA63C4}" name="Residential CLM $ Collected" dataDxfId="52" dataCellStyle="Currency"/>
    <tableColumn id="11" xr3:uid="{EC476A00-77A5-44BC-8FE7-6D04AA44F28C}" name="% of Total Residential CLM $ Collected" dataDxfId="51" dataCellStyle="Percent"/>
    <tableColumn id="12" xr3:uid="{9D49823E-1C9F-4EC8-B010-2FEBC8550869}" name="Residential Incentive Disbursements" dataDxfId="50" dataCellStyle="Currency"/>
    <tableColumn id="13" xr3:uid="{1A5B8F52-8051-4B1A-8F2F-653E22F21D75}" name="% of Total Residential Incentive Disbursements " dataDxfId="49" dataCellStyle="Percent"/>
    <tableColumn id="14" xr3:uid="{4C57F4FD-402B-4DA3-AC32-C59A63C5408C}" name="Equitable 2" dataDxfId="48" dataCellStyle="Percent">
      <calculatedColumnFormula>IF(ROUND(K6,5)&lt;0.00001,"N/A",IF(ROUND(K6,5)&lt;=ROUND(M6,5),"YES","NO"))</calculatedColumnFormula>
    </tableColumn>
    <tableColumn id="15" xr3:uid="{E5296E05-A26F-44F3-AFC5-37121C095828}" name="C&amp;I CLM $ Collected" dataDxfId="47" dataCellStyle="Currency"/>
    <tableColumn id="16" xr3:uid="{3FFAEBC8-56B8-4E47-88EB-6C06FC8399A4}" name="% of Total C&amp;I CLM $ Collected" dataDxfId="46" dataCellStyle="Percent"/>
    <tableColumn id="17" xr3:uid="{871D52AA-4DF2-4E90-819D-AFA127F4CEC9}" name="C&amp;I Incentive Disbursements" dataDxfId="45" dataCellStyle="Currency"/>
    <tableColumn id="18" xr3:uid="{34D83DF6-3E9C-4AD7-B033-54C336E45763}" name="% of TotalC&amp;I Incentive Disbursements " dataDxfId="44" dataCellStyle="Percent"/>
    <tableColumn id="19" xr3:uid="{1FD71713-B2CF-465A-BFE3-1353A8AC3ACE}" name="Equitable 3">
      <calculatedColumnFormula>IF(ROUND(P6,5)&lt;0.00001,"N/A",IF(ROUND(P6,5)&lt;=ROUND(R6,5),"YES","NO"))</calculatedColumnFormula>
    </tableColumn>
    <tableColumn id="20" xr3:uid="{DDA5A4C8-593B-4D5F-BDCB-92B5143F9FEB}" name="Energy Burdened?" dataDxfId="43">
      <calculatedColumnFormula>VLOOKUP(Table8[[#This Row],[Census Tract]],'UI EnergyBurden'!$A$2:$B$184,2,FALSE)</calculatedColumnFormula>
    </tableColumn>
    <tableColumn id="21" xr3:uid="{1BCCE729-5223-4F71-AF3B-60F2132629A0}" name="BIPOC Index" dataDxfId="42">
      <calculatedColumnFormula>VLOOKUP(Table8[[#This Row],[Census Tract]],'Population and Diversity Data'!$B$2:$K$823,10,FALSE)</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152965-8A05-4523-8BEE-546592905F2D}" name="Table325" displayName="Table325" ref="A5:R210" totalsRowShown="0" headerRowDxfId="41" tableBorderDxfId="40">
  <autoFilter ref="A5:R210" xr:uid="{BC152965-8A05-4523-8BEE-546592905F2D}"/>
  <tableColumns count="18">
    <tableColumn id="1" xr3:uid="{75E7DB33-B880-4804-9C4C-3452376F7527}" name="Census Tract" dataDxfId="39"/>
    <tableColumn id="2" xr3:uid="{B9DD0282-C791-4ED9-AF88-070D566FF4F3}" name="Town" dataDxfId="38"/>
    <tableColumn id="3" xr3:uid="{266DDBAA-CD7F-4D5E-B726-DD70563F7642}" name="Distressed Tract1" dataDxfId="37"/>
    <tableColumn id="4" xr3:uid="{5874DF3B-F882-460C-80FB-8B10A077F9C9}" name="CLM $ Collected " dataDxfId="36" dataCellStyle="Currency">
      <calculatedColumnFormula>SUM(Table325[[#This Row],[CLM $ Collected ]:[% of Total CLM $ Collected ]])</calculatedColumnFormula>
    </tableColumn>
    <tableColumn id="5" xr3:uid="{E394A0A5-817F-492B-8A00-DFCB161A15F1}" name="% of Total CLM $ Collected " dataDxfId="35" dataCellStyle="Percent"/>
    <tableColumn id="6" xr3:uid="{F8B3B6C8-553C-4FE9-A806-77C1AE2EF3F2}" name="Incentive Disbursements" dataDxfId="34" dataCellStyle="Currency">
      <calculatedColumnFormula>SUM(Table325[[#This Row],[CLM $ Collected ]:[% of Total CLM $ Collected ]])</calculatedColumnFormula>
    </tableColumn>
    <tableColumn id="7" xr3:uid="{BB286C1F-BD79-4F36-BADB-F839842863B1}" name="% of Total Incentive Disbursements" dataDxfId="33" dataCellStyle="Percent"/>
    <tableColumn id="8" xr3:uid="{D8F24445-C233-4D52-A1F8-1BF37B61C56A}" name="Equitable" dataDxfId="32" dataCellStyle="Percent">
      <calculatedColumnFormula>IF(ROUND(E6,5)&lt;0.00001,"N/A",IF(ROUND(E6,5)&lt;=ROUND(G6,5),"YES","NO"))</calculatedColumnFormula>
    </tableColumn>
    <tableColumn id="9" xr3:uid="{08D5FEE0-9E94-41C7-8D3B-7ED1E620C018}" name="Residential CLM $ Collected" dataDxfId="31"/>
    <tableColumn id="10" xr3:uid="{FF64FEBC-85F5-4B2B-AECA-B6A931685DAF}" name="% of Total Residential CLM $ Collected" dataDxfId="30" dataCellStyle="Percent"/>
    <tableColumn id="11" xr3:uid="{87C5D8A7-381E-4785-A427-AE5A311291D1}" name="Residential Incentive Disbursements" dataDxfId="29"/>
    <tableColumn id="12" xr3:uid="{57F0634F-2A8A-44C9-B646-8BC38C544048}" name="% of Total Residential Incentive Disbursements " dataDxfId="28" dataCellStyle="Percent"/>
    <tableColumn id="14" xr3:uid="{F302065B-D069-4A20-8A24-8243597307D2}" name="C&amp;I CLM $ Collected" dataDxfId="27"/>
    <tableColumn id="15" xr3:uid="{CCB275E5-FED9-465E-B502-C92A891B638C}" name="% of Total C&amp;I CLM $ Collected" dataDxfId="26"/>
    <tableColumn id="16" xr3:uid="{CDBCC9B3-716F-40F6-8769-567DF002DC28}" name="C&amp;I Incentive Disbursements" dataDxfId="25"/>
    <tableColumn id="17" xr3:uid="{2E83B318-1F53-4178-87E1-04FC14664A81}" name="% of TotalC&amp;I Incentive Disbursements " dataDxfId="24"/>
    <tableColumn id="13" xr3:uid="{D98F478D-0D8C-4AA1-9F70-801F70263C5D}" name="Energy Burdened?" dataDxfId="23">
      <calculatedColumnFormula>VLOOKUP(Table325[[#This Row],[Census Tract]],'UI EnergyBurden'!$A$2:$B$184,2,FALSE)</calculatedColumnFormula>
    </tableColumn>
    <tableColumn id="18" xr3:uid="{9DF84FC9-C819-4BFA-BA74-043F820CB3B7}" name="BIPOC Index" dataDxfId="22">
      <calculatedColumnFormula>VLOOKUP(Table325[[#This Row],[Census Tract]],'Population and Diversity Data'!B2:K823,10,FALSE)</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E5F2D5B-B9AB-4EFD-BC56-49753B842591}" name="Table3236" displayName="Table3236" ref="A6:S419" totalsRowShown="0" headerRowDxfId="21" dataDxfId="20" tableBorderDxfId="19">
  <autoFilter ref="A6:S419" xr:uid="{3E5F2D5B-B9AB-4EFD-BC56-49753B842591}"/>
  <tableColumns count="19">
    <tableColumn id="1" xr3:uid="{38C5908B-798C-47B6-9794-C26D59D1B695}" name="Census Tract" dataDxfId="18"/>
    <tableColumn id="2" xr3:uid="{FF126B5A-6FBF-4CEB-B418-FCE6C826AE8A}" name="Town" dataDxfId="17"/>
    <tableColumn id="3" xr3:uid="{BDF2EB0A-4E92-4A2D-97CB-25F115795864}" name="Distressed Tract1" dataDxfId="16"/>
    <tableColumn id="4" xr3:uid="{FF7AF1C5-359F-4165-87C2-192135B55DD4}" name="CLM $ Collected " dataDxfId="15" dataCellStyle="Currency"/>
    <tableColumn id="6" xr3:uid="{6CD8D830-C779-41AD-8841-4B8F813AD3EE}" name="Incentive Disbursements" dataDxfId="14" dataCellStyle="Currency"/>
    <tableColumn id="9" xr3:uid="{5E1BF494-66C3-4570-B7B2-A4B6A62A57C5}" name="Total Units" dataDxfId="13">
      <calculatedColumnFormula>Table3236[[#This Row],[Single Family]]+Table3236[[#This Row],[2-4 Units]]+Table3236[[#This Row],[&gt;4 Units]]</calculatedColumnFormula>
    </tableColumn>
    <tableColumn id="11" xr3:uid="{B039E268-1A43-41DA-85D0-99A6C9352187}" name="Single Family" dataDxfId="12"/>
    <tableColumn id="10" xr3:uid="{2C73E01B-F2C9-4005-BED0-64D5B19D4C7E}" name="2-4 Units" dataDxfId="11"/>
    <tableColumn id="8" xr3:uid="{984B75B1-2B4A-4797-B7DD-774FFD0644F6}" name="&gt;4 Units" dataDxfId="10"/>
    <tableColumn id="7" xr3:uid="{3EE66E34-C762-4EC0-BBB1-06A468B4FD35}" name="Incentives" dataDxfId="9"/>
    <tableColumn id="14" xr3:uid="{A0A57275-220A-4717-A976-CD3C47FB374C}" name="Total Units2" dataDxfId="8">
      <calculatedColumnFormula>SUM(Table3236[[#This Row],[Single Family ]:[&gt;4 Units ]])</calculatedColumnFormula>
    </tableColumn>
    <tableColumn id="15" xr3:uid="{5B9877B1-F396-42CA-B015-B621D2961AED}" name="Single Family " dataDxfId="7"/>
    <tableColumn id="13" xr3:uid="{9226CD69-182E-4B96-9D7F-B65360414C74}" name="2-4 Units2" dataDxfId="6"/>
    <tableColumn id="12" xr3:uid="{3A9A6207-C71F-4F10-95BE-928A54D78874}" name="&gt;4 Units " dataDxfId="5"/>
    <tableColumn id="16" xr3:uid="{37EB8EF8-6431-433A-9270-F59782F48F26}" name="Incentives " dataDxfId="4"/>
    <tableColumn id="5" xr3:uid="{0461BC2D-C0BC-43DD-8271-EB0CB70DA7BF}" name="BIPOC Index" dataDxfId="3">
      <calculatedColumnFormula>VLOOKUP(Table3236[[#This Row],[Census Tract]],'Population and Diversity Data'!$B$2:$K$823,10,FALSE)</calculatedColumnFormula>
    </tableColumn>
    <tableColumn id="17" xr3:uid="{250F8E9E-2CB3-4033-AF61-8528E42F2352}" name="Energy Burdened?" dataDxfId="2">
      <calculatedColumnFormula>VLOOKUP(Table3236[[#This Row],[Census Tract]],'UI EnergyBurden'!$A$2:$B$184,2,FALSE)</calculatedColumnFormula>
    </tableColumn>
    <tableColumn id="18" xr3:uid="{BE324940-5972-400C-81EA-FDCC0E7B3DBC}" name="Household Income" dataDxfId="1">
      <calculatedColumnFormula>VLOOKUP(Table3236[[#This Row],[Census Tract]],'Income and Housing Data'!$B$2:$D$823,3,FALSE)</calculatedColumnFormula>
    </tableColumn>
    <tableColumn id="19" xr3:uid="{76BD9899-7936-4D02-A7AF-71BE999D1F94}" name="Moderately Distressed?" dataDxfId="0">
      <calculatedColumnFormula>IF($U$7&lt;=Table3236[[#This Row],[Household Income]],IF(Table3236[[#This Row],[Household Income]]&lt;=$U$8, "Yes","No"),"No")</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ers.usda.gov/data-products/rural-urban-commuting-area-codes/" TargetMode="Externa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J871"/>
  <sheetViews>
    <sheetView workbookViewId="0">
      <selection activeCell="H8" sqref="H8"/>
    </sheetView>
  </sheetViews>
  <sheetFormatPr defaultRowHeight="15" x14ac:dyDescent="0.25"/>
  <cols>
    <col min="1" max="1" width="25" style="1" customWidth="1"/>
    <col min="2" max="2" width="80" style="1" customWidth="1"/>
    <col min="3" max="3" width="20" customWidth="1"/>
  </cols>
  <sheetData>
    <row r="1" spans="1:10" ht="60" customHeight="1" x14ac:dyDescent="0.25">
      <c r="A1" s="290" t="s">
        <v>0</v>
      </c>
      <c r="B1" s="290"/>
      <c r="C1" s="2"/>
    </row>
    <row r="2" spans="1:10" x14ac:dyDescent="0.25">
      <c r="A2" s="289"/>
      <c r="B2" s="289"/>
      <c r="C2" s="289"/>
    </row>
    <row r="3" spans="1:10" x14ac:dyDescent="0.25">
      <c r="A3" s="291" t="s">
        <v>1</v>
      </c>
      <c r="B3" s="291"/>
      <c r="C3" s="291"/>
      <c r="G3" t="s">
        <v>2</v>
      </c>
    </row>
    <row r="4" spans="1:10" x14ac:dyDescent="0.25">
      <c r="A4" s="289"/>
      <c r="B4" s="289"/>
      <c r="C4" s="289"/>
      <c r="G4" s="10" t="s">
        <v>3</v>
      </c>
      <c r="H4" s="9" t="s">
        <v>4</v>
      </c>
      <c r="I4" s="9"/>
      <c r="J4" s="9"/>
    </row>
    <row r="5" spans="1:10" ht="15.95" customHeight="1" x14ac:dyDescent="0.25">
      <c r="A5" s="3" t="s">
        <v>5</v>
      </c>
      <c r="B5" s="289" t="s">
        <v>6</v>
      </c>
      <c r="C5" s="289"/>
      <c r="G5" s="11" t="s">
        <v>7</v>
      </c>
      <c r="H5" s="9" t="s">
        <v>8</v>
      </c>
      <c r="I5" s="9"/>
      <c r="J5" s="9"/>
    </row>
    <row r="6" spans="1:10" ht="15.95" customHeight="1" x14ac:dyDescent="0.25">
      <c r="A6" s="199" t="s">
        <v>9</v>
      </c>
      <c r="B6" s="289" t="s">
        <v>3</v>
      </c>
      <c r="C6" s="289"/>
      <c r="G6" s="6" t="s">
        <v>10</v>
      </c>
      <c r="H6" t="s">
        <v>11</v>
      </c>
    </row>
    <row r="7" spans="1:10" ht="15.95" customHeight="1" x14ac:dyDescent="0.25">
      <c r="A7" s="199" t="s">
        <v>12</v>
      </c>
      <c r="B7" s="289" t="s">
        <v>13</v>
      </c>
      <c r="C7" s="289"/>
      <c r="H7" t="s">
        <v>14</v>
      </c>
    </row>
    <row r="8" spans="1:10" ht="15.95" customHeight="1" x14ac:dyDescent="0.25">
      <c r="A8" s="199" t="s">
        <v>15</v>
      </c>
      <c r="B8" s="289" t="s">
        <v>16</v>
      </c>
      <c r="C8" s="289"/>
      <c r="H8" t="s">
        <v>17</v>
      </c>
    </row>
    <row r="9" spans="1:10" ht="15.95" customHeight="1" x14ac:dyDescent="0.25">
      <c r="A9" s="199" t="s">
        <v>18</v>
      </c>
      <c r="B9" s="289" t="s">
        <v>19</v>
      </c>
      <c r="C9" s="289"/>
    </row>
    <row r="10" spans="1:10" ht="15.95" customHeight="1" x14ac:dyDescent="0.25">
      <c r="A10" s="199" t="s">
        <v>20</v>
      </c>
      <c r="B10" s="289" t="s">
        <v>21</v>
      </c>
      <c r="C10" s="289"/>
    </row>
    <row r="11" spans="1:10" ht="15.95" customHeight="1" x14ac:dyDescent="0.25">
      <c r="A11" s="199" t="s">
        <v>22</v>
      </c>
      <c r="B11" s="289" t="s">
        <v>23</v>
      </c>
      <c r="C11" s="289"/>
    </row>
    <row r="12" spans="1:10" ht="15.95" customHeight="1" x14ac:dyDescent="0.25">
      <c r="A12" s="199" t="s">
        <v>24</v>
      </c>
      <c r="B12" s="289" t="s">
        <v>25</v>
      </c>
      <c r="C12" s="289"/>
    </row>
    <row r="13" spans="1:10" ht="15.95" customHeight="1" x14ac:dyDescent="0.25">
      <c r="A13" s="199" t="s">
        <v>26</v>
      </c>
      <c r="B13" s="289" t="s">
        <v>27</v>
      </c>
      <c r="C13" s="289"/>
    </row>
    <row r="14" spans="1:10" x14ac:dyDescent="0.25">
      <c r="A14" s="289"/>
      <c r="B14" s="289"/>
      <c r="C14" s="289"/>
    </row>
    <row r="15" spans="1:10" ht="15.95" customHeight="1" x14ac:dyDescent="0.25">
      <c r="A15" s="3" t="s">
        <v>28</v>
      </c>
      <c r="B15" s="289" t="s">
        <v>6</v>
      </c>
      <c r="C15" s="289"/>
    </row>
    <row r="16" spans="1:10" ht="15.95" customHeight="1" x14ac:dyDescent="0.25">
      <c r="A16" s="199" t="s">
        <v>29</v>
      </c>
      <c r="B16" s="289" t="s">
        <v>30</v>
      </c>
      <c r="C16" s="289"/>
    </row>
    <row r="17" spans="1:3" ht="32.1" customHeight="1" x14ac:dyDescent="0.25">
      <c r="A17" s="199" t="s">
        <v>31</v>
      </c>
      <c r="B17" s="289" t="s">
        <v>32</v>
      </c>
      <c r="C17" s="289"/>
    </row>
    <row r="18" spans="1:3" x14ac:dyDescent="0.25">
      <c r="A18" s="289"/>
      <c r="B18" s="289"/>
      <c r="C18" s="289"/>
    </row>
    <row r="19" spans="1:3" ht="32.1" customHeight="1" x14ac:dyDescent="0.25">
      <c r="A19" s="3" t="s">
        <v>33</v>
      </c>
      <c r="B19" s="289" t="s">
        <v>34</v>
      </c>
      <c r="C19" s="289"/>
    </row>
    <row r="20" spans="1:3" ht="32.1" customHeight="1" x14ac:dyDescent="0.25">
      <c r="A20" s="199" t="s">
        <v>6</v>
      </c>
      <c r="B20" s="289" t="s">
        <v>35</v>
      </c>
      <c r="C20" s="289"/>
    </row>
    <row r="21" spans="1:3" ht="32.1" customHeight="1" x14ac:dyDescent="0.25">
      <c r="A21" s="199" t="s">
        <v>6</v>
      </c>
      <c r="B21" s="289" t="s">
        <v>36</v>
      </c>
      <c r="C21" s="289"/>
    </row>
    <row r="22" spans="1:3" ht="32.1" customHeight="1" x14ac:dyDescent="0.25">
      <c r="A22" s="199" t="s">
        <v>6</v>
      </c>
      <c r="B22" s="289" t="s">
        <v>37</v>
      </c>
      <c r="C22" s="289"/>
    </row>
    <row r="23" spans="1:3" ht="32.1" customHeight="1" x14ac:dyDescent="0.25">
      <c r="A23" s="199" t="s">
        <v>6</v>
      </c>
      <c r="B23" s="289" t="s">
        <v>38</v>
      </c>
      <c r="C23" s="289"/>
    </row>
    <row r="24" spans="1:3" ht="32.1" customHeight="1" x14ac:dyDescent="0.25">
      <c r="A24" s="199" t="s">
        <v>6</v>
      </c>
      <c r="B24" s="289" t="s">
        <v>39</v>
      </c>
      <c r="C24" s="289"/>
    </row>
    <row r="25" spans="1:3" ht="32.1" customHeight="1" x14ac:dyDescent="0.25">
      <c r="A25" s="199" t="s">
        <v>6</v>
      </c>
      <c r="B25" s="289" t="s">
        <v>40</v>
      </c>
      <c r="C25" s="289"/>
    </row>
    <row r="26" spans="1:3" ht="32.1" customHeight="1" x14ac:dyDescent="0.25">
      <c r="A26" s="199" t="s">
        <v>6</v>
      </c>
      <c r="B26" s="289" t="s">
        <v>41</v>
      </c>
      <c r="C26" s="289"/>
    </row>
    <row r="27" spans="1:3" ht="32.1" customHeight="1" x14ac:dyDescent="0.25">
      <c r="A27" s="199" t="s">
        <v>6</v>
      </c>
      <c r="B27" s="289" t="s">
        <v>42</v>
      </c>
      <c r="C27" s="289"/>
    </row>
    <row r="28" spans="1:3" ht="32.1" customHeight="1" x14ac:dyDescent="0.25">
      <c r="A28" s="199" t="s">
        <v>6</v>
      </c>
      <c r="B28" s="289" t="s">
        <v>43</v>
      </c>
      <c r="C28" s="289"/>
    </row>
    <row r="29" spans="1:3" ht="32.1" customHeight="1" x14ac:dyDescent="0.25">
      <c r="A29" s="199" t="s">
        <v>6</v>
      </c>
      <c r="B29" s="289" t="s">
        <v>44</v>
      </c>
      <c r="C29" s="289"/>
    </row>
    <row r="30" spans="1:3" ht="32.1" customHeight="1" x14ac:dyDescent="0.25">
      <c r="A30" s="199" t="s">
        <v>6</v>
      </c>
      <c r="B30" s="289" t="s">
        <v>45</v>
      </c>
      <c r="C30" s="289"/>
    </row>
    <row r="31" spans="1:3" ht="32.1" customHeight="1" x14ac:dyDescent="0.25">
      <c r="A31" s="199" t="s">
        <v>6</v>
      </c>
      <c r="B31" s="289" t="s">
        <v>46</v>
      </c>
      <c r="C31" s="289"/>
    </row>
    <row r="32" spans="1:3" ht="32.1" customHeight="1" x14ac:dyDescent="0.25">
      <c r="A32" s="199" t="s">
        <v>6</v>
      </c>
      <c r="B32" s="289" t="s">
        <v>47</v>
      </c>
      <c r="C32" s="289"/>
    </row>
    <row r="33" spans="1:3" ht="32.1" customHeight="1" x14ac:dyDescent="0.25">
      <c r="A33" s="199" t="s">
        <v>6</v>
      </c>
      <c r="B33" s="289" t="s">
        <v>48</v>
      </c>
      <c r="C33" s="289"/>
    </row>
    <row r="34" spans="1:3" ht="32.1" customHeight="1" x14ac:dyDescent="0.25">
      <c r="A34" s="199" t="s">
        <v>6</v>
      </c>
      <c r="B34" s="289" t="s">
        <v>49</v>
      </c>
      <c r="C34" s="289"/>
    </row>
    <row r="35" spans="1:3" ht="32.1" customHeight="1" x14ac:dyDescent="0.25">
      <c r="A35" s="199" t="s">
        <v>6</v>
      </c>
      <c r="B35" s="289" t="s">
        <v>50</v>
      </c>
      <c r="C35" s="289"/>
    </row>
    <row r="36" spans="1:3" ht="32.1" customHeight="1" x14ac:dyDescent="0.25">
      <c r="A36" s="199" t="s">
        <v>6</v>
      </c>
      <c r="B36" s="289" t="s">
        <v>51</v>
      </c>
      <c r="C36" s="289"/>
    </row>
    <row r="37" spans="1:3" ht="32.1" customHeight="1" x14ac:dyDescent="0.25">
      <c r="A37" s="199" t="s">
        <v>6</v>
      </c>
      <c r="B37" s="289" t="s">
        <v>52</v>
      </c>
      <c r="C37" s="289"/>
    </row>
    <row r="38" spans="1:3" ht="32.1" customHeight="1" x14ac:dyDescent="0.25">
      <c r="A38" s="199" t="s">
        <v>6</v>
      </c>
      <c r="B38" s="289" t="s">
        <v>53</v>
      </c>
      <c r="C38" s="289"/>
    </row>
    <row r="39" spans="1:3" ht="32.1" customHeight="1" x14ac:dyDescent="0.25">
      <c r="A39" s="199" t="s">
        <v>6</v>
      </c>
      <c r="B39" s="289" t="s">
        <v>54</v>
      </c>
      <c r="C39" s="289"/>
    </row>
    <row r="40" spans="1:3" ht="32.1" customHeight="1" x14ac:dyDescent="0.25">
      <c r="A40" s="199" t="s">
        <v>6</v>
      </c>
      <c r="B40" s="289" t="s">
        <v>55</v>
      </c>
      <c r="C40" s="289"/>
    </row>
    <row r="41" spans="1:3" ht="32.1" customHeight="1" x14ac:dyDescent="0.25">
      <c r="A41" s="199" t="s">
        <v>6</v>
      </c>
      <c r="B41" s="289" t="s">
        <v>56</v>
      </c>
      <c r="C41" s="289"/>
    </row>
    <row r="42" spans="1:3" ht="32.1" customHeight="1" x14ac:dyDescent="0.25">
      <c r="A42" s="199" t="s">
        <v>6</v>
      </c>
      <c r="B42" s="289" t="s">
        <v>57</v>
      </c>
      <c r="C42" s="289"/>
    </row>
    <row r="43" spans="1:3" ht="32.1" customHeight="1" x14ac:dyDescent="0.25">
      <c r="A43" s="199" t="s">
        <v>6</v>
      </c>
      <c r="B43" s="289" t="s">
        <v>58</v>
      </c>
      <c r="C43" s="289"/>
    </row>
    <row r="44" spans="1:3" ht="32.1" customHeight="1" x14ac:dyDescent="0.25">
      <c r="A44" s="199" t="s">
        <v>6</v>
      </c>
      <c r="B44" s="289" t="s">
        <v>59</v>
      </c>
      <c r="C44" s="289"/>
    </row>
    <row r="45" spans="1:3" ht="32.1" customHeight="1" x14ac:dyDescent="0.25">
      <c r="A45" s="199" t="s">
        <v>6</v>
      </c>
      <c r="B45" s="289" t="s">
        <v>60</v>
      </c>
      <c r="C45" s="289"/>
    </row>
    <row r="46" spans="1:3" ht="32.1" customHeight="1" x14ac:dyDescent="0.25">
      <c r="A46" s="199" t="s">
        <v>6</v>
      </c>
      <c r="B46" s="289" t="s">
        <v>61</v>
      </c>
      <c r="C46" s="289"/>
    </row>
    <row r="47" spans="1:3" ht="32.1" customHeight="1" x14ac:dyDescent="0.25">
      <c r="A47" s="199" t="s">
        <v>6</v>
      </c>
      <c r="B47" s="289" t="s">
        <v>62</v>
      </c>
      <c r="C47" s="289"/>
    </row>
    <row r="48" spans="1:3" ht="32.1" customHeight="1" x14ac:dyDescent="0.25">
      <c r="A48" s="199" t="s">
        <v>6</v>
      </c>
      <c r="B48" s="289" t="s">
        <v>63</v>
      </c>
      <c r="C48" s="289"/>
    </row>
    <row r="49" spans="1:3" ht="32.1" customHeight="1" x14ac:dyDescent="0.25">
      <c r="A49" s="199" t="s">
        <v>6</v>
      </c>
      <c r="B49" s="289" t="s">
        <v>64</v>
      </c>
      <c r="C49" s="289"/>
    </row>
    <row r="50" spans="1:3" ht="32.1" customHeight="1" x14ac:dyDescent="0.25">
      <c r="A50" s="199" t="s">
        <v>6</v>
      </c>
      <c r="B50" s="289" t="s">
        <v>65</v>
      </c>
      <c r="C50" s="289"/>
    </row>
    <row r="51" spans="1:3" ht="32.1" customHeight="1" x14ac:dyDescent="0.25">
      <c r="A51" s="199" t="s">
        <v>6</v>
      </c>
      <c r="B51" s="289" t="s">
        <v>66</v>
      </c>
      <c r="C51" s="289"/>
    </row>
    <row r="52" spans="1:3" ht="32.1" customHeight="1" x14ac:dyDescent="0.25">
      <c r="A52" s="199" t="s">
        <v>6</v>
      </c>
      <c r="B52" s="289" t="s">
        <v>67</v>
      </c>
      <c r="C52" s="289"/>
    </row>
    <row r="53" spans="1:3" ht="32.1" customHeight="1" x14ac:dyDescent="0.25">
      <c r="A53" s="199" t="s">
        <v>6</v>
      </c>
      <c r="B53" s="289" t="s">
        <v>68</v>
      </c>
      <c r="C53" s="289"/>
    </row>
    <row r="54" spans="1:3" ht="32.1" customHeight="1" x14ac:dyDescent="0.25">
      <c r="A54" s="199" t="s">
        <v>6</v>
      </c>
      <c r="B54" s="289" t="s">
        <v>69</v>
      </c>
      <c r="C54" s="289"/>
    </row>
    <row r="55" spans="1:3" ht="32.1" customHeight="1" x14ac:dyDescent="0.25">
      <c r="A55" s="199" t="s">
        <v>6</v>
      </c>
      <c r="B55" s="289" t="s">
        <v>70</v>
      </c>
      <c r="C55" s="289"/>
    </row>
    <row r="56" spans="1:3" ht="32.1" customHeight="1" x14ac:dyDescent="0.25">
      <c r="A56" s="199" t="s">
        <v>6</v>
      </c>
      <c r="B56" s="289" t="s">
        <v>71</v>
      </c>
      <c r="C56" s="289"/>
    </row>
    <row r="57" spans="1:3" ht="32.1" customHeight="1" x14ac:dyDescent="0.25">
      <c r="A57" s="199" t="s">
        <v>6</v>
      </c>
      <c r="B57" s="289" t="s">
        <v>72</v>
      </c>
      <c r="C57" s="289"/>
    </row>
    <row r="58" spans="1:3" ht="32.1" customHeight="1" x14ac:dyDescent="0.25">
      <c r="A58" s="199" t="s">
        <v>6</v>
      </c>
      <c r="B58" s="289" t="s">
        <v>73</v>
      </c>
      <c r="C58" s="289"/>
    </row>
    <row r="59" spans="1:3" ht="32.1" customHeight="1" x14ac:dyDescent="0.25">
      <c r="A59" s="199" t="s">
        <v>6</v>
      </c>
      <c r="B59" s="289" t="s">
        <v>74</v>
      </c>
      <c r="C59" s="289"/>
    </row>
    <row r="60" spans="1:3" ht="32.1" customHeight="1" x14ac:dyDescent="0.25">
      <c r="A60" s="199" t="s">
        <v>6</v>
      </c>
      <c r="B60" s="289" t="s">
        <v>75</v>
      </c>
      <c r="C60" s="289"/>
    </row>
    <row r="61" spans="1:3" ht="32.1" customHeight="1" x14ac:dyDescent="0.25">
      <c r="A61" s="199" t="s">
        <v>6</v>
      </c>
      <c r="B61" s="289" t="s">
        <v>76</v>
      </c>
      <c r="C61" s="289"/>
    </row>
    <row r="62" spans="1:3" ht="32.1" customHeight="1" x14ac:dyDescent="0.25">
      <c r="A62" s="199" t="s">
        <v>6</v>
      </c>
      <c r="B62" s="289" t="s">
        <v>77</v>
      </c>
      <c r="C62" s="289"/>
    </row>
    <row r="63" spans="1:3" ht="32.1" customHeight="1" x14ac:dyDescent="0.25">
      <c r="A63" s="199" t="s">
        <v>6</v>
      </c>
      <c r="B63" s="289" t="s">
        <v>78</v>
      </c>
      <c r="C63" s="289"/>
    </row>
    <row r="64" spans="1:3" ht="32.1" customHeight="1" x14ac:dyDescent="0.25">
      <c r="A64" s="199" t="s">
        <v>6</v>
      </c>
      <c r="B64" s="289" t="s">
        <v>79</v>
      </c>
      <c r="C64" s="289"/>
    </row>
    <row r="65" spans="1:3" ht="32.1" customHeight="1" x14ac:dyDescent="0.25">
      <c r="A65" s="199" t="s">
        <v>6</v>
      </c>
      <c r="B65" s="289" t="s">
        <v>80</v>
      </c>
      <c r="C65" s="289"/>
    </row>
    <row r="66" spans="1:3" ht="32.1" customHeight="1" x14ac:dyDescent="0.25">
      <c r="A66" s="199" t="s">
        <v>6</v>
      </c>
      <c r="B66" s="289" t="s">
        <v>81</v>
      </c>
      <c r="C66" s="289"/>
    </row>
    <row r="67" spans="1:3" ht="32.1" customHeight="1" x14ac:dyDescent="0.25">
      <c r="A67" s="199" t="s">
        <v>6</v>
      </c>
      <c r="B67" s="289" t="s">
        <v>82</v>
      </c>
      <c r="C67" s="289"/>
    </row>
    <row r="68" spans="1:3" ht="32.1" customHeight="1" x14ac:dyDescent="0.25">
      <c r="A68" s="199" t="s">
        <v>6</v>
      </c>
      <c r="B68" s="289" t="s">
        <v>83</v>
      </c>
      <c r="C68" s="289"/>
    </row>
    <row r="69" spans="1:3" ht="32.1" customHeight="1" x14ac:dyDescent="0.25">
      <c r="A69" s="199" t="s">
        <v>6</v>
      </c>
      <c r="B69" s="289" t="s">
        <v>84</v>
      </c>
      <c r="C69" s="289"/>
    </row>
    <row r="70" spans="1:3" ht="32.1" customHeight="1" x14ac:dyDescent="0.25">
      <c r="A70" s="199" t="s">
        <v>6</v>
      </c>
      <c r="B70" s="289" t="s">
        <v>85</v>
      </c>
      <c r="C70" s="289"/>
    </row>
    <row r="71" spans="1:3" ht="32.1" customHeight="1" x14ac:dyDescent="0.25">
      <c r="A71" s="199" t="s">
        <v>6</v>
      </c>
      <c r="B71" s="289" t="s">
        <v>86</v>
      </c>
      <c r="C71" s="289"/>
    </row>
    <row r="72" spans="1:3" ht="32.1" customHeight="1" x14ac:dyDescent="0.25">
      <c r="A72" s="199" t="s">
        <v>6</v>
      </c>
      <c r="B72" s="289" t="s">
        <v>87</v>
      </c>
      <c r="C72" s="289"/>
    </row>
    <row r="73" spans="1:3" ht="32.1" customHeight="1" x14ac:dyDescent="0.25">
      <c r="A73" s="199" t="s">
        <v>6</v>
      </c>
      <c r="B73" s="289" t="s">
        <v>88</v>
      </c>
      <c r="C73" s="289"/>
    </row>
    <row r="74" spans="1:3" ht="32.1" customHeight="1" x14ac:dyDescent="0.25">
      <c r="A74" s="199" t="s">
        <v>6</v>
      </c>
      <c r="B74" s="289" t="s">
        <v>89</v>
      </c>
      <c r="C74" s="289"/>
    </row>
    <row r="75" spans="1:3" ht="32.1" customHeight="1" x14ac:dyDescent="0.25">
      <c r="A75" s="199" t="s">
        <v>6</v>
      </c>
      <c r="B75" s="289" t="s">
        <v>90</v>
      </c>
      <c r="C75" s="289"/>
    </row>
    <row r="76" spans="1:3" ht="32.1" customHeight="1" x14ac:dyDescent="0.25">
      <c r="A76" s="199" t="s">
        <v>6</v>
      </c>
      <c r="B76" s="289" t="s">
        <v>91</v>
      </c>
      <c r="C76" s="289"/>
    </row>
    <row r="77" spans="1:3" ht="32.1" customHeight="1" x14ac:dyDescent="0.25">
      <c r="A77" s="199" t="s">
        <v>6</v>
      </c>
      <c r="B77" s="289" t="s">
        <v>92</v>
      </c>
      <c r="C77" s="289"/>
    </row>
    <row r="78" spans="1:3" ht="32.1" customHeight="1" x14ac:dyDescent="0.25">
      <c r="A78" s="199" t="s">
        <v>6</v>
      </c>
      <c r="B78" s="289" t="s">
        <v>93</v>
      </c>
      <c r="C78" s="289"/>
    </row>
    <row r="79" spans="1:3" ht="32.1" customHeight="1" x14ac:dyDescent="0.25">
      <c r="A79" s="199" t="s">
        <v>6</v>
      </c>
      <c r="B79" s="289" t="s">
        <v>94</v>
      </c>
      <c r="C79" s="289"/>
    </row>
    <row r="80" spans="1:3" ht="32.1" customHeight="1" x14ac:dyDescent="0.25">
      <c r="A80" s="199" t="s">
        <v>6</v>
      </c>
      <c r="B80" s="289" t="s">
        <v>95</v>
      </c>
      <c r="C80" s="289"/>
    </row>
    <row r="81" spans="1:3" ht="32.1" customHeight="1" x14ac:dyDescent="0.25">
      <c r="A81" s="199" t="s">
        <v>6</v>
      </c>
      <c r="B81" s="289" t="s">
        <v>96</v>
      </c>
      <c r="C81" s="289"/>
    </row>
    <row r="82" spans="1:3" ht="32.1" customHeight="1" x14ac:dyDescent="0.25">
      <c r="A82" s="199" t="s">
        <v>6</v>
      </c>
      <c r="B82" s="289" t="s">
        <v>97</v>
      </c>
      <c r="C82" s="289"/>
    </row>
    <row r="83" spans="1:3" ht="32.1" customHeight="1" x14ac:dyDescent="0.25">
      <c r="A83" s="199" t="s">
        <v>6</v>
      </c>
      <c r="B83" s="289" t="s">
        <v>98</v>
      </c>
      <c r="C83" s="289"/>
    </row>
    <row r="84" spans="1:3" ht="32.1" customHeight="1" x14ac:dyDescent="0.25">
      <c r="A84" s="199" t="s">
        <v>6</v>
      </c>
      <c r="B84" s="289" t="s">
        <v>99</v>
      </c>
      <c r="C84" s="289"/>
    </row>
    <row r="85" spans="1:3" ht="32.1" customHeight="1" x14ac:dyDescent="0.25">
      <c r="A85" s="199" t="s">
        <v>6</v>
      </c>
      <c r="B85" s="289" t="s">
        <v>100</v>
      </c>
      <c r="C85" s="289"/>
    </row>
    <row r="86" spans="1:3" ht="32.1" customHeight="1" x14ac:dyDescent="0.25">
      <c r="A86" s="199" t="s">
        <v>6</v>
      </c>
      <c r="B86" s="289" t="s">
        <v>101</v>
      </c>
      <c r="C86" s="289"/>
    </row>
    <row r="87" spans="1:3" ht="32.1" customHeight="1" x14ac:dyDescent="0.25">
      <c r="A87" s="199" t="s">
        <v>6</v>
      </c>
      <c r="B87" s="289" t="s">
        <v>102</v>
      </c>
      <c r="C87" s="289"/>
    </row>
    <row r="88" spans="1:3" ht="32.1" customHeight="1" x14ac:dyDescent="0.25">
      <c r="A88" s="199" t="s">
        <v>6</v>
      </c>
      <c r="B88" s="289" t="s">
        <v>103</v>
      </c>
      <c r="C88" s="289"/>
    </row>
    <row r="89" spans="1:3" ht="32.1" customHeight="1" x14ac:dyDescent="0.25">
      <c r="A89" s="199" t="s">
        <v>6</v>
      </c>
      <c r="B89" s="289" t="s">
        <v>104</v>
      </c>
      <c r="C89" s="289"/>
    </row>
    <row r="90" spans="1:3" ht="32.1" customHeight="1" x14ac:dyDescent="0.25">
      <c r="A90" s="199" t="s">
        <v>6</v>
      </c>
      <c r="B90" s="289" t="s">
        <v>105</v>
      </c>
      <c r="C90" s="289"/>
    </row>
    <row r="91" spans="1:3" ht="32.1" customHeight="1" x14ac:dyDescent="0.25">
      <c r="A91" s="199" t="s">
        <v>6</v>
      </c>
      <c r="B91" s="289" t="s">
        <v>106</v>
      </c>
      <c r="C91" s="289"/>
    </row>
    <row r="92" spans="1:3" ht="32.1" customHeight="1" x14ac:dyDescent="0.25">
      <c r="A92" s="199" t="s">
        <v>6</v>
      </c>
      <c r="B92" s="289" t="s">
        <v>107</v>
      </c>
      <c r="C92" s="289"/>
    </row>
    <row r="93" spans="1:3" ht="32.1" customHeight="1" x14ac:dyDescent="0.25">
      <c r="A93" s="199" t="s">
        <v>6</v>
      </c>
      <c r="B93" s="289" t="s">
        <v>108</v>
      </c>
      <c r="C93" s="289"/>
    </row>
    <row r="94" spans="1:3" ht="32.1" customHeight="1" x14ac:dyDescent="0.25">
      <c r="A94" s="199" t="s">
        <v>6</v>
      </c>
      <c r="B94" s="289" t="s">
        <v>109</v>
      </c>
      <c r="C94" s="289"/>
    </row>
    <row r="95" spans="1:3" ht="32.1" customHeight="1" x14ac:dyDescent="0.25">
      <c r="A95" s="199" t="s">
        <v>6</v>
      </c>
      <c r="B95" s="289" t="s">
        <v>110</v>
      </c>
      <c r="C95" s="289"/>
    </row>
    <row r="96" spans="1:3" ht="32.1" customHeight="1" x14ac:dyDescent="0.25">
      <c r="A96" s="199" t="s">
        <v>6</v>
      </c>
      <c r="B96" s="289" t="s">
        <v>111</v>
      </c>
      <c r="C96" s="289"/>
    </row>
    <row r="97" spans="1:3" ht="32.1" customHeight="1" x14ac:dyDescent="0.25">
      <c r="A97" s="199" t="s">
        <v>6</v>
      </c>
      <c r="B97" s="289" t="s">
        <v>112</v>
      </c>
      <c r="C97" s="289"/>
    </row>
    <row r="98" spans="1:3" ht="32.1" customHeight="1" x14ac:dyDescent="0.25">
      <c r="A98" s="199" t="s">
        <v>6</v>
      </c>
      <c r="B98" s="289" t="s">
        <v>113</v>
      </c>
      <c r="C98" s="289"/>
    </row>
    <row r="99" spans="1:3" ht="32.1" customHeight="1" x14ac:dyDescent="0.25">
      <c r="A99" s="199" t="s">
        <v>6</v>
      </c>
      <c r="B99" s="289" t="s">
        <v>114</v>
      </c>
      <c r="C99" s="289"/>
    </row>
    <row r="100" spans="1:3" ht="32.1" customHeight="1" x14ac:dyDescent="0.25">
      <c r="A100" s="199" t="s">
        <v>6</v>
      </c>
      <c r="B100" s="289" t="s">
        <v>115</v>
      </c>
      <c r="C100" s="289"/>
    </row>
    <row r="101" spans="1:3" ht="32.1" customHeight="1" x14ac:dyDescent="0.25">
      <c r="A101" s="199" t="s">
        <v>6</v>
      </c>
      <c r="B101" s="289" t="s">
        <v>116</v>
      </c>
      <c r="C101" s="289"/>
    </row>
    <row r="102" spans="1:3" ht="32.1" customHeight="1" x14ac:dyDescent="0.25">
      <c r="A102" s="199" t="s">
        <v>6</v>
      </c>
      <c r="B102" s="289" t="s">
        <v>117</v>
      </c>
      <c r="C102" s="289"/>
    </row>
    <row r="103" spans="1:3" ht="32.1" customHeight="1" x14ac:dyDescent="0.25">
      <c r="A103" s="199" t="s">
        <v>6</v>
      </c>
      <c r="B103" s="289" t="s">
        <v>118</v>
      </c>
      <c r="C103" s="289"/>
    </row>
    <row r="104" spans="1:3" ht="32.1" customHeight="1" x14ac:dyDescent="0.25">
      <c r="A104" s="199" t="s">
        <v>6</v>
      </c>
      <c r="B104" s="289" t="s">
        <v>119</v>
      </c>
      <c r="C104" s="289"/>
    </row>
    <row r="105" spans="1:3" ht="32.1" customHeight="1" x14ac:dyDescent="0.25">
      <c r="A105" s="199" t="s">
        <v>6</v>
      </c>
      <c r="B105" s="289" t="s">
        <v>120</v>
      </c>
      <c r="C105" s="289"/>
    </row>
    <row r="106" spans="1:3" ht="32.1" customHeight="1" x14ac:dyDescent="0.25">
      <c r="A106" s="199" t="s">
        <v>6</v>
      </c>
      <c r="B106" s="289" t="s">
        <v>121</v>
      </c>
      <c r="C106" s="289"/>
    </row>
    <row r="107" spans="1:3" ht="32.1" customHeight="1" x14ac:dyDescent="0.25">
      <c r="A107" s="199" t="s">
        <v>6</v>
      </c>
      <c r="B107" s="289" t="s">
        <v>122</v>
      </c>
      <c r="C107" s="289"/>
    </row>
    <row r="108" spans="1:3" ht="32.1" customHeight="1" x14ac:dyDescent="0.25">
      <c r="A108" s="199" t="s">
        <v>6</v>
      </c>
      <c r="B108" s="289" t="s">
        <v>123</v>
      </c>
      <c r="C108" s="289"/>
    </row>
    <row r="109" spans="1:3" ht="32.1" customHeight="1" x14ac:dyDescent="0.25">
      <c r="A109" s="199" t="s">
        <v>6</v>
      </c>
      <c r="B109" s="289" t="s">
        <v>124</v>
      </c>
      <c r="C109" s="289"/>
    </row>
    <row r="110" spans="1:3" ht="32.1" customHeight="1" x14ac:dyDescent="0.25">
      <c r="A110" s="199" t="s">
        <v>6</v>
      </c>
      <c r="B110" s="289" t="s">
        <v>125</v>
      </c>
      <c r="C110" s="289"/>
    </row>
    <row r="111" spans="1:3" ht="32.1" customHeight="1" x14ac:dyDescent="0.25">
      <c r="A111" s="199" t="s">
        <v>6</v>
      </c>
      <c r="B111" s="289" t="s">
        <v>126</v>
      </c>
      <c r="C111" s="289"/>
    </row>
    <row r="112" spans="1:3" ht="32.1" customHeight="1" x14ac:dyDescent="0.25">
      <c r="A112" s="199" t="s">
        <v>6</v>
      </c>
      <c r="B112" s="289" t="s">
        <v>127</v>
      </c>
      <c r="C112" s="289"/>
    </row>
    <row r="113" spans="1:3" ht="32.1" customHeight="1" x14ac:dyDescent="0.25">
      <c r="A113" s="199" t="s">
        <v>6</v>
      </c>
      <c r="B113" s="289" t="s">
        <v>128</v>
      </c>
      <c r="C113" s="289"/>
    </row>
    <row r="114" spans="1:3" ht="32.1" customHeight="1" x14ac:dyDescent="0.25">
      <c r="A114" s="199" t="s">
        <v>6</v>
      </c>
      <c r="B114" s="289" t="s">
        <v>129</v>
      </c>
      <c r="C114" s="289"/>
    </row>
    <row r="115" spans="1:3" ht="32.1" customHeight="1" x14ac:dyDescent="0.25">
      <c r="A115" s="199" t="s">
        <v>6</v>
      </c>
      <c r="B115" s="289" t="s">
        <v>130</v>
      </c>
      <c r="C115" s="289"/>
    </row>
    <row r="116" spans="1:3" ht="32.1" customHeight="1" x14ac:dyDescent="0.25">
      <c r="A116" s="199" t="s">
        <v>6</v>
      </c>
      <c r="B116" s="289" t="s">
        <v>131</v>
      </c>
      <c r="C116" s="289"/>
    </row>
    <row r="117" spans="1:3" ht="32.1" customHeight="1" x14ac:dyDescent="0.25">
      <c r="A117" s="199" t="s">
        <v>6</v>
      </c>
      <c r="B117" s="289" t="s">
        <v>132</v>
      </c>
      <c r="C117" s="289"/>
    </row>
    <row r="118" spans="1:3" ht="32.1" customHeight="1" x14ac:dyDescent="0.25">
      <c r="A118" s="199" t="s">
        <v>6</v>
      </c>
      <c r="B118" s="289" t="s">
        <v>133</v>
      </c>
      <c r="C118" s="289"/>
    </row>
    <row r="119" spans="1:3" ht="32.1" customHeight="1" x14ac:dyDescent="0.25">
      <c r="A119" s="199" t="s">
        <v>6</v>
      </c>
      <c r="B119" s="289" t="s">
        <v>134</v>
      </c>
      <c r="C119" s="289"/>
    </row>
    <row r="120" spans="1:3" ht="32.1" customHeight="1" x14ac:dyDescent="0.25">
      <c r="A120" s="199" t="s">
        <v>6</v>
      </c>
      <c r="B120" s="289" t="s">
        <v>135</v>
      </c>
      <c r="C120" s="289"/>
    </row>
    <row r="121" spans="1:3" ht="32.1" customHeight="1" x14ac:dyDescent="0.25">
      <c r="A121" s="199" t="s">
        <v>6</v>
      </c>
      <c r="B121" s="289" t="s">
        <v>136</v>
      </c>
      <c r="C121" s="289"/>
    </row>
    <row r="122" spans="1:3" ht="32.1" customHeight="1" x14ac:dyDescent="0.25">
      <c r="A122" s="199" t="s">
        <v>6</v>
      </c>
      <c r="B122" s="289" t="s">
        <v>137</v>
      </c>
      <c r="C122" s="289"/>
    </row>
    <row r="123" spans="1:3" ht="32.1" customHeight="1" x14ac:dyDescent="0.25">
      <c r="A123" s="199" t="s">
        <v>6</v>
      </c>
      <c r="B123" s="289" t="s">
        <v>138</v>
      </c>
      <c r="C123" s="289"/>
    </row>
    <row r="124" spans="1:3" ht="32.1" customHeight="1" x14ac:dyDescent="0.25">
      <c r="A124" s="199" t="s">
        <v>6</v>
      </c>
      <c r="B124" s="289" t="s">
        <v>139</v>
      </c>
      <c r="C124" s="289"/>
    </row>
    <row r="125" spans="1:3" ht="32.1" customHeight="1" x14ac:dyDescent="0.25">
      <c r="A125" s="199" t="s">
        <v>6</v>
      </c>
      <c r="B125" s="289" t="s">
        <v>140</v>
      </c>
      <c r="C125" s="289"/>
    </row>
    <row r="126" spans="1:3" ht="32.1" customHeight="1" x14ac:dyDescent="0.25">
      <c r="A126" s="199" t="s">
        <v>6</v>
      </c>
      <c r="B126" s="289" t="s">
        <v>141</v>
      </c>
      <c r="C126" s="289"/>
    </row>
    <row r="127" spans="1:3" ht="32.1" customHeight="1" x14ac:dyDescent="0.25">
      <c r="A127" s="199" t="s">
        <v>6</v>
      </c>
      <c r="B127" s="289" t="s">
        <v>142</v>
      </c>
      <c r="C127" s="289"/>
    </row>
    <row r="128" spans="1:3" ht="32.1" customHeight="1" x14ac:dyDescent="0.25">
      <c r="A128" s="199" t="s">
        <v>6</v>
      </c>
      <c r="B128" s="289" t="s">
        <v>143</v>
      </c>
      <c r="C128" s="289"/>
    </row>
    <row r="129" spans="1:3" ht="32.1" customHeight="1" x14ac:dyDescent="0.25">
      <c r="A129" s="199" t="s">
        <v>6</v>
      </c>
      <c r="B129" s="289" t="s">
        <v>144</v>
      </c>
      <c r="C129" s="289"/>
    </row>
    <row r="130" spans="1:3" ht="32.1" customHeight="1" x14ac:dyDescent="0.25">
      <c r="A130" s="199" t="s">
        <v>6</v>
      </c>
      <c r="B130" s="289" t="s">
        <v>145</v>
      </c>
      <c r="C130" s="289"/>
    </row>
    <row r="131" spans="1:3" ht="32.1" customHeight="1" x14ac:dyDescent="0.25">
      <c r="A131" s="199" t="s">
        <v>6</v>
      </c>
      <c r="B131" s="289" t="s">
        <v>146</v>
      </c>
      <c r="C131" s="289"/>
    </row>
    <row r="132" spans="1:3" ht="32.1" customHeight="1" x14ac:dyDescent="0.25">
      <c r="A132" s="199" t="s">
        <v>6</v>
      </c>
      <c r="B132" s="289" t="s">
        <v>147</v>
      </c>
      <c r="C132" s="289"/>
    </row>
    <row r="133" spans="1:3" ht="32.1" customHeight="1" x14ac:dyDescent="0.25">
      <c r="A133" s="199" t="s">
        <v>6</v>
      </c>
      <c r="B133" s="289" t="s">
        <v>148</v>
      </c>
      <c r="C133" s="289"/>
    </row>
    <row r="134" spans="1:3" ht="32.1" customHeight="1" x14ac:dyDescent="0.25">
      <c r="A134" s="199" t="s">
        <v>6</v>
      </c>
      <c r="B134" s="289" t="s">
        <v>149</v>
      </c>
      <c r="C134" s="289"/>
    </row>
    <row r="135" spans="1:3" ht="32.1" customHeight="1" x14ac:dyDescent="0.25">
      <c r="A135" s="199" t="s">
        <v>6</v>
      </c>
      <c r="B135" s="289" t="s">
        <v>150</v>
      </c>
      <c r="C135" s="289"/>
    </row>
    <row r="136" spans="1:3" ht="32.1" customHeight="1" x14ac:dyDescent="0.25">
      <c r="A136" s="199" t="s">
        <v>6</v>
      </c>
      <c r="B136" s="289" t="s">
        <v>151</v>
      </c>
      <c r="C136" s="289"/>
    </row>
    <row r="137" spans="1:3" ht="32.1" customHeight="1" x14ac:dyDescent="0.25">
      <c r="A137" s="199" t="s">
        <v>6</v>
      </c>
      <c r="B137" s="289" t="s">
        <v>152</v>
      </c>
      <c r="C137" s="289"/>
    </row>
    <row r="138" spans="1:3" ht="32.1" customHeight="1" x14ac:dyDescent="0.25">
      <c r="A138" s="199" t="s">
        <v>6</v>
      </c>
      <c r="B138" s="289" t="s">
        <v>153</v>
      </c>
      <c r="C138" s="289"/>
    </row>
    <row r="139" spans="1:3" ht="32.1" customHeight="1" x14ac:dyDescent="0.25">
      <c r="A139" s="199" t="s">
        <v>6</v>
      </c>
      <c r="B139" s="289" t="s">
        <v>154</v>
      </c>
      <c r="C139" s="289"/>
    </row>
    <row r="140" spans="1:3" ht="32.1" customHeight="1" x14ac:dyDescent="0.25">
      <c r="A140" s="199" t="s">
        <v>6</v>
      </c>
      <c r="B140" s="289" t="s">
        <v>155</v>
      </c>
      <c r="C140" s="289"/>
    </row>
    <row r="141" spans="1:3" ht="32.1" customHeight="1" x14ac:dyDescent="0.25">
      <c r="A141" s="199" t="s">
        <v>6</v>
      </c>
      <c r="B141" s="289" t="s">
        <v>156</v>
      </c>
      <c r="C141" s="289"/>
    </row>
    <row r="142" spans="1:3" ht="32.1" customHeight="1" x14ac:dyDescent="0.25">
      <c r="A142" s="199" t="s">
        <v>6</v>
      </c>
      <c r="B142" s="289" t="s">
        <v>157</v>
      </c>
      <c r="C142" s="289"/>
    </row>
    <row r="143" spans="1:3" ht="32.1" customHeight="1" x14ac:dyDescent="0.25">
      <c r="A143" s="199" t="s">
        <v>6</v>
      </c>
      <c r="B143" s="289" t="s">
        <v>158</v>
      </c>
      <c r="C143" s="289"/>
    </row>
    <row r="144" spans="1:3" ht="32.1" customHeight="1" x14ac:dyDescent="0.25">
      <c r="A144" s="199" t="s">
        <v>6</v>
      </c>
      <c r="B144" s="289" t="s">
        <v>159</v>
      </c>
      <c r="C144" s="289"/>
    </row>
    <row r="145" spans="1:3" ht="32.1" customHeight="1" x14ac:dyDescent="0.25">
      <c r="A145" s="199" t="s">
        <v>6</v>
      </c>
      <c r="B145" s="289" t="s">
        <v>160</v>
      </c>
      <c r="C145" s="289"/>
    </row>
    <row r="146" spans="1:3" ht="32.1" customHeight="1" x14ac:dyDescent="0.25">
      <c r="A146" s="199" t="s">
        <v>6</v>
      </c>
      <c r="B146" s="289" t="s">
        <v>161</v>
      </c>
      <c r="C146" s="289"/>
    </row>
    <row r="147" spans="1:3" ht="32.1" customHeight="1" x14ac:dyDescent="0.25">
      <c r="A147" s="199" t="s">
        <v>6</v>
      </c>
      <c r="B147" s="289" t="s">
        <v>162</v>
      </c>
      <c r="C147" s="289"/>
    </row>
    <row r="148" spans="1:3" ht="32.1" customHeight="1" x14ac:dyDescent="0.25">
      <c r="A148" s="199" t="s">
        <v>6</v>
      </c>
      <c r="B148" s="289" t="s">
        <v>163</v>
      </c>
      <c r="C148" s="289"/>
    </row>
    <row r="149" spans="1:3" ht="32.1" customHeight="1" x14ac:dyDescent="0.25">
      <c r="A149" s="199" t="s">
        <v>6</v>
      </c>
      <c r="B149" s="289" t="s">
        <v>164</v>
      </c>
      <c r="C149" s="289"/>
    </row>
    <row r="150" spans="1:3" ht="32.1" customHeight="1" x14ac:dyDescent="0.25">
      <c r="A150" s="199" t="s">
        <v>6</v>
      </c>
      <c r="B150" s="289" t="s">
        <v>165</v>
      </c>
      <c r="C150" s="289"/>
    </row>
    <row r="151" spans="1:3" ht="32.1" customHeight="1" x14ac:dyDescent="0.25">
      <c r="A151" s="199" t="s">
        <v>6</v>
      </c>
      <c r="B151" s="289" t="s">
        <v>166</v>
      </c>
      <c r="C151" s="289"/>
    </row>
    <row r="152" spans="1:3" ht="32.1" customHeight="1" x14ac:dyDescent="0.25">
      <c r="A152" s="199" t="s">
        <v>6</v>
      </c>
      <c r="B152" s="289" t="s">
        <v>167</v>
      </c>
      <c r="C152" s="289"/>
    </row>
    <row r="153" spans="1:3" ht="32.1" customHeight="1" x14ac:dyDescent="0.25">
      <c r="A153" s="199" t="s">
        <v>6</v>
      </c>
      <c r="B153" s="289" t="s">
        <v>168</v>
      </c>
      <c r="C153" s="289"/>
    </row>
    <row r="154" spans="1:3" ht="32.1" customHeight="1" x14ac:dyDescent="0.25">
      <c r="A154" s="199" t="s">
        <v>6</v>
      </c>
      <c r="B154" s="289" t="s">
        <v>169</v>
      </c>
      <c r="C154" s="289"/>
    </row>
    <row r="155" spans="1:3" ht="32.1" customHeight="1" x14ac:dyDescent="0.25">
      <c r="A155" s="199" t="s">
        <v>6</v>
      </c>
      <c r="B155" s="289" t="s">
        <v>170</v>
      </c>
      <c r="C155" s="289"/>
    </row>
    <row r="156" spans="1:3" ht="32.1" customHeight="1" x14ac:dyDescent="0.25">
      <c r="A156" s="199" t="s">
        <v>6</v>
      </c>
      <c r="B156" s="289" t="s">
        <v>171</v>
      </c>
      <c r="C156" s="289"/>
    </row>
    <row r="157" spans="1:3" ht="32.1" customHeight="1" x14ac:dyDescent="0.25">
      <c r="A157" s="199" t="s">
        <v>6</v>
      </c>
      <c r="B157" s="289" t="s">
        <v>172</v>
      </c>
      <c r="C157" s="289"/>
    </row>
    <row r="158" spans="1:3" ht="32.1" customHeight="1" x14ac:dyDescent="0.25">
      <c r="A158" s="199" t="s">
        <v>6</v>
      </c>
      <c r="B158" s="289" t="s">
        <v>173</v>
      </c>
      <c r="C158" s="289"/>
    </row>
    <row r="159" spans="1:3" ht="32.1" customHeight="1" x14ac:dyDescent="0.25">
      <c r="A159" s="199" t="s">
        <v>6</v>
      </c>
      <c r="B159" s="289" t="s">
        <v>174</v>
      </c>
      <c r="C159" s="289"/>
    </row>
    <row r="160" spans="1:3" ht="32.1" customHeight="1" x14ac:dyDescent="0.25">
      <c r="A160" s="199" t="s">
        <v>6</v>
      </c>
      <c r="B160" s="289" t="s">
        <v>175</v>
      </c>
      <c r="C160" s="289"/>
    </row>
    <row r="161" spans="1:3" ht="32.1" customHeight="1" x14ac:dyDescent="0.25">
      <c r="A161" s="199" t="s">
        <v>6</v>
      </c>
      <c r="B161" s="289" t="s">
        <v>176</v>
      </c>
      <c r="C161" s="289"/>
    </row>
    <row r="162" spans="1:3" ht="32.1" customHeight="1" x14ac:dyDescent="0.25">
      <c r="A162" s="199" t="s">
        <v>6</v>
      </c>
      <c r="B162" s="289" t="s">
        <v>177</v>
      </c>
      <c r="C162" s="289"/>
    </row>
    <row r="163" spans="1:3" ht="32.1" customHeight="1" x14ac:dyDescent="0.25">
      <c r="A163" s="199" t="s">
        <v>6</v>
      </c>
      <c r="B163" s="289" t="s">
        <v>178</v>
      </c>
      <c r="C163" s="289"/>
    </row>
    <row r="164" spans="1:3" ht="32.1" customHeight="1" x14ac:dyDescent="0.25">
      <c r="A164" s="199" t="s">
        <v>6</v>
      </c>
      <c r="B164" s="289" t="s">
        <v>179</v>
      </c>
      <c r="C164" s="289"/>
    </row>
    <row r="165" spans="1:3" ht="32.1" customHeight="1" x14ac:dyDescent="0.25">
      <c r="A165" s="199" t="s">
        <v>6</v>
      </c>
      <c r="B165" s="289" t="s">
        <v>180</v>
      </c>
      <c r="C165" s="289"/>
    </row>
    <row r="166" spans="1:3" ht="32.1" customHeight="1" x14ac:dyDescent="0.25">
      <c r="A166" s="199" t="s">
        <v>6</v>
      </c>
      <c r="B166" s="289" t="s">
        <v>181</v>
      </c>
      <c r="C166" s="289"/>
    </row>
    <row r="167" spans="1:3" ht="32.1" customHeight="1" x14ac:dyDescent="0.25">
      <c r="A167" s="199" t="s">
        <v>6</v>
      </c>
      <c r="B167" s="289" t="s">
        <v>182</v>
      </c>
      <c r="C167" s="289"/>
    </row>
    <row r="168" spans="1:3" ht="32.1" customHeight="1" x14ac:dyDescent="0.25">
      <c r="A168" s="199" t="s">
        <v>6</v>
      </c>
      <c r="B168" s="289" t="s">
        <v>183</v>
      </c>
      <c r="C168" s="289"/>
    </row>
    <row r="169" spans="1:3" ht="32.1" customHeight="1" x14ac:dyDescent="0.25">
      <c r="A169" s="199" t="s">
        <v>6</v>
      </c>
      <c r="B169" s="289" t="s">
        <v>184</v>
      </c>
      <c r="C169" s="289"/>
    </row>
    <row r="170" spans="1:3" ht="32.1" customHeight="1" x14ac:dyDescent="0.25">
      <c r="A170" s="199" t="s">
        <v>6</v>
      </c>
      <c r="B170" s="289" t="s">
        <v>185</v>
      </c>
      <c r="C170" s="289"/>
    </row>
    <row r="171" spans="1:3" ht="32.1" customHeight="1" x14ac:dyDescent="0.25">
      <c r="A171" s="199" t="s">
        <v>6</v>
      </c>
      <c r="B171" s="289" t="s">
        <v>186</v>
      </c>
      <c r="C171" s="289"/>
    </row>
    <row r="172" spans="1:3" ht="32.1" customHeight="1" x14ac:dyDescent="0.25">
      <c r="A172" s="199" t="s">
        <v>6</v>
      </c>
      <c r="B172" s="289" t="s">
        <v>187</v>
      </c>
      <c r="C172" s="289"/>
    </row>
    <row r="173" spans="1:3" ht="32.1" customHeight="1" x14ac:dyDescent="0.25">
      <c r="A173" s="199" t="s">
        <v>6</v>
      </c>
      <c r="B173" s="289" t="s">
        <v>188</v>
      </c>
      <c r="C173" s="289"/>
    </row>
    <row r="174" spans="1:3" ht="32.1" customHeight="1" x14ac:dyDescent="0.25">
      <c r="A174" s="199" t="s">
        <v>6</v>
      </c>
      <c r="B174" s="289" t="s">
        <v>189</v>
      </c>
      <c r="C174" s="289"/>
    </row>
    <row r="175" spans="1:3" ht="32.1" customHeight="1" x14ac:dyDescent="0.25">
      <c r="A175" s="199" t="s">
        <v>6</v>
      </c>
      <c r="B175" s="289" t="s">
        <v>190</v>
      </c>
      <c r="C175" s="289"/>
    </row>
    <row r="176" spans="1:3" ht="32.1" customHeight="1" x14ac:dyDescent="0.25">
      <c r="A176" s="199" t="s">
        <v>6</v>
      </c>
      <c r="B176" s="289" t="s">
        <v>191</v>
      </c>
      <c r="C176" s="289"/>
    </row>
    <row r="177" spans="1:3" ht="32.1" customHeight="1" x14ac:dyDescent="0.25">
      <c r="A177" s="199" t="s">
        <v>6</v>
      </c>
      <c r="B177" s="289" t="s">
        <v>192</v>
      </c>
      <c r="C177" s="289"/>
    </row>
    <row r="178" spans="1:3" ht="32.1" customHeight="1" x14ac:dyDescent="0.25">
      <c r="A178" s="199" t="s">
        <v>6</v>
      </c>
      <c r="B178" s="289" t="s">
        <v>193</v>
      </c>
      <c r="C178" s="289"/>
    </row>
    <row r="179" spans="1:3" ht="32.1" customHeight="1" x14ac:dyDescent="0.25">
      <c r="A179" s="199" t="s">
        <v>6</v>
      </c>
      <c r="B179" s="289" t="s">
        <v>194</v>
      </c>
      <c r="C179" s="289"/>
    </row>
    <row r="180" spans="1:3" ht="32.1" customHeight="1" x14ac:dyDescent="0.25">
      <c r="A180" s="199" t="s">
        <v>6</v>
      </c>
      <c r="B180" s="289" t="s">
        <v>195</v>
      </c>
      <c r="C180" s="289"/>
    </row>
    <row r="181" spans="1:3" ht="32.1" customHeight="1" x14ac:dyDescent="0.25">
      <c r="A181" s="199" t="s">
        <v>6</v>
      </c>
      <c r="B181" s="289" t="s">
        <v>196</v>
      </c>
      <c r="C181" s="289"/>
    </row>
    <row r="182" spans="1:3" ht="32.1" customHeight="1" x14ac:dyDescent="0.25">
      <c r="A182" s="199" t="s">
        <v>6</v>
      </c>
      <c r="B182" s="289" t="s">
        <v>197</v>
      </c>
      <c r="C182" s="289"/>
    </row>
    <row r="183" spans="1:3" ht="32.1" customHeight="1" x14ac:dyDescent="0.25">
      <c r="A183" s="199" t="s">
        <v>6</v>
      </c>
      <c r="B183" s="289" t="s">
        <v>198</v>
      </c>
      <c r="C183" s="289"/>
    </row>
    <row r="184" spans="1:3" ht="32.1" customHeight="1" x14ac:dyDescent="0.25">
      <c r="A184" s="199" t="s">
        <v>6</v>
      </c>
      <c r="B184" s="289" t="s">
        <v>199</v>
      </c>
      <c r="C184" s="289"/>
    </row>
    <row r="185" spans="1:3" ht="32.1" customHeight="1" x14ac:dyDescent="0.25">
      <c r="A185" s="199" t="s">
        <v>6</v>
      </c>
      <c r="B185" s="289" t="s">
        <v>200</v>
      </c>
      <c r="C185" s="289"/>
    </row>
    <row r="186" spans="1:3" ht="32.1" customHeight="1" x14ac:dyDescent="0.25">
      <c r="A186" s="199" t="s">
        <v>6</v>
      </c>
      <c r="B186" s="289" t="s">
        <v>201</v>
      </c>
      <c r="C186" s="289"/>
    </row>
    <row r="187" spans="1:3" ht="32.1" customHeight="1" x14ac:dyDescent="0.25">
      <c r="A187" s="199" t="s">
        <v>6</v>
      </c>
      <c r="B187" s="289" t="s">
        <v>202</v>
      </c>
      <c r="C187" s="289"/>
    </row>
    <row r="188" spans="1:3" ht="32.1" customHeight="1" x14ac:dyDescent="0.25">
      <c r="A188" s="199" t="s">
        <v>6</v>
      </c>
      <c r="B188" s="289" t="s">
        <v>203</v>
      </c>
      <c r="C188" s="289"/>
    </row>
    <row r="189" spans="1:3" ht="32.1" customHeight="1" x14ac:dyDescent="0.25">
      <c r="A189" s="199" t="s">
        <v>6</v>
      </c>
      <c r="B189" s="289" t="s">
        <v>204</v>
      </c>
      <c r="C189" s="289"/>
    </row>
    <row r="190" spans="1:3" ht="32.1" customHeight="1" x14ac:dyDescent="0.25">
      <c r="A190" s="199" t="s">
        <v>6</v>
      </c>
      <c r="B190" s="289" t="s">
        <v>205</v>
      </c>
      <c r="C190" s="289"/>
    </row>
    <row r="191" spans="1:3" ht="32.1" customHeight="1" x14ac:dyDescent="0.25">
      <c r="A191" s="199" t="s">
        <v>6</v>
      </c>
      <c r="B191" s="289" t="s">
        <v>206</v>
      </c>
      <c r="C191" s="289"/>
    </row>
    <row r="192" spans="1:3" ht="32.1" customHeight="1" x14ac:dyDescent="0.25">
      <c r="A192" s="199" t="s">
        <v>6</v>
      </c>
      <c r="B192" s="289" t="s">
        <v>207</v>
      </c>
      <c r="C192" s="289"/>
    </row>
    <row r="193" spans="1:3" ht="32.1" customHeight="1" x14ac:dyDescent="0.25">
      <c r="A193" s="199" t="s">
        <v>6</v>
      </c>
      <c r="B193" s="289" t="s">
        <v>208</v>
      </c>
      <c r="C193" s="289"/>
    </row>
    <row r="194" spans="1:3" ht="32.1" customHeight="1" x14ac:dyDescent="0.25">
      <c r="A194" s="199" t="s">
        <v>6</v>
      </c>
      <c r="B194" s="289" t="s">
        <v>209</v>
      </c>
      <c r="C194" s="289"/>
    </row>
    <row r="195" spans="1:3" ht="32.1" customHeight="1" x14ac:dyDescent="0.25">
      <c r="A195" s="199" t="s">
        <v>6</v>
      </c>
      <c r="B195" s="289" t="s">
        <v>210</v>
      </c>
      <c r="C195" s="289"/>
    </row>
    <row r="196" spans="1:3" ht="32.1" customHeight="1" x14ac:dyDescent="0.25">
      <c r="A196" s="199" t="s">
        <v>6</v>
      </c>
      <c r="B196" s="289" t="s">
        <v>211</v>
      </c>
      <c r="C196" s="289"/>
    </row>
    <row r="197" spans="1:3" ht="32.1" customHeight="1" x14ac:dyDescent="0.25">
      <c r="A197" s="199" t="s">
        <v>6</v>
      </c>
      <c r="B197" s="289" t="s">
        <v>212</v>
      </c>
      <c r="C197" s="289"/>
    </row>
    <row r="198" spans="1:3" ht="32.1" customHeight="1" x14ac:dyDescent="0.25">
      <c r="A198" s="199" t="s">
        <v>6</v>
      </c>
      <c r="B198" s="289" t="s">
        <v>213</v>
      </c>
      <c r="C198" s="289"/>
    </row>
    <row r="199" spans="1:3" ht="32.1" customHeight="1" x14ac:dyDescent="0.25">
      <c r="A199" s="199" t="s">
        <v>6</v>
      </c>
      <c r="B199" s="289" t="s">
        <v>214</v>
      </c>
      <c r="C199" s="289"/>
    </row>
    <row r="200" spans="1:3" ht="32.1" customHeight="1" x14ac:dyDescent="0.25">
      <c r="A200" s="199" t="s">
        <v>6</v>
      </c>
      <c r="B200" s="289" t="s">
        <v>215</v>
      </c>
      <c r="C200" s="289"/>
    </row>
    <row r="201" spans="1:3" ht="32.1" customHeight="1" x14ac:dyDescent="0.25">
      <c r="A201" s="199" t="s">
        <v>6</v>
      </c>
      <c r="B201" s="289" t="s">
        <v>216</v>
      </c>
      <c r="C201" s="289"/>
    </row>
    <row r="202" spans="1:3" ht="32.1" customHeight="1" x14ac:dyDescent="0.25">
      <c r="A202" s="199" t="s">
        <v>6</v>
      </c>
      <c r="B202" s="289" t="s">
        <v>217</v>
      </c>
      <c r="C202" s="289"/>
    </row>
    <row r="203" spans="1:3" ht="32.1" customHeight="1" x14ac:dyDescent="0.25">
      <c r="A203" s="199" t="s">
        <v>6</v>
      </c>
      <c r="B203" s="289" t="s">
        <v>218</v>
      </c>
      <c r="C203" s="289"/>
    </row>
    <row r="204" spans="1:3" ht="32.1" customHeight="1" x14ac:dyDescent="0.25">
      <c r="A204" s="199" t="s">
        <v>6</v>
      </c>
      <c r="B204" s="289" t="s">
        <v>219</v>
      </c>
      <c r="C204" s="289"/>
    </row>
    <row r="205" spans="1:3" ht="32.1" customHeight="1" x14ac:dyDescent="0.25">
      <c r="A205" s="199" t="s">
        <v>6</v>
      </c>
      <c r="B205" s="289" t="s">
        <v>220</v>
      </c>
      <c r="C205" s="289"/>
    </row>
    <row r="206" spans="1:3" ht="32.1" customHeight="1" x14ac:dyDescent="0.25">
      <c r="A206" s="199" t="s">
        <v>6</v>
      </c>
      <c r="B206" s="289" t="s">
        <v>221</v>
      </c>
      <c r="C206" s="289"/>
    </row>
    <row r="207" spans="1:3" ht="32.1" customHeight="1" x14ac:dyDescent="0.25">
      <c r="A207" s="199" t="s">
        <v>6</v>
      </c>
      <c r="B207" s="289" t="s">
        <v>222</v>
      </c>
      <c r="C207" s="289"/>
    </row>
    <row r="208" spans="1:3" ht="32.1" customHeight="1" x14ac:dyDescent="0.25">
      <c r="A208" s="199" t="s">
        <v>6</v>
      </c>
      <c r="B208" s="289" t="s">
        <v>223</v>
      </c>
      <c r="C208" s="289"/>
    </row>
    <row r="209" spans="1:3" ht="32.1" customHeight="1" x14ac:dyDescent="0.25">
      <c r="A209" s="199" t="s">
        <v>6</v>
      </c>
      <c r="B209" s="289" t="s">
        <v>224</v>
      </c>
      <c r="C209" s="289"/>
    </row>
    <row r="210" spans="1:3" ht="32.1" customHeight="1" x14ac:dyDescent="0.25">
      <c r="A210" s="199" t="s">
        <v>6</v>
      </c>
      <c r="B210" s="289" t="s">
        <v>225</v>
      </c>
      <c r="C210" s="289"/>
    </row>
    <row r="211" spans="1:3" ht="32.1" customHeight="1" x14ac:dyDescent="0.25">
      <c r="A211" s="199" t="s">
        <v>6</v>
      </c>
      <c r="B211" s="289" t="s">
        <v>226</v>
      </c>
      <c r="C211" s="289"/>
    </row>
    <row r="212" spans="1:3" ht="32.1" customHeight="1" x14ac:dyDescent="0.25">
      <c r="A212" s="199" t="s">
        <v>6</v>
      </c>
      <c r="B212" s="289" t="s">
        <v>227</v>
      </c>
      <c r="C212" s="289"/>
    </row>
    <row r="213" spans="1:3" ht="32.1" customHeight="1" x14ac:dyDescent="0.25">
      <c r="A213" s="199" t="s">
        <v>6</v>
      </c>
      <c r="B213" s="289" t="s">
        <v>228</v>
      </c>
      <c r="C213" s="289"/>
    </row>
    <row r="214" spans="1:3" ht="32.1" customHeight="1" x14ac:dyDescent="0.25">
      <c r="A214" s="199" t="s">
        <v>6</v>
      </c>
      <c r="B214" s="289" t="s">
        <v>229</v>
      </c>
      <c r="C214" s="289"/>
    </row>
    <row r="215" spans="1:3" ht="32.1" customHeight="1" x14ac:dyDescent="0.25">
      <c r="A215" s="199" t="s">
        <v>6</v>
      </c>
      <c r="B215" s="289" t="s">
        <v>230</v>
      </c>
      <c r="C215" s="289"/>
    </row>
    <row r="216" spans="1:3" ht="32.1" customHeight="1" x14ac:dyDescent="0.25">
      <c r="A216" s="199" t="s">
        <v>6</v>
      </c>
      <c r="B216" s="289" t="s">
        <v>231</v>
      </c>
      <c r="C216" s="289"/>
    </row>
    <row r="217" spans="1:3" ht="32.1" customHeight="1" x14ac:dyDescent="0.25">
      <c r="A217" s="199" t="s">
        <v>6</v>
      </c>
      <c r="B217" s="289" t="s">
        <v>232</v>
      </c>
      <c r="C217" s="289"/>
    </row>
    <row r="218" spans="1:3" ht="32.1" customHeight="1" x14ac:dyDescent="0.25">
      <c r="A218" s="199" t="s">
        <v>6</v>
      </c>
      <c r="B218" s="289" t="s">
        <v>233</v>
      </c>
      <c r="C218" s="289"/>
    </row>
    <row r="219" spans="1:3" ht="32.1" customHeight="1" x14ac:dyDescent="0.25">
      <c r="A219" s="199" t="s">
        <v>6</v>
      </c>
      <c r="B219" s="289" t="s">
        <v>234</v>
      </c>
      <c r="C219" s="289"/>
    </row>
    <row r="220" spans="1:3" ht="32.1" customHeight="1" x14ac:dyDescent="0.25">
      <c r="A220" s="199" t="s">
        <v>6</v>
      </c>
      <c r="B220" s="289" t="s">
        <v>235</v>
      </c>
      <c r="C220" s="289"/>
    </row>
    <row r="221" spans="1:3" ht="32.1" customHeight="1" x14ac:dyDescent="0.25">
      <c r="A221" s="199" t="s">
        <v>6</v>
      </c>
      <c r="B221" s="289" t="s">
        <v>236</v>
      </c>
      <c r="C221" s="289"/>
    </row>
    <row r="222" spans="1:3" ht="32.1" customHeight="1" x14ac:dyDescent="0.25">
      <c r="A222" s="199" t="s">
        <v>6</v>
      </c>
      <c r="B222" s="289" t="s">
        <v>237</v>
      </c>
      <c r="C222" s="289"/>
    </row>
    <row r="223" spans="1:3" ht="32.1" customHeight="1" x14ac:dyDescent="0.25">
      <c r="A223" s="199" t="s">
        <v>6</v>
      </c>
      <c r="B223" s="289" t="s">
        <v>238</v>
      </c>
      <c r="C223" s="289"/>
    </row>
    <row r="224" spans="1:3" ht="32.1" customHeight="1" x14ac:dyDescent="0.25">
      <c r="A224" s="199" t="s">
        <v>6</v>
      </c>
      <c r="B224" s="289" t="s">
        <v>239</v>
      </c>
      <c r="C224" s="289"/>
    </row>
    <row r="225" spans="1:3" ht="32.1" customHeight="1" x14ac:dyDescent="0.25">
      <c r="A225" s="199" t="s">
        <v>6</v>
      </c>
      <c r="B225" s="289" t="s">
        <v>240</v>
      </c>
      <c r="C225" s="289"/>
    </row>
    <row r="226" spans="1:3" ht="32.1" customHeight="1" x14ac:dyDescent="0.25">
      <c r="A226" s="199" t="s">
        <v>6</v>
      </c>
      <c r="B226" s="289" t="s">
        <v>241</v>
      </c>
      <c r="C226" s="289"/>
    </row>
    <row r="227" spans="1:3" ht="32.1" customHeight="1" x14ac:dyDescent="0.25">
      <c r="A227" s="199" t="s">
        <v>6</v>
      </c>
      <c r="B227" s="289" t="s">
        <v>242</v>
      </c>
      <c r="C227" s="289"/>
    </row>
    <row r="228" spans="1:3" ht="32.1" customHeight="1" x14ac:dyDescent="0.25">
      <c r="A228" s="199" t="s">
        <v>6</v>
      </c>
      <c r="B228" s="289" t="s">
        <v>243</v>
      </c>
      <c r="C228" s="289"/>
    </row>
    <row r="229" spans="1:3" ht="32.1" customHeight="1" x14ac:dyDescent="0.25">
      <c r="A229" s="199" t="s">
        <v>6</v>
      </c>
      <c r="B229" s="289" t="s">
        <v>244</v>
      </c>
      <c r="C229" s="289"/>
    </row>
    <row r="230" spans="1:3" ht="32.1" customHeight="1" x14ac:dyDescent="0.25">
      <c r="A230" s="199" t="s">
        <v>6</v>
      </c>
      <c r="B230" s="289" t="s">
        <v>245</v>
      </c>
      <c r="C230" s="289"/>
    </row>
    <row r="231" spans="1:3" ht="32.1" customHeight="1" x14ac:dyDescent="0.25">
      <c r="A231" s="199" t="s">
        <v>6</v>
      </c>
      <c r="B231" s="289" t="s">
        <v>246</v>
      </c>
      <c r="C231" s="289"/>
    </row>
    <row r="232" spans="1:3" ht="32.1" customHeight="1" x14ac:dyDescent="0.25">
      <c r="A232" s="199" t="s">
        <v>6</v>
      </c>
      <c r="B232" s="289" t="s">
        <v>247</v>
      </c>
      <c r="C232" s="289"/>
    </row>
    <row r="233" spans="1:3" ht="32.1" customHeight="1" x14ac:dyDescent="0.25">
      <c r="A233" s="199" t="s">
        <v>6</v>
      </c>
      <c r="B233" s="289" t="s">
        <v>248</v>
      </c>
      <c r="C233" s="289"/>
    </row>
    <row r="234" spans="1:3" ht="32.1" customHeight="1" x14ac:dyDescent="0.25">
      <c r="A234" s="199" t="s">
        <v>6</v>
      </c>
      <c r="B234" s="289" t="s">
        <v>249</v>
      </c>
      <c r="C234" s="289"/>
    </row>
    <row r="235" spans="1:3" ht="32.1" customHeight="1" x14ac:dyDescent="0.25">
      <c r="A235" s="199" t="s">
        <v>6</v>
      </c>
      <c r="B235" s="289" t="s">
        <v>250</v>
      </c>
      <c r="C235" s="289"/>
    </row>
    <row r="236" spans="1:3" ht="32.1" customHeight="1" x14ac:dyDescent="0.25">
      <c r="A236" s="199" t="s">
        <v>6</v>
      </c>
      <c r="B236" s="289" t="s">
        <v>251</v>
      </c>
      <c r="C236" s="289"/>
    </row>
    <row r="237" spans="1:3" ht="32.1" customHeight="1" x14ac:dyDescent="0.25">
      <c r="A237" s="199" t="s">
        <v>6</v>
      </c>
      <c r="B237" s="289" t="s">
        <v>252</v>
      </c>
      <c r="C237" s="289"/>
    </row>
    <row r="238" spans="1:3" ht="32.1" customHeight="1" x14ac:dyDescent="0.25">
      <c r="A238" s="199" t="s">
        <v>6</v>
      </c>
      <c r="B238" s="289" t="s">
        <v>253</v>
      </c>
      <c r="C238" s="289"/>
    </row>
    <row r="239" spans="1:3" ht="32.1" customHeight="1" x14ac:dyDescent="0.25">
      <c r="A239" s="199" t="s">
        <v>6</v>
      </c>
      <c r="B239" s="289" t="s">
        <v>254</v>
      </c>
      <c r="C239" s="289"/>
    </row>
    <row r="240" spans="1:3" ht="32.1" customHeight="1" x14ac:dyDescent="0.25">
      <c r="A240" s="199" t="s">
        <v>6</v>
      </c>
      <c r="B240" s="289" t="s">
        <v>255</v>
      </c>
      <c r="C240" s="289"/>
    </row>
    <row r="241" spans="1:3" ht="32.1" customHeight="1" x14ac:dyDescent="0.25">
      <c r="A241" s="199" t="s">
        <v>6</v>
      </c>
      <c r="B241" s="289" t="s">
        <v>256</v>
      </c>
      <c r="C241" s="289"/>
    </row>
    <row r="242" spans="1:3" ht="32.1" customHeight="1" x14ac:dyDescent="0.25">
      <c r="A242" s="199" t="s">
        <v>6</v>
      </c>
      <c r="B242" s="289" t="s">
        <v>257</v>
      </c>
      <c r="C242" s="289"/>
    </row>
    <row r="243" spans="1:3" ht="32.1" customHeight="1" x14ac:dyDescent="0.25">
      <c r="A243" s="199" t="s">
        <v>6</v>
      </c>
      <c r="B243" s="289" t="s">
        <v>258</v>
      </c>
      <c r="C243" s="289"/>
    </row>
    <row r="244" spans="1:3" ht="32.1" customHeight="1" x14ac:dyDescent="0.25">
      <c r="A244" s="199" t="s">
        <v>6</v>
      </c>
      <c r="B244" s="289" t="s">
        <v>259</v>
      </c>
      <c r="C244" s="289"/>
    </row>
    <row r="245" spans="1:3" ht="32.1" customHeight="1" x14ac:dyDescent="0.25">
      <c r="A245" s="199" t="s">
        <v>6</v>
      </c>
      <c r="B245" s="289" t="s">
        <v>260</v>
      </c>
      <c r="C245" s="289"/>
    </row>
    <row r="246" spans="1:3" ht="32.1" customHeight="1" x14ac:dyDescent="0.25">
      <c r="A246" s="199" t="s">
        <v>6</v>
      </c>
      <c r="B246" s="289" t="s">
        <v>261</v>
      </c>
      <c r="C246" s="289"/>
    </row>
    <row r="247" spans="1:3" ht="32.1" customHeight="1" x14ac:dyDescent="0.25">
      <c r="A247" s="199" t="s">
        <v>6</v>
      </c>
      <c r="B247" s="289" t="s">
        <v>262</v>
      </c>
      <c r="C247" s="289"/>
    </row>
    <row r="248" spans="1:3" ht="32.1" customHeight="1" x14ac:dyDescent="0.25">
      <c r="A248" s="199" t="s">
        <v>6</v>
      </c>
      <c r="B248" s="289" t="s">
        <v>263</v>
      </c>
      <c r="C248" s="289"/>
    </row>
    <row r="249" spans="1:3" ht="32.1" customHeight="1" x14ac:dyDescent="0.25">
      <c r="A249" s="199" t="s">
        <v>6</v>
      </c>
      <c r="B249" s="289" t="s">
        <v>264</v>
      </c>
      <c r="C249" s="289"/>
    </row>
    <row r="250" spans="1:3" ht="32.1" customHeight="1" x14ac:dyDescent="0.25">
      <c r="A250" s="199" t="s">
        <v>6</v>
      </c>
      <c r="B250" s="289" t="s">
        <v>265</v>
      </c>
      <c r="C250" s="289"/>
    </row>
    <row r="251" spans="1:3" ht="32.1" customHeight="1" x14ac:dyDescent="0.25">
      <c r="A251" s="199" t="s">
        <v>6</v>
      </c>
      <c r="B251" s="289" t="s">
        <v>266</v>
      </c>
      <c r="C251" s="289"/>
    </row>
    <row r="252" spans="1:3" ht="32.1" customHeight="1" x14ac:dyDescent="0.25">
      <c r="A252" s="199" t="s">
        <v>6</v>
      </c>
      <c r="B252" s="289" t="s">
        <v>267</v>
      </c>
      <c r="C252" s="289"/>
    </row>
    <row r="253" spans="1:3" ht="32.1" customHeight="1" x14ac:dyDescent="0.25">
      <c r="A253" s="199" t="s">
        <v>6</v>
      </c>
      <c r="B253" s="289" t="s">
        <v>268</v>
      </c>
      <c r="C253" s="289"/>
    </row>
    <row r="254" spans="1:3" ht="32.1" customHeight="1" x14ac:dyDescent="0.25">
      <c r="A254" s="199" t="s">
        <v>6</v>
      </c>
      <c r="B254" s="289" t="s">
        <v>269</v>
      </c>
      <c r="C254" s="289"/>
    </row>
    <row r="255" spans="1:3" ht="32.1" customHeight="1" x14ac:dyDescent="0.25">
      <c r="A255" s="199" t="s">
        <v>6</v>
      </c>
      <c r="B255" s="289" t="s">
        <v>270</v>
      </c>
      <c r="C255" s="289"/>
    </row>
    <row r="256" spans="1:3" ht="32.1" customHeight="1" x14ac:dyDescent="0.25">
      <c r="A256" s="199" t="s">
        <v>6</v>
      </c>
      <c r="B256" s="289" t="s">
        <v>271</v>
      </c>
      <c r="C256" s="289"/>
    </row>
    <row r="257" spans="1:3" ht="32.1" customHeight="1" x14ac:dyDescent="0.25">
      <c r="A257" s="199" t="s">
        <v>6</v>
      </c>
      <c r="B257" s="289" t="s">
        <v>272</v>
      </c>
      <c r="C257" s="289"/>
    </row>
    <row r="258" spans="1:3" ht="32.1" customHeight="1" x14ac:dyDescent="0.25">
      <c r="A258" s="199" t="s">
        <v>6</v>
      </c>
      <c r="B258" s="289" t="s">
        <v>273</v>
      </c>
      <c r="C258" s="289"/>
    </row>
    <row r="259" spans="1:3" ht="32.1" customHeight="1" x14ac:dyDescent="0.25">
      <c r="A259" s="199" t="s">
        <v>6</v>
      </c>
      <c r="B259" s="289" t="s">
        <v>274</v>
      </c>
      <c r="C259" s="289"/>
    </row>
    <row r="260" spans="1:3" ht="32.1" customHeight="1" x14ac:dyDescent="0.25">
      <c r="A260" s="199" t="s">
        <v>6</v>
      </c>
      <c r="B260" s="289" t="s">
        <v>275</v>
      </c>
      <c r="C260" s="289"/>
    </row>
    <row r="261" spans="1:3" ht="32.1" customHeight="1" x14ac:dyDescent="0.25">
      <c r="A261" s="199" t="s">
        <v>6</v>
      </c>
      <c r="B261" s="289" t="s">
        <v>276</v>
      </c>
      <c r="C261" s="289"/>
    </row>
    <row r="262" spans="1:3" ht="32.1" customHeight="1" x14ac:dyDescent="0.25">
      <c r="A262" s="199" t="s">
        <v>6</v>
      </c>
      <c r="B262" s="289" t="s">
        <v>277</v>
      </c>
      <c r="C262" s="289"/>
    </row>
    <row r="263" spans="1:3" ht="32.1" customHeight="1" x14ac:dyDescent="0.25">
      <c r="A263" s="199" t="s">
        <v>6</v>
      </c>
      <c r="B263" s="289" t="s">
        <v>278</v>
      </c>
      <c r="C263" s="289"/>
    </row>
    <row r="264" spans="1:3" ht="32.1" customHeight="1" x14ac:dyDescent="0.25">
      <c r="A264" s="199" t="s">
        <v>6</v>
      </c>
      <c r="B264" s="289" t="s">
        <v>279</v>
      </c>
      <c r="C264" s="289"/>
    </row>
    <row r="265" spans="1:3" ht="32.1" customHeight="1" x14ac:dyDescent="0.25">
      <c r="A265" s="199" t="s">
        <v>6</v>
      </c>
      <c r="B265" s="289" t="s">
        <v>280</v>
      </c>
      <c r="C265" s="289"/>
    </row>
    <row r="266" spans="1:3" ht="32.1" customHeight="1" x14ac:dyDescent="0.25">
      <c r="A266" s="199" t="s">
        <v>6</v>
      </c>
      <c r="B266" s="289" t="s">
        <v>281</v>
      </c>
      <c r="C266" s="289"/>
    </row>
    <row r="267" spans="1:3" ht="32.1" customHeight="1" x14ac:dyDescent="0.25">
      <c r="A267" s="199" t="s">
        <v>6</v>
      </c>
      <c r="B267" s="289" t="s">
        <v>282</v>
      </c>
      <c r="C267" s="289"/>
    </row>
    <row r="268" spans="1:3" ht="32.1" customHeight="1" x14ac:dyDescent="0.25">
      <c r="A268" s="199" t="s">
        <v>6</v>
      </c>
      <c r="B268" s="289" t="s">
        <v>283</v>
      </c>
      <c r="C268" s="289"/>
    </row>
    <row r="269" spans="1:3" ht="32.1" customHeight="1" x14ac:dyDescent="0.25">
      <c r="A269" s="199" t="s">
        <v>6</v>
      </c>
      <c r="B269" s="289" t="s">
        <v>284</v>
      </c>
      <c r="C269" s="289"/>
    </row>
    <row r="270" spans="1:3" ht="32.1" customHeight="1" x14ac:dyDescent="0.25">
      <c r="A270" s="199" t="s">
        <v>6</v>
      </c>
      <c r="B270" s="289" t="s">
        <v>285</v>
      </c>
      <c r="C270" s="289"/>
    </row>
    <row r="271" spans="1:3" ht="32.1" customHeight="1" x14ac:dyDescent="0.25">
      <c r="A271" s="199" t="s">
        <v>6</v>
      </c>
      <c r="B271" s="289" t="s">
        <v>286</v>
      </c>
      <c r="C271" s="289"/>
    </row>
    <row r="272" spans="1:3" ht="32.1" customHeight="1" x14ac:dyDescent="0.25">
      <c r="A272" s="199" t="s">
        <v>6</v>
      </c>
      <c r="B272" s="289" t="s">
        <v>287</v>
      </c>
      <c r="C272" s="289"/>
    </row>
    <row r="273" spans="1:3" ht="32.1" customHeight="1" x14ac:dyDescent="0.25">
      <c r="A273" s="199" t="s">
        <v>6</v>
      </c>
      <c r="B273" s="289" t="s">
        <v>288</v>
      </c>
      <c r="C273" s="289"/>
    </row>
    <row r="274" spans="1:3" ht="32.1" customHeight="1" x14ac:dyDescent="0.25">
      <c r="A274" s="199" t="s">
        <v>6</v>
      </c>
      <c r="B274" s="289" t="s">
        <v>289</v>
      </c>
      <c r="C274" s="289"/>
    </row>
    <row r="275" spans="1:3" ht="32.1" customHeight="1" x14ac:dyDescent="0.25">
      <c r="A275" s="199" t="s">
        <v>6</v>
      </c>
      <c r="B275" s="289" t="s">
        <v>290</v>
      </c>
      <c r="C275" s="289"/>
    </row>
    <row r="276" spans="1:3" ht="32.1" customHeight="1" x14ac:dyDescent="0.25">
      <c r="A276" s="199" t="s">
        <v>6</v>
      </c>
      <c r="B276" s="289" t="s">
        <v>291</v>
      </c>
      <c r="C276" s="289"/>
    </row>
    <row r="277" spans="1:3" ht="32.1" customHeight="1" x14ac:dyDescent="0.25">
      <c r="A277" s="199" t="s">
        <v>6</v>
      </c>
      <c r="B277" s="289" t="s">
        <v>292</v>
      </c>
      <c r="C277" s="289"/>
    </row>
    <row r="278" spans="1:3" ht="32.1" customHeight="1" x14ac:dyDescent="0.25">
      <c r="A278" s="199" t="s">
        <v>6</v>
      </c>
      <c r="B278" s="289" t="s">
        <v>293</v>
      </c>
      <c r="C278" s="289"/>
    </row>
    <row r="279" spans="1:3" ht="32.1" customHeight="1" x14ac:dyDescent="0.25">
      <c r="A279" s="199" t="s">
        <v>6</v>
      </c>
      <c r="B279" s="289" t="s">
        <v>294</v>
      </c>
      <c r="C279" s="289"/>
    </row>
    <row r="280" spans="1:3" ht="32.1" customHeight="1" x14ac:dyDescent="0.25">
      <c r="A280" s="199" t="s">
        <v>6</v>
      </c>
      <c r="B280" s="289" t="s">
        <v>295</v>
      </c>
      <c r="C280" s="289"/>
    </row>
    <row r="281" spans="1:3" ht="32.1" customHeight="1" x14ac:dyDescent="0.25">
      <c r="A281" s="199" t="s">
        <v>6</v>
      </c>
      <c r="B281" s="289" t="s">
        <v>296</v>
      </c>
      <c r="C281" s="289"/>
    </row>
    <row r="282" spans="1:3" ht="32.1" customHeight="1" x14ac:dyDescent="0.25">
      <c r="A282" s="199" t="s">
        <v>6</v>
      </c>
      <c r="B282" s="289" t="s">
        <v>297</v>
      </c>
      <c r="C282" s="289"/>
    </row>
    <row r="283" spans="1:3" ht="32.1" customHeight="1" x14ac:dyDescent="0.25">
      <c r="A283" s="199" t="s">
        <v>6</v>
      </c>
      <c r="B283" s="289" t="s">
        <v>298</v>
      </c>
      <c r="C283" s="289"/>
    </row>
    <row r="284" spans="1:3" ht="32.1" customHeight="1" x14ac:dyDescent="0.25">
      <c r="A284" s="199" t="s">
        <v>6</v>
      </c>
      <c r="B284" s="289" t="s">
        <v>299</v>
      </c>
      <c r="C284" s="289"/>
    </row>
    <row r="285" spans="1:3" ht="32.1" customHeight="1" x14ac:dyDescent="0.25">
      <c r="A285" s="199" t="s">
        <v>6</v>
      </c>
      <c r="B285" s="289" t="s">
        <v>300</v>
      </c>
      <c r="C285" s="289"/>
    </row>
    <row r="286" spans="1:3" ht="32.1" customHeight="1" x14ac:dyDescent="0.25">
      <c r="A286" s="199" t="s">
        <v>6</v>
      </c>
      <c r="B286" s="289" t="s">
        <v>301</v>
      </c>
      <c r="C286" s="289"/>
    </row>
    <row r="287" spans="1:3" ht="32.1" customHeight="1" x14ac:dyDescent="0.25">
      <c r="A287" s="199" t="s">
        <v>6</v>
      </c>
      <c r="B287" s="289" t="s">
        <v>302</v>
      </c>
      <c r="C287" s="289"/>
    </row>
    <row r="288" spans="1:3" ht="32.1" customHeight="1" x14ac:dyDescent="0.25">
      <c r="A288" s="199" t="s">
        <v>6</v>
      </c>
      <c r="B288" s="289" t="s">
        <v>303</v>
      </c>
      <c r="C288" s="289"/>
    </row>
    <row r="289" spans="1:3" ht="32.1" customHeight="1" x14ac:dyDescent="0.25">
      <c r="A289" s="199" t="s">
        <v>6</v>
      </c>
      <c r="B289" s="289" t="s">
        <v>304</v>
      </c>
      <c r="C289" s="289"/>
    </row>
    <row r="290" spans="1:3" ht="32.1" customHeight="1" x14ac:dyDescent="0.25">
      <c r="A290" s="199" t="s">
        <v>6</v>
      </c>
      <c r="B290" s="289" t="s">
        <v>305</v>
      </c>
      <c r="C290" s="289"/>
    </row>
    <row r="291" spans="1:3" ht="32.1" customHeight="1" x14ac:dyDescent="0.25">
      <c r="A291" s="199" t="s">
        <v>6</v>
      </c>
      <c r="B291" s="289" t="s">
        <v>306</v>
      </c>
      <c r="C291" s="289"/>
    </row>
    <row r="292" spans="1:3" ht="32.1" customHeight="1" x14ac:dyDescent="0.25">
      <c r="A292" s="199" t="s">
        <v>6</v>
      </c>
      <c r="B292" s="289" t="s">
        <v>307</v>
      </c>
      <c r="C292" s="289"/>
    </row>
    <row r="293" spans="1:3" ht="32.1" customHeight="1" x14ac:dyDescent="0.25">
      <c r="A293" s="199" t="s">
        <v>6</v>
      </c>
      <c r="B293" s="289" t="s">
        <v>308</v>
      </c>
      <c r="C293" s="289"/>
    </row>
    <row r="294" spans="1:3" ht="32.1" customHeight="1" x14ac:dyDescent="0.25">
      <c r="A294" s="199" t="s">
        <v>6</v>
      </c>
      <c r="B294" s="289" t="s">
        <v>309</v>
      </c>
      <c r="C294" s="289"/>
    </row>
    <row r="295" spans="1:3" ht="32.1" customHeight="1" x14ac:dyDescent="0.25">
      <c r="A295" s="199" t="s">
        <v>6</v>
      </c>
      <c r="B295" s="289" t="s">
        <v>310</v>
      </c>
      <c r="C295" s="289"/>
    </row>
    <row r="296" spans="1:3" ht="32.1" customHeight="1" x14ac:dyDescent="0.25">
      <c r="A296" s="199" t="s">
        <v>6</v>
      </c>
      <c r="B296" s="289" t="s">
        <v>311</v>
      </c>
      <c r="C296" s="289"/>
    </row>
    <row r="297" spans="1:3" ht="32.1" customHeight="1" x14ac:dyDescent="0.25">
      <c r="A297" s="199" t="s">
        <v>6</v>
      </c>
      <c r="B297" s="289" t="s">
        <v>312</v>
      </c>
      <c r="C297" s="289"/>
    </row>
    <row r="298" spans="1:3" ht="32.1" customHeight="1" x14ac:dyDescent="0.25">
      <c r="A298" s="199" t="s">
        <v>6</v>
      </c>
      <c r="B298" s="289" t="s">
        <v>313</v>
      </c>
      <c r="C298" s="289"/>
    </row>
    <row r="299" spans="1:3" ht="32.1" customHeight="1" x14ac:dyDescent="0.25">
      <c r="A299" s="199" t="s">
        <v>6</v>
      </c>
      <c r="B299" s="289" t="s">
        <v>314</v>
      </c>
      <c r="C299" s="289"/>
    </row>
    <row r="300" spans="1:3" ht="32.1" customHeight="1" x14ac:dyDescent="0.25">
      <c r="A300" s="199" t="s">
        <v>6</v>
      </c>
      <c r="B300" s="289" t="s">
        <v>315</v>
      </c>
      <c r="C300" s="289"/>
    </row>
    <row r="301" spans="1:3" ht="32.1" customHeight="1" x14ac:dyDescent="0.25">
      <c r="A301" s="199" t="s">
        <v>6</v>
      </c>
      <c r="B301" s="289" t="s">
        <v>316</v>
      </c>
      <c r="C301" s="289"/>
    </row>
    <row r="302" spans="1:3" ht="32.1" customHeight="1" x14ac:dyDescent="0.25">
      <c r="A302" s="199" t="s">
        <v>6</v>
      </c>
      <c r="B302" s="289" t="s">
        <v>317</v>
      </c>
      <c r="C302" s="289"/>
    </row>
    <row r="303" spans="1:3" ht="32.1" customHeight="1" x14ac:dyDescent="0.25">
      <c r="A303" s="199" t="s">
        <v>6</v>
      </c>
      <c r="B303" s="289" t="s">
        <v>318</v>
      </c>
      <c r="C303" s="289"/>
    </row>
    <row r="304" spans="1:3" ht="32.1" customHeight="1" x14ac:dyDescent="0.25">
      <c r="A304" s="199" t="s">
        <v>6</v>
      </c>
      <c r="B304" s="289" t="s">
        <v>319</v>
      </c>
      <c r="C304" s="289"/>
    </row>
    <row r="305" spans="1:3" ht="32.1" customHeight="1" x14ac:dyDescent="0.25">
      <c r="A305" s="199" t="s">
        <v>6</v>
      </c>
      <c r="B305" s="289" t="s">
        <v>320</v>
      </c>
      <c r="C305" s="289"/>
    </row>
    <row r="306" spans="1:3" ht="32.1" customHeight="1" x14ac:dyDescent="0.25">
      <c r="A306" s="199" t="s">
        <v>6</v>
      </c>
      <c r="B306" s="289" t="s">
        <v>321</v>
      </c>
      <c r="C306" s="289"/>
    </row>
    <row r="307" spans="1:3" ht="32.1" customHeight="1" x14ac:dyDescent="0.25">
      <c r="A307" s="199" t="s">
        <v>6</v>
      </c>
      <c r="B307" s="289" t="s">
        <v>322</v>
      </c>
      <c r="C307" s="289"/>
    </row>
    <row r="308" spans="1:3" ht="32.1" customHeight="1" x14ac:dyDescent="0.25">
      <c r="A308" s="199" t="s">
        <v>6</v>
      </c>
      <c r="B308" s="289" t="s">
        <v>323</v>
      </c>
      <c r="C308" s="289"/>
    </row>
    <row r="309" spans="1:3" ht="32.1" customHeight="1" x14ac:dyDescent="0.25">
      <c r="A309" s="199" t="s">
        <v>6</v>
      </c>
      <c r="B309" s="289" t="s">
        <v>324</v>
      </c>
      <c r="C309" s="289"/>
    </row>
    <row r="310" spans="1:3" ht="32.1" customHeight="1" x14ac:dyDescent="0.25">
      <c r="A310" s="199" t="s">
        <v>6</v>
      </c>
      <c r="B310" s="289" t="s">
        <v>325</v>
      </c>
      <c r="C310" s="289"/>
    </row>
    <row r="311" spans="1:3" ht="32.1" customHeight="1" x14ac:dyDescent="0.25">
      <c r="A311" s="199" t="s">
        <v>6</v>
      </c>
      <c r="B311" s="289" t="s">
        <v>326</v>
      </c>
      <c r="C311" s="289"/>
    </row>
    <row r="312" spans="1:3" ht="32.1" customHeight="1" x14ac:dyDescent="0.25">
      <c r="A312" s="199" t="s">
        <v>6</v>
      </c>
      <c r="B312" s="289" t="s">
        <v>327</v>
      </c>
      <c r="C312" s="289"/>
    </row>
    <row r="313" spans="1:3" ht="32.1" customHeight="1" x14ac:dyDescent="0.25">
      <c r="A313" s="199" t="s">
        <v>6</v>
      </c>
      <c r="B313" s="289" t="s">
        <v>328</v>
      </c>
      <c r="C313" s="289"/>
    </row>
    <row r="314" spans="1:3" ht="32.1" customHeight="1" x14ac:dyDescent="0.25">
      <c r="A314" s="199" t="s">
        <v>6</v>
      </c>
      <c r="B314" s="289" t="s">
        <v>329</v>
      </c>
      <c r="C314" s="289"/>
    </row>
    <row r="315" spans="1:3" ht="32.1" customHeight="1" x14ac:dyDescent="0.25">
      <c r="A315" s="199" t="s">
        <v>6</v>
      </c>
      <c r="B315" s="289" t="s">
        <v>330</v>
      </c>
      <c r="C315" s="289"/>
    </row>
    <row r="316" spans="1:3" ht="32.1" customHeight="1" x14ac:dyDescent="0.25">
      <c r="A316" s="199" t="s">
        <v>6</v>
      </c>
      <c r="B316" s="289" t="s">
        <v>331</v>
      </c>
      <c r="C316" s="289"/>
    </row>
    <row r="317" spans="1:3" ht="32.1" customHeight="1" x14ac:dyDescent="0.25">
      <c r="A317" s="199" t="s">
        <v>6</v>
      </c>
      <c r="B317" s="289" t="s">
        <v>332</v>
      </c>
      <c r="C317" s="289"/>
    </row>
    <row r="318" spans="1:3" ht="32.1" customHeight="1" x14ac:dyDescent="0.25">
      <c r="A318" s="199" t="s">
        <v>6</v>
      </c>
      <c r="B318" s="289" t="s">
        <v>333</v>
      </c>
      <c r="C318" s="289"/>
    </row>
    <row r="319" spans="1:3" ht="32.1" customHeight="1" x14ac:dyDescent="0.25">
      <c r="A319" s="199" t="s">
        <v>6</v>
      </c>
      <c r="B319" s="289" t="s">
        <v>334</v>
      </c>
      <c r="C319" s="289"/>
    </row>
    <row r="320" spans="1:3" ht="32.1" customHeight="1" x14ac:dyDescent="0.25">
      <c r="A320" s="199" t="s">
        <v>6</v>
      </c>
      <c r="B320" s="289" t="s">
        <v>335</v>
      </c>
      <c r="C320" s="289"/>
    </row>
    <row r="321" spans="1:3" ht="32.1" customHeight="1" x14ac:dyDescent="0.25">
      <c r="A321" s="199" t="s">
        <v>6</v>
      </c>
      <c r="B321" s="289" t="s">
        <v>336</v>
      </c>
      <c r="C321" s="289"/>
    </row>
    <row r="322" spans="1:3" ht="32.1" customHeight="1" x14ac:dyDescent="0.25">
      <c r="A322" s="199" t="s">
        <v>6</v>
      </c>
      <c r="B322" s="289" t="s">
        <v>337</v>
      </c>
      <c r="C322" s="289"/>
    </row>
    <row r="323" spans="1:3" ht="32.1" customHeight="1" x14ac:dyDescent="0.25">
      <c r="A323" s="199" t="s">
        <v>6</v>
      </c>
      <c r="B323" s="289" t="s">
        <v>338</v>
      </c>
      <c r="C323" s="289"/>
    </row>
    <row r="324" spans="1:3" ht="32.1" customHeight="1" x14ac:dyDescent="0.25">
      <c r="A324" s="199" t="s">
        <v>6</v>
      </c>
      <c r="B324" s="289" t="s">
        <v>339</v>
      </c>
      <c r="C324" s="289"/>
    </row>
    <row r="325" spans="1:3" ht="32.1" customHeight="1" x14ac:dyDescent="0.25">
      <c r="A325" s="199" t="s">
        <v>6</v>
      </c>
      <c r="B325" s="289" t="s">
        <v>340</v>
      </c>
      <c r="C325" s="289"/>
    </row>
    <row r="326" spans="1:3" ht="32.1" customHeight="1" x14ac:dyDescent="0.25">
      <c r="A326" s="199" t="s">
        <v>6</v>
      </c>
      <c r="B326" s="289" t="s">
        <v>341</v>
      </c>
      <c r="C326" s="289"/>
    </row>
    <row r="327" spans="1:3" ht="32.1" customHeight="1" x14ac:dyDescent="0.25">
      <c r="A327" s="199" t="s">
        <v>6</v>
      </c>
      <c r="B327" s="289" t="s">
        <v>342</v>
      </c>
      <c r="C327" s="289"/>
    </row>
    <row r="328" spans="1:3" ht="32.1" customHeight="1" x14ac:dyDescent="0.25">
      <c r="A328" s="199" t="s">
        <v>6</v>
      </c>
      <c r="B328" s="289" t="s">
        <v>343</v>
      </c>
      <c r="C328" s="289"/>
    </row>
    <row r="329" spans="1:3" ht="32.1" customHeight="1" x14ac:dyDescent="0.25">
      <c r="A329" s="199" t="s">
        <v>6</v>
      </c>
      <c r="B329" s="289" t="s">
        <v>344</v>
      </c>
      <c r="C329" s="289"/>
    </row>
    <row r="330" spans="1:3" ht="32.1" customHeight="1" x14ac:dyDescent="0.25">
      <c r="A330" s="199" t="s">
        <v>6</v>
      </c>
      <c r="B330" s="289" t="s">
        <v>345</v>
      </c>
      <c r="C330" s="289"/>
    </row>
    <row r="331" spans="1:3" ht="32.1" customHeight="1" x14ac:dyDescent="0.25">
      <c r="A331" s="199" t="s">
        <v>6</v>
      </c>
      <c r="B331" s="289" t="s">
        <v>346</v>
      </c>
      <c r="C331" s="289"/>
    </row>
    <row r="332" spans="1:3" ht="32.1" customHeight="1" x14ac:dyDescent="0.25">
      <c r="A332" s="199" t="s">
        <v>6</v>
      </c>
      <c r="B332" s="289" t="s">
        <v>347</v>
      </c>
      <c r="C332" s="289"/>
    </row>
    <row r="333" spans="1:3" ht="32.1" customHeight="1" x14ac:dyDescent="0.25">
      <c r="A333" s="199" t="s">
        <v>6</v>
      </c>
      <c r="B333" s="289" t="s">
        <v>348</v>
      </c>
      <c r="C333" s="289"/>
    </row>
    <row r="334" spans="1:3" ht="32.1" customHeight="1" x14ac:dyDescent="0.25">
      <c r="A334" s="199" t="s">
        <v>6</v>
      </c>
      <c r="B334" s="289" t="s">
        <v>349</v>
      </c>
      <c r="C334" s="289"/>
    </row>
    <row r="335" spans="1:3" ht="32.1" customHeight="1" x14ac:dyDescent="0.25">
      <c r="A335" s="199" t="s">
        <v>6</v>
      </c>
      <c r="B335" s="289" t="s">
        <v>350</v>
      </c>
      <c r="C335" s="289"/>
    </row>
    <row r="336" spans="1:3" ht="32.1" customHeight="1" x14ac:dyDescent="0.25">
      <c r="A336" s="199" t="s">
        <v>6</v>
      </c>
      <c r="B336" s="289" t="s">
        <v>351</v>
      </c>
      <c r="C336" s="289"/>
    </row>
    <row r="337" spans="1:3" ht="32.1" customHeight="1" x14ac:dyDescent="0.25">
      <c r="A337" s="199" t="s">
        <v>6</v>
      </c>
      <c r="B337" s="289" t="s">
        <v>352</v>
      </c>
      <c r="C337" s="289"/>
    </row>
    <row r="338" spans="1:3" ht="32.1" customHeight="1" x14ac:dyDescent="0.25">
      <c r="A338" s="199" t="s">
        <v>6</v>
      </c>
      <c r="B338" s="289" t="s">
        <v>353</v>
      </c>
      <c r="C338" s="289"/>
    </row>
    <row r="339" spans="1:3" ht="32.1" customHeight="1" x14ac:dyDescent="0.25">
      <c r="A339" s="199" t="s">
        <v>6</v>
      </c>
      <c r="B339" s="289" t="s">
        <v>354</v>
      </c>
      <c r="C339" s="289"/>
    </row>
    <row r="340" spans="1:3" ht="32.1" customHeight="1" x14ac:dyDescent="0.25">
      <c r="A340" s="199" t="s">
        <v>6</v>
      </c>
      <c r="B340" s="289" t="s">
        <v>355</v>
      </c>
      <c r="C340" s="289"/>
    </row>
    <row r="341" spans="1:3" ht="32.1" customHeight="1" x14ac:dyDescent="0.25">
      <c r="A341" s="199" t="s">
        <v>6</v>
      </c>
      <c r="B341" s="289" t="s">
        <v>356</v>
      </c>
      <c r="C341" s="289"/>
    </row>
    <row r="342" spans="1:3" ht="32.1" customHeight="1" x14ac:dyDescent="0.25">
      <c r="A342" s="199" t="s">
        <v>6</v>
      </c>
      <c r="B342" s="289" t="s">
        <v>357</v>
      </c>
      <c r="C342" s="289"/>
    </row>
    <row r="343" spans="1:3" ht="32.1" customHeight="1" x14ac:dyDescent="0.25">
      <c r="A343" s="199" t="s">
        <v>6</v>
      </c>
      <c r="B343" s="289" t="s">
        <v>358</v>
      </c>
      <c r="C343" s="289"/>
    </row>
    <row r="344" spans="1:3" ht="32.1" customHeight="1" x14ac:dyDescent="0.25">
      <c r="A344" s="199" t="s">
        <v>6</v>
      </c>
      <c r="B344" s="289" t="s">
        <v>359</v>
      </c>
      <c r="C344" s="289"/>
    </row>
    <row r="345" spans="1:3" ht="32.1" customHeight="1" x14ac:dyDescent="0.25">
      <c r="A345" s="199" t="s">
        <v>6</v>
      </c>
      <c r="B345" s="289" t="s">
        <v>360</v>
      </c>
      <c r="C345" s="289"/>
    </row>
    <row r="346" spans="1:3" ht="32.1" customHeight="1" x14ac:dyDescent="0.25">
      <c r="A346" s="199" t="s">
        <v>6</v>
      </c>
      <c r="B346" s="289" t="s">
        <v>361</v>
      </c>
      <c r="C346" s="289"/>
    </row>
    <row r="347" spans="1:3" ht="32.1" customHeight="1" x14ac:dyDescent="0.25">
      <c r="A347" s="199" t="s">
        <v>6</v>
      </c>
      <c r="B347" s="289" t="s">
        <v>362</v>
      </c>
      <c r="C347" s="289"/>
    </row>
    <row r="348" spans="1:3" ht="32.1" customHeight="1" x14ac:dyDescent="0.25">
      <c r="A348" s="199" t="s">
        <v>6</v>
      </c>
      <c r="B348" s="289" t="s">
        <v>363</v>
      </c>
      <c r="C348" s="289"/>
    </row>
    <row r="349" spans="1:3" ht="32.1" customHeight="1" x14ac:dyDescent="0.25">
      <c r="A349" s="199" t="s">
        <v>6</v>
      </c>
      <c r="B349" s="289" t="s">
        <v>364</v>
      </c>
      <c r="C349" s="289"/>
    </row>
    <row r="350" spans="1:3" ht="32.1" customHeight="1" x14ac:dyDescent="0.25">
      <c r="A350" s="199" t="s">
        <v>6</v>
      </c>
      <c r="B350" s="289" t="s">
        <v>365</v>
      </c>
      <c r="C350" s="289"/>
    </row>
    <row r="351" spans="1:3" ht="32.1" customHeight="1" x14ac:dyDescent="0.25">
      <c r="A351" s="199" t="s">
        <v>6</v>
      </c>
      <c r="B351" s="289" t="s">
        <v>366</v>
      </c>
      <c r="C351" s="289"/>
    </row>
    <row r="352" spans="1:3" ht="32.1" customHeight="1" x14ac:dyDescent="0.25">
      <c r="A352" s="199" t="s">
        <v>6</v>
      </c>
      <c r="B352" s="289" t="s">
        <v>367</v>
      </c>
      <c r="C352" s="289"/>
    </row>
    <row r="353" spans="1:3" ht="32.1" customHeight="1" x14ac:dyDescent="0.25">
      <c r="A353" s="199" t="s">
        <v>6</v>
      </c>
      <c r="B353" s="289" t="s">
        <v>368</v>
      </c>
      <c r="C353" s="289"/>
    </row>
    <row r="354" spans="1:3" ht="32.1" customHeight="1" x14ac:dyDescent="0.25">
      <c r="A354" s="199" t="s">
        <v>6</v>
      </c>
      <c r="B354" s="289" t="s">
        <v>369</v>
      </c>
      <c r="C354" s="289"/>
    </row>
    <row r="355" spans="1:3" ht="32.1" customHeight="1" x14ac:dyDescent="0.25">
      <c r="A355" s="199" t="s">
        <v>6</v>
      </c>
      <c r="B355" s="289" t="s">
        <v>370</v>
      </c>
      <c r="C355" s="289"/>
    </row>
    <row r="356" spans="1:3" ht="32.1" customHeight="1" x14ac:dyDescent="0.25">
      <c r="A356" s="199" t="s">
        <v>6</v>
      </c>
      <c r="B356" s="289" t="s">
        <v>371</v>
      </c>
      <c r="C356" s="289"/>
    </row>
    <row r="357" spans="1:3" ht="32.1" customHeight="1" x14ac:dyDescent="0.25">
      <c r="A357" s="199" t="s">
        <v>6</v>
      </c>
      <c r="B357" s="289" t="s">
        <v>372</v>
      </c>
      <c r="C357" s="289"/>
    </row>
    <row r="358" spans="1:3" ht="32.1" customHeight="1" x14ac:dyDescent="0.25">
      <c r="A358" s="199" t="s">
        <v>6</v>
      </c>
      <c r="B358" s="289" t="s">
        <v>373</v>
      </c>
      <c r="C358" s="289"/>
    </row>
    <row r="359" spans="1:3" ht="32.1" customHeight="1" x14ac:dyDescent="0.25">
      <c r="A359" s="199" t="s">
        <v>6</v>
      </c>
      <c r="B359" s="289" t="s">
        <v>374</v>
      </c>
      <c r="C359" s="289"/>
    </row>
    <row r="360" spans="1:3" ht="32.1" customHeight="1" x14ac:dyDescent="0.25">
      <c r="A360" s="199" t="s">
        <v>6</v>
      </c>
      <c r="B360" s="289" t="s">
        <v>375</v>
      </c>
      <c r="C360" s="289"/>
    </row>
    <row r="361" spans="1:3" ht="32.1" customHeight="1" x14ac:dyDescent="0.25">
      <c r="A361" s="199" t="s">
        <v>6</v>
      </c>
      <c r="B361" s="289" t="s">
        <v>376</v>
      </c>
      <c r="C361" s="289"/>
    </row>
    <row r="362" spans="1:3" ht="32.1" customHeight="1" x14ac:dyDescent="0.25">
      <c r="A362" s="199" t="s">
        <v>6</v>
      </c>
      <c r="B362" s="289" t="s">
        <v>377</v>
      </c>
      <c r="C362" s="289"/>
    </row>
    <row r="363" spans="1:3" ht="32.1" customHeight="1" x14ac:dyDescent="0.25">
      <c r="A363" s="199" t="s">
        <v>6</v>
      </c>
      <c r="B363" s="289" t="s">
        <v>378</v>
      </c>
      <c r="C363" s="289"/>
    </row>
    <row r="364" spans="1:3" ht="32.1" customHeight="1" x14ac:dyDescent="0.25">
      <c r="A364" s="199" t="s">
        <v>6</v>
      </c>
      <c r="B364" s="289" t="s">
        <v>379</v>
      </c>
      <c r="C364" s="289"/>
    </row>
    <row r="365" spans="1:3" ht="32.1" customHeight="1" x14ac:dyDescent="0.25">
      <c r="A365" s="199" t="s">
        <v>6</v>
      </c>
      <c r="B365" s="289" t="s">
        <v>380</v>
      </c>
      <c r="C365" s="289"/>
    </row>
    <row r="366" spans="1:3" ht="32.1" customHeight="1" x14ac:dyDescent="0.25">
      <c r="A366" s="199" t="s">
        <v>6</v>
      </c>
      <c r="B366" s="289" t="s">
        <v>381</v>
      </c>
      <c r="C366" s="289"/>
    </row>
    <row r="367" spans="1:3" ht="32.1" customHeight="1" x14ac:dyDescent="0.25">
      <c r="A367" s="199" t="s">
        <v>6</v>
      </c>
      <c r="B367" s="289" t="s">
        <v>382</v>
      </c>
      <c r="C367" s="289"/>
    </row>
    <row r="368" spans="1:3" ht="32.1" customHeight="1" x14ac:dyDescent="0.25">
      <c r="A368" s="199" t="s">
        <v>6</v>
      </c>
      <c r="B368" s="289" t="s">
        <v>383</v>
      </c>
      <c r="C368" s="289"/>
    </row>
    <row r="369" spans="1:3" ht="32.1" customHeight="1" x14ac:dyDescent="0.25">
      <c r="A369" s="199" t="s">
        <v>6</v>
      </c>
      <c r="B369" s="289" t="s">
        <v>384</v>
      </c>
      <c r="C369" s="289"/>
    </row>
    <row r="370" spans="1:3" ht="32.1" customHeight="1" x14ac:dyDescent="0.25">
      <c r="A370" s="199" t="s">
        <v>6</v>
      </c>
      <c r="B370" s="289" t="s">
        <v>385</v>
      </c>
      <c r="C370" s="289"/>
    </row>
    <row r="371" spans="1:3" ht="32.1" customHeight="1" x14ac:dyDescent="0.25">
      <c r="A371" s="199" t="s">
        <v>6</v>
      </c>
      <c r="B371" s="289" t="s">
        <v>386</v>
      </c>
      <c r="C371" s="289"/>
    </row>
    <row r="372" spans="1:3" ht="32.1" customHeight="1" x14ac:dyDescent="0.25">
      <c r="A372" s="199" t="s">
        <v>6</v>
      </c>
      <c r="B372" s="289" t="s">
        <v>387</v>
      </c>
      <c r="C372" s="289"/>
    </row>
    <row r="373" spans="1:3" ht="32.1" customHeight="1" x14ac:dyDescent="0.25">
      <c r="A373" s="199" t="s">
        <v>6</v>
      </c>
      <c r="B373" s="289" t="s">
        <v>388</v>
      </c>
      <c r="C373" s="289"/>
    </row>
    <row r="374" spans="1:3" ht="32.1" customHeight="1" x14ac:dyDescent="0.25">
      <c r="A374" s="199" t="s">
        <v>6</v>
      </c>
      <c r="B374" s="289" t="s">
        <v>389</v>
      </c>
      <c r="C374" s="289"/>
    </row>
    <row r="375" spans="1:3" ht="32.1" customHeight="1" x14ac:dyDescent="0.25">
      <c r="A375" s="199" t="s">
        <v>6</v>
      </c>
      <c r="B375" s="289" t="s">
        <v>390</v>
      </c>
      <c r="C375" s="289"/>
    </row>
    <row r="376" spans="1:3" ht="32.1" customHeight="1" x14ac:dyDescent="0.25">
      <c r="A376" s="199" t="s">
        <v>6</v>
      </c>
      <c r="B376" s="289" t="s">
        <v>391</v>
      </c>
      <c r="C376" s="289"/>
    </row>
    <row r="377" spans="1:3" ht="32.1" customHeight="1" x14ac:dyDescent="0.25">
      <c r="A377" s="199" t="s">
        <v>6</v>
      </c>
      <c r="B377" s="289" t="s">
        <v>392</v>
      </c>
      <c r="C377" s="289"/>
    </row>
    <row r="378" spans="1:3" ht="32.1" customHeight="1" x14ac:dyDescent="0.25">
      <c r="A378" s="199" t="s">
        <v>6</v>
      </c>
      <c r="B378" s="289" t="s">
        <v>393</v>
      </c>
      <c r="C378" s="289"/>
    </row>
    <row r="379" spans="1:3" ht="32.1" customHeight="1" x14ac:dyDescent="0.25">
      <c r="A379" s="199" t="s">
        <v>6</v>
      </c>
      <c r="B379" s="289" t="s">
        <v>394</v>
      </c>
      <c r="C379" s="289"/>
    </row>
    <row r="380" spans="1:3" ht="32.1" customHeight="1" x14ac:dyDescent="0.25">
      <c r="A380" s="199" t="s">
        <v>6</v>
      </c>
      <c r="B380" s="289" t="s">
        <v>395</v>
      </c>
      <c r="C380" s="289"/>
    </row>
    <row r="381" spans="1:3" ht="32.1" customHeight="1" x14ac:dyDescent="0.25">
      <c r="A381" s="199" t="s">
        <v>6</v>
      </c>
      <c r="B381" s="289" t="s">
        <v>396</v>
      </c>
      <c r="C381" s="289"/>
    </row>
    <row r="382" spans="1:3" ht="32.1" customHeight="1" x14ac:dyDescent="0.25">
      <c r="A382" s="199" t="s">
        <v>6</v>
      </c>
      <c r="B382" s="289" t="s">
        <v>397</v>
      </c>
      <c r="C382" s="289"/>
    </row>
    <row r="383" spans="1:3" ht="32.1" customHeight="1" x14ac:dyDescent="0.25">
      <c r="A383" s="199" t="s">
        <v>6</v>
      </c>
      <c r="B383" s="289" t="s">
        <v>398</v>
      </c>
      <c r="C383" s="289"/>
    </row>
    <row r="384" spans="1:3" ht="32.1" customHeight="1" x14ac:dyDescent="0.25">
      <c r="A384" s="199" t="s">
        <v>6</v>
      </c>
      <c r="B384" s="289" t="s">
        <v>399</v>
      </c>
      <c r="C384" s="289"/>
    </row>
    <row r="385" spans="1:3" ht="32.1" customHeight="1" x14ac:dyDescent="0.25">
      <c r="A385" s="199" t="s">
        <v>6</v>
      </c>
      <c r="B385" s="289" t="s">
        <v>400</v>
      </c>
      <c r="C385" s="289"/>
    </row>
    <row r="386" spans="1:3" ht="32.1" customHeight="1" x14ac:dyDescent="0.25">
      <c r="A386" s="199" t="s">
        <v>6</v>
      </c>
      <c r="B386" s="289" t="s">
        <v>401</v>
      </c>
      <c r="C386" s="289"/>
    </row>
    <row r="387" spans="1:3" ht="32.1" customHeight="1" x14ac:dyDescent="0.25">
      <c r="A387" s="199" t="s">
        <v>6</v>
      </c>
      <c r="B387" s="289" t="s">
        <v>402</v>
      </c>
      <c r="C387" s="289"/>
    </row>
    <row r="388" spans="1:3" ht="32.1" customHeight="1" x14ac:dyDescent="0.25">
      <c r="A388" s="199" t="s">
        <v>6</v>
      </c>
      <c r="B388" s="289" t="s">
        <v>403</v>
      </c>
      <c r="C388" s="289"/>
    </row>
    <row r="389" spans="1:3" ht="32.1" customHeight="1" x14ac:dyDescent="0.25">
      <c r="A389" s="199" t="s">
        <v>6</v>
      </c>
      <c r="B389" s="289" t="s">
        <v>404</v>
      </c>
      <c r="C389" s="289"/>
    </row>
    <row r="390" spans="1:3" ht="32.1" customHeight="1" x14ac:dyDescent="0.25">
      <c r="A390" s="199" t="s">
        <v>6</v>
      </c>
      <c r="B390" s="289" t="s">
        <v>405</v>
      </c>
      <c r="C390" s="289"/>
    </row>
    <row r="391" spans="1:3" ht="32.1" customHeight="1" x14ac:dyDescent="0.25">
      <c r="A391" s="199" t="s">
        <v>6</v>
      </c>
      <c r="B391" s="289" t="s">
        <v>406</v>
      </c>
      <c r="C391" s="289"/>
    </row>
    <row r="392" spans="1:3" ht="32.1" customHeight="1" x14ac:dyDescent="0.25">
      <c r="A392" s="199" t="s">
        <v>6</v>
      </c>
      <c r="B392" s="289" t="s">
        <v>407</v>
      </c>
      <c r="C392" s="289"/>
    </row>
    <row r="393" spans="1:3" ht="32.1" customHeight="1" x14ac:dyDescent="0.25">
      <c r="A393" s="199" t="s">
        <v>6</v>
      </c>
      <c r="B393" s="289" t="s">
        <v>408</v>
      </c>
      <c r="C393" s="289"/>
    </row>
    <row r="394" spans="1:3" ht="32.1" customHeight="1" x14ac:dyDescent="0.25">
      <c r="A394" s="199" t="s">
        <v>6</v>
      </c>
      <c r="B394" s="289" t="s">
        <v>409</v>
      </c>
      <c r="C394" s="289"/>
    </row>
    <row r="395" spans="1:3" ht="32.1" customHeight="1" x14ac:dyDescent="0.25">
      <c r="A395" s="199" t="s">
        <v>6</v>
      </c>
      <c r="B395" s="289" t="s">
        <v>410</v>
      </c>
      <c r="C395" s="289"/>
    </row>
    <row r="396" spans="1:3" ht="32.1" customHeight="1" x14ac:dyDescent="0.25">
      <c r="A396" s="199" t="s">
        <v>6</v>
      </c>
      <c r="B396" s="289" t="s">
        <v>411</v>
      </c>
      <c r="C396" s="289"/>
    </row>
    <row r="397" spans="1:3" ht="32.1" customHeight="1" x14ac:dyDescent="0.25">
      <c r="A397" s="199" t="s">
        <v>6</v>
      </c>
      <c r="B397" s="289" t="s">
        <v>412</v>
      </c>
      <c r="C397" s="289"/>
    </row>
    <row r="398" spans="1:3" ht="32.1" customHeight="1" x14ac:dyDescent="0.25">
      <c r="A398" s="199" t="s">
        <v>6</v>
      </c>
      <c r="B398" s="289" t="s">
        <v>413</v>
      </c>
      <c r="C398" s="289"/>
    </row>
    <row r="399" spans="1:3" ht="32.1" customHeight="1" x14ac:dyDescent="0.25">
      <c r="A399" s="199" t="s">
        <v>6</v>
      </c>
      <c r="B399" s="289" t="s">
        <v>414</v>
      </c>
      <c r="C399" s="289"/>
    </row>
    <row r="400" spans="1:3" ht="32.1" customHeight="1" x14ac:dyDescent="0.25">
      <c r="A400" s="199" t="s">
        <v>6</v>
      </c>
      <c r="B400" s="289" t="s">
        <v>415</v>
      </c>
      <c r="C400" s="289"/>
    </row>
    <row r="401" spans="1:3" ht="32.1" customHeight="1" x14ac:dyDescent="0.25">
      <c r="A401" s="199" t="s">
        <v>6</v>
      </c>
      <c r="B401" s="289" t="s">
        <v>416</v>
      </c>
      <c r="C401" s="289"/>
    </row>
    <row r="402" spans="1:3" ht="32.1" customHeight="1" x14ac:dyDescent="0.25">
      <c r="A402" s="199" t="s">
        <v>6</v>
      </c>
      <c r="B402" s="289" t="s">
        <v>417</v>
      </c>
      <c r="C402" s="289"/>
    </row>
    <row r="403" spans="1:3" ht="32.1" customHeight="1" x14ac:dyDescent="0.25">
      <c r="A403" s="199" t="s">
        <v>6</v>
      </c>
      <c r="B403" s="289" t="s">
        <v>418</v>
      </c>
      <c r="C403" s="289"/>
    </row>
    <row r="404" spans="1:3" ht="32.1" customHeight="1" x14ac:dyDescent="0.25">
      <c r="A404" s="199" t="s">
        <v>6</v>
      </c>
      <c r="B404" s="289" t="s">
        <v>419</v>
      </c>
      <c r="C404" s="289"/>
    </row>
    <row r="405" spans="1:3" ht="32.1" customHeight="1" x14ac:dyDescent="0.25">
      <c r="A405" s="199" t="s">
        <v>6</v>
      </c>
      <c r="B405" s="289" t="s">
        <v>420</v>
      </c>
      <c r="C405" s="289"/>
    </row>
    <row r="406" spans="1:3" ht="32.1" customHeight="1" x14ac:dyDescent="0.25">
      <c r="A406" s="199" t="s">
        <v>6</v>
      </c>
      <c r="B406" s="289" t="s">
        <v>421</v>
      </c>
      <c r="C406" s="289"/>
    </row>
    <row r="407" spans="1:3" ht="32.1" customHeight="1" x14ac:dyDescent="0.25">
      <c r="A407" s="199" t="s">
        <v>6</v>
      </c>
      <c r="B407" s="289" t="s">
        <v>422</v>
      </c>
      <c r="C407" s="289"/>
    </row>
    <row r="408" spans="1:3" ht="32.1" customHeight="1" x14ac:dyDescent="0.25">
      <c r="A408" s="199" t="s">
        <v>6</v>
      </c>
      <c r="B408" s="289" t="s">
        <v>423</v>
      </c>
      <c r="C408" s="289"/>
    </row>
    <row r="409" spans="1:3" ht="32.1" customHeight="1" x14ac:dyDescent="0.25">
      <c r="A409" s="199" t="s">
        <v>6</v>
      </c>
      <c r="B409" s="289" t="s">
        <v>424</v>
      </c>
      <c r="C409" s="289"/>
    </row>
    <row r="410" spans="1:3" ht="32.1" customHeight="1" x14ac:dyDescent="0.25">
      <c r="A410" s="199" t="s">
        <v>6</v>
      </c>
      <c r="B410" s="289" t="s">
        <v>425</v>
      </c>
      <c r="C410" s="289"/>
    </row>
    <row r="411" spans="1:3" ht="32.1" customHeight="1" x14ac:dyDescent="0.25">
      <c r="A411" s="199" t="s">
        <v>6</v>
      </c>
      <c r="B411" s="289" t="s">
        <v>426</v>
      </c>
      <c r="C411" s="289"/>
    </row>
    <row r="412" spans="1:3" ht="32.1" customHeight="1" x14ac:dyDescent="0.25">
      <c r="A412" s="199" t="s">
        <v>6</v>
      </c>
      <c r="B412" s="289" t="s">
        <v>427</v>
      </c>
      <c r="C412" s="289"/>
    </row>
    <row r="413" spans="1:3" ht="32.1" customHeight="1" x14ac:dyDescent="0.25">
      <c r="A413" s="199" t="s">
        <v>6</v>
      </c>
      <c r="B413" s="289" t="s">
        <v>428</v>
      </c>
      <c r="C413" s="289"/>
    </row>
    <row r="414" spans="1:3" ht="32.1" customHeight="1" x14ac:dyDescent="0.25">
      <c r="A414" s="199" t="s">
        <v>6</v>
      </c>
      <c r="B414" s="289" t="s">
        <v>429</v>
      </c>
      <c r="C414" s="289"/>
    </row>
    <row r="415" spans="1:3" ht="32.1" customHeight="1" x14ac:dyDescent="0.25">
      <c r="A415" s="199" t="s">
        <v>6</v>
      </c>
      <c r="B415" s="289" t="s">
        <v>430</v>
      </c>
      <c r="C415" s="289"/>
    </row>
    <row r="416" spans="1:3" ht="32.1" customHeight="1" x14ac:dyDescent="0.25">
      <c r="A416" s="199" t="s">
        <v>6</v>
      </c>
      <c r="B416" s="289" t="s">
        <v>431</v>
      </c>
      <c r="C416" s="289"/>
    </row>
    <row r="417" spans="1:3" ht="32.1" customHeight="1" x14ac:dyDescent="0.25">
      <c r="A417" s="199" t="s">
        <v>6</v>
      </c>
      <c r="B417" s="289" t="s">
        <v>432</v>
      </c>
      <c r="C417" s="289"/>
    </row>
    <row r="418" spans="1:3" ht="32.1" customHeight="1" x14ac:dyDescent="0.25">
      <c r="A418" s="199" t="s">
        <v>6</v>
      </c>
      <c r="B418" s="289" t="s">
        <v>433</v>
      </c>
      <c r="C418" s="289"/>
    </row>
    <row r="419" spans="1:3" ht="32.1" customHeight="1" x14ac:dyDescent="0.25">
      <c r="A419" s="199" t="s">
        <v>6</v>
      </c>
      <c r="B419" s="289" t="s">
        <v>434</v>
      </c>
      <c r="C419" s="289"/>
    </row>
    <row r="420" spans="1:3" ht="32.1" customHeight="1" x14ac:dyDescent="0.25">
      <c r="A420" s="199" t="s">
        <v>6</v>
      </c>
      <c r="B420" s="289" t="s">
        <v>435</v>
      </c>
      <c r="C420" s="289"/>
    </row>
    <row r="421" spans="1:3" ht="32.1" customHeight="1" x14ac:dyDescent="0.25">
      <c r="A421" s="199" t="s">
        <v>6</v>
      </c>
      <c r="B421" s="289" t="s">
        <v>436</v>
      </c>
      <c r="C421" s="289"/>
    </row>
    <row r="422" spans="1:3" ht="32.1" customHeight="1" x14ac:dyDescent="0.25">
      <c r="A422" s="199" t="s">
        <v>6</v>
      </c>
      <c r="B422" s="289" t="s">
        <v>437</v>
      </c>
      <c r="C422" s="289"/>
    </row>
    <row r="423" spans="1:3" ht="32.1" customHeight="1" x14ac:dyDescent="0.25">
      <c r="A423" s="199" t="s">
        <v>6</v>
      </c>
      <c r="B423" s="289" t="s">
        <v>438</v>
      </c>
      <c r="C423" s="289"/>
    </row>
    <row r="424" spans="1:3" ht="32.1" customHeight="1" x14ac:dyDescent="0.25">
      <c r="A424" s="199" t="s">
        <v>6</v>
      </c>
      <c r="B424" s="289" t="s">
        <v>439</v>
      </c>
      <c r="C424" s="289"/>
    </row>
    <row r="425" spans="1:3" ht="32.1" customHeight="1" x14ac:dyDescent="0.25">
      <c r="A425" s="199" t="s">
        <v>6</v>
      </c>
      <c r="B425" s="289" t="s">
        <v>440</v>
      </c>
      <c r="C425" s="289"/>
    </row>
    <row r="426" spans="1:3" ht="32.1" customHeight="1" x14ac:dyDescent="0.25">
      <c r="A426" s="199" t="s">
        <v>6</v>
      </c>
      <c r="B426" s="289" t="s">
        <v>441</v>
      </c>
      <c r="C426" s="289"/>
    </row>
    <row r="427" spans="1:3" ht="32.1" customHeight="1" x14ac:dyDescent="0.25">
      <c r="A427" s="199" t="s">
        <v>6</v>
      </c>
      <c r="B427" s="289" t="s">
        <v>442</v>
      </c>
      <c r="C427" s="289"/>
    </row>
    <row r="428" spans="1:3" ht="32.1" customHeight="1" x14ac:dyDescent="0.25">
      <c r="A428" s="199" t="s">
        <v>6</v>
      </c>
      <c r="B428" s="289" t="s">
        <v>443</v>
      </c>
      <c r="C428" s="289"/>
    </row>
    <row r="429" spans="1:3" ht="32.1" customHeight="1" x14ac:dyDescent="0.25">
      <c r="A429" s="199" t="s">
        <v>6</v>
      </c>
      <c r="B429" s="289" t="s">
        <v>444</v>
      </c>
      <c r="C429" s="289"/>
    </row>
    <row r="430" spans="1:3" ht="32.1" customHeight="1" x14ac:dyDescent="0.25">
      <c r="A430" s="199" t="s">
        <v>6</v>
      </c>
      <c r="B430" s="289" t="s">
        <v>445</v>
      </c>
      <c r="C430" s="289"/>
    </row>
    <row r="431" spans="1:3" ht="32.1" customHeight="1" x14ac:dyDescent="0.25">
      <c r="A431" s="199" t="s">
        <v>6</v>
      </c>
      <c r="B431" s="289" t="s">
        <v>446</v>
      </c>
      <c r="C431" s="289"/>
    </row>
    <row r="432" spans="1:3" ht="32.1" customHeight="1" x14ac:dyDescent="0.25">
      <c r="A432" s="199" t="s">
        <v>6</v>
      </c>
      <c r="B432" s="289" t="s">
        <v>447</v>
      </c>
      <c r="C432" s="289"/>
    </row>
    <row r="433" spans="1:3" ht="32.1" customHeight="1" x14ac:dyDescent="0.25">
      <c r="A433" s="199" t="s">
        <v>6</v>
      </c>
      <c r="B433" s="289" t="s">
        <v>448</v>
      </c>
      <c r="C433" s="289"/>
    </row>
    <row r="434" spans="1:3" ht="32.1" customHeight="1" x14ac:dyDescent="0.25">
      <c r="A434" s="199" t="s">
        <v>6</v>
      </c>
      <c r="B434" s="289" t="s">
        <v>449</v>
      </c>
      <c r="C434" s="289"/>
    </row>
    <row r="435" spans="1:3" ht="32.1" customHeight="1" x14ac:dyDescent="0.25">
      <c r="A435" s="199" t="s">
        <v>6</v>
      </c>
      <c r="B435" s="289" t="s">
        <v>450</v>
      </c>
      <c r="C435" s="289"/>
    </row>
    <row r="436" spans="1:3" ht="32.1" customHeight="1" x14ac:dyDescent="0.25">
      <c r="A436" s="199" t="s">
        <v>6</v>
      </c>
      <c r="B436" s="289" t="s">
        <v>451</v>
      </c>
      <c r="C436" s="289"/>
    </row>
    <row r="437" spans="1:3" ht="32.1" customHeight="1" x14ac:dyDescent="0.25">
      <c r="A437" s="199" t="s">
        <v>6</v>
      </c>
      <c r="B437" s="289" t="s">
        <v>452</v>
      </c>
      <c r="C437" s="289"/>
    </row>
    <row r="438" spans="1:3" ht="32.1" customHeight="1" x14ac:dyDescent="0.25">
      <c r="A438" s="199" t="s">
        <v>6</v>
      </c>
      <c r="B438" s="289" t="s">
        <v>453</v>
      </c>
      <c r="C438" s="289"/>
    </row>
    <row r="439" spans="1:3" ht="32.1" customHeight="1" x14ac:dyDescent="0.25">
      <c r="A439" s="199" t="s">
        <v>6</v>
      </c>
      <c r="B439" s="289" t="s">
        <v>454</v>
      </c>
      <c r="C439" s="289"/>
    </row>
    <row r="440" spans="1:3" ht="32.1" customHeight="1" x14ac:dyDescent="0.25">
      <c r="A440" s="199" t="s">
        <v>6</v>
      </c>
      <c r="B440" s="289" t="s">
        <v>455</v>
      </c>
      <c r="C440" s="289"/>
    </row>
    <row r="441" spans="1:3" ht="32.1" customHeight="1" x14ac:dyDescent="0.25">
      <c r="A441" s="199" t="s">
        <v>6</v>
      </c>
      <c r="B441" s="289" t="s">
        <v>456</v>
      </c>
      <c r="C441" s="289"/>
    </row>
    <row r="442" spans="1:3" ht="32.1" customHeight="1" x14ac:dyDescent="0.25">
      <c r="A442" s="199" t="s">
        <v>6</v>
      </c>
      <c r="B442" s="289" t="s">
        <v>457</v>
      </c>
      <c r="C442" s="289"/>
    </row>
    <row r="443" spans="1:3" ht="32.1" customHeight="1" x14ac:dyDescent="0.25">
      <c r="A443" s="199" t="s">
        <v>6</v>
      </c>
      <c r="B443" s="289" t="s">
        <v>458</v>
      </c>
      <c r="C443" s="289"/>
    </row>
    <row r="444" spans="1:3" ht="32.1" customHeight="1" x14ac:dyDescent="0.25">
      <c r="A444" s="199" t="s">
        <v>6</v>
      </c>
      <c r="B444" s="289" t="s">
        <v>459</v>
      </c>
      <c r="C444" s="289"/>
    </row>
    <row r="445" spans="1:3" ht="32.1" customHeight="1" x14ac:dyDescent="0.25">
      <c r="A445" s="199" t="s">
        <v>6</v>
      </c>
      <c r="B445" s="289" t="s">
        <v>460</v>
      </c>
      <c r="C445" s="289"/>
    </row>
    <row r="446" spans="1:3" ht="32.1" customHeight="1" x14ac:dyDescent="0.25">
      <c r="A446" s="199" t="s">
        <v>6</v>
      </c>
      <c r="B446" s="289" t="s">
        <v>461</v>
      </c>
      <c r="C446" s="289"/>
    </row>
    <row r="447" spans="1:3" ht="32.1" customHeight="1" x14ac:dyDescent="0.25">
      <c r="A447" s="199" t="s">
        <v>6</v>
      </c>
      <c r="B447" s="289" t="s">
        <v>462</v>
      </c>
      <c r="C447" s="289"/>
    </row>
    <row r="448" spans="1:3" ht="32.1" customHeight="1" x14ac:dyDescent="0.25">
      <c r="A448" s="199" t="s">
        <v>6</v>
      </c>
      <c r="B448" s="289" t="s">
        <v>463</v>
      </c>
      <c r="C448" s="289"/>
    </row>
    <row r="449" spans="1:3" ht="32.1" customHeight="1" x14ac:dyDescent="0.25">
      <c r="A449" s="199" t="s">
        <v>6</v>
      </c>
      <c r="B449" s="289" t="s">
        <v>464</v>
      </c>
      <c r="C449" s="289"/>
    </row>
    <row r="450" spans="1:3" ht="32.1" customHeight="1" x14ac:dyDescent="0.25">
      <c r="A450" s="199" t="s">
        <v>6</v>
      </c>
      <c r="B450" s="289" t="s">
        <v>465</v>
      </c>
      <c r="C450" s="289"/>
    </row>
    <row r="451" spans="1:3" ht="32.1" customHeight="1" x14ac:dyDescent="0.25">
      <c r="A451" s="199" t="s">
        <v>6</v>
      </c>
      <c r="B451" s="289" t="s">
        <v>466</v>
      </c>
      <c r="C451" s="289"/>
    </row>
    <row r="452" spans="1:3" ht="32.1" customHeight="1" x14ac:dyDescent="0.25">
      <c r="A452" s="199" t="s">
        <v>6</v>
      </c>
      <c r="B452" s="289" t="s">
        <v>467</v>
      </c>
      <c r="C452" s="289"/>
    </row>
    <row r="453" spans="1:3" ht="32.1" customHeight="1" x14ac:dyDescent="0.25">
      <c r="A453" s="199" t="s">
        <v>6</v>
      </c>
      <c r="B453" s="289" t="s">
        <v>468</v>
      </c>
      <c r="C453" s="289"/>
    </row>
    <row r="454" spans="1:3" ht="32.1" customHeight="1" x14ac:dyDescent="0.25">
      <c r="A454" s="199" t="s">
        <v>6</v>
      </c>
      <c r="B454" s="289" t="s">
        <v>469</v>
      </c>
      <c r="C454" s="289"/>
    </row>
    <row r="455" spans="1:3" ht="32.1" customHeight="1" x14ac:dyDescent="0.25">
      <c r="A455" s="199" t="s">
        <v>6</v>
      </c>
      <c r="B455" s="289" t="s">
        <v>470</v>
      </c>
      <c r="C455" s="289"/>
    </row>
    <row r="456" spans="1:3" ht="32.1" customHeight="1" x14ac:dyDescent="0.25">
      <c r="A456" s="199" t="s">
        <v>6</v>
      </c>
      <c r="B456" s="289" t="s">
        <v>471</v>
      </c>
      <c r="C456" s="289"/>
    </row>
    <row r="457" spans="1:3" ht="32.1" customHeight="1" x14ac:dyDescent="0.25">
      <c r="A457" s="199" t="s">
        <v>6</v>
      </c>
      <c r="B457" s="289" t="s">
        <v>472</v>
      </c>
      <c r="C457" s="289"/>
    </row>
    <row r="458" spans="1:3" ht="32.1" customHeight="1" x14ac:dyDescent="0.25">
      <c r="A458" s="199" t="s">
        <v>6</v>
      </c>
      <c r="B458" s="289" t="s">
        <v>473</v>
      </c>
      <c r="C458" s="289"/>
    </row>
    <row r="459" spans="1:3" ht="32.1" customHeight="1" x14ac:dyDescent="0.25">
      <c r="A459" s="199" t="s">
        <v>6</v>
      </c>
      <c r="B459" s="289" t="s">
        <v>474</v>
      </c>
      <c r="C459" s="289"/>
    </row>
    <row r="460" spans="1:3" ht="32.1" customHeight="1" x14ac:dyDescent="0.25">
      <c r="A460" s="199" t="s">
        <v>6</v>
      </c>
      <c r="B460" s="289" t="s">
        <v>475</v>
      </c>
      <c r="C460" s="289"/>
    </row>
    <row r="461" spans="1:3" ht="32.1" customHeight="1" x14ac:dyDescent="0.25">
      <c r="A461" s="199" t="s">
        <v>6</v>
      </c>
      <c r="B461" s="289" t="s">
        <v>476</v>
      </c>
      <c r="C461" s="289"/>
    </row>
    <row r="462" spans="1:3" ht="32.1" customHeight="1" x14ac:dyDescent="0.25">
      <c r="A462" s="199" t="s">
        <v>6</v>
      </c>
      <c r="B462" s="289" t="s">
        <v>477</v>
      </c>
      <c r="C462" s="289"/>
    </row>
    <row r="463" spans="1:3" ht="32.1" customHeight="1" x14ac:dyDescent="0.25">
      <c r="A463" s="199" t="s">
        <v>6</v>
      </c>
      <c r="B463" s="289" t="s">
        <v>478</v>
      </c>
      <c r="C463" s="289"/>
    </row>
    <row r="464" spans="1:3" ht="32.1" customHeight="1" x14ac:dyDescent="0.25">
      <c r="A464" s="199" t="s">
        <v>6</v>
      </c>
      <c r="B464" s="289" t="s">
        <v>479</v>
      </c>
      <c r="C464" s="289"/>
    </row>
    <row r="465" spans="1:3" ht="32.1" customHeight="1" x14ac:dyDescent="0.25">
      <c r="A465" s="199" t="s">
        <v>6</v>
      </c>
      <c r="B465" s="289" t="s">
        <v>480</v>
      </c>
      <c r="C465" s="289"/>
    </row>
    <row r="466" spans="1:3" ht="32.1" customHeight="1" x14ac:dyDescent="0.25">
      <c r="A466" s="199" t="s">
        <v>6</v>
      </c>
      <c r="B466" s="289" t="s">
        <v>481</v>
      </c>
      <c r="C466" s="289"/>
    </row>
    <row r="467" spans="1:3" ht="32.1" customHeight="1" x14ac:dyDescent="0.25">
      <c r="A467" s="199" t="s">
        <v>6</v>
      </c>
      <c r="B467" s="289" t="s">
        <v>482</v>
      </c>
      <c r="C467" s="289"/>
    </row>
    <row r="468" spans="1:3" ht="32.1" customHeight="1" x14ac:dyDescent="0.25">
      <c r="A468" s="199" t="s">
        <v>6</v>
      </c>
      <c r="B468" s="289" t="s">
        <v>483</v>
      </c>
      <c r="C468" s="289"/>
    </row>
    <row r="469" spans="1:3" ht="32.1" customHeight="1" x14ac:dyDescent="0.25">
      <c r="A469" s="199" t="s">
        <v>6</v>
      </c>
      <c r="B469" s="289" t="s">
        <v>484</v>
      </c>
      <c r="C469" s="289"/>
    </row>
    <row r="470" spans="1:3" ht="32.1" customHeight="1" x14ac:dyDescent="0.25">
      <c r="A470" s="199" t="s">
        <v>6</v>
      </c>
      <c r="B470" s="289" t="s">
        <v>485</v>
      </c>
      <c r="C470" s="289"/>
    </row>
    <row r="471" spans="1:3" ht="32.1" customHeight="1" x14ac:dyDescent="0.25">
      <c r="A471" s="199" t="s">
        <v>6</v>
      </c>
      <c r="B471" s="289" t="s">
        <v>486</v>
      </c>
      <c r="C471" s="289"/>
    </row>
    <row r="472" spans="1:3" ht="32.1" customHeight="1" x14ac:dyDescent="0.25">
      <c r="A472" s="199" t="s">
        <v>6</v>
      </c>
      <c r="B472" s="289" t="s">
        <v>487</v>
      </c>
      <c r="C472" s="289"/>
    </row>
    <row r="473" spans="1:3" ht="32.1" customHeight="1" x14ac:dyDescent="0.25">
      <c r="A473" s="199" t="s">
        <v>6</v>
      </c>
      <c r="B473" s="289" t="s">
        <v>488</v>
      </c>
      <c r="C473" s="289"/>
    </row>
    <row r="474" spans="1:3" ht="32.1" customHeight="1" x14ac:dyDescent="0.25">
      <c r="A474" s="199" t="s">
        <v>6</v>
      </c>
      <c r="B474" s="289" t="s">
        <v>489</v>
      </c>
      <c r="C474" s="289"/>
    </row>
    <row r="475" spans="1:3" ht="32.1" customHeight="1" x14ac:dyDescent="0.25">
      <c r="A475" s="199" t="s">
        <v>6</v>
      </c>
      <c r="B475" s="289" t="s">
        <v>490</v>
      </c>
      <c r="C475" s="289"/>
    </row>
    <row r="476" spans="1:3" ht="32.1" customHeight="1" x14ac:dyDescent="0.25">
      <c r="A476" s="199" t="s">
        <v>6</v>
      </c>
      <c r="B476" s="289" t="s">
        <v>491</v>
      </c>
      <c r="C476" s="289"/>
    </row>
    <row r="477" spans="1:3" ht="32.1" customHeight="1" x14ac:dyDescent="0.25">
      <c r="A477" s="199" t="s">
        <v>6</v>
      </c>
      <c r="B477" s="289" t="s">
        <v>492</v>
      </c>
      <c r="C477" s="289"/>
    </row>
    <row r="478" spans="1:3" ht="32.1" customHeight="1" x14ac:dyDescent="0.25">
      <c r="A478" s="199" t="s">
        <v>6</v>
      </c>
      <c r="B478" s="289" t="s">
        <v>493</v>
      </c>
      <c r="C478" s="289"/>
    </row>
    <row r="479" spans="1:3" ht="32.1" customHeight="1" x14ac:dyDescent="0.25">
      <c r="A479" s="199" t="s">
        <v>6</v>
      </c>
      <c r="B479" s="289" t="s">
        <v>494</v>
      </c>
      <c r="C479" s="289"/>
    </row>
    <row r="480" spans="1:3" ht="32.1" customHeight="1" x14ac:dyDescent="0.25">
      <c r="A480" s="199" t="s">
        <v>6</v>
      </c>
      <c r="B480" s="289" t="s">
        <v>495</v>
      </c>
      <c r="C480" s="289"/>
    </row>
    <row r="481" spans="1:3" ht="32.1" customHeight="1" x14ac:dyDescent="0.25">
      <c r="A481" s="199" t="s">
        <v>6</v>
      </c>
      <c r="B481" s="289" t="s">
        <v>496</v>
      </c>
      <c r="C481" s="289"/>
    </row>
    <row r="482" spans="1:3" ht="32.1" customHeight="1" x14ac:dyDescent="0.25">
      <c r="A482" s="199" t="s">
        <v>6</v>
      </c>
      <c r="B482" s="289" t="s">
        <v>497</v>
      </c>
      <c r="C482" s="289"/>
    </row>
    <row r="483" spans="1:3" ht="32.1" customHeight="1" x14ac:dyDescent="0.25">
      <c r="A483" s="199" t="s">
        <v>6</v>
      </c>
      <c r="B483" s="289" t="s">
        <v>498</v>
      </c>
      <c r="C483" s="289"/>
    </row>
    <row r="484" spans="1:3" ht="32.1" customHeight="1" x14ac:dyDescent="0.25">
      <c r="A484" s="199" t="s">
        <v>6</v>
      </c>
      <c r="B484" s="289" t="s">
        <v>499</v>
      </c>
      <c r="C484" s="289"/>
    </row>
    <row r="485" spans="1:3" ht="32.1" customHeight="1" x14ac:dyDescent="0.25">
      <c r="A485" s="199" t="s">
        <v>6</v>
      </c>
      <c r="B485" s="289" t="s">
        <v>500</v>
      </c>
      <c r="C485" s="289"/>
    </row>
    <row r="486" spans="1:3" ht="32.1" customHeight="1" x14ac:dyDescent="0.25">
      <c r="A486" s="199" t="s">
        <v>6</v>
      </c>
      <c r="B486" s="289" t="s">
        <v>501</v>
      </c>
      <c r="C486" s="289"/>
    </row>
    <row r="487" spans="1:3" ht="32.1" customHeight="1" x14ac:dyDescent="0.25">
      <c r="A487" s="199" t="s">
        <v>6</v>
      </c>
      <c r="B487" s="289" t="s">
        <v>502</v>
      </c>
      <c r="C487" s="289"/>
    </row>
    <row r="488" spans="1:3" ht="32.1" customHeight="1" x14ac:dyDescent="0.25">
      <c r="A488" s="199" t="s">
        <v>6</v>
      </c>
      <c r="B488" s="289" t="s">
        <v>503</v>
      </c>
      <c r="C488" s="289"/>
    </row>
    <row r="489" spans="1:3" ht="32.1" customHeight="1" x14ac:dyDescent="0.25">
      <c r="A489" s="199" t="s">
        <v>6</v>
      </c>
      <c r="B489" s="289" t="s">
        <v>504</v>
      </c>
      <c r="C489" s="289"/>
    </row>
    <row r="490" spans="1:3" ht="32.1" customHeight="1" x14ac:dyDescent="0.25">
      <c r="A490" s="199" t="s">
        <v>6</v>
      </c>
      <c r="B490" s="289" t="s">
        <v>505</v>
      </c>
      <c r="C490" s="289"/>
    </row>
    <row r="491" spans="1:3" ht="32.1" customHeight="1" x14ac:dyDescent="0.25">
      <c r="A491" s="199" t="s">
        <v>6</v>
      </c>
      <c r="B491" s="289" t="s">
        <v>506</v>
      </c>
      <c r="C491" s="289"/>
    </row>
    <row r="492" spans="1:3" ht="32.1" customHeight="1" x14ac:dyDescent="0.25">
      <c r="A492" s="199" t="s">
        <v>6</v>
      </c>
      <c r="B492" s="289" t="s">
        <v>507</v>
      </c>
      <c r="C492" s="289"/>
    </row>
    <row r="493" spans="1:3" ht="32.1" customHeight="1" x14ac:dyDescent="0.25">
      <c r="A493" s="199" t="s">
        <v>6</v>
      </c>
      <c r="B493" s="289" t="s">
        <v>508</v>
      </c>
      <c r="C493" s="289"/>
    </row>
    <row r="494" spans="1:3" ht="32.1" customHeight="1" x14ac:dyDescent="0.25">
      <c r="A494" s="199" t="s">
        <v>6</v>
      </c>
      <c r="B494" s="289" t="s">
        <v>509</v>
      </c>
      <c r="C494" s="289"/>
    </row>
    <row r="495" spans="1:3" ht="32.1" customHeight="1" x14ac:dyDescent="0.25">
      <c r="A495" s="199" t="s">
        <v>6</v>
      </c>
      <c r="B495" s="289" t="s">
        <v>510</v>
      </c>
      <c r="C495" s="289"/>
    </row>
    <row r="496" spans="1:3" ht="32.1" customHeight="1" x14ac:dyDescent="0.25">
      <c r="A496" s="199" t="s">
        <v>6</v>
      </c>
      <c r="B496" s="289" t="s">
        <v>511</v>
      </c>
      <c r="C496" s="289"/>
    </row>
    <row r="497" spans="1:3" ht="32.1" customHeight="1" x14ac:dyDescent="0.25">
      <c r="A497" s="199" t="s">
        <v>6</v>
      </c>
      <c r="B497" s="289" t="s">
        <v>512</v>
      </c>
      <c r="C497" s="289"/>
    </row>
    <row r="498" spans="1:3" ht="32.1" customHeight="1" x14ac:dyDescent="0.25">
      <c r="A498" s="199" t="s">
        <v>6</v>
      </c>
      <c r="B498" s="289" t="s">
        <v>513</v>
      </c>
      <c r="C498" s="289"/>
    </row>
    <row r="499" spans="1:3" ht="32.1" customHeight="1" x14ac:dyDescent="0.25">
      <c r="A499" s="199" t="s">
        <v>6</v>
      </c>
      <c r="B499" s="289" t="s">
        <v>514</v>
      </c>
      <c r="C499" s="289"/>
    </row>
    <row r="500" spans="1:3" ht="32.1" customHeight="1" x14ac:dyDescent="0.25">
      <c r="A500" s="199" t="s">
        <v>6</v>
      </c>
      <c r="B500" s="289" t="s">
        <v>515</v>
      </c>
      <c r="C500" s="289"/>
    </row>
    <row r="501" spans="1:3" ht="32.1" customHeight="1" x14ac:dyDescent="0.25">
      <c r="A501" s="199" t="s">
        <v>6</v>
      </c>
      <c r="B501" s="289" t="s">
        <v>516</v>
      </c>
      <c r="C501" s="289"/>
    </row>
    <row r="502" spans="1:3" ht="32.1" customHeight="1" x14ac:dyDescent="0.25">
      <c r="A502" s="199" t="s">
        <v>6</v>
      </c>
      <c r="B502" s="289" t="s">
        <v>517</v>
      </c>
      <c r="C502" s="289"/>
    </row>
    <row r="503" spans="1:3" ht="32.1" customHeight="1" x14ac:dyDescent="0.25">
      <c r="A503" s="199" t="s">
        <v>6</v>
      </c>
      <c r="B503" s="289" t="s">
        <v>518</v>
      </c>
      <c r="C503" s="289"/>
    </row>
    <row r="504" spans="1:3" ht="32.1" customHeight="1" x14ac:dyDescent="0.25">
      <c r="A504" s="199" t="s">
        <v>6</v>
      </c>
      <c r="B504" s="289" t="s">
        <v>519</v>
      </c>
      <c r="C504" s="289"/>
    </row>
    <row r="505" spans="1:3" ht="32.1" customHeight="1" x14ac:dyDescent="0.25">
      <c r="A505" s="199" t="s">
        <v>6</v>
      </c>
      <c r="B505" s="289" t="s">
        <v>520</v>
      </c>
      <c r="C505" s="289"/>
    </row>
    <row r="506" spans="1:3" ht="32.1" customHeight="1" x14ac:dyDescent="0.25">
      <c r="A506" s="199" t="s">
        <v>6</v>
      </c>
      <c r="B506" s="289" t="s">
        <v>521</v>
      </c>
      <c r="C506" s="289"/>
    </row>
    <row r="507" spans="1:3" ht="32.1" customHeight="1" x14ac:dyDescent="0.25">
      <c r="A507" s="199" t="s">
        <v>6</v>
      </c>
      <c r="B507" s="289" t="s">
        <v>522</v>
      </c>
      <c r="C507" s="289"/>
    </row>
    <row r="508" spans="1:3" ht="32.1" customHeight="1" x14ac:dyDescent="0.25">
      <c r="A508" s="199" t="s">
        <v>6</v>
      </c>
      <c r="B508" s="289" t="s">
        <v>523</v>
      </c>
      <c r="C508" s="289"/>
    </row>
    <row r="509" spans="1:3" ht="32.1" customHeight="1" x14ac:dyDescent="0.25">
      <c r="A509" s="199" t="s">
        <v>6</v>
      </c>
      <c r="B509" s="289" t="s">
        <v>524</v>
      </c>
      <c r="C509" s="289"/>
    </row>
    <row r="510" spans="1:3" ht="32.1" customHeight="1" x14ac:dyDescent="0.25">
      <c r="A510" s="199" t="s">
        <v>6</v>
      </c>
      <c r="B510" s="289" t="s">
        <v>525</v>
      </c>
      <c r="C510" s="289"/>
    </row>
    <row r="511" spans="1:3" ht="32.1" customHeight="1" x14ac:dyDescent="0.25">
      <c r="A511" s="199" t="s">
        <v>6</v>
      </c>
      <c r="B511" s="289" t="s">
        <v>526</v>
      </c>
      <c r="C511" s="289"/>
    </row>
    <row r="512" spans="1:3" ht="32.1" customHeight="1" x14ac:dyDescent="0.25">
      <c r="A512" s="199" t="s">
        <v>6</v>
      </c>
      <c r="B512" s="289" t="s">
        <v>527</v>
      </c>
      <c r="C512" s="289"/>
    </row>
    <row r="513" spans="1:3" ht="32.1" customHeight="1" x14ac:dyDescent="0.25">
      <c r="A513" s="199" t="s">
        <v>6</v>
      </c>
      <c r="B513" s="289" t="s">
        <v>528</v>
      </c>
      <c r="C513" s="289"/>
    </row>
    <row r="514" spans="1:3" ht="32.1" customHeight="1" x14ac:dyDescent="0.25">
      <c r="A514" s="199" t="s">
        <v>6</v>
      </c>
      <c r="B514" s="289" t="s">
        <v>529</v>
      </c>
      <c r="C514" s="289"/>
    </row>
    <row r="515" spans="1:3" ht="32.1" customHeight="1" x14ac:dyDescent="0.25">
      <c r="A515" s="199" t="s">
        <v>6</v>
      </c>
      <c r="B515" s="289" t="s">
        <v>530</v>
      </c>
      <c r="C515" s="289"/>
    </row>
    <row r="516" spans="1:3" ht="32.1" customHeight="1" x14ac:dyDescent="0.25">
      <c r="A516" s="199" t="s">
        <v>6</v>
      </c>
      <c r="B516" s="289" t="s">
        <v>531</v>
      </c>
      <c r="C516" s="289"/>
    </row>
    <row r="517" spans="1:3" ht="32.1" customHeight="1" x14ac:dyDescent="0.25">
      <c r="A517" s="199" t="s">
        <v>6</v>
      </c>
      <c r="B517" s="289" t="s">
        <v>532</v>
      </c>
      <c r="C517" s="289"/>
    </row>
    <row r="518" spans="1:3" ht="32.1" customHeight="1" x14ac:dyDescent="0.25">
      <c r="A518" s="199" t="s">
        <v>6</v>
      </c>
      <c r="B518" s="289" t="s">
        <v>533</v>
      </c>
      <c r="C518" s="289"/>
    </row>
    <row r="519" spans="1:3" ht="32.1" customHeight="1" x14ac:dyDescent="0.25">
      <c r="A519" s="199" t="s">
        <v>6</v>
      </c>
      <c r="B519" s="289" t="s">
        <v>534</v>
      </c>
      <c r="C519" s="289"/>
    </row>
    <row r="520" spans="1:3" ht="32.1" customHeight="1" x14ac:dyDescent="0.25">
      <c r="A520" s="199" t="s">
        <v>6</v>
      </c>
      <c r="B520" s="289" t="s">
        <v>535</v>
      </c>
      <c r="C520" s="289"/>
    </row>
    <row r="521" spans="1:3" ht="32.1" customHeight="1" x14ac:dyDescent="0.25">
      <c r="A521" s="199" t="s">
        <v>6</v>
      </c>
      <c r="B521" s="289" t="s">
        <v>536</v>
      </c>
      <c r="C521" s="289"/>
    </row>
    <row r="522" spans="1:3" ht="32.1" customHeight="1" x14ac:dyDescent="0.25">
      <c r="A522" s="199" t="s">
        <v>6</v>
      </c>
      <c r="B522" s="289" t="s">
        <v>537</v>
      </c>
      <c r="C522" s="289"/>
    </row>
    <row r="523" spans="1:3" ht="32.1" customHeight="1" x14ac:dyDescent="0.25">
      <c r="A523" s="199" t="s">
        <v>6</v>
      </c>
      <c r="B523" s="289" t="s">
        <v>538</v>
      </c>
      <c r="C523" s="289"/>
    </row>
    <row r="524" spans="1:3" ht="32.1" customHeight="1" x14ac:dyDescent="0.25">
      <c r="A524" s="199" t="s">
        <v>6</v>
      </c>
      <c r="B524" s="289" t="s">
        <v>539</v>
      </c>
      <c r="C524" s="289"/>
    </row>
    <row r="525" spans="1:3" ht="32.1" customHeight="1" x14ac:dyDescent="0.25">
      <c r="A525" s="199" t="s">
        <v>6</v>
      </c>
      <c r="B525" s="289" t="s">
        <v>540</v>
      </c>
      <c r="C525" s="289"/>
    </row>
    <row r="526" spans="1:3" ht="32.1" customHeight="1" x14ac:dyDescent="0.25">
      <c r="A526" s="199" t="s">
        <v>6</v>
      </c>
      <c r="B526" s="289" t="s">
        <v>541</v>
      </c>
      <c r="C526" s="289"/>
    </row>
    <row r="527" spans="1:3" ht="32.1" customHeight="1" x14ac:dyDescent="0.25">
      <c r="A527" s="199" t="s">
        <v>6</v>
      </c>
      <c r="B527" s="289" t="s">
        <v>542</v>
      </c>
      <c r="C527" s="289"/>
    </row>
    <row r="528" spans="1:3" ht="32.1" customHeight="1" x14ac:dyDescent="0.25">
      <c r="A528" s="199" t="s">
        <v>6</v>
      </c>
      <c r="B528" s="289" t="s">
        <v>543</v>
      </c>
      <c r="C528" s="289"/>
    </row>
    <row r="529" spans="1:3" ht="32.1" customHeight="1" x14ac:dyDescent="0.25">
      <c r="A529" s="199" t="s">
        <v>6</v>
      </c>
      <c r="B529" s="289" t="s">
        <v>544</v>
      </c>
      <c r="C529" s="289"/>
    </row>
    <row r="530" spans="1:3" ht="32.1" customHeight="1" x14ac:dyDescent="0.25">
      <c r="A530" s="199" t="s">
        <v>6</v>
      </c>
      <c r="B530" s="289" t="s">
        <v>545</v>
      </c>
      <c r="C530" s="289"/>
    </row>
    <row r="531" spans="1:3" ht="32.1" customHeight="1" x14ac:dyDescent="0.25">
      <c r="A531" s="199" t="s">
        <v>6</v>
      </c>
      <c r="B531" s="289" t="s">
        <v>546</v>
      </c>
      <c r="C531" s="289"/>
    </row>
    <row r="532" spans="1:3" ht="32.1" customHeight="1" x14ac:dyDescent="0.25">
      <c r="A532" s="199" t="s">
        <v>6</v>
      </c>
      <c r="B532" s="289" t="s">
        <v>547</v>
      </c>
      <c r="C532" s="289"/>
    </row>
    <row r="533" spans="1:3" ht="32.1" customHeight="1" x14ac:dyDescent="0.25">
      <c r="A533" s="199" t="s">
        <v>6</v>
      </c>
      <c r="B533" s="289" t="s">
        <v>548</v>
      </c>
      <c r="C533" s="289"/>
    </row>
    <row r="534" spans="1:3" ht="32.1" customHeight="1" x14ac:dyDescent="0.25">
      <c r="A534" s="199" t="s">
        <v>6</v>
      </c>
      <c r="B534" s="289" t="s">
        <v>549</v>
      </c>
      <c r="C534" s="289"/>
    </row>
    <row r="535" spans="1:3" ht="32.1" customHeight="1" x14ac:dyDescent="0.25">
      <c r="A535" s="199" t="s">
        <v>6</v>
      </c>
      <c r="B535" s="289" t="s">
        <v>550</v>
      </c>
      <c r="C535" s="289"/>
    </row>
    <row r="536" spans="1:3" ht="32.1" customHeight="1" x14ac:dyDescent="0.25">
      <c r="A536" s="199" t="s">
        <v>6</v>
      </c>
      <c r="B536" s="289" t="s">
        <v>551</v>
      </c>
      <c r="C536" s="289"/>
    </row>
    <row r="537" spans="1:3" ht="32.1" customHeight="1" x14ac:dyDescent="0.25">
      <c r="A537" s="199" t="s">
        <v>6</v>
      </c>
      <c r="B537" s="289" t="s">
        <v>552</v>
      </c>
      <c r="C537" s="289"/>
    </row>
    <row r="538" spans="1:3" ht="32.1" customHeight="1" x14ac:dyDescent="0.25">
      <c r="A538" s="199" t="s">
        <v>6</v>
      </c>
      <c r="B538" s="289" t="s">
        <v>553</v>
      </c>
      <c r="C538" s="289"/>
    </row>
    <row r="539" spans="1:3" ht="32.1" customHeight="1" x14ac:dyDescent="0.25">
      <c r="A539" s="199" t="s">
        <v>6</v>
      </c>
      <c r="B539" s="289" t="s">
        <v>554</v>
      </c>
      <c r="C539" s="289"/>
    </row>
    <row r="540" spans="1:3" ht="32.1" customHeight="1" x14ac:dyDescent="0.25">
      <c r="A540" s="199" t="s">
        <v>6</v>
      </c>
      <c r="B540" s="289" t="s">
        <v>555</v>
      </c>
      <c r="C540" s="289"/>
    </row>
    <row r="541" spans="1:3" ht="32.1" customHeight="1" x14ac:dyDescent="0.25">
      <c r="A541" s="199" t="s">
        <v>6</v>
      </c>
      <c r="B541" s="289" t="s">
        <v>556</v>
      </c>
      <c r="C541" s="289"/>
    </row>
    <row r="542" spans="1:3" ht="32.1" customHeight="1" x14ac:dyDescent="0.25">
      <c r="A542" s="199" t="s">
        <v>6</v>
      </c>
      <c r="B542" s="289" t="s">
        <v>557</v>
      </c>
      <c r="C542" s="289"/>
    </row>
    <row r="543" spans="1:3" ht="32.1" customHeight="1" x14ac:dyDescent="0.25">
      <c r="A543" s="199" t="s">
        <v>6</v>
      </c>
      <c r="B543" s="289" t="s">
        <v>558</v>
      </c>
      <c r="C543" s="289"/>
    </row>
    <row r="544" spans="1:3" ht="32.1" customHeight="1" x14ac:dyDescent="0.25">
      <c r="A544" s="199" t="s">
        <v>6</v>
      </c>
      <c r="B544" s="289" t="s">
        <v>559</v>
      </c>
      <c r="C544" s="289"/>
    </row>
    <row r="545" spans="1:3" ht="32.1" customHeight="1" x14ac:dyDescent="0.25">
      <c r="A545" s="199" t="s">
        <v>6</v>
      </c>
      <c r="B545" s="289" t="s">
        <v>560</v>
      </c>
      <c r="C545" s="289"/>
    </row>
    <row r="546" spans="1:3" ht="32.1" customHeight="1" x14ac:dyDescent="0.25">
      <c r="A546" s="199" t="s">
        <v>6</v>
      </c>
      <c r="B546" s="289" t="s">
        <v>561</v>
      </c>
      <c r="C546" s="289"/>
    </row>
    <row r="547" spans="1:3" ht="32.1" customHeight="1" x14ac:dyDescent="0.25">
      <c r="A547" s="199" t="s">
        <v>6</v>
      </c>
      <c r="B547" s="289" t="s">
        <v>562</v>
      </c>
      <c r="C547" s="289"/>
    </row>
    <row r="548" spans="1:3" ht="32.1" customHeight="1" x14ac:dyDescent="0.25">
      <c r="A548" s="199" t="s">
        <v>6</v>
      </c>
      <c r="B548" s="289" t="s">
        <v>563</v>
      </c>
      <c r="C548" s="289"/>
    </row>
    <row r="549" spans="1:3" ht="32.1" customHeight="1" x14ac:dyDescent="0.25">
      <c r="A549" s="199" t="s">
        <v>6</v>
      </c>
      <c r="B549" s="289" t="s">
        <v>564</v>
      </c>
      <c r="C549" s="289"/>
    </row>
    <row r="550" spans="1:3" ht="32.1" customHeight="1" x14ac:dyDescent="0.25">
      <c r="A550" s="199" t="s">
        <v>6</v>
      </c>
      <c r="B550" s="289" t="s">
        <v>565</v>
      </c>
      <c r="C550" s="289"/>
    </row>
    <row r="551" spans="1:3" ht="32.1" customHeight="1" x14ac:dyDescent="0.25">
      <c r="A551" s="199" t="s">
        <v>6</v>
      </c>
      <c r="B551" s="289" t="s">
        <v>566</v>
      </c>
      <c r="C551" s="289"/>
    </row>
    <row r="552" spans="1:3" ht="32.1" customHeight="1" x14ac:dyDescent="0.25">
      <c r="A552" s="199" t="s">
        <v>6</v>
      </c>
      <c r="B552" s="289" t="s">
        <v>567</v>
      </c>
      <c r="C552" s="289"/>
    </row>
    <row r="553" spans="1:3" ht="32.1" customHeight="1" x14ac:dyDescent="0.25">
      <c r="A553" s="199" t="s">
        <v>6</v>
      </c>
      <c r="B553" s="289" t="s">
        <v>568</v>
      </c>
      <c r="C553" s="289"/>
    </row>
    <row r="554" spans="1:3" ht="32.1" customHeight="1" x14ac:dyDescent="0.25">
      <c r="A554" s="199" t="s">
        <v>6</v>
      </c>
      <c r="B554" s="289" t="s">
        <v>569</v>
      </c>
      <c r="C554" s="289"/>
    </row>
    <row r="555" spans="1:3" ht="32.1" customHeight="1" x14ac:dyDescent="0.25">
      <c r="A555" s="199" t="s">
        <v>6</v>
      </c>
      <c r="B555" s="289" t="s">
        <v>570</v>
      </c>
      <c r="C555" s="289"/>
    </row>
    <row r="556" spans="1:3" ht="32.1" customHeight="1" x14ac:dyDescent="0.25">
      <c r="A556" s="199" t="s">
        <v>6</v>
      </c>
      <c r="B556" s="289" t="s">
        <v>571</v>
      </c>
      <c r="C556" s="289"/>
    </row>
    <row r="557" spans="1:3" ht="32.1" customHeight="1" x14ac:dyDescent="0.25">
      <c r="A557" s="199" t="s">
        <v>6</v>
      </c>
      <c r="B557" s="289" t="s">
        <v>572</v>
      </c>
      <c r="C557" s="289"/>
    </row>
    <row r="558" spans="1:3" ht="32.1" customHeight="1" x14ac:dyDescent="0.25">
      <c r="A558" s="199" t="s">
        <v>6</v>
      </c>
      <c r="B558" s="289" t="s">
        <v>573</v>
      </c>
      <c r="C558" s="289"/>
    </row>
    <row r="559" spans="1:3" ht="32.1" customHeight="1" x14ac:dyDescent="0.25">
      <c r="A559" s="199" t="s">
        <v>6</v>
      </c>
      <c r="B559" s="289" t="s">
        <v>574</v>
      </c>
      <c r="C559" s="289"/>
    </row>
    <row r="560" spans="1:3" ht="32.1" customHeight="1" x14ac:dyDescent="0.25">
      <c r="A560" s="199" t="s">
        <v>6</v>
      </c>
      <c r="B560" s="289" t="s">
        <v>575</v>
      </c>
      <c r="C560" s="289"/>
    </row>
    <row r="561" spans="1:3" ht="32.1" customHeight="1" x14ac:dyDescent="0.25">
      <c r="A561" s="199" t="s">
        <v>6</v>
      </c>
      <c r="B561" s="289" t="s">
        <v>576</v>
      </c>
      <c r="C561" s="289"/>
    </row>
    <row r="562" spans="1:3" ht="32.1" customHeight="1" x14ac:dyDescent="0.25">
      <c r="A562" s="199" t="s">
        <v>6</v>
      </c>
      <c r="B562" s="289" t="s">
        <v>577</v>
      </c>
      <c r="C562" s="289"/>
    </row>
    <row r="563" spans="1:3" ht="32.1" customHeight="1" x14ac:dyDescent="0.25">
      <c r="A563" s="199" t="s">
        <v>6</v>
      </c>
      <c r="B563" s="289" t="s">
        <v>578</v>
      </c>
      <c r="C563" s="289"/>
    </row>
    <row r="564" spans="1:3" ht="32.1" customHeight="1" x14ac:dyDescent="0.25">
      <c r="A564" s="199" t="s">
        <v>6</v>
      </c>
      <c r="B564" s="289" t="s">
        <v>579</v>
      </c>
      <c r="C564" s="289"/>
    </row>
    <row r="565" spans="1:3" ht="32.1" customHeight="1" x14ac:dyDescent="0.25">
      <c r="A565" s="199" t="s">
        <v>6</v>
      </c>
      <c r="B565" s="289" t="s">
        <v>580</v>
      </c>
      <c r="C565" s="289"/>
    </row>
    <row r="566" spans="1:3" ht="32.1" customHeight="1" x14ac:dyDescent="0.25">
      <c r="A566" s="199" t="s">
        <v>6</v>
      </c>
      <c r="B566" s="289" t="s">
        <v>581</v>
      </c>
      <c r="C566" s="289"/>
    </row>
    <row r="567" spans="1:3" ht="32.1" customHeight="1" x14ac:dyDescent="0.25">
      <c r="A567" s="199" t="s">
        <v>6</v>
      </c>
      <c r="B567" s="289" t="s">
        <v>582</v>
      </c>
      <c r="C567" s="289"/>
    </row>
    <row r="568" spans="1:3" ht="32.1" customHeight="1" x14ac:dyDescent="0.25">
      <c r="A568" s="199" t="s">
        <v>6</v>
      </c>
      <c r="B568" s="289" t="s">
        <v>583</v>
      </c>
      <c r="C568" s="289"/>
    </row>
    <row r="569" spans="1:3" ht="32.1" customHeight="1" x14ac:dyDescent="0.25">
      <c r="A569" s="199" t="s">
        <v>6</v>
      </c>
      <c r="B569" s="289" t="s">
        <v>584</v>
      </c>
      <c r="C569" s="289"/>
    </row>
    <row r="570" spans="1:3" ht="32.1" customHeight="1" x14ac:dyDescent="0.25">
      <c r="A570" s="199" t="s">
        <v>6</v>
      </c>
      <c r="B570" s="289" t="s">
        <v>585</v>
      </c>
      <c r="C570" s="289"/>
    </row>
    <row r="571" spans="1:3" ht="32.1" customHeight="1" x14ac:dyDescent="0.25">
      <c r="A571" s="199" t="s">
        <v>6</v>
      </c>
      <c r="B571" s="289" t="s">
        <v>586</v>
      </c>
      <c r="C571" s="289"/>
    </row>
    <row r="572" spans="1:3" ht="32.1" customHeight="1" x14ac:dyDescent="0.25">
      <c r="A572" s="199" t="s">
        <v>6</v>
      </c>
      <c r="B572" s="289" t="s">
        <v>587</v>
      </c>
      <c r="C572" s="289"/>
    </row>
    <row r="573" spans="1:3" ht="32.1" customHeight="1" x14ac:dyDescent="0.25">
      <c r="A573" s="199" t="s">
        <v>6</v>
      </c>
      <c r="B573" s="289" t="s">
        <v>588</v>
      </c>
      <c r="C573" s="289"/>
    </row>
    <row r="574" spans="1:3" ht="32.1" customHeight="1" x14ac:dyDescent="0.25">
      <c r="A574" s="199" t="s">
        <v>6</v>
      </c>
      <c r="B574" s="289" t="s">
        <v>589</v>
      </c>
      <c r="C574" s="289"/>
    </row>
    <row r="575" spans="1:3" ht="32.1" customHeight="1" x14ac:dyDescent="0.25">
      <c r="A575" s="199" t="s">
        <v>6</v>
      </c>
      <c r="B575" s="289" t="s">
        <v>590</v>
      </c>
      <c r="C575" s="289"/>
    </row>
    <row r="576" spans="1:3" ht="32.1" customHeight="1" x14ac:dyDescent="0.25">
      <c r="A576" s="199" t="s">
        <v>6</v>
      </c>
      <c r="B576" s="289" t="s">
        <v>591</v>
      </c>
      <c r="C576" s="289"/>
    </row>
    <row r="577" spans="1:3" ht="32.1" customHeight="1" x14ac:dyDescent="0.25">
      <c r="A577" s="199" t="s">
        <v>6</v>
      </c>
      <c r="B577" s="289" t="s">
        <v>592</v>
      </c>
      <c r="C577" s="289"/>
    </row>
    <row r="578" spans="1:3" ht="32.1" customHeight="1" x14ac:dyDescent="0.25">
      <c r="A578" s="199" t="s">
        <v>6</v>
      </c>
      <c r="B578" s="289" t="s">
        <v>593</v>
      </c>
      <c r="C578" s="289"/>
    </row>
    <row r="579" spans="1:3" ht="32.1" customHeight="1" x14ac:dyDescent="0.25">
      <c r="A579" s="199" t="s">
        <v>6</v>
      </c>
      <c r="B579" s="289" t="s">
        <v>594</v>
      </c>
      <c r="C579" s="289"/>
    </row>
    <row r="580" spans="1:3" ht="32.1" customHeight="1" x14ac:dyDescent="0.25">
      <c r="A580" s="199" t="s">
        <v>6</v>
      </c>
      <c r="B580" s="289" t="s">
        <v>595</v>
      </c>
      <c r="C580" s="289"/>
    </row>
    <row r="581" spans="1:3" ht="32.1" customHeight="1" x14ac:dyDescent="0.25">
      <c r="A581" s="199" t="s">
        <v>6</v>
      </c>
      <c r="B581" s="289" t="s">
        <v>596</v>
      </c>
      <c r="C581" s="289"/>
    </row>
    <row r="582" spans="1:3" ht="32.1" customHeight="1" x14ac:dyDescent="0.25">
      <c r="A582" s="199" t="s">
        <v>6</v>
      </c>
      <c r="B582" s="289" t="s">
        <v>597</v>
      </c>
      <c r="C582" s="289"/>
    </row>
    <row r="583" spans="1:3" ht="32.1" customHeight="1" x14ac:dyDescent="0.25">
      <c r="A583" s="199" t="s">
        <v>6</v>
      </c>
      <c r="B583" s="289" t="s">
        <v>598</v>
      </c>
      <c r="C583" s="289"/>
    </row>
    <row r="584" spans="1:3" ht="32.1" customHeight="1" x14ac:dyDescent="0.25">
      <c r="A584" s="199" t="s">
        <v>6</v>
      </c>
      <c r="B584" s="289" t="s">
        <v>599</v>
      </c>
      <c r="C584" s="289"/>
    </row>
    <row r="585" spans="1:3" ht="32.1" customHeight="1" x14ac:dyDescent="0.25">
      <c r="A585" s="199" t="s">
        <v>6</v>
      </c>
      <c r="B585" s="289" t="s">
        <v>600</v>
      </c>
      <c r="C585" s="289"/>
    </row>
    <row r="586" spans="1:3" ht="32.1" customHeight="1" x14ac:dyDescent="0.25">
      <c r="A586" s="199" t="s">
        <v>6</v>
      </c>
      <c r="B586" s="289" t="s">
        <v>601</v>
      </c>
      <c r="C586" s="289"/>
    </row>
    <row r="587" spans="1:3" ht="32.1" customHeight="1" x14ac:dyDescent="0.25">
      <c r="A587" s="199" t="s">
        <v>6</v>
      </c>
      <c r="B587" s="289" t="s">
        <v>602</v>
      </c>
      <c r="C587" s="289"/>
    </row>
    <row r="588" spans="1:3" ht="32.1" customHeight="1" x14ac:dyDescent="0.25">
      <c r="A588" s="199" t="s">
        <v>6</v>
      </c>
      <c r="B588" s="289" t="s">
        <v>603</v>
      </c>
      <c r="C588" s="289"/>
    </row>
    <row r="589" spans="1:3" ht="32.1" customHeight="1" x14ac:dyDescent="0.25">
      <c r="A589" s="199" t="s">
        <v>6</v>
      </c>
      <c r="B589" s="289" t="s">
        <v>604</v>
      </c>
      <c r="C589" s="289"/>
    </row>
    <row r="590" spans="1:3" ht="32.1" customHeight="1" x14ac:dyDescent="0.25">
      <c r="A590" s="199" t="s">
        <v>6</v>
      </c>
      <c r="B590" s="289" t="s">
        <v>605</v>
      </c>
      <c r="C590" s="289"/>
    </row>
    <row r="591" spans="1:3" ht="32.1" customHeight="1" x14ac:dyDescent="0.25">
      <c r="A591" s="199" t="s">
        <v>6</v>
      </c>
      <c r="B591" s="289" t="s">
        <v>606</v>
      </c>
      <c r="C591" s="289"/>
    </row>
    <row r="592" spans="1:3" ht="32.1" customHeight="1" x14ac:dyDescent="0.25">
      <c r="A592" s="199" t="s">
        <v>6</v>
      </c>
      <c r="B592" s="289" t="s">
        <v>607</v>
      </c>
      <c r="C592" s="289"/>
    </row>
    <row r="593" spans="1:3" ht="32.1" customHeight="1" x14ac:dyDescent="0.25">
      <c r="A593" s="199" t="s">
        <v>6</v>
      </c>
      <c r="B593" s="289" t="s">
        <v>608</v>
      </c>
      <c r="C593" s="289"/>
    </row>
    <row r="594" spans="1:3" ht="32.1" customHeight="1" x14ac:dyDescent="0.25">
      <c r="A594" s="199" t="s">
        <v>6</v>
      </c>
      <c r="B594" s="289" t="s">
        <v>609</v>
      </c>
      <c r="C594" s="289"/>
    </row>
    <row r="595" spans="1:3" ht="32.1" customHeight="1" x14ac:dyDescent="0.25">
      <c r="A595" s="199" t="s">
        <v>6</v>
      </c>
      <c r="B595" s="289" t="s">
        <v>610</v>
      </c>
      <c r="C595" s="289"/>
    </row>
    <row r="596" spans="1:3" ht="32.1" customHeight="1" x14ac:dyDescent="0.25">
      <c r="A596" s="199" t="s">
        <v>6</v>
      </c>
      <c r="B596" s="289" t="s">
        <v>611</v>
      </c>
      <c r="C596" s="289"/>
    </row>
    <row r="597" spans="1:3" ht="32.1" customHeight="1" x14ac:dyDescent="0.25">
      <c r="A597" s="199" t="s">
        <v>6</v>
      </c>
      <c r="B597" s="289" t="s">
        <v>612</v>
      </c>
      <c r="C597" s="289"/>
    </row>
    <row r="598" spans="1:3" ht="32.1" customHeight="1" x14ac:dyDescent="0.25">
      <c r="A598" s="199" t="s">
        <v>6</v>
      </c>
      <c r="B598" s="289" t="s">
        <v>613</v>
      </c>
      <c r="C598" s="289"/>
    </row>
    <row r="599" spans="1:3" ht="32.1" customHeight="1" x14ac:dyDescent="0.25">
      <c r="A599" s="199" t="s">
        <v>6</v>
      </c>
      <c r="B599" s="289" t="s">
        <v>614</v>
      </c>
      <c r="C599" s="289"/>
    </row>
    <row r="600" spans="1:3" ht="32.1" customHeight="1" x14ac:dyDescent="0.25">
      <c r="A600" s="199" t="s">
        <v>6</v>
      </c>
      <c r="B600" s="289" t="s">
        <v>615</v>
      </c>
      <c r="C600" s="289"/>
    </row>
    <row r="601" spans="1:3" ht="32.1" customHeight="1" x14ac:dyDescent="0.25">
      <c r="A601" s="199" t="s">
        <v>6</v>
      </c>
      <c r="B601" s="289" t="s">
        <v>616</v>
      </c>
      <c r="C601" s="289"/>
    </row>
    <row r="602" spans="1:3" ht="32.1" customHeight="1" x14ac:dyDescent="0.25">
      <c r="A602" s="199" t="s">
        <v>6</v>
      </c>
      <c r="B602" s="289" t="s">
        <v>617</v>
      </c>
      <c r="C602" s="289"/>
    </row>
    <row r="603" spans="1:3" ht="32.1" customHeight="1" x14ac:dyDescent="0.25">
      <c r="A603" s="199" t="s">
        <v>6</v>
      </c>
      <c r="B603" s="289" t="s">
        <v>618</v>
      </c>
      <c r="C603" s="289"/>
    </row>
    <row r="604" spans="1:3" ht="32.1" customHeight="1" x14ac:dyDescent="0.25">
      <c r="A604" s="199" t="s">
        <v>6</v>
      </c>
      <c r="B604" s="289" t="s">
        <v>619</v>
      </c>
      <c r="C604" s="289"/>
    </row>
    <row r="605" spans="1:3" ht="32.1" customHeight="1" x14ac:dyDescent="0.25">
      <c r="A605" s="199" t="s">
        <v>6</v>
      </c>
      <c r="B605" s="289" t="s">
        <v>620</v>
      </c>
      <c r="C605" s="289"/>
    </row>
    <row r="606" spans="1:3" ht="32.1" customHeight="1" x14ac:dyDescent="0.25">
      <c r="A606" s="199" t="s">
        <v>6</v>
      </c>
      <c r="B606" s="289" t="s">
        <v>621</v>
      </c>
      <c r="C606" s="289"/>
    </row>
    <row r="607" spans="1:3" ht="32.1" customHeight="1" x14ac:dyDescent="0.25">
      <c r="A607" s="199" t="s">
        <v>6</v>
      </c>
      <c r="B607" s="289" t="s">
        <v>622</v>
      </c>
      <c r="C607" s="289"/>
    </row>
    <row r="608" spans="1:3" ht="32.1" customHeight="1" x14ac:dyDescent="0.25">
      <c r="A608" s="199" t="s">
        <v>6</v>
      </c>
      <c r="B608" s="289" t="s">
        <v>623</v>
      </c>
      <c r="C608" s="289"/>
    </row>
    <row r="609" spans="1:3" ht="32.1" customHeight="1" x14ac:dyDescent="0.25">
      <c r="A609" s="199" t="s">
        <v>6</v>
      </c>
      <c r="B609" s="289" t="s">
        <v>624</v>
      </c>
      <c r="C609" s="289"/>
    </row>
    <row r="610" spans="1:3" ht="32.1" customHeight="1" x14ac:dyDescent="0.25">
      <c r="A610" s="199" t="s">
        <v>6</v>
      </c>
      <c r="B610" s="289" t="s">
        <v>625</v>
      </c>
      <c r="C610" s="289"/>
    </row>
    <row r="611" spans="1:3" ht="32.1" customHeight="1" x14ac:dyDescent="0.25">
      <c r="A611" s="199" t="s">
        <v>6</v>
      </c>
      <c r="B611" s="289" t="s">
        <v>626</v>
      </c>
      <c r="C611" s="289"/>
    </row>
    <row r="612" spans="1:3" ht="32.1" customHeight="1" x14ac:dyDescent="0.25">
      <c r="A612" s="199" t="s">
        <v>6</v>
      </c>
      <c r="B612" s="289" t="s">
        <v>627</v>
      </c>
      <c r="C612" s="289"/>
    </row>
    <row r="613" spans="1:3" ht="32.1" customHeight="1" x14ac:dyDescent="0.25">
      <c r="A613" s="199" t="s">
        <v>6</v>
      </c>
      <c r="B613" s="289" t="s">
        <v>628</v>
      </c>
      <c r="C613" s="289"/>
    </row>
    <row r="614" spans="1:3" ht="32.1" customHeight="1" x14ac:dyDescent="0.25">
      <c r="A614" s="199" t="s">
        <v>6</v>
      </c>
      <c r="B614" s="289" t="s">
        <v>629</v>
      </c>
      <c r="C614" s="289"/>
    </row>
    <row r="615" spans="1:3" ht="32.1" customHeight="1" x14ac:dyDescent="0.25">
      <c r="A615" s="199" t="s">
        <v>6</v>
      </c>
      <c r="B615" s="289" t="s">
        <v>630</v>
      </c>
      <c r="C615" s="289"/>
    </row>
    <row r="616" spans="1:3" ht="32.1" customHeight="1" x14ac:dyDescent="0.25">
      <c r="A616" s="199" t="s">
        <v>6</v>
      </c>
      <c r="B616" s="289" t="s">
        <v>631</v>
      </c>
      <c r="C616" s="289"/>
    </row>
    <row r="617" spans="1:3" ht="32.1" customHeight="1" x14ac:dyDescent="0.25">
      <c r="A617" s="199" t="s">
        <v>6</v>
      </c>
      <c r="B617" s="289" t="s">
        <v>632</v>
      </c>
      <c r="C617" s="289"/>
    </row>
    <row r="618" spans="1:3" ht="32.1" customHeight="1" x14ac:dyDescent="0.25">
      <c r="A618" s="199" t="s">
        <v>6</v>
      </c>
      <c r="B618" s="289" t="s">
        <v>633</v>
      </c>
      <c r="C618" s="289"/>
    </row>
    <row r="619" spans="1:3" ht="32.1" customHeight="1" x14ac:dyDescent="0.25">
      <c r="A619" s="199" t="s">
        <v>6</v>
      </c>
      <c r="B619" s="289" t="s">
        <v>634</v>
      </c>
      <c r="C619" s="289"/>
    </row>
    <row r="620" spans="1:3" ht="32.1" customHeight="1" x14ac:dyDescent="0.25">
      <c r="A620" s="199" t="s">
        <v>6</v>
      </c>
      <c r="B620" s="289" t="s">
        <v>635</v>
      </c>
      <c r="C620" s="289"/>
    </row>
    <row r="621" spans="1:3" ht="32.1" customHeight="1" x14ac:dyDescent="0.25">
      <c r="A621" s="199" t="s">
        <v>6</v>
      </c>
      <c r="B621" s="289" t="s">
        <v>636</v>
      </c>
      <c r="C621" s="289"/>
    </row>
    <row r="622" spans="1:3" ht="32.1" customHeight="1" x14ac:dyDescent="0.25">
      <c r="A622" s="199" t="s">
        <v>6</v>
      </c>
      <c r="B622" s="289" t="s">
        <v>637</v>
      </c>
      <c r="C622" s="289"/>
    </row>
    <row r="623" spans="1:3" ht="32.1" customHeight="1" x14ac:dyDescent="0.25">
      <c r="A623" s="199" t="s">
        <v>6</v>
      </c>
      <c r="B623" s="289" t="s">
        <v>638</v>
      </c>
      <c r="C623" s="289"/>
    </row>
    <row r="624" spans="1:3" ht="32.1" customHeight="1" x14ac:dyDescent="0.25">
      <c r="A624" s="199" t="s">
        <v>6</v>
      </c>
      <c r="B624" s="289" t="s">
        <v>639</v>
      </c>
      <c r="C624" s="289"/>
    </row>
    <row r="625" spans="1:3" ht="32.1" customHeight="1" x14ac:dyDescent="0.25">
      <c r="A625" s="199" t="s">
        <v>6</v>
      </c>
      <c r="B625" s="289" t="s">
        <v>640</v>
      </c>
      <c r="C625" s="289"/>
    </row>
    <row r="626" spans="1:3" ht="32.1" customHeight="1" x14ac:dyDescent="0.25">
      <c r="A626" s="199" t="s">
        <v>6</v>
      </c>
      <c r="B626" s="289" t="s">
        <v>641</v>
      </c>
      <c r="C626" s="289"/>
    </row>
    <row r="627" spans="1:3" ht="32.1" customHeight="1" x14ac:dyDescent="0.25">
      <c r="A627" s="199" t="s">
        <v>6</v>
      </c>
      <c r="B627" s="289" t="s">
        <v>642</v>
      </c>
      <c r="C627" s="289"/>
    </row>
    <row r="628" spans="1:3" ht="32.1" customHeight="1" x14ac:dyDescent="0.25">
      <c r="A628" s="199" t="s">
        <v>6</v>
      </c>
      <c r="B628" s="289" t="s">
        <v>643</v>
      </c>
      <c r="C628" s="289"/>
    </row>
    <row r="629" spans="1:3" ht="32.1" customHeight="1" x14ac:dyDescent="0.25">
      <c r="A629" s="199" t="s">
        <v>6</v>
      </c>
      <c r="B629" s="289" t="s">
        <v>644</v>
      </c>
      <c r="C629" s="289"/>
    </row>
    <row r="630" spans="1:3" ht="32.1" customHeight="1" x14ac:dyDescent="0.25">
      <c r="A630" s="199" t="s">
        <v>6</v>
      </c>
      <c r="B630" s="289" t="s">
        <v>645</v>
      </c>
      <c r="C630" s="289"/>
    </row>
    <row r="631" spans="1:3" ht="32.1" customHeight="1" x14ac:dyDescent="0.25">
      <c r="A631" s="199" t="s">
        <v>6</v>
      </c>
      <c r="B631" s="289" t="s">
        <v>646</v>
      </c>
      <c r="C631" s="289"/>
    </row>
    <row r="632" spans="1:3" ht="32.1" customHeight="1" x14ac:dyDescent="0.25">
      <c r="A632" s="199" t="s">
        <v>6</v>
      </c>
      <c r="B632" s="289" t="s">
        <v>647</v>
      </c>
      <c r="C632" s="289"/>
    </row>
    <row r="633" spans="1:3" ht="32.1" customHeight="1" x14ac:dyDescent="0.25">
      <c r="A633" s="199" t="s">
        <v>6</v>
      </c>
      <c r="B633" s="289" t="s">
        <v>648</v>
      </c>
      <c r="C633" s="289"/>
    </row>
    <row r="634" spans="1:3" ht="32.1" customHeight="1" x14ac:dyDescent="0.25">
      <c r="A634" s="199" t="s">
        <v>6</v>
      </c>
      <c r="B634" s="289" t="s">
        <v>649</v>
      </c>
      <c r="C634" s="289"/>
    </row>
    <row r="635" spans="1:3" ht="32.1" customHeight="1" x14ac:dyDescent="0.25">
      <c r="A635" s="199" t="s">
        <v>6</v>
      </c>
      <c r="B635" s="289" t="s">
        <v>650</v>
      </c>
      <c r="C635" s="289"/>
    </row>
    <row r="636" spans="1:3" ht="32.1" customHeight="1" x14ac:dyDescent="0.25">
      <c r="A636" s="199" t="s">
        <v>6</v>
      </c>
      <c r="B636" s="289" t="s">
        <v>651</v>
      </c>
      <c r="C636" s="289"/>
    </row>
    <row r="637" spans="1:3" ht="32.1" customHeight="1" x14ac:dyDescent="0.25">
      <c r="A637" s="199" t="s">
        <v>6</v>
      </c>
      <c r="B637" s="289" t="s">
        <v>652</v>
      </c>
      <c r="C637" s="289"/>
    </row>
    <row r="638" spans="1:3" ht="32.1" customHeight="1" x14ac:dyDescent="0.25">
      <c r="A638" s="199" t="s">
        <v>6</v>
      </c>
      <c r="B638" s="289" t="s">
        <v>653</v>
      </c>
      <c r="C638" s="289"/>
    </row>
    <row r="639" spans="1:3" ht="32.1" customHeight="1" x14ac:dyDescent="0.25">
      <c r="A639" s="199" t="s">
        <v>6</v>
      </c>
      <c r="B639" s="289" t="s">
        <v>654</v>
      </c>
      <c r="C639" s="289"/>
    </row>
    <row r="640" spans="1:3" ht="32.1" customHeight="1" x14ac:dyDescent="0.25">
      <c r="A640" s="199" t="s">
        <v>6</v>
      </c>
      <c r="B640" s="289" t="s">
        <v>655</v>
      </c>
      <c r="C640" s="289"/>
    </row>
    <row r="641" spans="1:3" ht="32.1" customHeight="1" x14ac:dyDescent="0.25">
      <c r="A641" s="199" t="s">
        <v>6</v>
      </c>
      <c r="B641" s="289" t="s">
        <v>656</v>
      </c>
      <c r="C641" s="289"/>
    </row>
    <row r="642" spans="1:3" ht="32.1" customHeight="1" x14ac:dyDescent="0.25">
      <c r="A642" s="199" t="s">
        <v>6</v>
      </c>
      <c r="B642" s="289" t="s">
        <v>657</v>
      </c>
      <c r="C642" s="289"/>
    </row>
    <row r="643" spans="1:3" ht="32.1" customHeight="1" x14ac:dyDescent="0.25">
      <c r="A643" s="199" t="s">
        <v>6</v>
      </c>
      <c r="B643" s="289" t="s">
        <v>658</v>
      </c>
      <c r="C643" s="289"/>
    </row>
    <row r="644" spans="1:3" ht="32.1" customHeight="1" x14ac:dyDescent="0.25">
      <c r="A644" s="199" t="s">
        <v>6</v>
      </c>
      <c r="B644" s="289" t="s">
        <v>659</v>
      </c>
      <c r="C644" s="289"/>
    </row>
    <row r="645" spans="1:3" ht="32.1" customHeight="1" x14ac:dyDescent="0.25">
      <c r="A645" s="199" t="s">
        <v>6</v>
      </c>
      <c r="B645" s="289" t="s">
        <v>660</v>
      </c>
      <c r="C645" s="289"/>
    </row>
    <row r="646" spans="1:3" ht="32.1" customHeight="1" x14ac:dyDescent="0.25">
      <c r="A646" s="199" t="s">
        <v>6</v>
      </c>
      <c r="B646" s="289" t="s">
        <v>661</v>
      </c>
      <c r="C646" s="289"/>
    </row>
    <row r="647" spans="1:3" ht="32.1" customHeight="1" x14ac:dyDescent="0.25">
      <c r="A647" s="199" t="s">
        <v>6</v>
      </c>
      <c r="B647" s="289" t="s">
        <v>662</v>
      </c>
      <c r="C647" s="289"/>
    </row>
    <row r="648" spans="1:3" ht="32.1" customHeight="1" x14ac:dyDescent="0.25">
      <c r="A648" s="199" t="s">
        <v>6</v>
      </c>
      <c r="B648" s="289" t="s">
        <v>663</v>
      </c>
      <c r="C648" s="289"/>
    </row>
    <row r="649" spans="1:3" ht="32.1" customHeight="1" x14ac:dyDescent="0.25">
      <c r="A649" s="199" t="s">
        <v>6</v>
      </c>
      <c r="B649" s="289" t="s">
        <v>664</v>
      </c>
      <c r="C649" s="289"/>
    </row>
    <row r="650" spans="1:3" ht="32.1" customHeight="1" x14ac:dyDescent="0.25">
      <c r="A650" s="199" t="s">
        <v>6</v>
      </c>
      <c r="B650" s="289" t="s">
        <v>665</v>
      </c>
      <c r="C650" s="289"/>
    </row>
    <row r="651" spans="1:3" ht="32.1" customHeight="1" x14ac:dyDescent="0.25">
      <c r="A651" s="199" t="s">
        <v>6</v>
      </c>
      <c r="B651" s="289" t="s">
        <v>666</v>
      </c>
      <c r="C651" s="289"/>
    </row>
    <row r="652" spans="1:3" ht="32.1" customHeight="1" x14ac:dyDescent="0.25">
      <c r="A652" s="199" t="s">
        <v>6</v>
      </c>
      <c r="B652" s="289" t="s">
        <v>667</v>
      </c>
      <c r="C652" s="289"/>
    </row>
    <row r="653" spans="1:3" ht="32.1" customHeight="1" x14ac:dyDescent="0.25">
      <c r="A653" s="199" t="s">
        <v>6</v>
      </c>
      <c r="B653" s="289" t="s">
        <v>668</v>
      </c>
      <c r="C653" s="289"/>
    </row>
    <row r="654" spans="1:3" ht="32.1" customHeight="1" x14ac:dyDescent="0.25">
      <c r="A654" s="199" t="s">
        <v>6</v>
      </c>
      <c r="B654" s="289" t="s">
        <v>669</v>
      </c>
      <c r="C654" s="289"/>
    </row>
    <row r="655" spans="1:3" ht="32.1" customHeight="1" x14ac:dyDescent="0.25">
      <c r="A655" s="199" t="s">
        <v>6</v>
      </c>
      <c r="B655" s="289" t="s">
        <v>670</v>
      </c>
      <c r="C655" s="289"/>
    </row>
    <row r="656" spans="1:3" ht="32.1" customHeight="1" x14ac:dyDescent="0.25">
      <c r="A656" s="199" t="s">
        <v>6</v>
      </c>
      <c r="B656" s="289" t="s">
        <v>671</v>
      </c>
      <c r="C656" s="289"/>
    </row>
    <row r="657" spans="1:3" ht="32.1" customHeight="1" x14ac:dyDescent="0.25">
      <c r="A657" s="199" t="s">
        <v>6</v>
      </c>
      <c r="B657" s="289" t="s">
        <v>672</v>
      </c>
      <c r="C657" s="289"/>
    </row>
    <row r="658" spans="1:3" ht="32.1" customHeight="1" x14ac:dyDescent="0.25">
      <c r="A658" s="199" t="s">
        <v>6</v>
      </c>
      <c r="B658" s="289" t="s">
        <v>673</v>
      </c>
      <c r="C658" s="289"/>
    </row>
    <row r="659" spans="1:3" ht="32.1" customHeight="1" x14ac:dyDescent="0.25">
      <c r="A659" s="199" t="s">
        <v>6</v>
      </c>
      <c r="B659" s="289" t="s">
        <v>674</v>
      </c>
      <c r="C659" s="289"/>
    </row>
    <row r="660" spans="1:3" ht="32.1" customHeight="1" x14ac:dyDescent="0.25">
      <c r="A660" s="199" t="s">
        <v>6</v>
      </c>
      <c r="B660" s="289" t="s">
        <v>675</v>
      </c>
      <c r="C660" s="289"/>
    </row>
    <row r="661" spans="1:3" ht="32.1" customHeight="1" x14ac:dyDescent="0.25">
      <c r="A661" s="199" t="s">
        <v>6</v>
      </c>
      <c r="B661" s="289" t="s">
        <v>676</v>
      </c>
      <c r="C661" s="289"/>
    </row>
    <row r="662" spans="1:3" ht="32.1" customHeight="1" x14ac:dyDescent="0.25">
      <c r="A662" s="199" t="s">
        <v>6</v>
      </c>
      <c r="B662" s="289" t="s">
        <v>677</v>
      </c>
      <c r="C662" s="289"/>
    </row>
    <row r="663" spans="1:3" ht="32.1" customHeight="1" x14ac:dyDescent="0.25">
      <c r="A663" s="199" t="s">
        <v>6</v>
      </c>
      <c r="B663" s="289" t="s">
        <v>678</v>
      </c>
      <c r="C663" s="289"/>
    </row>
    <row r="664" spans="1:3" ht="32.1" customHeight="1" x14ac:dyDescent="0.25">
      <c r="A664" s="199" t="s">
        <v>6</v>
      </c>
      <c r="B664" s="289" t="s">
        <v>679</v>
      </c>
      <c r="C664" s="289"/>
    </row>
    <row r="665" spans="1:3" ht="32.1" customHeight="1" x14ac:dyDescent="0.25">
      <c r="A665" s="199" t="s">
        <v>6</v>
      </c>
      <c r="B665" s="289" t="s">
        <v>680</v>
      </c>
      <c r="C665" s="289"/>
    </row>
    <row r="666" spans="1:3" ht="32.1" customHeight="1" x14ac:dyDescent="0.25">
      <c r="A666" s="199" t="s">
        <v>6</v>
      </c>
      <c r="B666" s="289" t="s">
        <v>681</v>
      </c>
      <c r="C666" s="289"/>
    </row>
    <row r="667" spans="1:3" ht="32.1" customHeight="1" x14ac:dyDescent="0.25">
      <c r="A667" s="199" t="s">
        <v>6</v>
      </c>
      <c r="B667" s="289" t="s">
        <v>682</v>
      </c>
      <c r="C667" s="289"/>
    </row>
    <row r="668" spans="1:3" ht="32.1" customHeight="1" x14ac:dyDescent="0.25">
      <c r="A668" s="199" t="s">
        <v>6</v>
      </c>
      <c r="B668" s="289" t="s">
        <v>683</v>
      </c>
      <c r="C668" s="289"/>
    </row>
    <row r="669" spans="1:3" ht="32.1" customHeight="1" x14ac:dyDescent="0.25">
      <c r="A669" s="199" t="s">
        <v>6</v>
      </c>
      <c r="B669" s="289" t="s">
        <v>684</v>
      </c>
      <c r="C669" s="289"/>
    </row>
    <row r="670" spans="1:3" ht="32.1" customHeight="1" x14ac:dyDescent="0.25">
      <c r="A670" s="199" t="s">
        <v>6</v>
      </c>
      <c r="B670" s="289" t="s">
        <v>685</v>
      </c>
      <c r="C670" s="289"/>
    </row>
    <row r="671" spans="1:3" ht="32.1" customHeight="1" x14ac:dyDescent="0.25">
      <c r="A671" s="199" t="s">
        <v>6</v>
      </c>
      <c r="B671" s="289" t="s">
        <v>686</v>
      </c>
      <c r="C671" s="289"/>
    </row>
    <row r="672" spans="1:3" ht="32.1" customHeight="1" x14ac:dyDescent="0.25">
      <c r="A672" s="199" t="s">
        <v>6</v>
      </c>
      <c r="B672" s="289" t="s">
        <v>687</v>
      </c>
      <c r="C672" s="289"/>
    </row>
    <row r="673" spans="1:3" ht="32.1" customHeight="1" x14ac:dyDescent="0.25">
      <c r="A673" s="199" t="s">
        <v>6</v>
      </c>
      <c r="B673" s="289" t="s">
        <v>688</v>
      </c>
      <c r="C673" s="289"/>
    </row>
    <row r="674" spans="1:3" ht="32.1" customHeight="1" x14ac:dyDescent="0.25">
      <c r="A674" s="199" t="s">
        <v>6</v>
      </c>
      <c r="B674" s="289" t="s">
        <v>689</v>
      </c>
      <c r="C674" s="289"/>
    </row>
    <row r="675" spans="1:3" ht="32.1" customHeight="1" x14ac:dyDescent="0.25">
      <c r="A675" s="199" t="s">
        <v>6</v>
      </c>
      <c r="B675" s="289" t="s">
        <v>690</v>
      </c>
      <c r="C675" s="289"/>
    </row>
    <row r="676" spans="1:3" ht="32.1" customHeight="1" x14ac:dyDescent="0.25">
      <c r="A676" s="199" t="s">
        <v>6</v>
      </c>
      <c r="B676" s="289" t="s">
        <v>691</v>
      </c>
      <c r="C676" s="289"/>
    </row>
    <row r="677" spans="1:3" ht="32.1" customHeight="1" x14ac:dyDescent="0.25">
      <c r="A677" s="199" t="s">
        <v>6</v>
      </c>
      <c r="B677" s="289" t="s">
        <v>692</v>
      </c>
      <c r="C677" s="289"/>
    </row>
    <row r="678" spans="1:3" ht="32.1" customHeight="1" x14ac:dyDescent="0.25">
      <c r="A678" s="199" t="s">
        <v>6</v>
      </c>
      <c r="B678" s="289" t="s">
        <v>693</v>
      </c>
      <c r="C678" s="289"/>
    </row>
    <row r="679" spans="1:3" ht="32.1" customHeight="1" x14ac:dyDescent="0.25">
      <c r="A679" s="199" t="s">
        <v>6</v>
      </c>
      <c r="B679" s="289" t="s">
        <v>694</v>
      </c>
      <c r="C679" s="289"/>
    </row>
    <row r="680" spans="1:3" ht="32.1" customHeight="1" x14ac:dyDescent="0.25">
      <c r="A680" s="199" t="s">
        <v>6</v>
      </c>
      <c r="B680" s="289" t="s">
        <v>695</v>
      </c>
      <c r="C680" s="289"/>
    </row>
    <row r="681" spans="1:3" ht="32.1" customHeight="1" x14ac:dyDescent="0.25">
      <c r="A681" s="199" t="s">
        <v>6</v>
      </c>
      <c r="B681" s="289" t="s">
        <v>696</v>
      </c>
      <c r="C681" s="289"/>
    </row>
    <row r="682" spans="1:3" ht="32.1" customHeight="1" x14ac:dyDescent="0.25">
      <c r="A682" s="199" t="s">
        <v>6</v>
      </c>
      <c r="B682" s="289" t="s">
        <v>697</v>
      </c>
      <c r="C682" s="289"/>
    </row>
    <row r="683" spans="1:3" ht="32.1" customHeight="1" x14ac:dyDescent="0.25">
      <c r="A683" s="199" t="s">
        <v>6</v>
      </c>
      <c r="B683" s="289" t="s">
        <v>698</v>
      </c>
      <c r="C683" s="289"/>
    </row>
    <row r="684" spans="1:3" ht="32.1" customHeight="1" x14ac:dyDescent="0.25">
      <c r="A684" s="199" t="s">
        <v>6</v>
      </c>
      <c r="B684" s="289" t="s">
        <v>699</v>
      </c>
      <c r="C684" s="289"/>
    </row>
    <row r="685" spans="1:3" ht="32.1" customHeight="1" x14ac:dyDescent="0.25">
      <c r="A685" s="199" t="s">
        <v>6</v>
      </c>
      <c r="B685" s="289" t="s">
        <v>700</v>
      </c>
      <c r="C685" s="289"/>
    </row>
    <row r="686" spans="1:3" ht="32.1" customHeight="1" x14ac:dyDescent="0.25">
      <c r="A686" s="199" t="s">
        <v>6</v>
      </c>
      <c r="B686" s="289" t="s">
        <v>701</v>
      </c>
      <c r="C686" s="289"/>
    </row>
    <row r="687" spans="1:3" ht="32.1" customHeight="1" x14ac:dyDescent="0.25">
      <c r="A687" s="199" t="s">
        <v>6</v>
      </c>
      <c r="B687" s="289" t="s">
        <v>702</v>
      </c>
      <c r="C687" s="289"/>
    </row>
    <row r="688" spans="1:3" ht="32.1" customHeight="1" x14ac:dyDescent="0.25">
      <c r="A688" s="199" t="s">
        <v>6</v>
      </c>
      <c r="B688" s="289" t="s">
        <v>703</v>
      </c>
      <c r="C688" s="289"/>
    </row>
    <row r="689" spans="1:3" ht="32.1" customHeight="1" x14ac:dyDescent="0.25">
      <c r="A689" s="199" t="s">
        <v>6</v>
      </c>
      <c r="B689" s="289" t="s">
        <v>704</v>
      </c>
      <c r="C689" s="289"/>
    </row>
    <row r="690" spans="1:3" ht="32.1" customHeight="1" x14ac:dyDescent="0.25">
      <c r="A690" s="199" t="s">
        <v>6</v>
      </c>
      <c r="B690" s="289" t="s">
        <v>705</v>
      </c>
      <c r="C690" s="289"/>
    </row>
    <row r="691" spans="1:3" ht="32.1" customHeight="1" x14ac:dyDescent="0.25">
      <c r="A691" s="199" t="s">
        <v>6</v>
      </c>
      <c r="B691" s="289" t="s">
        <v>706</v>
      </c>
      <c r="C691" s="289"/>
    </row>
    <row r="692" spans="1:3" ht="32.1" customHeight="1" x14ac:dyDescent="0.25">
      <c r="A692" s="199" t="s">
        <v>6</v>
      </c>
      <c r="B692" s="289" t="s">
        <v>707</v>
      </c>
      <c r="C692" s="289"/>
    </row>
    <row r="693" spans="1:3" ht="32.1" customHeight="1" x14ac:dyDescent="0.25">
      <c r="A693" s="199" t="s">
        <v>6</v>
      </c>
      <c r="B693" s="289" t="s">
        <v>708</v>
      </c>
      <c r="C693" s="289"/>
    </row>
    <row r="694" spans="1:3" ht="32.1" customHeight="1" x14ac:dyDescent="0.25">
      <c r="A694" s="199" t="s">
        <v>6</v>
      </c>
      <c r="B694" s="289" t="s">
        <v>709</v>
      </c>
      <c r="C694" s="289"/>
    </row>
    <row r="695" spans="1:3" ht="32.1" customHeight="1" x14ac:dyDescent="0.25">
      <c r="A695" s="199" t="s">
        <v>6</v>
      </c>
      <c r="B695" s="289" t="s">
        <v>710</v>
      </c>
      <c r="C695" s="289"/>
    </row>
    <row r="696" spans="1:3" ht="32.1" customHeight="1" x14ac:dyDescent="0.25">
      <c r="A696" s="199" t="s">
        <v>6</v>
      </c>
      <c r="B696" s="289" t="s">
        <v>711</v>
      </c>
      <c r="C696" s="289"/>
    </row>
    <row r="697" spans="1:3" ht="32.1" customHeight="1" x14ac:dyDescent="0.25">
      <c r="A697" s="199" t="s">
        <v>6</v>
      </c>
      <c r="B697" s="289" t="s">
        <v>712</v>
      </c>
      <c r="C697" s="289"/>
    </row>
    <row r="698" spans="1:3" ht="32.1" customHeight="1" x14ac:dyDescent="0.25">
      <c r="A698" s="199" t="s">
        <v>6</v>
      </c>
      <c r="B698" s="289" t="s">
        <v>713</v>
      </c>
      <c r="C698" s="289"/>
    </row>
    <row r="699" spans="1:3" ht="32.1" customHeight="1" x14ac:dyDescent="0.25">
      <c r="A699" s="199" t="s">
        <v>6</v>
      </c>
      <c r="B699" s="289" t="s">
        <v>714</v>
      </c>
      <c r="C699" s="289"/>
    </row>
    <row r="700" spans="1:3" ht="32.1" customHeight="1" x14ac:dyDescent="0.25">
      <c r="A700" s="199" t="s">
        <v>6</v>
      </c>
      <c r="B700" s="289" t="s">
        <v>715</v>
      </c>
      <c r="C700" s="289"/>
    </row>
    <row r="701" spans="1:3" ht="32.1" customHeight="1" x14ac:dyDescent="0.25">
      <c r="A701" s="199" t="s">
        <v>6</v>
      </c>
      <c r="B701" s="289" t="s">
        <v>716</v>
      </c>
      <c r="C701" s="289"/>
    </row>
    <row r="702" spans="1:3" ht="32.1" customHeight="1" x14ac:dyDescent="0.25">
      <c r="A702" s="199" t="s">
        <v>6</v>
      </c>
      <c r="B702" s="289" t="s">
        <v>717</v>
      </c>
      <c r="C702" s="289"/>
    </row>
    <row r="703" spans="1:3" ht="32.1" customHeight="1" x14ac:dyDescent="0.25">
      <c r="A703" s="199" t="s">
        <v>6</v>
      </c>
      <c r="B703" s="289" t="s">
        <v>718</v>
      </c>
      <c r="C703" s="289"/>
    </row>
    <row r="704" spans="1:3" ht="32.1" customHeight="1" x14ac:dyDescent="0.25">
      <c r="A704" s="199" t="s">
        <v>6</v>
      </c>
      <c r="B704" s="289" t="s">
        <v>719</v>
      </c>
      <c r="C704" s="289"/>
    </row>
    <row r="705" spans="1:3" ht="32.1" customHeight="1" x14ac:dyDescent="0.25">
      <c r="A705" s="199" t="s">
        <v>6</v>
      </c>
      <c r="B705" s="289" t="s">
        <v>720</v>
      </c>
      <c r="C705" s="289"/>
    </row>
    <row r="706" spans="1:3" ht="32.1" customHeight="1" x14ac:dyDescent="0.25">
      <c r="A706" s="199" t="s">
        <v>6</v>
      </c>
      <c r="B706" s="289" t="s">
        <v>721</v>
      </c>
      <c r="C706" s="289"/>
    </row>
    <row r="707" spans="1:3" ht="32.1" customHeight="1" x14ac:dyDescent="0.25">
      <c r="A707" s="199" t="s">
        <v>6</v>
      </c>
      <c r="B707" s="289" t="s">
        <v>722</v>
      </c>
      <c r="C707" s="289"/>
    </row>
    <row r="708" spans="1:3" ht="32.1" customHeight="1" x14ac:dyDescent="0.25">
      <c r="A708" s="199" t="s">
        <v>6</v>
      </c>
      <c r="B708" s="289" t="s">
        <v>723</v>
      </c>
      <c r="C708" s="289"/>
    </row>
    <row r="709" spans="1:3" ht="32.1" customHeight="1" x14ac:dyDescent="0.25">
      <c r="A709" s="199" t="s">
        <v>6</v>
      </c>
      <c r="B709" s="289" t="s">
        <v>724</v>
      </c>
      <c r="C709" s="289"/>
    </row>
    <row r="710" spans="1:3" ht="32.1" customHeight="1" x14ac:dyDescent="0.25">
      <c r="A710" s="199" t="s">
        <v>6</v>
      </c>
      <c r="B710" s="289" t="s">
        <v>725</v>
      </c>
      <c r="C710" s="289"/>
    </row>
    <row r="711" spans="1:3" ht="32.1" customHeight="1" x14ac:dyDescent="0.25">
      <c r="A711" s="199" t="s">
        <v>6</v>
      </c>
      <c r="B711" s="289" t="s">
        <v>726</v>
      </c>
      <c r="C711" s="289"/>
    </row>
    <row r="712" spans="1:3" ht="32.1" customHeight="1" x14ac:dyDescent="0.25">
      <c r="A712" s="199" t="s">
        <v>6</v>
      </c>
      <c r="B712" s="289" t="s">
        <v>727</v>
      </c>
      <c r="C712" s="289"/>
    </row>
    <row r="713" spans="1:3" ht="32.1" customHeight="1" x14ac:dyDescent="0.25">
      <c r="A713" s="199" t="s">
        <v>6</v>
      </c>
      <c r="B713" s="289" t="s">
        <v>728</v>
      </c>
      <c r="C713" s="289"/>
    </row>
    <row r="714" spans="1:3" ht="32.1" customHeight="1" x14ac:dyDescent="0.25">
      <c r="A714" s="199" t="s">
        <v>6</v>
      </c>
      <c r="B714" s="289" t="s">
        <v>729</v>
      </c>
      <c r="C714" s="289"/>
    </row>
    <row r="715" spans="1:3" ht="32.1" customHeight="1" x14ac:dyDescent="0.25">
      <c r="A715" s="199" t="s">
        <v>6</v>
      </c>
      <c r="B715" s="289" t="s">
        <v>730</v>
      </c>
      <c r="C715" s="289"/>
    </row>
    <row r="716" spans="1:3" ht="32.1" customHeight="1" x14ac:dyDescent="0.25">
      <c r="A716" s="199" t="s">
        <v>6</v>
      </c>
      <c r="B716" s="289" t="s">
        <v>731</v>
      </c>
      <c r="C716" s="289"/>
    </row>
    <row r="717" spans="1:3" ht="32.1" customHeight="1" x14ac:dyDescent="0.25">
      <c r="A717" s="199" t="s">
        <v>6</v>
      </c>
      <c r="B717" s="289" t="s">
        <v>732</v>
      </c>
      <c r="C717" s="289"/>
    </row>
    <row r="718" spans="1:3" ht="32.1" customHeight="1" x14ac:dyDescent="0.25">
      <c r="A718" s="199" t="s">
        <v>6</v>
      </c>
      <c r="B718" s="289" t="s">
        <v>733</v>
      </c>
      <c r="C718" s="289"/>
    </row>
    <row r="719" spans="1:3" ht="32.1" customHeight="1" x14ac:dyDescent="0.25">
      <c r="A719" s="199" t="s">
        <v>6</v>
      </c>
      <c r="B719" s="289" t="s">
        <v>734</v>
      </c>
      <c r="C719" s="289"/>
    </row>
    <row r="720" spans="1:3" ht="32.1" customHeight="1" x14ac:dyDescent="0.25">
      <c r="A720" s="199" t="s">
        <v>6</v>
      </c>
      <c r="B720" s="289" t="s">
        <v>735</v>
      </c>
      <c r="C720" s="289"/>
    </row>
    <row r="721" spans="1:3" ht="32.1" customHeight="1" x14ac:dyDescent="0.25">
      <c r="A721" s="199" t="s">
        <v>6</v>
      </c>
      <c r="B721" s="289" t="s">
        <v>736</v>
      </c>
      <c r="C721" s="289"/>
    </row>
    <row r="722" spans="1:3" ht="32.1" customHeight="1" x14ac:dyDescent="0.25">
      <c r="A722" s="199" t="s">
        <v>6</v>
      </c>
      <c r="B722" s="289" t="s">
        <v>737</v>
      </c>
      <c r="C722" s="289"/>
    </row>
    <row r="723" spans="1:3" ht="32.1" customHeight="1" x14ac:dyDescent="0.25">
      <c r="A723" s="199" t="s">
        <v>6</v>
      </c>
      <c r="B723" s="289" t="s">
        <v>738</v>
      </c>
      <c r="C723" s="289"/>
    </row>
    <row r="724" spans="1:3" ht="32.1" customHeight="1" x14ac:dyDescent="0.25">
      <c r="A724" s="199" t="s">
        <v>6</v>
      </c>
      <c r="B724" s="289" t="s">
        <v>739</v>
      </c>
      <c r="C724" s="289"/>
    </row>
    <row r="725" spans="1:3" ht="32.1" customHeight="1" x14ac:dyDescent="0.25">
      <c r="A725" s="199" t="s">
        <v>6</v>
      </c>
      <c r="B725" s="289" t="s">
        <v>740</v>
      </c>
      <c r="C725" s="289"/>
    </row>
    <row r="726" spans="1:3" ht="32.1" customHeight="1" x14ac:dyDescent="0.25">
      <c r="A726" s="199" t="s">
        <v>6</v>
      </c>
      <c r="B726" s="289" t="s">
        <v>741</v>
      </c>
      <c r="C726" s="289"/>
    </row>
    <row r="727" spans="1:3" ht="32.1" customHeight="1" x14ac:dyDescent="0.25">
      <c r="A727" s="199" t="s">
        <v>6</v>
      </c>
      <c r="B727" s="289" t="s">
        <v>742</v>
      </c>
      <c r="C727" s="289"/>
    </row>
    <row r="728" spans="1:3" ht="32.1" customHeight="1" x14ac:dyDescent="0.25">
      <c r="A728" s="199" t="s">
        <v>6</v>
      </c>
      <c r="B728" s="289" t="s">
        <v>743</v>
      </c>
      <c r="C728" s="289"/>
    </row>
    <row r="729" spans="1:3" ht="32.1" customHeight="1" x14ac:dyDescent="0.25">
      <c r="A729" s="199" t="s">
        <v>6</v>
      </c>
      <c r="B729" s="289" t="s">
        <v>744</v>
      </c>
      <c r="C729" s="289"/>
    </row>
    <row r="730" spans="1:3" ht="32.1" customHeight="1" x14ac:dyDescent="0.25">
      <c r="A730" s="199" t="s">
        <v>6</v>
      </c>
      <c r="B730" s="289" t="s">
        <v>745</v>
      </c>
      <c r="C730" s="289"/>
    </row>
    <row r="731" spans="1:3" ht="32.1" customHeight="1" x14ac:dyDescent="0.25">
      <c r="A731" s="199" t="s">
        <v>6</v>
      </c>
      <c r="B731" s="289" t="s">
        <v>746</v>
      </c>
      <c r="C731" s="289"/>
    </row>
    <row r="732" spans="1:3" ht="32.1" customHeight="1" x14ac:dyDescent="0.25">
      <c r="A732" s="199" t="s">
        <v>6</v>
      </c>
      <c r="B732" s="289" t="s">
        <v>747</v>
      </c>
      <c r="C732" s="289"/>
    </row>
    <row r="733" spans="1:3" ht="32.1" customHeight="1" x14ac:dyDescent="0.25">
      <c r="A733" s="199" t="s">
        <v>6</v>
      </c>
      <c r="B733" s="289" t="s">
        <v>748</v>
      </c>
      <c r="C733" s="289"/>
    </row>
    <row r="734" spans="1:3" ht="32.1" customHeight="1" x14ac:dyDescent="0.25">
      <c r="A734" s="199" t="s">
        <v>6</v>
      </c>
      <c r="B734" s="289" t="s">
        <v>749</v>
      </c>
      <c r="C734" s="289"/>
    </row>
    <row r="735" spans="1:3" ht="32.1" customHeight="1" x14ac:dyDescent="0.25">
      <c r="A735" s="199" t="s">
        <v>6</v>
      </c>
      <c r="B735" s="289" t="s">
        <v>750</v>
      </c>
      <c r="C735" s="289"/>
    </row>
    <row r="736" spans="1:3" ht="32.1" customHeight="1" x14ac:dyDescent="0.25">
      <c r="A736" s="199" t="s">
        <v>6</v>
      </c>
      <c r="B736" s="289" t="s">
        <v>751</v>
      </c>
      <c r="C736" s="289"/>
    </row>
    <row r="737" spans="1:3" ht="32.1" customHeight="1" x14ac:dyDescent="0.25">
      <c r="A737" s="199" t="s">
        <v>6</v>
      </c>
      <c r="B737" s="289" t="s">
        <v>752</v>
      </c>
      <c r="C737" s="289"/>
    </row>
    <row r="738" spans="1:3" ht="32.1" customHeight="1" x14ac:dyDescent="0.25">
      <c r="A738" s="199" t="s">
        <v>6</v>
      </c>
      <c r="B738" s="289" t="s">
        <v>753</v>
      </c>
      <c r="C738" s="289"/>
    </row>
    <row r="739" spans="1:3" ht="32.1" customHeight="1" x14ac:dyDescent="0.25">
      <c r="A739" s="199" t="s">
        <v>6</v>
      </c>
      <c r="B739" s="289" t="s">
        <v>754</v>
      </c>
      <c r="C739" s="289"/>
    </row>
    <row r="740" spans="1:3" ht="32.1" customHeight="1" x14ac:dyDescent="0.25">
      <c r="A740" s="199" t="s">
        <v>6</v>
      </c>
      <c r="B740" s="289" t="s">
        <v>755</v>
      </c>
      <c r="C740" s="289"/>
    </row>
    <row r="741" spans="1:3" ht="32.1" customHeight="1" x14ac:dyDescent="0.25">
      <c r="A741" s="199" t="s">
        <v>6</v>
      </c>
      <c r="B741" s="289" t="s">
        <v>756</v>
      </c>
      <c r="C741" s="289"/>
    </row>
    <row r="742" spans="1:3" ht="32.1" customHeight="1" x14ac:dyDescent="0.25">
      <c r="A742" s="199" t="s">
        <v>6</v>
      </c>
      <c r="B742" s="289" t="s">
        <v>757</v>
      </c>
      <c r="C742" s="289"/>
    </row>
    <row r="743" spans="1:3" ht="32.1" customHeight="1" x14ac:dyDescent="0.25">
      <c r="A743" s="199" t="s">
        <v>6</v>
      </c>
      <c r="B743" s="289" t="s">
        <v>758</v>
      </c>
      <c r="C743" s="289"/>
    </row>
    <row r="744" spans="1:3" ht="32.1" customHeight="1" x14ac:dyDescent="0.25">
      <c r="A744" s="199" t="s">
        <v>6</v>
      </c>
      <c r="B744" s="289" t="s">
        <v>759</v>
      </c>
      <c r="C744" s="289"/>
    </row>
    <row r="745" spans="1:3" ht="32.1" customHeight="1" x14ac:dyDescent="0.25">
      <c r="A745" s="199" t="s">
        <v>6</v>
      </c>
      <c r="B745" s="289" t="s">
        <v>760</v>
      </c>
      <c r="C745" s="289"/>
    </row>
    <row r="746" spans="1:3" ht="32.1" customHeight="1" x14ac:dyDescent="0.25">
      <c r="A746" s="199" t="s">
        <v>6</v>
      </c>
      <c r="B746" s="289" t="s">
        <v>761</v>
      </c>
      <c r="C746" s="289"/>
    </row>
    <row r="747" spans="1:3" ht="32.1" customHeight="1" x14ac:dyDescent="0.25">
      <c r="A747" s="199" t="s">
        <v>6</v>
      </c>
      <c r="B747" s="289" t="s">
        <v>762</v>
      </c>
      <c r="C747" s="289"/>
    </row>
    <row r="748" spans="1:3" ht="32.1" customHeight="1" x14ac:dyDescent="0.25">
      <c r="A748" s="199" t="s">
        <v>6</v>
      </c>
      <c r="B748" s="289" t="s">
        <v>763</v>
      </c>
      <c r="C748" s="289"/>
    </row>
    <row r="749" spans="1:3" ht="32.1" customHeight="1" x14ac:dyDescent="0.25">
      <c r="A749" s="199" t="s">
        <v>6</v>
      </c>
      <c r="B749" s="289" t="s">
        <v>764</v>
      </c>
      <c r="C749" s="289"/>
    </row>
    <row r="750" spans="1:3" ht="32.1" customHeight="1" x14ac:dyDescent="0.25">
      <c r="A750" s="199" t="s">
        <v>6</v>
      </c>
      <c r="B750" s="289" t="s">
        <v>765</v>
      </c>
      <c r="C750" s="289"/>
    </row>
    <row r="751" spans="1:3" ht="32.1" customHeight="1" x14ac:dyDescent="0.25">
      <c r="A751" s="199" t="s">
        <v>6</v>
      </c>
      <c r="B751" s="289" t="s">
        <v>766</v>
      </c>
      <c r="C751" s="289"/>
    </row>
    <row r="752" spans="1:3" ht="32.1" customHeight="1" x14ac:dyDescent="0.25">
      <c r="A752" s="199" t="s">
        <v>6</v>
      </c>
      <c r="B752" s="289" t="s">
        <v>767</v>
      </c>
      <c r="C752" s="289"/>
    </row>
    <row r="753" spans="1:3" ht="32.1" customHeight="1" x14ac:dyDescent="0.25">
      <c r="A753" s="199" t="s">
        <v>6</v>
      </c>
      <c r="B753" s="289" t="s">
        <v>768</v>
      </c>
      <c r="C753" s="289"/>
    </row>
    <row r="754" spans="1:3" ht="32.1" customHeight="1" x14ac:dyDescent="0.25">
      <c r="A754" s="199" t="s">
        <v>6</v>
      </c>
      <c r="B754" s="289" t="s">
        <v>769</v>
      </c>
      <c r="C754" s="289"/>
    </row>
    <row r="755" spans="1:3" ht="32.1" customHeight="1" x14ac:dyDescent="0.25">
      <c r="A755" s="199" t="s">
        <v>6</v>
      </c>
      <c r="B755" s="289" t="s">
        <v>770</v>
      </c>
      <c r="C755" s="289"/>
    </row>
    <row r="756" spans="1:3" ht="32.1" customHeight="1" x14ac:dyDescent="0.25">
      <c r="A756" s="199" t="s">
        <v>6</v>
      </c>
      <c r="B756" s="289" t="s">
        <v>771</v>
      </c>
      <c r="C756" s="289"/>
    </row>
    <row r="757" spans="1:3" ht="32.1" customHeight="1" x14ac:dyDescent="0.25">
      <c r="A757" s="199" t="s">
        <v>6</v>
      </c>
      <c r="B757" s="289" t="s">
        <v>772</v>
      </c>
      <c r="C757" s="289"/>
    </row>
    <row r="758" spans="1:3" ht="32.1" customHeight="1" x14ac:dyDescent="0.25">
      <c r="A758" s="199" t="s">
        <v>6</v>
      </c>
      <c r="B758" s="289" t="s">
        <v>773</v>
      </c>
      <c r="C758" s="289"/>
    </row>
    <row r="759" spans="1:3" ht="32.1" customHeight="1" x14ac:dyDescent="0.25">
      <c r="A759" s="199" t="s">
        <v>6</v>
      </c>
      <c r="B759" s="289" t="s">
        <v>774</v>
      </c>
      <c r="C759" s="289"/>
    </row>
    <row r="760" spans="1:3" ht="32.1" customHeight="1" x14ac:dyDescent="0.25">
      <c r="A760" s="199" t="s">
        <v>6</v>
      </c>
      <c r="B760" s="289" t="s">
        <v>775</v>
      </c>
      <c r="C760" s="289"/>
    </row>
    <row r="761" spans="1:3" ht="32.1" customHeight="1" x14ac:dyDescent="0.25">
      <c r="A761" s="199" t="s">
        <v>6</v>
      </c>
      <c r="B761" s="289" t="s">
        <v>776</v>
      </c>
      <c r="C761" s="289"/>
    </row>
    <row r="762" spans="1:3" ht="32.1" customHeight="1" x14ac:dyDescent="0.25">
      <c r="A762" s="199" t="s">
        <v>6</v>
      </c>
      <c r="B762" s="289" t="s">
        <v>777</v>
      </c>
      <c r="C762" s="289"/>
    </row>
    <row r="763" spans="1:3" ht="32.1" customHeight="1" x14ac:dyDescent="0.25">
      <c r="A763" s="199" t="s">
        <v>6</v>
      </c>
      <c r="B763" s="289" t="s">
        <v>778</v>
      </c>
      <c r="C763" s="289"/>
    </row>
    <row r="764" spans="1:3" ht="32.1" customHeight="1" x14ac:dyDescent="0.25">
      <c r="A764" s="199" t="s">
        <v>6</v>
      </c>
      <c r="B764" s="289" t="s">
        <v>779</v>
      </c>
      <c r="C764" s="289"/>
    </row>
    <row r="765" spans="1:3" ht="32.1" customHeight="1" x14ac:dyDescent="0.25">
      <c r="A765" s="199" t="s">
        <v>6</v>
      </c>
      <c r="B765" s="289" t="s">
        <v>780</v>
      </c>
      <c r="C765" s="289"/>
    </row>
    <row r="766" spans="1:3" ht="32.1" customHeight="1" x14ac:dyDescent="0.25">
      <c r="A766" s="199" t="s">
        <v>6</v>
      </c>
      <c r="B766" s="289" t="s">
        <v>781</v>
      </c>
      <c r="C766" s="289"/>
    </row>
    <row r="767" spans="1:3" ht="32.1" customHeight="1" x14ac:dyDescent="0.25">
      <c r="A767" s="199" t="s">
        <v>6</v>
      </c>
      <c r="B767" s="289" t="s">
        <v>782</v>
      </c>
      <c r="C767" s="289"/>
    </row>
    <row r="768" spans="1:3" ht="32.1" customHeight="1" x14ac:dyDescent="0.25">
      <c r="A768" s="199" t="s">
        <v>6</v>
      </c>
      <c r="B768" s="289" t="s">
        <v>783</v>
      </c>
      <c r="C768" s="289"/>
    </row>
    <row r="769" spans="1:3" ht="32.1" customHeight="1" x14ac:dyDescent="0.25">
      <c r="A769" s="199" t="s">
        <v>6</v>
      </c>
      <c r="B769" s="289" t="s">
        <v>784</v>
      </c>
      <c r="C769" s="289"/>
    </row>
    <row r="770" spans="1:3" ht="32.1" customHeight="1" x14ac:dyDescent="0.25">
      <c r="A770" s="199" t="s">
        <v>6</v>
      </c>
      <c r="B770" s="289" t="s">
        <v>785</v>
      </c>
      <c r="C770" s="289"/>
    </row>
    <row r="771" spans="1:3" ht="32.1" customHeight="1" x14ac:dyDescent="0.25">
      <c r="A771" s="199" t="s">
        <v>6</v>
      </c>
      <c r="B771" s="289" t="s">
        <v>786</v>
      </c>
      <c r="C771" s="289"/>
    </row>
    <row r="772" spans="1:3" ht="32.1" customHeight="1" x14ac:dyDescent="0.25">
      <c r="A772" s="199" t="s">
        <v>6</v>
      </c>
      <c r="B772" s="289" t="s">
        <v>787</v>
      </c>
      <c r="C772" s="289"/>
    </row>
    <row r="773" spans="1:3" ht="32.1" customHeight="1" x14ac:dyDescent="0.25">
      <c r="A773" s="199" t="s">
        <v>6</v>
      </c>
      <c r="B773" s="289" t="s">
        <v>788</v>
      </c>
      <c r="C773" s="289"/>
    </row>
    <row r="774" spans="1:3" ht="32.1" customHeight="1" x14ac:dyDescent="0.25">
      <c r="A774" s="199" t="s">
        <v>6</v>
      </c>
      <c r="B774" s="289" t="s">
        <v>789</v>
      </c>
      <c r="C774" s="289"/>
    </row>
    <row r="775" spans="1:3" ht="32.1" customHeight="1" x14ac:dyDescent="0.25">
      <c r="A775" s="199" t="s">
        <v>6</v>
      </c>
      <c r="B775" s="289" t="s">
        <v>790</v>
      </c>
      <c r="C775" s="289"/>
    </row>
    <row r="776" spans="1:3" ht="32.1" customHeight="1" x14ac:dyDescent="0.25">
      <c r="A776" s="199" t="s">
        <v>6</v>
      </c>
      <c r="B776" s="289" t="s">
        <v>791</v>
      </c>
      <c r="C776" s="289"/>
    </row>
    <row r="777" spans="1:3" ht="32.1" customHeight="1" x14ac:dyDescent="0.25">
      <c r="A777" s="199" t="s">
        <v>6</v>
      </c>
      <c r="B777" s="289" t="s">
        <v>792</v>
      </c>
      <c r="C777" s="289"/>
    </row>
    <row r="778" spans="1:3" ht="32.1" customHeight="1" x14ac:dyDescent="0.25">
      <c r="A778" s="199" t="s">
        <v>6</v>
      </c>
      <c r="B778" s="289" t="s">
        <v>793</v>
      </c>
      <c r="C778" s="289"/>
    </row>
    <row r="779" spans="1:3" ht="32.1" customHeight="1" x14ac:dyDescent="0.25">
      <c r="A779" s="199" t="s">
        <v>6</v>
      </c>
      <c r="B779" s="289" t="s">
        <v>794</v>
      </c>
      <c r="C779" s="289"/>
    </row>
    <row r="780" spans="1:3" ht="32.1" customHeight="1" x14ac:dyDescent="0.25">
      <c r="A780" s="199" t="s">
        <v>6</v>
      </c>
      <c r="B780" s="289" t="s">
        <v>795</v>
      </c>
      <c r="C780" s="289"/>
    </row>
    <row r="781" spans="1:3" ht="32.1" customHeight="1" x14ac:dyDescent="0.25">
      <c r="A781" s="199" t="s">
        <v>6</v>
      </c>
      <c r="B781" s="289" t="s">
        <v>796</v>
      </c>
      <c r="C781" s="289"/>
    </row>
    <row r="782" spans="1:3" ht="32.1" customHeight="1" x14ac:dyDescent="0.25">
      <c r="A782" s="199" t="s">
        <v>6</v>
      </c>
      <c r="B782" s="289" t="s">
        <v>797</v>
      </c>
      <c r="C782" s="289"/>
    </row>
    <row r="783" spans="1:3" ht="32.1" customHeight="1" x14ac:dyDescent="0.25">
      <c r="A783" s="199" t="s">
        <v>6</v>
      </c>
      <c r="B783" s="289" t="s">
        <v>798</v>
      </c>
      <c r="C783" s="289"/>
    </row>
    <row r="784" spans="1:3" ht="32.1" customHeight="1" x14ac:dyDescent="0.25">
      <c r="A784" s="199" t="s">
        <v>6</v>
      </c>
      <c r="B784" s="289" t="s">
        <v>799</v>
      </c>
      <c r="C784" s="289"/>
    </row>
    <row r="785" spans="1:3" ht="32.1" customHeight="1" x14ac:dyDescent="0.25">
      <c r="A785" s="199" t="s">
        <v>6</v>
      </c>
      <c r="B785" s="289" t="s">
        <v>800</v>
      </c>
      <c r="C785" s="289"/>
    </row>
    <row r="786" spans="1:3" ht="32.1" customHeight="1" x14ac:dyDescent="0.25">
      <c r="A786" s="199" t="s">
        <v>6</v>
      </c>
      <c r="B786" s="289" t="s">
        <v>801</v>
      </c>
      <c r="C786" s="289"/>
    </row>
    <row r="787" spans="1:3" ht="32.1" customHeight="1" x14ac:dyDescent="0.25">
      <c r="A787" s="199" t="s">
        <v>6</v>
      </c>
      <c r="B787" s="289" t="s">
        <v>802</v>
      </c>
      <c r="C787" s="289"/>
    </row>
    <row r="788" spans="1:3" ht="32.1" customHeight="1" x14ac:dyDescent="0.25">
      <c r="A788" s="199" t="s">
        <v>6</v>
      </c>
      <c r="B788" s="289" t="s">
        <v>803</v>
      </c>
      <c r="C788" s="289"/>
    </row>
    <row r="789" spans="1:3" ht="32.1" customHeight="1" x14ac:dyDescent="0.25">
      <c r="A789" s="199" t="s">
        <v>6</v>
      </c>
      <c r="B789" s="289" t="s">
        <v>804</v>
      </c>
      <c r="C789" s="289"/>
    </row>
    <row r="790" spans="1:3" ht="32.1" customHeight="1" x14ac:dyDescent="0.25">
      <c r="A790" s="199" t="s">
        <v>6</v>
      </c>
      <c r="B790" s="289" t="s">
        <v>805</v>
      </c>
      <c r="C790" s="289"/>
    </row>
    <row r="791" spans="1:3" ht="32.1" customHeight="1" x14ac:dyDescent="0.25">
      <c r="A791" s="199" t="s">
        <v>6</v>
      </c>
      <c r="B791" s="289" t="s">
        <v>806</v>
      </c>
      <c r="C791" s="289"/>
    </row>
    <row r="792" spans="1:3" ht="32.1" customHeight="1" x14ac:dyDescent="0.25">
      <c r="A792" s="199" t="s">
        <v>6</v>
      </c>
      <c r="B792" s="289" t="s">
        <v>807</v>
      </c>
      <c r="C792" s="289"/>
    </row>
    <row r="793" spans="1:3" ht="32.1" customHeight="1" x14ac:dyDescent="0.25">
      <c r="A793" s="199" t="s">
        <v>6</v>
      </c>
      <c r="B793" s="289" t="s">
        <v>808</v>
      </c>
      <c r="C793" s="289"/>
    </row>
    <row r="794" spans="1:3" ht="32.1" customHeight="1" x14ac:dyDescent="0.25">
      <c r="A794" s="199" t="s">
        <v>6</v>
      </c>
      <c r="B794" s="289" t="s">
        <v>809</v>
      </c>
      <c r="C794" s="289"/>
    </row>
    <row r="795" spans="1:3" ht="32.1" customHeight="1" x14ac:dyDescent="0.25">
      <c r="A795" s="199" t="s">
        <v>6</v>
      </c>
      <c r="B795" s="289" t="s">
        <v>810</v>
      </c>
      <c r="C795" s="289"/>
    </row>
    <row r="796" spans="1:3" ht="32.1" customHeight="1" x14ac:dyDescent="0.25">
      <c r="A796" s="199" t="s">
        <v>6</v>
      </c>
      <c r="B796" s="289" t="s">
        <v>811</v>
      </c>
      <c r="C796" s="289"/>
    </row>
    <row r="797" spans="1:3" ht="32.1" customHeight="1" x14ac:dyDescent="0.25">
      <c r="A797" s="199" t="s">
        <v>6</v>
      </c>
      <c r="B797" s="289" t="s">
        <v>812</v>
      </c>
      <c r="C797" s="289"/>
    </row>
    <row r="798" spans="1:3" ht="32.1" customHeight="1" x14ac:dyDescent="0.25">
      <c r="A798" s="199" t="s">
        <v>6</v>
      </c>
      <c r="B798" s="289" t="s">
        <v>813</v>
      </c>
      <c r="C798" s="289"/>
    </row>
    <row r="799" spans="1:3" ht="32.1" customHeight="1" x14ac:dyDescent="0.25">
      <c r="A799" s="199" t="s">
        <v>6</v>
      </c>
      <c r="B799" s="289" t="s">
        <v>814</v>
      </c>
      <c r="C799" s="289"/>
    </row>
    <row r="800" spans="1:3" ht="32.1" customHeight="1" x14ac:dyDescent="0.25">
      <c r="A800" s="199" t="s">
        <v>6</v>
      </c>
      <c r="B800" s="289" t="s">
        <v>815</v>
      </c>
      <c r="C800" s="289"/>
    </row>
    <row r="801" spans="1:3" ht="32.1" customHeight="1" x14ac:dyDescent="0.25">
      <c r="A801" s="199" t="s">
        <v>6</v>
      </c>
      <c r="B801" s="289" t="s">
        <v>816</v>
      </c>
      <c r="C801" s="289"/>
    </row>
    <row r="802" spans="1:3" ht="32.1" customHeight="1" x14ac:dyDescent="0.25">
      <c r="A802" s="199" t="s">
        <v>6</v>
      </c>
      <c r="B802" s="289" t="s">
        <v>817</v>
      </c>
      <c r="C802" s="289"/>
    </row>
    <row r="803" spans="1:3" ht="32.1" customHeight="1" x14ac:dyDescent="0.25">
      <c r="A803" s="199" t="s">
        <v>6</v>
      </c>
      <c r="B803" s="289" t="s">
        <v>818</v>
      </c>
      <c r="C803" s="289"/>
    </row>
    <row r="804" spans="1:3" ht="32.1" customHeight="1" x14ac:dyDescent="0.25">
      <c r="A804" s="199" t="s">
        <v>6</v>
      </c>
      <c r="B804" s="289" t="s">
        <v>819</v>
      </c>
      <c r="C804" s="289"/>
    </row>
    <row r="805" spans="1:3" ht="32.1" customHeight="1" x14ac:dyDescent="0.25">
      <c r="A805" s="199" t="s">
        <v>6</v>
      </c>
      <c r="B805" s="289" t="s">
        <v>820</v>
      </c>
      <c r="C805" s="289"/>
    </row>
    <row r="806" spans="1:3" ht="32.1" customHeight="1" x14ac:dyDescent="0.25">
      <c r="A806" s="199" t="s">
        <v>6</v>
      </c>
      <c r="B806" s="289" t="s">
        <v>821</v>
      </c>
      <c r="C806" s="289"/>
    </row>
    <row r="807" spans="1:3" ht="32.1" customHeight="1" x14ac:dyDescent="0.25">
      <c r="A807" s="199" t="s">
        <v>6</v>
      </c>
      <c r="B807" s="289" t="s">
        <v>822</v>
      </c>
      <c r="C807" s="289"/>
    </row>
    <row r="808" spans="1:3" ht="32.1" customHeight="1" x14ac:dyDescent="0.25">
      <c r="A808" s="199" t="s">
        <v>6</v>
      </c>
      <c r="B808" s="289" t="s">
        <v>823</v>
      </c>
      <c r="C808" s="289"/>
    </row>
    <row r="809" spans="1:3" ht="32.1" customHeight="1" x14ac:dyDescent="0.25">
      <c r="A809" s="199" t="s">
        <v>6</v>
      </c>
      <c r="B809" s="289" t="s">
        <v>824</v>
      </c>
      <c r="C809" s="289"/>
    </row>
    <row r="810" spans="1:3" ht="32.1" customHeight="1" x14ac:dyDescent="0.25">
      <c r="A810" s="199" t="s">
        <v>6</v>
      </c>
      <c r="B810" s="289" t="s">
        <v>825</v>
      </c>
      <c r="C810" s="289"/>
    </row>
    <row r="811" spans="1:3" ht="32.1" customHeight="1" x14ac:dyDescent="0.25">
      <c r="A811" s="199" t="s">
        <v>6</v>
      </c>
      <c r="B811" s="289" t="s">
        <v>826</v>
      </c>
      <c r="C811" s="289"/>
    </row>
    <row r="812" spans="1:3" ht="32.1" customHeight="1" x14ac:dyDescent="0.25">
      <c r="A812" s="199" t="s">
        <v>6</v>
      </c>
      <c r="B812" s="289" t="s">
        <v>827</v>
      </c>
      <c r="C812" s="289"/>
    </row>
    <row r="813" spans="1:3" ht="32.1" customHeight="1" x14ac:dyDescent="0.25">
      <c r="A813" s="199" t="s">
        <v>6</v>
      </c>
      <c r="B813" s="289" t="s">
        <v>828</v>
      </c>
      <c r="C813" s="289"/>
    </row>
    <row r="814" spans="1:3" ht="32.1" customHeight="1" x14ac:dyDescent="0.25">
      <c r="A814" s="199" t="s">
        <v>6</v>
      </c>
      <c r="B814" s="289" t="s">
        <v>829</v>
      </c>
      <c r="C814" s="289"/>
    </row>
    <row r="815" spans="1:3" ht="32.1" customHeight="1" x14ac:dyDescent="0.25">
      <c r="A815" s="199" t="s">
        <v>6</v>
      </c>
      <c r="B815" s="289" t="s">
        <v>830</v>
      </c>
      <c r="C815" s="289"/>
    </row>
    <row r="816" spans="1:3" ht="32.1" customHeight="1" x14ac:dyDescent="0.25">
      <c r="A816" s="199" t="s">
        <v>6</v>
      </c>
      <c r="B816" s="289" t="s">
        <v>831</v>
      </c>
      <c r="C816" s="289"/>
    </row>
    <row r="817" spans="1:3" ht="32.1" customHeight="1" x14ac:dyDescent="0.25">
      <c r="A817" s="199" t="s">
        <v>6</v>
      </c>
      <c r="B817" s="289" t="s">
        <v>832</v>
      </c>
      <c r="C817" s="289"/>
    </row>
    <row r="818" spans="1:3" ht="32.1" customHeight="1" x14ac:dyDescent="0.25">
      <c r="A818" s="199" t="s">
        <v>6</v>
      </c>
      <c r="B818" s="289" t="s">
        <v>833</v>
      </c>
      <c r="C818" s="289"/>
    </row>
    <row r="819" spans="1:3" ht="32.1" customHeight="1" x14ac:dyDescent="0.25">
      <c r="A819" s="199" t="s">
        <v>6</v>
      </c>
      <c r="B819" s="289" t="s">
        <v>834</v>
      </c>
      <c r="C819" s="289"/>
    </row>
    <row r="820" spans="1:3" ht="32.1" customHeight="1" x14ac:dyDescent="0.25">
      <c r="A820" s="199" t="s">
        <v>6</v>
      </c>
      <c r="B820" s="289" t="s">
        <v>835</v>
      </c>
      <c r="C820" s="289"/>
    </row>
    <row r="821" spans="1:3" ht="32.1" customHeight="1" x14ac:dyDescent="0.25">
      <c r="A821" s="199" t="s">
        <v>6</v>
      </c>
      <c r="B821" s="289" t="s">
        <v>836</v>
      </c>
      <c r="C821" s="289"/>
    </row>
    <row r="822" spans="1:3" ht="32.1" customHeight="1" x14ac:dyDescent="0.25">
      <c r="A822" s="199" t="s">
        <v>6</v>
      </c>
      <c r="B822" s="289" t="s">
        <v>837</v>
      </c>
      <c r="C822" s="289"/>
    </row>
    <row r="823" spans="1:3" ht="32.1" customHeight="1" x14ac:dyDescent="0.25">
      <c r="A823" s="199" t="s">
        <v>6</v>
      </c>
      <c r="B823" s="289" t="s">
        <v>838</v>
      </c>
      <c r="C823" s="289"/>
    </row>
    <row r="824" spans="1:3" ht="32.1" customHeight="1" x14ac:dyDescent="0.25">
      <c r="A824" s="199" t="s">
        <v>6</v>
      </c>
      <c r="B824" s="289" t="s">
        <v>839</v>
      </c>
      <c r="C824" s="289"/>
    </row>
    <row r="825" spans="1:3" ht="32.1" customHeight="1" x14ac:dyDescent="0.25">
      <c r="A825" s="199" t="s">
        <v>6</v>
      </c>
      <c r="B825" s="289" t="s">
        <v>840</v>
      </c>
      <c r="C825" s="289"/>
    </row>
    <row r="826" spans="1:3" ht="32.1" customHeight="1" x14ac:dyDescent="0.25">
      <c r="A826" s="199" t="s">
        <v>6</v>
      </c>
      <c r="B826" s="289" t="s">
        <v>841</v>
      </c>
      <c r="C826" s="289"/>
    </row>
    <row r="827" spans="1:3" ht="32.1" customHeight="1" x14ac:dyDescent="0.25">
      <c r="A827" s="199" t="s">
        <v>6</v>
      </c>
      <c r="B827" s="289" t="s">
        <v>842</v>
      </c>
      <c r="C827" s="289"/>
    </row>
    <row r="828" spans="1:3" ht="32.1" customHeight="1" x14ac:dyDescent="0.25">
      <c r="A828" s="199" t="s">
        <v>6</v>
      </c>
      <c r="B828" s="289" t="s">
        <v>843</v>
      </c>
      <c r="C828" s="289"/>
    </row>
    <row r="829" spans="1:3" ht="32.1" customHeight="1" x14ac:dyDescent="0.25">
      <c r="A829" s="199" t="s">
        <v>6</v>
      </c>
      <c r="B829" s="289" t="s">
        <v>844</v>
      </c>
      <c r="C829" s="289"/>
    </row>
    <row r="830" spans="1:3" ht="32.1" customHeight="1" x14ac:dyDescent="0.25">
      <c r="A830" s="199" t="s">
        <v>6</v>
      </c>
      <c r="B830" s="289" t="s">
        <v>845</v>
      </c>
      <c r="C830" s="289"/>
    </row>
    <row r="831" spans="1:3" ht="32.1" customHeight="1" x14ac:dyDescent="0.25">
      <c r="A831" s="199" t="s">
        <v>6</v>
      </c>
      <c r="B831" s="289" t="s">
        <v>846</v>
      </c>
      <c r="C831" s="289"/>
    </row>
    <row r="832" spans="1:3" ht="32.1" customHeight="1" x14ac:dyDescent="0.25">
      <c r="A832" s="199" t="s">
        <v>6</v>
      </c>
      <c r="B832" s="289" t="s">
        <v>847</v>
      </c>
      <c r="C832" s="289"/>
    </row>
    <row r="833" spans="1:3" ht="32.1" customHeight="1" x14ac:dyDescent="0.25">
      <c r="A833" s="199" t="s">
        <v>6</v>
      </c>
      <c r="B833" s="289" t="s">
        <v>848</v>
      </c>
      <c r="C833" s="289"/>
    </row>
    <row r="834" spans="1:3" ht="32.1" customHeight="1" x14ac:dyDescent="0.25">
      <c r="A834" s="199" t="s">
        <v>6</v>
      </c>
      <c r="B834" s="289" t="s">
        <v>849</v>
      </c>
      <c r="C834" s="289"/>
    </row>
    <row r="835" spans="1:3" ht="32.1" customHeight="1" x14ac:dyDescent="0.25">
      <c r="A835" s="199" t="s">
        <v>6</v>
      </c>
      <c r="B835" s="289" t="s">
        <v>850</v>
      </c>
      <c r="C835" s="289"/>
    </row>
    <row r="836" spans="1:3" ht="32.1" customHeight="1" x14ac:dyDescent="0.25">
      <c r="A836" s="199" t="s">
        <v>6</v>
      </c>
      <c r="B836" s="289" t="s">
        <v>851</v>
      </c>
      <c r="C836" s="289"/>
    </row>
    <row r="837" spans="1:3" ht="32.1" customHeight="1" x14ac:dyDescent="0.25">
      <c r="A837" s="199" t="s">
        <v>6</v>
      </c>
      <c r="B837" s="289" t="s">
        <v>852</v>
      </c>
      <c r="C837" s="289"/>
    </row>
    <row r="838" spans="1:3" ht="32.1" customHeight="1" x14ac:dyDescent="0.25">
      <c r="A838" s="199" t="s">
        <v>6</v>
      </c>
      <c r="B838" s="289" t="s">
        <v>853</v>
      </c>
      <c r="C838" s="289"/>
    </row>
    <row r="839" spans="1:3" ht="32.1" customHeight="1" x14ac:dyDescent="0.25">
      <c r="A839" s="199" t="s">
        <v>6</v>
      </c>
      <c r="B839" s="289" t="s">
        <v>854</v>
      </c>
      <c r="C839" s="289"/>
    </row>
    <row r="840" spans="1:3" ht="32.1" customHeight="1" x14ac:dyDescent="0.25">
      <c r="A840" s="199" t="s">
        <v>6</v>
      </c>
      <c r="B840" s="289" t="s">
        <v>855</v>
      </c>
      <c r="C840" s="289"/>
    </row>
    <row r="841" spans="1:3" ht="32.1" customHeight="1" x14ac:dyDescent="0.25">
      <c r="A841" s="199" t="s">
        <v>6</v>
      </c>
      <c r="B841" s="289" t="s">
        <v>856</v>
      </c>
      <c r="C841" s="289"/>
    </row>
    <row r="842" spans="1:3" ht="32.1" customHeight="1" x14ac:dyDescent="0.25">
      <c r="A842" s="199" t="s">
        <v>6</v>
      </c>
      <c r="B842" s="289" t="s">
        <v>857</v>
      </c>
      <c r="C842" s="289"/>
    </row>
    <row r="843" spans="1:3" ht="32.1" customHeight="1" x14ac:dyDescent="0.25">
      <c r="A843" s="199" t="s">
        <v>6</v>
      </c>
      <c r="B843" s="289" t="s">
        <v>858</v>
      </c>
      <c r="C843" s="289"/>
    </row>
    <row r="844" spans="1:3" ht="32.1" customHeight="1" x14ac:dyDescent="0.25">
      <c r="A844" s="199" t="s">
        <v>6</v>
      </c>
      <c r="B844" s="289" t="s">
        <v>859</v>
      </c>
      <c r="C844" s="289"/>
    </row>
    <row r="845" spans="1:3" ht="32.1" customHeight="1" x14ac:dyDescent="0.25">
      <c r="A845" s="199" t="s">
        <v>6</v>
      </c>
      <c r="B845" s="289" t="s">
        <v>860</v>
      </c>
      <c r="C845" s="289"/>
    </row>
    <row r="846" spans="1:3" ht="32.1" customHeight="1" x14ac:dyDescent="0.25">
      <c r="A846" s="199" t="s">
        <v>6</v>
      </c>
      <c r="B846" s="289" t="s">
        <v>861</v>
      </c>
      <c r="C846" s="289"/>
    </row>
    <row r="847" spans="1:3" ht="32.1" customHeight="1" x14ac:dyDescent="0.25">
      <c r="A847" s="199" t="s">
        <v>6</v>
      </c>
      <c r="B847" s="289" t="s">
        <v>862</v>
      </c>
      <c r="C847" s="289"/>
    </row>
    <row r="848" spans="1:3" ht="32.1" customHeight="1" x14ac:dyDescent="0.25">
      <c r="A848" s="199" t="s">
        <v>6</v>
      </c>
      <c r="B848" s="289" t="s">
        <v>863</v>
      </c>
      <c r="C848" s="289"/>
    </row>
    <row r="849" spans="1:3" ht="32.1" customHeight="1" x14ac:dyDescent="0.25">
      <c r="A849" s="199" t="s">
        <v>6</v>
      </c>
      <c r="B849" s="289" t="s">
        <v>864</v>
      </c>
      <c r="C849" s="289"/>
    </row>
    <row r="850" spans="1:3" ht="32.1" customHeight="1" x14ac:dyDescent="0.25">
      <c r="A850" s="199" t="s">
        <v>6</v>
      </c>
      <c r="B850" s="289" t="s">
        <v>865</v>
      </c>
      <c r="C850" s="289"/>
    </row>
    <row r="851" spans="1:3" ht="32.1" customHeight="1" x14ac:dyDescent="0.25">
      <c r="A851" s="199" t="s">
        <v>6</v>
      </c>
      <c r="B851" s="289" t="s">
        <v>866</v>
      </c>
      <c r="C851" s="289"/>
    </row>
    <row r="852" spans="1:3" x14ac:dyDescent="0.25">
      <c r="A852" s="289"/>
      <c r="B852" s="289"/>
      <c r="C852" s="289"/>
    </row>
    <row r="853" spans="1:3" ht="15.95" customHeight="1" x14ac:dyDescent="0.25">
      <c r="A853" s="3" t="s">
        <v>867</v>
      </c>
      <c r="B853" s="289" t="s">
        <v>25</v>
      </c>
      <c r="C853" s="289"/>
    </row>
    <row r="854" spans="1:3" x14ac:dyDescent="0.25">
      <c r="A854" s="289"/>
      <c r="B854" s="289"/>
      <c r="C854" s="289"/>
    </row>
    <row r="855" spans="1:3" ht="15.95" customHeight="1" x14ac:dyDescent="0.25">
      <c r="A855" s="3" t="s">
        <v>868</v>
      </c>
      <c r="B855" s="289" t="s">
        <v>25</v>
      </c>
      <c r="C855" s="289"/>
    </row>
    <row r="856" spans="1:3" x14ac:dyDescent="0.25">
      <c r="A856" s="289"/>
      <c r="B856" s="289"/>
      <c r="C856" s="289"/>
    </row>
    <row r="857" spans="1:3" ht="15.95" customHeight="1" x14ac:dyDescent="0.25">
      <c r="A857" s="3" t="s">
        <v>869</v>
      </c>
      <c r="B857" s="289" t="s">
        <v>25</v>
      </c>
      <c r="C857" s="289"/>
    </row>
    <row r="858" spans="1:3" x14ac:dyDescent="0.25">
      <c r="A858" s="289"/>
      <c r="B858" s="289"/>
      <c r="C858" s="289"/>
    </row>
    <row r="859" spans="1:3" ht="32.1" customHeight="1" x14ac:dyDescent="0.25">
      <c r="A859" s="3" t="s">
        <v>870</v>
      </c>
      <c r="B859" s="289" t="s">
        <v>871</v>
      </c>
      <c r="C859" s="289"/>
    </row>
    <row r="860" spans="1:3" x14ac:dyDescent="0.25">
      <c r="A860" s="289"/>
      <c r="B860" s="289"/>
      <c r="C860" s="289"/>
    </row>
    <row r="861" spans="1:3" ht="63.95" customHeight="1" x14ac:dyDescent="0.25">
      <c r="A861" s="3" t="s">
        <v>872</v>
      </c>
      <c r="B861" s="289" t="s">
        <v>873</v>
      </c>
      <c r="C861" s="289"/>
    </row>
    <row r="862" spans="1:3" ht="111.95" customHeight="1" x14ac:dyDescent="0.25">
      <c r="A862" s="199" t="s">
        <v>6</v>
      </c>
      <c r="B862" s="289" t="s">
        <v>874</v>
      </c>
      <c r="C862" s="289"/>
    </row>
    <row r="863" spans="1:3" ht="32.1" customHeight="1" x14ac:dyDescent="0.25">
      <c r="A863" s="199" t="s">
        <v>6</v>
      </c>
      <c r="B863" s="289" t="s">
        <v>875</v>
      </c>
      <c r="C863" s="289"/>
    </row>
    <row r="864" spans="1:3" ht="111.95" customHeight="1" x14ac:dyDescent="0.25">
      <c r="A864" s="199" t="s">
        <v>6</v>
      </c>
      <c r="B864" s="289" t="s">
        <v>876</v>
      </c>
      <c r="C864" s="289"/>
    </row>
    <row r="865" spans="1:3" ht="63.95" customHeight="1" x14ac:dyDescent="0.25">
      <c r="A865" s="199" t="s">
        <v>6</v>
      </c>
      <c r="B865" s="289" t="s">
        <v>877</v>
      </c>
      <c r="C865" s="289"/>
    </row>
    <row r="866" spans="1:3" ht="63.95" customHeight="1" x14ac:dyDescent="0.25">
      <c r="A866" s="199" t="s">
        <v>6</v>
      </c>
      <c r="B866" s="289" t="s">
        <v>878</v>
      </c>
      <c r="C866" s="289"/>
    </row>
    <row r="867" spans="1:3" ht="48" customHeight="1" x14ac:dyDescent="0.25">
      <c r="A867" s="199" t="s">
        <v>6</v>
      </c>
      <c r="B867" s="289" t="s">
        <v>879</v>
      </c>
      <c r="C867" s="289"/>
    </row>
    <row r="868" spans="1:3" ht="320.10000000000002" customHeight="1" x14ac:dyDescent="0.25">
      <c r="A868" s="199" t="s">
        <v>6</v>
      </c>
      <c r="B868" s="289" t="s">
        <v>880</v>
      </c>
      <c r="C868" s="289"/>
    </row>
    <row r="869" spans="1:3" x14ac:dyDescent="0.25">
      <c r="A869" s="289"/>
      <c r="B869" s="289"/>
      <c r="C869" s="289"/>
    </row>
    <row r="870" spans="1:3" ht="15.95" customHeight="1" x14ac:dyDescent="0.25">
      <c r="A870" s="3" t="s">
        <v>881</v>
      </c>
      <c r="B870" s="289" t="s">
        <v>25</v>
      </c>
      <c r="C870" s="289"/>
    </row>
    <row r="871" spans="1:3" x14ac:dyDescent="0.25">
      <c r="A871" s="289"/>
      <c r="B871" s="289"/>
      <c r="C871" s="289"/>
    </row>
  </sheetData>
  <mergeCells count="871">
    <mergeCell ref="A1:B1"/>
    <mergeCell ref="A2:C2"/>
    <mergeCell ref="A3:C3"/>
    <mergeCell ref="A4:C4"/>
    <mergeCell ref="B5:C5"/>
    <mergeCell ref="B6:C6"/>
    <mergeCell ref="B7:C7"/>
    <mergeCell ref="B8:C8"/>
    <mergeCell ref="B9:C9"/>
    <mergeCell ref="B10:C10"/>
    <mergeCell ref="B11:C11"/>
    <mergeCell ref="B12:C12"/>
    <mergeCell ref="B13:C13"/>
    <mergeCell ref="A14:C14"/>
    <mergeCell ref="B15:C15"/>
    <mergeCell ref="B16:C16"/>
    <mergeCell ref="B17:C17"/>
    <mergeCell ref="A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195:C195"/>
    <mergeCell ref="B196:C196"/>
    <mergeCell ref="B197:C197"/>
    <mergeCell ref="B198:C198"/>
    <mergeCell ref="B199:C199"/>
    <mergeCell ref="B200:C200"/>
    <mergeCell ref="B201:C201"/>
    <mergeCell ref="B202:C202"/>
    <mergeCell ref="B203:C203"/>
    <mergeCell ref="B204:C204"/>
    <mergeCell ref="B205:C205"/>
    <mergeCell ref="B206:C206"/>
    <mergeCell ref="B207:C207"/>
    <mergeCell ref="B208:C208"/>
    <mergeCell ref="B209:C209"/>
    <mergeCell ref="B210:C210"/>
    <mergeCell ref="B211:C211"/>
    <mergeCell ref="B212:C212"/>
    <mergeCell ref="B213:C213"/>
    <mergeCell ref="B214:C214"/>
    <mergeCell ref="B215:C215"/>
    <mergeCell ref="B216:C216"/>
    <mergeCell ref="B217:C217"/>
    <mergeCell ref="B218:C218"/>
    <mergeCell ref="B219:C219"/>
    <mergeCell ref="B220:C220"/>
    <mergeCell ref="B221:C221"/>
    <mergeCell ref="B222:C222"/>
    <mergeCell ref="B223:C223"/>
    <mergeCell ref="B224:C224"/>
    <mergeCell ref="B225:C225"/>
    <mergeCell ref="B226:C226"/>
    <mergeCell ref="B227:C227"/>
    <mergeCell ref="B228:C228"/>
    <mergeCell ref="B229:C229"/>
    <mergeCell ref="B230:C230"/>
    <mergeCell ref="B231:C231"/>
    <mergeCell ref="B232:C232"/>
    <mergeCell ref="B233:C233"/>
    <mergeCell ref="B234:C234"/>
    <mergeCell ref="B235:C235"/>
    <mergeCell ref="B236:C236"/>
    <mergeCell ref="B237:C237"/>
    <mergeCell ref="B238:C238"/>
    <mergeCell ref="B239:C239"/>
    <mergeCell ref="B240:C240"/>
    <mergeCell ref="B241:C241"/>
    <mergeCell ref="B242:C242"/>
    <mergeCell ref="B243:C243"/>
    <mergeCell ref="B244:C244"/>
    <mergeCell ref="B245:C245"/>
    <mergeCell ref="B246:C246"/>
    <mergeCell ref="B247:C247"/>
    <mergeCell ref="B248:C248"/>
    <mergeCell ref="B249:C249"/>
    <mergeCell ref="B250:C250"/>
    <mergeCell ref="B251:C251"/>
    <mergeCell ref="B252:C252"/>
    <mergeCell ref="B253:C253"/>
    <mergeCell ref="B254:C254"/>
    <mergeCell ref="B255:C255"/>
    <mergeCell ref="B256:C256"/>
    <mergeCell ref="B257:C257"/>
    <mergeCell ref="B258:C258"/>
    <mergeCell ref="B259:C259"/>
    <mergeCell ref="B260:C260"/>
    <mergeCell ref="B261:C261"/>
    <mergeCell ref="B262:C262"/>
    <mergeCell ref="B263:C263"/>
    <mergeCell ref="B264:C264"/>
    <mergeCell ref="B265:C265"/>
    <mergeCell ref="B266:C266"/>
    <mergeCell ref="B267:C267"/>
    <mergeCell ref="B268:C268"/>
    <mergeCell ref="B269:C269"/>
    <mergeCell ref="B270:C270"/>
    <mergeCell ref="B271:C271"/>
    <mergeCell ref="B272:C272"/>
    <mergeCell ref="B273:C273"/>
    <mergeCell ref="B274:C274"/>
    <mergeCell ref="B275:C275"/>
    <mergeCell ref="B276:C276"/>
    <mergeCell ref="B277:C277"/>
    <mergeCell ref="B278:C278"/>
    <mergeCell ref="B279:C279"/>
    <mergeCell ref="B280:C280"/>
    <mergeCell ref="B281:C281"/>
    <mergeCell ref="B282:C282"/>
    <mergeCell ref="B283:C283"/>
    <mergeCell ref="B284:C284"/>
    <mergeCell ref="B285:C285"/>
    <mergeCell ref="B286:C286"/>
    <mergeCell ref="B287:C287"/>
    <mergeCell ref="B288:C288"/>
    <mergeCell ref="B289:C289"/>
    <mergeCell ref="B290:C290"/>
    <mergeCell ref="B291:C291"/>
    <mergeCell ref="B292:C292"/>
    <mergeCell ref="B293:C293"/>
    <mergeCell ref="B294:C294"/>
    <mergeCell ref="B295:C295"/>
    <mergeCell ref="B296:C296"/>
    <mergeCell ref="B297:C297"/>
    <mergeCell ref="B298:C298"/>
    <mergeCell ref="B299:C299"/>
    <mergeCell ref="B300:C300"/>
    <mergeCell ref="B301:C301"/>
    <mergeCell ref="B302:C302"/>
    <mergeCell ref="B303:C303"/>
    <mergeCell ref="B304:C304"/>
    <mergeCell ref="B305:C305"/>
    <mergeCell ref="B306:C306"/>
    <mergeCell ref="B307:C307"/>
    <mergeCell ref="B308:C308"/>
    <mergeCell ref="B309:C309"/>
    <mergeCell ref="B310:C310"/>
    <mergeCell ref="B311:C311"/>
    <mergeCell ref="B312:C312"/>
    <mergeCell ref="B313:C313"/>
    <mergeCell ref="B314:C314"/>
    <mergeCell ref="B315:C315"/>
    <mergeCell ref="B316:C316"/>
    <mergeCell ref="B317:C317"/>
    <mergeCell ref="B318:C318"/>
    <mergeCell ref="B319:C319"/>
    <mergeCell ref="B320:C320"/>
    <mergeCell ref="B321:C321"/>
    <mergeCell ref="B322:C322"/>
    <mergeCell ref="B323:C323"/>
    <mergeCell ref="B324:C324"/>
    <mergeCell ref="B325:C325"/>
    <mergeCell ref="B326:C326"/>
    <mergeCell ref="B327:C327"/>
    <mergeCell ref="B328:C328"/>
    <mergeCell ref="B329:C329"/>
    <mergeCell ref="B330:C330"/>
    <mergeCell ref="B331:C331"/>
    <mergeCell ref="B332:C332"/>
    <mergeCell ref="B333:C333"/>
    <mergeCell ref="B334:C334"/>
    <mergeCell ref="B335:C335"/>
    <mergeCell ref="B336:C336"/>
    <mergeCell ref="B337:C337"/>
    <mergeCell ref="B338:C338"/>
    <mergeCell ref="B339:C339"/>
    <mergeCell ref="B340:C340"/>
    <mergeCell ref="B341:C341"/>
    <mergeCell ref="B342:C342"/>
    <mergeCell ref="B343:C343"/>
    <mergeCell ref="B344:C344"/>
    <mergeCell ref="B345:C345"/>
    <mergeCell ref="B346:C346"/>
    <mergeCell ref="B347:C347"/>
    <mergeCell ref="B348:C348"/>
    <mergeCell ref="B349:C349"/>
    <mergeCell ref="B350:C350"/>
    <mergeCell ref="B351:C351"/>
    <mergeCell ref="B352:C352"/>
    <mergeCell ref="B353:C353"/>
    <mergeCell ref="B354:C354"/>
    <mergeCell ref="B355:C355"/>
    <mergeCell ref="B356:C356"/>
    <mergeCell ref="B357:C357"/>
    <mergeCell ref="B358:C358"/>
    <mergeCell ref="B359:C359"/>
    <mergeCell ref="B360:C360"/>
    <mergeCell ref="B361:C361"/>
    <mergeCell ref="B362:C362"/>
    <mergeCell ref="B363:C363"/>
    <mergeCell ref="B364:C364"/>
    <mergeCell ref="B365:C365"/>
    <mergeCell ref="B366:C366"/>
    <mergeCell ref="B367:C367"/>
    <mergeCell ref="B368:C368"/>
    <mergeCell ref="B369:C369"/>
    <mergeCell ref="B370:C370"/>
    <mergeCell ref="B371:C371"/>
    <mergeCell ref="B372:C372"/>
    <mergeCell ref="B373:C373"/>
    <mergeCell ref="B374:C374"/>
    <mergeCell ref="B375:C375"/>
    <mergeCell ref="B376:C376"/>
    <mergeCell ref="B377:C377"/>
    <mergeCell ref="B378:C378"/>
    <mergeCell ref="B379:C379"/>
    <mergeCell ref="B380:C380"/>
    <mergeCell ref="B381:C381"/>
    <mergeCell ref="B382:C382"/>
    <mergeCell ref="B383:C383"/>
    <mergeCell ref="B384:C384"/>
    <mergeCell ref="B385:C385"/>
    <mergeCell ref="B386:C386"/>
    <mergeCell ref="B387:C387"/>
    <mergeCell ref="B388:C388"/>
    <mergeCell ref="B389:C389"/>
    <mergeCell ref="B390:C390"/>
    <mergeCell ref="B391:C391"/>
    <mergeCell ref="B392:C392"/>
    <mergeCell ref="B393:C393"/>
    <mergeCell ref="B394:C394"/>
    <mergeCell ref="B395:C395"/>
    <mergeCell ref="B396:C396"/>
    <mergeCell ref="B397:C397"/>
    <mergeCell ref="B398:C398"/>
    <mergeCell ref="B399:C399"/>
    <mergeCell ref="B400:C400"/>
    <mergeCell ref="B401:C401"/>
    <mergeCell ref="B402:C402"/>
    <mergeCell ref="B403:C403"/>
    <mergeCell ref="B404:C404"/>
    <mergeCell ref="B405:C405"/>
    <mergeCell ref="B406:C406"/>
    <mergeCell ref="B407:C407"/>
    <mergeCell ref="B408:C408"/>
    <mergeCell ref="B409:C409"/>
    <mergeCell ref="B410:C410"/>
    <mergeCell ref="B411:C411"/>
    <mergeCell ref="B412:C412"/>
    <mergeCell ref="B413:C413"/>
    <mergeCell ref="B414:C414"/>
    <mergeCell ref="B415:C415"/>
    <mergeCell ref="B416:C416"/>
    <mergeCell ref="B417:C417"/>
    <mergeCell ref="B418:C418"/>
    <mergeCell ref="B419:C419"/>
    <mergeCell ref="B420:C420"/>
    <mergeCell ref="B421:C421"/>
    <mergeCell ref="B422:C422"/>
    <mergeCell ref="B423:C423"/>
    <mergeCell ref="B424:C424"/>
    <mergeCell ref="B425:C425"/>
    <mergeCell ref="B426:C426"/>
    <mergeCell ref="B427:C427"/>
    <mergeCell ref="B428:C428"/>
    <mergeCell ref="B429:C429"/>
    <mergeCell ref="B430:C430"/>
    <mergeCell ref="B431:C431"/>
    <mergeCell ref="B432:C432"/>
    <mergeCell ref="B433:C433"/>
    <mergeCell ref="B434:C434"/>
    <mergeCell ref="B435:C435"/>
    <mergeCell ref="B436:C436"/>
    <mergeCell ref="B437:C437"/>
    <mergeCell ref="B438:C438"/>
    <mergeCell ref="B439:C439"/>
    <mergeCell ref="B440:C440"/>
    <mergeCell ref="B441:C441"/>
    <mergeCell ref="B442:C442"/>
    <mergeCell ref="B443:C443"/>
    <mergeCell ref="B444:C444"/>
    <mergeCell ref="B445:C445"/>
    <mergeCell ref="B446:C446"/>
    <mergeCell ref="B447:C447"/>
    <mergeCell ref="B448:C448"/>
    <mergeCell ref="B449:C449"/>
    <mergeCell ref="B450:C450"/>
    <mergeCell ref="B451:C451"/>
    <mergeCell ref="B452:C452"/>
    <mergeCell ref="B453:C453"/>
    <mergeCell ref="B454:C454"/>
    <mergeCell ref="B455:C455"/>
    <mergeCell ref="B456:C456"/>
    <mergeCell ref="B457:C457"/>
    <mergeCell ref="B458:C458"/>
    <mergeCell ref="B459:C459"/>
    <mergeCell ref="B460:C460"/>
    <mergeCell ref="B461:C461"/>
    <mergeCell ref="B462:C462"/>
    <mergeCell ref="B463:C463"/>
    <mergeCell ref="B464:C464"/>
    <mergeCell ref="B465:C465"/>
    <mergeCell ref="B466:C466"/>
    <mergeCell ref="B467:C467"/>
    <mergeCell ref="B468:C468"/>
    <mergeCell ref="B469:C469"/>
    <mergeCell ref="B470:C470"/>
    <mergeCell ref="B471:C471"/>
    <mergeCell ref="B472:C472"/>
    <mergeCell ref="B473:C473"/>
    <mergeCell ref="B474:C474"/>
    <mergeCell ref="B475:C475"/>
    <mergeCell ref="B476:C476"/>
    <mergeCell ref="B477:C477"/>
    <mergeCell ref="B478:C478"/>
    <mergeCell ref="B479:C479"/>
    <mergeCell ref="B480:C480"/>
    <mergeCell ref="B481:C481"/>
    <mergeCell ref="B482:C482"/>
    <mergeCell ref="B483:C483"/>
    <mergeCell ref="B484:C484"/>
    <mergeCell ref="B485:C485"/>
    <mergeCell ref="B486:C486"/>
    <mergeCell ref="B487:C487"/>
    <mergeCell ref="B488:C488"/>
    <mergeCell ref="B489:C489"/>
    <mergeCell ref="B490:C490"/>
    <mergeCell ref="B491:C491"/>
    <mergeCell ref="B492:C492"/>
    <mergeCell ref="B493:C493"/>
    <mergeCell ref="B494:C494"/>
    <mergeCell ref="B495:C495"/>
    <mergeCell ref="B496:C496"/>
    <mergeCell ref="B497:C497"/>
    <mergeCell ref="B498:C498"/>
    <mergeCell ref="B499:C499"/>
    <mergeCell ref="B500:C500"/>
    <mergeCell ref="B501:C501"/>
    <mergeCell ref="B502:C502"/>
    <mergeCell ref="B503:C503"/>
    <mergeCell ref="B504:C504"/>
    <mergeCell ref="B505:C505"/>
    <mergeCell ref="B506:C506"/>
    <mergeCell ref="B507:C507"/>
    <mergeCell ref="B508:C508"/>
    <mergeCell ref="B509:C509"/>
    <mergeCell ref="B510:C510"/>
    <mergeCell ref="B511:C511"/>
    <mergeCell ref="B512:C512"/>
    <mergeCell ref="B513:C513"/>
    <mergeCell ref="B514:C514"/>
    <mergeCell ref="B515:C515"/>
    <mergeCell ref="B516:C516"/>
    <mergeCell ref="B517:C517"/>
    <mergeCell ref="B518:C518"/>
    <mergeCell ref="B519:C519"/>
    <mergeCell ref="B520:C520"/>
    <mergeCell ref="B521:C521"/>
    <mergeCell ref="B522:C522"/>
    <mergeCell ref="B523:C523"/>
    <mergeCell ref="B524:C524"/>
    <mergeCell ref="B525:C525"/>
    <mergeCell ref="B526:C526"/>
    <mergeCell ref="B527:C527"/>
    <mergeCell ref="B528:C528"/>
    <mergeCell ref="B529:C529"/>
    <mergeCell ref="B530:C530"/>
    <mergeCell ref="B531:C531"/>
    <mergeCell ref="B532:C532"/>
    <mergeCell ref="B533:C533"/>
    <mergeCell ref="B534:C534"/>
    <mergeCell ref="B535:C535"/>
    <mergeCell ref="B536:C536"/>
    <mergeCell ref="B537:C537"/>
    <mergeCell ref="B538:C538"/>
    <mergeCell ref="B539:C539"/>
    <mergeCell ref="B540:C540"/>
    <mergeCell ref="B541:C541"/>
    <mergeCell ref="B542:C542"/>
    <mergeCell ref="B543:C543"/>
    <mergeCell ref="B544:C544"/>
    <mergeCell ref="B545:C545"/>
    <mergeCell ref="B546:C546"/>
    <mergeCell ref="B547:C547"/>
    <mergeCell ref="B548:C548"/>
    <mergeCell ref="B549:C549"/>
    <mergeCell ref="B550:C550"/>
    <mergeCell ref="B551:C551"/>
    <mergeCell ref="B552:C552"/>
    <mergeCell ref="B553:C553"/>
    <mergeCell ref="B554:C554"/>
    <mergeCell ref="B555:C555"/>
    <mergeCell ref="B556:C556"/>
    <mergeCell ref="B557:C557"/>
    <mergeCell ref="B558:C558"/>
    <mergeCell ref="B559:C559"/>
    <mergeCell ref="B560:C560"/>
    <mergeCell ref="B561:C561"/>
    <mergeCell ref="B562:C562"/>
    <mergeCell ref="B563:C563"/>
    <mergeCell ref="B564:C564"/>
    <mergeCell ref="B565:C565"/>
    <mergeCell ref="B566:C566"/>
    <mergeCell ref="B567:C567"/>
    <mergeCell ref="B568:C568"/>
    <mergeCell ref="B569:C569"/>
    <mergeCell ref="B570:C570"/>
    <mergeCell ref="B571:C571"/>
    <mergeCell ref="B572:C572"/>
    <mergeCell ref="B573:C573"/>
    <mergeCell ref="B574:C574"/>
    <mergeCell ref="B575:C575"/>
    <mergeCell ref="B576:C576"/>
    <mergeCell ref="B577:C577"/>
    <mergeCell ref="B578:C578"/>
    <mergeCell ref="B579:C579"/>
    <mergeCell ref="B580:C580"/>
    <mergeCell ref="B581:C581"/>
    <mergeCell ref="B582:C582"/>
    <mergeCell ref="B583:C583"/>
    <mergeCell ref="B584:C584"/>
    <mergeCell ref="B585:C585"/>
    <mergeCell ref="B586:C586"/>
    <mergeCell ref="B587:C587"/>
    <mergeCell ref="B588:C588"/>
    <mergeCell ref="B589:C589"/>
    <mergeCell ref="B590:C590"/>
    <mergeCell ref="B591:C591"/>
    <mergeCell ref="B592:C592"/>
    <mergeCell ref="B593:C593"/>
    <mergeCell ref="B594:C594"/>
    <mergeCell ref="B595:C595"/>
    <mergeCell ref="B596:C596"/>
    <mergeCell ref="B597:C597"/>
    <mergeCell ref="B598:C598"/>
    <mergeCell ref="B599:C599"/>
    <mergeCell ref="B600:C600"/>
    <mergeCell ref="B601:C601"/>
    <mergeCell ref="B602:C602"/>
    <mergeCell ref="B603:C603"/>
    <mergeCell ref="B604:C604"/>
    <mergeCell ref="B605:C605"/>
    <mergeCell ref="B606:C606"/>
    <mergeCell ref="B607:C607"/>
    <mergeCell ref="B608:C608"/>
    <mergeCell ref="B609:C609"/>
    <mergeCell ref="B610:C610"/>
    <mergeCell ref="B611:C611"/>
    <mergeCell ref="B612:C612"/>
    <mergeCell ref="B613:C613"/>
    <mergeCell ref="B614:C614"/>
    <mergeCell ref="B615:C615"/>
    <mergeCell ref="B616:C616"/>
    <mergeCell ref="B617:C617"/>
    <mergeCell ref="B618:C618"/>
    <mergeCell ref="B619:C619"/>
    <mergeCell ref="B620:C620"/>
    <mergeCell ref="B621:C621"/>
    <mergeCell ref="B622:C622"/>
    <mergeCell ref="B623:C623"/>
    <mergeCell ref="B624:C624"/>
    <mergeCell ref="B625:C625"/>
    <mergeCell ref="B626:C626"/>
    <mergeCell ref="B627:C627"/>
    <mergeCell ref="B628:C628"/>
    <mergeCell ref="B629:C629"/>
    <mergeCell ref="B630:C630"/>
    <mergeCell ref="B631:C631"/>
    <mergeCell ref="B632:C632"/>
    <mergeCell ref="B633:C633"/>
    <mergeCell ref="B634:C634"/>
    <mergeCell ref="B635:C635"/>
    <mergeCell ref="B636:C636"/>
    <mergeCell ref="B637:C637"/>
    <mergeCell ref="B638:C638"/>
    <mergeCell ref="B639:C639"/>
    <mergeCell ref="B640:C640"/>
    <mergeCell ref="B641:C641"/>
    <mergeCell ref="B642:C642"/>
    <mergeCell ref="B643:C643"/>
    <mergeCell ref="B644:C644"/>
    <mergeCell ref="B645:C645"/>
    <mergeCell ref="B646:C646"/>
    <mergeCell ref="B647:C647"/>
    <mergeCell ref="B648:C648"/>
    <mergeCell ref="B649:C649"/>
    <mergeCell ref="B650:C650"/>
    <mergeCell ref="B651:C651"/>
    <mergeCell ref="B652:C652"/>
    <mergeCell ref="B653:C653"/>
    <mergeCell ref="B654:C654"/>
    <mergeCell ref="B655:C655"/>
    <mergeCell ref="B656:C656"/>
    <mergeCell ref="B657:C657"/>
    <mergeCell ref="B658:C658"/>
    <mergeCell ref="B659:C659"/>
    <mergeCell ref="B660:C660"/>
    <mergeCell ref="B661:C661"/>
    <mergeCell ref="B662:C662"/>
    <mergeCell ref="B663:C663"/>
    <mergeCell ref="B664:C664"/>
    <mergeCell ref="B665:C665"/>
    <mergeCell ref="B666:C666"/>
    <mergeCell ref="B667:C667"/>
    <mergeCell ref="B668:C668"/>
    <mergeCell ref="B669:C669"/>
    <mergeCell ref="B670:C670"/>
    <mergeCell ref="B671:C671"/>
    <mergeCell ref="B672:C672"/>
    <mergeCell ref="B673:C673"/>
    <mergeCell ref="B674:C674"/>
    <mergeCell ref="B675:C675"/>
    <mergeCell ref="B676:C676"/>
    <mergeCell ref="B677:C677"/>
    <mergeCell ref="B678:C678"/>
    <mergeCell ref="B679:C679"/>
    <mergeCell ref="B680:C680"/>
    <mergeCell ref="B681:C681"/>
    <mergeCell ref="B682:C682"/>
    <mergeCell ref="B683:C683"/>
    <mergeCell ref="B684:C684"/>
    <mergeCell ref="B685:C685"/>
    <mergeCell ref="B686:C686"/>
    <mergeCell ref="B687:C687"/>
    <mergeCell ref="B688:C688"/>
    <mergeCell ref="B689:C689"/>
    <mergeCell ref="B690:C690"/>
    <mergeCell ref="B691:C691"/>
    <mergeCell ref="B692:C692"/>
    <mergeCell ref="B693:C693"/>
    <mergeCell ref="B694:C694"/>
    <mergeCell ref="B695:C695"/>
    <mergeCell ref="B696:C696"/>
    <mergeCell ref="B697:C697"/>
    <mergeCell ref="B698:C698"/>
    <mergeCell ref="B699:C699"/>
    <mergeCell ref="B700:C700"/>
    <mergeCell ref="B701:C701"/>
    <mergeCell ref="B702:C702"/>
    <mergeCell ref="B703:C703"/>
    <mergeCell ref="B704:C704"/>
    <mergeCell ref="B705:C705"/>
    <mergeCell ref="B706:C706"/>
    <mergeCell ref="B707:C707"/>
    <mergeCell ref="B708:C708"/>
    <mergeCell ref="B709:C709"/>
    <mergeCell ref="B710:C710"/>
    <mergeCell ref="B711:C711"/>
    <mergeCell ref="B712:C712"/>
    <mergeCell ref="B713:C713"/>
    <mergeCell ref="B714:C714"/>
    <mergeCell ref="B715:C715"/>
    <mergeCell ref="B716:C716"/>
    <mergeCell ref="B717:C717"/>
    <mergeCell ref="B718:C718"/>
    <mergeCell ref="B719:C719"/>
    <mergeCell ref="B720:C720"/>
    <mergeCell ref="B721:C721"/>
    <mergeCell ref="B722:C722"/>
    <mergeCell ref="B723:C723"/>
    <mergeCell ref="B724:C724"/>
    <mergeCell ref="B725:C725"/>
    <mergeCell ref="B726:C726"/>
    <mergeCell ref="B727:C727"/>
    <mergeCell ref="B728:C728"/>
    <mergeCell ref="B729:C729"/>
    <mergeCell ref="B730:C730"/>
    <mergeCell ref="B731:C731"/>
    <mergeCell ref="B732:C732"/>
    <mergeCell ref="B733:C733"/>
    <mergeCell ref="B734:C734"/>
    <mergeCell ref="B735:C735"/>
    <mergeCell ref="B736:C736"/>
    <mergeCell ref="B737:C737"/>
    <mergeCell ref="B738:C738"/>
    <mergeCell ref="B739:C739"/>
    <mergeCell ref="B740:C740"/>
    <mergeCell ref="B741:C741"/>
    <mergeCell ref="B742:C742"/>
    <mergeCell ref="B743:C743"/>
    <mergeCell ref="B744:C744"/>
    <mergeCell ref="B745:C745"/>
    <mergeCell ref="B746:C746"/>
    <mergeCell ref="B747:C747"/>
    <mergeCell ref="B748:C748"/>
    <mergeCell ref="B749:C749"/>
    <mergeCell ref="B750:C750"/>
    <mergeCell ref="B751:C751"/>
    <mergeCell ref="B752:C752"/>
    <mergeCell ref="B753:C753"/>
    <mergeCell ref="B754:C754"/>
    <mergeCell ref="B755:C755"/>
    <mergeCell ref="B756:C756"/>
    <mergeCell ref="B757:C757"/>
    <mergeCell ref="B758:C758"/>
    <mergeCell ref="B759:C759"/>
    <mergeCell ref="B760:C760"/>
    <mergeCell ref="B761:C761"/>
    <mergeCell ref="B762:C762"/>
    <mergeCell ref="B763:C763"/>
    <mergeCell ref="B764:C764"/>
    <mergeCell ref="B765:C765"/>
    <mergeCell ref="B766:C766"/>
    <mergeCell ref="B767:C767"/>
    <mergeCell ref="B768:C768"/>
    <mergeCell ref="B769:C769"/>
    <mergeCell ref="B770:C770"/>
    <mergeCell ref="B771:C771"/>
    <mergeCell ref="B772:C772"/>
    <mergeCell ref="B773:C773"/>
    <mergeCell ref="B774:C774"/>
    <mergeCell ref="B775:C775"/>
    <mergeCell ref="B776:C776"/>
    <mergeCell ref="B777:C777"/>
    <mergeCell ref="B778:C778"/>
    <mergeCell ref="B779:C779"/>
    <mergeCell ref="B780:C780"/>
    <mergeCell ref="B781:C781"/>
    <mergeCell ref="B782:C782"/>
    <mergeCell ref="B783:C783"/>
    <mergeCell ref="B784:C784"/>
    <mergeCell ref="B785:C785"/>
    <mergeCell ref="B786:C786"/>
    <mergeCell ref="B787:C787"/>
    <mergeCell ref="B788:C788"/>
    <mergeCell ref="B789:C789"/>
    <mergeCell ref="B790:C790"/>
    <mergeCell ref="B791:C791"/>
    <mergeCell ref="B792:C792"/>
    <mergeCell ref="B793:C793"/>
    <mergeCell ref="B794:C794"/>
    <mergeCell ref="B795:C795"/>
    <mergeCell ref="B796:C796"/>
    <mergeCell ref="B797:C797"/>
    <mergeCell ref="B798:C798"/>
    <mergeCell ref="B799:C799"/>
    <mergeCell ref="B800:C800"/>
    <mergeCell ref="B801:C801"/>
    <mergeCell ref="B802:C802"/>
    <mergeCell ref="B803:C803"/>
    <mergeCell ref="B804:C804"/>
    <mergeCell ref="B805:C805"/>
    <mergeCell ref="B806:C806"/>
    <mergeCell ref="B807:C807"/>
    <mergeCell ref="B808:C808"/>
    <mergeCell ref="B809:C809"/>
    <mergeCell ref="B810:C810"/>
    <mergeCell ref="B811:C811"/>
    <mergeCell ref="B812:C812"/>
    <mergeCell ref="B813:C813"/>
    <mergeCell ref="B814:C814"/>
    <mergeCell ref="B815:C815"/>
    <mergeCell ref="B816:C816"/>
    <mergeCell ref="B817:C817"/>
    <mergeCell ref="B818:C818"/>
    <mergeCell ref="B819:C819"/>
    <mergeCell ref="B820:C820"/>
    <mergeCell ref="B821:C821"/>
    <mergeCell ref="B822:C822"/>
    <mergeCell ref="B823:C823"/>
    <mergeCell ref="B824:C824"/>
    <mergeCell ref="B825:C825"/>
    <mergeCell ref="B826:C826"/>
    <mergeCell ref="B827:C827"/>
    <mergeCell ref="B828:C828"/>
    <mergeCell ref="B829:C829"/>
    <mergeCell ref="B830:C830"/>
    <mergeCell ref="B831:C831"/>
    <mergeCell ref="B832:C832"/>
    <mergeCell ref="B833:C833"/>
    <mergeCell ref="B834:C834"/>
    <mergeCell ref="B835:C835"/>
    <mergeCell ref="B836:C836"/>
    <mergeCell ref="B837:C837"/>
    <mergeCell ref="B838:C838"/>
    <mergeCell ref="B839:C839"/>
    <mergeCell ref="B840:C840"/>
    <mergeCell ref="B841:C841"/>
    <mergeCell ref="B842:C842"/>
    <mergeCell ref="B843:C843"/>
    <mergeCell ref="B844:C844"/>
    <mergeCell ref="B845:C845"/>
    <mergeCell ref="B846:C846"/>
    <mergeCell ref="B847:C847"/>
    <mergeCell ref="B848:C848"/>
    <mergeCell ref="B849:C849"/>
    <mergeCell ref="B850:C850"/>
    <mergeCell ref="B851:C851"/>
    <mergeCell ref="A852:C852"/>
    <mergeCell ref="B853:C853"/>
    <mergeCell ref="A854:C854"/>
    <mergeCell ref="B855:C855"/>
    <mergeCell ref="B865:C865"/>
    <mergeCell ref="B866:C866"/>
    <mergeCell ref="B867:C867"/>
    <mergeCell ref="B868:C868"/>
    <mergeCell ref="A869:C869"/>
    <mergeCell ref="B870:C870"/>
    <mergeCell ref="A871:C871"/>
    <mergeCell ref="A856:C856"/>
    <mergeCell ref="B857:C857"/>
    <mergeCell ref="A858:C858"/>
    <mergeCell ref="B859:C859"/>
    <mergeCell ref="A860:C860"/>
    <mergeCell ref="B861:C861"/>
    <mergeCell ref="B862:C862"/>
    <mergeCell ref="B863:C863"/>
    <mergeCell ref="B864:C864"/>
  </mergeCells>
  <printOptions gridLines="1"/>
  <pageMargins left="0.7" right="0.7" top="0.75" bottom="0.75" header="0.3" footer="0.3"/>
  <pageSetup fitToHeight="0" orientation="landscape" r:id="rId1"/>
  <headerFooter>
    <oddHeader>&amp;LTable: ACSDT5Y2019.B19013</oddHeader>
    <oddFooter>&amp;L&amp;Bdata.census.gov&amp;B | Measuring America's People, Places, and Economy &amp;R&amp;P</oddFooter>
    <evenHeader>&amp;LTable: ACSDT5Y2019.B19013</evenHeader>
    <evenFooter>&amp;L&amp;Bdata.census.gov&amp;B | Measuring America's People, Places, and Economy &amp;R&amp;P</even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EAAED-7449-462D-B7BD-0A02DB2D96BE}">
  <sheetPr>
    <tabColor theme="8" tint="0.59999389629810485"/>
  </sheetPr>
  <dimension ref="A1:X823"/>
  <sheetViews>
    <sheetView topLeftCell="A792" workbookViewId="0">
      <selection activeCell="I1" sqref="I1"/>
    </sheetView>
  </sheetViews>
  <sheetFormatPr defaultRowHeight="15" x14ac:dyDescent="0.25"/>
  <cols>
    <col min="1" max="1" width="21.7109375" bestFit="1" customWidth="1"/>
    <col min="2" max="2" width="11" bestFit="1" customWidth="1"/>
    <col min="3" max="3" width="50.85546875" bestFit="1" customWidth="1"/>
    <col min="4" max="4" width="22.5703125" customWidth="1"/>
    <col min="5" max="5" width="15.85546875" customWidth="1"/>
    <col min="6" max="6" width="18.140625" customWidth="1"/>
    <col min="7" max="7" width="15.42578125" customWidth="1"/>
    <col min="8" max="8" width="10.7109375" customWidth="1"/>
    <col min="10" max="10" width="16.140625" customWidth="1"/>
    <col min="11" max="11" width="18.7109375" customWidth="1"/>
    <col min="12" max="12" width="18.42578125" customWidth="1"/>
    <col min="13" max="14" width="18.140625" customWidth="1"/>
    <col min="15" max="15" width="18.42578125" customWidth="1"/>
    <col min="16" max="16" width="14.28515625" customWidth="1"/>
  </cols>
  <sheetData>
    <row r="1" spans="1:24" ht="78" customHeight="1" x14ac:dyDescent="0.25">
      <c r="A1" t="s">
        <v>1002</v>
      </c>
      <c r="B1" t="s">
        <v>1003</v>
      </c>
      <c r="C1" t="s">
        <v>1004</v>
      </c>
      <c r="D1" s="158" t="s">
        <v>1005</v>
      </c>
      <c r="E1" s="158" t="s">
        <v>1006</v>
      </c>
      <c r="F1" s="158" t="s">
        <v>1007</v>
      </c>
      <c r="G1" s="158" t="s">
        <v>1008</v>
      </c>
      <c r="H1" s="158" t="s">
        <v>1009</v>
      </c>
      <c r="I1" s="158" t="s">
        <v>1010</v>
      </c>
      <c r="J1" s="159" t="s">
        <v>1011</v>
      </c>
      <c r="K1" s="159" t="s">
        <v>1012</v>
      </c>
      <c r="L1" s="159" t="s">
        <v>1013</v>
      </c>
      <c r="M1" s="160" t="s">
        <v>1014</v>
      </c>
      <c r="N1" s="159" t="s">
        <v>1015</v>
      </c>
      <c r="O1" s="159" t="s">
        <v>1016</v>
      </c>
      <c r="P1" s="161" t="s">
        <v>1017</v>
      </c>
      <c r="R1" s="199" t="s">
        <v>1018</v>
      </c>
      <c r="S1" s="199" t="s">
        <v>1019</v>
      </c>
      <c r="T1" s="199" t="s">
        <v>1020</v>
      </c>
    </row>
    <row r="2" spans="1:24" x14ac:dyDescent="0.25">
      <c r="A2" t="s">
        <v>1021</v>
      </c>
      <c r="B2">
        <v>9001010101</v>
      </c>
      <c r="C2" t="s">
        <v>1022</v>
      </c>
      <c r="D2">
        <v>176875</v>
      </c>
      <c r="E2">
        <v>2.93</v>
      </c>
      <c r="F2">
        <v>103331.4783</v>
      </c>
      <c r="G2">
        <v>103.331</v>
      </c>
      <c r="H2">
        <v>0.95</v>
      </c>
      <c r="I2">
        <v>5</v>
      </c>
      <c r="J2">
        <v>3267</v>
      </c>
      <c r="K2">
        <v>0.37940035900000002</v>
      </c>
      <c r="L2">
        <v>0.63</v>
      </c>
      <c r="M2">
        <v>4</v>
      </c>
      <c r="N2">
        <v>3.5999999999999997E-2</v>
      </c>
      <c r="O2">
        <v>1</v>
      </c>
      <c r="P2">
        <v>1</v>
      </c>
      <c r="S2" s="165"/>
      <c r="U2" t="s">
        <v>1023</v>
      </c>
      <c r="X2">
        <f>65045*0.6</f>
        <v>39027</v>
      </c>
    </row>
    <row r="3" spans="1:24" x14ac:dyDescent="0.25">
      <c r="A3" t="s">
        <v>1024</v>
      </c>
      <c r="B3">
        <v>9001010102</v>
      </c>
      <c r="C3" t="s">
        <v>1025</v>
      </c>
      <c r="D3">
        <v>250000</v>
      </c>
      <c r="E3">
        <v>3.16</v>
      </c>
      <c r="F3">
        <v>140635.98759999999</v>
      </c>
      <c r="G3">
        <v>140.636</v>
      </c>
      <c r="H3">
        <v>0.98699999999999999</v>
      </c>
      <c r="I3">
        <v>5</v>
      </c>
      <c r="J3">
        <v>4000</v>
      </c>
      <c r="K3">
        <v>0.34130666599999998</v>
      </c>
      <c r="L3">
        <v>0.42699999999999999</v>
      </c>
      <c r="M3">
        <v>3</v>
      </c>
      <c r="N3">
        <v>1.0999999999999999E-2</v>
      </c>
      <c r="O3">
        <v>1</v>
      </c>
      <c r="P3">
        <v>1</v>
      </c>
      <c r="S3" s="164" t="s">
        <v>944</v>
      </c>
    </row>
    <row r="4" spans="1:24" x14ac:dyDescent="0.25">
      <c r="A4" t="s">
        <v>1026</v>
      </c>
      <c r="B4">
        <v>9001010201</v>
      </c>
      <c r="C4" t="s">
        <v>1027</v>
      </c>
      <c r="D4">
        <v>250000</v>
      </c>
      <c r="E4">
        <v>3.16</v>
      </c>
      <c r="F4">
        <v>140635.98759999999</v>
      </c>
      <c r="G4">
        <v>140.636</v>
      </c>
      <c r="H4">
        <v>0.98699999999999999</v>
      </c>
      <c r="I4">
        <v>5</v>
      </c>
      <c r="J4">
        <v>3523</v>
      </c>
      <c r="K4">
        <v>0.30060584600000001</v>
      </c>
      <c r="L4">
        <v>0.17299999999999999</v>
      </c>
      <c r="M4">
        <v>1</v>
      </c>
      <c r="N4">
        <v>2.5000000000000001E-2</v>
      </c>
      <c r="O4">
        <v>1</v>
      </c>
      <c r="P4">
        <v>1</v>
      </c>
      <c r="S4" s="166" t="s">
        <v>944</v>
      </c>
    </row>
    <row r="5" spans="1:24" x14ac:dyDescent="0.25">
      <c r="A5" t="s">
        <v>1028</v>
      </c>
      <c r="B5">
        <v>9001010202</v>
      </c>
      <c r="C5" t="s">
        <v>1029</v>
      </c>
      <c r="D5">
        <v>222839</v>
      </c>
      <c r="E5">
        <v>2.91</v>
      </c>
      <c r="F5">
        <v>130630.5353</v>
      </c>
      <c r="G5">
        <v>130.631</v>
      </c>
      <c r="H5">
        <v>0.97599999999999998</v>
      </c>
      <c r="I5">
        <v>5</v>
      </c>
      <c r="J5">
        <v>3250</v>
      </c>
      <c r="K5">
        <v>0.29855194200000001</v>
      </c>
      <c r="L5">
        <v>0.16400000000000001</v>
      </c>
      <c r="M5">
        <v>1</v>
      </c>
      <c r="N5">
        <v>3.6999999999999998E-2</v>
      </c>
      <c r="O5">
        <v>1</v>
      </c>
      <c r="P5">
        <v>1</v>
      </c>
      <c r="S5" s="164" t="s">
        <v>944</v>
      </c>
    </row>
    <row r="6" spans="1:24" x14ac:dyDescent="0.25">
      <c r="A6" t="s">
        <v>1030</v>
      </c>
      <c r="B6">
        <v>9001010300</v>
      </c>
      <c r="C6" t="s">
        <v>1031</v>
      </c>
      <c r="D6">
        <v>238750</v>
      </c>
      <c r="E6">
        <v>2.72</v>
      </c>
      <c r="F6">
        <v>144763.45120000001</v>
      </c>
      <c r="G6">
        <v>144.76300000000001</v>
      </c>
      <c r="H6">
        <v>0.998</v>
      </c>
      <c r="I6">
        <v>5</v>
      </c>
      <c r="J6">
        <v>3541</v>
      </c>
      <c r="K6">
        <v>0.29352712800000003</v>
      </c>
      <c r="L6">
        <v>0.13800000000000001</v>
      </c>
      <c r="M6">
        <v>1</v>
      </c>
      <c r="N6">
        <v>2.4E-2</v>
      </c>
      <c r="O6">
        <v>1</v>
      </c>
      <c r="P6">
        <v>1</v>
      </c>
      <c r="S6" s="166" t="s">
        <v>944</v>
      </c>
    </row>
    <row r="7" spans="1:24" x14ac:dyDescent="0.25">
      <c r="A7" t="s">
        <v>1032</v>
      </c>
      <c r="B7">
        <v>9001010400</v>
      </c>
      <c r="C7" t="s">
        <v>1033</v>
      </c>
      <c r="D7">
        <v>116222</v>
      </c>
      <c r="E7">
        <v>2.77</v>
      </c>
      <c r="F7">
        <v>69831.03198</v>
      </c>
      <c r="G7">
        <v>69.831000000000003</v>
      </c>
      <c r="H7">
        <v>0.80100000000000005</v>
      </c>
      <c r="I7">
        <v>5</v>
      </c>
      <c r="J7">
        <v>1923</v>
      </c>
      <c r="K7">
        <v>0.33045480399999999</v>
      </c>
      <c r="L7">
        <v>0.36199999999999999</v>
      </c>
      <c r="M7">
        <v>2</v>
      </c>
      <c r="N7">
        <v>0.19800000000000001</v>
      </c>
      <c r="O7">
        <v>1</v>
      </c>
      <c r="P7">
        <v>1</v>
      </c>
      <c r="S7" s="164" t="s">
        <v>944</v>
      </c>
    </row>
    <row r="8" spans="1:24" x14ac:dyDescent="0.25">
      <c r="A8" t="s">
        <v>1034</v>
      </c>
      <c r="B8">
        <v>9001010500</v>
      </c>
      <c r="C8" t="s">
        <v>1035</v>
      </c>
      <c r="D8">
        <v>91556</v>
      </c>
      <c r="E8">
        <v>2.5499999999999998</v>
      </c>
      <c r="F8">
        <v>57334.591189999999</v>
      </c>
      <c r="G8">
        <v>57.335000000000001</v>
      </c>
      <c r="H8">
        <v>0.6</v>
      </c>
      <c r="I8">
        <v>3</v>
      </c>
      <c r="J8">
        <v>1979</v>
      </c>
      <c r="K8">
        <v>0.41420021499999998</v>
      </c>
      <c r="L8">
        <v>0.71</v>
      </c>
      <c r="M8">
        <v>4</v>
      </c>
      <c r="N8">
        <v>0.17100000000000001</v>
      </c>
      <c r="O8">
        <v>1</v>
      </c>
      <c r="P8">
        <v>2</v>
      </c>
      <c r="S8" s="166" t="s">
        <v>944</v>
      </c>
    </row>
    <row r="9" spans="1:24" x14ac:dyDescent="0.25">
      <c r="A9" t="s">
        <v>1036</v>
      </c>
      <c r="B9">
        <v>9001010600</v>
      </c>
      <c r="C9" t="s">
        <v>1037</v>
      </c>
      <c r="D9">
        <v>104868</v>
      </c>
      <c r="E9">
        <v>1.94</v>
      </c>
      <c r="F9">
        <v>75290.836179999998</v>
      </c>
      <c r="G9">
        <v>75.290999999999997</v>
      </c>
      <c r="H9">
        <v>0.85199999999999998</v>
      </c>
      <c r="I9">
        <v>5</v>
      </c>
      <c r="J9">
        <v>2018</v>
      </c>
      <c r="K9">
        <v>0.32163276699999999</v>
      </c>
      <c r="L9">
        <v>0.311</v>
      </c>
      <c r="M9">
        <v>2</v>
      </c>
      <c r="N9">
        <v>0.16</v>
      </c>
      <c r="O9">
        <v>1</v>
      </c>
      <c r="P9">
        <v>1</v>
      </c>
      <c r="S9" s="164" t="s">
        <v>944</v>
      </c>
    </row>
    <row r="10" spans="1:24" x14ac:dyDescent="0.25">
      <c r="A10" t="s">
        <v>1038</v>
      </c>
      <c r="B10">
        <v>9001010700</v>
      </c>
      <c r="C10" t="s">
        <v>1039</v>
      </c>
      <c r="D10">
        <v>61667</v>
      </c>
      <c r="E10">
        <v>2.13</v>
      </c>
      <c r="F10">
        <v>42253.532169999999</v>
      </c>
      <c r="G10">
        <v>42.253999999999998</v>
      </c>
      <c r="H10">
        <v>0.32500000000000001</v>
      </c>
      <c r="I10">
        <v>2</v>
      </c>
      <c r="J10">
        <v>1586</v>
      </c>
      <c r="K10">
        <v>0.450423882</v>
      </c>
      <c r="L10">
        <v>0.78500000000000003</v>
      </c>
      <c r="M10">
        <v>4</v>
      </c>
      <c r="N10">
        <v>0.40100000000000002</v>
      </c>
      <c r="O10">
        <v>3</v>
      </c>
      <c r="P10">
        <v>4</v>
      </c>
      <c r="S10" s="166" t="s">
        <v>944</v>
      </c>
    </row>
    <row r="11" spans="1:24" x14ac:dyDescent="0.25">
      <c r="A11" t="s">
        <v>1040</v>
      </c>
      <c r="B11">
        <v>9001010800</v>
      </c>
      <c r="C11" t="s">
        <v>1041</v>
      </c>
      <c r="D11">
        <v>136495</v>
      </c>
      <c r="E11">
        <v>2.6</v>
      </c>
      <c r="F11">
        <v>84650.605490000002</v>
      </c>
      <c r="G11">
        <v>84.650999999999996</v>
      </c>
      <c r="H11">
        <v>0.90500000000000003</v>
      </c>
      <c r="I11">
        <v>5</v>
      </c>
      <c r="J11">
        <v>2403</v>
      </c>
      <c r="K11">
        <v>0.34064729799999999</v>
      </c>
      <c r="L11">
        <v>0.41899999999999998</v>
      </c>
      <c r="M11">
        <v>3</v>
      </c>
      <c r="N11">
        <v>8.8999999999999996E-2</v>
      </c>
      <c r="O11">
        <v>1</v>
      </c>
      <c r="P11">
        <v>1</v>
      </c>
      <c r="S11" s="164" t="s">
        <v>944</v>
      </c>
    </row>
    <row r="12" spans="1:24" x14ac:dyDescent="0.25">
      <c r="A12" t="s">
        <v>1042</v>
      </c>
      <c r="B12">
        <v>9001010900</v>
      </c>
      <c r="C12" t="s">
        <v>1043</v>
      </c>
      <c r="D12">
        <v>164063</v>
      </c>
      <c r="E12">
        <v>2.89</v>
      </c>
      <c r="F12">
        <v>96507.647060000003</v>
      </c>
      <c r="G12">
        <v>96.507999999999996</v>
      </c>
      <c r="H12">
        <v>0.93899999999999995</v>
      </c>
      <c r="I12">
        <v>5</v>
      </c>
      <c r="J12">
        <v>2436</v>
      </c>
      <c r="K12">
        <v>0.30289827699999999</v>
      </c>
      <c r="L12">
        <v>0.19</v>
      </c>
      <c r="M12">
        <v>1</v>
      </c>
      <c r="N12">
        <v>8.4000000000000005E-2</v>
      </c>
      <c r="O12">
        <v>1</v>
      </c>
      <c r="P12">
        <v>1</v>
      </c>
      <c r="S12" s="166" t="s">
        <v>944</v>
      </c>
    </row>
    <row r="13" spans="1:24" x14ac:dyDescent="0.25">
      <c r="A13" t="s">
        <v>1044</v>
      </c>
      <c r="B13">
        <v>9001011000</v>
      </c>
      <c r="C13" t="s">
        <v>1045</v>
      </c>
      <c r="D13">
        <v>236000</v>
      </c>
      <c r="E13">
        <v>3.19</v>
      </c>
      <c r="F13">
        <v>132134.63260000001</v>
      </c>
      <c r="G13">
        <v>132.13499999999999</v>
      </c>
      <c r="H13">
        <v>0.97799999999999998</v>
      </c>
      <c r="I13">
        <v>5</v>
      </c>
      <c r="J13">
        <v>3348</v>
      </c>
      <c r="K13">
        <v>0.30405351899999999</v>
      </c>
      <c r="L13">
        <v>0.19500000000000001</v>
      </c>
      <c r="M13">
        <v>1</v>
      </c>
      <c r="N13">
        <v>2.8000000000000001E-2</v>
      </c>
      <c r="O13">
        <v>1</v>
      </c>
      <c r="P13">
        <v>1</v>
      </c>
      <c r="S13" s="164" t="s">
        <v>944</v>
      </c>
    </row>
    <row r="14" spans="1:24" x14ac:dyDescent="0.25">
      <c r="A14" t="s">
        <v>1046</v>
      </c>
      <c r="B14">
        <v>9001011100</v>
      </c>
      <c r="C14" t="s">
        <v>1047</v>
      </c>
      <c r="D14">
        <v>250000</v>
      </c>
      <c r="E14">
        <v>3.2</v>
      </c>
      <c r="F14">
        <v>139754.24859999999</v>
      </c>
      <c r="G14">
        <v>139.75399999999999</v>
      </c>
      <c r="H14">
        <v>0.98599999999999999</v>
      </c>
      <c r="I14">
        <v>5</v>
      </c>
      <c r="J14">
        <v>4000</v>
      </c>
      <c r="K14">
        <v>0.34346004099999999</v>
      </c>
      <c r="L14">
        <v>0.439</v>
      </c>
      <c r="M14">
        <v>3</v>
      </c>
      <c r="N14">
        <v>1.0999999999999999E-2</v>
      </c>
      <c r="O14">
        <v>1</v>
      </c>
      <c r="P14">
        <v>1</v>
      </c>
      <c r="S14" s="166" t="s">
        <v>944</v>
      </c>
    </row>
    <row r="15" spans="1:24" x14ac:dyDescent="0.25">
      <c r="A15" t="s">
        <v>1048</v>
      </c>
      <c r="B15">
        <v>9001011200</v>
      </c>
      <c r="C15" t="s">
        <v>1049</v>
      </c>
      <c r="D15">
        <v>238068</v>
      </c>
      <c r="E15">
        <v>2.76</v>
      </c>
      <c r="F15">
        <v>143300.09640000001</v>
      </c>
      <c r="G15">
        <v>143.30000000000001</v>
      </c>
      <c r="H15">
        <v>0.997</v>
      </c>
      <c r="I15">
        <v>5</v>
      </c>
      <c r="J15">
        <v>3293</v>
      </c>
      <c r="K15">
        <v>0.27575696700000002</v>
      </c>
      <c r="L15">
        <v>7.3999999999999996E-2</v>
      </c>
      <c r="M15">
        <v>1</v>
      </c>
      <c r="N15">
        <v>3.3000000000000002E-2</v>
      </c>
      <c r="O15">
        <v>1</v>
      </c>
      <c r="P15">
        <v>1</v>
      </c>
      <c r="S15" s="164" t="s">
        <v>944</v>
      </c>
    </row>
    <row r="16" spans="1:24" x14ac:dyDescent="0.25">
      <c r="A16" t="s">
        <v>1050</v>
      </c>
      <c r="B16">
        <v>9001011300</v>
      </c>
      <c r="C16" t="s">
        <v>1051</v>
      </c>
      <c r="D16">
        <v>80882</v>
      </c>
      <c r="E16">
        <v>2.72</v>
      </c>
      <c r="F16">
        <v>49041.916060000003</v>
      </c>
      <c r="G16">
        <v>49.042000000000002</v>
      </c>
      <c r="H16">
        <v>0.45200000000000001</v>
      </c>
      <c r="I16">
        <v>3</v>
      </c>
      <c r="J16">
        <v>1944</v>
      </c>
      <c r="K16">
        <v>0.47567472599999999</v>
      </c>
      <c r="L16">
        <v>0.81799999999999995</v>
      </c>
      <c r="M16">
        <v>5</v>
      </c>
      <c r="N16">
        <v>0.188</v>
      </c>
      <c r="O16">
        <v>1</v>
      </c>
      <c r="P16">
        <v>2</v>
      </c>
      <c r="S16" s="166" t="s">
        <v>944</v>
      </c>
    </row>
    <row r="17" spans="1:19" x14ac:dyDescent="0.25">
      <c r="A17" t="s">
        <v>1052</v>
      </c>
      <c r="B17">
        <v>9001020100</v>
      </c>
      <c r="C17" t="s">
        <v>1053</v>
      </c>
      <c r="D17">
        <v>63514</v>
      </c>
      <c r="E17">
        <v>1.77</v>
      </c>
      <c r="F17">
        <v>47740.045819999999</v>
      </c>
      <c r="G17">
        <v>47.74</v>
      </c>
      <c r="H17">
        <v>0.41899999999999998</v>
      </c>
      <c r="I17">
        <v>3</v>
      </c>
      <c r="J17">
        <v>1542</v>
      </c>
      <c r="K17">
        <v>0.38759912499999999</v>
      </c>
      <c r="L17">
        <v>0.65300000000000002</v>
      </c>
      <c r="M17">
        <v>4</v>
      </c>
      <c r="N17">
        <v>0.432</v>
      </c>
      <c r="O17">
        <v>3</v>
      </c>
      <c r="P17">
        <v>3</v>
      </c>
      <c r="S17" s="164" t="s">
        <v>944</v>
      </c>
    </row>
    <row r="18" spans="1:19" x14ac:dyDescent="0.25">
      <c r="A18" t="s">
        <v>1054</v>
      </c>
      <c r="B18">
        <v>9001020200</v>
      </c>
      <c r="C18" t="s">
        <v>1055</v>
      </c>
      <c r="D18">
        <v>233750</v>
      </c>
      <c r="E18">
        <v>2.88</v>
      </c>
      <c r="F18">
        <v>137738.50839999999</v>
      </c>
      <c r="G18">
        <v>137.739</v>
      </c>
      <c r="H18">
        <v>0.98499999999999999</v>
      </c>
      <c r="I18">
        <v>5</v>
      </c>
      <c r="J18">
        <v>3644</v>
      </c>
      <c r="K18">
        <v>0.31747113100000002</v>
      </c>
      <c r="L18">
        <v>0.26800000000000002</v>
      </c>
      <c r="M18">
        <v>2</v>
      </c>
      <c r="N18">
        <v>0.02</v>
      </c>
      <c r="O18">
        <v>1</v>
      </c>
      <c r="P18">
        <v>1</v>
      </c>
      <c r="S18" s="166" t="s">
        <v>944</v>
      </c>
    </row>
    <row r="19" spans="1:19" x14ac:dyDescent="0.25">
      <c r="A19" t="s">
        <v>1056</v>
      </c>
      <c r="B19">
        <v>9001020300</v>
      </c>
      <c r="C19" t="s">
        <v>1057</v>
      </c>
      <c r="D19">
        <v>196250</v>
      </c>
      <c r="E19">
        <v>2.86</v>
      </c>
      <c r="F19">
        <v>116045.0577</v>
      </c>
      <c r="G19">
        <v>116.045</v>
      </c>
      <c r="H19">
        <v>0.96799999999999997</v>
      </c>
      <c r="I19">
        <v>5</v>
      </c>
      <c r="J19">
        <v>3331</v>
      </c>
      <c r="K19">
        <v>0.34445241199999999</v>
      </c>
      <c r="L19">
        <v>0.44700000000000001</v>
      </c>
      <c r="M19">
        <v>3</v>
      </c>
      <c r="N19">
        <v>3.1E-2</v>
      </c>
      <c r="O19">
        <v>1</v>
      </c>
      <c r="P19">
        <v>1</v>
      </c>
      <c r="S19" s="164" t="s">
        <v>944</v>
      </c>
    </row>
    <row r="20" spans="1:19" x14ac:dyDescent="0.25">
      <c r="A20" t="s">
        <v>1058</v>
      </c>
      <c r="B20">
        <v>9001020400</v>
      </c>
      <c r="C20" t="s">
        <v>1059</v>
      </c>
      <c r="D20">
        <v>170972</v>
      </c>
      <c r="E20">
        <v>2.98</v>
      </c>
      <c r="F20">
        <v>99041.420360000004</v>
      </c>
      <c r="G20">
        <v>99.040999999999997</v>
      </c>
      <c r="H20">
        <v>0.94399999999999995</v>
      </c>
      <c r="I20">
        <v>5</v>
      </c>
      <c r="J20">
        <v>3328</v>
      </c>
      <c r="K20">
        <v>0.40322523500000002</v>
      </c>
      <c r="L20">
        <v>0.68400000000000005</v>
      </c>
      <c r="M20">
        <v>4</v>
      </c>
      <c r="N20">
        <v>3.2000000000000001E-2</v>
      </c>
      <c r="O20">
        <v>1</v>
      </c>
      <c r="P20">
        <v>1</v>
      </c>
      <c r="S20" s="166" t="s">
        <v>944</v>
      </c>
    </row>
    <row r="21" spans="1:19" x14ac:dyDescent="0.25">
      <c r="A21" t="s">
        <v>1060</v>
      </c>
      <c r="B21">
        <v>9001020500</v>
      </c>
      <c r="C21" t="s">
        <v>1061</v>
      </c>
      <c r="D21">
        <v>186324</v>
      </c>
      <c r="E21">
        <v>2.77</v>
      </c>
      <c r="F21">
        <v>111951.24159999999</v>
      </c>
      <c r="G21">
        <v>111.95099999999999</v>
      </c>
      <c r="H21">
        <v>0.96399999999999997</v>
      </c>
      <c r="I21">
        <v>5</v>
      </c>
      <c r="J21">
        <v>2959</v>
      </c>
      <c r="K21">
        <v>0.31717379400000001</v>
      </c>
      <c r="L21">
        <v>0.26600000000000001</v>
      </c>
      <c r="M21">
        <v>2</v>
      </c>
      <c r="N21">
        <v>4.5999999999999999E-2</v>
      </c>
      <c r="O21">
        <v>1</v>
      </c>
      <c r="P21">
        <v>1</v>
      </c>
      <c r="S21" s="164" t="s">
        <v>944</v>
      </c>
    </row>
    <row r="22" spans="1:19" x14ac:dyDescent="0.25">
      <c r="A22" t="s">
        <v>1062</v>
      </c>
      <c r="B22">
        <v>9001020600</v>
      </c>
      <c r="C22" t="s">
        <v>1063</v>
      </c>
      <c r="D22">
        <v>144519</v>
      </c>
      <c r="E22">
        <v>3.07</v>
      </c>
      <c r="F22">
        <v>82481.349900000001</v>
      </c>
      <c r="G22">
        <v>82.480999999999995</v>
      </c>
      <c r="H22">
        <v>0.89400000000000002</v>
      </c>
      <c r="I22">
        <v>5</v>
      </c>
      <c r="J22">
        <v>2570</v>
      </c>
      <c r="K22">
        <v>0.373902707</v>
      </c>
      <c r="L22">
        <v>0.60899999999999999</v>
      </c>
      <c r="M22">
        <v>4</v>
      </c>
      <c r="N22">
        <v>7.0000000000000007E-2</v>
      </c>
      <c r="O22">
        <v>1</v>
      </c>
      <c r="P22">
        <v>1</v>
      </c>
      <c r="S22" s="166" t="s">
        <v>944</v>
      </c>
    </row>
    <row r="23" spans="1:19" x14ac:dyDescent="0.25">
      <c r="A23" t="s">
        <v>1064</v>
      </c>
      <c r="B23">
        <v>9001020700</v>
      </c>
      <c r="C23" t="s">
        <v>1065</v>
      </c>
      <c r="D23">
        <v>131897</v>
      </c>
      <c r="E23">
        <v>2.65</v>
      </c>
      <c r="F23">
        <v>81023.68303</v>
      </c>
      <c r="G23">
        <v>81.024000000000001</v>
      </c>
      <c r="H23">
        <v>0.88800000000000001</v>
      </c>
      <c r="I23">
        <v>5</v>
      </c>
      <c r="J23">
        <v>2349</v>
      </c>
      <c r="K23">
        <v>0.34789828</v>
      </c>
      <c r="L23">
        <v>0.46899999999999997</v>
      </c>
      <c r="M23">
        <v>3</v>
      </c>
      <c r="N23">
        <v>0.1</v>
      </c>
      <c r="O23">
        <v>1</v>
      </c>
      <c r="P23">
        <v>1</v>
      </c>
      <c r="S23" s="164" t="s">
        <v>944</v>
      </c>
    </row>
    <row r="24" spans="1:19" x14ac:dyDescent="0.25">
      <c r="A24" t="s">
        <v>1066</v>
      </c>
      <c r="B24">
        <v>9001020800</v>
      </c>
      <c r="C24" t="s">
        <v>1067</v>
      </c>
      <c r="D24">
        <v>168846</v>
      </c>
      <c r="E24">
        <v>2.8</v>
      </c>
      <c r="F24">
        <v>100904.7849</v>
      </c>
      <c r="G24">
        <v>100.905</v>
      </c>
      <c r="H24">
        <v>0.94499999999999995</v>
      </c>
      <c r="I24">
        <v>5</v>
      </c>
      <c r="J24">
        <v>2638</v>
      </c>
      <c r="K24">
        <v>0.31372149500000002</v>
      </c>
      <c r="L24">
        <v>0.246</v>
      </c>
      <c r="M24">
        <v>2</v>
      </c>
      <c r="N24">
        <v>6.5000000000000002E-2</v>
      </c>
      <c r="O24">
        <v>1</v>
      </c>
      <c r="P24">
        <v>1</v>
      </c>
      <c r="S24" s="166" t="s">
        <v>944</v>
      </c>
    </row>
    <row r="25" spans="1:19" x14ac:dyDescent="0.25">
      <c r="A25" t="s">
        <v>1068</v>
      </c>
      <c r="B25">
        <v>9001020900</v>
      </c>
      <c r="C25" t="s">
        <v>1069</v>
      </c>
      <c r="D25">
        <v>64044</v>
      </c>
      <c r="E25">
        <v>2.38</v>
      </c>
      <c r="F25">
        <v>41513.559269999998</v>
      </c>
      <c r="G25">
        <v>41.514000000000003</v>
      </c>
      <c r="H25">
        <v>0.309</v>
      </c>
      <c r="I25">
        <v>2</v>
      </c>
      <c r="J25">
        <v>1852</v>
      </c>
      <c r="K25">
        <v>0.53534316000000004</v>
      </c>
      <c r="L25">
        <v>0.878</v>
      </c>
      <c r="M25">
        <v>5</v>
      </c>
      <c r="N25">
        <v>0.23200000000000001</v>
      </c>
      <c r="O25">
        <v>2</v>
      </c>
      <c r="P25">
        <v>3</v>
      </c>
      <c r="S25" s="164" t="s">
        <v>944</v>
      </c>
    </row>
    <row r="26" spans="1:19" x14ac:dyDescent="0.25">
      <c r="A26" t="s">
        <v>1070</v>
      </c>
      <c r="B26">
        <v>9001021000</v>
      </c>
      <c r="C26" t="s">
        <v>1071</v>
      </c>
      <c r="D26">
        <v>133988</v>
      </c>
      <c r="E26">
        <v>2.82</v>
      </c>
      <c r="F26">
        <v>79788.692880000002</v>
      </c>
      <c r="G26">
        <v>79.789000000000001</v>
      </c>
      <c r="H26">
        <v>0.874</v>
      </c>
      <c r="I26">
        <v>5</v>
      </c>
      <c r="J26">
        <v>2313</v>
      </c>
      <c r="K26">
        <v>0.34786884000000001</v>
      </c>
      <c r="L26">
        <v>0.46700000000000003</v>
      </c>
      <c r="M26">
        <v>3</v>
      </c>
      <c r="N26">
        <v>0.111</v>
      </c>
      <c r="O26">
        <v>1</v>
      </c>
      <c r="P26">
        <v>1</v>
      </c>
      <c r="S26" s="166" t="s">
        <v>944</v>
      </c>
    </row>
    <row r="27" spans="1:19" x14ac:dyDescent="0.25">
      <c r="A27" t="s">
        <v>1072</v>
      </c>
      <c r="B27">
        <v>9001021100</v>
      </c>
      <c r="C27" t="s">
        <v>1073</v>
      </c>
      <c r="D27">
        <v>103810</v>
      </c>
      <c r="E27">
        <v>2.74</v>
      </c>
      <c r="F27">
        <v>62713.914510000002</v>
      </c>
      <c r="G27">
        <v>62.713999999999999</v>
      </c>
      <c r="H27">
        <v>0.70399999999999996</v>
      </c>
      <c r="I27">
        <v>4</v>
      </c>
      <c r="J27">
        <v>1898</v>
      </c>
      <c r="K27">
        <v>0.36317299199999997</v>
      </c>
      <c r="L27">
        <v>0.55400000000000005</v>
      </c>
      <c r="M27">
        <v>3</v>
      </c>
      <c r="N27">
        <v>0.21099999999999999</v>
      </c>
      <c r="O27">
        <v>2</v>
      </c>
      <c r="P27">
        <v>2</v>
      </c>
      <c r="S27" s="164" t="s">
        <v>944</v>
      </c>
    </row>
    <row r="28" spans="1:19" x14ac:dyDescent="0.25">
      <c r="A28" t="s">
        <v>1074</v>
      </c>
      <c r="B28">
        <v>9001021200</v>
      </c>
      <c r="C28" t="s">
        <v>1075</v>
      </c>
      <c r="D28">
        <v>138686</v>
      </c>
      <c r="E28">
        <v>2.61</v>
      </c>
      <c r="F28">
        <v>85844.478900000002</v>
      </c>
      <c r="G28">
        <v>85.843999999999994</v>
      </c>
      <c r="H28">
        <v>0.91100000000000003</v>
      </c>
      <c r="I28">
        <v>5</v>
      </c>
      <c r="J28">
        <v>2581</v>
      </c>
      <c r="K28">
        <v>0.36079198600000001</v>
      </c>
      <c r="L28">
        <v>0.54300000000000004</v>
      </c>
      <c r="M28">
        <v>3</v>
      </c>
      <c r="N28">
        <v>6.9000000000000006E-2</v>
      </c>
      <c r="O28">
        <v>1</v>
      </c>
      <c r="P28">
        <v>1</v>
      </c>
      <c r="S28" s="166" t="s">
        <v>944</v>
      </c>
    </row>
    <row r="29" spans="1:19" x14ac:dyDescent="0.25">
      <c r="A29" t="s">
        <v>1076</v>
      </c>
      <c r="B29">
        <v>9001021300</v>
      </c>
      <c r="C29" t="s">
        <v>1077</v>
      </c>
      <c r="D29">
        <v>112188</v>
      </c>
      <c r="E29">
        <v>2.7</v>
      </c>
      <c r="F29">
        <v>68275.44253</v>
      </c>
      <c r="G29">
        <v>68.275000000000006</v>
      </c>
      <c r="H29">
        <v>0.77800000000000002</v>
      </c>
      <c r="I29">
        <v>4</v>
      </c>
      <c r="J29">
        <v>2357</v>
      </c>
      <c r="K29">
        <v>0.41426315200000002</v>
      </c>
      <c r="L29">
        <v>0.71099999999999997</v>
      </c>
      <c r="M29">
        <v>4</v>
      </c>
      <c r="N29">
        <v>9.9000000000000005E-2</v>
      </c>
      <c r="O29">
        <v>1</v>
      </c>
      <c r="P29">
        <v>2</v>
      </c>
      <c r="S29" s="164" t="s">
        <v>944</v>
      </c>
    </row>
    <row r="30" spans="1:19" x14ac:dyDescent="0.25">
      <c r="A30" t="s">
        <v>1078</v>
      </c>
      <c r="B30">
        <v>9001021400</v>
      </c>
      <c r="C30" t="s">
        <v>1079</v>
      </c>
      <c r="D30">
        <v>46566</v>
      </c>
      <c r="E30">
        <v>2.98</v>
      </c>
      <c r="F30">
        <v>26974.95953</v>
      </c>
      <c r="G30">
        <v>26.975000000000001</v>
      </c>
      <c r="H30">
        <v>0.13400000000000001</v>
      </c>
      <c r="I30">
        <v>1</v>
      </c>
      <c r="J30">
        <v>1793</v>
      </c>
      <c r="K30">
        <v>0.79762862899999998</v>
      </c>
      <c r="L30">
        <v>0.98399999999999999</v>
      </c>
      <c r="M30">
        <v>5</v>
      </c>
      <c r="N30">
        <v>0.25600000000000001</v>
      </c>
      <c r="O30">
        <v>2</v>
      </c>
      <c r="P30">
        <v>4</v>
      </c>
      <c r="S30" s="166" t="s">
        <v>936</v>
      </c>
    </row>
    <row r="31" spans="1:19" x14ac:dyDescent="0.25">
      <c r="A31" t="s">
        <v>1080</v>
      </c>
      <c r="B31">
        <v>9001021500</v>
      </c>
      <c r="C31" t="s">
        <v>1081</v>
      </c>
      <c r="D31">
        <v>43357</v>
      </c>
      <c r="E31">
        <v>3.08</v>
      </c>
      <c r="F31">
        <v>24704.943569999999</v>
      </c>
      <c r="G31">
        <v>24.704999999999998</v>
      </c>
      <c r="H31">
        <v>0.109</v>
      </c>
      <c r="I31">
        <v>1</v>
      </c>
      <c r="J31">
        <v>1564</v>
      </c>
      <c r="K31">
        <v>0.75968601000000002</v>
      </c>
      <c r="L31">
        <v>0.97899999999999998</v>
      </c>
      <c r="M31">
        <v>5</v>
      </c>
      <c r="N31">
        <v>0.41899999999999998</v>
      </c>
      <c r="O31">
        <v>3</v>
      </c>
      <c r="P31">
        <v>4</v>
      </c>
      <c r="S31" s="164" t="s">
        <v>936</v>
      </c>
    </row>
    <row r="32" spans="1:19" x14ac:dyDescent="0.25">
      <c r="A32" t="s">
        <v>1082</v>
      </c>
      <c r="B32">
        <v>9001021600</v>
      </c>
      <c r="C32" t="s">
        <v>1083</v>
      </c>
      <c r="D32">
        <v>85420</v>
      </c>
      <c r="E32">
        <v>2.29</v>
      </c>
      <c r="F32">
        <v>56447.12485</v>
      </c>
      <c r="G32">
        <v>56.447000000000003</v>
      </c>
      <c r="H32">
        <v>0.58599999999999997</v>
      </c>
      <c r="I32">
        <v>3</v>
      </c>
      <c r="J32">
        <v>2014</v>
      </c>
      <c r="K32">
        <v>0.42815289600000001</v>
      </c>
      <c r="L32">
        <v>0.746</v>
      </c>
      <c r="M32">
        <v>4</v>
      </c>
      <c r="N32">
        <v>0.161</v>
      </c>
      <c r="O32">
        <v>1</v>
      </c>
      <c r="P32">
        <v>2</v>
      </c>
      <c r="S32" s="166" t="s">
        <v>944</v>
      </c>
    </row>
    <row r="33" spans="1:19" x14ac:dyDescent="0.25">
      <c r="A33" t="s">
        <v>1084</v>
      </c>
      <c r="B33">
        <v>9001021700</v>
      </c>
      <c r="C33" t="s">
        <v>1085</v>
      </c>
      <c r="D33">
        <v>86705</v>
      </c>
      <c r="E33">
        <v>2.06</v>
      </c>
      <c r="F33">
        <v>60410.235999999997</v>
      </c>
      <c r="G33">
        <v>60.41</v>
      </c>
      <c r="H33">
        <v>0.66</v>
      </c>
      <c r="I33">
        <v>4</v>
      </c>
      <c r="J33">
        <v>1908</v>
      </c>
      <c r="K33">
        <v>0.37900861699999999</v>
      </c>
      <c r="L33">
        <v>0.628</v>
      </c>
      <c r="M33">
        <v>4</v>
      </c>
      <c r="N33">
        <v>0.20699999999999999</v>
      </c>
      <c r="O33">
        <v>2</v>
      </c>
      <c r="P33">
        <v>2</v>
      </c>
      <c r="S33" s="164" t="s">
        <v>944</v>
      </c>
    </row>
    <row r="34" spans="1:19" x14ac:dyDescent="0.25">
      <c r="A34" t="s">
        <v>1086</v>
      </c>
      <c r="B34">
        <v>9001021801</v>
      </c>
      <c r="C34" t="s">
        <v>1087</v>
      </c>
      <c r="D34">
        <v>99112</v>
      </c>
      <c r="E34">
        <v>2.4900000000000002</v>
      </c>
      <c r="F34">
        <v>62809.677920000002</v>
      </c>
      <c r="G34">
        <v>62.81</v>
      </c>
      <c r="H34">
        <v>0.70499999999999996</v>
      </c>
      <c r="I34">
        <v>4</v>
      </c>
      <c r="J34">
        <v>1969</v>
      </c>
      <c r="K34">
        <v>0.37618406599999998</v>
      </c>
      <c r="L34">
        <v>0.61899999999999999</v>
      </c>
      <c r="M34">
        <v>4</v>
      </c>
      <c r="N34">
        <v>0.17399999999999999</v>
      </c>
      <c r="O34">
        <v>1</v>
      </c>
      <c r="P34">
        <v>2</v>
      </c>
      <c r="S34" s="166" t="s">
        <v>944</v>
      </c>
    </row>
    <row r="35" spans="1:19" x14ac:dyDescent="0.25">
      <c r="A35" t="s">
        <v>1088</v>
      </c>
      <c r="B35">
        <v>9001021802</v>
      </c>
      <c r="C35" t="s">
        <v>1089</v>
      </c>
      <c r="D35">
        <v>68599</v>
      </c>
      <c r="E35">
        <v>2.77</v>
      </c>
      <c r="F35">
        <v>41217.14445</v>
      </c>
      <c r="G35">
        <v>41.216999999999999</v>
      </c>
      <c r="H35">
        <v>0.30599999999999999</v>
      </c>
      <c r="I35">
        <v>2</v>
      </c>
      <c r="J35">
        <v>1630</v>
      </c>
      <c r="K35">
        <v>0.47455980399999997</v>
      </c>
      <c r="L35">
        <v>0.81599999999999995</v>
      </c>
      <c r="M35">
        <v>5</v>
      </c>
      <c r="N35">
        <v>0.36099999999999999</v>
      </c>
      <c r="O35">
        <v>2</v>
      </c>
      <c r="P35">
        <v>3</v>
      </c>
      <c r="S35" s="164" t="s">
        <v>944</v>
      </c>
    </row>
    <row r="36" spans="1:19" x14ac:dyDescent="0.25">
      <c r="A36" t="s">
        <v>1090</v>
      </c>
      <c r="B36">
        <v>9001021900</v>
      </c>
      <c r="C36" t="s">
        <v>1091</v>
      </c>
      <c r="D36">
        <v>66250</v>
      </c>
      <c r="E36">
        <v>2.81</v>
      </c>
      <c r="F36">
        <v>39521.436589999998</v>
      </c>
      <c r="G36">
        <v>39.521000000000001</v>
      </c>
      <c r="H36">
        <v>0.28699999999999998</v>
      </c>
      <c r="I36">
        <v>2</v>
      </c>
      <c r="J36">
        <v>2096</v>
      </c>
      <c r="K36">
        <v>0.63641411299999995</v>
      </c>
      <c r="L36">
        <v>0.94199999999999995</v>
      </c>
      <c r="M36">
        <v>5</v>
      </c>
      <c r="N36">
        <v>0.14399999999999999</v>
      </c>
      <c r="O36">
        <v>1</v>
      </c>
      <c r="P36">
        <v>3</v>
      </c>
      <c r="S36" s="166" t="s">
        <v>944</v>
      </c>
    </row>
    <row r="37" spans="1:19" x14ac:dyDescent="0.25">
      <c r="A37" t="s">
        <v>1092</v>
      </c>
      <c r="B37">
        <v>9001022000</v>
      </c>
      <c r="C37" t="s">
        <v>1093</v>
      </c>
      <c r="D37">
        <v>82753</v>
      </c>
      <c r="E37">
        <v>2.86</v>
      </c>
      <c r="F37">
        <v>48932.874709999996</v>
      </c>
      <c r="G37">
        <v>48.933</v>
      </c>
      <c r="H37">
        <v>0.44800000000000001</v>
      </c>
      <c r="I37">
        <v>3</v>
      </c>
      <c r="J37">
        <v>1441</v>
      </c>
      <c r="K37">
        <v>0.35338205900000003</v>
      </c>
      <c r="L37">
        <v>0.497</v>
      </c>
      <c r="M37">
        <v>3</v>
      </c>
      <c r="N37">
        <v>0.53800000000000003</v>
      </c>
      <c r="O37">
        <v>3</v>
      </c>
      <c r="P37">
        <v>3</v>
      </c>
      <c r="S37" s="164" t="s">
        <v>944</v>
      </c>
    </row>
    <row r="38" spans="1:19" x14ac:dyDescent="0.25">
      <c r="A38" t="s">
        <v>1094</v>
      </c>
      <c r="B38">
        <v>9001022100</v>
      </c>
      <c r="C38" t="s">
        <v>1095</v>
      </c>
      <c r="D38">
        <v>58273</v>
      </c>
      <c r="E38">
        <v>3.07</v>
      </c>
      <c r="F38">
        <v>33258.157769999998</v>
      </c>
      <c r="G38">
        <v>33.258000000000003</v>
      </c>
      <c r="H38">
        <v>0.216</v>
      </c>
      <c r="I38">
        <v>2</v>
      </c>
      <c r="J38">
        <v>1834</v>
      </c>
      <c r="K38">
        <v>0.66173238300000004</v>
      </c>
      <c r="L38">
        <v>0.95</v>
      </c>
      <c r="M38">
        <v>5</v>
      </c>
      <c r="N38">
        <v>0.24</v>
      </c>
      <c r="O38">
        <v>2</v>
      </c>
      <c r="P38">
        <v>3</v>
      </c>
      <c r="S38" s="166" t="s">
        <v>944</v>
      </c>
    </row>
    <row r="39" spans="1:19" x14ac:dyDescent="0.25">
      <c r="A39" t="s">
        <v>1096</v>
      </c>
      <c r="B39">
        <v>9001022200</v>
      </c>
      <c r="C39" t="s">
        <v>1097</v>
      </c>
      <c r="D39">
        <v>91996</v>
      </c>
      <c r="E39">
        <v>2.16</v>
      </c>
      <c r="F39">
        <v>62595.349549999999</v>
      </c>
      <c r="G39">
        <v>62.594999999999999</v>
      </c>
      <c r="H39">
        <v>0.70199999999999996</v>
      </c>
      <c r="I39">
        <v>4</v>
      </c>
      <c r="J39">
        <v>2280</v>
      </c>
      <c r="K39">
        <v>0.43709317399999997</v>
      </c>
      <c r="L39">
        <v>0.76300000000000001</v>
      </c>
      <c r="M39">
        <v>4</v>
      </c>
      <c r="N39">
        <v>0.11600000000000001</v>
      </c>
      <c r="O39">
        <v>1</v>
      </c>
      <c r="P39">
        <v>2</v>
      </c>
      <c r="S39" s="164" t="s">
        <v>944</v>
      </c>
    </row>
    <row r="40" spans="1:19" x14ac:dyDescent="0.25">
      <c r="A40" t="s">
        <v>1098</v>
      </c>
      <c r="B40">
        <v>9001022300</v>
      </c>
      <c r="C40" t="s">
        <v>1099</v>
      </c>
      <c r="D40">
        <v>80816</v>
      </c>
      <c r="E40">
        <v>2.58</v>
      </c>
      <c r="F40">
        <v>50313.843919999999</v>
      </c>
      <c r="G40">
        <v>50.314</v>
      </c>
      <c r="H40">
        <v>0.47499999999999998</v>
      </c>
      <c r="I40">
        <v>3</v>
      </c>
      <c r="J40">
        <v>2170</v>
      </c>
      <c r="K40">
        <v>0.51755139299999997</v>
      </c>
      <c r="L40">
        <v>0.86399999999999999</v>
      </c>
      <c r="M40">
        <v>5</v>
      </c>
      <c r="N40">
        <v>0.13400000000000001</v>
      </c>
      <c r="O40">
        <v>1</v>
      </c>
      <c r="P40">
        <v>2</v>
      </c>
      <c r="S40" s="166" t="s">
        <v>944</v>
      </c>
    </row>
    <row r="41" spans="1:19" x14ac:dyDescent="0.25">
      <c r="A41" t="s">
        <v>1100</v>
      </c>
      <c r="B41">
        <v>9001022400</v>
      </c>
      <c r="C41" t="s">
        <v>1101</v>
      </c>
      <c r="D41">
        <v>189712</v>
      </c>
      <c r="E41">
        <v>2.71</v>
      </c>
      <c r="F41">
        <v>115241.83289999999</v>
      </c>
      <c r="G41">
        <v>115.242</v>
      </c>
      <c r="H41">
        <v>0.96699999999999997</v>
      </c>
      <c r="I41">
        <v>5</v>
      </c>
      <c r="J41">
        <v>4000</v>
      </c>
      <c r="K41">
        <v>0.41651541600000003</v>
      </c>
      <c r="L41">
        <v>0.71499999999999997</v>
      </c>
      <c r="M41">
        <v>4</v>
      </c>
      <c r="N41">
        <v>1.0999999999999999E-2</v>
      </c>
      <c r="O41">
        <v>1</v>
      </c>
      <c r="P41">
        <v>1</v>
      </c>
      <c r="S41" s="164" t="s">
        <v>944</v>
      </c>
    </row>
    <row r="42" spans="1:19" x14ac:dyDescent="0.25">
      <c r="A42" t="s">
        <v>1102</v>
      </c>
      <c r="B42">
        <v>9001030100</v>
      </c>
      <c r="C42" t="s">
        <v>1103</v>
      </c>
      <c r="D42">
        <v>250000</v>
      </c>
      <c r="E42">
        <v>3.39</v>
      </c>
      <c r="F42">
        <v>135781.3616</v>
      </c>
      <c r="G42">
        <v>135.78100000000001</v>
      </c>
      <c r="H42">
        <v>0.97899999999999998</v>
      </c>
      <c r="I42">
        <v>5</v>
      </c>
      <c r="J42">
        <v>4000</v>
      </c>
      <c r="K42">
        <v>0.35350949100000001</v>
      </c>
      <c r="L42">
        <v>0.498</v>
      </c>
      <c r="M42">
        <v>3</v>
      </c>
      <c r="N42">
        <v>1.0999999999999999E-2</v>
      </c>
      <c r="O42">
        <v>1</v>
      </c>
      <c r="P42">
        <v>1</v>
      </c>
      <c r="S42" s="166" t="s">
        <v>944</v>
      </c>
    </row>
    <row r="43" spans="1:19" x14ac:dyDescent="0.25">
      <c r="A43" t="s">
        <v>1104</v>
      </c>
      <c r="B43">
        <v>9001030200</v>
      </c>
      <c r="C43" t="s">
        <v>1105</v>
      </c>
      <c r="D43">
        <v>250000</v>
      </c>
      <c r="E43">
        <v>3.16</v>
      </c>
      <c r="F43">
        <v>140635.98759999999</v>
      </c>
      <c r="G43">
        <v>140.636</v>
      </c>
      <c r="H43">
        <v>0.98699999999999999</v>
      </c>
      <c r="I43">
        <v>5</v>
      </c>
      <c r="J43">
        <v>3565</v>
      </c>
      <c r="K43">
        <v>0.30418956600000002</v>
      </c>
      <c r="L43">
        <v>0.19700000000000001</v>
      </c>
      <c r="M43">
        <v>1</v>
      </c>
      <c r="N43">
        <v>2.1999999999999999E-2</v>
      </c>
      <c r="O43">
        <v>1</v>
      </c>
      <c r="P43">
        <v>1</v>
      </c>
      <c r="S43" s="164" t="s">
        <v>944</v>
      </c>
    </row>
    <row r="44" spans="1:19" x14ac:dyDescent="0.25">
      <c r="A44" t="s">
        <v>1106</v>
      </c>
      <c r="B44">
        <v>9001030300</v>
      </c>
      <c r="C44" t="s">
        <v>1107</v>
      </c>
      <c r="D44">
        <v>250000</v>
      </c>
      <c r="E44">
        <v>3.1</v>
      </c>
      <c r="F44">
        <v>141990.45860000001</v>
      </c>
      <c r="G44">
        <v>141.99</v>
      </c>
      <c r="H44">
        <v>0.995</v>
      </c>
      <c r="I44">
        <v>5</v>
      </c>
      <c r="J44">
        <v>4000</v>
      </c>
      <c r="K44">
        <v>0.338050884</v>
      </c>
      <c r="L44">
        <v>0.41099999999999998</v>
      </c>
      <c r="M44">
        <v>3</v>
      </c>
      <c r="N44">
        <v>1.0999999999999999E-2</v>
      </c>
      <c r="O44">
        <v>1</v>
      </c>
      <c r="P44">
        <v>1</v>
      </c>
      <c r="S44" s="166" t="s">
        <v>944</v>
      </c>
    </row>
    <row r="45" spans="1:19" x14ac:dyDescent="0.25">
      <c r="A45" t="s">
        <v>1108</v>
      </c>
      <c r="B45">
        <v>9001030400</v>
      </c>
      <c r="C45" t="s">
        <v>1109</v>
      </c>
      <c r="D45">
        <v>145625</v>
      </c>
      <c r="E45">
        <v>2.95</v>
      </c>
      <c r="F45">
        <v>84786.152979999999</v>
      </c>
      <c r="G45">
        <v>84.786000000000001</v>
      </c>
      <c r="H45">
        <v>0.90700000000000003</v>
      </c>
      <c r="I45">
        <v>5</v>
      </c>
      <c r="J45">
        <v>3144</v>
      </c>
      <c r="K45">
        <v>0.44497832100000001</v>
      </c>
      <c r="L45">
        <v>0.77900000000000003</v>
      </c>
      <c r="M45">
        <v>4</v>
      </c>
      <c r="N45">
        <v>4.1000000000000002E-2</v>
      </c>
      <c r="O45">
        <v>1</v>
      </c>
      <c r="P45">
        <v>1</v>
      </c>
      <c r="S45" s="164" t="s">
        <v>944</v>
      </c>
    </row>
    <row r="46" spans="1:19" x14ac:dyDescent="0.25">
      <c r="A46" t="s">
        <v>1110</v>
      </c>
      <c r="B46">
        <v>9001030500</v>
      </c>
      <c r="C46" t="s">
        <v>1111</v>
      </c>
      <c r="D46">
        <v>192222</v>
      </c>
      <c r="E46">
        <v>3.19</v>
      </c>
      <c r="F46">
        <v>107623.65820000001</v>
      </c>
      <c r="G46">
        <v>107.624</v>
      </c>
      <c r="H46">
        <v>0.95799999999999996</v>
      </c>
      <c r="I46">
        <v>5</v>
      </c>
      <c r="J46">
        <v>3654</v>
      </c>
      <c r="K46">
        <v>0.40741971399999999</v>
      </c>
      <c r="L46">
        <v>0.69799999999999995</v>
      </c>
      <c r="M46">
        <v>4</v>
      </c>
      <c r="N46">
        <v>1.9E-2</v>
      </c>
      <c r="O46">
        <v>1</v>
      </c>
      <c r="P46">
        <v>1</v>
      </c>
      <c r="S46" s="166" t="s">
        <v>944</v>
      </c>
    </row>
    <row r="47" spans="1:19" x14ac:dyDescent="0.25">
      <c r="A47" t="s">
        <v>1112</v>
      </c>
      <c r="B47">
        <v>9001035100</v>
      </c>
      <c r="C47" t="s">
        <v>1113</v>
      </c>
      <c r="D47">
        <v>128623</v>
      </c>
      <c r="E47">
        <v>2.35</v>
      </c>
      <c r="F47">
        <v>83904.39374</v>
      </c>
      <c r="G47">
        <v>83.903999999999996</v>
      </c>
      <c r="H47">
        <v>0.9</v>
      </c>
      <c r="I47">
        <v>5</v>
      </c>
      <c r="J47">
        <v>2425</v>
      </c>
      <c r="K47">
        <v>0.34682331500000002</v>
      </c>
      <c r="L47">
        <v>0.46300000000000002</v>
      </c>
      <c r="M47">
        <v>3</v>
      </c>
      <c r="N47">
        <v>8.6999999999999994E-2</v>
      </c>
      <c r="O47">
        <v>1</v>
      </c>
      <c r="P47">
        <v>1</v>
      </c>
      <c r="S47" s="164" t="s">
        <v>944</v>
      </c>
    </row>
    <row r="48" spans="1:19" x14ac:dyDescent="0.25">
      <c r="A48" t="s">
        <v>1114</v>
      </c>
      <c r="B48">
        <v>9001035200</v>
      </c>
      <c r="C48" t="s">
        <v>1115</v>
      </c>
      <c r="D48">
        <v>250000</v>
      </c>
      <c r="E48">
        <v>3.05</v>
      </c>
      <c r="F48">
        <v>143149.58360000001</v>
      </c>
      <c r="G48">
        <v>143.15</v>
      </c>
      <c r="H48">
        <v>0.996</v>
      </c>
      <c r="I48">
        <v>5</v>
      </c>
      <c r="J48">
        <v>4000</v>
      </c>
      <c r="K48">
        <v>0.33531358500000003</v>
      </c>
      <c r="L48">
        <v>0.4</v>
      </c>
      <c r="M48">
        <v>2</v>
      </c>
      <c r="N48">
        <v>1.0999999999999999E-2</v>
      </c>
      <c r="O48">
        <v>1</v>
      </c>
      <c r="P48">
        <v>1</v>
      </c>
      <c r="S48" s="166" t="s">
        <v>944</v>
      </c>
    </row>
    <row r="49" spans="1:19" x14ac:dyDescent="0.25">
      <c r="A49" t="s">
        <v>1116</v>
      </c>
      <c r="B49">
        <v>9001035300</v>
      </c>
      <c r="C49" t="s">
        <v>1117</v>
      </c>
      <c r="D49">
        <v>250000</v>
      </c>
      <c r="E49">
        <v>3.3</v>
      </c>
      <c r="F49">
        <v>137620.4706</v>
      </c>
      <c r="G49">
        <v>137.62</v>
      </c>
      <c r="H49">
        <v>0.98399999999999999</v>
      </c>
      <c r="I49">
        <v>5</v>
      </c>
      <c r="J49">
        <v>4000</v>
      </c>
      <c r="K49">
        <v>0.34878532099999998</v>
      </c>
      <c r="L49">
        <v>0.47199999999999998</v>
      </c>
      <c r="M49">
        <v>3</v>
      </c>
      <c r="N49">
        <v>1.0999999999999999E-2</v>
      </c>
      <c r="O49">
        <v>1</v>
      </c>
      <c r="P49">
        <v>1</v>
      </c>
      <c r="S49" s="164" t="s">
        <v>944</v>
      </c>
    </row>
    <row r="50" spans="1:19" x14ac:dyDescent="0.25">
      <c r="A50" t="s">
        <v>1118</v>
      </c>
      <c r="B50">
        <v>9001035400</v>
      </c>
      <c r="C50" t="s">
        <v>1119</v>
      </c>
      <c r="D50">
        <v>250000</v>
      </c>
      <c r="E50">
        <v>3.32</v>
      </c>
      <c r="F50">
        <v>137205.32500000001</v>
      </c>
      <c r="G50">
        <v>137.20500000000001</v>
      </c>
      <c r="H50">
        <v>0.98099999999999998</v>
      </c>
      <c r="I50">
        <v>5</v>
      </c>
      <c r="J50">
        <v>4000</v>
      </c>
      <c r="K50">
        <v>0.349840649</v>
      </c>
      <c r="L50">
        <v>0.47799999999999998</v>
      </c>
      <c r="M50">
        <v>3</v>
      </c>
      <c r="N50">
        <v>1.0999999999999999E-2</v>
      </c>
      <c r="O50">
        <v>1</v>
      </c>
      <c r="P50">
        <v>1</v>
      </c>
      <c r="S50" s="166" t="s">
        <v>944</v>
      </c>
    </row>
    <row r="51" spans="1:19" x14ac:dyDescent="0.25">
      <c r="A51" t="s">
        <v>1120</v>
      </c>
      <c r="B51">
        <v>9001042500</v>
      </c>
      <c r="C51" t="s">
        <v>1121</v>
      </c>
      <c r="D51">
        <v>129821</v>
      </c>
      <c r="E51">
        <v>2.72</v>
      </c>
      <c r="F51">
        <v>78715.543439999994</v>
      </c>
      <c r="G51">
        <v>78.715999999999994</v>
      </c>
      <c r="H51">
        <v>0.86699999999999999</v>
      </c>
      <c r="I51">
        <v>5</v>
      </c>
      <c r="J51">
        <v>2593</v>
      </c>
      <c r="K51">
        <v>0.39529676899999999</v>
      </c>
      <c r="L51">
        <v>0.67500000000000004</v>
      </c>
      <c r="M51">
        <v>4</v>
      </c>
      <c r="N51">
        <v>6.6000000000000003E-2</v>
      </c>
      <c r="O51">
        <v>1</v>
      </c>
      <c r="P51">
        <v>1</v>
      </c>
      <c r="S51" s="164" t="s">
        <v>944</v>
      </c>
    </row>
    <row r="52" spans="1:19" x14ac:dyDescent="0.25">
      <c r="A52" t="s">
        <v>1122</v>
      </c>
      <c r="B52">
        <v>9001042600</v>
      </c>
      <c r="C52" t="s">
        <v>1123</v>
      </c>
      <c r="D52">
        <v>113594</v>
      </c>
      <c r="E52">
        <v>2.42</v>
      </c>
      <c r="F52">
        <v>73020.988819999999</v>
      </c>
      <c r="G52">
        <v>73.021000000000001</v>
      </c>
      <c r="H52">
        <v>0.83699999999999997</v>
      </c>
      <c r="I52">
        <v>5</v>
      </c>
      <c r="J52">
        <v>2278</v>
      </c>
      <c r="K52">
        <v>0.37435811899999999</v>
      </c>
      <c r="L52">
        <v>0.61</v>
      </c>
      <c r="M52">
        <v>4</v>
      </c>
      <c r="N52">
        <v>0.11700000000000001</v>
      </c>
      <c r="O52">
        <v>1</v>
      </c>
      <c r="P52">
        <v>1</v>
      </c>
      <c r="S52" s="166" t="s">
        <v>944</v>
      </c>
    </row>
    <row r="53" spans="1:19" x14ac:dyDescent="0.25">
      <c r="A53" t="s">
        <v>1124</v>
      </c>
      <c r="B53">
        <v>9001042700</v>
      </c>
      <c r="C53" t="s">
        <v>1125</v>
      </c>
      <c r="D53">
        <v>95948</v>
      </c>
      <c r="E53">
        <v>2.31</v>
      </c>
      <c r="F53">
        <v>63129.149230000003</v>
      </c>
      <c r="G53">
        <v>63.128999999999998</v>
      </c>
      <c r="H53">
        <v>0.70899999999999996</v>
      </c>
      <c r="I53">
        <v>4</v>
      </c>
      <c r="J53">
        <v>1955</v>
      </c>
      <c r="K53">
        <v>0.37161913800000002</v>
      </c>
      <c r="L53">
        <v>0.60199999999999998</v>
      </c>
      <c r="M53">
        <v>4</v>
      </c>
      <c r="N53">
        <v>0.183</v>
      </c>
      <c r="O53">
        <v>1</v>
      </c>
      <c r="P53">
        <v>2</v>
      </c>
      <c r="S53" s="164" t="s">
        <v>944</v>
      </c>
    </row>
    <row r="54" spans="1:19" x14ac:dyDescent="0.25">
      <c r="A54" t="s">
        <v>1126</v>
      </c>
      <c r="B54">
        <v>9001042800</v>
      </c>
      <c r="C54" t="s">
        <v>1127</v>
      </c>
      <c r="D54">
        <v>100813</v>
      </c>
      <c r="E54">
        <v>2.65</v>
      </c>
      <c r="F54">
        <v>61928.93361</v>
      </c>
      <c r="G54">
        <v>61.929000000000002</v>
      </c>
      <c r="H54">
        <v>0.69499999999999995</v>
      </c>
      <c r="I54">
        <v>4</v>
      </c>
      <c r="J54">
        <v>2347</v>
      </c>
      <c r="K54">
        <v>0.454779347</v>
      </c>
      <c r="L54">
        <v>0.79100000000000004</v>
      </c>
      <c r="M54">
        <v>4</v>
      </c>
      <c r="N54">
        <v>0.104</v>
      </c>
      <c r="O54">
        <v>1</v>
      </c>
      <c r="P54">
        <v>2</v>
      </c>
      <c r="S54" s="166" t="s">
        <v>944</v>
      </c>
    </row>
    <row r="55" spans="1:19" x14ac:dyDescent="0.25">
      <c r="A55" t="s">
        <v>1128</v>
      </c>
      <c r="B55">
        <v>9001042900</v>
      </c>
      <c r="C55" t="s">
        <v>1129</v>
      </c>
      <c r="D55">
        <v>138542</v>
      </c>
      <c r="E55">
        <v>2.5099999999999998</v>
      </c>
      <c r="F55">
        <v>87446.934989999994</v>
      </c>
      <c r="G55">
        <v>87.447000000000003</v>
      </c>
      <c r="H55">
        <v>0.91700000000000004</v>
      </c>
      <c r="I55">
        <v>5</v>
      </c>
      <c r="J55">
        <v>3132</v>
      </c>
      <c r="K55">
        <v>0.42979207899999999</v>
      </c>
      <c r="L55">
        <v>0.751</v>
      </c>
      <c r="M55">
        <v>4</v>
      </c>
      <c r="N55">
        <v>4.2000000000000003E-2</v>
      </c>
      <c r="O55">
        <v>1</v>
      </c>
      <c r="P55">
        <v>1</v>
      </c>
      <c r="S55" s="164" t="s">
        <v>944</v>
      </c>
    </row>
    <row r="56" spans="1:19" x14ac:dyDescent="0.25">
      <c r="A56" t="s">
        <v>1130</v>
      </c>
      <c r="B56">
        <v>9001043000</v>
      </c>
      <c r="C56" t="s">
        <v>1131</v>
      </c>
      <c r="D56">
        <v>122633</v>
      </c>
      <c r="E56">
        <v>2.4300000000000002</v>
      </c>
      <c r="F56">
        <v>78669.106180000002</v>
      </c>
      <c r="G56">
        <v>78.668999999999997</v>
      </c>
      <c r="H56">
        <v>0.86599999999999999</v>
      </c>
      <c r="I56">
        <v>5</v>
      </c>
      <c r="J56">
        <v>2513</v>
      </c>
      <c r="K56">
        <v>0.38332709599999998</v>
      </c>
      <c r="L56">
        <v>0.64300000000000002</v>
      </c>
      <c r="M56">
        <v>4</v>
      </c>
      <c r="N56">
        <v>7.6999999999999999E-2</v>
      </c>
      <c r="O56">
        <v>1</v>
      </c>
      <c r="P56">
        <v>1</v>
      </c>
      <c r="S56" s="166" t="s">
        <v>944</v>
      </c>
    </row>
    <row r="57" spans="1:19" x14ac:dyDescent="0.25">
      <c r="A57" t="s">
        <v>1132</v>
      </c>
      <c r="B57">
        <v>9001043100</v>
      </c>
      <c r="C57" t="s">
        <v>1133</v>
      </c>
      <c r="D57">
        <v>143141</v>
      </c>
      <c r="E57">
        <v>2.73</v>
      </c>
      <c r="F57">
        <v>86632.874249999993</v>
      </c>
      <c r="G57">
        <v>86.632999999999996</v>
      </c>
      <c r="H57">
        <v>0.91600000000000004</v>
      </c>
      <c r="I57">
        <v>5</v>
      </c>
      <c r="J57">
        <v>2407</v>
      </c>
      <c r="K57">
        <v>0.33340692300000002</v>
      </c>
      <c r="L57">
        <v>0.38500000000000001</v>
      </c>
      <c r="M57">
        <v>2</v>
      </c>
      <c r="N57">
        <v>8.7999999999999995E-2</v>
      </c>
      <c r="O57">
        <v>1</v>
      </c>
      <c r="P57">
        <v>1</v>
      </c>
      <c r="S57" s="164" t="s">
        <v>944</v>
      </c>
    </row>
    <row r="58" spans="1:19" x14ac:dyDescent="0.25">
      <c r="A58" t="s">
        <v>1134</v>
      </c>
      <c r="B58">
        <v>9001043200</v>
      </c>
      <c r="C58" t="s">
        <v>1135</v>
      </c>
      <c r="D58">
        <v>69837</v>
      </c>
      <c r="E58">
        <v>2.74</v>
      </c>
      <c r="F58">
        <v>42190.074630000003</v>
      </c>
      <c r="G58">
        <v>42.19</v>
      </c>
      <c r="H58">
        <v>0.32400000000000001</v>
      </c>
      <c r="I58">
        <v>2</v>
      </c>
      <c r="J58">
        <v>1843</v>
      </c>
      <c r="K58">
        <v>0.52419912000000002</v>
      </c>
      <c r="L58">
        <v>0.86899999999999999</v>
      </c>
      <c r="M58">
        <v>5</v>
      </c>
      <c r="N58">
        <v>0.23699999999999999</v>
      </c>
      <c r="O58">
        <v>2</v>
      </c>
      <c r="P58">
        <v>3</v>
      </c>
      <c r="S58" s="166" t="s">
        <v>944</v>
      </c>
    </row>
    <row r="59" spans="1:19" x14ac:dyDescent="0.25">
      <c r="A59" t="s">
        <v>1136</v>
      </c>
      <c r="B59">
        <v>9001043300</v>
      </c>
      <c r="C59" t="s">
        <v>1137</v>
      </c>
      <c r="D59">
        <v>83672</v>
      </c>
      <c r="E59">
        <v>2.58</v>
      </c>
      <c r="F59">
        <v>52091.911849999997</v>
      </c>
      <c r="G59">
        <v>52.091999999999999</v>
      </c>
      <c r="H59">
        <v>0.504</v>
      </c>
      <c r="I59">
        <v>3</v>
      </c>
      <c r="J59">
        <v>2127</v>
      </c>
      <c r="K59">
        <v>0.489980097</v>
      </c>
      <c r="L59">
        <v>0.83299999999999996</v>
      </c>
      <c r="M59">
        <v>5</v>
      </c>
      <c r="N59">
        <v>0.14000000000000001</v>
      </c>
      <c r="O59">
        <v>1</v>
      </c>
      <c r="P59">
        <v>2</v>
      </c>
      <c r="S59" s="164" t="s">
        <v>944</v>
      </c>
    </row>
    <row r="60" spans="1:19" x14ac:dyDescent="0.25">
      <c r="A60" t="s">
        <v>1138</v>
      </c>
      <c r="B60">
        <v>9001043400</v>
      </c>
      <c r="C60" t="s">
        <v>1139</v>
      </c>
      <c r="D60">
        <v>77917</v>
      </c>
      <c r="E60">
        <v>2.5299999999999998</v>
      </c>
      <c r="F60">
        <v>48985.998200000002</v>
      </c>
      <c r="G60">
        <v>48.985999999999997</v>
      </c>
      <c r="H60">
        <v>0.44900000000000001</v>
      </c>
      <c r="I60">
        <v>3</v>
      </c>
      <c r="J60">
        <v>1672</v>
      </c>
      <c r="K60">
        <v>0.40958642699999998</v>
      </c>
      <c r="L60">
        <v>0.70299999999999996</v>
      </c>
      <c r="M60">
        <v>4</v>
      </c>
      <c r="N60">
        <v>0.32700000000000001</v>
      </c>
      <c r="O60">
        <v>2</v>
      </c>
      <c r="P60">
        <v>3</v>
      </c>
      <c r="S60" s="166" t="s">
        <v>944</v>
      </c>
    </row>
    <row r="61" spans="1:19" x14ac:dyDescent="0.25">
      <c r="A61" t="s">
        <v>1140</v>
      </c>
      <c r="B61">
        <v>9001043500</v>
      </c>
      <c r="C61" t="s">
        <v>1141</v>
      </c>
      <c r="D61">
        <v>104417</v>
      </c>
      <c r="E61">
        <v>2.6</v>
      </c>
      <c r="F61">
        <v>64756.67441</v>
      </c>
      <c r="G61">
        <v>64.757000000000005</v>
      </c>
      <c r="H61">
        <v>0.73199999999999998</v>
      </c>
      <c r="I61">
        <v>4</v>
      </c>
      <c r="J61">
        <v>1919</v>
      </c>
      <c r="K61">
        <v>0.35560813200000002</v>
      </c>
      <c r="L61">
        <v>0.51200000000000001</v>
      </c>
      <c r="M61">
        <v>3</v>
      </c>
      <c r="N61">
        <v>0.2</v>
      </c>
      <c r="O61">
        <v>1</v>
      </c>
      <c r="P61">
        <v>2</v>
      </c>
      <c r="S61" s="164" t="s">
        <v>944</v>
      </c>
    </row>
    <row r="62" spans="1:19" x14ac:dyDescent="0.25">
      <c r="A62" t="s">
        <v>1142</v>
      </c>
      <c r="B62">
        <v>9001043600</v>
      </c>
      <c r="C62" t="s">
        <v>1143</v>
      </c>
      <c r="D62">
        <v>98636</v>
      </c>
      <c r="E62">
        <v>2.4900000000000002</v>
      </c>
      <c r="F62">
        <v>62508.025170000001</v>
      </c>
      <c r="G62">
        <v>62.508000000000003</v>
      </c>
      <c r="H62">
        <v>0.70099999999999996</v>
      </c>
      <c r="I62">
        <v>4</v>
      </c>
      <c r="J62">
        <v>1940</v>
      </c>
      <c r="K62">
        <v>0.37243217899999997</v>
      </c>
      <c r="L62">
        <v>0.60299999999999998</v>
      </c>
      <c r="M62">
        <v>4</v>
      </c>
      <c r="N62">
        <v>0.189</v>
      </c>
      <c r="O62">
        <v>1</v>
      </c>
      <c r="P62">
        <v>2</v>
      </c>
      <c r="S62" s="166" t="s">
        <v>944</v>
      </c>
    </row>
    <row r="63" spans="1:19" x14ac:dyDescent="0.25">
      <c r="A63" t="s">
        <v>1144</v>
      </c>
      <c r="B63">
        <v>9001043700</v>
      </c>
      <c r="C63" t="s">
        <v>1145</v>
      </c>
      <c r="D63">
        <v>71178</v>
      </c>
      <c r="E63">
        <v>1.82</v>
      </c>
      <c r="F63">
        <v>52760.643859999996</v>
      </c>
      <c r="G63">
        <v>52.761000000000003</v>
      </c>
      <c r="H63">
        <v>0.51700000000000002</v>
      </c>
      <c r="I63">
        <v>3</v>
      </c>
      <c r="J63">
        <v>1867</v>
      </c>
      <c r="K63">
        <v>0.42463469700000001</v>
      </c>
      <c r="L63">
        <v>0.74</v>
      </c>
      <c r="M63">
        <v>4</v>
      </c>
      <c r="N63">
        <v>0.223</v>
      </c>
      <c r="O63">
        <v>2</v>
      </c>
      <c r="P63">
        <v>3</v>
      </c>
      <c r="S63" s="164" t="s">
        <v>944</v>
      </c>
    </row>
    <row r="64" spans="1:19" x14ac:dyDescent="0.25">
      <c r="A64" t="s">
        <v>1146</v>
      </c>
      <c r="B64">
        <v>9001043800</v>
      </c>
      <c r="C64" t="s">
        <v>1147</v>
      </c>
      <c r="D64">
        <v>74397</v>
      </c>
      <c r="E64">
        <v>2.46</v>
      </c>
      <c r="F64">
        <v>47433.794719999998</v>
      </c>
      <c r="G64">
        <v>47.433999999999997</v>
      </c>
      <c r="H64">
        <v>0.40799999999999997</v>
      </c>
      <c r="I64">
        <v>3</v>
      </c>
      <c r="J64">
        <v>1726</v>
      </c>
      <c r="K64">
        <v>0.43665070700000003</v>
      </c>
      <c r="L64">
        <v>0.76100000000000001</v>
      </c>
      <c r="M64">
        <v>4</v>
      </c>
      <c r="N64">
        <v>0.29499999999999998</v>
      </c>
      <c r="O64">
        <v>2</v>
      </c>
      <c r="P64">
        <v>3</v>
      </c>
      <c r="S64" s="166" t="s">
        <v>944</v>
      </c>
    </row>
    <row r="65" spans="1:19" x14ac:dyDescent="0.25">
      <c r="A65" t="s">
        <v>1148</v>
      </c>
      <c r="B65">
        <v>9001043900</v>
      </c>
      <c r="C65" t="s">
        <v>1149</v>
      </c>
      <c r="D65">
        <v>89506</v>
      </c>
      <c r="E65">
        <v>3.01</v>
      </c>
      <c r="F65">
        <v>51590.400730000001</v>
      </c>
      <c r="G65">
        <v>51.59</v>
      </c>
      <c r="H65">
        <v>0.49199999999999999</v>
      </c>
      <c r="I65">
        <v>3</v>
      </c>
      <c r="J65">
        <v>2194</v>
      </c>
      <c r="K65">
        <v>0.51032749600000005</v>
      </c>
      <c r="L65">
        <v>0.85699999999999998</v>
      </c>
      <c r="M65">
        <v>5</v>
      </c>
      <c r="N65">
        <v>0.129</v>
      </c>
      <c r="O65">
        <v>1</v>
      </c>
      <c r="P65">
        <v>2</v>
      </c>
      <c r="S65" s="164" t="s">
        <v>944</v>
      </c>
    </row>
    <row r="66" spans="1:19" x14ac:dyDescent="0.25">
      <c r="A66" t="s">
        <v>1150</v>
      </c>
      <c r="B66">
        <v>9001044000</v>
      </c>
      <c r="C66" t="s">
        <v>1151</v>
      </c>
      <c r="D66">
        <v>51875</v>
      </c>
      <c r="E66">
        <v>2.57</v>
      </c>
      <c r="F66">
        <v>32358.735939999999</v>
      </c>
      <c r="G66">
        <v>32.359000000000002</v>
      </c>
      <c r="H66">
        <v>0.20200000000000001</v>
      </c>
      <c r="I66">
        <v>2</v>
      </c>
      <c r="J66">
        <v>1494</v>
      </c>
      <c r="K66">
        <v>0.554038947</v>
      </c>
      <c r="L66">
        <v>0.89</v>
      </c>
      <c r="M66">
        <v>5</v>
      </c>
      <c r="N66">
        <v>0.48099999999999998</v>
      </c>
      <c r="O66">
        <v>3</v>
      </c>
      <c r="P66">
        <v>4</v>
      </c>
      <c r="S66" s="166" t="s">
        <v>944</v>
      </c>
    </row>
    <row r="67" spans="1:19" x14ac:dyDescent="0.25">
      <c r="A67" t="s">
        <v>1152</v>
      </c>
      <c r="B67">
        <v>9001044100</v>
      </c>
      <c r="C67" t="s">
        <v>1153</v>
      </c>
      <c r="D67">
        <v>72344</v>
      </c>
      <c r="E67">
        <v>2.1</v>
      </c>
      <c r="F67">
        <v>49922.102830000003</v>
      </c>
      <c r="G67">
        <v>49.921999999999997</v>
      </c>
      <c r="H67">
        <v>0.47</v>
      </c>
      <c r="I67">
        <v>3</v>
      </c>
      <c r="J67">
        <v>1719</v>
      </c>
      <c r="K67">
        <v>0.41320374799999998</v>
      </c>
      <c r="L67">
        <v>0.70899999999999996</v>
      </c>
      <c r="M67">
        <v>4</v>
      </c>
      <c r="N67">
        <v>0.3</v>
      </c>
      <c r="O67">
        <v>2</v>
      </c>
      <c r="P67">
        <v>3</v>
      </c>
      <c r="S67" s="164" t="s">
        <v>944</v>
      </c>
    </row>
    <row r="68" spans="1:19" x14ac:dyDescent="0.25">
      <c r="A68" t="s">
        <v>1154</v>
      </c>
      <c r="B68">
        <v>9001044200</v>
      </c>
      <c r="C68" t="s">
        <v>1155</v>
      </c>
      <c r="D68">
        <v>54038</v>
      </c>
      <c r="E68">
        <v>2.42</v>
      </c>
      <c r="F68">
        <v>34736.942040000002</v>
      </c>
      <c r="G68">
        <v>34.737000000000002</v>
      </c>
      <c r="H68">
        <v>0.23400000000000001</v>
      </c>
      <c r="I68">
        <v>2</v>
      </c>
      <c r="J68">
        <v>1575</v>
      </c>
      <c r="K68">
        <v>0.54408934399999997</v>
      </c>
      <c r="L68">
        <v>0.88300000000000001</v>
      </c>
      <c r="M68">
        <v>5</v>
      </c>
      <c r="N68">
        <v>0.40799999999999997</v>
      </c>
      <c r="O68">
        <v>3</v>
      </c>
      <c r="P68">
        <v>4</v>
      </c>
      <c r="S68" s="166" t="s">
        <v>944</v>
      </c>
    </row>
    <row r="69" spans="1:19" x14ac:dyDescent="0.25">
      <c r="A69" t="s">
        <v>1156</v>
      </c>
      <c r="B69">
        <v>9001044300</v>
      </c>
      <c r="C69" t="s">
        <v>1157</v>
      </c>
      <c r="D69">
        <v>95279</v>
      </c>
      <c r="E69">
        <v>2.5499999999999998</v>
      </c>
      <c r="F69">
        <v>59666.024230000003</v>
      </c>
      <c r="G69">
        <v>59.665999999999997</v>
      </c>
      <c r="H69">
        <v>0.64500000000000002</v>
      </c>
      <c r="I69">
        <v>4</v>
      </c>
      <c r="J69">
        <v>2131</v>
      </c>
      <c r="K69">
        <v>0.42858562</v>
      </c>
      <c r="L69">
        <v>0.749</v>
      </c>
      <c r="M69">
        <v>4</v>
      </c>
      <c r="N69">
        <v>0.13900000000000001</v>
      </c>
      <c r="O69">
        <v>1</v>
      </c>
      <c r="P69">
        <v>2</v>
      </c>
      <c r="S69" s="164" t="s">
        <v>944</v>
      </c>
    </row>
    <row r="70" spans="1:19" x14ac:dyDescent="0.25">
      <c r="A70" t="s">
        <v>1158</v>
      </c>
      <c r="B70">
        <v>9001044400</v>
      </c>
      <c r="C70" t="s">
        <v>1159</v>
      </c>
      <c r="D70">
        <v>70469</v>
      </c>
      <c r="E70">
        <v>3.11</v>
      </c>
      <c r="F70">
        <v>39959.303899999999</v>
      </c>
      <c r="G70">
        <v>39.959000000000003</v>
      </c>
      <c r="H70">
        <v>0.29399999999999998</v>
      </c>
      <c r="I70">
        <v>2</v>
      </c>
      <c r="J70">
        <v>1660</v>
      </c>
      <c r="K70">
        <v>0.49850718199999999</v>
      </c>
      <c r="L70">
        <v>0.84399999999999997</v>
      </c>
      <c r="M70">
        <v>5</v>
      </c>
      <c r="N70">
        <v>0.34100000000000003</v>
      </c>
      <c r="O70">
        <v>2</v>
      </c>
      <c r="P70">
        <v>3</v>
      </c>
      <c r="S70" s="166" t="s">
        <v>944</v>
      </c>
    </row>
    <row r="71" spans="1:19" x14ac:dyDescent="0.25">
      <c r="A71" t="s">
        <v>1160</v>
      </c>
      <c r="B71">
        <v>9001044500</v>
      </c>
      <c r="C71" t="s">
        <v>1161</v>
      </c>
      <c r="D71">
        <v>58516</v>
      </c>
      <c r="E71">
        <v>3.62</v>
      </c>
      <c r="F71">
        <v>30755.326789999999</v>
      </c>
      <c r="G71">
        <v>30.754999999999999</v>
      </c>
      <c r="H71">
        <v>0.18099999999999999</v>
      </c>
      <c r="I71">
        <v>1</v>
      </c>
      <c r="J71">
        <v>1264</v>
      </c>
      <c r="K71">
        <v>0.49318285899999997</v>
      </c>
      <c r="L71">
        <v>0.83599999999999997</v>
      </c>
      <c r="M71">
        <v>5</v>
      </c>
      <c r="N71">
        <v>0.69899999999999995</v>
      </c>
      <c r="O71">
        <v>4</v>
      </c>
      <c r="P71">
        <v>5</v>
      </c>
      <c r="S71" s="164" t="s">
        <v>944</v>
      </c>
    </row>
    <row r="72" spans="1:19" x14ac:dyDescent="0.25">
      <c r="A72" t="s">
        <v>1162</v>
      </c>
      <c r="B72">
        <v>9001044600</v>
      </c>
      <c r="C72" t="s">
        <v>1163</v>
      </c>
      <c r="D72">
        <v>219783</v>
      </c>
      <c r="E72">
        <v>2.57</v>
      </c>
      <c r="F72">
        <v>137096.86869999999</v>
      </c>
      <c r="G72">
        <v>137.09700000000001</v>
      </c>
      <c r="H72">
        <v>0.98</v>
      </c>
      <c r="I72">
        <v>5</v>
      </c>
      <c r="J72">
        <v>3273</v>
      </c>
      <c r="K72">
        <v>0.28648356699999999</v>
      </c>
      <c r="L72">
        <v>0.10299999999999999</v>
      </c>
      <c r="M72">
        <v>1</v>
      </c>
      <c r="N72">
        <v>3.5000000000000003E-2</v>
      </c>
      <c r="O72">
        <v>1</v>
      </c>
      <c r="P72">
        <v>1</v>
      </c>
      <c r="S72" s="166" t="s">
        <v>944</v>
      </c>
    </row>
    <row r="73" spans="1:19" x14ac:dyDescent="0.25">
      <c r="A73" t="s">
        <v>1164</v>
      </c>
      <c r="B73">
        <v>9001045101</v>
      </c>
      <c r="C73" t="s">
        <v>1165</v>
      </c>
      <c r="D73">
        <v>219792</v>
      </c>
      <c r="E73">
        <v>3.15</v>
      </c>
      <c r="F73">
        <v>123838.7626</v>
      </c>
      <c r="G73">
        <v>123.839</v>
      </c>
      <c r="H73">
        <v>0.97399999999999998</v>
      </c>
      <c r="I73">
        <v>5</v>
      </c>
      <c r="J73">
        <v>4000</v>
      </c>
      <c r="K73">
        <v>0.38760077199999998</v>
      </c>
      <c r="L73">
        <v>0.65400000000000003</v>
      </c>
      <c r="M73">
        <v>4</v>
      </c>
      <c r="N73">
        <v>1.0999999999999999E-2</v>
      </c>
      <c r="O73">
        <v>1</v>
      </c>
      <c r="P73">
        <v>1</v>
      </c>
      <c r="S73" s="164" t="s">
        <v>944</v>
      </c>
    </row>
    <row r="74" spans="1:19" x14ac:dyDescent="0.25">
      <c r="A74" t="s">
        <v>1166</v>
      </c>
      <c r="B74">
        <v>9001045102</v>
      </c>
      <c r="C74" t="s">
        <v>1167</v>
      </c>
      <c r="D74">
        <v>166677</v>
      </c>
      <c r="E74">
        <v>3.05</v>
      </c>
      <c r="F74">
        <v>95438.972569999998</v>
      </c>
      <c r="G74">
        <v>95.438999999999993</v>
      </c>
      <c r="H74">
        <v>0.93600000000000005</v>
      </c>
      <c r="I74">
        <v>5</v>
      </c>
      <c r="J74">
        <v>3214</v>
      </c>
      <c r="K74">
        <v>0.40411164300000002</v>
      </c>
      <c r="L74">
        <v>0.68700000000000006</v>
      </c>
      <c r="M74">
        <v>4</v>
      </c>
      <c r="N74">
        <v>3.7999999999999999E-2</v>
      </c>
      <c r="O74">
        <v>1</v>
      </c>
      <c r="P74">
        <v>1</v>
      </c>
      <c r="S74" s="166" t="s">
        <v>944</v>
      </c>
    </row>
    <row r="75" spans="1:19" x14ac:dyDescent="0.25">
      <c r="A75" t="s">
        <v>1168</v>
      </c>
      <c r="B75">
        <v>9001045200</v>
      </c>
      <c r="C75" t="s">
        <v>1169</v>
      </c>
      <c r="D75">
        <v>144375</v>
      </c>
      <c r="E75">
        <v>2.65</v>
      </c>
      <c r="F75">
        <v>88688.857489999995</v>
      </c>
      <c r="G75">
        <v>88.688999999999993</v>
      </c>
      <c r="H75">
        <v>0.92100000000000004</v>
      </c>
      <c r="I75">
        <v>5</v>
      </c>
      <c r="J75">
        <v>2854</v>
      </c>
      <c r="K75">
        <v>0.38615899399999998</v>
      </c>
      <c r="L75">
        <v>0.64900000000000002</v>
      </c>
      <c r="M75">
        <v>4</v>
      </c>
      <c r="N75">
        <v>5.1999999999999998E-2</v>
      </c>
      <c r="O75">
        <v>1</v>
      </c>
      <c r="P75">
        <v>1</v>
      </c>
      <c r="S75" s="164" t="s">
        <v>944</v>
      </c>
    </row>
    <row r="76" spans="1:19" x14ac:dyDescent="0.25">
      <c r="A76" t="s">
        <v>1170</v>
      </c>
      <c r="B76">
        <v>9001045300</v>
      </c>
      <c r="C76" t="s">
        <v>1171</v>
      </c>
      <c r="D76">
        <v>229531</v>
      </c>
      <c r="E76">
        <v>3.25</v>
      </c>
      <c r="F76">
        <v>127320.8907</v>
      </c>
      <c r="G76">
        <v>127.321</v>
      </c>
      <c r="H76">
        <v>0.97499999999999998</v>
      </c>
      <c r="I76">
        <v>5</v>
      </c>
      <c r="J76">
        <v>3941</v>
      </c>
      <c r="K76">
        <v>0.37143943699999998</v>
      </c>
      <c r="L76">
        <v>0.6</v>
      </c>
      <c r="M76">
        <v>3</v>
      </c>
      <c r="N76">
        <v>1.2999999999999999E-2</v>
      </c>
      <c r="O76">
        <v>1</v>
      </c>
      <c r="P76">
        <v>1</v>
      </c>
      <c r="S76" s="166" t="s">
        <v>944</v>
      </c>
    </row>
    <row r="77" spans="1:19" x14ac:dyDescent="0.25">
      <c r="A77" t="s">
        <v>1172</v>
      </c>
      <c r="B77">
        <v>9001045400</v>
      </c>
      <c r="C77" t="s">
        <v>1173</v>
      </c>
      <c r="D77">
        <v>198281</v>
      </c>
      <c r="E77">
        <v>2.83</v>
      </c>
      <c r="F77">
        <v>117865.8202</v>
      </c>
      <c r="G77">
        <v>117.866</v>
      </c>
      <c r="H77">
        <v>0.97</v>
      </c>
      <c r="I77">
        <v>5</v>
      </c>
      <c r="J77">
        <v>3417</v>
      </c>
      <c r="K77">
        <v>0.347887114</v>
      </c>
      <c r="L77">
        <v>0.46800000000000003</v>
      </c>
      <c r="M77">
        <v>3</v>
      </c>
      <c r="N77">
        <v>2.7E-2</v>
      </c>
      <c r="O77">
        <v>1</v>
      </c>
      <c r="P77">
        <v>1</v>
      </c>
      <c r="S77" s="164" t="s">
        <v>944</v>
      </c>
    </row>
    <row r="78" spans="1:19" x14ac:dyDescent="0.25">
      <c r="A78" t="s">
        <v>1174</v>
      </c>
      <c r="B78">
        <v>9001050100</v>
      </c>
      <c r="C78" t="s">
        <v>1175</v>
      </c>
      <c r="D78">
        <v>242125</v>
      </c>
      <c r="E78">
        <v>2.92</v>
      </c>
      <c r="F78">
        <v>141692.9388</v>
      </c>
      <c r="G78">
        <v>141.69300000000001</v>
      </c>
      <c r="H78">
        <v>0.99299999999999999</v>
      </c>
      <c r="I78">
        <v>5</v>
      </c>
      <c r="J78">
        <v>3609</v>
      </c>
      <c r="K78">
        <v>0.305646847</v>
      </c>
      <c r="L78">
        <v>0.20300000000000001</v>
      </c>
      <c r="M78">
        <v>2</v>
      </c>
      <c r="N78">
        <v>2.1000000000000001E-2</v>
      </c>
      <c r="O78">
        <v>1</v>
      </c>
      <c r="P78">
        <v>1</v>
      </c>
      <c r="S78" s="166" t="s">
        <v>944</v>
      </c>
    </row>
    <row r="79" spans="1:19" x14ac:dyDescent="0.25">
      <c r="A79" t="s">
        <v>1176</v>
      </c>
      <c r="B79">
        <v>9001050200</v>
      </c>
      <c r="C79" t="s">
        <v>1177</v>
      </c>
      <c r="D79">
        <v>175972</v>
      </c>
      <c r="E79">
        <v>2.66</v>
      </c>
      <c r="F79">
        <v>107895.3558</v>
      </c>
      <c r="G79">
        <v>107.895</v>
      </c>
      <c r="H79">
        <v>0.95899999999999996</v>
      </c>
      <c r="I79">
        <v>5</v>
      </c>
      <c r="J79">
        <v>3048</v>
      </c>
      <c r="K79">
        <v>0.33899512799999998</v>
      </c>
      <c r="L79">
        <v>0.41399999999999998</v>
      </c>
      <c r="M79">
        <v>3</v>
      </c>
      <c r="N79">
        <v>4.2999999999999997E-2</v>
      </c>
      <c r="O79">
        <v>1</v>
      </c>
      <c r="P79">
        <v>1</v>
      </c>
      <c r="S79" s="164" t="s">
        <v>944</v>
      </c>
    </row>
    <row r="80" spans="1:19" x14ac:dyDescent="0.25">
      <c r="A80" t="s">
        <v>1178</v>
      </c>
      <c r="B80">
        <v>9001050300</v>
      </c>
      <c r="C80" t="s">
        <v>1179</v>
      </c>
      <c r="D80">
        <v>242500</v>
      </c>
      <c r="E80">
        <v>3.12</v>
      </c>
      <c r="F80">
        <v>137288.59039999999</v>
      </c>
      <c r="G80">
        <v>137.28899999999999</v>
      </c>
      <c r="H80">
        <v>0.98199999999999998</v>
      </c>
      <c r="I80">
        <v>5</v>
      </c>
      <c r="J80">
        <v>3773</v>
      </c>
      <c r="K80">
        <v>0.32978705600000002</v>
      </c>
      <c r="L80">
        <v>0.35399999999999998</v>
      </c>
      <c r="M80">
        <v>2</v>
      </c>
      <c r="N80">
        <v>1.4999999999999999E-2</v>
      </c>
      <c r="O80">
        <v>1</v>
      </c>
      <c r="P80">
        <v>1</v>
      </c>
      <c r="S80" s="166" t="s">
        <v>944</v>
      </c>
    </row>
    <row r="81" spans="1:19" x14ac:dyDescent="0.25">
      <c r="A81" t="s">
        <v>1180</v>
      </c>
      <c r="B81">
        <v>9001050400</v>
      </c>
      <c r="C81" t="s">
        <v>1181</v>
      </c>
      <c r="D81">
        <v>152321</v>
      </c>
      <c r="E81">
        <v>2.2000000000000002</v>
      </c>
      <c r="F81">
        <v>102694.79730000001</v>
      </c>
      <c r="G81">
        <v>102.69499999999999</v>
      </c>
      <c r="H81">
        <v>0.94699999999999995</v>
      </c>
      <c r="I81">
        <v>5</v>
      </c>
      <c r="J81">
        <v>2569</v>
      </c>
      <c r="K81">
        <v>0.30019047500000001</v>
      </c>
      <c r="L81">
        <v>0.17</v>
      </c>
      <c r="M81">
        <v>1</v>
      </c>
      <c r="N81">
        <v>7.0999999999999994E-2</v>
      </c>
      <c r="O81">
        <v>1</v>
      </c>
      <c r="P81">
        <v>1</v>
      </c>
      <c r="S81" s="164" t="s">
        <v>944</v>
      </c>
    </row>
    <row r="82" spans="1:19" x14ac:dyDescent="0.25">
      <c r="A82" t="s">
        <v>1182</v>
      </c>
      <c r="B82">
        <v>9001050500</v>
      </c>
      <c r="C82" t="s">
        <v>1183</v>
      </c>
      <c r="D82">
        <v>169810</v>
      </c>
      <c r="E82">
        <v>2.77</v>
      </c>
      <c r="F82">
        <v>102028.9406</v>
      </c>
      <c r="G82">
        <v>102.029</v>
      </c>
      <c r="H82">
        <v>0.94599999999999995</v>
      </c>
      <c r="I82">
        <v>5</v>
      </c>
      <c r="J82">
        <v>2925</v>
      </c>
      <c r="K82">
        <v>0.34402003799999997</v>
      </c>
      <c r="L82">
        <v>0.44400000000000001</v>
      </c>
      <c r="M82">
        <v>3</v>
      </c>
      <c r="N82">
        <v>4.9000000000000002E-2</v>
      </c>
      <c r="O82">
        <v>1</v>
      </c>
      <c r="P82">
        <v>1</v>
      </c>
      <c r="S82" s="166" t="s">
        <v>944</v>
      </c>
    </row>
    <row r="83" spans="1:19" x14ac:dyDescent="0.25">
      <c r="A83" t="s">
        <v>1184</v>
      </c>
      <c r="B83">
        <v>9001050600</v>
      </c>
      <c r="C83" t="s">
        <v>1185</v>
      </c>
      <c r="D83">
        <v>228558</v>
      </c>
      <c r="E83">
        <v>2.64</v>
      </c>
      <c r="F83">
        <v>140667.72500000001</v>
      </c>
      <c r="G83">
        <v>140.66800000000001</v>
      </c>
      <c r="H83">
        <v>0.99099999999999999</v>
      </c>
      <c r="I83">
        <v>5</v>
      </c>
      <c r="J83">
        <v>3756</v>
      </c>
      <c r="K83">
        <v>0.32041465099999999</v>
      </c>
      <c r="L83">
        <v>0.29299999999999998</v>
      </c>
      <c r="M83">
        <v>2</v>
      </c>
      <c r="N83">
        <v>1.6E-2</v>
      </c>
      <c r="O83">
        <v>1</v>
      </c>
      <c r="P83">
        <v>1</v>
      </c>
      <c r="S83" s="164" t="s">
        <v>944</v>
      </c>
    </row>
    <row r="84" spans="1:19" x14ac:dyDescent="0.25">
      <c r="A84" t="s">
        <v>1186</v>
      </c>
      <c r="B84">
        <v>9001055100</v>
      </c>
      <c r="C84" t="s">
        <v>1187</v>
      </c>
      <c r="D84">
        <v>202500</v>
      </c>
      <c r="E84">
        <v>2.93</v>
      </c>
      <c r="F84">
        <v>118301.7632</v>
      </c>
      <c r="G84">
        <v>118.30200000000001</v>
      </c>
      <c r="H84">
        <v>0.97199999999999998</v>
      </c>
      <c r="I84">
        <v>5</v>
      </c>
      <c r="J84">
        <v>4000</v>
      </c>
      <c r="K84">
        <v>0.40574205099999999</v>
      </c>
      <c r="L84">
        <v>0.69299999999999995</v>
      </c>
      <c r="M84">
        <v>4</v>
      </c>
      <c r="N84">
        <v>1.0999999999999999E-2</v>
      </c>
      <c r="O84">
        <v>1</v>
      </c>
      <c r="P84">
        <v>1</v>
      </c>
      <c r="S84" s="166" t="s">
        <v>944</v>
      </c>
    </row>
    <row r="85" spans="1:19" x14ac:dyDescent="0.25">
      <c r="A85" t="s">
        <v>1188</v>
      </c>
      <c r="B85">
        <v>9001055200</v>
      </c>
      <c r="C85" t="s">
        <v>1189</v>
      </c>
      <c r="D85">
        <v>247361</v>
      </c>
      <c r="E85">
        <v>3.05</v>
      </c>
      <c r="F85">
        <v>141638.49660000001</v>
      </c>
      <c r="G85">
        <v>141.63800000000001</v>
      </c>
      <c r="H85">
        <v>0.99199999999999999</v>
      </c>
      <c r="I85">
        <v>5</v>
      </c>
      <c r="J85">
        <v>3750</v>
      </c>
      <c r="K85">
        <v>0.31771023500000001</v>
      </c>
      <c r="L85">
        <v>0.27</v>
      </c>
      <c r="M85">
        <v>2</v>
      </c>
      <c r="N85">
        <v>1.7999999999999999E-2</v>
      </c>
      <c r="O85">
        <v>1</v>
      </c>
      <c r="P85">
        <v>1</v>
      </c>
      <c r="S85" s="164" t="s">
        <v>944</v>
      </c>
    </row>
    <row r="86" spans="1:19" x14ac:dyDescent="0.25">
      <c r="A86" t="s">
        <v>1190</v>
      </c>
      <c r="B86">
        <v>9001060100</v>
      </c>
      <c r="C86" t="s">
        <v>1191</v>
      </c>
      <c r="D86">
        <v>139000</v>
      </c>
      <c r="E86">
        <v>2.65</v>
      </c>
      <c r="F86">
        <v>85387.021240000002</v>
      </c>
      <c r="G86">
        <v>85.387</v>
      </c>
      <c r="H86">
        <v>0.91</v>
      </c>
      <c r="I86">
        <v>5</v>
      </c>
      <c r="J86">
        <v>2313</v>
      </c>
      <c r="K86">
        <v>0.32506111100000001</v>
      </c>
      <c r="L86">
        <v>0.33</v>
      </c>
      <c r="M86">
        <v>2</v>
      </c>
      <c r="N86">
        <v>0.111</v>
      </c>
      <c r="O86">
        <v>1</v>
      </c>
      <c r="P86">
        <v>1</v>
      </c>
      <c r="S86" s="166" t="s">
        <v>944</v>
      </c>
    </row>
    <row r="87" spans="1:19" x14ac:dyDescent="0.25">
      <c r="A87" t="s">
        <v>1192</v>
      </c>
      <c r="B87">
        <v>9001060200</v>
      </c>
      <c r="C87" t="s">
        <v>1193</v>
      </c>
      <c r="D87">
        <v>126838</v>
      </c>
      <c r="E87">
        <v>2.81</v>
      </c>
      <c r="F87">
        <v>75665.207160000005</v>
      </c>
      <c r="G87">
        <v>75.665000000000006</v>
      </c>
      <c r="H87">
        <v>0.85499999999999998</v>
      </c>
      <c r="I87">
        <v>5</v>
      </c>
      <c r="J87">
        <v>2452</v>
      </c>
      <c r="K87">
        <v>0.38887093700000003</v>
      </c>
      <c r="L87">
        <v>0.65900000000000003</v>
      </c>
      <c r="M87">
        <v>4</v>
      </c>
      <c r="N87">
        <v>8.2000000000000003E-2</v>
      </c>
      <c r="O87">
        <v>1</v>
      </c>
      <c r="P87">
        <v>1</v>
      </c>
      <c r="S87" s="164" t="s">
        <v>944</v>
      </c>
    </row>
    <row r="88" spans="1:19" x14ac:dyDescent="0.25">
      <c r="A88" t="s">
        <v>1194</v>
      </c>
      <c r="B88">
        <v>9001060300</v>
      </c>
      <c r="C88" t="s">
        <v>1195</v>
      </c>
      <c r="D88">
        <v>195250</v>
      </c>
      <c r="E88">
        <v>2.92</v>
      </c>
      <c r="F88">
        <v>114261.42</v>
      </c>
      <c r="G88">
        <v>114.261</v>
      </c>
      <c r="H88">
        <v>0.96499999999999997</v>
      </c>
      <c r="I88">
        <v>5</v>
      </c>
      <c r="J88">
        <v>3341</v>
      </c>
      <c r="K88">
        <v>0.35087958800000002</v>
      </c>
      <c r="L88">
        <v>0.48399999999999999</v>
      </c>
      <c r="M88">
        <v>3</v>
      </c>
      <c r="N88">
        <v>0.03</v>
      </c>
      <c r="O88">
        <v>1</v>
      </c>
      <c r="P88">
        <v>1</v>
      </c>
      <c r="S88" s="166" t="s">
        <v>944</v>
      </c>
    </row>
    <row r="89" spans="1:19" x14ac:dyDescent="0.25">
      <c r="A89" t="s">
        <v>1196</v>
      </c>
      <c r="B89">
        <v>9001060400</v>
      </c>
      <c r="C89" t="s">
        <v>1197</v>
      </c>
      <c r="D89">
        <v>247169</v>
      </c>
      <c r="E89">
        <v>2.83</v>
      </c>
      <c r="F89">
        <v>146926.71969999999</v>
      </c>
      <c r="G89">
        <v>146.92699999999999</v>
      </c>
      <c r="H89">
        <v>1</v>
      </c>
      <c r="I89">
        <v>5</v>
      </c>
      <c r="J89">
        <v>3810</v>
      </c>
      <c r="K89">
        <v>0.31117553100000001</v>
      </c>
      <c r="L89">
        <v>0.22900000000000001</v>
      </c>
      <c r="M89">
        <v>2</v>
      </c>
      <c r="N89">
        <v>1.4E-2</v>
      </c>
      <c r="O89">
        <v>1</v>
      </c>
      <c r="P89">
        <v>1</v>
      </c>
      <c r="S89" s="164" t="s">
        <v>944</v>
      </c>
    </row>
    <row r="90" spans="1:19" x14ac:dyDescent="0.25">
      <c r="A90" t="s">
        <v>1198</v>
      </c>
      <c r="B90">
        <v>9001060500</v>
      </c>
      <c r="C90" t="s">
        <v>1199</v>
      </c>
      <c r="D90">
        <v>216500</v>
      </c>
      <c r="E90">
        <v>3.17</v>
      </c>
      <c r="F90">
        <v>121598.5145</v>
      </c>
      <c r="G90">
        <v>121.599</v>
      </c>
      <c r="H90">
        <v>0.97299999999999998</v>
      </c>
      <c r="I90">
        <v>5</v>
      </c>
      <c r="J90">
        <v>3418</v>
      </c>
      <c r="K90">
        <v>0.33730675199999999</v>
      </c>
      <c r="L90">
        <v>0.40699999999999997</v>
      </c>
      <c r="M90">
        <v>3</v>
      </c>
      <c r="N90">
        <v>2.5999999999999999E-2</v>
      </c>
      <c r="O90">
        <v>1</v>
      </c>
      <c r="P90">
        <v>1</v>
      </c>
      <c r="S90" s="166" t="s">
        <v>944</v>
      </c>
    </row>
    <row r="91" spans="1:19" x14ac:dyDescent="0.25">
      <c r="A91" t="s">
        <v>1200</v>
      </c>
      <c r="B91">
        <v>9001060600</v>
      </c>
      <c r="C91" t="s">
        <v>1201</v>
      </c>
      <c r="D91">
        <v>174712</v>
      </c>
      <c r="E91">
        <v>2.2400000000000002</v>
      </c>
      <c r="F91">
        <v>116734.3652</v>
      </c>
      <c r="G91">
        <v>116.73399999999999</v>
      </c>
      <c r="H91">
        <v>0.96899999999999997</v>
      </c>
      <c r="I91">
        <v>5</v>
      </c>
      <c r="J91">
        <v>2525</v>
      </c>
      <c r="K91">
        <v>0.25956366800000003</v>
      </c>
      <c r="L91">
        <v>3.2000000000000001E-2</v>
      </c>
      <c r="M91">
        <v>1</v>
      </c>
      <c r="N91">
        <v>7.4999999999999997E-2</v>
      </c>
      <c r="O91">
        <v>1</v>
      </c>
      <c r="P91">
        <v>1</v>
      </c>
      <c r="S91" s="164" t="s">
        <v>944</v>
      </c>
    </row>
    <row r="92" spans="1:19" x14ac:dyDescent="0.25">
      <c r="A92" t="s">
        <v>1202</v>
      </c>
      <c r="B92">
        <v>9001060700</v>
      </c>
      <c r="C92" t="s">
        <v>1203</v>
      </c>
      <c r="D92">
        <v>180694</v>
      </c>
      <c r="E92">
        <v>3.01</v>
      </c>
      <c r="F92">
        <v>104150.2901</v>
      </c>
      <c r="G92">
        <v>104.15</v>
      </c>
      <c r="H92">
        <v>0.95299999999999996</v>
      </c>
      <c r="I92">
        <v>5</v>
      </c>
      <c r="J92">
        <v>2864</v>
      </c>
      <c r="K92">
        <v>0.329984679</v>
      </c>
      <c r="L92">
        <v>0.35799999999999998</v>
      </c>
      <c r="M92">
        <v>2</v>
      </c>
      <c r="N92">
        <v>0.05</v>
      </c>
      <c r="O92">
        <v>1</v>
      </c>
      <c r="P92">
        <v>1</v>
      </c>
      <c r="S92" s="166" t="s">
        <v>944</v>
      </c>
    </row>
    <row r="93" spans="1:19" x14ac:dyDescent="0.25">
      <c r="A93" t="s">
        <v>1204</v>
      </c>
      <c r="B93">
        <v>9001060800</v>
      </c>
      <c r="C93" t="s">
        <v>1205</v>
      </c>
      <c r="D93">
        <v>171250</v>
      </c>
      <c r="E93">
        <v>2.73</v>
      </c>
      <c r="F93">
        <v>103645.215</v>
      </c>
      <c r="G93">
        <v>103.645</v>
      </c>
      <c r="H93">
        <v>0.95199999999999996</v>
      </c>
      <c r="I93">
        <v>5</v>
      </c>
      <c r="J93">
        <v>3043</v>
      </c>
      <c r="K93">
        <v>0.35231727800000001</v>
      </c>
      <c r="L93">
        <v>0.49199999999999999</v>
      </c>
      <c r="M93">
        <v>3</v>
      </c>
      <c r="N93">
        <v>4.3999999999999997E-2</v>
      </c>
      <c r="O93">
        <v>1</v>
      </c>
      <c r="P93">
        <v>1</v>
      </c>
      <c r="S93" s="164" t="s">
        <v>944</v>
      </c>
    </row>
    <row r="94" spans="1:19" x14ac:dyDescent="0.25">
      <c r="A94" t="s">
        <v>1206</v>
      </c>
      <c r="B94">
        <v>9001060900</v>
      </c>
      <c r="C94" t="s">
        <v>1207</v>
      </c>
      <c r="D94">
        <v>140278</v>
      </c>
      <c r="E94">
        <v>2.88</v>
      </c>
      <c r="F94">
        <v>82659.604210000005</v>
      </c>
      <c r="G94">
        <v>82.66</v>
      </c>
      <c r="H94">
        <v>0.89600000000000002</v>
      </c>
      <c r="I94">
        <v>5</v>
      </c>
      <c r="J94">
        <v>2698</v>
      </c>
      <c r="K94">
        <v>0.39167862399999998</v>
      </c>
      <c r="L94">
        <v>0.66700000000000004</v>
      </c>
      <c r="M94">
        <v>4</v>
      </c>
      <c r="N94">
        <v>5.8999999999999997E-2</v>
      </c>
      <c r="O94">
        <v>1</v>
      </c>
      <c r="P94">
        <v>1</v>
      </c>
      <c r="S94" s="166" t="s">
        <v>944</v>
      </c>
    </row>
    <row r="95" spans="1:19" x14ac:dyDescent="0.25">
      <c r="A95" t="s">
        <v>1208</v>
      </c>
      <c r="B95">
        <v>9001061000</v>
      </c>
      <c r="C95" t="s">
        <v>1209</v>
      </c>
      <c r="D95">
        <v>78844</v>
      </c>
      <c r="E95">
        <v>2.54</v>
      </c>
      <c r="F95">
        <v>49471.125500000002</v>
      </c>
      <c r="G95">
        <v>49.470999999999997</v>
      </c>
      <c r="H95">
        <v>0.46100000000000002</v>
      </c>
      <c r="I95">
        <v>3</v>
      </c>
      <c r="J95">
        <v>1741</v>
      </c>
      <c r="K95">
        <v>0.42230694800000002</v>
      </c>
      <c r="L95">
        <v>0.73399999999999999</v>
      </c>
      <c r="M95">
        <v>4</v>
      </c>
      <c r="N95">
        <v>0.28799999999999998</v>
      </c>
      <c r="O95">
        <v>2</v>
      </c>
      <c r="P95">
        <v>3</v>
      </c>
      <c r="S95" s="164" t="s">
        <v>944</v>
      </c>
    </row>
    <row r="96" spans="1:19" x14ac:dyDescent="0.25">
      <c r="A96" t="s">
        <v>1210</v>
      </c>
      <c r="B96">
        <v>9001061100</v>
      </c>
      <c r="C96" t="s">
        <v>1211</v>
      </c>
      <c r="D96">
        <v>163438</v>
      </c>
      <c r="E96">
        <v>2.99</v>
      </c>
      <c r="F96">
        <v>94518.635850000006</v>
      </c>
      <c r="G96">
        <v>94.519000000000005</v>
      </c>
      <c r="H96">
        <v>0.93400000000000005</v>
      </c>
      <c r="I96">
        <v>5</v>
      </c>
      <c r="J96">
        <v>2692</v>
      </c>
      <c r="K96">
        <v>0.34177386999999998</v>
      </c>
      <c r="L96">
        <v>0.42899999999999999</v>
      </c>
      <c r="M96">
        <v>3</v>
      </c>
      <c r="N96">
        <v>0.06</v>
      </c>
      <c r="O96">
        <v>1</v>
      </c>
      <c r="P96">
        <v>1</v>
      </c>
      <c r="S96" s="166" t="s">
        <v>944</v>
      </c>
    </row>
    <row r="97" spans="1:19" x14ac:dyDescent="0.25">
      <c r="A97" t="s">
        <v>1212</v>
      </c>
      <c r="B97">
        <v>9001061200</v>
      </c>
      <c r="C97" t="s">
        <v>1213</v>
      </c>
      <c r="D97">
        <v>81667</v>
      </c>
      <c r="E97">
        <v>2.88</v>
      </c>
      <c r="F97">
        <v>48122.741249999999</v>
      </c>
      <c r="G97">
        <v>48.122999999999998</v>
      </c>
      <c r="H97">
        <v>0.433</v>
      </c>
      <c r="I97">
        <v>3</v>
      </c>
      <c r="J97">
        <v>1853</v>
      </c>
      <c r="K97">
        <v>0.46206844000000002</v>
      </c>
      <c r="L97">
        <v>0.80100000000000005</v>
      </c>
      <c r="M97">
        <v>5</v>
      </c>
      <c r="N97">
        <v>0.23</v>
      </c>
      <c r="O97">
        <v>2</v>
      </c>
      <c r="P97">
        <v>3</v>
      </c>
      <c r="S97" s="164" t="s">
        <v>944</v>
      </c>
    </row>
    <row r="98" spans="1:19" x14ac:dyDescent="0.25">
      <c r="A98" t="s">
        <v>1214</v>
      </c>
      <c r="B98">
        <v>9001061300</v>
      </c>
      <c r="C98" t="s">
        <v>1215</v>
      </c>
      <c r="D98">
        <v>90913</v>
      </c>
      <c r="E98">
        <v>2.74</v>
      </c>
      <c r="F98">
        <v>54922.551870000003</v>
      </c>
      <c r="G98">
        <v>54.923000000000002</v>
      </c>
      <c r="H98">
        <v>0.55700000000000005</v>
      </c>
      <c r="I98">
        <v>3</v>
      </c>
      <c r="J98">
        <v>1857</v>
      </c>
      <c r="K98">
        <v>0.405734971</v>
      </c>
      <c r="L98">
        <v>0.69199999999999995</v>
      </c>
      <c r="M98">
        <v>4</v>
      </c>
      <c r="N98">
        <v>0.22900000000000001</v>
      </c>
      <c r="O98">
        <v>2</v>
      </c>
      <c r="P98">
        <v>3</v>
      </c>
      <c r="S98" s="166" t="s">
        <v>944</v>
      </c>
    </row>
    <row r="99" spans="1:19" x14ac:dyDescent="0.25">
      <c r="A99" t="s">
        <v>1216</v>
      </c>
      <c r="B99">
        <v>9001061400</v>
      </c>
      <c r="C99" t="s">
        <v>1217</v>
      </c>
      <c r="D99">
        <v>91467</v>
      </c>
      <c r="E99">
        <v>2.6</v>
      </c>
      <c r="F99">
        <v>56725.425340000002</v>
      </c>
      <c r="G99">
        <v>56.725000000000001</v>
      </c>
      <c r="H99">
        <v>0.59399999999999997</v>
      </c>
      <c r="I99">
        <v>3</v>
      </c>
      <c r="J99">
        <v>1873</v>
      </c>
      <c r="K99">
        <v>0.39622444200000001</v>
      </c>
      <c r="L99">
        <v>0.67700000000000005</v>
      </c>
      <c r="M99">
        <v>4</v>
      </c>
      <c r="N99">
        <v>0.219</v>
      </c>
      <c r="O99">
        <v>2</v>
      </c>
      <c r="P99">
        <v>3</v>
      </c>
      <c r="S99" s="164" t="s">
        <v>944</v>
      </c>
    </row>
    <row r="100" spans="1:19" x14ac:dyDescent="0.25">
      <c r="A100" t="s">
        <v>1218</v>
      </c>
      <c r="B100">
        <v>9001061500</v>
      </c>
      <c r="C100" t="s">
        <v>1219</v>
      </c>
      <c r="D100">
        <v>148804</v>
      </c>
      <c r="E100">
        <v>2.76</v>
      </c>
      <c r="F100">
        <v>89569.482409999997</v>
      </c>
      <c r="G100">
        <v>89.569000000000003</v>
      </c>
      <c r="H100">
        <v>0.92300000000000004</v>
      </c>
      <c r="I100">
        <v>5</v>
      </c>
      <c r="J100">
        <v>2670</v>
      </c>
      <c r="K100">
        <v>0.35771112100000002</v>
      </c>
      <c r="L100">
        <v>0.52</v>
      </c>
      <c r="M100">
        <v>3</v>
      </c>
      <c r="N100">
        <v>6.3E-2</v>
      </c>
      <c r="O100">
        <v>1</v>
      </c>
      <c r="P100">
        <v>1</v>
      </c>
      <c r="S100" s="166" t="s">
        <v>944</v>
      </c>
    </row>
    <row r="101" spans="1:19" x14ac:dyDescent="0.25">
      <c r="A101" t="s">
        <v>1220</v>
      </c>
      <c r="B101">
        <v>9001061600</v>
      </c>
      <c r="C101" t="s">
        <v>1221</v>
      </c>
      <c r="D101">
        <v>129250</v>
      </c>
      <c r="E101">
        <v>2.57</v>
      </c>
      <c r="F101">
        <v>80623.934859999994</v>
      </c>
      <c r="G101">
        <v>80.623999999999995</v>
      </c>
      <c r="H101">
        <v>0.88300000000000001</v>
      </c>
      <c r="I101">
        <v>5</v>
      </c>
      <c r="J101">
        <v>2370</v>
      </c>
      <c r="K101">
        <v>0.352748846</v>
      </c>
      <c r="L101">
        <v>0.495</v>
      </c>
      <c r="M101">
        <v>3</v>
      </c>
      <c r="N101">
        <v>9.4E-2</v>
      </c>
      <c r="O101">
        <v>1</v>
      </c>
      <c r="P101">
        <v>1</v>
      </c>
      <c r="S101" s="164" t="s">
        <v>944</v>
      </c>
    </row>
    <row r="102" spans="1:19" x14ac:dyDescent="0.25">
      <c r="A102" t="s">
        <v>1222</v>
      </c>
      <c r="B102">
        <v>9001070100</v>
      </c>
      <c r="C102" t="s">
        <v>1223</v>
      </c>
      <c r="D102">
        <v>88021</v>
      </c>
      <c r="E102">
        <v>2.16</v>
      </c>
      <c r="F102">
        <v>59890.704619999997</v>
      </c>
      <c r="G102">
        <v>59.890999999999998</v>
      </c>
      <c r="H102">
        <v>0.65100000000000002</v>
      </c>
      <c r="I102">
        <v>4</v>
      </c>
      <c r="J102">
        <v>1489</v>
      </c>
      <c r="K102">
        <v>0.29834345899999998</v>
      </c>
      <c r="L102">
        <v>0.16</v>
      </c>
      <c r="M102">
        <v>1</v>
      </c>
      <c r="N102">
        <v>0.49</v>
      </c>
      <c r="O102">
        <v>3</v>
      </c>
      <c r="P102">
        <v>3</v>
      </c>
      <c r="S102" s="166" t="s">
        <v>944</v>
      </c>
    </row>
    <row r="103" spans="1:19" x14ac:dyDescent="0.25">
      <c r="A103" t="s">
        <v>1224</v>
      </c>
      <c r="B103">
        <v>9001070200</v>
      </c>
      <c r="C103" t="s">
        <v>1225</v>
      </c>
      <c r="D103">
        <v>42688</v>
      </c>
      <c r="E103">
        <v>2.37</v>
      </c>
      <c r="F103">
        <v>27728.835729999999</v>
      </c>
      <c r="G103">
        <v>27.728999999999999</v>
      </c>
      <c r="H103">
        <v>0.13900000000000001</v>
      </c>
      <c r="I103">
        <v>1</v>
      </c>
      <c r="J103">
        <v>1292</v>
      </c>
      <c r="K103">
        <v>0.559129137</v>
      </c>
      <c r="L103">
        <v>0.89700000000000002</v>
      </c>
      <c r="M103">
        <v>5</v>
      </c>
      <c r="N103">
        <v>0.66200000000000003</v>
      </c>
      <c r="O103">
        <v>4</v>
      </c>
      <c r="P103">
        <v>5</v>
      </c>
      <c r="S103" s="164" t="s">
        <v>936</v>
      </c>
    </row>
    <row r="104" spans="1:19" x14ac:dyDescent="0.25">
      <c r="A104" t="s">
        <v>1226</v>
      </c>
      <c r="B104">
        <v>9001070300</v>
      </c>
      <c r="C104" t="s">
        <v>1227</v>
      </c>
      <c r="D104">
        <v>9958</v>
      </c>
      <c r="E104">
        <v>3.24</v>
      </c>
      <c r="F104">
        <v>5532.2222220000003</v>
      </c>
      <c r="G104">
        <v>5.532</v>
      </c>
      <c r="H104">
        <v>1E-3</v>
      </c>
      <c r="I104">
        <v>1</v>
      </c>
      <c r="J104">
        <v>433</v>
      </c>
      <c r="K104">
        <v>0.939224744</v>
      </c>
      <c r="L104">
        <v>0.99299999999999999</v>
      </c>
      <c r="M104">
        <v>5</v>
      </c>
      <c r="N104">
        <v>1</v>
      </c>
      <c r="O104">
        <v>5</v>
      </c>
      <c r="P104">
        <v>5</v>
      </c>
      <c r="S104" s="166" t="s">
        <v>936</v>
      </c>
    </row>
    <row r="105" spans="1:19" x14ac:dyDescent="0.25">
      <c r="A105" t="s">
        <v>1228</v>
      </c>
      <c r="B105">
        <v>9001070400</v>
      </c>
      <c r="C105" t="s">
        <v>1229</v>
      </c>
      <c r="D105">
        <v>35313</v>
      </c>
      <c r="E105">
        <v>1.86</v>
      </c>
      <c r="F105">
        <v>25892.747859999999</v>
      </c>
      <c r="G105">
        <v>25.893000000000001</v>
      </c>
      <c r="H105">
        <v>0.122</v>
      </c>
      <c r="I105">
        <v>1</v>
      </c>
      <c r="J105">
        <v>912</v>
      </c>
      <c r="K105">
        <v>0.42266661100000003</v>
      </c>
      <c r="L105">
        <v>0.73799999999999999</v>
      </c>
      <c r="M105">
        <v>4</v>
      </c>
      <c r="N105">
        <v>0.96899999999999997</v>
      </c>
      <c r="O105">
        <v>5</v>
      </c>
      <c r="P105">
        <v>5</v>
      </c>
      <c r="S105" s="164" t="s">
        <v>936</v>
      </c>
    </row>
    <row r="106" spans="1:19" x14ac:dyDescent="0.25">
      <c r="A106" t="s">
        <v>1230</v>
      </c>
      <c r="B106">
        <v>9001070500</v>
      </c>
      <c r="C106" t="s">
        <v>1231</v>
      </c>
      <c r="D106">
        <v>24342</v>
      </c>
      <c r="E106">
        <v>2.52</v>
      </c>
      <c r="F106">
        <v>15334.018669999999</v>
      </c>
      <c r="G106">
        <v>15.334</v>
      </c>
      <c r="H106">
        <v>0.02</v>
      </c>
      <c r="I106">
        <v>1</v>
      </c>
      <c r="J106">
        <v>1275</v>
      </c>
      <c r="K106">
        <v>0.99778149000000005</v>
      </c>
      <c r="L106">
        <v>0.996</v>
      </c>
      <c r="M106">
        <v>5</v>
      </c>
      <c r="N106">
        <v>0.68100000000000005</v>
      </c>
      <c r="O106">
        <v>4</v>
      </c>
      <c r="P106">
        <v>5</v>
      </c>
      <c r="S106" s="166" t="s">
        <v>936</v>
      </c>
    </row>
    <row r="107" spans="1:19" x14ac:dyDescent="0.25">
      <c r="A107" t="s">
        <v>1232</v>
      </c>
      <c r="B107">
        <v>9001070600</v>
      </c>
      <c r="C107" t="s">
        <v>1233</v>
      </c>
      <c r="D107">
        <v>23598</v>
      </c>
      <c r="E107">
        <v>1.57</v>
      </c>
      <c r="F107">
        <v>18833.254300000001</v>
      </c>
      <c r="G107">
        <v>18.832999999999998</v>
      </c>
      <c r="H107">
        <v>4.8000000000000001E-2</v>
      </c>
      <c r="I107">
        <v>1</v>
      </c>
      <c r="J107">
        <v>974</v>
      </c>
      <c r="K107">
        <v>0.62060437400000001</v>
      </c>
      <c r="L107">
        <v>0.93300000000000005</v>
      </c>
      <c r="M107">
        <v>5</v>
      </c>
      <c r="N107">
        <v>0.95199999999999996</v>
      </c>
      <c r="O107">
        <v>5</v>
      </c>
      <c r="P107">
        <v>5</v>
      </c>
      <c r="S107" s="164" t="s">
        <v>936</v>
      </c>
    </row>
    <row r="108" spans="1:19" x14ac:dyDescent="0.25">
      <c r="A108" t="s">
        <v>1234</v>
      </c>
      <c r="B108">
        <v>9001070900</v>
      </c>
      <c r="C108" t="s">
        <v>1235</v>
      </c>
      <c r="D108">
        <v>35492</v>
      </c>
      <c r="E108">
        <v>3.1</v>
      </c>
      <c r="F108">
        <v>20158.101419999999</v>
      </c>
      <c r="G108">
        <v>20.158000000000001</v>
      </c>
      <c r="H108">
        <v>0.06</v>
      </c>
      <c r="I108">
        <v>1</v>
      </c>
      <c r="J108">
        <v>1228</v>
      </c>
      <c r="K108">
        <v>0.731021225</v>
      </c>
      <c r="L108">
        <v>0.97199999999999998</v>
      </c>
      <c r="M108">
        <v>5</v>
      </c>
      <c r="N108">
        <v>0.73899999999999999</v>
      </c>
      <c r="O108">
        <v>4</v>
      </c>
      <c r="P108">
        <v>5</v>
      </c>
      <c r="S108" s="166" t="s">
        <v>936</v>
      </c>
    </row>
    <row r="109" spans="1:19" x14ac:dyDescent="0.25">
      <c r="A109" t="s">
        <v>1236</v>
      </c>
      <c r="B109">
        <v>9001071000</v>
      </c>
      <c r="C109" t="s">
        <v>1237</v>
      </c>
      <c r="D109">
        <v>48148</v>
      </c>
      <c r="E109">
        <v>3.13</v>
      </c>
      <c r="F109">
        <v>27214.858660000002</v>
      </c>
      <c r="G109">
        <v>27.215</v>
      </c>
      <c r="H109">
        <v>0.13700000000000001</v>
      </c>
      <c r="I109">
        <v>1</v>
      </c>
      <c r="J109">
        <v>1323</v>
      </c>
      <c r="K109">
        <v>0.58335779700000001</v>
      </c>
      <c r="L109">
        <v>0.91200000000000003</v>
      </c>
      <c r="M109">
        <v>5</v>
      </c>
      <c r="N109">
        <v>0.63200000000000001</v>
      </c>
      <c r="O109">
        <v>4</v>
      </c>
      <c r="P109">
        <v>5</v>
      </c>
      <c r="S109" s="164" t="s">
        <v>944</v>
      </c>
    </row>
    <row r="110" spans="1:19" x14ac:dyDescent="0.25">
      <c r="A110" t="s">
        <v>1238</v>
      </c>
      <c r="B110">
        <v>9001071100</v>
      </c>
      <c r="C110" t="s">
        <v>1239</v>
      </c>
      <c r="D110">
        <v>48500</v>
      </c>
      <c r="E110">
        <v>3.58</v>
      </c>
      <c r="F110">
        <v>25633.0465</v>
      </c>
      <c r="G110">
        <v>25.632999999999999</v>
      </c>
      <c r="H110">
        <v>0.12</v>
      </c>
      <c r="I110">
        <v>1</v>
      </c>
      <c r="J110">
        <v>1271</v>
      </c>
      <c r="K110">
        <v>0.59501316000000004</v>
      </c>
      <c r="L110">
        <v>0.91700000000000004</v>
      </c>
      <c r="M110">
        <v>5</v>
      </c>
      <c r="N110">
        <v>0.68400000000000005</v>
      </c>
      <c r="O110">
        <v>4</v>
      </c>
      <c r="P110">
        <v>5</v>
      </c>
      <c r="S110" s="166" t="s">
        <v>944</v>
      </c>
    </row>
    <row r="111" spans="1:19" x14ac:dyDescent="0.25">
      <c r="A111" t="s">
        <v>1240</v>
      </c>
      <c r="B111">
        <v>9001071200</v>
      </c>
      <c r="C111" t="s">
        <v>1241</v>
      </c>
      <c r="D111">
        <v>24271</v>
      </c>
      <c r="E111">
        <v>3.01</v>
      </c>
      <c r="F111">
        <v>13989.571830000001</v>
      </c>
      <c r="G111">
        <v>13.99</v>
      </c>
      <c r="H111">
        <v>1.2999999999999999E-2</v>
      </c>
      <c r="I111">
        <v>1</v>
      </c>
      <c r="J111">
        <v>1107</v>
      </c>
      <c r="K111">
        <v>0.94956444399999995</v>
      </c>
      <c r="L111">
        <v>0.995</v>
      </c>
      <c r="M111">
        <v>5</v>
      </c>
      <c r="N111">
        <v>0.86899999999999999</v>
      </c>
      <c r="O111">
        <v>5</v>
      </c>
      <c r="P111">
        <v>5</v>
      </c>
      <c r="S111" s="164" t="s">
        <v>936</v>
      </c>
    </row>
    <row r="112" spans="1:19" x14ac:dyDescent="0.25">
      <c r="A112" t="s">
        <v>1242</v>
      </c>
      <c r="B112">
        <v>9001071300</v>
      </c>
      <c r="C112" t="s">
        <v>1243</v>
      </c>
      <c r="D112">
        <v>27072</v>
      </c>
      <c r="E112">
        <v>2.39</v>
      </c>
      <c r="F112">
        <v>17511.42107</v>
      </c>
      <c r="G112">
        <v>17.510999999999999</v>
      </c>
      <c r="H112">
        <v>3.7999999999999999E-2</v>
      </c>
      <c r="I112">
        <v>1</v>
      </c>
      <c r="J112">
        <v>1078</v>
      </c>
      <c r="K112">
        <v>0.73871788900000002</v>
      </c>
      <c r="L112">
        <v>0.97399999999999998</v>
      </c>
      <c r="M112">
        <v>5</v>
      </c>
      <c r="N112">
        <v>0.89</v>
      </c>
      <c r="O112">
        <v>5</v>
      </c>
      <c r="P112">
        <v>5</v>
      </c>
      <c r="S112" s="166" t="s">
        <v>936</v>
      </c>
    </row>
    <row r="113" spans="1:19" x14ac:dyDescent="0.25">
      <c r="A113" t="s">
        <v>1244</v>
      </c>
      <c r="B113">
        <v>9001071400</v>
      </c>
      <c r="C113" t="s">
        <v>1245</v>
      </c>
      <c r="D113">
        <v>40245</v>
      </c>
      <c r="E113">
        <v>3.16</v>
      </c>
      <c r="F113">
        <v>22639.581289999998</v>
      </c>
      <c r="G113">
        <v>22.64</v>
      </c>
      <c r="H113">
        <v>8.8999999999999996E-2</v>
      </c>
      <c r="I113">
        <v>1</v>
      </c>
      <c r="J113">
        <v>1131</v>
      </c>
      <c r="K113">
        <v>0.59948105200000001</v>
      </c>
      <c r="L113">
        <v>0.92300000000000004</v>
      </c>
      <c r="M113">
        <v>5</v>
      </c>
      <c r="N113">
        <v>0.83499999999999996</v>
      </c>
      <c r="O113">
        <v>5</v>
      </c>
      <c r="P113">
        <v>5</v>
      </c>
      <c r="S113" s="164" t="s">
        <v>936</v>
      </c>
    </row>
    <row r="114" spans="1:19" x14ac:dyDescent="0.25">
      <c r="A114" t="s">
        <v>1246</v>
      </c>
      <c r="B114">
        <v>9001071600</v>
      </c>
      <c r="C114" t="s">
        <v>1247</v>
      </c>
      <c r="D114">
        <v>21895</v>
      </c>
      <c r="E114">
        <v>3.46</v>
      </c>
      <c r="F114">
        <v>11770.824919999999</v>
      </c>
      <c r="G114">
        <v>11.771000000000001</v>
      </c>
      <c r="H114">
        <v>3.0000000000000001E-3</v>
      </c>
      <c r="I114">
        <v>1</v>
      </c>
      <c r="J114">
        <v>1032</v>
      </c>
      <c r="K114">
        <v>1.0520927870000001</v>
      </c>
      <c r="L114">
        <v>0.998</v>
      </c>
      <c r="M114">
        <v>5</v>
      </c>
      <c r="N114">
        <v>0.92100000000000004</v>
      </c>
      <c r="O114">
        <v>5</v>
      </c>
      <c r="P114">
        <v>5</v>
      </c>
      <c r="S114" s="166" t="s">
        <v>936</v>
      </c>
    </row>
    <row r="115" spans="1:19" x14ac:dyDescent="0.25">
      <c r="A115" t="s">
        <v>1248</v>
      </c>
      <c r="B115">
        <v>9001071900</v>
      </c>
      <c r="C115" t="s">
        <v>1249</v>
      </c>
      <c r="D115">
        <v>42969</v>
      </c>
      <c r="E115">
        <v>2.7</v>
      </c>
      <c r="F115">
        <v>26150.100640000001</v>
      </c>
      <c r="G115">
        <v>26.15</v>
      </c>
      <c r="H115">
        <v>0.125</v>
      </c>
      <c r="I115">
        <v>1</v>
      </c>
      <c r="J115">
        <v>1287</v>
      </c>
      <c r="K115">
        <v>0.59059046100000001</v>
      </c>
      <c r="L115">
        <v>0.91400000000000003</v>
      </c>
      <c r="M115">
        <v>5</v>
      </c>
      <c r="N115">
        <v>0.66600000000000004</v>
      </c>
      <c r="O115">
        <v>4</v>
      </c>
      <c r="P115">
        <v>5</v>
      </c>
      <c r="S115" s="164" t="s">
        <v>936</v>
      </c>
    </row>
    <row r="116" spans="1:19" x14ac:dyDescent="0.25">
      <c r="A116" t="s">
        <v>1250</v>
      </c>
      <c r="B116">
        <v>9001072000</v>
      </c>
      <c r="C116" t="s">
        <v>1251</v>
      </c>
      <c r="D116">
        <v>52909</v>
      </c>
      <c r="E116">
        <v>2.89</v>
      </c>
      <c r="F116">
        <v>31122.941180000002</v>
      </c>
      <c r="G116">
        <v>31.123000000000001</v>
      </c>
      <c r="H116">
        <v>0.189</v>
      </c>
      <c r="I116">
        <v>1</v>
      </c>
      <c r="J116">
        <v>1386</v>
      </c>
      <c r="K116">
        <v>0.53439679399999995</v>
      </c>
      <c r="L116">
        <v>0.875</v>
      </c>
      <c r="M116">
        <v>5</v>
      </c>
      <c r="N116">
        <v>0.57499999999999996</v>
      </c>
      <c r="O116">
        <v>3</v>
      </c>
      <c r="P116">
        <v>4</v>
      </c>
      <c r="S116" s="166" t="s">
        <v>944</v>
      </c>
    </row>
    <row r="117" spans="1:19" x14ac:dyDescent="0.25">
      <c r="A117" t="s">
        <v>1252</v>
      </c>
      <c r="B117">
        <v>9001072100</v>
      </c>
      <c r="C117" t="s">
        <v>1253</v>
      </c>
      <c r="D117">
        <v>56009</v>
      </c>
      <c r="E117">
        <v>2.2400000000000002</v>
      </c>
      <c r="F117">
        <v>37422.587249999997</v>
      </c>
      <c r="G117">
        <v>37.423000000000002</v>
      </c>
      <c r="H117">
        <v>0.26300000000000001</v>
      </c>
      <c r="I117">
        <v>2</v>
      </c>
      <c r="J117">
        <v>1463</v>
      </c>
      <c r="K117">
        <v>0.46912844100000001</v>
      </c>
      <c r="L117">
        <v>0.81200000000000006</v>
      </c>
      <c r="M117">
        <v>5</v>
      </c>
      <c r="N117">
        <v>0.51</v>
      </c>
      <c r="O117">
        <v>3</v>
      </c>
      <c r="P117">
        <v>4</v>
      </c>
      <c r="S117" s="164" t="s">
        <v>944</v>
      </c>
    </row>
    <row r="118" spans="1:19" x14ac:dyDescent="0.25">
      <c r="A118" t="s">
        <v>1254</v>
      </c>
      <c r="B118">
        <v>9001072200</v>
      </c>
      <c r="C118" t="s">
        <v>1255</v>
      </c>
      <c r="D118">
        <v>49402</v>
      </c>
      <c r="E118">
        <v>2.4900000000000002</v>
      </c>
      <c r="F118">
        <v>31307.245419999999</v>
      </c>
      <c r="G118">
        <v>31.306999999999999</v>
      </c>
      <c r="H118">
        <v>0.193</v>
      </c>
      <c r="I118">
        <v>1</v>
      </c>
      <c r="J118">
        <v>1641</v>
      </c>
      <c r="K118">
        <v>0.62899177900000003</v>
      </c>
      <c r="L118">
        <v>0.93600000000000005</v>
      </c>
      <c r="M118">
        <v>5</v>
      </c>
      <c r="N118">
        <v>0.35599999999999998</v>
      </c>
      <c r="O118">
        <v>2</v>
      </c>
      <c r="P118">
        <v>4</v>
      </c>
      <c r="S118" s="166" t="s">
        <v>944</v>
      </c>
    </row>
    <row r="119" spans="1:19" x14ac:dyDescent="0.25">
      <c r="A119" t="s">
        <v>1256</v>
      </c>
      <c r="B119">
        <v>9001072300</v>
      </c>
      <c r="C119" t="s">
        <v>1257</v>
      </c>
      <c r="D119">
        <v>64662</v>
      </c>
      <c r="E119">
        <v>3.17</v>
      </c>
      <c r="F119">
        <v>36317.797449999998</v>
      </c>
      <c r="G119">
        <v>36.317999999999998</v>
      </c>
      <c r="H119">
        <v>0.253</v>
      </c>
      <c r="I119">
        <v>2</v>
      </c>
      <c r="J119">
        <v>1594</v>
      </c>
      <c r="K119">
        <v>0.52668392200000003</v>
      </c>
      <c r="L119">
        <v>0.872</v>
      </c>
      <c r="M119">
        <v>5</v>
      </c>
      <c r="N119">
        <v>0.38700000000000001</v>
      </c>
      <c r="O119">
        <v>2</v>
      </c>
      <c r="P119">
        <v>3</v>
      </c>
      <c r="S119" s="164" t="s">
        <v>944</v>
      </c>
    </row>
    <row r="120" spans="1:19" x14ac:dyDescent="0.25">
      <c r="A120" t="s">
        <v>1258</v>
      </c>
      <c r="B120">
        <v>9001072400</v>
      </c>
      <c r="C120" t="s">
        <v>1259</v>
      </c>
      <c r="D120">
        <v>59014</v>
      </c>
      <c r="E120">
        <v>3.24</v>
      </c>
      <c r="F120">
        <v>32785.555560000001</v>
      </c>
      <c r="G120">
        <v>32.786000000000001</v>
      </c>
      <c r="H120">
        <v>0.21</v>
      </c>
      <c r="I120">
        <v>2</v>
      </c>
      <c r="J120">
        <v>1532</v>
      </c>
      <c r="K120">
        <v>0.56073474099999998</v>
      </c>
      <c r="L120">
        <v>0.89900000000000002</v>
      </c>
      <c r="M120">
        <v>5</v>
      </c>
      <c r="N120">
        <v>0.441</v>
      </c>
      <c r="O120">
        <v>3</v>
      </c>
      <c r="P120">
        <v>4</v>
      </c>
      <c r="S120" s="166" t="s">
        <v>944</v>
      </c>
    </row>
    <row r="121" spans="1:19" x14ac:dyDescent="0.25">
      <c r="A121" t="s">
        <v>1260</v>
      </c>
      <c r="B121">
        <v>9001072500</v>
      </c>
      <c r="C121" t="s">
        <v>1261</v>
      </c>
      <c r="D121">
        <v>65113</v>
      </c>
      <c r="E121">
        <v>2.83</v>
      </c>
      <c r="F121">
        <v>38705.660920000002</v>
      </c>
      <c r="G121">
        <v>38.706000000000003</v>
      </c>
      <c r="H121">
        <v>0.27300000000000002</v>
      </c>
      <c r="I121">
        <v>2</v>
      </c>
      <c r="J121">
        <v>1492</v>
      </c>
      <c r="K121">
        <v>0.46256799599999998</v>
      </c>
      <c r="L121">
        <v>0.80400000000000005</v>
      </c>
      <c r="M121">
        <v>5</v>
      </c>
      <c r="N121">
        <v>0.48599999999999999</v>
      </c>
      <c r="O121">
        <v>3</v>
      </c>
      <c r="P121">
        <v>4</v>
      </c>
      <c r="S121" s="164" t="s">
        <v>944</v>
      </c>
    </row>
    <row r="122" spans="1:19" x14ac:dyDescent="0.25">
      <c r="A122" t="s">
        <v>1262</v>
      </c>
      <c r="B122">
        <v>9001072600</v>
      </c>
      <c r="C122" t="s">
        <v>1263</v>
      </c>
      <c r="D122">
        <v>63141</v>
      </c>
      <c r="E122">
        <v>2.39</v>
      </c>
      <c r="F122">
        <v>40842.517639999998</v>
      </c>
      <c r="G122">
        <v>40.843000000000004</v>
      </c>
      <c r="H122">
        <v>0.30399999999999999</v>
      </c>
      <c r="I122">
        <v>2</v>
      </c>
      <c r="J122">
        <v>1526</v>
      </c>
      <c r="K122">
        <v>0.44835629799999999</v>
      </c>
      <c r="L122">
        <v>0.78200000000000003</v>
      </c>
      <c r="M122">
        <v>4</v>
      </c>
      <c r="N122">
        <v>0.44700000000000001</v>
      </c>
      <c r="O122">
        <v>3</v>
      </c>
      <c r="P122">
        <v>4</v>
      </c>
      <c r="S122" s="166" t="s">
        <v>944</v>
      </c>
    </row>
    <row r="123" spans="1:19" x14ac:dyDescent="0.25">
      <c r="A123" t="s">
        <v>1264</v>
      </c>
      <c r="B123">
        <v>9001072700</v>
      </c>
      <c r="C123" t="s">
        <v>1265</v>
      </c>
      <c r="D123">
        <v>75799</v>
      </c>
      <c r="E123">
        <v>3.16</v>
      </c>
      <c r="F123">
        <v>42640.268900000003</v>
      </c>
      <c r="G123">
        <v>42.64</v>
      </c>
      <c r="H123">
        <v>0.33400000000000002</v>
      </c>
      <c r="I123">
        <v>2</v>
      </c>
      <c r="J123">
        <v>1914</v>
      </c>
      <c r="K123">
        <v>0.538645759</v>
      </c>
      <c r="L123">
        <v>0.879</v>
      </c>
      <c r="M123">
        <v>5</v>
      </c>
      <c r="N123">
        <v>0.20399999999999999</v>
      </c>
      <c r="O123">
        <v>2</v>
      </c>
      <c r="P123">
        <v>3</v>
      </c>
      <c r="S123" s="164" t="s">
        <v>944</v>
      </c>
    </row>
    <row r="124" spans="1:19" x14ac:dyDescent="0.25">
      <c r="A124" t="s">
        <v>1266</v>
      </c>
      <c r="B124">
        <v>9001072800</v>
      </c>
      <c r="C124" t="s">
        <v>1267</v>
      </c>
      <c r="D124">
        <v>52607</v>
      </c>
      <c r="E124">
        <v>3.26</v>
      </c>
      <c r="F124">
        <v>29136.322540000001</v>
      </c>
      <c r="G124">
        <v>29.135999999999999</v>
      </c>
      <c r="H124">
        <v>0.155</v>
      </c>
      <c r="I124">
        <v>1</v>
      </c>
      <c r="J124">
        <v>1137</v>
      </c>
      <c r="K124">
        <v>0.46828147199999998</v>
      </c>
      <c r="L124">
        <v>0.81</v>
      </c>
      <c r="M124">
        <v>5</v>
      </c>
      <c r="N124">
        <v>0.82899999999999996</v>
      </c>
      <c r="O124">
        <v>5</v>
      </c>
      <c r="P124">
        <v>5</v>
      </c>
      <c r="S124" s="166" t="s">
        <v>944</v>
      </c>
    </row>
    <row r="125" spans="1:19" x14ac:dyDescent="0.25">
      <c r="A125" t="s">
        <v>1268</v>
      </c>
      <c r="B125">
        <v>9001072900</v>
      </c>
      <c r="C125" t="s">
        <v>1269</v>
      </c>
      <c r="D125">
        <v>63618</v>
      </c>
      <c r="E125">
        <v>3.23</v>
      </c>
      <c r="F125">
        <v>35398.002099999998</v>
      </c>
      <c r="G125">
        <v>35.398000000000003</v>
      </c>
      <c r="H125">
        <v>0.23899999999999999</v>
      </c>
      <c r="I125">
        <v>2</v>
      </c>
      <c r="J125">
        <v>1641</v>
      </c>
      <c r="K125">
        <v>0.55630258300000002</v>
      </c>
      <c r="L125">
        <v>0.89200000000000002</v>
      </c>
      <c r="M125">
        <v>5</v>
      </c>
      <c r="N125">
        <v>0.35599999999999998</v>
      </c>
      <c r="O125">
        <v>2</v>
      </c>
      <c r="P125">
        <v>3</v>
      </c>
      <c r="S125" s="164" t="s">
        <v>944</v>
      </c>
    </row>
    <row r="126" spans="1:19" x14ac:dyDescent="0.25">
      <c r="A126" t="s">
        <v>1270</v>
      </c>
      <c r="B126">
        <v>9001073000</v>
      </c>
      <c r="C126" t="s">
        <v>1271</v>
      </c>
      <c r="D126">
        <v>91500</v>
      </c>
      <c r="E126">
        <v>3.57</v>
      </c>
      <c r="F126">
        <v>48426.93535</v>
      </c>
      <c r="G126">
        <v>48.427</v>
      </c>
      <c r="H126">
        <v>0.438</v>
      </c>
      <c r="I126">
        <v>3</v>
      </c>
      <c r="J126">
        <v>1696</v>
      </c>
      <c r="K126">
        <v>0.420261985</v>
      </c>
      <c r="L126">
        <v>0.72599999999999998</v>
      </c>
      <c r="M126">
        <v>4</v>
      </c>
      <c r="N126">
        <v>0.313</v>
      </c>
      <c r="O126">
        <v>2</v>
      </c>
      <c r="P126">
        <v>3</v>
      </c>
      <c r="S126" s="166" t="s">
        <v>944</v>
      </c>
    </row>
    <row r="127" spans="1:19" x14ac:dyDescent="0.25">
      <c r="A127" t="s">
        <v>1272</v>
      </c>
      <c r="B127">
        <v>9001073100</v>
      </c>
      <c r="C127" t="s">
        <v>1273</v>
      </c>
      <c r="D127">
        <v>37802</v>
      </c>
      <c r="E127">
        <v>2.34</v>
      </c>
      <c r="F127">
        <v>24711.940470000001</v>
      </c>
      <c r="G127">
        <v>24.712</v>
      </c>
      <c r="H127">
        <v>0.11</v>
      </c>
      <c r="I127">
        <v>1</v>
      </c>
      <c r="J127">
        <v>1162</v>
      </c>
      <c r="K127">
        <v>0.56426163799999995</v>
      </c>
      <c r="L127">
        <v>0.90200000000000002</v>
      </c>
      <c r="M127">
        <v>5</v>
      </c>
      <c r="N127">
        <v>0.81399999999999995</v>
      </c>
      <c r="O127">
        <v>5</v>
      </c>
      <c r="P127">
        <v>5</v>
      </c>
      <c r="S127" s="164" t="s">
        <v>936</v>
      </c>
    </row>
    <row r="128" spans="1:19" x14ac:dyDescent="0.25">
      <c r="A128" t="s">
        <v>1274</v>
      </c>
      <c r="B128">
        <v>9001073200</v>
      </c>
      <c r="C128" t="s">
        <v>1275</v>
      </c>
      <c r="D128">
        <v>49446</v>
      </c>
      <c r="E128">
        <v>2.31</v>
      </c>
      <c r="F128">
        <v>32533.07951</v>
      </c>
      <c r="G128">
        <v>32.533000000000001</v>
      </c>
      <c r="H128">
        <v>0.20499999999999999</v>
      </c>
      <c r="I128">
        <v>2</v>
      </c>
      <c r="J128">
        <v>730</v>
      </c>
      <c r="K128">
        <v>0.26926439600000002</v>
      </c>
      <c r="L128">
        <v>6.2E-2</v>
      </c>
      <c r="M128">
        <v>1</v>
      </c>
      <c r="N128">
        <v>0.99099999999999999</v>
      </c>
      <c r="O128">
        <v>5</v>
      </c>
      <c r="P128">
        <v>5</v>
      </c>
      <c r="S128" s="166" t="s">
        <v>944</v>
      </c>
    </row>
    <row r="129" spans="1:19" x14ac:dyDescent="0.25">
      <c r="A129" t="s">
        <v>1276</v>
      </c>
      <c r="B129">
        <v>9001073300</v>
      </c>
      <c r="C129" t="s">
        <v>1277</v>
      </c>
      <c r="D129">
        <v>34172</v>
      </c>
      <c r="E129">
        <v>2.57</v>
      </c>
      <c r="F129">
        <v>21315.907940000001</v>
      </c>
      <c r="G129">
        <v>21.315999999999999</v>
      </c>
      <c r="H129">
        <v>7.4999999999999997E-2</v>
      </c>
      <c r="I129">
        <v>1</v>
      </c>
      <c r="J129">
        <v>1125</v>
      </c>
      <c r="K129">
        <v>0.63332981300000002</v>
      </c>
      <c r="L129">
        <v>0.94</v>
      </c>
      <c r="M129">
        <v>5</v>
      </c>
      <c r="N129">
        <v>0.84499999999999997</v>
      </c>
      <c r="O129">
        <v>5</v>
      </c>
      <c r="P129">
        <v>5</v>
      </c>
      <c r="S129" s="164" t="s">
        <v>936</v>
      </c>
    </row>
    <row r="130" spans="1:19" x14ac:dyDescent="0.25">
      <c r="A130" t="s">
        <v>1278</v>
      </c>
      <c r="B130">
        <v>9001073400</v>
      </c>
      <c r="C130" t="s">
        <v>1279</v>
      </c>
      <c r="D130">
        <v>52917</v>
      </c>
      <c r="E130">
        <v>2.95</v>
      </c>
      <c r="F130">
        <v>30809.468550000001</v>
      </c>
      <c r="G130">
        <v>30.809000000000001</v>
      </c>
      <c r="H130">
        <v>0.182</v>
      </c>
      <c r="I130">
        <v>1</v>
      </c>
      <c r="J130">
        <v>1497</v>
      </c>
      <c r="K130">
        <v>0.58306750600000001</v>
      </c>
      <c r="L130">
        <v>0.91100000000000003</v>
      </c>
      <c r="M130">
        <v>5</v>
      </c>
      <c r="N130">
        <v>0.47399999999999998</v>
      </c>
      <c r="O130">
        <v>3</v>
      </c>
      <c r="P130">
        <v>4</v>
      </c>
      <c r="S130" s="166" t="s">
        <v>944</v>
      </c>
    </row>
    <row r="131" spans="1:19" x14ac:dyDescent="0.25">
      <c r="A131" t="s">
        <v>1280</v>
      </c>
      <c r="B131">
        <v>9001073500</v>
      </c>
      <c r="C131" t="s">
        <v>1281</v>
      </c>
      <c r="D131">
        <v>38560</v>
      </c>
      <c r="E131">
        <v>2.97</v>
      </c>
      <c r="F131">
        <v>22374.78138</v>
      </c>
      <c r="G131">
        <v>22.375</v>
      </c>
      <c r="H131">
        <v>8.5999999999999993E-2</v>
      </c>
      <c r="I131">
        <v>1</v>
      </c>
      <c r="J131">
        <v>1230</v>
      </c>
      <c r="K131">
        <v>0.65967125000000004</v>
      </c>
      <c r="L131">
        <v>0.94799999999999995</v>
      </c>
      <c r="M131">
        <v>5</v>
      </c>
      <c r="N131">
        <v>0.73499999999999999</v>
      </c>
      <c r="O131">
        <v>4</v>
      </c>
      <c r="P131">
        <v>5</v>
      </c>
      <c r="S131" s="164" t="s">
        <v>936</v>
      </c>
    </row>
    <row r="132" spans="1:19" x14ac:dyDescent="0.25">
      <c r="A132" t="s">
        <v>1282</v>
      </c>
      <c r="B132">
        <v>9001073600</v>
      </c>
      <c r="C132" t="s">
        <v>1283</v>
      </c>
      <c r="D132">
        <v>34450</v>
      </c>
      <c r="E132">
        <v>3.53</v>
      </c>
      <c r="F132">
        <v>18335.884880000001</v>
      </c>
      <c r="G132">
        <v>18.335999999999999</v>
      </c>
      <c r="H132">
        <v>4.1000000000000002E-2</v>
      </c>
      <c r="I132">
        <v>1</v>
      </c>
      <c r="J132">
        <v>1202</v>
      </c>
      <c r="K132">
        <v>0.78665415400000005</v>
      </c>
      <c r="L132">
        <v>0.98199999999999998</v>
      </c>
      <c r="M132">
        <v>5</v>
      </c>
      <c r="N132">
        <v>0.76100000000000001</v>
      </c>
      <c r="O132">
        <v>4</v>
      </c>
      <c r="P132">
        <v>5</v>
      </c>
      <c r="S132" s="166" t="s">
        <v>936</v>
      </c>
    </row>
    <row r="133" spans="1:19" x14ac:dyDescent="0.25">
      <c r="A133" t="s">
        <v>1284</v>
      </c>
      <c r="B133">
        <v>9001073700</v>
      </c>
      <c r="C133" t="s">
        <v>1285</v>
      </c>
      <c r="D133">
        <v>40075</v>
      </c>
      <c r="E133">
        <v>2.66</v>
      </c>
      <c r="F133">
        <v>24571.55903</v>
      </c>
      <c r="G133">
        <v>24.571999999999999</v>
      </c>
      <c r="H133">
        <v>0.106</v>
      </c>
      <c r="I133">
        <v>1</v>
      </c>
      <c r="J133">
        <v>1314</v>
      </c>
      <c r="K133">
        <v>0.64171752299999996</v>
      </c>
      <c r="L133">
        <v>0.94499999999999995</v>
      </c>
      <c r="M133">
        <v>5</v>
      </c>
      <c r="N133">
        <v>0.64</v>
      </c>
      <c r="O133">
        <v>4</v>
      </c>
      <c r="P133">
        <v>5</v>
      </c>
      <c r="S133" s="164" t="s">
        <v>936</v>
      </c>
    </row>
    <row r="134" spans="1:19" x14ac:dyDescent="0.25">
      <c r="A134" t="s">
        <v>1286</v>
      </c>
      <c r="B134">
        <v>9001073800</v>
      </c>
      <c r="C134" t="s">
        <v>1287</v>
      </c>
      <c r="D134">
        <v>21851</v>
      </c>
      <c r="E134">
        <v>2.69</v>
      </c>
      <c r="F134">
        <v>13322.789839999999</v>
      </c>
      <c r="G134">
        <v>13.323</v>
      </c>
      <c r="H134">
        <v>8.0000000000000002E-3</v>
      </c>
      <c r="I134">
        <v>1</v>
      </c>
      <c r="J134">
        <v>1109</v>
      </c>
      <c r="K134">
        <v>0.99888988400000001</v>
      </c>
      <c r="L134">
        <v>0.997</v>
      </c>
      <c r="M134">
        <v>5</v>
      </c>
      <c r="N134">
        <v>0.86499999999999999</v>
      </c>
      <c r="O134">
        <v>5</v>
      </c>
      <c r="P134">
        <v>5</v>
      </c>
      <c r="S134" s="166" t="s">
        <v>936</v>
      </c>
    </row>
    <row r="135" spans="1:19" x14ac:dyDescent="0.25">
      <c r="A135" t="s">
        <v>1288</v>
      </c>
      <c r="B135">
        <v>9001073900</v>
      </c>
      <c r="C135" t="s">
        <v>1289</v>
      </c>
      <c r="D135">
        <v>35163</v>
      </c>
      <c r="E135">
        <v>3.27</v>
      </c>
      <c r="F135">
        <v>19445.183430000001</v>
      </c>
      <c r="G135">
        <v>19.445</v>
      </c>
      <c r="H135">
        <v>5.1999999999999998E-2</v>
      </c>
      <c r="I135">
        <v>1</v>
      </c>
      <c r="J135">
        <v>1256</v>
      </c>
      <c r="K135">
        <v>0.775101971</v>
      </c>
      <c r="L135">
        <v>0.98099999999999998</v>
      </c>
      <c r="M135">
        <v>5</v>
      </c>
      <c r="N135">
        <v>0.70699999999999996</v>
      </c>
      <c r="O135">
        <v>4</v>
      </c>
      <c r="P135">
        <v>5</v>
      </c>
      <c r="S135" s="164" t="s">
        <v>936</v>
      </c>
    </row>
    <row r="136" spans="1:19" x14ac:dyDescent="0.25">
      <c r="A136" t="s">
        <v>1290</v>
      </c>
      <c r="B136">
        <v>9001074000</v>
      </c>
      <c r="C136" t="s">
        <v>1291</v>
      </c>
      <c r="D136">
        <v>39737</v>
      </c>
      <c r="E136">
        <v>3.21</v>
      </c>
      <c r="F136">
        <v>22179.030599999998</v>
      </c>
      <c r="G136">
        <v>22.178999999999998</v>
      </c>
      <c r="H136">
        <v>8.3000000000000004E-2</v>
      </c>
      <c r="I136">
        <v>1</v>
      </c>
      <c r="J136">
        <v>1228</v>
      </c>
      <c r="K136">
        <v>0.66441136499999998</v>
      </c>
      <c r="L136">
        <v>0.95199999999999996</v>
      </c>
      <c r="M136">
        <v>5</v>
      </c>
      <c r="N136">
        <v>0.73899999999999999</v>
      </c>
      <c r="O136">
        <v>4</v>
      </c>
      <c r="P136">
        <v>5</v>
      </c>
      <c r="S136" s="166" t="s">
        <v>936</v>
      </c>
    </row>
    <row r="137" spans="1:19" x14ac:dyDescent="0.25">
      <c r="A137" t="s">
        <v>1292</v>
      </c>
      <c r="B137">
        <v>9001074300</v>
      </c>
      <c r="C137" t="s">
        <v>1293</v>
      </c>
      <c r="D137">
        <v>40637</v>
      </c>
      <c r="E137">
        <v>3.2</v>
      </c>
      <c r="F137">
        <v>22716.7736</v>
      </c>
      <c r="G137">
        <v>22.716999999999999</v>
      </c>
      <c r="H137">
        <v>9.0999999999999998E-2</v>
      </c>
      <c r="I137">
        <v>1</v>
      </c>
      <c r="J137">
        <v>1182</v>
      </c>
      <c r="K137">
        <v>0.62438444199999998</v>
      </c>
      <c r="L137">
        <v>0.93400000000000005</v>
      </c>
      <c r="M137">
        <v>5</v>
      </c>
      <c r="N137">
        <v>0.79200000000000004</v>
      </c>
      <c r="O137">
        <v>4</v>
      </c>
      <c r="P137">
        <v>5</v>
      </c>
      <c r="S137" s="164" t="s">
        <v>936</v>
      </c>
    </row>
    <row r="138" spans="1:19" x14ac:dyDescent="0.25">
      <c r="A138" t="s">
        <v>1294</v>
      </c>
      <c r="B138">
        <v>9001074400</v>
      </c>
      <c r="C138" t="s">
        <v>1295</v>
      </c>
      <c r="D138">
        <v>46716</v>
      </c>
      <c r="E138">
        <v>3.11</v>
      </c>
      <c r="F138">
        <v>26490.213299999999</v>
      </c>
      <c r="G138">
        <v>26.49</v>
      </c>
      <c r="H138">
        <v>0.127</v>
      </c>
      <c r="I138">
        <v>1</v>
      </c>
      <c r="J138">
        <v>1203</v>
      </c>
      <c r="K138">
        <v>0.54495597399999995</v>
      </c>
      <c r="L138">
        <v>0.88400000000000001</v>
      </c>
      <c r="M138">
        <v>5</v>
      </c>
      <c r="N138">
        <v>0.76</v>
      </c>
      <c r="O138">
        <v>4</v>
      </c>
      <c r="P138">
        <v>5</v>
      </c>
      <c r="S138" s="166" t="s">
        <v>936</v>
      </c>
    </row>
    <row r="139" spans="1:19" x14ac:dyDescent="0.25">
      <c r="A139" t="s">
        <v>1296</v>
      </c>
      <c r="B139">
        <v>9001080100</v>
      </c>
      <c r="C139" t="s">
        <v>1297</v>
      </c>
      <c r="D139">
        <v>72464</v>
      </c>
      <c r="E139">
        <v>2.97</v>
      </c>
      <c r="F139">
        <v>42047.877540000001</v>
      </c>
      <c r="G139">
        <v>42.048000000000002</v>
      </c>
      <c r="H139">
        <v>0.32300000000000001</v>
      </c>
      <c r="I139">
        <v>2</v>
      </c>
      <c r="J139">
        <v>1368</v>
      </c>
      <c r="K139">
        <v>0.39041209599999999</v>
      </c>
      <c r="L139">
        <v>0.66500000000000004</v>
      </c>
      <c r="M139">
        <v>4</v>
      </c>
      <c r="N139">
        <v>0.58899999999999997</v>
      </c>
      <c r="O139">
        <v>3</v>
      </c>
      <c r="P139">
        <v>4</v>
      </c>
      <c r="S139" s="164" t="s">
        <v>944</v>
      </c>
    </row>
    <row r="140" spans="1:19" x14ac:dyDescent="0.25">
      <c r="A140" t="s">
        <v>1298</v>
      </c>
      <c r="B140">
        <v>9001080200</v>
      </c>
      <c r="C140" t="s">
        <v>1299</v>
      </c>
      <c r="D140">
        <v>70642</v>
      </c>
      <c r="E140">
        <v>2.63</v>
      </c>
      <c r="F140">
        <v>43559.723279999998</v>
      </c>
      <c r="G140">
        <v>43.56</v>
      </c>
      <c r="H140">
        <v>0.34300000000000003</v>
      </c>
      <c r="I140">
        <v>2</v>
      </c>
      <c r="J140">
        <v>1573</v>
      </c>
      <c r="K140">
        <v>0.43333608600000001</v>
      </c>
      <c r="L140">
        <v>0.75600000000000001</v>
      </c>
      <c r="M140">
        <v>4</v>
      </c>
      <c r="N140">
        <v>0.41199999999999998</v>
      </c>
      <c r="O140">
        <v>3</v>
      </c>
      <c r="P140">
        <v>4</v>
      </c>
      <c r="S140" s="166" t="s">
        <v>944</v>
      </c>
    </row>
    <row r="141" spans="1:19" x14ac:dyDescent="0.25">
      <c r="A141" t="s">
        <v>1300</v>
      </c>
      <c r="B141">
        <v>9001080400</v>
      </c>
      <c r="C141" t="s">
        <v>1301</v>
      </c>
      <c r="D141">
        <v>52352</v>
      </c>
      <c r="E141">
        <v>2.87</v>
      </c>
      <c r="F141">
        <v>30902.408510000001</v>
      </c>
      <c r="G141">
        <v>30.902000000000001</v>
      </c>
      <c r="H141">
        <v>0.184</v>
      </c>
      <c r="I141">
        <v>1</v>
      </c>
      <c r="J141">
        <v>1418</v>
      </c>
      <c r="K141">
        <v>0.55063669199999998</v>
      </c>
      <c r="L141">
        <v>0.88600000000000001</v>
      </c>
      <c r="M141">
        <v>5</v>
      </c>
      <c r="N141">
        <v>0.55000000000000004</v>
      </c>
      <c r="O141">
        <v>3</v>
      </c>
      <c r="P141">
        <v>4</v>
      </c>
      <c r="S141" s="164" t="s">
        <v>944</v>
      </c>
    </row>
    <row r="142" spans="1:19" x14ac:dyDescent="0.25">
      <c r="A142" t="s">
        <v>1302</v>
      </c>
      <c r="B142">
        <v>9001080500</v>
      </c>
      <c r="C142" t="s">
        <v>1303</v>
      </c>
      <c r="D142">
        <v>93558</v>
      </c>
      <c r="E142">
        <v>2.3199999999999998</v>
      </c>
      <c r="F142">
        <v>61423.836230000001</v>
      </c>
      <c r="G142">
        <v>61.423999999999999</v>
      </c>
      <c r="H142">
        <v>0.68</v>
      </c>
      <c r="I142">
        <v>4</v>
      </c>
      <c r="J142">
        <v>1831</v>
      </c>
      <c r="K142">
        <v>0.35771129499999998</v>
      </c>
      <c r="L142">
        <v>0.52100000000000002</v>
      </c>
      <c r="M142">
        <v>3</v>
      </c>
      <c r="N142">
        <v>0.24299999999999999</v>
      </c>
      <c r="O142">
        <v>2</v>
      </c>
      <c r="P142">
        <v>2</v>
      </c>
      <c r="S142" s="166" t="s">
        <v>944</v>
      </c>
    </row>
    <row r="143" spans="1:19" x14ac:dyDescent="0.25">
      <c r="A143" t="s">
        <v>1304</v>
      </c>
      <c r="B143">
        <v>9001080600</v>
      </c>
      <c r="C143" t="s">
        <v>1305</v>
      </c>
      <c r="D143">
        <v>72188</v>
      </c>
      <c r="E143">
        <v>2.25</v>
      </c>
      <c r="F143">
        <v>48125.333330000001</v>
      </c>
      <c r="G143">
        <v>48.125</v>
      </c>
      <c r="H143">
        <v>0.434</v>
      </c>
      <c r="I143">
        <v>3</v>
      </c>
      <c r="J143">
        <v>1715</v>
      </c>
      <c r="K143">
        <v>0.427633402</v>
      </c>
      <c r="L143">
        <v>0.74399999999999999</v>
      </c>
      <c r="M143">
        <v>4</v>
      </c>
      <c r="N143">
        <v>0.30199999999999999</v>
      </c>
      <c r="O143">
        <v>2</v>
      </c>
      <c r="P143">
        <v>3</v>
      </c>
      <c r="S143" s="164" t="s">
        <v>944</v>
      </c>
    </row>
    <row r="144" spans="1:19" x14ac:dyDescent="0.25">
      <c r="A144" t="s">
        <v>1306</v>
      </c>
      <c r="B144">
        <v>9001080700</v>
      </c>
      <c r="C144" t="s">
        <v>1307</v>
      </c>
      <c r="D144">
        <v>73426</v>
      </c>
      <c r="E144">
        <v>2.34</v>
      </c>
      <c r="F144">
        <v>48000.077799999999</v>
      </c>
      <c r="G144">
        <v>48</v>
      </c>
      <c r="H144">
        <v>0.43099999999999999</v>
      </c>
      <c r="I144">
        <v>3</v>
      </c>
      <c r="J144">
        <v>1549</v>
      </c>
      <c r="K144">
        <v>0.38724937199999998</v>
      </c>
      <c r="L144">
        <v>0.65200000000000002</v>
      </c>
      <c r="M144">
        <v>4</v>
      </c>
      <c r="N144">
        <v>0.43</v>
      </c>
      <c r="O144">
        <v>3</v>
      </c>
      <c r="P144">
        <v>3</v>
      </c>
      <c r="S144" s="166" t="s">
        <v>944</v>
      </c>
    </row>
    <row r="145" spans="1:19" x14ac:dyDescent="0.25">
      <c r="A145" t="s">
        <v>1308</v>
      </c>
      <c r="B145">
        <v>9001080800</v>
      </c>
      <c r="C145" t="s">
        <v>1309</v>
      </c>
      <c r="D145">
        <v>90568</v>
      </c>
      <c r="E145">
        <v>2.64</v>
      </c>
      <c r="F145">
        <v>55740.750780000002</v>
      </c>
      <c r="G145">
        <v>55.741</v>
      </c>
      <c r="H145">
        <v>0.57399999999999995</v>
      </c>
      <c r="I145">
        <v>3</v>
      </c>
      <c r="J145">
        <v>1958</v>
      </c>
      <c r="K145">
        <v>0.42152284800000001</v>
      </c>
      <c r="L145">
        <v>0.72799999999999998</v>
      </c>
      <c r="M145">
        <v>4</v>
      </c>
      <c r="N145">
        <v>0.18099999999999999</v>
      </c>
      <c r="O145">
        <v>1</v>
      </c>
      <c r="P145">
        <v>2</v>
      </c>
      <c r="S145" s="164" t="s">
        <v>944</v>
      </c>
    </row>
    <row r="146" spans="1:19" x14ac:dyDescent="0.25">
      <c r="A146" t="s">
        <v>1310</v>
      </c>
      <c r="B146">
        <v>9001080900</v>
      </c>
      <c r="C146" t="s">
        <v>1311</v>
      </c>
      <c r="D146">
        <v>90527</v>
      </c>
      <c r="E146">
        <v>2.76</v>
      </c>
      <c r="F146">
        <v>54490.850610000001</v>
      </c>
      <c r="G146">
        <v>54.491</v>
      </c>
      <c r="H146">
        <v>0.55100000000000005</v>
      </c>
      <c r="I146">
        <v>3</v>
      </c>
      <c r="J146">
        <v>1773</v>
      </c>
      <c r="K146">
        <v>0.39045086899999998</v>
      </c>
      <c r="L146">
        <v>0.66600000000000004</v>
      </c>
      <c r="M146">
        <v>4</v>
      </c>
      <c r="N146">
        <v>0.26700000000000002</v>
      </c>
      <c r="O146">
        <v>2</v>
      </c>
      <c r="P146">
        <v>3</v>
      </c>
      <c r="S146" s="166" t="s">
        <v>944</v>
      </c>
    </row>
    <row r="147" spans="1:19" x14ac:dyDescent="0.25">
      <c r="A147" t="s">
        <v>1312</v>
      </c>
      <c r="B147">
        <v>9001081000</v>
      </c>
      <c r="C147" t="s">
        <v>1313</v>
      </c>
      <c r="D147">
        <v>65967</v>
      </c>
      <c r="E147">
        <v>2.52</v>
      </c>
      <c r="F147">
        <v>41555.303979999997</v>
      </c>
      <c r="G147">
        <v>41.555</v>
      </c>
      <c r="H147">
        <v>0.311</v>
      </c>
      <c r="I147">
        <v>2</v>
      </c>
      <c r="J147">
        <v>1534</v>
      </c>
      <c r="K147">
        <v>0.44297594400000001</v>
      </c>
      <c r="L147">
        <v>0.77600000000000002</v>
      </c>
      <c r="M147">
        <v>4</v>
      </c>
      <c r="N147">
        <v>0.44</v>
      </c>
      <c r="O147">
        <v>3</v>
      </c>
      <c r="P147">
        <v>4</v>
      </c>
      <c r="S147" s="164" t="s">
        <v>944</v>
      </c>
    </row>
    <row r="148" spans="1:19" x14ac:dyDescent="0.25">
      <c r="A148" t="s">
        <v>1314</v>
      </c>
      <c r="B148">
        <v>9001081100</v>
      </c>
      <c r="C148" t="s">
        <v>1315</v>
      </c>
      <c r="D148">
        <v>100156</v>
      </c>
      <c r="E148">
        <v>2.72</v>
      </c>
      <c r="F148">
        <v>60728.495150000002</v>
      </c>
      <c r="G148">
        <v>60.728000000000002</v>
      </c>
      <c r="H148">
        <v>0.66400000000000003</v>
      </c>
      <c r="I148">
        <v>4</v>
      </c>
      <c r="J148">
        <v>1861</v>
      </c>
      <c r="K148">
        <v>0.367735113</v>
      </c>
      <c r="L148">
        <v>0.58099999999999996</v>
      </c>
      <c r="M148">
        <v>3</v>
      </c>
      <c r="N148">
        <v>0.22600000000000001</v>
      </c>
      <c r="O148">
        <v>2</v>
      </c>
      <c r="P148">
        <v>2</v>
      </c>
      <c r="S148" s="166" t="s">
        <v>944</v>
      </c>
    </row>
    <row r="149" spans="1:19" x14ac:dyDescent="0.25">
      <c r="A149" t="s">
        <v>1316</v>
      </c>
      <c r="B149">
        <v>9001081200</v>
      </c>
      <c r="C149" t="s">
        <v>1317</v>
      </c>
      <c r="D149">
        <v>113814</v>
      </c>
      <c r="E149">
        <v>2.69</v>
      </c>
      <c r="F149">
        <v>69393.620540000004</v>
      </c>
      <c r="G149">
        <v>69.394000000000005</v>
      </c>
      <c r="H149">
        <v>0.79300000000000004</v>
      </c>
      <c r="I149">
        <v>4</v>
      </c>
      <c r="J149">
        <v>2062</v>
      </c>
      <c r="K149">
        <v>0.35657456399999998</v>
      </c>
      <c r="L149">
        <v>0.51800000000000002</v>
      </c>
      <c r="M149">
        <v>3</v>
      </c>
      <c r="N149">
        <v>0.14899999999999999</v>
      </c>
      <c r="O149">
        <v>1</v>
      </c>
      <c r="P149">
        <v>2</v>
      </c>
      <c r="S149" s="164" t="s">
        <v>944</v>
      </c>
    </row>
    <row r="150" spans="1:19" x14ac:dyDescent="0.25">
      <c r="A150" t="s">
        <v>1318</v>
      </c>
      <c r="B150">
        <v>9001081300</v>
      </c>
      <c r="C150" t="s">
        <v>1319</v>
      </c>
      <c r="D150">
        <v>71660</v>
      </c>
      <c r="E150">
        <v>2.23</v>
      </c>
      <c r="F150">
        <v>47987.085330000002</v>
      </c>
      <c r="G150">
        <v>47.987000000000002</v>
      </c>
      <c r="H150">
        <v>0.43</v>
      </c>
      <c r="I150">
        <v>3</v>
      </c>
      <c r="J150">
        <v>1859</v>
      </c>
      <c r="K150">
        <v>0.46487507700000003</v>
      </c>
      <c r="L150">
        <v>0.80500000000000005</v>
      </c>
      <c r="M150">
        <v>5</v>
      </c>
      <c r="N150">
        <v>0.22800000000000001</v>
      </c>
      <c r="O150">
        <v>2</v>
      </c>
      <c r="P150">
        <v>3</v>
      </c>
      <c r="S150" s="166" t="s">
        <v>944</v>
      </c>
    </row>
    <row r="151" spans="1:19" x14ac:dyDescent="0.25">
      <c r="A151" t="s">
        <v>1320</v>
      </c>
      <c r="B151">
        <v>9001090100</v>
      </c>
      <c r="C151" t="s">
        <v>1321</v>
      </c>
      <c r="D151">
        <v>145125</v>
      </c>
      <c r="E151">
        <v>2.84</v>
      </c>
      <c r="F151">
        <v>86115.844070000006</v>
      </c>
      <c r="G151">
        <v>86.116</v>
      </c>
      <c r="H151">
        <v>0.91200000000000003</v>
      </c>
      <c r="I151">
        <v>5</v>
      </c>
      <c r="J151">
        <v>2718</v>
      </c>
      <c r="K151">
        <v>0.378745634</v>
      </c>
      <c r="L151">
        <v>0.627</v>
      </c>
      <c r="M151">
        <v>4</v>
      </c>
      <c r="N151">
        <v>5.8000000000000003E-2</v>
      </c>
      <c r="O151">
        <v>1</v>
      </c>
      <c r="P151">
        <v>1</v>
      </c>
      <c r="S151" s="164" t="s">
        <v>944</v>
      </c>
    </row>
    <row r="152" spans="1:19" x14ac:dyDescent="0.25">
      <c r="A152" t="s">
        <v>1322</v>
      </c>
      <c r="B152">
        <v>9001090200</v>
      </c>
      <c r="C152" t="s">
        <v>1323</v>
      </c>
      <c r="D152">
        <v>113636</v>
      </c>
      <c r="E152">
        <v>2.85</v>
      </c>
      <c r="F152">
        <v>67312.157070000001</v>
      </c>
      <c r="G152">
        <v>67.311999999999998</v>
      </c>
      <c r="H152">
        <v>0.76900000000000002</v>
      </c>
      <c r="I152">
        <v>4</v>
      </c>
      <c r="J152">
        <v>2439</v>
      </c>
      <c r="K152">
        <v>0.43481001499999999</v>
      </c>
      <c r="L152">
        <v>0.75900000000000001</v>
      </c>
      <c r="M152">
        <v>4</v>
      </c>
      <c r="N152">
        <v>8.3000000000000004E-2</v>
      </c>
      <c r="O152">
        <v>1</v>
      </c>
      <c r="P152">
        <v>2</v>
      </c>
      <c r="S152" s="166" t="s">
        <v>944</v>
      </c>
    </row>
    <row r="153" spans="1:19" x14ac:dyDescent="0.25">
      <c r="A153" t="s">
        <v>1324</v>
      </c>
      <c r="B153">
        <v>9001090300</v>
      </c>
      <c r="C153" t="s">
        <v>1325</v>
      </c>
      <c r="D153">
        <v>118819</v>
      </c>
      <c r="E153">
        <v>2.97</v>
      </c>
      <c r="F153">
        <v>68945.776679999995</v>
      </c>
      <c r="G153">
        <v>68.945999999999998</v>
      </c>
      <c r="H153">
        <v>0.79200000000000004</v>
      </c>
      <c r="I153">
        <v>4</v>
      </c>
      <c r="J153">
        <v>2194</v>
      </c>
      <c r="K153">
        <v>0.38186530400000002</v>
      </c>
      <c r="L153">
        <v>0.63700000000000001</v>
      </c>
      <c r="M153">
        <v>4</v>
      </c>
      <c r="N153">
        <v>0.129</v>
      </c>
      <c r="O153">
        <v>1</v>
      </c>
      <c r="P153">
        <v>2</v>
      </c>
      <c r="S153" s="164" t="s">
        <v>944</v>
      </c>
    </row>
    <row r="154" spans="1:19" x14ac:dyDescent="0.25">
      <c r="A154" t="s">
        <v>1326</v>
      </c>
      <c r="B154">
        <v>9001090400</v>
      </c>
      <c r="C154" t="s">
        <v>1327</v>
      </c>
      <c r="D154">
        <v>121802</v>
      </c>
      <c r="E154">
        <v>2.97</v>
      </c>
      <c r="F154">
        <v>70676.688840000003</v>
      </c>
      <c r="G154">
        <v>70.677000000000007</v>
      </c>
      <c r="H154">
        <v>0.81</v>
      </c>
      <c r="I154">
        <v>5</v>
      </c>
      <c r="J154">
        <v>2161</v>
      </c>
      <c r="K154">
        <v>0.366910228</v>
      </c>
      <c r="L154">
        <v>0.57099999999999995</v>
      </c>
      <c r="M154">
        <v>3</v>
      </c>
      <c r="N154">
        <v>0.13700000000000001</v>
      </c>
      <c r="O154">
        <v>1</v>
      </c>
      <c r="P154">
        <v>1</v>
      </c>
      <c r="S154" s="166" t="s">
        <v>944</v>
      </c>
    </row>
    <row r="155" spans="1:19" x14ac:dyDescent="0.25">
      <c r="A155" t="s">
        <v>1328</v>
      </c>
      <c r="B155">
        <v>9001090500</v>
      </c>
      <c r="C155" t="s">
        <v>1329</v>
      </c>
      <c r="D155">
        <v>128667</v>
      </c>
      <c r="E155">
        <v>2.99</v>
      </c>
      <c r="F155">
        <v>74410.047349999993</v>
      </c>
      <c r="G155">
        <v>74.41</v>
      </c>
      <c r="H155">
        <v>0.84399999999999997</v>
      </c>
      <c r="I155">
        <v>5</v>
      </c>
      <c r="J155">
        <v>2371</v>
      </c>
      <c r="K155">
        <v>0.38236771800000002</v>
      </c>
      <c r="L155">
        <v>0.63900000000000001</v>
      </c>
      <c r="M155">
        <v>4</v>
      </c>
      <c r="N155">
        <v>9.2999999999999999E-2</v>
      </c>
      <c r="O155">
        <v>1</v>
      </c>
      <c r="P155">
        <v>1</v>
      </c>
      <c r="S155" s="164" t="s">
        <v>944</v>
      </c>
    </row>
    <row r="156" spans="1:19" x14ac:dyDescent="0.25">
      <c r="A156" t="s">
        <v>1330</v>
      </c>
      <c r="B156">
        <v>9001090600</v>
      </c>
      <c r="C156" t="s">
        <v>1331</v>
      </c>
      <c r="D156">
        <v>100357</v>
      </c>
      <c r="E156">
        <v>2.68</v>
      </c>
      <c r="F156">
        <v>61302.79464</v>
      </c>
      <c r="G156">
        <v>61.302999999999997</v>
      </c>
      <c r="H156">
        <v>0.67800000000000005</v>
      </c>
      <c r="I156">
        <v>4</v>
      </c>
      <c r="J156">
        <v>2200</v>
      </c>
      <c r="K156">
        <v>0.43064920899999998</v>
      </c>
      <c r="L156">
        <v>0.753</v>
      </c>
      <c r="M156">
        <v>4</v>
      </c>
      <c r="N156">
        <v>0.127</v>
      </c>
      <c r="O156">
        <v>1</v>
      </c>
      <c r="P156">
        <v>2</v>
      </c>
      <c r="S156" s="166" t="s">
        <v>944</v>
      </c>
    </row>
    <row r="157" spans="1:19" x14ac:dyDescent="0.25">
      <c r="A157" t="s">
        <v>1332</v>
      </c>
      <c r="B157">
        <v>9001090700</v>
      </c>
      <c r="C157" t="s">
        <v>1333</v>
      </c>
      <c r="D157">
        <v>163315</v>
      </c>
      <c r="E157">
        <v>3.16</v>
      </c>
      <c r="F157">
        <v>91871.865269999995</v>
      </c>
      <c r="G157">
        <v>91.872</v>
      </c>
      <c r="H157">
        <v>0.92700000000000005</v>
      </c>
      <c r="I157">
        <v>5</v>
      </c>
      <c r="J157">
        <v>2544</v>
      </c>
      <c r="K157">
        <v>0.33228888899999998</v>
      </c>
      <c r="L157">
        <v>0.377</v>
      </c>
      <c r="M157">
        <v>2</v>
      </c>
      <c r="N157">
        <v>7.1999999999999995E-2</v>
      </c>
      <c r="O157">
        <v>1</v>
      </c>
      <c r="P157">
        <v>1</v>
      </c>
      <c r="S157" s="164" t="s">
        <v>944</v>
      </c>
    </row>
    <row r="158" spans="1:19" x14ac:dyDescent="0.25">
      <c r="A158" t="s">
        <v>1334</v>
      </c>
      <c r="B158">
        <v>9001100100</v>
      </c>
      <c r="C158" t="s">
        <v>1335</v>
      </c>
      <c r="D158">
        <v>128056</v>
      </c>
      <c r="E158">
        <v>2.87</v>
      </c>
      <c r="F158">
        <v>75589.066779999994</v>
      </c>
      <c r="G158">
        <v>75.588999999999999</v>
      </c>
      <c r="H158">
        <v>0.85399999999999998</v>
      </c>
      <c r="I158">
        <v>5</v>
      </c>
      <c r="J158">
        <v>2056</v>
      </c>
      <c r="K158">
        <v>0.32639641000000003</v>
      </c>
      <c r="L158">
        <v>0.33400000000000002</v>
      </c>
      <c r="M158">
        <v>2</v>
      </c>
      <c r="N158">
        <v>0.15</v>
      </c>
      <c r="O158">
        <v>1</v>
      </c>
      <c r="P158">
        <v>1</v>
      </c>
      <c r="S158" s="166" t="s">
        <v>944</v>
      </c>
    </row>
    <row r="159" spans="1:19" x14ac:dyDescent="0.25">
      <c r="A159" t="s">
        <v>1336</v>
      </c>
      <c r="B159">
        <v>9001100200</v>
      </c>
      <c r="C159" t="s">
        <v>1337</v>
      </c>
      <c r="D159">
        <v>111793</v>
      </c>
      <c r="E159">
        <v>2.92</v>
      </c>
      <c r="F159">
        <v>65421.904840000003</v>
      </c>
      <c r="G159">
        <v>65.421999999999997</v>
      </c>
      <c r="H159">
        <v>0.74299999999999999</v>
      </c>
      <c r="I159">
        <v>4</v>
      </c>
      <c r="J159">
        <v>2304</v>
      </c>
      <c r="K159">
        <v>0.42261074599999998</v>
      </c>
      <c r="L159">
        <v>0.73599999999999999</v>
      </c>
      <c r="M159">
        <v>4</v>
      </c>
      <c r="N159">
        <v>0.112</v>
      </c>
      <c r="O159">
        <v>1</v>
      </c>
      <c r="P159">
        <v>2</v>
      </c>
      <c r="S159" s="164" t="s">
        <v>944</v>
      </c>
    </row>
    <row r="160" spans="1:19" x14ac:dyDescent="0.25">
      <c r="A160" t="s">
        <v>1338</v>
      </c>
      <c r="B160">
        <v>9001100300</v>
      </c>
      <c r="C160" t="s">
        <v>1339</v>
      </c>
      <c r="D160">
        <v>122097</v>
      </c>
      <c r="E160">
        <v>2.96</v>
      </c>
      <c r="F160">
        <v>70967.439740000002</v>
      </c>
      <c r="G160">
        <v>70.966999999999999</v>
      </c>
      <c r="H160">
        <v>0.81599999999999995</v>
      </c>
      <c r="I160">
        <v>5</v>
      </c>
      <c r="J160">
        <v>2348</v>
      </c>
      <c r="K160">
        <v>0.39702714500000003</v>
      </c>
      <c r="L160">
        <v>0.68</v>
      </c>
      <c r="M160">
        <v>4</v>
      </c>
      <c r="N160">
        <v>0.10100000000000001</v>
      </c>
      <c r="O160">
        <v>1</v>
      </c>
      <c r="P160">
        <v>1</v>
      </c>
      <c r="S160" s="166" t="s">
        <v>944</v>
      </c>
    </row>
    <row r="161" spans="1:19" x14ac:dyDescent="0.25">
      <c r="A161" t="s">
        <v>1340</v>
      </c>
      <c r="B161">
        <v>9001105100</v>
      </c>
      <c r="C161" t="s">
        <v>1341</v>
      </c>
      <c r="D161">
        <v>143182</v>
      </c>
      <c r="E161">
        <v>2.64</v>
      </c>
      <c r="F161">
        <v>88122.429310000007</v>
      </c>
      <c r="G161">
        <v>88.122</v>
      </c>
      <c r="H161">
        <v>0.91800000000000004</v>
      </c>
      <c r="I161">
        <v>5</v>
      </c>
      <c r="J161">
        <v>2775</v>
      </c>
      <c r="K161">
        <v>0.377883364</v>
      </c>
      <c r="L161">
        <v>0.624</v>
      </c>
      <c r="M161">
        <v>4</v>
      </c>
      <c r="N161">
        <v>5.6000000000000001E-2</v>
      </c>
      <c r="O161">
        <v>1</v>
      </c>
      <c r="P161">
        <v>1</v>
      </c>
      <c r="S161" s="164" t="s">
        <v>944</v>
      </c>
    </row>
    <row r="162" spans="1:19" x14ac:dyDescent="0.25">
      <c r="A162" t="s">
        <v>1342</v>
      </c>
      <c r="B162">
        <v>9001105200</v>
      </c>
      <c r="C162" t="s">
        <v>1343</v>
      </c>
      <c r="D162">
        <v>159338</v>
      </c>
      <c r="E162">
        <v>2.75</v>
      </c>
      <c r="F162">
        <v>96084.429239999998</v>
      </c>
      <c r="G162">
        <v>96.084000000000003</v>
      </c>
      <c r="H162">
        <v>0.93799999999999994</v>
      </c>
      <c r="I162">
        <v>5</v>
      </c>
      <c r="J162">
        <v>2946</v>
      </c>
      <c r="K162">
        <v>0.367926419</v>
      </c>
      <c r="L162">
        <v>0.58199999999999996</v>
      </c>
      <c r="M162">
        <v>3</v>
      </c>
      <c r="N162">
        <v>4.7E-2</v>
      </c>
      <c r="O162">
        <v>1</v>
      </c>
      <c r="P162">
        <v>1</v>
      </c>
      <c r="S162" s="166" t="s">
        <v>944</v>
      </c>
    </row>
    <row r="163" spans="1:19" x14ac:dyDescent="0.25">
      <c r="A163" t="s">
        <v>1344</v>
      </c>
      <c r="B163">
        <v>9001110100</v>
      </c>
      <c r="C163" t="s">
        <v>1345</v>
      </c>
      <c r="D163">
        <v>58875</v>
      </c>
      <c r="E163">
        <v>2.13</v>
      </c>
      <c r="F163">
        <v>40340.485289999997</v>
      </c>
      <c r="G163">
        <v>40.340000000000003</v>
      </c>
      <c r="H163">
        <v>0.3</v>
      </c>
      <c r="I163">
        <v>2</v>
      </c>
      <c r="J163">
        <v>1410</v>
      </c>
      <c r="K163">
        <v>0.41942975799999999</v>
      </c>
      <c r="L163">
        <v>0.72</v>
      </c>
      <c r="M163">
        <v>4</v>
      </c>
      <c r="N163">
        <v>0.55400000000000005</v>
      </c>
      <c r="O163">
        <v>3</v>
      </c>
      <c r="P163">
        <v>4</v>
      </c>
      <c r="S163" s="164" t="s">
        <v>944</v>
      </c>
    </row>
    <row r="164" spans="1:19" x14ac:dyDescent="0.25">
      <c r="A164" t="s">
        <v>1346</v>
      </c>
      <c r="B164">
        <v>9001110201</v>
      </c>
      <c r="C164" t="s">
        <v>1347</v>
      </c>
      <c r="D164">
        <v>90563</v>
      </c>
      <c r="E164">
        <v>2.59</v>
      </c>
      <c r="F164">
        <v>56273.110119999998</v>
      </c>
      <c r="G164">
        <v>56.273000000000003</v>
      </c>
      <c r="H164">
        <v>0.58499999999999996</v>
      </c>
      <c r="I164">
        <v>3</v>
      </c>
      <c r="J164">
        <v>1509</v>
      </c>
      <c r="K164">
        <v>0.32178779499999999</v>
      </c>
      <c r="L164">
        <v>0.312</v>
      </c>
      <c r="M164">
        <v>2</v>
      </c>
      <c r="N164">
        <v>0.46300000000000002</v>
      </c>
      <c r="O164">
        <v>3</v>
      </c>
      <c r="P164">
        <v>3</v>
      </c>
      <c r="S164" s="166" t="s">
        <v>944</v>
      </c>
    </row>
    <row r="165" spans="1:19" x14ac:dyDescent="0.25">
      <c r="A165" t="s">
        <v>1348</v>
      </c>
      <c r="B165">
        <v>9001110202</v>
      </c>
      <c r="C165" t="s">
        <v>1349</v>
      </c>
      <c r="D165">
        <v>78958</v>
      </c>
      <c r="E165">
        <v>2.2999999999999998</v>
      </c>
      <c r="F165">
        <v>52063.363420000001</v>
      </c>
      <c r="G165">
        <v>52.063000000000002</v>
      </c>
      <c r="H165">
        <v>0.503</v>
      </c>
      <c r="I165">
        <v>3</v>
      </c>
      <c r="J165">
        <v>1494</v>
      </c>
      <c r="K165">
        <v>0.34434963099999999</v>
      </c>
      <c r="L165">
        <v>0.44600000000000001</v>
      </c>
      <c r="M165">
        <v>3</v>
      </c>
      <c r="N165">
        <v>0.48099999999999998</v>
      </c>
      <c r="O165">
        <v>3</v>
      </c>
      <c r="P165">
        <v>3</v>
      </c>
      <c r="S165" s="164" t="s">
        <v>944</v>
      </c>
    </row>
    <row r="166" spans="1:19" x14ac:dyDescent="0.25">
      <c r="A166" t="s">
        <v>1350</v>
      </c>
      <c r="B166">
        <v>9001110301</v>
      </c>
      <c r="C166" t="s">
        <v>1351</v>
      </c>
      <c r="D166">
        <v>80871</v>
      </c>
      <c r="E166">
        <v>2.27</v>
      </c>
      <c r="F166">
        <v>53675.967929999999</v>
      </c>
      <c r="G166">
        <v>53.676000000000002</v>
      </c>
      <c r="H166">
        <v>0.53500000000000003</v>
      </c>
      <c r="I166">
        <v>3</v>
      </c>
      <c r="J166">
        <v>1526</v>
      </c>
      <c r="K166">
        <v>0.34115826300000002</v>
      </c>
      <c r="L166">
        <v>0.42499999999999999</v>
      </c>
      <c r="M166">
        <v>3</v>
      </c>
      <c r="N166">
        <v>0.44700000000000001</v>
      </c>
      <c r="O166">
        <v>3</v>
      </c>
      <c r="P166">
        <v>3</v>
      </c>
      <c r="S166" s="166" t="s">
        <v>944</v>
      </c>
    </row>
    <row r="167" spans="1:19" x14ac:dyDescent="0.25">
      <c r="A167" t="s">
        <v>1352</v>
      </c>
      <c r="B167">
        <v>9001110302</v>
      </c>
      <c r="C167" t="s">
        <v>1353</v>
      </c>
      <c r="D167">
        <v>104432</v>
      </c>
      <c r="E167">
        <v>2.5099999999999998</v>
      </c>
      <c r="F167">
        <v>65916.893899999995</v>
      </c>
      <c r="G167">
        <v>65.917000000000002</v>
      </c>
      <c r="H167">
        <v>0.75</v>
      </c>
      <c r="I167">
        <v>4</v>
      </c>
      <c r="J167">
        <v>1895</v>
      </c>
      <c r="K167">
        <v>0.34497984700000001</v>
      </c>
      <c r="L167">
        <v>0.45200000000000001</v>
      </c>
      <c r="M167">
        <v>3</v>
      </c>
      <c r="N167">
        <v>0.21299999999999999</v>
      </c>
      <c r="O167">
        <v>2</v>
      </c>
      <c r="P167">
        <v>2</v>
      </c>
      <c r="S167" s="164" t="s">
        <v>944</v>
      </c>
    </row>
    <row r="168" spans="1:19" x14ac:dyDescent="0.25">
      <c r="A168" t="s">
        <v>1354</v>
      </c>
      <c r="B168">
        <v>9001110400</v>
      </c>
      <c r="C168" t="s">
        <v>1355</v>
      </c>
      <c r="D168">
        <v>108636</v>
      </c>
      <c r="E168">
        <v>2.73</v>
      </c>
      <c r="F168">
        <v>65749.498240000001</v>
      </c>
      <c r="G168">
        <v>65.748999999999995</v>
      </c>
      <c r="H168">
        <v>0.749</v>
      </c>
      <c r="I168">
        <v>4</v>
      </c>
      <c r="J168">
        <v>1867</v>
      </c>
      <c r="K168">
        <v>0.34074784800000002</v>
      </c>
      <c r="L168">
        <v>0.42</v>
      </c>
      <c r="M168">
        <v>3</v>
      </c>
      <c r="N168">
        <v>0.223</v>
      </c>
      <c r="O168">
        <v>2</v>
      </c>
      <c r="P168">
        <v>2</v>
      </c>
      <c r="S168" s="166" t="s">
        <v>944</v>
      </c>
    </row>
    <row r="169" spans="1:19" x14ac:dyDescent="0.25">
      <c r="A169" t="s">
        <v>1356</v>
      </c>
      <c r="B169">
        <v>9001110500</v>
      </c>
      <c r="C169" t="s">
        <v>1357</v>
      </c>
      <c r="D169">
        <v>110365</v>
      </c>
      <c r="E169">
        <v>2.73</v>
      </c>
      <c r="F169">
        <v>66795.93664</v>
      </c>
      <c r="G169">
        <v>66.796000000000006</v>
      </c>
      <c r="H169">
        <v>0.76500000000000001</v>
      </c>
      <c r="I169">
        <v>4</v>
      </c>
      <c r="J169">
        <v>1621</v>
      </c>
      <c r="K169">
        <v>0.29121531899999997</v>
      </c>
      <c r="L169">
        <v>0.122</v>
      </c>
      <c r="M169">
        <v>1</v>
      </c>
      <c r="N169">
        <v>0.36799999999999999</v>
      </c>
      <c r="O169">
        <v>2</v>
      </c>
      <c r="P169">
        <v>2</v>
      </c>
      <c r="S169" s="164" t="s">
        <v>944</v>
      </c>
    </row>
    <row r="170" spans="1:19" x14ac:dyDescent="0.25">
      <c r="A170" t="s">
        <v>1358</v>
      </c>
      <c r="B170">
        <v>9001110600</v>
      </c>
      <c r="C170" t="s">
        <v>1359</v>
      </c>
      <c r="D170">
        <v>118906</v>
      </c>
      <c r="E170">
        <v>2.72</v>
      </c>
      <c r="F170">
        <v>72097.352580000006</v>
      </c>
      <c r="G170">
        <v>72.096999999999994</v>
      </c>
      <c r="H170">
        <v>0.82599999999999996</v>
      </c>
      <c r="I170">
        <v>5</v>
      </c>
      <c r="J170">
        <v>1759</v>
      </c>
      <c r="K170">
        <v>0.29277080599999999</v>
      </c>
      <c r="L170">
        <v>0.13300000000000001</v>
      </c>
      <c r="M170">
        <v>1</v>
      </c>
      <c r="N170">
        <v>0.27900000000000003</v>
      </c>
      <c r="O170">
        <v>2</v>
      </c>
      <c r="P170">
        <v>2</v>
      </c>
      <c r="S170" s="166" t="s">
        <v>944</v>
      </c>
    </row>
    <row r="171" spans="1:19" x14ac:dyDescent="0.25">
      <c r="A171" t="s">
        <v>1360</v>
      </c>
      <c r="B171">
        <v>9001200100</v>
      </c>
      <c r="C171" t="s">
        <v>1361</v>
      </c>
      <c r="D171">
        <v>77273</v>
      </c>
      <c r="E171">
        <v>2.5299999999999998</v>
      </c>
      <c r="F171">
        <v>48581.118869999998</v>
      </c>
      <c r="G171">
        <v>48.581000000000003</v>
      </c>
      <c r="H171">
        <v>0.44400000000000001</v>
      </c>
      <c r="I171">
        <v>3</v>
      </c>
      <c r="J171">
        <v>1466</v>
      </c>
      <c r="K171">
        <v>0.36211599100000003</v>
      </c>
      <c r="L171">
        <v>0.54800000000000004</v>
      </c>
      <c r="M171">
        <v>3</v>
      </c>
      <c r="N171">
        <v>0.505</v>
      </c>
      <c r="O171">
        <v>3</v>
      </c>
      <c r="P171">
        <v>3</v>
      </c>
      <c r="S171" s="164" t="s">
        <v>944</v>
      </c>
    </row>
    <row r="172" spans="1:19" x14ac:dyDescent="0.25">
      <c r="A172" t="s">
        <v>1362</v>
      </c>
      <c r="B172">
        <v>9001200200</v>
      </c>
      <c r="C172" t="s">
        <v>1363</v>
      </c>
      <c r="D172">
        <v>61844</v>
      </c>
      <c r="E172">
        <v>2.37</v>
      </c>
      <c r="F172">
        <v>40171.994859999999</v>
      </c>
      <c r="G172">
        <v>40.171999999999997</v>
      </c>
      <c r="H172">
        <v>0.29499999999999998</v>
      </c>
      <c r="I172">
        <v>2</v>
      </c>
      <c r="J172">
        <v>1541</v>
      </c>
      <c r="K172">
        <v>0.46032067999999998</v>
      </c>
      <c r="L172">
        <v>0.79800000000000004</v>
      </c>
      <c r="M172">
        <v>4</v>
      </c>
      <c r="N172">
        <v>0.434</v>
      </c>
      <c r="O172">
        <v>3</v>
      </c>
      <c r="P172">
        <v>4</v>
      </c>
      <c r="S172" s="166" t="s">
        <v>944</v>
      </c>
    </row>
    <row r="173" spans="1:19" x14ac:dyDescent="0.25">
      <c r="A173" t="s">
        <v>1364</v>
      </c>
      <c r="B173">
        <v>9001200301</v>
      </c>
      <c r="C173" t="s">
        <v>1365</v>
      </c>
      <c r="D173">
        <v>140337</v>
      </c>
      <c r="E173">
        <v>3.06</v>
      </c>
      <c r="F173">
        <v>80225.323139999993</v>
      </c>
      <c r="G173">
        <v>80.224999999999994</v>
      </c>
      <c r="H173">
        <v>0.879</v>
      </c>
      <c r="I173">
        <v>5</v>
      </c>
      <c r="J173">
        <v>2456</v>
      </c>
      <c r="K173">
        <v>0.36736530099999998</v>
      </c>
      <c r="L173">
        <v>0.57499999999999996</v>
      </c>
      <c r="M173">
        <v>3</v>
      </c>
      <c r="N173">
        <v>8.1000000000000003E-2</v>
      </c>
      <c r="O173">
        <v>1</v>
      </c>
      <c r="P173">
        <v>1</v>
      </c>
      <c r="S173" s="164" t="s">
        <v>944</v>
      </c>
    </row>
    <row r="174" spans="1:19" x14ac:dyDescent="0.25">
      <c r="A174" t="s">
        <v>1366</v>
      </c>
      <c r="B174">
        <v>9001200302</v>
      </c>
      <c r="C174" t="s">
        <v>1367</v>
      </c>
      <c r="D174">
        <v>116500</v>
      </c>
      <c r="E174">
        <v>2.96</v>
      </c>
      <c r="F174">
        <v>67714.24957</v>
      </c>
      <c r="G174">
        <v>67.713999999999999</v>
      </c>
      <c r="H174">
        <v>0.77200000000000002</v>
      </c>
      <c r="I174">
        <v>4</v>
      </c>
      <c r="J174">
        <v>2158</v>
      </c>
      <c r="K174">
        <v>0.38243058400000002</v>
      </c>
      <c r="L174">
        <v>0.64100000000000001</v>
      </c>
      <c r="M174">
        <v>4</v>
      </c>
      <c r="N174">
        <v>0.13800000000000001</v>
      </c>
      <c r="O174">
        <v>1</v>
      </c>
      <c r="P174">
        <v>2</v>
      </c>
      <c r="S174" s="166" t="s">
        <v>944</v>
      </c>
    </row>
    <row r="175" spans="1:19" x14ac:dyDescent="0.25">
      <c r="A175" t="s">
        <v>1368</v>
      </c>
      <c r="B175">
        <v>9001205100</v>
      </c>
      <c r="C175" t="s">
        <v>1369</v>
      </c>
      <c r="D175">
        <v>123750</v>
      </c>
      <c r="E175">
        <v>2.79</v>
      </c>
      <c r="F175">
        <v>74087.187090000007</v>
      </c>
      <c r="G175">
        <v>74.087000000000003</v>
      </c>
      <c r="H175">
        <v>0.84299999999999997</v>
      </c>
      <c r="I175">
        <v>5</v>
      </c>
      <c r="J175">
        <v>2185</v>
      </c>
      <c r="K175">
        <v>0.35390734899999998</v>
      </c>
      <c r="L175">
        <v>0.501</v>
      </c>
      <c r="M175">
        <v>3</v>
      </c>
      <c r="N175">
        <v>0.13200000000000001</v>
      </c>
      <c r="O175">
        <v>1</v>
      </c>
      <c r="P175">
        <v>1</v>
      </c>
      <c r="S175" s="164" t="s">
        <v>944</v>
      </c>
    </row>
    <row r="176" spans="1:19" x14ac:dyDescent="0.25">
      <c r="A176" t="s">
        <v>1370</v>
      </c>
      <c r="B176">
        <v>9001205200</v>
      </c>
      <c r="C176" t="s">
        <v>1371</v>
      </c>
      <c r="D176">
        <v>120476</v>
      </c>
      <c r="E176">
        <v>2.93</v>
      </c>
      <c r="F176">
        <v>70382.830709999995</v>
      </c>
      <c r="G176">
        <v>70.382999999999996</v>
      </c>
      <c r="H176">
        <v>0.80600000000000005</v>
      </c>
      <c r="I176">
        <v>5</v>
      </c>
      <c r="J176">
        <v>2277</v>
      </c>
      <c r="K176">
        <v>0.38821968000000001</v>
      </c>
      <c r="L176">
        <v>0.65500000000000003</v>
      </c>
      <c r="M176">
        <v>4</v>
      </c>
      <c r="N176">
        <v>0.11899999999999999</v>
      </c>
      <c r="O176">
        <v>1</v>
      </c>
      <c r="P176">
        <v>1</v>
      </c>
      <c r="S176" s="166" t="s">
        <v>944</v>
      </c>
    </row>
    <row r="177" spans="1:19" x14ac:dyDescent="0.25">
      <c r="A177" t="s">
        <v>1372</v>
      </c>
      <c r="B177">
        <v>9001205300</v>
      </c>
      <c r="C177" t="s">
        <v>1373</v>
      </c>
      <c r="D177">
        <v>95234</v>
      </c>
      <c r="E177">
        <v>2.5099999999999998</v>
      </c>
      <c r="F177">
        <v>60111.167780000003</v>
      </c>
      <c r="G177">
        <v>60.110999999999997</v>
      </c>
      <c r="H177">
        <v>0.65800000000000003</v>
      </c>
      <c r="I177">
        <v>4</v>
      </c>
      <c r="J177">
        <v>1694</v>
      </c>
      <c r="K177">
        <v>0.33817343399999999</v>
      </c>
      <c r="L177">
        <v>0.41199999999999998</v>
      </c>
      <c r="M177">
        <v>3</v>
      </c>
      <c r="N177">
        <v>0.316</v>
      </c>
      <c r="O177">
        <v>2</v>
      </c>
      <c r="P177">
        <v>2</v>
      </c>
      <c r="S177" s="164" t="s">
        <v>944</v>
      </c>
    </row>
    <row r="178" spans="1:19" x14ac:dyDescent="0.25">
      <c r="A178" t="s">
        <v>1374</v>
      </c>
      <c r="B178">
        <v>9001210100</v>
      </c>
      <c r="C178" t="s">
        <v>1375</v>
      </c>
      <c r="D178">
        <v>41218</v>
      </c>
      <c r="E178">
        <v>2.3199999999999998</v>
      </c>
      <c r="F178">
        <v>27060.942749999998</v>
      </c>
      <c r="G178">
        <v>27.061</v>
      </c>
      <c r="H178">
        <v>0.13600000000000001</v>
      </c>
      <c r="I178">
        <v>1</v>
      </c>
      <c r="J178">
        <v>1185</v>
      </c>
      <c r="K178">
        <v>0.52548058399999997</v>
      </c>
      <c r="L178">
        <v>0.871</v>
      </c>
      <c r="M178">
        <v>5</v>
      </c>
      <c r="N178">
        <v>0.78800000000000003</v>
      </c>
      <c r="O178">
        <v>4</v>
      </c>
      <c r="P178">
        <v>5</v>
      </c>
      <c r="S178" s="166" t="s">
        <v>936</v>
      </c>
    </row>
    <row r="179" spans="1:19" x14ac:dyDescent="0.25">
      <c r="A179" t="s">
        <v>1376</v>
      </c>
      <c r="B179">
        <v>9001210200</v>
      </c>
      <c r="C179" t="s">
        <v>1377</v>
      </c>
      <c r="D179">
        <v>50729</v>
      </c>
      <c r="E179">
        <v>3.14</v>
      </c>
      <c r="F179">
        <v>28628.030900000002</v>
      </c>
      <c r="G179">
        <v>28.628</v>
      </c>
      <c r="H179">
        <v>0.14799999999999999</v>
      </c>
      <c r="I179">
        <v>1</v>
      </c>
      <c r="J179">
        <v>1422</v>
      </c>
      <c r="K179">
        <v>0.59605915799999998</v>
      </c>
      <c r="L179">
        <v>0.91800000000000004</v>
      </c>
      <c r="M179">
        <v>5</v>
      </c>
      <c r="N179">
        <v>0.54800000000000004</v>
      </c>
      <c r="O179">
        <v>3</v>
      </c>
      <c r="P179">
        <v>4</v>
      </c>
      <c r="S179" s="164" t="s">
        <v>944</v>
      </c>
    </row>
    <row r="180" spans="1:19" x14ac:dyDescent="0.25">
      <c r="A180" t="s">
        <v>1378</v>
      </c>
      <c r="B180">
        <v>9001210300</v>
      </c>
      <c r="C180" t="s">
        <v>1379</v>
      </c>
      <c r="D180">
        <v>60725</v>
      </c>
      <c r="E180">
        <v>2.96</v>
      </c>
      <c r="F180">
        <v>35295.689310000002</v>
      </c>
      <c r="G180">
        <v>35.295999999999999</v>
      </c>
      <c r="H180">
        <v>0.23799999999999999</v>
      </c>
      <c r="I180">
        <v>2</v>
      </c>
      <c r="J180">
        <v>1634</v>
      </c>
      <c r="K180">
        <v>0.55553526200000003</v>
      </c>
      <c r="L180">
        <v>0.89100000000000001</v>
      </c>
      <c r="M180">
        <v>5</v>
      </c>
      <c r="N180">
        <v>0.35899999999999999</v>
      </c>
      <c r="O180">
        <v>2</v>
      </c>
      <c r="P180">
        <v>3</v>
      </c>
      <c r="S180" s="166" t="s">
        <v>944</v>
      </c>
    </row>
    <row r="181" spans="1:19" x14ac:dyDescent="0.25">
      <c r="A181" t="s">
        <v>1380</v>
      </c>
      <c r="B181">
        <v>9001210400</v>
      </c>
      <c r="C181" t="s">
        <v>1381</v>
      </c>
      <c r="D181">
        <v>76921</v>
      </c>
      <c r="E181">
        <v>2.85</v>
      </c>
      <c r="F181">
        <v>45564.068030000002</v>
      </c>
      <c r="G181">
        <v>45.564</v>
      </c>
      <c r="H181">
        <v>0.375</v>
      </c>
      <c r="I181">
        <v>2</v>
      </c>
      <c r="J181">
        <v>1755</v>
      </c>
      <c r="K181">
        <v>0.46220631499999998</v>
      </c>
      <c r="L181">
        <v>0.80200000000000005</v>
      </c>
      <c r="M181">
        <v>5</v>
      </c>
      <c r="N181">
        <v>0.28199999999999997</v>
      </c>
      <c r="O181">
        <v>2</v>
      </c>
      <c r="P181">
        <v>3</v>
      </c>
      <c r="S181" s="164" t="s">
        <v>944</v>
      </c>
    </row>
    <row r="182" spans="1:19" x14ac:dyDescent="0.25">
      <c r="A182" t="s">
        <v>1382</v>
      </c>
      <c r="B182">
        <v>9001210500</v>
      </c>
      <c r="C182" t="s">
        <v>1383</v>
      </c>
      <c r="D182">
        <v>90929</v>
      </c>
      <c r="E182">
        <v>2.21</v>
      </c>
      <c r="F182">
        <v>61165.464489999998</v>
      </c>
      <c r="G182">
        <v>61.164999999999999</v>
      </c>
      <c r="H182">
        <v>0.67600000000000005</v>
      </c>
      <c r="I182">
        <v>4</v>
      </c>
      <c r="J182">
        <v>1930</v>
      </c>
      <c r="K182">
        <v>0.37864504399999999</v>
      </c>
      <c r="L182">
        <v>0.626</v>
      </c>
      <c r="M182">
        <v>4</v>
      </c>
      <c r="N182">
        <v>0.193</v>
      </c>
      <c r="O182">
        <v>1</v>
      </c>
      <c r="P182">
        <v>2</v>
      </c>
      <c r="S182" s="166" t="s">
        <v>944</v>
      </c>
    </row>
    <row r="183" spans="1:19" x14ac:dyDescent="0.25">
      <c r="A183" t="s">
        <v>1384</v>
      </c>
      <c r="B183">
        <v>9001210600</v>
      </c>
      <c r="C183" t="s">
        <v>1385</v>
      </c>
      <c r="D183">
        <v>54216</v>
      </c>
      <c r="E183">
        <v>2.5499999999999998</v>
      </c>
      <c r="F183">
        <v>33951.376170000003</v>
      </c>
      <c r="G183">
        <v>33.951000000000001</v>
      </c>
      <c r="H183">
        <v>0.222</v>
      </c>
      <c r="I183">
        <v>2</v>
      </c>
      <c r="J183">
        <v>1492</v>
      </c>
      <c r="K183">
        <v>0.52734239400000005</v>
      </c>
      <c r="L183">
        <v>0.873</v>
      </c>
      <c r="M183">
        <v>5</v>
      </c>
      <c r="N183">
        <v>0.48599999999999999</v>
      </c>
      <c r="O183">
        <v>3</v>
      </c>
      <c r="P183">
        <v>4</v>
      </c>
      <c r="S183" s="164" t="s">
        <v>944</v>
      </c>
    </row>
    <row r="184" spans="1:19" x14ac:dyDescent="0.25">
      <c r="A184" t="s">
        <v>1386</v>
      </c>
      <c r="B184">
        <v>9001210701</v>
      </c>
      <c r="C184" t="s">
        <v>1387</v>
      </c>
      <c r="D184">
        <v>44635</v>
      </c>
      <c r="E184">
        <v>3.08</v>
      </c>
      <c r="F184">
        <v>25433.15165</v>
      </c>
      <c r="G184">
        <v>25.433</v>
      </c>
      <c r="H184">
        <v>0.11600000000000001</v>
      </c>
      <c r="I184">
        <v>1</v>
      </c>
      <c r="J184">
        <v>1345</v>
      </c>
      <c r="K184">
        <v>0.634604795</v>
      </c>
      <c r="L184">
        <v>0.94099999999999995</v>
      </c>
      <c r="M184">
        <v>5</v>
      </c>
      <c r="N184">
        <v>0.61099999999999999</v>
      </c>
      <c r="O184">
        <v>4</v>
      </c>
      <c r="P184">
        <v>5</v>
      </c>
      <c r="S184" s="166" t="s">
        <v>936</v>
      </c>
    </row>
    <row r="185" spans="1:19" x14ac:dyDescent="0.25">
      <c r="A185" t="s">
        <v>1388</v>
      </c>
      <c r="B185">
        <v>9001210702</v>
      </c>
      <c r="C185" t="s">
        <v>1389</v>
      </c>
      <c r="D185">
        <v>56932</v>
      </c>
      <c r="E185">
        <v>2.99</v>
      </c>
      <c r="F185">
        <v>32924.62571</v>
      </c>
      <c r="G185">
        <v>32.924999999999997</v>
      </c>
      <c r="H185">
        <v>0.21199999999999999</v>
      </c>
      <c r="I185">
        <v>2</v>
      </c>
      <c r="J185">
        <v>1483</v>
      </c>
      <c r="K185">
        <v>0.54050728299999995</v>
      </c>
      <c r="L185">
        <v>0.88100000000000001</v>
      </c>
      <c r="M185">
        <v>5</v>
      </c>
      <c r="N185">
        <v>0.499</v>
      </c>
      <c r="O185">
        <v>3</v>
      </c>
      <c r="P185">
        <v>4</v>
      </c>
      <c r="S185" s="164" t="s">
        <v>944</v>
      </c>
    </row>
    <row r="186" spans="1:19" x14ac:dyDescent="0.25">
      <c r="A186" t="s">
        <v>1390</v>
      </c>
      <c r="B186">
        <v>9001210800</v>
      </c>
      <c r="C186" t="s">
        <v>1391</v>
      </c>
      <c r="D186">
        <v>101679</v>
      </c>
      <c r="E186">
        <v>2.72</v>
      </c>
      <c r="F186">
        <v>61651.949549999998</v>
      </c>
      <c r="G186">
        <v>61.652000000000001</v>
      </c>
      <c r="H186">
        <v>0.68600000000000005</v>
      </c>
      <c r="I186">
        <v>4</v>
      </c>
      <c r="J186">
        <v>1757</v>
      </c>
      <c r="K186">
        <v>0.34198431899999998</v>
      </c>
      <c r="L186">
        <v>0.43099999999999999</v>
      </c>
      <c r="M186">
        <v>3</v>
      </c>
      <c r="N186">
        <v>0.28000000000000003</v>
      </c>
      <c r="O186">
        <v>2</v>
      </c>
      <c r="P186">
        <v>2</v>
      </c>
      <c r="S186" s="166" t="s">
        <v>944</v>
      </c>
    </row>
    <row r="187" spans="1:19" x14ac:dyDescent="0.25">
      <c r="A187" t="s">
        <v>1392</v>
      </c>
      <c r="B187">
        <v>9001210900</v>
      </c>
      <c r="C187" t="s">
        <v>1393</v>
      </c>
      <c r="D187">
        <v>106915</v>
      </c>
      <c r="E187">
        <v>2.62</v>
      </c>
      <c r="F187">
        <v>66052.307589999997</v>
      </c>
      <c r="G187">
        <v>66.052000000000007</v>
      </c>
      <c r="H187">
        <v>0.753</v>
      </c>
      <c r="I187">
        <v>4</v>
      </c>
      <c r="J187">
        <v>1972</v>
      </c>
      <c r="K187">
        <v>0.358261518</v>
      </c>
      <c r="L187">
        <v>0.52700000000000002</v>
      </c>
      <c r="M187">
        <v>3</v>
      </c>
      <c r="N187">
        <v>0.17299999999999999</v>
      </c>
      <c r="O187">
        <v>1</v>
      </c>
      <c r="P187">
        <v>2</v>
      </c>
      <c r="S187" s="164" t="s">
        <v>944</v>
      </c>
    </row>
    <row r="188" spans="1:19" x14ac:dyDescent="0.25">
      <c r="A188" t="s">
        <v>1394</v>
      </c>
      <c r="B188">
        <v>9001211000</v>
      </c>
      <c r="C188" t="s">
        <v>1395</v>
      </c>
      <c r="D188">
        <v>89985</v>
      </c>
      <c r="E188">
        <v>3.18</v>
      </c>
      <c r="F188">
        <v>50461.082289999998</v>
      </c>
      <c r="G188">
        <v>50.460999999999999</v>
      </c>
      <c r="H188">
        <v>0.47699999999999998</v>
      </c>
      <c r="I188">
        <v>3</v>
      </c>
      <c r="J188">
        <v>1860</v>
      </c>
      <c r="K188">
        <v>0.44232107199999998</v>
      </c>
      <c r="L188">
        <v>0.77300000000000002</v>
      </c>
      <c r="M188">
        <v>4</v>
      </c>
      <c r="N188">
        <v>0.22700000000000001</v>
      </c>
      <c r="O188">
        <v>2</v>
      </c>
      <c r="P188">
        <v>3</v>
      </c>
      <c r="S188" s="166" t="s">
        <v>944</v>
      </c>
    </row>
    <row r="189" spans="1:19" x14ac:dyDescent="0.25">
      <c r="A189" t="s">
        <v>1396</v>
      </c>
      <c r="B189">
        <v>9001211200</v>
      </c>
      <c r="C189" t="s">
        <v>1397</v>
      </c>
      <c r="D189">
        <v>90285</v>
      </c>
      <c r="E189">
        <v>2.7</v>
      </c>
      <c r="F189">
        <v>54945.701229999999</v>
      </c>
      <c r="G189">
        <v>54.945999999999998</v>
      </c>
      <c r="H189">
        <v>0.55800000000000005</v>
      </c>
      <c r="I189">
        <v>3</v>
      </c>
      <c r="J189">
        <v>1466</v>
      </c>
      <c r="K189">
        <v>0.32017063400000001</v>
      </c>
      <c r="L189">
        <v>0.28799999999999998</v>
      </c>
      <c r="M189">
        <v>2</v>
      </c>
      <c r="N189">
        <v>0.505</v>
      </c>
      <c r="O189">
        <v>3</v>
      </c>
      <c r="P189">
        <v>3</v>
      </c>
      <c r="S189" s="164" t="s">
        <v>944</v>
      </c>
    </row>
    <row r="190" spans="1:19" x14ac:dyDescent="0.25">
      <c r="A190" t="s">
        <v>1398</v>
      </c>
      <c r="B190">
        <v>9001211300</v>
      </c>
      <c r="C190" t="s">
        <v>1399</v>
      </c>
      <c r="D190">
        <v>105528</v>
      </c>
      <c r="E190">
        <v>3.09</v>
      </c>
      <c r="F190">
        <v>60032.781719999999</v>
      </c>
      <c r="G190">
        <v>60.033000000000001</v>
      </c>
      <c r="H190">
        <v>0.65300000000000002</v>
      </c>
      <c r="I190">
        <v>4</v>
      </c>
      <c r="J190">
        <v>1936</v>
      </c>
      <c r="K190">
        <v>0.38698856399999998</v>
      </c>
      <c r="L190">
        <v>0.65</v>
      </c>
      <c r="M190">
        <v>4</v>
      </c>
      <c r="N190">
        <v>0.191</v>
      </c>
      <c r="O190">
        <v>1</v>
      </c>
      <c r="P190">
        <v>2</v>
      </c>
      <c r="S190" s="166" t="s">
        <v>944</v>
      </c>
    </row>
    <row r="191" spans="1:19" x14ac:dyDescent="0.25">
      <c r="A191" t="s">
        <v>1400</v>
      </c>
      <c r="B191">
        <v>9001211400</v>
      </c>
      <c r="C191" t="s">
        <v>1401</v>
      </c>
      <c r="D191">
        <v>81474</v>
      </c>
      <c r="E191">
        <v>2.42</v>
      </c>
      <c r="F191">
        <v>52373.470809999999</v>
      </c>
      <c r="G191">
        <v>52.372999999999998</v>
      </c>
      <c r="H191">
        <v>0.50600000000000001</v>
      </c>
      <c r="I191">
        <v>3</v>
      </c>
      <c r="J191">
        <v>1767</v>
      </c>
      <c r="K191">
        <v>0.40486146299999998</v>
      </c>
      <c r="L191">
        <v>0.68799999999999994</v>
      </c>
      <c r="M191">
        <v>4</v>
      </c>
      <c r="N191">
        <v>0.27300000000000002</v>
      </c>
      <c r="O191">
        <v>2</v>
      </c>
      <c r="P191">
        <v>3</v>
      </c>
      <c r="S191" s="164" t="s">
        <v>944</v>
      </c>
    </row>
    <row r="192" spans="1:19" x14ac:dyDescent="0.25">
      <c r="A192" t="s">
        <v>1402</v>
      </c>
      <c r="B192">
        <v>9001220100</v>
      </c>
      <c r="C192" t="s">
        <v>1403</v>
      </c>
      <c r="D192">
        <v>110625</v>
      </c>
      <c r="E192">
        <v>2.93</v>
      </c>
      <c r="F192">
        <v>64627.815060000001</v>
      </c>
      <c r="G192">
        <v>64.628</v>
      </c>
      <c r="H192">
        <v>0.72899999999999998</v>
      </c>
      <c r="I192">
        <v>4</v>
      </c>
      <c r="J192">
        <v>2079</v>
      </c>
      <c r="K192">
        <v>0.38602573800000001</v>
      </c>
      <c r="L192">
        <v>0.64800000000000002</v>
      </c>
      <c r="M192">
        <v>4</v>
      </c>
      <c r="N192">
        <v>0.14599999999999999</v>
      </c>
      <c r="O192">
        <v>1</v>
      </c>
      <c r="P192">
        <v>2</v>
      </c>
      <c r="S192" s="166" t="s">
        <v>944</v>
      </c>
    </row>
    <row r="193" spans="1:19" x14ac:dyDescent="0.25">
      <c r="A193" t="s">
        <v>1404</v>
      </c>
      <c r="B193">
        <v>9001220200</v>
      </c>
      <c r="C193" t="s">
        <v>1405</v>
      </c>
      <c r="D193">
        <v>126422</v>
      </c>
      <c r="E193">
        <v>2.82</v>
      </c>
      <c r="F193">
        <v>75283.205449999994</v>
      </c>
      <c r="G193">
        <v>75.283000000000001</v>
      </c>
      <c r="H193">
        <v>0.85099999999999998</v>
      </c>
      <c r="I193">
        <v>5</v>
      </c>
      <c r="J193">
        <v>2107</v>
      </c>
      <c r="K193">
        <v>0.33585179900000001</v>
      </c>
      <c r="L193">
        <v>0.40200000000000002</v>
      </c>
      <c r="M193">
        <v>3</v>
      </c>
      <c r="N193">
        <v>0.14299999999999999</v>
      </c>
      <c r="O193">
        <v>1</v>
      </c>
      <c r="P193">
        <v>1</v>
      </c>
      <c r="S193" s="164" t="s">
        <v>944</v>
      </c>
    </row>
    <row r="194" spans="1:19" x14ac:dyDescent="0.25">
      <c r="A194" t="s">
        <v>1406</v>
      </c>
      <c r="B194">
        <v>9001220300</v>
      </c>
      <c r="C194" t="s">
        <v>1407</v>
      </c>
      <c r="D194">
        <v>106296</v>
      </c>
      <c r="E194">
        <v>2.6</v>
      </c>
      <c r="F194">
        <v>65921.980739999999</v>
      </c>
      <c r="G194">
        <v>65.921999999999997</v>
      </c>
      <c r="H194">
        <v>0.752</v>
      </c>
      <c r="I194">
        <v>4</v>
      </c>
      <c r="J194">
        <v>1962</v>
      </c>
      <c r="K194">
        <v>0.357149463</v>
      </c>
      <c r="L194">
        <v>0.51900000000000002</v>
      </c>
      <c r="M194">
        <v>3</v>
      </c>
      <c r="N194">
        <v>0.17799999999999999</v>
      </c>
      <c r="O194">
        <v>1</v>
      </c>
      <c r="P194">
        <v>2</v>
      </c>
      <c r="S194" s="166" t="s">
        <v>944</v>
      </c>
    </row>
    <row r="195" spans="1:19" x14ac:dyDescent="0.25">
      <c r="A195" t="s">
        <v>1408</v>
      </c>
      <c r="B195">
        <v>9001230100</v>
      </c>
      <c r="C195" t="s">
        <v>1409</v>
      </c>
      <c r="D195">
        <v>107033</v>
      </c>
      <c r="E195">
        <v>2.66</v>
      </c>
      <c r="F195">
        <v>65626.142919999998</v>
      </c>
      <c r="G195">
        <v>65.626000000000005</v>
      </c>
      <c r="H195">
        <v>0.746</v>
      </c>
      <c r="I195">
        <v>4</v>
      </c>
      <c r="J195">
        <v>1991</v>
      </c>
      <c r="K195">
        <v>0.36406223100000001</v>
      </c>
      <c r="L195">
        <v>0.56000000000000005</v>
      </c>
      <c r="M195">
        <v>3</v>
      </c>
      <c r="N195">
        <v>0.16500000000000001</v>
      </c>
      <c r="O195">
        <v>1</v>
      </c>
      <c r="P195">
        <v>2</v>
      </c>
      <c r="S195" s="164" t="s">
        <v>944</v>
      </c>
    </row>
    <row r="196" spans="1:19" x14ac:dyDescent="0.25">
      <c r="A196" t="s">
        <v>1410</v>
      </c>
      <c r="B196">
        <v>9001230200</v>
      </c>
      <c r="C196" t="s">
        <v>1411</v>
      </c>
      <c r="D196">
        <v>140625</v>
      </c>
      <c r="E196">
        <v>2.78</v>
      </c>
      <c r="F196">
        <v>84341.270239999998</v>
      </c>
      <c r="G196">
        <v>84.340999999999994</v>
      </c>
      <c r="H196">
        <v>0.90200000000000002</v>
      </c>
      <c r="I196">
        <v>5</v>
      </c>
      <c r="J196">
        <v>2333</v>
      </c>
      <c r="K196">
        <v>0.33193714000000002</v>
      </c>
      <c r="L196">
        <v>0.372</v>
      </c>
      <c r="M196">
        <v>2</v>
      </c>
      <c r="N196">
        <v>0.106</v>
      </c>
      <c r="O196">
        <v>1</v>
      </c>
      <c r="P196">
        <v>1</v>
      </c>
      <c r="S196" s="166" t="s">
        <v>944</v>
      </c>
    </row>
    <row r="197" spans="1:19" x14ac:dyDescent="0.25">
      <c r="A197" t="s">
        <v>1412</v>
      </c>
      <c r="B197">
        <v>9001230300</v>
      </c>
      <c r="C197" t="s">
        <v>1413</v>
      </c>
      <c r="D197">
        <v>130625</v>
      </c>
      <c r="E197">
        <v>2.7</v>
      </c>
      <c r="F197">
        <v>79495.843420000005</v>
      </c>
      <c r="G197">
        <v>79.495999999999995</v>
      </c>
      <c r="H197">
        <v>0.873</v>
      </c>
      <c r="I197">
        <v>5</v>
      </c>
      <c r="J197">
        <v>2189</v>
      </c>
      <c r="K197">
        <v>0.330432371</v>
      </c>
      <c r="L197">
        <v>0.36099999999999999</v>
      </c>
      <c r="M197">
        <v>2</v>
      </c>
      <c r="N197">
        <v>0.13100000000000001</v>
      </c>
      <c r="O197">
        <v>1</v>
      </c>
      <c r="P197">
        <v>1</v>
      </c>
      <c r="S197" s="164" t="s">
        <v>944</v>
      </c>
    </row>
    <row r="198" spans="1:19" x14ac:dyDescent="0.25">
      <c r="A198" t="s">
        <v>1414</v>
      </c>
      <c r="B198">
        <v>9001230400</v>
      </c>
      <c r="C198" t="s">
        <v>1415</v>
      </c>
      <c r="D198">
        <v>139313</v>
      </c>
      <c r="E198">
        <v>2.93</v>
      </c>
      <c r="F198">
        <v>81387.523610000004</v>
      </c>
      <c r="G198">
        <v>81.388000000000005</v>
      </c>
      <c r="H198">
        <v>0.89100000000000001</v>
      </c>
      <c r="I198">
        <v>5</v>
      </c>
      <c r="J198">
        <v>2531</v>
      </c>
      <c r="K198">
        <v>0.37317759099999998</v>
      </c>
      <c r="L198">
        <v>0.60499999999999998</v>
      </c>
      <c r="M198">
        <v>4</v>
      </c>
      <c r="N198">
        <v>7.2999999999999995E-2</v>
      </c>
      <c r="O198">
        <v>1</v>
      </c>
      <c r="P198">
        <v>1</v>
      </c>
      <c r="S198" s="166" t="s">
        <v>944</v>
      </c>
    </row>
    <row r="199" spans="1:19" x14ac:dyDescent="0.25">
      <c r="A199" t="s">
        <v>1416</v>
      </c>
      <c r="B199">
        <v>9001230501</v>
      </c>
      <c r="C199" t="s">
        <v>1417</v>
      </c>
      <c r="D199">
        <v>153267</v>
      </c>
      <c r="E199">
        <v>2.87</v>
      </c>
      <c r="F199">
        <v>90470.649539999999</v>
      </c>
      <c r="G199">
        <v>90.471000000000004</v>
      </c>
      <c r="H199">
        <v>0.92500000000000004</v>
      </c>
      <c r="I199">
        <v>5</v>
      </c>
      <c r="J199">
        <v>2492</v>
      </c>
      <c r="K199">
        <v>0.33053813799999998</v>
      </c>
      <c r="L199">
        <v>0.36299999999999999</v>
      </c>
      <c r="M199">
        <v>2</v>
      </c>
      <c r="N199">
        <v>7.8E-2</v>
      </c>
      <c r="O199">
        <v>1</v>
      </c>
      <c r="P199">
        <v>1</v>
      </c>
      <c r="S199" s="164" t="s">
        <v>944</v>
      </c>
    </row>
    <row r="200" spans="1:19" x14ac:dyDescent="0.25">
      <c r="A200" t="s">
        <v>1418</v>
      </c>
      <c r="B200">
        <v>9001230502</v>
      </c>
      <c r="C200" t="s">
        <v>1419</v>
      </c>
      <c r="D200">
        <v>114773</v>
      </c>
      <c r="E200">
        <v>2.62</v>
      </c>
      <c r="F200">
        <v>70906.996199999994</v>
      </c>
      <c r="G200">
        <v>70.906999999999996</v>
      </c>
      <c r="H200">
        <v>0.81499999999999995</v>
      </c>
      <c r="I200">
        <v>5</v>
      </c>
      <c r="J200">
        <v>1980</v>
      </c>
      <c r="K200">
        <v>0.33508682200000001</v>
      </c>
      <c r="L200">
        <v>0.39500000000000002</v>
      </c>
      <c r="M200">
        <v>2</v>
      </c>
      <c r="N200">
        <v>0.17</v>
      </c>
      <c r="O200">
        <v>1</v>
      </c>
      <c r="P200">
        <v>1</v>
      </c>
      <c r="S200" s="166" t="s">
        <v>944</v>
      </c>
    </row>
    <row r="201" spans="1:19" x14ac:dyDescent="0.25">
      <c r="A201" t="s">
        <v>1420</v>
      </c>
      <c r="B201">
        <v>9001240100</v>
      </c>
      <c r="C201" t="s">
        <v>1421</v>
      </c>
      <c r="D201">
        <v>131992</v>
      </c>
      <c r="E201">
        <v>2.54</v>
      </c>
      <c r="F201">
        <v>82819.146630000003</v>
      </c>
      <c r="G201">
        <v>82.819000000000003</v>
      </c>
      <c r="H201">
        <v>0.89700000000000002</v>
      </c>
      <c r="I201">
        <v>5</v>
      </c>
      <c r="J201">
        <v>2518</v>
      </c>
      <c r="K201">
        <v>0.36484316999999999</v>
      </c>
      <c r="L201">
        <v>0.56399999999999995</v>
      </c>
      <c r="M201">
        <v>3</v>
      </c>
      <c r="N201">
        <v>7.5999999999999998E-2</v>
      </c>
      <c r="O201">
        <v>1</v>
      </c>
      <c r="P201">
        <v>1</v>
      </c>
      <c r="S201" s="164" t="s">
        <v>944</v>
      </c>
    </row>
    <row r="202" spans="1:19" x14ac:dyDescent="0.25">
      <c r="A202" t="s">
        <v>1422</v>
      </c>
      <c r="B202">
        <v>9001240200</v>
      </c>
      <c r="C202" t="s">
        <v>1423</v>
      </c>
      <c r="D202">
        <v>133482</v>
      </c>
      <c r="E202">
        <v>2.7</v>
      </c>
      <c r="F202">
        <v>81234.558250000002</v>
      </c>
      <c r="G202">
        <v>81.234999999999999</v>
      </c>
      <c r="H202">
        <v>0.89</v>
      </c>
      <c r="I202">
        <v>5</v>
      </c>
      <c r="J202">
        <v>2844</v>
      </c>
      <c r="K202">
        <v>0.420116767</v>
      </c>
      <c r="L202">
        <v>0.72499999999999998</v>
      </c>
      <c r="M202">
        <v>4</v>
      </c>
      <c r="N202">
        <v>5.2999999999999999E-2</v>
      </c>
      <c r="O202">
        <v>1</v>
      </c>
      <c r="P202">
        <v>1</v>
      </c>
      <c r="S202" s="166" t="s">
        <v>944</v>
      </c>
    </row>
    <row r="203" spans="1:19" x14ac:dyDescent="0.25">
      <c r="A203" t="s">
        <v>1424</v>
      </c>
      <c r="B203">
        <v>9001245100</v>
      </c>
      <c r="C203" t="s">
        <v>1425</v>
      </c>
      <c r="D203">
        <v>175000</v>
      </c>
      <c r="E203">
        <v>2.87</v>
      </c>
      <c r="F203">
        <v>103299.2338</v>
      </c>
      <c r="G203">
        <v>103.29900000000001</v>
      </c>
      <c r="H203">
        <v>0.94799999999999995</v>
      </c>
      <c r="I203">
        <v>5</v>
      </c>
      <c r="J203">
        <v>2833</v>
      </c>
      <c r="K203">
        <v>0.32910215100000001</v>
      </c>
      <c r="L203">
        <v>0.34699999999999998</v>
      </c>
      <c r="M203">
        <v>2</v>
      </c>
      <c r="N203">
        <v>5.3999999999999999E-2</v>
      </c>
      <c r="O203">
        <v>1</v>
      </c>
      <c r="P203">
        <v>1</v>
      </c>
      <c r="S203" s="164" t="s">
        <v>944</v>
      </c>
    </row>
    <row r="204" spans="1:19" x14ac:dyDescent="0.25">
      <c r="A204" t="s">
        <v>1426</v>
      </c>
      <c r="B204">
        <v>9001245200</v>
      </c>
      <c r="C204" t="s">
        <v>1427</v>
      </c>
      <c r="D204">
        <v>152708</v>
      </c>
      <c r="E204">
        <v>2.75</v>
      </c>
      <c r="F204">
        <v>92086.388819999993</v>
      </c>
      <c r="G204">
        <v>92.085999999999999</v>
      </c>
      <c r="H204">
        <v>0.92800000000000005</v>
      </c>
      <c r="I204">
        <v>5</v>
      </c>
      <c r="J204">
        <v>2467</v>
      </c>
      <c r="K204">
        <v>0.32148073500000002</v>
      </c>
      <c r="L204">
        <v>0.309</v>
      </c>
      <c r="M204">
        <v>2</v>
      </c>
      <c r="N204">
        <v>0.08</v>
      </c>
      <c r="O204">
        <v>1</v>
      </c>
      <c r="P204">
        <v>1</v>
      </c>
      <c r="S204" s="166" t="s">
        <v>944</v>
      </c>
    </row>
    <row r="205" spans="1:19" x14ac:dyDescent="0.25">
      <c r="A205" t="s">
        <v>1428</v>
      </c>
      <c r="B205">
        <v>9001245300</v>
      </c>
      <c r="C205" t="s">
        <v>1429</v>
      </c>
      <c r="D205">
        <v>130962</v>
      </c>
      <c r="E205">
        <v>2.36</v>
      </c>
      <c r="F205">
        <v>85249.000799999994</v>
      </c>
      <c r="G205">
        <v>85.248999999999995</v>
      </c>
      <c r="H205">
        <v>0.90800000000000003</v>
      </c>
      <c r="I205">
        <v>5</v>
      </c>
      <c r="J205">
        <v>2282</v>
      </c>
      <c r="K205">
        <v>0.321223706</v>
      </c>
      <c r="L205">
        <v>0.30399999999999999</v>
      </c>
      <c r="M205">
        <v>2</v>
      </c>
      <c r="N205">
        <v>0.115</v>
      </c>
      <c r="O205">
        <v>1</v>
      </c>
      <c r="P205">
        <v>1</v>
      </c>
      <c r="S205" s="164" t="s">
        <v>944</v>
      </c>
    </row>
    <row r="206" spans="1:19" x14ac:dyDescent="0.25">
      <c r="A206" t="s">
        <v>1430</v>
      </c>
      <c r="B206">
        <v>9001245400</v>
      </c>
      <c r="C206" t="s">
        <v>1431</v>
      </c>
      <c r="D206">
        <v>177361</v>
      </c>
      <c r="E206">
        <v>2.78</v>
      </c>
      <c r="F206">
        <v>106374.0589</v>
      </c>
      <c r="G206">
        <v>106.374</v>
      </c>
      <c r="H206">
        <v>0.95599999999999996</v>
      </c>
      <c r="I206">
        <v>5</v>
      </c>
      <c r="J206">
        <v>2944</v>
      </c>
      <c r="K206">
        <v>0.33211104600000002</v>
      </c>
      <c r="L206">
        <v>0.373</v>
      </c>
      <c r="M206">
        <v>2</v>
      </c>
      <c r="N206">
        <v>4.8000000000000001E-2</v>
      </c>
      <c r="O206">
        <v>1</v>
      </c>
      <c r="P206">
        <v>1</v>
      </c>
      <c r="S206" s="166" t="s">
        <v>944</v>
      </c>
    </row>
    <row r="207" spans="1:19" x14ac:dyDescent="0.25">
      <c r="A207" t="s">
        <v>1432</v>
      </c>
      <c r="B207">
        <v>9001245500</v>
      </c>
      <c r="C207" t="s">
        <v>1433</v>
      </c>
      <c r="D207">
        <v>166908</v>
      </c>
      <c r="E207">
        <v>2.89</v>
      </c>
      <c r="F207">
        <v>98181.176470000006</v>
      </c>
      <c r="G207">
        <v>98.180999999999997</v>
      </c>
      <c r="H207">
        <v>0.94099999999999995</v>
      </c>
      <c r="I207">
        <v>5</v>
      </c>
      <c r="J207">
        <v>2824</v>
      </c>
      <c r="K207">
        <v>0.34515781099999998</v>
      </c>
      <c r="L207">
        <v>0.45600000000000002</v>
      </c>
      <c r="M207">
        <v>3</v>
      </c>
      <c r="N207">
        <v>5.5E-2</v>
      </c>
      <c r="O207">
        <v>1</v>
      </c>
      <c r="P207">
        <v>1</v>
      </c>
      <c r="S207" s="164" t="s">
        <v>944</v>
      </c>
    </row>
    <row r="208" spans="1:19" x14ac:dyDescent="0.25">
      <c r="A208" t="s">
        <v>1434</v>
      </c>
      <c r="B208">
        <v>9001245600</v>
      </c>
      <c r="C208" t="s">
        <v>1435</v>
      </c>
      <c r="D208">
        <v>191524</v>
      </c>
      <c r="E208">
        <v>3.04</v>
      </c>
      <c r="F208">
        <v>109846.5475</v>
      </c>
      <c r="G208">
        <v>109.84699999999999</v>
      </c>
      <c r="H208">
        <v>0.96199999999999997</v>
      </c>
      <c r="I208">
        <v>5</v>
      </c>
      <c r="J208">
        <v>3201</v>
      </c>
      <c r="K208">
        <v>0.34968782199999998</v>
      </c>
      <c r="L208">
        <v>0.47499999999999998</v>
      </c>
      <c r="M208">
        <v>3</v>
      </c>
      <c r="N208">
        <v>3.9E-2</v>
      </c>
      <c r="O208">
        <v>1</v>
      </c>
      <c r="P208">
        <v>1</v>
      </c>
      <c r="S208" s="166" t="s">
        <v>944</v>
      </c>
    </row>
    <row r="209" spans="1:19" x14ac:dyDescent="0.25">
      <c r="A209" t="s">
        <v>1436</v>
      </c>
      <c r="B209">
        <v>9001257100</v>
      </c>
      <c r="C209" t="s">
        <v>1437</v>
      </c>
      <c r="D209">
        <v>101818</v>
      </c>
      <c r="E209">
        <v>2.48</v>
      </c>
      <c r="F209">
        <v>64654.494650000001</v>
      </c>
      <c r="G209">
        <v>64.653999999999996</v>
      </c>
      <c r="H209">
        <v>0.73</v>
      </c>
      <c r="I209">
        <v>4</v>
      </c>
      <c r="J209">
        <v>1838</v>
      </c>
      <c r="K209">
        <v>0.34113637600000002</v>
      </c>
      <c r="L209">
        <v>0.42399999999999999</v>
      </c>
      <c r="M209">
        <v>3</v>
      </c>
      <c r="N209">
        <v>0.23899999999999999</v>
      </c>
      <c r="O209">
        <v>2</v>
      </c>
      <c r="P209">
        <v>2</v>
      </c>
      <c r="S209" s="164" t="s">
        <v>944</v>
      </c>
    </row>
    <row r="210" spans="1:19" x14ac:dyDescent="0.25">
      <c r="A210" t="s">
        <v>1438</v>
      </c>
      <c r="B210">
        <v>9001257200</v>
      </c>
      <c r="C210" t="s">
        <v>1439</v>
      </c>
      <c r="D210">
        <v>50915</v>
      </c>
      <c r="E210">
        <v>2.88</v>
      </c>
      <c r="F210">
        <v>30001.95147</v>
      </c>
      <c r="G210">
        <v>30.001999999999999</v>
      </c>
      <c r="H210">
        <v>0.16800000000000001</v>
      </c>
      <c r="I210">
        <v>1</v>
      </c>
      <c r="J210">
        <v>1269</v>
      </c>
      <c r="K210">
        <v>0.50756698300000003</v>
      </c>
      <c r="L210">
        <v>0.85499999999999998</v>
      </c>
      <c r="M210">
        <v>5</v>
      </c>
      <c r="N210">
        <v>0.68899999999999995</v>
      </c>
      <c r="O210">
        <v>4</v>
      </c>
      <c r="P210">
        <v>5</v>
      </c>
      <c r="S210" s="166" t="s">
        <v>944</v>
      </c>
    </row>
    <row r="211" spans="1:19" x14ac:dyDescent="0.25">
      <c r="A211" t="s">
        <v>1440</v>
      </c>
      <c r="B211">
        <v>9003330100</v>
      </c>
      <c r="C211" t="s">
        <v>1441</v>
      </c>
      <c r="D211">
        <v>99722</v>
      </c>
      <c r="E211">
        <v>2.6</v>
      </c>
      <c r="F211">
        <v>61844.959009999999</v>
      </c>
      <c r="G211">
        <v>61.844999999999999</v>
      </c>
      <c r="H211">
        <v>0.69</v>
      </c>
      <c r="I211">
        <v>4</v>
      </c>
      <c r="J211">
        <v>1473</v>
      </c>
      <c r="K211">
        <v>0.285811492</v>
      </c>
      <c r="L211">
        <v>0.10199999999999999</v>
      </c>
      <c r="M211">
        <v>1</v>
      </c>
      <c r="N211">
        <v>0.502</v>
      </c>
      <c r="O211">
        <v>3</v>
      </c>
      <c r="P211">
        <v>3</v>
      </c>
      <c r="S211" s="164" t="s">
        <v>944</v>
      </c>
    </row>
    <row r="212" spans="1:19" x14ac:dyDescent="0.25">
      <c r="A212" t="s">
        <v>1442</v>
      </c>
      <c r="B212">
        <v>9003400100</v>
      </c>
      <c r="C212" t="s">
        <v>1443</v>
      </c>
      <c r="D212">
        <v>80725</v>
      </c>
      <c r="E212">
        <v>2.3199999999999998</v>
      </c>
      <c r="F212">
        <v>52998.558960000002</v>
      </c>
      <c r="G212">
        <v>52.999000000000002</v>
      </c>
      <c r="H212">
        <v>0.52100000000000002</v>
      </c>
      <c r="I212">
        <v>3</v>
      </c>
      <c r="J212">
        <v>1365</v>
      </c>
      <c r="K212">
        <v>0.309065007</v>
      </c>
      <c r="L212">
        <v>0.22</v>
      </c>
      <c r="M212">
        <v>2</v>
      </c>
      <c r="N212">
        <v>0.59399999999999997</v>
      </c>
      <c r="O212">
        <v>3</v>
      </c>
      <c r="P212">
        <v>3</v>
      </c>
      <c r="S212" s="166" t="s">
        <v>944</v>
      </c>
    </row>
    <row r="213" spans="1:19" x14ac:dyDescent="0.25">
      <c r="A213" t="s">
        <v>1444</v>
      </c>
      <c r="B213">
        <v>9003400200</v>
      </c>
      <c r="C213" t="s">
        <v>1445</v>
      </c>
      <c r="D213">
        <v>133417</v>
      </c>
      <c r="E213">
        <v>2.79</v>
      </c>
      <c r="F213">
        <v>79874.668600000005</v>
      </c>
      <c r="G213">
        <v>79.875</v>
      </c>
      <c r="H213">
        <v>0.876</v>
      </c>
      <c r="I213">
        <v>5</v>
      </c>
      <c r="J213">
        <v>1791</v>
      </c>
      <c r="K213">
        <v>0.26907153900000003</v>
      </c>
      <c r="L213">
        <v>0.06</v>
      </c>
      <c r="M213">
        <v>1</v>
      </c>
      <c r="N213">
        <v>0.25800000000000001</v>
      </c>
      <c r="O213">
        <v>2</v>
      </c>
      <c r="P213">
        <v>2</v>
      </c>
      <c r="S213" s="164" t="s">
        <v>944</v>
      </c>
    </row>
    <row r="214" spans="1:19" x14ac:dyDescent="0.25">
      <c r="A214" t="s">
        <v>1446</v>
      </c>
      <c r="B214">
        <v>9003400300</v>
      </c>
      <c r="C214" t="s">
        <v>1447</v>
      </c>
      <c r="D214">
        <v>99743</v>
      </c>
      <c r="E214">
        <v>2.4500000000000002</v>
      </c>
      <c r="F214">
        <v>63723.465219999998</v>
      </c>
      <c r="G214">
        <v>63.722999999999999</v>
      </c>
      <c r="H214">
        <v>0.71399999999999997</v>
      </c>
      <c r="I214">
        <v>4</v>
      </c>
      <c r="J214">
        <v>1591</v>
      </c>
      <c r="K214">
        <v>0.29960705900000001</v>
      </c>
      <c r="L214">
        <v>0.16700000000000001</v>
      </c>
      <c r="M214">
        <v>1</v>
      </c>
      <c r="N214">
        <v>0.39100000000000001</v>
      </c>
      <c r="O214">
        <v>2</v>
      </c>
      <c r="P214">
        <v>2</v>
      </c>
      <c r="S214" s="166" t="s">
        <v>944</v>
      </c>
    </row>
    <row r="215" spans="1:19" x14ac:dyDescent="0.25">
      <c r="A215" t="s">
        <v>1448</v>
      </c>
      <c r="B215">
        <v>9003405100</v>
      </c>
      <c r="C215" t="s">
        <v>1449</v>
      </c>
      <c r="D215">
        <v>70217</v>
      </c>
      <c r="E215">
        <v>2.73</v>
      </c>
      <c r="F215">
        <v>42497.261659999996</v>
      </c>
      <c r="G215">
        <v>42.497</v>
      </c>
      <c r="H215">
        <v>0.33100000000000002</v>
      </c>
      <c r="I215">
        <v>2</v>
      </c>
      <c r="J215">
        <v>1254</v>
      </c>
      <c r="K215">
        <v>0.35409340299999997</v>
      </c>
      <c r="L215">
        <v>0.502</v>
      </c>
      <c r="M215">
        <v>3</v>
      </c>
      <c r="N215">
        <v>0.71299999999999997</v>
      </c>
      <c r="O215">
        <v>4</v>
      </c>
      <c r="P215">
        <v>4</v>
      </c>
      <c r="S215" s="164" t="s">
        <v>944</v>
      </c>
    </row>
    <row r="216" spans="1:19" x14ac:dyDescent="0.25">
      <c r="A216" t="s">
        <v>1450</v>
      </c>
      <c r="B216">
        <v>9003405200</v>
      </c>
      <c r="C216" t="s">
        <v>1451</v>
      </c>
      <c r="D216">
        <v>66331</v>
      </c>
      <c r="E216">
        <v>2.11</v>
      </c>
      <c r="F216">
        <v>45664.14359</v>
      </c>
      <c r="G216">
        <v>45.664000000000001</v>
      </c>
      <c r="H216">
        <v>0.377</v>
      </c>
      <c r="I216">
        <v>2</v>
      </c>
      <c r="J216">
        <v>1014</v>
      </c>
      <c r="K216">
        <v>0.266467277</v>
      </c>
      <c r="L216">
        <v>5.5E-2</v>
      </c>
      <c r="M216">
        <v>1</v>
      </c>
      <c r="N216">
        <v>0.93200000000000005</v>
      </c>
      <c r="O216">
        <v>5</v>
      </c>
      <c r="P216">
        <v>5</v>
      </c>
      <c r="S216" s="166" t="s">
        <v>944</v>
      </c>
    </row>
    <row r="217" spans="1:19" x14ac:dyDescent="0.25">
      <c r="A217" t="s">
        <v>1452</v>
      </c>
      <c r="B217">
        <v>9003405300</v>
      </c>
      <c r="C217" t="s">
        <v>1453</v>
      </c>
      <c r="D217">
        <v>59552</v>
      </c>
      <c r="E217">
        <v>2.4700000000000002</v>
      </c>
      <c r="F217">
        <v>37892.030200000001</v>
      </c>
      <c r="G217">
        <v>37.892000000000003</v>
      </c>
      <c r="H217">
        <v>0.26400000000000001</v>
      </c>
      <c r="I217">
        <v>2</v>
      </c>
      <c r="J217">
        <v>1164</v>
      </c>
      <c r="K217">
        <v>0.36862632899999997</v>
      </c>
      <c r="L217">
        <v>0.58699999999999997</v>
      </c>
      <c r="M217">
        <v>3</v>
      </c>
      <c r="N217">
        <v>0.81299999999999994</v>
      </c>
      <c r="O217">
        <v>5</v>
      </c>
      <c r="P217">
        <v>5</v>
      </c>
      <c r="S217" s="164" t="s">
        <v>944</v>
      </c>
    </row>
    <row r="218" spans="1:19" x14ac:dyDescent="0.25">
      <c r="A218" t="s">
        <v>1454</v>
      </c>
      <c r="B218">
        <v>9003405401</v>
      </c>
      <c r="C218" t="s">
        <v>1455</v>
      </c>
      <c r="D218">
        <v>82266</v>
      </c>
      <c r="E218">
        <v>2.5299999999999998</v>
      </c>
      <c r="F218">
        <v>51720.191070000001</v>
      </c>
      <c r="G218">
        <v>51.72</v>
      </c>
      <c r="H218">
        <v>0.49399999999999999</v>
      </c>
      <c r="I218">
        <v>3</v>
      </c>
      <c r="J218">
        <v>1596</v>
      </c>
      <c r="K218">
        <v>0.37030025599999999</v>
      </c>
      <c r="L218">
        <v>0.59099999999999997</v>
      </c>
      <c r="M218">
        <v>3</v>
      </c>
      <c r="N218">
        <v>0.38500000000000001</v>
      </c>
      <c r="O218">
        <v>2</v>
      </c>
      <c r="P218">
        <v>3</v>
      </c>
      <c r="S218" s="166" t="s">
        <v>944</v>
      </c>
    </row>
    <row r="219" spans="1:19" x14ac:dyDescent="0.25">
      <c r="A219" t="s">
        <v>1456</v>
      </c>
      <c r="B219">
        <v>9003405402</v>
      </c>
      <c r="C219" t="s">
        <v>1457</v>
      </c>
      <c r="D219">
        <v>62212</v>
      </c>
      <c r="E219">
        <v>1.82</v>
      </c>
      <c r="F219">
        <v>46114.602489999997</v>
      </c>
      <c r="G219">
        <v>46.115000000000002</v>
      </c>
      <c r="H219">
        <v>0.38800000000000001</v>
      </c>
      <c r="I219">
        <v>2</v>
      </c>
      <c r="J219">
        <v>1094</v>
      </c>
      <c r="K219">
        <v>0.28468205899999999</v>
      </c>
      <c r="L219">
        <v>9.8000000000000004E-2</v>
      </c>
      <c r="M219">
        <v>1</v>
      </c>
      <c r="N219">
        <v>0.88100000000000001</v>
      </c>
      <c r="O219">
        <v>5</v>
      </c>
      <c r="P219">
        <v>5</v>
      </c>
      <c r="S219" s="164" t="s">
        <v>944</v>
      </c>
    </row>
    <row r="220" spans="1:19" x14ac:dyDescent="0.25">
      <c r="A220" t="s">
        <v>1458</v>
      </c>
      <c r="B220">
        <v>9003405500</v>
      </c>
      <c r="C220" t="s">
        <v>1459</v>
      </c>
      <c r="D220">
        <v>76318</v>
      </c>
      <c r="E220">
        <v>2.4700000000000002</v>
      </c>
      <c r="F220">
        <v>48559.980539999997</v>
      </c>
      <c r="G220">
        <v>48.56</v>
      </c>
      <c r="H220">
        <v>0.443</v>
      </c>
      <c r="I220">
        <v>3</v>
      </c>
      <c r="J220">
        <v>1269</v>
      </c>
      <c r="K220">
        <v>0.31359155900000002</v>
      </c>
      <c r="L220">
        <v>0.245</v>
      </c>
      <c r="M220">
        <v>2</v>
      </c>
      <c r="N220">
        <v>0.68899999999999995</v>
      </c>
      <c r="O220">
        <v>4</v>
      </c>
      <c r="P220">
        <v>4</v>
      </c>
      <c r="S220" s="166" t="s">
        <v>944</v>
      </c>
    </row>
    <row r="221" spans="1:19" x14ac:dyDescent="0.25">
      <c r="A221" t="s">
        <v>1460</v>
      </c>
      <c r="B221">
        <v>9003405600</v>
      </c>
      <c r="C221" t="s">
        <v>1461</v>
      </c>
      <c r="D221">
        <v>63167</v>
      </c>
      <c r="E221">
        <v>2.74</v>
      </c>
      <c r="F221">
        <v>38160.580269999999</v>
      </c>
      <c r="G221">
        <v>38.161000000000001</v>
      </c>
      <c r="H221">
        <v>0.26700000000000002</v>
      </c>
      <c r="I221">
        <v>2</v>
      </c>
      <c r="J221">
        <v>1345</v>
      </c>
      <c r="K221">
        <v>0.42294954299999998</v>
      </c>
      <c r="L221">
        <v>0.73899999999999999</v>
      </c>
      <c r="M221">
        <v>4</v>
      </c>
      <c r="N221">
        <v>0.61099999999999999</v>
      </c>
      <c r="O221">
        <v>4</v>
      </c>
      <c r="P221">
        <v>4</v>
      </c>
      <c r="S221" s="164" t="s">
        <v>944</v>
      </c>
    </row>
    <row r="222" spans="1:19" x14ac:dyDescent="0.25">
      <c r="A222" t="s">
        <v>1462</v>
      </c>
      <c r="B222">
        <v>9003405700</v>
      </c>
      <c r="C222" t="s">
        <v>1463</v>
      </c>
      <c r="D222">
        <v>43393</v>
      </c>
      <c r="E222">
        <v>2.1</v>
      </c>
      <c r="F222">
        <v>29944.01482</v>
      </c>
      <c r="G222">
        <v>29.943999999999999</v>
      </c>
      <c r="H222">
        <v>0.16700000000000001</v>
      </c>
      <c r="I222">
        <v>1</v>
      </c>
      <c r="J222">
        <v>1098</v>
      </c>
      <c r="K222">
        <v>0.440021155</v>
      </c>
      <c r="L222">
        <v>0.76800000000000002</v>
      </c>
      <c r="M222">
        <v>4</v>
      </c>
      <c r="N222">
        <v>0.875</v>
      </c>
      <c r="O222">
        <v>5</v>
      </c>
      <c r="P222">
        <v>5</v>
      </c>
      <c r="S222" s="166" t="s">
        <v>936</v>
      </c>
    </row>
    <row r="223" spans="1:19" x14ac:dyDescent="0.25">
      <c r="A223" t="s">
        <v>1464</v>
      </c>
      <c r="B223">
        <v>9003405800</v>
      </c>
      <c r="C223" t="s">
        <v>1465</v>
      </c>
      <c r="D223">
        <v>85524</v>
      </c>
      <c r="E223">
        <v>2.5499999999999998</v>
      </c>
      <c r="F223">
        <v>53557.206270000002</v>
      </c>
      <c r="G223">
        <v>53.557000000000002</v>
      </c>
      <c r="H223">
        <v>0.53200000000000003</v>
      </c>
      <c r="I223">
        <v>3</v>
      </c>
      <c r="J223">
        <v>1496</v>
      </c>
      <c r="K223">
        <v>0.33519298800000003</v>
      </c>
      <c r="L223">
        <v>0.39700000000000002</v>
      </c>
      <c r="M223">
        <v>2</v>
      </c>
      <c r="N223">
        <v>0.47599999999999998</v>
      </c>
      <c r="O223">
        <v>3</v>
      </c>
      <c r="P223">
        <v>3</v>
      </c>
      <c r="S223" s="164" t="s">
        <v>944</v>
      </c>
    </row>
    <row r="224" spans="1:19" x14ac:dyDescent="0.25">
      <c r="A224" t="s">
        <v>1466</v>
      </c>
      <c r="B224">
        <v>9003405900</v>
      </c>
      <c r="C224" t="s">
        <v>1467</v>
      </c>
      <c r="D224">
        <v>91250</v>
      </c>
      <c r="E224">
        <v>2.65</v>
      </c>
      <c r="F224">
        <v>56054.429409999997</v>
      </c>
      <c r="G224">
        <v>56.054000000000002</v>
      </c>
      <c r="H224">
        <v>0.58199999999999996</v>
      </c>
      <c r="I224">
        <v>3</v>
      </c>
      <c r="J224">
        <v>1361</v>
      </c>
      <c r="K224">
        <v>0.29135966899999999</v>
      </c>
      <c r="L224">
        <v>0.124</v>
      </c>
      <c r="M224">
        <v>1</v>
      </c>
      <c r="N224">
        <v>0.59799999999999998</v>
      </c>
      <c r="O224">
        <v>3</v>
      </c>
      <c r="P224">
        <v>3</v>
      </c>
      <c r="S224" s="166" t="s">
        <v>944</v>
      </c>
    </row>
    <row r="225" spans="1:19" x14ac:dyDescent="0.25">
      <c r="A225" t="s">
        <v>1468</v>
      </c>
      <c r="B225">
        <v>9003406001</v>
      </c>
      <c r="C225" t="s">
        <v>1469</v>
      </c>
      <c r="D225">
        <v>50799</v>
      </c>
      <c r="E225">
        <v>2.46</v>
      </c>
      <c r="F225">
        <v>32388.259450000001</v>
      </c>
      <c r="G225">
        <v>32.387999999999998</v>
      </c>
      <c r="H225">
        <v>0.20399999999999999</v>
      </c>
      <c r="I225">
        <v>2</v>
      </c>
      <c r="J225">
        <v>1107</v>
      </c>
      <c r="K225">
        <v>0.41014862299999999</v>
      </c>
      <c r="L225">
        <v>0.70399999999999996</v>
      </c>
      <c r="M225">
        <v>4</v>
      </c>
      <c r="N225">
        <v>0.86899999999999999</v>
      </c>
      <c r="O225">
        <v>5</v>
      </c>
      <c r="P225">
        <v>5</v>
      </c>
      <c r="S225" s="164" t="s">
        <v>944</v>
      </c>
    </row>
    <row r="226" spans="1:19" x14ac:dyDescent="0.25">
      <c r="A226" t="s">
        <v>1470</v>
      </c>
      <c r="B226">
        <v>9003406002</v>
      </c>
      <c r="C226" t="s">
        <v>1471</v>
      </c>
      <c r="D226">
        <v>82702</v>
      </c>
      <c r="E226">
        <v>2.27</v>
      </c>
      <c r="F226">
        <v>54891.245320000002</v>
      </c>
      <c r="G226">
        <v>54.890999999999998</v>
      </c>
      <c r="H226">
        <v>0.55600000000000005</v>
      </c>
      <c r="I226">
        <v>3</v>
      </c>
      <c r="J226">
        <v>1362</v>
      </c>
      <c r="K226">
        <v>0.297752399</v>
      </c>
      <c r="L226">
        <v>0.155</v>
      </c>
      <c r="M226">
        <v>1</v>
      </c>
      <c r="N226">
        <v>0.59699999999999998</v>
      </c>
      <c r="O226">
        <v>3</v>
      </c>
      <c r="P226">
        <v>3</v>
      </c>
      <c r="S226" s="166" t="s">
        <v>944</v>
      </c>
    </row>
    <row r="227" spans="1:19" x14ac:dyDescent="0.25">
      <c r="A227" t="s">
        <v>1472</v>
      </c>
      <c r="B227">
        <v>9003406100</v>
      </c>
      <c r="C227" t="s">
        <v>1473</v>
      </c>
      <c r="D227">
        <v>45903</v>
      </c>
      <c r="E227">
        <v>2.25</v>
      </c>
      <c r="F227">
        <v>30602</v>
      </c>
      <c r="G227">
        <v>30.602</v>
      </c>
      <c r="H227">
        <v>0.17799999999999999</v>
      </c>
      <c r="I227">
        <v>1</v>
      </c>
      <c r="J227">
        <v>993</v>
      </c>
      <c r="K227">
        <v>0.38938631499999998</v>
      </c>
      <c r="L227">
        <v>0.66100000000000003</v>
      </c>
      <c r="M227">
        <v>4</v>
      </c>
      <c r="N227">
        <v>0.94599999999999995</v>
      </c>
      <c r="O227">
        <v>5</v>
      </c>
      <c r="P227">
        <v>5</v>
      </c>
      <c r="S227" s="164" t="s">
        <v>936</v>
      </c>
    </row>
    <row r="228" spans="1:19" x14ac:dyDescent="0.25">
      <c r="A228" t="s">
        <v>1474</v>
      </c>
      <c r="B228">
        <v>9003410101</v>
      </c>
      <c r="C228" t="s">
        <v>1475</v>
      </c>
      <c r="D228">
        <v>117401</v>
      </c>
      <c r="E228">
        <v>2.77</v>
      </c>
      <c r="F228">
        <v>70539.424419999996</v>
      </c>
      <c r="G228">
        <v>70.539000000000001</v>
      </c>
      <c r="H228">
        <v>0.80900000000000005</v>
      </c>
      <c r="I228">
        <v>5</v>
      </c>
      <c r="J228">
        <v>1833</v>
      </c>
      <c r="K228">
        <v>0.311825623</v>
      </c>
      <c r="L228">
        <v>0.23400000000000001</v>
      </c>
      <c r="M228">
        <v>2</v>
      </c>
      <c r="N228">
        <v>0.24099999999999999</v>
      </c>
      <c r="O228">
        <v>2</v>
      </c>
      <c r="P228">
        <v>2</v>
      </c>
      <c r="S228" s="166" t="s">
        <v>944</v>
      </c>
    </row>
    <row r="229" spans="1:19" x14ac:dyDescent="0.25">
      <c r="A229" t="s">
        <v>1476</v>
      </c>
      <c r="B229">
        <v>9003410102</v>
      </c>
      <c r="C229" t="s">
        <v>1477</v>
      </c>
      <c r="D229">
        <v>136719</v>
      </c>
      <c r="E229">
        <v>2.81</v>
      </c>
      <c r="F229">
        <v>81559.717569999993</v>
      </c>
      <c r="G229">
        <v>81.56</v>
      </c>
      <c r="H229">
        <v>0.89300000000000002</v>
      </c>
      <c r="I229">
        <v>5</v>
      </c>
      <c r="J229">
        <v>1985</v>
      </c>
      <c r="K229">
        <v>0.29205594000000001</v>
      </c>
      <c r="L229">
        <v>0.127</v>
      </c>
      <c r="M229">
        <v>1</v>
      </c>
      <c r="N229">
        <v>0.16700000000000001</v>
      </c>
      <c r="O229">
        <v>1</v>
      </c>
      <c r="P229">
        <v>1</v>
      </c>
      <c r="S229" s="164" t="s">
        <v>944</v>
      </c>
    </row>
    <row r="230" spans="1:19" x14ac:dyDescent="0.25">
      <c r="A230" t="s">
        <v>1478</v>
      </c>
      <c r="B230">
        <v>9003415300</v>
      </c>
      <c r="C230" t="s">
        <v>1479</v>
      </c>
      <c r="D230">
        <v>33049</v>
      </c>
      <c r="E230">
        <v>2.41</v>
      </c>
      <c r="F230">
        <v>21288.732349999998</v>
      </c>
      <c r="G230">
        <v>21.289000000000001</v>
      </c>
      <c r="H230">
        <v>7.3999999999999996E-2</v>
      </c>
      <c r="I230">
        <v>1</v>
      </c>
      <c r="J230">
        <v>1054</v>
      </c>
      <c r="K230">
        <v>0.59411710299999998</v>
      </c>
      <c r="L230">
        <v>0.91600000000000004</v>
      </c>
      <c r="M230">
        <v>5</v>
      </c>
      <c r="N230">
        <v>0.90600000000000003</v>
      </c>
      <c r="O230">
        <v>5</v>
      </c>
      <c r="P230">
        <v>5</v>
      </c>
      <c r="S230" s="166" t="s">
        <v>936</v>
      </c>
    </row>
    <row r="231" spans="1:19" x14ac:dyDescent="0.25">
      <c r="A231" t="s">
        <v>1480</v>
      </c>
      <c r="B231">
        <v>9003415400</v>
      </c>
      <c r="C231" t="s">
        <v>1481</v>
      </c>
      <c r="D231">
        <v>45828</v>
      </c>
      <c r="E231">
        <v>2.64</v>
      </c>
      <c r="F231">
        <v>28205.184239999999</v>
      </c>
      <c r="G231">
        <v>28.204999999999998</v>
      </c>
      <c r="H231">
        <v>0.14399999999999999</v>
      </c>
      <c r="I231">
        <v>1</v>
      </c>
      <c r="J231">
        <v>1129</v>
      </c>
      <c r="K231">
        <v>0.480337228</v>
      </c>
      <c r="L231">
        <v>0.82199999999999995</v>
      </c>
      <c r="M231">
        <v>5</v>
      </c>
      <c r="N231">
        <v>0.84</v>
      </c>
      <c r="O231">
        <v>5</v>
      </c>
      <c r="P231">
        <v>5</v>
      </c>
      <c r="S231" s="164" t="s">
        <v>936</v>
      </c>
    </row>
    <row r="232" spans="1:19" x14ac:dyDescent="0.25">
      <c r="A232" t="s">
        <v>1482</v>
      </c>
      <c r="B232">
        <v>9003415500</v>
      </c>
      <c r="C232" t="s">
        <v>1483</v>
      </c>
      <c r="D232">
        <v>33056</v>
      </c>
      <c r="E232">
        <v>2.65</v>
      </c>
      <c r="F232">
        <v>20306.139380000001</v>
      </c>
      <c r="G232">
        <v>20.306000000000001</v>
      </c>
      <c r="H232">
        <v>6.0999999999999999E-2</v>
      </c>
      <c r="I232">
        <v>1</v>
      </c>
      <c r="J232">
        <v>1190</v>
      </c>
      <c r="K232">
        <v>0.70323559499999999</v>
      </c>
      <c r="L232">
        <v>0.96699999999999997</v>
      </c>
      <c r="M232">
        <v>5</v>
      </c>
      <c r="N232">
        <v>0.78200000000000003</v>
      </c>
      <c r="O232">
        <v>4</v>
      </c>
      <c r="P232">
        <v>5</v>
      </c>
      <c r="S232" s="166" t="s">
        <v>936</v>
      </c>
    </row>
    <row r="233" spans="1:19" x14ac:dyDescent="0.25">
      <c r="A233" t="s">
        <v>1484</v>
      </c>
      <c r="B233">
        <v>9003415600</v>
      </c>
      <c r="C233" t="s">
        <v>1485</v>
      </c>
      <c r="D233">
        <v>49125</v>
      </c>
      <c r="E233">
        <v>2.8</v>
      </c>
      <c r="F233">
        <v>29357.80272</v>
      </c>
      <c r="G233">
        <v>29.358000000000001</v>
      </c>
      <c r="H233">
        <v>0.161</v>
      </c>
      <c r="I233">
        <v>1</v>
      </c>
      <c r="J233">
        <v>1072</v>
      </c>
      <c r="K233">
        <v>0.43817993199999999</v>
      </c>
      <c r="L233">
        <v>0.76700000000000002</v>
      </c>
      <c r="M233">
        <v>4</v>
      </c>
      <c r="N233">
        <v>0.89500000000000002</v>
      </c>
      <c r="O233">
        <v>5</v>
      </c>
      <c r="P233">
        <v>5</v>
      </c>
      <c r="S233" s="164" t="s">
        <v>944</v>
      </c>
    </row>
    <row r="234" spans="1:19" x14ac:dyDescent="0.25">
      <c r="A234" t="s">
        <v>1486</v>
      </c>
      <c r="B234">
        <v>9003415700</v>
      </c>
      <c r="C234" t="s">
        <v>1487</v>
      </c>
      <c r="D234">
        <v>49583</v>
      </c>
      <c r="E234">
        <v>2.44</v>
      </c>
      <c r="F234">
        <v>31742.26309</v>
      </c>
      <c r="G234">
        <v>31.742000000000001</v>
      </c>
      <c r="H234">
        <v>0.19800000000000001</v>
      </c>
      <c r="I234">
        <v>1</v>
      </c>
      <c r="J234">
        <v>1087</v>
      </c>
      <c r="K234">
        <v>0.41093478300000003</v>
      </c>
      <c r="L234">
        <v>0.70599999999999996</v>
      </c>
      <c r="M234">
        <v>4</v>
      </c>
      <c r="N234">
        <v>0.88400000000000001</v>
      </c>
      <c r="O234">
        <v>5</v>
      </c>
      <c r="P234">
        <v>5</v>
      </c>
      <c r="S234" s="166" t="s">
        <v>944</v>
      </c>
    </row>
    <row r="235" spans="1:19" x14ac:dyDescent="0.25">
      <c r="A235" t="s">
        <v>1488</v>
      </c>
      <c r="B235">
        <v>9003415800</v>
      </c>
      <c r="C235" t="s">
        <v>1489</v>
      </c>
      <c r="D235">
        <v>48824</v>
      </c>
      <c r="E235">
        <v>2.42</v>
      </c>
      <c r="F235">
        <v>31385.2559</v>
      </c>
      <c r="G235">
        <v>31.385000000000002</v>
      </c>
      <c r="H235">
        <v>0.19500000000000001</v>
      </c>
      <c r="I235">
        <v>1</v>
      </c>
      <c r="J235">
        <v>1157</v>
      </c>
      <c r="K235">
        <v>0.44237332499999998</v>
      </c>
      <c r="L235">
        <v>0.77400000000000002</v>
      </c>
      <c r="M235">
        <v>4</v>
      </c>
      <c r="N235">
        <v>0.81699999999999995</v>
      </c>
      <c r="O235">
        <v>5</v>
      </c>
      <c r="P235">
        <v>5</v>
      </c>
      <c r="S235" s="164" t="s">
        <v>944</v>
      </c>
    </row>
    <row r="236" spans="1:19" x14ac:dyDescent="0.25">
      <c r="A236" t="s">
        <v>1490</v>
      </c>
      <c r="B236">
        <v>9003415900</v>
      </c>
      <c r="C236" t="s">
        <v>1491</v>
      </c>
      <c r="D236">
        <v>28636</v>
      </c>
      <c r="E236">
        <v>1.93</v>
      </c>
      <c r="F236">
        <v>20612.643840000001</v>
      </c>
      <c r="G236">
        <v>20.613</v>
      </c>
      <c r="H236">
        <v>6.3E-2</v>
      </c>
      <c r="I236">
        <v>1</v>
      </c>
      <c r="J236">
        <v>887</v>
      </c>
      <c r="K236">
        <v>0.51638208500000005</v>
      </c>
      <c r="L236">
        <v>0.86299999999999999</v>
      </c>
      <c r="M236">
        <v>5</v>
      </c>
      <c r="N236">
        <v>0.97499999999999998</v>
      </c>
      <c r="O236">
        <v>5</v>
      </c>
      <c r="P236">
        <v>5</v>
      </c>
      <c r="S236" s="166" t="s">
        <v>936</v>
      </c>
    </row>
    <row r="237" spans="1:19" x14ac:dyDescent="0.25">
      <c r="A237" t="s">
        <v>1492</v>
      </c>
      <c r="B237">
        <v>9003416000</v>
      </c>
      <c r="C237" t="s">
        <v>1493</v>
      </c>
      <c r="D237">
        <v>41616</v>
      </c>
      <c r="E237">
        <v>2.63</v>
      </c>
      <c r="F237">
        <v>25661.52493</v>
      </c>
      <c r="G237">
        <v>25.661999999999999</v>
      </c>
      <c r="H237">
        <v>0.121</v>
      </c>
      <c r="I237">
        <v>1</v>
      </c>
      <c r="J237">
        <v>886</v>
      </c>
      <c r="K237">
        <v>0.41431676499999998</v>
      </c>
      <c r="L237">
        <v>0.71199999999999997</v>
      </c>
      <c r="M237">
        <v>4</v>
      </c>
      <c r="N237">
        <v>0.97599999999999998</v>
      </c>
      <c r="O237">
        <v>5</v>
      </c>
      <c r="P237">
        <v>5</v>
      </c>
      <c r="S237" s="164" t="s">
        <v>936</v>
      </c>
    </row>
    <row r="238" spans="1:19" x14ac:dyDescent="0.25">
      <c r="A238" t="s">
        <v>1494</v>
      </c>
      <c r="B238">
        <v>9003416100</v>
      </c>
      <c r="C238" t="s">
        <v>1495</v>
      </c>
      <c r="D238">
        <v>30293</v>
      </c>
      <c r="E238">
        <v>2.54</v>
      </c>
      <c r="F238">
        <v>19007.51871</v>
      </c>
      <c r="G238">
        <v>19.007999999999999</v>
      </c>
      <c r="H238">
        <v>4.9000000000000002E-2</v>
      </c>
      <c r="I238">
        <v>1</v>
      </c>
      <c r="J238">
        <v>1025</v>
      </c>
      <c r="K238">
        <v>0.64711234500000003</v>
      </c>
      <c r="L238">
        <v>0.94599999999999995</v>
      </c>
      <c r="M238">
        <v>5</v>
      </c>
      <c r="N238">
        <v>0.92400000000000004</v>
      </c>
      <c r="O238">
        <v>5</v>
      </c>
      <c r="P238">
        <v>5</v>
      </c>
      <c r="S238" s="166" t="s">
        <v>936</v>
      </c>
    </row>
    <row r="239" spans="1:19" x14ac:dyDescent="0.25">
      <c r="A239" t="s">
        <v>1496</v>
      </c>
      <c r="B239">
        <v>9003416200</v>
      </c>
      <c r="C239" t="s">
        <v>1497</v>
      </c>
      <c r="D239">
        <v>35463</v>
      </c>
      <c r="E239">
        <v>2.4</v>
      </c>
      <c r="F239">
        <v>22891.268069999998</v>
      </c>
      <c r="G239">
        <v>22.890999999999998</v>
      </c>
      <c r="H239">
        <v>9.2999999999999999E-2</v>
      </c>
      <c r="I239">
        <v>1</v>
      </c>
      <c r="J239">
        <v>998</v>
      </c>
      <c r="K239">
        <v>0.52316892000000004</v>
      </c>
      <c r="L239">
        <v>0.86699999999999999</v>
      </c>
      <c r="M239">
        <v>5</v>
      </c>
      <c r="N239">
        <v>0.94299999999999995</v>
      </c>
      <c r="O239">
        <v>5</v>
      </c>
      <c r="P239">
        <v>5</v>
      </c>
      <c r="S239" s="164" t="s">
        <v>936</v>
      </c>
    </row>
    <row r="240" spans="1:19" x14ac:dyDescent="0.25">
      <c r="A240" t="s">
        <v>1498</v>
      </c>
      <c r="B240">
        <v>9003416300</v>
      </c>
      <c r="C240" t="s">
        <v>1499</v>
      </c>
      <c r="D240">
        <v>37463</v>
      </c>
      <c r="E240">
        <v>2.5499999999999998</v>
      </c>
      <c r="F240">
        <v>23460.24062</v>
      </c>
      <c r="G240">
        <v>23.46</v>
      </c>
      <c r="H240">
        <v>9.9000000000000005E-2</v>
      </c>
      <c r="I240">
        <v>1</v>
      </c>
      <c r="J240">
        <v>946</v>
      </c>
      <c r="K240">
        <v>0.48388250500000002</v>
      </c>
      <c r="L240">
        <v>0.82599999999999996</v>
      </c>
      <c r="M240">
        <v>5</v>
      </c>
      <c r="N240">
        <v>0.96299999999999997</v>
      </c>
      <c r="O240">
        <v>5</v>
      </c>
      <c r="P240">
        <v>5</v>
      </c>
      <c r="S240" s="166" t="s">
        <v>936</v>
      </c>
    </row>
    <row r="241" spans="1:19" x14ac:dyDescent="0.25">
      <c r="A241" t="s">
        <v>1500</v>
      </c>
      <c r="B241">
        <v>9003416400</v>
      </c>
      <c r="C241" t="s">
        <v>1501</v>
      </c>
      <c r="D241">
        <v>96658</v>
      </c>
      <c r="E241">
        <v>2.59</v>
      </c>
      <c r="F241">
        <v>60060.358840000001</v>
      </c>
      <c r="G241">
        <v>60.06</v>
      </c>
      <c r="H241">
        <v>0.65600000000000003</v>
      </c>
      <c r="I241">
        <v>4</v>
      </c>
      <c r="J241">
        <v>1560</v>
      </c>
      <c r="K241">
        <v>0.31168644899999998</v>
      </c>
      <c r="L241">
        <v>0.23300000000000001</v>
      </c>
      <c r="M241">
        <v>2</v>
      </c>
      <c r="N241">
        <v>0.42</v>
      </c>
      <c r="O241">
        <v>3</v>
      </c>
      <c r="P241">
        <v>3</v>
      </c>
      <c r="S241" s="164" t="s">
        <v>944</v>
      </c>
    </row>
    <row r="242" spans="1:19" x14ac:dyDescent="0.25">
      <c r="A242" t="s">
        <v>1502</v>
      </c>
      <c r="B242">
        <v>9003416500</v>
      </c>
      <c r="C242" t="s">
        <v>1503</v>
      </c>
      <c r="D242">
        <v>53617</v>
      </c>
      <c r="E242">
        <v>2.71</v>
      </c>
      <c r="F242">
        <v>32570.007989999998</v>
      </c>
      <c r="G242">
        <v>32.57</v>
      </c>
      <c r="H242">
        <v>0.20699999999999999</v>
      </c>
      <c r="I242">
        <v>2</v>
      </c>
      <c r="J242">
        <v>1244</v>
      </c>
      <c r="K242">
        <v>0.458335779</v>
      </c>
      <c r="L242">
        <v>0.79600000000000004</v>
      </c>
      <c r="M242">
        <v>4</v>
      </c>
      <c r="N242">
        <v>0.71899999999999997</v>
      </c>
      <c r="O242">
        <v>4</v>
      </c>
      <c r="P242">
        <v>4</v>
      </c>
      <c r="S242" s="166" t="s">
        <v>944</v>
      </c>
    </row>
    <row r="243" spans="1:19" x14ac:dyDescent="0.25">
      <c r="A243" t="s">
        <v>1504</v>
      </c>
      <c r="B243">
        <v>9003416600</v>
      </c>
      <c r="C243" t="s">
        <v>1505</v>
      </c>
      <c r="D243">
        <v>30563</v>
      </c>
      <c r="E243">
        <v>2.4500000000000002</v>
      </c>
      <c r="F243">
        <v>19525.98446</v>
      </c>
      <c r="G243">
        <v>19.526</v>
      </c>
      <c r="H243">
        <v>5.2999999999999999E-2</v>
      </c>
      <c r="I243">
        <v>1</v>
      </c>
      <c r="J243">
        <v>947</v>
      </c>
      <c r="K243">
        <v>0.58199370299999997</v>
      </c>
      <c r="L243">
        <v>0.90900000000000003</v>
      </c>
      <c r="M243">
        <v>5</v>
      </c>
      <c r="N243">
        <v>0.96</v>
      </c>
      <c r="O243">
        <v>5</v>
      </c>
      <c r="P243">
        <v>5</v>
      </c>
      <c r="S243" s="164" t="s">
        <v>936</v>
      </c>
    </row>
    <row r="244" spans="1:19" x14ac:dyDescent="0.25">
      <c r="A244" t="s">
        <v>1506</v>
      </c>
      <c r="B244">
        <v>9003416700</v>
      </c>
      <c r="C244" t="s">
        <v>1507</v>
      </c>
      <c r="D244">
        <v>46326</v>
      </c>
      <c r="E244">
        <v>2.54</v>
      </c>
      <c r="F244">
        <v>29067.517629999998</v>
      </c>
      <c r="G244">
        <v>29.068000000000001</v>
      </c>
      <c r="H244">
        <v>0.153</v>
      </c>
      <c r="I244">
        <v>1</v>
      </c>
      <c r="J244">
        <v>1198</v>
      </c>
      <c r="K244">
        <v>0.49457267700000002</v>
      </c>
      <c r="L244">
        <v>0.83799999999999997</v>
      </c>
      <c r="M244">
        <v>5</v>
      </c>
      <c r="N244">
        <v>0.76700000000000002</v>
      </c>
      <c r="O244">
        <v>4</v>
      </c>
      <c r="P244">
        <v>5</v>
      </c>
      <c r="S244" s="166" t="s">
        <v>936</v>
      </c>
    </row>
    <row r="245" spans="1:19" x14ac:dyDescent="0.25">
      <c r="A245" t="s">
        <v>1508</v>
      </c>
      <c r="B245">
        <v>9003416800</v>
      </c>
      <c r="C245" t="s">
        <v>1509</v>
      </c>
      <c r="D245">
        <v>62788</v>
      </c>
      <c r="E245">
        <v>2.44</v>
      </c>
      <c r="F245">
        <v>40195.898090000002</v>
      </c>
      <c r="G245">
        <v>40.195999999999998</v>
      </c>
      <c r="H245">
        <v>0.29599999999999999</v>
      </c>
      <c r="I245">
        <v>2</v>
      </c>
      <c r="J245">
        <v>1102</v>
      </c>
      <c r="K245">
        <v>0.328988793</v>
      </c>
      <c r="L245">
        <v>0.34599999999999997</v>
      </c>
      <c r="M245">
        <v>2</v>
      </c>
      <c r="N245">
        <v>0.874</v>
      </c>
      <c r="O245">
        <v>5</v>
      </c>
      <c r="P245">
        <v>5</v>
      </c>
      <c r="S245" s="164" t="s">
        <v>944</v>
      </c>
    </row>
    <row r="246" spans="1:19" x14ac:dyDescent="0.25">
      <c r="A246" t="s">
        <v>1510</v>
      </c>
      <c r="B246">
        <v>9003417100</v>
      </c>
      <c r="C246" t="s">
        <v>1511</v>
      </c>
      <c r="D246">
        <v>29755</v>
      </c>
      <c r="E246">
        <v>1.97</v>
      </c>
      <c r="F246">
        <v>21199.559720000001</v>
      </c>
      <c r="G246">
        <v>21.2</v>
      </c>
      <c r="H246">
        <v>7.1999999999999995E-2</v>
      </c>
      <c r="I246">
        <v>1</v>
      </c>
      <c r="J246">
        <v>803</v>
      </c>
      <c r="K246">
        <v>0.45453774200000002</v>
      </c>
      <c r="L246">
        <v>0.78900000000000003</v>
      </c>
      <c r="M246">
        <v>4</v>
      </c>
      <c r="N246">
        <v>0.98699999999999999</v>
      </c>
      <c r="O246">
        <v>5</v>
      </c>
      <c r="P246">
        <v>5</v>
      </c>
      <c r="S246" s="166" t="s">
        <v>936</v>
      </c>
    </row>
    <row r="247" spans="1:19" x14ac:dyDescent="0.25">
      <c r="A247" t="s">
        <v>1512</v>
      </c>
      <c r="B247">
        <v>9003417200</v>
      </c>
      <c r="C247" t="s">
        <v>1513</v>
      </c>
      <c r="D247">
        <v>32378</v>
      </c>
      <c r="E247">
        <v>2.38</v>
      </c>
      <c r="F247">
        <v>20987.54016</v>
      </c>
      <c r="G247">
        <v>20.988</v>
      </c>
      <c r="H247">
        <v>6.8000000000000005E-2</v>
      </c>
      <c r="I247">
        <v>1</v>
      </c>
      <c r="J247">
        <v>1254</v>
      </c>
      <c r="K247">
        <v>0.71699684100000005</v>
      </c>
      <c r="L247">
        <v>0.96899999999999997</v>
      </c>
      <c r="M247">
        <v>5</v>
      </c>
      <c r="N247">
        <v>0.71299999999999997</v>
      </c>
      <c r="O247">
        <v>4</v>
      </c>
      <c r="P247">
        <v>5</v>
      </c>
      <c r="S247" s="164" t="s">
        <v>936</v>
      </c>
    </row>
    <row r="248" spans="1:19" x14ac:dyDescent="0.25">
      <c r="A248" t="s">
        <v>1514</v>
      </c>
      <c r="B248">
        <v>9003417400</v>
      </c>
      <c r="C248" t="s">
        <v>1515</v>
      </c>
      <c r="D248">
        <v>76724</v>
      </c>
      <c r="E248">
        <v>2.02</v>
      </c>
      <c r="F248">
        <v>53982.818019999999</v>
      </c>
      <c r="G248">
        <v>53.982999999999997</v>
      </c>
      <c r="H248">
        <v>0.54300000000000004</v>
      </c>
      <c r="I248">
        <v>3</v>
      </c>
      <c r="J248">
        <v>1313</v>
      </c>
      <c r="K248">
        <v>0.29187064699999998</v>
      </c>
      <c r="L248">
        <v>0.126</v>
      </c>
      <c r="M248">
        <v>1</v>
      </c>
      <c r="N248">
        <v>0.64300000000000002</v>
      </c>
      <c r="O248">
        <v>4</v>
      </c>
      <c r="P248">
        <v>4</v>
      </c>
      <c r="S248" s="166" t="s">
        <v>944</v>
      </c>
    </row>
    <row r="249" spans="1:19" x14ac:dyDescent="0.25">
      <c r="A249" t="s">
        <v>1516</v>
      </c>
      <c r="B249">
        <v>9003417500</v>
      </c>
      <c r="C249" t="s">
        <v>1517</v>
      </c>
      <c r="D249">
        <v>62462</v>
      </c>
      <c r="E249">
        <v>2.27</v>
      </c>
      <c r="F249">
        <v>41457.485489999999</v>
      </c>
      <c r="G249">
        <v>41.457000000000001</v>
      </c>
      <c r="H249">
        <v>0.308</v>
      </c>
      <c r="I249">
        <v>2</v>
      </c>
      <c r="J249">
        <v>1116</v>
      </c>
      <c r="K249">
        <v>0.32302972200000002</v>
      </c>
      <c r="L249">
        <v>0.31900000000000001</v>
      </c>
      <c r="M249">
        <v>2</v>
      </c>
      <c r="N249">
        <v>0.85899999999999999</v>
      </c>
      <c r="O249">
        <v>5</v>
      </c>
      <c r="P249">
        <v>5</v>
      </c>
      <c r="S249" s="164" t="s">
        <v>944</v>
      </c>
    </row>
    <row r="250" spans="1:19" x14ac:dyDescent="0.25">
      <c r="A250" t="s">
        <v>1518</v>
      </c>
      <c r="B250">
        <v>9003420400</v>
      </c>
      <c r="C250" t="s">
        <v>1519</v>
      </c>
      <c r="D250">
        <v>91129</v>
      </c>
      <c r="E250">
        <v>2.6</v>
      </c>
      <c r="F250">
        <v>56515.806640000003</v>
      </c>
      <c r="G250">
        <v>56.515999999999998</v>
      </c>
      <c r="H250">
        <v>0.58899999999999997</v>
      </c>
      <c r="I250">
        <v>3</v>
      </c>
      <c r="J250">
        <v>1605</v>
      </c>
      <c r="K250">
        <v>0.34078961499999999</v>
      </c>
      <c r="L250">
        <v>0.42299999999999999</v>
      </c>
      <c r="M250">
        <v>3</v>
      </c>
      <c r="N250">
        <v>0.379</v>
      </c>
      <c r="O250">
        <v>2</v>
      </c>
      <c r="P250">
        <v>3</v>
      </c>
      <c r="S250" s="166" t="s">
        <v>944</v>
      </c>
    </row>
    <row r="251" spans="1:19" x14ac:dyDescent="0.25">
      <c r="A251" t="s">
        <v>1520</v>
      </c>
      <c r="B251">
        <v>9003420500</v>
      </c>
      <c r="C251" t="s">
        <v>1521</v>
      </c>
      <c r="D251">
        <v>62060</v>
      </c>
      <c r="E251">
        <v>2.14</v>
      </c>
      <c r="F251">
        <v>42423.342629999999</v>
      </c>
      <c r="G251">
        <v>42.423000000000002</v>
      </c>
      <c r="H251">
        <v>0.32900000000000001</v>
      </c>
      <c r="I251">
        <v>2</v>
      </c>
      <c r="J251">
        <v>1181</v>
      </c>
      <c r="K251">
        <v>0.334061371</v>
      </c>
      <c r="L251">
        <v>0.38800000000000001</v>
      </c>
      <c r="M251">
        <v>2</v>
      </c>
      <c r="N251">
        <v>0.79700000000000004</v>
      </c>
      <c r="O251">
        <v>4</v>
      </c>
      <c r="P251">
        <v>4</v>
      </c>
      <c r="S251" s="164" t="s">
        <v>944</v>
      </c>
    </row>
    <row r="252" spans="1:19" x14ac:dyDescent="0.25">
      <c r="A252" t="s">
        <v>1522</v>
      </c>
      <c r="B252">
        <v>9003420600</v>
      </c>
      <c r="C252" t="s">
        <v>1523</v>
      </c>
      <c r="D252">
        <v>71316</v>
      </c>
      <c r="E252">
        <v>2.2200000000000002</v>
      </c>
      <c r="F252">
        <v>47864.165229999999</v>
      </c>
      <c r="G252">
        <v>47.863999999999997</v>
      </c>
      <c r="H252">
        <v>0.42499999999999999</v>
      </c>
      <c r="I252">
        <v>3</v>
      </c>
      <c r="J252">
        <v>1250</v>
      </c>
      <c r="K252">
        <v>0.31338685100000002</v>
      </c>
      <c r="L252">
        <v>0.24399999999999999</v>
      </c>
      <c r="M252">
        <v>2</v>
      </c>
      <c r="N252">
        <v>0.71499999999999997</v>
      </c>
      <c r="O252">
        <v>4</v>
      </c>
      <c r="P252">
        <v>4</v>
      </c>
      <c r="S252" s="166" t="s">
        <v>944</v>
      </c>
    </row>
    <row r="253" spans="1:19" x14ac:dyDescent="0.25">
      <c r="A253" t="s">
        <v>1524</v>
      </c>
      <c r="B253">
        <v>9003420700</v>
      </c>
      <c r="C253" t="s">
        <v>1525</v>
      </c>
      <c r="D253">
        <v>74732</v>
      </c>
      <c r="E253">
        <v>2.37</v>
      </c>
      <c r="F253">
        <v>48543.650479999997</v>
      </c>
      <c r="G253">
        <v>48.543999999999997</v>
      </c>
      <c r="H253">
        <v>0.442</v>
      </c>
      <c r="I253">
        <v>3</v>
      </c>
      <c r="J253">
        <v>1254</v>
      </c>
      <c r="K253">
        <v>0.30998904799999999</v>
      </c>
      <c r="L253">
        <v>0.22600000000000001</v>
      </c>
      <c r="M253">
        <v>2</v>
      </c>
      <c r="N253">
        <v>0.71299999999999997</v>
      </c>
      <c r="O253">
        <v>4</v>
      </c>
      <c r="P253">
        <v>4</v>
      </c>
      <c r="S253" s="164" t="s">
        <v>944</v>
      </c>
    </row>
    <row r="254" spans="1:19" x14ac:dyDescent="0.25">
      <c r="A254" t="s">
        <v>1526</v>
      </c>
      <c r="B254">
        <v>9003430100</v>
      </c>
      <c r="C254" t="s">
        <v>1527</v>
      </c>
      <c r="D254">
        <v>70689</v>
      </c>
      <c r="E254">
        <v>2.48</v>
      </c>
      <c r="F254">
        <v>44887.559889999997</v>
      </c>
      <c r="G254">
        <v>44.887999999999998</v>
      </c>
      <c r="H254">
        <v>0.36499999999999999</v>
      </c>
      <c r="I254">
        <v>2</v>
      </c>
      <c r="J254">
        <v>1333</v>
      </c>
      <c r="K254">
        <v>0.35635708500000002</v>
      </c>
      <c r="L254">
        <v>0.51400000000000001</v>
      </c>
      <c r="M254">
        <v>3</v>
      </c>
      <c r="N254">
        <v>0.625</v>
      </c>
      <c r="O254">
        <v>4</v>
      </c>
      <c r="P254">
        <v>4</v>
      </c>
      <c r="S254" s="166" t="s">
        <v>944</v>
      </c>
    </row>
    <row r="255" spans="1:19" x14ac:dyDescent="0.25">
      <c r="A255" t="s">
        <v>1528</v>
      </c>
      <c r="B255">
        <v>9003430201</v>
      </c>
      <c r="C255" t="s">
        <v>1529</v>
      </c>
      <c r="D255">
        <v>90500</v>
      </c>
      <c r="E255">
        <v>2.5499999999999998</v>
      </c>
      <c r="F255">
        <v>56673.298340000001</v>
      </c>
      <c r="G255">
        <v>56.673000000000002</v>
      </c>
      <c r="H255">
        <v>0.59199999999999997</v>
      </c>
      <c r="I255">
        <v>3</v>
      </c>
      <c r="J255">
        <v>1343</v>
      </c>
      <c r="K255">
        <v>0.28436672099999999</v>
      </c>
      <c r="L255">
        <v>9.6000000000000002E-2</v>
      </c>
      <c r="M255">
        <v>1</v>
      </c>
      <c r="N255">
        <v>0.61199999999999999</v>
      </c>
      <c r="O255">
        <v>4</v>
      </c>
      <c r="P255">
        <v>4</v>
      </c>
      <c r="S255" s="164" t="s">
        <v>944</v>
      </c>
    </row>
    <row r="256" spans="1:19" x14ac:dyDescent="0.25">
      <c r="A256" t="s">
        <v>1530</v>
      </c>
      <c r="B256">
        <v>9003430202</v>
      </c>
      <c r="C256" t="s">
        <v>1531</v>
      </c>
      <c r="D256">
        <v>119042</v>
      </c>
      <c r="E256">
        <v>2.83</v>
      </c>
      <c r="F256">
        <v>70763.123900000006</v>
      </c>
      <c r="G256">
        <v>70.763000000000005</v>
      </c>
      <c r="H256">
        <v>0.81100000000000005</v>
      </c>
      <c r="I256">
        <v>5</v>
      </c>
      <c r="J256">
        <v>2032</v>
      </c>
      <c r="K256">
        <v>0.34458625700000001</v>
      </c>
      <c r="L256">
        <v>0.45</v>
      </c>
      <c r="M256">
        <v>3</v>
      </c>
      <c r="N256">
        <v>0.157</v>
      </c>
      <c r="O256">
        <v>1</v>
      </c>
      <c r="P256">
        <v>1</v>
      </c>
      <c r="S256" s="166" t="s">
        <v>944</v>
      </c>
    </row>
    <row r="257" spans="1:19" x14ac:dyDescent="0.25">
      <c r="A257" t="s">
        <v>1532</v>
      </c>
      <c r="B257">
        <v>9003430203</v>
      </c>
      <c r="C257" t="s">
        <v>1533</v>
      </c>
      <c r="D257">
        <v>72813</v>
      </c>
      <c r="E257">
        <v>2.2599999999999998</v>
      </c>
      <c r="F257">
        <v>48434.487130000001</v>
      </c>
      <c r="G257">
        <v>48.433999999999997</v>
      </c>
      <c r="H257">
        <v>0.439</v>
      </c>
      <c r="I257">
        <v>3</v>
      </c>
      <c r="J257">
        <v>1234</v>
      </c>
      <c r="K257">
        <v>0.30573256500000001</v>
      </c>
      <c r="L257">
        <v>0.20399999999999999</v>
      </c>
      <c r="M257">
        <v>2</v>
      </c>
      <c r="N257">
        <v>0.72799999999999998</v>
      </c>
      <c r="O257">
        <v>4</v>
      </c>
      <c r="P257">
        <v>4</v>
      </c>
      <c r="S257" s="164" t="s">
        <v>944</v>
      </c>
    </row>
    <row r="258" spans="1:19" x14ac:dyDescent="0.25">
      <c r="A258" t="s">
        <v>1534</v>
      </c>
      <c r="B258">
        <v>9003430301</v>
      </c>
      <c r="C258" t="s">
        <v>1535</v>
      </c>
      <c r="D258">
        <v>131563</v>
      </c>
      <c r="E258">
        <v>2.76</v>
      </c>
      <c r="F258">
        <v>79191.619949999993</v>
      </c>
      <c r="G258">
        <v>79.191999999999993</v>
      </c>
      <c r="H258">
        <v>0.86899999999999999</v>
      </c>
      <c r="I258">
        <v>5</v>
      </c>
      <c r="J258">
        <v>1998</v>
      </c>
      <c r="K258">
        <v>0.30275930699999998</v>
      </c>
      <c r="L258">
        <v>0.188</v>
      </c>
      <c r="M258">
        <v>1</v>
      </c>
      <c r="N258">
        <v>0.16400000000000001</v>
      </c>
      <c r="O258">
        <v>1</v>
      </c>
      <c r="P258">
        <v>1</v>
      </c>
      <c r="S258" s="166" t="s">
        <v>944</v>
      </c>
    </row>
    <row r="259" spans="1:19" x14ac:dyDescent="0.25">
      <c r="A259" t="s">
        <v>1536</v>
      </c>
      <c r="B259">
        <v>9003430302</v>
      </c>
      <c r="C259" t="s">
        <v>1537</v>
      </c>
      <c r="D259">
        <v>89900</v>
      </c>
      <c r="E259">
        <v>2.69</v>
      </c>
      <c r="F259">
        <v>54812.9974</v>
      </c>
      <c r="G259">
        <v>54.813000000000002</v>
      </c>
      <c r="H259">
        <v>0.55500000000000005</v>
      </c>
      <c r="I259">
        <v>3</v>
      </c>
      <c r="J259">
        <v>1457</v>
      </c>
      <c r="K259">
        <v>0.31897544100000003</v>
      </c>
      <c r="L259">
        <v>0.28100000000000003</v>
      </c>
      <c r="M259">
        <v>2</v>
      </c>
      <c r="N259">
        <v>0.51900000000000002</v>
      </c>
      <c r="O259">
        <v>3</v>
      </c>
      <c r="P259">
        <v>3</v>
      </c>
      <c r="S259" s="164" t="s">
        <v>944</v>
      </c>
    </row>
    <row r="260" spans="1:19" x14ac:dyDescent="0.25">
      <c r="A260" t="s">
        <v>1538</v>
      </c>
      <c r="B260">
        <v>9003430400</v>
      </c>
      <c r="C260" t="s">
        <v>1539</v>
      </c>
      <c r="D260">
        <v>90054</v>
      </c>
      <c r="E260">
        <v>2.11</v>
      </c>
      <c r="F260">
        <v>61995.730309999999</v>
      </c>
      <c r="G260">
        <v>61.996000000000002</v>
      </c>
      <c r="H260">
        <v>0.69599999999999995</v>
      </c>
      <c r="I260">
        <v>4</v>
      </c>
      <c r="J260">
        <v>1342</v>
      </c>
      <c r="K260">
        <v>0.25975982399999997</v>
      </c>
      <c r="L260">
        <v>3.4000000000000002E-2</v>
      </c>
      <c r="M260">
        <v>1</v>
      </c>
      <c r="N260">
        <v>0.61499999999999999</v>
      </c>
      <c r="O260">
        <v>4</v>
      </c>
      <c r="P260">
        <v>3</v>
      </c>
      <c r="S260" s="166" t="s">
        <v>944</v>
      </c>
    </row>
    <row r="261" spans="1:19" x14ac:dyDescent="0.25">
      <c r="A261" t="s">
        <v>1540</v>
      </c>
      <c r="B261">
        <v>9003430500</v>
      </c>
      <c r="C261" t="s">
        <v>1541</v>
      </c>
      <c r="D261">
        <v>116250</v>
      </c>
      <c r="E261">
        <v>2.76</v>
      </c>
      <c r="F261">
        <v>69974.277109999995</v>
      </c>
      <c r="G261">
        <v>69.974000000000004</v>
      </c>
      <c r="H261">
        <v>0.80300000000000005</v>
      </c>
      <c r="I261">
        <v>5</v>
      </c>
      <c r="J261">
        <v>1652</v>
      </c>
      <c r="K261">
        <v>0.283304106</v>
      </c>
      <c r="L261">
        <v>9.2999999999999999E-2</v>
      </c>
      <c r="M261">
        <v>1</v>
      </c>
      <c r="N261">
        <v>0.34499999999999997</v>
      </c>
      <c r="O261">
        <v>2</v>
      </c>
      <c r="P261">
        <v>2</v>
      </c>
      <c r="S261" s="164" t="s">
        <v>944</v>
      </c>
    </row>
    <row r="262" spans="1:19" x14ac:dyDescent="0.25">
      <c r="A262" t="s">
        <v>1542</v>
      </c>
      <c r="B262">
        <v>9003430601</v>
      </c>
      <c r="C262" t="s">
        <v>1543</v>
      </c>
      <c r="D262">
        <v>56714</v>
      </c>
      <c r="E262">
        <v>2.42</v>
      </c>
      <c r="F262">
        <v>36457.139990000003</v>
      </c>
      <c r="G262">
        <v>36.457000000000001</v>
      </c>
      <c r="H262">
        <v>0.25600000000000001</v>
      </c>
      <c r="I262">
        <v>2</v>
      </c>
      <c r="J262">
        <v>1007</v>
      </c>
      <c r="K262">
        <v>0.33145770600000002</v>
      </c>
      <c r="L262">
        <v>0.371</v>
      </c>
      <c r="M262">
        <v>2</v>
      </c>
      <c r="N262">
        <v>0.93500000000000005</v>
      </c>
      <c r="O262">
        <v>5</v>
      </c>
      <c r="P262">
        <v>5</v>
      </c>
      <c r="S262" s="166" t="s">
        <v>944</v>
      </c>
    </row>
    <row r="263" spans="1:19" x14ac:dyDescent="0.25">
      <c r="A263" t="s">
        <v>1544</v>
      </c>
      <c r="B263">
        <v>9003430602</v>
      </c>
      <c r="C263" t="s">
        <v>1545</v>
      </c>
      <c r="D263">
        <v>86651</v>
      </c>
      <c r="E263">
        <v>2.58</v>
      </c>
      <c r="F263">
        <v>53946.556239999998</v>
      </c>
      <c r="G263">
        <v>53.947000000000003</v>
      </c>
      <c r="H263">
        <v>0.54100000000000004</v>
      </c>
      <c r="I263">
        <v>3</v>
      </c>
      <c r="J263">
        <v>1596</v>
      </c>
      <c r="K263">
        <v>0.35501802799999999</v>
      </c>
      <c r="L263">
        <v>0.50700000000000001</v>
      </c>
      <c r="M263">
        <v>3</v>
      </c>
      <c r="N263">
        <v>0.38500000000000001</v>
      </c>
      <c r="O263">
        <v>2</v>
      </c>
      <c r="P263">
        <v>3</v>
      </c>
      <c r="S263" s="164" t="s">
        <v>944</v>
      </c>
    </row>
    <row r="264" spans="1:19" x14ac:dyDescent="0.25">
      <c r="A264" t="s">
        <v>1546</v>
      </c>
      <c r="B264">
        <v>9003460100</v>
      </c>
      <c r="C264" t="s">
        <v>1547</v>
      </c>
      <c r="D264">
        <v>94872</v>
      </c>
      <c r="E264">
        <v>2.33</v>
      </c>
      <c r="F264">
        <v>62152.713710000004</v>
      </c>
      <c r="G264">
        <v>62.152999999999999</v>
      </c>
      <c r="H264">
        <v>0.69699999999999995</v>
      </c>
      <c r="I264">
        <v>4</v>
      </c>
      <c r="J264">
        <v>1648</v>
      </c>
      <c r="K264">
        <v>0.31818401499999999</v>
      </c>
      <c r="L264">
        <v>0.27400000000000002</v>
      </c>
      <c r="M264">
        <v>2</v>
      </c>
      <c r="N264">
        <v>0.35199999999999998</v>
      </c>
      <c r="O264">
        <v>2</v>
      </c>
      <c r="P264">
        <v>2</v>
      </c>
      <c r="S264" s="166" t="s">
        <v>944</v>
      </c>
    </row>
    <row r="265" spans="1:19" x14ac:dyDescent="0.25">
      <c r="A265" t="s">
        <v>1548</v>
      </c>
      <c r="B265">
        <v>9003460202</v>
      </c>
      <c r="C265" t="s">
        <v>1549</v>
      </c>
      <c r="D265">
        <v>102688</v>
      </c>
      <c r="E265">
        <v>2.4900000000000002</v>
      </c>
      <c r="F265">
        <v>65075.875840000001</v>
      </c>
      <c r="G265">
        <v>65.075999999999993</v>
      </c>
      <c r="H265">
        <v>0.73699999999999999</v>
      </c>
      <c r="I265">
        <v>4</v>
      </c>
      <c r="J265">
        <v>1746</v>
      </c>
      <c r="K265">
        <v>0.32196262799999997</v>
      </c>
      <c r="L265">
        <v>0.315</v>
      </c>
      <c r="M265">
        <v>2</v>
      </c>
      <c r="N265">
        <v>0.28499999999999998</v>
      </c>
      <c r="O265">
        <v>2</v>
      </c>
      <c r="P265">
        <v>2</v>
      </c>
      <c r="S265" s="164" t="s">
        <v>944</v>
      </c>
    </row>
    <row r="266" spans="1:19" x14ac:dyDescent="0.25">
      <c r="A266" t="s">
        <v>1550</v>
      </c>
      <c r="B266">
        <v>9003460203</v>
      </c>
      <c r="C266" t="s">
        <v>1551</v>
      </c>
      <c r="D266">
        <v>79954</v>
      </c>
      <c r="E266">
        <v>2.2999999999999998</v>
      </c>
      <c r="F266">
        <v>52720.106370000001</v>
      </c>
      <c r="G266">
        <v>52.72</v>
      </c>
      <c r="H266">
        <v>0.51600000000000001</v>
      </c>
      <c r="I266">
        <v>3</v>
      </c>
      <c r="J266">
        <v>1591</v>
      </c>
      <c r="K266">
        <v>0.36213887500000003</v>
      </c>
      <c r="L266">
        <v>0.54900000000000004</v>
      </c>
      <c r="M266">
        <v>3</v>
      </c>
      <c r="N266">
        <v>0.39100000000000001</v>
      </c>
      <c r="O266">
        <v>2</v>
      </c>
      <c r="P266">
        <v>3</v>
      </c>
      <c r="S266" s="166" t="s">
        <v>944</v>
      </c>
    </row>
    <row r="267" spans="1:19" x14ac:dyDescent="0.25">
      <c r="A267" t="s">
        <v>1552</v>
      </c>
      <c r="B267">
        <v>9003460204</v>
      </c>
      <c r="C267" t="s">
        <v>1553</v>
      </c>
      <c r="D267">
        <v>75074</v>
      </c>
      <c r="E267">
        <v>2.3199999999999998</v>
      </c>
      <c r="F267">
        <v>49288.495699999999</v>
      </c>
      <c r="G267">
        <v>49.287999999999997</v>
      </c>
      <c r="H267">
        <v>0.46</v>
      </c>
      <c r="I267">
        <v>3</v>
      </c>
      <c r="J267">
        <v>1495</v>
      </c>
      <c r="K267">
        <v>0.36397945900000001</v>
      </c>
      <c r="L267">
        <v>0.55900000000000005</v>
      </c>
      <c r="M267">
        <v>3</v>
      </c>
      <c r="N267">
        <v>0.47699999999999998</v>
      </c>
      <c r="O267">
        <v>3</v>
      </c>
      <c r="P267">
        <v>3</v>
      </c>
      <c r="S267" s="164" t="s">
        <v>944</v>
      </c>
    </row>
    <row r="268" spans="1:19" x14ac:dyDescent="0.25">
      <c r="A268" t="s">
        <v>1554</v>
      </c>
      <c r="B268">
        <v>9003460301</v>
      </c>
      <c r="C268" t="s">
        <v>1555</v>
      </c>
      <c r="D268">
        <v>106782</v>
      </c>
      <c r="E268">
        <v>2.64</v>
      </c>
      <c r="F268">
        <v>65719.777950000003</v>
      </c>
      <c r="G268">
        <v>65.72</v>
      </c>
      <c r="H268">
        <v>0.748</v>
      </c>
      <c r="I268">
        <v>4</v>
      </c>
      <c r="J268">
        <v>1549</v>
      </c>
      <c r="K268">
        <v>0.28283723100000002</v>
      </c>
      <c r="L268">
        <v>8.5999999999999993E-2</v>
      </c>
      <c r="M268">
        <v>1</v>
      </c>
      <c r="N268">
        <v>0.43</v>
      </c>
      <c r="O268">
        <v>3</v>
      </c>
      <c r="P268">
        <v>3</v>
      </c>
      <c r="S268" s="166" t="s">
        <v>944</v>
      </c>
    </row>
    <row r="269" spans="1:19" x14ac:dyDescent="0.25">
      <c r="A269" t="s">
        <v>1556</v>
      </c>
      <c r="B269">
        <v>9003460302</v>
      </c>
      <c r="C269" t="s">
        <v>1557</v>
      </c>
      <c r="D269">
        <v>90375</v>
      </c>
      <c r="E269">
        <v>2.2999999999999998</v>
      </c>
      <c r="F269">
        <v>59591.510280000002</v>
      </c>
      <c r="G269">
        <v>59.591999999999999</v>
      </c>
      <c r="H269">
        <v>0.64100000000000001</v>
      </c>
      <c r="I269">
        <v>4</v>
      </c>
      <c r="J269">
        <v>1581</v>
      </c>
      <c r="K269">
        <v>0.318367497</v>
      </c>
      <c r="L269">
        <v>0.27700000000000002</v>
      </c>
      <c r="M269">
        <v>2</v>
      </c>
      <c r="N269">
        <v>0.40300000000000002</v>
      </c>
      <c r="O269">
        <v>3</v>
      </c>
      <c r="P269">
        <v>3</v>
      </c>
      <c r="S269" s="164" t="s">
        <v>944</v>
      </c>
    </row>
    <row r="270" spans="1:19" x14ac:dyDescent="0.25">
      <c r="A270" t="s">
        <v>1558</v>
      </c>
      <c r="B270">
        <v>9003462101</v>
      </c>
      <c r="C270" t="s">
        <v>1559</v>
      </c>
      <c r="D270">
        <v>128661</v>
      </c>
      <c r="E270">
        <v>2.64</v>
      </c>
      <c r="F270">
        <v>79185.371599999999</v>
      </c>
      <c r="G270">
        <v>79.185000000000002</v>
      </c>
      <c r="H270">
        <v>0.86799999999999999</v>
      </c>
      <c r="I270">
        <v>5</v>
      </c>
      <c r="J270">
        <v>1861</v>
      </c>
      <c r="K270">
        <v>0.28202178700000002</v>
      </c>
      <c r="L270">
        <v>8.2000000000000003E-2</v>
      </c>
      <c r="M270">
        <v>1</v>
      </c>
      <c r="N270">
        <v>0.22600000000000001</v>
      </c>
      <c r="O270">
        <v>2</v>
      </c>
      <c r="P270">
        <v>2</v>
      </c>
      <c r="S270" s="166" t="s">
        <v>944</v>
      </c>
    </row>
    <row r="271" spans="1:19" x14ac:dyDescent="0.25">
      <c r="A271" t="s">
        <v>1560</v>
      </c>
      <c r="B271">
        <v>9003462102</v>
      </c>
      <c r="C271" t="s">
        <v>1561</v>
      </c>
      <c r="D271">
        <v>195357</v>
      </c>
      <c r="E271">
        <v>3.16</v>
      </c>
      <c r="F271">
        <v>109896.8985</v>
      </c>
      <c r="G271">
        <v>109.89700000000001</v>
      </c>
      <c r="H271">
        <v>0.96299999999999997</v>
      </c>
      <c r="I271">
        <v>5</v>
      </c>
      <c r="J271">
        <v>2589</v>
      </c>
      <c r="K271">
        <v>0.28270133600000003</v>
      </c>
      <c r="L271">
        <v>8.5000000000000006E-2</v>
      </c>
      <c r="M271">
        <v>1</v>
      </c>
      <c r="N271">
        <v>6.7000000000000004E-2</v>
      </c>
      <c r="O271">
        <v>1</v>
      </c>
      <c r="P271">
        <v>1</v>
      </c>
      <c r="S271" s="164" t="s">
        <v>944</v>
      </c>
    </row>
    <row r="272" spans="1:19" x14ac:dyDescent="0.25">
      <c r="A272" t="s">
        <v>1562</v>
      </c>
      <c r="B272">
        <v>9003462201</v>
      </c>
      <c r="C272" t="s">
        <v>1563</v>
      </c>
      <c r="D272">
        <v>102227</v>
      </c>
      <c r="E272">
        <v>2.29</v>
      </c>
      <c r="F272">
        <v>67553.503070000006</v>
      </c>
      <c r="G272">
        <v>67.554000000000002</v>
      </c>
      <c r="H272">
        <v>0.77</v>
      </c>
      <c r="I272">
        <v>4</v>
      </c>
      <c r="J272">
        <v>1493</v>
      </c>
      <c r="K272">
        <v>0.26521200499999997</v>
      </c>
      <c r="L272">
        <v>4.8000000000000001E-2</v>
      </c>
      <c r="M272">
        <v>1</v>
      </c>
      <c r="N272">
        <v>0.48299999999999998</v>
      </c>
      <c r="O272">
        <v>3</v>
      </c>
      <c r="P272">
        <v>3</v>
      </c>
      <c r="S272" s="166" t="s">
        <v>944</v>
      </c>
    </row>
    <row r="273" spans="1:19" x14ac:dyDescent="0.25">
      <c r="A273" t="s">
        <v>1564</v>
      </c>
      <c r="B273">
        <v>9003462202</v>
      </c>
      <c r="C273" t="s">
        <v>1565</v>
      </c>
      <c r="D273">
        <v>144886</v>
      </c>
      <c r="E273">
        <v>2.46</v>
      </c>
      <c r="F273">
        <v>92375.93965</v>
      </c>
      <c r="G273">
        <v>92.376000000000005</v>
      </c>
      <c r="H273">
        <v>0.93</v>
      </c>
      <c r="I273">
        <v>5</v>
      </c>
      <c r="J273">
        <v>1967</v>
      </c>
      <c r="K273">
        <v>0.25552108099999998</v>
      </c>
      <c r="L273">
        <v>2.3E-2</v>
      </c>
      <c r="M273">
        <v>1</v>
      </c>
      <c r="N273">
        <v>0.17699999999999999</v>
      </c>
      <c r="O273">
        <v>1</v>
      </c>
      <c r="P273">
        <v>1</v>
      </c>
      <c r="S273" s="164" t="s">
        <v>944</v>
      </c>
    </row>
    <row r="274" spans="1:19" x14ac:dyDescent="0.25">
      <c r="A274" t="s">
        <v>1566</v>
      </c>
      <c r="B274">
        <v>9003464101</v>
      </c>
      <c r="C274" t="s">
        <v>1567</v>
      </c>
      <c r="D274">
        <v>117895</v>
      </c>
      <c r="E274">
        <v>2.73</v>
      </c>
      <c r="F274">
        <v>71353.299960000004</v>
      </c>
      <c r="G274">
        <v>71.352999999999994</v>
      </c>
      <c r="H274">
        <v>0.81799999999999995</v>
      </c>
      <c r="I274">
        <v>5</v>
      </c>
      <c r="J274">
        <v>1722</v>
      </c>
      <c r="K274">
        <v>0.28960118200000001</v>
      </c>
      <c r="L274">
        <v>0.114</v>
      </c>
      <c r="M274">
        <v>1</v>
      </c>
      <c r="N274">
        <v>0.29699999999999999</v>
      </c>
      <c r="O274">
        <v>2</v>
      </c>
      <c r="P274">
        <v>2</v>
      </c>
      <c r="S274" s="166" t="s">
        <v>944</v>
      </c>
    </row>
    <row r="275" spans="1:19" x14ac:dyDescent="0.25">
      <c r="A275" t="s">
        <v>1568</v>
      </c>
      <c r="B275">
        <v>9003464102</v>
      </c>
      <c r="C275" t="s">
        <v>1569</v>
      </c>
      <c r="D275">
        <v>72900</v>
      </c>
      <c r="E275">
        <v>2.31</v>
      </c>
      <c r="F275">
        <v>47964.67856</v>
      </c>
      <c r="G275">
        <v>47.965000000000003</v>
      </c>
      <c r="H275">
        <v>0.42699999999999999</v>
      </c>
      <c r="I275">
        <v>3</v>
      </c>
      <c r="J275">
        <v>1414</v>
      </c>
      <c r="K275">
        <v>0.35376031899999999</v>
      </c>
      <c r="L275">
        <v>0.5</v>
      </c>
      <c r="M275">
        <v>3</v>
      </c>
      <c r="N275">
        <v>0.55200000000000005</v>
      </c>
      <c r="O275">
        <v>3</v>
      </c>
      <c r="P275">
        <v>3</v>
      </c>
      <c r="S275" s="164" t="s">
        <v>944</v>
      </c>
    </row>
    <row r="276" spans="1:19" x14ac:dyDescent="0.25">
      <c r="A276" t="s">
        <v>1570</v>
      </c>
      <c r="B276">
        <v>9003466101</v>
      </c>
      <c r="C276" t="s">
        <v>1571</v>
      </c>
      <c r="D276">
        <v>123580</v>
      </c>
      <c r="E276">
        <v>2.37</v>
      </c>
      <c r="F276">
        <v>80273.836190000002</v>
      </c>
      <c r="G276">
        <v>80.274000000000001</v>
      </c>
      <c r="H276">
        <v>0.88</v>
      </c>
      <c r="I276">
        <v>5</v>
      </c>
      <c r="J276">
        <v>1738</v>
      </c>
      <c r="K276">
        <v>0.25981068000000002</v>
      </c>
      <c r="L276">
        <v>3.5999999999999997E-2</v>
      </c>
      <c r="M276">
        <v>1</v>
      </c>
      <c r="N276">
        <v>0.28999999999999998</v>
      </c>
      <c r="O276">
        <v>2</v>
      </c>
      <c r="P276">
        <v>2</v>
      </c>
      <c r="S276" s="166" t="s">
        <v>944</v>
      </c>
    </row>
    <row r="277" spans="1:19" x14ac:dyDescent="0.25">
      <c r="A277" t="s">
        <v>1572</v>
      </c>
      <c r="B277">
        <v>9003466102</v>
      </c>
      <c r="C277" t="s">
        <v>1573</v>
      </c>
      <c r="D277">
        <v>139236</v>
      </c>
      <c r="E277">
        <v>2.4900000000000002</v>
      </c>
      <c r="F277">
        <v>88237.229749999999</v>
      </c>
      <c r="G277">
        <v>88.236999999999995</v>
      </c>
      <c r="H277">
        <v>0.91900000000000004</v>
      </c>
      <c r="I277">
        <v>5</v>
      </c>
      <c r="J277">
        <v>1892</v>
      </c>
      <c r="K277">
        <v>0.25730635499999999</v>
      </c>
      <c r="L277">
        <v>2.5000000000000001E-2</v>
      </c>
      <c r="M277">
        <v>1</v>
      </c>
      <c r="N277">
        <v>0.215</v>
      </c>
      <c r="O277">
        <v>2</v>
      </c>
      <c r="P277">
        <v>2</v>
      </c>
      <c r="S277" s="164" t="s">
        <v>944</v>
      </c>
    </row>
    <row r="278" spans="1:19" x14ac:dyDescent="0.25">
      <c r="A278" t="s">
        <v>1574</v>
      </c>
      <c r="B278">
        <v>9003466201</v>
      </c>
      <c r="C278" t="s">
        <v>1575</v>
      </c>
      <c r="D278">
        <v>94167</v>
      </c>
      <c r="E278">
        <v>2.5099999999999998</v>
      </c>
      <c r="F278">
        <v>59437.683360000003</v>
      </c>
      <c r="G278">
        <v>59.438000000000002</v>
      </c>
      <c r="H278">
        <v>0.63900000000000001</v>
      </c>
      <c r="I278">
        <v>4</v>
      </c>
      <c r="J278">
        <v>1496</v>
      </c>
      <c r="K278">
        <v>0.30203061399999998</v>
      </c>
      <c r="L278">
        <v>0.184</v>
      </c>
      <c r="M278">
        <v>1</v>
      </c>
      <c r="N278">
        <v>0.47599999999999998</v>
      </c>
      <c r="O278">
        <v>3</v>
      </c>
      <c r="P278">
        <v>3</v>
      </c>
      <c r="S278" s="166" t="s">
        <v>944</v>
      </c>
    </row>
    <row r="279" spans="1:19" x14ac:dyDescent="0.25">
      <c r="A279" t="s">
        <v>1576</v>
      </c>
      <c r="B279">
        <v>9003466202</v>
      </c>
      <c r="C279" t="s">
        <v>1577</v>
      </c>
      <c r="D279">
        <v>147778</v>
      </c>
      <c r="E279">
        <v>2.77</v>
      </c>
      <c r="F279">
        <v>88791.194810000001</v>
      </c>
      <c r="G279">
        <v>88.790999999999997</v>
      </c>
      <c r="H279">
        <v>0.92200000000000004</v>
      </c>
      <c r="I279">
        <v>5</v>
      </c>
      <c r="J279">
        <v>2361</v>
      </c>
      <c r="K279">
        <v>0.31908569399999998</v>
      </c>
      <c r="L279">
        <v>0.28199999999999997</v>
      </c>
      <c r="M279">
        <v>2</v>
      </c>
      <c r="N279">
        <v>9.8000000000000004E-2</v>
      </c>
      <c r="O279">
        <v>1</v>
      </c>
      <c r="P279">
        <v>1</v>
      </c>
      <c r="S279" s="164" t="s">
        <v>944</v>
      </c>
    </row>
    <row r="280" spans="1:19" x14ac:dyDescent="0.25">
      <c r="A280" t="s">
        <v>1578</v>
      </c>
      <c r="B280">
        <v>9003466300</v>
      </c>
      <c r="C280" t="s">
        <v>1579</v>
      </c>
      <c r="D280">
        <v>131583</v>
      </c>
      <c r="E280">
        <v>2.52</v>
      </c>
      <c r="F280">
        <v>82889.498749999999</v>
      </c>
      <c r="G280">
        <v>82.888999999999996</v>
      </c>
      <c r="H280">
        <v>0.89900000000000002</v>
      </c>
      <c r="I280">
        <v>5</v>
      </c>
      <c r="J280">
        <v>1968</v>
      </c>
      <c r="K280">
        <v>0.28490943200000002</v>
      </c>
      <c r="L280">
        <v>9.9000000000000005E-2</v>
      </c>
      <c r="M280">
        <v>1</v>
      </c>
      <c r="N280">
        <v>0.17599999999999999</v>
      </c>
      <c r="O280">
        <v>1</v>
      </c>
      <c r="P280">
        <v>1</v>
      </c>
      <c r="S280" s="166" t="s">
        <v>944</v>
      </c>
    </row>
    <row r="281" spans="1:19" x14ac:dyDescent="0.25">
      <c r="A281" t="s">
        <v>1580</v>
      </c>
      <c r="B281">
        <v>9003466400</v>
      </c>
      <c r="C281" t="s">
        <v>1581</v>
      </c>
      <c r="D281">
        <v>98000</v>
      </c>
      <c r="E281">
        <v>2.54</v>
      </c>
      <c r="F281">
        <v>61490.668899999997</v>
      </c>
      <c r="G281">
        <v>61.491</v>
      </c>
      <c r="H281">
        <v>0.68400000000000005</v>
      </c>
      <c r="I281">
        <v>4</v>
      </c>
      <c r="J281">
        <v>1768</v>
      </c>
      <c r="K281">
        <v>0.345027959</v>
      </c>
      <c r="L281">
        <v>0.45300000000000001</v>
      </c>
      <c r="M281">
        <v>3</v>
      </c>
      <c r="N281">
        <v>0.27100000000000002</v>
      </c>
      <c r="O281">
        <v>2</v>
      </c>
      <c r="P281">
        <v>2</v>
      </c>
      <c r="S281" s="164" t="s">
        <v>944</v>
      </c>
    </row>
    <row r="282" spans="1:19" x14ac:dyDescent="0.25">
      <c r="A282" t="s">
        <v>1582</v>
      </c>
      <c r="B282">
        <v>9003468101</v>
      </c>
      <c r="C282" t="s">
        <v>1583</v>
      </c>
      <c r="D282">
        <v>132740</v>
      </c>
      <c r="E282">
        <v>2.91</v>
      </c>
      <c r="F282">
        <v>77813.566070000001</v>
      </c>
      <c r="G282">
        <v>77.813999999999993</v>
      </c>
      <c r="H282">
        <v>0.86199999999999999</v>
      </c>
      <c r="I282">
        <v>5</v>
      </c>
      <c r="J282">
        <v>1939</v>
      </c>
      <c r="K282">
        <v>0.29902240899999999</v>
      </c>
      <c r="L282">
        <v>0.16500000000000001</v>
      </c>
      <c r="M282">
        <v>1</v>
      </c>
      <c r="N282">
        <v>0.19</v>
      </c>
      <c r="O282">
        <v>1</v>
      </c>
      <c r="P282">
        <v>1</v>
      </c>
      <c r="S282" s="166" t="s">
        <v>944</v>
      </c>
    </row>
    <row r="283" spans="1:19" x14ac:dyDescent="0.25">
      <c r="A283" t="s">
        <v>1584</v>
      </c>
      <c r="B283">
        <v>9003468102</v>
      </c>
      <c r="C283" t="s">
        <v>1585</v>
      </c>
      <c r="D283">
        <v>105000</v>
      </c>
      <c r="E283">
        <v>2.4</v>
      </c>
      <c r="F283">
        <v>67777.208559999999</v>
      </c>
      <c r="G283">
        <v>67.777000000000001</v>
      </c>
      <c r="H283">
        <v>0.77300000000000002</v>
      </c>
      <c r="I283">
        <v>4</v>
      </c>
      <c r="J283">
        <v>1759</v>
      </c>
      <c r="K283">
        <v>0.31143212399999998</v>
      </c>
      <c r="L283">
        <v>0.23200000000000001</v>
      </c>
      <c r="M283">
        <v>2</v>
      </c>
      <c r="N283">
        <v>0.27900000000000003</v>
      </c>
      <c r="O283">
        <v>2</v>
      </c>
      <c r="P283">
        <v>2</v>
      </c>
      <c r="S283" s="164" t="s">
        <v>944</v>
      </c>
    </row>
    <row r="284" spans="1:19" x14ac:dyDescent="0.25">
      <c r="A284" t="s">
        <v>1586</v>
      </c>
      <c r="B284">
        <v>9003470100</v>
      </c>
      <c r="C284" t="s">
        <v>1587</v>
      </c>
      <c r="D284">
        <v>104336</v>
      </c>
      <c r="E284">
        <v>2.62</v>
      </c>
      <c r="F284">
        <v>64458.996070000001</v>
      </c>
      <c r="G284">
        <v>64.459000000000003</v>
      </c>
      <c r="H284">
        <v>0.72399999999999998</v>
      </c>
      <c r="I284">
        <v>4</v>
      </c>
      <c r="J284">
        <v>1214</v>
      </c>
      <c r="K284">
        <v>0.22600413999999999</v>
      </c>
      <c r="L284">
        <v>1E-3</v>
      </c>
      <c r="M284">
        <v>1</v>
      </c>
      <c r="N284">
        <v>0.749</v>
      </c>
      <c r="O284">
        <v>4</v>
      </c>
      <c r="P284">
        <v>3</v>
      </c>
      <c r="S284" s="166" t="s">
        <v>944</v>
      </c>
    </row>
    <row r="285" spans="1:19" x14ac:dyDescent="0.25">
      <c r="A285" t="s">
        <v>1588</v>
      </c>
      <c r="B285">
        <v>9003471100</v>
      </c>
      <c r="C285" t="s">
        <v>1589</v>
      </c>
      <c r="D285">
        <v>75293</v>
      </c>
      <c r="E285">
        <v>2.84</v>
      </c>
      <c r="F285">
        <v>44678.1757</v>
      </c>
      <c r="G285">
        <v>44.677999999999997</v>
      </c>
      <c r="H285">
        <v>0.36199999999999999</v>
      </c>
      <c r="I285">
        <v>2</v>
      </c>
      <c r="J285">
        <v>1323</v>
      </c>
      <c r="K285">
        <v>0.35534127700000001</v>
      </c>
      <c r="L285">
        <v>0.51</v>
      </c>
      <c r="M285">
        <v>3</v>
      </c>
      <c r="N285">
        <v>0.63200000000000001</v>
      </c>
      <c r="O285">
        <v>4</v>
      </c>
      <c r="P285">
        <v>4</v>
      </c>
      <c r="S285" s="164" t="s">
        <v>944</v>
      </c>
    </row>
    <row r="286" spans="1:19" x14ac:dyDescent="0.25">
      <c r="A286" t="s">
        <v>1590</v>
      </c>
      <c r="B286">
        <v>9003471200</v>
      </c>
      <c r="C286" t="s">
        <v>1591</v>
      </c>
      <c r="D286">
        <v>63468</v>
      </c>
      <c r="E286">
        <v>2.57</v>
      </c>
      <c r="F286">
        <v>39590.250659999998</v>
      </c>
      <c r="G286">
        <v>39.590000000000003</v>
      </c>
      <c r="H286">
        <v>0.29099999999999998</v>
      </c>
      <c r="I286">
        <v>2</v>
      </c>
      <c r="J286">
        <v>1283</v>
      </c>
      <c r="K286">
        <v>0.38888361999999999</v>
      </c>
      <c r="L286">
        <v>0.66</v>
      </c>
      <c r="M286">
        <v>4</v>
      </c>
      <c r="N286">
        <v>0.67400000000000004</v>
      </c>
      <c r="O286">
        <v>4</v>
      </c>
      <c r="P286">
        <v>4</v>
      </c>
      <c r="S286" s="166" t="s">
        <v>944</v>
      </c>
    </row>
    <row r="287" spans="1:19" x14ac:dyDescent="0.25">
      <c r="A287" t="s">
        <v>1592</v>
      </c>
      <c r="B287">
        <v>9003471300</v>
      </c>
      <c r="C287" t="s">
        <v>1593</v>
      </c>
      <c r="D287">
        <v>71810</v>
      </c>
      <c r="E287">
        <v>2.14</v>
      </c>
      <c r="F287">
        <v>49088.305419999997</v>
      </c>
      <c r="G287">
        <v>49.088000000000001</v>
      </c>
      <c r="H287">
        <v>0.45400000000000001</v>
      </c>
      <c r="I287">
        <v>3</v>
      </c>
      <c r="J287">
        <v>1716</v>
      </c>
      <c r="K287">
        <v>0.41948891500000002</v>
      </c>
      <c r="L287">
        <v>0.72099999999999997</v>
      </c>
      <c r="M287">
        <v>4</v>
      </c>
      <c r="N287">
        <v>0.30099999999999999</v>
      </c>
      <c r="O287">
        <v>2</v>
      </c>
      <c r="P287">
        <v>3</v>
      </c>
      <c r="S287" s="164" t="s">
        <v>944</v>
      </c>
    </row>
    <row r="288" spans="1:19" x14ac:dyDescent="0.25">
      <c r="A288" t="s">
        <v>1594</v>
      </c>
      <c r="B288">
        <v>9003471400</v>
      </c>
      <c r="C288" t="s">
        <v>1595</v>
      </c>
      <c r="D288">
        <v>105066</v>
      </c>
      <c r="E288">
        <v>2.12</v>
      </c>
      <c r="F288">
        <v>72159.625060000006</v>
      </c>
      <c r="G288">
        <v>72.16</v>
      </c>
      <c r="H288">
        <v>0.82799999999999996</v>
      </c>
      <c r="I288">
        <v>5</v>
      </c>
      <c r="J288">
        <v>1483</v>
      </c>
      <c r="K288">
        <v>0.246619907</v>
      </c>
      <c r="L288">
        <v>8.0000000000000002E-3</v>
      </c>
      <c r="M288">
        <v>1</v>
      </c>
      <c r="N288">
        <v>0.499</v>
      </c>
      <c r="O288">
        <v>3</v>
      </c>
      <c r="P288">
        <v>2</v>
      </c>
      <c r="S288" s="166" t="s">
        <v>944</v>
      </c>
    </row>
    <row r="289" spans="1:19" x14ac:dyDescent="0.25">
      <c r="A289" t="s">
        <v>1596</v>
      </c>
      <c r="B289">
        <v>9003471500</v>
      </c>
      <c r="C289" t="s">
        <v>1597</v>
      </c>
      <c r="D289">
        <v>78713</v>
      </c>
      <c r="E289">
        <v>2.33</v>
      </c>
      <c r="F289">
        <v>51566.600830000003</v>
      </c>
      <c r="G289">
        <v>51.567</v>
      </c>
      <c r="H289">
        <v>0.49</v>
      </c>
      <c r="I289">
        <v>3</v>
      </c>
      <c r="J289">
        <v>1620</v>
      </c>
      <c r="K289">
        <v>0.37698819900000002</v>
      </c>
      <c r="L289">
        <v>0.622</v>
      </c>
      <c r="M289">
        <v>4</v>
      </c>
      <c r="N289">
        <v>0.36899999999999999</v>
      </c>
      <c r="O289">
        <v>2</v>
      </c>
      <c r="P289">
        <v>3</v>
      </c>
      <c r="S289" s="164" t="s">
        <v>944</v>
      </c>
    </row>
    <row r="290" spans="1:19" x14ac:dyDescent="0.25">
      <c r="A290" t="s">
        <v>1598</v>
      </c>
      <c r="B290">
        <v>9003473100</v>
      </c>
      <c r="C290" t="s">
        <v>1599</v>
      </c>
      <c r="D290">
        <v>98611</v>
      </c>
      <c r="E290">
        <v>2.83</v>
      </c>
      <c r="F290">
        <v>58618.155030000002</v>
      </c>
      <c r="G290">
        <v>58.618000000000002</v>
      </c>
      <c r="H290">
        <v>0.628</v>
      </c>
      <c r="I290">
        <v>4</v>
      </c>
      <c r="J290">
        <v>1627</v>
      </c>
      <c r="K290">
        <v>0.33307087200000002</v>
      </c>
      <c r="L290">
        <v>0.38100000000000001</v>
      </c>
      <c r="M290">
        <v>2</v>
      </c>
      <c r="N290">
        <v>0.36299999999999999</v>
      </c>
      <c r="O290">
        <v>2</v>
      </c>
      <c r="P290">
        <v>2</v>
      </c>
      <c r="S290" s="166" t="s">
        <v>944</v>
      </c>
    </row>
    <row r="291" spans="1:19" x14ac:dyDescent="0.25">
      <c r="A291" t="s">
        <v>1600</v>
      </c>
      <c r="B291">
        <v>9003473400</v>
      </c>
      <c r="C291" t="s">
        <v>1601</v>
      </c>
      <c r="D291">
        <v>74132</v>
      </c>
      <c r="E291">
        <v>2.11</v>
      </c>
      <c r="F291">
        <v>51034.573470000003</v>
      </c>
      <c r="G291">
        <v>51.034999999999997</v>
      </c>
      <c r="H291">
        <v>0.48299999999999998</v>
      </c>
      <c r="I291">
        <v>3</v>
      </c>
      <c r="J291">
        <v>1102</v>
      </c>
      <c r="K291">
        <v>0.259118458</v>
      </c>
      <c r="L291">
        <v>3.1E-2</v>
      </c>
      <c r="M291">
        <v>1</v>
      </c>
      <c r="N291">
        <v>0.874</v>
      </c>
      <c r="O291">
        <v>5</v>
      </c>
      <c r="P291">
        <v>4</v>
      </c>
      <c r="S291" s="164" t="s">
        <v>944</v>
      </c>
    </row>
    <row r="292" spans="1:19" x14ac:dyDescent="0.25">
      <c r="A292" t="s">
        <v>1602</v>
      </c>
      <c r="B292">
        <v>9003473501</v>
      </c>
      <c r="C292" t="s">
        <v>1603</v>
      </c>
      <c r="D292">
        <v>116402</v>
      </c>
      <c r="E292">
        <v>2.54</v>
      </c>
      <c r="F292">
        <v>73037.110629999996</v>
      </c>
      <c r="G292">
        <v>73.037000000000006</v>
      </c>
      <c r="H292">
        <v>0.83899999999999997</v>
      </c>
      <c r="I292">
        <v>5</v>
      </c>
      <c r="J292">
        <v>1912</v>
      </c>
      <c r="K292">
        <v>0.31414167100000001</v>
      </c>
      <c r="L292">
        <v>0.253</v>
      </c>
      <c r="M292">
        <v>2</v>
      </c>
      <c r="N292">
        <v>0.20499999999999999</v>
      </c>
      <c r="O292">
        <v>2</v>
      </c>
      <c r="P292">
        <v>2</v>
      </c>
      <c r="S292" s="166" t="s">
        <v>944</v>
      </c>
    </row>
    <row r="293" spans="1:19" x14ac:dyDescent="0.25">
      <c r="A293" t="s">
        <v>1604</v>
      </c>
      <c r="B293">
        <v>9003473502</v>
      </c>
      <c r="C293" t="s">
        <v>1605</v>
      </c>
      <c r="D293">
        <v>88896</v>
      </c>
      <c r="E293">
        <v>2.29</v>
      </c>
      <c r="F293">
        <v>58744.13031</v>
      </c>
      <c r="G293">
        <v>58.744</v>
      </c>
      <c r="H293">
        <v>0.629</v>
      </c>
      <c r="I293">
        <v>4</v>
      </c>
      <c r="J293">
        <v>1484</v>
      </c>
      <c r="K293">
        <v>0.30314518099999999</v>
      </c>
      <c r="L293">
        <v>0.193</v>
      </c>
      <c r="M293">
        <v>1</v>
      </c>
      <c r="N293">
        <v>0.497</v>
      </c>
      <c r="O293">
        <v>3</v>
      </c>
      <c r="P293">
        <v>3</v>
      </c>
      <c r="S293" s="164" t="s">
        <v>944</v>
      </c>
    </row>
    <row r="294" spans="1:19" x14ac:dyDescent="0.25">
      <c r="A294" t="s">
        <v>1606</v>
      </c>
      <c r="B294">
        <v>9003473601</v>
      </c>
      <c r="C294" t="s">
        <v>1607</v>
      </c>
      <c r="D294">
        <v>107670</v>
      </c>
      <c r="E294">
        <v>2.61</v>
      </c>
      <c r="F294">
        <v>66646.05687</v>
      </c>
      <c r="G294">
        <v>66.646000000000001</v>
      </c>
      <c r="H294">
        <v>0.76300000000000001</v>
      </c>
      <c r="I294">
        <v>4</v>
      </c>
      <c r="J294">
        <v>1572</v>
      </c>
      <c r="K294">
        <v>0.28304750299999998</v>
      </c>
      <c r="L294">
        <v>8.6999999999999994E-2</v>
      </c>
      <c r="M294">
        <v>1</v>
      </c>
      <c r="N294">
        <v>0.41299999999999998</v>
      </c>
      <c r="O294">
        <v>3</v>
      </c>
      <c r="P294">
        <v>3</v>
      </c>
      <c r="S294" s="166" t="s">
        <v>944</v>
      </c>
    </row>
    <row r="295" spans="1:19" x14ac:dyDescent="0.25">
      <c r="A295" t="s">
        <v>1608</v>
      </c>
      <c r="B295">
        <v>9003473602</v>
      </c>
      <c r="C295" t="s">
        <v>1609</v>
      </c>
      <c r="D295">
        <v>81641</v>
      </c>
      <c r="E295">
        <v>2.59</v>
      </c>
      <c r="F295">
        <v>50729.249069999998</v>
      </c>
      <c r="G295">
        <v>50.728999999999999</v>
      </c>
      <c r="H295">
        <v>0.47899999999999998</v>
      </c>
      <c r="I295">
        <v>3</v>
      </c>
      <c r="J295">
        <v>1413</v>
      </c>
      <c r="K295">
        <v>0.33424504199999999</v>
      </c>
      <c r="L295">
        <v>0.39</v>
      </c>
      <c r="M295">
        <v>2</v>
      </c>
      <c r="N295">
        <v>0.55300000000000005</v>
      </c>
      <c r="O295">
        <v>3</v>
      </c>
      <c r="P295">
        <v>3</v>
      </c>
      <c r="S295" s="164" t="s">
        <v>944</v>
      </c>
    </row>
    <row r="296" spans="1:19" x14ac:dyDescent="0.25">
      <c r="A296" t="s">
        <v>1610</v>
      </c>
      <c r="B296">
        <v>9003473700</v>
      </c>
      <c r="C296" t="s">
        <v>1611</v>
      </c>
      <c r="D296">
        <v>81250</v>
      </c>
      <c r="E296">
        <v>2.84</v>
      </c>
      <c r="F296">
        <v>48213.004860000001</v>
      </c>
      <c r="G296">
        <v>48.213000000000001</v>
      </c>
      <c r="H296">
        <v>0.436</v>
      </c>
      <c r="I296">
        <v>3</v>
      </c>
      <c r="J296">
        <v>1352</v>
      </c>
      <c r="K296">
        <v>0.33650671700000001</v>
      </c>
      <c r="L296">
        <v>0.40300000000000002</v>
      </c>
      <c r="M296">
        <v>3</v>
      </c>
      <c r="N296">
        <v>0.60399999999999998</v>
      </c>
      <c r="O296">
        <v>4</v>
      </c>
      <c r="P296">
        <v>4</v>
      </c>
      <c r="S296" s="166" t="s">
        <v>944</v>
      </c>
    </row>
    <row r="297" spans="1:19" x14ac:dyDescent="0.25">
      <c r="A297" t="s">
        <v>1612</v>
      </c>
      <c r="B297">
        <v>9003473800</v>
      </c>
      <c r="C297" t="s">
        <v>1613</v>
      </c>
      <c r="D297">
        <v>80298</v>
      </c>
      <c r="E297">
        <v>2.99</v>
      </c>
      <c r="F297">
        <v>46437.53241</v>
      </c>
      <c r="G297">
        <v>46.438000000000002</v>
      </c>
      <c r="H297">
        <v>0.39300000000000002</v>
      </c>
      <c r="I297">
        <v>2</v>
      </c>
      <c r="J297">
        <v>1359</v>
      </c>
      <c r="K297">
        <v>0.35118145099999998</v>
      </c>
      <c r="L297">
        <v>0.48599999999999999</v>
      </c>
      <c r="M297">
        <v>3</v>
      </c>
      <c r="N297">
        <v>0.6</v>
      </c>
      <c r="O297">
        <v>3</v>
      </c>
      <c r="P297">
        <v>4</v>
      </c>
      <c r="S297" s="164" t="s">
        <v>944</v>
      </c>
    </row>
    <row r="298" spans="1:19" x14ac:dyDescent="0.25">
      <c r="A298" t="s">
        <v>1614</v>
      </c>
      <c r="B298">
        <v>9003476100</v>
      </c>
      <c r="C298" t="s">
        <v>1615</v>
      </c>
      <c r="D298">
        <v>62120</v>
      </c>
      <c r="E298">
        <v>2.4700000000000002</v>
      </c>
      <c r="F298">
        <v>39526.009480000001</v>
      </c>
      <c r="G298">
        <v>39.526000000000003</v>
      </c>
      <c r="H298">
        <v>0.28899999999999998</v>
      </c>
      <c r="I298">
        <v>2</v>
      </c>
      <c r="J298">
        <v>1268</v>
      </c>
      <c r="K298">
        <v>0.38496170499999999</v>
      </c>
      <c r="L298">
        <v>0.64500000000000002</v>
      </c>
      <c r="M298">
        <v>4</v>
      </c>
      <c r="N298">
        <v>0.69499999999999995</v>
      </c>
      <c r="O298">
        <v>4</v>
      </c>
      <c r="P298">
        <v>4</v>
      </c>
      <c r="S298" s="166" t="s">
        <v>944</v>
      </c>
    </row>
    <row r="299" spans="1:19" x14ac:dyDescent="0.25">
      <c r="A299" t="s">
        <v>1616</v>
      </c>
      <c r="B299">
        <v>9003476200</v>
      </c>
      <c r="C299" t="s">
        <v>1617</v>
      </c>
      <c r="D299">
        <v>85347</v>
      </c>
      <c r="E299">
        <v>2.4500000000000002</v>
      </c>
      <c r="F299">
        <v>54526.198190000003</v>
      </c>
      <c r="G299">
        <v>54.526000000000003</v>
      </c>
      <c r="H299">
        <v>0.55200000000000005</v>
      </c>
      <c r="I299">
        <v>3</v>
      </c>
      <c r="J299">
        <v>1256</v>
      </c>
      <c r="K299">
        <v>0.27641758500000002</v>
      </c>
      <c r="L299">
        <v>7.5999999999999998E-2</v>
      </c>
      <c r="M299">
        <v>1</v>
      </c>
      <c r="N299">
        <v>0.70699999999999996</v>
      </c>
      <c r="O299">
        <v>4</v>
      </c>
      <c r="P299">
        <v>4</v>
      </c>
      <c r="S299" s="164" t="s">
        <v>944</v>
      </c>
    </row>
    <row r="300" spans="1:19" x14ac:dyDescent="0.25">
      <c r="A300" t="s">
        <v>1618</v>
      </c>
      <c r="B300">
        <v>9003476300</v>
      </c>
      <c r="C300" t="s">
        <v>1619</v>
      </c>
      <c r="D300">
        <v>63044</v>
      </c>
      <c r="E300">
        <v>2.2599999999999998</v>
      </c>
      <c r="F300">
        <v>41936.244989999999</v>
      </c>
      <c r="G300">
        <v>41.936</v>
      </c>
      <c r="H300">
        <v>0.32</v>
      </c>
      <c r="I300">
        <v>2</v>
      </c>
      <c r="J300">
        <v>1285</v>
      </c>
      <c r="K300">
        <v>0.36770101900000002</v>
      </c>
      <c r="L300">
        <v>0.57999999999999996</v>
      </c>
      <c r="M300">
        <v>3</v>
      </c>
      <c r="N300">
        <v>0.67</v>
      </c>
      <c r="O300">
        <v>4</v>
      </c>
      <c r="P300">
        <v>4</v>
      </c>
      <c r="S300" s="166" t="s">
        <v>944</v>
      </c>
    </row>
    <row r="301" spans="1:19" x14ac:dyDescent="0.25">
      <c r="A301" t="s">
        <v>1620</v>
      </c>
      <c r="B301">
        <v>9003477101</v>
      </c>
      <c r="C301" t="s">
        <v>1621</v>
      </c>
      <c r="D301">
        <v>121939</v>
      </c>
      <c r="E301">
        <v>2.63</v>
      </c>
      <c r="F301">
        <v>75190.808539999998</v>
      </c>
      <c r="G301">
        <v>75.191000000000003</v>
      </c>
      <c r="H301">
        <v>0.85</v>
      </c>
      <c r="I301">
        <v>5</v>
      </c>
      <c r="J301">
        <v>1775</v>
      </c>
      <c r="K301">
        <v>0.28327930499999998</v>
      </c>
      <c r="L301">
        <v>9.1999999999999998E-2</v>
      </c>
      <c r="M301">
        <v>1</v>
      </c>
      <c r="N301">
        <v>0.26600000000000001</v>
      </c>
      <c r="O301">
        <v>2</v>
      </c>
      <c r="P301">
        <v>2</v>
      </c>
      <c r="S301" s="164" t="s">
        <v>944</v>
      </c>
    </row>
    <row r="302" spans="1:19" x14ac:dyDescent="0.25">
      <c r="A302" t="s">
        <v>1622</v>
      </c>
      <c r="B302">
        <v>9003477102</v>
      </c>
      <c r="C302" t="s">
        <v>1623</v>
      </c>
      <c r="D302">
        <v>109671</v>
      </c>
      <c r="E302">
        <v>2.54</v>
      </c>
      <c r="F302">
        <v>68813.705610000005</v>
      </c>
      <c r="G302">
        <v>68.813999999999993</v>
      </c>
      <c r="H302">
        <v>0.78400000000000003</v>
      </c>
      <c r="I302">
        <v>4</v>
      </c>
      <c r="J302">
        <v>1615</v>
      </c>
      <c r="K302">
        <v>0.28162994299999999</v>
      </c>
      <c r="L302">
        <v>8.1000000000000003E-2</v>
      </c>
      <c r="M302">
        <v>1</v>
      </c>
      <c r="N302">
        <v>0.375</v>
      </c>
      <c r="O302">
        <v>2</v>
      </c>
      <c r="P302">
        <v>2</v>
      </c>
      <c r="S302" s="166" t="s">
        <v>944</v>
      </c>
    </row>
    <row r="303" spans="1:19" x14ac:dyDescent="0.25">
      <c r="A303" t="s">
        <v>1624</v>
      </c>
      <c r="B303">
        <v>9003477200</v>
      </c>
      <c r="C303" t="s">
        <v>1625</v>
      </c>
      <c r="D303">
        <v>112500</v>
      </c>
      <c r="E303">
        <v>2.71</v>
      </c>
      <c r="F303">
        <v>68338.883159999998</v>
      </c>
      <c r="G303">
        <v>68.338999999999999</v>
      </c>
      <c r="H303">
        <v>0.78</v>
      </c>
      <c r="I303">
        <v>4</v>
      </c>
      <c r="J303">
        <v>1850</v>
      </c>
      <c r="K303">
        <v>0.32485166500000001</v>
      </c>
      <c r="L303">
        <v>0.32800000000000001</v>
      </c>
      <c r="M303">
        <v>2</v>
      </c>
      <c r="N303">
        <v>0.23300000000000001</v>
      </c>
      <c r="O303">
        <v>2</v>
      </c>
      <c r="P303">
        <v>2</v>
      </c>
      <c r="S303" s="164" t="s">
        <v>944</v>
      </c>
    </row>
    <row r="304" spans="1:19" x14ac:dyDescent="0.25">
      <c r="A304" t="s">
        <v>1626</v>
      </c>
      <c r="B304">
        <v>9003480300</v>
      </c>
      <c r="C304" t="s">
        <v>1627</v>
      </c>
      <c r="D304">
        <v>68523</v>
      </c>
      <c r="E304">
        <v>2.4500000000000002</v>
      </c>
      <c r="F304">
        <v>43777.738859999998</v>
      </c>
      <c r="G304">
        <v>43.777999999999999</v>
      </c>
      <c r="H304">
        <v>0.34799999999999998</v>
      </c>
      <c r="I304">
        <v>2</v>
      </c>
      <c r="J304">
        <v>1206</v>
      </c>
      <c r="K304">
        <v>0.33057897400000003</v>
      </c>
      <c r="L304">
        <v>0.36399999999999999</v>
      </c>
      <c r="M304">
        <v>2</v>
      </c>
      <c r="N304">
        <v>0.75700000000000001</v>
      </c>
      <c r="O304">
        <v>4</v>
      </c>
      <c r="P304">
        <v>4</v>
      </c>
      <c r="S304" s="166" t="s">
        <v>944</v>
      </c>
    </row>
    <row r="305" spans="1:19" x14ac:dyDescent="0.25">
      <c r="A305" t="s">
        <v>1628</v>
      </c>
      <c r="B305">
        <v>9003480400</v>
      </c>
      <c r="C305" t="s">
        <v>1629</v>
      </c>
      <c r="D305">
        <v>79864</v>
      </c>
      <c r="E305">
        <v>2.57</v>
      </c>
      <c r="F305">
        <v>49817.794450000001</v>
      </c>
      <c r="G305">
        <v>49.817999999999998</v>
      </c>
      <c r="H305">
        <v>0.46600000000000003</v>
      </c>
      <c r="I305">
        <v>3</v>
      </c>
      <c r="J305">
        <v>1398</v>
      </c>
      <c r="K305">
        <v>0.336747144</v>
      </c>
      <c r="L305">
        <v>0.40500000000000003</v>
      </c>
      <c r="M305">
        <v>3</v>
      </c>
      <c r="N305">
        <v>0.57099999999999995</v>
      </c>
      <c r="O305">
        <v>3</v>
      </c>
      <c r="P305">
        <v>3</v>
      </c>
      <c r="S305" s="164" t="s">
        <v>944</v>
      </c>
    </row>
    <row r="306" spans="1:19" x14ac:dyDescent="0.25">
      <c r="A306" t="s">
        <v>1630</v>
      </c>
      <c r="B306">
        <v>9003480500</v>
      </c>
      <c r="C306" t="s">
        <v>1631</v>
      </c>
      <c r="D306">
        <v>73903</v>
      </c>
      <c r="E306">
        <v>2.42</v>
      </c>
      <c r="F306">
        <v>47506.647680000002</v>
      </c>
      <c r="G306">
        <v>47.506999999999998</v>
      </c>
      <c r="H306">
        <v>0.41399999999999998</v>
      </c>
      <c r="I306">
        <v>3</v>
      </c>
      <c r="J306">
        <v>1303</v>
      </c>
      <c r="K306">
        <v>0.32913288499999999</v>
      </c>
      <c r="L306">
        <v>0.34899999999999998</v>
      </c>
      <c r="M306">
        <v>2</v>
      </c>
      <c r="N306">
        <v>0.65300000000000002</v>
      </c>
      <c r="O306">
        <v>4</v>
      </c>
      <c r="P306">
        <v>4</v>
      </c>
      <c r="S306" s="166" t="s">
        <v>944</v>
      </c>
    </row>
    <row r="307" spans="1:19" x14ac:dyDescent="0.25">
      <c r="A307" t="s">
        <v>1632</v>
      </c>
      <c r="B307">
        <v>9003480600</v>
      </c>
      <c r="C307" t="s">
        <v>1633</v>
      </c>
      <c r="D307">
        <v>33221</v>
      </c>
      <c r="E307">
        <v>2.29</v>
      </c>
      <c r="F307">
        <v>21953.05473</v>
      </c>
      <c r="G307">
        <v>21.952999999999999</v>
      </c>
      <c r="H307">
        <v>8.1000000000000003E-2</v>
      </c>
      <c r="I307">
        <v>1</v>
      </c>
      <c r="J307">
        <v>1213</v>
      </c>
      <c r="K307">
        <v>0.66305123300000002</v>
      </c>
      <c r="L307">
        <v>0.95099999999999996</v>
      </c>
      <c r="M307">
        <v>5</v>
      </c>
      <c r="N307">
        <v>0.751</v>
      </c>
      <c r="O307">
        <v>4</v>
      </c>
      <c r="P307">
        <v>5</v>
      </c>
      <c r="S307" s="164" t="s">
        <v>936</v>
      </c>
    </row>
    <row r="308" spans="1:19" x14ac:dyDescent="0.25">
      <c r="A308" t="s">
        <v>1634</v>
      </c>
      <c r="B308">
        <v>9003480700</v>
      </c>
      <c r="C308" t="s">
        <v>1635</v>
      </c>
      <c r="D308">
        <v>58000</v>
      </c>
      <c r="E308">
        <v>2.59</v>
      </c>
      <c r="F308">
        <v>36039.446430000004</v>
      </c>
      <c r="G308">
        <v>36.039000000000001</v>
      </c>
      <c r="H308">
        <v>0.249</v>
      </c>
      <c r="I308">
        <v>2</v>
      </c>
      <c r="J308">
        <v>964</v>
      </c>
      <c r="K308">
        <v>0.32098162299999999</v>
      </c>
      <c r="L308">
        <v>0.3</v>
      </c>
      <c r="M308">
        <v>2</v>
      </c>
      <c r="N308">
        <v>0.95699999999999996</v>
      </c>
      <c r="O308">
        <v>5</v>
      </c>
      <c r="P308">
        <v>5</v>
      </c>
      <c r="S308" s="166" t="s">
        <v>944</v>
      </c>
    </row>
    <row r="309" spans="1:19" x14ac:dyDescent="0.25">
      <c r="A309" t="s">
        <v>1636</v>
      </c>
      <c r="B309">
        <v>9003480800</v>
      </c>
      <c r="C309" t="s">
        <v>1637</v>
      </c>
      <c r="D309">
        <v>83345</v>
      </c>
      <c r="E309">
        <v>2.36</v>
      </c>
      <c r="F309">
        <v>54252.97393</v>
      </c>
      <c r="G309">
        <v>54.253</v>
      </c>
      <c r="H309">
        <v>0.54500000000000004</v>
      </c>
      <c r="I309">
        <v>3</v>
      </c>
      <c r="J309">
        <v>1133</v>
      </c>
      <c r="K309">
        <v>0.250603774</v>
      </c>
      <c r="L309">
        <v>1.2999999999999999E-2</v>
      </c>
      <c r="M309">
        <v>1</v>
      </c>
      <c r="N309">
        <v>0.83299999999999996</v>
      </c>
      <c r="O309">
        <v>5</v>
      </c>
      <c r="P309">
        <v>4</v>
      </c>
      <c r="S309" s="164" t="s">
        <v>944</v>
      </c>
    </row>
    <row r="310" spans="1:19" x14ac:dyDescent="0.25">
      <c r="A310" t="s">
        <v>1638</v>
      </c>
      <c r="B310">
        <v>9003480900</v>
      </c>
      <c r="C310" t="s">
        <v>1639</v>
      </c>
      <c r="D310">
        <v>92500</v>
      </c>
      <c r="E310">
        <v>2.4</v>
      </c>
      <c r="F310">
        <v>59708.49325</v>
      </c>
      <c r="G310">
        <v>59.707999999999998</v>
      </c>
      <c r="H310">
        <v>0.64600000000000002</v>
      </c>
      <c r="I310">
        <v>4</v>
      </c>
      <c r="J310">
        <v>1268</v>
      </c>
      <c r="K310">
        <v>0.25483811699999998</v>
      </c>
      <c r="L310">
        <v>0.02</v>
      </c>
      <c r="M310">
        <v>1</v>
      </c>
      <c r="N310">
        <v>0.69499999999999995</v>
      </c>
      <c r="O310">
        <v>4</v>
      </c>
      <c r="P310">
        <v>3</v>
      </c>
      <c r="S310" s="166" t="s">
        <v>944</v>
      </c>
    </row>
    <row r="311" spans="1:19" x14ac:dyDescent="0.25">
      <c r="A311" t="s">
        <v>1640</v>
      </c>
      <c r="B311">
        <v>9003481000</v>
      </c>
      <c r="C311" t="s">
        <v>1641</v>
      </c>
      <c r="D311">
        <v>122222</v>
      </c>
      <c r="E311">
        <v>2.96</v>
      </c>
      <c r="F311">
        <v>71040.094509999995</v>
      </c>
      <c r="G311">
        <v>71.040000000000006</v>
      </c>
      <c r="H311">
        <v>0.81699999999999995</v>
      </c>
      <c r="I311">
        <v>5</v>
      </c>
      <c r="J311">
        <v>1767</v>
      </c>
      <c r="K311">
        <v>0.29847933300000001</v>
      </c>
      <c r="L311">
        <v>0.161</v>
      </c>
      <c r="M311">
        <v>1</v>
      </c>
      <c r="N311">
        <v>0.27300000000000002</v>
      </c>
      <c r="O311">
        <v>2</v>
      </c>
      <c r="P311">
        <v>2</v>
      </c>
      <c r="S311" s="164" t="s">
        <v>944</v>
      </c>
    </row>
    <row r="312" spans="1:19" x14ac:dyDescent="0.25">
      <c r="A312" t="s">
        <v>1642</v>
      </c>
      <c r="B312">
        <v>9003481100</v>
      </c>
      <c r="C312" t="s">
        <v>1643</v>
      </c>
      <c r="D312">
        <v>73365</v>
      </c>
      <c r="E312">
        <v>2.56</v>
      </c>
      <c r="F312">
        <v>45853.125</v>
      </c>
      <c r="G312">
        <v>45.853000000000002</v>
      </c>
      <c r="H312">
        <v>0.38100000000000001</v>
      </c>
      <c r="I312">
        <v>2</v>
      </c>
      <c r="J312">
        <v>1400</v>
      </c>
      <c r="K312">
        <v>0.366387242</v>
      </c>
      <c r="L312">
        <v>0.56999999999999995</v>
      </c>
      <c r="M312">
        <v>3</v>
      </c>
      <c r="N312">
        <v>0.56899999999999995</v>
      </c>
      <c r="O312">
        <v>3</v>
      </c>
      <c r="P312">
        <v>4</v>
      </c>
      <c r="S312" s="166" t="s">
        <v>944</v>
      </c>
    </row>
    <row r="313" spans="1:19" x14ac:dyDescent="0.25">
      <c r="A313" t="s">
        <v>1644</v>
      </c>
      <c r="B313">
        <v>9003481200</v>
      </c>
      <c r="C313" t="s">
        <v>1645</v>
      </c>
      <c r="D313">
        <v>90543</v>
      </c>
      <c r="E313">
        <v>2.4</v>
      </c>
      <c r="F313">
        <v>58445.255190000003</v>
      </c>
      <c r="G313">
        <v>58.445</v>
      </c>
      <c r="H313">
        <v>0.623</v>
      </c>
      <c r="I313">
        <v>4</v>
      </c>
      <c r="J313">
        <v>1204</v>
      </c>
      <c r="K313">
        <v>0.247205696</v>
      </c>
      <c r="L313">
        <v>8.9999999999999993E-3</v>
      </c>
      <c r="M313">
        <v>1</v>
      </c>
      <c r="N313">
        <v>0.75800000000000001</v>
      </c>
      <c r="O313">
        <v>4</v>
      </c>
      <c r="P313">
        <v>3</v>
      </c>
      <c r="S313" s="164" t="s">
        <v>944</v>
      </c>
    </row>
    <row r="314" spans="1:19" x14ac:dyDescent="0.25">
      <c r="A314" t="s">
        <v>1646</v>
      </c>
      <c r="B314">
        <v>9003481300</v>
      </c>
      <c r="C314" t="s">
        <v>1647</v>
      </c>
      <c r="D314">
        <v>99617</v>
      </c>
      <c r="E314">
        <v>2.42</v>
      </c>
      <c r="F314">
        <v>64036.232929999998</v>
      </c>
      <c r="G314">
        <v>64.036000000000001</v>
      </c>
      <c r="H314">
        <v>0.71799999999999997</v>
      </c>
      <c r="I314">
        <v>4</v>
      </c>
      <c r="J314">
        <v>1511</v>
      </c>
      <c r="K314">
        <v>0.28315219600000002</v>
      </c>
      <c r="L314">
        <v>9.0999999999999998E-2</v>
      </c>
      <c r="M314">
        <v>1</v>
      </c>
      <c r="N314">
        <v>0.45900000000000002</v>
      </c>
      <c r="O314">
        <v>3</v>
      </c>
      <c r="P314">
        <v>3</v>
      </c>
      <c r="S314" s="166" t="s">
        <v>944</v>
      </c>
    </row>
    <row r="315" spans="1:19" x14ac:dyDescent="0.25">
      <c r="A315" t="s">
        <v>1648</v>
      </c>
      <c r="B315">
        <v>9003484100</v>
      </c>
      <c r="C315" t="s">
        <v>1649</v>
      </c>
      <c r="D315">
        <v>72150</v>
      </c>
      <c r="E315">
        <v>1.93</v>
      </c>
      <c r="F315">
        <v>51934.706420000002</v>
      </c>
      <c r="G315">
        <v>51.935000000000002</v>
      </c>
      <c r="H315">
        <v>0.498</v>
      </c>
      <c r="I315">
        <v>3</v>
      </c>
      <c r="J315">
        <v>1227</v>
      </c>
      <c r="K315">
        <v>0.28350983400000002</v>
      </c>
      <c r="L315">
        <v>9.4E-2</v>
      </c>
      <c r="M315">
        <v>1</v>
      </c>
      <c r="N315">
        <v>0.74</v>
      </c>
      <c r="O315">
        <v>4</v>
      </c>
      <c r="P315">
        <v>4</v>
      </c>
      <c r="S315" s="164" t="s">
        <v>944</v>
      </c>
    </row>
    <row r="316" spans="1:19" x14ac:dyDescent="0.25">
      <c r="A316" t="s">
        <v>1650</v>
      </c>
      <c r="B316">
        <v>9003484200</v>
      </c>
      <c r="C316" t="s">
        <v>1651</v>
      </c>
      <c r="D316">
        <v>84779</v>
      </c>
      <c r="E316">
        <v>2.76</v>
      </c>
      <c r="F316">
        <v>51030.961190000002</v>
      </c>
      <c r="G316">
        <v>51.030999999999999</v>
      </c>
      <c r="H316">
        <v>0.48199999999999998</v>
      </c>
      <c r="I316">
        <v>3</v>
      </c>
      <c r="J316">
        <v>1355</v>
      </c>
      <c r="K316">
        <v>0.318630095</v>
      </c>
      <c r="L316">
        <v>0.27800000000000002</v>
      </c>
      <c r="M316">
        <v>2</v>
      </c>
      <c r="N316">
        <v>0.60299999999999998</v>
      </c>
      <c r="O316">
        <v>4</v>
      </c>
      <c r="P316">
        <v>4</v>
      </c>
      <c r="S316" s="166" t="s">
        <v>944</v>
      </c>
    </row>
    <row r="317" spans="1:19" x14ac:dyDescent="0.25">
      <c r="A317" t="s">
        <v>1652</v>
      </c>
      <c r="B317">
        <v>9003487100</v>
      </c>
      <c r="C317" t="s">
        <v>1653</v>
      </c>
      <c r="D317">
        <v>121296</v>
      </c>
      <c r="E317">
        <v>2.93</v>
      </c>
      <c r="F317">
        <v>70861.879820000002</v>
      </c>
      <c r="G317">
        <v>70.861999999999995</v>
      </c>
      <c r="H317">
        <v>0.81399999999999995</v>
      </c>
      <c r="I317">
        <v>5</v>
      </c>
      <c r="J317">
        <v>1813</v>
      </c>
      <c r="K317">
        <v>0.30701979800000001</v>
      </c>
      <c r="L317">
        <v>0.20899999999999999</v>
      </c>
      <c r="M317">
        <v>2</v>
      </c>
      <c r="N317">
        <v>0.251</v>
      </c>
      <c r="O317">
        <v>2</v>
      </c>
      <c r="P317">
        <v>2</v>
      </c>
      <c r="S317" s="164" t="s">
        <v>944</v>
      </c>
    </row>
    <row r="318" spans="1:19" x14ac:dyDescent="0.25">
      <c r="A318" t="s">
        <v>1654</v>
      </c>
      <c r="B318">
        <v>9003487201</v>
      </c>
      <c r="C318" t="s">
        <v>1655</v>
      </c>
      <c r="D318">
        <v>114792</v>
      </c>
      <c r="E318">
        <v>2.63</v>
      </c>
      <c r="F318">
        <v>70783.779540000003</v>
      </c>
      <c r="G318">
        <v>70.784000000000006</v>
      </c>
      <c r="H318">
        <v>0.81200000000000006</v>
      </c>
      <c r="I318">
        <v>5</v>
      </c>
      <c r="J318">
        <v>1698</v>
      </c>
      <c r="K318">
        <v>0.28786255999999999</v>
      </c>
      <c r="L318">
        <v>0.108</v>
      </c>
      <c r="M318">
        <v>1</v>
      </c>
      <c r="N318">
        <v>0.312</v>
      </c>
      <c r="O318">
        <v>2</v>
      </c>
      <c r="P318">
        <v>2</v>
      </c>
      <c r="S318" s="166" t="s">
        <v>944</v>
      </c>
    </row>
    <row r="319" spans="1:19" x14ac:dyDescent="0.25">
      <c r="A319" t="s">
        <v>1656</v>
      </c>
      <c r="B319">
        <v>9003487202</v>
      </c>
      <c r="C319" t="s">
        <v>1657</v>
      </c>
      <c r="D319">
        <v>169688</v>
      </c>
      <c r="E319">
        <v>3.17</v>
      </c>
      <c r="F319">
        <v>95306.275909999997</v>
      </c>
      <c r="G319">
        <v>95.305999999999997</v>
      </c>
      <c r="H319">
        <v>0.93500000000000005</v>
      </c>
      <c r="I319">
        <v>5</v>
      </c>
      <c r="J319">
        <v>2347</v>
      </c>
      <c r="K319">
        <v>0.29551044500000001</v>
      </c>
      <c r="L319">
        <v>0.14299999999999999</v>
      </c>
      <c r="M319">
        <v>1</v>
      </c>
      <c r="N319">
        <v>0.104</v>
      </c>
      <c r="O319">
        <v>1</v>
      </c>
      <c r="P319">
        <v>1</v>
      </c>
      <c r="S319" s="164" t="s">
        <v>944</v>
      </c>
    </row>
    <row r="320" spans="1:19" x14ac:dyDescent="0.25">
      <c r="A320" t="s">
        <v>1658</v>
      </c>
      <c r="B320">
        <v>9003487300</v>
      </c>
      <c r="C320" t="s">
        <v>1659</v>
      </c>
      <c r="D320">
        <v>96875</v>
      </c>
      <c r="E320">
        <v>2.63</v>
      </c>
      <c r="F320">
        <v>59735.684050000003</v>
      </c>
      <c r="G320">
        <v>59.735999999999997</v>
      </c>
      <c r="H320">
        <v>0.64800000000000002</v>
      </c>
      <c r="I320">
        <v>4</v>
      </c>
      <c r="J320">
        <v>1792</v>
      </c>
      <c r="K320">
        <v>0.35998583299999998</v>
      </c>
      <c r="L320">
        <v>0.53700000000000003</v>
      </c>
      <c r="M320">
        <v>3</v>
      </c>
      <c r="N320">
        <v>0.25700000000000001</v>
      </c>
      <c r="O320">
        <v>2</v>
      </c>
      <c r="P320">
        <v>2</v>
      </c>
      <c r="S320" s="166" t="s">
        <v>944</v>
      </c>
    </row>
    <row r="321" spans="1:19" x14ac:dyDescent="0.25">
      <c r="A321" t="s">
        <v>1660</v>
      </c>
      <c r="B321">
        <v>9003487400</v>
      </c>
      <c r="C321" t="s">
        <v>1661</v>
      </c>
      <c r="D321">
        <v>109605</v>
      </c>
      <c r="E321">
        <v>2.6</v>
      </c>
      <c r="F321">
        <v>67974.135420000006</v>
      </c>
      <c r="G321">
        <v>67.974000000000004</v>
      </c>
      <c r="H321">
        <v>0.77700000000000002</v>
      </c>
      <c r="I321">
        <v>4</v>
      </c>
      <c r="J321">
        <v>1660</v>
      </c>
      <c r="K321">
        <v>0.29305264199999997</v>
      </c>
      <c r="L321">
        <v>0.13600000000000001</v>
      </c>
      <c r="M321">
        <v>1</v>
      </c>
      <c r="N321">
        <v>0.34100000000000003</v>
      </c>
      <c r="O321">
        <v>2</v>
      </c>
      <c r="P321">
        <v>2</v>
      </c>
      <c r="S321" s="164" t="s">
        <v>944</v>
      </c>
    </row>
    <row r="322" spans="1:19" x14ac:dyDescent="0.25">
      <c r="A322" t="s">
        <v>1662</v>
      </c>
      <c r="B322">
        <v>9003487500</v>
      </c>
      <c r="C322" t="s">
        <v>1663</v>
      </c>
      <c r="D322">
        <v>69135</v>
      </c>
      <c r="E322">
        <v>2.2200000000000002</v>
      </c>
      <c r="F322">
        <v>46400.373879999999</v>
      </c>
      <c r="G322">
        <v>46.4</v>
      </c>
      <c r="H322">
        <v>0.39200000000000002</v>
      </c>
      <c r="I322">
        <v>2</v>
      </c>
      <c r="J322">
        <v>1450</v>
      </c>
      <c r="K322">
        <v>0.37499697799999998</v>
      </c>
      <c r="L322">
        <v>0.61299999999999999</v>
      </c>
      <c r="M322">
        <v>4</v>
      </c>
      <c r="N322">
        <v>0.52500000000000002</v>
      </c>
      <c r="O322">
        <v>3</v>
      </c>
      <c r="P322">
        <v>4</v>
      </c>
      <c r="S322" s="166" t="s">
        <v>944</v>
      </c>
    </row>
    <row r="323" spans="1:19" x14ac:dyDescent="0.25">
      <c r="A323" t="s">
        <v>1664</v>
      </c>
      <c r="B323">
        <v>9003490100</v>
      </c>
      <c r="C323" t="s">
        <v>1665</v>
      </c>
      <c r="D323">
        <v>72198</v>
      </c>
      <c r="E323">
        <v>2.15</v>
      </c>
      <c r="F323">
        <v>49238.62732</v>
      </c>
      <c r="G323">
        <v>49.238999999999997</v>
      </c>
      <c r="H323">
        <v>0.45800000000000002</v>
      </c>
      <c r="I323">
        <v>3</v>
      </c>
      <c r="J323">
        <v>1335</v>
      </c>
      <c r="K323">
        <v>0.32535431799999998</v>
      </c>
      <c r="L323">
        <v>0.33200000000000002</v>
      </c>
      <c r="M323">
        <v>2</v>
      </c>
      <c r="N323">
        <v>0.622</v>
      </c>
      <c r="O323">
        <v>4</v>
      </c>
      <c r="P323">
        <v>4</v>
      </c>
      <c r="S323" s="164" t="s">
        <v>944</v>
      </c>
    </row>
    <row r="324" spans="1:19" x14ac:dyDescent="0.25">
      <c r="A324" t="s">
        <v>1666</v>
      </c>
      <c r="B324">
        <v>9003490302</v>
      </c>
      <c r="C324" t="s">
        <v>1667</v>
      </c>
      <c r="D324">
        <v>89691</v>
      </c>
      <c r="E324">
        <v>2.2599999999999998</v>
      </c>
      <c r="F324">
        <v>59661.565730000002</v>
      </c>
      <c r="G324">
        <v>59.661999999999999</v>
      </c>
      <c r="H324">
        <v>0.64300000000000002</v>
      </c>
      <c r="I324">
        <v>4</v>
      </c>
      <c r="J324">
        <v>1552</v>
      </c>
      <c r="K324">
        <v>0.31216076500000001</v>
      </c>
      <c r="L324">
        <v>0.23799999999999999</v>
      </c>
      <c r="M324">
        <v>2</v>
      </c>
      <c r="N324">
        <v>0.42499999999999999</v>
      </c>
      <c r="O324">
        <v>3</v>
      </c>
      <c r="P324">
        <v>3</v>
      </c>
      <c r="S324" s="166" t="s">
        <v>944</v>
      </c>
    </row>
    <row r="325" spans="1:19" x14ac:dyDescent="0.25">
      <c r="A325" t="s">
        <v>1668</v>
      </c>
      <c r="B325">
        <v>9003492100</v>
      </c>
      <c r="C325" t="s">
        <v>1669</v>
      </c>
      <c r="D325">
        <v>98664</v>
      </c>
      <c r="E325">
        <v>2.54</v>
      </c>
      <c r="F325">
        <v>61907.299559999999</v>
      </c>
      <c r="G325">
        <v>61.906999999999996</v>
      </c>
      <c r="H325">
        <v>0.69099999999999995</v>
      </c>
      <c r="I325">
        <v>4</v>
      </c>
      <c r="J325">
        <v>1549</v>
      </c>
      <c r="K325">
        <v>0.30025538400000001</v>
      </c>
      <c r="L325">
        <v>0.17100000000000001</v>
      </c>
      <c r="M325">
        <v>1</v>
      </c>
      <c r="N325">
        <v>0.43</v>
      </c>
      <c r="O325">
        <v>3</v>
      </c>
      <c r="P325">
        <v>3</v>
      </c>
      <c r="S325" s="164" t="s">
        <v>944</v>
      </c>
    </row>
    <row r="326" spans="1:19" x14ac:dyDescent="0.25">
      <c r="A326" t="s">
        <v>1670</v>
      </c>
      <c r="B326">
        <v>9003492200</v>
      </c>
      <c r="C326" t="s">
        <v>1671</v>
      </c>
      <c r="D326">
        <v>92750</v>
      </c>
      <c r="E326">
        <v>2.46</v>
      </c>
      <c r="F326">
        <v>59135.240140000002</v>
      </c>
      <c r="G326">
        <v>59.134999999999998</v>
      </c>
      <c r="H326">
        <v>0.63500000000000001</v>
      </c>
      <c r="I326">
        <v>4</v>
      </c>
      <c r="J326">
        <v>1582</v>
      </c>
      <c r="K326">
        <v>0.32102685199999997</v>
      </c>
      <c r="L326">
        <v>0.30199999999999999</v>
      </c>
      <c r="M326">
        <v>2</v>
      </c>
      <c r="N326">
        <v>0.40200000000000002</v>
      </c>
      <c r="O326">
        <v>3</v>
      </c>
      <c r="P326">
        <v>3</v>
      </c>
      <c r="S326" s="166" t="s">
        <v>944</v>
      </c>
    </row>
    <row r="327" spans="1:19" x14ac:dyDescent="0.25">
      <c r="A327" t="s">
        <v>1672</v>
      </c>
      <c r="B327">
        <v>9003492300</v>
      </c>
      <c r="C327" t="s">
        <v>1673</v>
      </c>
      <c r="D327">
        <v>68125</v>
      </c>
      <c r="E327">
        <v>2.21</v>
      </c>
      <c r="F327">
        <v>45825.834089999997</v>
      </c>
      <c r="G327">
        <v>45.826000000000001</v>
      </c>
      <c r="H327">
        <v>0.38</v>
      </c>
      <c r="I327">
        <v>2</v>
      </c>
      <c r="J327">
        <v>1456</v>
      </c>
      <c r="K327">
        <v>0.38126965600000001</v>
      </c>
      <c r="L327">
        <v>0.63600000000000001</v>
      </c>
      <c r="M327">
        <v>4</v>
      </c>
      <c r="N327">
        <v>0.52</v>
      </c>
      <c r="O327">
        <v>3</v>
      </c>
      <c r="P327">
        <v>4</v>
      </c>
      <c r="S327" s="164" t="s">
        <v>944</v>
      </c>
    </row>
    <row r="328" spans="1:19" x14ac:dyDescent="0.25">
      <c r="A328" t="s">
        <v>1674</v>
      </c>
      <c r="B328">
        <v>9003492400</v>
      </c>
      <c r="C328" t="s">
        <v>1675</v>
      </c>
      <c r="D328">
        <v>85446</v>
      </c>
      <c r="E328">
        <v>2.61</v>
      </c>
      <c r="F328">
        <v>52889.746220000001</v>
      </c>
      <c r="G328">
        <v>52.89</v>
      </c>
      <c r="H328">
        <v>0.52</v>
      </c>
      <c r="I328">
        <v>3</v>
      </c>
      <c r="J328">
        <v>1448</v>
      </c>
      <c r="K328">
        <v>0.32853249000000001</v>
      </c>
      <c r="L328">
        <v>0.34499999999999997</v>
      </c>
      <c r="M328">
        <v>2</v>
      </c>
      <c r="N328">
        <v>0.52700000000000002</v>
      </c>
      <c r="O328">
        <v>3</v>
      </c>
      <c r="P328">
        <v>3</v>
      </c>
      <c r="S328" s="166" t="s">
        <v>944</v>
      </c>
    </row>
    <row r="329" spans="1:19" x14ac:dyDescent="0.25">
      <c r="A329" t="s">
        <v>1676</v>
      </c>
      <c r="B329">
        <v>9003492500</v>
      </c>
      <c r="C329" t="s">
        <v>1677</v>
      </c>
      <c r="D329">
        <v>90644</v>
      </c>
      <c r="E329">
        <v>2.48</v>
      </c>
      <c r="F329">
        <v>57558.997560000003</v>
      </c>
      <c r="G329">
        <v>57.558999999999997</v>
      </c>
      <c r="H329">
        <v>0.61199999999999999</v>
      </c>
      <c r="I329">
        <v>4</v>
      </c>
      <c r="J329">
        <v>1726</v>
      </c>
      <c r="K329">
        <v>0.35983948399999999</v>
      </c>
      <c r="L329">
        <v>0.53600000000000003</v>
      </c>
      <c r="M329">
        <v>3</v>
      </c>
      <c r="N329">
        <v>0.29499999999999998</v>
      </c>
      <c r="O329">
        <v>2</v>
      </c>
      <c r="P329">
        <v>2</v>
      </c>
      <c r="S329" s="164" t="s">
        <v>944</v>
      </c>
    </row>
    <row r="330" spans="1:19" x14ac:dyDescent="0.25">
      <c r="A330" t="s">
        <v>1678</v>
      </c>
      <c r="B330">
        <v>9003492600</v>
      </c>
      <c r="C330" t="s">
        <v>1679</v>
      </c>
      <c r="D330">
        <v>101964</v>
      </c>
      <c r="E330">
        <v>2.3199999999999998</v>
      </c>
      <c r="F330">
        <v>66942.645600000003</v>
      </c>
      <c r="G330">
        <v>66.942999999999998</v>
      </c>
      <c r="H330">
        <v>0.76600000000000001</v>
      </c>
      <c r="I330">
        <v>4</v>
      </c>
      <c r="J330">
        <v>1333</v>
      </c>
      <c r="K330">
        <v>0.23895081900000001</v>
      </c>
      <c r="L330">
        <v>4.0000000000000001E-3</v>
      </c>
      <c r="M330">
        <v>1</v>
      </c>
      <c r="N330">
        <v>0.625</v>
      </c>
      <c r="O330">
        <v>4</v>
      </c>
      <c r="P330">
        <v>3</v>
      </c>
      <c r="S330" s="166" t="s">
        <v>944</v>
      </c>
    </row>
    <row r="331" spans="1:19" x14ac:dyDescent="0.25">
      <c r="A331" t="s">
        <v>1680</v>
      </c>
      <c r="B331">
        <v>9003494100</v>
      </c>
      <c r="C331" t="s">
        <v>1681</v>
      </c>
      <c r="D331">
        <v>86119</v>
      </c>
      <c r="E331">
        <v>2.25</v>
      </c>
      <c r="F331">
        <v>57412.666669999999</v>
      </c>
      <c r="G331">
        <v>57.412999999999997</v>
      </c>
      <c r="H331">
        <v>0.60199999999999998</v>
      </c>
      <c r="I331">
        <v>4</v>
      </c>
      <c r="J331">
        <v>1538</v>
      </c>
      <c r="K331">
        <v>0.32146216300000002</v>
      </c>
      <c r="L331">
        <v>0.307</v>
      </c>
      <c r="M331">
        <v>2</v>
      </c>
      <c r="N331">
        <v>0.435</v>
      </c>
      <c r="O331">
        <v>3</v>
      </c>
      <c r="P331">
        <v>3</v>
      </c>
      <c r="S331" s="164" t="s">
        <v>944</v>
      </c>
    </row>
    <row r="332" spans="1:19" x14ac:dyDescent="0.25">
      <c r="A332" t="s">
        <v>1682</v>
      </c>
      <c r="B332">
        <v>9003494201</v>
      </c>
      <c r="C332" t="s">
        <v>1683</v>
      </c>
      <c r="D332">
        <v>75536</v>
      </c>
      <c r="E332">
        <v>2.5499999999999998</v>
      </c>
      <c r="F332">
        <v>47302.478049999998</v>
      </c>
      <c r="G332">
        <v>47.302</v>
      </c>
      <c r="H332">
        <v>0.40400000000000003</v>
      </c>
      <c r="I332">
        <v>3</v>
      </c>
      <c r="J332">
        <v>1230</v>
      </c>
      <c r="K332">
        <v>0.31203439199999999</v>
      </c>
      <c r="L332">
        <v>0.23699999999999999</v>
      </c>
      <c r="M332">
        <v>2</v>
      </c>
      <c r="N332">
        <v>0.73499999999999999</v>
      </c>
      <c r="O332">
        <v>4</v>
      </c>
      <c r="P332">
        <v>4</v>
      </c>
      <c r="S332" s="166" t="s">
        <v>944</v>
      </c>
    </row>
    <row r="333" spans="1:19" x14ac:dyDescent="0.25">
      <c r="A333" t="s">
        <v>1684</v>
      </c>
      <c r="B333">
        <v>9003494202</v>
      </c>
      <c r="C333" t="s">
        <v>1685</v>
      </c>
      <c r="D333">
        <v>90571</v>
      </c>
      <c r="E333">
        <v>2.23</v>
      </c>
      <c r="F333">
        <v>60650.827599999997</v>
      </c>
      <c r="G333">
        <v>60.651000000000003</v>
      </c>
      <c r="H333">
        <v>0.66300000000000003</v>
      </c>
      <c r="I333">
        <v>4</v>
      </c>
      <c r="J333">
        <v>1431</v>
      </c>
      <c r="K333">
        <v>0.28312886500000001</v>
      </c>
      <c r="L333">
        <v>0.09</v>
      </c>
      <c r="M333">
        <v>1</v>
      </c>
      <c r="N333">
        <v>0.54100000000000004</v>
      </c>
      <c r="O333">
        <v>3</v>
      </c>
      <c r="P333">
        <v>3</v>
      </c>
      <c r="S333" s="164" t="s">
        <v>944</v>
      </c>
    </row>
    <row r="334" spans="1:19" x14ac:dyDescent="0.25">
      <c r="A334" t="s">
        <v>1686</v>
      </c>
      <c r="B334">
        <v>9003494300</v>
      </c>
      <c r="C334" t="s">
        <v>1687</v>
      </c>
      <c r="D334">
        <v>79475</v>
      </c>
      <c r="E334">
        <v>2.73</v>
      </c>
      <c r="F334">
        <v>48100.458160000002</v>
      </c>
      <c r="G334">
        <v>48.1</v>
      </c>
      <c r="H334">
        <v>0.432</v>
      </c>
      <c r="I334">
        <v>3</v>
      </c>
      <c r="J334">
        <v>1461</v>
      </c>
      <c r="K334">
        <v>0.364487173</v>
      </c>
      <c r="L334">
        <v>0.56299999999999994</v>
      </c>
      <c r="M334">
        <v>3</v>
      </c>
      <c r="N334">
        <v>0.51300000000000001</v>
      </c>
      <c r="O334">
        <v>3</v>
      </c>
      <c r="P334">
        <v>3</v>
      </c>
      <c r="S334" s="166" t="s">
        <v>944</v>
      </c>
    </row>
    <row r="335" spans="1:19" x14ac:dyDescent="0.25">
      <c r="A335" t="s">
        <v>1688</v>
      </c>
      <c r="B335">
        <v>9003494400</v>
      </c>
      <c r="C335" t="s">
        <v>1689</v>
      </c>
      <c r="D335">
        <v>74659</v>
      </c>
      <c r="E335">
        <v>2.2999999999999998</v>
      </c>
      <c r="F335">
        <v>49228.686759999997</v>
      </c>
      <c r="G335">
        <v>49.228999999999999</v>
      </c>
      <c r="H335">
        <v>0.45600000000000002</v>
      </c>
      <c r="I335">
        <v>3</v>
      </c>
      <c r="J335">
        <v>1268</v>
      </c>
      <c r="K335">
        <v>0.30908807399999999</v>
      </c>
      <c r="L335">
        <v>0.221</v>
      </c>
      <c r="M335">
        <v>2</v>
      </c>
      <c r="N335">
        <v>0.69499999999999995</v>
      </c>
      <c r="O335">
        <v>4</v>
      </c>
      <c r="P335">
        <v>4</v>
      </c>
      <c r="S335" s="164" t="s">
        <v>944</v>
      </c>
    </row>
    <row r="336" spans="1:19" x14ac:dyDescent="0.25">
      <c r="A336" t="s">
        <v>1690</v>
      </c>
      <c r="B336">
        <v>9003494500</v>
      </c>
      <c r="C336" t="s">
        <v>1691</v>
      </c>
      <c r="D336">
        <v>87917</v>
      </c>
      <c r="E336">
        <v>2.4700000000000002</v>
      </c>
      <c r="F336">
        <v>55940.247510000001</v>
      </c>
      <c r="G336">
        <v>55.94</v>
      </c>
      <c r="H336">
        <v>0.57799999999999996</v>
      </c>
      <c r="I336">
        <v>3</v>
      </c>
      <c r="J336">
        <v>1407</v>
      </c>
      <c r="K336">
        <v>0.30182204699999998</v>
      </c>
      <c r="L336">
        <v>0.18</v>
      </c>
      <c r="M336">
        <v>1</v>
      </c>
      <c r="N336">
        <v>0.56399999999999995</v>
      </c>
      <c r="O336">
        <v>3</v>
      </c>
      <c r="P336">
        <v>3</v>
      </c>
      <c r="S336" s="166" t="s">
        <v>944</v>
      </c>
    </row>
    <row r="337" spans="1:19" x14ac:dyDescent="0.25">
      <c r="A337" t="s">
        <v>1692</v>
      </c>
      <c r="B337">
        <v>9003494600</v>
      </c>
      <c r="C337" t="s">
        <v>1693</v>
      </c>
      <c r="D337">
        <v>75980</v>
      </c>
      <c r="E337">
        <v>2.34</v>
      </c>
      <c r="F337">
        <v>49669.679830000001</v>
      </c>
      <c r="G337">
        <v>49.67</v>
      </c>
      <c r="H337">
        <v>0.46500000000000002</v>
      </c>
      <c r="I337">
        <v>3</v>
      </c>
      <c r="J337">
        <v>1400</v>
      </c>
      <c r="K337">
        <v>0.33823451399999999</v>
      </c>
      <c r="L337">
        <v>0.41299999999999998</v>
      </c>
      <c r="M337">
        <v>3</v>
      </c>
      <c r="N337">
        <v>0.56899999999999995</v>
      </c>
      <c r="O337">
        <v>3</v>
      </c>
      <c r="P337">
        <v>3</v>
      </c>
      <c r="S337" s="164" t="s">
        <v>944</v>
      </c>
    </row>
    <row r="338" spans="1:19" x14ac:dyDescent="0.25">
      <c r="A338" t="s">
        <v>1694</v>
      </c>
      <c r="B338">
        <v>9003496100</v>
      </c>
      <c r="C338" t="s">
        <v>1695</v>
      </c>
      <c r="D338">
        <v>59914</v>
      </c>
      <c r="E338">
        <v>2.74</v>
      </c>
      <c r="F338">
        <v>36195.371099999997</v>
      </c>
      <c r="G338">
        <v>36.195</v>
      </c>
      <c r="H338">
        <v>0.251</v>
      </c>
      <c r="I338">
        <v>2</v>
      </c>
      <c r="J338">
        <v>1260</v>
      </c>
      <c r="K338">
        <v>0.41773297399999998</v>
      </c>
      <c r="L338">
        <v>0.71699999999999997</v>
      </c>
      <c r="M338">
        <v>4</v>
      </c>
      <c r="N338">
        <v>0.70199999999999996</v>
      </c>
      <c r="O338">
        <v>4</v>
      </c>
      <c r="P338">
        <v>4</v>
      </c>
      <c r="S338" s="166" t="s">
        <v>944</v>
      </c>
    </row>
    <row r="339" spans="1:19" x14ac:dyDescent="0.25">
      <c r="A339" t="s">
        <v>1696</v>
      </c>
      <c r="B339">
        <v>9003496200</v>
      </c>
      <c r="C339" t="s">
        <v>1697</v>
      </c>
      <c r="D339">
        <v>75417</v>
      </c>
      <c r="E339">
        <v>2.5499999999999998</v>
      </c>
      <c r="F339">
        <v>47227.95736</v>
      </c>
      <c r="G339">
        <v>47.228000000000002</v>
      </c>
      <c r="H339">
        <v>0.40300000000000002</v>
      </c>
      <c r="I339">
        <v>3</v>
      </c>
      <c r="J339">
        <v>1640</v>
      </c>
      <c r="K339">
        <v>0.41670233299999998</v>
      </c>
      <c r="L339">
        <v>0.71599999999999997</v>
      </c>
      <c r="M339">
        <v>4</v>
      </c>
      <c r="N339">
        <v>0.35699999999999998</v>
      </c>
      <c r="O339">
        <v>2</v>
      </c>
      <c r="P339">
        <v>3</v>
      </c>
      <c r="S339" s="164" t="s">
        <v>944</v>
      </c>
    </row>
    <row r="340" spans="1:19" x14ac:dyDescent="0.25">
      <c r="A340" t="s">
        <v>1698</v>
      </c>
      <c r="B340">
        <v>9003496300</v>
      </c>
      <c r="C340" t="s">
        <v>1699</v>
      </c>
      <c r="D340">
        <v>102955</v>
      </c>
      <c r="E340">
        <v>2.4700000000000002</v>
      </c>
      <c r="F340">
        <v>65508.697769999999</v>
      </c>
      <c r="G340">
        <v>65.509</v>
      </c>
      <c r="H340">
        <v>0.74399999999999999</v>
      </c>
      <c r="I340">
        <v>4</v>
      </c>
      <c r="J340">
        <v>1589</v>
      </c>
      <c r="K340">
        <v>0.29107585200000002</v>
      </c>
      <c r="L340">
        <v>0.12</v>
      </c>
      <c r="M340">
        <v>1</v>
      </c>
      <c r="N340">
        <v>0.39600000000000002</v>
      </c>
      <c r="O340">
        <v>2</v>
      </c>
      <c r="P340">
        <v>2</v>
      </c>
      <c r="S340" s="166" t="s">
        <v>944</v>
      </c>
    </row>
    <row r="341" spans="1:19" x14ac:dyDescent="0.25">
      <c r="A341" t="s">
        <v>1700</v>
      </c>
      <c r="B341">
        <v>9003496400</v>
      </c>
      <c r="C341" t="s">
        <v>1701</v>
      </c>
      <c r="D341">
        <v>142566</v>
      </c>
      <c r="E341">
        <v>2.74</v>
      </c>
      <c r="F341">
        <v>86127.270359999995</v>
      </c>
      <c r="G341">
        <v>86.126999999999995</v>
      </c>
      <c r="H341">
        <v>0.91300000000000003</v>
      </c>
      <c r="I341">
        <v>5</v>
      </c>
      <c r="J341">
        <v>1910</v>
      </c>
      <c r="K341">
        <v>0.26611780299999999</v>
      </c>
      <c r="L341">
        <v>5.3999999999999999E-2</v>
      </c>
      <c r="M341">
        <v>1</v>
      </c>
      <c r="N341">
        <v>0.20599999999999999</v>
      </c>
      <c r="O341">
        <v>2</v>
      </c>
      <c r="P341">
        <v>2</v>
      </c>
      <c r="S341" s="164" t="s">
        <v>944</v>
      </c>
    </row>
    <row r="342" spans="1:19" x14ac:dyDescent="0.25">
      <c r="A342" t="s">
        <v>1702</v>
      </c>
      <c r="B342">
        <v>9003496500</v>
      </c>
      <c r="C342" t="s">
        <v>1703</v>
      </c>
      <c r="D342">
        <v>126738</v>
      </c>
      <c r="E342">
        <v>2.46</v>
      </c>
      <c r="F342">
        <v>80805.197459999996</v>
      </c>
      <c r="G342">
        <v>80.805000000000007</v>
      </c>
      <c r="H342">
        <v>0.88400000000000001</v>
      </c>
      <c r="I342">
        <v>5</v>
      </c>
      <c r="J342">
        <v>1920</v>
      </c>
      <c r="K342">
        <v>0.28513017400000001</v>
      </c>
      <c r="L342">
        <v>0.1</v>
      </c>
      <c r="M342">
        <v>1</v>
      </c>
      <c r="N342">
        <v>0.19900000000000001</v>
      </c>
      <c r="O342">
        <v>1</v>
      </c>
      <c r="P342">
        <v>1</v>
      </c>
      <c r="S342" s="166" t="s">
        <v>944</v>
      </c>
    </row>
    <row r="343" spans="1:19" x14ac:dyDescent="0.25">
      <c r="A343" t="s">
        <v>1704</v>
      </c>
      <c r="B343">
        <v>9003496600</v>
      </c>
      <c r="C343" t="s">
        <v>1705</v>
      </c>
      <c r="D343">
        <v>130694</v>
      </c>
      <c r="E343">
        <v>2.41</v>
      </c>
      <c r="F343">
        <v>84187.406130000003</v>
      </c>
      <c r="G343">
        <v>84.186999999999998</v>
      </c>
      <c r="H343">
        <v>0.90100000000000002</v>
      </c>
      <c r="I343">
        <v>5</v>
      </c>
      <c r="J343">
        <v>2109</v>
      </c>
      <c r="K343">
        <v>0.30061503499999997</v>
      </c>
      <c r="L343">
        <v>0.17499999999999999</v>
      </c>
      <c r="M343">
        <v>1</v>
      </c>
      <c r="N343">
        <v>0.14199999999999999</v>
      </c>
      <c r="O343">
        <v>1</v>
      </c>
      <c r="P343">
        <v>1</v>
      </c>
      <c r="S343" s="164" t="s">
        <v>944</v>
      </c>
    </row>
    <row r="344" spans="1:19" x14ac:dyDescent="0.25">
      <c r="A344" t="s">
        <v>1706</v>
      </c>
      <c r="B344">
        <v>9003496700</v>
      </c>
      <c r="C344" t="s">
        <v>1707</v>
      </c>
      <c r="D344">
        <v>58889</v>
      </c>
      <c r="E344">
        <v>2.2999999999999998</v>
      </c>
      <c r="F344">
        <v>38830.256699999998</v>
      </c>
      <c r="G344">
        <v>38.83</v>
      </c>
      <c r="H344">
        <v>0.27500000000000002</v>
      </c>
      <c r="I344">
        <v>2</v>
      </c>
      <c r="J344">
        <v>1280</v>
      </c>
      <c r="K344">
        <v>0.39556782000000001</v>
      </c>
      <c r="L344">
        <v>0.67600000000000005</v>
      </c>
      <c r="M344">
        <v>4</v>
      </c>
      <c r="N344">
        <v>0.67900000000000005</v>
      </c>
      <c r="O344">
        <v>4</v>
      </c>
      <c r="P344">
        <v>4</v>
      </c>
      <c r="S344" s="166" t="s">
        <v>944</v>
      </c>
    </row>
    <row r="345" spans="1:19" x14ac:dyDescent="0.25">
      <c r="A345" t="s">
        <v>1708</v>
      </c>
      <c r="B345">
        <v>9003496800</v>
      </c>
      <c r="C345" t="s">
        <v>1709</v>
      </c>
      <c r="D345">
        <v>82346</v>
      </c>
      <c r="E345">
        <v>2.4500000000000002</v>
      </c>
      <c r="F345">
        <v>52608.929620000003</v>
      </c>
      <c r="G345">
        <v>52.609000000000002</v>
      </c>
      <c r="H345">
        <v>0.51200000000000001</v>
      </c>
      <c r="I345">
        <v>3</v>
      </c>
      <c r="J345">
        <v>1447</v>
      </c>
      <c r="K345">
        <v>0.330058036</v>
      </c>
      <c r="L345">
        <v>0.36</v>
      </c>
      <c r="M345">
        <v>2</v>
      </c>
      <c r="N345">
        <v>0.53</v>
      </c>
      <c r="O345">
        <v>3</v>
      </c>
      <c r="P345">
        <v>3</v>
      </c>
      <c r="S345" s="164" t="s">
        <v>944</v>
      </c>
    </row>
    <row r="346" spans="1:19" x14ac:dyDescent="0.25">
      <c r="A346" t="s">
        <v>1710</v>
      </c>
      <c r="B346">
        <v>9003496900</v>
      </c>
      <c r="C346" t="s">
        <v>1711</v>
      </c>
      <c r="D346">
        <v>96472</v>
      </c>
      <c r="E346">
        <v>2.13</v>
      </c>
      <c r="F346">
        <v>66101.525210000007</v>
      </c>
      <c r="G346">
        <v>66.102000000000004</v>
      </c>
      <c r="H346">
        <v>0.754</v>
      </c>
      <c r="I346">
        <v>4</v>
      </c>
      <c r="J346">
        <v>1454</v>
      </c>
      <c r="K346">
        <v>0.26395760099999999</v>
      </c>
      <c r="L346">
        <v>4.4999999999999998E-2</v>
      </c>
      <c r="M346">
        <v>1</v>
      </c>
      <c r="N346">
        <v>0.52400000000000002</v>
      </c>
      <c r="O346">
        <v>3</v>
      </c>
      <c r="P346">
        <v>3</v>
      </c>
      <c r="S346" s="166" t="s">
        <v>944</v>
      </c>
    </row>
    <row r="347" spans="1:19" x14ac:dyDescent="0.25">
      <c r="A347" t="s">
        <v>1712</v>
      </c>
      <c r="B347">
        <v>9003497000</v>
      </c>
      <c r="C347" t="s">
        <v>1713</v>
      </c>
      <c r="D347">
        <v>179821</v>
      </c>
      <c r="E347">
        <v>2.76</v>
      </c>
      <c r="F347">
        <v>108239.5224</v>
      </c>
      <c r="G347">
        <v>108.24</v>
      </c>
      <c r="H347">
        <v>0.96099999999999997</v>
      </c>
      <c r="I347">
        <v>5</v>
      </c>
      <c r="J347">
        <v>2397</v>
      </c>
      <c r="K347">
        <v>0.265743966</v>
      </c>
      <c r="L347">
        <v>5.2999999999999999E-2</v>
      </c>
      <c r="M347">
        <v>1</v>
      </c>
      <c r="N347">
        <v>9.1999999999999998E-2</v>
      </c>
      <c r="O347">
        <v>1</v>
      </c>
      <c r="P347">
        <v>1</v>
      </c>
      <c r="S347" s="164" t="s">
        <v>944</v>
      </c>
    </row>
    <row r="348" spans="1:19" x14ac:dyDescent="0.25">
      <c r="A348" t="s">
        <v>1714</v>
      </c>
      <c r="B348">
        <v>9003497100</v>
      </c>
      <c r="C348" t="s">
        <v>1715</v>
      </c>
      <c r="D348">
        <v>75135</v>
      </c>
      <c r="E348">
        <v>2.0499999999999998</v>
      </c>
      <c r="F348">
        <v>52476.560270000002</v>
      </c>
      <c r="G348">
        <v>52.476999999999997</v>
      </c>
      <c r="H348">
        <v>0.51</v>
      </c>
      <c r="I348">
        <v>3</v>
      </c>
      <c r="J348">
        <v>1442</v>
      </c>
      <c r="K348">
        <v>0.32974722299999998</v>
      </c>
      <c r="L348">
        <v>0.35199999999999998</v>
      </c>
      <c r="M348">
        <v>2</v>
      </c>
      <c r="N348">
        <v>0.53700000000000003</v>
      </c>
      <c r="O348">
        <v>3</v>
      </c>
      <c r="P348">
        <v>3</v>
      </c>
      <c r="S348" s="166" t="s">
        <v>944</v>
      </c>
    </row>
    <row r="349" spans="1:19" x14ac:dyDescent="0.25">
      <c r="A349" t="s">
        <v>1716</v>
      </c>
      <c r="B349">
        <v>9003497200</v>
      </c>
      <c r="C349" t="s">
        <v>1717</v>
      </c>
      <c r="D349">
        <v>141765</v>
      </c>
      <c r="E349">
        <v>2.34</v>
      </c>
      <c r="F349">
        <v>92674.679659999994</v>
      </c>
      <c r="G349">
        <v>92.674999999999997</v>
      </c>
      <c r="H349">
        <v>0.93300000000000005</v>
      </c>
      <c r="I349">
        <v>5</v>
      </c>
      <c r="J349">
        <v>2426</v>
      </c>
      <c r="K349">
        <v>0.31413110999999999</v>
      </c>
      <c r="L349">
        <v>0.251</v>
      </c>
      <c r="M349">
        <v>2</v>
      </c>
      <c r="N349">
        <v>8.5999999999999993E-2</v>
      </c>
      <c r="O349">
        <v>1</v>
      </c>
      <c r="P349">
        <v>1</v>
      </c>
      <c r="S349" s="164" t="s">
        <v>944</v>
      </c>
    </row>
    <row r="350" spans="1:19" x14ac:dyDescent="0.25">
      <c r="A350" t="s">
        <v>1718</v>
      </c>
      <c r="B350">
        <v>9003497300</v>
      </c>
      <c r="C350" t="s">
        <v>1719</v>
      </c>
      <c r="D350">
        <v>140000</v>
      </c>
      <c r="E350">
        <v>2.74</v>
      </c>
      <c r="F350">
        <v>84577.093070000003</v>
      </c>
      <c r="G350">
        <v>84.576999999999998</v>
      </c>
      <c r="H350">
        <v>0.90400000000000003</v>
      </c>
      <c r="I350">
        <v>5</v>
      </c>
      <c r="J350">
        <v>2038</v>
      </c>
      <c r="K350">
        <v>0.28915630799999997</v>
      </c>
      <c r="L350">
        <v>0.11</v>
      </c>
      <c r="M350">
        <v>1</v>
      </c>
      <c r="N350">
        <v>0.154</v>
      </c>
      <c r="O350">
        <v>1</v>
      </c>
      <c r="P350">
        <v>1</v>
      </c>
      <c r="S350" s="166" t="s">
        <v>944</v>
      </c>
    </row>
    <row r="351" spans="1:19" x14ac:dyDescent="0.25">
      <c r="A351" t="s">
        <v>1720</v>
      </c>
      <c r="B351">
        <v>9003497400</v>
      </c>
      <c r="C351" t="s">
        <v>1721</v>
      </c>
      <c r="D351">
        <v>172031</v>
      </c>
      <c r="E351">
        <v>2.77</v>
      </c>
      <c r="F351">
        <v>103363.4102</v>
      </c>
      <c r="G351">
        <v>103.363</v>
      </c>
      <c r="H351">
        <v>0.95099999999999996</v>
      </c>
      <c r="I351">
        <v>5</v>
      </c>
      <c r="J351">
        <v>2065</v>
      </c>
      <c r="K351">
        <v>0.23973667200000001</v>
      </c>
      <c r="L351">
        <v>6.0000000000000001E-3</v>
      </c>
      <c r="M351">
        <v>1</v>
      </c>
      <c r="N351">
        <v>0.14799999999999999</v>
      </c>
      <c r="O351">
        <v>1</v>
      </c>
      <c r="P351">
        <v>1</v>
      </c>
      <c r="S351" s="164" t="s">
        <v>944</v>
      </c>
    </row>
    <row r="352" spans="1:19" x14ac:dyDescent="0.25">
      <c r="A352" t="s">
        <v>1722</v>
      </c>
      <c r="B352">
        <v>9003497500</v>
      </c>
      <c r="C352" t="s">
        <v>1723</v>
      </c>
      <c r="D352">
        <v>93843</v>
      </c>
      <c r="E352">
        <v>2.33</v>
      </c>
      <c r="F352">
        <v>61478.593399999998</v>
      </c>
      <c r="G352">
        <v>61.478999999999999</v>
      </c>
      <c r="H352">
        <v>0.68200000000000005</v>
      </c>
      <c r="I352">
        <v>4</v>
      </c>
      <c r="J352">
        <v>1818</v>
      </c>
      <c r="K352">
        <v>0.354855223</v>
      </c>
      <c r="L352">
        <v>0.50600000000000001</v>
      </c>
      <c r="M352">
        <v>3</v>
      </c>
      <c r="N352">
        <v>0.25</v>
      </c>
      <c r="O352">
        <v>2</v>
      </c>
      <c r="P352">
        <v>2</v>
      </c>
      <c r="S352" s="166" t="s">
        <v>944</v>
      </c>
    </row>
    <row r="353" spans="1:19" x14ac:dyDescent="0.25">
      <c r="A353" t="s">
        <v>1724</v>
      </c>
      <c r="B353">
        <v>9003497600</v>
      </c>
      <c r="C353" t="s">
        <v>1725</v>
      </c>
      <c r="D353">
        <v>138542</v>
      </c>
      <c r="E353">
        <v>2.35</v>
      </c>
      <c r="F353">
        <v>90374.835900000005</v>
      </c>
      <c r="G353">
        <v>90.375</v>
      </c>
      <c r="H353">
        <v>0.92400000000000004</v>
      </c>
      <c r="I353">
        <v>5</v>
      </c>
      <c r="J353">
        <v>1949</v>
      </c>
      <c r="K353">
        <v>0.25878885200000001</v>
      </c>
      <c r="L353">
        <v>2.7E-2</v>
      </c>
      <c r="M353">
        <v>1</v>
      </c>
      <c r="N353">
        <v>0.184</v>
      </c>
      <c r="O353">
        <v>1</v>
      </c>
      <c r="P353">
        <v>1</v>
      </c>
      <c r="S353" s="164" t="s">
        <v>944</v>
      </c>
    </row>
    <row r="354" spans="1:19" x14ac:dyDescent="0.25">
      <c r="A354" t="s">
        <v>1726</v>
      </c>
      <c r="B354">
        <v>9003497700</v>
      </c>
      <c r="C354" t="s">
        <v>1727</v>
      </c>
      <c r="D354">
        <v>178696</v>
      </c>
      <c r="E354">
        <v>2.81</v>
      </c>
      <c r="F354">
        <v>106601.0963</v>
      </c>
      <c r="G354">
        <v>106.601</v>
      </c>
      <c r="H354">
        <v>0.95699999999999996</v>
      </c>
      <c r="I354">
        <v>5</v>
      </c>
      <c r="J354">
        <v>2676</v>
      </c>
      <c r="K354">
        <v>0.30123517599999999</v>
      </c>
      <c r="L354">
        <v>0.17799999999999999</v>
      </c>
      <c r="M354">
        <v>1</v>
      </c>
      <c r="N354">
        <v>6.0999999999999999E-2</v>
      </c>
      <c r="O354">
        <v>1</v>
      </c>
      <c r="P354">
        <v>1</v>
      </c>
      <c r="S354" s="166" t="s">
        <v>944</v>
      </c>
    </row>
    <row r="355" spans="1:19" x14ac:dyDescent="0.25">
      <c r="A355" t="s">
        <v>1728</v>
      </c>
      <c r="B355">
        <v>9003500100</v>
      </c>
      <c r="C355" t="s">
        <v>1729</v>
      </c>
      <c r="D355">
        <v>28438</v>
      </c>
      <c r="E355">
        <v>2.73</v>
      </c>
      <c r="F355">
        <v>17211.460569999999</v>
      </c>
      <c r="G355">
        <v>17.210999999999999</v>
      </c>
      <c r="H355">
        <v>3.1E-2</v>
      </c>
      <c r="I355">
        <v>1</v>
      </c>
      <c r="J355">
        <v>999</v>
      </c>
      <c r="K355">
        <v>0.69651264899999998</v>
      </c>
      <c r="L355">
        <v>0.96299999999999997</v>
      </c>
      <c r="M355">
        <v>5</v>
      </c>
      <c r="N355">
        <v>0.94099999999999995</v>
      </c>
      <c r="O355">
        <v>5</v>
      </c>
      <c r="P355">
        <v>5</v>
      </c>
      <c r="S355" s="164" t="s">
        <v>936</v>
      </c>
    </row>
    <row r="356" spans="1:19" x14ac:dyDescent="0.25">
      <c r="A356" t="s">
        <v>1730</v>
      </c>
      <c r="B356">
        <v>9003500200</v>
      </c>
      <c r="C356" t="s">
        <v>1731</v>
      </c>
      <c r="D356">
        <v>24943</v>
      </c>
      <c r="E356">
        <v>2.87</v>
      </c>
      <c r="F356">
        <v>14723.38737</v>
      </c>
      <c r="G356">
        <v>14.723000000000001</v>
      </c>
      <c r="H356">
        <v>1.4999999999999999E-2</v>
      </c>
      <c r="I356">
        <v>1</v>
      </c>
      <c r="J356">
        <v>996</v>
      </c>
      <c r="K356">
        <v>0.811769717</v>
      </c>
      <c r="L356">
        <v>0.98599999999999999</v>
      </c>
      <c r="M356">
        <v>5</v>
      </c>
      <c r="N356">
        <v>0.94499999999999995</v>
      </c>
      <c r="O356">
        <v>5</v>
      </c>
      <c r="P356">
        <v>5</v>
      </c>
      <c r="S356" s="166" t="s">
        <v>936</v>
      </c>
    </row>
    <row r="357" spans="1:19" x14ac:dyDescent="0.25">
      <c r="A357" t="s">
        <v>1732</v>
      </c>
      <c r="B357">
        <v>9003500300</v>
      </c>
      <c r="C357" t="s">
        <v>1733</v>
      </c>
      <c r="D357">
        <v>24325</v>
      </c>
      <c r="E357">
        <v>1.97</v>
      </c>
      <c r="F357">
        <v>17330.84491</v>
      </c>
      <c r="G357">
        <v>17.331</v>
      </c>
      <c r="H357">
        <v>3.4000000000000002E-2</v>
      </c>
      <c r="I357">
        <v>1</v>
      </c>
      <c r="J357">
        <v>879</v>
      </c>
      <c r="K357">
        <v>0.60862583800000003</v>
      </c>
      <c r="L357">
        <v>0.92700000000000005</v>
      </c>
      <c r="M357">
        <v>5</v>
      </c>
      <c r="N357">
        <v>0.97899999999999998</v>
      </c>
      <c r="O357">
        <v>5</v>
      </c>
      <c r="P357">
        <v>5</v>
      </c>
      <c r="S357" s="164" t="s">
        <v>936</v>
      </c>
    </row>
    <row r="358" spans="1:19" x14ac:dyDescent="0.25">
      <c r="A358" t="s">
        <v>1734</v>
      </c>
      <c r="B358">
        <v>9003500400</v>
      </c>
      <c r="C358" t="s">
        <v>1735</v>
      </c>
      <c r="D358">
        <v>33750</v>
      </c>
      <c r="E358">
        <v>2.27</v>
      </c>
      <c r="F358">
        <v>22400.661769999999</v>
      </c>
      <c r="G358">
        <v>22.401</v>
      </c>
      <c r="H358">
        <v>8.6999999999999994E-2</v>
      </c>
      <c r="I358">
        <v>1</v>
      </c>
      <c r="J358">
        <v>1069</v>
      </c>
      <c r="K358">
        <v>0.57266165300000005</v>
      </c>
      <c r="L358">
        <v>0.90500000000000003</v>
      </c>
      <c r="M358">
        <v>5</v>
      </c>
      <c r="N358">
        <v>0.89700000000000002</v>
      </c>
      <c r="O358">
        <v>5</v>
      </c>
      <c r="P358">
        <v>5</v>
      </c>
      <c r="S358" s="166" t="s">
        <v>936</v>
      </c>
    </row>
    <row r="359" spans="1:19" x14ac:dyDescent="0.25">
      <c r="A359" t="s">
        <v>1736</v>
      </c>
      <c r="B359">
        <v>9003500500</v>
      </c>
      <c r="C359" t="s">
        <v>1737</v>
      </c>
      <c r="D359">
        <v>45481</v>
      </c>
      <c r="E359">
        <v>1.77</v>
      </c>
      <c r="F359">
        <v>34185.612999999998</v>
      </c>
      <c r="G359">
        <v>34.186</v>
      </c>
      <c r="H359">
        <v>0.22600000000000001</v>
      </c>
      <c r="I359">
        <v>2</v>
      </c>
      <c r="J359">
        <v>1051</v>
      </c>
      <c r="K359">
        <v>0.36892712700000002</v>
      </c>
      <c r="L359">
        <v>0.59</v>
      </c>
      <c r="M359">
        <v>3</v>
      </c>
      <c r="N359">
        <v>0.90800000000000003</v>
      </c>
      <c r="O359">
        <v>5</v>
      </c>
      <c r="P359">
        <v>5</v>
      </c>
      <c r="S359" s="164" t="s">
        <v>936</v>
      </c>
    </row>
    <row r="360" spans="1:19" x14ac:dyDescent="0.25">
      <c r="A360" t="s">
        <v>1738</v>
      </c>
      <c r="B360">
        <v>9003500900</v>
      </c>
      <c r="C360" t="s">
        <v>1739</v>
      </c>
      <c r="D360">
        <v>21633</v>
      </c>
      <c r="E360">
        <v>2.5099999999999998</v>
      </c>
      <c r="F360">
        <v>13654.62852</v>
      </c>
      <c r="G360">
        <v>13.654999999999999</v>
      </c>
      <c r="H360">
        <v>1.2E-2</v>
      </c>
      <c r="I360">
        <v>1</v>
      </c>
      <c r="J360">
        <v>596</v>
      </c>
      <c r="K360">
        <v>0.52377843800000001</v>
      </c>
      <c r="L360">
        <v>0.86799999999999999</v>
      </c>
      <c r="M360">
        <v>5</v>
      </c>
      <c r="N360">
        <v>0.997</v>
      </c>
      <c r="O360">
        <v>5</v>
      </c>
      <c r="P360">
        <v>5</v>
      </c>
      <c r="S360" s="166" t="s">
        <v>936</v>
      </c>
    </row>
    <row r="361" spans="1:19" x14ac:dyDescent="0.25">
      <c r="A361" t="s">
        <v>1740</v>
      </c>
      <c r="B361">
        <v>9003501200</v>
      </c>
      <c r="C361" t="s">
        <v>1741</v>
      </c>
      <c r="D361">
        <v>22449</v>
      </c>
      <c r="E361">
        <v>3.07</v>
      </c>
      <c r="F361">
        <v>12812.321040000001</v>
      </c>
      <c r="G361">
        <v>12.811999999999999</v>
      </c>
      <c r="H361">
        <v>6.0000000000000001E-3</v>
      </c>
      <c r="I361">
        <v>1</v>
      </c>
      <c r="J361">
        <v>937</v>
      </c>
      <c r="K361">
        <v>0.87759274600000003</v>
      </c>
      <c r="L361">
        <v>0.99099999999999999</v>
      </c>
      <c r="M361">
        <v>5</v>
      </c>
      <c r="N361">
        <v>0.96399999999999997</v>
      </c>
      <c r="O361">
        <v>5</v>
      </c>
      <c r="P361">
        <v>5</v>
      </c>
      <c r="S361" s="164" t="s">
        <v>936</v>
      </c>
    </row>
    <row r="362" spans="1:19" x14ac:dyDescent="0.25">
      <c r="A362" t="s">
        <v>1742</v>
      </c>
      <c r="B362">
        <v>9003501300</v>
      </c>
      <c r="C362" t="s">
        <v>1743</v>
      </c>
      <c r="D362">
        <v>30034</v>
      </c>
      <c r="E362">
        <v>2.96</v>
      </c>
      <c r="F362">
        <v>17456.907910000002</v>
      </c>
      <c r="G362">
        <v>17.457000000000001</v>
      </c>
      <c r="H362">
        <v>3.5999999999999997E-2</v>
      </c>
      <c r="I362">
        <v>1</v>
      </c>
      <c r="J362">
        <v>902</v>
      </c>
      <c r="K362">
        <v>0.62004107799999997</v>
      </c>
      <c r="L362">
        <v>0.93100000000000005</v>
      </c>
      <c r="M362">
        <v>5</v>
      </c>
      <c r="N362">
        <v>0.97299999999999998</v>
      </c>
      <c r="O362">
        <v>5</v>
      </c>
      <c r="P362">
        <v>5</v>
      </c>
      <c r="S362" s="166" t="s">
        <v>936</v>
      </c>
    </row>
    <row r="363" spans="1:19" x14ac:dyDescent="0.25">
      <c r="A363" t="s">
        <v>1744</v>
      </c>
      <c r="B363">
        <v>9003501400</v>
      </c>
      <c r="C363" t="s">
        <v>1745</v>
      </c>
      <c r="D363">
        <v>23500</v>
      </c>
      <c r="E363">
        <v>2.4700000000000002</v>
      </c>
      <c r="F363">
        <v>14952.691930000001</v>
      </c>
      <c r="G363">
        <v>14.952999999999999</v>
      </c>
      <c r="H363">
        <v>1.7999999999999999E-2</v>
      </c>
      <c r="I363">
        <v>1</v>
      </c>
      <c r="J363">
        <v>842</v>
      </c>
      <c r="K363">
        <v>0.67573116899999996</v>
      </c>
      <c r="L363">
        <v>0.95599999999999996</v>
      </c>
      <c r="M363">
        <v>5</v>
      </c>
      <c r="N363">
        <v>0.98599999999999999</v>
      </c>
      <c r="O363">
        <v>5</v>
      </c>
      <c r="P363">
        <v>5</v>
      </c>
      <c r="S363" s="164" t="s">
        <v>936</v>
      </c>
    </row>
    <row r="364" spans="1:19" x14ac:dyDescent="0.25">
      <c r="A364" t="s">
        <v>1746</v>
      </c>
      <c r="B364">
        <v>9003501500</v>
      </c>
      <c r="C364" t="s">
        <v>1747</v>
      </c>
      <c r="D364">
        <v>31309</v>
      </c>
      <c r="E364">
        <v>2.4300000000000002</v>
      </c>
      <c r="F364">
        <v>20084.73286</v>
      </c>
      <c r="G364">
        <v>20.085000000000001</v>
      </c>
      <c r="H364">
        <v>5.8999999999999997E-2</v>
      </c>
      <c r="I364">
        <v>1</v>
      </c>
      <c r="J364">
        <v>1024</v>
      </c>
      <c r="K364">
        <v>0.61180798800000002</v>
      </c>
      <c r="L364">
        <v>0.92800000000000005</v>
      </c>
      <c r="M364">
        <v>5</v>
      </c>
      <c r="N364">
        <v>0.92500000000000004</v>
      </c>
      <c r="O364">
        <v>5</v>
      </c>
      <c r="P364">
        <v>5</v>
      </c>
      <c r="S364" s="166" t="s">
        <v>936</v>
      </c>
    </row>
    <row r="365" spans="1:19" x14ac:dyDescent="0.25">
      <c r="A365" t="s">
        <v>1748</v>
      </c>
      <c r="B365">
        <v>9003501700</v>
      </c>
      <c r="C365" t="s">
        <v>1749</v>
      </c>
      <c r="D365">
        <v>28029</v>
      </c>
      <c r="E365">
        <v>3.36</v>
      </c>
      <c r="F365">
        <v>15291.073109999999</v>
      </c>
      <c r="G365">
        <v>15.291</v>
      </c>
      <c r="H365">
        <v>1.9E-2</v>
      </c>
      <c r="I365">
        <v>1</v>
      </c>
      <c r="J365">
        <v>986</v>
      </c>
      <c r="K365">
        <v>0.77378480299999997</v>
      </c>
      <c r="L365">
        <v>0.98</v>
      </c>
      <c r="M365">
        <v>5</v>
      </c>
      <c r="N365">
        <v>0.94799999999999995</v>
      </c>
      <c r="O365">
        <v>5</v>
      </c>
      <c r="P365">
        <v>5</v>
      </c>
      <c r="S365" s="164" t="s">
        <v>936</v>
      </c>
    </row>
    <row r="366" spans="1:19" x14ac:dyDescent="0.25">
      <c r="A366" t="s">
        <v>1750</v>
      </c>
      <c r="B366">
        <v>9003501800</v>
      </c>
      <c r="C366" t="s">
        <v>1751</v>
      </c>
      <c r="D366">
        <v>22454</v>
      </c>
      <c r="E366">
        <v>2.87</v>
      </c>
      <c r="F366">
        <v>13254.17712</v>
      </c>
      <c r="G366">
        <v>13.254</v>
      </c>
      <c r="H366">
        <v>7.0000000000000001E-3</v>
      </c>
      <c r="I366">
        <v>1</v>
      </c>
      <c r="J366">
        <v>1004</v>
      </c>
      <c r="K366">
        <v>0.90899645399999995</v>
      </c>
      <c r="L366">
        <v>0.99199999999999999</v>
      </c>
      <c r="M366">
        <v>5</v>
      </c>
      <c r="N366">
        <v>0.93700000000000006</v>
      </c>
      <c r="O366">
        <v>5</v>
      </c>
      <c r="P366">
        <v>5</v>
      </c>
      <c r="S366" s="166" t="s">
        <v>936</v>
      </c>
    </row>
    <row r="367" spans="1:19" x14ac:dyDescent="0.25">
      <c r="A367" t="s">
        <v>1752</v>
      </c>
      <c r="B367">
        <v>9003502100</v>
      </c>
      <c r="C367" t="s">
        <v>1753</v>
      </c>
      <c r="D367">
        <v>82355</v>
      </c>
      <c r="E367">
        <v>1.43</v>
      </c>
      <c r="F367">
        <v>68868.710730000006</v>
      </c>
      <c r="G367">
        <v>68.869</v>
      </c>
      <c r="H367">
        <v>0.78800000000000003</v>
      </c>
      <c r="I367">
        <v>4</v>
      </c>
      <c r="J367">
        <v>1487</v>
      </c>
      <c r="K367">
        <v>0.25910169999999999</v>
      </c>
      <c r="L367">
        <v>0.03</v>
      </c>
      <c r="M367">
        <v>1</v>
      </c>
      <c r="N367">
        <v>0.496</v>
      </c>
      <c r="O367">
        <v>3</v>
      </c>
      <c r="P367">
        <v>3</v>
      </c>
      <c r="S367" s="164" t="s">
        <v>944</v>
      </c>
    </row>
    <row r="368" spans="1:19" x14ac:dyDescent="0.25">
      <c r="A368" t="s">
        <v>1754</v>
      </c>
      <c r="B368">
        <v>9003502300</v>
      </c>
      <c r="C368" t="s">
        <v>1755</v>
      </c>
      <c r="D368">
        <v>49643</v>
      </c>
      <c r="E368">
        <v>3.05</v>
      </c>
      <c r="F368">
        <v>28425.499110000001</v>
      </c>
      <c r="G368">
        <v>28.425000000000001</v>
      </c>
      <c r="H368">
        <v>0.14699999999999999</v>
      </c>
      <c r="I368">
        <v>1</v>
      </c>
      <c r="J368">
        <v>1218</v>
      </c>
      <c r="K368">
        <v>0.51418622199999997</v>
      </c>
      <c r="L368">
        <v>0.85799999999999998</v>
      </c>
      <c r="M368">
        <v>5</v>
      </c>
      <c r="N368">
        <v>0.74399999999999999</v>
      </c>
      <c r="O368">
        <v>4</v>
      </c>
      <c r="P368">
        <v>5</v>
      </c>
      <c r="S368" s="166" t="s">
        <v>944</v>
      </c>
    </row>
    <row r="369" spans="1:19" x14ac:dyDescent="0.25">
      <c r="A369" t="s">
        <v>1756</v>
      </c>
      <c r="B369">
        <v>9003502400</v>
      </c>
      <c r="C369" t="s">
        <v>1757</v>
      </c>
      <c r="D369">
        <v>31179</v>
      </c>
      <c r="E369">
        <v>2.79</v>
      </c>
      <c r="F369">
        <v>18666.37904</v>
      </c>
      <c r="G369">
        <v>18.666</v>
      </c>
      <c r="H369">
        <v>4.3999999999999997E-2</v>
      </c>
      <c r="I369">
        <v>1</v>
      </c>
      <c r="J369">
        <v>1114</v>
      </c>
      <c r="K369">
        <v>0.71615389200000001</v>
      </c>
      <c r="L369">
        <v>0.96799999999999997</v>
      </c>
      <c r="M369">
        <v>5</v>
      </c>
      <c r="N369">
        <v>0.86099999999999999</v>
      </c>
      <c r="O369">
        <v>5</v>
      </c>
      <c r="P369">
        <v>5</v>
      </c>
      <c r="S369" s="164" t="s">
        <v>936</v>
      </c>
    </row>
    <row r="370" spans="1:19" x14ac:dyDescent="0.25">
      <c r="A370" t="s">
        <v>1758</v>
      </c>
      <c r="B370">
        <v>9003502500</v>
      </c>
      <c r="C370" t="s">
        <v>1759</v>
      </c>
      <c r="D370">
        <v>39545</v>
      </c>
      <c r="E370">
        <v>2.56</v>
      </c>
      <c r="F370">
        <v>24715.625</v>
      </c>
      <c r="G370">
        <v>24.716000000000001</v>
      </c>
      <c r="H370">
        <v>0.111</v>
      </c>
      <c r="I370">
        <v>1</v>
      </c>
      <c r="J370">
        <v>1034</v>
      </c>
      <c r="K370">
        <v>0.50203059800000005</v>
      </c>
      <c r="L370">
        <v>0.84899999999999998</v>
      </c>
      <c r="M370">
        <v>5</v>
      </c>
      <c r="N370">
        <v>0.91800000000000004</v>
      </c>
      <c r="O370">
        <v>5</v>
      </c>
      <c r="P370">
        <v>5</v>
      </c>
      <c r="S370" s="166" t="s">
        <v>936</v>
      </c>
    </row>
    <row r="371" spans="1:19" x14ac:dyDescent="0.25">
      <c r="A371" t="s">
        <v>1760</v>
      </c>
      <c r="B371">
        <v>9003502600</v>
      </c>
      <c r="C371" t="s">
        <v>1761</v>
      </c>
      <c r="D371">
        <v>36495</v>
      </c>
      <c r="E371">
        <v>2.99</v>
      </c>
      <c r="F371">
        <v>21105.603439999999</v>
      </c>
      <c r="G371">
        <v>21.106000000000002</v>
      </c>
      <c r="H371">
        <v>7.0999999999999994E-2</v>
      </c>
      <c r="I371">
        <v>1</v>
      </c>
      <c r="J371">
        <v>1081</v>
      </c>
      <c r="K371">
        <v>0.61462350700000001</v>
      </c>
      <c r="L371">
        <v>0.92900000000000005</v>
      </c>
      <c r="M371">
        <v>5</v>
      </c>
      <c r="N371">
        <v>0.88900000000000001</v>
      </c>
      <c r="O371">
        <v>5</v>
      </c>
      <c r="P371">
        <v>5</v>
      </c>
      <c r="S371" s="164" t="s">
        <v>936</v>
      </c>
    </row>
    <row r="372" spans="1:19" x14ac:dyDescent="0.25">
      <c r="A372" t="s">
        <v>1762</v>
      </c>
      <c r="B372">
        <v>9003502700</v>
      </c>
      <c r="C372" t="s">
        <v>1763</v>
      </c>
      <c r="D372">
        <v>23608</v>
      </c>
      <c r="E372">
        <v>2.2200000000000002</v>
      </c>
      <c r="F372">
        <v>15844.65215</v>
      </c>
      <c r="G372">
        <v>15.845000000000001</v>
      </c>
      <c r="H372">
        <v>2.4E-2</v>
      </c>
      <c r="I372">
        <v>1</v>
      </c>
      <c r="J372">
        <v>914</v>
      </c>
      <c r="K372">
        <v>0.69222094000000001</v>
      </c>
      <c r="L372">
        <v>0.95899999999999996</v>
      </c>
      <c r="M372">
        <v>5</v>
      </c>
      <c r="N372">
        <v>0.96799999999999997</v>
      </c>
      <c r="O372">
        <v>5</v>
      </c>
      <c r="P372">
        <v>5</v>
      </c>
      <c r="S372" s="166" t="s">
        <v>936</v>
      </c>
    </row>
    <row r="373" spans="1:19" x14ac:dyDescent="0.25">
      <c r="A373" t="s">
        <v>1764</v>
      </c>
      <c r="B373">
        <v>9003502800</v>
      </c>
      <c r="C373" t="s">
        <v>1765</v>
      </c>
      <c r="D373">
        <v>30987</v>
      </c>
      <c r="E373">
        <v>3.14</v>
      </c>
      <c r="F373">
        <v>17486.975760000001</v>
      </c>
      <c r="G373">
        <v>17.486999999999998</v>
      </c>
      <c r="H373">
        <v>3.6999999999999998E-2</v>
      </c>
      <c r="I373">
        <v>1</v>
      </c>
      <c r="J373">
        <v>1018</v>
      </c>
      <c r="K373">
        <v>0.69857705299999995</v>
      </c>
      <c r="L373">
        <v>0.96399999999999997</v>
      </c>
      <c r="M373">
        <v>5</v>
      </c>
      <c r="N373">
        <v>0.92800000000000005</v>
      </c>
      <c r="O373">
        <v>5</v>
      </c>
      <c r="P373">
        <v>5</v>
      </c>
      <c r="S373" s="164" t="s">
        <v>936</v>
      </c>
    </row>
    <row r="374" spans="1:19" x14ac:dyDescent="0.25">
      <c r="A374" t="s">
        <v>1766</v>
      </c>
      <c r="B374">
        <v>9003502900</v>
      </c>
      <c r="C374" t="s">
        <v>1767</v>
      </c>
      <c r="D374">
        <v>43600</v>
      </c>
      <c r="E374">
        <v>2.4700000000000002</v>
      </c>
      <c r="F374">
        <v>27742.015670000001</v>
      </c>
      <c r="G374">
        <v>27.742000000000001</v>
      </c>
      <c r="H374">
        <v>0.14000000000000001</v>
      </c>
      <c r="I374">
        <v>1</v>
      </c>
      <c r="J374">
        <v>1171</v>
      </c>
      <c r="K374">
        <v>0.506524117</v>
      </c>
      <c r="L374">
        <v>0.85399999999999998</v>
      </c>
      <c r="M374">
        <v>5</v>
      </c>
      <c r="N374">
        <v>0.80200000000000005</v>
      </c>
      <c r="O374">
        <v>5</v>
      </c>
      <c r="P374">
        <v>5</v>
      </c>
      <c r="S374" s="166" t="s">
        <v>936</v>
      </c>
    </row>
    <row r="375" spans="1:19" x14ac:dyDescent="0.25">
      <c r="A375" t="s">
        <v>1768</v>
      </c>
      <c r="B375">
        <v>9003503000</v>
      </c>
      <c r="C375" t="s">
        <v>1769</v>
      </c>
      <c r="D375">
        <v>23480</v>
      </c>
      <c r="E375">
        <v>2.4700000000000002</v>
      </c>
      <c r="F375">
        <v>14939.96623</v>
      </c>
      <c r="G375">
        <v>14.94</v>
      </c>
      <c r="H375">
        <v>1.7000000000000001E-2</v>
      </c>
      <c r="I375">
        <v>1</v>
      </c>
      <c r="J375">
        <v>859</v>
      </c>
      <c r="K375">
        <v>0.68996139899999998</v>
      </c>
      <c r="L375">
        <v>0.95699999999999996</v>
      </c>
      <c r="M375">
        <v>5</v>
      </c>
      <c r="N375">
        <v>0.98299999999999998</v>
      </c>
      <c r="O375">
        <v>5</v>
      </c>
      <c r="P375">
        <v>5</v>
      </c>
      <c r="S375" s="164" t="s">
        <v>936</v>
      </c>
    </row>
    <row r="376" spans="1:19" x14ac:dyDescent="0.25">
      <c r="A376" t="s">
        <v>1770</v>
      </c>
      <c r="B376">
        <v>9003503100</v>
      </c>
      <c r="C376" t="s">
        <v>1771</v>
      </c>
      <c r="D376">
        <v>30206</v>
      </c>
      <c r="E376">
        <v>1.59</v>
      </c>
      <c r="F376">
        <v>23954.9162</v>
      </c>
      <c r="G376">
        <v>23.954999999999998</v>
      </c>
      <c r="H376">
        <v>0.104</v>
      </c>
      <c r="I376">
        <v>1</v>
      </c>
      <c r="J376">
        <v>843</v>
      </c>
      <c r="K376">
        <v>0.422293274</v>
      </c>
      <c r="L376">
        <v>0.73299999999999998</v>
      </c>
      <c r="M376">
        <v>4</v>
      </c>
      <c r="N376">
        <v>0.98499999999999999</v>
      </c>
      <c r="O376">
        <v>5</v>
      </c>
      <c r="P376">
        <v>5</v>
      </c>
      <c r="S376" s="166" t="s">
        <v>936</v>
      </c>
    </row>
    <row r="377" spans="1:19" x14ac:dyDescent="0.25">
      <c r="A377" t="s">
        <v>1772</v>
      </c>
      <c r="B377">
        <v>9003503300</v>
      </c>
      <c r="C377" t="s">
        <v>1773</v>
      </c>
      <c r="D377">
        <v>33958</v>
      </c>
      <c r="E377">
        <v>2.19</v>
      </c>
      <c r="F377">
        <v>22946.689900000001</v>
      </c>
      <c r="G377">
        <v>22.946999999999999</v>
      </c>
      <c r="H377">
        <v>9.4E-2</v>
      </c>
      <c r="I377">
        <v>1</v>
      </c>
      <c r="J377">
        <v>896</v>
      </c>
      <c r="K377">
        <v>0.46856431300000001</v>
      </c>
      <c r="L377">
        <v>0.81100000000000005</v>
      </c>
      <c r="M377">
        <v>5</v>
      </c>
      <c r="N377">
        <v>0.97399999999999998</v>
      </c>
      <c r="O377">
        <v>5</v>
      </c>
      <c r="P377">
        <v>5</v>
      </c>
      <c r="S377" s="164" t="s">
        <v>936</v>
      </c>
    </row>
    <row r="378" spans="1:19" x14ac:dyDescent="0.25">
      <c r="A378" t="s">
        <v>1774</v>
      </c>
      <c r="B378">
        <v>9003503500</v>
      </c>
      <c r="C378" t="s">
        <v>1775</v>
      </c>
      <c r="D378">
        <v>35030</v>
      </c>
      <c r="E378">
        <v>2.65</v>
      </c>
      <c r="F378">
        <v>21518.75794</v>
      </c>
      <c r="G378">
        <v>21.518999999999998</v>
      </c>
      <c r="H378">
        <v>7.8E-2</v>
      </c>
      <c r="I378">
        <v>1</v>
      </c>
      <c r="J378">
        <v>1127</v>
      </c>
      <c r="K378">
        <v>0.62847493499999996</v>
      </c>
      <c r="L378">
        <v>0.93500000000000005</v>
      </c>
      <c r="M378">
        <v>5</v>
      </c>
      <c r="N378">
        <v>0.84399999999999997</v>
      </c>
      <c r="O378">
        <v>5</v>
      </c>
      <c r="P378">
        <v>5</v>
      </c>
      <c r="S378" s="166" t="s">
        <v>936</v>
      </c>
    </row>
    <row r="379" spans="1:19" x14ac:dyDescent="0.25">
      <c r="A379" t="s">
        <v>1776</v>
      </c>
      <c r="B379">
        <v>9003503700</v>
      </c>
      <c r="C379" t="s">
        <v>1777</v>
      </c>
      <c r="D379">
        <v>37353</v>
      </c>
      <c r="E379">
        <v>2.5</v>
      </c>
      <c r="F379">
        <v>23624.111489999999</v>
      </c>
      <c r="G379">
        <v>23.623999999999999</v>
      </c>
      <c r="H379">
        <v>0.1</v>
      </c>
      <c r="I379">
        <v>1</v>
      </c>
      <c r="J379">
        <v>1097</v>
      </c>
      <c r="K379">
        <v>0.55722730600000003</v>
      </c>
      <c r="L379">
        <v>0.89400000000000002</v>
      </c>
      <c r="M379">
        <v>5</v>
      </c>
      <c r="N379">
        <v>0.879</v>
      </c>
      <c r="O379">
        <v>5</v>
      </c>
      <c r="P379">
        <v>5</v>
      </c>
      <c r="S379" s="164" t="s">
        <v>936</v>
      </c>
    </row>
    <row r="380" spans="1:19" x14ac:dyDescent="0.25">
      <c r="A380" t="s">
        <v>1778</v>
      </c>
      <c r="B380">
        <v>9003503800</v>
      </c>
      <c r="C380" t="s">
        <v>1779</v>
      </c>
      <c r="D380">
        <v>26250</v>
      </c>
      <c r="E380">
        <v>2.37</v>
      </c>
      <c r="F380">
        <v>17051.207310000002</v>
      </c>
      <c r="G380">
        <v>17.050999999999998</v>
      </c>
      <c r="H380">
        <v>0.03</v>
      </c>
      <c r="I380">
        <v>1</v>
      </c>
      <c r="J380">
        <v>648</v>
      </c>
      <c r="K380">
        <v>0.45603808899999998</v>
      </c>
      <c r="L380">
        <v>0.79300000000000004</v>
      </c>
      <c r="M380">
        <v>4</v>
      </c>
      <c r="N380">
        <v>0.996</v>
      </c>
      <c r="O380">
        <v>5</v>
      </c>
      <c r="P380">
        <v>5</v>
      </c>
      <c r="S380" s="166" t="s">
        <v>936</v>
      </c>
    </row>
    <row r="381" spans="1:19" x14ac:dyDescent="0.25">
      <c r="A381" t="s">
        <v>1780</v>
      </c>
      <c r="B381">
        <v>9003503900</v>
      </c>
      <c r="C381" t="s">
        <v>1781</v>
      </c>
      <c r="D381">
        <v>49309</v>
      </c>
      <c r="E381">
        <v>2.64</v>
      </c>
      <c r="F381">
        <v>30347.591639999999</v>
      </c>
      <c r="G381">
        <v>30.347999999999999</v>
      </c>
      <c r="H381">
        <v>0.17399999999999999</v>
      </c>
      <c r="I381">
        <v>1</v>
      </c>
      <c r="J381">
        <v>1259</v>
      </c>
      <c r="K381">
        <v>0.49783192599999998</v>
      </c>
      <c r="L381">
        <v>0.84</v>
      </c>
      <c r="M381">
        <v>5</v>
      </c>
      <c r="N381">
        <v>0.70499999999999996</v>
      </c>
      <c r="O381">
        <v>4</v>
      </c>
      <c r="P381">
        <v>5</v>
      </c>
      <c r="S381" s="164" t="s">
        <v>944</v>
      </c>
    </row>
    <row r="382" spans="1:19" x14ac:dyDescent="0.25">
      <c r="A382" t="s">
        <v>1782</v>
      </c>
      <c r="B382">
        <v>9003504000</v>
      </c>
      <c r="C382" t="s">
        <v>1783</v>
      </c>
      <c r="D382">
        <v>54908</v>
      </c>
      <c r="E382">
        <v>2.64</v>
      </c>
      <c r="F382">
        <v>33793.537929999999</v>
      </c>
      <c r="G382">
        <v>33.793999999999997</v>
      </c>
      <c r="H382">
        <v>0.219</v>
      </c>
      <c r="I382">
        <v>2</v>
      </c>
      <c r="J382">
        <v>1182</v>
      </c>
      <c r="K382">
        <v>0.41972521600000001</v>
      </c>
      <c r="L382">
        <v>0.72199999999999998</v>
      </c>
      <c r="M382">
        <v>4</v>
      </c>
      <c r="N382">
        <v>0.79200000000000004</v>
      </c>
      <c r="O382">
        <v>4</v>
      </c>
      <c r="P382">
        <v>4</v>
      </c>
      <c r="S382" s="166" t="s">
        <v>944</v>
      </c>
    </row>
    <row r="383" spans="1:19" x14ac:dyDescent="0.25">
      <c r="A383" t="s">
        <v>1784</v>
      </c>
      <c r="B383">
        <v>9003504100</v>
      </c>
      <c r="C383" t="s">
        <v>1785</v>
      </c>
      <c r="D383">
        <v>36743</v>
      </c>
      <c r="E383">
        <v>2.97</v>
      </c>
      <c r="F383">
        <v>21320.45104</v>
      </c>
      <c r="G383">
        <v>21.32</v>
      </c>
      <c r="H383">
        <v>7.5999999999999998E-2</v>
      </c>
      <c r="I383">
        <v>1</v>
      </c>
      <c r="J383">
        <v>1060</v>
      </c>
      <c r="K383">
        <v>0.59661026800000005</v>
      </c>
      <c r="L383">
        <v>0.92</v>
      </c>
      <c r="M383">
        <v>5</v>
      </c>
      <c r="N383">
        <v>0.90100000000000002</v>
      </c>
      <c r="O383">
        <v>5</v>
      </c>
      <c r="P383">
        <v>5</v>
      </c>
      <c r="S383" s="164" t="s">
        <v>936</v>
      </c>
    </row>
    <row r="384" spans="1:19" x14ac:dyDescent="0.25">
      <c r="A384" t="s">
        <v>1786</v>
      </c>
      <c r="B384">
        <v>9003504200</v>
      </c>
      <c r="C384" t="s">
        <v>1787</v>
      </c>
      <c r="D384">
        <v>25648</v>
      </c>
      <c r="E384">
        <v>1.93</v>
      </c>
      <c r="F384">
        <v>18461.83438</v>
      </c>
      <c r="G384">
        <v>18.462</v>
      </c>
      <c r="H384">
        <v>4.2000000000000003E-2</v>
      </c>
      <c r="I384">
        <v>1</v>
      </c>
      <c r="J384">
        <v>969</v>
      </c>
      <c r="K384">
        <v>0.62983990400000001</v>
      </c>
      <c r="L384">
        <v>0.93700000000000006</v>
      </c>
      <c r="M384">
        <v>5</v>
      </c>
      <c r="N384">
        <v>0.95399999999999996</v>
      </c>
      <c r="O384">
        <v>5</v>
      </c>
      <c r="P384">
        <v>5</v>
      </c>
      <c r="S384" s="166" t="s">
        <v>936</v>
      </c>
    </row>
    <row r="385" spans="1:19" x14ac:dyDescent="0.25">
      <c r="A385" t="s">
        <v>1788</v>
      </c>
      <c r="B385">
        <v>9003504300</v>
      </c>
      <c r="C385" t="s">
        <v>1789</v>
      </c>
      <c r="D385">
        <v>25958</v>
      </c>
      <c r="E385">
        <v>2.65</v>
      </c>
      <c r="F385">
        <v>15945.87264</v>
      </c>
      <c r="G385">
        <v>15.946</v>
      </c>
      <c r="H385">
        <v>2.5000000000000001E-2</v>
      </c>
      <c r="I385">
        <v>1</v>
      </c>
      <c r="J385">
        <v>976</v>
      </c>
      <c r="K385">
        <v>0.73448473199999997</v>
      </c>
      <c r="L385">
        <v>0.97299999999999998</v>
      </c>
      <c r="M385">
        <v>5</v>
      </c>
      <c r="N385">
        <v>0.95099999999999996</v>
      </c>
      <c r="O385">
        <v>5</v>
      </c>
      <c r="P385">
        <v>5</v>
      </c>
      <c r="S385" s="164" t="s">
        <v>936</v>
      </c>
    </row>
    <row r="386" spans="1:19" x14ac:dyDescent="0.25">
      <c r="A386" t="s">
        <v>1790</v>
      </c>
      <c r="B386">
        <v>9003504500</v>
      </c>
      <c r="C386" t="s">
        <v>1791</v>
      </c>
      <c r="D386">
        <v>31972</v>
      </c>
      <c r="E386">
        <v>2.61</v>
      </c>
      <c r="F386">
        <v>19790.171170000001</v>
      </c>
      <c r="G386">
        <v>19.79</v>
      </c>
      <c r="H386">
        <v>5.5E-2</v>
      </c>
      <c r="I386">
        <v>1</v>
      </c>
      <c r="J386">
        <v>998</v>
      </c>
      <c r="K386">
        <v>0.605148884</v>
      </c>
      <c r="L386">
        <v>0.92400000000000004</v>
      </c>
      <c r="M386">
        <v>5</v>
      </c>
      <c r="N386">
        <v>0.94299999999999995</v>
      </c>
      <c r="O386">
        <v>5</v>
      </c>
      <c r="P386">
        <v>5</v>
      </c>
      <c r="S386" s="166" t="s">
        <v>936</v>
      </c>
    </row>
    <row r="387" spans="1:19" x14ac:dyDescent="0.25">
      <c r="A387" t="s">
        <v>1792</v>
      </c>
      <c r="B387">
        <v>9003504800</v>
      </c>
      <c r="C387" t="s">
        <v>1793</v>
      </c>
      <c r="D387">
        <v>53607</v>
      </c>
      <c r="E387">
        <v>2.93</v>
      </c>
      <c r="F387">
        <v>31317.54379</v>
      </c>
      <c r="G387">
        <v>31.318000000000001</v>
      </c>
      <c r="H387">
        <v>0.19400000000000001</v>
      </c>
      <c r="I387">
        <v>1</v>
      </c>
      <c r="J387">
        <v>1342</v>
      </c>
      <c r="K387">
        <v>0.51421657200000004</v>
      </c>
      <c r="L387">
        <v>0.86</v>
      </c>
      <c r="M387">
        <v>5</v>
      </c>
      <c r="N387">
        <v>0.61499999999999999</v>
      </c>
      <c r="O387">
        <v>4</v>
      </c>
      <c r="P387">
        <v>5</v>
      </c>
      <c r="S387" s="164" t="s">
        <v>944</v>
      </c>
    </row>
    <row r="388" spans="1:19" x14ac:dyDescent="0.25">
      <c r="A388" t="s">
        <v>1794</v>
      </c>
      <c r="B388">
        <v>9003504900</v>
      </c>
      <c r="C388" t="s">
        <v>1795</v>
      </c>
      <c r="D388">
        <v>39167</v>
      </c>
      <c r="E388">
        <v>2.82</v>
      </c>
      <c r="F388">
        <v>23323.609090000002</v>
      </c>
      <c r="G388">
        <v>23.324000000000002</v>
      </c>
      <c r="H388">
        <v>9.7000000000000003E-2</v>
      </c>
      <c r="I388">
        <v>1</v>
      </c>
      <c r="J388">
        <v>1130</v>
      </c>
      <c r="K388">
        <v>0.58138515099999999</v>
      </c>
      <c r="L388">
        <v>0.90800000000000003</v>
      </c>
      <c r="M388">
        <v>5</v>
      </c>
      <c r="N388">
        <v>0.83699999999999997</v>
      </c>
      <c r="O388">
        <v>5</v>
      </c>
      <c r="P388">
        <v>5</v>
      </c>
      <c r="S388" s="166" t="s">
        <v>936</v>
      </c>
    </row>
    <row r="389" spans="1:19" x14ac:dyDescent="0.25">
      <c r="A389" t="s">
        <v>1796</v>
      </c>
      <c r="B389">
        <v>9003510100</v>
      </c>
      <c r="C389" t="s">
        <v>1797</v>
      </c>
      <c r="D389">
        <v>68482</v>
      </c>
      <c r="E389">
        <v>2.67</v>
      </c>
      <c r="F389">
        <v>41910.303379999998</v>
      </c>
      <c r="G389">
        <v>41.91</v>
      </c>
      <c r="H389">
        <v>0.31900000000000001</v>
      </c>
      <c r="I389">
        <v>2</v>
      </c>
      <c r="J389">
        <v>1120</v>
      </c>
      <c r="K389">
        <v>0.32068486499999999</v>
      </c>
      <c r="L389">
        <v>0.29599999999999999</v>
      </c>
      <c r="M389">
        <v>2</v>
      </c>
      <c r="N389">
        <v>0.85499999999999998</v>
      </c>
      <c r="O389">
        <v>5</v>
      </c>
      <c r="P389">
        <v>5</v>
      </c>
      <c r="S389" s="164" t="s">
        <v>944</v>
      </c>
    </row>
    <row r="390" spans="1:19" x14ac:dyDescent="0.25">
      <c r="A390" t="s">
        <v>1798</v>
      </c>
      <c r="B390">
        <v>9003510200</v>
      </c>
      <c r="C390" t="s">
        <v>1799</v>
      </c>
      <c r="D390">
        <v>45278</v>
      </c>
      <c r="E390">
        <v>2.2999999999999998</v>
      </c>
      <c r="F390">
        <v>29855.429069999998</v>
      </c>
      <c r="G390">
        <v>29.855</v>
      </c>
      <c r="H390">
        <v>0.16600000000000001</v>
      </c>
      <c r="I390">
        <v>1</v>
      </c>
      <c r="J390">
        <v>1049</v>
      </c>
      <c r="K390">
        <v>0.421631857</v>
      </c>
      <c r="L390">
        <v>0.72899999999999998</v>
      </c>
      <c r="M390">
        <v>4</v>
      </c>
      <c r="N390">
        <v>0.91</v>
      </c>
      <c r="O390">
        <v>5</v>
      </c>
      <c r="P390">
        <v>5</v>
      </c>
      <c r="S390" s="166" t="s">
        <v>936</v>
      </c>
    </row>
    <row r="391" spans="1:19" x14ac:dyDescent="0.25">
      <c r="A391" t="s">
        <v>1800</v>
      </c>
      <c r="B391">
        <v>9003510300</v>
      </c>
      <c r="C391" t="s">
        <v>1801</v>
      </c>
      <c r="D391">
        <v>52860</v>
      </c>
      <c r="E391">
        <v>2.74</v>
      </c>
      <c r="F391">
        <v>31933.89385</v>
      </c>
      <c r="G391">
        <v>31.934000000000001</v>
      </c>
      <c r="H391">
        <v>0.2</v>
      </c>
      <c r="I391">
        <v>1</v>
      </c>
      <c r="J391">
        <v>1123</v>
      </c>
      <c r="K391">
        <v>0.42199676800000002</v>
      </c>
      <c r="L391">
        <v>0.73199999999999998</v>
      </c>
      <c r="M391">
        <v>4</v>
      </c>
      <c r="N391">
        <v>0.85099999999999998</v>
      </c>
      <c r="O391">
        <v>5</v>
      </c>
      <c r="P391">
        <v>5</v>
      </c>
      <c r="S391" s="164" t="s">
        <v>944</v>
      </c>
    </row>
    <row r="392" spans="1:19" x14ac:dyDescent="0.25">
      <c r="A392" t="s">
        <v>1802</v>
      </c>
      <c r="B392">
        <v>9003510400</v>
      </c>
      <c r="C392" t="s">
        <v>1803</v>
      </c>
      <c r="D392">
        <v>37403</v>
      </c>
      <c r="E392">
        <v>2.88</v>
      </c>
      <c r="F392">
        <v>22039.929110000001</v>
      </c>
      <c r="G392">
        <v>22.04</v>
      </c>
      <c r="H392">
        <v>8.2000000000000003E-2</v>
      </c>
      <c r="I392">
        <v>1</v>
      </c>
      <c r="J392">
        <v>1017</v>
      </c>
      <c r="K392">
        <v>0.55372228899999998</v>
      </c>
      <c r="L392">
        <v>0.88900000000000001</v>
      </c>
      <c r="M392">
        <v>5</v>
      </c>
      <c r="N392">
        <v>0.92900000000000005</v>
      </c>
      <c r="O392">
        <v>5</v>
      </c>
      <c r="P392">
        <v>5</v>
      </c>
      <c r="S392" s="166" t="s">
        <v>936</v>
      </c>
    </row>
    <row r="393" spans="1:19" x14ac:dyDescent="0.25">
      <c r="A393" t="s">
        <v>1804</v>
      </c>
      <c r="B393">
        <v>9003510500</v>
      </c>
      <c r="C393" t="s">
        <v>1805</v>
      </c>
      <c r="D393">
        <v>53237</v>
      </c>
      <c r="E393">
        <v>2.2000000000000002</v>
      </c>
      <c r="F393">
        <v>35892.378080000002</v>
      </c>
      <c r="G393">
        <v>35.892000000000003</v>
      </c>
      <c r="H393">
        <v>0.246</v>
      </c>
      <c r="I393">
        <v>2</v>
      </c>
      <c r="J393">
        <v>1201</v>
      </c>
      <c r="K393">
        <v>0.40153371700000001</v>
      </c>
      <c r="L393">
        <v>0.68200000000000005</v>
      </c>
      <c r="M393">
        <v>4</v>
      </c>
      <c r="N393">
        <v>0.76300000000000001</v>
      </c>
      <c r="O393">
        <v>4</v>
      </c>
      <c r="P393">
        <v>4</v>
      </c>
      <c r="S393" s="164" t="s">
        <v>944</v>
      </c>
    </row>
    <row r="394" spans="1:19" x14ac:dyDescent="0.25">
      <c r="A394" t="s">
        <v>1806</v>
      </c>
      <c r="B394">
        <v>9003510600</v>
      </c>
      <c r="C394" t="s">
        <v>1807</v>
      </c>
      <c r="D394">
        <v>41467</v>
      </c>
      <c r="E394">
        <v>2.5499999999999998</v>
      </c>
      <c r="F394">
        <v>25967.642680000001</v>
      </c>
      <c r="G394">
        <v>25.968</v>
      </c>
      <c r="H394">
        <v>0.123</v>
      </c>
      <c r="I394">
        <v>1</v>
      </c>
      <c r="J394">
        <v>1077</v>
      </c>
      <c r="K394">
        <v>0.49769631199999997</v>
      </c>
      <c r="L394">
        <v>0.83899999999999997</v>
      </c>
      <c r="M394">
        <v>5</v>
      </c>
      <c r="N394">
        <v>0.89200000000000002</v>
      </c>
      <c r="O394">
        <v>5</v>
      </c>
      <c r="P394">
        <v>5</v>
      </c>
      <c r="S394" s="166" t="s">
        <v>936</v>
      </c>
    </row>
    <row r="395" spans="1:19" x14ac:dyDescent="0.25">
      <c r="A395" t="s">
        <v>1808</v>
      </c>
      <c r="B395">
        <v>9003510700</v>
      </c>
      <c r="C395" t="s">
        <v>1809</v>
      </c>
      <c r="D395">
        <v>58029</v>
      </c>
      <c r="E395">
        <v>2.41</v>
      </c>
      <c r="F395">
        <v>37379.764869999999</v>
      </c>
      <c r="G395">
        <v>37.380000000000003</v>
      </c>
      <c r="H395">
        <v>0.26100000000000001</v>
      </c>
      <c r="I395">
        <v>2</v>
      </c>
      <c r="J395">
        <v>1201</v>
      </c>
      <c r="K395">
        <v>0.38555619699999999</v>
      </c>
      <c r="L395">
        <v>0.64700000000000002</v>
      </c>
      <c r="M395">
        <v>4</v>
      </c>
      <c r="N395">
        <v>0.76300000000000001</v>
      </c>
      <c r="O395">
        <v>4</v>
      </c>
      <c r="P395">
        <v>4</v>
      </c>
      <c r="S395" s="164" t="s">
        <v>944</v>
      </c>
    </row>
    <row r="396" spans="1:19" x14ac:dyDescent="0.25">
      <c r="A396" t="s">
        <v>1810</v>
      </c>
      <c r="B396">
        <v>9003510800</v>
      </c>
      <c r="C396" t="s">
        <v>1811</v>
      </c>
      <c r="D396">
        <v>59018</v>
      </c>
      <c r="E396">
        <v>2.2999999999999998</v>
      </c>
      <c r="F396">
        <v>38915.316780000001</v>
      </c>
      <c r="G396">
        <v>38.914999999999999</v>
      </c>
      <c r="H396">
        <v>0.27800000000000002</v>
      </c>
      <c r="I396">
        <v>2</v>
      </c>
      <c r="J396">
        <v>1070</v>
      </c>
      <c r="K396">
        <v>0.32994720500000002</v>
      </c>
      <c r="L396">
        <v>0.35699999999999998</v>
      </c>
      <c r="M396">
        <v>2</v>
      </c>
      <c r="N396">
        <v>0.89600000000000002</v>
      </c>
      <c r="O396">
        <v>5</v>
      </c>
      <c r="P396">
        <v>5</v>
      </c>
      <c r="S396" s="166" t="s">
        <v>944</v>
      </c>
    </row>
    <row r="397" spans="1:19" x14ac:dyDescent="0.25">
      <c r="A397" t="s">
        <v>1812</v>
      </c>
      <c r="B397">
        <v>9003510900</v>
      </c>
      <c r="C397" t="s">
        <v>1813</v>
      </c>
      <c r="D397">
        <v>91170</v>
      </c>
      <c r="E397">
        <v>2.81</v>
      </c>
      <c r="F397">
        <v>54387.462249999997</v>
      </c>
      <c r="G397">
        <v>54.387</v>
      </c>
      <c r="H397">
        <v>0.54900000000000004</v>
      </c>
      <c r="I397">
        <v>3</v>
      </c>
      <c r="J397">
        <v>1516</v>
      </c>
      <c r="K397">
        <v>0.33448885499999997</v>
      </c>
      <c r="L397">
        <v>0.39100000000000001</v>
      </c>
      <c r="M397">
        <v>2</v>
      </c>
      <c r="N397">
        <v>0.45500000000000002</v>
      </c>
      <c r="O397">
        <v>3</v>
      </c>
      <c r="P397">
        <v>3</v>
      </c>
      <c r="S397" s="164" t="s">
        <v>944</v>
      </c>
    </row>
    <row r="398" spans="1:19" x14ac:dyDescent="0.25">
      <c r="A398" t="s">
        <v>1814</v>
      </c>
      <c r="B398">
        <v>9003511000</v>
      </c>
      <c r="C398" t="s">
        <v>1815</v>
      </c>
      <c r="D398">
        <v>84648</v>
      </c>
      <c r="E398">
        <v>2.65</v>
      </c>
      <c r="F398">
        <v>51998.853049999998</v>
      </c>
      <c r="G398">
        <v>51.999000000000002</v>
      </c>
      <c r="H398">
        <v>0.5</v>
      </c>
      <c r="I398">
        <v>3</v>
      </c>
      <c r="J398">
        <v>1460</v>
      </c>
      <c r="K398">
        <v>0.33693050899999999</v>
      </c>
      <c r="L398">
        <v>0.40600000000000003</v>
      </c>
      <c r="M398">
        <v>3</v>
      </c>
      <c r="N398">
        <v>0.51400000000000001</v>
      </c>
      <c r="O398">
        <v>3</v>
      </c>
      <c r="P398">
        <v>3</v>
      </c>
      <c r="S398" s="166" t="s">
        <v>944</v>
      </c>
    </row>
    <row r="399" spans="1:19" x14ac:dyDescent="0.25">
      <c r="A399" t="s">
        <v>1816</v>
      </c>
      <c r="B399">
        <v>9003511100</v>
      </c>
      <c r="C399" t="s">
        <v>1817</v>
      </c>
      <c r="D399">
        <v>93403</v>
      </c>
      <c r="E399">
        <v>2.72</v>
      </c>
      <c r="F399">
        <v>56633.887459999998</v>
      </c>
      <c r="G399">
        <v>56.634</v>
      </c>
      <c r="H399">
        <v>0.59099999999999997</v>
      </c>
      <c r="I399">
        <v>3</v>
      </c>
      <c r="J399">
        <v>1502</v>
      </c>
      <c r="K399">
        <v>0.31825468499999998</v>
      </c>
      <c r="L399">
        <v>0.27600000000000002</v>
      </c>
      <c r="M399">
        <v>2</v>
      </c>
      <c r="N399">
        <v>0.47</v>
      </c>
      <c r="O399">
        <v>3</v>
      </c>
      <c r="P399">
        <v>3</v>
      </c>
      <c r="S399" s="164" t="s">
        <v>944</v>
      </c>
    </row>
    <row r="400" spans="1:19" x14ac:dyDescent="0.25">
      <c r="A400" t="s">
        <v>1818</v>
      </c>
      <c r="B400">
        <v>9003511200</v>
      </c>
      <c r="C400" t="s">
        <v>1819</v>
      </c>
      <c r="D400">
        <v>50000</v>
      </c>
      <c r="E400">
        <v>2.67</v>
      </c>
      <c r="F400">
        <v>30599.503069999999</v>
      </c>
      <c r="G400">
        <v>30.6</v>
      </c>
      <c r="H400">
        <v>0.17699999999999999</v>
      </c>
      <c r="I400">
        <v>1</v>
      </c>
      <c r="J400">
        <v>1359</v>
      </c>
      <c r="K400">
        <v>0.53294983100000004</v>
      </c>
      <c r="L400">
        <v>0.874</v>
      </c>
      <c r="M400">
        <v>5</v>
      </c>
      <c r="N400">
        <v>0.6</v>
      </c>
      <c r="O400">
        <v>3</v>
      </c>
      <c r="P400">
        <v>4</v>
      </c>
      <c r="S400" s="166" t="s">
        <v>944</v>
      </c>
    </row>
    <row r="401" spans="1:19" x14ac:dyDescent="0.25">
      <c r="A401" t="s">
        <v>1820</v>
      </c>
      <c r="B401">
        <v>9003511300</v>
      </c>
      <c r="C401" t="s">
        <v>1821</v>
      </c>
      <c r="D401">
        <v>46646</v>
      </c>
      <c r="E401">
        <v>2.76</v>
      </c>
      <c r="F401">
        <v>28077.592519999998</v>
      </c>
      <c r="G401">
        <v>28.077999999999999</v>
      </c>
      <c r="H401">
        <v>0.14299999999999999</v>
      </c>
      <c r="I401">
        <v>1</v>
      </c>
      <c r="J401">
        <v>1166</v>
      </c>
      <c r="K401">
        <v>0.49833332400000002</v>
      </c>
      <c r="L401">
        <v>0.84099999999999997</v>
      </c>
      <c r="M401">
        <v>5</v>
      </c>
      <c r="N401">
        <v>0.80800000000000005</v>
      </c>
      <c r="O401">
        <v>5</v>
      </c>
      <c r="P401">
        <v>5</v>
      </c>
      <c r="S401" s="164" t="s">
        <v>936</v>
      </c>
    </row>
    <row r="402" spans="1:19" x14ac:dyDescent="0.25">
      <c r="A402" t="s">
        <v>1822</v>
      </c>
      <c r="B402">
        <v>9003511400</v>
      </c>
      <c r="C402" t="s">
        <v>1823</v>
      </c>
      <c r="D402">
        <v>81270</v>
      </c>
      <c r="E402">
        <v>2.72</v>
      </c>
      <c r="F402">
        <v>49277.175620000002</v>
      </c>
      <c r="G402">
        <v>49.277000000000001</v>
      </c>
      <c r="H402">
        <v>0.45900000000000002</v>
      </c>
      <c r="I402">
        <v>3</v>
      </c>
      <c r="J402">
        <v>1503</v>
      </c>
      <c r="K402">
        <v>0.36601123699999999</v>
      </c>
      <c r="L402">
        <v>0.56799999999999995</v>
      </c>
      <c r="M402">
        <v>3</v>
      </c>
      <c r="N402">
        <v>0.46899999999999997</v>
      </c>
      <c r="O402">
        <v>3</v>
      </c>
      <c r="P402">
        <v>3</v>
      </c>
      <c r="S402" s="166" t="s">
        <v>944</v>
      </c>
    </row>
    <row r="403" spans="1:19" x14ac:dyDescent="0.25">
      <c r="A403" t="s">
        <v>1824</v>
      </c>
      <c r="B403">
        <v>9003514101</v>
      </c>
      <c r="C403" t="s">
        <v>1825</v>
      </c>
      <c r="D403">
        <v>93571</v>
      </c>
      <c r="E403">
        <v>2.44</v>
      </c>
      <c r="F403">
        <v>59902.694459999999</v>
      </c>
      <c r="G403">
        <v>59.902999999999999</v>
      </c>
      <c r="H403">
        <v>0.65200000000000002</v>
      </c>
      <c r="I403">
        <v>4</v>
      </c>
      <c r="J403">
        <v>1586</v>
      </c>
      <c r="K403">
        <v>0.317715258</v>
      </c>
      <c r="L403">
        <v>0.27100000000000002</v>
      </c>
      <c r="M403">
        <v>2</v>
      </c>
      <c r="N403">
        <v>0.40100000000000002</v>
      </c>
      <c r="O403">
        <v>3</v>
      </c>
      <c r="P403">
        <v>3</v>
      </c>
      <c r="S403" s="164" t="s">
        <v>944</v>
      </c>
    </row>
    <row r="404" spans="1:19" x14ac:dyDescent="0.25">
      <c r="A404" t="s">
        <v>1826</v>
      </c>
      <c r="B404">
        <v>9003514102</v>
      </c>
      <c r="C404" t="s">
        <v>1827</v>
      </c>
      <c r="D404">
        <v>83929</v>
      </c>
      <c r="E404">
        <v>2.3199999999999998</v>
      </c>
      <c r="F404">
        <v>55102.088020000003</v>
      </c>
      <c r="G404">
        <v>55.101999999999997</v>
      </c>
      <c r="H404">
        <v>0.56599999999999995</v>
      </c>
      <c r="I404">
        <v>3</v>
      </c>
      <c r="J404">
        <v>1576</v>
      </c>
      <c r="K404">
        <v>0.34321748400000002</v>
      </c>
      <c r="L404">
        <v>0.437</v>
      </c>
      <c r="M404">
        <v>3</v>
      </c>
      <c r="N404">
        <v>0.40699999999999997</v>
      </c>
      <c r="O404">
        <v>3</v>
      </c>
      <c r="P404">
        <v>3</v>
      </c>
      <c r="S404" s="166" t="s">
        <v>944</v>
      </c>
    </row>
    <row r="405" spans="1:19" x14ac:dyDescent="0.25">
      <c r="A405" t="s">
        <v>1828</v>
      </c>
      <c r="B405">
        <v>9003514200</v>
      </c>
      <c r="C405" t="s">
        <v>1829</v>
      </c>
      <c r="D405">
        <v>63190</v>
      </c>
      <c r="E405">
        <v>2.1</v>
      </c>
      <c r="F405">
        <v>43605.242689999999</v>
      </c>
      <c r="G405">
        <v>43.604999999999997</v>
      </c>
      <c r="H405">
        <v>0.34499999999999997</v>
      </c>
      <c r="I405">
        <v>2</v>
      </c>
      <c r="J405">
        <v>1310</v>
      </c>
      <c r="K405">
        <v>0.36050710899999999</v>
      </c>
      <c r="L405">
        <v>0.54100000000000004</v>
      </c>
      <c r="M405">
        <v>3</v>
      </c>
      <c r="N405">
        <v>0.64600000000000002</v>
      </c>
      <c r="O405">
        <v>4</v>
      </c>
      <c r="P405">
        <v>4</v>
      </c>
      <c r="S405" s="164" t="s">
        <v>944</v>
      </c>
    </row>
    <row r="406" spans="1:19" x14ac:dyDescent="0.25">
      <c r="A406" t="s">
        <v>1830</v>
      </c>
      <c r="B406">
        <v>9003514300</v>
      </c>
      <c r="C406" t="s">
        <v>1831</v>
      </c>
      <c r="D406">
        <v>75685</v>
      </c>
      <c r="E406">
        <v>2.37</v>
      </c>
      <c r="F406">
        <v>49162.690499999997</v>
      </c>
      <c r="G406">
        <v>49.162999999999997</v>
      </c>
      <c r="H406">
        <v>0.45500000000000002</v>
      </c>
      <c r="I406">
        <v>3</v>
      </c>
      <c r="J406">
        <v>1341</v>
      </c>
      <c r="K406">
        <v>0.32732138599999999</v>
      </c>
      <c r="L406">
        <v>0.33800000000000002</v>
      </c>
      <c r="M406">
        <v>2</v>
      </c>
      <c r="N406">
        <v>0.61599999999999999</v>
      </c>
      <c r="O406">
        <v>4</v>
      </c>
      <c r="P406">
        <v>4</v>
      </c>
      <c r="S406" s="166" t="s">
        <v>944</v>
      </c>
    </row>
    <row r="407" spans="1:19" x14ac:dyDescent="0.25">
      <c r="A407" t="s">
        <v>1832</v>
      </c>
      <c r="B407">
        <v>9003514400</v>
      </c>
      <c r="C407" t="s">
        <v>1833</v>
      </c>
      <c r="D407">
        <v>62700</v>
      </c>
      <c r="E407">
        <v>2.5099999999999998</v>
      </c>
      <c r="F407">
        <v>39575.889069999997</v>
      </c>
      <c r="G407">
        <v>39.576000000000001</v>
      </c>
      <c r="H407">
        <v>0.28999999999999998</v>
      </c>
      <c r="I407">
        <v>2</v>
      </c>
      <c r="J407">
        <v>1198</v>
      </c>
      <c r="K407">
        <v>0.36325147299999999</v>
      </c>
      <c r="L407">
        <v>0.55500000000000005</v>
      </c>
      <c r="M407">
        <v>3</v>
      </c>
      <c r="N407">
        <v>0.76700000000000002</v>
      </c>
      <c r="O407">
        <v>4</v>
      </c>
      <c r="P407">
        <v>4</v>
      </c>
      <c r="S407" s="164" t="s">
        <v>944</v>
      </c>
    </row>
    <row r="408" spans="1:19" x14ac:dyDescent="0.25">
      <c r="A408" t="s">
        <v>1834</v>
      </c>
      <c r="B408">
        <v>9003514500</v>
      </c>
      <c r="C408" t="s">
        <v>1835</v>
      </c>
      <c r="D408">
        <v>70875</v>
      </c>
      <c r="E408">
        <v>2.59</v>
      </c>
      <c r="F408">
        <v>44039.582170000001</v>
      </c>
      <c r="G408">
        <v>44.04</v>
      </c>
      <c r="H408">
        <v>0.35299999999999998</v>
      </c>
      <c r="I408">
        <v>2</v>
      </c>
      <c r="J408">
        <v>1332</v>
      </c>
      <c r="K408">
        <v>0.36294622300000001</v>
      </c>
      <c r="L408">
        <v>0.55300000000000005</v>
      </c>
      <c r="M408">
        <v>3</v>
      </c>
      <c r="N408">
        <v>0.626</v>
      </c>
      <c r="O408">
        <v>4</v>
      </c>
      <c r="P408">
        <v>4</v>
      </c>
      <c r="S408" s="166" t="s">
        <v>944</v>
      </c>
    </row>
    <row r="409" spans="1:19" x14ac:dyDescent="0.25">
      <c r="A409" t="s">
        <v>1836</v>
      </c>
      <c r="B409">
        <v>9003514600</v>
      </c>
      <c r="C409" t="s">
        <v>1837</v>
      </c>
      <c r="D409">
        <v>52932</v>
      </c>
      <c r="E409">
        <v>2.15</v>
      </c>
      <c r="F409">
        <v>36099.324379999998</v>
      </c>
      <c r="G409">
        <v>36.098999999999997</v>
      </c>
      <c r="H409">
        <v>0.25</v>
      </c>
      <c r="I409">
        <v>2</v>
      </c>
      <c r="J409">
        <v>1268</v>
      </c>
      <c r="K409">
        <v>0.42150373299999999</v>
      </c>
      <c r="L409">
        <v>0.72699999999999998</v>
      </c>
      <c r="M409">
        <v>4</v>
      </c>
      <c r="N409">
        <v>0.69499999999999995</v>
      </c>
      <c r="O409">
        <v>4</v>
      </c>
      <c r="P409">
        <v>4</v>
      </c>
      <c r="S409" s="164" t="s">
        <v>944</v>
      </c>
    </row>
    <row r="410" spans="1:19" x14ac:dyDescent="0.25">
      <c r="A410" t="s">
        <v>1838</v>
      </c>
      <c r="B410">
        <v>9003514700</v>
      </c>
      <c r="C410" t="s">
        <v>1839</v>
      </c>
      <c r="D410">
        <v>44015</v>
      </c>
      <c r="E410">
        <v>2.23</v>
      </c>
      <c r="F410">
        <v>29474.624070000002</v>
      </c>
      <c r="G410">
        <v>29.475000000000001</v>
      </c>
      <c r="H410">
        <v>0.16200000000000001</v>
      </c>
      <c r="I410">
        <v>1</v>
      </c>
      <c r="J410">
        <v>1189</v>
      </c>
      <c r="K410">
        <v>0.48407742100000001</v>
      </c>
      <c r="L410">
        <v>0.82799999999999996</v>
      </c>
      <c r="M410">
        <v>5</v>
      </c>
      <c r="N410">
        <v>0.78300000000000003</v>
      </c>
      <c r="O410">
        <v>4</v>
      </c>
      <c r="P410">
        <v>5</v>
      </c>
      <c r="S410" s="166" t="s">
        <v>936</v>
      </c>
    </row>
    <row r="411" spans="1:19" x14ac:dyDescent="0.25">
      <c r="A411" t="s">
        <v>1840</v>
      </c>
      <c r="B411">
        <v>9003514800</v>
      </c>
      <c r="C411" t="s">
        <v>1841</v>
      </c>
      <c r="D411">
        <v>53083</v>
      </c>
      <c r="E411">
        <v>2.61</v>
      </c>
      <c r="F411">
        <v>32857.55212</v>
      </c>
      <c r="G411">
        <v>32.857999999999997</v>
      </c>
      <c r="H411">
        <v>0.21099999999999999</v>
      </c>
      <c r="I411">
        <v>2</v>
      </c>
      <c r="J411">
        <v>1192</v>
      </c>
      <c r="K411">
        <v>0.43533370799999999</v>
      </c>
      <c r="L411">
        <v>0.76</v>
      </c>
      <c r="M411">
        <v>4</v>
      </c>
      <c r="N411">
        <v>0.77700000000000002</v>
      </c>
      <c r="O411">
        <v>4</v>
      </c>
      <c r="P411">
        <v>4</v>
      </c>
      <c r="S411" s="164" t="s">
        <v>944</v>
      </c>
    </row>
    <row r="412" spans="1:19" x14ac:dyDescent="0.25">
      <c r="A412" t="s">
        <v>1842</v>
      </c>
      <c r="B412">
        <v>9003514900</v>
      </c>
      <c r="C412" t="s">
        <v>1843</v>
      </c>
      <c r="D412">
        <v>86714</v>
      </c>
      <c r="E412">
        <v>2.4300000000000002</v>
      </c>
      <c r="F412">
        <v>55627.056940000002</v>
      </c>
      <c r="G412">
        <v>55.627000000000002</v>
      </c>
      <c r="H412">
        <v>0.57299999999999995</v>
      </c>
      <c r="I412">
        <v>3</v>
      </c>
      <c r="J412">
        <v>1345</v>
      </c>
      <c r="K412">
        <v>0.29014657399999999</v>
      </c>
      <c r="L412">
        <v>0.11799999999999999</v>
      </c>
      <c r="M412">
        <v>1</v>
      </c>
      <c r="N412">
        <v>0.61099999999999999</v>
      </c>
      <c r="O412">
        <v>4</v>
      </c>
      <c r="P412">
        <v>4</v>
      </c>
      <c r="S412" s="166" t="s">
        <v>944</v>
      </c>
    </row>
    <row r="413" spans="1:19" x14ac:dyDescent="0.25">
      <c r="A413" t="s">
        <v>1844</v>
      </c>
      <c r="B413">
        <v>9003515000</v>
      </c>
      <c r="C413" t="s">
        <v>1845</v>
      </c>
      <c r="D413">
        <v>104500</v>
      </c>
      <c r="E413">
        <v>2.78</v>
      </c>
      <c r="F413">
        <v>62674.935039999997</v>
      </c>
      <c r="G413">
        <v>62.674999999999997</v>
      </c>
      <c r="H413">
        <v>0.70299999999999996</v>
      </c>
      <c r="I413">
        <v>4</v>
      </c>
      <c r="J413">
        <v>1647</v>
      </c>
      <c r="K413">
        <v>0.31534137200000001</v>
      </c>
      <c r="L413">
        <v>0.255</v>
      </c>
      <c r="M413">
        <v>2</v>
      </c>
      <c r="N413">
        <v>0.35299999999999998</v>
      </c>
      <c r="O413">
        <v>2</v>
      </c>
      <c r="P413">
        <v>2</v>
      </c>
      <c r="S413" s="164" t="s">
        <v>944</v>
      </c>
    </row>
    <row r="414" spans="1:19" x14ac:dyDescent="0.25">
      <c r="A414" t="s">
        <v>1846</v>
      </c>
      <c r="B414">
        <v>9003515101</v>
      </c>
      <c r="C414" t="s">
        <v>1847</v>
      </c>
      <c r="D414">
        <v>82454</v>
      </c>
      <c r="E414">
        <v>2.54</v>
      </c>
      <c r="F414">
        <v>51736.240960000003</v>
      </c>
      <c r="G414">
        <v>51.735999999999997</v>
      </c>
      <c r="H414">
        <v>0.495</v>
      </c>
      <c r="I414">
        <v>3</v>
      </c>
      <c r="J414">
        <v>1312</v>
      </c>
      <c r="K414">
        <v>0.30431279300000003</v>
      </c>
      <c r="L414">
        <v>0.19800000000000001</v>
      </c>
      <c r="M414">
        <v>1</v>
      </c>
      <c r="N414">
        <v>0.64400000000000002</v>
      </c>
      <c r="O414">
        <v>4</v>
      </c>
      <c r="P414">
        <v>4</v>
      </c>
      <c r="S414" s="166" t="s">
        <v>944</v>
      </c>
    </row>
    <row r="415" spans="1:19" x14ac:dyDescent="0.25">
      <c r="A415" t="s">
        <v>1848</v>
      </c>
      <c r="B415">
        <v>9003515102</v>
      </c>
      <c r="C415" t="s">
        <v>1849</v>
      </c>
      <c r="D415">
        <v>78254</v>
      </c>
      <c r="E415">
        <v>2.69</v>
      </c>
      <c r="F415">
        <v>47712.30588</v>
      </c>
      <c r="G415">
        <v>47.712000000000003</v>
      </c>
      <c r="H415">
        <v>0.41699999999999998</v>
      </c>
      <c r="I415">
        <v>3</v>
      </c>
      <c r="J415">
        <v>1259</v>
      </c>
      <c r="K415">
        <v>0.31664786900000003</v>
      </c>
      <c r="L415">
        <v>0.26100000000000001</v>
      </c>
      <c r="M415">
        <v>2</v>
      </c>
      <c r="N415">
        <v>0.70499999999999996</v>
      </c>
      <c r="O415">
        <v>4</v>
      </c>
      <c r="P415">
        <v>4</v>
      </c>
      <c r="S415" s="164" t="s">
        <v>944</v>
      </c>
    </row>
    <row r="416" spans="1:19" x14ac:dyDescent="0.25">
      <c r="A416" t="s">
        <v>1850</v>
      </c>
      <c r="B416">
        <v>9003515200</v>
      </c>
      <c r="C416" t="s">
        <v>1851</v>
      </c>
      <c r="D416">
        <v>111809</v>
      </c>
      <c r="E416">
        <v>2.36</v>
      </c>
      <c r="F416">
        <v>72781.459740000006</v>
      </c>
      <c r="G416">
        <v>72.781000000000006</v>
      </c>
      <c r="H416">
        <v>0.83299999999999996</v>
      </c>
      <c r="I416">
        <v>5</v>
      </c>
      <c r="J416">
        <v>1678</v>
      </c>
      <c r="K416">
        <v>0.27666386599999998</v>
      </c>
      <c r="L416">
        <v>7.6999999999999999E-2</v>
      </c>
      <c r="M416">
        <v>1</v>
      </c>
      <c r="N416">
        <v>0.32300000000000001</v>
      </c>
      <c r="O416">
        <v>2</v>
      </c>
      <c r="P416">
        <v>2</v>
      </c>
      <c r="S416" s="166" t="s">
        <v>944</v>
      </c>
    </row>
    <row r="417" spans="1:19" x14ac:dyDescent="0.25">
      <c r="A417" t="s">
        <v>1852</v>
      </c>
      <c r="B417">
        <v>9003520100</v>
      </c>
      <c r="C417" t="s">
        <v>1853</v>
      </c>
      <c r="D417">
        <v>141914</v>
      </c>
      <c r="E417">
        <v>2.69</v>
      </c>
      <c r="F417">
        <v>86526.492920000004</v>
      </c>
      <c r="G417">
        <v>86.525999999999996</v>
      </c>
      <c r="H417">
        <v>0.91400000000000003</v>
      </c>
      <c r="I417">
        <v>5</v>
      </c>
      <c r="J417">
        <v>1960</v>
      </c>
      <c r="K417">
        <v>0.27182426100000001</v>
      </c>
      <c r="L417">
        <v>6.6000000000000003E-2</v>
      </c>
      <c r="M417">
        <v>1</v>
      </c>
      <c r="N417">
        <v>0.17899999999999999</v>
      </c>
      <c r="O417">
        <v>1</v>
      </c>
      <c r="P417">
        <v>1</v>
      </c>
      <c r="S417" s="164" t="s">
        <v>944</v>
      </c>
    </row>
    <row r="418" spans="1:19" x14ac:dyDescent="0.25">
      <c r="A418" t="s">
        <v>1854</v>
      </c>
      <c r="B418">
        <v>9003520201</v>
      </c>
      <c r="C418" t="s">
        <v>1855</v>
      </c>
      <c r="D418">
        <v>168672</v>
      </c>
      <c r="E418">
        <v>3.01</v>
      </c>
      <c r="F418">
        <v>97220.924540000007</v>
      </c>
      <c r="G418">
        <v>97.221000000000004</v>
      </c>
      <c r="H418">
        <v>0.94</v>
      </c>
      <c r="I418">
        <v>5</v>
      </c>
      <c r="J418">
        <v>2397</v>
      </c>
      <c r="K418">
        <v>0.29586223499999997</v>
      </c>
      <c r="L418">
        <v>0.14499999999999999</v>
      </c>
      <c r="M418">
        <v>1</v>
      </c>
      <c r="N418">
        <v>9.1999999999999998E-2</v>
      </c>
      <c r="O418">
        <v>1</v>
      </c>
      <c r="P418">
        <v>1</v>
      </c>
      <c r="S418" s="166" t="s">
        <v>944</v>
      </c>
    </row>
    <row r="419" spans="1:19" x14ac:dyDescent="0.25">
      <c r="A419" t="s">
        <v>1856</v>
      </c>
      <c r="B419">
        <v>9003520202</v>
      </c>
      <c r="C419" t="s">
        <v>1857</v>
      </c>
      <c r="D419">
        <v>153878</v>
      </c>
      <c r="E419">
        <v>2.77</v>
      </c>
      <c r="F419">
        <v>92456.329599999997</v>
      </c>
      <c r="G419">
        <v>92.456000000000003</v>
      </c>
      <c r="H419">
        <v>0.93100000000000005</v>
      </c>
      <c r="I419">
        <v>5</v>
      </c>
      <c r="J419">
        <v>2253</v>
      </c>
      <c r="K419">
        <v>0.29241913600000002</v>
      </c>
      <c r="L419">
        <v>0.13</v>
      </c>
      <c r="M419">
        <v>1</v>
      </c>
      <c r="N419">
        <v>0.122</v>
      </c>
      <c r="O419">
        <v>1</v>
      </c>
      <c r="P419">
        <v>1</v>
      </c>
      <c r="S419" s="164" t="s">
        <v>944</v>
      </c>
    </row>
    <row r="420" spans="1:19" x14ac:dyDescent="0.25">
      <c r="A420" t="s">
        <v>1858</v>
      </c>
      <c r="B420">
        <v>9003520301</v>
      </c>
      <c r="C420" t="s">
        <v>1859</v>
      </c>
      <c r="D420">
        <v>87500</v>
      </c>
      <c r="E420">
        <v>2.2799999999999998</v>
      </c>
      <c r="F420">
        <v>57948.29062</v>
      </c>
      <c r="G420">
        <v>57.948</v>
      </c>
      <c r="H420">
        <v>0.61599999999999999</v>
      </c>
      <c r="I420">
        <v>4</v>
      </c>
      <c r="J420">
        <v>1458</v>
      </c>
      <c r="K420">
        <v>0.30192435000000001</v>
      </c>
      <c r="L420">
        <v>0.18099999999999999</v>
      </c>
      <c r="M420">
        <v>1</v>
      </c>
      <c r="N420">
        <v>0.51600000000000001</v>
      </c>
      <c r="O420">
        <v>3</v>
      </c>
      <c r="P420">
        <v>3</v>
      </c>
      <c r="S420" s="166" t="s">
        <v>944</v>
      </c>
    </row>
    <row r="421" spans="1:19" x14ac:dyDescent="0.25">
      <c r="A421" t="s">
        <v>1860</v>
      </c>
      <c r="B421">
        <v>9003520302</v>
      </c>
      <c r="C421" t="s">
        <v>1861</v>
      </c>
      <c r="D421">
        <v>63821</v>
      </c>
      <c r="E421">
        <v>1.97</v>
      </c>
      <c r="F421">
        <v>45470.579769999997</v>
      </c>
      <c r="G421">
        <v>45.470999999999997</v>
      </c>
      <c r="H421">
        <v>0.373</v>
      </c>
      <c r="I421">
        <v>2</v>
      </c>
      <c r="J421">
        <v>1337</v>
      </c>
      <c r="K421">
        <v>0.35284353299999999</v>
      </c>
      <c r="L421">
        <v>0.496</v>
      </c>
      <c r="M421">
        <v>3</v>
      </c>
      <c r="N421">
        <v>0.61899999999999999</v>
      </c>
      <c r="O421">
        <v>4</v>
      </c>
      <c r="P421">
        <v>4</v>
      </c>
      <c r="S421" s="164" t="s">
        <v>944</v>
      </c>
    </row>
    <row r="422" spans="1:19" x14ac:dyDescent="0.25">
      <c r="A422" t="s">
        <v>1862</v>
      </c>
      <c r="B422">
        <v>9003520400</v>
      </c>
      <c r="C422" t="s">
        <v>1863</v>
      </c>
      <c r="D422">
        <v>123480</v>
      </c>
      <c r="E422">
        <v>2.64</v>
      </c>
      <c r="F422">
        <v>75996.686530000006</v>
      </c>
      <c r="G422">
        <v>75.997</v>
      </c>
      <c r="H422">
        <v>0.85699999999999998</v>
      </c>
      <c r="I422">
        <v>5</v>
      </c>
      <c r="J422">
        <v>1929</v>
      </c>
      <c r="K422">
        <v>0.30459222699999999</v>
      </c>
      <c r="L422">
        <v>0.19900000000000001</v>
      </c>
      <c r="M422">
        <v>1</v>
      </c>
      <c r="N422">
        <v>0.19400000000000001</v>
      </c>
      <c r="O422">
        <v>1</v>
      </c>
      <c r="P422">
        <v>1</v>
      </c>
      <c r="S422" s="166" t="s">
        <v>944</v>
      </c>
    </row>
    <row r="423" spans="1:19" x14ac:dyDescent="0.25">
      <c r="A423" t="s">
        <v>1864</v>
      </c>
      <c r="B423">
        <v>9003520501</v>
      </c>
      <c r="C423" t="s">
        <v>1865</v>
      </c>
      <c r="D423">
        <v>174375</v>
      </c>
      <c r="E423">
        <v>2.7</v>
      </c>
      <c r="F423">
        <v>106121.2455</v>
      </c>
      <c r="G423">
        <v>106.121</v>
      </c>
      <c r="H423">
        <v>0.95499999999999996</v>
      </c>
      <c r="I423">
        <v>5</v>
      </c>
      <c r="J423">
        <v>2346</v>
      </c>
      <c r="K423">
        <v>0.26528147000000002</v>
      </c>
      <c r="L423">
        <v>4.9000000000000002E-2</v>
      </c>
      <c r="M423">
        <v>1</v>
      </c>
      <c r="N423">
        <v>0.105</v>
      </c>
      <c r="O423">
        <v>1</v>
      </c>
      <c r="P423">
        <v>1</v>
      </c>
      <c r="S423" s="164" t="s">
        <v>944</v>
      </c>
    </row>
    <row r="424" spans="1:19" x14ac:dyDescent="0.25">
      <c r="A424" t="s">
        <v>1866</v>
      </c>
      <c r="B424">
        <v>9003524100</v>
      </c>
      <c r="C424" t="s">
        <v>1867</v>
      </c>
      <c r="D424">
        <v>112557</v>
      </c>
      <c r="E424">
        <v>2.68</v>
      </c>
      <c r="F424">
        <v>68755.130739999993</v>
      </c>
      <c r="G424">
        <v>68.754999999999995</v>
      </c>
      <c r="H424">
        <v>0.78300000000000003</v>
      </c>
      <c r="I424">
        <v>4</v>
      </c>
      <c r="J424">
        <v>1849</v>
      </c>
      <c r="K424">
        <v>0.32271046199999998</v>
      </c>
      <c r="L424">
        <v>0.318</v>
      </c>
      <c r="M424">
        <v>2</v>
      </c>
      <c r="N424">
        <v>0.23400000000000001</v>
      </c>
      <c r="O424">
        <v>2</v>
      </c>
      <c r="P424">
        <v>2</v>
      </c>
      <c r="S424" s="166" t="s">
        <v>944</v>
      </c>
    </row>
    <row r="425" spans="1:19" x14ac:dyDescent="0.25">
      <c r="A425" t="s">
        <v>1868</v>
      </c>
      <c r="B425">
        <v>9003524200</v>
      </c>
      <c r="C425" t="s">
        <v>1869</v>
      </c>
      <c r="D425">
        <v>89076</v>
      </c>
      <c r="E425">
        <v>2.31</v>
      </c>
      <c r="F425">
        <v>58607.705179999997</v>
      </c>
      <c r="G425">
        <v>58.607999999999997</v>
      </c>
      <c r="H425">
        <v>0.625</v>
      </c>
      <c r="I425">
        <v>4</v>
      </c>
      <c r="J425">
        <v>1346</v>
      </c>
      <c r="K425">
        <v>0.275595162</v>
      </c>
      <c r="L425">
        <v>7.1999999999999995E-2</v>
      </c>
      <c r="M425">
        <v>1</v>
      </c>
      <c r="N425">
        <v>0.60799999999999998</v>
      </c>
      <c r="O425">
        <v>4</v>
      </c>
      <c r="P425">
        <v>3</v>
      </c>
      <c r="S425" s="164" t="s">
        <v>944</v>
      </c>
    </row>
    <row r="426" spans="1:19" x14ac:dyDescent="0.25">
      <c r="A426" t="s">
        <v>1870</v>
      </c>
      <c r="B426">
        <v>9003524300</v>
      </c>
      <c r="C426" t="s">
        <v>1871</v>
      </c>
      <c r="D426">
        <v>89079</v>
      </c>
      <c r="E426">
        <v>2.23</v>
      </c>
      <c r="F426">
        <v>59651.710500000001</v>
      </c>
      <c r="G426">
        <v>59.652000000000001</v>
      </c>
      <c r="H426">
        <v>0.64200000000000002</v>
      </c>
      <c r="I426">
        <v>4</v>
      </c>
      <c r="J426">
        <v>1336</v>
      </c>
      <c r="K426">
        <v>0.26876010500000003</v>
      </c>
      <c r="L426">
        <v>5.8999999999999997E-2</v>
      </c>
      <c r="M426">
        <v>1</v>
      </c>
      <c r="N426">
        <v>0.62</v>
      </c>
      <c r="O426">
        <v>4</v>
      </c>
      <c r="P426">
        <v>3</v>
      </c>
      <c r="S426" s="166" t="s">
        <v>944</v>
      </c>
    </row>
    <row r="427" spans="1:19" x14ac:dyDescent="0.25">
      <c r="A427" t="s">
        <v>1872</v>
      </c>
      <c r="B427">
        <v>9003524400</v>
      </c>
      <c r="C427" t="s">
        <v>1873</v>
      </c>
      <c r="D427">
        <v>46155</v>
      </c>
      <c r="E427">
        <v>2.95</v>
      </c>
      <c r="F427">
        <v>26872.479940000001</v>
      </c>
      <c r="G427">
        <v>26.872</v>
      </c>
      <c r="H427">
        <v>0.13200000000000001</v>
      </c>
      <c r="I427">
        <v>1</v>
      </c>
      <c r="J427">
        <v>1123</v>
      </c>
      <c r="K427">
        <v>0.50147958199999998</v>
      </c>
      <c r="L427">
        <v>0.84599999999999997</v>
      </c>
      <c r="M427">
        <v>5</v>
      </c>
      <c r="N427">
        <v>0.85099999999999998</v>
      </c>
      <c r="O427">
        <v>5</v>
      </c>
      <c r="P427">
        <v>5</v>
      </c>
      <c r="S427" s="164" t="s">
        <v>936</v>
      </c>
    </row>
    <row r="428" spans="1:19" x14ac:dyDescent="0.25">
      <c r="A428" t="s">
        <v>1874</v>
      </c>
      <c r="B428">
        <v>9003524501</v>
      </c>
      <c r="C428" t="s">
        <v>1875</v>
      </c>
      <c r="D428">
        <v>42021</v>
      </c>
      <c r="E428">
        <v>2.06</v>
      </c>
      <c r="F428">
        <v>29277.417990000002</v>
      </c>
      <c r="G428">
        <v>29.277000000000001</v>
      </c>
      <c r="H428">
        <v>0.159</v>
      </c>
      <c r="I428">
        <v>1</v>
      </c>
      <c r="J428">
        <v>1142</v>
      </c>
      <c r="K428">
        <v>0.46807406299999998</v>
      </c>
      <c r="L428">
        <v>0.80900000000000005</v>
      </c>
      <c r="M428">
        <v>5</v>
      </c>
      <c r="N428">
        <v>0.82399999999999995</v>
      </c>
      <c r="O428">
        <v>5</v>
      </c>
      <c r="P428">
        <v>5</v>
      </c>
      <c r="S428" s="166" t="s">
        <v>936</v>
      </c>
    </row>
    <row r="429" spans="1:19" x14ac:dyDescent="0.25">
      <c r="A429" t="s">
        <v>1876</v>
      </c>
      <c r="B429">
        <v>9003524502</v>
      </c>
      <c r="C429" t="s">
        <v>1877</v>
      </c>
      <c r="D429">
        <v>57778</v>
      </c>
      <c r="E429">
        <v>1.89</v>
      </c>
      <c r="F429">
        <v>42027.310870000001</v>
      </c>
      <c r="G429">
        <v>42.027000000000001</v>
      </c>
      <c r="H429">
        <v>0.32100000000000001</v>
      </c>
      <c r="I429">
        <v>2</v>
      </c>
      <c r="J429">
        <v>1109</v>
      </c>
      <c r="K429">
        <v>0.316651238</v>
      </c>
      <c r="L429">
        <v>0.26200000000000001</v>
      </c>
      <c r="M429">
        <v>2</v>
      </c>
      <c r="N429">
        <v>0.86499999999999999</v>
      </c>
      <c r="O429">
        <v>5</v>
      </c>
      <c r="P429">
        <v>5</v>
      </c>
      <c r="S429" s="164" t="s">
        <v>944</v>
      </c>
    </row>
    <row r="430" spans="1:19" x14ac:dyDescent="0.25">
      <c r="A430" t="s">
        <v>1878</v>
      </c>
      <c r="B430">
        <v>9003524600</v>
      </c>
      <c r="C430" t="s">
        <v>1879</v>
      </c>
      <c r="D430">
        <v>36120</v>
      </c>
      <c r="E430">
        <v>2.02</v>
      </c>
      <c r="F430">
        <v>25413.943319999998</v>
      </c>
      <c r="G430">
        <v>25.414000000000001</v>
      </c>
      <c r="H430">
        <v>0.115</v>
      </c>
      <c r="I430">
        <v>1</v>
      </c>
      <c r="J430">
        <v>1020</v>
      </c>
      <c r="K430">
        <v>0.48162537599999999</v>
      </c>
      <c r="L430">
        <v>0.82399999999999995</v>
      </c>
      <c r="M430">
        <v>5</v>
      </c>
      <c r="N430">
        <v>0.92600000000000005</v>
      </c>
      <c r="O430">
        <v>5</v>
      </c>
      <c r="P430">
        <v>5</v>
      </c>
      <c r="S430" s="166" t="s">
        <v>936</v>
      </c>
    </row>
    <row r="431" spans="1:19" x14ac:dyDescent="0.25">
      <c r="A431" t="s">
        <v>1880</v>
      </c>
      <c r="B431">
        <v>9003524700</v>
      </c>
      <c r="C431" t="s">
        <v>1881</v>
      </c>
      <c r="D431">
        <v>75110</v>
      </c>
      <c r="E431">
        <v>2.84</v>
      </c>
      <c r="F431">
        <v>44569.585169999998</v>
      </c>
      <c r="G431">
        <v>44.57</v>
      </c>
      <c r="H431">
        <v>0.36</v>
      </c>
      <c r="I431">
        <v>2</v>
      </c>
      <c r="J431">
        <v>1319</v>
      </c>
      <c r="K431">
        <v>0.35513007200000002</v>
      </c>
      <c r="L431">
        <v>0.50900000000000001</v>
      </c>
      <c r="M431">
        <v>3</v>
      </c>
      <c r="N431">
        <v>0.63800000000000001</v>
      </c>
      <c r="O431">
        <v>4</v>
      </c>
      <c r="P431">
        <v>4</v>
      </c>
      <c r="S431" s="164" t="s">
        <v>944</v>
      </c>
    </row>
    <row r="432" spans="1:19" x14ac:dyDescent="0.25">
      <c r="A432" t="s">
        <v>1882</v>
      </c>
      <c r="B432">
        <v>9005250100</v>
      </c>
      <c r="C432" t="s">
        <v>1883</v>
      </c>
      <c r="D432">
        <v>111250</v>
      </c>
      <c r="E432">
        <v>2.4300000000000002</v>
      </c>
      <c r="F432">
        <v>71366.90827</v>
      </c>
      <c r="G432">
        <v>71.367000000000004</v>
      </c>
      <c r="H432">
        <v>0.82</v>
      </c>
      <c r="I432">
        <v>5</v>
      </c>
      <c r="J432">
        <v>1890</v>
      </c>
      <c r="K432">
        <v>0.31779434699999998</v>
      </c>
      <c r="L432">
        <v>0.27200000000000002</v>
      </c>
      <c r="M432">
        <v>2</v>
      </c>
      <c r="N432">
        <v>0.216</v>
      </c>
      <c r="O432">
        <v>2</v>
      </c>
      <c r="P432">
        <v>2</v>
      </c>
      <c r="S432" s="166" t="s">
        <v>944</v>
      </c>
    </row>
    <row r="433" spans="1:19" x14ac:dyDescent="0.25">
      <c r="A433" t="s">
        <v>1884</v>
      </c>
      <c r="B433">
        <v>9005253100</v>
      </c>
      <c r="C433" t="s">
        <v>1885</v>
      </c>
      <c r="D433">
        <v>57072</v>
      </c>
      <c r="E433">
        <v>2.35</v>
      </c>
      <c r="F433">
        <v>37229.66779</v>
      </c>
      <c r="G433">
        <v>37.229999999999997</v>
      </c>
      <c r="H433">
        <v>0.26</v>
      </c>
      <c r="I433">
        <v>2</v>
      </c>
      <c r="J433">
        <v>1136</v>
      </c>
      <c r="K433">
        <v>0.36615959300000001</v>
      </c>
      <c r="L433">
        <v>0.56899999999999995</v>
      </c>
      <c r="M433">
        <v>3</v>
      </c>
      <c r="N433">
        <v>0.83</v>
      </c>
      <c r="O433">
        <v>5</v>
      </c>
      <c r="P433">
        <v>5</v>
      </c>
      <c r="S433" s="164" t="s">
        <v>944</v>
      </c>
    </row>
    <row r="434" spans="1:19" x14ac:dyDescent="0.25">
      <c r="A434" t="s">
        <v>1886</v>
      </c>
      <c r="B434">
        <v>9005253200</v>
      </c>
      <c r="C434" t="s">
        <v>1887</v>
      </c>
      <c r="D434">
        <v>101974</v>
      </c>
      <c r="E434">
        <v>2.76</v>
      </c>
      <c r="F434">
        <v>61381.134910000001</v>
      </c>
      <c r="G434">
        <v>61.381</v>
      </c>
      <c r="H434">
        <v>0.67900000000000005</v>
      </c>
      <c r="I434">
        <v>4</v>
      </c>
      <c r="J434">
        <v>1923</v>
      </c>
      <c r="K434">
        <v>0.37594612799999999</v>
      </c>
      <c r="L434">
        <v>0.61799999999999999</v>
      </c>
      <c r="M434">
        <v>4</v>
      </c>
      <c r="N434">
        <v>0.19800000000000001</v>
      </c>
      <c r="O434">
        <v>1</v>
      </c>
      <c r="P434">
        <v>2</v>
      </c>
      <c r="S434" s="166" t="s">
        <v>944</v>
      </c>
    </row>
    <row r="435" spans="1:19" x14ac:dyDescent="0.25">
      <c r="A435" t="s">
        <v>1888</v>
      </c>
      <c r="B435">
        <v>9005253300</v>
      </c>
      <c r="C435" t="s">
        <v>1889</v>
      </c>
      <c r="D435">
        <v>90141</v>
      </c>
      <c r="E435">
        <v>2.37</v>
      </c>
      <c r="F435">
        <v>58552.87156</v>
      </c>
      <c r="G435">
        <v>58.552999999999997</v>
      </c>
      <c r="H435">
        <v>0.624</v>
      </c>
      <c r="I435">
        <v>4</v>
      </c>
      <c r="J435">
        <v>1623</v>
      </c>
      <c r="K435">
        <v>0.33262245699999998</v>
      </c>
      <c r="L435">
        <v>0.38</v>
      </c>
      <c r="M435">
        <v>2</v>
      </c>
      <c r="N435">
        <v>0.36699999999999999</v>
      </c>
      <c r="O435">
        <v>2</v>
      </c>
      <c r="P435">
        <v>2</v>
      </c>
      <c r="S435" s="164" t="s">
        <v>944</v>
      </c>
    </row>
    <row r="436" spans="1:19" x14ac:dyDescent="0.25">
      <c r="A436" t="s">
        <v>1890</v>
      </c>
      <c r="B436">
        <v>9005253400</v>
      </c>
      <c r="C436" t="s">
        <v>1891</v>
      </c>
      <c r="D436">
        <v>109167</v>
      </c>
      <c r="E436">
        <v>2.59</v>
      </c>
      <c r="F436">
        <v>67833.073250000001</v>
      </c>
      <c r="G436">
        <v>67.832999999999998</v>
      </c>
      <c r="H436">
        <v>0.77500000000000002</v>
      </c>
      <c r="I436">
        <v>4</v>
      </c>
      <c r="J436">
        <v>1878</v>
      </c>
      <c r="K436">
        <v>0.33222731799999999</v>
      </c>
      <c r="L436">
        <v>0.374</v>
      </c>
      <c r="M436">
        <v>2</v>
      </c>
      <c r="N436">
        <v>0.218</v>
      </c>
      <c r="O436">
        <v>2</v>
      </c>
      <c r="P436">
        <v>2</v>
      </c>
      <c r="S436" s="166" t="s">
        <v>944</v>
      </c>
    </row>
    <row r="437" spans="1:19" x14ac:dyDescent="0.25">
      <c r="A437" t="s">
        <v>1892</v>
      </c>
      <c r="B437">
        <v>9005253500</v>
      </c>
      <c r="C437" t="s">
        <v>1893</v>
      </c>
      <c r="D437">
        <v>107109</v>
      </c>
      <c r="E437">
        <v>2.62</v>
      </c>
      <c r="F437">
        <v>66172.161189999999</v>
      </c>
      <c r="G437">
        <v>66.171999999999997</v>
      </c>
      <c r="H437">
        <v>0.755</v>
      </c>
      <c r="I437">
        <v>4</v>
      </c>
      <c r="J437">
        <v>1988</v>
      </c>
      <c r="K437">
        <v>0.36051414300000001</v>
      </c>
      <c r="L437">
        <v>0.54200000000000004</v>
      </c>
      <c r="M437">
        <v>3</v>
      </c>
      <c r="N437">
        <v>0.16600000000000001</v>
      </c>
      <c r="O437">
        <v>1</v>
      </c>
      <c r="P437">
        <v>2</v>
      </c>
      <c r="S437" s="164" t="s">
        <v>944</v>
      </c>
    </row>
    <row r="438" spans="1:19" x14ac:dyDescent="0.25">
      <c r="A438" t="s">
        <v>1894</v>
      </c>
      <c r="B438">
        <v>9005253600</v>
      </c>
      <c r="C438" t="s">
        <v>1895</v>
      </c>
      <c r="D438">
        <v>54482</v>
      </c>
      <c r="E438">
        <v>2.25</v>
      </c>
      <c r="F438">
        <v>36321.333330000001</v>
      </c>
      <c r="G438">
        <v>36.320999999999998</v>
      </c>
      <c r="H438">
        <v>0.255</v>
      </c>
      <c r="I438">
        <v>2</v>
      </c>
      <c r="J438">
        <v>1230</v>
      </c>
      <c r="K438">
        <v>0.40637274699999998</v>
      </c>
      <c r="L438">
        <v>0.69499999999999995</v>
      </c>
      <c r="M438">
        <v>4</v>
      </c>
      <c r="N438">
        <v>0.73499999999999999</v>
      </c>
      <c r="O438">
        <v>4</v>
      </c>
      <c r="P438">
        <v>4</v>
      </c>
      <c r="S438" s="166" t="s">
        <v>944</v>
      </c>
    </row>
    <row r="439" spans="1:19" x14ac:dyDescent="0.25">
      <c r="A439" t="s">
        <v>1896</v>
      </c>
      <c r="B439">
        <v>9005260200</v>
      </c>
      <c r="C439" t="s">
        <v>1897</v>
      </c>
      <c r="D439">
        <v>62432</v>
      </c>
      <c r="E439">
        <v>2.2400000000000002</v>
      </c>
      <c r="F439">
        <v>41714.134639999997</v>
      </c>
      <c r="G439">
        <v>41.713999999999999</v>
      </c>
      <c r="H439">
        <v>0.315</v>
      </c>
      <c r="I439">
        <v>2</v>
      </c>
      <c r="J439">
        <v>1290</v>
      </c>
      <c r="K439">
        <v>0.371097234</v>
      </c>
      <c r="L439">
        <v>0.59599999999999997</v>
      </c>
      <c r="M439">
        <v>3</v>
      </c>
      <c r="N439">
        <v>0.66400000000000003</v>
      </c>
      <c r="O439">
        <v>4</v>
      </c>
      <c r="P439">
        <v>4</v>
      </c>
      <c r="S439" s="164" t="s">
        <v>944</v>
      </c>
    </row>
    <row r="440" spans="1:19" x14ac:dyDescent="0.25">
      <c r="A440" t="s">
        <v>1898</v>
      </c>
      <c r="B440">
        <v>9005261100</v>
      </c>
      <c r="C440" t="s">
        <v>1899</v>
      </c>
      <c r="D440">
        <v>72658</v>
      </c>
      <c r="E440">
        <v>2.08</v>
      </c>
      <c r="F440">
        <v>50379.258569999998</v>
      </c>
      <c r="G440">
        <v>50.378999999999998</v>
      </c>
      <c r="H440">
        <v>0.47599999999999998</v>
      </c>
      <c r="I440">
        <v>3</v>
      </c>
      <c r="J440">
        <v>1373</v>
      </c>
      <c r="K440">
        <v>0.32703935000000001</v>
      </c>
      <c r="L440">
        <v>0.33600000000000002</v>
      </c>
      <c r="M440">
        <v>2</v>
      </c>
      <c r="N440">
        <v>0.58699999999999997</v>
      </c>
      <c r="O440">
        <v>3</v>
      </c>
      <c r="P440">
        <v>3</v>
      </c>
      <c r="S440" s="166" t="s">
        <v>944</v>
      </c>
    </row>
    <row r="441" spans="1:19" x14ac:dyDescent="0.25">
      <c r="A441" t="s">
        <v>1900</v>
      </c>
      <c r="B441">
        <v>9005262100</v>
      </c>
      <c r="C441" t="s">
        <v>1901</v>
      </c>
      <c r="D441">
        <v>81919</v>
      </c>
      <c r="E441">
        <v>2.0299999999999998</v>
      </c>
      <c r="F441">
        <v>57495.866470000001</v>
      </c>
      <c r="G441">
        <v>57.496000000000002</v>
      </c>
      <c r="H441">
        <v>0.60799999999999998</v>
      </c>
      <c r="I441">
        <v>4</v>
      </c>
      <c r="J441">
        <v>1194</v>
      </c>
      <c r="K441">
        <v>0.24920052300000001</v>
      </c>
      <c r="L441">
        <v>1.2E-2</v>
      </c>
      <c r="M441">
        <v>1</v>
      </c>
      <c r="N441">
        <v>0.77400000000000002</v>
      </c>
      <c r="O441">
        <v>4</v>
      </c>
      <c r="P441">
        <v>3</v>
      </c>
      <c r="S441" s="164" t="s">
        <v>944</v>
      </c>
    </row>
    <row r="442" spans="1:19" x14ac:dyDescent="0.25">
      <c r="A442" t="s">
        <v>1902</v>
      </c>
      <c r="B442">
        <v>9005263200</v>
      </c>
      <c r="C442" t="s">
        <v>1903</v>
      </c>
      <c r="D442">
        <v>80000</v>
      </c>
      <c r="E442">
        <v>2.16</v>
      </c>
      <c r="F442">
        <v>54433.1054</v>
      </c>
      <c r="G442">
        <v>54.433</v>
      </c>
      <c r="H442">
        <v>0.55000000000000004</v>
      </c>
      <c r="I442">
        <v>3</v>
      </c>
      <c r="J442">
        <v>1448</v>
      </c>
      <c r="K442">
        <v>0.31921750300000001</v>
      </c>
      <c r="L442">
        <v>0.28299999999999997</v>
      </c>
      <c r="M442">
        <v>2</v>
      </c>
      <c r="N442">
        <v>0.52700000000000002</v>
      </c>
      <c r="O442">
        <v>3</v>
      </c>
      <c r="P442">
        <v>3</v>
      </c>
      <c r="S442" s="166" t="s">
        <v>944</v>
      </c>
    </row>
    <row r="443" spans="1:19" x14ac:dyDescent="0.25">
      <c r="A443" t="s">
        <v>1904</v>
      </c>
      <c r="B443">
        <v>9005265100</v>
      </c>
      <c r="C443" t="s">
        <v>1905</v>
      </c>
      <c r="D443">
        <v>104375</v>
      </c>
      <c r="E443">
        <v>2.4500000000000002</v>
      </c>
      <c r="F443">
        <v>66682.741469999994</v>
      </c>
      <c r="G443">
        <v>66.683000000000007</v>
      </c>
      <c r="H443">
        <v>0.76400000000000001</v>
      </c>
      <c r="I443">
        <v>4</v>
      </c>
      <c r="J443">
        <v>1948</v>
      </c>
      <c r="K443">
        <v>0.35055547300000001</v>
      </c>
      <c r="L443">
        <v>0.48099999999999998</v>
      </c>
      <c r="M443">
        <v>3</v>
      </c>
      <c r="N443">
        <v>0.187</v>
      </c>
      <c r="O443">
        <v>1</v>
      </c>
      <c r="P443">
        <v>2</v>
      </c>
      <c r="S443" s="164" t="s">
        <v>944</v>
      </c>
    </row>
    <row r="444" spans="1:19" x14ac:dyDescent="0.25">
      <c r="A444" t="s">
        <v>1906</v>
      </c>
      <c r="B444">
        <v>9005266100</v>
      </c>
      <c r="C444" t="s">
        <v>1907</v>
      </c>
      <c r="D444">
        <v>78125</v>
      </c>
      <c r="E444">
        <v>2.11</v>
      </c>
      <c r="F444">
        <v>53783.468030000004</v>
      </c>
      <c r="G444">
        <v>53.783000000000001</v>
      </c>
      <c r="H444">
        <v>0.53900000000000003</v>
      </c>
      <c r="I444">
        <v>3</v>
      </c>
      <c r="J444">
        <v>1549</v>
      </c>
      <c r="K444">
        <v>0.34560805900000002</v>
      </c>
      <c r="L444">
        <v>0.45700000000000002</v>
      </c>
      <c r="M444">
        <v>3</v>
      </c>
      <c r="N444">
        <v>0.43</v>
      </c>
      <c r="O444">
        <v>3</v>
      </c>
      <c r="P444">
        <v>3</v>
      </c>
      <c r="S444" s="166" t="s">
        <v>944</v>
      </c>
    </row>
    <row r="445" spans="1:19" x14ac:dyDescent="0.25">
      <c r="A445" t="s">
        <v>1908</v>
      </c>
      <c r="B445">
        <v>9005267100</v>
      </c>
      <c r="C445" t="s">
        <v>1909</v>
      </c>
      <c r="D445">
        <v>108250</v>
      </c>
      <c r="E445">
        <v>2.27</v>
      </c>
      <c r="F445">
        <v>71848.048479999998</v>
      </c>
      <c r="G445">
        <v>71.847999999999999</v>
      </c>
      <c r="H445">
        <v>0.82299999999999995</v>
      </c>
      <c r="I445">
        <v>5</v>
      </c>
      <c r="J445">
        <v>1915</v>
      </c>
      <c r="K445">
        <v>0.31984167299999999</v>
      </c>
      <c r="L445">
        <v>0.28699999999999998</v>
      </c>
      <c r="M445">
        <v>2</v>
      </c>
      <c r="N445">
        <v>0.20200000000000001</v>
      </c>
      <c r="O445">
        <v>2</v>
      </c>
      <c r="P445">
        <v>2</v>
      </c>
      <c r="S445" s="164" t="s">
        <v>944</v>
      </c>
    </row>
    <row r="446" spans="1:19" x14ac:dyDescent="0.25">
      <c r="A446" t="s">
        <v>1910</v>
      </c>
      <c r="B446">
        <v>9005268100</v>
      </c>
      <c r="C446" t="s">
        <v>1911</v>
      </c>
      <c r="D446">
        <v>118971</v>
      </c>
      <c r="E446">
        <v>2.36</v>
      </c>
      <c r="F446">
        <v>77443.524640000003</v>
      </c>
      <c r="G446">
        <v>77.444000000000003</v>
      </c>
      <c r="H446">
        <v>0.86099999999999999</v>
      </c>
      <c r="I446">
        <v>5</v>
      </c>
      <c r="J446">
        <v>2036</v>
      </c>
      <c r="K446">
        <v>0.31548150899999999</v>
      </c>
      <c r="L446">
        <v>0.25600000000000001</v>
      </c>
      <c r="M446">
        <v>2</v>
      </c>
      <c r="N446">
        <v>0.155</v>
      </c>
      <c r="O446">
        <v>1</v>
      </c>
      <c r="P446">
        <v>1</v>
      </c>
      <c r="S446" s="166" t="s">
        <v>944</v>
      </c>
    </row>
    <row r="447" spans="1:19" x14ac:dyDescent="0.25">
      <c r="A447" t="s">
        <v>1912</v>
      </c>
      <c r="B447">
        <v>9005290100</v>
      </c>
      <c r="C447" t="s">
        <v>1913</v>
      </c>
      <c r="D447">
        <v>109688</v>
      </c>
      <c r="E447">
        <v>2.72</v>
      </c>
      <c r="F447">
        <v>66508.119099999996</v>
      </c>
      <c r="G447">
        <v>66.507999999999996</v>
      </c>
      <c r="H447">
        <v>0.76</v>
      </c>
      <c r="I447">
        <v>4</v>
      </c>
      <c r="J447">
        <v>1739</v>
      </c>
      <c r="K447">
        <v>0.31376620300000002</v>
      </c>
      <c r="L447">
        <v>0.248</v>
      </c>
      <c r="M447">
        <v>2</v>
      </c>
      <c r="N447">
        <v>0.28899999999999998</v>
      </c>
      <c r="O447">
        <v>2</v>
      </c>
      <c r="P447">
        <v>2</v>
      </c>
      <c r="S447" s="164" t="s">
        <v>944</v>
      </c>
    </row>
    <row r="448" spans="1:19" x14ac:dyDescent="0.25">
      <c r="A448" t="s">
        <v>1914</v>
      </c>
      <c r="B448">
        <v>9005293100</v>
      </c>
      <c r="C448" t="s">
        <v>1915</v>
      </c>
      <c r="D448">
        <v>98250</v>
      </c>
      <c r="E448">
        <v>2.44</v>
      </c>
      <c r="F448">
        <v>62898.117270000002</v>
      </c>
      <c r="G448">
        <v>62.898000000000003</v>
      </c>
      <c r="H448">
        <v>0.70699999999999996</v>
      </c>
      <c r="I448">
        <v>4</v>
      </c>
      <c r="J448">
        <v>1570</v>
      </c>
      <c r="K448">
        <v>0.29953201800000001</v>
      </c>
      <c r="L448">
        <v>0.16600000000000001</v>
      </c>
      <c r="M448">
        <v>1</v>
      </c>
      <c r="N448">
        <v>0.41499999999999998</v>
      </c>
      <c r="O448">
        <v>3</v>
      </c>
      <c r="P448">
        <v>3</v>
      </c>
      <c r="S448" s="166" t="s">
        <v>944</v>
      </c>
    </row>
    <row r="449" spans="1:19" x14ac:dyDescent="0.25">
      <c r="A449" t="s">
        <v>1916</v>
      </c>
      <c r="B449">
        <v>9005296100</v>
      </c>
      <c r="C449" t="s">
        <v>1917</v>
      </c>
      <c r="D449">
        <v>109886</v>
      </c>
      <c r="E449">
        <v>2.62</v>
      </c>
      <c r="F449">
        <v>67887.797519999993</v>
      </c>
      <c r="G449">
        <v>67.888000000000005</v>
      </c>
      <c r="H449">
        <v>0.77600000000000002</v>
      </c>
      <c r="I449">
        <v>4</v>
      </c>
      <c r="J449">
        <v>1464</v>
      </c>
      <c r="K449">
        <v>0.25877993799999999</v>
      </c>
      <c r="L449">
        <v>2.5999999999999999E-2</v>
      </c>
      <c r="M449">
        <v>1</v>
      </c>
      <c r="N449">
        <v>0.50900000000000001</v>
      </c>
      <c r="O449">
        <v>3</v>
      </c>
      <c r="P449">
        <v>3</v>
      </c>
      <c r="S449" s="164" t="s">
        <v>944</v>
      </c>
    </row>
    <row r="450" spans="1:19" x14ac:dyDescent="0.25">
      <c r="A450" t="s">
        <v>1918</v>
      </c>
      <c r="B450">
        <v>9005298300</v>
      </c>
      <c r="C450" t="s">
        <v>1919</v>
      </c>
      <c r="D450">
        <v>105708</v>
      </c>
      <c r="E450">
        <v>2.66</v>
      </c>
      <c r="F450">
        <v>64813.7333</v>
      </c>
      <c r="G450">
        <v>64.813999999999993</v>
      </c>
      <c r="H450">
        <v>0.73299999999999998</v>
      </c>
      <c r="I450">
        <v>4</v>
      </c>
      <c r="J450">
        <v>1281</v>
      </c>
      <c r="K450">
        <v>0.23717195799999999</v>
      </c>
      <c r="L450">
        <v>3.0000000000000001E-3</v>
      </c>
      <c r="M450">
        <v>1</v>
      </c>
      <c r="N450">
        <v>0.67600000000000005</v>
      </c>
      <c r="O450">
        <v>4</v>
      </c>
      <c r="P450">
        <v>3</v>
      </c>
      <c r="S450" s="166" t="s">
        <v>944</v>
      </c>
    </row>
    <row r="451" spans="1:19" x14ac:dyDescent="0.25">
      <c r="A451" t="s">
        <v>1920</v>
      </c>
      <c r="B451">
        <v>9005298400</v>
      </c>
      <c r="C451" t="s">
        <v>1921</v>
      </c>
      <c r="D451">
        <v>136855</v>
      </c>
      <c r="E451">
        <v>2.93</v>
      </c>
      <c r="F451">
        <v>79951.544680000006</v>
      </c>
      <c r="G451">
        <v>79.951999999999998</v>
      </c>
      <c r="H451">
        <v>0.877</v>
      </c>
      <c r="I451">
        <v>5</v>
      </c>
      <c r="J451">
        <v>1528</v>
      </c>
      <c r="K451">
        <v>0.22933890900000001</v>
      </c>
      <c r="L451">
        <v>2E-3</v>
      </c>
      <c r="M451">
        <v>1</v>
      </c>
      <c r="N451">
        <v>0.44500000000000001</v>
      </c>
      <c r="O451">
        <v>3</v>
      </c>
      <c r="P451">
        <v>2</v>
      </c>
      <c r="S451" s="164" t="s">
        <v>944</v>
      </c>
    </row>
    <row r="452" spans="1:19" x14ac:dyDescent="0.25">
      <c r="A452" t="s">
        <v>1922</v>
      </c>
      <c r="B452">
        <v>9005300100</v>
      </c>
      <c r="C452" t="s">
        <v>1923</v>
      </c>
      <c r="D452">
        <v>95795</v>
      </c>
      <c r="E452">
        <v>2.13</v>
      </c>
      <c r="F452">
        <v>65637.652459999998</v>
      </c>
      <c r="G452">
        <v>65.638000000000005</v>
      </c>
      <c r="H452">
        <v>0.747</v>
      </c>
      <c r="I452">
        <v>4</v>
      </c>
      <c r="J452">
        <v>1421</v>
      </c>
      <c r="K452">
        <v>0.25978991299999998</v>
      </c>
      <c r="L452">
        <v>3.5000000000000003E-2</v>
      </c>
      <c r="M452">
        <v>1</v>
      </c>
      <c r="N452">
        <v>0.54900000000000004</v>
      </c>
      <c r="O452">
        <v>3</v>
      </c>
      <c r="P452">
        <v>3</v>
      </c>
      <c r="S452" s="166" t="s">
        <v>944</v>
      </c>
    </row>
    <row r="453" spans="1:19" x14ac:dyDescent="0.25">
      <c r="A453" t="s">
        <v>1924</v>
      </c>
      <c r="B453">
        <v>9005300400</v>
      </c>
      <c r="C453" t="s">
        <v>1925</v>
      </c>
      <c r="D453">
        <v>91591</v>
      </c>
      <c r="E453">
        <v>2.39</v>
      </c>
      <c r="F453">
        <v>59245.292809999999</v>
      </c>
      <c r="G453">
        <v>59.244999999999997</v>
      </c>
      <c r="H453">
        <v>0.63700000000000001</v>
      </c>
      <c r="I453">
        <v>4</v>
      </c>
      <c r="J453">
        <v>1429</v>
      </c>
      <c r="K453">
        <v>0.28944071599999999</v>
      </c>
      <c r="L453">
        <v>0.113</v>
      </c>
      <c r="M453">
        <v>1</v>
      </c>
      <c r="N453">
        <v>0.54300000000000004</v>
      </c>
      <c r="O453">
        <v>3</v>
      </c>
      <c r="P453">
        <v>3</v>
      </c>
      <c r="S453" s="164" t="s">
        <v>944</v>
      </c>
    </row>
    <row r="454" spans="1:19" x14ac:dyDescent="0.25">
      <c r="A454" t="s">
        <v>1926</v>
      </c>
      <c r="B454">
        <v>9005300500</v>
      </c>
      <c r="C454" t="s">
        <v>1927</v>
      </c>
      <c r="D454">
        <v>72667</v>
      </c>
      <c r="E454">
        <v>2.37</v>
      </c>
      <c r="F454">
        <v>47202.288840000001</v>
      </c>
      <c r="G454">
        <v>47.201999999999998</v>
      </c>
      <c r="H454">
        <v>0.40200000000000002</v>
      </c>
      <c r="I454">
        <v>3</v>
      </c>
      <c r="J454">
        <v>1446</v>
      </c>
      <c r="K454">
        <v>0.36760929199999998</v>
      </c>
      <c r="L454">
        <v>0.57699999999999996</v>
      </c>
      <c r="M454">
        <v>3</v>
      </c>
      <c r="N454">
        <v>0.53300000000000003</v>
      </c>
      <c r="O454">
        <v>3</v>
      </c>
      <c r="P454">
        <v>3</v>
      </c>
      <c r="S454" s="166" t="s">
        <v>944</v>
      </c>
    </row>
    <row r="455" spans="1:19" x14ac:dyDescent="0.25">
      <c r="A455" t="s">
        <v>1928</v>
      </c>
      <c r="B455">
        <v>9005303100</v>
      </c>
      <c r="C455" t="s">
        <v>1929</v>
      </c>
      <c r="D455">
        <v>87308</v>
      </c>
      <c r="E455">
        <v>2.58</v>
      </c>
      <c r="F455">
        <v>54355.586580000003</v>
      </c>
      <c r="G455">
        <v>54.356000000000002</v>
      </c>
      <c r="H455">
        <v>0.54600000000000004</v>
      </c>
      <c r="I455">
        <v>3</v>
      </c>
      <c r="J455">
        <v>1569</v>
      </c>
      <c r="K455">
        <v>0.34638573900000003</v>
      </c>
      <c r="L455">
        <v>0.45900000000000002</v>
      </c>
      <c r="M455">
        <v>3</v>
      </c>
      <c r="N455">
        <v>0.41699999999999998</v>
      </c>
      <c r="O455">
        <v>3</v>
      </c>
      <c r="P455">
        <v>3</v>
      </c>
      <c r="S455" s="164" t="s">
        <v>944</v>
      </c>
    </row>
    <row r="456" spans="1:19" x14ac:dyDescent="0.25">
      <c r="A456" t="s">
        <v>1930</v>
      </c>
      <c r="B456">
        <v>9005306100</v>
      </c>
      <c r="C456" t="s">
        <v>1931</v>
      </c>
      <c r="D456">
        <v>106765</v>
      </c>
      <c r="E456">
        <v>2.59</v>
      </c>
      <c r="F456">
        <v>66340.54307</v>
      </c>
      <c r="G456">
        <v>66.340999999999994</v>
      </c>
      <c r="H456">
        <v>0.75600000000000001</v>
      </c>
      <c r="I456">
        <v>4</v>
      </c>
      <c r="J456">
        <v>1649</v>
      </c>
      <c r="K456">
        <v>0.298279138</v>
      </c>
      <c r="L456">
        <v>0.158</v>
      </c>
      <c r="M456">
        <v>1</v>
      </c>
      <c r="N456">
        <v>0.35</v>
      </c>
      <c r="O456">
        <v>2</v>
      </c>
      <c r="P456">
        <v>2</v>
      </c>
      <c r="S456" s="166" t="s">
        <v>944</v>
      </c>
    </row>
    <row r="457" spans="1:19" x14ac:dyDescent="0.25">
      <c r="A457" t="s">
        <v>1932</v>
      </c>
      <c r="B457">
        <v>9005310100</v>
      </c>
      <c r="C457" t="s">
        <v>1933</v>
      </c>
      <c r="D457">
        <v>60694</v>
      </c>
      <c r="E457">
        <v>2.2200000000000002</v>
      </c>
      <c r="F457">
        <v>40735.145620000003</v>
      </c>
      <c r="G457">
        <v>40.734999999999999</v>
      </c>
      <c r="H457">
        <v>0.30199999999999999</v>
      </c>
      <c r="I457">
        <v>2</v>
      </c>
      <c r="J457">
        <v>1066</v>
      </c>
      <c r="K457">
        <v>0.314028582</v>
      </c>
      <c r="L457">
        <v>0.25</v>
      </c>
      <c r="M457">
        <v>2</v>
      </c>
      <c r="N457">
        <v>0.9</v>
      </c>
      <c r="O457">
        <v>5</v>
      </c>
      <c r="P457">
        <v>5</v>
      </c>
      <c r="S457" s="164" t="s">
        <v>944</v>
      </c>
    </row>
    <row r="458" spans="1:19" x14ac:dyDescent="0.25">
      <c r="A458" t="s">
        <v>1934</v>
      </c>
      <c r="B458">
        <v>9005310200</v>
      </c>
      <c r="C458" t="s">
        <v>1935</v>
      </c>
      <c r="D458">
        <v>40169</v>
      </c>
      <c r="E458">
        <v>2.2400000000000002</v>
      </c>
      <c r="F458">
        <v>26839.04207</v>
      </c>
      <c r="G458">
        <v>26.838999999999999</v>
      </c>
      <c r="H458">
        <v>0.13100000000000001</v>
      </c>
      <c r="I458">
        <v>1</v>
      </c>
      <c r="J458">
        <v>1058</v>
      </c>
      <c r="K458">
        <v>0.47304221800000001</v>
      </c>
      <c r="L458">
        <v>0.81499999999999995</v>
      </c>
      <c r="M458">
        <v>5</v>
      </c>
      <c r="N458">
        <v>0.90300000000000002</v>
      </c>
      <c r="O458">
        <v>5</v>
      </c>
      <c r="P458">
        <v>5</v>
      </c>
      <c r="S458" s="166" t="s">
        <v>936</v>
      </c>
    </row>
    <row r="459" spans="1:19" x14ac:dyDescent="0.25">
      <c r="A459" t="s">
        <v>1936</v>
      </c>
      <c r="B459">
        <v>9005310300</v>
      </c>
      <c r="C459" t="s">
        <v>1937</v>
      </c>
      <c r="D459">
        <v>42188</v>
      </c>
      <c r="E459">
        <v>2.14</v>
      </c>
      <c r="F459">
        <v>28839.123090000001</v>
      </c>
      <c r="G459">
        <v>28.838999999999999</v>
      </c>
      <c r="H459">
        <v>0.15</v>
      </c>
      <c r="I459">
        <v>1</v>
      </c>
      <c r="J459">
        <v>882</v>
      </c>
      <c r="K459">
        <v>0.36700145000000001</v>
      </c>
      <c r="L459">
        <v>0.57399999999999995</v>
      </c>
      <c r="M459">
        <v>3</v>
      </c>
      <c r="N459">
        <v>0.97699999999999998</v>
      </c>
      <c r="O459">
        <v>5</v>
      </c>
      <c r="P459">
        <v>5</v>
      </c>
      <c r="S459" s="164" t="s">
        <v>936</v>
      </c>
    </row>
    <row r="460" spans="1:19" x14ac:dyDescent="0.25">
      <c r="A460" t="s">
        <v>1938</v>
      </c>
      <c r="B460">
        <v>9005310400</v>
      </c>
      <c r="C460" t="s">
        <v>1939</v>
      </c>
      <c r="D460">
        <v>71159</v>
      </c>
      <c r="E460">
        <v>2.25</v>
      </c>
      <c r="F460">
        <v>47439.333330000001</v>
      </c>
      <c r="G460">
        <v>47.439</v>
      </c>
      <c r="H460">
        <v>0.40899999999999997</v>
      </c>
      <c r="I460">
        <v>3</v>
      </c>
      <c r="J460">
        <v>1151</v>
      </c>
      <c r="K460">
        <v>0.29115080300000001</v>
      </c>
      <c r="L460">
        <v>0.121</v>
      </c>
      <c r="M460">
        <v>1</v>
      </c>
      <c r="N460">
        <v>0.82</v>
      </c>
      <c r="O460">
        <v>5</v>
      </c>
      <c r="P460">
        <v>4</v>
      </c>
      <c r="S460" s="166" t="s">
        <v>944</v>
      </c>
    </row>
    <row r="461" spans="1:19" x14ac:dyDescent="0.25">
      <c r="A461" t="s">
        <v>1940</v>
      </c>
      <c r="B461">
        <v>9005310500</v>
      </c>
      <c r="C461" t="s">
        <v>1941</v>
      </c>
      <c r="D461">
        <v>53333</v>
      </c>
      <c r="E461">
        <v>2.2400000000000002</v>
      </c>
      <c r="F461">
        <v>35634.609539999998</v>
      </c>
      <c r="G461">
        <v>35.634999999999998</v>
      </c>
      <c r="H461">
        <v>0.24099999999999999</v>
      </c>
      <c r="I461">
        <v>2</v>
      </c>
      <c r="J461">
        <v>1127</v>
      </c>
      <c r="K461">
        <v>0.37951868100000002</v>
      </c>
      <c r="L461">
        <v>0.63100000000000001</v>
      </c>
      <c r="M461">
        <v>4</v>
      </c>
      <c r="N461">
        <v>0.84399999999999997</v>
      </c>
      <c r="O461">
        <v>5</v>
      </c>
      <c r="P461">
        <v>5</v>
      </c>
      <c r="S461" s="164" t="s">
        <v>944</v>
      </c>
    </row>
    <row r="462" spans="1:19" x14ac:dyDescent="0.25">
      <c r="A462" t="s">
        <v>1942</v>
      </c>
      <c r="B462">
        <v>9005310601</v>
      </c>
      <c r="C462" t="s">
        <v>1943</v>
      </c>
      <c r="D462">
        <v>87039</v>
      </c>
      <c r="E462">
        <v>2.72</v>
      </c>
      <c r="F462">
        <v>52775.145669999998</v>
      </c>
      <c r="G462">
        <v>52.774999999999999</v>
      </c>
      <c r="H462">
        <v>0.51800000000000002</v>
      </c>
      <c r="I462">
        <v>3</v>
      </c>
      <c r="J462">
        <v>1574</v>
      </c>
      <c r="K462">
        <v>0.35789574400000002</v>
      </c>
      <c r="L462">
        <v>0.52400000000000002</v>
      </c>
      <c r="M462">
        <v>3</v>
      </c>
      <c r="N462">
        <v>0.41</v>
      </c>
      <c r="O462">
        <v>3</v>
      </c>
      <c r="P462">
        <v>3</v>
      </c>
      <c r="S462" s="166" t="s">
        <v>944</v>
      </c>
    </row>
    <row r="463" spans="1:19" x14ac:dyDescent="0.25">
      <c r="A463" t="s">
        <v>1944</v>
      </c>
      <c r="B463">
        <v>9005310602</v>
      </c>
      <c r="C463" t="s">
        <v>1945</v>
      </c>
      <c r="D463">
        <v>80000</v>
      </c>
      <c r="E463">
        <v>2.27</v>
      </c>
      <c r="F463">
        <v>53097.864930000003</v>
      </c>
      <c r="G463">
        <v>53.097999999999999</v>
      </c>
      <c r="H463">
        <v>0.52300000000000002</v>
      </c>
      <c r="I463">
        <v>3</v>
      </c>
      <c r="J463">
        <v>1181</v>
      </c>
      <c r="K463">
        <v>0.26690338699999999</v>
      </c>
      <c r="L463">
        <v>5.7000000000000002E-2</v>
      </c>
      <c r="M463">
        <v>1</v>
      </c>
      <c r="N463">
        <v>0.79700000000000004</v>
      </c>
      <c r="O463">
        <v>4</v>
      </c>
      <c r="P463">
        <v>4</v>
      </c>
      <c r="S463" s="164" t="s">
        <v>944</v>
      </c>
    </row>
    <row r="464" spans="1:19" x14ac:dyDescent="0.25">
      <c r="A464" t="s">
        <v>1946</v>
      </c>
      <c r="B464">
        <v>9005310700</v>
      </c>
      <c r="C464" t="s">
        <v>1947</v>
      </c>
      <c r="D464">
        <v>64341</v>
      </c>
      <c r="E464">
        <v>1.99</v>
      </c>
      <c r="F464">
        <v>45610.125610000003</v>
      </c>
      <c r="G464">
        <v>45.61</v>
      </c>
      <c r="H464">
        <v>0.376</v>
      </c>
      <c r="I464">
        <v>2</v>
      </c>
      <c r="J464">
        <v>1169</v>
      </c>
      <c r="K464">
        <v>0.30756328399999999</v>
      </c>
      <c r="L464">
        <v>0.214</v>
      </c>
      <c r="M464">
        <v>2</v>
      </c>
      <c r="N464">
        <v>0.80500000000000005</v>
      </c>
      <c r="O464">
        <v>5</v>
      </c>
      <c r="P464">
        <v>5</v>
      </c>
      <c r="S464" s="166" t="s">
        <v>944</v>
      </c>
    </row>
    <row r="465" spans="1:19" x14ac:dyDescent="0.25">
      <c r="A465" t="s">
        <v>1948</v>
      </c>
      <c r="B465">
        <v>9005310801</v>
      </c>
      <c r="C465" t="s">
        <v>1949</v>
      </c>
      <c r="D465">
        <v>57917</v>
      </c>
      <c r="E465">
        <v>2.56</v>
      </c>
      <c r="F465">
        <v>36198.125</v>
      </c>
      <c r="G465">
        <v>36.198</v>
      </c>
      <c r="H465">
        <v>0.252</v>
      </c>
      <c r="I465">
        <v>2</v>
      </c>
      <c r="J465">
        <v>1032</v>
      </c>
      <c r="K465">
        <v>0.34211716800000003</v>
      </c>
      <c r="L465">
        <v>0.434</v>
      </c>
      <c r="M465">
        <v>3</v>
      </c>
      <c r="N465">
        <v>0.92100000000000004</v>
      </c>
      <c r="O465">
        <v>5</v>
      </c>
      <c r="P465">
        <v>5</v>
      </c>
      <c r="S465" s="164" t="s">
        <v>944</v>
      </c>
    </row>
    <row r="466" spans="1:19" x14ac:dyDescent="0.25">
      <c r="A466" t="s">
        <v>1950</v>
      </c>
      <c r="B466">
        <v>9005310803</v>
      </c>
      <c r="C466" t="s">
        <v>1951</v>
      </c>
      <c r="D466">
        <v>48981</v>
      </c>
      <c r="E466">
        <v>2.52</v>
      </c>
      <c r="F466">
        <v>30855.12975</v>
      </c>
      <c r="G466">
        <v>30.855</v>
      </c>
      <c r="H466">
        <v>0.183</v>
      </c>
      <c r="I466">
        <v>1</v>
      </c>
      <c r="J466">
        <v>1052</v>
      </c>
      <c r="K466">
        <v>0.40913780300000002</v>
      </c>
      <c r="L466">
        <v>0.70099999999999996</v>
      </c>
      <c r="M466">
        <v>4</v>
      </c>
      <c r="N466">
        <v>0.90700000000000003</v>
      </c>
      <c r="O466">
        <v>5</v>
      </c>
      <c r="P466">
        <v>5</v>
      </c>
      <c r="S466" s="166" t="s">
        <v>944</v>
      </c>
    </row>
    <row r="467" spans="1:19" x14ac:dyDescent="0.25">
      <c r="A467" t="s">
        <v>1952</v>
      </c>
      <c r="B467">
        <v>9005310804</v>
      </c>
      <c r="C467" t="s">
        <v>1953</v>
      </c>
      <c r="D467">
        <v>73594</v>
      </c>
      <c r="E467">
        <v>2.58</v>
      </c>
      <c r="F467">
        <v>45817.62311</v>
      </c>
      <c r="G467">
        <v>45.817999999999998</v>
      </c>
      <c r="H467">
        <v>0.379</v>
      </c>
      <c r="I467">
        <v>2</v>
      </c>
      <c r="J467">
        <v>1118</v>
      </c>
      <c r="K467">
        <v>0.292813094</v>
      </c>
      <c r="L467">
        <v>0.13500000000000001</v>
      </c>
      <c r="M467">
        <v>1</v>
      </c>
      <c r="N467">
        <v>0.85699999999999998</v>
      </c>
      <c r="O467">
        <v>5</v>
      </c>
      <c r="P467">
        <v>5</v>
      </c>
      <c r="S467" s="164" t="s">
        <v>944</v>
      </c>
    </row>
    <row r="468" spans="1:19" x14ac:dyDescent="0.25">
      <c r="A468" t="s">
        <v>1954</v>
      </c>
      <c r="B468">
        <v>9005320100</v>
      </c>
      <c r="C468" t="s">
        <v>1955</v>
      </c>
      <c r="D468">
        <v>60160</v>
      </c>
      <c r="E468">
        <v>2.34</v>
      </c>
      <c r="F468">
        <v>39327.8223</v>
      </c>
      <c r="G468">
        <v>39.328000000000003</v>
      </c>
      <c r="H468">
        <v>0.28499999999999998</v>
      </c>
      <c r="I468">
        <v>2</v>
      </c>
      <c r="J468">
        <v>1013</v>
      </c>
      <c r="K468">
        <v>0.30909415499999998</v>
      </c>
      <c r="L468">
        <v>0.222</v>
      </c>
      <c r="M468">
        <v>2</v>
      </c>
      <c r="N468">
        <v>0.93400000000000005</v>
      </c>
      <c r="O468">
        <v>5</v>
      </c>
      <c r="P468">
        <v>5</v>
      </c>
      <c r="S468" s="166" t="s">
        <v>944</v>
      </c>
    </row>
    <row r="469" spans="1:19" x14ac:dyDescent="0.25">
      <c r="A469" t="s">
        <v>1956</v>
      </c>
      <c r="B469">
        <v>9005320200</v>
      </c>
      <c r="C469" t="s">
        <v>1957</v>
      </c>
      <c r="D469">
        <v>74044</v>
      </c>
      <c r="E469">
        <v>2.35</v>
      </c>
      <c r="F469">
        <v>48300.97984</v>
      </c>
      <c r="G469">
        <v>48.301000000000002</v>
      </c>
      <c r="H469">
        <v>0.437</v>
      </c>
      <c r="I469">
        <v>3</v>
      </c>
      <c r="J469">
        <v>1302</v>
      </c>
      <c r="K469">
        <v>0.323471699</v>
      </c>
      <c r="L469">
        <v>0.32200000000000001</v>
      </c>
      <c r="M469">
        <v>2</v>
      </c>
      <c r="N469">
        <v>0.65600000000000003</v>
      </c>
      <c r="O469">
        <v>4</v>
      </c>
      <c r="P469">
        <v>4</v>
      </c>
      <c r="S469" s="164" t="s">
        <v>944</v>
      </c>
    </row>
    <row r="470" spans="1:19" x14ac:dyDescent="0.25">
      <c r="A470" t="s">
        <v>1958</v>
      </c>
      <c r="B470">
        <v>9005342100</v>
      </c>
      <c r="C470" t="s">
        <v>1959</v>
      </c>
      <c r="D470">
        <v>98409</v>
      </c>
      <c r="E470">
        <v>2.8</v>
      </c>
      <c r="F470">
        <v>58810.626109999997</v>
      </c>
      <c r="G470">
        <v>58.811</v>
      </c>
      <c r="H470">
        <v>0.63100000000000001</v>
      </c>
      <c r="I470">
        <v>4</v>
      </c>
      <c r="J470">
        <v>1623</v>
      </c>
      <c r="K470">
        <v>0.33116464299999998</v>
      </c>
      <c r="L470">
        <v>0.36799999999999999</v>
      </c>
      <c r="M470">
        <v>2</v>
      </c>
      <c r="N470">
        <v>0.36699999999999999</v>
      </c>
      <c r="O470">
        <v>2</v>
      </c>
      <c r="P470">
        <v>2</v>
      </c>
      <c r="S470" s="166" t="s">
        <v>944</v>
      </c>
    </row>
    <row r="471" spans="1:19" x14ac:dyDescent="0.25">
      <c r="A471" t="s">
        <v>1960</v>
      </c>
      <c r="B471">
        <v>9005349100</v>
      </c>
      <c r="C471" t="s">
        <v>1961</v>
      </c>
      <c r="D471">
        <v>82688</v>
      </c>
      <c r="E471">
        <v>2.5299999999999998</v>
      </c>
      <c r="F471">
        <v>51985.500200000002</v>
      </c>
      <c r="G471">
        <v>51.985999999999997</v>
      </c>
      <c r="H471">
        <v>0.499</v>
      </c>
      <c r="I471">
        <v>3</v>
      </c>
      <c r="J471">
        <v>1536</v>
      </c>
      <c r="K471">
        <v>0.35456040500000002</v>
      </c>
      <c r="L471">
        <v>0.504</v>
      </c>
      <c r="M471">
        <v>3</v>
      </c>
      <c r="N471">
        <v>0.437</v>
      </c>
      <c r="O471">
        <v>3</v>
      </c>
      <c r="P471">
        <v>3</v>
      </c>
      <c r="S471" s="164" t="s">
        <v>944</v>
      </c>
    </row>
    <row r="472" spans="1:19" x14ac:dyDescent="0.25">
      <c r="A472" t="s">
        <v>1962</v>
      </c>
      <c r="B472">
        <v>9005349200</v>
      </c>
      <c r="C472" t="s">
        <v>1963</v>
      </c>
      <c r="D472">
        <v>64550</v>
      </c>
      <c r="E472">
        <v>2.19</v>
      </c>
      <c r="F472">
        <v>43618.847779999996</v>
      </c>
      <c r="G472">
        <v>43.619</v>
      </c>
      <c r="H472">
        <v>0.34599999999999997</v>
      </c>
      <c r="I472">
        <v>2</v>
      </c>
      <c r="J472">
        <v>1181</v>
      </c>
      <c r="K472">
        <v>0.32490541899999997</v>
      </c>
      <c r="L472">
        <v>0.32900000000000001</v>
      </c>
      <c r="M472">
        <v>2</v>
      </c>
      <c r="N472">
        <v>0.79700000000000004</v>
      </c>
      <c r="O472">
        <v>4</v>
      </c>
      <c r="P472">
        <v>4</v>
      </c>
      <c r="S472" s="166" t="s">
        <v>944</v>
      </c>
    </row>
    <row r="473" spans="1:19" x14ac:dyDescent="0.25">
      <c r="A473" t="s">
        <v>1964</v>
      </c>
      <c r="B473">
        <v>9005360100</v>
      </c>
      <c r="C473" t="s">
        <v>1965</v>
      </c>
      <c r="D473">
        <v>69118</v>
      </c>
      <c r="E473">
        <v>2.3199999999999998</v>
      </c>
      <c r="F473">
        <v>45378.190130000003</v>
      </c>
      <c r="G473">
        <v>45.378</v>
      </c>
      <c r="H473">
        <v>0.371</v>
      </c>
      <c r="I473">
        <v>2</v>
      </c>
      <c r="J473">
        <v>1310</v>
      </c>
      <c r="K473">
        <v>0.34642192500000002</v>
      </c>
      <c r="L473">
        <v>0.46100000000000002</v>
      </c>
      <c r="M473">
        <v>3</v>
      </c>
      <c r="N473">
        <v>0.64600000000000002</v>
      </c>
      <c r="O473">
        <v>4</v>
      </c>
      <c r="P473">
        <v>4</v>
      </c>
      <c r="S473" s="164" t="s">
        <v>944</v>
      </c>
    </row>
    <row r="474" spans="1:19" x14ac:dyDescent="0.25">
      <c r="A474" t="s">
        <v>1966</v>
      </c>
      <c r="B474">
        <v>9005360200</v>
      </c>
      <c r="C474" t="s">
        <v>1967</v>
      </c>
      <c r="D474">
        <v>105701</v>
      </c>
      <c r="E474">
        <v>2.86</v>
      </c>
      <c r="F474">
        <v>62502.311569999998</v>
      </c>
      <c r="G474">
        <v>62.502000000000002</v>
      </c>
      <c r="H474">
        <v>0.69899999999999995</v>
      </c>
      <c r="I474">
        <v>4</v>
      </c>
      <c r="J474">
        <v>1769</v>
      </c>
      <c r="K474">
        <v>0.33963543899999998</v>
      </c>
      <c r="L474">
        <v>0.41699999999999998</v>
      </c>
      <c r="M474">
        <v>3</v>
      </c>
      <c r="N474">
        <v>0.26800000000000002</v>
      </c>
      <c r="O474">
        <v>2</v>
      </c>
      <c r="P474">
        <v>2</v>
      </c>
      <c r="S474" s="166" t="s">
        <v>944</v>
      </c>
    </row>
    <row r="475" spans="1:19" x14ac:dyDescent="0.25">
      <c r="A475" t="s">
        <v>1968</v>
      </c>
      <c r="B475">
        <v>9005360300</v>
      </c>
      <c r="C475" t="s">
        <v>1969</v>
      </c>
      <c r="D475">
        <v>74634</v>
      </c>
      <c r="E475">
        <v>2.42</v>
      </c>
      <c r="F475">
        <v>47976.552280000004</v>
      </c>
      <c r="G475">
        <v>47.976999999999997</v>
      </c>
      <c r="H475">
        <v>0.42799999999999999</v>
      </c>
      <c r="I475">
        <v>3</v>
      </c>
      <c r="J475">
        <v>1184</v>
      </c>
      <c r="K475">
        <v>0.29614466499999997</v>
      </c>
      <c r="L475">
        <v>0.14799999999999999</v>
      </c>
      <c r="M475">
        <v>1</v>
      </c>
      <c r="N475">
        <v>0.78900000000000003</v>
      </c>
      <c r="O475">
        <v>4</v>
      </c>
      <c r="P475">
        <v>4</v>
      </c>
      <c r="S475" s="164" t="s">
        <v>944</v>
      </c>
    </row>
    <row r="476" spans="1:19" x14ac:dyDescent="0.25">
      <c r="A476" t="s">
        <v>1970</v>
      </c>
      <c r="B476">
        <v>9005360400</v>
      </c>
      <c r="C476" t="s">
        <v>1971</v>
      </c>
      <c r="D476">
        <v>63667</v>
      </c>
      <c r="E476">
        <v>2.36</v>
      </c>
      <c r="F476">
        <v>41443.686979999999</v>
      </c>
      <c r="G476">
        <v>41.444000000000003</v>
      </c>
      <c r="H476">
        <v>0.307</v>
      </c>
      <c r="I476">
        <v>2</v>
      </c>
      <c r="J476">
        <v>1214</v>
      </c>
      <c r="K476">
        <v>0.35151312699999998</v>
      </c>
      <c r="L476">
        <v>0.48699999999999999</v>
      </c>
      <c r="M476">
        <v>3</v>
      </c>
      <c r="N476">
        <v>0.749</v>
      </c>
      <c r="O476">
        <v>4</v>
      </c>
      <c r="P476">
        <v>4</v>
      </c>
      <c r="S476" s="166" t="s">
        <v>944</v>
      </c>
    </row>
    <row r="477" spans="1:19" x14ac:dyDescent="0.25">
      <c r="A477" t="s">
        <v>1972</v>
      </c>
      <c r="B477">
        <v>9005362101</v>
      </c>
      <c r="C477" t="s">
        <v>1973</v>
      </c>
      <c r="D477">
        <v>74519</v>
      </c>
      <c r="E477">
        <v>2.11</v>
      </c>
      <c r="F477">
        <v>51300.995260000003</v>
      </c>
      <c r="G477">
        <v>51.301000000000002</v>
      </c>
      <c r="H477">
        <v>0.48799999999999999</v>
      </c>
      <c r="I477">
        <v>3</v>
      </c>
      <c r="J477">
        <v>1553</v>
      </c>
      <c r="K477">
        <v>0.36326780600000003</v>
      </c>
      <c r="L477">
        <v>0.55700000000000005</v>
      </c>
      <c r="M477">
        <v>3</v>
      </c>
      <c r="N477">
        <v>0.42099999999999999</v>
      </c>
      <c r="O477">
        <v>3</v>
      </c>
      <c r="P477">
        <v>3</v>
      </c>
      <c r="S477" s="164" t="s">
        <v>944</v>
      </c>
    </row>
    <row r="478" spans="1:19" x14ac:dyDescent="0.25">
      <c r="A478" t="s">
        <v>1974</v>
      </c>
      <c r="B478">
        <v>9005362102</v>
      </c>
      <c r="C478" t="s">
        <v>1975</v>
      </c>
      <c r="D478">
        <v>91383</v>
      </c>
      <c r="E478">
        <v>2.4900000000000002</v>
      </c>
      <c r="F478">
        <v>57911.623189999998</v>
      </c>
      <c r="G478">
        <v>57.911999999999999</v>
      </c>
      <c r="H478">
        <v>0.61399999999999999</v>
      </c>
      <c r="I478">
        <v>4</v>
      </c>
      <c r="J478">
        <v>1648</v>
      </c>
      <c r="K478">
        <v>0.34148585199999998</v>
      </c>
      <c r="L478">
        <v>0.42799999999999999</v>
      </c>
      <c r="M478">
        <v>3</v>
      </c>
      <c r="N478">
        <v>0.35199999999999998</v>
      </c>
      <c r="O478">
        <v>2</v>
      </c>
      <c r="P478">
        <v>2</v>
      </c>
      <c r="S478" s="166" t="s">
        <v>944</v>
      </c>
    </row>
    <row r="479" spans="1:19" x14ac:dyDescent="0.25">
      <c r="A479" t="s">
        <v>1976</v>
      </c>
      <c r="B479">
        <v>9005425300</v>
      </c>
      <c r="C479" t="s">
        <v>1977</v>
      </c>
      <c r="D479">
        <v>95240</v>
      </c>
      <c r="E479">
        <v>2.4</v>
      </c>
      <c r="F479">
        <v>61477.155650000001</v>
      </c>
      <c r="G479">
        <v>61.476999999999997</v>
      </c>
      <c r="H479">
        <v>0.68100000000000005</v>
      </c>
      <c r="I479">
        <v>4</v>
      </c>
      <c r="J479">
        <v>1358</v>
      </c>
      <c r="K479">
        <v>0.26507407199999999</v>
      </c>
      <c r="L479">
        <v>4.7E-2</v>
      </c>
      <c r="M479">
        <v>1</v>
      </c>
      <c r="N479">
        <v>0.60099999999999998</v>
      </c>
      <c r="O479">
        <v>4</v>
      </c>
      <c r="P479">
        <v>3</v>
      </c>
      <c r="S479" s="164" t="s">
        <v>944</v>
      </c>
    </row>
    <row r="480" spans="1:19" x14ac:dyDescent="0.25">
      <c r="A480" t="s">
        <v>1978</v>
      </c>
      <c r="B480">
        <v>9005425400</v>
      </c>
      <c r="C480" t="s">
        <v>1979</v>
      </c>
      <c r="D480">
        <v>84167</v>
      </c>
      <c r="E480">
        <v>2.63</v>
      </c>
      <c r="F480">
        <v>51899.595549999998</v>
      </c>
      <c r="G480">
        <v>51.9</v>
      </c>
      <c r="H480">
        <v>0.496</v>
      </c>
      <c r="I480">
        <v>3</v>
      </c>
      <c r="J480">
        <v>1524</v>
      </c>
      <c r="K480">
        <v>0.35237268799999999</v>
      </c>
      <c r="L480">
        <v>0.49299999999999999</v>
      </c>
      <c r="M480">
        <v>3</v>
      </c>
      <c r="N480">
        <v>0.44800000000000001</v>
      </c>
      <c r="O480">
        <v>3</v>
      </c>
      <c r="P480">
        <v>3</v>
      </c>
      <c r="S480" s="166" t="s">
        <v>944</v>
      </c>
    </row>
    <row r="481" spans="1:19" x14ac:dyDescent="0.25">
      <c r="A481" t="s">
        <v>1980</v>
      </c>
      <c r="B481">
        <v>9005425500</v>
      </c>
      <c r="C481" t="s">
        <v>1981</v>
      </c>
      <c r="D481">
        <v>68365</v>
      </c>
      <c r="E481">
        <v>2.1</v>
      </c>
      <c r="F481">
        <v>47176.331960000003</v>
      </c>
      <c r="G481">
        <v>47.176000000000002</v>
      </c>
      <c r="H481">
        <v>0.4</v>
      </c>
      <c r="I481">
        <v>2</v>
      </c>
      <c r="J481">
        <v>1113</v>
      </c>
      <c r="K481">
        <v>0.28310806399999999</v>
      </c>
      <c r="L481">
        <v>8.7999999999999995E-2</v>
      </c>
      <c r="M481">
        <v>1</v>
      </c>
      <c r="N481">
        <v>0.86199999999999999</v>
      </c>
      <c r="O481">
        <v>5</v>
      </c>
      <c r="P481">
        <v>4</v>
      </c>
      <c r="S481" s="164" t="s">
        <v>944</v>
      </c>
    </row>
    <row r="482" spans="1:19" x14ac:dyDescent="0.25">
      <c r="A482" t="s">
        <v>1982</v>
      </c>
      <c r="B482">
        <v>9005425600</v>
      </c>
      <c r="C482" t="s">
        <v>1983</v>
      </c>
      <c r="D482">
        <v>77083</v>
      </c>
      <c r="E482">
        <v>2.29</v>
      </c>
      <c r="F482">
        <v>50937.88018</v>
      </c>
      <c r="G482">
        <v>50.938000000000002</v>
      </c>
      <c r="H482">
        <v>0.48099999999999998</v>
      </c>
      <c r="I482">
        <v>3</v>
      </c>
      <c r="J482">
        <v>1328</v>
      </c>
      <c r="K482">
        <v>0.31285165300000001</v>
      </c>
      <c r="L482">
        <v>0.24199999999999999</v>
      </c>
      <c r="M482">
        <v>2</v>
      </c>
      <c r="N482">
        <v>0.627</v>
      </c>
      <c r="O482">
        <v>4</v>
      </c>
      <c r="P482">
        <v>4</v>
      </c>
      <c r="S482" s="166" t="s">
        <v>944</v>
      </c>
    </row>
    <row r="483" spans="1:19" x14ac:dyDescent="0.25">
      <c r="A483" t="s">
        <v>1984</v>
      </c>
      <c r="B483">
        <v>9007541100</v>
      </c>
      <c r="C483" t="s">
        <v>1985</v>
      </c>
      <c r="D483">
        <v>35234</v>
      </c>
      <c r="E483">
        <v>2.1800000000000002</v>
      </c>
      <c r="F483">
        <v>23863.47595</v>
      </c>
      <c r="G483">
        <v>23.863</v>
      </c>
      <c r="H483">
        <v>0.10299999999999999</v>
      </c>
      <c r="I483">
        <v>1</v>
      </c>
      <c r="J483">
        <v>1033</v>
      </c>
      <c r="K483">
        <v>0.51945492000000004</v>
      </c>
      <c r="L483">
        <v>0.86599999999999999</v>
      </c>
      <c r="M483">
        <v>5</v>
      </c>
      <c r="N483">
        <v>0.91900000000000004</v>
      </c>
      <c r="O483">
        <v>5</v>
      </c>
      <c r="P483">
        <v>5</v>
      </c>
      <c r="S483" s="164" t="s">
        <v>936</v>
      </c>
    </row>
    <row r="484" spans="1:19" x14ac:dyDescent="0.25">
      <c r="A484" t="s">
        <v>1986</v>
      </c>
      <c r="B484">
        <v>9007541200</v>
      </c>
      <c r="C484" t="s">
        <v>1987</v>
      </c>
      <c r="D484">
        <v>71825</v>
      </c>
      <c r="E484">
        <v>2.29</v>
      </c>
      <c r="F484">
        <v>47463.295980000003</v>
      </c>
      <c r="G484">
        <v>47.463000000000001</v>
      </c>
      <c r="H484">
        <v>0.41</v>
      </c>
      <c r="I484">
        <v>3</v>
      </c>
      <c r="J484">
        <v>1273</v>
      </c>
      <c r="K484">
        <v>0.32184869799999999</v>
      </c>
      <c r="L484">
        <v>0.313</v>
      </c>
      <c r="M484">
        <v>2</v>
      </c>
      <c r="N484">
        <v>0.68200000000000005</v>
      </c>
      <c r="O484">
        <v>4</v>
      </c>
      <c r="P484">
        <v>4</v>
      </c>
      <c r="S484" s="166" t="s">
        <v>944</v>
      </c>
    </row>
    <row r="485" spans="1:19" x14ac:dyDescent="0.25">
      <c r="A485" t="s">
        <v>1988</v>
      </c>
      <c r="B485">
        <v>9007541300</v>
      </c>
      <c r="C485" t="s">
        <v>1989</v>
      </c>
      <c r="D485">
        <v>65781</v>
      </c>
      <c r="E485">
        <v>1.82</v>
      </c>
      <c r="F485">
        <v>48760.121299999999</v>
      </c>
      <c r="G485">
        <v>48.76</v>
      </c>
      <c r="H485">
        <v>0.44500000000000001</v>
      </c>
      <c r="I485">
        <v>3</v>
      </c>
      <c r="J485">
        <v>1454</v>
      </c>
      <c r="K485">
        <v>0.35783340000000002</v>
      </c>
      <c r="L485">
        <v>0.52300000000000002</v>
      </c>
      <c r="M485">
        <v>3</v>
      </c>
      <c r="N485">
        <v>0.52400000000000002</v>
      </c>
      <c r="O485">
        <v>3</v>
      </c>
      <c r="P485">
        <v>3</v>
      </c>
      <c r="S485" s="164" t="s">
        <v>944</v>
      </c>
    </row>
    <row r="486" spans="1:19" x14ac:dyDescent="0.25">
      <c r="A486" t="s">
        <v>1990</v>
      </c>
      <c r="B486">
        <v>9007541401</v>
      </c>
      <c r="C486" t="s">
        <v>1991</v>
      </c>
      <c r="D486">
        <v>120893</v>
      </c>
      <c r="E486">
        <v>2.86</v>
      </c>
      <c r="F486">
        <v>71485.529490000001</v>
      </c>
      <c r="G486">
        <v>71.486000000000004</v>
      </c>
      <c r="H486">
        <v>0.82199999999999995</v>
      </c>
      <c r="I486">
        <v>5</v>
      </c>
      <c r="J486">
        <v>2028</v>
      </c>
      <c r="K486">
        <v>0.34043253499999998</v>
      </c>
      <c r="L486">
        <v>0.41799999999999998</v>
      </c>
      <c r="M486">
        <v>3</v>
      </c>
      <c r="N486">
        <v>0.159</v>
      </c>
      <c r="O486">
        <v>1</v>
      </c>
      <c r="P486">
        <v>1</v>
      </c>
      <c r="S486" s="166" t="s">
        <v>944</v>
      </c>
    </row>
    <row r="487" spans="1:19" x14ac:dyDescent="0.25">
      <c r="A487" t="s">
        <v>1992</v>
      </c>
      <c r="B487">
        <v>9007541402</v>
      </c>
      <c r="C487" t="s">
        <v>1993</v>
      </c>
      <c r="D487">
        <v>79611</v>
      </c>
      <c r="E487">
        <v>2.21</v>
      </c>
      <c r="F487">
        <v>53552.1538</v>
      </c>
      <c r="G487">
        <v>53.552</v>
      </c>
      <c r="H487">
        <v>0.53</v>
      </c>
      <c r="I487">
        <v>3</v>
      </c>
      <c r="J487">
        <v>1216</v>
      </c>
      <c r="K487">
        <v>0.27248203799999998</v>
      </c>
      <c r="L487">
        <v>6.8000000000000005E-2</v>
      </c>
      <c r="M487">
        <v>1</v>
      </c>
      <c r="N487">
        <v>0.745</v>
      </c>
      <c r="O487">
        <v>4</v>
      </c>
      <c r="P487">
        <v>4</v>
      </c>
      <c r="S487" s="164" t="s">
        <v>944</v>
      </c>
    </row>
    <row r="488" spans="1:19" x14ac:dyDescent="0.25">
      <c r="A488" t="s">
        <v>1994</v>
      </c>
      <c r="B488">
        <v>9007541500</v>
      </c>
      <c r="C488" t="s">
        <v>1995</v>
      </c>
      <c r="D488">
        <v>55565</v>
      </c>
      <c r="E488">
        <v>2.0299999999999998</v>
      </c>
      <c r="F488">
        <v>38998.98461</v>
      </c>
      <c r="G488">
        <v>38.999000000000002</v>
      </c>
      <c r="H488">
        <v>0.28000000000000003</v>
      </c>
      <c r="I488">
        <v>2</v>
      </c>
      <c r="J488">
        <v>1268</v>
      </c>
      <c r="K488">
        <v>0.39016400400000001</v>
      </c>
      <c r="L488">
        <v>0.66300000000000003</v>
      </c>
      <c r="M488">
        <v>4</v>
      </c>
      <c r="N488">
        <v>0.69499999999999995</v>
      </c>
      <c r="O488">
        <v>4</v>
      </c>
      <c r="P488">
        <v>4</v>
      </c>
      <c r="S488" s="166" t="s">
        <v>944</v>
      </c>
    </row>
    <row r="489" spans="1:19" x14ac:dyDescent="0.25">
      <c r="A489" t="s">
        <v>1996</v>
      </c>
      <c r="B489">
        <v>9007541600</v>
      </c>
      <c r="C489" t="s">
        <v>1997</v>
      </c>
      <c r="D489">
        <v>18304</v>
      </c>
      <c r="E489">
        <v>1.83</v>
      </c>
      <c r="F489">
        <v>13530.70614</v>
      </c>
      <c r="G489">
        <v>13.531000000000001</v>
      </c>
      <c r="H489">
        <v>8.9999999999999993E-3</v>
      </c>
      <c r="I489">
        <v>1</v>
      </c>
      <c r="J489">
        <v>783</v>
      </c>
      <c r="K489">
        <v>0.69442051999999999</v>
      </c>
      <c r="L489">
        <v>0.96199999999999997</v>
      </c>
      <c r="M489">
        <v>5</v>
      </c>
      <c r="N489">
        <v>0.99</v>
      </c>
      <c r="O489">
        <v>5</v>
      </c>
      <c r="P489">
        <v>5</v>
      </c>
      <c r="S489" s="164" t="s">
        <v>936</v>
      </c>
    </row>
    <row r="490" spans="1:19" x14ac:dyDescent="0.25">
      <c r="A490" t="s">
        <v>1998</v>
      </c>
      <c r="B490">
        <v>9007541700</v>
      </c>
      <c r="C490" t="s">
        <v>1999</v>
      </c>
      <c r="D490">
        <v>31618</v>
      </c>
      <c r="E490">
        <v>1.84</v>
      </c>
      <c r="F490">
        <v>23309.098849999998</v>
      </c>
      <c r="G490">
        <v>23.309000000000001</v>
      </c>
      <c r="H490">
        <v>9.5000000000000001E-2</v>
      </c>
      <c r="I490">
        <v>1</v>
      </c>
      <c r="J490">
        <v>927</v>
      </c>
      <c r="K490">
        <v>0.47723852700000002</v>
      </c>
      <c r="L490">
        <v>0.81899999999999995</v>
      </c>
      <c r="M490">
        <v>5</v>
      </c>
      <c r="N490">
        <v>0.96499999999999997</v>
      </c>
      <c r="O490">
        <v>5</v>
      </c>
      <c r="P490">
        <v>5</v>
      </c>
      <c r="S490" s="166" t="s">
        <v>936</v>
      </c>
    </row>
    <row r="491" spans="1:19" x14ac:dyDescent="0.25">
      <c r="A491" t="s">
        <v>2000</v>
      </c>
      <c r="B491">
        <v>9007542000</v>
      </c>
      <c r="C491" t="s">
        <v>2001</v>
      </c>
      <c r="D491">
        <v>70857</v>
      </c>
      <c r="E491">
        <v>2.2000000000000002</v>
      </c>
      <c r="F491">
        <v>47771.779649999997</v>
      </c>
      <c r="G491">
        <v>47.771999999999998</v>
      </c>
      <c r="H491">
        <v>0.42099999999999999</v>
      </c>
      <c r="I491">
        <v>3</v>
      </c>
      <c r="J491">
        <v>1195</v>
      </c>
      <c r="K491">
        <v>0.30017722000000002</v>
      </c>
      <c r="L491">
        <v>0.16900000000000001</v>
      </c>
      <c r="M491">
        <v>1</v>
      </c>
      <c r="N491">
        <v>0.77300000000000002</v>
      </c>
      <c r="O491">
        <v>4</v>
      </c>
      <c r="P491">
        <v>4</v>
      </c>
      <c r="S491" s="164" t="s">
        <v>944</v>
      </c>
    </row>
    <row r="492" spans="1:19" x14ac:dyDescent="0.25">
      <c r="A492" t="s">
        <v>2002</v>
      </c>
      <c r="B492">
        <v>9007542100</v>
      </c>
      <c r="C492" t="s">
        <v>2003</v>
      </c>
      <c r="D492">
        <v>63036</v>
      </c>
      <c r="E492">
        <v>2.2999999999999998</v>
      </c>
      <c r="F492">
        <v>41564.707520000004</v>
      </c>
      <c r="G492">
        <v>41.564999999999998</v>
      </c>
      <c r="H492">
        <v>0.312</v>
      </c>
      <c r="I492">
        <v>2</v>
      </c>
      <c r="J492">
        <v>1161</v>
      </c>
      <c r="K492">
        <v>0.33518821199999999</v>
      </c>
      <c r="L492">
        <v>0.39600000000000002</v>
      </c>
      <c r="M492">
        <v>2</v>
      </c>
      <c r="N492">
        <v>0.81599999999999995</v>
      </c>
      <c r="O492">
        <v>5</v>
      </c>
      <c r="P492">
        <v>5</v>
      </c>
      <c r="S492" s="166" t="s">
        <v>944</v>
      </c>
    </row>
    <row r="493" spans="1:19" x14ac:dyDescent="0.25">
      <c r="A493" t="s">
        <v>2004</v>
      </c>
      <c r="B493">
        <v>9007542200</v>
      </c>
      <c r="C493" t="s">
        <v>2005</v>
      </c>
      <c r="D493">
        <v>91375</v>
      </c>
      <c r="E493">
        <v>2.36</v>
      </c>
      <c r="F493">
        <v>59480.058700000001</v>
      </c>
      <c r="G493">
        <v>59.48</v>
      </c>
      <c r="H493">
        <v>0.64</v>
      </c>
      <c r="I493">
        <v>4</v>
      </c>
      <c r="J493">
        <v>1709</v>
      </c>
      <c r="K493">
        <v>0.34478782400000002</v>
      </c>
      <c r="L493">
        <v>0.45100000000000001</v>
      </c>
      <c r="M493">
        <v>3</v>
      </c>
      <c r="N493">
        <v>0.30599999999999999</v>
      </c>
      <c r="O493">
        <v>2</v>
      </c>
      <c r="P493">
        <v>2</v>
      </c>
      <c r="S493" s="164" t="s">
        <v>944</v>
      </c>
    </row>
    <row r="494" spans="1:19" x14ac:dyDescent="0.25">
      <c r="A494" t="s">
        <v>2006</v>
      </c>
      <c r="B494">
        <v>9007550100</v>
      </c>
      <c r="C494" t="s">
        <v>2007</v>
      </c>
      <c r="D494">
        <v>91836</v>
      </c>
      <c r="E494">
        <v>2.5</v>
      </c>
      <c r="F494">
        <v>58082.186240000003</v>
      </c>
      <c r="G494">
        <v>58.082000000000001</v>
      </c>
      <c r="H494">
        <v>0.61799999999999999</v>
      </c>
      <c r="I494">
        <v>4</v>
      </c>
      <c r="J494">
        <v>1586</v>
      </c>
      <c r="K494">
        <v>0.327673616</v>
      </c>
      <c r="L494">
        <v>0.34100000000000003</v>
      </c>
      <c r="M494">
        <v>2</v>
      </c>
      <c r="N494">
        <v>0.40100000000000002</v>
      </c>
      <c r="O494">
        <v>3</v>
      </c>
      <c r="P494">
        <v>3</v>
      </c>
      <c r="S494" s="166" t="s">
        <v>944</v>
      </c>
    </row>
    <row r="495" spans="1:19" x14ac:dyDescent="0.25">
      <c r="A495" t="s">
        <v>2008</v>
      </c>
      <c r="B495">
        <v>9007550201</v>
      </c>
      <c r="C495" t="s">
        <v>2009</v>
      </c>
      <c r="D495">
        <v>113466</v>
      </c>
      <c r="E495">
        <v>2.86</v>
      </c>
      <c r="F495">
        <v>67093.852320000005</v>
      </c>
      <c r="G495">
        <v>67.093999999999994</v>
      </c>
      <c r="H495">
        <v>0.76700000000000002</v>
      </c>
      <c r="I495">
        <v>4</v>
      </c>
      <c r="J495">
        <v>1955</v>
      </c>
      <c r="K495">
        <v>0.34965945700000001</v>
      </c>
      <c r="L495">
        <v>0.47399999999999998</v>
      </c>
      <c r="M495">
        <v>3</v>
      </c>
      <c r="N495">
        <v>0.183</v>
      </c>
      <c r="O495">
        <v>1</v>
      </c>
      <c r="P495">
        <v>2</v>
      </c>
      <c r="S495" s="164" t="s">
        <v>944</v>
      </c>
    </row>
    <row r="496" spans="1:19" x14ac:dyDescent="0.25">
      <c r="A496" t="s">
        <v>2010</v>
      </c>
      <c r="B496">
        <v>9007550202</v>
      </c>
      <c r="C496" t="s">
        <v>2011</v>
      </c>
      <c r="D496">
        <v>89141</v>
      </c>
      <c r="E496">
        <v>2.61</v>
      </c>
      <c r="F496">
        <v>55176.893799999998</v>
      </c>
      <c r="G496">
        <v>55.177</v>
      </c>
      <c r="H496">
        <v>0.56699999999999995</v>
      </c>
      <c r="I496">
        <v>3</v>
      </c>
      <c r="J496">
        <v>1506</v>
      </c>
      <c r="K496">
        <v>0.32752840500000002</v>
      </c>
      <c r="L496">
        <v>0.33900000000000002</v>
      </c>
      <c r="M496">
        <v>2</v>
      </c>
      <c r="N496">
        <v>0.46800000000000003</v>
      </c>
      <c r="O496">
        <v>3</v>
      </c>
      <c r="P496">
        <v>3</v>
      </c>
      <c r="S496" s="166" t="s">
        <v>944</v>
      </c>
    </row>
    <row r="497" spans="1:19" x14ac:dyDescent="0.25">
      <c r="A497" t="s">
        <v>2012</v>
      </c>
      <c r="B497">
        <v>9007560100</v>
      </c>
      <c r="C497" t="s">
        <v>2013</v>
      </c>
      <c r="D497">
        <v>117009</v>
      </c>
      <c r="E497">
        <v>2.6</v>
      </c>
      <c r="F497">
        <v>72565.901299999998</v>
      </c>
      <c r="G497">
        <v>72.566000000000003</v>
      </c>
      <c r="H497">
        <v>0.83099999999999996</v>
      </c>
      <c r="I497">
        <v>5</v>
      </c>
      <c r="J497">
        <v>1522</v>
      </c>
      <c r="K497">
        <v>0.25168846099999997</v>
      </c>
      <c r="L497">
        <v>1.7000000000000001E-2</v>
      </c>
      <c r="M497">
        <v>1</v>
      </c>
      <c r="N497">
        <v>0.45100000000000001</v>
      </c>
      <c r="O497">
        <v>3</v>
      </c>
      <c r="P497">
        <v>2</v>
      </c>
      <c r="S497" s="164" t="s">
        <v>944</v>
      </c>
    </row>
    <row r="498" spans="1:19" x14ac:dyDescent="0.25">
      <c r="A498" t="s">
        <v>2014</v>
      </c>
      <c r="B498">
        <v>9007560200</v>
      </c>
      <c r="C498" t="s">
        <v>2015</v>
      </c>
      <c r="D498">
        <v>74602</v>
      </c>
      <c r="E498">
        <v>2.2599999999999998</v>
      </c>
      <c r="F498">
        <v>49624.51223</v>
      </c>
      <c r="G498">
        <v>49.625</v>
      </c>
      <c r="H498">
        <v>0.46400000000000002</v>
      </c>
      <c r="I498">
        <v>3</v>
      </c>
      <c r="J498">
        <v>1325</v>
      </c>
      <c r="K498">
        <v>0.32040617199999999</v>
      </c>
      <c r="L498">
        <v>0.29099999999999998</v>
      </c>
      <c r="M498">
        <v>2</v>
      </c>
      <c r="N498">
        <v>0.628</v>
      </c>
      <c r="O498">
        <v>4</v>
      </c>
      <c r="P498">
        <v>4</v>
      </c>
      <c r="S498" s="166" t="s">
        <v>944</v>
      </c>
    </row>
    <row r="499" spans="1:19" x14ac:dyDescent="0.25">
      <c r="A499" t="s">
        <v>2016</v>
      </c>
      <c r="B499">
        <v>9007570100</v>
      </c>
      <c r="C499" t="s">
        <v>2017</v>
      </c>
      <c r="D499">
        <v>93945</v>
      </c>
      <c r="E499">
        <v>2.15</v>
      </c>
      <c r="F499">
        <v>64069.95822</v>
      </c>
      <c r="G499">
        <v>64.069999999999993</v>
      </c>
      <c r="H499">
        <v>0.72</v>
      </c>
      <c r="I499">
        <v>4</v>
      </c>
      <c r="J499">
        <v>1594</v>
      </c>
      <c r="K499">
        <v>0.298548657</v>
      </c>
      <c r="L499">
        <v>0.16300000000000001</v>
      </c>
      <c r="M499">
        <v>1</v>
      </c>
      <c r="N499">
        <v>0.38700000000000001</v>
      </c>
      <c r="O499">
        <v>2</v>
      </c>
      <c r="P499">
        <v>2</v>
      </c>
      <c r="S499" s="164" t="s">
        <v>944</v>
      </c>
    </row>
    <row r="500" spans="1:19" x14ac:dyDescent="0.25">
      <c r="A500" t="s">
        <v>2018</v>
      </c>
      <c r="B500">
        <v>9007570200</v>
      </c>
      <c r="C500" t="s">
        <v>2019</v>
      </c>
      <c r="D500">
        <v>109429</v>
      </c>
      <c r="E500">
        <v>2.56</v>
      </c>
      <c r="F500">
        <v>68393.125</v>
      </c>
      <c r="G500">
        <v>68.393000000000001</v>
      </c>
      <c r="H500">
        <v>0.78100000000000003</v>
      </c>
      <c r="I500">
        <v>4</v>
      </c>
      <c r="J500">
        <v>1826</v>
      </c>
      <c r="K500">
        <v>0.32038307900000002</v>
      </c>
      <c r="L500">
        <v>0.28999999999999998</v>
      </c>
      <c r="M500">
        <v>2</v>
      </c>
      <c r="N500">
        <v>0.245</v>
      </c>
      <c r="O500">
        <v>2</v>
      </c>
      <c r="P500">
        <v>2</v>
      </c>
      <c r="S500" s="166" t="s">
        <v>944</v>
      </c>
    </row>
    <row r="501" spans="1:19" x14ac:dyDescent="0.25">
      <c r="A501" t="s">
        <v>2020</v>
      </c>
      <c r="B501">
        <v>9007570300</v>
      </c>
      <c r="C501" t="s">
        <v>2021</v>
      </c>
      <c r="D501">
        <v>68125</v>
      </c>
      <c r="E501">
        <v>2.2400000000000002</v>
      </c>
      <c r="F501">
        <v>45517.930260000001</v>
      </c>
      <c r="G501">
        <v>45.518000000000001</v>
      </c>
      <c r="H501">
        <v>0.374</v>
      </c>
      <c r="I501">
        <v>2</v>
      </c>
      <c r="J501">
        <v>1408</v>
      </c>
      <c r="K501">
        <v>0.37119438199999999</v>
      </c>
      <c r="L501">
        <v>0.59899999999999998</v>
      </c>
      <c r="M501">
        <v>3</v>
      </c>
      <c r="N501">
        <v>0.56100000000000005</v>
      </c>
      <c r="O501">
        <v>3</v>
      </c>
      <c r="P501">
        <v>4</v>
      </c>
      <c r="S501" s="164" t="s">
        <v>944</v>
      </c>
    </row>
    <row r="502" spans="1:19" x14ac:dyDescent="0.25">
      <c r="A502" t="s">
        <v>2022</v>
      </c>
      <c r="B502">
        <v>9007580100</v>
      </c>
      <c r="C502" t="s">
        <v>2023</v>
      </c>
      <c r="D502">
        <v>96111</v>
      </c>
      <c r="E502">
        <v>2.48</v>
      </c>
      <c r="F502">
        <v>61030.546029999998</v>
      </c>
      <c r="G502">
        <v>61.030999999999999</v>
      </c>
      <c r="H502">
        <v>0.67100000000000004</v>
      </c>
      <c r="I502">
        <v>4</v>
      </c>
      <c r="J502">
        <v>1576</v>
      </c>
      <c r="K502">
        <v>0.30987761400000002</v>
      </c>
      <c r="L502">
        <v>0.22500000000000001</v>
      </c>
      <c r="M502">
        <v>2</v>
      </c>
      <c r="N502">
        <v>0.40699999999999997</v>
      </c>
      <c r="O502">
        <v>3</v>
      </c>
      <c r="P502">
        <v>3</v>
      </c>
      <c r="S502" s="166" t="s">
        <v>944</v>
      </c>
    </row>
    <row r="503" spans="1:19" x14ac:dyDescent="0.25">
      <c r="A503" t="s">
        <v>2024</v>
      </c>
      <c r="B503">
        <v>9007585100</v>
      </c>
      <c r="C503" t="s">
        <v>2025</v>
      </c>
      <c r="D503">
        <v>119905</v>
      </c>
      <c r="E503">
        <v>2.58</v>
      </c>
      <c r="F503">
        <v>74649.592350000006</v>
      </c>
      <c r="G503">
        <v>74.650000000000006</v>
      </c>
      <c r="H503">
        <v>0.84799999999999998</v>
      </c>
      <c r="I503">
        <v>5</v>
      </c>
      <c r="J503">
        <v>1897</v>
      </c>
      <c r="K503">
        <v>0.30494473300000002</v>
      </c>
      <c r="L503">
        <v>0.2</v>
      </c>
      <c r="M503">
        <v>1</v>
      </c>
      <c r="N503">
        <v>0.21199999999999999</v>
      </c>
      <c r="O503">
        <v>2</v>
      </c>
      <c r="P503">
        <v>2</v>
      </c>
      <c r="S503" s="164" t="s">
        <v>944</v>
      </c>
    </row>
    <row r="504" spans="1:19" x14ac:dyDescent="0.25">
      <c r="A504" t="s">
        <v>2026</v>
      </c>
      <c r="B504">
        <v>9007590100</v>
      </c>
      <c r="C504" t="s">
        <v>2027</v>
      </c>
      <c r="D504">
        <v>110497</v>
      </c>
      <c r="E504">
        <v>2.61</v>
      </c>
      <c r="F504">
        <v>68395.925940000001</v>
      </c>
      <c r="G504">
        <v>68.396000000000001</v>
      </c>
      <c r="H504">
        <v>0.78200000000000003</v>
      </c>
      <c r="I504">
        <v>4</v>
      </c>
      <c r="J504">
        <v>1867</v>
      </c>
      <c r="K504">
        <v>0.32756337000000002</v>
      </c>
      <c r="L504">
        <v>0.34</v>
      </c>
      <c r="M504">
        <v>2</v>
      </c>
      <c r="N504">
        <v>0.223</v>
      </c>
      <c r="O504">
        <v>2</v>
      </c>
      <c r="P504">
        <v>2</v>
      </c>
      <c r="S504" s="166" t="s">
        <v>944</v>
      </c>
    </row>
    <row r="505" spans="1:19" x14ac:dyDescent="0.25">
      <c r="A505" t="s">
        <v>2028</v>
      </c>
      <c r="B505">
        <v>9007595101</v>
      </c>
      <c r="C505" t="s">
        <v>2029</v>
      </c>
      <c r="D505">
        <v>105441</v>
      </c>
      <c r="E505">
        <v>2.67</v>
      </c>
      <c r="F505">
        <v>64528.844060000003</v>
      </c>
      <c r="G505">
        <v>64.528999999999996</v>
      </c>
      <c r="H505">
        <v>0.72699999999999998</v>
      </c>
      <c r="I505">
        <v>4</v>
      </c>
      <c r="J505">
        <v>1838</v>
      </c>
      <c r="K505">
        <v>0.34180063700000002</v>
      </c>
      <c r="L505">
        <v>0.43</v>
      </c>
      <c r="M505">
        <v>3</v>
      </c>
      <c r="N505">
        <v>0.23899999999999999</v>
      </c>
      <c r="O505">
        <v>2</v>
      </c>
      <c r="P505">
        <v>2</v>
      </c>
      <c r="S505" s="164" t="s">
        <v>944</v>
      </c>
    </row>
    <row r="506" spans="1:19" x14ac:dyDescent="0.25">
      <c r="A506" t="s">
        <v>2030</v>
      </c>
      <c r="B506">
        <v>9007595102</v>
      </c>
      <c r="C506" t="s">
        <v>2031</v>
      </c>
      <c r="D506">
        <v>93125</v>
      </c>
      <c r="E506">
        <v>2.2799999999999998</v>
      </c>
      <c r="F506">
        <v>61673.537880000003</v>
      </c>
      <c r="G506">
        <v>61.673999999999999</v>
      </c>
      <c r="H506">
        <v>0.68700000000000006</v>
      </c>
      <c r="I506">
        <v>4</v>
      </c>
      <c r="J506">
        <v>1552</v>
      </c>
      <c r="K506">
        <v>0.30197716299999999</v>
      </c>
      <c r="L506">
        <v>0.182</v>
      </c>
      <c r="M506">
        <v>1</v>
      </c>
      <c r="N506">
        <v>0.42499999999999999</v>
      </c>
      <c r="O506">
        <v>3</v>
      </c>
      <c r="P506">
        <v>3</v>
      </c>
      <c r="S506" s="166" t="s">
        <v>944</v>
      </c>
    </row>
    <row r="507" spans="1:19" x14ac:dyDescent="0.25">
      <c r="A507" t="s">
        <v>2032</v>
      </c>
      <c r="B507">
        <v>9007600100</v>
      </c>
      <c r="C507" t="s">
        <v>2033</v>
      </c>
      <c r="D507">
        <v>88167</v>
      </c>
      <c r="E507">
        <v>2.2999999999999998</v>
      </c>
      <c r="F507">
        <v>58135.5982</v>
      </c>
      <c r="G507">
        <v>58.136000000000003</v>
      </c>
      <c r="H507">
        <v>0.62</v>
      </c>
      <c r="I507">
        <v>4</v>
      </c>
      <c r="J507">
        <v>1657</v>
      </c>
      <c r="K507">
        <v>0.34202795899999999</v>
      </c>
      <c r="L507">
        <v>0.433</v>
      </c>
      <c r="M507">
        <v>3</v>
      </c>
      <c r="N507">
        <v>0.34200000000000003</v>
      </c>
      <c r="O507">
        <v>2</v>
      </c>
      <c r="P507">
        <v>2</v>
      </c>
      <c r="S507" s="164" t="s">
        <v>944</v>
      </c>
    </row>
    <row r="508" spans="1:19" x14ac:dyDescent="0.25">
      <c r="A508" t="s">
        <v>2034</v>
      </c>
      <c r="B508">
        <v>9007610100</v>
      </c>
      <c r="C508" t="s">
        <v>2035</v>
      </c>
      <c r="D508">
        <v>75938</v>
      </c>
      <c r="E508">
        <v>2.08</v>
      </c>
      <c r="F508">
        <v>52653.52938</v>
      </c>
      <c r="G508">
        <v>52.654000000000003</v>
      </c>
      <c r="H508">
        <v>0.51300000000000001</v>
      </c>
      <c r="I508">
        <v>3</v>
      </c>
      <c r="J508">
        <v>1408</v>
      </c>
      <c r="K508">
        <v>0.32089016999999997</v>
      </c>
      <c r="L508">
        <v>0.29899999999999999</v>
      </c>
      <c r="M508">
        <v>2</v>
      </c>
      <c r="N508">
        <v>0.56100000000000005</v>
      </c>
      <c r="O508">
        <v>3</v>
      </c>
      <c r="P508">
        <v>3</v>
      </c>
      <c r="S508" s="166" t="s">
        <v>944</v>
      </c>
    </row>
    <row r="509" spans="1:19" x14ac:dyDescent="0.25">
      <c r="A509" t="s">
        <v>2036</v>
      </c>
      <c r="B509">
        <v>9007610200</v>
      </c>
      <c r="C509" t="s">
        <v>2037</v>
      </c>
      <c r="D509">
        <v>64406</v>
      </c>
      <c r="E509">
        <v>2.14</v>
      </c>
      <c r="F509">
        <v>44027.035219999998</v>
      </c>
      <c r="G509">
        <v>44.027000000000001</v>
      </c>
      <c r="H509">
        <v>0.35199999999999998</v>
      </c>
      <c r="I509">
        <v>2</v>
      </c>
      <c r="J509">
        <v>1319</v>
      </c>
      <c r="K509">
        <v>0.35950637899999999</v>
      </c>
      <c r="L509">
        <v>0.53400000000000003</v>
      </c>
      <c r="M509">
        <v>3</v>
      </c>
      <c r="N509">
        <v>0.63800000000000001</v>
      </c>
      <c r="O509">
        <v>4</v>
      </c>
      <c r="P509">
        <v>4</v>
      </c>
      <c r="S509" s="164" t="s">
        <v>944</v>
      </c>
    </row>
    <row r="510" spans="1:19" x14ac:dyDescent="0.25">
      <c r="A510" t="s">
        <v>2038</v>
      </c>
      <c r="B510">
        <v>9007610300</v>
      </c>
      <c r="C510" t="s">
        <v>2039</v>
      </c>
      <c r="D510">
        <v>89545</v>
      </c>
      <c r="E510">
        <v>2.65</v>
      </c>
      <c r="F510">
        <v>55007.056239999998</v>
      </c>
      <c r="G510">
        <v>55.006999999999998</v>
      </c>
      <c r="H510">
        <v>0.56200000000000006</v>
      </c>
      <c r="I510">
        <v>3</v>
      </c>
      <c r="J510">
        <v>1634</v>
      </c>
      <c r="K510">
        <v>0.35646335800000001</v>
      </c>
      <c r="L510">
        <v>0.51700000000000002</v>
      </c>
      <c r="M510">
        <v>3</v>
      </c>
      <c r="N510">
        <v>0.35899999999999999</v>
      </c>
      <c r="O510">
        <v>2</v>
      </c>
      <c r="P510">
        <v>3</v>
      </c>
      <c r="S510" s="166" t="s">
        <v>944</v>
      </c>
    </row>
    <row r="511" spans="1:19" x14ac:dyDescent="0.25">
      <c r="A511" t="s">
        <v>2040</v>
      </c>
      <c r="B511">
        <v>9007610400</v>
      </c>
      <c r="C511" t="s">
        <v>2041</v>
      </c>
      <c r="D511">
        <v>95057</v>
      </c>
      <c r="E511">
        <v>2.63</v>
      </c>
      <c r="F511">
        <v>58614.657220000001</v>
      </c>
      <c r="G511">
        <v>58.615000000000002</v>
      </c>
      <c r="H511">
        <v>0.626</v>
      </c>
      <c r="I511">
        <v>4</v>
      </c>
      <c r="J511">
        <v>1694</v>
      </c>
      <c r="K511">
        <v>0.34680745299999999</v>
      </c>
      <c r="L511">
        <v>0.46200000000000002</v>
      </c>
      <c r="M511">
        <v>3</v>
      </c>
      <c r="N511">
        <v>0.316</v>
      </c>
      <c r="O511">
        <v>2</v>
      </c>
      <c r="P511">
        <v>2</v>
      </c>
      <c r="S511" s="164" t="s">
        <v>944</v>
      </c>
    </row>
    <row r="512" spans="1:19" x14ac:dyDescent="0.25">
      <c r="A512" t="s">
        <v>2042</v>
      </c>
      <c r="B512">
        <v>9007620100</v>
      </c>
      <c r="C512" t="s">
        <v>2043</v>
      </c>
      <c r="D512">
        <v>85960</v>
      </c>
      <c r="E512">
        <v>2.36</v>
      </c>
      <c r="F512">
        <v>55955.193939999997</v>
      </c>
      <c r="G512">
        <v>55.954999999999998</v>
      </c>
      <c r="H512">
        <v>0.57899999999999996</v>
      </c>
      <c r="I512">
        <v>3</v>
      </c>
      <c r="J512">
        <v>1509</v>
      </c>
      <c r="K512">
        <v>0.32361607100000001</v>
      </c>
      <c r="L512">
        <v>0.32400000000000001</v>
      </c>
      <c r="M512">
        <v>2</v>
      </c>
      <c r="N512">
        <v>0.46300000000000002</v>
      </c>
      <c r="O512">
        <v>3</v>
      </c>
      <c r="P512">
        <v>3</v>
      </c>
      <c r="S512" s="166" t="s">
        <v>944</v>
      </c>
    </row>
    <row r="513" spans="1:19" x14ac:dyDescent="0.25">
      <c r="A513" t="s">
        <v>2044</v>
      </c>
      <c r="B513">
        <v>9007630100</v>
      </c>
      <c r="C513" t="s">
        <v>2045</v>
      </c>
      <c r="D513">
        <v>89261</v>
      </c>
      <c r="E513">
        <v>2.13</v>
      </c>
      <c r="F513">
        <v>61160.629430000001</v>
      </c>
      <c r="G513">
        <v>61.161000000000001</v>
      </c>
      <c r="H513">
        <v>0.67500000000000004</v>
      </c>
      <c r="I513">
        <v>4</v>
      </c>
      <c r="J513">
        <v>1605</v>
      </c>
      <c r="K513">
        <v>0.314908466</v>
      </c>
      <c r="L513">
        <v>0.254</v>
      </c>
      <c r="M513">
        <v>2</v>
      </c>
      <c r="N513">
        <v>0.379</v>
      </c>
      <c r="O513">
        <v>2</v>
      </c>
      <c r="P513">
        <v>2</v>
      </c>
      <c r="S513" s="164" t="s">
        <v>944</v>
      </c>
    </row>
    <row r="514" spans="1:19" x14ac:dyDescent="0.25">
      <c r="A514" t="s">
        <v>2046</v>
      </c>
      <c r="B514">
        <v>9007640100</v>
      </c>
      <c r="C514" t="s">
        <v>2047</v>
      </c>
      <c r="D514">
        <v>110543</v>
      </c>
      <c r="E514">
        <v>2.77</v>
      </c>
      <c r="F514">
        <v>66418.851569999999</v>
      </c>
      <c r="G514">
        <v>66.418999999999997</v>
      </c>
      <c r="H514">
        <v>0.75800000000000001</v>
      </c>
      <c r="I514">
        <v>4</v>
      </c>
      <c r="J514">
        <v>1948</v>
      </c>
      <c r="K514">
        <v>0.35194827099999998</v>
      </c>
      <c r="L514">
        <v>0.48899999999999999</v>
      </c>
      <c r="M514">
        <v>3</v>
      </c>
      <c r="N514">
        <v>0.187</v>
      </c>
      <c r="O514">
        <v>1</v>
      </c>
      <c r="P514">
        <v>2</v>
      </c>
      <c r="S514" s="166" t="s">
        <v>944</v>
      </c>
    </row>
    <row r="515" spans="1:19" x14ac:dyDescent="0.25">
      <c r="A515" t="s">
        <v>2048</v>
      </c>
      <c r="B515">
        <v>9007670100</v>
      </c>
      <c r="C515" t="s">
        <v>2049</v>
      </c>
      <c r="D515">
        <v>99779</v>
      </c>
      <c r="E515">
        <v>2.44</v>
      </c>
      <c r="F515">
        <v>63876.959210000001</v>
      </c>
      <c r="G515">
        <v>63.877000000000002</v>
      </c>
      <c r="H515">
        <v>0.71499999999999997</v>
      </c>
      <c r="I515">
        <v>4</v>
      </c>
      <c r="J515">
        <v>1823</v>
      </c>
      <c r="K515">
        <v>0.34247090499999999</v>
      </c>
      <c r="L515">
        <v>0.435</v>
      </c>
      <c r="M515">
        <v>3</v>
      </c>
      <c r="N515">
        <v>0.247</v>
      </c>
      <c r="O515">
        <v>2</v>
      </c>
      <c r="P515">
        <v>2</v>
      </c>
      <c r="S515" s="164" t="s">
        <v>944</v>
      </c>
    </row>
    <row r="516" spans="1:19" x14ac:dyDescent="0.25">
      <c r="A516" t="s">
        <v>2050</v>
      </c>
      <c r="B516">
        <v>9007670200</v>
      </c>
      <c r="C516" t="s">
        <v>2051</v>
      </c>
      <c r="D516">
        <v>74202</v>
      </c>
      <c r="E516">
        <v>2.2000000000000002</v>
      </c>
      <c r="F516">
        <v>50026.978190000002</v>
      </c>
      <c r="G516">
        <v>50.027000000000001</v>
      </c>
      <c r="H516">
        <v>0.47099999999999997</v>
      </c>
      <c r="I516">
        <v>3</v>
      </c>
      <c r="J516">
        <v>1498</v>
      </c>
      <c r="K516">
        <v>0.359326121</v>
      </c>
      <c r="L516">
        <v>0.53100000000000003</v>
      </c>
      <c r="M516">
        <v>3</v>
      </c>
      <c r="N516">
        <v>0.47099999999999997</v>
      </c>
      <c r="O516">
        <v>3</v>
      </c>
      <c r="P516">
        <v>3</v>
      </c>
      <c r="S516" s="166" t="s">
        <v>944</v>
      </c>
    </row>
    <row r="517" spans="1:19" x14ac:dyDescent="0.25">
      <c r="A517" t="s">
        <v>2052</v>
      </c>
      <c r="B517">
        <v>9007680100</v>
      </c>
      <c r="C517" t="s">
        <v>2053</v>
      </c>
      <c r="D517">
        <v>79707</v>
      </c>
      <c r="E517">
        <v>2.15</v>
      </c>
      <c r="F517">
        <v>54359.722820000003</v>
      </c>
      <c r="G517">
        <v>54.36</v>
      </c>
      <c r="H517">
        <v>0.54700000000000004</v>
      </c>
      <c r="I517">
        <v>3</v>
      </c>
      <c r="J517">
        <v>1654</v>
      </c>
      <c r="K517">
        <v>0.36512327500000002</v>
      </c>
      <c r="L517">
        <v>0.56499999999999995</v>
      </c>
      <c r="M517">
        <v>3</v>
      </c>
      <c r="N517">
        <v>0.34399999999999997</v>
      </c>
      <c r="O517">
        <v>2</v>
      </c>
      <c r="P517">
        <v>3</v>
      </c>
      <c r="S517" s="164" t="s">
        <v>944</v>
      </c>
    </row>
    <row r="518" spans="1:19" x14ac:dyDescent="0.25">
      <c r="A518" t="s">
        <v>2054</v>
      </c>
      <c r="B518">
        <v>9007680200</v>
      </c>
      <c r="C518" t="s">
        <v>2055</v>
      </c>
      <c r="D518">
        <v>82790</v>
      </c>
      <c r="E518">
        <v>2.4300000000000002</v>
      </c>
      <c r="F518">
        <v>53109.809759999996</v>
      </c>
      <c r="G518">
        <v>53.11</v>
      </c>
      <c r="H518">
        <v>0.52400000000000002</v>
      </c>
      <c r="I518">
        <v>3</v>
      </c>
      <c r="J518">
        <v>1302</v>
      </c>
      <c r="K518">
        <v>0.29418294</v>
      </c>
      <c r="L518">
        <v>0.13900000000000001</v>
      </c>
      <c r="M518">
        <v>1</v>
      </c>
      <c r="N518">
        <v>0.65600000000000003</v>
      </c>
      <c r="O518">
        <v>4</v>
      </c>
      <c r="P518">
        <v>4</v>
      </c>
      <c r="S518" s="166" t="s">
        <v>944</v>
      </c>
    </row>
    <row r="519" spans="1:19" x14ac:dyDescent="0.25">
      <c r="A519" t="s">
        <v>2056</v>
      </c>
      <c r="B519">
        <v>9009120100</v>
      </c>
      <c r="C519" t="s">
        <v>2057</v>
      </c>
      <c r="D519">
        <v>65927</v>
      </c>
      <c r="E519">
        <v>2.38</v>
      </c>
      <c r="F519">
        <v>42734.126880000003</v>
      </c>
      <c r="G519">
        <v>42.734000000000002</v>
      </c>
      <c r="H519">
        <v>0.33500000000000002</v>
      </c>
      <c r="I519">
        <v>2</v>
      </c>
      <c r="J519">
        <v>1319</v>
      </c>
      <c r="K519">
        <v>0.370383138</v>
      </c>
      <c r="L519">
        <v>0.59299999999999997</v>
      </c>
      <c r="M519">
        <v>3</v>
      </c>
      <c r="N519">
        <v>0.63800000000000001</v>
      </c>
      <c r="O519">
        <v>4</v>
      </c>
      <c r="P519">
        <v>4</v>
      </c>
      <c r="S519" s="164" t="s">
        <v>944</v>
      </c>
    </row>
    <row r="520" spans="1:19" x14ac:dyDescent="0.25">
      <c r="A520" t="s">
        <v>2058</v>
      </c>
      <c r="B520">
        <v>9009120200</v>
      </c>
      <c r="C520" t="s">
        <v>2059</v>
      </c>
      <c r="D520">
        <v>44915</v>
      </c>
      <c r="E520">
        <v>2.38</v>
      </c>
      <c r="F520">
        <v>29114.070240000001</v>
      </c>
      <c r="G520">
        <v>29.114000000000001</v>
      </c>
      <c r="H520">
        <v>0.154</v>
      </c>
      <c r="I520">
        <v>1</v>
      </c>
      <c r="J520">
        <v>1226</v>
      </c>
      <c r="K520">
        <v>0.50532268000000002</v>
      </c>
      <c r="L520">
        <v>0.85199999999999998</v>
      </c>
      <c r="M520">
        <v>5</v>
      </c>
      <c r="N520">
        <v>0.74299999999999999</v>
      </c>
      <c r="O520">
        <v>4</v>
      </c>
      <c r="P520">
        <v>5</v>
      </c>
      <c r="S520" s="166" t="s">
        <v>936</v>
      </c>
    </row>
    <row r="521" spans="1:19" x14ac:dyDescent="0.25">
      <c r="A521" t="s">
        <v>2060</v>
      </c>
      <c r="B521">
        <v>9009125100</v>
      </c>
      <c r="C521" t="s">
        <v>2061</v>
      </c>
      <c r="D521">
        <v>90150</v>
      </c>
      <c r="E521">
        <v>2.69</v>
      </c>
      <c r="F521">
        <v>54965.425089999997</v>
      </c>
      <c r="G521">
        <v>54.965000000000003</v>
      </c>
      <c r="H521">
        <v>0.56000000000000005</v>
      </c>
      <c r="I521">
        <v>3</v>
      </c>
      <c r="J521">
        <v>1651</v>
      </c>
      <c r="K521">
        <v>0.36044477000000003</v>
      </c>
      <c r="L521">
        <v>0.54</v>
      </c>
      <c r="M521">
        <v>3</v>
      </c>
      <c r="N521">
        <v>0.34599999999999997</v>
      </c>
      <c r="O521">
        <v>2</v>
      </c>
      <c r="P521">
        <v>3</v>
      </c>
      <c r="S521" s="164" t="s">
        <v>944</v>
      </c>
    </row>
    <row r="522" spans="1:19" x14ac:dyDescent="0.25">
      <c r="A522" t="s">
        <v>2062</v>
      </c>
      <c r="B522">
        <v>9009125200</v>
      </c>
      <c r="C522" t="s">
        <v>2063</v>
      </c>
      <c r="D522">
        <v>46184</v>
      </c>
      <c r="E522">
        <v>2.2599999999999998</v>
      </c>
      <c r="F522">
        <v>30721.13982</v>
      </c>
      <c r="G522">
        <v>30.721</v>
      </c>
      <c r="H522">
        <v>0.17899999999999999</v>
      </c>
      <c r="I522">
        <v>1</v>
      </c>
      <c r="J522">
        <v>1164</v>
      </c>
      <c r="K522">
        <v>0.45467063000000002</v>
      </c>
      <c r="L522">
        <v>0.79</v>
      </c>
      <c r="M522">
        <v>4</v>
      </c>
      <c r="N522">
        <v>0.81299999999999994</v>
      </c>
      <c r="O522">
        <v>5</v>
      </c>
      <c r="P522">
        <v>5</v>
      </c>
      <c r="S522" s="166" t="s">
        <v>936</v>
      </c>
    </row>
    <row r="523" spans="1:19" x14ac:dyDescent="0.25">
      <c r="A523" t="s">
        <v>2064</v>
      </c>
      <c r="B523">
        <v>9009125300</v>
      </c>
      <c r="C523" t="s">
        <v>2065</v>
      </c>
      <c r="D523">
        <v>52586</v>
      </c>
      <c r="E523">
        <v>2.38</v>
      </c>
      <c r="F523">
        <v>34086.441010000002</v>
      </c>
      <c r="G523">
        <v>34.085999999999999</v>
      </c>
      <c r="H523">
        <v>0.223</v>
      </c>
      <c r="I523">
        <v>2</v>
      </c>
      <c r="J523">
        <v>1151</v>
      </c>
      <c r="K523">
        <v>0.40520510799999998</v>
      </c>
      <c r="L523">
        <v>0.68899999999999995</v>
      </c>
      <c r="M523">
        <v>4</v>
      </c>
      <c r="N523">
        <v>0.82</v>
      </c>
      <c r="O523">
        <v>5</v>
      </c>
      <c r="P523">
        <v>5</v>
      </c>
      <c r="S523" s="164" t="s">
        <v>944</v>
      </c>
    </row>
    <row r="524" spans="1:19" x14ac:dyDescent="0.25">
      <c r="A524" t="s">
        <v>2066</v>
      </c>
      <c r="B524">
        <v>9009125400</v>
      </c>
      <c r="C524" t="s">
        <v>2067</v>
      </c>
      <c r="D524">
        <v>39196</v>
      </c>
      <c r="E524">
        <v>2.35</v>
      </c>
      <c r="F524">
        <v>25568.651150000002</v>
      </c>
      <c r="G524">
        <v>25.568999999999999</v>
      </c>
      <c r="H524">
        <v>0.11700000000000001</v>
      </c>
      <c r="I524">
        <v>1</v>
      </c>
      <c r="J524">
        <v>1097</v>
      </c>
      <c r="K524">
        <v>0.514849216</v>
      </c>
      <c r="L524">
        <v>0.86099999999999999</v>
      </c>
      <c r="M524">
        <v>5</v>
      </c>
      <c r="N524">
        <v>0.879</v>
      </c>
      <c r="O524">
        <v>5</v>
      </c>
      <c r="P524">
        <v>5</v>
      </c>
      <c r="S524" s="166" t="s">
        <v>936</v>
      </c>
    </row>
    <row r="525" spans="1:19" x14ac:dyDescent="0.25">
      <c r="A525" t="s">
        <v>2068</v>
      </c>
      <c r="B525">
        <v>9009130101</v>
      </c>
      <c r="C525" t="s">
        <v>2069</v>
      </c>
      <c r="D525">
        <v>67262</v>
      </c>
      <c r="E525">
        <v>2.6</v>
      </c>
      <c r="F525">
        <v>41714.121590000002</v>
      </c>
      <c r="G525">
        <v>41.713999999999999</v>
      </c>
      <c r="H525">
        <v>0.314</v>
      </c>
      <c r="I525">
        <v>2</v>
      </c>
      <c r="J525">
        <v>1245</v>
      </c>
      <c r="K525">
        <v>0.35815209399999998</v>
      </c>
      <c r="L525">
        <v>0.52500000000000002</v>
      </c>
      <c r="M525">
        <v>3</v>
      </c>
      <c r="N525">
        <v>0.71799999999999997</v>
      </c>
      <c r="O525">
        <v>4</v>
      </c>
      <c r="P525">
        <v>4</v>
      </c>
      <c r="S525" s="164" t="s">
        <v>944</v>
      </c>
    </row>
    <row r="526" spans="1:19" x14ac:dyDescent="0.25">
      <c r="A526" t="s">
        <v>2070</v>
      </c>
      <c r="B526">
        <v>9009130102</v>
      </c>
      <c r="C526" t="s">
        <v>2071</v>
      </c>
      <c r="D526">
        <v>71734</v>
      </c>
      <c r="E526">
        <v>2.54</v>
      </c>
      <c r="F526">
        <v>45009.914729999997</v>
      </c>
      <c r="G526">
        <v>45.01</v>
      </c>
      <c r="H526">
        <v>0.36899999999999999</v>
      </c>
      <c r="I526">
        <v>2</v>
      </c>
      <c r="J526">
        <v>1409</v>
      </c>
      <c r="K526">
        <v>0.37565056699999999</v>
      </c>
      <c r="L526">
        <v>0.61599999999999999</v>
      </c>
      <c r="M526">
        <v>4</v>
      </c>
      <c r="N526">
        <v>0.55600000000000005</v>
      </c>
      <c r="O526">
        <v>3</v>
      </c>
      <c r="P526">
        <v>4</v>
      </c>
      <c r="S526" s="166" t="s">
        <v>944</v>
      </c>
    </row>
    <row r="527" spans="1:19" x14ac:dyDescent="0.25">
      <c r="A527" t="s">
        <v>2072</v>
      </c>
      <c r="B527">
        <v>9009130200</v>
      </c>
      <c r="C527" t="s">
        <v>2073</v>
      </c>
      <c r="D527">
        <v>84340</v>
      </c>
      <c r="E527">
        <v>2.69</v>
      </c>
      <c r="F527">
        <v>51423.005570000001</v>
      </c>
      <c r="G527">
        <v>51.423000000000002</v>
      </c>
      <c r="H527">
        <v>0.48899999999999999</v>
      </c>
      <c r="I527">
        <v>3</v>
      </c>
      <c r="J527">
        <v>1665</v>
      </c>
      <c r="K527">
        <v>0.38854205000000003</v>
      </c>
      <c r="L527">
        <v>0.65600000000000003</v>
      </c>
      <c r="M527">
        <v>4</v>
      </c>
      <c r="N527">
        <v>0.33100000000000002</v>
      </c>
      <c r="O527">
        <v>2</v>
      </c>
      <c r="P527">
        <v>3</v>
      </c>
      <c r="S527" s="164" t="s">
        <v>944</v>
      </c>
    </row>
    <row r="528" spans="1:19" x14ac:dyDescent="0.25">
      <c r="A528" t="s">
        <v>2074</v>
      </c>
      <c r="B528">
        <v>9009140100</v>
      </c>
      <c r="C528" t="s">
        <v>2075</v>
      </c>
      <c r="D528">
        <v>75881</v>
      </c>
      <c r="E528">
        <v>1.44</v>
      </c>
      <c r="F528">
        <v>63234.166669999999</v>
      </c>
      <c r="G528">
        <v>63.234000000000002</v>
      </c>
      <c r="H528">
        <v>0.71199999999999997</v>
      </c>
      <c r="I528">
        <v>4</v>
      </c>
      <c r="J528">
        <v>1690</v>
      </c>
      <c r="K528">
        <v>0.32071269499999999</v>
      </c>
      <c r="L528">
        <v>0.29799999999999999</v>
      </c>
      <c r="M528">
        <v>2</v>
      </c>
      <c r="N528">
        <v>0.318</v>
      </c>
      <c r="O528">
        <v>2</v>
      </c>
      <c r="P528">
        <v>2</v>
      </c>
      <c r="S528" s="166" t="s">
        <v>944</v>
      </c>
    </row>
    <row r="529" spans="1:19" x14ac:dyDescent="0.25">
      <c r="A529" t="s">
        <v>2076</v>
      </c>
      <c r="B529">
        <v>9009140200</v>
      </c>
      <c r="C529" t="s">
        <v>2077</v>
      </c>
      <c r="D529">
        <v>15000</v>
      </c>
      <c r="E529">
        <v>1.4</v>
      </c>
      <c r="F529">
        <v>12677.313819999999</v>
      </c>
      <c r="G529">
        <v>12.677</v>
      </c>
      <c r="H529">
        <v>4.0000000000000001E-3</v>
      </c>
      <c r="I529">
        <v>1</v>
      </c>
      <c r="J529">
        <v>440</v>
      </c>
      <c r="K529">
        <v>0.41649201699999999</v>
      </c>
      <c r="L529">
        <v>0.71399999999999997</v>
      </c>
      <c r="M529">
        <v>4</v>
      </c>
      <c r="N529">
        <v>0.999</v>
      </c>
      <c r="O529">
        <v>5</v>
      </c>
      <c r="P529">
        <v>5</v>
      </c>
      <c r="S529" s="164" t="s">
        <v>936</v>
      </c>
    </row>
    <row r="530" spans="1:19" x14ac:dyDescent="0.25">
      <c r="A530" t="s">
        <v>2078</v>
      </c>
      <c r="B530">
        <v>9009140300</v>
      </c>
      <c r="C530" t="s">
        <v>2079</v>
      </c>
      <c r="D530">
        <v>33942</v>
      </c>
      <c r="E530">
        <v>3.38</v>
      </c>
      <c r="F530">
        <v>18462.01413</v>
      </c>
      <c r="G530">
        <v>18.462</v>
      </c>
      <c r="H530">
        <v>4.2999999999999997E-2</v>
      </c>
      <c r="I530">
        <v>1</v>
      </c>
      <c r="J530">
        <v>1146</v>
      </c>
      <c r="K530">
        <v>0.74488080800000001</v>
      </c>
      <c r="L530">
        <v>0.97499999999999998</v>
      </c>
      <c r="M530">
        <v>5</v>
      </c>
      <c r="N530">
        <v>0.82299999999999995</v>
      </c>
      <c r="O530">
        <v>5</v>
      </c>
      <c r="P530">
        <v>5</v>
      </c>
      <c r="S530" s="166" t="s">
        <v>936</v>
      </c>
    </row>
    <row r="531" spans="1:19" x14ac:dyDescent="0.25">
      <c r="A531" t="s">
        <v>2080</v>
      </c>
      <c r="B531">
        <v>9009140400</v>
      </c>
      <c r="C531" t="s">
        <v>2081</v>
      </c>
      <c r="D531">
        <v>42826</v>
      </c>
      <c r="E531">
        <v>2.92</v>
      </c>
      <c r="F531">
        <v>25062.020850000001</v>
      </c>
      <c r="G531">
        <v>25.062000000000001</v>
      </c>
      <c r="H531">
        <v>0.113</v>
      </c>
      <c r="I531">
        <v>1</v>
      </c>
      <c r="J531">
        <v>1318</v>
      </c>
      <c r="K531">
        <v>0.631074409</v>
      </c>
      <c r="L531">
        <v>0.93899999999999995</v>
      </c>
      <c r="M531">
        <v>5</v>
      </c>
      <c r="N531">
        <v>0.63900000000000001</v>
      </c>
      <c r="O531">
        <v>4</v>
      </c>
      <c r="P531">
        <v>5</v>
      </c>
      <c r="S531" s="164" t="s">
        <v>936</v>
      </c>
    </row>
    <row r="532" spans="1:19" x14ac:dyDescent="0.25">
      <c r="A532" t="s">
        <v>2082</v>
      </c>
      <c r="B532">
        <v>9009140500</v>
      </c>
      <c r="C532" t="s">
        <v>2083</v>
      </c>
      <c r="D532">
        <v>29167</v>
      </c>
      <c r="E532">
        <v>3.25</v>
      </c>
      <c r="F532">
        <v>16178.940619999999</v>
      </c>
      <c r="G532">
        <v>16.178999999999998</v>
      </c>
      <c r="H532">
        <v>2.7E-2</v>
      </c>
      <c r="I532">
        <v>1</v>
      </c>
      <c r="J532">
        <v>1084</v>
      </c>
      <c r="K532">
        <v>0.80400814300000001</v>
      </c>
      <c r="L532">
        <v>0.98499999999999999</v>
      </c>
      <c r="M532">
        <v>5</v>
      </c>
      <c r="N532">
        <v>0.88600000000000001</v>
      </c>
      <c r="O532">
        <v>5</v>
      </c>
      <c r="P532">
        <v>5</v>
      </c>
      <c r="S532" s="166" t="s">
        <v>936</v>
      </c>
    </row>
    <row r="533" spans="1:19" x14ac:dyDescent="0.25">
      <c r="A533" t="s">
        <v>2084</v>
      </c>
      <c r="B533">
        <v>9009140600</v>
      </c>
      <c r="C533" t="s">
        <v>2085</v>
      </c>
      <c r="D533">
        <v>27964</v>
      </c>
      <c r="E533">
        <v>2.83</v>
      </c>
      <c r="F533">
        <v>16622.87257</v>
      </c>
      <c r="G533">
        <v>16.623000000000001</v>
      </c>
      <c r="H533">
        <v>2.9000000000000001E-2</v>
      </c>
      <c r="I533">
        <v>1</v>
      </c>
      <c r="J533">
        <v>1195</v>
      </c>
      <c r="K533">
        <v>0.86266678299999999</v>
      </c>
      <c r="L533">
        <v>0.99</v>
      </c>
      <c r="M533">
        <v>5</v>
      </c>
      <c r="N533">
        <v>0.77300000000000002</v>
      </c>
      <c r="O533">
        <v>4</v>
      </c>
      <c r="P533">
        <v>5</v>
      </c>
      <c r="S533" s="164" t="s">
        <v>936</v>
      </c>
    </row>
    <row r="534" spans="1:19" x14ac:dyDescent="0.25">
      <c r="A534" t="s">
        <v>2086</v>
      </c>
      <c r="B534">
        <v>9009140700</v>
      </c>
      <c r="C534" t="s">
        <v>2087</v>
      </c>
      <c r="D534">
        <v>30383</v>
      </c>
      <c r="E534">
        <v>2.0299999999999998</v>
      </c>
      <c r="F534">
        <v>21324.68549</v>
      </c>
      <c r="G534">
        <v>21.324999999999999</v>
      </c>
      <c r="H534">
        <v>7.6999999999999999E-2</v>
      </c>
      <c r="I534">
        <v>1</v>
      </c>
      <c r="J534">
        <v>1040</v>
      </c>
      <c r="K534">
        <v>0.58523723599999999</v>
      </c>
      <c r="L534">
        <v>0.91300000000000003</v>
      </c>
      <c r="M534">
        <v>5</v>
      </c>
      <c r="N534">
        <v>0.91400000000000003</v>
      </c>
      <c r="O534">
        <v>5</v>
      </c>
      <c r="P534">
        <v>5</v>
      </c>
      <c r="S534" s="166" t="s">
        <v>936</v>
      </c>
    </row>
    <row r="535" spans="1:19" x14ac:dyDescent="0.25">
      <c r="A535" t="s">
        <v>2088</v>
      </c>
      <c r="B535">
        <v>9009140800</v>
      </c>
      <c r="C535" t="s">
        <v>2089</v>
      </c>
      <c r="D535">
        <v>29281</v>
      </c>
      <c r="E535">
        <v>2.46</v>
      </c>
      <c r="F535">
        <v>18668.883740000001</v>
      </c>
      <c r="G535">
        <v>18.669</v>
      </c>
      <c r="H535">
        <v>4.5999999999999999E-2</v>
      </c>
      <c r="I535">
        <v>1</v>
      </c>
      <c r="J535">
        <v>1166</v>
      </c>
      <c r="K535">
        <v>0.74948241100000002</v>
      </c>
      <c r="L535">
        <v>0.97599999999999998</v>
      </c>
      <c r="M535">
        <v>5</v>
      </c>
      <c r="N535">
        <v>0.80800000000000005</v>
      </c>
      <c r="O535">
        <v>5</v>
      </c>
      <c r="P535">
        <v>5</v>
      </c>
      <c r="S535" s="164" t="s">
        <v>936</v>
      </c>
    </row>
    <row r="536" spans="1:19" x14ac:dyDescent="0.25">
      <c r="A536" t="s">
        <v>2090</v>
      </c>
      <c r="B536">
        <v>9009140900</v>
      </c>
      <c r="C536" t="s">
        <v>2091</v>
      </c>
      <c r="D536">
        <v>32444</v>
      </c>
      <c r="E536">
        <v>2.61</v>
      </c>
      <c r="F536">
        <v>20082.331839999999</v>
      </c>
      <c r="G536">
        <v>20.082000000000001</v>
      </c>
      <c r="H536">
        <v>5.8000000000000003E-2</v>
      </c>
      <c r="I536">
        <v>1</v>
      </c>
      <c r="J536">
        <v>1213</v>
      </c>
      <c r="K536">
        <v>0.72481622700000004</v>
      </c>
      <c r="L536">
        <v>0.97</v>
      </c>
      <c r="M536">
        <v>5</v>
      </c>
      <c r="N536">
        <v>0.751</v>
      </c>
      <c r="O536">
        <v>4</v>
      </c>
      <c r="P536">
        <v>5</v>
      </c>
      <c r="S536" s="166" t="s">
        <v>936</v>
      </c>
    </row>
    <row r="537" spans="1:19" x14ac:dyDescent="0.25">
      <c r="A537" t="s">
        <v>2092</v>
      </c>
      <c r="B537">
        <v>9009141000</v>
      </c>
      <c r="C537" t="s">
        <v>2093</v>
      </c>
      <c r="D537">
        <v>91932</v>
      </c>
      <c r="E537">
        <v>2.44</v>
      </c>
      <c r="F537">
        <v>58853.432229999999</v>
      </c>
      <c r="G537">
        <v>58.853000000000002</v>
      </c>
      <c r="H537">
        <v>0.63400000000000001</v>
      </c>
      <c r="I537">
        <v>4</v>
      </c>
      <c r="J537">
        <v>1596</v>
      </c>
      <c r="K537">
        <v>0.32541857400000002</v>
      </c>
      <c r="L537">
        <v>0.33300000000000002</v>
      </c>
      <c r="M537">
        <v>2</v>
      </c>
      <c r="N537">
        <v>0.38500000000000001</v>
      </c>
      <c r="O537">
        <v>2</v>
      </c>
      <c r="P537">
        <v>2</v>
      </c>
      <c r="S537" s="164" t="s">
        <v>944</v>
      </c>
    </row>
    <row r="538" spans="1:19" x14ac:dyDescent="0.25">
      <c r="A538" t="s">
        <v>2094</v>
      </c>
      <c r="B538">
        <v>9009141100</v>
      </c>
      <c r="C538" t="s">
        <v>2095</v>
      </c>
      <c r="D538">
        <v>91829</v>
      </c>
      <c r="E538">
        <v>2.5499999999999998</v>
      </c>
      <c r="F538">
        <v>57505.550430000003</v>
      </c>
      <c r="G538">
        <v>57.506</v>
      </c>
      <c r="H538">
        <v>0.60899999999999999</v>
      </c>
      <c r="I538">
        <v>4</v>
      </c>
      <c r="J538">
        <v>1762</v>
      </c>
      <c r="K538">
        <v>0.36768624700000002</v>
      </c>
      <c r="L538">
        <v>0.57899999999999996</v>
      </c>
      <c r="M538">
        <v>3</v>
      </c>
      <c r="N538">
        <v>0.27700000000000002</v>
      </c>
      <c r="O538">
        <v>2</v>
      </c>
      <c r="P538">
        <v>2</v>
      </c>
      <c r="S538" s="166" t="s">
        <v>944</v>
      </c>
    </row>
    <row r="539" spans="1:19" x14ac:dyDescent="0.25">
      <c r="A539" t="s">
        <v>2096</v>
      </c>
      <c r="B539">
        <v>9009141200</v>
      </c>
      <c r="C539" t="s">
        <v>2097</v>
      </c>
      <c r="D539">
        <v>40625</v>
      </c>
      <c r="E539">
        <v>2.71</v>
      </c>
      <c r="F539">
        <v>24677.93003</v>
      </c>
      <c r="G539">
        <v>24.678000000000001</v>
      </c>
      <c r="H539">
        <v>0.108</v>
      </c>
      <c r="I539">
        <v>1</v>
      </c>
      <c r="J539">
        <v>1226</v>
      </c>
      <c r="K539">
        <v>0.59616021200000002</v>
      </c>
      <c r="L539">
        <v>0.91900000000000004</v>
      </c>
      <c r="M539">
        <v>5</v>
      </c>
      <c r="N539">
        <v>0.74299999999999999</v>
      </c>
      <c r="O539">
        <v>4</v>
      </c>
      <c r="P539">
        <v>5</v>
      </c>
      <c r="S539" s="164" t="s">
        <v>936</v>
      </c>
    </row>
    <row r="540" spans="1:19" x14ac:dyDescent="0.25">
      <c r="A540" t="s">
        <v>2098</v>
      </c>
      <c r="B540">
        <v>9009141300</v>
      </c>
      <c r="C540" t="s">
        <v>2099</v>
      </c>
      <c r="D540">
        <v>36304</v>
      </c>
      <c r="E540">
        <v>2.2200000000000002</v>
      </c>
      <c r="F540">
        <v>24365.649430000001</v>
      </c>
      <c r="G540">
        <v>24.366</v>
      </c>
      <c r="H540">
        <v>0.105</v>
      </c>
      <c r="I540">
        <v>1</v>
      </c>
      <c r="J540">
        <v>1165</v>
      </c>
      <c r="K540">
        <v>0.57375856300000005</v>
      </c>
      <c r="L540">
        <v>0.90600000000000003</v>
      </c>
      <c r="M540">
        <v>5</v>
      </c>
      <c r="N540">
        <v>0.81100000000000005</v>
      </c>
      <c r="O540">
        <v>5</v>
      </c>
      <c r="P540">
        <v>5</v>
      </c>
      <c r="S540" s="166" t="s">
        <v>936</v>
      </c>
    </row>
    <row r="541" spans="1:19" x14ac:dyDescent="0.25">
      <c r="A541" t="s">
        <v>2100</v>
      </c>
      <c r="B541">
        <v>9009141400</v>
      </c>
      <c r="C541" t="s">
        <v>2101</v>
      </c>
      <c r="D541">
        <v>51489</v>
      </c>
      <c r="E541">
        <v>2.87</v>
      </c>
      <c r="F541">
        <v>30392.995709999999</v>
      </c>
      <c r="G541">
        <v>30.393000000000001</v>
      </c>
      <c r="H541">
        <v>0.17599999999999999</v>
      </c>
      <c r="I541">
        <v>1</v>
      </c>
      <c r="J541">
        <v>1400</v>
      </c>
      <c r="K541">
        <v>0.55275893700000001</v>
      </c>
      <c r="L541">
        <v>0.88800000000000001</v>
      </c>
      <c r="M541">
        <v>5</v>
      </c>
      <c r="N541">
        <v>0.56899999999999995</v>
      </c>
      <c r="O541">
        <v>3</v>
      </c>
      <c r="P541">
        <v>4</v>
      </c>
      <c r="S541" s="164" t="s">
        <v>944</v>
      </c>
    </row>
    <row r="542" spans="1:19" x14ac:dyDescent="0.25">
      <c r="A542" t="s">
        <v>2102</v>
      </c>
      <c r="B542">
        <v>9009141500</v>
      </c>
      <c r="C542" t="s">
        <v>2103</v>
      </c>
      <c r="D542">
        <v>26324</v>
      </c>
      <c r="E542">
        <v>2.89</v>
      </c>
      <c r="F542">
        <v>15484.70588</v>
      </c>
      <c r="G542">
        <v>15.484999999999999</v>
      </c>
      <c r="H542">
        <v>2.3E-2</v>
      </c>
      <c r="I542">
        <v>1</v>
      </c>
      <c r="J542">
        <v>1082</v>
      </c>
      <c r="K542">
        <v>0.83850478699999997</v>
      </c>
      <c r="L542">
        <v>0.98899999999999999</v>
      </c>
      <c r="M542">
        <v>5</v>
      </c>
      <c r="N542">
        <v>0.88700000000000001</v>
      </c>
      <c r="O542">
        <v>5</v>
      </c>
      <c r="P542">
        <v>5</v>
      </c>
      <c r="S542" s="166" t="s">
        <v>936</v>
      </c>
    </row>
    <row r="543" spans="1:19" x14ac:dyDescent="0.25">
      <c r="A543" t="s">
        <v>2104</v>
      </c>
      <c r="B543">
        <v>9009141600</v>
      </c>
      <c r="C543" t="s">
        <v>2105</v>
      </c>
      <c r="D543">
        <v>32110</v>
      </c>
      <c r="E543">
        <v>2.3199999999999998</v>
      </c>
      <c r="F543">
        <v>21081.247800000001</v>
      </c>
      <c r="G543">
        <v>21.081</v>
      </c>
      <c r="H543">
        <v>7.0000000000000007E-2</v>
      </c>
      <c r="I543">
        <v>1</v>
      </c>
      <c r="J543">
        <v>1067</v>
      </c>
      <c r="K543">
        <v>0.60736442700000004</v>
      </c>
      <c r="L543">
        <v>0.92500000000000004</v>
      </c>
      <c r="M543">
        <v>5</v>
      </c>
      <c r="N543">
        <v>0.89800000000000002</v>
      </c>
      <c r="O543">
        <v>5</v>
      </c>
      <c r="P543">
        <v>5</v>
      </c>
      <c r="S543" s="164" t="s">
        <v>936</v>
      </c>
    </row>
    <row r="544" spans="1:19" x14ac:dyDescent="0.25">
      <c r="A544" t="s">
        <v>2106</v>
      </c>
      <c r="B544">
        <v>9009141800</v>
      </c>
      <c r="C544" t="s">
        <v>2107</v>
      </c>
      <c r="D544">
        <v>54167</v>
      </c>
      <c r="E544">
        <v>2.56</v>
      </c>
      <c r="F544">
        <v>33854.375</v>
      </c>
      <c r="G544">
        <v>33.853999999999999</v>
      </c>
      <c r="H544">
        <v>0.221</v>
      </c>
      <c r="I544">
        <v>2</v>
      </c>
      <c r="J544">
        <v>1373</v>
      </c>
      <c r="K544">
        <v>0.48667269699999999</v>
      </c>
      <c r="L544">
        <v>0.82899999999999996</v>
      </c>
      <c r="M544">
        <v>5</v>
      </c>
      <c r="N544">
        <v>0.58699999999999997</v>
      </c>
      <c r="O544">
        <v>3</v>
      </c>
      <c r="P544">
        <v>4</v>
      </c>
      <c r="S544" s="166" t="s">
        <v>944</v>
      </c>
    </row>
    <row r="545" spans="1:19" x14ac:dyDescent="0.25">
      <c r="A545" t="s">
        <v>2108</v>
      </c>
      <c r="B545">
        <v>9009141900</v>
      </c>
      <c r="C545" t="s">
        <v>2109</v>
      </c>
      <c r="D545">
        <v>83925</v>
      </c>
      <c r="E545">
        <v>2.35</v>
      </c>
      <c r="F545">
        <v>54746.633529999999</v>
      </c>
      <c r="G545">
        <v>54.747</v>
      </c>
      <c r="H545">
        <v>0.55400000000000005</v>
      </c>
      <c r="I545">
        <v>3</v>
      </c>
      <c r="J545">
        <v>1703</v>
      </c>
      <c r="K545">
        <v>0.37328322600000002</v>
      </c>
      <c r="L545">
        <v>0.60699999999999998</v>
      </c>
      <c r="M545">
        <v>4</v>
      </c>
      <c r="N545">
        <v>0.31</v>
      </c>
      <c r="O545">
        <v>2</v>
      </c>
      <c r="P545">
        <v>3</v>
      </c>
      <c r="S545" s="164" t="s">
        <v>944</v>
      </c>
    </row>
    <row r="546" spans="1:19" x14ac:dyDescent="0.25">
      <c r="A546" t="s">
        <v>2110</v>
      </c>
      <c r="B546">
        <v>9009142000</v>
      </c>
      <c r="C546" t="s">
        <v>2111</v>
      </c>
      <c r="D546">
        <v>51138</v>
      </c>
      <c r="E546">
        <v>1.76</v>
      </c>
      <c r="F546">
        <v>38546.717850000001</v>
      </c>
      <c r="G546">
        <v>38.546999999999997</v>
      </c>
      <c r="H546">
        <v>0.27</v>
      </c>
      <c r="I546">
        <v>2</v>
      </c>
      <c r="J546">
        <v>1446</v>
      </c>
      <c r="K546">
        <v>0.450155058</v>
      </c>
      <c r="L546">
        <v>0.78300000000000003</v>
      </c>
      <c r="M546">
        <v>4</v>
      </c>
      <c r="N546">
        <v>0.53300000000000003</v>
      </c>
      <c r="O546">
        <v>3</v>
      </c>
      <c r="P546">
        <v>4</v>
      </c>
      <c r="S546" s="166" t="s">
        <v>944</v>
      </c>
    </row>
    <row r="547" spans="1:19" x14ac:dyDescent="0.25">
      <c r="A547" t="s">
        <v>2112</v>
      </c>
      <c r="B547">
        <v>9009142100</v>
      </c>
      <c r="C547" t="s">
        <v>2113</v>
      </c>
      <c r="D547">
        <v>44815</v>
      </c>
      <c r="E547">
        <v>2.38</v>
      </c>
      <c r="F547">
        <v>29049.24987</v>
      </c>
      <c r="G547">
        <v>29.048999999999999</v>
      </c>
      <c r="H547">
        <v>0.151</v>
      </c>
      <c r="I547">
        <v>1</v>
      </c>
      <c r="J547">
        <v>1308</v>
      </c>
      <c r="K547">
        <v>0.54032376299999996</v>
      </c>
      <c r="L547">
        <v>0.88</v>
      </c>
      <c r="M547">
        <v>5</v>
      </c>
      <c r="N547">
        <v>0.64800000000000002</v>
      </c>
      <c r="O547">
        <v>4</v>
      </c>
      <c r="P547">
        <v>5</v>
      </c>
      <c r="S547" s="164" t="s">
        <v>936</v>
      </c>
    </row>
    <row r="548" spans="1:19" x14ac:dyDescent="0.25">
      <c r="A548" t="s">
        <v>2114</v>
      </c>
      <c r="B548">
        <v>9009142200</v>
      </c>
      <c r="C548" t="s">
        <v>2115</v>
      </c>
      <c r="D548">
        <v>67917</v>
      </c>
      <c r="E548">
        <v>1.6</v>
      </c>
      <c r="F548">
        <v>53693.102959999997</v>
      </c>
      <c r="G548">
        <v>53.692999999999998</v>
      </c>
      <c r="H548">
        <v>0.53700000000000003</v>
      </c>
      <c r="I548">
        <v>3</v>
      </c>
      <c r="J548">
        <v>1487</v>
      </c>
      <c r="K548">
        <v>0.33233318699999997</v>
      </c>
      <c r="L548">
        <v>0.379</v>
      </c>
      <c r="M548">
        <v>2</v>
      </c>
      <c r="N548">
        <v>0.496</v>
      </c>
      <c r="O548">
        <v>3</v>
      </c>
      <c r="P548">
        <v>3</v>
      </c>
      <c r="S548" s="166" t="s">
        <v>944</v>
      </c>
    </row>
    <row r="549" spans="1:19" x14ac:dyDescent="0.25">
      <c r="A549" t="s">
        <v>2116</v>
      </c>
      <c r="B549">
        <v>9009142300</v>
      </c>
      <c r="C549" t="s">
        <v>2117</v>
      </c>
      <c r="D549">
        <v>37481</v>
      </c>
      <c r="E549">
        <v>2.76</v>
      </c>
      <c r="F549">
        <v>22560.910800000001</v>
      </c>
      <c r="G549">
        <v>22.561</v>
      </c>
      <c r="H549">
        <v>8.7999999999999995E-2</v>
      </c>
      <c r="I549">
        <v>1</v>
      </c>
      <c r="J549">
        <v>1269</v>
      </c>
      <c r="K549">
        <v>0.67497275000000001</v>
      </c>
      <c r="L549">
        <v>0.95399999999999996</v>
      </c>
      <c r="M549">
        <v>5</v>
      </c>
      <c r="N549">
        <v>0.68899999999999995</v>
      </c>
      <c r="O549">
        <v>4</v>
      </c>
      <c r="P549">
        <v>5</v>
      </c>
      <c r="S549" s="164" t="s">
        <v>936</v>
      </c>
    </row>
    <row r="550" spans="1:19" x14ac:dyDescent="0.25">
      <c r="A550" t="s">
        <v>2118</v>
      </c>
      <c r="B550">
        <v>9009142400</v>
      </c>
      <c r="C550" t="s">
        <v>2119</v>
      </c>
      <c r="D550">
        <v>36058</v>
      </c>
      <c r="E550">
        <v>3.28</v>
      </c>
      <c r="F550">
        <v>19909.699840000001</v>
      </c>
      <c r="G550">
        <v>19.91</v>
      </c>
      <c r="H550">
        <v>5.7000000000000002E-2</v>
      </c>
      <c r="I550">
        <v>1</v>
      </c>
      <c r="J550">
        <v>1247</v>
      </c>
      <c r="K550">
        <v>0.75159345</v>
      </c>
      <c r="L550">
        <v>0.97799999999999998</v>
      </c>
      <c r="M550">
        <v>5</v>
      </c>
      <c r="N550">
        <v>0.71699999999999997</v>
      </c>
      <c r="O550">
        <v>4</v>
      </c>
      <c r="P550">
        <v>5</v>
      </c>
      <c r="S550" s="166" t="s">
        <v>936</v>
      </c>
    </row>
    <row r="551" spans="1:19" x14ac:dyDescent="0.25">
      <c r="A551" t="s">
        <v>2120</v>
      </c>
      <c r="B551">
        <v>9009142500</v>
      </c>
      <c r="C551" t="s">
        <v>2121</v>
      </c>
      <c r="D551">
        <v>42095</v>
      </c>
      <c r="E551">
        <v>2.79</v>
      </c>
      <c r="F551">
        <v>25201.617300000002</v>
      </c>
      <c r="G551">
        <v>25.202000000000002</v>
      </c>
      <c r="H551">
        <v>0.114</v>
      </c>
      <c r="I551">
        <v>1</v>
      </c>
      <c r="J551">
        <v>1195</v>
      </c>
      <c r="K551">
        <v>0.56901110099999996</v>
      </c>
      <c r="L551">
        <v>0.90300000000000002</v>
      </c>
      <c r="M551">
        <v>5</v>
      </c>
      <c r="N551">
        <v>0.77300000000000002</v>
      </c>
      <c r="O551">
        <v>4</v>
      </c>
      <c r="P551">
        <v>5</v>
      </c>
      <c r="S551" s="164" t="s">
        <v>936</v>
      </c>
    </row>
    <row r="552" spans="1:19" x14ac:dyDescent="0.25">
      <c r="A552" t="s">
        <v>2122</v>
      </c>
      <c r="B552">
        <v>9009142601</v>
      </c>
      <c r="C552" t="s">
        <v>2123</v>
      </c>
      <c r="D552">
        <v>55399</v>
      </c>
      <c r="E552">
        <v>2.61</v>
      </c>
      <c r="F552">
        <v>34291.120130000003</v>
      </c>
      <c r="G552">
        <v>34.290999999999997</v>
      </c>
      <c r="H552">
        <v>0.23</v>
      </c>
      <c r="I552">
        <v>2</v>
      </c>
      <c r="J552">
        <v>1198</v>
      </c>
      <c r="K552">
        <v>0.41923389900000002</v>
      </c>
      <c r="L552">
        <v>0.71799999999999997</v>
      </c>
      <c r="M552">
        <v>4</v>
      </c>
      <c r="N552">
        <v>0.76700000000000002</v>
      </c>
      <c r="O552">
        <v>4</v>
      </c>
      <c r="P552">
        <v>4</v>
      </c>
      <c r="S552" s="166" t="s">
        <v>944</v>
      </c>
    </row>
    <row r="553" spans="1:19" x14ac:dyDescent="0.25">
      <c r="A553" t="s">
        <v>2124</v>
      </c>
      <c r="B553">
        <v>9009142603</v>
      </c>
      <c r="C553" t="s">
        <v>2125</v>
      </c>
      <c r="D553">
        <v>19593</v>
      </c>
      <c r="E553">
        <v>1.86</v>
      </c>
      <c r="F553">
        <v>14366.28462</v>
      </c>
      <c r="G553">
        <v>14.366</v>
      </c>
      <c r="H553">
        <v>1.4E-2</v>
      </c>
      <c r="I553">
        <v>1</v>
      </c>
      <c r="J553">
        <v>715</v>
      </c>
      <c r="K553">
        <v>0.59723165899999997</v>
      </c>
      <c r="L553">
        <v>0.92200000000000004</v>
      </c>
      <c r="M553">
        <v>5</v>
      </c>
      <c r="N553">
        <v>0.99199999999999999</v>
      </c>
      <c r="O553">
        <v>5</v>
      </c>
      <c r="P553">
        <v>5</v>
      </c>
      <c r="S553" s="164" t="s">
        <v>936</v>
      </c>
    </row>
    <row r="554" spans="1:19" x14ac:dyDescent="0.25">
      <c r="A554" t="s">
        <v>2126</v>
      </c>
      <c r="B554">
        <v>9009142604</v>
      </c>
      <c r="C554" t="s">
        <v>2127</v>
      </c>
      <c r="D554">
        <v>73411</v>
      </c>
      <c r="E554">
        <v>2.5499999999999998</v>
      </c>
      <c r="F554">
        <v>45971.751429999997</v>
      </c>
      <c r="G554">
        <v>45.972000000000001</v>
      </c>
      <c r="H554">
        <v>0.38200000000000001</v>
      </c>
      <c r="I554">
        <v>2</v>
      </c>
      <c r="J554">
        <v>1442</v>
      </c>
      <c r="K554">
        <v>0.37640506299999998</v>
      </c>
      <c r="L554">
        <v>0.62</v>
      </c>
      <c r="M554">
        <v>4</v>
      </c>
      <c r="N554">
        <v>0.53700000000000003</v>
      </c>
      <c r="O554">
        <v>3</v>
      </c>
      <c r="P554">
        <v>4</v>
      </c>
      <c r="S554" s="166" t="s">
        <v>944</v>
      </c>
    </row>
    <row r="555" spans="1:19" x14ac:dyDescent="0.25">
      <c r="A555" t="s">
        <v>2128</v>
      </c>
      <c r="B555">
        <v>9009142700</v>
      </c>
      <c r="C555" t="s">
        <v>2129</v>
      </c>
      <c r="D555">
        <v>41881</v>
      </c>
      <c r="E555">
        <v>3.12</v>
      </c>
      <c r="F555">
        <v>23710.447230000002</v>
      </c>
      <c r="G555">
        <v>23.71</v>
      </c>
      <c r="H555">
        <v>0.10199999999999999</v>
      </c>
      <c r="I555">
        <v>1</v>
      </c>
      <c r="J555">
        <v>1365</v>
      </c>
      <c r="K555">
        <v>0.69083471299999999</v>
      </c>
      <c r="L555">
        <v>0.95799999999999996</v>
      </c>
      <c r="M555">
        <v>5</v>
      </c>
      <c r="N555">
        <v>0.59399999999999997</v>
      </c>
      <c r="O555">
        <v>3</v>
      </c>
      <c r="P555">
        <v>4</v>
      </c>
      <c r="S555" s="164" t="s">
        <v>936</v>
      </c>
    </row>
    <row r="556" spans="1:19" x14ac:dyDescent="0.25">
      <c r="A556" t="s">
        <v>2130</v>
      </c>
      <c r="B556">
        <v>9009142800</v>
      </c>
      <c r="C556" t="s">
        <v>2131</v>
      </c>
      <c r="D556">
        <v>68832</v>
      </c>
      <c r="E556">
        <v>2.13</v>
      </c>
      <c r="F556">
        <v>47162.909269999996</v>
      </c>
      <c r="G556">
        <v>47.162999999999997</v>
      </c>
      <c r="H556">
        <v>0.39900000000000002</v>
      </c>
      <c r="I556">
        <v>2</v>
      </c>
      <c r="J556">
        <v>1506</v>
      </c>
      <c r="K556">
        <v>0.38318246900000003</v>
      </c>
      <c r="L556">
        <v>0.64200000000000002</v>
      </c>
      <c r="M556">
        <v>4</v>
      </c>
      <c r="N556">
        <v>0.46800000000000003</v>
      </c>
      <c r="O556">
        <v>3</v>
      </c>
      <c r="P556">
        <v>4</v>
      </c>
      <c r="S556" s="166" t="s">
        <v>944</v>
      </c>
    </row>
    <row r="557" spans="1:19" x14ac:dyDescent="0.25">
      <c r="A557" t="s">
        <v>2132</v>
      </c>
      <c r="B557">
        <v>9009150100</v>
      </c>
      <c r="C557" t="s">
        <v>2133</v>
      </c>
      <c r="D557">
        <v>100309</v>
      </c>
      <c r="E557">
        <v>2.0699999999999998</v>
      </c>
      <c r="F557">
        <v>69719.574529999998</v>
      </c>
      <c r="G557">
        <v>69.72</v>
      </c>
      <c r="H557">
        <v>0.79800000000000004</v>
      </c>
      <c r="I557">
        <v>4</v>
      </c>
      <c r="J557">
        <v>1797</v>
      </c>
      <c r="K557">
        <v>0.30929620800000002</v>
      </c>
      <c r="L557">
        <v>0.223</v>
      </c>
      <c r="M557">
        <v>2</v>
      </c>
      <c r="N557">
        <v>0.255</v>
      </c>
      <c r="O557">
        <v>2</v>
      </c>
      <c r="P557">
        <v>2</v>
      </c>
      <c r="S557" s="164" t="s">
        <v>944</v>
      </c>
    </row>
    <row r="558" spans="1:19" x14ac:dyDescent="0.25">
      <c r="A558" t="s">
        <v>2134</v>
      </c>
      <c r="B558">
        <v>9009150200</v>
      </c>
      <c r="C558" t="s">
        <v>2135</v>
      </c>
      <c r="D558">
        <v>71295</v>
      </c>
      <c r="E558">
        <v>2.23</v>
      </c>
      <c r="F558">
        <v>47742.663249999998</v>
      </c>
      <c r="G558">
        <v>47.743000000000002</v>
      </c>
      <c r="H558">
        <v>0.42</v>
      </c>
      <c r="I558">
        <v>3</v>
      </c>
      <c r="J558">
        <v>1571</v>
      </c>
      <c r="K558">
        <v>0.39486695399999999</v>
      </c>
      <c r="L558">
        <v>0.67200000000000004</v>
      </c>
      <c r="M558">
        <v>4</v>
      </c>
      <c r="N558">
        <v>0.41399999999999998</v>
      </c>
      <c r="O558">
        <v>3</v>
      </c>
      <c r="P558">
        <v>3</v>
      </c>
      <c r="S558" s="166" t="s">
        <v>944</v>
      </c>
    </row>
    <row r="559" spans="1:19" x14ac:dyDescent="0.25">
      <c r="A559" t="s">
        <v>2136</v>
      </c>
      <c r="B559">
        <v>9009150300</v>
      </c>
      <c r="C559" t="s">
        <v>2137</v>
      </c>
      <c r="D559">
        <v>88063</v>
      </c>
      <c r="E559">
        <v>2.35</v>
      </c>
      <c r="F559">
        <v>57445.967100000002</v>
      </c>
      <c r="G559">
        <v>57.445999999999998</v>
      </c>
      <c r="H559">
        <v>0.60599999999999998</v>
      </c>
      <c r="I559">
        <v>4</v>
      </c>
      <c r="J559">
        <v>1618</v>
      </c>
      <c r="K559">
        <v>0.33798717299999997</v>
      </c>
      <c r="L559">
        <v>0.40899999999999997</v>
      </c>
      <c r="M559">
        <v>3</v>
      </c>
      <c r="N559">
        <v>0.372</v>
      </c>
      <c r="O559">
        <v>2</v>
      </c>
      <c r="P559">
        <v>2</v>
      </c>
      <c r="S559" s="164" t="s">
        <v>944</v>
      </c>
    </row>
    <row r="560" spans="1:19" x14ac:dyDescent="0.25">
      <c r="A560" t="s">
        <v>2138</v>
      </c>
      <c r="B560">
        <v>9009150400</v>
      </c>
      <c r="C560" t="s">
        <v>2139</v>
      </c>
      <c r="D560">
        <v>65218</v>
      </c>
      <c r="E560">
        <v>2.13</v>
      </c>
      <c r="F560">
        <v>44686.637280000003</v>
      </c>
      <c r="G560">
        <v>44.686999999999998</v>
      </c>
      <c r="H560">
        <v>0.36299999999999999</v>
      </c>
      <c r="I560">
        <v>2</v>
      </c>
      <c r="J560">
        <v>1515</v>
      </c>
      <c r="K560">
        <v>0.40683302900000001</v>
      </c>
      <c r="L560">
        <v>0.69699999999999995</v>
      </c>
      <c r="M560">
        <v>4</v>
      </c>
      <c r="N560">
        <v>0.45800000000000002</v>
      </c>
      <c r="O560">
        <v>3</v>
      </c>
      <c r="P560">
        <v>4</v>
      </c>
      <c r="S560" s="166" t="s">
        <v>944</v>
      </c>
    </row>
    <row r="561" spans="1:19" x14ac:dyDescent="0.25">
      <c r="A561" t="s">
        <v>2140</v>
      </c>
      <c r="B561">
        <v>9009150500</v>
      </c>
      <c r="C561" t="s">
        <v>2141</v>
      </c>
      <c r="D561">
        <v>90000</v>
      </c>
      <c r="E561">
        <v>2.56</v>
      </c>
      <c r="F561">
        <v>56250</v>
      </c>
      <c r="G561">
        <v>56.25</v>
      </c>
      <c r="H561">
        <v>0.58399999999999996</v>
      </c>
      <c r="I561">
        <v>3</v>
      </c>
      <c r="J561">
        <v>1798</v>
      </c>
      <c r="K561">
        <v>0.38357333300000002</v>
      </c>
      <c r="L561">
        <v>0.64400000000000002</v>
      </c>
      <c r="M561">
        <v>4</v>
      </c>
      <c r="N561">
        <v>0.252</v>
      </c>
      <c r="O561">
        <v>2</v>
      </c>
      <c r="P561">
        <v>3</v>
      </c>
      <c r="S561" s="164" t="s">
        <v>944</v>
      </c>
    </row>
    <row r="562" spans="1:19" x14ac:dyDescent="0.25">
      <c r="A562" t="s">
        <v>2142</v>
      </c>
      <c r="B562">
        <v>9009150600</v>
      </c>
      <c r="C562" t="s">
        <v>2143</v>
      </c>
      <c r="D562">
        <v>103598</v>
      </c>
      <c r="E562">
        <v>2.69</v>
      </c>
      <c r="F562">
        <v>63164.815399999999</v>
      </c>
      <c r="G562">
        <v>63.164999999999999</v>
      </c>
      <c r="H562">
        <v>0.71</v>
      </c>
      <c r="I562">
        <v>4</v>
      </c>
      <c r="J562">
        <v>1613</v>
      </c>
      <c r="K562">
        <v>0.30643642199999999</v>
      </c>
      <c r="L562">
        <v>0.20799999999999999</v>
      </c>
      <c r="M562">
        <v>2</v>
      </c>
      <c r="N562">
        <v>0.376</v>
      </c>
      <c r="O562">
        <v>2</v>
      </c>
      <c r="P562">
        <v>2</v>
      </c>
      <c r="S562" s="166" t="s">
        <v>944</v>
      </c>
    </row>
    <row r="563" spans="1:19" x14ac:dyDescent="0.25">
      <c r="A563" t="s">
        <v>2144</v>
      </c>
      <c r="B563">
        <v>9009150700</v>
      </c>
      <c r="C563" t="s">
        <v>2145</v>
      </c>
      <c r="D563">
        <v>128750</v>
      </c>
      <c r="E563">
        <v>2.82</v>
      </c>
      <c r="F563">
        <v>76669.509279999998</v>
      </c>
      <c r="G563">
        <v>76.67</v>
      </c>
      <c r="H563">
        <v>0.85899999999999999</v>
      </c>
      <c r="I563">
        <v>5</v>
      </c>
      <c r="J563">
        <v>2032</v>
      </c>
      <c r="K563">
        <v>0.31804038200000001</v>
      </c>
      <c r="L563">
        <v>0.27300000000000002</v>
      </c>
      <c r="M563">
        <v>2</v>
      </c>
      <c r="N563">
        <v>0.157</v>
      </c>
      <c r="O563">
        <v>1</v>
      </c>
      <c r="P563">
        <v>1</v>
      </c>
      <c r="S563" s="164" t="s">
        <v>944</v>
      </c>
    </row>
    <row r="564" spans="1:19" x14ac:dyDescent="0.25">
      <c r="A564" t="s">
        <v>2146</v>
      </c>
      <c r="B564">
        <v>9009150800</v>
      </c>
      <c r="C564" t="s">
        <v>2147</v>
      </c>
      <c r="D564">
        <v>87647</v>
      </c>
      <c r="E564">
        <v>2.33</v>
      </c>
      <c r="F564">
        <v>57419.458830000003</v>
      </c>
      <c r="G564">
        <v>57.418999999999997</v>
      </c>
      <c r="H564">
        <v>0.60499999999999998</v>
      </c>
      <c r="I564">
        <v>4</v>
      </c>
      <c r="J564">
        <v>1661</v>
      </c>
      <c r="K564">
        <v>0.34712970799999998</v>
      </c>
      <c r="L564">
        <v>0.46400000000000002</v>
      </c>
      <c r="M564">
        <v>3</v>
      </c>
      <c r="N564">
        <v>0.33700000000000002</v>
      </c>
      <c r="O564">
        <v>2</v>
      </c>
      <c r="P564">
        <v>2</v>
      </c>
      <c r="S564" s="166" t="s">
        <v>944</v>
      </c>
    </row>
    <row r="565" spans="1:19" x14ac:dyDescent="0.25">
      <c r="A565" t="s">
        <v>2148</v>
      </c>
      <c r="B565">
        <v>9009150900</v>
      </c>
      <c r="C565" t="s">
        <v>2149</v>
      </c>
      <c r="D565">
        <v>117625</v>
      </c>
      <c r="E565">
        <v>2.6</v>
      </c>
      <c r="F565">
        <v>72947.928279999993</v>
      </c>
      <c r="G565">
        <v>72.947999999999993</v>
      </c>
      <c r="H565">
        <v>0.83399999999999996</v>
      </c>
      <c r="I565">
        <v>5</v>
      </c>
      <c r="J565">
        <v>1927</v>
      </c>
      <c r="K565">
        <v>0.31699323800000001</v>
      </c>
      <c r="L565">
        <v>0.26300000000000001</v>
      </c>
      <c r="M565">
        <v>2</v>
      </c>
      <c r="N565">
        <v>0.19500000000000001</v>
      </c>
      <c r="O565">
        <v>1</v>
      </c>
      <c r="P565">
        <v>1</v>
      </c>
      <c r="S565" s="164" t="s">
        <v>944</v>
      </c>
    </row>
    <row r="566" spans="1:19" x14ac:dyDescent="0.25">
      <c r="A566" t="s">
        <v>2150</v>
      </c>
      <c r="B566">
        <v>9009151000</v>
      </c>
      <c r="C566" t="s">
        <v>2151</v>
      </c>
      <c r="D566">
        <v>87227</v>
      </c>
      <c r="E566">
        <v>2.04</v>
      </c>
      <c r="F566">
        <v>61071.115440000001</v>
      </c>
      <c r="G566">
        <v>61.070999999999998</v>
      </c>
      <c r="H566">
        <v>0.67300000000000004</v>
      </c>
      <c r="I566">
        <v>4</v>
      </c>
      <c r="J566">
        <v>1786</v>
      </c>
      <c r="K566">
        <v>0.35093513300000001</v>
      </c>
      <c r="L566">
        <v>0.48499999999999999</v>
      </c>
      <c r="M566">
        <v>3</v>
      </c>
      <c r="N566">
        <v>0.26</v>
      </c>
      <c r="O566">
        <v>2</v>
      </c>
      <c r="P566">
        <v>2</v>
      </c>
      <c r="S566" s="166" t="s">
        <v>944</v>
      </c>
    </row>
    <row r="567" spans="1:19" x14ac:dyDescent="0.25">
      <c r="A567" t="s">
        <v>2152</v>
      </c>
      <c r="B567">
        <v>9009151100</v>
      </c>
      <c r="C567" t="s">
        <v>2153</v>
      </c>
      <c r="D567">
        <v>96916</v>
      </c>
      <c r="E567">
        <v>2.5299999999999998</v>
      </c>
      <c r="F567">
        <v>60930.567159999999</v>
      </c>
      <c r="G567">
        <v>60.930999999999997</v>
      </c>
      <c r="H567">
        <v>0.66900000000000004</v>
      </c>
      <c r="I567">
        <v>4</v>
      </c>
      <c r="J567">
        <v>1905</v>
      </c>
      <c r="K567">
        <v>0.37518114600000002</v>
      </c>
      <c r="L567">
        <v>0.61399999999999999</v>
      </c>
      <c r="M567">
        <v>4</v>
      </c>
      <c r="N567">
        <v>0.21</v>
      </c>
      <c r="O567">
        <v>2</v>
      </c>
      <c r="P567">
        <v>2</v>
      </c>
      <c r="S567" s="164" t="s">
        <v>944</v>
      </c>
    </row>
    <row r="568" spans="1:19" x14ac:dyDescent="0.25">
      <c r="A568" t="s">
        <v>2154</v>
      </c>
      <c r="B568">
        <v>9009151200</v>
      </c>
      <c r="C568" t="s">
        <v>2155</v>
      </c>
      <c r="D568">
        <v>84688</v>
      </c>
      <c r="E568">
        <v>2.4700000000000002</v>
      </c>
      <c r="F568">
        <v>53885.684009999997</v>
      </c>
      <c r="G568">
        <v>53.886000000000003</v>
      </c>
      <c r="H568">
        <v>0.54</v>
      </c>
      <c r="I568">
        <v>3</v>
      </c>
      <c r="J568">
        <v>1663</v>
      </c>
      <c r="K568">
        <v>0.37033955099999999</v>
      </c>
      <c r="L568">
        <v>0.59199999999999997</v>
      </c>
      <c r="M568">
        <v>3</v>
      </c>
      <c r="N568">
        <v>0.33400000000000002</v>
      </c>
      <c r="O568">
        <v>2</v>
      </c>
      <c r="P568">
        <v>3</v>
      </c>
      <c r="S568" s="166" t="s">
        <v>944</v>
      </c>
    </row>
    <row r="569" spans="1:19" x14ac:dyDescent="0.25">
      <c r="A569" t="s">
        <v>2156</v>
      </c>
      <c r="B569">
        <v>9009154100</v>
      </c>
      <c r="C569" t="s">
        <v>2157</v>
      </c>
      <c r="D569">
        <v>67314</v>
      </c>
      <c r="E569">
        <v>2.78</v>
      </c>
      <c r="F569">
        <v>40372.254330000003</v>
      </c>
      <c r="G569">
        <v>40.372</v>
      </c>
      <c r="H569">
        <v>0.30099999999999999</v>
      </c>
      <c r="I569">
        <v>2</v>
      </c>
      <c r="J569">
        <v>1320</v>
      </c>
      <c r="K569">
        <v>0.39234866299999999</v>
      </c>
      <c r="L569">
        <v>0.66900000000000004</v>
      </c>
      <c r="M569">
        <v>4</v>
      </c>
      <c r="N569">
        <v>0.63400000000000001</v>
      </c>
      <c r="O569">
        <v>4</v>
      </c>
      <c r="P569">
        <v>4</v>
      </c>
      <c r="S569" s="164" t="s">
        <v>944</v>
      </c>
    </row>
    <row r="570" spans="1:19" x14ac:dyDescent="0.25">
      <c r="A570" t="s">
        <v>2158</v>
      </c>
      <c r="B570">
        <v>9009154200</v>
      </c>
      <c r="C570" t="s">
        <v>2159</v>
      </c>
      <c r="D570">
        <v>56438</v>
      </c>
      <c r="E570">
        <v>2.48</v>
      </c>
      <c r="F570">
        <v>35838.165840000001</v>
      </c>
      <c r="G570">
        <v>35.838000000000001</v>
      </c>
      <c r="H570">
        <v>0.245</v>
      </c>
      <c r="I570">
        <v>2</v>
      </c>
      <c r="J570">
        <v>1270</v>
      </c>
      <c r="K570">
        <v>0.42524497700000002</v>
      </c>
      <c r="L570">
        <v>0.74199999999999999</v>
      </c>
      <c r="M570">
        <v>4</v>
      </c>
      <c r="N570">
        <v>0.68500000000000005</v>
      </c>
      <c r="O570">
        <v>4</v>
      </c>
      <c r="P570">
        <v>4</v>
      </c>
      <c r="S570" s="166" t="s">
        <v>944</v>
      </c>
    </row>
    <row r="571" spans="1:19" x14ac:dyDescent="0.25">
      <c r="A571" t="s">
        <v>2160</v>
      </c>
      <c r="B571">
        <v>9009154500</v>
      </c>
      <c r="C571" t="s">
        <v>2161</v>
      </c>
      <c r="D571">
        <v>45875</v>
      </c>
      <c r="E571">
        <v>2.46</v>
      </c>
      <c r="F571">
        <v>29248.831709999999</v>
      </c>
      <c r="G571">
        <v>29.248999999999999</v>
      </c>
      <c r="H571">
        <v>0.156</v>
      </c>
      <c r="I571">
        <v>1</v>
      </c>
      <c r="J571">
        <v>1230</v>
      </c>
      <c r="K571">
        <v>0.50463554099999997</v>
      </c>
      <c r="L571">
        <v>0.85099999999999998</v>
      </c>
      <c r="M571">
        <v>5</v>
      </c>
      <c r="N571">
        <v>0.73499999999999999</v>
      </c>
      <c r="O571">
        <v>4</v>
      </c>
      <c r="P571">
        <v>5</v>
      </c>
      <c r="S571" s="164" t="s">
        <v>936</v>
      </c>
    </row>
    <row r="572" spans="1:19" x14ac:dyDescent="0.25">
      <c r="A572" t="s">
        <v>2162</v>
      </c>
      <c r="B572">
        <v>9009154600</v>
      </c>
      <c r="C572" t="s">
        <v>2163</v>
      </c>
      <c r="D572">
        <v>47183</v>
      </c>
      <c r="E572">
        <v>2.52</v>
      </c>
      <c r="F572">
        <v>29722.496220000001</v>
      </c>
      <c r="G572">
        <v>29.722000000000001</v>
      </c>
      <c r="H572">
        <v>0.16500000000000001</v>
      </c>
      <c r="I572">
        <v>1</v>
      </c>
      <c r="J572">
        <v>1210</v>
      </c>
      <c r="K572">
        <v>0.48851886100000003</v>
      </c>
      <c r="L572">
        <v>0.83</v>
      </c>
      <c r="M572">
        <v>5</v>
      </c>
      <c r="N572">
        <v>0.755</v>
      </c>
      <c r="O572">
        <v>4</v>
      </c>
      <c r="P572">
        <v>5</v>
      </c>
      <c r="S572" s="166" t="s">
        <v>944</v>
      </c>
    </row>
    <row r="573" spans="1:19" x14ac:dyDescent="0.25">
      <c r="A573" t="s">
        <v>2164</v>
      </c>
      <c r="B573">
        <v>9009154700</v>
      </c>
      <c r="C573" t="s">
        <v>2165</v>
      </c>
      <c r="D573">
        <v>93632</v>
      </c>
      <c r="E573">
        <v>2.85</v>
      </c>
      <c r="F573">
        <v>55462.810120000002</v>
      </c>
      <c r="G573">
        <v>55.463000000000001</v>
      </c>
      <c r="H573">
        <v>0.57199999999999995</v>
      </c>
      <c r="I573">
        <v>3</v>
      </c>
      <c r="J573">
        <v>1699</v>
      </c>
      <c r="K573">
        <v>0.36759767399999999</v>
      </c>
      <c r="L573">
        <v>0.57599999999999996</v>
      </c>
      <c r="M573">
        <v>3</v>
      </c>
      <c r="N573">
        <v>0.311</v>
      </c>
      <c r="O573">
        <v>2</v>
      </c>
      <c r="P573">
        <v>3</v>
      </c>
      <c r="S573" s="164" t="s">
        <v>944</v>
      </c>
    </row>
    <row r="574" spans="1:19" x14ac:dyDescent="0.25">
      <c r="A574" t="s">
        <v>2166</v>
      </c>
      <c r="B574">
        <v>9009154800</v>
      </c>
      <c r="C574" t="s">
        <v>2167</v>
      </c>
      <c r="D574">
        <v>89167</v>
      </c>
      <c r="E574">
        <v>2.62</v>
      </c>
      <c r="F574">
        <v>55087.556570000001</v>
      </c>
      <c r="G574">
        <v>55.088000000000001</v>
      </c>
      <c r="H574">
        <v>0.56499999999999995</v>
      </c>
      <c r="I574">
        <v>3</v>
      </c>
      <c r="J574">
        <v>1730</v>
      </c>
      <c r="K574">
        <v>0.37685461599999998</v>
      </c>
      <c r="L574">
        <v>0.621</v>
      </c>
      <c r="M574">
        <v>4</v>
      </c>
      <c r="N574">
        <v>0.29099999999999998</v>
      </c>
      <c r="O574">
        <v>2</v>
      </c>
      <c r="P574">
        <v>3</v>
      </c>
      <c r="S574" s="166" t="s">
        <v>944</v>
      </c>
    </row>
    <row r="575" spans="1:19" x14ac:dyDescent="0.25">
      <c r="A575" t="s">
        <v>2168</v>
      </c>
      <c r="B575">
        <v>9009154900</v>
      </c>
      <c r="C575" t="s">
        <v>2169</v>
      </c>
      <c r="D575">
        <v>70350</v>
      </c>
      <c r="E575">
        <v>2.57</v>
      </c>
      <c r="F575">
        <v>43883.124309999999</v>
      </c>
      <c r="G575">
        <v>43.883000000000003</v>
      </c>
      <c r="H575">
        <v>0.34899999999999998</v>
      </c>
      <c r="I575">
        <v>2</v>
      </c>
      <c r="J575">
        <v>1296</v>
      </c>
      <c r="K575">
        <v>0.35439591500000001</v>
      </c>
      <c r="L575">
        <v>0.503</v>
      </c>
      <c r="M575">
        <v>3</v>
      </c>
      <c r="N575">
        <v>0.66</v>
      </c>
      <c r="O575">
        <v>4</v>
      </c>
      <c r="P575">
        <v>4</v>
      </c>
      <c r="S575" s="164" t="s">
        <v>944</v>
      </c>
    </row>
    <row r="576" spans="1:19" x14ac:dyDescent="0.25">
      <c r="A576" t="s">
        <v>2170</v>
      </c>
      <c r="B576">
        <v>9009155000</v>
      </c>
      <c r="C576" t="s">
        <v>2171</v>
      </c>
      <c r="D576">
        <v>63715</v>
      </c>
      <c r="E576">
        <v>2.61</v>
      </c>
      <c r="F576">
        <v>39438.59491</v>
      </c>
      <c r="G576">
        <v>39.439</v>
      </c>
      <c r="H576">
        <v>0.28599999999999998</v>
      </c>
      <c r="I576">
        <v>2</v>
      </c>
      <c r="J576">
        <v>1457</v>
      </c>
      <c r="K576">
        <v>0.44332208200000001</v>
      </c>
      <c r="L576">
        <v>0.77700000000000002</v>
      </c>
      <c r="M576">
        <v>4</v>
      </c>
      <c r="N576">
        <v>0.51900000000000002</v>
      </c>
      <c r="O576">
        <v>3</v>
      </c>
      <c r="P576">
        <v>4</v>
      </c>
      <c r="S576" s="166" t="s">
        <v>944</v>
      </c>
    </row>
    <row r="577" spans="1:19" x14ac:dyDescent="0.25">
      <c r="A577" t="s">
        <v>2172</v>
      </c>
      <c r="B577">
        <v>9009155100</v>
      </c>
      <c r="C577" t="s">
        <v>2173</v>
      </c>
      <c r="D577">
        <v>41477</v>
      </c>
      <c r="E577">
        <v>1.9</v>
      </c>
      <c r="F577">
        <v>30090.578430000001</v>
      </c>
      <c r="G577">
        <v>30.091000000000001</v>
      </c>
      <c r="H577">
        <v>0.17100000000000001</v>
      </c>
      <c r="I577">
        <v>1</v>
      </c>
      <c r="J577">
        <v>1263</v>
      </c>
      <c r="K577">
        <v>0.50367925099999999</v>
      </c>
      <c r="L577">
        <v>0.85</v>
      </c>
      <c r="M577">
        <v>5</v>
      </c>
      <c r="N577">
        <v>0.7</v>
      </c>
      <c r="O577">
        <v>4</v>
      </c>
      <c r="P577">
        <v>5</v>
      </c>
      <c r="S577" s="164" t="s">
        <v>936</v>
      </c>
    </row>
    <row r="578" spans="1:19" x14ac:dyDescent="0.25">
      <c r="A578" t="s">
        <v>2174</v>
      </c>
      <c r="B578">
        <v>9009157100</v>
      </c>
      <c r="C578" t="s">
        <v>2175</v>
      </c>
      <c r="D578">
        <v>67097</v>
      </c>
      <c r="E578">
        <v>2.44</v>
      </c>
      <c r="F578">
        <v>42954.452660000003</v>
      </c>
      <c r="G578">
        <v>42.954000000000001</v>
      </c>
      <c r="H578">
        <v>0.33900000000000002</v>
      </c>
      <c r="I578">
        <v>2</v>
      </c>
      <c r="J578">
        <v>1754</v>
      </c>
      <c r="K578">
        <v>0.49000740799999998</v>
      </c>
      <c r="L578">
        <v>0.83399999999999996</v>
      </c>
      <c r="M578">
        <v>5</v>
      </c>
      <c r="N578">
        <v>0.28299999999999997</v>
      </c>
      <c r="O578">
        <v>2</v>
      </c>
      <c r="P578">
        <v>3</v>
      </c>
      <c r="S578" s="166" t="s">
        <v>944</v>
      </c>
    </row>
    <row r="579" spans="1:19" x14ac:dyDescent="0.25">
      <c r="A579" t="s">
        <v>2176</v>
      </c>
      <c r="B579">
        <v>9009157200</v>
      </c>
      <c r="C579" t="s">
        <v>2177</v>
      </c>
      <c r="D579">
        <v>129559</v>
      </c>
      <c r="E579">
        <v>3.03</v>
      </c>
      <c r="F579">
        <v>74429.700769999996</v>
      </c>
      <c r="G579">
        <v>74.430000000000007</v>
      </c>
      <c r="H579">
        <v>0.84499999999999997</v>
      </c>
      <c r="I579">
        <v>5</v>
      </c>
      <c r="J579">
        <v>2329</v>
      </c>
      <c r="K579">
        <v>0.375495262</v>
      </c>
      <c r="L579">
        <v>0.61499999999999999</v>
      </c>
      <c r="M579">
        <v>4</v>
      </c>
      <c r="N579">
        <v>0.108</v>
      </c>
      <c r="O579">
        <v>1</v>
      </c>
      <c r="P579">
        <v>1</v>
      </c>
      <c r="S579" s="164" t="s">
        <v>944</v>
      </c>
    </row>
    <row r="580" spans="1:19" x14ac:dyDescent="0.25">
      <c r="A580" t="s">
        <v>2178</v>
      </c>
      <c r="B580">
        <v>9009157300</v>
      </c>
      <c r="C580" t="s">
        <v>2179</v>
      </c>
      <c r="D580">
        <v>130888</v>
      </c>
      <c r="E580">
        <v>2.67</v>
      </c>
      <c r="F580">
        <v>80102.155150000006</v>
      </c>
      <c r="G580">
        <v>80.102000000000004</v>
      </c>
      <c r="H580">
        <v>0.878</v>
      </c>
      <c r="I580">
        <v>5</v>
      </c>
      <c r="J580">
        <v>2202</v>
      </c>
      <c r="K580">
        <v>0.32987876500000002</v>
      </c>
      <c r="L580">
        <v>0.35599999999999998</v>
      </c>
      <c r="M580">
        <v>2</v>
      </c>
      <c r="N580">
        <v>0.126</v>
      </c>
      <c r="O580">
        <v>1</v>
      </c>
      <c r="P580">
        <v>1</v>
      </c>
      <c r="S580" s="166" t="s">
        <v>944</v>
      </c>
    </row>
    <row r="581" spans="1:19" x14ac:dyDescent="0.25">
      <c r="A581" t="s">
        <v>2180</v>
      </c>
      <c r="B581">
        <v>9009157400</v>
      </c>
      <c r="C581" t="s">
        <v>2181</v>
      </c>
      <c r="D581">
        <v>138169</v>
      </c>
      <c r="E581">
        <v>2.91</v>
      </c>
      <c r="F581">
        <v>80996.102239999993</v>
      </c>
      <c r="G581">
        <v>80.995999999999995</v>
      </c>
      <c r="H581">
        <v>0.88600000000000001</v>
      </c>
      <c r="I581">
        <v>5</v>
      </c>
      <c r="J581">
        <v>2364</v>
      </c>
      <c r="K581">
        <v>0.35023907599999998</v>
      </c>
      <c r="L581">
        <v>0.47899999999999998</v>
      </c>
      <c r="M581">
        <v>3</v>
      </c>
      <c r="N581">
        <v>9.7000000000000003E-2</v>
      </c>
      <c r="O581">
        <v>1</v>
      </c>
      <c r="P581">
        <v>1</v>
      </c>
      <c r="S581" s="164" t="s">
        <v>944</v>
      </c>
    </row>
    <row r="582" spans="1:19" x14ac:dyDescent="0.25">
      <c r="A582" t="s">
        <v>2182</v>
      </c>
      <c r="B582">
        <v>9009160100</v>
      </c>
      <c r="C582" t="s">
        <v>2183</v>
      </c>
      <c r="D582">
        <v>167400</v>
      </c>
      <c r="E582">
        <v>2.88</v>
      </c>
      <c r="F582">
        <v>98641.395980000001</v>
      </c>
      <c r="G582">
        <v>98.641000000000005</v>
      </c>
      <c r="H582">
        <v>0.94199999999999995</v>
      </c>
      <c r="I582">
        <v>5</v>
      </c>
      <c r="J582">
        <v>2642</v>
      </c>
      <c r="K582">
        <v>0.32140664400000002</v>
      </c>
      <c r="L582">
        <v>0.30499999999999999</v>
      </c>
      <c r="M582">
        <v>2</v>
      </c>
      <c r="N582">
        <v>6.4000000000000001E-2</v>
      </c>
      <c r="O582">
        <v>1</v>
      </c>
      <c r="P582">
        <v>1</v>
      </c>
      <c r="S582" s="166" t="s">
        <v>944</v>
      </c>
    </row>
    <row r="583" spans="1:19" x14ac:dyDescent="0.25">
      <c r="A583" t="s">
        <v>2184</v>
      </c>
      <c r="B583">
        <v>9009160200</v>
      </c>
      <c r="C583" t="s">
        <v>2185</v>
      </c>
      <c r="D583">
        <v>149107</v>
      </c>
      <c r="E583">
        <v>3.1</v>
      </c>
      <c r="F583">
        <v>84687.085219999994</v>
      </c>
      <c r="G583">
        <v>84.686999999999998</v>
      </c>
      <c r="H583">
        <v>0.90600000000000003</v>
      </c>
      <c r="I583">
        <v>5</v>
      </c>
      <c r="J583">
        <v>2238</v>
      </c>
      <c r="K583">
        <v>0.31712037199999998</v>
      </c>
      <c r="L583">
        <v>0.26500000000000001</v>
      </c>
      <c r="M583">
        <v>2</v>
      </c>
      <c r="N583">
        <v>0.125</v>
      </c>
      <c r="O583">
        <v>1</v>
      </c>
      <c r="P583">
        <v>1</v>
      </c>
      <c r="S583" s="164" t="s">
        <v>944</v>
      </c>
    </row>
    <row r="584" spans="1:19" x14ac:dyDescent="0.25">
      <c r="A584" t="s">
        <v>2186</v>
      </c>
      <c r="B584">
        <v>9009161100</v>
      </c>
      <c r="C584" t="s">
        <v>2187</v>
      </c>
      <c r="D584">
        <v>129133</v>
      </c>
      <c r="E584">
        <v>2.73</v>
      </c>
      <c r="F584">
        <v>78154.846980000002</v>
      </c>
      <c r="G584">
        <v>78.155000000000001</v>
      </c>
      <c r="H584">
        <v>0.86499999999999999</v>
      </c>
      <c r="I584">
        <v>5</v>
      </c>
      <c r="J584">
        <v>2240</v>
      </c>
      <c r="K584">
        <v>0.34393260399999998</v>
      </c>
      <c r="L584">
        <v>0.442</v>
      </c>
      <c r="M584">
        <v>3</v>
      </c>
      <c r="N584">
        <v>0.123</v>
      </c>
      <c r="O584">
        <v>1</v>
      </c>
      <c r="P584">
        <v>1</v>
      </c>
      <c r="S584" s="166" t="s">
        <v>944</v>
      </c>
    </row>
    <row r="585" spans="1:19" x14ac:dyDescent="0.25">
      <c r="A585" t="s">
        <v>2188</v>
      </c>
      <c r="B585">
        <v>9009165100</v>
      </c>
      <c r="C585" t="s">
        <v>2189</v>
      </c>
      <c r="D585">
        <v>78134</v>
      </c>
      <c r="E585">
        <v>2.67</v>
      </c>
      <c r="F585">
        <v>47817.231449999999</v>
      </c>
      <c r="G585">
        <v>47.817</v>
      </c>
      <c r="H585">
        <v>0.42199999999999999</v>
      </c>
      <c r="I585">
        <v>3</v>
      </c>
      <c r="J585">
        <v>1673</v>
      </c>
      <c r="K585">
        <v>0.41984864900000002</v>
      </c>
      <c r="L585">
        <v>0.72299999999999998</v>
      </c>
      <c r="M585">
        <v>4</v>
      </c>
      <c r="N585">
        <v>0.32500000000000001</v>
      </c>
      <c r="O585">
        <v>2</v>
      </c>
      <c r="P585">
        <v>3</v>
      </c>
      <c r="S585" s="164" t="s">
        <v>944</v>
      </c>
    </row>
    <row r="586" spans="1:19" x14ac:dyDescent="0.25">
      <c r="A586" t="s">
        <v>2190</v>
      </c>
      <c r="B586">
        <v>9009165200</v>
      </c>
      <c r="C586" t="s">
        <v>2191</v>
      </c>
      <c r="D586">
        <v>105833</v>
      </c>
      <c r="E586">
        <v>2.36</v>
      </c>
      <c r="F586">
        <v>68891.415080000006</v>
      </c>
      <c r="G586">
        <v>68.891000000000005</v>
      </c>
      <c r="H586">
        <v>0.78900000000000003</v>
      </c>
      <c r="I586">
        <v>4</v>
      </c>
      <c r="J586">
        <v>1727</v>
      </c>
      <c r="K586">
        <v>0.30082122700000002</v>
      </c>
      <c r="L586">
        <v>0.17599999999999999</v>
      </c>
      <c r="M586">
        <v>1</v>
      </c>
      <c r="N586">
        <v>0.29199999999999998</v>
      </c>
      <c r="O586">
        <v>2</v>
      </c>
      <c r="P586">
        <v>2</v>
      </c>
      <c r="S586" s="166" t="s">
        <v>944</v>
      </c>
    </row>
    <row r="587" spans="1:19" x14ac:dyDescent="0.25">
      <c r="A587" t="s">
        <v>2192</v>
      </c>
      <c r="B587">
        <v>9009165300</v>
      </c>
      <c r="C587" t="s">
        <v>2193</v>
      </c>
      <c r="D587">
        <v>105759</v>
      </c>
      <c r="E587">
        <v>2.36</v>
      </c>
      <c r="F587">
        <v>68843.245179999998</v>
      </c>
      <c r="G587">
        <v>68.843000000000004</v>
      </c>
      <c r="H587">
        <v>0.78700000000000003</v>
      </c>
      <c r="I587">
        <v>4</v>
      </c>
      <c r="J587">
        <v>1649</v>
      </c>
      <c r="K587">
        <v>0.28743560699999998</v>
      </c>
      <c r="L587">
        <v>0.105</v>
      </c>
      <c r="M587">
        <v>1</v>
      </c>
      <c r="N587">
        <v>0.35</v>
      </c>
      <c r="O587">
        <v>2</v>
      </c>
      <c r="P587">
        <v>2</v>
      </c>
      <c r="S587" s="164" t="s">
        <v>944</v>
      </c>
    </row>
    <row r="588" spans="1:19" x14ac:dyDescent="0.25">
      <c r="A588" t="s">
        <v>2194</v>
      </c>
      <c r="B588">
        <v>9009165400</v>
      </c>
      <c r="C588" t="s">
        <v>2195</v>
      </c>
      <c r="D588">
        <v>82364</v>
      </c>
      <c r="E588">
        <v>2.0099999999999998</v>
      </c>
      <c r="F588">
        <v>58095.086300000003</v>
      </c>
      <c r="G588">
        <v>58.094999999999999</v>
      </c>
      <c r="H588">
        <v>0.61899999999999999</v>
      </c>
      <c r="I588">
        <v>4</v>
      </c>
      <c r="J588">
        <v>1283</v>
      </c>
      <c r="K588">
        <v>0.26501380699999999</v>
      </c>
      <c r="L588">
        <v>4.5999999999999999E-2</v>
      </c>
      <c r="M588">
        <v>1</v>
      </c>
      <c r="N588">
        <v>0.67400000000000004</v>
      </c>
      <c r="O588">
        <v>4</v>
      </c>
      <c r="P588">
        <v>3</v>
      </c>
      <c r="S588" s="166" t="s">
        <v>944</v>
      </c>
    </row>
    <row r="589" spans="1:19" x14ac:dyDescent="0.25">
      <c r="A589" t="s">
        <v>2196</v>
      </c>
      <c r="B589">
        <v>9009165500</v>
      </c>
      <c r="C589" t="s">
        <v>2197</v>
      </c>
      <c r="D589">
        <v>48477</v>
      </c>
      <c r="E589">
        <v>2.69</v>
      </c>
      <c r="F589">
        <v>29556.948550000001</v>
      </c>
      <c r="G589">
        <v>29.556999999999999</v>
      </c>
      <c r="H589">
        <v>0.16400000000000001</v>
      </c>
      <c r="I589">
        <v>1</v>
      </c>
      <c r="J589">
        <v>1350</v>
      </c>
      <c r="K589">
        <v>0.54809446799999995</v>
      </c>
      <c r="L589">
        <v>0.88500000000000001</v>
      </c>
      <c r="M589">
        <v>5</v>
      </c>
      <c r="N589">
        <v>0.60499999999999998</v>
      </c>
      <c r="O589">
        <v>4</v>
      </c>
      <c r="P589">
        <v>5</v>
      </c>
      <c r="S589" s="164" t="s">
        <v>944</v>
      </c>
    </row>
    <row r="590" spans="1:19" x14ac:dyDescent="0.25">
      <c r="A590" t="s">
        <v>2198</v>
      </c>
      <c r="B590">
        <v>9009165600</v>
      </c>
      <c r="C590" t="s">
        <v>2199</v>
      </c>
      <c r="D590">
        <v>61196</v>
      </c>
      <c r="E590">
        <v>2.74</v>
      </c>
      <c r="F590">
        <v>36969.855620000002</v>
      </c>
      <c r="G590">
        <v>36.97</v>
      </c>
      <c r="H590">
        <v>0.25800000000000001</v>
      </c>
      <c r="I590">
        <v>2</v>
      </c>
      <c r="J590">
        <v>1454</v>
      </c>
      <c r="K590">
        <v>0.47195207300000003</v>
      </c>
      <c r="L590">
        <v>0.81299999999999994</v>
      </c>
      <c r="M590">
        <v>5</v>
      </c>
      <c r="N590">
        <v>0.52400000000000002</v>
      </c>
      <c r="O590">
        <v>3</v>
      </c>
      <c r="P590">
        <v>4</v>
      </c>
      <c r="S590" s="166" t="s">
        <v>944</v>
      </c>
    </row>
    <row r="591" spans="1:19" x14ac:dyDescent="0.25">
      <c r="A591" t="s">
        <v>2200</v>
      </c>
      <c r="B591">
        <v>9009165700</v>
      </c>
      <c r="C591" t="s">
        <v>2201</v>
      </c>
      <c r="D591">
        <v>74722</v>
      </c>
      <c r="E591">
        <v>2.83</v>
      </c>
      <c r="F591">
        <v>44417.618520000004</v>
      </c>
      <c r="G591">
        <v>44.417999999999999</v>
      </c>
      <c r="H591">
        <v>0.35799999999999998</v>
      </c>
      <c r="I591">
        <v>2</v>
      </c>
      <c r="J591">
        <v>1691</v>
      </c>
      <c r="K591">
        <v>0.456845744</v>
      </c>
      <c r="L591">
        <v>0.79400000000000004</v>
      </c>
      <c r="M591">
        <v>4</v>
      </c>
      <c r="N591">
        <v>0.317</v>
      </c>
      <c r="O591">
        <v>2</v>
      </c>
      <c r="P591">
        <v>3</v>
      </c>
      <c r="S591" s="164" t="s">
        <v>944</v>
      </c>
    </row>
    <row r="592" spans="1:19" x14ac:dyDescent="0.25">
      <c r="A592" t="s">
        <v>2202</v>
      </c>
      <c r="B592">
        <v>9009165801</v>
      </c>
      <c r="C592" t="s">
        <v>2203</v>
      </c>
      <c r="D592">
        <v>69390</v>
      </c>
      <c r="E592">
        <v>2.27</v>
      </c>
      <c r="F592">
        <v>46055.760589999998</v>
      </c>
      <c r="G592">
        <v>46.055999999999997</v>
      </c>
      <c r="H592">
        <v>0.38700000000000001</v>
      </c>
      <c r="I592">
        <v>2</v>
      </c>
      <c r="J592">
        <v>1430</v>
      </c>
      <c r="K592">
        <v>0.37259182699999999</v>
      </c>
      <c r="L592">
        <v>0.60399999999999998</v>
      </c>
      <c r="M592">
        <v>4</v>
      </c>
      <c r="N592">
        <v>0.54200000000000004</v>
      </c>
      <c r="O592">
        <v>3</v>
      </c>
      <c r="P592">
        <v>4</v>
      </c>
      <c r="S592" s="166" t="s">
        <v>944</v>
      </c>
    </row>
    <row r="593" spans="1:19" x14ac:dyDescent="0.25">
      <c r="A593" t="s">
        <v>2204</v>
      </c>
      <c r="B593">
        <v>9009165802</v>
      </c>
      <c r="C593" t="s">
        <v>2205</v>
      </c>
      <c r="D593">
        <v>106904</v>
      </c>
      <c r="E593">
        <v>2.98</v>
      </c>
      <c r="F593">
        <v>61927.82445</v>
      </c>
      <c r="G593">
        <v>61.927999999999997</v>
      </c>
      <c r="H593">
        <v>0.69299999999999995</v>
      </c>
      <c r="I593">
        <v>4</v>
      </c>
      <c r="J593">
        <v>2045</v>
      </c>
      <c r="K593">
        <v>0.39626775600000003</v>
      </c>
      <c r="L593">
        <v>0.67800000000000005</v>
      </c>
      <c r="M593">
        <v>4</v>
      </c>
      <c r="N593">
        <v>0.153</v>
      </c>
      <c r="O593">
        <v>1</v>
      </c>
      <c r="P593">
        <v>2</v>
      </c>
      <c r="S593" s="164" t="s">
        <v>944</v>
      </c>
    </row>
    <row r="594" spans="1:19" x14ac:dyDescent="0.25">
      <c r="A594" t="s">
        <v>2206</v>
      </c>
      <c r="B594">
        <v>9009165900</v>
      </c>
      <c r="C594" t="s">
        <v>2207</v>
      </c>
      <c r="D594">
        <v>113765</v>
      </c>
      <c r="E594">
        <v>2.68</v>
      </c>
      <c r="F594">
        <v>69493.034190000006</v>
      </c>
      <c r="G594">
        <v>69.492999999999995</v>
      </c>
      <c r="H594">
        <v>0.79400000000000004</v>
      </c>
      <c r="I594">
        <v>4</v>
      </c>
      <c r="J594">
        <v>2369</v>
      </c>
      <c r="K594">
        <v>0.40907697199999998</v>
      </c>
      <c r="L594">
        <v>0.7</v>
      </c>
      <c r="M594">
        <v>4</v>
      </c>
      <c r="N594">
        <v>9.5000000000000001E-2</v>
      </c>
      <c r="O594">
        <v>1</v>
      </c>
      <c r="P594">
        <v>2</v>
      </c>
      <c r="S594" s="166" t="s">
        <v>944</v>
      </c>
    </row>
    <row r="595" spans="1:19" x14ac:dyDescent="0.25">
      <c r="A595" t="s">
        <v>2208</v>
      </c>
      <c r="B595">
        <v>9009166001</v>
      </c>
      <c r="C595" t="s">
        <v>2209</v>
      </c>
      <c r="D595">
        <v>70787</v>
      </c>
      <c r="E595">
        <v>2.08</v>
      </c>
      <c r="F595">
        <v>49081.95349</v>
      </c>
      <c r="G595">
        <v>49.082000000000001</v>
      </c>
      <c r="H595">
        <v>0.45300000000000001</v>
      </c>
      <c r="I595">
        <v>3</v>
      </c>
      <c r="J595">
        <v>1616</v>
      </c>
      <c r="K595">
        <v>0.39509429899999998</v>
      </c>
      <c r="L595">
        <v>0.67300000000000004</v>
      </c>
      <c r="M595">
        <v>4</v>
      </c>
      <c r="N595">
        <v>0.374</v>
      </c>
      <c r="O595">
        <v>2</v>
      </c>
      <c r="P595">
        <v>3</v>
      </c>
      <c r="S595" s="164" t="s">
        <v>944</v>
      </c>
    </row>
    <row r="596" spans="1:19" x14ac:dyDescent="0.25">
      <c r="A596" t="s">
        <v>2210</v>
      </c>
      <c r="B596">
        <v>9009166002</v>
      </c>
      <c r="C596" t="s">
        <v>2211</v>
      </c>
      <c r="D596">
        <v>95125</v>
      </c>
      <c r="E596">
        <v>2.19</v>
      </c>
      <c r="F596">
        <v>64279.518120000001</v>
      </c>
      <c r="G596">
        <v>64.28</v>
      </c>
      <c r="H596">
        <v>0.72099999999999997</v>
      </c>
      <c r="I596">
        <v>4</v>
      </c>
      <c r="J596">
        <v>1710</v>
      </c>
      <c r="K596">
        <v>0.31923076900000003</v>
      </c>
      <c r="L596">
        <v>0.28399999999999997</v>
      </c>
      <c r="M596">
        <v>2</v>
      </c>
      <c r="N596">
        <v>0.30499999999999999</v>
      </c>
      <c r="O596">
        <v>2</v>
      </c>
      <c r="P596">
        <v>2</v>
      </c>
      <c r="S596" s="166" t="s">
        <v>944</v>
      </c>
    </row>
    <row r="597" spans="1:19" x14ac:dyDescent="0.25">
      <c r="A597" t="s">
        <v>2212</v>
      </c>
      <c r="B597">
        <v>9009167100</v>
      </c>
      <c r="C597" t="s">
        <v>2213</v>
      </c>
      <c r="D597">
        <v>107619</v>
      </c>
      <c r="E597">
        <v>2.5299999999999998</v>
      </c>
      <c r="F597">
        <v>67659.485610000003</v>
      </c>
      <c r="G597">
        <v>67.659000000000006</v>
      </c>
      <c r="H597">
        <v>0.77100000000000002</v>
      </c>
      <c r="I597">
        <v>4</v>
      </c>
      <c r="J597">
        <v>1824</v>
      </c>
      <c r="K597">
        <v>0.32350231200000001</v>
      </c>
      <c r="L597">
        <v>0.32300000000000001</v>
      </c>
      <c r="M597">
        <v>2</v>
      </c>
      <c r="N597">
        <v>0.246</v>
      </c>
      <c r="O597">
        <v>2</v>
      </c>
      <c r="P597">
        <v>2</v>
      </c>
      <c r="S597" s="164" t="s">
        <v>944</v>
      </c>
    </row>
    <row r="598" spans="1:19" x14ac:dyDescent="0.25">
      <c r="A598" t="s">
        <v>2214</v>
      </c>
      <c r="B598">
        <v>9009167201</v>
      </c>
      <c r="C598" t="s">
        <v>2215</v>
      </c>
      <c r="D598">
        <v>88750</v>
      </c>
      <c r="E598">
        <v>2.6</v>
      </c>
      <c r="F598">
        <v>55040.41347</v>
      </c>
      <c r="G598">
        <v>55.04</v>
      </c>
      <c r="H598">
        <v>0.56299999999999994</v>
      </c>
      <c r="I598">
        <v>3</v>
      </c>
      <c r="J598">
        <v>1741</v>
      </c>
      <c r="K598">
        <v>0.37957563700000002</v>
      </c>
      <c r="L598">
        <v>0.63200000000000001</v>
      </c>
      <c r="M598">
        <v>4</v>
      </c>
      <c r="N598">
        <v>0.28799999999999998</v>
      </c>
      <c r="O598">
        <v>2</v>
      </c>
      <c r="P598">
        <v>3</v>
      </c>
      <c r="S598" s="166" t="s">
        <v>944</v>
      </c>
    </row>
    <row r="599" spans="1:19" x14ac:dyDescent="0.25">
      <c r="A599" t="s">
        <v>2216</v>
      </c>
      <c r="B599">
        <v>9009167202</v>
      </c>
      <c r="C599" t="s">
        <v>2217</v>
      </c>
      <c r="D599">
        <v>85406</v>
      </c>
      <c r="E599">
        <v>2.63</v>
      </c>
      <c r="F599">
        <v>52663.595679999999</v>
      </c>
      <c r="G599">
        <v>52.664000000000001</v>
      </c>
      <c r="H599">
        <v>0.51500000000000001</v>
      </c>
      <c r="I599">
        <v>3</v>
      </c>
      <c r="J599">
        <v>1464</v>
      </c>
      <c r="K599">
        <v>0.33358907199999999</v>
      </c>
      <c r="L599">
        <v>0.38600000000000001</v>
      </c>
      <c r="M599">
        <v>2</v>
      </c>
      <c r="N599">
        <v>0.50900000000000001</v>
      </c>
      <c r="O599">
        <v>3</v>
      </c>
      <c r="P599">
        <v>3</v>
      </c>
      <c r="S599" s="164" t="s">
        <v>944</v>
      </c>
    </row>
    <row r="600" spans="1:19" x14ac:dyDescent="0.25">
      <c r="A600" t="s">
        <v>2218</v>
      </c>
      <c r="B600">
        <v>9009167300</v>
      </c>
      <c r="C600" t="s">
        <v>2219</v>
      </c>
      <c r="D600">
        <v>106250</v>
      </c>
      <c r="E600">
        <v>2.64</v>
      </c>
      <c r="F600">
        <v>65392.354579999999</v>
      </c>
      <c r="G600">
        <v>65.391999999999996</v>
      </c>
      <c r="H600">
        <v>0.74099999999999999</v>
      </c>
      <c r="I600">
        <v>4</v>
      </c>
      <c r="J600">
        <v>1724</v>
      </c>
      <c r="K600">
        <v>0.31636725900000001</v>
      </c>
      <c r="L600">
        <v>0.26</v>
      </c>
      <c r="M600">
        <v>2</v>
      </c>
      <c r="N600">
        <v>0.29599999999999999</v>
      </c>
      <c r="O600">
        <v>2</v>
      </c>
      <c r="P600">
        <v>2</v>
      </c>
      <c r="S600" s="166" t="s">
        <v>944</v>
      </c>
    </row>
    <row r="601" spans="1:19" x14ac:dyDescent="0.25">
      <c r="A601" t="s">
        <v>2220</v>
      </c>
      <c r="B601">
        <v>9009170100</v>
      </c>
      <c r="C601" t="s">
        <v>2221</v>
      </c>
      <c r="D601">
        <v>30417</v>
      </c>
      <c r="E601">
        <v>2.09</v>
      </c>
      <c r="F601">
        <v>21039.878850000001</v>
      </c>
      <c r="G601">
        <v>21.04</v>
      </c>
      <c r="H601">
        <v>6.9000000000000006E-2</v>
      </c>
      <c r="I601">
        <v>1</v>
      </c>
      <c r="J601">
        <v>874</v>
      </c>
      <c r="K601">
        <v>0.498481958</v>
      </c>
      <c r="L601">
        <v>0.84299999999999997</v>
      </c>
      <c r="M601">
        <v>5</v>
      </c>
      <c r="N601">
        <v>0.98</v>
      </c>
      <c r="O601">
        <v>5</v>
      </c>
      <c r="P601">
        <v>5</v>
      </c>
      <c r="S601" s="164" t="s">
        <v>936</v>
      </c>
    </row>
    <row r="602" spans="1:19" x14ac:dyDescent="0.25">
      <c r="A602" t="s">
        <v>2222</v>
      </c>
      <c r="B602">
        <v>9009170200</v>
      </c>
      <c r="C602" t="s">
        <v>2223</v>
      </c>
      <c r="D602">
        <v>43750</v>
      </c>
      <c r="E602">
        <v>1.9</v>
      </c>
      <c r="F602">
        <v>31739.585940000001</v>
      </c>
      <c r="G602">
        <v>31.74</v>
      </c>
      <c r="H602">
        <v>0.19600000000000001</v>
      </c>
      <c r="I602">
        <v>1</v>
      </c>
      <c r="J602">
        <v>958</v>
      </c>
      <c r="K602">
        <v>0.36219754199999998</v>
      </c>
      <c r="L602">
        <v>0.55100000000000005</v>
      </c>
      <c r="M602">
        <v>3</v>
      </c>
      <c r="N602">
        <v>0.95899999999999996</v>
      </c>
      <c r="O602">
        <v>5</v>
      </c>
      <c r="P602">
        <v>5</v>
      </c>
      <c r="S602" s="166" t="s">
        <v>936</v>
      </c>
    </row>
    <row r="603" spans="1:19" x14ac:dyDescent="0.25">
      <c r="A603" t="s">
        <v>2224</v>
      </c>
      <c r="B603">
        <v>9009170300</v>
      </c>
      <c r="C603" t="s">
        <v>2225</v>
      </c>
      <c r="D603">
        <v>42476</v>
      </c>
      <c r="E603">
        <v>2.5299999999999998</v>
      </c>
      <c r="F603">
        <v>26704.432400000002</v>
      </c>
      <c r="G603">
        <v>26.704000000000001</v>
      </c>
      <c r="H603">
        <v>0.13</v>
      </c>
      <c r="I603">
        <v>1</v>
      </c>
      <c r="J603">
        <v>1025</v>
      </c>
      <c r="K603">
        <v>0.46059769499999997</v>
      </c>
      <c r="L603">
        <v>0.8</v>
      </c>
      <c r="M603">
        <v>4</v>
      </c>
      <c r="N603">
        <v>0.92400000000000004</v>
      </c>
      <c r="O603">
        <v>5</v>
      </c>
      <c r="P603">
        <v>5</v>
      </c>
      <c r="S603" s="164" t="s">
        <v>936</v>
      </c>
    </row>
    <row r="604" spans="1:19" x14ac:dyDescent="0.25">
      <c r="A604" t="s">
        <v>2226</v>
      </c>
      <c r="B604">
        <v>9009170400</v>
      </c>
      <c r="C604" t="s">
        <v>2227</v>
      </c>
      <c r="D604">
        <v>58229</v>
      </c>
      <c r="E604">
        <v>2.54</v>
      </c>
      <c r="F604">
        <v>36536.124080000001</v>
      </c>
      <c r="G604">
        <v>36.536000000000001</v>
      </c>
      <c r="H604">
        <v>0.25700000000000001</v>
      </c>
      <c r="I604">
        <v>2</v>
      </c>
      <c r="J604">
        <v>1130</v>
      </c>
      <c r="K604">
        <v>0.37113953199999999</v>
      </c>
      <c r="L604">
        <v>0.59699999999999998</v>
      </c>
      <c r="M604">
        <v>3</v>
      </c>
      <c r="N604">
        <v>0.83699999999999997</v>
      </c>
      <c r="O604">
        <v>5</v>
      </c>
      <c r="P604">
        <v>5</v>
      </c>
      <c r="S604" s="166" t="s">
        <v>944</v>
      </c>
    </row>
    <row r="605" spans="1:19" x14ac:dyDescent="0.25">
      <c r="A605" t="s">
        <v>2228</v>
      </c>
      <c r="B605">
        <v>9009170500</v>
      </c>
      <c r="C605" t="s">
        <v>2229</v>
      </c>
      <c r="D605">
        <v>85406</v>
      </c>
      <c r="E605">
        <v>2.78</v>
      </c>
      <c r="F605">
        <v>51223.114849999998</v>
      </c>
      <c r="G605">
        <v>51.222999999999999</v>
      </c>
      <c r="H605">
        <v>0.48699999999999999</v>
      </c>
      <c r="I605">
        <v>3</v>
      </c>
      <c r="J605">
        <v>1408</v>
      </c>
      <c r="K605">
        <v>0.32985108499999999</v>
      </c>
      <c r="L605">
        <v>0.35499999999999998</v>
      </c>
      <c r="M605">
        <v>2</v>
      </c>
      <c r="N605">
        <v>0.56100000000000005</v>
      </c>
      <c r="O605">
        <v>3</v>
      </c>
      <c r="P605">
        <v>3</v>
      </c>
      <c r="S605" s="164" t="s">
        <v>944</v>
      </c>
    </row>
    <row r="606" spans="1:19" x14ac:dyDescent="0.25">
      <c r="A606" t="s">
        <v>2230</v>
      </c>
      <c r="B606">
        <v>9009170600</v>
      </c>
      <c r="C606" t="s">
        <v>2231</v>
      </c>
      <c r="D606">
        <v>57358</v>
      </c>
      <c r="E606">
        <v>2.2599999999999998</v>
      </c>
      <c r="F606">
        <v>38153.97406</v>
      </c>
      <c r="G606">
        <v>38.154000000000003</v>
      </c>
      <c r="H606">
        <v>0.26600000000000001</v>
      </c>
      <c r="I606">
        <v>2</v>
      </c>
      <c r="J606">
        <v>1120</v>
      </c>
      <c r="K606">
        <v>0.35225688399999999</v>
      </c>
      <c r="L606">
        <v>0.49099999999999999</v>
      </c>
      <c r="M606">
        <v>3</v>
      </c>
      <c r="N606">
        <v>0.85499999999999998</v>
      </c>
      <c r="O606">
        <v>5</v>
      </c>
      <c r="P606">
        <v>5</v>
      </c>
      <c r="S606" s="166" t="s">
        <v>944</v>
      </c>
    </row>
    <row r="607" spans="1:19" x14ac:dyDescent="0.25">
      <c r="A607" t="s">
        <v>2232</v>
      </c>
      <c r="B607">
        <v>9009170700</v>
      </c>
      <c r="C607" t="s">
        <v>2233</v>
      </c>
      <c r="D607">
        <v>66989</v>
      </c>
      <c r="E607">
        <v>2.2999999999999998</v>
      </c>
      <c r="F607">
        <v>44171.238530000002</v>
      </c>
      <c r="G607">
        <v>44.170999999999999</v>
      </c>
      <c r="H607">
        <v>0.35399999999999998</v>
      </c>
      <c r="I607">
        <v>2</v>
      </c>
      <c r="J607">
        <v>1190</v>
      </c>
      <c r="K607">
        <v>0.32328729</v>
      </c>
      <c r="L607">
        <v>0.32100000000000001</v>
      </c>
      <c r="M607">
        <v>2</v>
      </c>
      <c r="N607">
        <v>0.78200000000000003</v>
      </c>
      <c r="O607">
        <v>4</v>
      </c>
      <c r="P607">
        <v>4</v>
      </c>
      <c r="S607" s="164" t="s">
        <v>944</v>
      </c>
    </row>
    <row r="608" spans="1:19" x14ac:dyDescent="0.25">
      <c r="A608" t="s">
        <v>2234</v>
      </c>
      <c r="B608">
        <v>9009170800</v>
      </c>
      <c r="C608" t="s">
        <v>2235</v>
      </c>
      <c r="D608">
        <v>53857</v>
      </c>
      <c r="E608">
        <v>2.48</v>
      </c>
      <c r="F608">
        <v>34199.229200000002</v>
      </c>
      <c r="G608">
        <v>34.198999999999998</v>
      </c>
      <c r="H608">
        <v>0.22700000000000001</v>
      </c>
      <c r="I608">
        <v>2</v>
      </c>
      <c r="J608">
        <v>1156</v>
      </c>
      <c r="K608">
        <v>0.405623177</v>
      </c>
      <c r="L608">
        <v>0.69</v>
      </c>
      <c r="M608">
        <v>4</v>
      </c>
      <c r="N608">
        <v>0.81799999999999995</v>
      </c>
      <c r="O608">
        <v>5</v>
      </c>
      <c r="P608">
        <v>5</v>
      </c>
      <c r="S608" s="166" t="s">
        <v>944</v>
      </c>
    </row>
    <row r="609" spans="1:19" x14ac:dyDescent="0.25">
      <c r="A609" t="s">
        <v>2236</v>
      </c>
      <c r="B609">
        <v>9009170900</v>
      </c>
      <c r="C609" t="s">
        <v>2237</v>
      </c>
      <c r="D609">
        <v>28782</v>
      </c>
      <c r="E609">
        <v>1.94</v>
      </c>
      <c r="F609">
        <v>20664.271720000001</v>
      </c>
      <c r="G609">
        <v>20.664000000000001</v>
      </c>
      <c r="H609">
        <v>6.4000000000000001E-2</v>
      </c>
      <c r="I609">
        <v>1</v>
      </c>
      <c r="J609">
        <v>793</v>
      </c>
      <c r="K609">
        <v>0.46050497800000001</v>
      </c>
      <c r="L609">
        <v>0.79900000000000004</v>
      </c>
      <c r="M609">
        <v>4</v>
      </c>
      <c r="N609">
        <v>0.98799999999999999</v>
      </c>
      <c r="O609">
        <v>5</v>
      </c>
      <c r="P609">
        <v>5</v>
      </c>
      <c r="S609" s="164" t="s">
        <v>936</v>
      </c>
    </row>
    <row r="610" spans="1:19" x14ac:dyDescent="0.25">
      <c r="A610" t="s">
        <v>2238</v>
      </c>
      <c r="B610">
        <v>9009171000</v>
      </c>
      <c r="C610" t="s">
        <v>2239</v>
      </c>
      <c r="D610">
        <v>35460</v>
      </c>
      <c r="E610">
        <v>1.65</v>
      </c>
      <c r="F610">
        <v>27605.572560000001</v>
      </c>
      <c r="G610">
        <v>27.606000000000002</v>
      </c>
      <c r="H610">
        <v>0.13800000000000001</v>
      </c>
      <c r="I610">
        <v>1</v>
      </c>
      <c r="J610">
        <v>859</v>
      </c>
      <c r="K610">
        <v>0.37340286900000003</v>
      </c>
      <c r="L610">
        <v>0.60799999999999998</v>
      </c>
      <c r="M610">
        <v>4</v>
      </c>
      <c r="N610">
        <v>0.98299999999999998</v>
      </c>
      <c r="O610">
        <v>5</v>
      </c>
      <c r="P610">
        <v>5</v>
      </c>
      <c r="S610" s="166" t="s">
        <v>936</v>
      </c>
    </row>
    <row r="611" spans="1:19" x14ac:dyDescent="0.25">
      <c r="A611" t="s">
        <v>2240</v>
      </c>
      <c r="B611">
        <v>9009171100</v>
      </c>
      <c r="C611" t="s">
        <v>2241</v>
      </c>
      <c r="D611">
        <v>67108</v>
      </c>
      <c r="E611">
        <v>2.2799999999999998</v>
      </c>
      <c r="F611">
        <v>44443.35871</v>
      </c>
      <c r="G611">
        <v>44.442999999999998</v>
      </c>
      <c r="H611">
        <v>0.35899999999999999</v>
      </c>
      <c r="I611">
        <v>2</v>
      </c>
      <c r="J611">
        <v>1133</v>
      </c>
      <c r="K611">
        <v>0.305917473</v>
      </c>
      <c r="L611">
        <v>0.20599999999999999</v>
      </c>
      <c r="M611">
        <v>2</v>
      </c>
      <c r="N611">
        <v>0.83299999999999996</v>
      </c>
      <c r="O611">
        <v>5</v>
      </c>
      <c r="P611">
        <v>5</v>
      </c>
      <c r="S611" s="164" t="s">
        <v>944</v>
      </c>
    </row>
    <row r="612" spans="1:19" x14ac:dyDescent="0.25">
      <c r="A612" t="s">
        <v>2242</v>
      </c>
      <c r="B612">
        <v>9009171200</v>
      </c>
      <c r="C612" t="s">
        <v>2243</v>
      </c>
      <c r="D612">
        <v>86983</v>
      </c>
      <c r="E612">
        <v>2.2799999999999998</v>
      </c>
      <c r="F612">
        <v>57605.899010000001</v>
      </c>
      <c r="G612">
        <v>57.606000000000002</v>
      </c>
      <c r="H612">
        <v>0.61299999999999999</v>
      </c>
      <c r="I612">
        <v>4</v>
      </c>
      <c r="J612">
        <v>1426</v>
      </c>
      <c r="K612">
        <v>0.29705291099999998</v>
      </c>
      <c r="L612">
        <v>0.153</v>
      </c>
      <c r="M612">
        <v>1</v>
      </c>
      <c r="N612">
        <v>0.54600000000000004</v>
      </c>
      <c r="O612">
        <v>3</v>
      </c>
      <c r="P612">
        <v>3</v>
      </c>
      <c r="S612" s="166" t="s">
        <v>944</v>
      </c>
    </row>
    <row r="613" spans="1:19" x14ac:dyDescent="0.25">
      <c r="A613" t="s">
        <v>2244</v>
      </c>
      <c r="B613">
        <v>9009171300</v>
      </c>
      <c r="C613" t="s">
        <v>2245</v>
      </c>
      <c r="D613">
        <v>73828</v>
      </c>
      <c r="E613">
        <v>2.37</v>
      </c>
      <c r="F613">
        <v>47956.439380000003</v>
      </c>
      <c r="G613">
        <v>47.956000000000003</v>
      </c>
      <c r="H613">
        <v>0.42599999999999999</v>
      </c>
      <c r="I613">
        <v>3</v>
      </c>
      <c r="J613">
        <v>1045</v>
      </c>
      <c r="K613">
        <v>0.261487303</v>
      </c>
      <c r="L613">
        <v>0.04</v>
      </c>
      <c r="M613">
        <v>1</v>
      </c>
      <c r="N613">
        <v>0.91300000000000003</v>
      </c>
      <c r="O613">
        <v>5</v>
      </c>
      <c r="P613">
        <v>4</v>
      </c>
      <c r="S613" s="164" t="s">
        <v>944</v>
      </c>
    </row>
    <row r="614" spans="1:19" x14ac:dyDescent="0.25">
      <c r="A614" t="s">
        <v>2246</v>
      </c>
      <c r="B614">
        <v>9009171400</v>
      </c>
      <c r="C614" t="s">
        <v>2247</v>
      </c>
      <c r="D614">
        <v>47578</v>
      </c>
      <c r="E614">
        <v>2.08</v>
      </c>
      <c r="F614">
        <v>32989.407420000003</v>
      </c>
      <c r="G614">
        <v>32.988999999999997</v>
      </c>
      <c r="H614">
        <v>0.21299999999999999</v>
      </c>
      <c r="I614">
        <v>2</v>
      </c>
      <c r="J614">
        <v>992</v>
      </c>
      <c r="K614">
        <v>0.360843099</v>
      </c>
      <c r="L614">
        <v>0.54500000000000004</v>
      </c>
      <c r="M614">
        <v>3</v>
      </c>
      <c r="N614">
        <v>0.94699999999999995</v>
      </c>
      <c r="O614">
        <v>5</v>
      </c>
      <c r="P614">
        <v>5</v>
      </c>
      <c r="S614" s="166" t="s">
        <v>944</v>
      </c>
    </row>
    <row r="615" spans="1:19" x14ac:dyDescent="0.25">
      <c r="A615" t="s">
        <v>2248</v>
      </c>
      <c r="B615">
        <v>9009171500</v>
      </c>
      <c r="C615" t="s">
        <v>2249</v>
      </c>
      <c r="D615">
        <v>47036</v>
      </c>
      <c r="E615">
        <v>2.2599999999999998</v>
      </c>
      <c r="F615">
        <v>31287.881789999999</v>
      </c>
      <c r="G615">
        <v>31.288</v>
      </c>
      <c r="H615">
        <v>0.191</v>
      </c>
      <c r="I615">
        <v>1</v>
      </c>
      <c r="J615">
        <v>1102</v>
      </c>
      <c r="K615">
        <v>0.42265564999999999</v>
      </c>
      <c r="L615">
        <v>0.73699999999999999</v>
      </c>
      <c r="M615">
        <v>4</v>
      </c>
      <c r="N615">
        <v>0.874</v>
      </c>
      <c r="O615">
        <v>5</v>
      </c>
      <c r="P615">
        <v>5</v>
      </c>
      <c r="S615" s="164" t="s">
        <v>936</v>
      </c>
    </row>
    <row r="616" spans="1:19" x14ac:dyDescent="0.25">
      <c r="A616" t="s">
        <v>2250</v>
      </c>
      <c r="B616">
        <v>9009171600</v>
      </c>
      <c r="C616" t="s">
        <v>2251</v>
      </c>
      <c r="D616">
        <v>65521</v>
      </c>
      <c r="E616">
        <v>2.13</v>
      </c>
      <c r="F616">
        <v>44894.249459999999</v>
      </c>
      <c r="G616">
        <v>44.893999999999998</v>
      </c>
      <c r="H616">
        <v>0.36599999999999999</v>
      </c>
      <c r="I616">
        <v>2</v>
      </c>
      <c r="J616">
        <v>1183</v>
      </c>
      <c r="K616">
        <v>0.31620976299999998</v>
      </c>
      <c r="L616">
        <v>0.25900000000000001</v>
      </c>
      <c r="M616">
        <v>2</v>
      </c>
      <c r="N616">
        <v>0.79</v>
      </c>
      <c r="O616">
        <v>4</v>
      </c>
      <c r="P616">
        <v>4</v>
      </c>
      <c r="S616" s="166" t="s">
        <v>944</v>
      </c>
    </row>
    <row r="617" spans="1:19" x14ac:dyDescent="0.25">
      <c r="A617" t="s">
        <v>2252</v>
      </c>
      <c r="B617">
        <v>9009171700</v>
      </c>
      <c r="C617" t="s">
        <v>2253</v>
      </c>
      <c r="D617">
        <v>85536</v>
      </c>
      <c r="E617">
        <v>2.27</v>
      </c>
      <c r="F617">
        <v>56772.237179999996</v>
      </c>
      <c r="G617">
        <v>56.771999999999998</v>
      </c>
      <c r="H617">
        <v>0.59499999999999997</v>
      </c>
      <c r="I617">
        <v>3</v>
      </c>
      <c r="J617">
        <v>1238</v>
      </c>
      <c r="K617">
        <v>0.26167719900000003</v>
      </c>
      <c r="L617">
        <v>4.1000000000000002E-2</v>
      </c>
      <c r="M617">
        <v>1</v>
      </c>
      <c r="N617">
        <v>0.72399999999999998</v>
      </c>
      <c r="O617">
        <v>4</v>
      </c>
      <c r="P617">
        <v>4</v>
      </c>
      <c r="S617" s="164" t="s">
        <v>944</v>
      </c>
    </row>
    <row r="618" spans="1:19" x14ac:dyDescent="0.25">
      <c r="A618" t="s">
        <v>2254</v>
      </c>
      <c r="B618">
        <v>9009175100</v>
      </c>
      <c r="C618" t="s">
        <v>2255</v>
      </c>
      <c r="D618">
        <v>70396</v>
      </c>
      <c r="E618">
        <v>2.34</v>
      </c>
      <c r="F618">
        <v>46019.304830000001</v>
      </c>
      <c r="G618">
        <v>46.018999999999998</v>
      </c>
      <c r="H618">
        <v>0.38500000000000001</v>
      </c>
      <c r="I618">
        <v>2</v>
      </c>
      <c r="J618">
        <v>1233</v>
      </c>
      <c r="K618">
        <v>0.32151724300000001</v>
      </c>
      <c r="L618">
        <v>0.31</v>
      </c>
      <c r="M618">
        <v>2</v>
      </c>
      <c r="N618">
        <v>0.73</v>
      </c>
      <c r="O618">
        <v>4</v>
      </c>
      <c r="P618">
        <v>4</v>
      </c>
      <c r="S618" s="166" t="s">
        <v>944</v>
      </c>
    </row>
    <row r="619" spans="1:19" x14ac:dyDescent="0.25">
      <c r="A619" t="s">
        <v>2256</v>
      </c>
      <c r="B619">
        <v>9009175200</v>
      </c>
      <c r="C619" t="s">
        <v>2257</v>
      </c>
      <c r="D619">
        <v>61071</v>
      </c>
      <c r="E619">
        <v>2.2999999999999998</v>
      </c>
      <c r="F619">
        <v>40269.024890000001</v>
      </c>
      <c r="G619">
        <v>40.268999999999998</v>
      </c>
      <c r="H619">
        <v>0.29799999999999999</v>
      </c>
      <c r="I619">
        <v>2</v>
      </c>
      <c r="J619">
        <v>1124</v>
      </c>
      <c r="K619">
        <v>0.33494727099999999</v>
      </c>
      <c r="L619">
        <v>0.39400000000000002</v>
      </c>
      <c r="M619">
        <v>2</v>
      </c>
      <c r="N619">
        <v>0.84799999999999998</v>
      </c>
      <c r="O619">
        <v>5</v>
      </c>
      <c r="P619">
        <v>5</v>
      </c>
      <c r="S619" s="164" t="s">
        <v>944</v>
      </c>
    </row>
    <row r="620" spans="1:19" x14ac:dyDescent="0.25">
      <c r="A620" t="s">
        <v>2258</v>
      </c>
      <c r="B620">
        <v>9009175300</v>
      </c>
      <c r="C620" t="s">
        <v>2259</v>
      </c>
      <c r="D620">
        <v>75673</v>
      </c>
      <c r="E620">
        <v>2.2799999999999998</v>
      </c>
      <c r="F620">
        <v>50115.668530000003</v>
      </c>
      <c r="G620">
        <v>50.116</v>
      </c>
      <c r="H620">
        <v>0.47199999999999998</v>
      </c>
      <c r="I620">
        <v>3</v>
      </c>
      <c r="J620">
        <v>1305</v>
      </c>
      <c r="K620">
        <v>0.31247712500000002</v>
      </c>
      <c r="L620">
        <v>0.23899999999999999</v>
      </c>
      <c r="M620">
        <v>2</v>
      </c>
      <c r="N620">
        <v>0.65</v>
      </c>
      <c r="O620">
        <v>4</v>
      </c>
      <c r="P620">
        <v>4</v>
      </c>
      <c r="S620" s="166" t="s">
        <v>944</v>
      </c>
    </row>
    <row r="621" spans="1:19" x14ac:dyDescent="0.25">
      <c r="A621" t="s">
        <v>2260</v>
      </c>
      <c r="B621">
        <v>9009175400</v>
      </c>
      <c r="C621" t="s">
        <v>2261</v>
      </c>
      <c r="D621">
        <v>64405</v>
      </c>
      <c r="E621">
        <v>2.39</v>
      </c>
      <c r="F621">
        <v>41660.131269999998</v>
      </c>
      <c r="G621">
        <v>41.66</v>
      </c>
      <c r="H621">
        <v>0.313</v>
      </c>
      <c r="I621">
        <v>2</v>
      </c>
      <c r="J621">
        <v>1116</v>
      </c>
      <c r="K621">
        <v>0.32145842099999999</v>
      </c>
      <c r="L621">
        <v>0.30599999999999999</v>
      </c>
      <c r="M621">
        <v>2</v>
      </c>
      <c r="N621">
        <v>0.85899999999999999</v>
      </c>
      <c r="O621">
        <v>5</v>
      </c>
      <c r="P621">
        <v>5</v>
      </c>
      <c r="S621" s="164" t="s">
        <v>944</v>
      </c>
    </row>
    <row r="622" spans="1:19" x14ac:dyDescent="0.25">
      <c r="A622" t="s">
        <v>2262</v>
      </c>
      <c r="B622">
        <v>9009175500</v>
      </c>
      <c r="C622" t="s">
        <v>2263</v>
      </c>
      <c r="D622">
        <v>77903</v>
      </c>
      <c r="E622">
        <v>2.11</v>
      </c>
      <c r="F622">
        <v>53630.636930000001</v>
      </c>
      <c r="G622">
        <v>53.631</v>
      </c>
      <c r="H622">
        <v>0.53400000000000003</v>
      </c>
      <c r="I622">
        <v>3</v>
      </c>
      <c r="J622">
        <v>1295</v>
      </c>
      <c r="K622">
        <v>0.28975975100000001</v>
      </c>
      <c r="L622">
        <v>0.11600000000000001</v>
      </c>
      <c r="M622">
        <v>1</v>
      </c>
      <c r="N622">
        <v>0.66100000000000003</v>
      </c>
      <c r="O622">
        <v>4</v>
      </c>
      <c r="P622">
        <v>4</v>
      </c>
      <c r="S622" s="166" t="s">
        <v>944</v>
      </c>
    </row>
    <row r="623" spans="1:19" x14ac:dyDescent="0.25">
      <c r="A623" t="s">
        <v>2264</v>
      </c>
      <c r="B623">
        <v>9009175600</v>
      </c>
      <c r="C623" t="s">
        <v>2265</v>
      </c>
      <c r="D623">
        <v>88167</v>
      </c>
      <c r="E623">
        <v>2.38</v>
      </c>
      <c r="F623">
        <v>57150.177689999997</v>
      </c>
      <c r="G623">
        <v>57.15</v>
      </c>
      <c r="H623">
        <v>0.59699999999999998</v>
      </c>
      <c r="I623">
        <v>3</v>
      </c>
      <c r="J623">
        <v>1264</v>
      </c>
      <c r="K623">
        <v>0.265405999</v>
      </c>
      <c r="L623">
        <v>5.0999999999999997E-2</v>
      </c>
      <c r="M623">
        <v>1</v>
      </c>
      <c r="N623">
        <v>0.69899999999999995</v>
      </c>
      <c r="O623">
        <v>4</v>
      </c>
      <c r="P623">
        <v>4</v>
      </c>
      <c r="S623" s="164" t="s">
        <v>944</v>
      </c>
    </row>
    <row r="624" spans="1:19" x14ac:dyDescent="0.25">
      <c r="A624" t="s">
        <v>2266</v>
      </c>
      <c r="B624">
        <v>9009175700</v>
      </c>
      <c r="C624" t="s">
        <v>2267</v>
      </c>
      <c r="D624">
        <v>89063</v>
      </c>
      <c r="E624">
        <v>2.79</v>
      </c>
      <c r="F624">
        <v>53320.623379999997</v>
      </c>
      <c r="G624">
        <v>53.320999999999998</v>
      </c>
      <c r="H624">
        <v>0.52700000000000002</v>
      </c>
      <c r="I624">
        <v>3</v>
      </c>
      <c r="J624">
        <v>1371</v>
      </c>
      <c r="K624">
        <v>0.30854853100000001</v>
      </c>
      <c r="L624">
        <v>0.216</v>
      </c>
      <c r="M624">
        <v>2</v>
      </c>
      <c r="N624">
        <v>0.58799999999999997</v>
      </c>
      <c r="O624">
        <v>3</v>
      </c>
      <c r="P624">
        <v>3</v>
      </c>
      <c r="S624" s="166" t="s">
        <v>944</v>
      </c>
    </row>
    <row r="625" spans="1:19" x14ac:dyDescent="0.25">
      <c r="A625" t="s">
        <v>2268</v>
      </c>
      <c r="B625">
        <v>9009175800</v>
      </c>
      <c r="C625" t="s">
        <v>2269</v>
      </c>
      <c r="D625">
        <v>133984</v>
      </c>
      <c r="E625">
        <v>2.77</v>
      </c>
      <c r="F625">
        <v>80503.18346</v>
      </c>
      <c r="G625">
        <v>80.503</v>
      </c>
      <c r="H625">
        <v>0.88200000000000001</v>
      </c>
      <c r="I625">
        <v>5</v>
      </c>
      <c r="J625">
        <v>1768</v>
      </c>
      <c r="K625">
        <v>0.263542373</v>
      </c>
      <c r="L625">
        <v>4.2999999999999997E-2</v>
      </c>
      <c r="M625">
        <v>1</v>
      </c>
      <c r="N625">
        <v>0.27100000000000002</v>
      </c>
      <c r="O625">
        <v>2</v>
      </c>
      <c r="P625">
        <v>2</v>
      </c>
      <c r="S625" s="164" t="s">
        <v>944</v>
      </c>
    </row>
    <row r="626" spans="1:19" x14ac:dyDescent="0.25">
      <c r="A626" t="s">
        <v>2270</v>
      </c>
      <c r="B626">
        <v>9009175900</v>
      </c>
      <c r="C626" t="s">
        <v>2271</v>
      </c>
      <c r="D626">
        <v>71399</v>
      </c>
      <c r="E626">
        <v>2.12</v>
      </c>
      <c r="F626">
        <v>49037.034529999997</v>
      </c>
      <c r="G626">
        <v>49.036999999999999</v>
      </c>
      <c r="H626">
        <v>0.45</v>
      </c>
      <c r="I626">
        <v>3</v>
      </c>
      <c r="J626">
        <v>1212</v>
      </c>
      <c r="K626">
        <v>0.29659215999999999</v>
      </c>
      <c r="L626">
        <v>0.15</v>
      </c>
      <c r="M626">
        <v>1</v>
      </c>
      <c r="N626">
        <v>0.752</v>
      </c>
      <c r="O626">
        <v>4</v>
      </c>
      <c r="P626">
        <v>4</v>
      </c>
      <c r="S626" s="166" t="s">
        <v>944</v>
      </c>
    </row>
    <row r="627" spans="1:19" x14ac:dyDescent="0.25">
      <c r="A627" t="s">
        <v>2272</v>
      </c>
      <c r="B627">
        <v>9009176000</v>
      </c>
      <c r="C627" t="s">
        <v>2273</v>
      </c>
      <c r="D627">
        <v>99554</v>
      </c>
      <c r="E627">
        <v>2.34</v>
      </c>
      <c r="F627">
        <v>65080.48573</v>
      </c>
      <c r="G627">
        <v>65.08</v>
      </c>
      <c r="H627">
        <v>0.73799999999999999</v>
      </c>
      <c r="I627">
        <v>4</v>
      </c>
      <c r="J627">
        <v>1497</v>
      </c>
      <c r="K627">
        <v>0.27602744200000001</v>
      </c>
      <c r="L627">
        <v>7.4999999999999997E-2</v>
      </c>
      <c r="M627">
        <v>1</v>
      </c>
      <c r="N627">
        <v>0.47399999999999998</v>
      </c>
      <c r="O627">
        <v>3</v>
      </c>
      <c r="P627">
        <v>3</v>
      </c>
      <c r="S627" s="164" t="s">
        <v>944</v>
      </c>
    </row>
    <row r="628" spans="1:19" x14ac:dyDescent="0.25">
      <c r="A628" t="s">
        <v>2274</v>
      </c>
      <c r="B628">
        <v>9009180100</v>
      </c>
      <c r="C628" t="s">
        <v>2275</v>
      </c>
      <c r="D628">
        <v>68087</v>
      </c>
      <c r="E628">
        <v>2.5</v>
      </c>
      <c r="F628">
        <v>43061.999810000001</v>
      </c>
      <c r="G628">
        <v>43.061999999999998</v>
      </c>
      <c r="H628">
        <v>0.34100000000000003</v>
      </c>
      <c r="I628">
        <v>2</v>
      </c>
      <c r="J628">
        <v>1536</v>
      </c>
      <c r="K628">
        <v>0.428033999</v>
      </c>
      <c r="L628">
        <v>0.745</v>
      </c>
      <c r="M628">
        <v>4</v>
      </c>
      <c r="N628">
        <v>0.437</v>
      </c>
      <c r="O628">
        <v>3</v>
      </c>
      <c r="P628">
        <v>4</v>
      </c>
      <c r="S628" s="166" t="s">
        <v>944</v>
      </c>
    </row>
    <row r="629" spans="1:19" x14ac:dyDescent="0.25">
      <c r="A629" t="s">
        <v>2276</v>
      </c>
      <c r="B629">
        <v>9009180200</v>
      </c>
      <c r="C629" t="s">
        <v>2277</v>
      </c>
      <c r="D629">
        <v>62927</v>
      </c>
      <c r="E629">
        <v>2.66</v>
      </c>
      <c r="F629">
        <v>38583.019220000002</v>
      </c>
      <c r="G629">
        <v>38.582999999999998</v>
      </c>
      <c r="H629">
        <v>0.27200000000000002</v>
      </c>
      <c r="I629">
        <v>2</v>
      </c>
      <c r="J629">
        <v>1377</v>
      </c>
      <c r="K629">
        <v>0.42827130499999999</v>
      </c>
      <c r="L629">
        <v>0.748</v>
      </c>
      <c r="M629">
        <v>4</v>
      </c>
      <c r="N629">
        <v>0.58199999999999996</v>
      </c>
      <c r="O629">
        <v>3</v>
      </c>
      <c r="P629">
        <v>4</v>
      </c>
      <c r="S629" s="164" t="s">
        <v>944</v>
      </c>
    </row>
    <row r="630" spans="1:19" x14ac:dyDescent="0.25">
      <c r="A630" t="s">
        <v>2278</v>
      </c>
      <c r="B630">
        <v>9009180300</v>
      </c>
      <c r="C630" t="s">
        <v>2279</v>
      </c>
      <c r="D630">
        <v>48750</v>
      </c>
      <c r="E630">
        <v>2.1800000000000002</v>
      </c>
      <c r="F630">
        <v>33017.666250000002</v>
      </c>
      <c r="G630">
        <v>33.018000000000001</v>
      </c>
      <c r="H630">
        <v>0.215</v>
      </c>
      <c r="I630">
        <v>2</v>
      </c>
      <c r="J630">
        <v>1284</v>
      </c>
      <c r="K630">
        <v>0.46665926899999999</v>
      </c>
      <c r="L630">
        <v>0.80700000000000005</v>
      </c>
      <c r="M630">
        <v>5</v>
      </c>
      <c r="N630">
        <v>0.67100000000000004</v>
      </c>
      <c r="O630">
        <v>4</v>
      </c>
      <c r="P630">
        <v>4</v>
      </c>
      <c r="S630" s="166" t="s">
        <v>944</v>
      </c>
    </row>
    <row r="631" spans="1:19" x14ac:dyDescent="0.25">
      <c r="A631" t="s">
        <v>2280</v>
      </c>
      <c r="B631">
        <v>9009180400</v>
      </c>
      <c r="C631" t="s">
        <v>2281</v>
      </c>
      <c r="D631">
        <v>82000</v>
      </c>
      <c r="E631">
        <v>2.86</v>
      </c>
      <c r="F631">
        <v>48487.616470000001</v>
      </c>
      <c r="G631">
        <v>48.488</v>
      </c>
      <c r="H631">
        <v>0.441</v>
      </c>
      <c r="I631">
        <v>3</v>
      </c>
      <c r="J631">
        <v>1490</v>
      </c>
      <c r="K631">
        <v>0.368753948</v>
      </c>
      <c r="L631">
        <v>0.58799999999999997</v>
      </c>
      <c r="M631">
        <v>3</v>
      </c>
      <c r="N631">
        <v>0.48699999999999999</v>
      </c>
      <c r="O631">
        <v>3</v>
      </c>
      <c r="P631">
        <v>3</v>
      </c>
      <c r="S631" s="164" t="s">
        <v>944</v>
      </c>
    </row>
    <row r="632" spans="1:19" x14ac:dyDescent="0.25">
      <c r="A632" t="s">
        <v>2282</v>
      </c>
      <c r="B632">
        <v>9009180500</v>
      </c>
      <c r="C632" t="s">
        <v>2283</v>
      </c>
      <c r="D632">
        <v>81154</v>
      </c>
      <c r="E632">
        <v>2.65</v>
      </c>
      <c r="F632">
        <v>49852.50591</v>
      </c>
      <c r="G632">
        <v>49.853000000000002</v>
      </c>
      <c r="H632">
        <v>0.46899999999999997</v>
      </c>
      <c r="I632">
        <v>3</v>
      </c>
      <c r="J632">
        <v>1520</v>
      </c>
      <c r="K632">
        <v>0.36587930099999999</v>
      </c>
      <c r="L632">
        <v>0.56599999999999995</v>
      </c>
      <c r="M632">
        <v>3</v>
      </c>
      <c r="N632">
        <v>0.45200000000000001</v>
      </c>
      <c r="O632">
        <v>3</v>
      </c>
      <c r="P632">
        <v>3</v>
      </c>
      <c r="S632" s="166" t="s">
        <v>944</v>
      </c>
    </row>
    <row r="633" spans="1:19" x14ac:dyDescent="0.25">
      <c r="A633" t="s">
        <v>2284</v>
      </c>
      <c r="B633">
        <v>9009180601</v>
      </c>
      <c r="C633" t="s">
        <v>2285</v>
      </c>
      <c r="D633">
        <v>63536</v>
      </c>
      <c r="E633">
        <v>2.4300000000000002</v>
      </c>
      <c r="F633">
        <v>40758.362999999998</v>
      </c>
      <c r="G633">
        <v>40.758000000000003</v>
      </c>
      <c r="H633">
        <v>0.30299999999999999</v>
      </c>
      <c r="I633">
        <v>2</v>
      </c>
      <c r="J633">
        <v>1379</v>
      </c>
      <c r="K633">
        <v>0.40600256699999998</v>
      </c>
      <c r="L633">
        <v>0.69399999999999995</v>
      </c>
      <c r="M633">
        <v>4</v>
      </c>
      <c r="N633">
        <v>0.57999999999999996</v>
      </c>
      <c r="O633">
        <v>3</v>
      </c>
      <c r="P633">
        <v>4</v>
      </c>
      <c r="S633" s="164" t="s">
        <v>944</v>
      </c>
    </row>
    <row r="634" spans="1:19" x14ac:dyDescent="0.25">
      <c r="A634" t="s">
        <v>2286</v>
      </c>
      <c r="B634">
        <v>9009180602</v>
      </c>
      <c r="C634" t="s">
        <v>2287</v>
      </c>
      <c r="D634">
        <v>75991</v>
      </c>
      <c r="E634">
        <v>2.56</v>
      </c>
      <c r="F634">
        <v>47494.375</v>
      </c>
      <c r="G634">
        <v>47.494</v>
      </c>
      <c r="H634">
        <v>0.41299999999999998</v>
      </c>
      <c r="I634">
        <v>3</v>
      </c>
      <c r="J634">
        <v>1458</v>
      </c>
      <c r="K634">
        <v>0.36838046600000002</v>
      </c>
      <c r="L634">
        <v>0.58499999999999996</v>
      </c>
      <c r="M634">
        <v>3</v>
      </c>
      <c r="N634">
        <v>0.51600000000000001</v>
      </c>
      <c r="O634">
        <v>3</v>
      </c>
      <c r="P634">
        <v>3</v>
      </c>
      <c r="S634" s="166" t="s">
        <v>944</v>
      </c>
    </row>
    <row r="635" spans="1:19" x14ac:dyDescent="0.25">
      <c r="A635" t="s">
        <v>2288</v>
      </c>
      <c r="B635">
        <v>9009184100</v>
      </c>
      <c r="C635" t="s">
        <v>2289</v>
      </c>
      <c r="D635">
        <v>61755</v>
      </c>
      <c r="E635">
        <v>1.95</v>
      </c>
      <c r="F635">
        <v>44223.674050000001</v>
      </c>
      <c r="G635">
        <v>44.223999999999997</v>
      </c>
      <c r="H635">
        <v>0.35599999999999998</v>
      </c>
      <c r="I635">
        <v>2</v>
      </c>
      <c r="J635">
        <v>1320</v>
      </c>
      <c r="K635">
        <v>0.35817919599999998</v>
      </c>
      <c r="L635">
        <v>0.52600000000000002</v>
      </c>
      <c r="M635">
        <v>3</v>
      </c>
      <c r="N635">
        <v>0.63400000000000001</v>
      </c>
      <c r="O635">
        <v>4</v>
      </c>
      <c r="P635">
        <v>4</v>
      </c>
      <c r="S635" s="164" t="s">
        <v>944</v>
      </c>
    </row>
    <row r="636" spans="1:19" x14ac:dyDescent="0.25">
      <c r="A636" t="s">
        <v>2290</v>
      </c>
      <c r="B636">
        <v>9009184200</v>
      </c>
      <c r="C636" t="s">
        <v>2291</v>
      </c>
      <c r="D636">
        <v>64375</v>
      </c>
      <c r="E636">
        <v>2.37</v>
      </c>
      <c r="F636">
        <v>41816.05603</v>
      </c>
      <c r="G636">
        <v>41.816000000000003</v>
      </c>
      <c r="H636">
        <v>0.317</v>
      </c>
      <c r="I636">
        <v>2</v>
      </c>
      <c r="J636">
        <v>1592</v>
      </c>
      <c r="K636">
        <v>0.45685800700000001</v>
      </c>
      <c r="L636">
        <v>0.79500000000000004</v>
      </c>
      <c r="M636">
        <v>4</v>
      </c>
      <c r="N636">
        <v>0.38900000000000001</v>
      </c>
      <c r="O636">
        <v>2</v>
      </c>
      <c r="P636">
        <v>3</v>
      </c>
      <c r="S636" s="166" t="s">
        <v>944</v>
      </c>
    </row>
    <row r="637" spans="1:19" x14ac:dyDescent="0.25">
      <c r="A637" t="s">
        <v>2292</v>
      </c>
      <c r="B637">
        <v>9009184300</v>
      </c>
      <c r="C637" t="s">
        <v>2293</v>
      </c>
      <c r="D637">
        <v>89036</v>
      </c>
      <c r="E637">
        <v>2.1800000000000002</v>
      </c>
      <c r="F637">
        <v>60302.788350000003</v>
      </c>
      <c r="G637">
        <v>60.302999999999997</v>
      </c>
      <c r="H637">
        <v>0.65900000000000003</v>
      </c>
      <c r="I637">
        <v>4</v>
      </c>
      <c r="J637">
        <v>1489</v>
      </c>
      <c r="K637">
        <v>0.29630470599999997</v>
      </c>
      <c r="L637">
        <v>0.14899999999999999</v>
      </c>
      <c r="M637">
        <v>1</v>
      </c>
      <c r="N637">
        <v>0.49</v>
      </c>
      <c r="O637">
        <v>3</v>
      </c>
      <c r="P637">
        <v>3</v>
      </c>
      <c r="S637" s="164" t="s">
        <v>944</v>
      </c>
    </row>
    <row r="638" spans="1:19" x14ac:dyDescent="0.25">
      <c r="A638" t="s">
        <v>2294</v>
      </c>
      <c r="B638">
        <v>9009184400</v>
      </c>
      <c r="C638" t="s">
        <v>2295</v>
      </c>
      <c r="D638">
        <v>81316</v>
      </c>
      <c r="E638">
        <v>2.25</v>
      </c>
      <c r="F638">
        <v>54210.666669999999</v>
      </c>
      <c r="G638">
        <v>54.210999999999999</v>
      </c>
      <c r="H638">
        <v>0.54400000000000004</v>
      </c>
      <c r="I638">
        <v>3</v>
      </c>
      <c r="J638">
        <v>1846</v>
      </c>
      <c r="K638">
        <v>0.40862806800000001</v>
      </c>
      <c r="L638">
        <v>0.69899999999999995</v>
      </c>
      <c r="M638">
        <v>4</v>
      </c>
      <c r="N638">
        <v>0.23499999999999999</v>
      </c>
      <c r="O638">
        <v>2</v>
      </c>
      <c r="P638">
        <v>3</v>
      </c>
      <c r="S638" s="166" t="s">
        <v>944</v>
      </c>
    </row>
    <row r="639" spans="1:19" x14ac:dyDescent="0.25">
      <c r="A639" t="s">
        <v>2296</v>
      </c>
      <c r="B639">
        <v>9009184500</v>
      </c>
      <c r="C639" t="s">
        <v>2297</v>
      </c>
      <c r="D639">
        <v>77778</v>
      </c>
      <c r="E639">
        <v>2.4700000000000002</v>
      </c>
      <c r="F639">
        <v>49488.956290000002</v>
      </c>
      <c r="G639">
        <v>49.488999999999997</v>
      </c>
      <c r="H639">
        <v>0.46200000000000002</v>
      </c>
      <c r="I639">
        <v>3</v>
      </c>
      <c r="J639">
        <v>1704</v>
      </c>
      <c r="K639">
        <v>0.41318309199999997</v>
      </c>
      <c r="L639">
        <v>0.70799999999999996</v>
      </c>
      <c r="M639">
        <v>4</v>
      </c>
      <c r="N639">
        <v>0.308</v>
      </c>
      <c r="O639">
        <v>2</v>
      </c>
      <c r="P639">
        <v>3</v>
      </c>
      <c r="S639" s="164" t="s">
        <v>944</v>
      </c>
    </row>
    <row r="640" spans="1:19" x14ac:dyDescent="0.25">
      <c r="A640" t="s">
        <v>2298</v>
      </c>
      <c r="B640">
        <v>9009184600</v>
      </c>
      <c r="C640" t="s">
        <v>2299</v>
      </c>
      <c r="D640">
        <v>144250</v>
      </c>
      <c r="E640">
        <v>2.4500000000000002</v>
      </c>
      <c r="F640">
        <v>92157.944499999998</v>
      </c>
      <c r="G640">
        <v>92.158000000000001</v>
      </c>
      <c r="H640">
        <v>0.92900000000000005</v>
      </c>
      <c r="I640">
        <v>5</v>
      </c>
      <c r="J640">
        <v>2291</v>
      </c>
      <c r="K640">
        <v>0.29831394500000002</v>
      </c>
      <c r="L640">
        <v>0.159</v>
      </c>
      <c r="M640">
        <v>1</v>
      </c>
      <c r="N640">
        <v>0.114</v>
      </c>
      <c r="O640">
        <v>1</v>
      </c>
      <c r="P640">
        <v>1</v>
      </c>
      <c r="S640" s="166" t="s">
        <v>944</v>
      </c>
    </row>
    <row r="641" spans="1:19" x14ac:dyDescent="0.25">
      <c r="A641" t="s">
        <v>2300</v>
      </c>
      <c r="B641">
        <v>9009184700</v>
      </c>
      <c r="C641" t="s">
        <v>2301</v>
      </c>
      <c r="D641">
        <v>72455</v>
      </c>
      <c r="E641">
        <v>2.33</v>
      </c>
      <c r="F641">
        <v>47466.848720000002</v>
      </c>
      <c r="G641">
        <v>47.466999999999999</v>
      </c>
      <c r="H641">
        <v>0.41099999999999998</v>
      </c>
      <c r="I641">
        <v>3</v>
      </c>
      <c r="J641">
        <v>1365</v>
      </c>
      <c r="K641">
        <v>0.345082946</v>
      </c>
      <c r="L641">
        <v>0.45400000000000001</v>
      </c>
      <c r="M641">
        <v>3</v>
      </c>
      <c r="N641">
        <v>0.59399999999999997</v>
      </c>
      <c r="O641">
        <v>3</v>
      </c>
      <c r="P641">
        <v>3</v>
      </c>
      <c r="S641" s="164" t="s">
        <v>944</v>
      </c>
    </row>
    <row r="642" spans="1:19" x14ac:dyDescent="0.25">
      <c r="A642" t="s">
        <v>2302</v>
      </c>
      <c r="B642">
        <v>9009186100</v>
      </c>
      <c r="C642" t="s">
        <v>2303</v>
      </c>
      <c r="D642">
        <v>82281</v>
      </c>
      <c r="E642">
        <v>2.4500000000000002</v>
      </c>
      <c r="F642">
        <v>52567.40264</v>
      </c>
      <c r="G642">
        <v>52.567</v>
      </c>
      <c r="H642">
        <v>0.51100000000000001</v>
      </c>
      <c r="I642">
        <v>3</v>
      </c>
      <c r="J642">
        <v>1535</v>
      </c>
      <c r="K642">
        <v>0.35040726900000002</v>
      </c>
      <c r="L642">
        <v>0.48</v>
      </c>
      <c r="M642">
        <v>3</v>
      </c>
      <c r="N642">
        <v>0.438</v>
      </c>
      <c r="O642">
        <v>3</v>
      </c>
      <c r="P642">
        <v>3</v>
      </c>
      <c r="S642" s="166" t="s">
        <v>944</v>
      </c>
    </row>
    <row r="643" spans="1:19" x14ac:dyDescent="0.25">
      <c r="A643" t="s">
        <v>2304</v>
      </c>
      <c r="B643">
        <v>9009186200</v>
      </c>
      <c r="C643" t="s">
        <v>2305</v>
      </c>
      <c r="D643">
        <v>100286</v>
      </c>
      <c r="E643">
        <v>2.87</v>
      </c>
      <c r="F643">
        <v>59196.95407</v>
      </c>
      <c r="G643">
        <v>59.197000000000003</v>
      </c>
      <c r="H643">
        <v>0.63600000000000001</v>
      </c>
      <c r="I643">
        <v>4</v>
      </c>
      <c r="J643">
        <v>1782</v>
      </c>
      <c r="K643">
        <v>0.36123480200000002</v>
      </c>
      <c r="L643">
        <v>0.54600000000000004</v>
      </c>
      <c r="M643">
        <v>3</v>
      </c>
      <c r="N643">
        <v>0.26100000000000001</v>
      </c>
      <c r="O643">
        <v>2</v>
      </c>
      <c r="P643">
        <v>2</v>
      </c>
      <c r="S643" s="164" t="s">
        <v>944</v>
      </c>
    </row>
    <row r="644" spans="1:19" x14ac:dyDescent="0.25">
      <c r="A644" t="s">
        <v>2306</v>
      </c>
      <c r="B644">
        <v>9009190100</v>
      </c>
      <c r="C644" t="s">
        <v>2307</v>
      </c>
      <c r="D644">
        <v>89699</v>
      </c>
      <c r="E644">
        <v>2.1800000000000002</v>
      </c>
      <c r="F644">
        <v>60751.828609999997</v>
      </c>
      <c r="G644">
        <v>60.752000000000002</v>
      </c>
      <c r="H644">
        <v>0.66500000000000004</v>
      </c>
      <c r="I644">
        <v>4</v>
      </c>
      <c r="J644">
        <v>1530</v>
      </c>
      <c r="K644">
        <v>0.30221312500000003</v>
      </c>
      <c r="L644">
        <v>0.187</v>
      </c>
      <c r="M644">
        <v>1</v>
      </c>
      <c r="N644">
        <v>0.442</v>
      </c>
      <c r="O644">
        <v>3</v>
      </c>
      <c r="P644">
        <v>3</v>
      </c>
      <c r="S644" s="166" t="s">
        <v>944</v>
      </c>
    </row>
    <row r="645" spans="1:19" x14ac:dyDescent="0.25">
      <c r="A645" t="s">
        <v>2308</v>
      </c>
      <c r="B645">
        <v>9009190200</v>
      </c>
      <c r="C645" t="s">
        <v>2309</v>
      </c>
      <c r="D645">
        <v>111983</v>
      </c>
      <c r="E645">
        <v>2.42</v>
      </c>
      <c r="F645">
        <v>71985.398799999995</v>
      </c>
      <c r="G645">
        <v>71.984999999999999</v>
      </c>
      <c r="H645">
        <v>0.82499999999999996</v>
      </c>
      <c r="I645">
        <v>5</v>
      </c>
      <c r="J645">
        <v>2174</v>
      </c>
      <c r="K645">
        <v>0.36240682699999999</v>
      </c>
      <c r="L645">
        <v>0.55200000000000005</v>
      </c>
      <c r="M645">
        <v>3</v>
      </c>
      <c r="N645">
        <v>0.13300000000000001</v>
      </c>
      <c r="O645">
        <v>1</v>
      </c>
      <c r="P645">
        <v>1</v>
      </c>
      <c r="S645" s="164" t="s">
        <v>944</v>
      </c>
    </row>
    <row r="646" spans="1:19" x14ac:dyDescent="0.25">
      <c r="A646" t="s">
        <v>2310</v>
      </c>
      <c r="B646">
        <v>9009190301</v>
      </c>
      <c r="C646" t="s">
        <v>2311</v>
      </c>
      <c r="D646">
        <v>136103</v>
      </c>
      <c r="E646">
        <v>3.05</v>
      </c>
      <c r="F646">
        <v>77932.3511</v>
      </c>
      <c r="G646">
        <v>77.932000000000002</v>
      </c>
      <c r="H646">
        <v>0.86299999999999999</v>
      </c>
      <c r="I646">
        <v>5</v>
      </c>
      <c r="J646">
        <v>2080</v>
      </c>
      <c r="K646">
        <v>0.32027777499999999</v>
      </c>
      <c r="L646">
        <v>0.28899999999999998</v>
      </c>
      <c r="M646">
        <v>2</v>
      </c>
      <c r="N646">
        <v>0.14499999999999999</v>
      </c>
      <c r="O646">
        <v>1</v>
      </c>
      <c r="P646">
        <v>1</v>
      </c>
      <c r="S646" s="166" t="s">
        <v>944</v>
      </c>
    </row>
    <row r="647" spans="1:19" x14ac:dyDescent="0.25">
      <c r="A647" t="s">
        <v>2312</v>
      </c>
      <c r="B647">
        <v>9009190302</v>
      </c>
      <c r="C647" t="s">
        <v>2313</v>
      </c>
      <c r="D647">
        <v>105769</v>
      </c>
      <c r="E647">
        <v>2.5299999999999998</v>
      </c>
      <c r="F647">
        <v>66496.400569999998</v>
      </c>
      <c r="G647">
        <v>66.495999999999995</v>
      </c>
      <c r="H647">
        <v>0.75900000000000001</v>
      </c>
      <c r="I647">
        <v>4</v>
      </c>
      <c r="J647">
        <v>1827</v>
      </c>
      <c r="K647">
        <v>0.32970205600000002</v>
      </c>
      <c r="L647">
        <v>0.35099999999999998</v>
      </c>
      <c r="M647">
        <v>2</v>
      </c>
      <c r="N647">
        <v>0.24399999999999999</v>
      </c>
      <c r="O647">
        <v>2</v>
      </c>
      <c r="P647">
        <v>2</v>
      </c>
      <c r="S647" s="164" t="s">
        <v>944</v>
      </c>
    </row>
    <row r="648" spans="1:19" x14ac:dyDescent="0.25">
      <c r="A648" t="s">
        <v>2314</v>
      </c>
      <c r="B648">
        <v>9009190303</v>
      </c>
      <c r="C648" t="s">
        <v>2315</v>
      </c>
      <c r="D648">
        <v>106063</v>
      </c>
      <c r="E648">
        <v>2.72</v>
      </c>
      <c r="F648">
        <v>64310.14</v>
      </c>
      <c r="G648">
        <v>64.31</v>
      </c>
      <c r="H648">
        <v>0.72199999999999998</v>
      </c>
      <c r="I648">
        <v>4</v>
      </c>
      <c r="J648">
        <v>1906</v>
      </c>
      <c r="K648">
        <v>0.35565153500000002</v>
      </c>
      <c r="L648">
        <v>0.51300000000000001</v>
      </c>
      <c r="M648">
        <v>3</v>
      </c>
      <c r="N648">
        <v>0.20899999999999999</v>
      </c>
      <c r="O648">
        <v>2</v>
      </c>
      <c r="P648">
        <v>2</v>
      </c>
      <c r="S648" s="166" t="s">
        <v>944</v>
      </c>
    </row>
    <row r="649" spans="1:19" x14ac:dyDescent="0.25">
      <c r="A649" t="s">
        <v>2316</v>
      </c>
      <c r="B649">
        <v>9009194100</v>
      </c>
      <c r="C649" t="s">
        <v>2317</v>
      </c>
      <c r="D649">
        <v>80759</v>
      </c>
      <c r="E649">
        <v>2.14</v>
      </c>
      <c r="F649">
        <v>55205.715880000003</v>
      </c>
      <c r="G649">
        <v>55.206000000000003</v>
      </c>
      <c r="H649">
        <v>0.56799999999999995</v>
      </c>
      <c r="I649">
        <v>3</v>
      </c>
      <c r="J649">
        <v>1705</v>
      </c>
      <c r="K649">
        <v>0.37061379700000002</v>
      </c>
      <c r="L649">
        <v>0.59399999999999997</v>
      </c>
      <c r="M649">
        <v>3</v>
      </c>
      <c r="N649">
        <v>0.307</v>
      </c>
      <c r="O649">
        <v>2</v>
      </c>
      <c r="P649">
        <v>3</v>
      </c>
      <c r="S649" s="164" t="s">
        <v>944</v>
      </c>
    </row>
    <row r="650" spans="1:19" x14ac:dyDescent="0.25">
      <c r="A650" t="s">
        <v>2318</v>
      </c>
      <c r="B650">
        <v>9009194201</v>
      </c>
      <c r="C650" t="s">
        <v>2319</v>
      </c>
      <c r="D650">
        <v>122031</v>
      </c>
      <c r="E650">
        <v>2.76</v>
      </c>
      <c r="F650">
        <v>73454.030190000005</v>
      </c>
      <c r="G650">
        <v>73.453999999999994</v>
      </c>
      <c r="H650">
        <v>0.84</v>
      </c>
      <c r="I650">
        <v>5</v>
      </c>
      <c r="J650">
        <v>2272</v>
      </c>
      <c r="K650">
        <v>0.37117092000000002</v>
      </c>
      <c r="L650">
        <v>0.59799999999999998</v>
      </c>
      <c r="M650">
        <v>3</v>
      </c>
      <c r="N650">
        <v>0.12</v>
      </c>
      <c r="O650">
        <v>1</v>
      </c>
      <c r="P650">
        <v>1</v>
      </c>
      <c r="S650" s="166" t="s">
        <v>944</v>
      </c>
    </row>
    <row r="651" spans="1:19" x14ac:dyDescent="0.25">
      <c r="A651" t="s">
        <v>2320</v>
      </c>
      <c r="B651">
        <v>9009194202</v>
      </c>
      <c r="C651" t="s">
        <v>2321</v>
      </c>
      <c r="D651">
        <v>137361</v>
      </c>
      <c r="E651">
        <v>2.88</v>
      </c>
      <c r="F651">
        <v>80940.745479999998</v>
      </c>
      <c r="G651">
        <v>80.941000000000003</v>
      </c>
      <c r="H651">
        <v>0.88500000000000001</v>
      </c>
      <c r="I651">
        <v>5</v>
      </c>
      <c r="J651">
        <v>2262</v>
      </c>
      <c r="K651">
        <v>0.33535643700000001</v>
      </c>
      <c r="L651">
        <v>0.40100000000000002</v>
      </c>
      <c r="M651">
        <v>3</v>
      </c>
      <c r="N651">
        <v>0.121</v>
      </c>
      <c r="O651">
        <v>1</v>
      </c>
      <c r="P651">
        <v>1</v>
      </c>
      <c r="S651" s="164" t="s">
        <v>944</v>
      </c>
    </row>
    <row r="652" spans="1:19" x14ac:dyDescent="0.25">
      <c r="A652" t="s">
        <v>2322</v>
      </c>
      <c r="B652">
        <v>9009341100</v>
      </c>
      <c r="C652" t="s">
        <v>2323</v>
      </c>
      <c r="D652">
        <v>85024</v>
      </c>
      <c r="E652">
        <v>2.52</v>
      </c>
      <c r="F652">
        <v>53560.085590000002</v>
      </c>
      <c r="G652">
        <v>53.56</v>
      </c>
      <c r="H652">
        <v>0.53300000000000003</v>
      </c>
      <c r="I652">
        <v>3</v>
      </c>
      <c r="J652">
        <v>1689</v>
      </c>
      <c r="K652">
        <v>0.37841612400000002</v>
      </c>
      <c r="L652">
        <v>0.625</v>
      </c>
      <c r="M652">
        <v>4</v>
      </c>
      <c r="N652">
        <v>0.31900000000000001</v>
      </c>
      <c r="O652">
        <v>2</v>
      </c>
      <c r="P652">
        <v>3</v>
      </c>
      <c r="S652" s="166" t="s">
        <v>944</v>
      </c>
    </row>
    <row r="653" spans="1:19" x14ac:dyDescent="0.25">
      <c r="A653" t="s">
        <v>2324</v>
      </c>
      <c r="B653">
        <v>9009343101</v>
      </c>
      <c r="C653" t="s">
        <v>2325</v>
      </c>
      <c r="D653">
        <v>121889</v>
      </c>
      <c r="E653">
        <v>2.65</v>
      </c>
      <c r="F653">
        <v>74875.817500000005</v>
      </c>
      <c r="G653">
        <v>74.876000000000005</v>
      </c>
      <c r="H653">
        <v>0.84899999999999998</v>
      </c>
      <c r="I653">
        <v>5</v>
      </c>
      <c r="J653">
        <v>2003</v>
      </c>
      <c r="K653">
        <v>0.32101151999999999</v>
      </c>
      <c r="L653">
        <v>0.30099999999999999</v>
      </c>
      <c r="M653">
        <v>2</v>
      </c>
      <c r="N653">
        <v>0.16200000000000001</v>
      </c>
      <c r="O653">
        <v>1</v>
      </c>
      <c r="P653">
        <v>1</v>
      </c>
      <c r="S653" s="164" t="s">
        <v>944</v>
      </c>
    </row>
    <row r="654" spans="1:19" x14ac:dyDescent="0.25">
      <c r="A654" t="s">
        <v>2326</v>
      </c>
      <c r="B654">
        <v>9009343102</v>
      </c>
      <c r="C654" t="s">
        <v>2327</v>
      </c>
      <c r="D654">
        <v>108750</v>
      </c>
      <c r="E654">
        <v>2.4900000000000002</v>
      </c>
      <c r="F654">
        <v>68917.512239999996</v>
      </c>
      <c r="G654">
        <v>68.918000000000006</v>
      </c>
      <c r="H654">
        <v>0.79100000000000004</v>
      </c>
      <c r="I654">
        <v>4</v>
      </c>
      <c r="J654">
        <v>1577</v>
      </c>
      <c r="K654">
        <v>0.27458913400000001</v>
      </c>
      <c r="L654">
        <v>7.0000000000000007E-2</v>
      </c>
      <c r="M654">
        <v>1</v>
      </c>
      <c r="N654">
        <v>0.40400000000000003</v>
      </c>
      <c r="O654">
        <v>3</v>
      </c>
      <c r="P654">
        <v>3</v>
      </c>
      <c r="S654" s="166" t="s">
        <v>944</v>
      </c>
    </row>
    <row r="655" spans="1:19" x14ac:dyDescent="0.25">
      <c r="A655" t="s">
        <v>2328</v>
      </c>
      <c r="B655">
        <v>9009343200</v>
      </c>
      <c r="C655" t="s">
        <v>2329</v>
      </c>
      <c r="D655">
        <v>120745</v>
      </c>
      <c r="E655">
        <v>2.54</v>
      </c>
      <c r="F655">
        <v>75762.151190000004</v>
      </c>
      <c r="G655">
        <v>75.762</v>
      </c>
      <c r="H655">
        <v>0.85599999999999998</v>
      </c>
      <c r="I655">
        <v>5</v>
      </c>
      <c r="J655">
        <v>1590</v>
      </c>
      <c r="K655">
        <v>0.25184078999999998</v>
      </c>
      <c r="L655">
        <v>1.7999999999999999E-2</v>
      </c>
      <c r="M655">
        <v>1</v>
      </c>
      <c r="N655">
        <v>0.39200000000000002</v>
      </c>
      <c r="O655">
        <v>2</v>
      </c>
      <c r="P655">
        <v>2</v>
      </c>
      <c r="S655" s="164" t="s">
        <v>944</v>
      </c>
    </row>
    <row r="656" spans="1:19" x14ac:dyDescent="0.25">
      <c r="A656" t="s">
        <v>2330</v>
      </c>
      <c r="B656">
        <v>9009343300</v>
      </c>
      <c r="C656" t="s">
        <v>2331</v>
      </c>
      <c r="D656">
        <v>119861</v>
      </c>
      <c r="E656">
        <v>2.64</v>
      </c>
      <c r="F656">
        <v>73769.346000000005</v>
      </c>
      <c r="G656">
        <v>73.769000000000005</v>
      </c>
      <c r="H656">
        <v>0.84199999999999997</v>
      </c>
      <c r="I656">
        <v>5</v>
      </c>
      <c r="J656">
        <v>1552</v>
      </c>
      <c r="K656">
        <v>0.25246258799999999</v>
      </c>
      <c r="L656">
        <v>1.9E-2</v>
      </c>
      <c r="M656">
        <v>1</v>
      </c>
      <c r="N656">
        <v>0.42499999999999999</v>
      </c>
      <c r="O656">
        <v>3</v>
      </c>
      <c r="P656">
        <v>2</v>
      </c>
      <c r="S656" s="166" t="s">
        <v>944</v>
      </c>
    </row>
    <row r="657" spans="1:19" x14ac:dyDescent="0.25">
      <c r="A657" t="s">
        <v>2332</v>
      </c>
      <c r="B657">
        <v>9009343400</v>
      </c>
      <c r="C657" t="s">
        <v>2333</v>
      </c>
      <c r="D657">
        <v>120833</v>
      </c>
      <c r="E657">
        <v>2.74</v>
      </c>
      <c r="F657">
        <v>72997.884900000005</v>
      </c>
      <c r="G657">
        <v>72.998000000000005</v>
      </c>
      <c r="H657">
        <v>0.83499999999999996</v>
      </c>
      <c r="I657">
        <v>5</v>
      </c>
      <c r="J657">
        <v>1589</v>
      </c>
      <c r="K657">
        <v>0.261213048</v>
      </c>
      <c r="L657">
        <v>3.6999999999999998E-2</v>
      </c>
      <c r="M657">
        <v>1</v>
      </c>
      <c r="N657">
        <v>0.39600000000000002</v>
      </c>
      <c r="O657">
        <v>2</v>
      </c>
      <c r="P657">
        <v>2</v>
      </c>
      <c r="S657" s="164" t="s">
        <v>944</v>
      </c>
    </row>
    <row r="658" spans="1:19" x14ac:dyDescent="0.25">
      <c r="A658" t="s">
        <v>2334</v>
      </c>
      <c r="B658">
        <v>9009344100</v>
      </c>
      <c r="C658" t="s">
        <v>2335</v>
      </c>
      <c r="D658">
        <v>115625</v>
      </c>
      <c r="E658">
        <v>2.76</v>
      </c>
      <c r="F658">
        <v>69598.071320000003</v>
      </c>
      <c r="G658">
        <v>69.597999999999999</v>
      </c>
      <c r="H658">
        <v>0.79500000000000004</v>
      </c>
      <c r="I658">
        <v>4</v>
      </c>
      <c r="J658">
        <v>1667</v>
      </c>
      <c r="K658">
        <v>0.28742175800000003</v>
      </c>
      <c r="L658">
        <v>0.104</v>
      </c>
      <c r="M658">
        <v>1</v>
      </c>
      <c r="N658">
        <v>0.33</v>
      </c>
      <c r="O658">
        <v>2</v>
      </c>
      <c r="P658">
        <v>2</v>
      </c>
      <c r="S658" s="166" t="s">
        <v>944</v>
      </c>
    </row>
    <row r="659" spans="1:19" x14ac:dyDescent="0.25">
      <c r="A659" t="s">
        <v>2336</v>
      </c>
      <c r="B659">
        <v>9009344200</v>
      </c>
      <c r="C659" t="s">
        <v>2337</v>
      </c>
      <c r="D659">
        <v>135197</v>
      </c>
      <c r="E659">
        <v>2.78</v>
      </c>
      <c r="F659">
        <v>81085.77218</v>
      </c>
      <c r="G659">
        <v>81.085999999999999</v>
      </c>
      <c r="H659">
        <v>0.88900000000000001</v>
      </c>
      <c r="I659">
        <v>5</v>
      </c>
      <c r="J659">
        <v>2328</v>
      </c>
      <c r="K659">
        <v>0.34452406699999999</v>
      </c>
      <c r="L659">
        <v>0.44800000000000001</v>
      </c>
      <c r="M659">
        <v>3</v>
      </c>
      <c r="N659">
        <v>0.109</v>
      </c>
      <c r="O659">
        <v>1</v>
      </c>
      <c r="P659">
        <v>1</v>
      </c>
      <c r="S659" s="164" t="s">
        <v>944</v>
      </c>
    </row>
    <row r="660" spans="1:19" x14ac:dyDescent="0.25">
      <c r="A660" t="s">
        <v>2338</v>
      </c>
      <c r="B660">
        <v>9009345100</v>
      </c>
      <c r="C660" t="s">
        <v>2339</v>
      </c>
      <c r="D660">
        <v>64241</v>
      </c>
      <c r="E660">
        <v>2.72</v>
      </c>
      <c r="F660">
        <v>38951.827720000001</v>
      </c>
      <c r="G660">
        <v>38.951999999999998</v>
      </c>
      <c r="H660">
        <v>0.27900000000000003</v>
      </c>
      <c r="I660">
        <v>2</v>
      </c>
      <c r="J660">
        <v>1235</v>
      </c>
      <c r="K660">
        <v>0.38046995099999997</v>
      </c>
      <c r="L660">
        <v>0.63300000000000001</v>
      </c>
      <c r="M660">
        <v>4</v>
      </c>
      <c r="N660">
        <v>0.72599999999999998</v>
      </c>
      <c r="O660">
        <v>4</v>
      </c>
      <c r="P660">
        <v>4</v>
      </c>
      <c r="S660" s="166" t="s">
        <v>944</v>
      </c>
    </row>
    <row r="661" spans="1:19" x14ac:dyDescent="0.25">
      <c r="A661" t="s">
        <v>2340</v>
      </c>
      <c r="B661">
        <v>9009345201</v>
      </c>
      <c r="C661" t="s">
        <v>2341</v>
      </c>
      <c r="D661">
        <v>77434</v>
      </c>
      <c r="E661">
        <v>2.99</v>
      </c>
      <c r="F661">
        <v>44781.238440000001</v>
      </c>
      <c r="G661">
        <v>44.780999999999999</v>
      </c>
      <c r="H661">
        <v>0.36399999999999999</v>
      </c>
      <c r="I661">
        <v>2</v>
      </c>
      <c r="J661">
        <v>1574</v>
      </c>
      <c r="K661">
        <v>0.42178378</v>
      </c>
      <c r="L661">
        <v>0.73099999999999998</v>
      </c>
      <c r="M661">
        <v>4</v>
      </c>
      <c r="N661">
        <v>0.41</v>
      </c>
      <c r="O661">
        <v>3</v>
      </c>
      <c r="P661">
        <v>4</v>
      </c>
      <c r="S661" s="164" t="s">
        <v>944</v>
      </c>
    </row>
    <row r="662" spans="1:19" x14ac:dyDescent="0.25">
      <c r="A662" t="s">
        <v>2342</v>
      </c>
      <c r="B662">
        <v>9009345202</v>
      </c>
      <c r="C662" t="s">
        <v>2343</v>
      </c>
      <c r="D662">
        <v>102656</v>
      </c>
      <c r="E662">
        <v>2.82</v>
      </c>
      <c r="F662">
        <v>61130.758399999999</v>
      </c>
      <c r="G662">
        <v>61.131</v>
      </c>
      <c r="H662">
        <v>0.67400000000000004</v>
      </c>
      <c r="I662">
        <v>4</v>
      </c>
      <c r="J662">
        <v>1507</v>
      </c>
      <c r="K662">
        <v>0.29582489200000001</v>
      </c>
      <c r="L662">
        <v>0.14399999999999999</v>
      </c>
      <c r="M662">
        <v>1</v>
      </c>
      <c r="N662">
        <v>0.46400000000000002</v>
      </c>
      <c r="O662">
        <v>3</v>
      </c>
      <c r="P662">
        <v>3</v>
      </c>
      <c r="S662" s="166" t="s">
        <v>944</v>
      </c>
    </row>
    <row r="663" spans="1:19" x14ac:dyDescent="0.25">
      <c r="A663" t="s">
        <v>2344</v>
      </c>
      <c r="B663">
        <v>9009345300</v>
      </c>
      <c r="C663" t="s">
        <v>2345</v>
      </c>
      <c r="D663">
        <v>66964</v>
      </c>
      <c r="E663">
        <v>2.4900000000000002</v>
      </c>
      <c r="F663">
        <v>42436.710709999999</v>
      </c>
      <c r="G663">
        <v>42.436999999999998</v>
      </c>
      <c r="H663">
        <v>0.33</v>
      </c>
      <c r="I663">
        <v>2</v>
      </c>
      <c r="J663">
        <v>1172</v>
      </c>
      <c r="K663">
        <v>0.331411171</v>
      </c>
      <c r="L663">
        <v>0.36899999999999999</v>
      </c>
      <c r="M663">
        <v>2</v>
      </c>
      <c r="N663">
        <v>0.80100000000000005</v>
      </c>
      <c r="O663">
        <v>5</v>
      </c>
      <c r="P663">
        <v>5</v>
      </c>
      <c r="S663" s="164" t="s">
        <v>944</v>
      </c>
    </row>
    <row r="664" spans="1:19" x14ac:dyDescent="0.25">
      <c r="A664" t="s">
        <v>2346</v>
      </c>
      <c r="B664">
        <v>9009345400</v>
      </c>
      <c r="C664" t="s">
        <v>2347</v>
      </c>
      <c r="D664">
        <v>74735</v>
      </c>
      <c r="E664">
        <v>2.44</v>
      </c>
      <c r="F664">
        <v>47844.181109999998</v>
      </c>
      <c r="G664">
        <v>47.844000000000001</v>
      </c>
      <c r="H664">
        <v>0.42399999999999999</v>
      </c>
      <c r="I664">
        <v>3</v>
      </c>
      <c r="J664">
        <v>1228</v>
      </c>
      <c r="K664">
        <v>0.307999837</v>
      </c>
      <c r="L664">
        <v>0.215</v>
      </c>
      <c r="M664">
        <v>2</v>
      </c>
      <c r="N664">
        <v>0.73899999999999999</v>
      </c>
      <c r="O664">
        <v>4</v>
      </c>
      <c r="P664">
        <v>4</v>
      </c>
      <c r="S664" s="166" t="s">
        <v>944</v>
      </c>
    </row>
    <row r="665" spans="1:19" x14ac:dyDescent="0.25">
      <c r="A665" t="s">
        <v>2348</v>
      </c>
      <c r="B665">
        <v>9009346101</v>
      </c>
      <c r="C665" t="s">
        <v>2349</v>
      </c>
      <c r="D665">
        <v>107500</v>
      </c>
      <c r="E665">
        <v>2.61</v>
      </c>
      <c r="F665">
        <v>66540.829509999996</v>
      </c>
      <c r="G665">
        <v>66.540999999999997</v>
      </c>
      <c r="H665">
        <v>0.76100000000000001</v>
      </c>
      <c r="I665">
        <v>4</v>
      </c>
      <c r="J665">
        <v>1778</v>
      </c>
      <c r="K665">
        <v>0.320645236</v>
      </c>
      <c r="L665">
        <v>0.29399999999999998</v>
      </c>
      <c r="M665">
        <v>2</v>
      </c>
      <c r="N665">
        <v>0.26400000000000001</v>
      </c>
      <c r="O665">
        <v>2</v>
      </c>
      <c r="P665">
        <v>2</v>
      </c>
      <c r="S665" s="164" t="s">
        <v>944</v>
      </c>
    </row>
    <row r="666" spans="1:19" x14ac:dyDescent="0.25">
      <c r="A666" t="s">
        <v>2350</v>
      </c>
      <c r="B666">
        <v>9009346102</v>
      </c>
      <c r="C666" t="s">
        <v>2351</v>
      </c>
      <c r="D666">
        <v>113500</v>
      </c>
      <c r="E666">
        <v>3.01</v>
      </c>
      <c r="F666">
        <v>65420.312409999999</v>
      </c>
      <c r="G666">
        <v>65.42</v>
      </c>
      <c r="H666">
        <v>0.74199999999999999</v>
      </c>
      <c r="I666">
        <v>4</v>
      </c>
      <c r="J666">
        <v>1981</v>
      </c>
      <c r="K666">
        <v>0.363373379</v>
      </c>
      <c r="L666">
        <v>0.55800000000000005</v>
      </c>
      <c r="M666">
        <v>3</v>
      </c>
      <c r="N666">
        <v>0.16800000000000001</v>
      </c>
      <c r="O666">
        <v>1</v>
      </c>
      <c r="P666">
        <v>2</v>
      </c>
      <c r="S666" s="166" t="s">
        <v>944</v>
      </c>
    </row>
    <row r="667" spans="1:19" x14ac:dyDescent="0.25">
      <c r="A667" t="s">
        <v>2352</v>
      </c>
      <c r="B667">
        <v>9009347100</v>
      </c>
      <c r="C667" t="s">
        <v>2353</v>
      </c>
      <c r="D667">
        <v>101848</v>
      </c>
      <c r="E667">
        <v>2.81</v>
      </c>
      <c r="F667">
        <v>60757.423000000003</v>
      </c>
      <c r="G667">
        <v>60.756999999999998</v>
      </c>
      <c r="H667">
        <v>0.66700000000000004</v>
      </c>
      <c r="I667">
        <v>4</v>
      </c>
      <c r="J667">
        <v>1522</v>
      </c>
      <c r="K667">
        <v>0.30060524500000002</v>
      </c>
      <c r="L667">
        <v>0.17199999999999999</v>
      </c>
      <c r="M667">
        <v>1</v>
      </c>
      <c r="N667">
        <v>0.45100000000000001</v>
      </c>
      <c r="O667">
        <v>3</v>
      </c>
      <c r="P667">
        <v>3</v>
      </c>
      <c r="S667" s="164" t="s">
        <v>944</v>
      </c>
    </row>
    <row r="668" spans="1:19" x14ac:dyDescent="0.25">
      <c r="A668" t="s">
        <v>2354</v>
      </c>
      <c r="B668">
        <v>9009347200</v>
      </c>
      <c r="C668" t="s">
        <v>2355</v>
      </c>
      <c r="D668">
        <v>99391</v>
      </c>
      <c r="E668">
        <v>2.92</v>
      </c>
      <c r="F668">
        <v>58164.183299999997</v>
      </c>
      <c r="G668">
        <v>58.164000000000001</v>
      </c>
      <c r="H668">
        <v>0.622</v>
      </c>
      <c r="I668">
        <v>4</v>
      </c>
      <c r="J668">
        <v>1752</v>
      </c>
      <c r="K668">
        <v>0.36145955800000001</v>
      </c>
      <c r="L668">
        <v>0.54700000000000004</v>
      </c>
      <c r="M668">
        <v>3</v>
      </c>
      <c r="N668">
        <v>0.28399999999999997</v>
      </c>
      <c r="O668">
        <v>2</v>
      </c>
      <c r="P668">
        <v>2</v>
      </c>
      <c r="S668" s="166" t="s">
        <v>944</v>
      </c>
    </row>
    <row r="669" spans="1:19" x14ac:dyDescent="0.25">
      <c r="A669" t="s">
        <v>2356</v>
      </c>
      <c r="B669">
        <v>9009348111</v>
      </c>
      <c r="C669" t="s">
        <v>2357</v>
      </c>
      <c r="D669">
        <v>126534</v>
      </c>
      <c r="E669">
        <v>2.68</v>
      </c>
      <c r="F669">
        <v>77292.942360000001</v>
      </c>
      <c r="G669">
        <v>77.293000000000006</v>
      </c>
      <c r="H669">
        <v>0.86</v>
      </c>
      <c r="I669">
        <v>5</v>
      </c>
      <c r="J669">
        <v>1916</v>
      </c>
      <c r="K669">
        <v>0.29746570999999999</v>
      </c>
      <c r="L669">
        <v>0.154</v>
      </c>
      <c r="M669">
        <v>1</v>
      </c>
      <c r="N669">
        <v>0.20100000000000001</v>
      </c>
      <c r="O669">
        <v>2</v>
      </c>
      <c r="P669">
        <v>2</v>
      </c>
      <c r="S669" s="164" t="s">
        <v>944</v>
      </c>
    </row>
    <row r="670" spans="1:19" x14ac:dyDescent="0.25">
      <c r="A670" t="s">
        <v>2358</v>
      </c>
      <c r="B670">
        <v>9009348122</v>
      </c>
      <c r="C670" t="s">
        <v>2359</v>
      </c>
      <c r="D670">
        <v>136053</v>
      </c>
      <c r="E670">
        <v>2.94</v>
      </c>
      <c r="F670">
        <v>79347.720950000003</v>
      </c>
      <c r="G670">
        <v>79.347999999999999</v>
      </c>
      <c r="H670">
        <v>0.872</v>
      </c>
      <c r="I670">
        <v>5</v>
      </c>
      <c r="J670">
        <v>2168</v>
      </c>
      <c r="K670">
        <v>0.327873311</v>
      </c>
      <c r="L670">
        <v>0.34300000000000003</v>
      </c>
      <c r="M670">
        <v>2</v>
      </c>
      <c r="N670">
        <v>0.13600000000000001</v>
      </c>
      <c r="O670">
        <v>1</v>
      </c>
      <c r="P670">
        <v>1</v>
      </c>
      <c r="S670" s="166" t="s">
        <v>944</v>
      </c>
    </row>
    <row r="671" spans="1:19" x14ac:dyDescent="0.25">
      <c r="A671" t="s">
        <v>2360</v>
      </c>
      <c r="B671">
        <v>9009348123</v>
      </c>
      <c r="C671" t="s">
        <v>2361</v>
      </c>
      <c r="D671">
        <v>122431</v>
      </c>
      <c r="E671">
        <v>3.06</v>
      </c>
      <c r="F671">
        <v>69989.144260000001</v>
      </c>
      <c r="G671">
        <v>69.989000000000004</v>
      </c>
      <c r="H671">
        <v>0.80400000000000005</v>
      </c>
      <c r="I671">
        <v>5</v>
      </c>
      <c r="J671">
        <v>2046</v>
      </c>
      <c r="K671">
        <v>0.35079725899999997</v>
      </c>
      <c r="L671">
        <v>0.48199999999999998</v>
      </c>
      <c r="M671">
        <v>3</v>
      </c>
      <c r="N671">
        <v>0.151</v>
      </c>
      <c r="O671">
        <v>1</v>
      </c>
      <c r="P671">
        <v>1</v>
      </c>
      <c r="S671" s="164" t="s">
        <v>944</v>
      </c>
    </row>
    <row r="672" spans="1:19" x14ac:dyDescent="0.25">
      <c r="A672" t="s">
        <v>2362</v>
      </c>
      <c r="B672">
        <v>9009348124</v>
      </c>
      <c r="C672" t="s">
        <v>2363</v>
      </c>
      <c r="D672">
        <v>59266</v>
      </c>
      <c r="E672">
        <v>1.64</v>
      </c>
      <c r="F672">
        <v>46278.970860000001</v>
      </c>
      <c r="G672">
        <v>46.279000000000003</v>
      </c>
      <c r="H672">
        <v>0.39</v>
      </c>
      <c r="I672">
        <v>2</v>
      </c>
      <c r="J672">
        <v>1446</v>
      </c>
      <c r="K672">
        <v>0.374943515</v>
      </c>
      <c r="L672">
        <v>0.61099999999999999</v>
      </c>
      <c r="M672">
        <v>4</v>
      </c>
      <c r="N672">
        <v>0.53300000000000003</v>
      </c>
      <c r="O672">
        <v>3</v>
      </c>
      <c r="P672">
        <v>4</v>
      </c>
      <c r="S672" s="166" t="s">
        <v>944</v>
      </c>
    </row>
    <row r="673" spans="1:19" x14ac:dyDescent="0.25">
      <c r="A673" t="s">
        <v>2364</v>
      </c>
      <c r="B673">
        <v>9009348125</v>
      </c>
      <c r="C673" t="s">
        <v>2365</v>
      </c>
      <c r="D673">
        <v>65550</v>
      </c>
      <c r="E673">
        <v>1.9</v>
      </c>
      <c r="F673">
        <v>47554.96819</v>
      </c>
      <c r="G673">
        <v>47.555</v>
      </c>
      <c r="H673">
        <v>0.41499999999999998</v>
      </c>
      <c r="I673">
        <v>3</v>
      </c>
      <c r="J673">
        <v>1379</v>
      </c>
      <c r="K673">
        <v>0.34797626100000001</v>
      </c>
      <c r="L673">
        <v>0.47</v>
      </c>
      <c r="M673">
        <v>3</v>
      </c>
      <c r="N673">
        <v>0.57999999999999996</v>
      </c>
      <c r="O673">
        <v>3</v>
      </c>
      <c r="P673">
        <v>3</v>
      </c>
      <c r="S673" s="164" t="s">
        <v>944</v>
      </c>
    </row>
    <row r="674" spans="1:19" x14ac:dyDescent="0.25">
      <c r="A674" t="s">
        <v>2366</v>
      </c>
      <c r="B674">
        <v>9009350100</v>
      </c>
      <c r="C674" t="s">
        <v>2367</v>
      </c>
      <c r="D674">
        <v>13410</v>
      </c>
      <c r="E674">
        <v>1.47</v>
      </c>
      <c r="F674">
        <v>11060.381590000001</v>
      </c>
      <c r="G674">
        <v>11.06</v>
      </c>
      <c r="H674">
        <v>2E-3</v>
      </c>
      <c r="I674">
        <v>1</v>
      </c>
      <c r="J674">
        <v>461</v>
      </c>
      <c r="K674">
        <v>0.50016357499999997</v>
      </c>
      <c r="L674">
        <v>0.84499999999999997</v>
      </c>
      <c r="M674">
        <v>5</v>
      </c>
      <c r="N674">
        <v>0.998</v>
      </c>
      <c r="O674">
        <v>5</v>
      </c>
      <c r="P674">
        <v>5</v>
      </c>
      <c r="S674" s="166" t="s">
        <v>936</v>
      </c>
    </row>
    <row r="675" spans="1:19" x14ac:dyDescent="0.25">
      <c r="A675" t="s">
        <v>2368</v>
      </c>
      <c r="B675">
        <v>9009350200</v>
      </c>
      <c r="C675" t="s">
        <v>2369</v>
      </c>
      <c r="D675">
        <v>30995</v>
      </c>
      <c r="E675">
        <v>2.4900000000000002</v>
      </c>
      <c r="F675">
        <v>19642.283149999999</v>
      </c>
      <c r="G675">
        <v>19.641999999999999</v>
      </c>
      <c r="H675">
        <v>5.3999999999999999E-2</v>
      </c>
      <c r="I675">
        <v>1</v>
      </c>
      <c r="J675">
        <v>1050</v>
      </c>
      <c r="K675">
        <v>0.64147328999999997</v>
      </c>
      <c r="L675">
        <v>0.94399999999999995</v>
      </c>
      <c r="M675">
        <v>5</v>
      </c>
      <c r="N675">
        <v>0.90900000000000003</v>
      </c>
      <c r="O675">
        <v>5</v>
      </c>
      <c r="P675">
        <v>5</v>
      </c>
      <c r="S675" s="164" t="s">
        <v>936</v>
      </c>
    </row>
    <row r="676" spans="1:19" x14ac:dyDescent="0.25">
      <c r="A676" t="s">
        <v>2370</v>
      </c>
      <c r="B676">
        <v>9009350300</v>
      </c>
      <c r="C676" t="s">
        <v>2371</v>
      </c>
      <c r="D676">
        <v>26765</v>
      </c>
      <c r="E676">
        <v>2.74</v>
      </c>
      <c r="F676">
        <v>16169.32783</v>
      </c>
      <c r="G676">
        <v>16.169</v>
      </c>
      <c r="H676">
        <v>2.5999999999999999E-2</v>
      </c>
      <c r="I676">
        <v>1</v>
      </c>
      <c r="J676">
        <v>946</v>
      </c>
      <c r="K676">
        <v>0.70207000100000005</v>
      </c>
      <c r="L676">
        <v>0.96499999999999997</v>
      </c>
      <c r="M676">
        <v>5</v>
      </c>
      <c r="N676">
        <v>0.96299999999999997</v>
      </c>
      <c r="O676">
        <v>5</v>
      </c>
      <c r="P676">
        <v>5</v>
      </c>
      <c r="S676" s="166" t="s">
        <v>936</v>
      </c>
    </row>
    <row r="677" spans="1:19" x14ac:dyDescent="0.25">
      <c r="A677" t="s">
        <v>2372</v>
      </c>
      <c r="B677">
        <v>9009350400</v>
      </c>
      <c r="C677" t="s">
        <v>2373</v>
      </c>
      <c r="D677">
        <v>22778</v>
      </c>
      <c r="E677">
        <v>2.82</v>
      </c>
      <c r="F677">
        <v>13564.10161</v>
      </c>
      <c r="G677">
        <v>13.564</v>
      </c>
      <c r="H677">
        <v>0.01</v>
      </c>
      <c r="I677">
        <v>1</v>
      </c>
      <c r="J677">
        <v>924</v>
      </c>
      <c r="K677">
        <v>0.81745185300000001</v>
      </c>
      <c r="L677">
        <v>0.98699999999999999</v>
      </c>
      <c r="M677">
        <v>5</v>
      </c>
      <c r="N677">
        <v>0.96599999999999997</v>
      </c>
      <c r="O677">
        <v>5</v>
      </c>
      <c r="P677">
        <v>5</v>
      </c>
      <c r="S677" s="164" t="s">
        <v>936</v>
      </c>
    </row>
    <row r="678" spans="1:19" x14ac:dyDescent="0.25">
      <c r="A678" t="s">
        <v>2374</v>
      </c>
      <c r="B678">
        <v>9009350500</v>
      </c>
      <c r="C678" t="s">
        <v>2375</v>
      </c>
      <c r="D678">
        <v>25156</v>
      </c>
      <c r="E678">
        <v>2.64</v>
      </c>
      <c r="F678">
        <v>15482.44774</v>
      </c>
      <c r="G678">
        <v>15.481999999999999</v>
      </c>
      <c r="H678">
        <v>2.1000000000000001E-2</v>
      </c>
      <c r="I678">
        <v>1</v>
      </c>
      <c r="J678">
        <v>869</v>
      </c>
      <c r="K678">
        <v>0.67353690899999996</v>
      </c>
      <c r="L678">
        <v>0.95299999999999996</v>
      </c>
      <c r="M678">
        <v>5</v>
      </c>
      <c r="N678">
        <v>0.98099999999999998</v>
      </c>
      <c r="O678">
        <v>5</v>
      </c>
      <c r="P678">
        <v>5</v>
      </c>
      <c r="S678" s="166" t="s">
        <v>936</v>
      </c>
    </row>
    <row r="679" spans="1:19" x14ac:dyDescent="0.25">
      <c r="A679" t="s">
        <v>2376</v>
      </c>
      <c r="B679">
        <v>9009350800</v>
      </c>
      <c r="C679" t="s">
        <v>2377</v>
      </c>
      <c r="D679">
        <v>36540</v>
      </c>
      <c r="E679">
        <v>3.11</v>
      </c>
      <c r="F679">
        <v>20719.933079999999</v>
      </c>
      <c r="G679">
        <v>20.72</v>
      </c>
      <c r="H679">
        <v>6.5000000000000002E-2</v>
      </c>
      <c r="I679">
        <v>1</v>
      </c>
      <c r="J679">
        <v>1129</v>
      </c>
      <c r="K679">
        <v>0.65386311600000002</v>
      </c>
      <c r="L679">
        <v>0.94699999999999995</v>
      </c>
      <c r="M679">
        <v>5</v>
      </c>
      <c r="N679">
        <v>0.84</v>
      </c>
      <c r="O679">
        <v>5</v>
      </c>
      <c r="P679">
        <v>5</v>
      </c>
      <c r="S679" s="164" t="s">
        <v>936</v>
      </c>
    </row>
    <row r="680" spans="1:19" x14ac:dyDescent="0.25">
      <c r="A680" t="s">
        <v>2378</v>
      </c>
      <c r="B680">
        <v>9009350900</v>
      </c>
      <c r="C680" t="s">
        <v>2379</v>
      </c>
      <c r="D680">
        <v>71225</v>
      </c>
      <c r="E680">
        <v>3.45</v>
      </c>
      <c r="F680">
        <v>38346.250970000001</v>
      </c>
      <c r="G680">
        <v>38.345999999999997</v>
      </c>
      <c r="H680">
        <v>0.26800000000000002</v>
      </c>
      <c r="I680">
        <v>2</v>
      </c>
      <c r="J680">
        <v>1380</v>
      </c>
      <c r="K680">
        <v>0.43185447300000002</v>
      </c>
      <c r="L680">
        <v>0.754</v>
      </c>
      <c r="M680">
        <v>4</v>
      </c>
      <c r="N680">
        <v>0.57699999999999996</v>
      </c>
      <c r="O680">
        <v>3</v>
      </c>
      <c r="P680">
        <v>4</v>
      </c>
      <c r="S680" s="166" t="s">
        <v>944</v>
      </c>
    </row>
    <row r="681" spans="1:19" x14ac:dyDescent="0.25">
      <c r="A681" t="s">
        <v>2380</v>
      </c>
      <c r="B681">
        <v>9009351000</v>
      </c>
      <c r="C681" t="s">
        <v>2381</v>
      </c>
      <c r="D681">
        <v>54280</v>
      </c>
      <c r="E681">
        <v>2.9</v>
      </c>
      <c r="F681">
        <v>31874.31352</v>
      </c>
      <c r="G681">
        <v>31.873999999999999</v>
      </c>
      <c r="H681">
        <v>0.19900000000000001</v>
      </c>
      <c r="I681">
        <v>1</v>
      </c>
      <c r="J681">
        <v>1185</v>
      </c>
      <c r="K681">
        <v>0.446127255</v>
      </c>
      <c r="L681">
        <v>0.78100000000000003</v>
      </c>
      <c r="M681">
        <v>4</v>
      </c>
      <c r="N681">
        <v>0.78800000000000003</v>
      </c>
      <c r="O681">
        <v>4</v>
      </c>
      <c r="P681">
        <v>5</v>
      </c>
      <c r="S681" s="164" t="s">
        <v>944</v>
      </c>
    </row>
    <row r="682" spans="1:19" x14ac:dyDescent="0.25">
      <c r="A682" t="s">
        <v>2382</v>
      </c>
      <c r="B682">
        <v>9009351100</v>
      </c>
      <c r="C682" t="s">
        <v>2383</v>
      </c>
      <c r="D682">
        <v>34788</v>
      </c>
      <c r="E682">
        <v>2.2200000000000002</v>
      </c>
      <c r="F682">
        <v>23348.17685</v>
      </c>
      <c r="G682">
        <v>23.347999999999999</v>
      </c>
      <c r="H682">
        <v>9.8000000000000004E-2</v>
      </c>
      <c r="I682">
        <v>1</v>
      </c>
      <c r="J682">
        <v>1092</v>
      </c>
      <c r="K682">
        <v>0.56124296500000004</v>
      </c>
      <c r="L682">
        <v>0.9</v>
      </c>
      <c r="M682">
        <v>5</v>
      </c>
      <c r="N682">
        <v>0.88200000000000001</v>
      </c>
      <c r="O682">
        <v>5</v>
      </c>
      <c r="P682">
        <v>5</v>
      </c>
      <c r="S682" s="166" t="s">
        <v>936</v>
      </c>
    </row>
    <row r="683" spans="1:19" x14ac:dyDescent="0.25">
      <c r="A683" t="s">
        <v>2384</v>
      </c>
      <c r="B683">
        <v>9009351200</v>
      </c>
      <c r="C683" t="s">
        <v>2385</v>
      </c>
      <c r="D683">
        <v>37688</v>
      </c>
      <c r="E683">
        <v>3</v>
      </c>
      <c r="F683">
        <v>21759.176950000001</v>
      </c>
      <c r="G683">
        <v>21.759</v>
      </c>
      <c r="H683">
        <v>0.08</v>
      </c>
      <c r="I683">
        <v>1</v>
      </c>
      <c r="J683">
        <v>970</v>
      </c>
      <c r="K683">
        <v>0.534946704</v>
      </c>
      <c r="L683">
        <v>0.877</v>
      </c>
      <c r="M683">
        <v>5</v>
      </c>
      <c r="N683">
        <v>0.95299999999999996</v>
      </c>
      <c r="O683">
        <v>5</v>
      </c>
      <c r="P683">
        <v>5</v>
      </c>
      <c r="S683" s="164" t="s">
        <v>936</v>
      </c>
    </row>
    <row r="684" spans="1:19" x14ac:dyDescent="0.25">
      <c r="A684" t="s">
        <v>2386</v>
      </c>
      <c r="B684">
        <v>9009351300</v>
      </c>
      <c r="C684" t="s">
        <v>2387</v>
      </c>
      <c r="D684">
        <v>44473</v>
      </c>
      <c r="E684">
        <v>2.72</v>
      </c>
      <c r="F684">
        <v>26965.717130000001</v>
      </c>
      <c r="G684">
        <v>26.966000000000001</v>
      </c>
      <c r="H684">
        <v>0.13300000000000001</v>
      </c>
      <c r="I684">
        <v>1</v>
      </c>
      <c r="J684">
        <v>1045</v>
      </c>
      <c r="K684">
        <v>0.46503491600000002</v>
      </c>
      <c r="L684">
        <v>0.80600000000000005</v>
      </c>
      <c r="M684">
        <v>5</v>
      </c>
      <c r="N684">
        <v>0.91300000000000003</v>
      </c>
      <c r="O684">
        <v>5</v>
      </c>
      <c r="P684">
        <v>5</v>
      </c>
      <c r="S684" s="166" t="s">
        <v>936</v>
      </c>
    </row>
    <row r="685" spans="1:19" x14ac:dyDescent="0.25">
      <c r="A685" t="s">
        <v>2388</v>
      </c>
      <c r="B685">
        <v>9009351400</v>
      </c>
      <c r="C685" t="s">
        <v>2389</v>
      </c>
      <c r="D685">
        <v>34507</v>
      </c>
      <c r="E685">
        <v>2.77</v>
      </c>
      <c r="F685">
        <v>20733.246889999999</v>
      </c>
      <c r="G685">
        <v>20.733000000000001</v>
      </c>
      <c r="H685">
        <v>6.6000000000000003E-2</v>
      </c>
      <c r="I685">
        <v>1</v>
      </c>
      <c r="J685">
        <v>965</v>
      </c>
      <c r="K685">
        <v>0.55852322899999995</v>
      </c>
      <c r="L685">
        <v>0.89500000000000002</v>
      </c>
      <c r="M685">
        <v>5</v>
      </c>
      <c r="N685">
        <v>0.95499999999999996</v>
      </c>
      <c r="O685">
        <v>5</v>
      </c>
      <c r="P685">
        <v>5</v>
      </c>
      <c r="S685" s="164" t="s">
        <v>936</v>
      </c>
    </row>
    <row r="686" spans="1:19" x14ac:dyDescent="0.25">
      <c r="A686" t="s">
        <v>2390</v>
      </c>
      <c r="B686">
        <v>9009351500</v>
      </c>
      <c r="C686" t="s">
        <v>2391</v>
      </c>
      <c r="D686">
        <v>56292</v>
      </c>
      <c r="E686">
        <v>2.99</v>
      </c>
      <c r="F686">
        <v>32554.504150000001</v>
      </c>
      <c r="G686">
        <v>32.555</v>
      </c>
      <c r="H686">
        <v>0.20599999999999999</v>
      </c>
      <c r="I686">
        <v>2</v>
      </c>
      <c r="J686">
        <v>1185</v>
      </c>
      <c r="K686">
        <v>0.43680591600000002</v>
      </c>
      <c r="L686">
        <v>0.76200000000000001</v>
      </c>
      <c r="M686">
        <v>4</v>
      </c>
      <c r="N686">
        <v>0.78800000000000003</v>
      </c>
      <c r="O686">
        <v>4</v>
      </c>
      <c r="P686">
        <v>4</v>
      </c>
      <c r="S686" s="166" t="s">
        <v>944</v>
      </c>
    </row>
    <row r="687" spans="1:19" x14ac:dyDescent="0.25">
      <c r="A687" t="s">
        <v>2392</v>
      </c>
      <c r="B687">
        <v>9009351601</v>
      </c>
      <c r="C687" t="s">
        <v>2393</v>
      </c>
      <c r="D687">
        <v>49783</v>
      </c>
      <c r="E687">
        <v>2.2200000000000002</v>
      </c>
      <c r="F687">
        <v>33412.161899999999</v>
      </c>
      <c r="G687">
        <v>33.411999999999999</v>
      </c>
      <c r="H687">
        <v>0.217</v>
      </c>
      <c r="I687">
        <v>2</v>
      </c>
      <c r="J687">
        <v>999</v>
      </c>
      <c r="K687">
        <v>0.35879150900000001</v>
      </c>
      <c r="L687">
        <v>0.53</v>
      </c>
      <c r="M687">
        <v>3</v>
      </c>
      <c r="N687">
        <v>0.94099999999999995</v>
      </c>
      <c r="O687">
        <v>5</v>
      </c>
      <c r="P687">
        <v>5</v>
      </c>
      <c r="S687" s="164" t="s">
        <v>944</v>
      </c>
    </row>
    <row r="688" spans="1:19" x14ac:dyDescent="0.25">
      <c r="A688" t="s">
        <v>2394</v>
      </c>
      <c r="B688">
        <v>9009351602</v>
      </c>
      <c r="C688" t="s">
        <v>2395</v>
      </c>
      <c r="D688">
        <v>59771</v>
      </c>
      <c r="E688">
        <v>2.77</v>
      </c>
      <c r="F688">
        <v>35912.91332</v>
      </c>
      <c r="G688">
        <v>35.912999999999997</v>
      </c>
      <c r="H688">
        <v>0.247</v>
      </c>
      <c r="I688">
        <v>2</v>
      </c>
      <c r="J688">
        <v>1209</v>
      </c>
      <c r="K688">
        <v>0.40397725099999998</v>
      </c>
      <c r="L688">
        <v>0.68600000000000005</v>
      </c>
      <c r="M688">
        <v>4</v>
      </c>
      <c r="N688">
        <v>0.75600000000000001</v>
      </c>
      <c r="O688">
        <v>4</v>
      </c>
      <c r="P688">
        <v>4</v>
      </c>
      <c r="S688" s="166" t="s">
        <v>944</v>
      </c>
    </row>
    <row r="689" spans="1:19" x14ac:dyDescent="0.25">
      <c r="A689" t="s">
        <v>2396</v>
      </c>
      <c r="B689">
        <v>9009351700</v>
      </c>
      <c r="C689" t="s">
        <v>2397</v>
      </c>
      <c r="D689">
        <v>32052</v>
      </c>
      <c r="E689">
        <v>2.92</v>
      </c>
      <c r="F689">
        <v>18757.01425</v>
      </c>
      <c r="G689">
        <v>18.757000000000001</v>
      </c>
      <c r="H689">
        <v>4.7E-2</v>
      </c>
      <c r="I689">
        <v>1</v>
      </c>
      <c r="J689">
        <v>903</v>
      </c>
      <c r="K689">
        <v>0.57770388500000003</v>
      </c>
      <c r="L689">
        <v>0.90700000000000003</v>
      </c>
      <c r="M689">
        <v>5</v>
      </c>
      <c r="N689">
        <v>0.97099999999999997</v>
      </c>
      <c r="O689">
        <v>5</v>
      </c>
      <c r="P689">
        <v>5</v>
      </c>
      <c r="S689" s="164" t="s">
        <v>936</v>
      </c>
    </row>
    <row r="690" spans="1:19" x14ac:dyDescent="0.25">
      <c r="A690" t="s">
        <v>2398</v>
      </c>
      <c r="B690">
        <v>9009351800</v>
      </c>
      <c r="C690" t="s">
        <v>2399</v>
      </c>
      <c r="D690">
        <v>53147</v>
      </c>
      <c r="E690">
        <v>2.2000000000000002</v>
      </c>
      <c r="F690">
        <v>35831.700089999998</v>
      </c>
      <c r="G690">
        <v>35.832000000000001</v>
      </c>
      <c r="H690">
        <v>0.24399999999999999</v>
      </c>
      <c r="I690">
        <v>2</v>
      </c>
      <c r="J690">
        <v>1138</v>
      </c>
      <c r="K690">
        <v>0.38111504499999999</v>
      </c>
      <c r="L690">
        <v>0.63500000000000001</v>
      </c>
      <c r="M690">
        <v>4</v>
      </c>
      <c r="N690">
        <v>0.82799999999999996</v>
      </c>
      <c r="O690">
        <v>5</v>
      </c>
      <c r="P690">
        <v>5</v>
      </c>
      <c r="S690" s="166" t="s">
        <v>944</v>
      </c>
    </row>
    <row r="691" spans="1:19" x14ac:dyDescent="0.25">
      <c r="A691" t="s">
        <v>2400</v>
      </c>
      <c r="B691">
        <v>9009351900</v>
      </c>
      <c r="C691" t="s">
        <v>2401</v>
      </c>
      <c r="D691">
        <v>76739</v>
      </c>
      <c r="E691">
        <v>2.34</v>
      </c>
      <c r="F691">
        <v>50165.853649999997</v>
      </c>
      <c r="G691">
        <v>50.165999999999997</v>
      </c>
      <c r="H691">
        <v>0.47299999999999998</v>
      </c>
      <c r="I691">
        <v>3</v>
      </c>
      <c r="J691">
        <v>1447</v>
      </c>
      <c r="K691">
        <v>0.34613185499999999</v>
      </c>
      <c r="L691">
        <v>0.45800000000000002</v>
      </c>
      <c r="M691">
        <v>3</v>
      </c>
      <c r="N691">
        <v>0.53</v>
      </c>
      <c r="O691">
        <v>3</v>
      </c>
      <c r="P691">
        <v>3</v>
      </c>
      <c r="S691" s="164" t="s">
        <v>944</v>
      </c>
    </row>
    <row r="692" spans="1:19" x14ac:dyDescent="0.25">
      <c r="A692" t="s">
        <v>2402</v>
      </c>
      <c r="B692">
        <v>9009352000</v>
      </c>
      <c r="C692" t="s">
        <v>2403</v>
      </c>
      <c r="D692">
        <v>77939</v>
      </c>
      <c r="E692">
        <v>2.7</v>
      </c>
      <c r="F692">
        <v>47432.164900000003</v>
      </c>
      <c r="G692">
        <v>47.432000000000002</v>
      </c>
      <c r="H692">
        <v>0.40699999999999997</v>
      </c>
      <c r="I692">
        <v>3</v>
      </c>
      <c r="J692">
        <v>1424</v>
      </c>
      <c r="K692">
        <v>0.36026186100000002</v>
      </c>
      <c r="L692">
        <v>0.53800000000000003</v>
      </c>
      <c r="M692">
        <v>3</v>
      </c>
      <c r="N692">
        <v>0.54700000000000004</v>
      </c>
      <c r="O692">
        <v>3</v>
      </c>
      <c r="P692">
        <v>3</v>
      </c>
      <c r="S692" s="166" t="s">
        <v>944</v>
      </c>
    </row>
    <row r="693" spans="1:19" x14ac:dyDescent="0.25">
      <c r="A693" t="s">
        <v>2404</v>
      </c>
      <c r="B693">
        <v>9009352100</v>
      </c>
      <c r="C693" t="s">
        <v>2405</v>
      </c>
      <c r="D693">
        <v>57587</v>
      </c>
      <c r="E693">
        <v>2.62</v>
      </c>
      <c r="F693">
        <v>35577.367409999999</v>
      </c>
      <c r="G693">
        <v>35.576999999999998</v>
      </c>
      <c r="H693">
        <v>0.24</v>
      </c>
      <c r="I693">
        <v>2</v>
      </c>
      <c r="J693">
        <v>1181</v>
      </c>
      <c r="K693">
        <v>0.39834313300000002</v>
      </c>
      <c r="L693">
        <v>0.68100000000000005</v>
      </c>
      <c r="M693">
        <v>4</v>
      </c>
      <c r="N693">
        <v>0.79700000000000004</v>
      </c>
      <c r="O693">
        <v>4</v>
      </c>
      <c r="P693">
        <v>4</v>
      </c>
      <c r="S693" s="164" t="s">
        <v>944</v>
      </c>
    </row>
    <row r="694" spans="1:19" x14ac:dyDescent="0.25">
      <c r="A694" t="s">
        <v>2406</v>
      </c>
      <c r="B694">
        <v>9009352200</v>
      </c>
      <c r="C694" t="s">
        <v>2407</v>
      </c>
      <c r="D694">
        <v>30855</v>
      </c>
      <c r="E694">
        <v>3.03</v>
      </c>
      <c r="F694">
        <v>17725.734349999999</v>
      </c>
      <c r="G694">
        <v>17.725999999999999</v>
      </c>
      <c r="H694">
        <v>0.04</v>
      </c>
      <c r="I694">
        <v>1</v>
      </c>
      <c r="J694">
        <v>710</v>
      </c>
      <c r="K694">
        <v>0.48065709600000001</v>
      </c>
      <c r="L694">
        <v>0.82299999999999995</v>
      </c>
      <c r="M694">
        <v>5</v>
      </c>
      <c r="N694">
        <v>0.99399999999999999</v>
      </c>
      <c r="O694">
        <v>5</v>
      </c>
      <c r="P694">
        <v>5</v>
      </c>
      <c r="S694" s="166" t="s">
        <v>936</v>
      </c>
    </row>
    <row r="695" spans="1:19" x14ac:dyDescent="0.25">
      <c r="A695" t="s">
        <v>2408</v>
      </c>
      <c r="B695">
        <v>9009352300</v>
      </c>
      <c r="C695" t="s">
        <v>2409</v>
      </c>
      <c r="D695">
        <v>44352</v>
      </c>
      <c r="E695">
        <v>2.4</v>
      </c>
      <c r="F695">
        <v>28629.0929</v>
      </c>
      <c r="G695">
        <v>28.629000000000001</v>
      </c>
      <c r="H695">
        <v>0.14899999999999999</v>
      </c>
      <c r="I695">
        <v>1</v>
      </c>
      <c r="J695">
        <v>1015</v>
      </c>
      <c r="K695">
        <v>0.42544135199999999</v>
      </c>
      <c r="L695">
        <v>0.74299999999999999</v>
      </c>
      <c r="M695">
        <v>4</v>
      </c>
      <c r="N695">
        <v>0.93</v>
      </c>
      <c r="O695">
        <v>5</v>
      </c>
      <c r="P695">
        <v>5</v>
      </c>
      <c r="S695" s="164" t="s">
        <v>936</v>
      </c>
    </row>
    <row r="696" spans="1:19" x14ac:dyDescent="0.25">
      <c r="A696" t="s">
        <v>2410</v>
      </c>
      <c r="B696">
        <v>9009352400</v>
      </c>
      <c r="C696" t="s">
        <v>2411</v>
      </c>
      <c r="D696">
        <v>50583</v>
      </c>
      <c r="E696">
        <v>3.2</v>
      </c>
      <c r="F696">
        <v>28276.75663</v>
      </c>
      <c r="G696">
        <v>28.277000000000001</v>
      </c>
      <c r="H696">
        <v>0.14499999999999999</v>
      </c>
      <c r="I696">
        <v>1</v>
      </c>
      <c r="J696">
        <v>1038</v>
      </c>
      <c r="K696">
        <v>0.44050313699999999</v>
      </c>
      <c r="L696">
        <v>0.77</v>
      </c>
      <c r="M696">
        <v>4</v>
      </c>
      <c r="N696">
        <v>0.91500000000000004</v>
      </c>
      <c r="O696">
        <v>5</v>
      </c>
      <c r="P696">
        <v>5</v>
      </c>
      <c r="S696" s="166" t="s">
        <v>944</v>
      </c>
    </row>
    <row r="697" spans="1:19" x14ac:dyDescent="0.25">
      <c r="A697" t="s">
        <v>2412</v>
      </c>
      <c r="B697">
        <v>9009352500</v>
      </c>
      <c r="C697" t="s">
        <v>2413</v>
      </c>
      <c r="D697">
        <v>51094</v>
      </c>
      <c r="E697">
        <v>2.72</v>
      </c>
      <c r="F697">
        <v>30980.288059999999</v>
      </c>
      <c r="G697">
        <v>30.98</v>
      </c>
      <c r="H697">
        <v>0.188</v>
      </c>
      <c r="I697">
        <v>1</v>
      </c>
      <c r="J697">
        <v>1131</v>
      </c>
      <c r="K697">
        <v>0.43808501599999999</v>
      </c>
      <c r="L697">
        <v>0.76600000000000001</v>
      </c>
      <c r="M697">
        <v>4</v>
      </c>
      <c r="N697">
        <v>0.83499999999999996</v>
      </c>
      <c r="O697">
        <v>5</v>
      </c>
      <c r="P697">
        <v>5</v>
      </c>
      <c r="S697" s="164" t="s">
        <v>944</v>
      </c>
    </row>
    <row r="698" spans="1:19" x14ac:dyDescent="0.25">
      <c r="A698" t="s">
        <v>2414</v>
      </c>
      <c r="B698">
        <v>9009352600</v>
      </c>
      <c r="C698" t="s">
        <v>2415</v>
      </c>
      <c r="D698">
        <v>43175</v>
      </c>
      <c r="E698">
        <v>2.64</v>
      </c>
      <c r="F698">
        <v>26572.375619999999</v>
      </c>
      <c r="G698">
        <v>26.571999999999999</v>
      </c>
      <c r="H698">
        <v>0.128</v>
      </c>
      <c r="I698">
        <v>1</v>
      </c>
      <c r="J698">
        <v>1238</v>
      </c>
      <c r="K698">
        <v>0.55907684800000002</v>
      </c>
      <c r="L698">
        <v>0.89600000000000002</v>
      </c>
      <c r="M698">
        <v>5</v>
      </c>
      <c r="N698">
        <v>0.72399999999999998</v>
      </c>
      <c r="O698">
        <v>4</v>
      </c>
      <c r="P698">
        <v>5</v>
      </c>
      <c r="S698" s="166" t="s">
        <v>936</v>
      </c>
    </row>
    <row r="699" spans="1:19" x14ac:dyDescent="0.25">
      <c r="A699" t="s">
        <v>2416</v>
      </c>
      <c r="B699">
        <v>9009352701</v>
      </c>
      <c r="C699" t="s">
        <v>2417</v>
      </c>
      <c r="D699">
        <v>50561</v>
      </c>
      <c r="E699">
        <v>2</v>
      </c>
      <c r="F699">
        <v>35752.025959999999</v>
      </c>
      <c r="G699">
        <v>35.752000000000002</v>
      </c>
      <c r="H699">
        <v>0.24299999999999999</v>
      </c>
      <c r="I699">
        <v>2</v>
      </c>
      <c r="J699">
        <v>1058</v>
      </c>
      <c r="K699">
        <v>0.35511274300000001</v>
      </c>
      <c r="L699">
        <v>0.50800000000000001</v>
      </c>
      <c r="M699">
        <v>3</v>
      </c>
      <c r="N699">
        <v>0.90300000000000002</v>
      </c>
      <c r="O699">
        <v>5</v>
      </c>
      <c r="P699">
        <v>5</v>
      </c>
      <c r="S699" s="164" t="s">
        <v>944</v>
      </c>
    </row>
    <row r="700" spans="1:19" x14ac:dyDescent="0.25">
      <c r="A700" t="s">
        <v>2418</v>
      </c>
      <c r="B700">
        <v>9009352702</v>
      </c>
      <c r="C700" t="s">
        <v>2419</v>
      </c>
      <c r="D700">
        <v>68322</v>
      </c>
      <c r="E700">
        <v>2.52</v>
      </c>
      <c r="F700">
        <v>43038.814539999999</v>
      </c>
      <c r="G700">
        <v>43.039000000000001</v>
      </c>
      <c r="H700">
        <v>0.34</v>
      </c>
      <c r="I700">
        <v>2</v>
      </c>
      <c r="J700">
        <v>1254</v>
      </c>
      <c r="K700">
        <v>0.34963788299999998</v>
      </c>
      <c r="L700">
        <v>0.47299999999999998</v>
      </c>
      <c r="M700">
        <v>3</v>
      </c>
      <c r="N700">
        <v>0.71299999999999997</v>
      </c>
      <c r="O700">
        <v>4</v>
      </c>
      <c r="P700">
        <v>4</v>
      </c>
      <c r="S700" s="166" t="s">
        <v>944</v>
      </c>
    </row>
    <row r="701" spans="1:19" x14ac:dyDescent="0.25">
      <c r="A701" t="s">
        <v>2420</v>
      </c>
      <c r="B701">
        <v>9009352800</v>
      </c>
      <c r="C701" t="s">
        <v>2421</v>
      </c>
      <c r="D701">
        <v>53904</v>
      </c>
      <c r="E701">
        <v>2.48</v>
      </c>
      <c r="F701">
        <v>34229.074229999998</v>
      </c>
      <c r="G701">
        <v>34.228999999999999</v>
      </c>
      <c r="H701">
        <v>0.22900000000000001</v>
      </c>
      <c r="I701">
        <v>2</v>
      </c>
      <c r="J701">
        <v>1120</v>
      </c>
      <c r="K701">
        <v>0.39264865599999998</v>
      </c>
      <c r="L701">
        <v>0.67</v>
      </c>
      <c r="M701">
        <v>4</v>
      </c>
      <c r="N701">
        <v>0.85499999999999998</v>
      </c>
      <c r="O701">
        <v>5</v>
      </c>
      <c r="P701">
        <v>5</v>
      </c>
      <c r="S701" s="164" t="s">
        <v>944</v>
      </c>
    </row>
    <row r="702" spans="1:19" x14ac:dyDescent="0.25">
      <c r="A702" t="s">
        <v>2422</v>
      </c>
      <c r="B702">
        <v>9009361100</v>
      </c>
      <c r="C702" t="s">
        <v>2423</v>
      </c>
      <c r="D702">
        <v>94434</v>
      </c>
      <c r="E702">
        <v>2.73</v>
      </c>
      <c r="F702">
        <v>57154.056819999998</v>
      </c>
      <c r="G702">
        <v>57.154000000000003</v>
      </c>
      <c r="H702">
        <v>0.59899999999999998</v>
      </c>
      <c r="I702">
        <v>3</v>
      </c>
      <c r="J702">
        <v>1597</v>
      </c>
      <c r="K702">
        <v>0.33530428200000001</v>
      </c>
      <c r="L702">
        <v>0.39900000000000002</v>
      </c>
      <c r="M702">
        <v>2</v>
      </c>
      <c r="N702">
        <v>0.38100000000000001</v>
      </c>
      <c r="O702">
        <v>2</v>
      </c>
      <c r="P702">
        <v>3</v>
      </c>
      <c r="S702" s="166" t="s">
        <v>944</v>
      </c>
    </row>
    <row r="703" spans="1:19" x14ac:dyDescent="0.25">
      <c r="A703" t="s">
        <v>2424</v>
      </c>
      <c r="B703">
        <v>9009361200</v>
      </c>
      <c r="C703" t="s">
        <v>2425</v>
      </c>
      <c r="D703">
        <v>94576</v>
      </c>
      <c r="E703">
        <v>2.7</v>
      </c>
      <c r="F703">
        <v>57557.120669999997</v>
      </c>
      <c r="G703">
        <v>57.557000000000002</v>
      </c>
      <c r="H703">
        <v>0.61099999999999999</v>
      </c>
      <c r="I703">
        <v>4</v>
      </c>
      <c r="J703">
        <v>1475</v>
      </c>
      <c r="K703">
        <v>0.30752059500000001</v>
      </c>
      <c r="L703">
        <v>0.21199999999999999</v>
      </c>
      <c r="M703">
        <v>2</v>
      </c>
      <c r="N703">
        <v>0.5</v>
      </c>
      <c r="O703">
        <v>3</v>
      </c>
      <c r="P703">
        <v>3</v>
      </c>
      <c r="S703" s="164" t="s">
        <v>944</v>
      </c>
    </row>
    <row r="704" spans="1:19" x14ac:dyDescent="0.25">
      <c r="A704" t="s">
        <v>2426</v>
      </c>
      <c r="B704">
        <v>9009361300</v>
      </c>
      <c r="C704" t="s">
        <v>2427</v>
      </c>
      <c r="D704">
        <v>102697</v>
      </c>
      <c r="E704">
        <v>2.72</v>
      </c>
      <c r="F704">
        <v>62269.202709999998</v>
      </c>
      <c r="G704">
        <v>62.268999999999998</v>
      </c>
      <c r="H704">
        <v>0.69799999999999995</v>
      </c>
      <c r="I704">
        <v>4</v>
      </c>
      <c r="J704">
        <v>1664</v>
      </c>
      <c r="K704">
        <v>0.32067216399999998</v>
      </c>
      <c r="L704">
        <v>0.29499999999999998</v>
      </c>
      <c r="M704">
        <v>2</v>
      </c>
      <c r="N704">
        <v>0.33300000000000002</v>
      </c>
      <c r="O704">
        <v>2</v>
      </c>
      <c r="P704">
        <v>2</v>
      </c>
      <c r="S704" s="166" t="s">
        <v>944</v>
      </c>
    </row>
    <row r="705" spans="1:19" x14ac:dyDescent="0.25">
      <c r="A705" t="s">
        <v>2428</v>
      </c>
      <c r="B705">
        <v>9009361401</v>
      </c>
      <c r="C705" t="s">
        <v>2429</v>
      </c>
      <c r="D705">
        <v>31838</v>
      </c>
      <c r="E705">
        <v>1.55</v>
      </c>
      <c r="F705">
        <v>25572.896990000001</v>
      </c>
      <c r="G705">
        <v>25.573</v>
      </c>
      <c r="H705">
        <v>0.11899999999999999</v>
      </c>
      <c r="I705">
        <v>1</v>
      </c>
      <c r="J705">
        <v>1313</v>
      </c>
      <c r="K705">
        <v>0.61612104400000001</v>
      </c>
      <c r="L705">
        <v>0.93</v>
      </c>
      <c r="M705">
        <v>5</v>
      </c>
      <c r="N705">
        <v>0.64300000000000002</v>
      </c>
      <c r="O705">
        <v>4</v>
      </c>
      <c r="P705">
        <v>5</v>
      </c>
      <c r="S705" s="164" t="s">
        <v>936</v>
      </c>
    </row>
    <row r="706" spans="1:19" x14ac:dyDescent="0.25">
      <c r="A706" t="s">
        <v>2430</v>
      </c>
      <c r="B706">
        <v>9009361402</v>
      </c>
      <c r="C706" t="s">
        <v>2431</v>
      </c>
      <c r="D706">
        <v>49375</v>
      </c>
      <c r="E706">
        <v>1.97</v>
      </c>
      <c r="F706">
        <v>35178.230929999998</v>
      </c>
      <c r="G706">
        <v>35.177999999999997</v>
      </c>
      <c r="H706">
        <v>0.23599999999999999</v>
      </c>
      <c r="I706">
        <v>2</v>
      </c>
      <c r="J706">
        <v>1510</v>
      </c>
      <c r="K706">
        <v>0.51509128000000004</v>
      </c>
      <c r="L706">
        <v>0.86199999999999999</v>
      </c>
      <c r="M706">
        <v>5</v>
      </c>
      <c r="N706">
        <v>0.46</v>
      </c>
      <c r="O706">
        <v>3</v>
      </c>
      <c r="P706">
        <v>4</v>
      </c>
      <c r="S706" s="166" t="s">
        <v>944</v>
      </c>
    </row>
    <row r="707" spans="1:19" x14ac:dyDescent="0.25">
      <c r="A707" t="s">
        <v>2432</v>
      </c>
      <c r="B707">
        <v>9009361500</v>
      </c>
      <c r="C707" t="s">
        <v>2433</v>
      </c>
      <c r="D707">
        <v>57955</v>
      </c>
      <c r="E707">
        <v>2.87</v>
      </c>
      <c r="F707">
        <v>34209.754829999998</v>
      </c>
      <c r="G707">
        <v>34.21</v>
      </c>
      <c r="H707">
        <v>0.22800000000000001</v>
      </c>
      <c r="I707">
        <v>2</v>
      </c>
      <c r="J707">
        <v>1260</v>
      </c>
      <c r="K707">
        <v>0.44197919800000002</v>
      </c>
      <c r="L707">
        <v>0.77200000000000002</v>
      </c>
      <c r="M707">
        <v>4</v>
      </c>
      <c r="N707">
        <v>0.70199999999999996</v>
      </c>
      <c r="O707">
        <v>4</v>
      </c>
      <c r="P707">
        <v>4</v>
      </c>
      <c r="S707" s="164" t="s">
        <v>944</v>
      </c>
    </row>
    <row r="708" spans="1:19" x14ac:dyDescent="0.25">
      <c r="A708" t="s">
        <v>2434</v>
      </c>
      <c r="B708">
        <v>9011650100</v>
      </c>
      <c r="C708" t="s">
        <v>2435</v>
      </c>
      <c r="D708">
        <v>100435</v>
      </c>
      <c r="E708">
        <v>2.36</v>
      </c>
      <c r="F708">
        <v>65377.616370000003</v>
      </c>
      <c r="G708">
        <v>65.378</v>
      </c>
      <c r="H708">
        <v>0.73899999999999999</v>
      </c>
      <c r="I708">
        <v>4</v>
      </c>
      <c r="J708">
        <v>1779</v>
      </c>
      <c r="K708">
        <v>0.32653377700000003</v>
      </c>
      <c r="L708">
        <v>0.33500000000000002</v>
      </c>
      <c r="M708">
        <v>2</v>
      </c>
      <c r="N708">
        <v>0.26200000000000001</v>
      </c>
      <c r="O708">
        <v>2</v>
      </c>
      <c r="P708">
        <v>2</v>
      </c>
      <c r="S708" s="166" t="s">
        <v>944</v>
      </c>
    </row>
    <row r="709" spans="1:19" x14ac:dyDescent="0.25">
      <c r="A709" t="s">
        <v>2436</v>
      </c>
      <c r="B709">
        <v>9011660101</v>
      </c>
      <c r="C709" t="s">
        <v>2437</v>
      </c>
      <c r="D709">
        <v>95642</v>
      </c>
      <c r="E709">
        <v>2.23</v>
      </c>
      <c r="F709">
        <v>64046.620369999997</v>
      </c>
      <c r="G709">
        <v>64.046999999999997</v>
      </c>
      <c r="H709">
        <v>0.71899999999999997</v>
      </c>
      <c r="I709">
        <v>4</v>
      </c>
      <c r="J709">
        <v>1661</v>
      </c>
      <c r="K709">
        <v>0.31121080099999998</v>
      </c>
      <c r="L709">
        <v>0.23100000000000001</v>
      </c>
      <c r="M709">
        <v>2</v>
      </c>
      <c r="N709">
        <v>0.33700000000000002</v>
      </c>
      <c r="O709">
        <v>2</v>
      </c>
      <c r="P709">
        <v>2</v>
      </c>
      <c r="S709" s="164" t="s">
        <v>944</v>
      </c>
    </row>
    <row r="710" spans="1:19" x14ac:dyDescent="0.25">
      <c r="A710" t="s">
        <v>2438</v>
      </c>
      <c r="B710">
        <v>9011660102</v>
      </c>
      <c r="C710" t="s">
        <v>2439</v>
      </c>
      <c r="D710">
        <v>98000</v>
      </c>
      <c r="E710">
        <v>2.37</v>
      </c>
      <c r="F710">
        <v>63657.840640000002</v>
      </c>
      <c r="G710">
        <v>63.658000000000001</v>
      </c>
      <c r="H710">
        <v>0.71299999999999997</v>
      </c>
      <c r="I710">
        <v>4</v>
      </c>
      <c r="J710">
        <v>1396</v>
      </c>
      <c r="K710">
        <v>0.26315690000000003</v>
      </c>
      <c r="L710">
        <v>4.2000000000000003E-2</v>
      </c>
      <c r="M710">
        <v>1</v>
      </c>
      <c r="N710">
        <v>0.57299999999999995</v>
      </c>
      <c r="O710">
        <v>3</v>
      </c>
      <c r="P710">
        <v>3</v>
      </c>
      <c r="S710" s="166" t="s">
        <v>944</v>
      </c>
    </row>
    <row r="711" spans="1:19" x14ac:dyDescent="0.25">
      <c r="A711" t="s">
        <v>2440</v>
      </c>
      <c r="B711">
        <v>9011690300</v>
      </c>
      <c r="C711" t="s">
        <v>2441</v>
      </c>
      <c r="D711">
        <v>40913</v>
      </c>
      <c r="E711">
        <v>2.4</v>
      </c>
      <c r="F711">
        <v>26409.227940000001</v>
      </c>
      <c r="G711">
        <v>26.408999999999999</v>
      </c>
      <c r="H711">
        <v>0.126</v>
      </c>
      <c r="I711">
        <v>1</v>
      </c>
      <c r="J711">
        <v>1104</v>
      </c>
      <c r="K711">
        <v>0.50164283600000004</v>
      </c>
      <c r="L711">
        <v>0.84699999999999998</v>
      </c>
      <c r="M711">
        <v>5</v>
      </c>
      <c r="N711">
        <v>0.87</v>
      </c>
      <c r="O711">
        <v>5</v>
      </c>
      <c r="P711">
        <v>5</v>
      </c>
      <c r="S711" s="164" t="s">
        <v>936</v>
      </c>
    </row>
    <row r="712" spans="1:19" x14ac:dyDescent="0.25">
      <c r="A712" t="s">
        <v>2442</v>
      </c>
      <c r="B712">
        <v>9011690400</v>
      </c>
      <c r="C712" t="s">
        <v>2443</v>
      </c>
      <c r="D712">
        <v>50000</v>
      </c>
      <c r="E712">
        <v>2.61</v>
      </c>
      <c r="F712">
        <v>30949.223030000001</v>
      </c>
      <c r="G712">
        <v>30.949000000000002</v>
      </c>
      <c r="H712">
        <v>0.185</v>
      </c>
      <c r="I712">
        <v>1</v>
      </c>
      <c r="J712">
        <v>1248</v>
      </c>
      <c r="K712">
        <v>0.48388936900000001</v>
      </c>
      <c r="L712">
        <v>0.82699999999999996</v>
      </c>
      <c r="M712">
        <v>5</v>
      </c>
      <c r="N712">
        <v>0.71599999999999997</v>
      </c>
      <c r="O712">
        <v>4</v>
      </c>
      <c r="P712">
        <v>5</v>
      </c>
      <c r="S712" s="166" t="s">
        <v>944</v>
      </c>
    </row>
    <row r="713" spans="1:19" x14ac:dyDescent="0.25">
      <c r="A713" t="s">
        <v>2444</v>
      </c>
      <c r="B713">
        <v>9011690500</v>
      </c>
      <c r="C713" t="s">
        <v>2445</v>
      </c>
      <c r="D713">
        <v>28032</v>
      </c>
      <c r="E713">
        <v>1.59</v>
      </c>
      <c r="F713">
        <v>22230.822049999999</v>
      </c>
      <c r="G713">
        <v>22.231000000000002</v>
      </c>
      <c r="H713">
        <v>8.5000000000000006E-2</v>
      </c>
      <c r="I713">
        <v>1</v>
      </c>
      <c r="J713">
        <v>910</v>
      </c>
      <c r="K713">
        <v>0.49120990599999997</v>
      </c>
      <c r="L713">
        <v>0.83499999999999996</v>
      </c>
      <c r="M713">
        <v>5</v>
      </c>
      <c r="N713">
        <v>0.97</v>
      </c>
      <c r="O713">
        <v>5</v>
      </c>
      <c r="P713">
        <v>5</v>
      </c>
      <c r="S713" s="164" t="s">
        <v>936</v>
      </c>
    </row>
    <row r="714" spans="1:19" x14ac:dyDescent="0.25">
      <c r="A714" t="s">
        <v>2446</v>
      </c>
      <c r="B714">
        <v>9011690700</v>
      </c>
      <c r="C714" t="s">
        <v>2447</v>
      </c>
      <c r="D714">
        <v>49183</v>
      </c>
      <c r="E714">
        <v>2.37</v>
      </c>
      <c r="F714">
        <v>31947.791590000001</v>
      </c>
      <c r="G714">
        <v>31.948</v>
      </c>
      <c r="H714">
        <v>0.20100000000000001</v>
      </c>
      <c r="I714">
        <v>2</v>
      </c>
      <c r="J714">
        <v>1165</v>
      </c>
      <c r="K714">
        <v>0.43758893199999999</v>
      </c>
      <c r="L714">
        <v>0.76500000000000001</v>
      </c>
      <c r="M714">
        <v>4</v>
      </c>
      <c r="N714">
        <v>0.81100000000000005</v>
      </c>
      <c r="O714">
        <v>5</v>
      </c>
      <c r="P714">
        <v>5</v>
      </c>
      <c r="S714" s="166" t="s">
        <v>944</v>
      </c>
    </row>
    <row r="715" spans="1:19" x14ac:dyDescent="0.25">
      <c r="A715" t="s">
        <v>2448</v>
      </c>
      <c r="B715">
        <v>9011690800</v>
      </c>
      <c r="C715" t="s">
        <v>2449</v>
      </c>
      <c r="D715">
        <v>51426</v>
      </c>
      <c r="E715">
        <v>2.33</v>
      </c>
      <c r="F715">
        <v>33690.29277</v>
      </c>
      <c r="G715">
        <v>33.69</v>
      </c>
      <c r="H715">
        <v>0.218</v>
      </c>
      <c r="I715">
        <v>2</v>
      </c>
      <c r="J715">
        <v>1264</v>
      </c>
      <c r="K715">
        <v>0.45021870600000002</v>
      </c>
      <c r="L715">
        <v>0.78400000000000003</v>
      </c>
      <c r="M715">
        <v>4</v>
      </c>
      <c r="N715">
        <v>0.69899999999999995</v>
      </c>
      <c r="O715">
        <v>4</v>
      </c>
      <c r="P715">
        <v>4</v>
      </c>
      <c r="S715" s="164" t="s">
        <v>944</v>
      </c>
    </row>
    <row r="716" spans="1:19" x14ac:dyDescent="0.25">
      <c r="A716" t="s">
        <v>2450</v>
      </c>
      <c r="B716">
        <v>9011690900</v>
      </c>
      <c r="C716" t="s">
        <v>2451</v>
      </c>
      <c r="D716">
        <v>78209</v>
      </c>
      <c r="E716">
        <v>1.99</v>
      </c>
      <c r="F716">
        <v>55440.890160000003</v>
      </c>
      <c r="G716">
        <v>55.441000000000003</v>
      </c>
      <c r="H716">
        <v>0.57099999999999995</v>
      </c>
      <c r="I716">
        <v>3</v>
      </c>
      <c r="J716">
        <v>1197</v>
      </c>
      <c r="K716">
        <v>0.25908674900000001</v>
      </c>
      <c r="L716">
        <v>2.9000000000000001E-2</v>
      </c>
      <c r="M716">
        <v>1</v>
      </c>
      <c r="N716">
        <v>0.76800000000000002</v>
      </c>
      <c r="O716">
        <v>4</v>
      </c>
      <c r="P716">
        <v>4</v>
      </c>
      <c r="S716" s="166" t="s">
        <v>944</v>
      </c>
    </row>
    <row r="717" spans="1:19" x14ac:dyDescent="0.25">
      <c r="A717" t="s">
        <v>2452</v>
      </c>
      <c r="B717">
        <v>9011693300</v>
      </c>
      <c r="C717" t="s">
        <v>2453</v>
      </c>
      <c r="D717">
        <v>80753</v>
      </c>
      <c r="E717">
        <v>2.2799999999999998</v>
      </c>
      <c r="F717">
        <v>53479.98072</v>
      </c>
      <c r="G717">
        <v>53.48</v>
      </c>
      <c r="H717">
        <v>0.52800000000000002</v>
      </c>
      <c r="I717">
        <v>3</v>
      </c>
      <c r="J717">
        <v>1399</v>
      </c>
      <c r="K717">
        <v>0.31391185599999999</v>
      </c>
      <c r="L717">
        <v>0.249</v>
      </c>
      <c r="M717">
        <v>2</v>
      </c>
      <c r="N717">
        <v>0.56999999999999995</v>
      </c>
      <c r="O717">
        <v>3</v>
      </c>
      <c r="P717">
        <v>3</v>
      </c>
      <c r="S717" s="164" t="s">
        <v>944</v>
      </c>
    </row>
    <row r="718" spans="1:19" x14ac:dyDescent="0.25">
      <c r="A718" t="s">
        <v>2454</v>
      </c>
      <c r="B718">
        <v>9011693400</v>
      </c>
      <c r="C718" t="s">
        <v>2455</v>
      </c>
      <c r="D718">
        <v>63295</v>
      </c>
      <c r="E718">
        <v>2.1800000000000002</v>
      </c>
      <c r="F718">
        <v>42868.783280000003</v>
      </c>
      <c r="G718">
        <v>42.869</v>
      </c>
      <c r="H718">
        <v>0.33600000000000002</v>
      </c>
      <c r="I718">
        <v>2</v>
      </c>
      <c r="J718">
        <v>1187</v>
      </c>
      <c r="K718">
        <v>0.33226975199999997</v>
      </c>
      <c r="L718">
        <v>0.375</v>
      </c>
      <c r="M718">
        <v>2</v>
      </c>
      <c r="N718">
        <v>0.78400000000000003</v>
      </c>
      <c r="O718">
        <v>4</v>
      </c>
      <c r="P718">
        <v>4</v>
      </c>
      <c r="S718" s="166" t="s">
        <v>944</v>
      </c>
    </row>
    <row r="719" spans="1:19" x14ac:dyDescent="0.25">
      <c r="A719" t="s">
        <v>2456</v>
      </c>
      <c r="B719">
        <v>9011693500</v>
      </c>
      <c r="C719" t="s">
        <v>2457</v>
      </c>
      <c r="D719">
        <v>110625</v>
      </c>
      <c r="E719">
        <v>2.4700000000000002</v>
      </c>
      <c r="F719">
        <v>70389.001900000003</v>
      </c>
      <c r="G719">
        <v>70.388999999999996</v>
      </c>
      <c r="H719">
        <v>0.80800000000000005</v>
      </c>
      <c r="I719">
        <v>5</v>
      </c>
      <c r="J719">
        <v>1712</v>
      </c>
      <c r="K719">
        <v>0.29186377800000002</v>
      </c>
      <c r="L719">
        <v>0.125</v>
      </c>
      <c r="M719">
        <v>1</v>
      </c>
      <c r="N719">
        <v>0.30299999999999999</v>
      </c>
      <c r="O719">
        <v>2</v>
      </c>
      <c r="P719">
        <v>2</v>
      </c>
      <c r="S719" s="164" t="s">
        <v>944</v>
      </c>
    </row>
    <row r="720" spans="1:19" x14ac:dyDescent="0.25">
      <c r="A720" t="s">
        <v>2458</v>
      </c>
      <c r="B720">
        <v>9011693600</v>
      </c>
      <c r="C720" t="s">
        <v>2459</v>
      </c>
      <c r="D720">
        <v>97750</v>
      </c>
      <c r="E720">
        <v>2.61</v>
      </c>
      <c r="F720">
        <v>60505.731019999999</v>
      </c>
      <c r="G720">
        <v>60.506</v>
      </c>
      <c r="H720">
        <v>0.66200000000000003</v>
      </c>
      <c r="I720">
        <v>4</v>
      </c>
      <c r="J720">
        <v>1528</v>
      </c>
      <c r="K720">
        <v>0.30304567300000002</v>
      </c>
      <c r="L720">
        <v>0.192</v>
      </c>
      <c r="M720">
        <v>1</v>
      </c>
      <c r="N720">
        <v>0.44500000000000001</v>
      </c>
      <c r="O720">
        <v>3</v>
      </c>
      <c r="P720">
        <v>3</v>
      </c>
      <c r="S720" s="166" t="s">
        <v>944</v>
      </c>
    </row>
    <row r="721" spans="1:19" x14ac:dyDescent="0.25">
      <c r="A721" t="s">
        <v>2460</v>
      </c>
      <c r="B721">
        <v>9011693700</v>
      </c>
      <c r="C721" t="s">
        <v>2461</v>
      </c>
      <c r="D721">
        <v>111849</v>
      </c>
      <c r="E721">
        <v>2.64</v>
      </c>
      <c r="F721">
        <v>68838.300870000006</v>
      </c>
      <c r="G721">
        <v>68.837999999999994</v>
      </c>
      <c r="H721">
        <v>0.78600000000000003</v>
      </c>
      <c r="I721">
        <v>4</v>
      </c>
      <c r="J721">
        <v>1443</v>
      </c>
      <c r="K721">
        <v>0.25154601100000001</v>
      </c>
      <c r="L721">
        <v>1.4999999999999999E-2</v>
      </c>
      <c r="M721">
        <v>1</v>
      </c>
      <c r="N721">
        <v>0.53500000000000003</v>
      </c>
      <c r="O721">
        <v>3</v>
      </c>
      <c r="P721">
        <v>3</v>
      </c>
      <c r="S721" s="164" t="s">
        <v>944</v>
      </c>
    </row>
    <row r="722" spans="1:19" x14ac:dyDescent="0.25">
      <c r="A722" t="s">
        <v>2462</v>
      </c>
      <c r="B722">
        <v>9011695201</v>
      </c>
      <c r="C722" t="s">
        <v>2463</v>
      </c>
      <c r="D722">
        <v>74675</v>
      </c>
      <c r="E722">
        <v>2.48</v>
      </c>
      <c r="F722">
        <v>47418.672420000003</v>
      </c>
      <c r="G722">
        <v>47.418999999999997</v>
      </c>
      <c r="H722">
        <v>0.40500000000000003</v>
      </c>
      <c r="I722">
        <v>3</v>
      </c>
      <c r="J722">
        <v>1280</v>
      </c>
      <c r="K722">
        <v>0.32392302899999997</v>
      </c>
      <c r="L722">
        <v>0.32700000000000001</v>
      </c>
      <c r="M722">
        <v>2</v>
      </c>
      <c r="N722">
        <v>0.67900000000000005</v>
      </c>
      <c r="O722">
        <v>4</v>
      </c>
      <c r="P722">
        <v>4</v>
      </c>
      <c r="S722" s="166" t="s">
        <v>944</v>
      </c>
    </row>
    <row r="723" spans="1:19" x14ac:dyDescent="0.25">
      <c r="A723" t="s">
        <v>2464</v>
      </c>
      <c r="B723">
        <v>9011695202</v>
      </c>
      <c r="C723" t="s">
        <v>2465</v>
      </c>
      <c r="D723">
        <v>83039</v>
      </c>
      <c r="E723">
        <v>2.41</v>
      </c>
      <c r="F723">
        <v>53490.122100000001</v>
      </c>
      <c r="G723">
        <v>53.49</v>
      </c>
      <c r="H723">
        <v>0.52900000000000003</v>
      </c>
      <c r="I723">
        <v>3</v>
      </c>
      <c r="J723">
        <v>1304</v>
      </c>
      <c r="K723">
        <v>0.29253999400000003</v>
      </c>
      <c r="L723">
        <v>0.13200000000000001</v>
      </c>
      <c r="M723">
        <v>1</v>
      </c>
      <c r="N723">
        <v>0.65100000000000002</v>
      </c>
      <c r="O723">
        <v>4</v>
      </c>
      <c r="P723">
        <v>4</v>
      </c>
      <c r="S723" s="164" t="s">
        <v>944</v>
      </c>
    </row>
    <row r="724" spans="1:19" x14ac:dyDescent="0.25">
      <c r="A724" t="s">
        <v>2466</v>
      </c>
      <c r="B724">
        <v>9011696100</v>
      </c>
      <c r="C724" t="s">
        <v>2467</v>
      </c>
      <c r="D724">
        <v>43716</v>
      </c>
      <c r="E724">
        <v>2.1</v>
      </c>
      <c r="F724">
        <v>30166.905989999999</v>
      </c>
      <c r="G724">
        <v>30.167000000000002</v>
      </c>
      <c r="H724">
        <v>0.17199999999999999</v>
      </c>
      <c r="I724">
        <v>1</v>
      </c>
      <c r="J724">
        <v>977</v>
      </c>
      <c r="K724">
        <v>0.388637801</v>
      </c>
      <c r="L724">
        <v>0.65800000000000003</v>
      </c>
      <c r="M724">
        <v>4</v>
      </c>
      <c r="N724">
        <v>0.94899999999999995</v>
      </c>
      <c r="O724">
        <v>5</v>
      </c>
      <c r="P724">
        <v>5</v>
      </c>
      <c r="S724" s="166" t="s">
        <v>936</v>
      </c>
    </row>
    <row r="725" spans="1:19" x14ac:dyDescent="0.25">
      <c r="A725" t="s">
        <v>2468</v>
      </c>
      <c r="B725">
        <v>9011696200</v>
      </c>
      <c r="C725" t="s">
        <v>2469</v>
      </c>
      <c r="D725">
        <v>79082</v>
      </c>
      <c r="E725">
        <v>2.29</v>
      </c>
      <c r="F725">
        <v>52258.85656</v>
      </c>
      <c r="G725">
        <v>52.259</v>
      </c>
      <c r="H725">
        <v>0.505</v>
      </c>
      <c r="I725">
        <v>3</v>
      </c>
      <c r="J725">
        <v>1338</v>
      </c>
      <c r="K725">
        <v>0.30723978800000001</v>
      </c>
      <c r="L725">
        <v>0.21</v>
      </c>
      <c r="M725">
        <v>2</v>
      </c>
      <c r="N725">
        <v>0.61699999999999999</v>
      </c>
      <c r="O725">
        <v>4</v>
      </c>
      <c r="P725">
        <v>4</v>
      </c>
      <c r="S725" s="164" t="s">
        <v>944</v>
      </c>
    </row>
    <row r="726" spans="1:19" x14ac:dyDescent="0.25">
      <c r="A726" t="s">
        <v>2470</v>
      </c>
      <c r="B726">
        <v>9011696300</v>
      </c>
      <c r="C726" t="s">
        <v>2471</v>
      </c>
      <c r="D726">
        <v>100757</v>
      </c>
      <c r="E726">
        <v>2.81</v>
      </c>
      <c r="F726">
        <v>60106.586969999997</v>
      </c>
      <c r="G726">
        <v>60.106999999999999</v>
      </c>
      <c r="H726">
        <v>0.65700000000000003</v>
      </c>
      <c r="I726">
        <v>4</v>
      </c>
      <c r="J726">
        <v>1517</v>
      </c>
      <c r="K726">
        <v>0.302861981</v>
      </c>
      <c r="L726">
        <v>0.189</v>
      </c>
      <c r="M726">
        <v>1</v>
      </c>
      <c r="N726">
        <v>0.45400000000000001</v>
      </c>
      <c r="O726">
        <v>3</v>
      </c>
      <c r="P726">
        <v>3</v>
      </c>
      <c r="S726" s="166" t="s">
        <v>944</v>
      </c>
    </row>
    <row r="727" spans="1:19" x14ac:dyDescent="0.25">
      <c r="A727" t="s">
        <v>2472</v>
      </c>
      <c r="B727">
        <v>9011696400</v>
      </c>
      <c r="C727" t="s">
        <v>2473</v>
      </c>
      <c r="D727">
        <v>46326</v>
      </c>
      <c r="E727">
        <v>2.5</v>
      </c>
      <c r="F727">
        <v>29299.134979999999</v>
      </c>
      <c r="G727">
        <v>29.298999999999999</v>
      </c>
      <c r="H727">
        <v>0.16</v>
      </c>
      <c r="I727">
        <v>1</v>
      </c>
      <c r="J727">
        <v>1172</v>
      </c>
      <c r="K727">
        <v>0.48001417099999999</v>
      </c>
      <c r="L727">
        <v>0.82099999999999995</v>
      </c>
      <c r="M727">
        <v>5</v>
      </c>
      <c r="N727">
        <v>0.80100000000000005</v>
      </c>
      <c r="O727">
        <v>5</v>
      </c>
      <c r="P727">
        <v>5</v>
      </c>
      <c r="S727" s="164" t="s">
        <v>936</v>
      </c>
    </row>
    <row r="728" spans="1:19" x14ac:dyDescent="0.25">
      <c r="A728" t="s">
        <v>2474</v>
      </c>
      <c r="B728">
        <v>9011696500</v>
      </c>
      <c r="C728" t="s">
        <v>2475</v>
      </c>
      <c r="D728">
        <v>59402</v>
      </c>
      <c r="E728">
        <v>2.1800000000000002</v>
      </c>
      <c r="F728">
        <v>40232.110979999998</v>
      </c>
      <c r="G728">
        <v>40.231999999999999</v>
      </c>
      <c r="H728">
        <v>0.29699999999999999</v>
      </c>
      <c r="I728">
        <v>2</v>
      </c>
      <c r="J728">
        <v>1195</v>
      </c>
      <c r="K728">
        <v>0.35643170699999999</v>
      </c>
      <c r="L728">
        <v>0.51500000000000001</v>
      </c>
      <c r="M728">
        <v>3</v>
      </c>
      <c r="N728">
        <v>0.77300000000000002</v>
      </c>
      <c r="O728">
        <v>4</v>
      </c>
      <c r="P728">
        <v>4</v>
      </c>
      <c r="S728" s="166" t="s">
        <v>944</v>
      </c>
    </row>
    <row r="729" spans="1:19" x14ac:dyDescent="0.25">
      <c r="A729" t="s">
        <v>2476</v>
      </c>
      <c r="B729">
        <v>9011696600</v>
      </c>
      <c r="C729" t="s">
        <v>2477</v>
      </c>
      <c r="D729">
        <v>87604</v>
      </c>
      <c r="E729">
        <v>2.79</v>
      </c>
      <c r="F729">
        <v>52447.142930000002</v>
      </c>
      <c r="G729">
        <v>52.447000000000003</v>
      </c>
      <c r="H729">
        <v>0.50900000000000001</v>
      </c>
      <c r="I729">
        <v>3</v>
      </c>
      <c r="J729">
        <v>1297</v>
      </c>
      <c r="K729">
        <v>0.29675591699999998</v>
      </c>
      <c r="L729">
        <v>0.152</v>
      </c>
      <c r="M729">
        <v>1</v>
      </c>
      <c r="N729">
        <v>0.65900000000000003</v>
      </c>
      <c r="O729">
        <v>4</v>
      </c>
      <c r="P729">
        <v>4</v>
      </c>
      <c r="S729" s="164" t="s">
        <v>944</v>
      </c>
    </row>
    <row r="730" spans="1:19" x14ac:dyDescent="0.25">
      <c r="A730" t="s">
        <v>2478</v>
      </c>
      <c r="B730">
        <v>9011696700</v>
      </c>
      <c r="C730" t="s">
        <v>2479</v>
      </c>
      <c r="D730">
        <v>48519</v>
      </c>
      <c r="E730">
        <v>2.56</v>
      </c>
      <c r="F730">
        <v>30324.375</v>
      </c>
      <c r="G730">
        <v>30.324000000000002</v>
      </c>
      <c r="H730">
        <v>0.17299999999999999</v>
      </c>
      <c r="I730">
        <v>1</v>
      </c>
      <c r="J730">
        <v>1124</v>
      </c>
      <c r="K730">
        <v>0.44479070100000001</v>
      </c>
      <c r="L730">
        <v>0.77800000000000002</v>
      </c>
      <c r="M730">
        <v>4</v>
      </c>
      <c r="N730">
        <v>0.84799999999999998</v>
      </c>
      <c r="O730">
        <v>5</v>
      </c>
      <c r="P730">
        <v>5</v>
      </c>
      <c r="S730" s="166" t="s">
        <v>944</v>
      </c>
    </row>
    <row r="731" spans="1:19" x14ac:dyDescent="0.25">
      <c r="A731" t="s">
        <v>2480</v>
      </c>
      <c r="B731">
        <v>9011696800</v>
      </c>
      <c r="C731" t="s">
        <v>2481</v>
      </c>
      <c r="D731">
        <v>48022</v>
      </c>
      <c r="E731">
        <v>2.15</v>
      </c>
      <c r="F731">
        <v>32750.732169999999</v>
      </c>
      <c r="G731">
        <v>32.750999999999998</v>
      </c>
      <c r="H731">
        <v>0.20799999999999999</v>
      </c>
      <c r="I731">
        <v>2</v>
      </c>
      <c r="J731">
        <v>1005</v>
      </c>
      <c r="K731">
        <v>0.36823604199999999</v>
      </c>
      <c r="L731">
        <v>0.58299999999999996</v>
      </c>
      <c r="M731">
        <v>3</v>
      </c>
      <c r="N731">
        <v>0.93600000000000005</v>
      </c>
      <c r="O731">
        <v>5</v>
      </c>
      <c r="P731">
        <v>5</v>
      </c>
      <c r="S731" s="164" t="s">
        <v>944</v>
      </c>
    </row>
    <row r="732" spans="1:19" x14ac:dyDescent="0.25">
      <c r="A732" t="s">
        <v>2482</v>
      </c>
      <c r="B732">
        <v>9011697000</v>
      </c>
      <c r="C732" t="s">
        <v>2483</v>
      </c>
      <c r="D732">
        <v>46801</v>
      </c>
      <c r="E732">
        <v>2.4300000000000002</v>
      </c>
      <c r="F732">
        <v>30022.855500000001</v>
      </c>
      <c r="G732">
        <v>30.023</v>
      </c>
      <c r="H732">
        <v>0.17</v>
      </c>
      <c r="I732">
        <v>1</v>
      </c>
      <c r="J732">
        <v>1073</v>
      </c>
      <c r="K732">
        <v>0.428873263</v>
      </c>
      <c r="L732">
        <v>0.75</v>
      </c>
      <c r="M732">
        <v>4</v>
      </c>
      <c r="N732">
        <v>0.89300000000000002</v>
      </c>
      <c r="O732">
        <v>5</v>
      </c>
      <c r="P732">
        <v>5</v>
      </c>
      <c r="S732" s="166" t="s">
        <v>936</v>
      </c>
    </row>
    <row r="733" spans="1:19" x14ac:dyDescent="0.25">
      <c r="A733" t="s">
        <v>2484</v>
      </c>
      <c r="B733">
        <v>9011700100</v>
      </c>
      <c r="C733" t="s">
        <v>2485</v>
      </c>
      <c r="D733">
        <v>79444</v>
      </c>
      <c r="E733">
        <v>2.54</v>
      </c>
      <c r="F733">
        <v>49847.598980000002</v>
      </c>
      <c r="G733">
        <v>49.847999999999999</v>
      </c>
      <c r="H733">
        <v>0.46700000000000003</v>
      </c>
      <c r="I733">
        <v>3</v>
      </c>
      <c r="J733">
        <v>1427</v>
      </c>
      <c r="K733">
        <v>0.34352707799999999</v>
      </c>
      <c r="L733">
        <v>0.44</v>
      </c>
      <c r="M733">
        <v>3</v>
      </c>
      <c r="N733">
        <v>0.54400000000000004</v>
      </c>
      <c r="O733">
        <v>3</v>
      </c>
      <c r="P733">
        <v>3</v>
      </c>
      <c r="S733" s="164" t="s">
        <v>944</v>
      </c>
    </row>
    <row r="734" spans="1:19" x14ac:dyDescent="0.25">
      <c r="A734" t="s">
        <v>2486</v>
      </c>
      <c r="B734">
        <v>9011701100</v>
      </c>
      <c r="C734" t="s">
        <v>2487</v>
      </c>
      <c r="D734">
        <v>92283</v>
      </c>
      <c r="E734">
        <v>2.58</v>
      </c>
      <c r="F734">
        <v>57452.886290000002</v>
      </c>
      <c r="G734">
        <v>57.453000000000003</v>
      </c>
      <c r="H734">
        <v>0.60699999999999998</v>
      </c>
      <c r="I734">
        <v>4</v>
      </c>
      <c r="J734">
        <v>1493</v>
      </c>
      <c r="K734">
        <v>0.31183811900000002</v>
      </c>
      <c r="L734">
        <v>0.23599999999999999</v>
      </c>
      <c r="M734">
        <v>2</v>
      </c>
      <c r="N734">
        <v>0.48299999999999998</v>
      </c>
      <c r="O734">
        <v>3</v>
      </c>
      <c r="P734">
        <v>3</v>
      </c>
      <c r="S734" s="166" t="s">
        <v>944</v>
      </c>
    </row>
    <row r="735" spans="1:19" x14ac:dyDescent="0.25">
      <c r="A735" t="s">
        <v>2488</v>
      </c>
      <c r="B735">
        <v>9011701200</v>
      </c>
      <c r="C735" t="s">
        <v>2489</v>
      </c>
      <c r="D735">
        <v>96607</v>
      </c>
      <c r="E735">
        <v>2.52</v>
      </c>
      <c r="F735">
        <v>60856.689740000002</v>
      </c>
      <c r="G735">
        <v>60.856999999999999</v>
      </c>
      <c r="H735">
        <v>0.66800000000000004</v>
      </c>
      <c r="I735">
        <v>4</v>
      </c>
      <c r="J735">
        <v>1494</v>
      </c>
      <c r="K735">
        <v>0.29459374300000002</v>
      </c>
      <c r="L735">
        <v>0.14099999999999999</v>
      </c>
      <c r="M735">
        <v>1</v>
      </c>
      <c r="N735">
        <v>0.48099999999999998</v>
      </c>
      <c r="O735">
        <v>3</v>
      </c>
      <c r="P735">
        <v>3</v>
      </c>
      <c r="S735" s="164" t="s">
        <v>944</v>
      </c>
    </row>
    <row r="736" spans="1:19" x14ac:dyDescent="0.25">
      <c r="A736" t="s">
        <v>2490</v>
      </c>
      <c r="B736">
        <v>9011702100</v>
      </c>
      <c r="C736" t="s">
        <v>2491</v>
      </c>
      <c r="D736">
        <v>86384</v>
      </c>
      <c r="E736">
        <v>2.4300000000000002</v>
      </c>
      <c r="F736">
        <v>55415.361839999998</v>
      </c>
      <c r="G736">
        <v>55.414999999999999</v>
      </c>
      <c r="H736">
        <v>0.56899999999999995</v>
      </c>
      <c r="I736">
        <v>3</v>
      </c>
      <c r="J736">
        <v>1376</v>
      </c>
      <c r="K736">
        <v>0.297967918</v>
      </c>
      <c r="L736">
        <v>0.156</v>
      </c>
      <c r="M736">
        <v>1</v>
      </c>
      <c r="N736">
        <v>0.58299999999999996</v>
      </c>
      <c r="O736">
        <v>3</v>
      </c>
      <c r="P736">
        <v>3</v>
      </c>
      <c r="S736" s="166" t="s">
        <v>944</v>
      </c>
    </row>
    <row r="737" spans="1:19" x14ac:dyDescent="0.25">
      <c r="A737" t="s">
        <v>2492</v>
      </c>
      <c r="B737">
        <v>9011702300</v>
      </c>
      <c r="C737" t="s">
        <v>2493</v>
      </c>
      <c r="D737">
        <v>74444</v>
      </c>
      <c r="E737">
        <v>2.72</v>
      </c>
      <c r="F737">
        <v>45138.305180000003</v>
      </c>
      <c r="G737">
        <v>45.137999999999998</v>
      </c>
      <c r="H737">
        <v>0.37</v>
      </c>
      <c r="I737">
        <v>2</v>
      </c>
      <c r="J737">
        <v>1626</v>
      </c>
      <c r="K737">
        <v>0.43227143600000001</v>
      </c>
      <c r="L737">
        <v>0.755</v>
      </c>
      <c r="M737">
        <v>4</v>
      </c>
      <c r="N737">
        <v>0.36399999999999999</v>
      </c>
      <c r="O737">
        <v>2</v>
      </c>
      <c r="P737">
        <v>3</v>
      </c>
      <c r="S737" s="164" t="s">
        <v>944</v>
      </c>
    </row>
    <row r="738" spans="1:19" x14ac:dyDescent="0.25">
      <c r="A738" t="s">
        <v>2494</v>
      </c>
      <c r="B738">
        <v>9011702400</v>
      </c>
      <c r="C738" t="s">
        <v>2495</v>
      </c>
      <c r="D738">
        <v>74157</v>
      </c>
      <c r="E738">
        <v>2.0299999999999998</v>
      </c>
      <c r="F738">
        <v>52048.010470000001</v>
      </c>
      <c r="G738">
        <v>52.048000000000002</v>
      </c>
      <c r="H738">
        <v>0.501</v>
      </c>
      <c r="I738">
        <v>3</v>
      </c>
      <c r="J738">
        <v>1177</v>
      </c>
      <c r="K738">
        <v>0.27136483900000002</v>
      </c>
      <c r="L738">
        <v>6.5000000000000002E-2</v>
      </c>
      <c r="M738">
        <v>1</v>
      </c>
      <c r="N738">
        <v>0.79900000000000004</v>
      </c>
      <c r="O738">
        <v>4</v>
      </c>
      <c r="P738">
        <v>4</v>
      </c>
      <c r="S738" s="166" t="s">
        <v>944</v>
      </c>
    </row>
    <row r="739" spans="1:19" x14ac:dyDescent="0.25">
      <c r="A739" t="s">
        <v>2496</v>
      </c>
      <c r="B739">
        <v>9011702500</v>
      </c>
      <c r="C739" t="s">
        <v>2497</v>
      </c>
      <c r="D739">
        <v>40066</v>
      </c>
      <c r="E739">
        <v>2.04</v>
      </c>
      <c r="F739">
        <v>28051.81092</v>
      </c>
      <c r="G739">
        <v>28.052</v>
      </c>
      <c r="H739">
        <v>0.14199999999999999</v>
      </c>
      <c r="I739">
        <v>1</v>
      </c>
      <c r="J739">
        <v>1014</v>
      </c>
      <c r="K739">
        <v>0.43376878699999999</v>
      </c>
      <c r="L739">
        <v>0.75700000000000001</v>
      </c>
      <c r="M739">
        <v>4</v>
      </c>
      <c r="N739">
        <v>0.93200000000000005</v>
      </c>
      <c r="O739">
        <v>5</v>
      </c>
      <c r="P739">
        <v>5</v>
      </c>
      <c r="S739" s="164" t="s">
        <v>936</v>
      </c>
    </row>
    <row r="740" spans="1:19" x14ac:dyDescent="0.25">
      <c r="A740" t="s">
        <v>2498</v>
      </c>
      <c r="B740">
        <v>9011702600</v>
      </c>
      <c r="C740" t="s">
        <v>2499</v>
      </c>
      <c r="D740">
        <v>82841</v>
      </c>
      <c r="E740">
        <v>2.14</v>
      </c>
      <c r="F740">
        <v>56628.941780000001</v>
      </c>
      <c r="G740">
        <v>56.628999999999998</v>
      </c>
      <c r="H740">
        <v>0.59</v>
      </c>
      <c r="I740">
        <v>3</v>
      </c>
      <c r="J740">
        <v>1662</v>
      </c>
      <c r="K740">
        <v>0.35218740399999998</v>
      </c>
      <c r="L740">
        <v>0.49</v>
      </c>
      <c r="M740">
        <v>3</v>
      </c>
      <c r="N740">
        <v>0.33500000000000002</v>
      </c>
      <c r="O740">
        <v>2</v>
      </c>
      <c r="P740">
        <v>3</v>
      </c>
      <c r="S740" s="166" t="s">
        <v>944</v>
      </c>
    </row>
    <row r="741" spans="1:19" x14ac:dyDescent="0.25">
      <c r="A741" t="s">
        <v>2500</v>
      </c>
      <c r="B741">
        <v>9011702700</v>
      </c>
      <c r="C741" t="s">
        <v>2501</v>
      </c>
      <c r="D741">
        <v>56020</v>
      </c>
      <c r="E741">
        <v>1.79</v>
      </c>
      <c r="F741">
        <v>41871.313900000001</v>
      </c>
      <c r="G741">
        <v>41.871000000000002</v>
      </c>
      <c r="H741">
        <v>0.318</v>
      </c>
      <c r="I741">
        <v>2</v>
      </c>
      <c r="J741">
        <v>1254</v>
      </c>
      <c r="K741">
        <v>0.359386859</v>
      </c>
      <c r="L741">
        <v>0.53200000000000003</v>
      </c>
      <c r="M741">
        <v>3</v>
      </c>
      <c r="N741">
        <v>0.71299999999999997</v>
      </c>
      <c r="O741">
        <v>4</v>
      </c>
      <c r="P741">
        <v>4</v>
      </c>
      <c r="S741" s="164" t="s">
        <v>944</v>
      </c>
    </row>
    <row r="742" spans="1:19" x14ac:dyDescent="0.25">
      <c r="A742" t="s">
        <v>2502</v>
      </c>
      <c r="B742">
        <v>9011702800</v>
      </c>
      <c r="C742" t="s">
        <v>2503</v>
      </c>
      <c r="D742">
        <v>71683</v>
      </c>
      <c r="E742">
        <v>2.86</v>
      </c>
      <c r="F742">
        <v>42387.046479999997</v>
      </c>
      <c r="G742">
        <v>42.387</v>
      </c>
      <c r="H742">
        <v>0.32800000000000001</v>
      </c>
      <c r="I742">
        <v>2</v>
      </c>
      <c r="J742">
        <v>1286</v>
      </c>
      <c r="K742">
        <v>0.36407349100000003</v>
      </c>
      <c r="L742">
        <v>0.56200000000000006</v>
      </c>
      <c r="M742">
        <v>3</v>
      </c>
      <c r="N742">
        <v>0.66800000000000004</v>
      </c>
      <c r="O742">
        <v>4</v>
      </c>
      <c r="P742">
        <v>4</v>
      </c>
      <c r="S742" s="166" t="s">
        <v>944</v>
      </c>
    </row>
    <row r="743" spans="1:19" x14ac:dyDescent="0.25">
      <c r="A743" t="s">
        <v>2504</v>
      </c>
      <c r="B743">
        <v>9011702900</v>
      </c>
      <c r="C743" t="s">
        <v>2505</v>
      </c>
      <c r="D743">
        <v>119375</v>
      </c>
      <c r="E743">
        <v>2.09</v>
      </c>
      <c r="F743">
        <v>82573.414120000001</v>
      </c>
      <c r="G743">
        <v>82.572999999999993</v>
      </c>
      <c r="H743">
        <v>0.89500000000000002</v>
      </c>
      <c r="I743">
        <v>5</v>
      </c>
      <c r="J743">
        <v>1488</v>
      </c>
      <c r="K743">
        <v>0.216243935</v>
      </c>
      <c r="L743">
        <v>0</v>
      </c>
      <c r="M743">
        <v>0</v>
      </c>
      <c r="N743">
        <v>0.49099999999999999</v>
      </c>
      <c r="O743">
        <v>3</v>
      </c>
      <c r="P743">
        <v>2</v>
      </c>
      <c r="S743" s="164" t="s">
        <v>944</v>
      </c>
    </row>
    <row r="744" spans="1:19" x14ac:dyDescent="0.25">
      <c r="A744" t="s">
        <v>2506</v>
      </c>
      <c r="B744">
        <v>9011703000</v>
      </c>
      <c r="C744" t="s">
        <v>2507</v>
      </c>
      <c r="D744">
        <v>103558</v>
      </c>
      <c r="E744">
        <v>2.06</v>
      </c>
      <c r="F744">
        <v>72152.277489999993</v>
      </c>
      <c r="G744">
        <v>72.152000000000001</v>
      </c>
      <c r="H744">
        <v>0.82699999999999996</v>
      </c>
      <c r="I744">
        <v>5</v>
      </c>
      <c r="J744">
        <v>1763</v>
      </c>
      <c r="K744">
        <v>0.29321319800000001</v>
      </c>
      <c r="L744">
        <v>0.13700000000000001</v>
      </c>
      <c r="M744">
        <v>1</v>
      </c>
      <c r="N744">
        <v>0.27500000000000002</v>
      </c>
      <c r="O744">
        <v>2</v>
      </c>
      <c r="P744">
        <v>2</v>
      </c>
      <c r="S744" s="166" t="s">
        <v>944</v>
      </c>
    </row>
    <row r="745" spans="1:19" x14ac:dyDescent="0.25">
      <c r="A745" t="s">
        <v>2508</v>
      </c>
      <c r="B745">
        <v>9011705101</v>
      </c>
      <c r="C745" t="s">
        <v>2509</v>
      </c>
      <c r="D745">
        <v>72674</v>
      </c>
      <c r="E745">
        <v>2.39</v>
      </c>
      <c r="F745">
        <v>47008.902730000002</v>
      </c>
      <c r="G745">
        <v>47.009</v>
      </c>
      <c r="H745">
        <v>0.39800000000000002</v>
      </c>
      <c r="I745">
        <v>2</v>
      </c>
      <c r="J745">
        <v>1335</v>
      </c>
      <c r="K745">
        <v>0.34078651199999999</v>
      </c>
      <c r="L745">
        <v>0.42199999999999999</v>
      </c>
      <c r="M745">
        <v>3</v>
      </c>
      <c r="N745">
        <v>0.622</v>
      </c>
      <c r="O745">
        <v>4</v>
      </c>
      <c r="P745">
        <v>4</v>
      </c>
      <c r="S745" s="164" t="s">
        <v>944</v>
      </c>
    </row>
    <row r="746" spans="1:19" x14ac:dyDescent="0.25">
      <c r="A746" t="s">
        <v>2510</v>
      </c>
      <c r="B746">
        <v>9011705102</v>
      </c>
      <c r="C746" t="s">
        <v>2511</v>
      </c>
      <c r="D746">
        <v>57286</v>
      </c>
      <c r="E746">
        <v>2.17</v>
      </c>
      <c r="F746">
        <v>38888.270750000003</v>
      </c>
      <c r="G746">
        <v>38.887999999999998</v>
      </c>
      <c r="H746">
        <v>0.27700000000000002</v>
      </c>
      <c r="I746">
        <v>2</v>
      </c>
      <c r="J746">
        <v>1094</v>
      </c>
      <c r="K746">
        <v>0.33758250899999998</v>
      </c>
      <c r="L746">
        <v>0.40799999999999997</v>
      </c>
      <c r="M746">
        <v>3</v>
      </c>
      <c r="N746">
        <v>0.88100000000000001</v>
      </c>
      <c r="O746">
        <v>5</v>
      </c>
      <c r="P746">
        <v>5</v>
      </c>
      <c r="S746" s="166" t="s">
        <v>944</v>
      </c>
    </row>
    <row r="747" spans="1:19" x14ac:dyDescent="0.25">
      <c r="A747" t="s">
        <v>2512</v>
      </c>
      <c r="B747">
        <v>9011705200</v>
      </c>
      <c r="C747" t="s">
        <v>2513</v>
      </c>
      <c r="D747">
        <v>89079</v>
      </c>
      <c r="E747">
        <v>2.0699999999999998</v>
      </c>
      <c r="F747">
        <v>61914.184970000002</v>
      </c>
      <c r="G747">
        <v>61.914000000000001</v>
      </c>
      <c r="H747">
        <v>0.69199999999999995</v>
      </c>
      <c r="I747">
        <v>4</v>
      </c>
      <c r="J747">
        <v>1650</v>
      </c>
      <c r="K747">
        <v>0.319797475</v>
      </c>
      <c r="L747">
        <v>0.28499999999999998</v>
      </c>
      <c r="M747">
        <v>2</v>
      </c>
      <c r="N747">
        <v>0.34699999999999998</v>
      </c>
      <c r="O747">
        <v>2</v>
      </c>
      <c r="P747">
        <v>2</v>
      </c>
      <c r="S747" s="164" t="s">
        <v>944</v>
      </c>
    </row>
    <row r="748" spans="1:19" x14ac:dyDescent="0.25">
      <c r="A748" t="s">
        <v>2514</v>
      </c>
      <c r="B748">
        <v>9011705300</v>
      </c>
      <c r="C748" t="s">
        <v>2515</v>
      </c>
      <c r="D748">
        <v>94592</v>
      </c>
      <c r="E748">
        <v>2.14</v>
      </c>
      <c r="F748">
        <v>64661.760009999998</v>
      </c>
      <c r="G748">
        <v>64.662000000000006</v>
      </c>
      <c r="H748">
        <v>0.73099999999999998</v>
      </c>
      <c r="I748">
        <v>4</v>
      </c>
      <c r="J748">
        <v>1565</v>
      </c>
      <c r="K748">
        <v>0.29043440799999998</v>
      </c>
      <c r="L748">
        <v>0.11899999999999999</v>
      </c>
      <c r="M748">
        <v>1</v>
      </c>
      <c r="N748">
        <v>0.41799999999999998</v>
      </c>
      <c r="O748">
        <v>3</v>
      </c>
      <c r="P748">
        <v>3</v>
      </c>
      <c r="S748" s="166" t="s">
        <v>944</v>
      </c>
    </row>
    <row r="749" spans="1:19" x14ac:dyDescent="0.25">
      <c r="A749" t="s">
        <v>2516</v>
      </c>
      <c r="B749">
        <v>9011705400</v>
      </c>
      <c r="C749" t="s">
        <v>2517</v>
      </c>
      <c r="D749">
        <v>106111</v>
      </c>
      <c r="E749">
        <v>2.31</v>
      </c>
      <c r="F749">
        <v>69815.912299999996</v>
      </c>
      <c r="G749">
        <v>69.816000000000003</v>
      </c>
      <c r="H749">
        <v>0.8</v>
      </c>
      <c r="I749">
        <v>4</v>
      </c>
      <c r="J749">
        <v>1589</v>
      </c>
      <c r="K749">
        <v>0.27311825299999998</v>
      </c>
      <c r="L749">
        <v>6.9000000000000006E-2</v>
      </c>
      <c r="M749">
        <v>1</v>
      </c>
      <c r="N749">
        <v>0.39600000000000002</v>
      </c>
      <c r="O749">
        <v>2</v>
      </c>
      <c r="P749">
        <v>2</v>
      </c>
      <c r="S749" s="164" t="s">
        <v>944</v>
      </c>
    </row>
    <row r="750" spans="1:19" x14ac:dyDescent="0.25">
      <c r="A750" t="s">
        <v>2518</v>
      </c>
      <c r="B750">
        <v>9011707100</v>
      </c>
      <c r="C750" t="s">
        <v>2519</v>
      </c>
      <c r="D750">
        <v>75833</v>
      </c>
      <c r="E750">
        <v>2.63</v>
      </c>
      <c r="F750">
        <v>46760.631000000001</v>
      </c>
      <c r="G750">
        <v>46.761000000000003</v>
      </c>
      <c r="H750">
        <v>0.39400000000000002</v>
      </c>
      <c r="I750">
        <v>2</v>
      </c>
      <c r="J750">
        <v>1401</v>
      </c>
      <c r="K750">
        <v>0.35953321500000002</v>
      </c>
      <c r="L750">
        <v>0.53500000000000003</v>
      </c>
      <c r="M750">
        <v>3</v>
      </c>
      <c r="N750">
        <v>0.56499999999999995</v>
      </c>
      <c r="O750">
        <v>3</v>
      </c>
      <c r="P750">
        <v>4</v>
      </c>
      <c r="S750" s="166" t="s">
        <v>944</v>
      </c>
    </row>
    <row r="751" spans="1:19" x14ac:dyDescent="0.25">
      <c r="A751" t="s">
        <v>2520</v>
      </c>
      <c r="B751">
        <v>9011708100</v>
      </c>
      <c r="C751" t="s">
        <v>2521</v>
      </c>
      <c r="D751">
        <v>85052</v>
      </c>
      <c r="E751">
        <v>2.57</v>
      </c>
      <c r="F751">
        <v>53053.979939999997</v>
      </c>
      <c r="G751">
        <v>53.054000000000002</v>
      </c>
      <c r="H751">
        <v>0.52200000000000002</v>
      </c>
      <c r="I751">
        <v>3</v>
      </c>
      <c r="J751">
        <v>1432</v>
      </c>
      <c r="K751">
        <v>0.32389653000000002</v>
      </c>
      <c r="L751">
        <v>0.32600000000000001</v>
      </c>
      <c r="M751">
        <v>2</v>
      </c>
      <c r="N751">
        <v>0.53900000000000003</v>
      </c>
      <c r="O751">
        <v>3</v>
      </c>
      <c r="P751">
        <v>3</v>
      </c>
      <c r="S751" s="164" t="s">
        <v>944</v>
      </c>
    </row>
    <row r="752" spans="1:19" x14ac:dyDescent="0.25">
      <c r="A752" t="s">
        <v>2522</v>
      </c>
      <c r="B752">
        <v>9011709100</v>
      </c>
      <c r="C752" t="s">
        <v>2523</v>
      </c>
      <c r="D752">
        <v>84625</v>
      </c>
      <c r="E752">
        <v>2.37</v>
      </c>
      <c r="F752">
        <v>54969.844530000002</v>
      </c>
      <c r="G752">
        <v>54.97</v>
      </c>
      <c r="H752">
        <v>0.56100000000000005</v>
      </c>
      <c r="I752">
        <v>3</v>
      </c>
      <c r="J752">
        <v>1323</v>
      </c>
      <c r="K752">
        <v>0.28881289599999999</v>
      </c>
      <c r="L752">
        <v>0.109</v>
      </c>
      <c r="M752">
        <v>1</v>
      </c>
      <c r="N752">
        <v>0.63200000000000001</v>
      </c>
      <c r="O752">
        <v>4</v>
      </c>
      <c r="P752">
        <v>4</v>
      </c>
      <c r="S752" s="166" t="s">
        <v>944</v>
      </c>
    </row>
    <row r="753" spans="1:19" x14ac:dyDescent="0.25">
      <c r="A753" t="s">
        <v>2524</v>
      </c>
      <c r="B753">
        <v>9011709200</v>
      </c>
      <c r="C753" t="s">
        <v>2525</v>
      </c>
      <c r="D753">
        <v>52377</v>
      </c>
      <c r="E753">
        <v>2.36</v>
      </c>
      <c r="F753">
        <v>34094.522949999999</v>
      </c>
      <c r="G753">
        <v>34.094999999999999</v>
      </c>
      <c r="H753">
        <v>0.224</v>
      </c>
      <c r="I753">
        <v>2</v>
      </c>
      <c r="J753">
        <v>1109</v>
      </c>
      <c r="K753">
        <v>0.39032662299999998</v>
      </c>
      <c r="L753">
        <v>0.66400000000000003</v>
      </c>
      <c r="M753">
        <v>4</v>
      </c>
      <c r="N753">
        <v>0.86499999999999999</v>
      </c>
      <c r="O753">
        <v>5</v>
      </c>
      <c r="P753">
        <v>5</v>
      </c>
      <c r="S753" s="164" t="s">
        <v>944</v>
      </c>
    </row>
    <row r="754" spans="1:19" x14ac:dyDescent="0.25">
      <c r="A754" t="s">
        <v>2526</v>
      </c>
      <c r="B754">
        <v>9011710100</v>
      </c>
      <c r="C754" t="s">
        <v>2527</v>
      </c>
      <c r="D754">
        <v>91125</v>
      </c>
      <c r="E754">
        <v>2.4700000000000002</v>
      </c>
      <c r="F754">
        <v>57981.449030000003</v>
      </c>
      <c r="G754">
        <v>57.981000000000002</v>
      </c>
      <c r="H754">
        <v>0.61699999999999999</v>
      </c>
      <c r="I754">
        <v>4</v>
      </c>
      <c r="J754">
        <v>1374</v>
      </c>
      <c r="K754">
        <v>0.284366815</v>
      </c>
      <c r="L754">
        <v>9.7000000000000003E-2</v>
      </c>
      <c r="M754">
        <v>1</v>
      </c>
      <c r="N754">
        <v>0.58399999999999996</v>
      </c>
      <c r="O754">
        <v>3</v>
      </c>
      <c r="P754">
        <v>3</v>
      </c>
      <c r="S754" s="166" t="s">
        <v>944</v>
      </c>
    </row>
    <row r="755" spans="1:19" x14ac:dyDescent="0.25">
      <c r="A755" t="s">
        <v>2528</v>
      </c>
      <c r="B755">
        <v>9011711100</v>
      </c>
      <c r="C755" t="s">
        <v>2529</v>
      </c>
      <c r="D755">
        <v>68301</v>
      </c>
      <c r="E755">
        <v>2.5299999999999998</v>
      </c>
      <c r="F755">
        <v>42940.470789999999</v>
      </c>
      <c r="G755">
        <v>42.94</v>
      </c>
      <c r="H755">
        <v>0.33700000000000002</v>
      </c>
      <c r="I755">
        <v>2</v>
      </c>
      <c r="J755">
        <v>1214</v>
      </c>
      <c r="K755">
        <v>0.33926036999999998</v>
      </c>
      <c r="L755">
        <v>0.41599999999999998</v>
      </c>
      <c r="M755">
        <v>3</v>
      </c>
      <c r="N755">
        <v>0.749</v>
      </c>
      <c r="O755">
        <v>4</v>
      </c>
      <c r="P755">
        <v>4</v>
      </c>
      <c r="S755" s="164" t="s">
        <v>944</v>
      </c>
    </row>
    <row r="756" spans="1:19" x14ac:dyDescent="0.25">
      <c r="A756" t="s">
        <v>2530</v>
      </c>
      <c r="B756">
        <v>9011712100</v>
      </c>
      <c r="C756" t="s">
        <v>2531</v>
      </c>
      <c r="D756">
        <v>96719</v>
      </c>
      <c r="E756">
        <v>2.4500000000000002</v>
      </c>
      <c r="F756">
        <v>61791.502489999999</v>
      </c>
      <c r="G756">
        <v>61.792000000000002</v>
      </c>
      <c r="H756">
        <v>0.68799999999999994</v>
      </c>
      <c r="I756">
        <v>4</v>
      </c>
      <c r="J756">
        <v>1506</v>
      </c>
      <c r="K756">
        <v>0.29246739900000002</v>
      </c>
      <c r="L756">
        <v>0.13100000000000001</v>
      </c>
      <c r="M756">
        <v>1</v>
      </c>
      <c r="N756">
        <v>0.46800000000000003</v>
      </c>
      <c r="O756">
        <v>3</v>
      </c>
      <c r="P756">
        <v>3</v>
      </c>
      <c r="S756" s="166" t="s">
        <v>944</v>
      </c>
    </row>
    <row r="757" spans="1:19" x14ac:dyDescent="0.25">
      <c r="A757" t="s">
        <v>2532</v>
      </c>
      <c r="B757">
        <v>9011713100</v>
      </c>
      <c r="C757" t="s">
        <v>2533</v>
      </c>
      <c r="D757">
        <v>90156</v>
      </c>
      <c r="E757">
        <v>2.61</v>
      </c>
      <c r="F757">
        <v>55805.163030000003</v>
      </c>
      <c r="G757">
        <v>55.805</v>
      </c>
      <c r="H757">
        <v>0.57499999999999996</v>
      </c>
      <c r="I757">
        <v>3</v>
      </c>
      <c r="J757">
        <v>1138</v>
      </c>
      <c r="K757">
        <v>0.244708541</v>
      </c>
      <c r="L757">
        <v>7.0000000000000001E-3</v>
      </c>
      <c r="M757">
        <v>1</v>
      </c>
      <c r="N757">
        <v>0.82799999999999996</v>
      </c>
      <c r="O757">
        <v>5</v>
      </c>
      <c r="P757">
        <v>4</v>
      </c>
      <c r="S757" s="164" t="s">
        <v>944</v>
      </c>
    </row>
    <row r="758" spans="1:19" x14ac:dyDescent="0.25">
      <c r="A758" t="s">
        <v>2534</v>
      </c>
      <c r="B758">
        <v>9011714101</v>
      </c>
      <c r="C758" t="s">
        <v>2535</v>
      </c>
      <c r="D758">
        <v>67917</v>
      </c>
      <c r="E758">
        <v>2.15</v>
      </c>
      <c r="F758">
        <v>46319.009550000002</v>
      </c>
      <c r="G758">
        <v>46.319000000000003</v>
      </c>
      <c r="H758">
        <v>0.39100000000000001</v>
      </c>
      <c r="I758">
        <v>2</v>
      </c>
      <c r="J758">
        <v>1286</v>
      </c>
      <c r="K758">
        <v>0.33316774599999999</v>
      </c>
      <c r="L758">
        <v>0.38300000000000001</v>
      </c>
      <c r="M758">
        <v>2</v>
      </c>
      <c r="N758">
        <v>0.66800000000000004</v>
      </c>
      <c r="O758">
        <v>4</v>
      </c>
      <c r="P758">
        <v>4</v>
      </c>
      <c r="S758" s="166" t="s">
        <v>944</v>
      </c>
    </row>
    <row r="759" spans="1:19" x14ac:dyDescent="0.25">
      <c r="A759" t="s">
        <v>2536</v>
      </c>
      <c r="B759">
        <v>9011714103</v>
      </c>
      <c r="C759" t="s">
        <v>2537</v>
      </c>
      <c r="D759">
        <v>124141</v>
      </c>
      <c r="E759">
        <v>2.89</v>
      </c>
      <c r="F759">
        <v>73024.11765</v>
      </c>
      <c r="G759">
        <v>73.024000000000001</v>
      </c>
      <c r="H759">
        <v>0.83799999999999997</v>
      </c>
      <c r="I759">
        <v>5</v>
      </c>
      <c r="J759">
        <v>1763</v>
      </c>
      <c r="K759">
        <v>0.28971250399999998</v>
      </c>
      <c r="L759">
        <v>0.115</v>
      </c>
      <c r="M759">
        <v>1</v>
      </c>
      <c r="N759">
        <v>0.27500000000000002</v>
      </c>
      <c r="O759">
        <v>2</v>
      </c>
      <c r="P759">
        <v>2</v>
      </c>
      <c r="S759" s="164" t="s">
        <v>944</v>
      </c>
    </row>
    <row r="760" spans="1:19" x14ac:dyDescent="0.25">
      <c r="A760" t="s">
        <v>2538</v>
      </c>
      <c r="B760">
        <v>9011714104</v>
      </c>
      <c r="C760" t="s">
        <v>2539</v>
      </c>
      <c r="D760">
        <v>102610</v>
      </c>
      <c r="E760">
        <v>2.57</v>
      </c>
      <c r="F760">
        <v>64006.359420000001</v>
      </c>
      <c r="G760">
        <v>64.006</v>
      </c>
      <c r="H760">
        <v>0.71599999999999997</v>
      </c>
      <c r="I760">
        <v>4</v>
      </c>
      <c r="J760">
        <v>1720</v>
      </c>
      <c r="K760">
        <v>0.322467958</v>
      </c>
      <c r="L760">
        <v>0.316</v>
      </c>
      <c r="M760">
        <v>2</v>
      </c>
      <c r="N760">
        <v>0.29899999999999999</v>
      </c>
      <c r="O760">
        <v>2</v>
      </c>
      <c r="P760">
        <v>2</v>
      </c>
      <c r="S760" s="166" t="s">
        <v>944</v>
      </c>
    </row>
    <row r="761" spans="1:19" x14ac:dyDescent="0.25">
      <c r="A761" t="s">
        <v>2540</v>
      </c>
      <c r="B761">
        <v>9011715100</v>
      </c>
      <c r="C761" t="s">
        <v>2541</v>
      </c>
      <c r="D761">
        <v>109460</v>
      </c>
      <c r="E761">
        <v>2.46</v>
      </c>
      <c r="F761">
        <v>69789.147010000001</v>
      </c>
      <c r="G761">
        <v>69.789000000000001</v>
      </c>
      <c r="H761">
        <v>0.79900000000000004</v>
      </c>
      <c r="I761">
        <v>4</v>
      </c>
      <c r="J761">
        <v>1674</v>
      </c>
      <c r="K761">
        <v>0.287838451</v>
      </c>
      <c r="L761">
        <v>0.107</v>
      </c>
      <c r="M761">
        <v>1</v>
      </c>
      <c r="N761">
        <v>0.32400000000000001</v>
      </c>
      <c r="O761">
        <v>2</v>
      </c>
      <c r="P761">
        <v>2</v>
      </c>
      <c r="S761" s="164" t="s">
        <v>944</v>
      </c>
    </row>
    <row r="762" spans="1:19" x14ac:dyDescent="0.25">
      <c r="A762" t="s">
        <v>2542</v>
      </c>
      <c r="B762">
        <v>9011716101</v>
      </c>
      <c r="C762" t="s">
        <v>2543</v>
      </c>
      <c r="D762">
        <v>78239</v>
      </c>
      <c r="E762">
        <v>2.38</v>
      </c>
      <c r="F762">
        <v>50714.811130000002</v>
      </c>
      <c r="G762">
        <v>50.715000000000003</v>
      </c>
      <c r="H762">
        <v>0.47799999999999998</v>
      </c>
      <c r="I762">
        <v>3</v>
      </c>
      <c r="J762">
        <v>1470</v>
      </c>
      <c r="K762">
        <v>0.34782738200000002</v>
      </c>
      <c r="L762">
        <v>0.46500000000000002</v>
      </c>
      <c r="M762">
        <v>3</v>
      </c>
      <c r="N762">
        <v>0.503</v>
      </c>
      <c r="O762">
        <v>3</v>
      </c>
      <c r="P762">
        <v>3</v>
      </c>
      <c r="S762" s="166" t="s">
        <v>944</v>
      </c>
    </row>
    <row r="763" spans="1:19" x14ac:dyDescent="0.25">
      <c r="A763" t="s">
        <v>2544</v>
      </c>
      <c r="B763">
        <v>9011716102</v>
      </c>
      <c r="C763" t="s">
        <v>2545</v>
      </c>
      <c r="D763">
        <v>130885</v>
      </c>
      <c r="E763">
        <v>2.73</v>
      </c>
      <c r="F763">
        <v>79215.205610000005</v>
      </c>
      <c r="G763">
        <v>79.215000000000003</v>
      </c>
      <c r="H763">
        <v>0.871</v>
      </c>
      <c r="I763">
        <v>5</v>
      </c>
      <c r="J763">
        <v>1686</v>
      </c>
      <c r="K763">
        <v>0.25540551</v>
      </c>
      <c r="L763">
        <v>2.1000000000000001E-2</v>
      </c>
      <c r="M763">
        <v>1</v>
      </c>
      <c r="N763">
        <v>0.32200000000000001</v>
      </c>
      <c r="O763">
        <v>2</v>
      </c>
      <c r="P763">
        <v>2</v>
      </c>
      <c r="S763" s="164" t="s">
        <v>944</v>
      </c>
    </row>
    <row r="764" spans="1:19" x14ac:dyDescent="0.25">
      <c r="A764" t="s">
        <v>2546</v>
      </c>
      <c r="B764">
        <v>9011870100</v>
      </c>
      <c r="C764" t="s">
        <v>2547</v>
      </c>
      <c r="D764">
        <v>91684</v>
      </c>
      <c r="E764">
        <v>2.5499999999999998</v>
      </c>
      <c r="F764">
        <v>57414.747900000002</v>
      </c>
      <c r="G764">
        <v>57.414999999999999</v>
      </c>
      <c r="H764">
        <v>0.60299999999999998</v>
      </c>
      <c r="I764">
        <v>4</v>
      </c>
      <c r="J764">
        <v>1462</v>
      </c>
      <c r="K764">
        <v>0.30556609000000001</v>
      </c>
      <c r="L764">
        <v>0.20100000000000001</v>
      </c>
      <c r="M764">
        <v>2</v>
      </c>
      <c r="N764">
        <v>0.51100000000000001</v>
      </c>
      <c r="O764">
        <v>3</v>
      </c>
      <c r="P764">
        <v>3</v>
      </c>
      <c r="S764" s="166" t="s">
        <v>944</v>
      </c>
    </row>
    <row r="765" spans="1:19" x14ac:dyDescent="0.25">
      <c r="A765" t="s">
        <v>2548</v>
      </c>
      <c r="B765">
        <v>9011870200</v>
      </c>
      <c r="C765" t="s">
        <v>2549</v>
      </c>
      <c r="D765">
        <v>55982</v>
      </c>
      <c r="E765">
        <v>2.64</v>
      </c>
      <c r="F765">
        <v>34454.539239999998</v>
      </c>
      <c r="G765">
        <v>34.454999999999998</v>
      </c>
      <c r="H765">
        <v>0.23300000000000001</v>
      </c>
      <c r="I765">
        <v>2</v>
      </c>
      <c r="J765">
        <v>1617</v>
      </c>
      <c r="K765">
        <v>0.56317688300000002</v>
      </c>
      <c r="L765">
        <v>0.90100000000000002</v>
      </c>
      <c r="M765">
        <v>5</v>
      </c>
      <c r="N765">
        <v>0.373</v>
      </c>
      <c r="O765">
        <v>2</v>
      </c>
      <c r="P765">
        <v>3</v>
      </c>
      <c r="S765" s="164" t="s">
        <v>944</v>
      </c>
    </row>
    <row r="766" spans="1:19" x14ac:dyDescent="0.25">
      <c r="A766" t="s">
        <v>2550</v>
      </c>
      <c r="B766">
        <v>9011870300</v>
      </c>
      <c r="C766" t="s">
        <v>2551</v>
      </c>
      <c r="D766">
        <v>24805</v>
      </c>
      <c r="E766">
        <v>2.0499999999999998</v>
      </c>
      <c r="F766">
        <v>17324.56349</v>
      </c>
      <c r="G766">
        <v>17.324999999999999</v>
      </c>
      <c r="H766">
        <v>3.2000000000000001E-2</v>
      </c>
      <c r="I766">
        <v>1</v>
      </c>
      <c r="J766">
        <v>1001</v>
      </c>
      <c r="K766">
        <v>0.69335080299999996</v>
      </c>
      <c r="L766">
        <v>0.96099999999999997</v>
      </c>
      <c r="M766">
        <v>5</v>
      </c>
      <c r="N766">
        <v>0.93799999999999994</v>
      </c>
      <c r="O766">
        <v>5</v>
      </c>
      <c r="P766">
        <v>5</v>
      </c>
      <c r="S766" s="166" t="s">
        <v>936</v>
      </c>
    </row>
    <row r="767" spans="1:19" x14ac:dyDescent="0.25">
      <c r="A767" t="s">
        <v>2552</v>
      </c>
      <c r="B767">
        <v>9011870501</v>
      </c>
      <c r="C767" t="s">
        <v>2553</v>
      </c>
      <c r="D767">
        <v>69433</v>
      </c>
      <c r="E767">
        <v>2.56</v>
      </c>
      <c r="F767">
        <v>43395.625</v>
      </c>
      <c r="G767">
        <v>43.396000000000001</v>
      </c>
      <c r="H767">
        <v>0.34200000000000003</v>
      </c>
      <c r="I767">
        <v>2</v>
      </c>
      <c r="J767">
        <v>1211</v>
      </c>
      <c r="K767">
        <v>0.33487246700000001</v>
      </c>
      <c r="L767">
        <v>0.39200000000000002</v>
      </c>
      <c r="M767">
        <v>2</v>
      </c>
      <c r="N767">
        <v>0.754</v>
      </c>
      <c r="O767">
        <v>4</v>
      </c>
      <c r="P767">
        <v>4</v>
      </c>
      <c r="S767" s="164" t="s">
        <v>944</v>
      </c>
    </row>
    <row r="768" spans="1:19" x14ac:dyDescent="0.25">
      <c r="A768" t="s">
        <v>2554</v>
      </c>
      <c r="B768">
        <v>9011870502</v>
      </c>
      <c r="C768" t="s">
        <v>2555</v>
      </c>
      <c r="D768">
        <v>66615</v>
      </c>
      <c r="E768">
        <v>2.4700000000000002</v>
      </c>
      <c r="F768">
        <v>42386.109490000003</v>
      </c>
      <c r="G768">
        <v>42.386000000000003</v>
      </c>
      <c r="H768">
        <v>0.32600000000000001</v>
      </c>
      <c r="I768">
        <v>2</v>
      </c>
      <c r="J768">
        <v>1302</v>
      </c>
      <c r="K768">
        <v>0.36861132499999999</v>
      </c>
      <c r="L768">
        <v>0.58599999999999997</v>
      </c>
      <c r="M768">
        <v>3</v>
      </c>
      <c r="N768">
        <v>0.65600000000000003</v>
      </c>
      <c r="O768">
        <v>4</v>
      </c>
      <c r="P768">
        <v>4</v>
      </c>
      <c r="S768" s="166" t="s">
        <v>944</v>
      </c>
    </row>
    <row r="769" spans="1:19" x14ac:dyDescent="0.25">
      <c r="A769" t="s">
        <v>2556</v>
      </c>
      <c r="B769">
        <v>9011870701</v>
      </c>
      <c r="C769" t="s">
        <v>2557</v>
      </c>
      <c r="D769">
        <v>88438</v>
      </c>
      <c r="E769">
        <v>2.2599999999999998</v>
      </c>
      <c r="F769">
        <v>58828.08253</v>
      </c>
      <c r="G769">
        <v>58.828000000000003</v>
      </c>
      <c r="H769">
        <v>0.63300000000000001</v>
      </c>
      <c r="I769">
        <v>4</v>
      </c>
      <c r="J769">
        <v>1515</v>
      </c>
      <c r="K769">
        <v>0.30903607999999999</v>
      </c>
      <c r="L769">
        <v>0.218</v>
      </c>
      <c r="M769">
        <v>2</v>
      </c>
      <c r="N769">
        <v>0.45800000000000002</v>
      </c>
      <c r="O769">
        <v>3</v>
      </c>
      <c r="P769">
        <v>3</v>
      </c>
      <c r="S769" s="164" t="s">
        <v>944</v>
      </c>
    </row>
    <row r="770" spans="1:19" x14ac:dyDescent="0.25">
      <c r="A770" t="s">
        <v>2558</v>
      </c>
      <c r="B770">
        <v>9011870703</v>
      </c>
      <c r="C770" t="s">
        <v>2559</v>
      </c>
      <c r="D770">
        <v>84837</v>
      </c>
      <c r="E770">
        <v>2.0099999999999998</v>
      </c>
      <c r="F770">
        <v>59839.406009999999</v>
      </c>
      <c r="G770">
        <v>59.838999999999999</v>
      </c>
      <c r="H770">
        <v>0.65</v>
      </c>
      <c r="I770">
        <v>4</v>
      </c>
      <c r="J770">
        <v>1408</v>
      </c>
      <c r="K770">
        <v>0.28235574400000002</v>
      </c>
      <c r="L770">
        <v>8.3000000000000004E-2</v>
      </c>
      <c r="M770">
        <v>1</v>
      </c>
      <c r="N770">
        <v>0.56100000000000005</v>
      </c>
      <c r="O770">
        <v>3</v>
      </c>
      <c r="P770">
        <v>3</v>
      </c>
      <c r="S770" s="166" t="s">
        <v>944</v>
      </c>
    </row>
    <row r="771" spans="1:19" x14ac:dyDescent="0.25">
      <c r="A771" t="s">
        <v>2560</v>
      </c>
      <c r="B771">
        <v>9011870704</v>
      </c>
      <c r="C771" t="s">
        <v>2561</v>
      </c>
      <c r="D771">
        <v>85378</v>
      </c>
      <c r="E771">
        <v>1.96</v>
      </c>
      <c r="F771">
        <v>60984.285709999996</v>
      </c>
      <c r="G771">
        <v>60.984000000000002</v>
      </c>
      <c r="H771">
        <v>0.67</v>
      </c>
      <c r="I771">
        <v>4</v>
      </c>
      <c r="J771">
        <v>1363</v>
      </c>
      <c r="K771">
        <v>0.26820023900000001</v>
      </c>
      <c r="L771">
        <v>5.8000000000000003E-2</v>
      </c>
      <c r="M771">
        <v>1</v>
      </c>
      <c r="N771">
        <v>0.59499999999999997</v>
      </c>
      <c r="O771">
        <v>3</v>
      </c>
      <c r="P771">
        <v>3</v>
      </c>
      <c r="S771" s="164" t="s">
        <v>944</v>
      </c>
    </row>
    <row r="772" spans="1:19" x14ac:dyDescent="0.25">
      <c r="A772" t="s">
        <v>2562</v>
      </c>
      <c r="B772">
        <v>9013526101</v>
      </c>
      <c r="C772" t="s">
        <v>2563</v>
      </c>
      <c r="D772">
        <v>121250</v>
      </c>
      <c r="E772">
        <v>2.64</v>
      </c>
      <c r="F772">
        <v>74624.216409999994</v>
      </c>
      <c r="G772">
        <v>74.623999999999995</v>
      </c>
      <c r="H772">
        <v>0.84599999999999997</v>
      </c>
      <c r="I772">
        <v>5</v>
      </c>
      <c r="J772">
        <v>1878</v>
      </c>
      <c r="K772">
        <v>0.30199312099999998</v>
      </c>
      <c r="L772">
        <v>0.183</v>
      </c>
      <c r="M772">
        <v>1</v>
      </c>
      <c r="N772">
        <v>0.218</v>
      </c>
      <c r="O772">
        <v>2</v>
      </c>
      <c r="P772">
        <v>2</v>
      </c>
      <c r="S772" s="166" t="s">
        <v>944</v>
      </c>
    </row>
    <row r="773" spans="1:19" x14ac:dyDescent="0.25">
      <c r="A773" t="s">
        <v>2564</v>
      </c>
      <c r="B773">
        <v>9013526102</v>
      </c>
      <c r="C773" t="s">
        <v>2565</v>
      </c>
      <c r="D773">
        <v>119917</v>
      </c>
      <c r="E773">
        <v>2.73</v>
      </c>
      <c r="F773">
        <v>72577.070040000006</v>
      </c>
      <c r="G773">
        <v>72.576999999999998</v>
      </c>
      <c r="H773">
        <v>0.83199999999999996</v>
      </c>
      <c r="I773">
        <v>5</v>
      </c>
      <c r="J773">
        <v>1820</v>
      </c>
      <c r="K773">
        <v>0.30092148899999999</v>
      </c>
      <c r="L773">
        <v>0.17699999999999999</v>
      </c>
      <c r="M773">
        <v>1</v>
      </c>
      <c r="N773">
        <v>0.249</v>
      </c>
      <c r="O773">
        <v>2</v>
      </c>
      <c r="P773">
        <v>2</v>
      </c>
      <c r="S773" s="164" t="s">
        <v>944</v>
      </c>
    </row>
    <row r="774" spans="1:19" x14ac:dyDescent="0.25">
      <c r="A774" t="s">
        <v>2566</v>
      </c>
      <c r="B774">
        <v>9013528100</v>
      </c>
      <c r="C774" t="s">
        <v>2567</v>
      </c>
      <c r="D774">
        <v>105328</v>
      </c>
      <c r="E774">
        <v>2.63</v>
      </c>
      <c r="F774">
        <v>64948.027139999998</v>
      </c>
      <c r="G774">
        <v>64.947999999999993</v>
      </c>
      <c r="H774">
        <v>0.73599999999999999</v>
      </c>
      <c r="I774">
        <v>4</v>
      </c>
      <c r="J774">
        <v>1487</v>
      </c>
      <c r="K774">
        <v>0.27474275599999998</v>
      </c>
      <c r="L774">
        <v>7.0999999999999994E-2</v>
      </c>
      <c r="M774">
        <v>1</v>
      </c>
      <c r="N774">
        <v>0.496</v>
      </c>
      <c r="O774">
        <v>3</v>
      </c>
      <c r="P774">
        <v>3</v>
      </c>
      <c r="S774" s="166" t="s">
        <v>944</v>
      </c>
    </row>
    <row r="775" spans="1:19" x14ac:dyDescent="0.25">
      <c r="A775" t="s">
        <v>2568</v>
      </c>
      <c r="B775">
        <v>9013529100</v>
      </c>
      <c r="C775" t="s">
        <v>2569</v>
      </c>
      <c r="D775">
        <v>105772</v>
      </c>
      <c r="E775">
        <v>2.69</v>
      </c>
      <c r="F775">
        <v>64490.3266</v>
      </c>
      <c r="G775">
        <v>64.489999999999995</v>
      </c>
      <c r="H775">
        <v>0.72499999999999998</v>
      </c>
      <c r="I775">
        <v>4</v>
      </c>
      <c r="J775">
        <v>1778</v>
      </c>
      <c r="K775">
        <v>0.33084031600000002</v>
      </c>
      <c r="L775">
        <v>0.36699999999999999</v>
      </c>
      <c r="M775">
        <v>2</v>
      </c>
      <c r="N775">
        <v>0.26400000000000001</v>
      </c>
      <c r="O775">
        <v>2</v>
      </c>
      <c r="P775">
        <v>2</v>
      </c>
      <c r="S775" s="164" t="s">
        <v>944</v>
      </c>
    </row>
    <row r="776" spans="1:19" x14ac:dyDescent="0.25">
      <c r="A776" t="s">
        <v>2570</v>
      </c>
      <c r="B776">
        <v>9013530100</v>
      </c>
      <c r="C776" t="s">
        <v>2571</v>
      </c>
      <c r="D776">
        <v>61048</v>
      </c>
      <c r="E776">
        <v>2.06</v>
      </c>
      <c r="F776">
        <v>42534.157059999998</v>
      </c>
      <c r="G776">
        <v>42.533999999999999</v>
      </c>
      <c r="H776">
        <v>0.33200000000000002</v>
      </c>
      <c r="I776">
        <v>2</v>
      </c>
      <c r="J776">
        <v>1084</v>
      </c>
      <c r="K776">
        <v>0.30582479800000001</v>
      </c>
      <c r="L776">
        <v>0.20499999999999999</v>
      </c>
      <c r="M776">
        <v>2</v>
      </c>
      <c r="N776">
        <v>0.88600000000000001</v>
      </c>
      <c r="O776">
        <v>5</v>
      </c>
      <c r="P776">
        <v>5</v>
      </c>
      <c r="S776" s="166" t="s">
        <v>944</v>
      </c>
    </row>
    <row r="777" spans="1:19" x14ac:dyDescent="0.25">
      <c r="A777" t="s">
        <v>2572</v>
      </c>
      <c r="B777">
        <v>9013530200</v>
      </c>
      <c r="C777" t="s">
        <v>2573</v>
      </c>
      <c r="D777">
        <v>49074</v>
      </c>
      <c r="E777">
        <v>2.5099999999999998</v>
      </c>
      <c r="F777">
        <v>30975.23414</v>
      </c>
      <c r="G777">
        <v>30.975000000000001</v>
      </c>
      <c r="H777">
        <v>0.187</v>
      </c>
      <c r="I777">
        <v>1</v>
      </c>
      <c r="J777">
        <v>1170</v>
      </c>
      <c r="K777">
        <v>0.45326533899999999</v>
      </c>
      <c r="L777">
        <v>0.78700000000000003</v>
      </c>
      <c r="M777">
        <v>4</v>
      </c>
      <c r="N777">
        <v>0.80300000000000005</v>
      </c>
      <c r="O777">
        <v>5</v>
      </c>
      <c r="P777">
        <v>5</v>
      </c>
      <c r="S777" s="164" t="s">
        <v>944</v>
      </c>
    </row>
    <row r="778" spans="1:19" x14ac:dyDescent="0.25">
      <c r="A778" t="s">
        <v>2574</v>
      </c>
      <c r="B778">
        <v>9013530301</v>
      </c>
      <c r="C778" t="s">
        <v>2575</v>
      </c>
      <c r="D778">
        <v>53648</v>
      </c>
      <c r="E778">
        <v>1.88</v>
      </c>
      <c r="F778">
        <v>39126.825320000004</v>
      </c>
      <c r="G778">
        <v>39.127000000000002</v>
      </c>
      <c r="H778">
        <v>0.28299999999999997</v>
      </c>
      <c r="I778">
        <v>2</v>
      </c>
      <c r="J778">
        <v>1119</v>
      </c>
      <c r="K778">
        <v>0.34319165699999998</v>
      </c>
      <c r="L778">
        <v>0.436</v>
      </c>
      <c r="M778">
        <v>3</v>
      </c>
      <c r="N778">
        <v>0.85599999999999998</v>
      </c>
      <c r="O778">
        <v>5</v>
      </c>
      <c r="P778">
        <v>5</v>
      </c>
      <c r="S778" s="166" t="s">
        <v>944</v>
      </c>
    </row>
    <row r="779" spans="1:19" x14ac:dyDescent="0.25">
      <c r="A779" t="s">
        <v>2576</v>
      </c>
      <c r="B779">
        <v>9013530302</v>
      </c>
      <c r="C779" t="s">
        <v>2577</v>
      </c>
      <c r="D779">
        <v>86009</v>
      </c>
      <c r="E779">
        <v>2.25</v>
      </c>
      <c r="F779">
        <v>57339.333330000001</v>
      </c>
      <c r="G779">
        <v>57.338999999999999</v>
      </c>
      <c r="H779">
        <v>0.60099999999999998</v>
      </c>
      <c r="I779">
        <v>4</v>
      </c>
      <c r="J779">
        <v>1409</v>
      </c>
      <c r="K779">
        <v>0.29487611800000002</v>
      </c>
      <c r="L779">
        <v>0.14199999999999999</v>
      </c>
      <c r="M779">
        <v>1</v>
      </c>
      <c r="N779">
        <v>0.55600000000000005</v>
      </c>
      <c r="O779">
        <v>3</v>
      </c>
      <c r="P779">
        <v>3</v>
      </c>
      <c r="S779" s="164" t="s">
        <v>944</v>
      </c>
    </row>
    <row r="780" spans="1:19" x14ac:dyDescent="0.25">
      <c r="A780" t="s">
        <v>2578</v>
      </c>
      <c r="B780">
        <v>9013530400</v>
      </c>
      <c r="C780" t="s">
        <v>2579</v>
      </c>
      <c r="D780">
        <v>65470</v>
      </c>
      <c r="E780">
        <v>1.96</v>
      </c>
      <c r="F780">
        <v>46764.285709999996</v>
      </c>
      <c r="G780">
        <v>46.764000000000003</v>
      </c>
      <c r="H780">
        <v>0.39600000000000002</v>
      </c>
      <c r="I780">
        <v>2</v>
      </c>
      <c r="J780">
        <v>1242</v>
      </c>
      <c r="K780">
        <v>0.31870474999999998</v>
      </c>
      <c r="L780">
        <v>0.27900000000000003</v>
      </c>
      <c r="M780">
        <v>2</v>
      </c>
      <c r="N780">
        <v>0.72099999999999997</v>
      </c>
      <c r="O780">
        <v>4</v>
      </c>
      <c r="P780">
        <v>4</v>
      </c>
      <c r="S780" s="166" t="s">
        <v>944</v>
      </c>
    </row>
    <row r="781" spans="1:19" x14ac:dyDescent="0.25">
      <c r="A781" t="s">
        <v>2580</v>
      </c>
      <c r="B781">
        <v>9013530500</v>
      </c>
      <c r="C781" t="s">
        <v>2581</v>
      </c>
      <c r="D781">
        <v>72219</v>
      </c>
      <c r="E781">
        <v>2.46</v>
      </c>
      <c r="F781">
        <v>46045.15264</v>
      </c>
      <c r="G781">
        <v>46.045000000000002</v>
      </c>
      <c r="H781">
        <v>0.38600000000000001</v>
      </c>
      <c r="I781">
        <v>2</v>
      </c>
      <c r="J781">
        <v>1542</v>
      </c>
      <c r="K781">
        <v>0.40186640600000001</v>
      </c>
      <c r="L781">
        <v>0.68300000000000005</v>
      </c>
      <c r="M781">
        <v>4</v>
      </c>
      <c r="N781">
        <v>0.432</v>
      </c>
      <c r="O781">
        <v>3</v>
      </c>
      <c r="P781">
        <v>4</v>
      </c>
      <c r="S781" s="164" t="s">
        <v>944</v>
      </c>
    </row>
    <row r="782" spans="1:19" x14ac:dyDescent="0.25">
      <c r="A782" t="s">
        <v>2582</v>
      </c>
      <c r="B782">
        <v>9013530600</v>
      </c>
      <c r="C782" t="s">
        <v>2583</v>
      </c>
      <c r="D782">
        <v>102222</v>
      </c>
      <c r="E782">
        <v>2.5099999999999998</v>
      </c>
      <c r="F782">
        <v>64521.954270000002</v>
      </c>
      <c r="G782">
        <v>64.522000000000006</v>
      </c>
      <c r="H782">
        <v>0.72599999999999998</v>
      </c>
      <c r="I782">
        <v>4</v>
      </c>
      <c r="J782">
        <v>1797</v>
      </c>
      <c r="K782">
        <v>0.33421182399999999</v>
      </c>
      <c r="L782">
        <v>0.38900000000000001</v>
      </c>
      <c r="M782">
        <v>2</v>
      </c>
      <c r="N782">
        <v>0.255</v>
      </c>
      <c r="O782">
        <v>2</v>
      </c>
      <c r="P782">
        <v>2</v>
      </c>
      <c r="S782" s="166" t="s">
        <v>944</v>
      </c>
    </row>
    <row r="783" spans="1:19" x14ac:dyDescent="0.25">
      <c r="A783" t="s">
        <v>2584</v>
      </c>
      <c r="B783">
        <v>9013533101</v>
      </c>
      <c r="C783" t="s">
        <v>2585</v>
      </c>
      <c r="D783">
        <v>118388</v>
      </c>
      <c r="E783">
        <v>2.75</v>
      </c>
      <c r="F783">
        <v>71390.650120000006</v>
      </c>
      <c r="G783">
        <v>71.391000000000005</v>
      </c>
      <c r="H783">
        <v>0.82099999999999995</v>
      </c>
      <c r="I783">
        <v>5</v>
      </c>
      <c r="J783">
        <v>1660</v>
      </c>
      <c r="K783">
        <v>0.27902813599999998</v>
      </c>
      <c r="L783">
        <v>7.9000000000000001E-2</v>
      </c>
      <c r="M783">
        <v>1</v>
      </c>
      <c r="N783">
        <v>0.34100000000000003</v>
      </c>
      <c r="O783">
        <v>2</v>
      </c>
      <c r="P783">
        <v>2</v>
      </c>
      <c r="S783" s="164" t="s">
        <v>944</v>
      </c>
    </row>
    <row r="784" spans="1:19" x14ac:dyDescent="0.25">
      <c r="A784" t="s">
        <v>2586</v>
      </c>
      <c r="B784">
        <v>9013533102</v>
      </c>
      <c r="C784" t="s">
        <v>2587</v>
      </c>
      <c r="D784">
        <v>117635</v>
      </c>
      <c r="E784">
        <v>2.82</v>
      </c>
      <c r="F784">
        <v>70050.623099999997</v>
      </c>
      <c r="G784">
        <v>70.051000000000002</v>
      </c>
      <c r="H784">
        <v>0.80500000000000005</v>
      </c>
      <c r="I784">
        <v>5</v>
      </c>
      <c r="J784">
        <v>1688</v>
      </c>
      <c r="K784">
        <v>0.28916230999999998</v>
      </c>
      <c r="L784">
        <v>0.111</v>
      </c>
      <c r="M784">
        <v>1</v>
      </c>
      <c r="N784">
        <v>0.32</v>
      </c>
      <c r="O784">
        <v>2</v>
      </c>
      <c r="P784">
        <v>2</v>
      </c>
      <c r="S784" s="166" t="s">
        <v>944</v>
      </c>
    </row>
    <row r="785" spans="1:19" x14ac:dyDescent="0.25">
      <c r="A785" t="s">
        <v>2588</v>
      </c>
      <c r="B785">
        <v>9013535100</v>
      </c>
      <c r="C785" t="s">
        <v>2589</v>
      </c>
      <c r="D785">
        <v>82436</v>
      </c>
      <c r="E785">
        <v>2.16</v>
      </c>
      <c r="F785">
        <v>56090.59345</v>
      </c>
      <c r="G785">
        <v>56.091000000000001</v>
      </c>
      <c r="H785">
        <v>0.58299999999999996</v>
      </c>
      <c r="I785">
        <v>3</v>
      </c>
      <c r="J785">
        <v>1366</v>
      </c>
      <c r="K785">
        <v>0.29224151500000001</v>
      </c>
      <c r="L785">
        <v>0.128</v>
      </c>
      <c r="M785">
        <v>1</v>
      </c>
      <c r="N785">
        <v>0.59099999999999997</v>
      </c>
      <c r="O785">
        <v>3</v>
      </c>
      <c r="P785">
        <v>3</v>
      </c>
      <c r="S785" s="164" t="s">
        <v>944</v>
      </c>
    </row>
    <row r="786" spans="1:19" x14ac:dyDescent="0.25">
      <c r="A786" t="s">
        <v>2590</v>
      </c>
      <c r="B786">
        <v>9013535200</v>
      </c>
      <c r="C786" t="s">
        <v>2591</v>
      </c>
      <c r="D786">
        <v>100833</v>
      </c>
      <c r="E786">
        <v>2.56</v>
      </c>
      <c r="F786">
        <v>63020.625</v>
      </c>
      <c r="G786">
        <v>63.021000000000001</v>
      </c>
      <c r="H786">
        <v>0.70799999999999996</v>
      </c>
      <c r="I786">
        <v>4</v>
      </c>
      <c r="J786">
        <v>1587</v>
      </c>
      <c r="K786">
        <v>0.30218678399999999</v>
      </c>
      <c r="L786">
        <v>0.186</v>
      </c>
      <c r="M786">
        <v>1</v>
      </c>
      <c r="N786">
        <v>0.39700000000000002</v>
      </c>
      <c r="O786">
        <v>2</v>
      </c>
      <c r="P786">
        <v>2</v>
      </c>
      <c r="S786" s="166" t="s">
        <v>944</v>
      </c>
    </row>
    <row r="787" spans="1:19" x14ac:dyDescent="0.25">
      <c r="A787" t="s">
        <v>2592</v>
      </c>
      <c r="B787">
        <v>9013538201</v>
      </c>
      <c r="C787" t="s">
        <v>2593</v>
      </c>
      <c r="D787">
        <v>116000</v>
      </c>
      <c r="E787">
        <v>2.57</v>
      </c>
      <c r="F787">
        <v>72358.81194</v>
      </c>
      <c r="G787">
        <v>72.358999999999995</v>
      </c>
      <c r="H787">
        <v>0.82899999999999996</v>
      </c>
      <c r="I787">
        <v>5</v>
      </c>
      <c r="J787">
        <v>1628</v>
      </c>
      <c r="K787">
        <v>0.269987849</v>
      </c>
      <c r="L787">
        <v>6.3E-2</v>
      </c>
      <c r="M787">
        <v>1</v>
      </c>
      <c r="N787">
        <v>0.36199999999999999</v>
      </c>
      <c r="O787">
        <v>2</v>
      </c>
      <c r="P787">
        <v>2</v>
      </c>
      <c r="S787" s="164" t="s">
        <v>944</v>
      </c>
    </row>
    <row r="788" spans="1:19" x14ac:dyDescent="0.25">
      <c r="A788" t="s">
        <v>2594</v>
      </c>
      <c r="B788">
        <v>9013538202</v>
      </c>
      <c r="C788" t="s">
        <v>2595</v>
      </c>
      <c r="D788">
        <v>103631</v>
      </c>
      <c r="E788">
        <v>2.5499999999999998</v>
      </c>
      <c r="F788">
        <v>64896.249510000001</v>
      </c>
      <c r="G788">
        <v>64.896000000000001</v>
      </c>
      <c r="H788">
        <v>0.73499999999999999</v>
      </c>
      <c r="I788">
        <v>4</v>
      </c>
      <c r="J788">
        <v>1669</v>
      </c>
      <c r="K788">
        <v>0.30861567699999998</v>
      </c>
      <c r="L788">
        <v>0.217</v>
      </c>
      <c r="M788">
        <v>2</v>
      </c>
      <c r="N788">
        <v>0.32900000000000001</v>
      </c>
      <c r="O788">
        <v>2</v>
      </c>
      <c r="P788">
        <v>2</v>
      </c>
      <c r="S788" s="166" t="s">
        <v>944</v>
      </c>
    </row>
    <row r="789" spans="1:19" x14ac:dyDescent="0.25">
      <c r="A789" t="s">
        <v>2596</v>
      </c>
      <c r="B789">
        <v>9013840100</v>
      </c>
      <c r="C789" t="s">
        <v>2597</v>
      </c>
      <c r="D789">
        <v>76908</v>
      </c>
      <c r="E789">
        <v>2.27</v>
      </c>
      <c r="F789">
        <v>51045.632449999997</v>
      </c>
      <c r="G789">
        <v>51.045999999999999</v>
      </c>
      <c r="H789">
        <v>0.48399999999999999</v>
      </c>
      <c r="I789">
        <v>3</v>
      </c>
      <c r="J789">
        <v>1397</v>
      </c>
      <c r="K789">
        <v>0.32841203400000002</v>
      </c>
      <c r="L789">
        <v>0.34399999999999997</v>
      </c>
      <c r="M789">
        <v>2</v>
      </c>
      <c r="N789">
        <v>0.57199999999999995</v>
      </c>
      <c r="O789">
        <v>3</v>
      </c>
      <c r="P789">
        <v>3</v>
      </c>
      <c r="S789" s="164" t="s">
        <v>944</v>
      </c>
    </row>
    <row r="790" spans="1:19" x14ac:dyDescent="0.25">
      <c r="A790" t="s">
        <v>2598</v>
      </c>
      <c r="B790">
        <v>9013850100</v>
      </c>
      <c r="C790" t="s">
        <v>2599</v>
      </c>
      <c r="D790">
        <v>103348</v>
      </c>
      <c r="E790">
        <v>2.82</v>
      </c>
      <c r="F790">
        <v>61542.838400000001</v>
      </c>
      <c r="G790">
        <v>61.542999999999999</v>
      </c>
      <c r="H790">
        <v>0.68500000000000005</v>
      </c>
      <c r="I790">
        <v>4</v>
      </c>
      <c r="J790">
        <v>1618</v>
      </c>
      <c r="K790">
        <v>0.31548756100000003</v>
      </c>
      <c r="L790">
        <v>0.25700000000000001</v>
      </c>
      <c r="M790">
        <v>2</v>
      </c>
      <c r="N790">
        <v>0.372</v>
      </c>
      <c r="O790">
        <v>2</v>
      </c>
      <c r="P790">
        <v>2</v>
      </c>
      <c r="S790" s="166" t="s">
        <v>944</v>
      </c>
    </row>
    <row r="791" spans="1:19" x14ac:dyDescent="0.25">
      <c r="A791" t="s">
        <v>2600</v>
      </c>
      <c r="B791">
        <v>9013850200</v>
      </c>
      <c r="C791" t="s">
        <v>2601</v>
      </c>
      <c r="D791">
        <v>93839</v>
      </c>
      <c r="E791">
        <v>2.5499999999999998</v>
      </c>
      <c r="F791">
        <v>58764.261250000003</v>
      </c>
      <c r="G791">
        <v>58.764000000000003</v>
      </c>
      <c r="H791">
        <v>0.63</v>
      </c>
      <c r="I791">
        <v>4</v>
      </c>
      <c r="J791">
        <v>1487</v>
      </c>
      <c r="K791">
        <v>0.30365394899999998</v>
      </c>
      <c r="L791">
        <v>0.19400000000000001</v>
      </c>
      <c r="M791">
        <v>1</v>
      </c>
      <c r="N791">
        <v>0.496</v>
      </c>
      <c r="O791">
        <v>3</v>
      </c>
      <c r="P791">
        <v>3</v>
      </c>
      <c r="S791" s="164" t="s">
        <v>944</v>
      </c>
    </row>
    <row r="792" spans="1:19" x14ac:dyDescent="0.25">
      <c r="A792" t="s">
        <v>2602</v>
      </c>
      <c r="B792">
        <v>9013860100</v>
      </c>
      <c r="C792" t="s">
        <v>2603</v>
      </c>
      <c r="D792">
        <v>109962</v>
      </c>
      <c r="E792">
        <v>2.4900000000000002</v>
      </c>
      <c r="F792">
        <v>69685.586039999995</v>
      </c>
      <c r="G792">
        <v>69.686000000000007</v>
      </c>
      <c r="H792">
        <v>0.79700000000000004</v>
      </c>
      <c r="I792">
        <v>4</v>
      </c>
      <c r="J792">
        <v>1517</v>
      </c>
      <c r="K792">
        <v>0.26123049300000001</v>
      </c>
      <c r="L792">
        <v>3.7999999999999999E-2</v>
      </c>
      <c r="M792">
        <v>1</v>
      </c>
      <c r="N792">
        <v>0.45400000000000001</v>
      </c>
      <c r="O792">
        <v>3</v>
      </c>
      <c r="P792">
        <v>3</v>
      </c>
      <c r="S792" s="166" t="s">
        <v>944</v>
      </c>
    </row>
    <row r="793" spans="1:19" x14ac:dyDescent="0.25">
      <c r="A793" t="s">
        <v>2604</v>
      </c>
      <c r="B793">
        <v>9013881100</v>
      </c>
      <c r="C793" t="s">
        <v>2605</v>
      </c>
      <c r="D793">
        <v>81163</v>
      </c>
      <c r="E793">
        <v>2.4</v>
      </c>
      <c r="F793">
        <v>52390.491220000004</v>
      </c>
      <c r="G793">
        <v>52.39</v>
      </c>
      <c r="H793">
        <v>0.50700000000000001</v>
      </c>
      <c r="I793">
        <v>3</v>
      </c>
      <c r="J793">
        <v>1602</v>
      </c>
      <c r="K793">
        <v>0.36693681500000003</v>
      </c>
      <c r="L793">
        <v>0.57199999999999995</v>
      </c>
      <c r="M793">
        <v>3</v>
      </c>
      <c r="N793">
        <v>0.38</v>
      </c>
      <c r="O793">
        <v>2</v>
      </c>
      <c r="P793">
        <v>3</v>
      </c>
      <c r="S793" s="164" t="s">
        <v>944</v>
      </c>
    </row>
    <row r="794" spans="1:19" x14ac:dyDescent="0.25">
      <c r="A794" t="s">
        <v>2606</v>
      </c>
      <c r="B794">
        <v>9013881200</v>
      </c>
      <c r="C794" t="s">
        <v>2607</v>
      </c>
      <c r="D794">
        <v>30125</v>
      </c>
      <c r="E794">
        <v>2.4900000000000002</v>
      </c>
      <c r="F794">
        <v>19090.943050000002</v>
      </c>
      <c r="G794">
        <v>19.091000000000001</v>
      </c>
      <c r="H794">
        <v>5.0999999999999997E-2</v>
      </c>
      <c r="I794">
        <v>1</v>
      </c>
      <c r="J794">
        <v>1975</v>
      </c>
      <c r="K794">
        <v>1.241426363</v>
      </c>
      <c r="L794">
        <v>1</v>
      </c>
      <c r="M794">
        <v>5</v>
      </c>
      <c r="N794">
        <v>0.17199999999999999</v>
      </c>
      <c r="O794">
        <v>1</v>
      </c>
      <c r="P794">
        <v>3</v>
      </c>
      <c r="S794" s="166" t="s">
        <v>936</v>
      </c>
    </row>
    <row r="795" spans="1:19" x14ac:dyDescent="0.25">
      <c r="A795" t="s">
        <v>2608</v>
      </c>
      <c r="B795">
        <v>9013881300</v>
      </c>
      <c r="C795" t="s">
        <v>2609</v>
      </c>
      <c r="D795">
        <v>46429</v>
      </c>
      <c r="E795">
        <v>2.2200000000000002</v>
      </c>
      <c r="F795">
        <v>31161.104490000002</v>
      </c>
      <c r="G795">
        <v>31.161000000000001</v>
      </c>
      <c r="H795">
        <v>0.19</v>
      </c>
      <c r="I795">
        <v>1</v>
      </c>
      <c r="J795">
        <v>1233</v>
      </c>
      <c r="K795">
        <v>0.47482270700000001</v>
      </c>
      <c r="L795">
        <v>0.81699999999999995</v>
      </c>
      <c r="M795">
        <v>5</v>
      </c>
      <c r="N795">
        <v>0.73</v>
      </c>
      <c r="O795">
        <v>4</v>
      </c>
      <c r="P795">
        <v>5</v>
      </c>
      <c r="S795" s="164" t="s">
        <v>936</v>
      </c>
    </row>
    <row r="796" spans="1:19" x14ac:dyDescent="0.25">
      <c r="A796" t="s">
        <v>2610</v>
      </c>
      <c r="B796">
        <v>9013881500</v>
      </c>
      <c r="C796" t="s">
        <v>2611</v>
      </c>
      <c r="D796">
        <v>53162</v>
      </c>
      <c r="E796">
        <v>2.2999999999999998</v>
      </c>
      <c r="F796">
        <v>35053.984729999996</v>
      </c>
      <c r="G796">
        <v>35.054000000000002</v>
      </c>
      <c r="H796">
        <v>0.23499999999999999</v>
      </c>
      <c r="I796">
        <v>2</v>
      </c>
      <c r="J796">
        <v>1289</v>
      </c>
      <c r="K796">
        <v>0.441262245</v>
      </c>
      <c r="L796">
        <v>0.77100000000000002</v>
      </c>
      <c r="M796">
        <v>4</v>
      </c>
      <c r="N796">
        <v>0.66500000000000004</v>
      </c>
      <c r="O796">
        <v>4</v>
      </c>
      <c r="P796">
        <v>4</v>
      </c>
      <c r="S796" s="166" t="s">
        <v>944</v>
      </c>
    </row>
    <row r="797" spans="1:19" x14ac:dyDescent="0.25">
      <c r="A797" t="s">
        <v>2612</v>
      </c>
      <c r="B797">
        <v>9013890100</v>
      </c>
      <c r="C797" t="s">
        <v>2613</v>
      </c>
      <c r="D797">
        <v>62054</v>
      </c>
      <c r="E797">
        <v>2.4300000000000002</v>
      </c>
      <c r="F797">
        <v>39807.65956</v>
      </c>
      <c r="G797">
        <v>39.808</v>
      </c>
      <c r="H797">
        <v>0.29199999999999998</v>
      </c>
      <c r="I797">
        <v>2</v>
      </c>
      <c r="J797">
        <v>1097</v>
      </c>
      <c r="K797">
        <v>0.330690127</v>
      </c>
      <c r="L797">
        <v>0.36599999999999999</v>
      </c>
      <c r="M797">
        <v>2</v>
      </c>
      <c r="N797">
        <v>0.879</v>
      </c>
      <c r="O797">
        <v>5</v>
      </c>
      <c r="P797">
        <v>5</v>
      </c>
      <c r="S797" s="164" t="s">
        <v>944</v>
      </c>
    </row>
    <row r="798" spans="1:19" x14ac:dyDescent="0.25">
      <c r="A798" t="s">
        <v>2614</v>
      </c>
      <c r="B798">
        <v>9013890201</v>
      </c>
      <c r="C798" t="s">
        <v>2615</v>
      </c>
      <c r="D798">
        <v>89292</v>
      </c>
      <c r="E798">
        <v>2.4500000000000002</v>
      </c>
      <c r="F798">
        <v>57046.56624</v>
      </c>
      <c r="G798">
        <v>57.046999999999997</v>
      </c>
      <c r="H798">
        <v>0.59599999999999997</v>
      </c>
      <c r="I798">
        <v>3</v>
      </c>
      <c r="J798">
        <v>1193</v>
      </c>
      <c r="K798">
        <v>0.25095287799999999</v>
      </c>
      <c r="L798">
        <v>1.4E-2</v>
      </c>
      <c r="M798">
        <v>1</v>
      </c>
      <c r="N798">
        <v>0.77500000000000002</v>
      </c>
      <c r="O798">
        <v>4</v>
      </c>
      <c r="P798">
        <v>4</v>
      </c>
      <c r="S798" s="166" t="s">
        <v>944</v>
      </c>
    </row>
    <row r="799" spans="1:19" x14ac:dyDescent="0.25">
      <c r="A799" t="s">
        <v>2616</v>
      </c>
      <c r="B799">
        <v>9013890202</v>
      </c>
      <c r="C799" t="s">
        <v>2617</v>
      </c>
      <c r="D799">
        <v>89460</v>
      </c>
      <c r="E799">
        <v>2.5499999999999998</v>
      </c>
      <c r="F799">
        <v>56022.025079999999</v>
      </c>
      <c r="G799">
        <v>56.021999999999998</v>
      </c>
      <c r="H799">
        <v>0.57999999999999996</v>
      </c>
      <c r="I799">
        <v>3</v>
      </c>
      <c r="J799">
        <v>1382</v>
      </c>
      <c r="K799">
        <v>0.29602642800000001</v>
      </c>
      <c r="L799">
        <v>0.14699999999999999</v>
      </c>
      <c r="M799">
        <v>1</v>
      </c>
      <c r="N799">
        <v>0.57599999999999996</v>
      </c>
      <c r="O799">
        <v>3</v>
      </c>
      <c r="P799">
        <v>3</v>
      </c>
      <c r="S799" s="164" t="s">
        <v>944</v>
      </c>
    </row>
    <row r="800" spans="1:19" x14ac:dyDescent="0.25">
      <c r="A800" t="s">
        <v>2618</v>
      </c>
      <c r="B800">
        <v>9015800300</v>
      </c>
      <c r="C800" t="s">
        <v>2619</v>
      </c>
      <c r="D800">
        <v>26840</v>
      </c>
      <c r="E800">
        <v>2.38</v>
      </c>
      <c r="F800">
        <v>17397.787939999998</v>
      </c>
      <c r="G800">
        <v>17.398</v>
      </c>
      <c r="H800">
        <v>3.5000000000000003E-2</v>
      </c>
      <c r="I800">
        <v>1</v>
      </c>
      <c r="J800">
        <v>710</v>
      </c>
      <c r="K800">
        <v>0.48971743000000001</v>
      </c>
      <c r="L800">
        <v>0.83199999999999996</v>
      </c>
      <c r="M800">
        <v>5</v>
      </c>
      <c r="N800">
        <v>0.99399999999999999</v>
      </c>
      <c r="O800">
        <v>5</v>
      </c>
      <c r="P800">
        <v>5</v>
      </c>
      <c r="S800" s="166" t="s">
        <v>936</v>
      </c>
    </row>
    <row r="801" spans="1:19" x14ac:dyDescent="0.25">
      <c r="A801" t="s">
        <v>2620</v>
      </c>
      <c r="B801">
        <v>9015800400</v>
      </c>
      <c r="C801" t="s">
        <v>2621</v>
      </c>
      <c r="D801">
        <v>61675</v>
      </c>
      <c r="E801">
        <v>2.4900000000000002</v>
      </c>
      <c r="F801">
        <v>39084.943149999999</v>
      </c>
      <c r="G801">
        <v>39.085000000000001</v>
      </c>
      <c r="H801">
        <v>0.28100000000000003</v>
      </c>
      <c r="I801">
        <v>2</v>
      </c>
      <c r="J801">
        <v>1167</v>
      </c>
      <c r="K801">
        <v>0.35829654300000002</v>
      </c>
      <c r="L801">
        <v>0.52900000000000003</v>
      </c>
      <c r="M801">
        <v>3</v>
      </c>
      <c r="N801">
        <v>0.80600000000000005</v>
      </c>
      <c r="O801">
        <v>5</v>
      </c>
      <c r="P801">
        <v>5</v>
      </c>
      <c r="S801" s="164" t="s">
        <v>944</v>
      </c>
    </row>
    <row r="802" spans="1:19" x14ac:dyDescent="0.25">
      <c r="A802" t="s">
        <v>2622</v>
      </c>
      <c r="B802">
        <v>9015800500</v>
      </c>
      <c r="C802" t="s">
        <v>2623</v>
      </c>
      <c r="D802">
        <v>58278</v>
      </c>
      <c r="E802">
        <v>2.4300000000000002</v>
      </c>
      <c r="F802">
        <v>37385.354429999999</v>
      </c>
      <c r="G802">
        <v>37.384999999999998</v>
      </c>
      <c r="H802">
        <v>0.26200000000000001</v>
      </c>
      <c r="I802">
        <v>2</v>
      </c>
      <c r="J802">
        <v>1191</v>
      </c>
      <c r="K802">
        <v>0.38228873899999999</v>
      </c>
      <c r="L802">
        <v>0.63800000000000001</v>
      </c>
      <c r="M802">
        <v>4</v>
      </c>
      <c r="N802">
        <v>0.77900000000000003</v>
      </c>
      <c r="O802">
        <v>4</v>
      </c>
      <c r="P802">
        <v>4</v>
      </c>
      <c r="S802" s="166" t="s">
        <v>944</v>
      </c>
    </row>
    <row r="803" spans="1:19" x14ac:dyDescent="0.25">
      <c r="A803" t="s">
        <v>2624</v>
      </c>
      <c r="B803">
        <v>9015800600</v>
      </c>
      <c r="C803" t="s">
        <v>2625</v>
      </c>
      <c r="D803">
        <v>35799</v>
      </c>
      <c r="E803">
        <v>2.48</v>
      </c>
      <c r="F803">
        <v>22732.387729999999</v>
      </c>
      <c r="G803">
        <v>22.731999999999999</v>
      </c>
      <c r="H803">
        <v>9.1999999999999998E-2</v>
      </c>
      <c r="I803">
        <v>1</v>
      </c>
      <c r="J803">
        <v>963</v>
      </c>
      <c r="K803">
        <v>0.50834959099999999</v>
      </c>
      <c r="L803">
        <v>0.85599999999999998</v>
      </c>
      <c r="M803">
        <v>5</v>
      </c>
      <c r="N803">
        <v>0.95799999999999996</v>
      </c>
      <c r="O803">
        <v>5</v>
      </c>
      <c r="P803">
        <v>5</v>
      </c>
      <c r="S803" s="164" t="s">
        <v>936</v>
      </c>
    </row>
    <row r="804" spans="1:19" x14ac:dyDescent="0.25">
      <c r="A804" t="s">
        <v>2626</v>
      </c>
      <c r="B804">
        <v>9015800700</v>
      </c>
      <c r="C804" t="s">
        <v>2627</v>
      </c>
      <c r="D804">
        <v>46176</v>
      </c>
      <c r="E804">
        <v>2.4900000000000002</v>
      </c>
      <c r="F804">
        <v>29262.850989999999</v>
      </c>
      <c r="G804">
        <v>29.263000000000002</v>
      </c>
      <c r="H804">
        <v>0.157</v>
      </c>
      <c r="I804">
        <v>1</v>
      </c>
      <c r="J804">
        <v>1108</v>
      </c>
      <c r="K804">
        <v>0.45436447699999999</v>
      </c>
      <c r="L804">
        <v>0.78800000000000003</v>
      </c>
      <c r="M804">
        <v>4</v>
      </c>
      <c r="N804">
        <v>0.86699999999999999</v>
      </c>
      <c r="O804">
        <v>5</v>
      </c>
      <c r="P804">
        <v>5</v>
      </c>
      <c r="S804" s="166" t="s">
        <v>936</v>
      </c>
    </row>
    <row r="805" spans="1:19" x14ac:dyDescent="0.25">
      <c r="A805" t="s">
        <v>2628</v>
      </c>
      <c r="B805">
        <v>9015815000</v>
      </c>
      <c r="C805" t="s">
        <v>2629</v>
      </c>
      <c r="D805">
        <v>70500</v>
      </c>
      <c r="E805">
        <v>2.52</v>
      </c>
      <c r="F805">
        <v>44410.825579999997</v>
      </c>
      <c r="G805">
        <v>44.411000000000001</v>
      </c>
      <c r="H805">
        <v>0.35699999999999998</v>
      </c>
      <c r="I805">
        <v>2</v>
      </c>
      <c r="J805">
        <v>1272</v>
      </c>
      <c r="K805">
        <v>0.34369998299999999</v>
      </c>
      <c r="L805">
        <v>0.441</v>
      </c>
      <c r="M805">
        <v>3</v>
      </c>
      <c r="N805">
        <v>0.68300000000000005</v>
      </c>
      <c r="O805">
        <v>4</v>
      </c>
      <c r="P805">
        <v>4</v>
      </c>
      <c r="S805" s="164" t="s">
        <v>944</v>
      </c>
    </row>
    <row r="806" spans="1:19" x14ac:dyDescent="0.25">
      <c r="A806" t="s">
        <v>2630</v>
      </c>
      <c r="B806">
        <v>9015820000</v>
      </c>
      <c r="C806" t="s">
        <v>2631</v>
      </c>
      <c r="D806">
        <v>81016</v>
      </c>
      <c r="E806">
        <v>2.3199999999999998</v>
      </c>
      <c r="F806">
        <v>53189.609819999998</v>
      </c>
      <c r="G806">
        <v>53.19</v>
      </c>
      <c r="H806">
        <v>0.52600000000000002</v>
      </c>
      <c r="I806">
        <v>3</v>
      </c>
      <c r="J806">
        <v>1407</v>
      </c>
      <c r="K806">
        <v>0.31743041700000002</v>
      </c>
      <c r="L806">
        <v>0.26700000000000002</v>
      </c>
      <c r="M806">
        <v>2</v>
      </c>
      <c r="N806">
        <v>0.56399999999999995</v>
      </c>
      <c r="O806">
        <v>3</v>
      </c>
      <c r="P806">
        <v>3</v>
      </c>
      <c r="S806" s="166" t="s">
        <v>944</v>
      </c>
    </row>
    <row r="807" spans="1:19" x14ac:dyDescent="0.25">
      <c r="A807" t="s">
        <v>2632</v>
      </c>
      <c r="B807">
        <v>9015825000</v>
      </c>
      <c r="C807" t="s">
        <v>2633</v>
      </c>
      <c r="D807">
        <v>86053</v>
      </c>
      <c r="E807">
        <v>2.56</v>
      </c>
      <c r="F807">
        <v>53783.125</v>
      </c>
      <c r="G807">
        <v>53.783000000000001</v>
      </c>
      <c r="H807">
        <v>0.53800000000000003</v>
      </c>
      <c r="I807">
        <v>3</v>
      </c>
      <c r="J807">
        <v>1378</v>
      </c>
      <c r="K807">
        <v>0.30745703200000002</v>
      </c>
      <c r="L807">
        <v>0.21099999999999999</v>
      </c>
      <c r="M807">
        <v>2</v>
      </c>
      <c r="N807">
        <v>0.58099999999999996</v>
      </c>
      <c r="O807">
        <v>3</v>
      </c>
      <c r="P807">
        <v>3</v>
      </c>
      <c r="S807" s="164" t="s">
        <v>944</v>
      </c>
    </row>
    <row r="808" spans="1:19" x14ac:dyDescent="0.25">
      <c r="A808" t="s">
        <v>2634</v>
      </c>
      <c r="B808">
        <v>9015830100</v>
      </c>
      <c r="C808" t="s">
        <v>2635</v>
      </c>
      <c r="D808">
        <v>70952</v>
      </c>
      <c r="E808">
        <v>2.38</v>
      </c>
      <c r="F808">
        <v>45991.350590000002</v>
      </c>
      <c r="G808">
        <v>45.991</v>
      </c>
      <c r="H808">
        <v>0.38300000000000001</v>
      </c>
      <c r="I808">
        <v>2</v>
      </c>
      <c r="J808">
        <v>1191</v>
      </c>
      <c r="K808">
        <v>0.31075408300000001</v>
      </c>
      <c r="L808">
        <v>0.22700000000000001</v>
      </c>
      <c r="M808">
        <v>2</v>
      </c>
      <c r="N808">
        <v>0.77900000000000003</v>
      </c>
      <c r="O808">
        <v>4</v>
      </c>
      <c r="P808">
        <v>4</v>
      </c>
      <c r="S808" s="166" t="s">
        <v>944</v>
      </c>
    </row>
    <row r="809" spans="1:19" x14ac:dyDescent="0.25">
      <c r="A809" t="s">
        <v>2636</v>
      </c>
      <c r="B809">
        <v>9015900100</v>
      </c>
      <c r="C809" t="s">
        <v>2637</v>
      </c>
      <c r="D809">
        <v>85216</v>
      </c>
      <c r="E809">
        <v>2.72</v>
      </c>
      <c r="F809">
        <v>51669.789559999997</v>
      </c>
      <c r="G809">
        <v>51.67</v>
      </c>
      <c r="H809">
        <v>0.49299999999999999</v>
      </c>
      <c r="I809">
        <v>3</v>
      </c>
      <c r="J809">
        <v>1349</v>
      </c>
      <c r="K809">
        <v>0.313297192</v>
      </c>
      <c r="L809">
        <v>0.24299999999999999</v>
      </c>
      <c r="M809">
        <v>2</v>
      </c>
      <c r="N809">
        <v>0.60599999999999998</v>
      </c>
      <c r="O809">
        <v>4</v>
      </c>
      <c r="P809">
        <v>4</v>
      </c>
      <c r="S809" s="164" t="s">
        <v>944</v>
      </c>
    </row>
    <row r="810" spans="1:19" x14ac:dyDescent="0.25">
      <c r="A810" t="s">
        <v>2638</v>
      </c>
      <c r="B810">
        <v>9015900200</v>
      </c>
      <c r="C810" t="s">
        <v>2639</v>
      </c>
      <c r="D810">
        <v>75114</v>
      </c>
      <c r="E810">
        <v>2.4900000000000002</v>
      </c>
      <c r="F810">
        <v>47601.563349999997</v>
      </c>
      <c r="G810">
        <v>47.601999999999997</v>
      </c>
      <c r="H810">
        <v>0.41599999999999998</v>
      </c>
      <c r="I810">
        <v>3</v>
      </c>
      <c r="J810">
        <v>1054</v>
      </c>
      <c r="K810">
        <v>0.26570555899999998</v>
      </c>
      <c r="L810">
        <v>5.1999999999999998E-2</v>
      </c>
      <c r="M810">
        <v>1</v>
      </c>
      <c r="N810">
        <v>0.90600000000000003</v>
      </c>
      <c r="O810">
        <v>5</v>
      </c>
      <c r="P810">
        <v>4</v>
      </c>
      <c r="S810" s="166" t="s">
        <v>944</v>
      </c>
    </row>
    <row r="811" spans="1:19" x14ac:dyDescent="0.25">
      <c r="A811" t="s">
        <v>2640</v>
      </c>
      <c r="B811">
        <v>9015901100</v>
      </c>
      <c r="C811" t="s">
        <v>2641</v>
      </c>
      <c r="D811">
        <v>86821</v>
      </c>
      <c r="E811">
        <v>2.41</v>
      </c>
      <c r="F811">
        <v>55926.322460000003</v>
      </c>
      <c r="G811">
        <v>55.926000000000002</v>
      </c>
      <c r="H811">
        <v>0.57699999999999996</v>
      </c>
      <c r="I811">
        <v>3</v>
      </c>
      <c r="J811">
        <v>1307</v>
      </c>
      <c r="K811">
        <v>0.28044039599999998</v>
      </c>
      <c r="L811">
        <v>0.08</v>
      </c>
      <c r="M811">
        <v>1</v>
      </c>
      <c r="N811">
        <v>0.64900000000000002</v>
      </c>
      <c r="O811">
        <v>4</v>
      </c>
      <c r="P811">
        <v>4</v>
      </c>
      <c r="S811" s="164" t="s">
        <v>944</v>
      </c>
    </row>
    <row r="812" spans="1:19" x14ac:dyDescent="0.25">
      <c r="A812" t="s">
        <v>2642</v>
      </c>
      <c r="B812">
        <v>9015902200</v>
      </c>
      <c r="C812" t="s">
        <v>2643</v>
      </c>
      <c r="D812">
        <v>92813</v>
      </c>
      <c r="E812">
        <v>2.39</v>
      </c>
      <c r="F812">
        <v>60035.738899999997</v>
      </c>
      <c r="G812">
        <v>60.036000000000001</v>
      </c>
      <c r="H812">
        <v>0.65400000000000003</v>
      </c>
      <c r="I812">
        <v>4</v>
      </c>
      <c r="J812">
        <v>1280</v>
      </c>
      <c r="K812">
        <v>0.25584760499999998</v>
      </c>
      <c r="L812">
        <v>2.4E-2</v>
      </c>
      <c r="M812">
        <v>1</v>
      </c>
      <c r="N812">
        <v>0.67900000000000005</v>
      </c>
      <c r="O812">
        <v>4</v>
      </c>
      <c r="P812">
        <v>3</v>
      </c>
      <c r="S812" s="166" t="s">
        <v>944</v>
      </c>
    </row>
    <row r="813" spans="1:19" x14ac:dyDescent="0.25">
      <c r="A813" t="s">
        <v>2644</v>
      </c>
      <c r="B813">
        <v>9015902500</v>
      </c>
      <c r="C813" t="s">
        <v>2645</v>
      </c>
      <c r="D813">
        <v>93472</v>
      </c>
      <c r="E813">
        <v>2.4500000000000002</v>
      </c>
      <c r="F813">
        <v>59717.07028</v>
      </c>
      <c r="G813">
        <v>59.716999999999999</v>
      </c>
      <c r="H813">
        <v>0.64700000000000002</v>
      </c>
      <c r="I813">
        <v>4</v>
      </c>
      <c r="J813">
        <v>1240</v>
      </c>
      <c r="K813">
        <v>0.24917498299999999</v>
      </c>
      <c r="L813">
        <v>0.01</v>
      </c>
      <c r="M813">
        <v>1</v>
      </c>
      <c r="N813">
        <v>0.72199999999999998</v>
      </c>
      <c r="O813">
        <v>4</v>
      </c>
      <c r="P813">
        <v>3</v>
      </c>
      <c r="S813" s="164" t="s">
        <v>944</v>
      </c>
    </row>
    <row r="814" spans="1:19" x14ac:dyDescent="0.25">
      <c r="A814" t="s">
        <v>2646</v>
      </c>
      <c r="B814">
        <v>9015903100</v>
      </c>
      <c r="C814" t="s">
        <v>2647</v>
      </c>
      <c r="D814">
        <v>57218</v>
      </c>
      <c r="E814">
        <v>2.21</v>
      </c>
      <c r="F814">
        <v>38488.991929999997</v>
      </c>
      <c r="G814">
        <v>38.488999999999997</v>
      </c>
      <c r="H814">
        <v>0.26900000000000002</v>
      </c>
      <c r="I814">
        <v>2</v>
      </c>
      <c r="J814">
        <v>1035</v>
      </c>
      <c r="K814">
        <v>0.32268966700000001</v>
      </c>
      <c r="L814">
        <v>0.317</v>
      </c>
      <c r="M814">
        <v>2</v>
      </c>
      <c r="N814">
        <v>0.91700000000000004</v>
      </c>
      <c r="O814">
        <v>5</v>
      </c>
      <c r="P814">
        <v>5</v>
      </c>
      <c r="S814" s="166" t="s">
        <v>944</v>
      </c>
    </row>
    <row r="815" spans="1:19" x14ac:dyDescent="0.25">
      <c r="A815" t="s">
        <v>2648</v>
      </c>
      <c r="B815">
        <v>9015903200</v>
      </c>
      <c r="C815" t="s">
        <v>2649</v>
      </c>
      <c r="D815">
        <v>76602</v>
      </c>
      <c r="E815">
        <v>2.25</v>
      </c>
      <c r="F815">
        <v>51068</v>
      </c>
      <c r="G815">
        <v>51.067999999999998</v>
      </c>
      <c r="H815">
        <v>0.48599999999999999</v>
      </c>
      <c r="I815">
        <v>3</v>
      </c>
      <c r="J815">
        <v>1149</v>
      </c>
      <c r="K815">
        <v>0.26999295099999998</v>
      </c>
      <c r="L815">
        <v>6.4000000000000001E-2</v>
      </c>
      <c r="M815">
        <v>1</v>
      </c>
      <c r="N815">
        <v>0.82199999999999995</v>
      </c>
      <c r="O815">
        <v>5</v>
      </c>
      <c r="P815">
        <v>4</v>
      </c>
      <c r="S815" s="164" t="s">
        <v>944</v>
      </c>
    </row>
    <row r="816" spans="1:19" x14ac:dyDescent="0.25">
      <c r="A816" t="s">
        <v>2650</v>
      </c>
      <c r="B816">
        <v>9015904100</v>
      </c>
      <c r="C816" t="s">
        <v>2651</v>
      </c>
      <c r="D816">
        <v>70341</v>
      </c>
      <c r="E816">
        <v>2.4500000000000002</v>
      </c>
      <c r="F816">
        <v>44939.216460000003</v>
      </c>
      <c r="G816">
        <v>44.939</v>
      </c>
      <c r="H816">
        <v>0.36799999999999999</v>
      </c>
      <c r="I816">
        <v>2</v>
      </c>
      <c r="J816">
        <v>1234</v>
      </c>
      <c r="K816">
        <v>0.32951175300000002</v>
      </c>
      <c r="L816">
        <v>0.35</v>
      </c>
      <c r="M816">
        <v>2</v>
      </c>
      <c r="N816">
        <v>0.72799999999999998</v>
      </c>
      <c r="O816">
        <v>4</v>
      </c>
      <c r="P816">
        <v>4</v>
      </c>
      <c r="S816" s="166" t="s">
        <v>944</v>
      </c>
    </row>
    <row r="817" spans="1:19" x14ac:dyDescent="0.25">
      <c r="A817" t="s">
        <v>2652</v>
      </c>
      <c r="B817">
        <v>9015904400</v>
      </c>
      <c r="C817" t="s">
        <v>2653</v>
      </c>
      <c r="D817">
        <v>57917</v>
      </c>
      <c r="E817">
        <v>2.23</v>
      </c>
      <c r="F817">
        <v>38784.091840000001</v>
      </c>
      <c r="G817">
        <v>38.783999999999999</v>
      </c>
      <c r="H817">
        <v>0.27400000000000002</v>
      </c>
      <c r="I817">
        <v>2</v>
      </c>
      <c r="J817">
        <v>1077</v>
      </c>
      <c r="K817">
        <v>0.33322940899999998</v>
      </c>
      <c r="L817">
        <v>0.38400000000000001</v>
      </c>
      <c r="M817">
        <v>2</v>
      </c>
      <c r="N817">
        <v>0.89200000000000002</v>
      </c>
      <c r="O817">
        <v>5</v>
      </c>
      <c r="P817">
        <v>5</v>
      </c>
      <c r="S817" s="164" t="s">
        <v>944</v>
      </c>
    </row>
    <row r="818" spans="1:19" x14ac:dyDescent="0.25">
      <c r="A818" t="s">
        <v>2654</v>
      </c>
      <c r="B818">
        <v>9015904500</v>
      </c>
      <c r="C818" t="s">
        <v>2655</v>
      </c>
      <c r="D818">
        <v>53138</v>
      </c>
      <c r="E818">
        <v>2.4</v>
      </c>
      <c r="F818">
        <v>34300.431510000002</v>
      </c>
      <c r="G818">
        <v>34.299999999999997</v>
      </c>
      <c r="H818">
        <v>0.23200000000000001</v>
      </c>
      <c r="I818">
        <v>2</v>
      </c>
      <c r="J818">
        <v>1128</v>
      </c>
      <c r="K818">
        <v>0.394630604</v>
      </c>
      <c r="L818">
        <v>0.67100000000000004</v>
      </c>
      <c r="M818">
        <v>4</v>
      </c>
      <c r="N818">
        <v>0.84099999999999997</v>
      </c>
      <c r="O818">
        <v>5</v>
      </c>
      <c r="P818">
        <v>5</v>
      </c>
      <c r="S818" s="166" t="s">
        <v>944</v>
      </c>
    </row>
    <row r="819" spans="1:19" x14ac:dyDescent="0.25">
      <c r="A819" t="s">
        <v>2656</v>
      </c>
      <c r="B819">
        <v>9015905100</v>
      </c>
      <c r="C819" t="s">
        <v>2657</v>
      </c>
      <c r="D819">
        <v>76047</v>
      </c>
      <c r="E819">
        <v>2.62</v>
      </c>
      <c r="F819">
        <v>46981.993499999997</v>
      </c>
      <c r="G819">
        <v>46.981999999999999</v>
      </c>
      <c r="H819">
        <v>0.39700000000000002</v>
      </c>
      <c r="I819">
        <v>2</v>
      </c>
      <c r="J819">
        <v>1301</v>
      </c>
      <c r="K819">
        <v>0.33229752200000001</v>
      </c>
      <c r="L819">
        <v>0.378</v>
      </c>
      <c r="M819">
        <v>2</v>
      </c>
      <c r="N819">
        <v>0.65700000000000003</v>
      </c>
      <c r="O819">
        <v>4</v>
      </c>
      <c r="P819">
        <v>4</v>
      </c>
      <c r="S819" s="164" t="s">
        <v>944</v>
      </c>
    </row>
    <row r="820" spans="1:19" x14ac:dyDescent="0.25">
      <c r="A820" t="s">
        <v>2658</v>
      </c>
      <c r="B820">
        <v>9015906100</v>
      </c>
      <c r="C820" t="s">
        <v>2659</v>
      </c>
      <c r="D820">
        <v>91973</v>
      </c>
      <c r="E820">
        <v>2.65</v>
      </c>
      <c r="F820">
        <v>56498.564780000001</v>
      </c>
      <c r="G820">
        <v>56.499000000000002</v>
      </c>
      <c r="H820">
        <v>0.58799999999999997</v>
      </c>
      <c r="I820">
        <v>3</v>
      </c>
      <c r="J820">
        <v>1465</v>
      </c>
      <c r="K820">
        <v>0.311158347</v>
      </c>
      <c r="L820">
        <v>0.22800000000000001</v>
      </c>
      <c r="M820">
        <v>2</v>
      </c>
      <c r="N820">
        <v>0.50700000000000001</v>
      </c>
      <c r="O820">
        <v>3</v>
      </c>
      <c r="P820">
        <v>3</v>
      </c>
      <c r="S820" s="166" t="s">
        <v>944</v>
      </c>
    </row>
    <row r="821" spans="1:19" x14ac:dyDescent="0.25">
      <c r="A821" t="s">
        <v>2660</v>
      </c>
      <c r="B821">
        <v>9015907100</v>
      </c>
      <c r="C821" t="s">
        <v>2661</v>
      </c>
      <c r="D821">
        <v>72606</v>
      </c>
      <c r="E821">
        <v>2.72</v>
      </c>
      <c r="F821">
        <v>44023.85398</v>
      </c>
      <c r="G821">
        <v>44.024000000000001</v>
      </c>
      <c r="H821">
        <v>0.35099999999999998</v>
      </c>
      <c r="I821">
        <v>2</v>
      </c>
      <c r="J821">
        <v>1283</v>
      </c>
      <c r="K821">
        <v>0.34971949499999999</v>
      </c>
      <c r="L821">
        <v>0.47599999999999998</v>
      </c>
      <c r="M821">
        <v>3</v>
      </c>
      <c r="N821">
        <v>0.67400000000000004</v>
      </c>
      <c r="O821">
        <v>4</v>
      </c>
      <c r="P821">
        <v>4</v>
      </c>
      <c r="S821" s="164" t="s">
        <v>944</v>
      </c>
    </row>
    <row r="822" spans="1:19" x14ac:dyDescent="0.25">
      <c r="A822" t="s">
        <v>2662</v>
      </c>
      <c r="B822">
        <v>9015907200</v>
      </c>
      <c r="C822" t="s">
        <v>2663</v>
      </c>
      <c r="D822">
        <v>65192</v>
      </c>
      <c r="E822">
        <v>2.77</v>
      </c>
      <c r="F822">
        <v>39170.076549999998</v>
      </c>
      <c r="G822">
        <v>39.17</v>
      </c>
      <c r="H822">
        <v>0.28399999999999997</v>
      </c>
      <c r="I822">
        <v>2</v>
      </c>
      <c r="J822">
        <v>1124</v>
      </c>
      <c r="K822">
        <v>0.34434448899999998</v>
      </c>
      <c r="L822">
        <v>0.44500000000000001</v>
      </c>
      <c r="M822">
        <v>3</v>
      </c>
      <c r="N822">
        <v>0.84799999999999998</v>
      </c>
      <c r="O822">
        <v>5</v>
      </c>
      <c r="P822">
        <v>5</v>
      </c>
      <c r="S822" s="166" t="s">
        <v>944</v>
      </c>
    </row>
    <row r="823" spans="1:19" x14ac:dyDescent="0.25">
      <c r="A823" t="s">
        <v>2664</v>
      </c>
      <c r="B823">
        <v>9015907300</v>
      </c>
      <c r="C823" t="s">
        <v>2665</v>
      </c>
      <c r="D823">
        <v>69167</v>
      </c>
      <c r="E823">
        <v>2.5099999999999998</v>
      </c>
      <c r="F823">
        <v>43657.823279999997</v>
      </c>
      <c r="G823">
        <v>43.658000000000001</v>
      </c>
      <c r="H823">
        <v>0.34699999999999998</v>
      </c>
      <c r="I823">
        <v>2</v>
      </c>
      <c r="J823">
        <v>1138</v>
      </c>
      <c r="K823">
        <v>0.31279617199999998</v>
      </c>
      <c r="L823">
        <v>0.24</v>
      </c>
      <c r="M823">
        <v>2</v>
      </c>
      <c r="N823">
        <v>0.82799999999999996</v>
      </c>
      <c r="O823">
        <v>5</v>
      </c>
      <c r="P823">
        <v>5</v>
      </c>
      <c r="S823" s="167" t="s">
        <v>944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E296A-8BCF-4249-8631-96F14B644158}">
  <sheetPr>
    <tabColor theme="8" tint="0.59999389629810485"/>
  </sheetPr>
  <dimension ref="A1:W823"/>
  <sheetViews>
    <sheetView zoomScale="85" zoomScaleNormal="85" workbookViewId="0">
      <selection activeCell="K1" sqref="K1"/>
    </sheetView>
  </sheetViews>
  <sheetFormatPr defaultRowHeight="15" x14ac:dyDescent="0.25"/>
  <cols>
    <col min="1" max="1" width="21.7109375" bestFit="1" customWidth="1"/>
    <col min="2" max="2" width="11" bestFit="1" customWidth="1"/>
    <col min="3" max="3" width="50.85546875" bestFit="1" customWidth="1"/>
    <col min="4" max="4" width="16.28515625" customWidth="1"/>
    <col min="5" max="5" width="18.7109375" customWidth="1"/>
    <col min="6" max="7" width="22.140625" customWidth="1"/>
    <col min="8" max="8" width="12" customWidth="1"/>
    <col min="9" max="9" width="13.7109375" customWidth="1"/>
    <col min="10" max="10" width="18.5703125" customWidth="1"/>
    <col min="11" max="11" width="13.140625" customWidth="1"/>
    <col min="14" max="14" width="16.42578125" customWidth="1"/>
    <col min="15" max="15" width="18.7109375" customWidth="1"/>
    <col min="16" max="16" width="22.140625" customWidth="1"/>
    <col min="20" max="20" width="17.85546875" bestFit="1" customWidth="1"/>
    <col min="22" max="22" width="50.85546875" bestFit="1" customWidth="1"/>
    <col min="23" max="23" width="12" bestFit="1" customWidth="1"/>
  </cols>
  <sheetData>
    <row r="1" spans="1:23" ht="48" customHeight="1" x14ac:dyDescent="0.25">
      <c r="A1" s="153" t="s">
        <v>1002</v>
      </c>
      <c r="B1" s="153" t="s">
        <v>1003</v>
      </c>
      <c r="C1" s="153" t="s">
        <v>1004</v>
      </c>
      <c r="D1" s="158" t="s">
        <v>2666</v>
      </c>
      <c r="E1" s="158" t="s">
        <v>2667</v>
      </c>
      <c r="F1" s="158" t="s">
        <v>2668</v>
      </c>
      <c r="G1" s="158" t="s">
        <v>2669</v>
      </c>
      <c r="H1" s="159" t="s">
        <v>2670</v>
      </c>
      <c r="I1" s="159" t="s">
        <v>2671</v>
      </c>
      <c r="J1" s="159" t="s">
        <v>2672</v>
      </c>
      <c r="K1" s="159" t="s">
        <v>2673</v>
      </c>
      <c r="N1" s="162" t="s">
        <v>2674</v>
      </c>
      <c r="O1" s="163" t="s">
        <v>2675</v>
      </c>
      <c r="Q1" s="157"/>
      <c r="T1" s="156" t="s">
        <v>2676</v>
      </c>
      <c r="V1" s="154" t="s">
        <v>2677</v>
      </c>
      <c r="W1" s="156"/>
    </row>
    <row r="2" spans="1:23" x14ac:dyDescent="0.25">
      <c r="A2" t="s">
        <v>1021</v>
      </c>
      <c r="B2">
        <v>9001010101</v>
      </c>
      <c r="C2" t="s">
        <v>1022</v>
      </c>
      <c r="D2">
        <v>4476</v>
      </c>
      <c r="E2">
        <v>12.64385742</v>
      </c>
      <c r="F2">
        <v>354.00589000000002</v>
      </c>
      <c r="G2">
        <v>1</v>
      </c>
      <c r="H2">
        <v>281</v>
      </c>
      <c r="I2">
        <v>6.7629362210000004</v>
      </c>
      <c r="J2">
        <v>0.218</v>
      </c>
      <c r="K2">
        <f>IF(J2&lt;0.2,1,IF(J2&lt;0.4,2,IF(J2&lt;0.6,3,IF(J2&lt;0.8,4,5))))</f>
        <v>2</v>
      </c>
      <c r="N2">
        <v>1.5</v>
      </c>
      <c r="O2">
        <v>2</v>
      </c>
      <c r="V2" s="155" t="s">
        <v>2678</v>
      </c>
    </row>
    <row r="3" spans="1:23" x14ac:dyDescent="0.25">
      <c r="A3" t="s">
        <v>1024</v>
      </c>
      <c r="B3">
        <v>9001010102</v>
      </c>
      <c r="C3" t="s">
        <v>1025</v>
      </c>
      <c r="D3">
        <v>4330</v>
      </c>
      <c r="E3">
        <v>12.57991195</v>
      </c>
      <c r="F3">
        <v>344.19954739999997</v>
      </c>
      <c r="G3">
        <v>1</v>
      </c>
      <c r="H3">
        <v>523</v>
      </c>
      <c r="I3">
        <v>12.02022524</v>
      </c>
      <c r="J3">
        <v>0.48499999999999999</v>
      </c>
      <c r="K3">
        <f t="shared" ref="K3:K66" si="0">IF(J3&lt;0.2,1,IF(J3&lt;0.4,2,IF(J3&lt;0.6,3,IF(J3&lt;0.8,4,5))))</f>
        <v>3</v>
      </c>
      <c r="N3">
        <v>2</v>
      </c>
      <c r="O3">
        <v>2</v>
      </c>
      <c r="V3" t="s">
        <v>2679</v>
      </c>
    </row>
    <row r="4" spans="1:23" x14ac:dyDescent="0.25">
      <c r="A4" t="s">
        <v>1026</v>
      </c>
      <c r="B4">
        <v>9001010201</v>
      </c>
      <c r="C4" t="s">
        <v>1027</v>
      </c>
      <c r="D4">
        <v>3421</v>
      </c>
      <c r="E4">
        <v>4.3448548799999998</v>
      </c>
      <c r="F4">
        <v>787.36806979999994</v>
      </c>
      <c r="G4">
        <v>1</v>
      </c>
      <c r="H4">
        <v>364</v>
      </c>
      <c r="I4">
        <v>10.441767069999999</v>
      </c>
      <c r="J4">
        <v>0.40400000000000003</v>
      </c>
      <c r="K4">
        <f t="shared" si="0"/>
        <v>3</v>
      </c>
      <c r="N4">
        <v>2</v>
      </c>
      <c r="O4">
        <v>2</v>
      </c>
    </row>
    <row r="5" spans="1:23" x14ac:dyDescent="0.25">
      <c r="A5" t="s">
        <v>1028</v>
      </c>
      <c r="B5">
        <v>9001010202</v>
      </c>
      <c r="C5" t="s">
        <v>1029</v>
      </c>
      <c r="D5">
        <v>5359</v>
      </c>
      <c r="E5">
        <v>3.761120129</v>
      </c>
      <c r="F5">
        <v>1424.841488</v>
      </c>
      <c r="G5">
        <v>1</v>
      </c>
      <c r="H5">
        <v>1002</v>
      </c>
      <c r="I5">
        <v>18.771075310000001</v>
      </c>
      <c r="J5">
        <v>0.71199999999999997</v>
      </c>
      <c r="K5">
        <f t="shared" si="0"/>
        <v>4</v>
      </c>
      <c r="N5">
        <v>2.5</v>
      </c>
      <c r="O5">
        <v>3</v>
      </c>
    </row>
    <row r="6" spans="1:23" x14ac:dyDescent="0.25">
      <c r="A6" t="s">
        <v>1030</v>
      </c>
      <c r="B6">
        <v>9001010300</v>
      </c>
      <c r="C6" t="s">
        <v>1031</v>
      </c>
      <c r="D6">
        <v>4010</v>
      </c>
      <c r="E6">
        <v>3.7096654500000001</v>
      </c>
      <c r="F6">
        <v>1080.9600089999999</v>
      </c>
      <c r="G6">
        <v>1</v>
      </c>
      <c r="H6">
        <v>382</v>
      </c>
      <c r="I6">
        <v>10.10582011</v>
      </c>
      <c r="J6">
        <v>0.38700000000000001</v>
      </c>
      <c r="K6">
        <f t="shared" si="0"/>
        <v>2</v>
      </c>
      <c r="N6">
        <v>1.5</v>
      </c>
      <c r="O6">
        <v>2</v>
      </c>
    </row>
    <row r="7" spans="1:23" x14ac:dyDescent="0.25">
      <c r="A7" t="s">
        <v>1032</v>
      </c>
      <c r="B7">
        <v>9001010400</v>
      </c>
      <c r="C7" t="s">
        <v>1033</v>
      </c>
      <c r="D7">
        <v>5290</v>
      </c>
      <c r="E7">
        <v>1.0417399620000001</v>
      </c>
      <c r="F7">
        <v>5078.042692</v>
      </c>
      <c r="G7">
        <v>1</v>
      </c>
      <c r="H7">
        <v>622</v>
      </c>
      <c r="I7">
        <v>10.72598724</v>
      </c>
      <c r="J7">
        <v>0.41299999999999998</v>
      </c>
      <c r="K7">
        <f t="shared" si="0"/>
        <v>3</v>
      </c>
      <c r="N7">
        <v>2</v>
      </c>
      <c r="O7">
        <v>2</v>
      </c>
    </row>
    <row r="8" spans="1:23" x14ac:dyDescent="0.25">
      <c r="A8" t="s">
        <v>1034</v>
      </c>
      <c r="B8">
        <v>9001010500</v>
      </c>
      <c r="C8" t="s">
        <v>1035</v>
      </c>
      <c r="D8">
        <v>5494</v>
      </c>
      <c r="E8">
        <v>0.70141483299999996</v>
      </c>
      <c r="F8">
        <v>7832.7399750000004</v>
      </c>
      <c r="G8">
        <v>1</v>
      </c>
      <c r="H8">
        <v>876</v>
      </c>
      <c r="I8">
        <v>14.897959180000001</v>
      </c>
      <c r="J8">
        <v>0.59</v>
      </c>
      <c r="K8">
        <f t="shared" si="0"/>
        <v>3</v>
      </c>
      <c r="N8">
        <v>2.5</v>
      </c>
      <c r="O8">
        <v>3</v>
      </c>
    </row>
    <row r="9" spans="1:23" x14ac:dyDescent="0.25">
      <c r="A9" t="s">
        <v>1036</v>
      </c>
      <c r="B9">
        <v>9001010600</v>
      </c>
      <c r="C9" t="s">
        <v>1037</v>
      </c>
      <c r="D9">
        <v>1845</v>
      </c>
      <c r="E9">
        <v>0.34099849100000001</v>
      </c>
      <c r="F9">
        <v>5410.581126</v>
      </c>
      <c r="G9">
        <v>1</v>
      </c>
      <c r="H9">
        <v>284</v>
      </c>
      <c r="I9">
        <v>13.773035889999999</v>
      </c>
      <c r="J9">
        <v>0.56000000000000005</v>
      </c>
      <c r="K9">
        <f t="shared" si="0"/>
        <v>3</v>
      </c>
      <c r="N9">
        <v>2</v>
      </c>
      <c r="O9">
        <v>2</v>
      </c>
    </row>
    <row r="10" spans="1:23" x14ac:dyDescent="0.25">
      <c r="A10" t="s">
        <v>1038</v>
      </c>
      <c r="B10">
        <v>9001010700</v>
      </c>
      <c r="C10" t="s">
        <v>1039</v>
      </c>
      <c r="D10">
        <v>3579</v>
      </c>
      <c r="E10">
        <v>0.71631142699999995</v>
      </c>
      <c r="F10">
        <v>4996.4301359999999</v>
      </c>
      <c r="G10">
        <v>1</v>
      </c>
      <c r="H10">
        <v>526</v>
      </c>
      <c r="I10">
        <v>14.59084605</v>
      </c>
      <c r="J10">
        <v>0.58299999999999996</v>
      </c>
      <c r="K10">
        <f t="shared" si="0"/>
        <v>3</v>
      </c>
      <c r="N10">
        <v>3.5</v>
      </c>
      <c r="O10">
        <v>4</v>
      </c>
    </row>
    <row r="11" spans="1:23" x14ac:dyDescent="0.25">
      <c r="A11" t="s">
        <v>1040</v>
      </c>
      <c r="B11">
        <v>9001010800</v>
      </c>
      <c r="C11" t="s">
        <v>1041</v>
      </c>
      <c r="D11">
        <v>3388</v>
      </c>
      <c r="E11">
        <v>0.75104402000000003</v>
      </c>
      <c r="F11">
        <v>4511.0538239999996</v>
      </c>
      <c r="G11">
        <v>1</v>
      </c>
      <c r="H11">
        <v>421</v>
      </c>
      <c r="I11">
        <v>11.85581526</v>
      </c>
      <c r="J11">
        <v>0.47299999999999998</v>
      </c>
      <c r="K11">
        <f t="shared" si="0"/>
        <v>3</v>
      </c>
      <c r="N11">
        <v>2</v>
      </c>
      <c r="O11">
        <v>2</v>
      </c>
    </row>
    <row r="12" spans="1:23" x14ac:dyDescent="0.25">
      <c r="A12" t="s">
        <v>1042</v>
      </c>
      <c r="B12">
        <v>9001010900</v>
      </c>
      <c r="C12" t="s">
        <v>1043</v>
      </c>
      <c r="D12">
        <v>4870</v>
      </c>
      <c r="E12">
        <v>0.99412352500000001</v>
      </c>
      <c r="F12">
        <v>4898.7876029999998</v>
      </c>
      <c r="G12">
        <v>1</v>
      </c>
      <c r="H12">
        <v>1291</v>
      </c>
      <c r="I12">
        <v>24.42762535</v>
      </c>
      <c r="J12">
        <v>0.81499999999999995</v>
      </c>
      <c r="K12">
        <f>IF(J12&lt;0.2,1,IF(J12&lt;0.4,2,IF(J12&lt;0.6,3,IF(J12&lt;0.8,4,5))))</f>
        <v>5</v>
      </c>
      <c r="N12">
        <v>3</v>
      </c>
      <c r="O12">
        <v>3</v>
      </c>
    </row>
    <row r="13" spans="1:23" x14ac:dyDescent="0.25">
      <c r="A13" t="s">
        <v>1044</v>
      </c>
      <c r="B13">
        <v>9001011000</v>
      </c>
      <c r="C13" t="s">
        <v>1045</v>
      </c>
      <c r="D13">
        <v>5263</v>
      </c>
      <c r="E13">
        <v>1.7178944460000001</v>
      </c>
      <c r="F13">
        <v>3063.6340970000001</v>
      </c>
      <c r="G13">
        <v>1</v>
      </c>
      <c r="H13">
        <v>543</v>
      </c>
      <c r="I13">
        <v>9.776737486</v>
      </c>
      <c r="J13">
        <v>0.373</v>
      </c>
      <c r="K13">
        <f t="shared" si="0"/>
        <v>2</v>
      </c>
      <c r="N13">
        <v>1.5</v>
      </c>
      <c r="O13">
        <v>2</v>
      </c>
    </row>
    <row r="14" spans="1:23" x14ac:dyDescent="0.25">
      <c r="A14" t="s">
        <v>1046</v>
      </c>
      <c r="B14">
        <v>9001011100</v>
      </c>
      <c r="C14" t="s">
        <v>1047</v>
      </c>
      <c r="D14">
        <v>4894</v>
      </c>
      <c r="E14">
        <v>1.69091517</v>
      </c>
      <c r="F14">
        <v>2894.290669</v>
      </c>
      <c r="G14">
        <v>1</v>
      </c>
      <c r="H14">
        <v>514</v>
      </c>
      <c r="I14">
        <v>11.152093730000001</v>
      </c>
      <c r="J14">
        <v>0.433</v>
      </c>
      <c r="K14">
        <f t="shared" si="0"/>
        <v>3</v>
      </c>
      <c r="N14">
        <v>2</v>
      </c>
      <c r="O14">
        <v>2</v>
      </c>
    </row>
    <row r="15" spans="1:23" x14ac:dyDescent="0.25">
      <c r="A15" t="s">
        <v>1048</v>
      </c>
      <c r="B15">
        <v>9001011200</v>
      </c>
      <c r="C15" t="s">
        <v>1049</v>
      </c>
      <c r="D15">
        <v>1733</v>
      </c>
      <c r="E15">
        <v>1.885313368</v>
      </c>
      <c r="F15">
        <v>919.2105828</v>
      </c>
      <c r="G15">
        <v>1</v>
      </c>
      <c r="H15">
        <v>373</v>
      </c>
      <c r="I15">
        <v>21.73659674</v>
      </c>
      <c r="J15">
        <v>0.77800000000000002</v>
      </c>
      <c r="K15">
        <f t="shared" si="0"/>
        <v>4</v>
      </c>
      <c r="N15">
        <v>2.5</v>
      </c>
      <c r="O15">
        <v>3</v>
      </c>
    </row>
    <row r="16" spans="1:23" x14ac:dyDescent="0.25">
      <c r="A16" t="s">
        <v>1050</v>
      </c>
      <c r="B16">
        <v>9001011300</v>
      </c>
      <c r="C16" t="s">
        <v>1051</v>
      </c>
      <c r="D16">
        <v>3219</v>
      </c>
      <c r="E16">
        <v>0.74289340299999995</v>
      </c>
      <c r="F16">
        <v>4333.0577249999997</v>
      </c>
      <c r="G16">
        <v>1</v>
      </c>
      <c r="H16">
        <v>902</v>
      </c>
      <c r="I16">
        <v>26.405152220000002</v>
      </c>
      <c r="J16">
        <v>0.85099999999999998</v>
      </c>
      <c r="K16">
        <f t="shared" si="0"/>
        <v>5</v>
      </c>
      <c r="N16">
        <v>3.5</v>
      </c>
      <c r="O16">
        <v>4</v>
      </c>
    </row>
    <row r="17" spans="1:15" x14ac:dyDescent="0.25">
      <c r="A17" t="s">
        <v>1052</v>
      </c>
      <c r="B17">
        <v>9001020100</v>
      </c>
      <c r="C17" t="s">
        <v>1053</v>
      </c>
      <c r="D17">
        <v>3523</v>
      </c>
      <c r="E17">
        <v>0.36254222000000003</v>
      </c>
      <c r="F17">
        <v>9717.4888969999993</v>
      </c>
      <c r="G17">
        <v>1</v>
      </c>
      <c r="H17">
        <v>1141</v>
      </c>
      <c r="I17">
        <v>20.989698310000001</v>
      </c>
      <c r="J17">
        <v>0.76100000000000001</v>
      </c>
      <c r="K17">
        <f t="shared" si="0"/>
        <v>4</v>
      </c>
      <c r="N17">
        <v>3.5</v>
      </c>
      <c r="O17">
        <v>4</v>
      </c>
    </row>
    <row r="18" spans="1:15" x14ac:dyDescent="0.25">
      <c r="A18" t="s">
        <v>1054</v>
      </c>
      <c r="B18">
        <v>9001020200</v>
      </c>
      <c r="C18" t="s">
        <v>1055</v>
      </c>
      <c r="D18">
        <v>3687</v>
      </c>
      <c r="E18">
        <v>7.2670525890000004</v>
      </c>
      <c r="F18">
        <v>507.35837600000002</v>
      </c>
      <c r="G18">
        <v>1</v>
      </c>
      <c r="H18">
        <v>551</v>
      </c>
      <c r="I18">
        <v>15.54740406</v>
      </c>
      <c r="J18">
        <v>0.61199999999999999</v>
      </c>
      <c r="K18">
        <f t="shared" si="0"/>
        <v>4</v>
      </c>
      <c r="N18">
        <v>2.5</v>
      </c>
      <c r="O18">
        <v>3</v>
      </c>
    </row>
    <row r="19" spans="1:15" x14ac:dyDescent="0.25">
      <c r="A19" t="s">
        <v>1056</v>
      </c>
      <c r="B19">
        <v>9001020300</v>
      </c>
      <c r="C19" t="s">
        <v>1057</v>
      </c>
      <c r="D19">
        <v>7263</v>
      </c>
      <c r="E19">
        <v>7.601713213</v>
      </c>
      <c r="F19">
        <v>955.44251629999997</v>
      </c>
      <c r="G19">
        <v>1</v>
      </c>
      <c r="H19">
        <v>793</v>
      </c>
      <c r="I19">
        <v>11.344778249999999</v>
      </c>
      <c r="J19">
        <v>0.443</v>
      </c>
      <c r="K19">
        <f t="shared" si="0"/>
        <v>3</v>
      </c>
      <c r="N19">
        <v>2</v>
      </c>
      <c r="O19">
        <v>2</v>
      </c>
    </row>
    <row r="20" spans="1:15" x14ac:dyDescent="0.25">
      <c r="A20" t="s">
        <v>1058</v>
      </c>
      <c r="B20">
        <v>9001020400</v>
      </c>
      <c r="C20" t="s">
        <v>1059</v>
      </c>
      <c r="D20">
        <v>3586</v>
      </c>
      <c r="E20">
        <v>3.6117715600000002</v>
      </c>
      <c r="F20">
        <v>992.86456520000002</v>
      </c>
      <c r="G20">
        <v>1</v>
      </c>
      <c r="H20">
        <v>694</v>
      </c>
      <c r="I20">
        <v>19.527293190000002</v>
      </c>
      <c r="J20">
        <v>0.72599999999999998</v>
      </c>
      <c r="K20">
        <f t="shared" si="0"/>
        <v>4</v>
      </c>
      <c r="N20">
        <v>2.5</v>
      </c>
      <c r="O20">
        <v>3</v>
      </c>
    </row>
    <row r="21" spans="1:15" x14ac:dyDescent="0.25">
      <c r="A21" t="s">
        <v>1060</v>
      </c>
      <c r="B21">
        <v>9001020500</v>
      </c>
      <c r="C21" t="s">
        <v>1061</v>
      </c>
      <c r="D21">
        <v>4896</v>
      </c>
      <c r="E21">
        <v>3.782704013</v>
      </c>
      <c r="F21">
        <v>1294.3122129999999</v>
      </c>
      <c r="G21">
        <v>1</v>
      </c>
      <c r="H21">
        <v>561</v>
      </c>
      <c r="I21">
        <v>11.48178469</v>
      </c>
      <c r="J21">
        <v>0.45500000000000002</v>
      </c>
      <c r="K21">
        <f t="shared" si="0"/>
        <v>3</v>
      </c>
      <c r="N21">
        <v>2</v>
      </c>
      <c r="O21">
        <v>2</v>
      </c>
    </row>
    <row r="22" spans="1:15" x14ac:dyDescent="0.25">
      <c r="A22" t="s">
        <v>1062</v>
      </c>
      <c r="B22">
        <v>9001020600</v>
      </c>
      <c r="C22" t="s">
        <v>1063</v>
      </c>
      <c r="D22">
        <v>4952</v>
      </c>
      <c r="E22">
        <v>1.379936123</v>
      </c>
      <c r="F22">
        <v>3588.571903</v>
      </c>
      <c r="G22">
        <v>1</v>
      </c>
      <c r="H22">
        <v>1015</v>
      </c>
      <c r="I22">
        <v>19.52298519</v>
      </c>
      <c r="J22">
        <v>0.72599999999999998</v>
      </c>
      <c r="K22">
        <f t="shared" si="0"/>
        <v>4</v>
      </c>
      <c r="N22">
        <v>2.5</v>
      </c>
      <c r="O22">
        <v>3</v>
      </c>
    </row>
    <row r="23" spans="1:15" x14ac:dyDescent="0.25">
      <c r="A23" t="s">
        <v>1064</v>
      </c>
      <c r="B23">
        <v>9001020700</v>
      </c>
      <c r="C23" t="s">
        <v>1065</v>
      </c>
      <c r="D23">
        <v>4352</v>
      </c>
      <c r="E23">
        <v>2.2411497659999999</v>
      </c>
      <c r="F23">
        <v>1941.8604089999999</v>
      </c>
      <c r="G23">
        <v>1</v>
      </c>
      <c r="H23">
        <v>419</v>
      </c>
      <c r="I23">
        <v>10.272125519999999</v>
      </c>
      <c r="J23">
        <v>0.4</v>
      </c>
      <c r="K23">
        <f t="shared" si="0"/>
        <v>3</v>
      </c>
      <c r="N23">
        <v>1.5</v>
      </c>
      <c r="O23">
        <v>2</v>
      </c>
    </row>
    <row r="24" spans="1:15" x14ac:dyDescent="0.25">
      <c r="A24" t="s">
        <v>1066</v>
      </c>
      <c r="B24">
        <v>9001020800</v>
      </c>
      <c r="C24" t="s">
        <v>1067</v>
      </c>
      <c r="D24">
        <v>2939</v>
      </c>
      <c r="E24">
        <v>0.89402537800000004</v>
      </c>
      <c r="F24">
        <v>3287.3787179999999</v>
      </c>
      <c r="G24">
        <v>1</v>
      </c>
      <c r="H24">
        <v>438</v>
      </c>
      <c r="I24">
        <v>16.472358029999999</v>
      </c>
      <c r="J24">
        <v>0.64500000000000002</v>
      </c>
      <c r="K24">
        <f t="shared" si="0"/>
        <v>4</v>
      </c>
      <c r="N24">
        <v>2.5</v>
      </c>
      <c r="O24">
        <v>3</v>
      </c>
    </row>
    <row r="25" spans="1:15" x14ac:dyDescent="0.25">
      <c r="A25" t="s">
        <v>1068</v>
      </c>
      <c r="B25">
        <v>9001020900</v>
      </c>
      <c r="C25" t="s">
        <v>1069</v>
      </c>
      <c r="D25">
        <v>4906</v>
      </c>
      <c r="E25">
        <v>0.65956135699999996</v>
      </c>
      <c r="F25">
        <v>7438.2768910000004</v>
      </c>
      <c r="G25">
        <v>1</v>
      </c>
      <c r="H25">
        <v>963</v>
      </c>
      <c r="I25">
        <v>20.515551769999998</v>
      </c>
      <c r="J25">
        <v>0.753</v>
      </c>
      <c r="K25">
        <f t="shared" si="0"/>
        <v>4</v>
      </c>
      <c r="N25">
        <v>3.5</v>
      </c>
      <c r="O25">
        <v>4</v>
      </c>
    </row>
    <row r="26" spans="1:15" x14ac:dyDescent="0.25">
      <c r="A26" t="s">
        <v>1070</v>
      </c>
      <c r="B26">
        <v>9001021000</v>
      </c>
      <c r="C26" t="s">
        <v>1071</v>
      </c>
      <c r="D26">
        <v>3499</v>
      </c>
      <c r="E26">
        <v>0.73690341400000003</v>
      </c>
      <c r="F26">
        <v>4748.2477790000003</v>
      </c>
      <c r="G26">
        <v>1</v>
      </c>
      <c r="H26">
        <v>521</v>
      </c>
      <c r="I26">
        <v>15.65975353</v>
      </c>
      <c r="J26">
        <v>0.61599999999999999</v>
      </c>
      <c r="K26">
        <f t="shared" si="0"/>
        <v>4</v>
      </c>
      <c r="N26">
        <v>2.5</v>
      </c>
      <c r="O26">
        <v>3</v>
      </c>
    </row>
    <row r="27" spans="1:15" x14ac:dyDescent="0.25">
      <c r="A27" t="s">
        <v>1072</v>
      </c>
      <c r="B27">
        <v>9001021100</v>
      </c>
      <c r="C27" t="s">
        <v>1073</v>
      </c>
      <c r="D27">
        <v>5976</v>
      </c>
      <c r="E27">
        <v>0.71774579699999996</v>
      </c>
      <c r="F27">
        <v>8326.0675699999993</v>
      </c>
      <c r="G27">
        <v>1</v>
      </c>
      <c r="H27">
        <v>989</v>
      </c>
      <c r="I27">
        <v>15.17802333</v>
      </c>
      <c r="J27">
        <v>0.60399999999999998</v>
      </c>
      <c r="K27">
        <f t="shared" si="0"/>
        <v>4</v>
      </c>
      <c r="N27">
        <v>3</v>
      </c>
      <c r="O27">
        <v>3</v>
      </c>
    </row>
    <row r="28" spans="1:15" x14ac:dyDescent="0.25">
      <c r="A28" t="s">
        <v>1074</v>
      </c>
      <c r="B28">
        <v>9001021200</v>
      </c>
      <c r="C28" t="s">
        <v>1075</v>
      </c>
      <c r="D28">
        <v>4177</v>
      </c>
      <c r="E28">
        <v>0.923928219</v>
      </c>
      <c r="F28">
        <v>4520.9139779999996</v>
      </c>
      <c r="G28">
        <v>1</v>
      </c>
      <c r="H28">
        <v>732</v>
      </c>
      <c r="I28">
        <v>17.341862119999998</v>
      </c>
      <c r="J28">
        <v>0.66700000000000004</v>
      </c>
      <c r="K28">
        <f t="shared" si="0"/>
        <v>4</v>
      </c>
      <c r="N28">
        <v>2.5</v>
      </c>
      <c r="O28">
        <v>3</v>
      </c>
    </row>
    <row r="29" spans="1:15" x14ac:dyDescent="0.25">
      <c r="A29" t="s">
        <v>1076</v>
      </c>
      <c r="B29">
        <v>9001021300</v>
      </c>
      <c r="C29" t="s">
        <v>1077</v>
      </c>
      <c r="D29">
        <v>4422</v>
      </c>
      <c r="E29">
        <v>0.81323040899999999</v>
      </c>
      <c r="F29">
        <v>5437.5733520000003</v>
      </c>
      <c r="G29">
        <v>1</v>
      </c>
      <c r="H29">
        <v>812</v>
      </c>
      <c r="I29">
        <v>18.670958840000001</v>
      </c>
      <c r="J29">
        <v>0.71</v>
      </c>
      <c r="K29">
        <f t="shared" si="0"/>
        <v>4</v>
      </c>
      <c r="N29">
        <v>3</v>
      </c>
      <c r="O29">
        <v>3</v>
      </c>
    </row>
    <row r="30" spans="1:15" x14ac:dyDescent="0.25">
      <c r="A30" t="s">
        <v>1078</v>
      </c>
      <c r="B30">
        <v>9001021400</v>
      </c>
      <c r="C30" t="s">
        <v>1079</v>
      </c>
      <c r="D30">
        <v>6690</v>
      </c>
      <c r="E30">
        <v>0.63447745700000002</v>
      </c>
      <c r="F30">
        <v>10544.109839999999</v>
      </c>
      <c r="G30">
        <v>1</v>
      </c>
      <c r="H30">
        <v>1633</v>
      </c>
      <c r="I30">
        <v>22.4993111</v>
      </c>
      <c r="J30">
        <v>0.79200000000000004</v>
      </c>
      <c r="K30">
        <f t="shared" si="0"/>
        <v>4</v>
      </c>
      <c r="N30">
        <v>4</v>
      </c>
      <c r="O30">
        <v>4</v>
      </c>
    </row>
    <row r="31" spans="1:15" x14ac:dyDescent="0.25">
      <c r="A31" t="s">
        <v>1080</v>
      </c>
      <c r="B31">
        <v>9001021500</v>
      </c>
      <c r="C31" t="s">
        <v>1081</v>
      </c>
      <c r="D31">
        <v>6303</v>
      </c>
      <c r="E31">
        <v>0.29565851300000001</v>
      </c>
      <c r="F31">
        <v>21318.51352</v>
      </c>
      <c r="G31">
        <v>1</v>
      </c>
      <c r="H31">
        <v>2321</v>
      </c>
      <c r="I31">
        <v>35.873261210000003</v>
      </c>
      <c r="J31">
        <v>0.94099999999999995</v>
      </c>
      <c r="K31">
        <f t="shared" si="0"/>
        <v>5</v>
      </c>
      <c r="N31">
        <v>4.5</v>
      </c>
      <c r="O31">
        <v>5</v>
      </c>
    </row>
    <row r="32" spans="1:15" x14ac:dyDescent="0.25">
      <c r="A32" t="s">
        <v>1082</v>
      </c>
      <c r="B32">
        <v>9001021600</v>
      </c>
      <c r="C32" t="s">
        <v>1083</v>
      </c>
      <c r="D32">
        <v>7151</v>
      </c>
      <c r="E32">
        <v>0.31206708300000002</v>
      </c>
      <c r="F32">
        <v>22914.944869999999</v>
      </c>
      <c r="G32">
        <v>1</v>
      </c>
      <c r="H32">
        <v>3855</v>
      </c>
      <c r="I32">
        <v>50.683670790000001</v>
      </c>
      <c r="J32">
        <v>0.99199999999999999</v>
      </c>
      <c r="K32">
        <f t="shared" si="0"/>
        <v>5</v>
      </c>
      <c r="N32">
        <v>3.5</v>
      </c>
      <c r="O32">
        <v>4</v>
      </c>
    </row>
    <row r="33" spans="1:15" x14ac:dyDescent="0.25">
      <c r="A33" t="s">
        <v>1084</v>
      </c>
      <c r="B33">
        <v>9001021700</v>
      </c>
      <c r="C33" t="s">
        <v>1085</v>
      </c>
      <c r="D33">
        <v>7354</v>
      </c>
      <c r="E33">
        <v>0.297838832</v>
      </c>
      <c r="F33">
        <v>24691.206180000001</v>
      </c>
      <c r="G33">
        <v>1</v>
      </c>
      <c r="H33">
        <v>1989</v>
      </c>
      <c r="I33">
        <v>26.76985195</v>
      </c>
      <c r="J33">
        <v>0.85499999999999998</v>
      </c>
      <c r="K33">
        <f t="shared" si="0"/>
        <v>5</v>
      </c>
      <c r="N33">
        <v>3.5</v>
      </c>
      <c r="O33">
        <v>4</v>
      </c>
    </row>
    <row r="34" spans="1:15" x14ac:dyDescent="0.25">
      <c r="A34" t="s">
        <v>1086</v>
      </c>
      <c r="B34">
        <v>9001021801</v>
      </c>
      <c r="C34" t="s">
        <v>1087</v>
      </c>
      <c r="D34">
        <v>4334</v>
      </c>
      <c r="E34">
        <v>0.379816818</v>
      </c>
      <c r="F34">
        <v>11410.76382</v>
      </c>
      <c r="G34">
        <v>1</v>
      </c>
      <c r="H34">
        <v>1454</v>
      </c>
      <c r="I34">
        <v>31.608695650000001</v>
      </c>
      <c r="J34">
        <v>0.90600000000000003</v>
      </c>
      <c r="K34">
        <f t="shared" si="0"/>
        <v>5</v>
      </c>
      <c r="N34">
        <v>3.5</v>
      </c>
      <c r="O34">
        <v>4</v>
      </c>
    </row>
    <row r="35" spans="1:15" x14ac:dyDescent="0.25">
      <c r="A35" t="s">
        <v>1088</v>
      </c>
      <c r="B35">
        <v>9001021802</v>
      </c>
      <c r="C35" t="s">
        <v>1089</v>
      </c>
      <c r="D35">
        <v>5408</v>
      </c>
      <c r="E35">
        <v>0.55309136599999997</v>
      </c>
      <c r="F35">
        <v>9777.7697059999991</v>
      </c>
      <c r="G35">
        <v>1</v>
      </c>
      <c r="H35">
        <v>2075</v>
      </c>
      <c r="I35">
        <v>39.396240740000003</v>
      </c>
      <c r="J35">
        <v>0.96299999999999997</v>
      </c>
      <c r="K35">
        <f t="shared" si="0"/>
        <v>5</v>
      </c>
      <c r="N35">
        <v>4</v>
      </c>
      <c r="O35">
        <v>4</v>
      </c>
    </row>
    <row r="36" spans="1:15" x14ac:dyDescent="0.25">
      <c r="A36" t="s">
        <v>1090</v>
      </c>
      <c r="B36">
        <v>9001021900</v>
      </c>
      <c r="C36" t="s">
        <v>1091</v>
      </c>
      <c r="D36">
        <v>5713</v>
      </c>
      <c r="E36">
        <v>0.83050307599999995</v>
      </c>
      <c r="F36">
        <v>6878.9630850000003</v>
      </c>
      <c r="G36">
        <v>1</v>
      </c>
      <c r="H36">
        <v>1352</v>
      </c>
      <c r="I36">
        <v>21.859337109999998</v>
      </c>
      <c r="J36">
        <v>0.78600000000000003</v>
      </c>
      <c r="K36">
        <f t="shared" si="0"/>
        <v>4</v>
      </c>
      <c r="N36">
        <v>3.5</v>
      </c>
      <c r="O36">
        <v>4</v>
      </c>
    </row>
    <row r="37" spans="1:15" x14ac:dyDescent="0.25">
      <c r="A37" t="s">
        <v>1092</v>
      </c>
      <c r="B37">
        <v>9001022000</v>
      </c>
      <c r="C37" t="s">
        <v>1093</v>
      </c>
      <c r="D37">
        <v>2959</v>
      </c>
      <c r="E37">
        <v>0.28449398199999998</v>
      </c>
      <c r="F37">
        <v>10400.922989999999</v>
      </c>
      <c r="G37">
        <v>1</v>
      </c>
      <c r="H37">
        <v>560</v>
      </c>
      <c r="I37">
        <v>19.217570349999999</v>
      </c>
      <c r="J37">
        <v>0.72399999999999998</v>
      </c>
      <c r="K37">
        <f t="shared" si="0"/>
        <v>4</v>
      </c>
      <c r="N37">
        <v>3.5</v>
      </c>
      <c r="O37">
        <v>4</v>
      </c>
    </row>
    <row r="38" spans="1:15" x14ac:dyDescent="0.25">
      <c r="A38" t="s">
        <v>1094</v>
      </c>
      <c r="B38">
        <v>9001022100</v>
      </c>
      <c r="C38" t="s">
        <v>1095</v>
      </c>
      <c r="D38">
        <v>7213</v>
      </c>
      <c r="E38">
        <v>0.77745070599999999</v>
      </c>
      <c r="F38">
        <v>9277.7586300000003</v>
      </c>
      <c r="G38">
        <v>1</v>
      </c>
      <c r="H38">
        <v>2424</v>
      </c>
      <c r="I38">
        <v>29.745981100000002</v>
      </c>
      <c r="J38">
        <v>0.89100000000000001</v>
      </c>
      <c r="K38">
        <f t="shared" si="0"/>
        <v>5</v>
      </c>
      <c r="N38">
        <v>4</v>
      </c>
      <c r="O38">
        <v>4</v>
      </c>
    </row>
    <row r="39" spans="1:15" x14ac:dyDescent="0.25">
      <c r="A39" t="s">
        <v>1096</v>
      </c>
      <c r="B39">
        <v>9001022200</v>
      </c>
      <c r="C39" t="s">
        <v>1097</v>
      </c>
      <c r="D39">
        <v>3186</v>
      </c>
      <c r="E39">
        <v>0.55810142699999998</v>
      </c>
      <c r="F39">
        <v>5708.6397619999998</v>
      </c>
      <c r="G39">
        <v>1</v>
      </c>
      <c r="H39">
        <v>1696</v>
      </c>
      <c r="I39">
        <v>25.822168090000002</v>
      </c>
      <c r="J39">
        <v>0.84799999999999998</v>
      </c>
      <c r="K39">
        <f t="shared" si="0"/>
        <v>5</v>
      </c>
      <c r="N39">
        <v>3.5</v>
      </c>
      <c r="O39">
        <v>4</v>
      </c>
    </row>
    <row r="40" spans="1:15" x14ac:dyDescent="0.25">
      <c r="A40" t="s">
        <v>1098</v>
      </c>
      <c r="B40">
        <v>9001022300</v>
      </c>
      <c r="C40" t="s">
        <v>1099</v>
      </c>
      <c r="D40">
        <v>5763</v>
      </c>
      <c r="E40">
        <v>1.052924183</v>
      </c>
      <c r="F40">
        <v>5473.3285560000004</v>
      </c>
      <c r="G40">
        <v>1</v>
      </c>
      <c r="H40">
        <v>1350</v>
      </c>
      <c r="I40">
        <v>25.645896659999998</v>
      </c>
      <c r="J40">
        <v>0.84599999999999997</v>
      </c>
      <c r="K40">
        <f t="shared" si="0"/>
        <v>5</v>
      </c>
      <c r="N40">
        <v>3.5</v>
      </c>
      <c r="O40">
        <v>4</v>
      </c>
    </row>
    <row r="41" spans="1:15" x14ac:dyDescent="0.25">
      <c r="A41" t="s">
        <v>1100</v>
      </c>
      <c r="B41">
        <v>9001022400</v>
      </c>
      <c r="C41" t="s">
        <v>1101</v>
      </c>
      <c r="D41">
        <v>2391</v>
      </c>
      <c r="E41">
        <v>0.669854069</v>
      </c>
      <c r="F41">
        <v>3569.4341669999999</v>
      </c>
      <c r="G41">
        <v>1</v>
      </c>
      <c r="H41">
        <v>145</v>
      </c>
      <c r="I41">
        <v>6.7630597010000004</v>
      </c>
      <c r="J41">
        <v>0.22900000000000001</v>
      </c>
      <c r="K41">
        <f t="shared" si="0"/>
        <v>2</v>
      </c>
      <c r="N41">
        <v>1.5</v>
      </c>
      <c r="O41">
        <v>2</v>
      </c>
    </row>
    <row r="42" spans="1:15" x14ac:dyDescent="0.25">
      <c r="A42" t="s">
        <v>1102</v>
      </c>
      <c r="B42">
        <v>9001030100</v>
      </c>
      <c r="C42" t="s">
        <v>1103</v>
      </c>
      <c r="D42">
        <v>3502</v>
      </c>
      <c r="E42">
        <v>4.2567085249999996</v>
      </c>
      <c r="F42">
        <v>822.7013852</v>
      </c>
      <c r="G42">
        <v>1</v>
      </c>
      <c r="H42">
        <v>99</v>
      </c>
      <c r="I42">
        <v>2.7332965210000002</v>
      </c>
      <c r="J42">
        <v>3.3000000000000002E-2</v>
      </c>
      <c r="K42">
        <f t="shared" si="0"/>
        <v>1</v>
      </c>
      <c r="N42">
        <v>1</v>
      </c>
      <c r="O42">
        <v>1</v>
      </c>
    </row>
    <row r="43" spans="1:15" x14ac:dyDescent="0.25">
      <c r="A43" t="s">
        <v>1104</v>
      </c>
      <c r="B43">
        <v>9001030200</v>
      </c>
      <c r="C43" t="s">
        <v>1105</v>
      </c>
      <c r="D43">
        <v>3442</v>
      </c>
      <c r="E43">
        <v>1.7681356050000001</v>
      </c>
      <c r="F43">
        <v>1946.6832690000001</v>
      </c>
      <c r="G43">
        <v>1</v>
      </c>
      <c r="H43">
        <v>433</v>
      </c>
      <c r="I43">
        <v>12.047857540000001</v>
      </c>
      <c r="J43">
        <v>0.498</v>
      </c>
      <c r="K43">
        <f t="shared" si="0"/>
        <v>3</v>
      </c>
      <c r="N43">
        <v>2</v>
      </c>
      <c r="O43">
        <v>2</v>
      </c>
    </row>
    <row r="44" spans="1:15" x14ac:dyDescent="0.25">
      <c r="A44" t="s">
        <v>1106</v>
      </c>
      <c r="B44">
        <v>9001030300</v>
      </c>
      <c r="C44" t="s">
        <v>1107</v>
      </c>
      <c r="D44">
        <v>4156</v>
      </c>
      <c r="E44">
        <v>3.192658035</v>
      </c>
      <c r="F44">
        <v>1301.736658</v>
      </c>
      <c r="G44">
        <v>1</v>
      </c>
      <c r="H44">
        <v>262</v>
      </c>
      <c r="I44">
        <v>6.1072261069999998</v>
      </c>
      <c r="J44">
        <v>0.19400000000000001</v>
      </c>
      <c r="K44">
        <f t="shared" si="0"/>
        <v>1</v>
      </c>
      <c r="N44">
        <v>1</v>
      </c>
      <c r="O44">
        <v>1</v>
      </c>
    </row>
    <row r="45" spans="1:15" x14ac:dyDescent="0.25">
      <c r="A45" t="s">
        <v>1108</v>
      </c>
      <c r="B45">
        <v>9001030400</v>
      </c>
      <c r="C45" t="s">
        <v>1109</v>
      </c>
      <c r="D45">
        <v>3958</v>
      </c>
      <c r="E45">
        <v>1.3717754680000001</v>
      </c>
      <c r="F45">
        <v>2885.3118410000002</v>
      </c>
      <c r="G45">
        <v>1</v>
      </c>
      <c r="H45">
        <v>564</v>
      </c>
      <c r="I45">
        <v>13.233223840000001</v>
      </c>
      <c r="J45">
        <v>0.54300000000000004</v>
      </c>
      <c r="K45">
        <f t="shared" si="0"/>
        <v>3</v>
      </c>
      <c r="N45">
        <v>2</v>
      </c>
      <c r="O45">
        <v>2</v>
      </c>
    </row>
    <row r="46" spans="1:15" x14ac:dyDescent="0.25">
      <c r="A46" t="s">
        <v>1110</v>
      </c>
      <c r="B46">
        <v>9001030500</v>
      </c>
      <c r="C46" t="s">
        <v>1111</v>
      </c>
      <c r="D46">
        <v>5674</v>
      </c>
      <c r="E46">
        <v>2.0661180670000001</v>
      </c>
      <c r="F46">
        <v>2746.212857</v>
      </c>
      <c r="G46">
        <v>1</v>
      </c>
      <c r="H46">
        <v>847</v>
      </c>
      <c r="I46">
        <v>14.17810512</v>
      </c>
      <c r="J46">
        <v>0.58799999999999997</v>
      </c>
      <c r="K46">
        <f t="shared" si="0"/>
        <v>3</v>
      </c>
      <c r="N46">
        <v>2</v>
      </c>
      <c r="O46">
        <v>2</v>
      </c>
    </row>
    <row r="47" spans="1:15" x14ac:dyDescent="0.25">
      <c r="A47" t="s">
        <v>1112</v>
      </c>
      <c r="B47">
        <v>9001035100</v>
      </c>
      <c r="C47" t="s">
        <v>1113</v>
      </c>
      <c r="D47">
        <v>7406</v>
      </c>
      <c r="E47">
        <v>2.5365326019999999</v>
      </c>
      <c r="F47">
        <v>2919.7338110000001</v>
      </c>
      <c r="G47">
        <v>1</v>
      </c>
      <c r="H47">
        <v>698</v>
      </c>
      <c r="I47">
        <v>9.0672902050000008</v>
      </c>
      <c r="J47">
        <v>0.35199999999999998</v>
      </c>
      <c r="K47">
        <f t="shared" si="0"/>
        <v>2</v>
      </c>
      <c r="N47">
        <v>1.5</v>
      </c>
      <c r="O47">
        <v>2</v>
      </c>
    </row>
    <row r="48" spans="1:15" x14ac:dyDescent="0.25">
      <c r="A48" t="s">
        <v>1114</v>
      </c>
      <c r="B48">
        <v>9001035200</v>
      </c>
      <c r="C48" t="s">
        <v>1115</v>
      </c>
      <c r="D48">
        <v>3316</v>
      </c>
      <c r="E48">
        <v>6.7184581550000004</v>
      </c>
      <c r="F48">
        <v>493.56562530000002</v>
      </c>
      <c r="G48">
        <v>1</v>
      </c>
      <c r="H48">
        <v>232</v>
      </c>
      <c r="I48">
        <v>7.5324675320000001</v>
      </c>
      <c r="J48">
        <v>0.26300000000000001</v>
      </c>
      <c r="K48">
        <f t="shared" si="0"/>
        <v>2</v>
      </c>
      <c r="N48">
        <v>1.5</v>
      </c>
      <c r="O48">
        <v>2</v>
      </c>
    </row>
    <row r="49" spans="1:15" x14ac:dyDescent="0.25">
      <c r="A49" t="s">
        <v>1116</v>
      </c>
      <c r="B49">
        <v>9001035300</v>
      </c>
      <c r="C49" t="s">
        <v>1117</v>
      </c>
      <c r="D49">
        <v>3937</v>
      </c>
      <c r="E49">
        <v>5.1902715380000002</v>
      </c>
      <c r="F49">
        <v>758.53449499999999</v>
      </c>
      <c r="G49">
        <v>1</v>
      </c>
      <c r="H49">
        <v>496</v>
      </c>
      <c r="I49">
        <v>12.027158099999999</v>
      </c>
      <c r="J49">
        <v>0.496</v>
      </c>
      <c r="K49">
        <f t="shared" si="0"/>
        <v>3</v>
      </c>
      <c r="N49">
        <v>2</v>
      </c>
      <c r="O49">
        <v>2</v>
      </c>
    </row>
    <row r="50" spans="1:15" x14ac:dyDescent="0.25">
      <c r="A50" t="s">
        <v>1118</v>
      </c>
      <c r="B50">
        <v>9001035400</v>
      </c>
      <c r="C50" t="s">
        <v>1119</v>
      </c>
      <c r="D50">
        <v>5079</v>
      </c>
      <c r="E50">
        <v>7.74946409</v>
      </c>
      <c r="F50">
        <v>655.40015940000001</v>
      </c>
      <c r="G50">
        <v>1</v>
      </c>
      <c r="H50">
        <v>444</v>
      </c>
      <c r="I50">
        <v>8.2620022330000005</v>
      </c>
      <c r="J50">
        <v>0.30499999999999999</v>
      </c>
      <c r="K50">
        <f t="shared" si="0"/>
        <v>2</v>
      </c>
      <c r="N50">
        <v>1.5</v>
      </c>
      <c r="O50">
        <v>2</v>
      </c>
    </row>
    <row r="51" spans="1:15" x14ac:dyDescent="0.25">
      <c r="A51" t="s">
        <v>1120</v>
      </c>
      <c r="B51">
        <v>9001042500</v>
      </c>
      <c r="C51" t="s">
        <v>1121</v>
      </c>
      <c r="D51">
        <v>3719</v>
      </c>
      <c r="E51">
        <v>2.3958481659999999</v>
      </c>
      <c r="F51">
        <v>1552.2686510000001</v>
      </c>
      <c r="G51">
        <v>1</v>
      </c>
      <c r="H51">
        <v>209</v>
      </c>
      <c r="I51">
        <v>5.2433517309999997</v>
      </c>
      <c r="J51">
        <v>0.151</v>
      </c>
      <c r="K51">
        <f t="shared" si="0"/>
        <v>1</v>
      </c>
      <c r="N51">
        <v>1</v>
      </c>
      <c r="O51">
        <v>1</v>
      </c>
    </row>
    <row r="52" spans="1:15" x14ac:dyDescent="0.25">
      <c r="A52" t="s">
        <v>1122</v>
      </c>
      <c r="B52">
        <v>9001042600</v>
      </c>
      <c r="C52" t="s">
        <v>1123</v>
      </c>
      <c r="D52">
        <v>3911</v>
      </c>
      <c r="E52">
        <v>1.1352133680000001</v>
      </c>
      <c r="F52">
        <v>3445.167324</v>
      </c>
      <c r="G52">
        <v>1</v>
      </c>
      <c r="H52">
        <v>436</v>
      </c>
      <c r="I52">
        <v>10.84577114</v>
      </c>
      <c r="J52">
        <v>0.42699999999999999</v>
      </c>
      <c r="K52">
        <f t="shared" si="0"/>
        <v>3</v>
      </c>
      <c r="N52">
        <v>2</v>
      </c>
      <c r="O52">
        <v>2</v>
      </c>
    </row>
    <row r="53" spans="1:15" x14ac:dyDescent="0.25">
      <c r="A53" t="s">
        <v>1124</v>
      </c>
      <c r="B53">
        <v>9001042700</v>
      </c>
      <c r="C53" t="s">
        <v>1125</v>
      </c>
      <c r="D53">
        <v>4578</v>
      </c>
      <c r="E53">
        <v>1.631384393</v>
      </c>
      <c r="F53">
        <v>2806.2055890000001</v>
      </c>
      <c r="G53">
        <v>1</v>
      </c>
      <c r="H53">
        <v>787</v>
      </c>
      <c r="I53">
        <v>15.10556622</v>
      </c>
      <c r="J53">
        <v>0.60599999999999998</v>
      </c>
      <c r="K53">
        <f t="shared" si="0"/>
        <v>4</v>
      </c>
      <c r="N53">
        <v>3</v>
      </c>
      <c r="O53">
        <v>3</v>
      </c>
    </row>
    <row r="54" spans="1:15" x14ac:dyDescent="0.25">
      <c r="A54" t="s">
        <v>1126</v>
      </c>
      <c r="B54">
        <v>9001042800</v>
      </c>
      <c r="C54" t="s">
        <v>1127</v>
      </c>
      <c r="D54">
        <v>4606</v>
      </c>
      <c r="E54">
        <v>0.94225301400000006</v>
      </c>
      <c r="F54">
        <v>4888.2836459999999</v>
      </c>
      <c r="G54">
        <v>1</v>
      </c>
      <c r="H54">
        <v>500</v>
      </c>
      <c r="I54">
        <v>10.54629825</v>
      </c>
      <c r="J54">
        <v>0.42099999999999999</v>
      </c>
      <c r="K54">
        <f t="shared" si="0"/>
        <v>3</v>
      </c>
      <c r="N54">
        <v>2.5</v>
      </c>
      <c r="O54">
        <v>3</v>
      </c>
    </row>
    <row r="55" spans="1:15" x14ac:dyDescent="0.25">
      <c r="A55" t="s">
        <v>1128</v>
      </c>
      <c r="B55">
        <v>9001042900</v>
      </c>
      <c r="C55" t="s">
        <v>1129</v>
      </c>
      <c r="D55">
        <v>1651</v>
      </c>
      <c r="E55">
        <v>1.4757381119999999</v>
      </c>
      <c r="F55">
        <v>1118.762189</v>
      </c>
      <c r="G55">
        <v>1</v>
      </c>
      <c r="H55">
        <v>53</v>
      </c>
      <c r="I55">
        <v>3.417150226</v>
      </c>
      <c r="J55">
        <v>6.5000000000000002E-2</v>
      </c>
      <c r="K55">
        <f t="shared" si="0"/>
        <v>1</v>
      </c>
      <c r="N55">
        <v>1</v>
      </c>
      <c r="O55">
        <v>1</v>
      </c>
    </row>
    <row r="56" spans="1:15" x14ac:dyDescent="0.25">
      <c r="A56" t="s">
        <v>1130</v>
      </c>
      <c r="B56">
        <v>9001043000</v>
      </c>
      <c r="C56" t="s">
        <v>1131</v>
      </c>
      <c r="D56">
        <v>3090</v>
      </c>
      <c r="E56">
        <v>1.1605872310000001</v>
      </c>
      <c r="F56">
        <v>2662.4452849999998</v>
      </c>
      <c r="G56">
        <v>1</v>
      </c>
      <c r="H56">
        <v>339</v>
      </c>
      <c r="I56">
        <v>11.66953528</v>
      </c>
      <c r="J56">
        <v>0.46899999999999997</v>
      </c>
      <c r="K56">
        <f t="shared" si="0"/>
        <v>3</v>
      </c>
      <c r="N56">
        <v>2</v>
      </c>
      <c r="O56">
        <v>2</v>
      </c>
    </row>
    <row r="57" spans="1:15" x14ac:dyDescent="0.25">
      <c r="A57" t="s">
        <v>1132</v>
      </c>
      <c r="B57">
        <v>9001043100</v>
      </c>
      <c r="C57" t="s">
        <v>1133</v>
      </c>
      <c r="D57">
        <v>4341</v>
      </c>
      <c r="E57">
        <v>2.5629107160000002</v>
      </c>
      <c r="F57">
        <v>1693.7773030000001</v>
      </c>
      <c r="G57">
        <v>1</v>
      </c>
      <c r="H57">
        <v>1343</v>
      </c>
      <c r="I57">
        <v>29.069264069999999</v>
      </c>
      <c r="J57">
        <v>0.876</v>
      </c>
      <c r="K57">
        <f t="shared" si="0"/>
        <v>5</v>
      </c>
      <c r="N57">
        <v>3</v>
      </c>
      <c r="O57">
        <v>3</v>
      </c>
    </row>
    <row r="58" spans="1:15" x14ac:dyDescent="0.25">
      <c r="A58" t="s">
        <v>1134</v>
      </c>
      <c r="B58">
        <v>9001043200</v>
      </c>
      <c r="C58" t="s">
        <v>1135</v>
      </c>
      <c r="D58">
        <v>3074</v>
      </c>
      <c r="E58">
        <v>1.0673705819999999</v>
      </c>
      <c r="F58">
        <v>2879.9744439999999</v>
      </c>
      <c r="G58">
        <v>1</v>
      </c>
      <c r="H58">
        <v>406</v>
      </c>
      <c r="I58">
        <v>12.663755460000001</v>
      </c>
      <c r="J58">
        <v>0.52200000000000002</v>
      </c>
      <c r="K58">
        <f t="shared" si="0"/>
        <v>3</v>
      </c>
      <c r="N58">
        <v>3</v>
      </c>
      <c r="O58">
        <v>3</v>
      </c>
    </row>
    <row r="59" spans="1:15" x14ac:dyDescent="0.25">
      <c r="A59" t="s">
        <v>1136</v>
      </c>
      <c r="B59">
        <v>9001043300</v>
      </c>
      <c r="C59" t="s">
        <v>1137</v>
      </c>
      <c r="D59">
        <v>3196</v>
      </c>
      <c r="E59">
        <v>0.476063982</v>
      </c>
      <c r="F59">
        <v>6713.3833320000003</v>
      </c>
      <c r="G59">
        <v>1</v>
      </c>
      <c r="H59">
        <v>629</v>
      </c>
      <c r="I59">
        <v>21.387283239999999</v>
      </c>
      <c r="J59">
        <v>0.77100000000000002</v>
      </c>
      <c r="K59">
        <f t="shared" si="0"/>
        <v>4</v>
      </c>
      <c r="N59">
        <v>3</v>
      </c>
      <c r="O59">
        <v>3</v>
      </c>
    </row>
    <row r="60" spans="1:15" x14ac:dyDescent="0.25">
      <c r="A60" t="s">
        <v>1138</v>
      </c>
      <c r="B60">
        <v>9001043400</v>
      </c>
      <c r="C60" t="s">
        <v>1139</v>
      </c>
      <c r="D60">
        <v>4471</v>
      </c>
      <c r="E60">
        <v>0.52465571300000002</v>
      </c>
      <c r="F60">
        <v>8521.7789339999999</v>
      </c>
      <c r="G60">
        <v>1</v>
      </c>
      <c r="H60">
        <v>1003</v>
      </c>
      <c r="I60">
        <v>23.11592533</v>
      </c>
      <c r="J60">
        <v>0.80200000000000005</v>
      </c>
      <c r="K60">
        <f t="shared" si="0"/>
        <v>5</v>
      </c>
      <c r="N60">
        <v>4</v>
      </c>
      <c r="O60">
        <v>4</v>
      </c>
    </row>
    <row r="61" spans="1:15" x14ac:dyDescent="0.25">
      <c r="A61" t="s">
        <v>1140</v>
      </c>
      <c r="B61">
        <v>9001043500</v>
      </c>
      <c r="C61" t="s">
        <v>1141</v>
      </c>
      <c r="D61">
        <v>2604</v>
      </c>
      <c r="E61">
        <v>0.7078527</v>
      </c>
      <c r="F61">
        <v>3678.7314620000002</v>
      </c>
      <c r="G61">
        <v>1</v>
      </c>
      <c r="H61">
        <v>126</v>
      </c>
      <c r="I61">
        <v>5.1702913419999996</v>
      </c>
      <c r="J61">
        <v>0.14299999999999999</v>
      </c>
      <c r="K61">
        <f t="shared" si="0"/>
        <v>1</v>
      </c>
      <c r="N61">
        <v>1.5</v>
      </c>
      <c r="O61">
        <v>2</v>
      </c>
    </row>
    <row r="62" spans="1:15" x14ac:dyDescent="0.25">
      <c r="A62" t="s">
        <v>1142</v>
      </c>
      <c r="B62">
        <v>9001043600</v>
      </c>
      <c r="C62" t="s">
        <v>1143</v>
      </c>
      <c r="D62">
        <v>3080</v>
      </c>
      <c r="E62">
        <v>0.55776783500000005</v>
      </c>
      <c r="F62">
        <v>5522.0107820000003</v>
      </c>
      <c r="G62">
        <v>1</v>
      </c>
      <c r="H62">
        <v>543</v>
      </c>
      <c r="I62">
        <v>17.607003890000001</v>
      </c>
      <c r="J62">
        <v>0.68400000000000005</v>
      </c>
      <c r="K62">
        <f t="shared" si="0"/>
        <v>4</v>
      </c>
      <c r="N62">
        <v>3</v>
      </c>
      <c r="O62">
        <v>3</v>
      </c>
    </row>
    <row r="63" spans="1:15" x14ac:dyDescent="0.25">
      <c r="A63" t="s">
        <v>1144</v>
      </c>
      <c r="B63">
        <v>9001043700</v>
      </c>
      <c r="C63" t="s">
        <v>1145</v>
      </c>
      <c r="D63">
        <v>2039</v>
      </c>
      <c r="E63">
        <v>0.45569014200000002</v>
      </c>
      <c r="F63">
        <v>4474.5317290000003</v>
      </c>
      <c r="G63">
        <v>1</v>
      </c>
      <c r="H63">
        <v>468</v>
      </c>
      <c r="I63">
        <v>18.048592360000001</v>
      </c>
      <c r="J63">
        <v>0.69799999999999995</v>
      </c>
      <c r="K63">
        <f t="shared" si="0"/>
        <v>4</v>
      </c>
      <c r="N63">
        <v>3.5</v>
      </c>
      <c r="O63">
        <v>4</v>
      </c>
    </row>
    <row r="64" spans="1:15" x14ac:dyDescent="0.25">
      <c r="A64" t="s">
        <v>1146</v>
      </c>
      <c r="B64">
        <v>9001043800</v>
      </c>
      <c r="C64" t="s">
        <v>1147</v>
      </c>
      <c r="D64">
        <v>7650</v>
      </c>
      <c r="E64">
        <v>0.747887635</v>
      </c>
      <c r="F64">
        <v>10228.809310000001</v>
      </c>
      <c r="G64">
        <v>1</v>
      </c>
      <c r="H64">
        <v>1380</v>
      </c>
      <c r="I64">
        <v>19.714285709999999</v>
      </c>
      <c r="J64">
        <v>0.73799999999999999</v>
      </c>
      <c r="K64">
        <f t="shared" si="0"/>
        <v>4</v>
      </c>
      <c r="N64">
        <v>3.5</v>
      </c>
      <c r="O64">
        <v>4</v>
      </c>
    </row>
    <row r="65" spans="1:15" x14ac:dyDescent="0.25">
      <c r="A65" t="s">
        <v>1148</v>
      </c>
      <c r="B65">
        <v>9001043900</v>
      </c>
      <c r="C65" t="s">
        <v>1149</v>
      </c>
      <c r="D65">
        <v>5456</v>
      </c>
      <c r="E65">
        <v>1.337302335</v>
      </c>
      <c r="F65">
        <v>4079.855286</v>
      </c>
      <c r="G65">
        <v>1</v>
      </c>
      <c r="H65">
        <v>1584</v>
      </c>
      <c r="I65">
        <v>25.043478260000001</v>
      </c>
      <c r="J65">
        <v>0.82799999999999996</v>
      </c>
      <c r="K65">
        <f t="shared" si="0"/>
        <v>5</v>
      </c>
      <c r="N65">
        <v>3.5</v>
      </c>
      <c r="O65">
        <v>4</v>
      </c>
    </row>
    <row r="66" spans="1:15" x14ac:dyDescent="0.25">
      <c r="A66" t="s">
        <v>1150</v>
      </c>
      <c r="B66">
        <v>9001044000</v>
      </c>
      <c r="C66" t="s">
        <v>1151</v>
      </c>
      <c r="D66">
        <v>5974</v>
      </c>
      <c r="E66">
        <v>0.46937746400000002</v>
      </c>
      <c r="F66">
        <v>12727.496429999999</v>
      </c>
      <c r="G66">
        <v>1</v>
      </c>
      <c r="H66">
        <v>1067</v>
      </c>
      <c r="I66">
        <v>18.00236207</v>
      </c>
      <c r="J66">
        <v>0.69799999999999995</v>
      </c>
      <c r="K66">
        <f t="shared" si="0"/>
        <v>4</v>
      </c>
      <c r="N66">
        <v>4</v>
      </c>
      <c r="O66">
        <v>4</v>
      </c>
    </row>
    <row r="67" spans="1:15" x14ac:dyDescent="0.25">
      <c r="A67" t="s">
        <v>1152</v>
      </c>
      <c r="B67">
        <v>9001044100</v>
      </c>
      <c r="C67" t="s">
        <v>1153</v>
      </c>
      <c r="D67">
        <v>3509</v>
      </c>
      <c r="E67">
        <v>0.39489217700000001</v>
      </c>
      <c r="F67">
        <v>8885.9699010000004</v>
      </c>
      <c r="G67">
        <v>1</v>
      </c>
      <c r="H67">
        <v>487</v>
      </c>
      <c r="I67">
        <v>14.545997610000001</v>
      </c>
      <c r="J67">
        <v>0.59299999999999997</v>
      </c>
      <c r="K67">
        <f t="shared" ref="K67:K130" si="1">IF(J67&lt;0.2,1,IF(J67&lt;0.4,2,IF(J67&lt;0.6,3,IF(J67&lt;0.8,4,5))))</f>
        <v>3</v>
      </c>
      <c r="N67">
        <v>3</v>
      </c>
      <c r="O67">
        <v>3</v>
      </c>
    </row>
    <row r="68" spans="1:15" x14ac:dyDescent="0.25">
      <c r="A68" t="s">
        <v>1154</v>
      </c>
      <c r="B68">
        <v>9001044200</v>
      </c>
      <c r="C68" t="s">
        <v>1155</v>
      </c>
      <c r="D68">
        <v>3994</v>
      </c>
      <c r="E68">
        <v>0.55958985100000003</v>
      </c>
      <c r="F68">
        <v>7137.3703260000002</v>
      </c>
      <c r="G68">
        <v>1</v>
      </c>
      <c r="H68">
        <v>662</v>
      </c>
      <c r="I68">
        <v>16.225490199999999</v>
      </c>
      <c r="J68">
        <v>0.64200000000000002</v>
      </c>
      <c r="K68">
        <f t="shared" si="1"/>
        <v>4</v>
      </c>
      <c r="N68">
        <v>4</v>
      </c>
      <c r="O68">
        <v>4</v>
      </c>
    </row>
    <row r="69" spans="1:15" x14ac:dyDescent="0.25">
      <c r="A69" t="s">
        <v>1156</v>
      </c>
      <c r="B69">
        <v>9001044300</v>
      </c>
      <c r="C69" t="s">
        <v>1157</v>
      </c>
      <c r="D69">
        <v>3898</v>
      </c>
      <c r="E69">
        <v>1.5010664140000001</v>
      </c>
      <c r="F69">
        <v>2596.8204759999999</v>
      </c>
      <c r="G69">
        <v>1</v>
      </c>
      <c r="H69">
        <v>512</v>
      </c>
      <c r="I69">
        <v>11.479820630000001</v>
      </c>
      <c r="J69">
        <v>0.46700000000000003</v>
      </c>
      <c r="K69">
        <f t="shared" si="1"/>
        <v>3</v>
      </c>
      <c r="N69">
        <v>2.5</v>
      </c>
      <c r="O69">
        <v>3</v>
      </c>
    </row>
    <row r="70" spans="1:15" x14ac:dyDescent="0.25">
      <c r="A70" t="s">
        <v>1158</v>
      </c>
      <c r="B70">
        <v>9001044400</v>
      </c>
      <c r="C70" t="s">
        <v>1159</v>
      </c>
      <c r="D70">
        <v>3572</v>
      </c>
      <c r="E70">
        <v>1.0294344989999999</v>
      </c>
      <c r="F70">
        <v>3469.8662250000002</v>
      </c>
      <c r="G70">
        <v>1</v>
      </c>
      <c r="H70">
        <v>386</v>
      </c>
      <c r="I70">
        <v>9.6067695369999999</v>
      </c>
      <c r="J70">
        <v>0.38800000000000001</v>
      </c>
      <c r="K70">
        <f t="shared" si="1"/>
        <v>2</v>
      </c>
      <c r="N70">
        <v>2.5</v>
      </c>
      <c r="O70">
        <v>3</v>
      </c>
    </row>
    <row r="71" spans="1:15" x14ac:dyDescent="0.25">
      <c r="A71" t="s">
        <v>1160</v>
      </c>
      <c r="B71">
        <v>9001044500</v>
      </c>
      <c r="C71" t="s">
        <v>1161</v>
      </c>
      <c r="D71">
        <v>3641</v>
      </c>
      <c r="E71">
        <v>0.42296721100000001</v>
      </c>
      <c r="F71">
        <v>8608.2322889999996</v>
      </c>
      <c r="G71">
        <v>1</v>
      </c>
      <c r="H71">
        <v>407</v>
      </c>
      <c r="I71">
        <v>10.036991370000001</v>
      </c>
      <c r="J71">
        <v>0.40100000000000002</v>
      </c>
      <c r="K71">
        <f t="shared" si="1"/>
        <v>3</v>
      </c>
      <c r="N71">
        <v>4</v>
      </c>
      <c r="O71">
        <v>4</v>
      </c>
    </row>
    <row r="72" spans="1:15" x14ac:dyDescent="0.25">
      <c r="A72" t="s">
        <v>1162</v>
      </c>
      <c r="B72">
        <v>9001044600</v>
      </c>
      <c r="C72" t="s">
        <v>1163</v>
      </c>
      <c r="D72">
        <v>3549</v>
      </c>
      <c r="E72">
        <v>1.3041183970000001</v>
      </c>
      <c r="F72">
        <v>2721.378678</v>
      </c>
      <c r="G72">
        <v>1</v>
      </c>
      <c r="H72">
        <v>169</v>
      </c>
      <c r="I72">
        <v>4.5030642150000002</v>
      </c>
      <c r="J72">
        <v>0.113</v>
      </c>
      <c r="K72">
        <f t="shared" si="1"/>
        <v>1</v>
      </c>
      <c r="N72">
        <v>1</v>
      </c>
      <c r="O72">
        <v>1</v>
      </c>
    </row>
    <row r="73" spans="1:15" x14ac:dyDescent="0.25">
      <c r="A73" t="s">
        <v>1164</v>
      </c>
      <c r="B73">
        <v>9001045101</v>
      </c>
      <c r="C73" t="s">
        <v>1165</v>
      </c>
      <c r="D73">
        <v>4170</v>
      </c>
      <c r="E73">
        <v>7.5988753620000002</v>
      </c>
      <c r="F73">
        <v>548.76541610000004</v>
      </c>
      <c r="G73">
        <v>1</v>
      </c>
      <c r="H73">
        <v>464</v>
      </c>
      <c r="I73">
        <v>11.476626270000001</v>
      </c>
      <c r="J73">
        <v>0.46400000000000002</v>
      </c>
      <c r="K73">
        <f t="shared" si="1"/>
        <v>3</v>
      </c>
      <c r="N73">
        <v>2</v>
      </c>
      <c r="O73">
        <v>2</v>
      </c>
    </row>
    <row r="74" spans="1:15" x14ac:dyDescent="0.25">
      <c r="A74" t="s">
        <v>1166</v>
      </c>
      <c r="B74">
        <v>9001045102</v>
      </c>
      <c r="C74" t="s">
        <v>1167</v>
      </c>
      <c r="D74">
        <v>6034</v>
      </c>
      <c r="E74">
        <v>10.38438788</v>
      </c>
      <c r="F74">
        <v>581.06458169999996</v>
      </c>
      <c r="G74">
        <v>1</v>
      </c>
      <c r="H74">
        <v>650</v>
      </c>
      <c r="I74">
        <v>10.45856798</v>
      </c>
      <c r="J74">
        <v>0.42299999999999999</v>
      </c>
      <c r="K74">
        <f t="shared" si="1"/>
        <v>3</v>
      </c>
      <c r="N74">
        <v>2</v>
      </c>
      <c r="O74">
        <v>2</v>
      </c>
    </row>
    <row r="75" spans="1:15" x14ac:dyDescent="0.25">
      <c r="A75" t="s">
        <v>1168</v>
      </c>
      <c r="B75">
        <v>9001045200</v>
      </c>
      <c r="C75" t="s">
        <v>1169</v>
      </c>
      <c r="D75">
        <v>2367</v>
      </c>
      <c r="E75">
        <v>3.1288805200000001</v>
      </c>
      <c r="F75">
        <v>756.50060299999996</v>
      </c>
      <c r="G75">
        <v>1</v>
      </c>
      <c r="H75">
        <v>270</v>
      </c>
      <c r="I75">
        <v>10.88270859</v>
      </c>
      <c r="J75">
        <v>0.432</v>
      </c>
      <c r="K75">
        <f t="shared" si="1"/>
        <v>3</v>
      </c>
      <c r="N75">
        <v>2</v>
      </c>
      <c r="O75">
        <v>2</v>
      </c>
    </row>
    <row r="76" spans="1:15" x14ac:dyDescent="0.25">
      <c r="A76" t="s">
        <v>1170</v>
      </c>
      <c r="B76">
        <v>9001045300</v>
      </c>
      <c r="C76" t="s">
        <v>1171</v>
      </c>
      <c r="D76">
        <v>2461</v>
      </c>
      <c r="E76">
        <v>2.7043117570000001</v>
      </c>
      <c r="F76">
        <v>910.02821449999999</v>
      </c>
      <c r="G76">
        <v>1</v>
      </c>
      <c r="H76">
        <v>378</v>
      </c>
      <c r="I76">
        <v>15.01787843</v>
      </c>
      <c r="J76">
        <v>0.60399999999999998</v>
      </c>
      <c r="K76">
        <f t="shared" si="1"/>
        <v>4</v>
      </c>
      <c r="N76">
        <v>2.5</v>
      </c>
      <c r="O76">
        <v>3</v>
      </c>
    </row>
    <row r="77" spans="1:15" x14ac:dyDescent="0.25">
      <c r="A77" t="s">
        <v>1172</v>
      </c>
      <c r="B77">
        <v>9001045400</v>
      </c>
      <c r="C77" t="s">
        <v>1173</v>
      </c>
      <c r="D77">
        <v>3030</v>
      </c>
      <c r="E77">
        <v>2.988514232</v>
      </c>
      <c r="F77">
        <v>1013.881737</v>
      </c>
      <c r="G77">
        <v>1</v>
      </c>
      <c r="H77">
        <v>501</v>
      </c>
      <c r="I77">
        <v>15.62207671</v>
      </c>
      <c r="J77">
        <v>0.61899999999999999</v>
      </c>
      <c r="K77">
        <f t="shared" si="1"/>
        <v>4</v>
      </c>
      <c r="N77">
        <v>2.5</v>
      </c>
      <c r="O77">
        <v>3</v>
      </c>
    </row>
    <row r="78" spans="1:15" x14ac:dyDescent="0.25">
      <c r="A78" t="s">
        <v>1174</v>
      </c>
      <c r="B78">
        <v>9001050100</v>
      </c>
      <c r="C78" t="s">
        <v>1175</v>
      </c>
      <c r="D78">
        <v>3828</v>
      </c>
      <c r="E78">
        <v>3.3668835530000001</v>
      </c>
      <c r="F78">
        <v>1136.9564580000001</v>
      </c>
      <c r="G78">
        <v>1</v>
      </c>
      <c r="H78">
        <v>398</v>
      </c>
      <c r="I78">
        <v>8.8878963819999992</v>
      </c>
      <c r="J78">
        <v>0.34799999999999998</v>
      </c>
      <c r="K78">
        <f t="shared" si="1"/>
        <v>2</v>
      </c>
      <c r="N78">
        <v>1.5</v>
      </c>
      <c r="O78">
        <v>2</v>
      </c>
    </row>
    <row r="79" spans="1:15" x14ac:dyDescent="0.25">
      <c r="A79" t="s">
        <v>1176</v>
      </c>
      <c r="B79">
        <v>9001050200</v>
      </c>
      <c r="C79" t="s">
        <v>1177</v>
      </c>
      <c r="D79">
        <v>4008</v>
      </c>
      <c r="E79">
        <v>1.8709503670000001</v>
      </c>
      <c r="F79">
        <v>2142.2267900000002</v>
      </c>
      <c r="G79">
        <v>1</v>
      </c>
      <c r="H79">
        <v>631</v>
      </c>
      <c r="I79">
        <v>16.37684921</v>
      </c>
      <c r="J79">
        <v>0.64500000000000002</v>
      </c>
      <c r="K79">
        <f t="shared" si="1"/>
        <v>4</v>
      </c>
      <c r="N79">
        <v>2.5</v>
      </c>
      <c r="O79">
        <v>3</v>
      </c>
    </row>
    <row r="80" spans="1:15" x14ac:dyDescent="0.25">
      <c r="A80" t="s">
        <v>1178</v>
      </c>
      <c r="B80">
        <v>9001050300</v>
      </c>
      <c r="C80" t="s">
        <v>1179</v>
      </c>
      <c r="D80">
        <v>8122</v>
      </c>
      <c r="E80">
        <v>6.7994658660000002</v>
      </c>
      <c r="F80">
        <v>1194.505592</v>
      </c>
      <c r="G80">
        <v>1</v>
      </c>
      <c r="H80">
        <v>958</v>
      </c>
      <c r="I80">
        <v>10.84200996</v>
      </c>
      <c r="J80">
        <v>0.43099999999999999</v>
      </c>
      <c r="K80">
        <f t="shared" si="1"/>
        <v>3</v>
      </c>
      <c r="N80">
        <v>2</v>
      </c>
      <c r="O80">
        <v>2</v>
      </c>
    </row>
    <row r="81" spans="1:15" x14ac:dyDescent="0.25">
      <c r="A81" t="s">
        <v>1180</v>
      </c>
      <c r="B81">
        <v>9001050400</v>
      </c>
      <c r="C81" t="s">
        <v>1181</v>
      </c>
      <c r="D81">
        <v>2341</v>
      </c>
      <c r="E81">
        <v>1.3905149370000001</v>
      </c>
      <c r="F81">
        <v>1683.548978</v>
      </c>
      <c r="G81">
        <v>1</v>
      </c>
      <c r="H81">
        <v>260</v>
      </c>
      <c r="I81">
        <v>11.0685398</v>
      </c>
      <c r="J81">
        <v>0.441</v>
      </c>
      <c r="K81">
        <f t="shared" si="1"/>
        <v>3</v>
      </c>
      <c r="N81">
        <v>2</v>
      </c>
      <c r="O81">
        <v>2</v>
      </c>
    </row>
    <row r="82" spans="1:15" x14ac:dyDescent="0.25">
      <c r="A82" t="s">
        <v>1182</v>
      </c>
      <c r="B82">
        <v>9001050500</v>
      </c>
      <c r="C82" t="s">
        <v>1183</v>
      </c>
      <c r="D82">
        <v>4744</v>
      </c>
      <c r="E82">
        <v>2.6118121009999999</v>
      </c>
      <c r="F82">
        <v>1816.363435</v>
      </c>
      <c r="G82">
        <v>1</v>
      </c>
      <c r="H82">
        <v>311</v>
      </c>
      <c r="I82">
        <v>6.1040235530000002</v>
      </c>
      <c r="J82">
        <v>0.19800000000000001</v>
      </c>
      <c r="K82">
        <f t="shared" si="1"/>
        <v>1</v>
      </c>
      <c r="N82">
        <v>1</v>
      </c>
      <c r="O82">
        <v>1</v>
      </c>
    </row>
    <row r="83" spans="1:15" x14ac:dyDescent="0.25">
      <c r="A83" t="s">
        <v>1184</v>
      </c>
      <c r="B83">
        <v>9001050600</v>
      </c>
      <c r="C83" t="s">
        <v>1185</v>
      </c>
      <c r="D83">
        <v>3348</v>
      </c>
      <c r="E83">
        <v>3.9181231730000001</v>
      </c>
      <c r="F83">
        <v>854.49074780000001</v>
      </c>
      <c r="G83">
        <v>1</v>
      </c>
      <c r="H83">
        <v>462</v>
      </c>
      <c r="I83">
        <v>13.56828194</v>
      </c>
      <c r="J83">
        <v>0.55800000000000005</v>
      </c>
      <c r="K83">
        <f t="shared" si="1"/>
        <v>3</v>
      </c>
      <c r="N83">
        <v>2</v>
      </c>
      <c r="O83">
        <v>2</v>
      </c>
    </row>
    <row r="84" spans="1:15" x14ac:dyDescent="0.25">
      <c r="A84" t="s">
        <v>1186</v>
      </c>
      <c r="B84">
        <v>9001055100</v>
      </c>
      <c r="C84" t="s">
        <v>1187</v>
      </c>
      <c r="D84">
        <v>5807</v>
      </c>
      <c r="E84">
        <v>13.373285129999999</v>
      </c>
      <c r="F84">
        <v>434.22389820000001</v>
      </c>
      <c r="G84">
        <v>1</v>
      </c>
      <c r="H84">
        <v>942</v>
      </c>
      <c r="I84">
        <v>16.875671799999999</v>
      </c>
      <c r="J84">
        <v>0.65700000000000003</v>
      </c>
      <c r="K84">
        <f t="shared" si="1"/>
        <v>4</v>
      </c>
      <c r="N84">
        <v>2.5</v>
      </c>
      <c r="O84">
        <v>3</v>
      </c>
    </row>
    <row r="85" spans="1:15" x14ac:dyDescent="0.25">
      <c r="A85" t="s">
        <v>1188</v>
      </c>
      <c r="B85">
        <v>9001055200</v>
      </c>
      <c r="C85" t="s">
        <v>1189</v>
      </c>
      <c r="D85">
        <v>4372</v>
      </c>
      <c r="E85">
        <v>6.4253919320000001</v>
      </c>
      <c r="F85">
        <v>680.42541930000004</v>
      </c>
      <c r="G85">
        <v>1</v>
      </c>
      <c r="H85">
        <v>241</v>
      </c>
      <c r="I85">
        <v>5.1222104140000004</v>
      </c>
      <c r="J85">
        <v>0.14299999999999999</v>
      </c>
      <c r="K85">
        <f t="shared" si="1"/>
        <v>1</v>
      </c>
      <c r="N85">
        <v>1</v>
      </c>
      <c r="O85">
        <v>1</v>
      </c>
    </row>
    <row r="86" spans="1:15" x14ac:dyDescent="0.25">
      <c r="A86" t="s">
        <v>1190</v>
      </c>
      <c r="B86">
        <v>9001060100</v>
      </c>
      <c r="C86" t="s">
        <v>1191</v>
      </c>
      <c r="D86">
        <v>4152</v>
      </c>
      <c r="E86">
        <v>1.5389893699999999</v>
      </c>
      <c r="F86">
        <v>2697.8743850000001</v>
      </c>
      <c r="G86">
        <v>1</v>
      </c>
      <c r="H86">
        <v>333</v>
      </c>
      <c r="I86">
        <v>7.5441776169999999</v>
      </c>
      <c r="J86">
        <v>0.26900000000000002</v>
      </c>
      <c r="K86">
        <f t="shared" si="1"/>
        <v>2</v>
      </c>
      <c r="N86">
        <v>1.5</v>
      </c>
      <c r="O86">
        <v>2</v>
      </c>
    </row>
    <row r="87" spans="1:15" x14ac:dyDescent="0.25">
      <c r="A87" t="s">
        <v>1192</v>
      </c>
      <c r="B87">
        <v>9001060200</v>
      </c>
      <c r="C87" t="s">
        <v>1193</v>
      </c>
      <c r="D87">
        <v>4164</v>
      </c>
      <c r="E87">
        <v>1.5648427709999999</v>
      </c>
      <c r="F87">
        <v>2660.9702109999998</v>
      </c>
      <c r="G87">
        <v>1</v>
      </c>
      <c r="H87">
        <v>523</v>
      </c>
      <c r="I87">
        <v>11.992662230000001</v>
      </c>
      <c r="J87">
        <v>0.49099999999999999</v>
      </c>
      <c r="K87">
        <f t="shared" si="1"/>
        <v>3</v>
      </c>
      <c r="N87">
        <v>2</v>
      </c>
      <c r="O87">
        <v>2</v>
      </c>
    </row>
    <row r="88" spans="1:15" x14ac:dyDescent="0.25">
      <c r="A88" t="s">
        <v>1194</v>
      </c>
      <c r="B88">
        <v>9001060300</v>
      </c>
      <c r="C88" t="s">
        <v>1195</v>
      </c>
      <c r="D88">
        <v>4088</v>
      </c>
      <c r="E88">
        <v>4.510610088</v>
      </c>
      <c r="F88">
        <v>906.30755499999998</v>
      </c>
      <c r="G88">
        <v>1</v>
      </c>
      <c r="H88">
        <v>260</v>
      </c>
      <c r="I88">
        <v>6.5689742290000002</v>
      </c>
      <c r="J88">
        <v>0.221</v>
      </c>
      <c r="K88">
        <f t="shared" si="1"/>
        <v>2</v>
      </c>
      <c r="N88">
        <v>1.5</v>
      </c>
      <c r="O88">
        <v>2</v>
      </c>
    </row>
    <row r="89" spans="1:15" x14ac:dyDescent="0.25">
      <c r="A89" t="s">
        <v>1196</v>
      </c>
      <c r="B89">
        <v>9001060400</v>
      </c>
      <c r="C89" t="s">
        <v>1197</v>
      </c>
      <c r="D89">
        <v>4443</v>
      </c>
      <c r="E89">
        <v>8.6430863769999995</v>
      </c>
      <c r="F89">
        <v>514.0524815</v>
      </c>
      <c r="G89">
        <v>1</v>
      </c>
      <c r="H89">
        <v>233</v>
      </c>
      <c r="I89">
        <v>5.1548672570000003</v>
      </c>
      <c r="J89">
        <v>0.14399999999999999</v>
      </c>
      <c r="K89">
        <f t="shared" si="1"/>
        <v>1</v>
      </c>
      <c r="N89">
        <v>1</v>
      </c>
      <c r="O89">
        <v>1</v>
      </c>
    </row>
    <row r="90" spans="1:15" x14ac:dyDescent="0.25">
      <c r="A90" t="s">
        <v>1198</v>
      </c>
      <c r="B90">
        <v>9001060500</v>
      </c>
      <c r="C90" t="s">
        <v>1199</v>
      </c>
      <c r="D90">
        <v>2841</v>
      </c>
      <c r="E90">
        <v>2.110052633</v>
      </c>
      <c r="F90">
        <v>1346.411912</v>
      </c>
      <c r="G90">
        <v>1</v>
      </c>
      <c r="H90">
        <v>162</v>
      </c>
      <c r="I90">
        <v>5.8653149889999998</v>
      </c>
      <c r="J90">
        <v>0.182</v>
      </c>
      <c r="K90">
        <f t="shared" si="1"/>
        <v>1</v>
      </c>
      <c r="N90">
        <v>1</v>
      </c>
      <c r="O90">
        <v>1</v>
      </c>
    </row>
    <row r="91" spans="1:15" x14ac:dyDescent="0.25">
      <c r="A91" t="s">
        <v>1200</v>
      </c>
      <c r="B91">
        <v>9001060600</v>
      </c>
      <c r="C91" t="s">
        <v>1201</v>
      </c>
      <c r="D91">
        <v>2336</v>
      </c>
      <c r="E91">
        <v>1.191219805</v>
      </c>
      <c r="F91">
        <v>1961.015079</v>
      </c>
      <c r="G91">
        <v>1</v>
      </c>
      <c r="H91">
        <v>212</v>
      </c>
      <c r="I91">
        <v>9.1934085000000003</v>
      </c>
      <c r="J91">
        <v>0.36099999999999999</v>
      </c>
      <c r="K91">
        <f t="shared" si="1"/>
        <v>2</v>
      </c>
      <c r="N91">
        <v>1.5</v>
      </c>
      <c r="O91">
        <v>2</v>
      </c>
    </row>
    <row r="92" spans="1:15" x14ac:dyDescent="0.25">
      <c r="A92" t="s">
        <v>1202</v>
      </c>
      <c r="B92">
        <v>9001060700</v>
      </c>
      <c r="C92" t="s">
        <v>1203</v>
      </c>
      <c r="D92">
        <v>7675</v>
      </c>
      <c r="E92">
        <v>2.0484515760000002</v>
      </c>
      <c r="F92">
        <v>3746.732454</v>
      </c>
      <c r="G92">
        <v>1</v>
      </c>
      <c r="H92">
        <v>575</v>
      </c>
      <c r="I92">
        <v>7.2037083439999998</v>
      </c>
      <c r="J92">
        <v>0.251</v>
      </c>
      <c r="K92">
        <f t="shared" si="1"/>
        <v>2</v>
      </c>
      <c r="N92">
        <v>1.5</v>
      </c>
      <c r="O92">
        <v>2</v>
      </c>
    </row>
    <row r="93" spans="1:15" x14ac:dyDescent="0.25">
      <c r="A93" t="s">
        <v>1204</v>
      </c>
      <c r="B93">
        <v>9001060800</v>
      </c>
      <c r="C93" t="s">
        <v>1205</v>
      </c>
      <c r="D93">
        <v>2139</v>
      </c>
      <c r="E93">
        <v>0.549705636</v>
      </c>
      <c r="F93">
        <v>3891.1734959999999</v>
      </c>
      <c r="G93">
        <v>1</v>
      </c>
      <c r="H93">
        <v>154</v>
      </c>
      <c r="I93">
        <v>7.3020388809999996</v>
      </c>
      <c r="J93">
        <v>0.25600000000000001</v>
      </c>
      <c r="K93">
        <f t="shared" si="1"/>
        <v>2</v>
      </c>
      <c r="N93">
        <v>1.5</v>
      </c>
      <c r="O93">
        <v>2</v>
      </c>
    </row>
    <row r="94" spans="1:15" x14ac:dyDescent="0.25">
      <c r="A94" t="s">
        <v>1206</v>
      </c>
      <c r="B94">
        <v>9001060900</v>
      </c>
      <c r="C94" t="s">
        <v>1207</v>
      </c>
      <c r="D94">
        <v>2447</v>
      </c>
      <c r="E94">
        <v>0.57765634399999999</v>
      </c>
      <c r="F94">
        <v>4236.0826189999998</v>
      </c>
      <c r="G94">
        <v>1</v>
      </c>
      <c r="H94">
        <v>128</v>
      </c>
      <c r="I94">
        <v>4.8338368579999997</v>
      </c>
      <c r="J94">
        <v>0.13300000000000001</v>
      </c>
      <c r="K94">
        <f t="shared" si="1"/>
        <v>1</v>
      </c>
      <c r="N94">
        <v>1</v>
      </c>
      <c r="O94">
        <v>1</v>
      </c>
    </row>
    <row r="95" spans="1:15" x14ac:dyDescent="0.25">
      <c r="A95" t="s">
        <v>1208</v>
      </c>
      <c r="B95">
        <v>9001061000</v>
      </c>
      <c r="C95" t="s">
        <v>1209</v>
      </c>
      <c r="D95">
        <v>3816</v>
      </c>
      <c r="E95">
        <v>1.285617926</v>
      </c>
      <c r="F95">
        <v>2968.2224590000001</v>
      </c>
      <c r="G95">
        <v>1</v>
      </c>
      <c r="H95">
        <v>547</v>
      </c>
      <c r="I95">
        <v>14.06531242</v>
      </c>
      <c r="J95">
        <v>0.57199999999999995</v>
      </c>
      <c r="K95">
        <f t="shared" si="1"/>
        <v>3</v>
      </c>
      <c r="N95">
        <v>3</v>
      </c>
      <c r="O95">
        <v>3</v>
      </c>
    </row>
    <row r="96" spans="1:15" x14ac:dyDescent="0.25">
      <c r="A96" t="s">
        <v>1210</v>
      </c>
      <c r="B96">
        <v>9001061100</v>
      </c>
      <c r="C96" t="s">
        <v>1211</v>
      </c>
      <c r="D96">
        <v>3771</v>
      </c>
      <c r="E96">
        <v>1.045189785</v>
      </c>
      <c r="F96">
        <v>3607.957191</v>
      </c>
      <c r="G96">
        <v>1</v>
      </c>
      <c r="H96">
        <v>183</v>
      </c>
      <c r="I96">
        <v>4.7631441959999998</v>
      </c>
      <c r="J96">
        <v>0.126</v>
      </c>
      <c r="K96">
        <f t="shared" si="1"/>
        <v>1</v>
      </c>
      <c r="N96">
        <v>1</v>
      </c>
      <c r="O96">
        <v>1</v>
      </c>
    </row>
    <row r="97" spans="1:15" x14ac:dyDescent="0.25">
      <c r="A97" t="s">
        <v>1212</v>
      </c>
      <c r="B97">
        <v>9001061200</v>
      </c>
      <c r="C97" t="s">
        <v>1213</v>
      </c>
      <c r="D97">
        <v>2186</v>
      </c>
      <c r="E97">
        <v>0.30555701400000002</v>
      </c>
      <c r="F97">
        <v>7154.1476670000002</v>
      </c>
      <c r="G97">
        <v>1</v>
      </c>
      <c r="H97">
        <v>661</v>
      </c>
      <c r="I97">
        <v>26.397763579999999</v>
      </c>
      <c r="J97">
        <v>0.84399999999999997</v>
      </c>
      <c r="K97">
        <f t="shared" si="1"/>
        <v>5</v>
      </c>
      <c r="N97">
        <v>4</v>
      </c>
      <c r="O97">
        <v>4</v>
      </c>
    </row>
    <row r="98" spans="1:15" x14ac:dyDescent="0.25">
      <c r="A98" t="s">
        <v>1214</v>
      </c>
      <c r="B98">
        <v>9001061300</v>
      </c>
      <c r="C98" t="s">
        <v>1215</v>
      </c>
      <c r="D98">
        <v>2954</v>
      </c>
      <c r="E98">
        <v>0.482683317</v>
      </c>
      <c r="F98">
        <v>6119.9546229999996</v>
      </c>
      <c r="G98">
        <v>1</v>
      </c>
      <c r="H98">
        <v>571</v>
      </c>
      <c r="I98">
        <v>18.366034089999999</v>
      </c>
      <c r="J98">
        <v>0.69899999999999995</v>
      </c>
      <c r="K98">
        <f t="shared" si="1"/>
        <v>4</v>
      </c>
      <c r="N98">
        <v>3.5</v>
      </c>
      <c r="O98">
        <v>4</v>
      </c>
    </row>
    <row r="99" spans="1:15" x14ac:dyDescent="0.25">
      <c r="A99" t="s">
        <v>1216</v>
      </c>
      <c r="B99">
        <v>9001061400</v>
      </c>
      <c r="C99" t="s">
        <v>1217</v>
      </c>
      <c r="D99">
        <v>2736</v>
      </c>
      <c r="E99">
        <v>0.62377084400000005</v>
      </c>
      <c r="F99">
        <v>4386.2261719999997</v>
      </c>
      <c r="G99">
        <v>1</v>
      </c>
      <c r="H99">
        <v>858</v>
      </c>
      <c r="I99">
        <v>27.866190320000001</v>
      </c>
      <c r="J99">
        <v>0.86399999999999999</v>
      </c>
      <c r="K99">
        <f t="shared" si="1"/>
        <v>5</v>
      </c>
      <c r="N99">
        <v>4</v>
      </c>
      <c r="O99">
        <v>4</v>
      </c>
    </row>
    <row r="100" spans="1:15" x14ac:dyDescent="0.25">
      <c r="A100" t="s">
        <v>1218</v>
      </c>
      <c r="B100">
        <v>9001061500</v>
      </c>
      <c r="C100" t="s">
        <v>1219</v>
      </c>
      <c r="D100">
        <v>4692</v>
      </c>
      <c r="E100">
        <v>1.4069875999999999</v>
      </c>
      <c r="F100">
        <v>3334.7841870000002</v>
      </c>
      <c r="G100">
        <v>1</v>
      </c>
      <c r="H100">
        <v>854</v>
      </c>
      <c r="I100">
        <v>17.659222499999998</v>
      </c>
      <c r="J100">
        <v>0.68</v>
      </c>
      <c r="K100">
        <f t="shared" si="1"/>
        <v>4</v>
      </c>
      <c r="N100">
        <v>2.5</v>
      </c>
      <c r="O100">
        <v>3</v>
      </c>
    </row>
    <row r="101" spans="1:15" x14ac:dyDescent="0.25">
      <c r="A101" t="s">
        <v>1220</v>
      </c>
      <c r="B101">
        <v>9001061600</v>
      </c>
      <c r="C101" t="s">
        <v>1221</v>
      </c>
      <c r="D101">
        <v>4964</v>
      </c>
      <c r="E101">
        <v>2.0182838680000001</v>
      </c>
      <c r="F101">
        <v>2459.515273</v>
      </c>
      <c r="G101">
        <v>1</v>
      </c>
      <c r="H101">
        <v>323</v>
      </c>
      <c r="I101">
        <v>5.9583102749999997</v>
      </c>
      <c r="J101">
        <v>0.185</v>
      </c>
      <c r="K101">
        <f t="shared" si="1"/>
        <v>1</v>
      </c>
      <c r="N101">
        <v>1</v>
      </c>
      <c r="O101">
        <v>1</v>
      </c>
    </row>
    <row r="102" spans="1:15" x14ac:dyDescent="0.25">
      <c r="A102" t="s">
        <v>1222</v>
      </c>
      <c r="B102">
        <v>9001070100</v>
      </c>
      <c r="C102" t="s">
        <v>1223</v>
      </c>
      <c r="D102">
        <v>5021</v>
      </c>
      <c r="E102">
        <v>0.652231593</v>
      </c>
      <c r="F102">
        <v>7698.1858149999998</v>
      </c>
      <c r="G102">
        <v>1</v>
      </c>
      <c r="H102">
        <v>764</v>
      </c>
      <c r="I102">
        <v>15.38461538</v>
      </c>
      <c r="J102">
        <v>0.60899999999999999</v>
      </c>
      <c r="K102">
        <f t="shared" si="1"/>
        <v>4</v>
      </c>
      <c r="N102">
        <v>3.5</v>
      </c>
      <c r="O102">
        <v>4</v>
      </c>
    </row>
    <row r="103" spans="1:15" x14ac:dyDescent="0.25">
      <c r="A103" t="s">
        <v>1224</v>
      </c>
      <c r="B103">
        <v>9001070200</v>
      </c>
      <c r="C103" t="s">
        <v>1225</v>
      </c>
      <c r="D103">
        <v>4052</v>
      </c>
      <c r="E103">
        <v>0.32567255099999998</v>
      </c>
      <c r="F103">
        <v>12441.945089999999</v>
      </c>
      <c r="G103">
        <v>1</v>
      </c>
      <c r="H103">
        <v>665</v>
      </c>
      <c r="I103">
        <v>17.139175259999998</v>
      </c>
      <c r="J103">
        <v>0.66100000000000003</v>
      </c>
      <c r="K103">
        <f t="shared" si="1"/>
        <v>4</v>
      </c>
      <c r="N103">
        <v>4.5</v>
      </c>
      <c r="O103">
        <v>5</v>
      </c>
    </row>
    <row r="104" spans="1:15" x14ac:dyDescent="0.25">
      <c r="A104" t="s">
        <v>1226</v>
      </c>
      <c r="B104">
        <v>9001070300</v>
      </c>
      <c r="C104" t="s">
        <v>1227</v>
      </c>
      <c r="D104">
        <v>1297</v>
      </c>
      <c r="E104">
        <v>0.41493628500000002</v>
      </c>
      <c r="F104">
        <v>3125.7811029999998</v>
      </c>
      <c r="G104">
        <v>1</v>
      </c>
      <c r="H104">
        <v>282</v>
      </c>
      <c r="I104">
        <v>20.31700288</v>
      </c>
      <c r="J104">
        <v>0.74299999999999999</v>
      </c>
      <c r="K104">
        <f t="shared" si="1"/>
        <v>4</v>
      </c>
      <c r="N104">
        <v>4.5</v>
      </c>
      <c r="O104">
        <v>5</v>
      </c>
    </row>
    <row r="105" spans="1:15" x14ac:dyDescent="0.25">
      <c r="A105" t="s">
        <v>1228</v>
      </c>
      <c r="B105">
        <v>9001070400</v>
      </c>
      <c r="C105" t="s">
        <v>1229</v>
      </c>
      <c r="D105">
        <v>1693</v>
      </c>
      <c r="E105">
        <v>0.67282589699999995</v>
      </c>
      <c r="F105">
        <v>2516.2527289999998</v>
      </c>
      <c r="G105">
        <v>1</v>
      </c>
      <c r="H105">
        <v>429</v>
      </c>
      <c r="I105">
        <v>28.986486490000001</v>
      </c>
      <c r="J105">
        <v>0.86799999999999999</v>
      </c>
      <c r="K105">
        <f t="shared" si="1"/>
        <v>5</v>
      </c>
      <c r="N105">
        <v>5</v>
      </c>
      <c r="O105">
        <v>5</v>
      </c>
    </row>
    <row r="106" spans="1:15" x14ac:dyDescent="0.25">
      <c r="A106" t="s">
        <v>1230</v>
      </c>
      <c r="B106">
        <v>9001070500</v>
      </c>
      <c r="C106" t="s">
        <v>1231</v>
      </c>
      <c r="D106">
        <v>2801</v>
      </c>
      <c r="E106">
        <v>0.14780222900000001</v>
      </c>
      <c r="F106">
        <v>18950.999690000001</v>
      </c>
      <c r="G106">
        <v>1</v>
      </c>
      <c r="H106">
        <v>597</v>
      </c>
      <c r="I106">
        <v>32.183288410000003</v>
      </c>
      <c r="J106">
        <v>0.91</v>
      </c>
      <c r="K106">
        <f t="shared" si="1"/>
        <v>5</v>
      </c>
      <c r="N106">
        <v>5</v>
      </c>
      <c r="O106">
        <v>5</v>
      </c>
    </row>
    <row r="107" spans="1:15" x14ac:dyDescent="0.25">
      <c r="A107" t="s">
        <v>1232</v>
      </c>
      <c r="B107">
        <v>9001070600</v>
      </c>
      <c r="C107" t="s">
        <v>1233</v>
      </c>
      <c r="D107">
        <v>2445</v>
      </c>
      <c r="E107">
        <v>0.69035879700000002</v>
      </c>
      <c r="F107">
        <v>3541.6366250000001</v>
      </c>
      <c r="G107">
        <v>1</v>
      </c>
      <c r="H107">
        <v>525</v>
      </c>
      <c r="I107">
        <v>20.5399061</v>
      </c>
      <c r="J107">
        <v>0.753</v>
      </c>
      <c r="K107">
        <f t="shared" si="1"/>
        <v>4</v>
      </c>
      <c r="N107">
        <v>4.5</v>
      </c>
      <c r="O107">
        <v>5</v>
      </c>
    </row>
    <row r="108" spans="1:15" x14ac:dyDescent="0.25">
      <c r="A108" t="s">
        <v>1234</v>
      </c>
      <c r="B108">
        <v>9001070900</v>
      </c>
      <c r="C108" t="s">
        <v>1235</v>
      </c>
      <c r="D108">
        <v>2584</v>
      </c>
      <c r="E108">
        <v>0.170756776</v>
      </c>
      <c r="F108">
        <v>15132.63523</v>
      </c>
      <c r="G108">
        <v>1</v>
      </c>
      <c r="H108">
        <v>888</v>
      </c>
      <c r="I108">
        <v>30.76923077</v>
      </c>
      <c r="J108">
        <v>0.89400000000000002</v>
      </c>
      <c r="K108">
        <f t="shared" si="1"/>
        <v>5</v>
      </c>
      <c r="N108">
        <v>5</v>
      </c>
      <c r="O108">
        <v>5</v>
      </c>
    </row>
    <row r="109" spans="1:15" x14ac:dyDescent="0.25">
      <c r="A109" t="s">
        <v>1236</v>
      </c>
      <c r="B109">
        <v>9001071000</v>
      </c>
      <c r="C109" t="s">
        <v>1237</v>
      </c>
      <c r="D109">
        <v>3563</v>
      </c>
      <c r="E109">
        <v>0.44304143499999998</v>
      </c>
      <c r="F109">
        <v>8042.137189</v>
      </c>
      <c r="G109">
        <v>1</v>
      </c>
      <c r="H109">
        <v>1168</v>
      </c>
      <c r="I109">
        <v>33.894370279999997</v>
      </c>
      <c r="J109">
        <v>0.92500000000000004</v>
      </c>
      <c r="K109">
        <f t="shared" si="1"/>
        <v>5</v>
      </c>
      <c r="N109">
        <v>5</v>
      </c>
      <c r="O109">
        <v>5</v>
      </c>
    </row>
    <row r="110" spans="1:15" x14ac:dyDescent="0.25">
      <c r="A110" t="s">
        <v>1238</v>
      </c>
      <c r="B110">
        <v>9001071100</v>
      </c>
      <c r="C110" t="s">
        <v>1239</v>
      </c>
      <c r="D110">
        <v>4576</v>
      </c>
      <c r="E110">
        <v>0.255891533</v>
      </c>
      <c r="F110">
        <v>17882.576830000002</v>
      </c>
      <c r="G110">
        <v>1</v>
      </c>
      <c r="H110">
        <v>1300</v>
      </c>
      <c r="I110">
        <v>26.321117640000001</v>
      </c>
      <c r="J110">
        <v>0.84799999999999998</v>
      </c>
      <c r="K110">
        <f t="shared" si="1"/>
        <v>5</v>
      </c>
      <c r="N110">
        <v>5</v>
      </c>
      <c r="O110">
        <v>5</v>
      </c>
    </row>
    <row r="111" spans="1:15" x14ac:dyDescent="0.25">
      <c r="A111" t="s">
        <v>1240</v>
      </c>
      <c r="B111">
        <v>9001071200</v>
      </c>
      <c r="C111" t="s">
        <v>1241</v>
      </c>
      <c r="D111">
        <v>5205</v>
      </c>
      <c r="E111">
        <v>0.214841536</v>
      </c>
      <c r="F111">
        <v>24227.158759999998</v>
      </c>
      <c r="G111">
        <v>1</v>
      </c>
      <c r="H111">
        <v>1849</v>
      </c>
      <c r="I111">
        <v>33.569353669999998</v>
      </c>
      <c r="J111">
        <v>0.92</v>
      </c>
      <c r="K111">
        <f t="shared" si="1"/>
        <v>5</v>
      </c>
      <c r="N111">
        <v>5</v>
      </c>
      <c r="O111">
        <v>5</v>
      </c>
    </row>
    <row r="112" spans="1:15" x14ac:dyDescent="0.25">
      <c r="A112" t="s">
        <v>1242</v>
      </c>
      <c r="B112">
        <v>9001071300</v>
      </c>
      <c r="C112" t="s">
        <v>1243</v>
      </c>
      <c r="D112">
        <v>3030</v>
      </c>
      <c r="E112">
        <v>0.119666192</v>
      </c>
      <c r="F112">
        <v>25320.434799999999</v>
      </c>
      <c r="G112">
        <v>1</v>
      </c>
      <c r="H112">
        <v>664</v>
      </c>
      <c r="I112">
        <v>24.60170433</v>
      </c>
      <c r="J112">
        <v>0.81699999999999995</v>
      </c>
      <c r="K112">
        <f t="shared" si="1"/>
        <v>5</v>
      </c>
      <c r="N112">
        <v>5</v>
      </c>
      <c r="O112">
        <v>5</v>
      </c>
    </row>
    <row r="113" spans="1:15" x14ac:dyDescent="0.25">
      <c r="A113" t="s">
        <v>1244</v>
      </c>
      <c r="B113">
        <v>9001071400</v>
      </c>
      <c r="C113" t="s">
        <v>1245</v>
      </c>
      <c r="D113">
        <v>3861</v>
      </c>
      <c r="E113">
        <v>0.22587710799999999</v>
      </c>
      <c r="F113">
        <v>17093.36563</v>
      </c>
      <c r="G113">
        <v>1</v>
      </c>
      <c r="H113">
        <v>1007</v>
      </c>
      <c r="I113">
        <v>27.725770929999999</v>
      </c>
      <c r="J113">
        <v>0.86699999999999999</v>
      </c>
      <c r="K113">
        <f t="shared" si="1"/>
        <v>5</v>
      </c>
      <c r="N113">
        <v>5</v>
      </c>
      <c r="O113">
        <v>5</v>
      </c>
    </row>
    <row r="114" spans="1:15" x14ac:dyDescent="0.25">
      <c r="A114" t="s">
        <v>1246</v>
      </c>
      <c r="B114">
        <v>9001071600</v>
      </c>
      <c r="C114" t="s">
        <v>1247</v>
      </c>
      <c r="D114">
        <v>2448</v>
      </c>
      <c r="E114">
        <v>6.6529651999999995E-2</v>
      </c>
      <c r="F114">
        <v>36795.623169999999</v>
      </c>
      <c r="G114">
        <v>1</v>
      </c>
      <c r="H114">
        <v>565</v>
      </c>
      <c r="I114">
        <v>21.672420410000001</v>
      </c>
      <c r="J114">
        <v>0.78</v>
      </c>
      <c r="K114">
        <f t="shared" si="1"/>
        <v>4</v>
      </c>
      <c r="N114">
        <v>4.5</v>
      </c>
      <c r="O114">
        <v>5</v>
      </c>
    </row>
    <row r="115" spans="1:15" x14ac:dyDescent="0.25">
      <c r="A115" t="s">
        <v>1248</v>
      </c>
      <c r="B115">
        <v>9001071900</v>
      </c>
      <c r="C115" t="s">
        <v>1249</v>
      </c>
      <c r="D115">
        <v>4831</v>
      </c>
      <c r="E115">
        <v>0.19074374099999999</v>
      </c>
      <c r="F115">
        <v>25327.174449999999</v>
      </c>
      <c r="G115">
        <v>1</v>
      </c>
      <c r="H115">
        <v>1373</v>
      </c>
      <c r="I115">
        <v>27.74297838</v>
      </c>
      <c r="J115">
        <v>0.86799999999999999</v>
      </c>
      <c r="K115">
        <f t="shared" si="1"/>
        <v>5</v>
      </c>
      <c r="N115">
        <v>5</v>
      </c>
      <c r="O115">
        <v>5</v>
      </c>
    </row>
    <row r="116" spans="1:15" x14ac:dyDescent="0.25">
      <c r="A116" t="s">
        <v>1250</v>
      </c>
      <c r="B116">
        <v>9001072000</v>
      </c>
      <c r="C116" t="s">
        <v>1251</v>
      </c>
      <c r="D116">
        <v>3565</v>
      </c>
      <c r="E116">
        <v>0.26560316099999998</v>
      </c>
      <c r="F116">
        <v>13422.28001</v>
      </c>
      <c r="G116">
        <v>1</v>
      </c>
      <c r="H116">
        <v>818</v>
      </c>
      <c r="I116">
        <v>23.251847640000001</v>
      </c>
      <c r="J116">
        <v>0.80600000000000005</v>
      </c>
      <c r="K116">
        <f t="shared" si="1"/>
        <v>5</v>
      </c>
      <c r="N116">
        <v>4.5</v>
      </c>
      <c r="O116">
        <v>5</v>
      </c>
    </row>
    <row r="117" spans="1:15" x14ac:dyDescent="0.25">
      <c r="A117" t="s">
        <v>1252</v>
      </c>
      <c r="B117">
        <v>9001072100</v>
      </c>
      <c r="C117" t="s">
        <v>1253</v>
      </c>
      <c r="D117">
        <v>6094</v>
      </c>
      <c r="E117">
        <v>0.50058726099999995</v>
      </c>
      <c r="F117">
        <v>12173.701709999999</v>
      </c>
      <c r="G117">
        <v>1</v>
      </c>
      <c r="H117">
        <v>1196</v>
      </c>
      <c r="I117">
        <v>22.894333840000002</v>
      </c>
      <c r="J117">
        <v>0.80100000000000005</v>
      </c>
      <c r="K117">
        <f t="shared" si="1"/>
        <v>5</v>
      </c>
      <c r="N117">
        <v>4.5</v>
      </c>
      <c r="O117">
        <v>5</v>
      </c>
    </row>
    <row r="118" spans="1:15" x14ac:dyDescent="0.25">
      <c r="A118" t="s">
        <v>1254</v>
      </c>
      <c r="B118">
        <v>9001072200</v>
      </c>
      <c r="C118" t="s">
        <v>1255</v>
      </c>
      <c r="D118">
        <v>3828</v>
      </c>
      <c r="E118">
        <v>0.34812130400000002</v>
      </c>
      <c r="F118">
        <v>10996.167009999999</v>
      </c>
      <c r="G118">
        <v>1</v>
      </c>
      <c r="H118">
        <v>728</v>
      </c>
      <c r="I118">
        <v>18.743563340000001</v>
      </c>
      <c r="J118">
        <v>0.72099999999999997</v>
      </c>
      <c r="K118">
        <f t="shared" si="1"/>
        <v>4</v>
      </c>
      <c r="N118">
        <v>4</v>
      </c>
      <c r="O118">
        <v>4</v>
      </c>
    </row>
    <row r="119" spans="1:15" x14ac:dyDescent="0.25">
      <c r="A119" t="s">
        <v>1256</v>
      </c>
      <c r="B119">
        <v>9001072300</v>
      </c>
      <c r="C119" t="s">
        <v>1257</v>
      </c>
      <c r="D119">
        <v>5396</v>
      </c>
      <c r="E119">
        <v>0.354385426</v>
      </c>
      <c r="F119">
        <v>15226.3598</v>
      </c>
      <c r="G119">
        <v>1</v>
      </c>
      <c r="H119">
        <v>1363</v>
      </c>
      <c r="I119">
        <v>24.209591469999999</v>
      </c>
      <c r="J119">
        <v>0.81599999999999995</v>
      </c>
      <c r="K119">
        <f t="shared" si="1"/>
        <v>5</v>
      </c>
      <c r="N119">
        <v>4</v>
      </c>
      <c r="O119">
        <v>4</v>
      </c>
    </row>
    <row r="120" spans="1:15" x14ac:dyDescent="0.25">
      <c r="A120" t="s">
        <v>1258</v>
      </c>
      <c r="B120">
        <v>9001072400</v>
      </c>
      <c r="C120" t="s">
        <v>1259</v>
      </c>
      <c r="D120">
        <v>2836</v>
      </c>
      <c r="E120">
        <v>0.263953347</v>
      </c>
      <c r="F120">
        <v>10744.32296</v>
      </c>
      <c r="G120">
        <v>1</v>
      </c>
      <c r="H120">
        <v>928</v>
      </c>
      <c r="I120">
        <v>30.697982140000001</v>
      </c>
      <c r="J120">
        <v>0.89400000000000002</v>
      </c>
      <c r="K120">
        <f t="shared" si="1"/>
        <v>5</v>
      </c>
      <c r="N120">
        <v>4.5</v>
      </c>
      <c r="O120">
        <v>5</v>
      </c>
    </row>
    <row r="121" spans="1:15" x14ac:dyDescent="0.25">
      <c r="A121" t="s">
        <v>1260</v>
      </c>
      <c r="B121">
        <v>9001072500</v>
      </c>
      <c r="C121" t="s">
        <v>1261</v>
      </c>
      <c r="D121">
        <v>5726</v>
      </c>
      <c r="E121">
        <v>0.55808598300000001</v>
      </c>
      <c r="F121">
        <v>10260.06775</v>
      </c>
      <c r="G121">
        <v>1</v>
      </c>
      <c r="H121">
        <v>1147</v>
      </c>
      <c r="I121">
        <v>20.22570975</v>
      </c>
      <c r="J121">
        <v>0.754</v>
      </c>
      <c r="K121">
        <f t="shared" si="1"/>
        <v>4</v>
      </c>
      <c r="N121">
        <v>4</v>
      </c>
      <c r="O121">
        <v>4</v>
      </c>
    </row>
    <row r="122" spans="1:15" x14ac:dyDescent="0.25">
      <c r="A122" t="s">
        <v>1262</v>
      </c>
      <c r="B122">
        <v>9001072600</v>
      </c>
      <c r="C122" t="s">
        <v>1263</v>
      </c>
      <c r="D122">
        <v>7583</v>
      </c>
      <c r="E122">
        <v>1.1663131259999999</v>
      </c>
      <c r="F122">
        <v>6501.6845240000002</v>
      </c>
      <c r="G122">
        <v>1</v>
      </c>
      <c r="H122">
        <v>905</v>
      </c>
      <c r="I122">
        <v>12.338104980000001</v>
      </c>
      <c r="J122">
        <v>0.51600000000000001</v>
      </c>
      <c r="K122">
        <f t="shared" si="1"/>
        <v>3</v>
      </c>
      <c r="N122">
        <v>3.5</v>
      </c>
      <c r="O122">
        <v>4</v>
      </c>
    </row>
    <row r="123" spans="1:15" x14ac:dyDescent="0.25">
      <c r="A123" t="s">
        <v>1264</v>
      </c>
      <c r="B123">
        <v>9001072700</v>
      </c>
      <c r="C123" t="s">
        <v>1265</v>
      </c>
      <c r="D123">
        <v>3726</v>
      </c>
      <c r="E123">
        <v>0.69267232099999998</v>
      </c>
      <c r="F123">
        <v>5379.1668669999999</v>
      </c>
      <c r="G123">
        <v>1</v>
      </c>
      <c r="H123">
        <v>773</v>
      </c>
      <c r="I123">
        <v>19.907288179999998</v>
      </c>
      <c r="J123">
        <v>0.75</v>
      </c>
      <c r="K123">
        <f t="shared" si="1"/>
        <v>4</v>
      </c>
      <c r="N123">
        <v>3.5</v>
      </c>
      <c r="O123">
        <v>4</v>
      </c>
    </row>
    <row r="124" spans="1:15" x14ac:dyDescent="0.25">
      <c r="A124" t="s">
        <v>1266</v>
      </c>
      <c r="B124">
        <v>9001072800</v>
      </c>
      <c r="C124" t="s">
        <v>1267</v>
      </c>
      <c r="D124">
        <v>5469</v>
      </c>
      <c r="E124">
        <v>0.57813742800000001</v>
      </c>
      <c r="F124">
        <v>9459.6885419999999</v>
      </c>
      <c r="G124">
        <v>1</v>
      </c>
      <c r="H124">
        <v>1924</v>
      </c>
      <c r="I124">
        <v>34.308131240000002</v>
      </c>
      <c r="J124">
        <v>0.93</v>
      </c>
      <c r="K124">
        <f t="shared" si="1"/>
        <v>5</v>
      </c>
      <c r="N124">
        <v>5</v>
      </c>
      <c r="O124">
        <v>5</v>
      </c>
    </row>
    <row r="125" spans="1:15" x14ac:dyDescent="0.25">
      <c r="A125" t="s">
        <v>1268</v>
      </c>
      <c r="B125">
        <v>9001072900</v>
      </c>
      <c r="C125" t="s">
        <v>1269</v>
      </c>
      <c r="D125">
        <v>4594</v>
      </c>
      <c r="E125">
        <v>0.79469595999999998</v>
      </c>
      <c r="F125">
        <v>5780.8271729999997</v>
      </c>
      <c r="G125">
        <v>1</v>
      </c>
      <c r="H125">
        <v>979</v>
      </c>
      <c r="I125">
        <v>21.535415749999999</v>
      </c>
      <c r="J125">
        <v>0.78400000000000003</v>
      </c>
      <c r="K125">
        <f t="shared" si="1"/>
        <v>4</v>
      </c>
      <c r="N125">
        <v>3.5</v>
      </c>
      <c r="O125">
        <v>4</v>
      </c>
    </row>
    <row r="126" spans="1:15" x14ac:dyDescent="0.25">
      <c r="A126" t="s">
        <v>1270</v>
      </c>
      <c r="B126">
        <v>9001073000</v>
      </c>
      <c r="C126" t="s">
        <v>1271</v>
      </c>
      <c r="D126">
        <v>1899</v>
      </c>
      <c r="E126">
        <v>0.46758903899999998</v>
      </c>
      <c r="F126">
        <v>4061.2585869999998</v>
      </c>
      <c r="G126">
        <v>1</v>
      </c>
      <c r="H126">
        <v>432</v>
      </c>
      <c r="I126">
        <v>20.532319390000001</v>
      </c>
      <c r="J126">
        <v>0.76600000000000001</v>
      </c>
      <c r="K126">
        <f t="shared" si="1"/>
        <v>4</v>
      </c>
      <c r="N126">
        <v>3.5</v>
      </c>
      <c r="O126">
        <v>4</v>
      </c>
    </row>
    <row r="127" spans="1:15" x14ac:dyDescent="0.25">
      <c r="A127" t="s">
        <v>1272</v>
      </c>
      <c r="B127">
        <v>9001073100</v>
      </c>
      <c r="C127" t="s">
        <v>1273</v>
      </c>
      <c r="D127">
        <v>5853</v>
      </c>
      <c r="E127">
        <v>1.2706761579999999</v>
      </c>
      <c r="F127">
        <v>4606.2090369999996</v>
      </c>
      <c r="G127">
        <v>1</v>
      </c>
      <c r="H127">
        <v>1768</v>
      </c>
      <c r="I127">
        <v>29.107672040000001</v>
      </c>
      <c r="J127">
        <v>0.874</v>
      </c>
      <c r="K127">
        <f t="shared" si="1"/>
        <v>5</v>
      </c>
      <c r="N127">
        <v>5</v>
      </c>
      <c r="O127">
        <v>5</v>
      </c>
    </row>
    <row r="128" spans="1:15" x14ac:dyDescent="0.25">
      <c r="A128" t="s">
        <v>1274</v>
      </c>
      <c r="B128">
        <v>9001073200</v>
      </c>
      <c r="C128" t="s">
        <v>1275</v>
      </c>
      <c r="D128">
        <v>2460</v>
      </c>
      <c r="E128">
        <v>0.151589892</v>
      </c>
      <c r="F128">
        <v>16227.994989999999</v>
      </c>
      <c r="G128">
        <v>1</v>
      </c>
      <c r="H128">
        <v>677</v>
      </c>
      <c r="I128">
        <v>25.12059369</v>
      </c>
      <c r="J128">
        <v>0.83399999999999996</v>
      </c>
      <c r="K128">
        <f t="shared" si="1"/>
        <v>5</v>
      </c>
      <c r="N128">
        <v>5</v>
      </c>
      <c r="O128">
        <v>5</v>
      </c>
    </row>
    <row r="129" spans="1:15" x14ac:dyDescent="0.25">
      <c r="A129" t="s">
        <v>1276</v>
      </c>
      <c r="B129">
        <v>9001073300</v>
      </c>
      <c r="C129" t="s">
        <v>1277</v>
      </c>
      <c r="D129">
        <v>3351</v>
      </c>
      <c r="E129">
        <v>0.19406151699999999</v>
      </c>
      <c r="F129">
        <v>17267.72033</v>
      </c>
      <c r="G129">
        <v>1</v>
      </c>
      <c r="H129">
        <v>846</v>
      </c>
      <c r="I129">
        <v>23.710762330000001</v>
      </c>
      <c r="J129">
        <v>0.81499999999999995</v>
      </c>
      <c r="K129">
        <f t="shared" si="1"/>
        <v>5</v>
      </c>
      <c r="N129">
        <v>5</v>
      </c>
      <c r="O129">
        <v>5</v>
      </c>
    </row>
    <row r="130" spans="1:15" x14ac:dyDescent="0.25">
      <c r="A130" t="s">
        <v>1278</v>
      </c>
      <c r="B130">
        <v>9001073400</v>
      </c>
      <c r="C130" t="s">
        <v>1279</v>
      </c>
      <c r="D130">
        <v>4113</v>
      </c>
      <c r="E130">
        <v>0.51059155499999997</v>
      </c>
      <c r="F130">
        <v>8055.3623749999997</v>
      </c>
      <c r="G130">
        <v>1</v>
      </c>
      <c r="H130">
        <v>1482</v>
      </c>
      <c r="I130">
        <v>36.819875779999997</v>
      </c>
      <c r="J130">
        <v>0.94699999999999995</v>
      </c>
      <c r="K130">
        <f t="shared" si="1"/>
        <v>5</v>
      </c>
      <c r="N130">
        <v>4.5</v>
      </c>
      <c r="O130">
        <v>5</v>
      </c>
    </row>
    <row r="131" spans="1:15" x14ac:dyDescent="0.25">
      <c r="A131" t="s">
        <v>1280</v>
      </c>
      <c r="B131">
        <v>9001073500</v>
      </c>
      <c r="C131" t="s">
        <v>1281</v>
      </c>
      <c r="D131">
        <v>3456</v>
      </c>
      <c r="E131">
        <v>0.17150658599999999</v>
      </c>
      <c r="F131">
        <v>20150.82964</v>
      </c>
      <c r="G131">
        <v>1</v>
      </c>
      <c r="H131">
        <v>1398</v>
      </c>
      <c r="I131">
        <v>40.734265729999997</v>
      </c>
      <c r="J131">
        <v>0.96899999999999997</v>
      </c>
      <c r="K131">
        <f t="shared" ref="K131:K194" si="2">IF(J131&lt;0.2,1,IF(J131&lt;0.4,2,IF(J131&lt;0.6,3,IF(J131&lt;0.8,4,5))))</f>
        <v>5</v>
      </c>
      <c r="N131">
        <v>5</v>
      </c>
      <c r="O131">
        <v>5</v>
      </c>
    </row>
    <row r="132" spans="1:15" x14ac:dyDescent="0.25">
      <c r="A132" t="s">
        <v>1282</v>
      </c>
      <c r="B132">
        <v>9001073600</v>
      </c>
      <c r="C132" t="s">
        <v>1283</v>
      </c>
      <c r="D132">
        <v>2304</v>
      </c>
      <c r="E132">
        <v>0.10411129299999999</v>
      </c>
      <c r="F132">
        <v>22130.164069999999</v>
      </c>
      <c r="G132">
        <v>1</v>
      </c>
      <c r="H132">
        <v>1028</v>
      </c>
      <c r="I132">
        <v>42.426743709999997</v>
      </c>
      <c r="J132">
        <v>0.97499999999999998</v>
      </c>
      <c r="K132">
        <f t="shared" si="2"/>
        <v>5</v>
      </c>
      <c r="N132">
        <v>5</v>
      </c>
      <c r="O132">
        <v>5</v>
      </c>
    </row>
    <row r="133" spans="1:15" x14ac:dyDescent="0.25">
      <c r="A133" t="s">
        <v>1284</v>
      </c>
      <c r="B133">
        <v>9001073700</v>
      </c>
      <c r="C133" t="s">
        <v>1285</v>
      </c>
      <c r="D133">
        <v>4824</v>
      </c>
      <c r="E133">
        <v>0.34029887399999997</v>
      </c>
      <c r="F133">
        <v>14175.77421</v>
      </c>
      <c r="G133">
        <v>1</v>
      </c>
      <c r="H133">
        <v>1102</v>
      </c>
      <c r="I133">
        <v>25.096788889999999</v>
      </c>
      <c r="J133">
        <v>0.83699999999999997</v>
      </c>
      <c r="K133">
        <f t="shared" si="2"/>
        <v>5</v>
      </c>
      <c r="N133">
        <v>5</v>
      </c>
      <c r="O133">
        <v>5</v>
      </c>
    </row>
    <row r="134" spans="1:15" x14ac:dyDescent="0.25">
      <c r="A134" t="s">
        <v>1286</v>
      </c>
      <c r="B134">
        <v>9001073800</v>
      </c>
      <c r="C134" t="s">
        <v>1287</v>
      </c>
      <c r="D134">
        <v>2274</v>
      </c>
      <c r="E134">
        <v>0.20379013300000001</v>
      </c>
      <c r="F134">
        <v>11158.538259999999</v>
      </c>
      <c r="G134">
        <v>1</v>
      </c>
      <c r="H134">
        <v>982</v>
      </c>
      <c r="I134">
        <v>44.738041000000003</v>
      </c>
      <c r="J134">
        <v>0.98199999999999998</v>
      </c>
      <c r="K134">
        <f t="shared" si="2"/>
        <v>5</v>
      </c>
      <c r="N134">
        <v>5</v>
      </c>
      <c r="O134">
        <v>5</v>
      </c>
    </row>
    <row r="135" spans="1:15" x14ac:dyDescent="0.25">
      <c r="A135" t="s">
        <v>1288</v>
      </c>
      <c r="B135">
        <v>9001073900</v>
      </c>
      <c r="C135" t="s">
        <v>1289</v>
      </c>
      <c r="D135">
        <v>3395</v>
      </c>
      <c r="E135">
        <v>0.19696925200000001</v>
      </c>
      <c r="F135">
        <v>17236.192749999998</v>
      </c>
      <c r="G135">
        <v>1</v>
      </c>
      <c r="H135">
        <v>1475</v>
      </c>
      <c r="I135">
        <v>38.094008260000003</v>
      </c>
      <c r="J135">
        <v>0.95799999999999996</v>
      </c>
      <c r="K135">
        <f t="shared" si="2"/>
        <v>5</v>
      </c>
      <c r="N135">
        <v>5</v>
      </c>
      <c r="O135">
        <v>5</v>
      </c>
    </row>
    <row r="136" spans="1:15" x14ac:dyDescent="0.25">
      <c r="A136" t="s">
        <v>1290</v>
      </c>
      <c r="B136">
        <v>9001074000</v>
      </c>
      <c r="C136" t="s">
        <v>1291</v>
      </c>
      <c r="D136">
        <v>1919</v>
      </c>
      <c r="E136">
        <v>0.36570323900000001</v>
      </c>
      <c r="F136">
        <v>5247.4241309999998</v>
      </c>
      <c r="G136">
        <v>1</v>
      </c>
      <c r="H136">
        <v>824</v>
      </c>
      <c r="I136">
        <v>38.558727189999999</v>
      </c>
      <c r="J136">
        <v>0.96099999999999997</v>
      </c>
      <c r="K136">
        <f t="shared" si="2"/>
        <v>5</v>
      </c>
      <c r="N136">
        <v>5</v>
      </c>
      <c r="O136">
        <v>5</v>
      </c>
    </row>
    <row r="137" spans="1:15" x14ac:dyDescent="0.25">
      <c r="A137" t="s">
        <v>1292</v>
      </c>
      <c r="B137">
        <v>9001074300</v>
      </c>
      <c r="C137" t="s">
        <v>1293</v>
      </c>
      <c r="D137">
        <v>4267</v>
      </c>
      <c r="E137">
        <v>0.541787452</v>
      </c>
      <c r="F137">
        <v>7875.7822500000002</v>
      </c>
      <c r="G137">
        <v>1</v>
      </c>
      <c r="H137">
        <v>1825</v>
      </c>
      <c r="I137">
        <v>36.661309760000002</v>
      </c>
      <c r="J137">
        <v>0.95199999999999996</v>
      </c>
      <c r="K137">
        <f t="shared" si="2"/>
        <v>5</v>
      </c>
      <c r="N137">
        <v>5</v>
      </c>
      <c r="O137">
        <v>5</v>
      </c>
    </row>
    <row r="138" spans="1:15" x14ac:dyDescent="0.25">
      <c r="A138" t="s">
        <v>1294</v>
      </c>
      <c r="B138">
        <v>9001074400</v>
      </c>
      <c r="C138" t="s">
        <v>1295</v>
      </c>
      <c r="D138">
        <v>4168</v>
      </c>
      <c r="E138">
        <v>0.74169030899999999</v>
      </c>
      <c r="F138">
        <v>5619.5961429999998</v>
      </c>
      <c r="G138">
        <v>1</v>
      </c>
      <c r="H138">
        <v>1817</v>
      </c>
      <c r="I138">
        <v>40.057319219999997</v>
      </c>
      <c r="J138">
        <v>0.96899999999999997</v>
      </c>
      <c r="K138">
        <f t="shared" si="2"/>
        <v>5</v>
      </c>
      <c r="N138">
        <v>5</v>
      </c>
      <c r="O138">
        <v>5</v>
      </c>
    </row>
    <row r="139" spans="1:15" x14ac:dyDescent="0.25">
      <c r="A139" t="s">
        <v>1296</v>
      </c>
      <c r="B139">
        <v>9001080100</v>
      </c>
      <c r="C139" t="s">
        <v>1297</v>
      </c>
      <c r="D139">
        <v>4843</v>
      </c>
      <c r="E139">
        <v>0.46095001200000002</v>
      </c>
      <c r="F139">
        <v>10506.562260000001</v>
      </c>
      <c r="G139">
        <v>1</v>
      </c>
      <c r="H139">
        <v>1221</v>
      </c>
      <c r="I139">
        <v>23.507893719999998</v>
      </c>
      <c r="J139">
        <v>0.82399999999999995</v>
      </c>
      <c r="K139">
        <f t="shared" si="2"/>
        <v>5</v>
      </c>
      <c r="N139">
        <v>4.5</v>
      </c>
      <c r="O139">
        <v>5</v>
      </c>
    </row>
    <row r="140" spans="1:15" x14ac:dyDescent="0.25">
      <c r="A140" t="s">
        <v>1298</v>
      </c>
      <c r="B140">
        <v>9001080200</v>
      </c>
      <c r="C140" t="s">
        <v>1299</v>
      </c>
      <c r="D140">
        <v>4298</v>
      </c>
      <c r="E140">
        <v>0.51813830800000005</v>
      </c>
      <c r="F140">
        <v>8295.0824790000006</v>
      </c>
      <c r="G140">
        <v>1</v>
      </c>
      <c r="H140">
        <v>680</v>
      </c>
      <c r="I140">
        <v>15.95120807</v>
      </c>
      <c r="J140">
        <v>0.66100000000000003</v>
      </c>
      <c r="K140">
        <f t="shared" si="2"/>
        <v>4</v>
      </c>
      <c r="N140">
        <v>4</v>
      </c>
      <c r="O140">
        <v>4</v>
      </c>
    </row>
    <row r="141" spans="1:15" x14ac:dyDescent="0.25">
      <c r="A141" t="s">
        <v>1300</v>
      </c>
      <c r="B141">
        <v>9001080400</v>
      </c>
      <c r="C141" t="s">
        <v>1301</v>
      </c>
      <c r="D141">
        <v>5956</v>
      </c>
      <c r="E141">
        <v>1.407424668</v>
      </c>
      <c r="F141">
        <v>4231.8428379999996</v>
      </c>
      <c r="G141">
        <v>1</v>
      </c>
      <c r="H141">
        <v>866</v>
      </c>
      <c r="I141">
        <v>13.71772533</v>
      </c>
      <c r="J141">
        <v>0.59499999999999997</v>
      </c>
      <c r="K141">
        <f t="shared" si="2"/>
        <v>3</v>
      </c>
      <c r="N141">
        <v>3.5</v>
      </c>
      <c r="O141">
        <v>4</v>
      </c>
    </row>
    <row r="142" spans="1:15" x14ac:dyDescent="0.25">
      <c r="A142" t="s">
        <v>1302</v>
      </c>
      <c r="B142">
        <v>9001080500</v>
      </c>
      <c r="C142" t="s">
        <v>1303</v>
      </c>
      <c r="D142">
        <v>3189</v>
      </c>
      <c r="E142">
        <v>3.224243124</v>
      </c>
      <c r="F142">
        <v>989.06933419999996</v>
      </c>
      <c r="G142">
        <v>1</v>
      </c>
      <c r="H142">
        <v>138</v>
      </c>
      <c r="I142">
        <v>4.5559590620000003</v>
      </c>
      <c r="J142">
        <v>0.126</v>
      </c>
      <c r="K142">
        <f t="shared" si="2"/>
        <v>1</v>
      </c>
      <c r="N142">
        <v>1.5</v>
      </c>
      <c r="O142">
        <v>2</v>
      </c>
    </row>
    <row r="143" spans="1:15" x14ac:dyDescent="0.25">
      <c r="A143" t="s">
        <v>1304</v>
      </c>
      <c r="B143">
        <v>9001080600</v>
      </c>
      <c r="C143" t="s">
        <v>1305</v>
      </c>
      <c r="D143">
        <v>2580</v>
      </c>
      <c r="E143">
        <v>0.659164058</v>
      </c>
      <c r="F143">
        <v>3914.0483599999998</v>
      </c>
      <c r="G143">
        <v>1</v>
      </c>
      <c r="H143">
        <v>216</v>
      </c>
      <c r="I143">
        <v>8.1880212280000002</v>
      </c>
      <c r="J143">
        <v>0.316</v>
      </c>
      <c r="K143">
        <f t="shared" si="2"/>
        <v>2</v>
      </c>
      <c r="N143">
        <v>2.5</v>
      </c>
      <c r="O143">
        <v>3</v>
      </c>
    </row>
    <row r="144" spans="1:15" x14ac:dyDescent="0.25">
      <c r="A144" t="s">
        <v>1306</v>
      </c>
      <c r="B144">
        <v>9001080700</v>
      </c>
      <c r="C144" t="s">
        <v>1307</v>
      </c>
      <c r="D144">
        <v>1955</v>
      </c>
      <c r="E144">
        <v>0.67561548500000002</v>
      </c>
      <c r="F144">
        <v>2893.6577710000001</v>
      </c>
      <c r="G144">
        <v>1</v>
      </c>
      <c r="H144">
        <v>88</v>
      </c>
      <c r="I144">
        <v>4.4154540889999998</v>
      </c>
      <c r="J144">
        <v>0.11899999999999999</v>
      </c>
      <c r="K144">
        <f t="shared" si="2"/>
        <v>1</v>
      </c>
      <c r="N144">
        <v>2</v>
      </c>
      <c r="O144">
        <v>2</v>
      </c>
    </row>
    <row r="145" spans="1:15" x14ac:dyDescent="0.25">
      <c r="A145" t="s">
        <v>1308</v>
      </c>
      <c r="B145">
        <v>9001080800</v>
      </c>
      <c r="C145" t="s">
        <v>1309</v>
      </c>
      <c r="D145">
        <v>4800</v>
      </c>
      <c r="E145">
        <v>1.2633398300000001</v>
      </c>
      <c r="F145">
        <v>3799.452757</v>
      </c>
      <c r="G145">
        <v>1</v>
      </c>
      <c r="H145">
        <v>354</v>
      </c>
      <c r="I145">
        <v>7.7853529799999999</v>
      </c>
      <c r="J145">
        <v>0.29199999999999998</v>
      </c>
      <c r="K145">
        <f t="shared" si="2"/>
        <v>2</v>
      </c>
      <c r="N145">
        <v>2</v>
      </c>
      <c r="O145">
        <v>2</v>
      </c>
    </row>
    <row r="146" spans="1:15" x14ac:dyDescent="0.25">
      <c r="A146" t="s">
        <v>1310</v>
      </c>
      <c r="B146">
        <v>9001080900</v>
      </c>
      <c r="C146" t="s">
        <v>1311</v>
      </c>
      <c r="D146">
        <v>4726</v>
      </c>
      <c r="E146">
        <v>0.71378438799999999</v>
      </c>
      <c r="F146">
        <v>6621.0470249999998</v>
      </c>
      <c r="G146">
        <v>1</v>
      </c>
      <c r="H146">
        <v>727</v>
      </c>
      <c r="I146">
        <v>14.41602221</v>
      </c>
      <c r="J146">
        <v>0.61299999999999999</v>
      </c>
      <c r="K146">
        <f t="shared" si="2"/>
        <v>4</v>
      </c>
      <c r="N146">
        <v>3.5</v>
      </c>
      <c r="O146">
        <v>4</v>
      </c>
    </row>
    <row r="147" spans="1:15" x14ac:dyDescent="0.25">
      <c r="A147" t="s">
        <v>1312</v>
      </c>
      <c r="B147">
        <v>9001081000</v>
      </c>
      <c r="C147" t="s">
        <v>1313</v>
      </c>
      <c r="D147">
        <v>4376</v>
      </c>
      <c r="E147">
        <v>1.0793455409999999</v>
      </c>
      <c r="F147">
        <v>4054.3086830000002</v>
      </c>
      <c r="G147">
        <v>1</v>
      </c>
      <c r="H147">
        <v>383</v>
      </c>
      <c r="I147">
        <v>9.3346331950000003</v>
      </c>
      <c r="J147">
        <v>0.38400000000000001</v>
      </c>
      <c r="K147">
        <f t="shared" si="2"/>
        <v>2</v>
      </c>
      <c r="N147">
        <v>3</v>
      </c>
      <c r="O147">
        <v>3</v>
      </c>
    </row>
    <row r="148" spans="1:15" x14ac:dyDescent="0.25">
      <c r="A148" t="s">
        <v>1314</v>
      </c>
      <c r="B148">
        <v>9001081100</v>
      </c>
      <c r="C148" t="s">
        <v>1315</v>
      </c>
      <c r="D148">
        <v>4699</v>
      </c>
      <c r="E148">
        <v>1.3121983580000001</v>
      </c>
      <c r="F148">
        <v>3581.0134750000002</v>
      </c>
      <c r="G148">
        <v>1</v>
      </c>
      <c r="H148">
        <v>221</v>
      </c>
      <c r="I148">
        <v>4.5185033739999998</v>
      </c>
      <c r="J148">
        <v>0.124</v>
      </c>
      <c r="K148">
        <f t="shared" si="2"/>
        <v>1</v>
      </c>
      <c r="N148">
        <v>1.5</v>
      </c>
      <c r="O148">
        <v>2</v>
      </c>
    </row>
    <row r="149" spans="1:15" x14ac:dyDescent="0.25">
      <c r="A149" t="s">
        <v>1316</v>
      </c>
      <c r="B149">
        <v>9001081200</v>
      </c>
      <c r="C149" t="s">
        <v>1317</v>
      </c>
      <c r="D149">
        <v>5231</v>
      </c>
      <c r="E149">
        <v>2.3155705740000001</v>
      </c>
      <c r="F149">
        <v>2259.0544460000001</v>
      </c>
      <c r="G149">
        <v>1</v>
      </c>
      <c r="H149">
        <v>561</v>
      </c>
      <c r="I149">
        <v>11.3562753</v>
      </c>
      <c r="J149">
        <v>0.47199999999999998</v>
      </c>
      <c r="K149">
        <f t="shared" si="2"/>
        <v>3</v>
      </c>
      <c r="N149">
        <v>2.5</v>
      </c>
      <c r="O149">
        <v>3</v>
      </c>
    </row>
    <row r="150" spans="1:15" x14ac:dyDescent="0.25">
      <c r="A150" t="s">
        <v>1318</v>
      </c>
      <c r="B150">
        <v>9001081300</v>
      </c>
      <c r="C150" t="s">
        <v>1319</v>
      </c>
      <c r="D150">
        <v>4731</v>
      </c>
      <c r="E150">
        <v>3.8511078040000002</v>
      </c>
      <c r="F150">
        <v>1228.4776850000001</v>
      </c>
      <c r="G150">
        <v>1</v>
      </c>
      <c r="H150">
        <v>727</v>
      </c>
      <c r="I150">
        <v>14.072783579999999</v>
      </c>
      <c r="J150">
        <v>0.60299999999999998</v>
      </c>
      <c r="K150">
        <f t="shared" si="2"/>
        <v>4</v>
      </c>
      <c r="N150">
        <v>3.5</v>
      </c>
      <c r="O150">
        <v>4</v>
      </c>
    </row>
    <row r="151" spans="1:15" x14ac:dyDescent="0.25">
      <c r="A151" t="s">
        <v>1320</v>
      </c>
      <c r="B151">
        <v>9001090100</v>
      </c>
      <c r="C151" t="s">
        <v>1321</v>
      </c>
      <c r="D151">
        <v>3315</v>
      </c>
      <c r="E151">
        <v>3.3197362300000002</v>
      </c>
      <c r="F151">
        <v>998.57331120000003</v>
      </c>
      <c r="G151">
        <v>1</v>
      </c>
      <c r="H151">
        <v>192</v>
      </c>
      <c r="I151">
        <v>5.7125855400000001</v>
      </c>
      <c r="J151">
        <v>0.184</v>
      </c>
      <c r="K151">
        <f t="shared" si="2"/>
        <v>1</v>
      </c>
      <c r="N151">
        <v>1</v>
      </c>
      <c r="O151">
        <v>1</v>
      </c>
    </row>
    <row r="152" spans="1:15" x14ac:dyDescent="0.25">
      <c r="A152" t="s">
        <v>1322</v>
      </c>
      <c r="B152">
        <v>9001090200</v>
      </c>
      <c r="C152" t="s">
        <v>1323</v>
      </c>
      <c r="D152">
        <v>7831</v>
      </c>
      <c r="E152">
        <v>3.737377934</v>
      </c>
      <c r="F152">
        <v>2095.3192690000001</v>
      </c>
      <c r="G152">
        <v>1</v>
      </c>
      <c r="H152">
        <v>930</v>
      </c>
      <c r="I152">
        <v>11.583011580000001</v>
      </c>
      <c r="J152">
        <v>0.48399999999999999</v>
      </c>
      <c r="K152">
        <f t="shared" si="2"/>
        <v>3</v>
      </c>
      <c r="N152">
        <v>2.5</v>
      </c>
      <c r="O152">
        <v>3</v>
      </c>
    </row>
    <row r="153" spans="1:15" x14ac:dyDescent="0.25">
      <c r="A153" t="s">
        <v>1324</v>
      </c>
      <c r="B153">
        <v>9001090300</v>
      </c>
      <c r="C153" t="s">
        <v>1325</v>
      </c>
      <c r="D153">
        <v>4561</v>
      </c>
      <c r="E153">
        <v>1.8396154730000001</v>
      </c>
      <c r="F153">
        <v>2479.322482</v>
      </c>
      <c r="G153">
        <v>1</v>
      </c>
      <c r="H153">
        <v>439</v>
      </c>
      <c r="I153">
        <v>9.5207113420000002</v>
      </c>
      <c r="J153">
        <v>0.40200000000000002</v>
      </c>
      <c r="K153">
        <f t="shared" si="2"/>
        <v>3</v>
      </c>
      <c r="N153">
        <v>2.5</v>
      </c>
      <c r="O153">
        <v>3</v>
      </c>
    </row>
    <row r="154" spans="1:15" x14ac:dyDescent="0.25">
      <c r="A154" t="s">
        <v>1326</v>
      </c>
      <c r="B154">
        <v>9001090400</v>
      </c>
      <c r="C154" t="s">
        <v>1327</v>
      </c>
      <c r="D154">
        <v>6552</v>
      </c>
      <c r="E154">
        <v>2.9224428840000001</v>
      </c>
      <c r="F154">
        <v>2241.9599840000001</v>
      </c>
      <c r="G154">
        <v>1</v>
      </c>
      <c r="H154">
        <v>1266</v>
      </c>
      <c r="I154">
        <v>19.423135930000001</v>
      </c>
      <c r="J154">
        <v>0.746</v>
      </c>
      <c r="K154">
        <f t="shared" si="2"/>
        <v>4</v>
      </c>
      <c r="N154">
        <v>2.5</v>
      </c>
      <c r="O154">
        <v>3</v>
      </c>
    </row>
    <row r="155" spans="1:15" x14ac:dyDescent="0.25">
      <c r="A155" t="s">
        <v>1328</v>
      </c>
      <c r="B155">
        <v>9001090500</v>
      </c>
      <c r="C155" t="s">
        <v>1329</v>
      </c>
      <c r="D155">
        <v>4718</v>
      </c>
      <c r="E155">
        <v>3.3672592309999998</v>
      </c>
      <c r="F155">
        <v>1401.139525</v>
      </c>
      <c r="G155">
        <v>1</v>
      </c>
      <c r="H155">
        <v>627</v>
      </c>
      <c r="I155">
        <v>13.17226891</v>
      </c>
      <c r="J155">
        <v>0.56200000000000006</v>
      </c>
      <c r="K155">
        <f t="shared" si="2"/>
        <v>3</v>
      </c>
      <c r="N155">
        <v>2</v>
      </c>
      <c r="O155">
        <v>2</v>
      </c>
    </row>
    <row r="156" spans="1:15" x14ac:dyDescent="0.25">
      <c r="A156" t="s">
        <v>1330</v>
      </c>
      <c r="B156">
        <v>9001090600</v>
      </c>
      <c r="C156" t="s">
        <v>1331</v>
      </c>
      <c r="D156">
        <v>3494</v>
      </c>
      <c r="E156">
        <v>3.183600465</v>
      </c>
      <c r="F156">
        <v>1097.4995260000001</v>
      </c>
      <c r="G156">
        <v>1</v>
      </c>
      <c r="H156">
        <v>269</v>
      </c>
      <c r="I156">
        <v>8.2515337419999994</v>
      </c>
      <c r="J156">
        <v>0.32</v>
      </c>
      <c r="K156">
        <f t="shared" si="2"/>
        <v>2</v>
      </c>
      <c r="N156">
        <v>2</v>
      </c>
      <c r="O156">
        <v>2</v>
      </c>
    </row>
    <row r="157" spans="1:15" x14ac:dyDescent="0.25">
      <c r="A157" t="s">
        <v>1332</v>
      </c>
      <c r="B157">
        <v>9001090700</v>
      </c>
      <c r="C157" t="s">
        <v>1333</v>
      </c>
      <c r="D157">
        <v>5547</v>
      </c>
      <c r="E157">
        <v>4.9528511330000002</v>
      </c>
      <c r="F157">
        <v>1119.9609780000001</v>
      </c>
      <c r="G157">
        <v>1</v>
      </c>
      <c r="H157">
        <v>733</v>
      </c>
      <c r="I157">
        <v>13.481699470000001</v>
      </c>
      <c r="J157">
        <v>0.57699999999999996</v>
      </c>
      <c r="K157">
        <f t="shared" si="2"/>
        <v>3</v>
      </c>
      <c r="N157">
        <v>2</v>
      </c>
      <c r="O157">
        <v>2</v>
      </c>
    </row>
    <row r="158" spans="1:15" x14ac:dyDescent="0.25">
      <c r="A158" t="s">
        <v>1334</v>
      </c>
      <c r="B158">
        <v>9001100100</v>
      </c>
      <c r="C158" t="s">
        <v>1335</v>
      </c>
      <c r="D158">
        <v>5574</v>
      </c>
      <c r="E158">
        <v>7.9805365889999997</v>
      </c>
      <c r="F158">
        <v>698.44927559999996</v>
      </c>
      <c r="G158">
        <v>1</v>
      </c>
      <c r="H158">
        <v>648</v>
      </c>
      <c r="I158">
        <v>11.45685997</v>
      </c>
      <c r="J158">
        <v>0.47899999999999998</v>
      </c>
      <c r="K158">
        <f t="shared" si="2"/>
        <v>3</v>
      </c>
      <c r="N158">
        <v>2</v>
      </c>
      <c r="O158">
        <v>2</v>
      </c>
    </row>
    <row r="159" spans="1:15" x14ac:dyDescent="0.25">
      <c r="A159" t="s">
        <v>1336</v>
      </c>
      <c r="B159">
        <v>9001100200</v>
      </c>
      <c r="C159" t="s">
        <v>1337</v>
      </c>
      <c r="D159">
        <v>6979</v>
      </c>
      <c r="E159">
        <v>6.3212848859999999</v>
      </c>
      <c r="F159">
        <v>1104.0476940000001</v>
      </c>
      <c r="G159">
        <v>1</v>
      </c>
      <c r="H159">
        <v>1018</v>
      </c>
      <c r="I159">
        <v>14.07438131</v>
      </c>
      <c r="J159">
        <v>0.60099999999999998</v>
      </c>
      <c r="K159">
        <f t="shared" si="2"/>
        <v>4</v>
      </c>
      <c r="N159">
        <v>3</v>
      </c>
      <c r="O159">
        <v>3</v>
      </c>
    </row>
    <row r="160" spans="1:15" x14ac:dyDescent="0.25">
      <c r="A160" t="s">
        <v>1338</v>
      </c>
      <c r="B160">
        <v>9001100300</v>
      </c>
      <c r="C160" t="s">
        <v>1339</v>
      </c>
      <c r="D160">
        <v>6926</v>
      </c>
      <c r="E160">
        <v>11.770787739999999</v>
      </c>
      <c r="F160">
        <v>588.40581889999999</v>
      </c>
      <c r="G160">
        <v>1</v>
      </c>
      <c r="H160">
        <v>538</v>
      </c>
      <c r="I160">
        <v>8.0817184920000003</v>
      </c>
      <c r="J160">
        <v>0.309</v>
      </c>
      <c r="K160">
        <f t="shared" si="2"/>
        <v>2</v>
      </c>
      <c r="N160">
        <v>1.5</v>
      </c>
      <c r="O160">
        <v>2</v>
      </c>
    </row>
    <row r="161" spans="1:15" x14ac:dyDescent="0.25">
      <c r="A161" t="s">
        <v>1340</v>
      </c>
      <c r="B161">
        <v>9001105100</v>
      </c>
      <c r="C161" t="s">
        <v>1341</v>
      </c>
      <c r="D161">
        <v>4076</v>
      </c>
      <c r="E161">
        <v>12.292544210000001</v>
      </c>
      <c r="F161">
        <v>331.5831068</v>
      </c>
      <c r="G161">
        <v>1</v>
      </c>
      <c r="H161">
        <v>109</v>
      </c>
      <c r="I161">
        <v>2.7304609219999998</v>
      </c>
      <c r="J161">
        <v>3.6999999999999998E-2</v>
      </c>
      <c r="K161">
        <f t="shared" si="2"/>
        <v>1</v>
      </c>
      <c r="N161">
        <v>1</v>
      </c>
      <c r="O161">
        <v>1</v>
      </c>
    </row>
    <row r="162" spans="1:15" x14ac:dyDescent="0.25">
      <c r="A162" t="s">
        <v>1342</v>
      </c>
      <c r="B162">
        <v>9001105200</v>
      </c>
      <c r="C162" t="s">
        <v>1343</v>
      </c>
      <c r="D162">
        <v>3414</v>
      </c>
      <c r="E162">
        <v>15.12599904</v>
      </c>
      <c r="F162">
        <v>225.70410000000001</v>
      </c>
      <c r="G162">
        <v>2</v>
      </c>
      <c r="H162">
        <v>399</v>
      </c>
      <c r="I162">
        <v>11.23627147</v>
      </c>
      <c r="J162">
        <v>0.46700000000000003</v>
      </c>
      <c r="K162">
        <f t="shared" si="2"/>
        <v>3</v>
      </c>
      <c r="N162">
        <v>2</v>
      </c>
      <c r="O162">
        <v>2</v>
      </c>
    </row>
    <row r="163" spans="1:15" x14ac:dyDescent="0.25">
      <c r="A163" t="s">
        <v>1344</v>
      </c>
      <c r="B163">
        <v>9001110100</v>
      </c>
      <c r="C163" t="s">
        <v>1345</v>
      </c>
      <c r="D163">
        <v>2321</v>
      </c>
      <c r="E163">
        <v>0.30585122399999998</v>
      </c>
      <c r="F163">
        <v>7588.6568950000001</v>
      </c>
      <c r="G163">
        <v>1</v>
      </c>
      <c r="H163">
        <v>335</v>
      </c>
      <c r="I163">
        <v>11.42954623</v>
      </c>
      <c r="J163">
        <v>0.47499999999999998</v>
      </c>
      <c r="K163">
        <f t="shared" si="2"/>
        <v>3</v>
      </c>
      <c r="N163">
        <v>3.5</v>
      </c>
      <c r="O163">
        <v>4</v>
      </c>
    </row>
    <row r="164" spans="1:15" x14ac:dyDescent="0.25">
      <c r="A164" t="s">
        <v>1346</v>
      </c>
      <c r="B164">
        <v>9001110201</v>
      </c>
      <c r="C164" t="s">
        <v>1347</v>
      </c>
      <c r="D164">
        <v>4782</v>
      </c>
      <c r="E164">
        <v>1.2622811380000001</v>
      </c>
      <c r="F164">
        <v>3788.3795110000001</v>
      </c>
      <c r="G164">
        <v>1</v>
      </c>
      <c r="H164">
        <v>748</v>
      </c>
      <c r="I164">
        <v>15.42268041</v>
      </c>
      <c r="J164">
        <v>0.63300000000000001</v>
      </c>
      <c r="K164">
        <f t="shared" si="2"/>
        <v>4</v>
      </c>
      <c r="N164">
        <v>3.5</v>
      </c>
      <c r="O164">
        <v>4</v>
      </c>
    </row>
    <row r="165" spans="1:15" x14ac:dyDescent="0.25">
      <c r="A165" t="s">
        <v>1348</v>
      </c>
      <c r="B165">
        <v>9001110202</v>
      </c>
      <c r="C165" t="s">
        <v>1349</v>
      </c>
      <c r="D165">
        <v>4756</v>
      </c>
      <c r="E165">
        <v>3.9640372849999999</v>
      </c>
      <c r="F165">
        <v>1199.7868989999999</v>
      </c>
      <c r="G165">
        <v>1</v>
      </c>
      <c r="H165">
        <v>300</v>
      </c>
      <c r="I165">
        <v>6.3091482650000001</v>
      </c>
      <c r="J165">
        <v>0.218</v>
      </c>
      <c r="K165">
        <f t="shared" si="2"/>
        <v>2</v>
      </c>
      <c r="N165">
        <v>2.5</v>
      </c>
      <c r="O165">
        <v>3</v>
      </c>
    </row>
    <row r="166" spans="1:15" x14ac:dyDescent="0.25">
      <c r="A166" t="s">
        <v>1350</v>
      </c>
      <c r="B166">
        <v>9001110301</v>
      </c>
      <c r="C166" t="s">
        <v>1351</v>
      </c>
      <c r="D166">
        <v>6174</v>
      </c>
      <c r="E166">
        <v>3.986708819</v>
      </c>
      <c r="F166">
        <v>1548.645833</v>
      </c>
      <c r="G166">
        <v>1</v>
      </c>
      <c r="H166">
        <v>899</v>
      </c>
      <c r="I166">
        <v>13.65016702</v>
      </c>
      <c r="J166">
        <v>0.58599999999999997</v>
      </c>
      <c r="K166">
        <f t="shared" si="2"/>
        <v>3</v>
      </c>
      <c r="N166">
        <v>3</v>
      </c>
      <c r="O166">
        <v>3</v>
      </c>
    </row>
    <row r="167" spans="1:15" x14ac:dyDescent="0.25">
      <c r="A167" t="s">
        <v>1352</v>
      </c>
      <c r="B167">
        <v>9001110302</v>
      </c>
      <c r="C167" t="s">
        <v>1353</v>
      </c>
      <c r="D167">
        <v>2602</v>
      </c>
      <c r="E167">
        <v>3.0332314280000001</v>
      </c>
      <c r="F167">
        <v>857.83101680000004</v>
      </c>
      <c r="G167">
        <v>1</v>
      </c>
      <c r="H167">
        <v>470</v>
      </c>
      <c r="I167">
        <v>14.03823178</v>
      </c>
      <c r="J167">
        <v>0.59599999999999997</v>
      </c>
      <c r="K167">
        <f t="shared" si="2"/>
        <v>3</v>
      </c>
      <c r="N167">
        <v>2.5</v>
      </c>
      <c r="O167">
        <v>3</v>
      </c>
    </row>
    <row r="168" spans="1:15" x14ac:dyDescent="0.25">
      <c r="A168" t="s">
        <v>1354</v>
      </c>
      <c r="B168">
        <v>9001110400</v>
      </c>
      <c r="C168" t="s">
        <v>1355</v>
      </c>
      <c r="D168">
        <v>4911</v>
      </c>
      <c r="E168">
        <v>4.0339823969999999</v>
      </c>
      <c r="F168">
        <v>1217.407395</v>
      </c>
      <c r="G168">
        <v>1</v>
      </c>
      <c r="H168">
        <v>342</v>
      </c>
      <c r="I168">
        <v>7.0807453420000002</v>
      </c>
      <c r="J168">
        <v>0.26</v>
      </c>
      <c r="K168">
        <f t="shared" si="2"/>
        <v>2</v>
      </c>
      <c r="N168">
        <v>2</v>
      </c>
      <c r="O168">
        <v>2</v>
      </c>
    </row>
    <row r="169" spans="1:15" x14ac:dyDescent="0.25">
      <c r="A169" t="s">
        <v>1356</v>
      </c>
      <c r="B169">
        <v>9001110500</v>
      </c>
      <c r="C169" t="s">
        <v>1357</v>
      </c>
      <c r="D169">
        <v>5928</v>
      </c>
      <c r="E169">
        <v>5.2018163790000003</v>
      </c>
      <c r="F169">
        <v>1139.6019329999999</v>
      </c>
      <c r="G169">
        <v>1</v>
      </c>
      <c r="H169">
        <v>205</v>
      </c>
      <c r="I169">
        <v>3.7083936319999999</v>
      </c>
      <c r="J169">
        <v>0.09</v>
      </c>
      <c r="K169">
        <f t="shared" si="2"/>
        <v>1</v>
      </c>
      <c r="N169">
        <v>1.5</v>
      </c>
      <c r="O169">
        <v>2</v>
      </c>
    </row>
    <row r="170" spans="1:15" x14ac:dyDescent="0.25">
      <c r="A170" t="s">
        <v>1358</v>
      </c>
      <c r="B170">
        <v>9001110600</v>
      </c>
      <c r="C170" t="s">
        <v>1359</v>
      </c>
      <c r="D170">
        <v>8085</v>
      </c>
      <c r="E170">
        <v>8.8377764679999995</v>
      </c>
      <c r="F170">
        <v>914.82286620000002</v>
      </c>
      <c r="G170">
        <v>1</v>
      </c>
      <c r="H170">
        <v>777</v>
      </c>
      <c r="I170">
        <v>9.3468062070000002</v>
      </c>
      <c r="J170">
        <v>0.38600000000000001</v>
      </c>
      <c r="K170">
        <f t="shared" si="2"/>
        <v>2</v>
      </c>
      <c r="N170">
        <v>2</v>
      </c>
      <c r="O170">
        <v>2</v>
      </c>
    </row>
    <row r="171" spans="1:15" x14ac:dyDescent="0.25">
      <c r="A171" t="s">
        <v>1360</v>
      </c>
      <c r="B171">
        <v>9001200100</v>
      </c>
      <c r="C171" t="s">
        <v>1361</v>
      </c>
      <c r="D171">
        <v>3606</v>
      </c>
      <c r="E171">
        <v>1.9519789279999999</v>
      </c>
      <c r="F171">
        <v>1847.356008</v>
      </c>
      <c r="G171">
        <v>1</v>
      </c>
      <c r="H171">
        <v>652</v>
      </c>
      <c r="I171">
        <v>17.645466849999998</v>
      </c>
      <c r="J171">
        <v>0.7</v>
      </c>
      <c r="K171">
        <f t="shared" si="2"/>
        <v>4</v>
      </c>
      <c r="N171">
        <v>3.5</v>
      </c>
      <c r="O171">
        <v>4</v>
      </c>
    </row>
    <row r="172" spans="1:15" x14ac:dyDescent="0.25">
      <c r="A172" t="s">
        <v>1362</v>
      </c>
      <c r="B172">
        <v>9001200200</v>
      </c>
      <c r="C172" t="s">
        <v>1363</v>
      </c>
      <c r="D172">
        <v>4908</v>
      </c>
      <c r="E172">
        <v>2.17036411</v>
      </c>
      <c r="F172">
        <v>2261.3717109999998</v>
      </c>
      <c r="G172">
        <v>1</v>
      </c>
      <c r="H172">
        <v>913</v>
      </c>
      <c r="I172">
        <v>17.480375259999999</v>
      </c>
      <c r="J172">
        <v>0.69399999999999995</v>
      </c>
      <c r="K172">
        <f t="shared" si="2"/>
        <v>4</v>
      </c>
      <c r="N172">
        <v>4</v>
      </c>
      <c r="O172">
        <v>4</v>
      </c>
    </row>
    <row r="173" spans="1:15" x14ac:dyDescent="0.25">
      <c r="A173" t="s">
        <v>1364</v>
      </c>
      <c r="B173">
        <v>9001200301</v>
      </c>
      <c r="C173" t="s">
        <v>1365</v>
      </c>
      <c r="D173">
        <v>4852</v>
      </c>
      <c r="E173">
        <v>3.8112300129999999</v>
      </c>
      <c r="F173">
        <v>1273.0798150000001</v>
      </c>
      <c r="G173">
        <v>1</v>
      </c>
      <c r="H173">
        <v>826</v>
      </c>
      <c r="I173">
        <v>15.775401069999999</v>
      </c>
      <c r="J173">
        <v>0.64400000000000002</v>
      </c>
      <c r="K173">
        <f t="shared" si="2"/>
        <v>4</v>
      </c>
      <c r="N173">
        <v>2.5</v>
      </c>
      <c r="O173">
        <v>3</v>
      </c>
    </row>
    <row r="174" spans="1:15" x14ac:dyDescent="0.25">
      <c r="A174" t="s">
        <v>1366</v>
      </c>
      <c r="B174">
        <v>9001200302</v>
      </c>
      <c r="C174" t="s">
        <v>1367</v>
      </c>
      <c r="D174">
        <v>5218</v>
      </c>
      <c r="E174">
        <v>8.9549681309999993</v>
      </c>
      <c r="F174">
        <v>582.69330760000003</v>
      </c>
      <c r="G174">
        <v>1</v>
      </c>
      <c r="H174">
        <v>252</v>
      </c>
      <c r="I174">
        <v>4.5743329099999999</v>
      </c>
      <c r="J174">
        <v>0.126</v>
      </c>
      <c r="K174">
        <f t="shared" si="2"/>
        <v>1</v>
      </c>
      <c r="N174">
        <v>1.5</v>
      </c>
      <c r="O174">
        <v>2</v>
      </c>
    </row>
    <row r="175" spans="1:15" x14ac:dyDescent="0.25">
      <c r="A175" t="s">
        <v>1368</v>
      </c>
      <c r="B175">
        <v>9001205100</v>
      </c>
      <c r="C175" t="s">
        <v>1369</v>
      </c>
      <c r="D175">
        <v>4000</v>
      </c>
      <c r="E175">
        <v>3.689896633</v>
      </c>
      <c r="F175">
        <v>1084.041207</v>
      </c>
      <c r="G175">
        <v>1</v>
      </c>
      <c r="H175">
        <v>443</v>
      </c>
      <c r="I175">
        <v>10.29275093</v>
      </c>
      <c r="J175">
        <v>0.43099999999999999</v>
      </c>
      <c r="K175">
        <f t="shared" si="2"/>
        <v>3</v>
      </c>
      <c r="N175">
        <v>2</v>
      </c>
      <c r="O175">
        <v>2</v>
      </c>
    </row>
    <row r="176" spans="1:15" x14ac:dyDescent="0.25">
      <c r="A176" t="s">
        <v>1370</v>
      </c>
      <c r="B176">
        <v>9001205200</v>
      </c>
      <c r="C176" t="s">
        <v>1371</v>
      </c>
      <c r="D176">
        <v>7054</v>
      </c>
      <c r="E176">
        <v>9.6745923149999999</v>
      </c>
      <c r="F176">
        <v>729.12633119999998</v>
      </c>
      <c r="G176">
        <v>1</v>
      </c>
      <c r="H176">
        <v>418</v>
      </c>
      <c r="I176">
        <v>6.0221870050000001</v>
      </c>
      <c r="J176">
        <v>0.19900000000000001</v>
      </c>
      <c r="K176">
        <f t="shared" si="2"/>
        <v>1</v>
      </c>
      <c r="N176">
        <v>1</v>
      </c>
      <c r="O176">
        <v>1</v>
      </c>
    </row>
    <row r="177" spans="1:15" x14ac:dyDescent="0.25">
      <c r="A177" t="s">
        <v>1372</v>
      </c>
      <c r="B177">
        <v>9001205300</v>
      </c>
      <c r="C177" t="s">
        <v>1373</v>
      </c>
      <c r="D177">
        <v>5398</v>
      </c>
      <c r="E177">
        <v>6.4084397299999996</v>
      </c>
      <c r="F177">
        <v>842.32671719999996</v>
      </c>
      <c r="G177">
        <v>1</v>
      </c>
      <c r="H177">
        <v>956</v>
      </c>
      <c r="I177">
        <v>16.565586549999999</v>
      </c>
      <c r="J177">
        <v>0.66700000000000004</v>
      </c>
      <c r="K177">
        <f t="shared" si="2"/>
        <v>4</v>
      </c>
      <c r="N177">
        <v>3</v>
      </c>
      <c r="O177">
        <v>3</v>
      </c>
    </row>
    <row r="178" spans="1:15" x14ac:dyDescent="0.25">
      <c r="A178" t="s">
        <v>1374</v>
      </c>
      <c r="B178">
        <v>9001210100</v>
      </c>
      <c r="C178" t="s">
        <v>1375</v>
      </c>
      <c r="D178">
        <v>5986</v>
      </c>
      <c r="E178">
        <v>0.59647534999999996</v>
      </c>
      <c r="F178">
        <v>10035.620070000001</v>
      </c>
      <c r="G178">
        <v>1</v>
      </c>
      <c r="H178">
        <v>2413</v>
      </c>
      <c r="I178">
        <v>42.723087820000003</v>
      </c>
      <c r="J178">
        <v>0.97799999999999998</v>
      </c>
      <c r="K178">
        <f t="shared" si="2"/>
        <v>5</v>
      </c>
      <c r="N178">
        <v>5</v>
      </c>
      <c r="O178">
        <v>5</v>
      </c>
    </row>
    <row r="179" spans="1:15" x14ac:dyDescent="0.25">
      <c r="A179" t="s">
        <v>1376</v>
      </c>
      <c r="B179">
        <v>9001210200</v>
      </c>
      <c r="C179" t="s">
        <v>1377</v>
      </c>
      <c r="D179">
        <v>6578</v>
      </c>
      <c r="E179">
        <v>0.82963396</v>
      </c>
      <c r="F179">
        <v>7928.7979029999997</v>
      </c>
      <c r="G179">
        <v>1</v>
      </c>
      <c r="H179">
        <v>3094</v>
      </c>
      <c r="I179">
        <v>48.686073960000002</v>
      </c>
      <c r="J179">
        <v>0.99</v>
      </c>
      <c r="K179">
        <f t="shared" si="2"/>
        <v>5</v>
      </c>
      <c r="N179">
        <v>4.5</v>
      </c>
      <c r="O179">
        <v>5</v>
      </c>
    </row>
    <row r="180" spans="1:15" x14ac:dyDescent="0.25">
      <c r="A180" t="s">
        <v>1378</v>
      </c>
      <c r="B180">
        <v>9001210300</v>
      </c>
      <c r="C180" t="s">
        <v>1379</v>
      </c>
      <c r="D180">
        <v>5305</v>
      </c>
      <c r="E180">
        <v>1.0270700100000001</v>
      </c>
      <c r="F180">
        <v>5165.1785669999999</v>
      </c>
      <c r="G180">
        <v>1</v>
      </c>
      <c r="H180">
        <v>2525</v>
      </c>
      <c r="I180">
        <v>43.199315650000003</v>
      </c>
      <c r="J180">
        <v>0.98099999999999998</v>
      </c>
      <c r="K180">
        <f t="shared" si="2"/>
        <v>5</v>
      </c>
      <c r="N180">
        <v>4</v>
      </c>
      <c r="O180">
        <v>4</v>
      </c>
    </row>
    <row r="181" spans="1:15" x14ac:dyDescent="0.25">
      <c r="A181" t="s">
        <v>1380</v>
      </c>
      <c r="B181">
        <v>9001210400</v>
      </c>
      <c r="C181" t="s">
        <v>1381</v>
      </c>
      <c r="D181">
        <v>8419</v>
      </c>
      <c r="E181">
        <v>2.895560906</v>
      </c>
      <c r="F181">
        <v>2907.5541050000002</v>
      </c>
      <c r="G181">
        <v>1</v>
      </c>
      <c r="H181">
        <v>3696</v>
      </c>
      <c r="I181">
        <v>39.007915570000002</v>
      </c>
      <c r="J181">
        <v>0.96599999999999997</v>
      </c>
      <c r="K181">
        <f t="shared" si="2"/>
        <v>5</v>
      </c>
      <c r="N181">
        <v>4</v>
      </c>
      <c r="O181">
        <v>4</v>
      </c>
    </row>
    <row r="182" spans="1:15" x14ac:dyDescent="0.25">
      <c r="A182" t="s">
        <v>1382</v>
      </c>
      <c r="B182">
        <v>9001210500</v>
      </c>
      <c r="C182" t="s">
        <v>1383</v>
      </c>
      <c r="D182">
        <v>7033</v>
      </c>
      <c r="E182">
        <v>12.734800699999999</v>
      </c>
      <c r="F182">
        <v>552.26620070000001</v>
      </c>
      <c r="G182">
        <v>1</v>
      </c>
      <c r="H182">
        <v>1480</v>
      </c>
      <c r="I182">
        <v>17.31399158</v>
      </c>
      <c r="J182">
        <v>0.69</v>
      </c>
      <c r="K182">
        <f t="shared" si="2"/>
        <v>4</v>
      </c>
      <c r="N182">
        <v>3</v>
      </c>
      <c r="O182">
        <v>3</v>
      </c>
    </row>
    <row r="183" spans="1:15" x14ac:dyDescent="0.25">
      <c r="A183" t="s">
        <v>1384</v>
      </c>
      <c r="B183">
        <v>9001210600</v>
      </c>
      <c r="C183" t="s">
        <v>1385</v>
      </c>
      <c r="D183">
        <v>6173</v>
      </c>
      <c r="E183">
        <v>1.0419739400000001</v>
      </c>
      <c r="F183">
        <v>5924.3324279999997</v>
      </c>
      <c r="G183">
        <v>1</v>
      </c>
      <c r="H183">
        <v>2392</v>
      </c>
      <c r="I183">
        <v>39.939889800000003</v>
      </c>
      <c r="J183">
        <v>0.96899999999999997</v>
      </c>
      <c r="K183">
        <f t="shared" si="2"/>
        <v>5</v>
      </c>
      <c r="N183">
        <v>4.5</v>
      </c>
      <c r="O183">
        <v>5</v>
      </c>
    </row>
    <row r="184" spans="1:15" x14ac:dyDescent="0.25">
      <c r="A184" t="s">
        <v>1386</v>
      </c>
      <c r="B184">
        <v>9001210701</v>
      </c>
      <c r="C184" t="s">
        <v>1387</v>
      </c>
      <c r="D184">
        <v>5470</v>
      </c>
      <c r="E184">
        <v>0.48133427600000001</v>
      </c>
      <c r="F184">
        <v>11364.24366</v>
      </c>
      <c r="G184">
        <v>1</v>
      </c>
      <c r="H184">
        <v>1894</v>
      </c>
      <c r="I184">
        <v>32.431506849999998</v>
      </c>
      <c r="J184">
        <v>0.92800000000000005</v>
      </c>
      <c r="K184">
        <f t="shared" si="2"/>
        <v>5</v>
      </c>
      <c r="N184">
        <v>5</v>
      </c>
      <c r="O184">
        <v>5</v>
      </c>
    </row>
    <row r="185" spans="1:15" x14ac:dyDescent="0.25">
      <c r="A185" t="s">
        <v>1388</v>
      </c>
      <c r="B185">
        <v>9001210702</v>
      </c>
      <c r="C185" t="s">
        <v>1389</v>
      </c>
      <c r="D185">
        <v>4478</v>
      </c>
      <c r="E185">
        <v>0.60760899300000004</v>
      </c>
      <c r="F185">
        <v>7369.8711720000001</v>
      </c>
      <c r="G185">
        <v>1</v>
      </c>
      <c r="H185">
        <v>1749</v>
      </c>
      <c r="I185">
        <v>37.677725119999998</v>
      </c>
      <c r="J185">
        <v>0.96499999999999997</v>
      </c>
      <c r="K185">
        <f t="shared" si="2"/>
        <v>5</v>
      </c>
      <c r="N185">
        <v>4.5</v>
      </c>
      <c r="O185">
        <v>5</v>
      </c>
    </row>
    <row r="186" spans="1:15" x14ac:dyDescent="0.25">
      <c r="A186" t="s">
        <v>1390</v>
      </c>
      <c r="B186">
        <v>9001210800</v>
      </c>
      <c r="C186" t="s">
        <v>1391</v>
      </c>
      <c r="D186">
        <v>5623</v>
      </c>
      <c r="E186">
        <v>6.1896221139999996</v>
      </c>
      <c r="F186">
        <v>908.45610550000004</v>
      </c>
      <c r="G186">
        <v>1</v>
      </c>
      <c r="H186">
        <v>919</v>
      </c>
      <c r="I186">
        <v>16.358134570000001</v>
      </c>
      <c r="J186">
        <v>0.66700000000000004</v>
      </c>
      <c r="K186">
        <f t="shared" si="2"/>
        <v>4</v>
      </c>
      <c r="N186">
        <v>3</v>
      </c>
      <c r="O186">
        <v>3</v>
      </c>
    </row>
    <row r="187" spans="1:15" x14ac:dyDescent="0.25">
      <c r="A187" t="s">
        <v>1392</v>
      </c>
      <c r="B187">
        <v>9001210900</v>
      </c>
      <c r="C187" t="s">
        <v>1393</v>
      </c>
      <c r="D187">
        <v>5713</v>
      </c>
      <c r="E187">
        <v>4.9074007289999999</v>
      </c>
      <c r="F187">
        <v>1164.160075</v>
      </c>
      <c r="G187">
        <v>1</v>
      </c>
      <c r="H187">
        <v>1040</v>
      </c>
      <c r="I187">
        <v>19.60784314</v>
      </c>
      <c r="J187">
        <v>0.753</v>
      </c>
      <c r="K187">
        <f t="shared" si="2"/>
        <v>4</v>
      </c>
      <c r="N187">
        <v>3</v>
      </c>
      <c r="O187">
        <v>3</v>
      </c>
    </row>
    <row r="188" spans="1:15" x14ac:dyDescent="0.25">
      <c r="A188" t="s">
        <v>1394</v>
      </c>
      <c r="B188">
        <v>9001211000</v>
      </c>
      <c r="C188" t="s">
        <v>1395</v>
      </c>
      <c r="D188">
        <v>4034</v>
      </c>
      <c r="E188">
        <v>2.7578065999999999</v>
      </c>
      <c r="F188">
        <v>1462.7566710000001</v>
      </c>
      <c r="G188">
        <v>1</v>
      </c>
      <c r="H188">
        <v>1473</v>
      </c>
      <c r="I188">
        <v>31.738849389999999</v>
      </c>
      <c r="J188">
        <v>0.91800000000000004</v>
      </c>
      <c r="K188">
        <f t="shared" si="2"/>
        <v>5</v>
      </c>
      <c r="N188">
        <v>4</v>
      </c>
      <c r="O188">
        <v>4</v>
      </c>
    </row>
    <row r="189" spans="1:15" x14ac:dyDescent="0.25">
      <c r="A189" t="s">
        <v>1396</v>
      </c>
      <c r="B189">
        <v>9001211200</v>
      </c>
      <c r="C189" t="s">
        <v>1397</v>
      </c>
      <c r="D189">
        <v>6046</v>
      </c>
      <c r="E189">
        <v>2.5646037740000001</v>
      </c>
      <c r="F189">
        <v>2357.4791789999999</v>
      </c>
      <c r="G189">
        <v>1</v>
      </c>
      <c r="H189">
        <v>1698</v>
      </c>
      <c r="I189">
        <v>25.358422940000001</v>
      </c>
      <c r="J189">
        <v>0.85199999999999998</v>
      </c>
      <c r="K189">
        <f t="shared" si="2"/>
        <v>5</v>
      </c>
      <c r="N189">
        <v>4</v>
      </c>
      <c r="O189">
        <v>4</v>
      </c>
    </row>
    <row r="190" spans="1:15" x14ac:dyDescent="0.25">
      <c r="A190" t="s">
        <v>1398</v>
      </c>
      <c r="B190">
        <v>9001211300</v>
      </c>
      <c r="C190" t="s">
        <v>1399</v>
      </c>
      <c r="D190">
        <v>3635</v>
      </c>
      <c r="E190">
        <v>1.887665503</v>
      </c>
      <c r="F190">
        <v>1925.658966</v>
      </c>
      <c r="G190">
        <v>1</v>
      </c>
      <c r="H190">
        <v>487</v>
      </c>
      <c r="I190">
        <v>12.233107260000001</v>
      </c>
      <c r="J190">
        <v>0.53100000000000003</v>
      </c>
      <c r="K190">
        <f t="shared" si="2"/>
        <v>3</v>
      </c>
      <c r="N190">
        <v>2.5</v>
      </c>
      <c r="O190">
        <v>3</v>
      </c>
    </row>
    <row r="191" spans="1:15" x14ac:dyDescent="0.25">
      <c r="A191" t="s">
        <v>1400</v>
      </c>
      <c r="B191">
        <v>9001211400</v>
      </c>
      <c r="C191" t="s">
        <v>1401</v>
      </c>
      <c r="D191">
        <v>5025</v>
      </c>
      <c r="E191">
        <v>2.8037010210000002</v>
      </c>
      <c r="F191">
        <v>1792.2738420000001</v>
      </c>
      <c r="G191">
        <v>1</v>
      </c>
      <c r="H191">
        <v>714</v>
      </c>
      <c r="I191">
        <v>14.071738270000001</v>
      </c>
      <c r="J191">
        <v>0.60899999999999999</v>
      </c>
      <c r="K191">
        <f t="shared" si="2"/>
        <v>4</v>
      </c>
      <c r="N191">
        <v>3.5</v>
      </c>
      <c r="O191">
        <v>4</v>
      </c>
    </row>
    <row r="192" spans="1:15" x14ac:dyDescent="0.25">
      <c r="A192" t="s">
        <v>1402</v>
      </c>
      <c r="B192">
        <v>9001220100</v>
      </c>
      <c r="C192" t="s">
        <v>1403</v>
      </c>
      <c r="D192">
        <v>5193</v>
      </c>
      <c r="E192">
        <v>4.2436961100000001</v>
      </c>
      <c r="F192">
        <v>1223.6974250000001</v>
      </c>
      <c r="G192">
        <v>1</v>
      </c>
      <c r="H192">
        <v>472</v>
      </c>
      <c r="I192">
        <v>8.7716037910000004</v>
      </c>
      <c r="J192">
        <v>0.36699999999999999</v>
      </c>
      <c r="K192">
        <f t="shared" si="2"/>
        <v>2</v>
      </c>
      <c r="N192">
        <v>2</v>
      </c>
      <c r="O192">
        <v>2</v>
      </c>
    </row>
    <row r="193" spans="1:15" x14ac:dyDescent="0.25">
      <c r="A193" t="s">
        <v>1404</v>
      </c>
      <c r="B193">
        <v>9001220200</v>
      </c>
      <c r="C193" t="s">
        <v>1405</v>
      </c>
      <c r="D193">
        <v>4893</v>
      </c>
      <c r="E193">
        <v>11.873892469999999</v>
      </c>
      <c r="F193">
        <v>412.08053840000002</v>
      </c>
      <c r="G193">
        <v>1</v>
      </c>
      <c r="H193">
        <v>503</v>
      </c>
      <c r="I193">
        <v>9.9348212520000008</v>
      </c>
      <c r="J193">
        <v>0.41799999999999998</v>
      </c>
      <c r="K193">
        <f t="shared" si="2"/>
        <v>3</v>
      </c>
      <c r="N193">
        <v>2</v>
      </c>
      <c r="O193">
        <v>2</v>
      </c>
    </row>
    <row r="194" spans="1:15" x14ac:dyDescent="0.25">
      <c r="A194" t="s">
        <v>1406</v>
      </c>
      <c r="B194">
        <v>9001220300</v>
      </c>
      <c r="C194" t="s">
        <v>1407</v>
      </c>
      <c r="D194">
        <v>3795</v>
      </c>
      <c r="E194">
        <v>4.3243949390000003</v>
      </c>
      <c r="F194">
        <v>877.57941940000001</v>
      </c>
      <c r="G194">
        <v>1</v>
      </c>
      <c r="H194">
        <v>254</v>
      </c>
      <c r="I194">
        <v>7.234406152</v>
      </c>
      <c r="J194">
        <v>0.27200000000000002</v>
      </c>
      <c r="K194">
        <f t="shared" si="2"/>
        <v>2</v>
      </c>
      <c r="N194">
        <v>2</v>
      </c>
      <c r="O194">
        <v>2</v>
      </c>
    </row>
    <row r="195" spans="1:15" x14ac:dyDescent="0.25">
      <c r="A195" t="s">
        <v>1408</v>
      </c>
      <c r="B195">
        <v>9001230100</v>
      </c>
      <c r="C195" t="s">
        <v>1409</v>
      </c>
      <c r="D195">
        <v>7061</v>
      </c>
      <c r="E195">
        <v>15.379121059999999</v>
      </c>
      <c r="F195">
        <v>459.12896919999997</v>
      </c>
      <c r="G195">
        <v>1</v>
      </c>
      <c r="H195">
        <v>503</v>
      </c>
      <c r="I195">
        <v>7.00459546</v>
      </c>
      <c r="J195">
        <v>0.25700000000000001</v>
      </c>
      <c r="K195">
        <f t="shared" ref="K195:K258" si="3">IF(J195&lt;0.2,1,IF(J195&lt;0.4,2,IF(J195&lt;0.6,3,IF(J195&lt;0.8,4,5))))</f>
        <v>2</v>
      </c>
      <c r="N195">
        <v>2</v>
      </c>
      <c r="O195">
        <v>2</v>
      </c>
    </row>
    <row r="196" spans="1:15" x14ac:dyDescent="0.25">
      <c r="A196" t="s">
        <v>1410</v>
      </c>
      <c r="B196">
        <v>9001230200</v>
      </c>
      <c r="C196" t="s">
        <v>1411</v>
      </c>
      <c r="D196">
        <v>1941</v>
      </c>
      <c r="E196">
        <v>2.3068415760000001</v>
      </c>
      <c r="F196">
        <v>841.4101862</v>
      </c>
      <c r="G196">
        <v>1</v>
      </c>
      <c r="H196">
        <v>123</v>
      </c>
      <c r="I196">
        <v>6.5460351250000004</v>
      </c>
      <c r="J196">
        <v>0.23400000000000001</v>
      </c>
      <c r="K196">
        <f t="shared" si="3"/>
        <v>2</v>
      </c>
      <c r="N196">
        <v>1.5</v>
      </c>
      <c r="O196">
        <v>2</v>
      </c>
    </row>
    <row r="197" spans="1:15" x14ac:dyDescent="0.25">
      <c r="A197" t="s">
        <v>1412</v>
      </c>
      <c r="B197">
        <v>9001230300</v>
      </c>
      <c r="C197" t="s">
        <v>1413</v>
      </c>
      <c r="D197">
        <v>3441</v>
      </c>
      <c r="E197">
        <v>8.0032625629999998</v>
      </c>
      <c r="F197">
        <v>429.94965780000001</v>
      </c>
      <c r="G197">
        <v>1</v>
      </c>
      <c r="H197">
        <v>135</v>
      </c>
      <c r="I197">
        <v>3.7762237760000001</v>
      </c>
      <c r="J197">
        <v>9.5000000000000001E-2</v>
      </c>
      <c r="K197">
        <f t="shared" si="3"/>
        <v>1</v>
      </c>
      <c r="N197">
        <v>1</v>
      </c>
      <c r="O197">
        <v>1</v>
      </c>
    </row>
    <row r="198" spans="1:15" x14ac:dyDescent="0.25">
      <c r="A198" t="s">
        <v>1414</v>
      </c>
      <c r="B198">
        <v>9001230400</v>
      </c>
      <c r="C198" t="s">
        <v>1415</v>
      </c>
      <c r="D198">
        <v>5651</v>
      </c>
      <c r="E198">
        <v>13.847707400000001</v>
      </c>
      <c r="F198">
        <v>408.08199050000002</v>
      </c>
      <c r="G198">
        <v>1</v>
      </c>
      <c r="H198">
        <v>560</v>
      </c>
      <c r="I198">
        <v>9.2976921800000003</v>
      </c>
      <c r="J198">
        <v>0.39</v>
      </c>
      <c r="K198">
        <f t="shared" si="3"/>
        <v>2</v>
      </c>
      <c r="N198">
        <v>1.5</v>
      </c>
      <c r="O198">
        <v>2</v>
      </c>
    </row>
    <row r="199" spans="1:15" x14ac:dyDescent="0.25">
      <c r="A199" t="s">
        <v>1416</v>
      </c>
      <c r="B199">
        <v>9001230501</v>
      </c>
      <c r="C199" t="s">
        <v>1417</v>
      </c>
      <c r="D199">
        <v>4329</v>
      </c>
      <c r="E199">
        <v>7.7456104039999998</v>
      </c>
      <c r="F199">
        <v>558.89720420000003</v>
      </c>
      <c r="G199">
        <v>1</v>
      </c>
      <c r="H199">
        <v>381</v>
      </c>
      <c r="I199">
        <v>9.2633114509999999</v>
      </c>
      <c r="J199">
        <v>0.38700000000000001</v>
      </c>
      <c r="K199">
        <f t="shared" si="3"/>
        <v>2</v>
      </c>
      <c r="N199">
        <v>1.5</v>
      </c>
      <c r="O199">
        <v>2</v>
      </c>
    </row>
    <row r="200" spans="1:15" x14ac:dyDescent="0.25">
      <c r="A200" t="s">
        <v>1418</v>
      </c>
      <c r="B200">
        <v>9001230502</v>
      </c>
      <c r="C200" t="s">
        <v>1419</v>
      </c>
      <c r="D200">
        <v>5137</v>
      </c>
      <c r="E200">
        <v>10.37608167</v>
      </c>
      <c r="F200">
        <v>495.08091450000001</v>
      </c>
      <c r="G200">
        <v>1</v>
      </c>
      <c r="H200">
        <v>402</v>
      </c>
      <c r="I200">
        <v>7.9588200359999997</v>
      </c>
      <c r="J200">
        <v>0.307</v>
      </c>
      <c r="K200">
        <f t="shared" si="3"/>
        <v>2</v>
      </c>
      <c r="N200">
        <v>1.5</v>
      </c>
      <c r="O200">
        <v>2</v>
      </c>
    </row>
    <row r="201" spans="1:15" x14ac:dyDescent="0.25">
      <c r="A201" t="s">
        <v>1420</v>
      </c>
      <c r="B201">
        <v>9001240100</v>
      </c>
      <c r="C201" t="s">
        <v>1421</v>
      </c>
      <c r="D201">
        <v>4599</v>
      </c>
      <c r="E201">
        <v>13.37270945</v>
      </c>
      <c r="F201">
        <v>343.90936390000002</v>
      </c>
      <c r="G201">
        <v>1</v>
      </c>
      <c r="H201">
        <v>81</v>
      </c>
      <c r="I201">
        <v>1.7597219200000001</v>
      </c>
      <c r="J201">
        <v>1.4999999999999999E-2</v>
      </c>
      <c r="K201">
        <f t="shared" si="3"/>
        <v>1</v>
      </c>
      <c r="N201">
        <v>1</v>
      </c>
      <c r="O201">
        <v>1</v>
      </c>
    </row>
    <row r="202" spans="1:15" x14ac:dyDescent="0.25">
      <c r="A202" t="s">
        <v>1422</v>
      </c>
      <c r="B202">
        <v>9001240200</v>
      </c>
      <c r="C202" t="s">
        <v>1423</v>
      </c>
      <c r="D202">
        <v>4559</v>
      </c>
      <c r="E202">
        <v>18.12648437</v>
      </c>
      <c r="F202">
        <v>251.51043670000001</v>
      </c>
      <c r="G202">
        <v>2</v>
      </c>
      <c r="H202">
        <v>380</v>
      </c>
      <c r="I202">
        <v>8.3096435599999996</v>
      </c>
      <c r="J202">
        <v>0.32700000000000001</v>
      </c>
      <c r="K202">
        <f t="shared" si="3"/>
        <v>2</v>
      </c>
      <c r="N202">
        <v>1.5</v>
      </c>
      <c r="O202">
        <v>2</v>
      </c>
    </row>
    <row r="203" spans="1:15" x14ac:dyDescent="0.25">
      <c r="A203" t="s">
        <v>1424</v>
      </c>
      <c r="B203">
        <v>9001245100</v>
      </c>
      <c r="C203" t="s">
        <v>1425</v>
      </c>
      <c r="D203">
        <v>2870</v>
      </c>
      <c r="E203">
        <v>3.9950327959999998</v>
      </c>
      <c r="F203">
        <v>718.39210009999999</v>
      </c>
      <c r="G203">
        <v>1</v>
      </c>
      <c r="H203">
        <v>169</v>
      </c>
      <c r="I203">
        <v>5.849775009</v>
      </c>
      <c r="J203">
        <v>0.19500000000000001</v>
      </c>
      <c r="K203">
        <f t="shared" si="3"/>
        <v>1</v>
      </c>
      <c r="N203">
        <v>1</v>
      </c>
      <c r="O203">
        <v>1</v>
      </c>
    </row>
    <row r="204" spans="1:15" x14ac:dyDescent="0.25">
      <c r="A204" t="s">
        <v>1426</v>
      </c>
      <c r="B204">
        <v>9001245200</v>
      </c>
      <c r="C204" t="s">
        <v>1427</v>
      </c>
      <c r="D204">
        <v>4397</v>
      </c>
      <c r="E204">
        <v>7.305212225</v>
      </c>
      <c r="F204">
        <v>601.89900920000002</v>
      </c>
      <c r="G204">
        <v>1</v>
      </c>
      <c r="H204">
        <v>534</v>
      </c>
      <c r="I204">
        <v>11.89309577</v>
      </c>
      <c r="J204">
        <v>0.503</v>
      </c>
      <c r="K204">
        <f t="shared" si="3"/>
        <v>3</v>
      </c>
      <c r="N204">
        <v>2</v>
      </c>
      <c r="O204">
        <v>2</v>
      </c>
    </row>
    <row r="205" spans="1:15" x14ac:dyDescent="0.25">
      <c r="A205" t="s">
        <v>1428</v>
      </c>
      <c r="B205">
        <v>9001245300</v>
      </c>
      <c r="C205" t="s">
        <v>1429</v>
      </c>
      <c r="D205">
        <v>4974</v>
      </c>
      <c r="E205">
        <v>5.2728329240000003</v>
      </c>
      <c r="F205">
        <v>943.32592580000005</v>
      </c>
      <c r="G205">
        <v>1</v>
      </c>
      <c r="H205">
        <v>335</v>
      </c>
      <c r="I205">
        <v>6.6973210720000003</v>
      </c>
      <c r="J205">
        <v>0.24199999999999999</v>
      </c>
      <c r="K205">
        <f t="shared" si="3"/>
        <v>2</v>
      </c>
      <c r="N205">
        <v>1.5</v>
      </c>
      <c r="O205">
        <v>2</v>
      </c>
    </row>
    <row r="206" spans="1:15" x14ac:dyDescent="0.25">
      <c r="A206" t="s">
        <v>1430</v>
      </c>
      <c r="B206">
        <v>9001245400</v>
      </c>
      <c r="C206" t="s">
        <v>1431</v>
      </c>
      <c r="D206">
        <v>3311</v>
      </c>
      <c r="E206">
        <v>4.8555541570000003</v>
      </c>
      <c r="F206">
        <v>681.8995099</v>
      </c>
      <c r="G206">
        <v>1</v>
      </c>
      <c r="H206">
        <v>125</v>
      </c>
      <c r="I206">
        <v>4.1295011559999999</v>
      </c>
      <c r="J206">
        <v>0.112</v>
      </c>
      <c r="K206">
        <f t="shared" si="3"/>
        <v>1</v>
      </c>
      <c r="N206">
        <v>1</v>
      </c>
      <c r="O206">
        <v>1</v>
      </c>
    </row>
    <row r="207" spans="1:15" x14ac:dyDescent="0.25">
      <c r="A207" t="s">
        <v>1432</v>
      </c>
      <c r="B207">
        <v>9001245500</v>
      </c>
      <c r="C207" t="s">
        <v>1433</v>
      </c>
      <c r="D207">
        <v>3099</v>
      </c>
      <c r="E207">
        <v>2.9917984180000001</v>
      </c>
      <c r="F207">
        <v>1035.8318200000001</v>
      </c>
      <c r="G207">
        <v>1</v>
      </c>
      <c r="H207">
        <v>425</v>
      </c>
      <c r="I207">
        <v>13.98026316</v>
      </c>
      <c r="J207">
        <v>0.59899999999999998</v>
      </c>
      <c r="K207">
        <f t="shared" si="3"/>
        <v>3</v>
      </c>
      <c r="N207">
        <v>2</v>
      </c>
      <c r="O207">
        <v>2</v>
      </c>
    </row>
    <row r="208" spans="1:15" x14ac:dyDescent="0.25">
      <c r="A208" t="s">
        <v>1434</v>
      </c>
      <c r="B208">
        <v>9001245600</v>
      </c>
      <c r="C208" t="s">
        <v>1435</v>
      </c>
      <c r="D208">
        <v>5987</v>
      </c>
      <c r="E208">
        <v>10.094934029999999</v>
      </c>
      <c r="F208">
        <v>593.06974979999995</v>
      </c>
      <c r="G208">
        <v>1</v>
      </c>
      <c r="H208">
        <v>777</v>
      </c>
      <c r="I208">
        <v>11.783439489999999</v>
      </c>
      <c r="J208">
        <v>0.49299999999999999</v>
      </c>
      <c r="K208">
        <f t="shared" si="3"/>
        <v>3</v>
      </c>
      <c r="N208">
        <v>2</v>
      </c>
      <c r="O208">
        <v>2</v>
      </c>
    </row>
    <row r="209" spans="1:15" x14ac:dyDescent="0.25">
      <c r="A209" t="s">
        <v>1436</v>
      </c>
      <c r="B209">
        <v>9001257100</v>
      </c>
      <c r="C209" t="s">
        <v>1437</v>
      </c>
      <c r="D209">
        <v>3581</v>
      </c>
      <c r="E209">
        <v>21.891781739999999</v>
      </c>
      <c r="F209">
        <v>163.57736629999999</v>
      </c>
      <c r="G209">
        <v>2</v>
      </c>
      <c r="H209">
        <v>211</v>
      </c>
      <c r="I209">
        <v>5.7824061389999999</v>
      </c>
      <c r="J209">
        <v>0.193</v>
      </c>
      <c r="K209">
        <f t="shared" si="3"/>
        <v>1</v>
      </c>
      <c r="N209">
        <v>1.5</v>
      </c>
      <c r="O209">
        <v>2</v>
      </c>
    </row>
    <row r="210" spans="1:15" x14ac:dyDescent="0.25">
      <c r="A210" t="s">
        <v>1438</v>
      </c>
      <c r="B210">
        <v>9001257200</v>
      </c>
      <c r="C210" t="s">
        <v>1439</v>
      </c>
      <c r="D210">
        <v>3722</v>
      </c>
      <c r="E210">
        <v>0.59978849300000003</v>
      </c>
      <c r="F210">
        <v>6205.5208499999999</v>
      </c>
      <c r="G210">
        <v>1</v>
      </c>
      <c r="H210">
        <v>788</v>
      </c>
      <c r="I210">
        <v>19.23828125</v>
      </c>
      <c r="J210">
        <v>0.73699999999999999</v>
      </c>
      <c r="K210">
        <f t="shared" si="3"/>
        <v>4</v>
      </c>
      <c r="N210">
        <v>4.5</v>
      </c>
      <c r="O210">
        <v>5</v>
      </c>
    </row>
    <row r="211" spans="1:15" x14ac:dyDescent="0.25">
      <c r="A211" t="s">
        <v>1440</v>
      </c>
      <c r="B211">
        <v>9003330100</v>
      </c>
      <c r="C211" t="s">
        <v>1441</v>
      </c>
      <c r="D211">
        <v>2114</v>
      </c>
      <c r="E211">
        <v>33.079351719999998</v>
      </c>
      <c r="F211">
        <v>63.906935599999997</v>
      </c>
      <c r="G211">
        <v>2</v>
      </c>
      <c r="H211">
        <v>262</v>
      </c>
      <c r="I211">
        <v>13.21897074</v>
      </c>
      <c r="J211">
        <v>0.56399999999999995</v>
      </c>
      <c r="K211">
        <f t="shared" si="3"/>
        <v>3</v>
      </c>
      <c r="N211">
        <v>3</v>
      </c>
      <c r="O211">
        <v>3</v>
      </c>
    </row>
    <row r="212" spans="1:15" x14ac:dyDescent="0.25">
      <c r="A212" t="s">
        <v>1442</v>
      </c>
      <c r="B212">
        <v>9003400100</v>
      </c>
      <c r="C212" t="s">
        <v>1443</v>
      </c>
      <c r="D212">
        <v>7195</v>
      </c>
      <c r="E212">
        <v>7.535148425</v>
      </c>
      <c r="F212">
        <v>954.85843060000002</v>
      </c>
      <c r="G212">
        <v>1</v>
      </c>
      <c r="H212">
        <v>647</v>
      </c>
      <c r="I212">
        <v>8.8135131449999999</v>
      </c>
      <c r="J212">
        <v>0.36299999999999999</v>
      </c>
      <c r="K212">
        <f t="shared" si="3"/>
        <v>2</v>
      </c>
      <c r="N212">
        <v>2.5</v>
      </c>
      <c r="O212">
        <v>3</v>
      </c>
    </row>
    <row r="213" spans="1:15" x14ac:dyDescent="0.25">
      <c r="A213" t="s">
        <v>1444</v>
      </c>
      <c r="B213">
        <v>9003400200</v>
      </c>
      <c r="C213" t="s">
        <v>1445</v>
      </c>
      <c r="D213">
        <v>5769</v>
      </c>
      <c r="E213">
        <v>12.7262246</v>
      </c>
      <c r="F213">
        <v>453.3159033</v>
      </c>
      <c r="G213">
        <v>1</v>
      </c>
      <c r="H213">
        <v>469</v>
      </c>
      <c r="I213">
        <v>7.5027995519999999</v>
      </c>
      <c r="J213">
        <v>0.27600000000000002</v>
      </c>
      <c r="K213">
        <f t="shared" si="3"/>
        <v>2</v>
      </c>
      <c r="N213">
        <v>2</v>
      </c>
      <c r="O213">
        <v>2</v>
      </c>
    </row>
    <row r="214" spans="1:15" x14ac:dyDescent="0.25">
      <c r="A214" t="s">
        <v>1446</v>
      </c>
      <c r="B214">
        <v>9003400300</v>
      </c>
      <c r="C214" t="s">
        <v>1447</v>
      </c>
      <c r="D214">
        <v>6902</v>
      </c>
      <c r="E214">
        <v>6.0630022219999997</v>
      </c>
      <c r="F214">
        <v>1138.379923</v>
      </c>
      <c r="G214">
        <v>1</v>
      </c>
      <c r="H214">
        <v>453</v>
      </c>
      <c r="I214">
        <v>6.5728380729999998</v>
      </c>
      <c r="J214">
        <v>0.23400000000000001</v>
      </c>
      <c r="K214">
        <f t="shared" si="3"/>
        <v>2</v>
      </c>
      <c r="N214">
        <v>2</v>
      </c>
      <c r="O214">
        <v>2</v>
      </c>
    </row>
    <row r="215" spans="1:15" x14ac:dyDescent="0.25">
      <c r="A215" t="s">
        <v>1448</v>
      </c>
      <c r="B215">
        <v>9003405100</v>
      </c>
      <c r="C215" t="s">
        <v>1449</v>
      </c>
      <c r="D215">
        <v>3171</v>
      </c>
      <c r="E215">
        <v>0.99943860699999998</v>
      </c>
      <c r="F215">
        <v>3172.781176</v>
      </c>
      <c r="G215">
        <v>1</v>
      </c>
      <c r="H215">
        <v>480</v>
      </c>
      <c r="I215">
        <v>14.589665650000001</v>
      </c>
      <c r="J215">
        <v>0.60599999999999998</v>
      </c>
      <c r="K215">
        <f t="shared" si="3"/>
        <v>4</v>
      </c>
      <c r="N215">
        <v>4</v>
      </c>
      <c r="O215">
        <v>4</v>
      </c>
    </row>
    <row r="216" spans="1:15" x14ac:dyDescent="0.25">
      <c r="A216" t="s">
        <v>1450</v>
      </c>
      <c r="B216">
        <v>9003405200</v>
      </c>
      <c r="C216" t="s">
        <v>1451</v>
      </c>
      <c r="D216">
        <v>4447</v>
      </c>
      <c r="E216">
        <v>1.401490277</v>
      </c>
      <c r="F216">
        <v>3173.0509109999998</v>
      </c>
      <c r="G216">
        <v>1</v>
      </c>
      <c r="H216">
        <v>267</v>
      </c>
      <c r="I216">
        <v>6.8251533740000001</v>
      </c>
      <c r="J216">
        <v>0.246</v>
      </c>
      <c r="K216">
        <f t="shared" si="3"/>
        <v>2</v>
      </c>
      <c r="N216">
        <v>3.5</v>
      </c>
      <c r="O216">
        <v>4</v>
      </c>
    </row>
    <row r="217" spans="1:15" x14ac:dyDescent="0.25">
      <c r="A217" t="s">
        <v>1452</v>
      </c>
      <c r="B217">
        <v>9003405300</v>
      </c>
      <c r="C217" t="s">
        <v>1453</v>
      </c>
      <c r="D217">
        <v>6140</v>
      </c>
      <c r="E217">
        <v>1.348223621</v>
      </c>
      <c r="F217">
        <v>4554.1406509999997</v>
      </c>
      <c r="G217">
        <v>1</v>
      </c>
      <c r="H217">
        <v>879</v>
      </c>
      <c r="I217">
        <v>13.644830799999999</v>
      </c>
      <c r="J217">
        <v>0.58699999999999997</v>
      </c>
      <c r="K217">
        <f t="shared" si="3"/>
        <v>3</v>
      </c>
      <c r="N217">
        <v>4</v>
      </c>
      <c r="O217">
        <v>4</v>
      </c>
    </row>
    <row r="218" spans="1:15" x14ac:dyDescent="0.25">
      <c r="A218" t="s">
        <v>1454</v>
      </c>
      <c r="B218">
        <v>9003405401</v>
      </c>
      <c r="C218" t="s">
        <v>1455</v>
      </c>
      <c r="D218">
        <v>3325</v>
      </c>
      <c r="E218">
        <v>1.469337696</v>
      </c>
      <c r="F218">
        <v>2262.9243160000001</v>
      </c>
      <c r="G218">
        <v>1</v>
      </c>
      <c r="H218">
        <v>623</v>
      </c>
      <c r="I218">
        <v>18.328920270000001</v>
      </c>
      <c r="J218">
        <v>0.71799999999999997</v>
      </c>
      <c r="K218">
        <f t="shared" si="3"/>
        <v>4</v>
      </c>
      <c r="N218">
        <v>3.5</v>
      </c>
      <c r="O218">
        <v>4</v>
      </c>
    </row>
    <row r="219" spans="1:15" x14ac:dyDescent="0.25">
      <c r="A219" t="s">
        <v>1456</v>
      </c>
      <c r="B219">
        <v>9003405402</v>
      </c>
      <c r="C219" t="s">
        <v>1457</v>
      </c>
      <c r="D219">
        <v>3982</v>
      </c>
      <c r="E219">
        <v>1.76169156</v>
      </c>
      <c r="F219">
        <v>2260.3275680000002</v>
      </c>
      <c r="G219">
        <v>1</v>
      </c>
      <c r="H219">
        <v>1020</v>
      </c>
      <c r="I219">
        <v>27.084439719999999</v>
      </c>
      <c r="J219">
        <v>0.86599999999999999</v>
      </c>
      <c r="K219">
        <f t="shared" si="3"/>
        <v>5</v>
      </c>
      <c r="N219">
        <v>5</v>
      </c>
      <c r="O219">
        <v>5</v>
      </c>
    </row>
    <row r="220" spans="1:15" x14ac:dyDescent="0.25">
      <c r="A220" t="s">
        <v>1458</v>
      </c>
      <c r="B220">
        <v>9003405500</v>
      </c>
      <c r="C220" t="s">
        <v>1459</v>
      </c>
      <c r="D220">
        <v>5206</v>
      </c>
      <c r="E220">
        <v>3.2382752350000001</v>
      </c>
      <c r="F220">
        <v>1607.645929</v>
      </c>
      <c r="G220">
        <v>1</v>
      </c>
      <c r="H220">
        <v>419</v>
      </c>
      <c r="I220">
        <v>7.8273865120000004</v>
      </c>
      <c r="J220">
        <v>0.29599999999999999</v>
      </c>
      <c r="K220">
        <f t="shared" si="3"/>
        <v>2</v>
      </c>
      <c r="N220">
        <v>3</v>
      </c>
      <c r="O220">
        <v>3</v>
      </c>
    </row>
    <row r="221" spans="1:15" x14ac:dyDescent="0.25">
      <c r="A221" t="s">
        <v>1460</v>
      </c>
      <c r="B221">
        <v>9003405600</v>
      </c>
      <c r="C221" t="s">
        <v>1461</v>
      </c>
      <c r="D221">
        <v>7222</v>
      </c>
      <c r="E221">
        <v>2.9392862050000002</v>
      </c>
      <c r="F221">
        <v>2457.0591279999999</v>
      </c>
      <c r="G221">
        <v>1</v>
      </c>
      <c r="H221">
        <v>895</v>
      </c>
      <c r="I221">
        <v>12.0408987</v>
      </c>
      <c r="J221">
        <v>0.51400000000000001</v>
      </c>
      <c r="K221">
        <f t="shared" si="3"/>
        <v>3</v>
      </c>
      <c r="N221">
        <v>3.5</v>
      </c>
      <c r="O221">
        <v>4</v>
      </c>
    </row>
    <row r="222" spans="1:15" x14ac:dyDescent="0.25">
      <c r="A222" t="s">
        <v>1462</v>
      </c>
      <c r="B222">
        <v>9003405700</v>
      </c>
      <c r="C222" t="s">
        <v>1463</v>
      </c>
      <c r="D222">
        <v>2186</v>
      </c>
      <c r="E222">
        <v>1.381813352</v>
      </c>
      <c r="F222">
        <v>1581.979214</v>
      </c>
      <c r="G222">
        <v>1</v>
      </c>
      <c r="H222">
        <v>252</v>
      </c>
      <c r="I222">
        <v>11.93181818</v>
      </c>
      <c r="J222">
        <v>0.50600000000000001</v>
      </c>
      <c r="K222">
        <f t="shared" si="3"/>
        <v>3</v>
      </c>
      <c r="N222">
        <v>4</v>
      </c>
      <c r="O222">
        <v>4</v>
      </c>
    </row>
    <row r="223" spans="1:15" x14ac:dyDescent="0.25">
      <c r="A223" t="s">
        <v>1464</v>
      </c>
      <c r="B223">
        <v>9003405800</v>
      </c>
      <c r="C223" t="s">
        <v>1465</v>
      </c>
      <c r="D223">
        <v>7388</v>
      </c>
      <c r="E223">
        <v>5.9912980290000002</v>
      </c>
      <c r="F223">
        <v>1233.1217650000001</v>
      </c>
      <c r="G223">
        <v>1</v>
      </c>
      <c r="H223">
        <v>643</v>
      </c>
      <c r="I223">
        <v>8.3964481590000002</v>
      </c>
      <c r="J223">
        <v>0.33300000000000002</v>
      </c>
      <c r="K223">
        <f t="shared" si="3"/>
        <v>2</v>
      </c>
      <c r="N223">
        <v>2.5</v>
      </c>
      <c r="O223">
        <v>3</v>
      </c>
    </row>
    <row r="224" spans="1:15" x14ac:dyDescent="0.25">
      <c r="A224" t="s">
        <v>1466</v>
      </c>
      <c r="B224">
        <v>9003405900</v>
      </c>
      <c r="C224" t="s">
        <v>1467</v>
      </c>
      <c r="D224">
        <v>4636</v>
      </c>
      <c r="E224">
        <v>2.0465399839999998</v>
      </c>
      <c r="F224">
        <v>2265.286795</v>
      </c>
      <c r="G224">
        <v>1</v>
      </c>
      <c r="H224">
        <v>232</v>
      </c>
      <c r="I224">
        <v>5.0107991360000002</v>
      </c>
      <c r="J224">
        <v>0.155</v>
      </c>
      <c r="K224">
        <f t="shared" si="3"/>
        <v>1</v>
      </c>
      <c r="N224">
        <v>2</v>
      </c>
      <c r="O224">
        <v>2</v>
      </c>
    </row>
    <row r="225" spans="1:15" x14ac:dyDescent="0.25">
      <c r="A225" t="s">
        <v>1468</v>
      </c>
      <c r="B225">
        <v>9003406001</v>
      </c>
      <c r="C225" t="s">
        <v>1469</v>
      </c>
      <c r="D225">
        <v>4054</v>
      </c>
      <c r="E225">
        <v>1.6448454589999999</v>
      </c>
      <c r="F225">
        <v>2464.6692360000002</v>
      </c>
      <c r="G225">
        <v>1</v>
      </c>
      <c r="H225">
        <v>736</v>
      </c>
      <c r="I225">
        <v>18.2494421</v>
      </c>
      <c r="J225">
        <v>0.71599999999999997</v>
      </c>
      <c r="K225">
        <f t="shared" si="3"/>
        <v>4</v>
      </c>
      <c r="N225">
        <v>4.5</v>
      </c>
      <c r="O225">
        <v>5</v>
      </c>
    </row>
    <row r="226" spans="1:15" x14ac:dyDescent="0.25">
      <c r="A226" t="s">
        <v>1470</v>
      </c>
      <c r="B226">
        <v>9003406002</v>
      </c>
      <c r="C226" t="s">
        <v>1471</v>
      </c>
      <c r="D226">
        <v>4810</v>
      </c>
      <c r="E226">
        <v>1.4946853040000001</v>
      </c>
      <c r="F226">
        <v>3218.068706</v>
      </c>
      <c r="G226">
        <v>1</v>
      </c>
      <c r="H226">
        <v>367</v>
      </c>
      <c r="I226">
        <v>8.3751711550000003</v>
      </c>
      <c r="J226">
        <v>0.33</v>
      </c>
      <c r="K226">
        <f t="shared" si="3"/>
        <v>2</v>
      </c>
      <c r="N226">
        <v>2.5</v>
      </c>
      <c r="O226">
        <v>3</v>
      </c>
    </row>
    <row r="227" spans="1:15" x14ac:dyDescent="0.25">
      <c r="A227" t="s">
        <v>1472</v>
      </c>
      <c r="B227">
        <v>9003406100</v>
      </c>
      <c r="C227" t="s">
        <v>1473</v>
      </c>
      <c r="D227">
        <v>3910</v>
      </c>
      <c r="E227">
        <v>0.69401286799999995</v>
      </c>
      <c r="F227">
        <v>5633.9013009999999</v>
      </c>
      <c r="G227">
        <v>1</v>
      </c>
      <c r="H227">
        <v>831</v>
      </c>
      <c r="I227">
        <v>21.82247899</v>
      </c>
      <c r="J227">
        <v>0.79300000000000004</v>
      </c>
      <c r="K227">
        <f t="shared" si="3"/>
        <v>4</v>
      </c>
      <c r="N227">
        <v>4.5</v>
      </c>
      <c r="O227">
        <v>5</v>
      </c>
    </row>
    <row r="228" spans="1:15" x14ac:dyDescent="0.25">
      <c r="A228" t="s">
        <v>1474</v>
      </c>
      <c r="B228">
        <v>9003410101</v>
      </c>
      <c r="C228" t="s">
        <v>1475</v>
      </c>
      <c r="D228">
        <v>5246</v>
      </c>
      <c r="E228">
        <v>16.95862722</v>
      </c>
      <c r="F228">
        <v>309.34107649999999</v>
      </c>
      <c r="G228">
        <v>2</v>
      </c>
      <c r="H228">
        <v>291</v>
      </c>
      <c r="I228">
        <v>5.3092501370000003</v>
      </c>
      <c r="J228">
        <v>0.17100000000000001</v>
      </c>
      <c r="K228">
        <f t="shared" si="3"/>
        <v>1</v>
      </c>
      <c r="N228">
        <v>1.5</v>
      </c>
      <c r="O228">
        <v>2</v>
      </c>
    </row>
    <row r="229" spans="1:15" x14ac:dyDescent="0.25">
      <c r="A229" t="s">
        <v>1476</v>
      </c>
      <c r="B229">
        <v>9003410102</v>
      </c>
      <c r="C229" t="s">
        <v>1477</v>
      </c>
      <c r="D229">
        <v>4055</v>
      </c>
      <c r="E229">
        <v>12.78199281</v>
      </c>
      <c r="F229">
        <v>317.24317639999998</v>
      </c>
      <c r="G229">
        <v>2</v>
      </c>
      <c r="H229">
        <v>275</v>
      </c>
      <c r="I229">
        <v>6.5820966969999999</v>
      </c>
      <c r="J229">
        <v>0.23699999999999999</v>
      </c>
      <c r="K229">
        <f t="shared" si="3"/>
        <v>2</v>
      </c>
      <c r="N229">
        <v>1.5</v>
      </c>
      <c r="O229">
        <v>2</v>
      </c>
    </row>
    <row r="230" spans="1:15" x14ac:dyDescent="0.25">
      <c r="A230" t="s">
        <v>1478</v>
      </c>
      <c r="B230">
        <v>9003415300</v>
      </c>
      <c r="C230" t="s">
        <v>1479</v>
      </c>
      <c r="D230">
        <v>2282</v>
      </c>
      <c r="E230">
        <v>0.208951161</v>
      </c>
      <c r="F230">
        <v>10921.21234</v>
      </c>
      <c r="G230">
        <v>1</v>
      </c>
      <c r="H230">
        <v>495</v>
      </c>
      <c r="I230">
        <v>23.79807692</v>
      </c>
      <c r="J230">
        <v>0.81699999999999995</v>
      </c>
      <c r="K230">
        <f t="shared" si="3"/>
        <v>5</v>
      </c>
      <c r="N230">
        <v>5</v>
      </c>
      <c r="O230">
        <v>5</v>
      </c>
    </row>
    <row r="231" spans="1:15" x14ac:dyDescent="0.25">
      <c r="A231" t="s">
        <v>1480</v>
      </c>
      <c r="B231">
        <v>9003415400</v>
      </c>
      <c r="C231" t="s">
        <v>1481</v>
      </c>
      <c r="D231">
        <v>6289</v>
      </c>
      <c r="E231">
        <v>1.0841007760000001</v>
      </c>
      <c r="F231">
        <v>5801.1212059999998</v>
      </c>
      <c r="G231">
        <v>1</v>
      </c>
      <c r="H231">
        <v>658</v>
      </c>
      <c r="I231">
        <v>10.31186334</v>
      </c>
      <c r="J231">
        <v>0.42799999999999999</v>
      </c>
      <c r="K231">
        <f t="shared" si="3"/>
        <v>3</v>
      </c>
      <c r="N231">
        <v>4</v>
      </c>
      <c r="O231">
        <v>4</v>
      </c>
    </row>
    <row r="232" spans="1:15" x14ac:dyDescent="0.25">
      <c r="A232" t="s">
        <v>1482</v>
      </c>
      <c r="B232">
        <v>9003415500</v>
      </c>
      <c r="C232" t="s">
        <v>1483</v>
      </c>
      <c r="D232">
        <v>2930</v>
      </c>
      <c r="E232">
        <v>0.43336224000000001</v>
      </c>
      <c r="F232">
        <v>6761.0874530000001</v>
      </c>
      <c r="G232">
        <v>1</v>
      </c>
      <c r="H232">
        <v>614</v>
      </c>
      <c r="I232">
        <v>20.81355932</v>
      </c>
      <c r="J232">
        <v>0.76800000000000002</v>
      </c>
      <c r="K232">
        <f t="shared" si="3"/>
        <v>4</v>
      </c>
      <c r="N232">
        <v>4.5</v>
      </c>
      <c r="O232">
        <v>5</v>
      </c>
    </row>
    <row r="233" spans="1:15" x14ac:dyDescent="0.25">
      <c r="A233" t="s">
        <v>1484</v>
      </c>
      <c r="B233">
        <v>9003415600</v>
      </c>
      <c r="C233" t="s">
        <v>1485</v>
      </c>
      <c r="D233">
        <v>4215</v>
      </c>
      <c r="E233">
        <v>0.44101169600000001</v>
      </c>
      <c r="F233">
        <v>9557.5696520000001</v>
      </c>
      <c r="G233">
        <v>1</v>
      </c>
      <c r="H233">
        <v>1472</v>
      </c>
      <c r="I233">
        <v>32.027850299999997</v>
      </c>
      <c r="J233">
        <v>0.92100000000000004</v>
      </c>
      <c r="K233">
        <f t="shared" si="3"/>
        <v>5</v>
      </c>
      <c r="N233">
        <v>5</v>
      </c>
      <c r="O233">
        <v>5</v>
      </c>
    </row>
    <row r="234" spans="1:15" x14ac:dyDescent="0.25">
      <c r="A234" t="s">
        <v>1486</v>
      </c>
      <c r="B234">
        <v>9003415700</v>
      </c>
      <c r="C234" t="s">
        <v>1487</v>
      </c>
      <c r="D234">
        <v>3266</v>
      </c>
      <c r="E234">
        <v>0.49382506799999998</v>
      </c>
      <c r="F234">
        <v>6613.6780250000002</v>
      </c>
      <c r="G234">
        <v>1</v>
      </c>
      <c r="H234">
        <v>492</v>
      </c>
      <c r="I234">
        <v>15.764178149999999</v>
      </c>
      <c r="J234">
        <v>0.64300000000000002</v>
      </c>
      <c r="K234">
        <f t="shared" si="3"/>
        <v>4</v>
      </c>
      <c r="N234">
        <v>4.5</v>
      </c>
      <c r="O234">
        <v>5</v>
      </c>
    </row>
    <row r="235" spans="1:15" x14ac:dyDescent="0.25">
      <c r="A235" t="s">
        <v>1488</v>
      </c>
      <c r="B235">
        <v>9003415800</v>
      </c>
      <c r="C235" t="s">
        <v>1489</v>
      </c>
      <c r="D235">
        <v>2473</v>
      </c>
      <c r="E235">
        <v>0.52907040500000002</v>
      </c>
      <c r="F235">
        <v>4674.2361259999998</v>
      </c>
      <c r="G235">
        <v>1</v>
      </c>
      <c r="H235">
        <v>379</v>
      </c>
      <c r="I235">
        <v>13.837166849999999</v>
      </c>
      <c r="J235">
        <v>0.59499999999999997</v>
      </c>
      <c r="K235">
        <f t="shared" si="3"/>
        <v>3</v>
      </c>
      <c r="N235">
        <v>4</v>
      </c>
      <c r="O235">
        <v>4</v>
      </c>
    </row>
    <row r="236" spans="1:15" x14ac:dyDescent="0.25">
      <c r="A236" t="s">
        <v>1490</v>
      </c>
      <c r="B236">
        <v>9003415900</v>
      </c>
      <c r="C236" t="s">
        <v>1491</v>
      </c>
      <c r="D236">
        <v>1788</v>
      </c>
      <c r="E236">
        <v>0.251401551</v>
      </c>
      <c r="F236">
        <v>7112.1279629999999</v>
      </c>
      <c r="G236">
        <v>1</v>
      </c>
      <c r="H236">
        <v>190</v>
      </c>
      <c r="I236">
        <v>13.24965132</v>
      </c>
      <c r="J236">
        <v>0.56499999999999995</v>
      </c>
      <c r="K236">
        <f t="shared" si="3"/>
        <v>3</v>
      </c>
      <c r="N236">
        <v>4</v>
      </c>
      <c r="O236">
        <v>4</v>
      </c>
    </row>
    <row r="237" spans="1:15" x14ac:dyDescent="0.25">
      <c r="A237" t="s">
        <v>1492</v>
      </c>
      <c r="B237">
        <v>9003416000</v>
      </c>
      <c r="C237" t="s">
        <v>1493</v>
      </c>
      <c r="D237">
        <v>4516</v>
      </c>
      <c r="E237">
        <v>0.31354508199999997</v>
      </c>
      <c r="F237">
        <v>14403.03248</v>
      </c>
      <c r="G237">
        <v>1</v>
      </c>
      <c r="H237">
        <v>529</v>
      </c>
      <c r="I237">
        <v>11.122792260000001</v>
      </c>
      <c r="J237">
        <v>0.46700000000000003</v>
      </c>
      <c r="K237">
        <f t="shared" si="3"/>
        <v>3</v>
      </c>
      <c r="N237">
        <v>4</v>
      </c>
      <c r="O237">
        <v>4</v>
      </c>
    </row>
    <row r="238" spans="1:15" x14ac:dyDescent="0.25">
      <c r="A238" t="s">
        <v>1494</v>
      </c>
      <c r="B238">
        <v>9003416100</v>
      </c>
      <c r="C238" t="s">
        <v>1495</v>
      </c>
      <c r="D238">
        <v>4809</v>
      </c>
      <c r="E238">
        <v>0.34612515599999999</v>
      </c>
      <c r="F238">
        <v>13893.818230000001</v>
      </c>
      <c r="G238">
        <v>1</v>
      </c>
      <c r="H238">
        <v>1470</v>
      </c>
      <c r="I238">
        <v>31.210191080000001</v>
      </c>
      <c r="J238">
        <v>0.91</v>
      </c>
      <c r="K238">
        <f t="shared" si="3"/>
        <v>5</v>
      </c>
      <c r="N238">
        <v>5</v>
      </c>
      <c r="O238">
        <v>5</v>
      </c>
    </row>
    <row r="239" spans="1:15" x14ac:dyDescent="0.25">
      <c r="A239" t="s">
        <v>1496</v>
      </c>
      <c r="B239">
        <v>9003416200</v>
      </c>
      <c r="C239" t="s">
        <v>1497</v>
      </c>
      <c r="D239">
        <v>3102</v>
      </c>
      <c r="E239">
        <v>0.21479751999999999</v>
      </c>
      <c r="F239">
        <v>14441.5075</v>
      </c>
      <c r="G239">
        <v>1</v>
      </c>
      <c r="H239">
        <v>657</v>
      </c>
      <c r="I239">
        <v>21.921921919999999</v>
      </c>
      <c r="J239">
        <v>0.79600000000000004</v>
      </c>
      <c r="K239">
        <f t="shared" si="3"/>
        <v>4</v>
      </c>
      <c r="N239">
        <v>4.5</v>
      </c>
      <c r="O239">
        <v>5</v>
      </c>
    </row>
    <row r="240" spans="1:15" x14ac:dyDescent="0.25">
      <c r="A240" t="s">
        <v>1498</v>
      </c>
      <c r="B240">
        <v>9003416300</v>
      </c>
      <c r="C240" t="s">
        <v>1499</v>
      </c>
      <c r="D240">
        <v>3737</v>
      </c>
      <c r="E240">
        <v>0.708157335</v>
      </c>
      <c r="F240">
        <v>5277.0758910000004</v>
      </c>
      <c r="G240">
        <v>1</v>
      </c>
      <c r="H240">
        <v>795</v>
      </c>
      <c r="I240">
        <v>20.24446142</v>
      </c>
      <c r="J240">
        <v>0.76100000000000001</v>
      </c>
      <c r="K240">
        <f t="shared" si="3"/>
        <v>4</v>
      </c>
      <c r="N240">
        <v>4.5</v>
      </c>
      <c r="O240">
        <v>5</v>
      </c>
    </row>
    <row r="241" spans="1:15" x14ac:dyDescent="0.25">
      <c r="A241" t="s">
        <v>1500</v>
      </c>
      <c r="B241">
        <v>9003416400</v>
      </c>
      <c r="C241" t="s">
        <v>1501</v>
      </c>
      <c r="D241">
        <v>3313</v>
      </c>
      <c r="E241">
        <v>1.7285176609999999</v>
      </c>
      <c r="F241">
        <v>1916.6711889999999</v>
      </c>
      <c r="G241">
        <v>1</v>
      </c>
      <c r="H241">
        <v>371</v>
      </c>
      <c r="I241">
        <v>11.05153411</v>
      </c>
      <c r="J241">
        <v>0.46500000000000002</v>
      </c>
      <c r="K241">
        <f t="shared" si="3"/>
        <v>3</v>
      </c>
      <c r="N241">
        <v>3</v>
      </c>
      <c r="O241">
        <v>3</v>
      </c>
    </row>
    <row r="242" spans="1:15" x14ac:dyDescent="0.25">
      <c r="A242" t="s">
        <v>1502</v>
      </c>
      <c r="B242">
        <v>9003416500</v>
      </c>
      <c r="C242" t="s">
        <v>1503</v>
      </c>
      <c r="D242">
        <v>4703</v>
      </c>
      <c r="E242">
        <v>1.1988070989999999</v>
      </c>
      <c r="F242">
        <v>3923.0665260000001</v>
      </c>
      <c r="G242">
        <v>1</v>
      </c>
      <c r="H242">
        <v>665</v>
      </c>
      <c r="I242">
        <v>13.51626016</v>
      </c>
      <c r="J242">
        <v>0.58299999999999996</v>
      </c>
      <c r="K242">
        <f t="shared" si="3"/>
        <v>3</v>
      </c>
      <c r="N242">
        <v>3.5</v>
      </c>
      <c r="O242">
        <v>4</v>
      </c>
    </row>
    <row r="243" spans="1:15" x14ac:dyDescent="0.25">
      <c r="A243" t="s">
        <v>1504</v>
      </c>
      <c r="B243">
        <v>9003416600</v>
      </c>
      <c r="C243" t="s">
        <v>1505</v>
      </c>
      <c r="D243">
        <v>2937</v>
      </c>
      <c r="E243">
        <v>0.61718162399999998</v>
      </c>
      <c r="F243">
        <v>4758.7288500000004</v>
      </c>
      <c r="G243">
        <v>1</v>
      </c>
      <c r="H243">
        <v>552</v>
      </c>
      <c r="I243">
        <v>18.585858590000001</v>
      </c>
      <c r="J243">
        <v>0.72599999999999998</v>
      </c>
      <c r="K243">
        <f t="shared" si="3"/>
        <v>4</v>
      </c>
      <c r="N243">
        <v>4.5</v>
      </c>
      <c r="O243">
        <v>5</v>
      </c>
    </row>
    <row r="244" spans="1:15" x14ac:dyDescent="0.25">
      <c r="A244" t="s">
        <v>1506</v>
      </c>
      <c r="B244">
        <v>9003416700</v>
      </c>
      <c r="C244" t="s">
        <v>1507</v>
      </c>
      <c r="D244">
        <v>6561</v>
      </c>
      <c r="E244">
        <v>1.0137436929999999</v>
      </c>
      <c r="F244">
        <v>6472.0501299999996</v>
      </c>
      <c r="G244">
        <v>1</v>
      </c>
      <c r="H244">
        <v>1483</v>
      </c>
      <c r="I244">
        <v>22.210573610000001</v>
      </c>
      <c r="J244">
        <v>0.80100000000000005</v>
      </c>
      <c r="K244">
        <f t="shared" si="3"/>
        <v>5</v>
      </c>
      <c r="N244">
        <v>5</v>
      </c>
      <c r="O244">
        <v>5</v>
      </c>
    </row>
    <row r="245" spans="1:15" x14ac:dyDescent="0.25">
      <c r="A245" t="s">
        <v>1508</v>
      </c>
      <c r="B245">
        <v>9003416800</v>
      </c>
      <c r="C245" t="s">
        <v>1509</v>
      </c>
      <c r="D245">
        <v>3019</v>
      </c>
      <c r="E245">
        <v>0.45797856999999997</v>
      </c>
      <c r="F245">
        <v>6592.0115029999997</v>
      </c>
      <c r="G245">
        <v>1</v>
      </c>
      <c r="H245">
        <v>744</v>
      </c>
      <c r="I245">
        <v>24.891267979999999</v>
      </c>
      <c r="J245">
        <v>0.83</v>
      </c>
      <c r="K245">
        <f t="shared" si="3"/>
        <v>5</v>
      </c>
      <c r="N245">
        <v>5</v>
      </c>
      <c r="O245">
        <v>5</v>
      </c>
    </row>
    <row r="246" spans="1:15" x14ac:dyDescent="0.25">
      <c r="A246" t="s">
        <v>1510</v>
      </c>
      <c r="B246">
        <v>9003417100</v>
      </c>
      <c r="C246" t="s">
        <v>1511</v>
      </c>
      <c r="D246">
        <v>1886</v>
      </c>
      <c r="E246">
        <v>0.457929535</v>
      </c>
      <c r="F246">
        <v>4118.5375839999997</v>
      </c>
      <c r="G246">
        <v>1</v>
      </c>
      <c r="H246">
        <v>362</v>
      </c>
      <c r="I246">
        <v>21.14485981</v>
      </c>
      <c r="J246">
        <v>0.77400000000000002</v>
      </c>
      <c r="K246">
        <f t="shared" si="3"/>
        <v>4</v>
      </c>
      <c r="N246">
        <v>4.5</v>
      </c>
      <c r="O246">
        <v>5</v>
      </c>
    </row>
    <row r="247" spans="1:15" x14ac:dyDescent="0.25">
      <c r="A247" t="s">
        <v>1512</v>
      </c>
      <c r="B247">
        <v>9003417200</v>
      </c>
      <c r="C247" t="s">
        <v>1513</v>
      </c>
      <c r="D247">
        <v>1822</v>
      </c>
      <c r="E247">
        <v>0.23241652099999999</v>
      </c>
      <c r="F247">
        <v>7839.3738679999997</v>
      </c>
      <c r="G247">
        <v>1</v>
      </c>
      <c r="H247">
        <v>377</v>
      </c>
      <c r="I247">
        <v>25.319006040000001</v>
      </c>
      <c r="J247">
        <v>0.83899999999999997</v>
      </c>
      <c r="K247">
        <f t="shared" si="3"/>
        <v>5</v>
      </c>
      <c r="N247">
        <v>5</v>
      </c>
      <c r="O247">
        <v>5</v>
      </c>
    </row>
    <row r="248" spans="1:15" x14ac:dyDescent="0.25">
      <c r="A248" t="s">
        <v>1514</v>
      </c>
      <c r="B248">
        <v>9003417400</v>
      </c>
      <c r="C248" t="s">
        <v>1515</v>
      </c>
      <c r="D248">
        <v>2954</v>
      </c>
      <c r="E248">
        <v>1.056280184</v>
      </c>
      <c r="F248">
        <v>2796.6064740000002</v>
      </c>
      <c r="G248">
        <v>1</v>
      </c>
      <c r="H248">
        <v>566</v>
      </c>
      <c r="I248">
        <v>19.680111270000001</v>
      </c>
      <c r="J248">
        <v>0.754</v>
      </c>
      <c r="K248">
        <f t="shared" si="3"/>
        <v>4</v>
      </c>
      <c r="N248">
        <v>4</v>
      </c>
      <c r="O248">
        <v>4</v>
      </c>
    </row>
    <row r="249" spans="1:15" x14ac:dyDescent="0.25">
      <c r="A249" t="s">
        <v>1516</v>
      </c>
      <c r="B249">
        <v>9003417500</v>
      </c>
      <c r="C249" t="s">
        <v>1517</v>
      </c>
      <c r="D249">
        <v>4454</v>
      </c>
      <c r="E249">
        <v>1.3800415290000001</v>
      </c>
      <c r="F249">
        <v>3227.4391070000001</v>
      </c>
      <c r="G249">
        <v>1</v>
      </c>
      <c r="H249">
        <v>790</v>
      </c>
      <c r="I249">
        <v>18.23638042</v>
      </c>
      <c r="J249">
        <v>0.72399999999999998</v>
      </c>
      <c r="K249">
        <f t="shared" si="3"/>
        <v>4</v>
      </c>
      <c r="N249">
        <v>4.5</v>
      </c>
      <c r="O249">
        <v>5</v>
      </c>
    </row>
    <row r="250" spans="1:15" x14ac:dyDescent="0.25">
      <c r="A250" t="s">
        <v>1518</v>
      </c>
      <c r="B250">
        <v>9003420400</v>
      </c>
      <c r="C250" t="s">
        <v>1519</v>
      </c>
      <c r="D250">
        <v>2839</v>
      </c>
      <c r="E250">
        <v>2.2316508800000001</v>
      </c>
      <c r="F250">
        <v>1272.15239</v>
      </c>
      <c r="G250">
        <v>1</v>
      </c>
      <c r="H250">
        <v>480</v>
      </c>
      <c r="I250">
        <v>14.82854495</v>
      </c>
      <c r="J250">
        <v>0.62</v>
      </c>
      <c r="K250">
        <f t="shared" si="3"/>
        <v>4</v>
      </c>
      <c r="N250">
        <v>3.5</v>
      </c>
      <c r="O250">
        <v>4</v>
      </c>
    </row>
    <row r="251" spans="1:15" x14ac:dyDescent="0.25">
      <c r="A251" t="s">
        <v>1520</v>
      </c>
      <c r="B251">
        <v>9003420500</v>
      </c>
      <c r="C251" t="s">
        <v>1521</v>
      </c>
      <c r="D251">
        <v>5442</v>
      </c>
      <c r="E251">
        <v>1.8250115440000001</v>
      </c>
      <c r="F251">
        <v>2981.8989459999998</v>
      </c>
      <c r="G251">
        <v>1</v>
      </c>
      <c r="H251">
        <v>836</v>
      </c>
      <c r="I251">
        <v>16.841257049999999</v>
      </c>
      <c r="J251">
        <v>0.68200000000000005</v>
      </c>
      <c r="K251">
        <f t="shared" si="3"/>
        <v>4</v>
      </c>
      <c r="N251">
        <v>4</v>
      </c>
      <c r="O251">
        <v>4</v>
      </c>
    </row>
    <row r="252" spans="1:15" x14ac:dyDescent="0.25">
      <c r="A252" t="s">
        <v>1522</v>
      </c>
      <c r="B252">
        <v>9003420600</v>
      </c>
      <c r="C252" t="s">
        <v>1523</v>
      </c>
      <c r="D252">
        <v>5880</v>
      </c>
      <c r="E252">
        <v>2.2541270459999998</v>
      </c>
      <c r="F252">
        <v>2608.5486219999998</v>
      </c>
      <c r="G252">
        <v>1</v>
      </c>
      <c r="H252">
        <v>713</v>
      </c>
      <c r="I252">
        <v>11.991254619999999</v>
      </c>
      <c r="J252">
        <v>0.52100000000000002</v>
      </c>
      <c r="K252">
        <f t="shared" si="3"/>
        <v>3</v>
      </c>
      <c r="N252">
        <v>3.5</v>
      </c>
      <c r="O252">
        <v>4</v>
      </c>
    </row>
    <row r="253" spans="1:15" x14ac:dyDescent="0.25">
      <c r="A253" t="s">
        <v>1524</v>
      </c>
      <c r="B253">
        <v>9003420700</v>
      </c>
      <c r="C253" t="s">
        <v>1525</v>
      </c>
      <c r="D253">
        <v>3555</v>
      </c>
      <c r="E253">
        <v>3.3997331260000001</v>
      </c>
      <c r="F253">
        <v>1045.670312</v>
      </c>
      <c r="G253">
        <v>1</v>
      </c>
      <c r="H253">
        <v>132</v>
      </c>
      <c r="I253">
        <v>3.801843318</v>
      </c>
      <c r="J253">
        <v>0.10199999999999999</v>
      </c>
      <c r="K253">
        <f t="shared" si="3"/>
        <v>1</v>
      </c>
      <c r="N253">
        <v>2.5</v>
      </c>
      <c r="O253">
        <v>3</v>
      </c>
    </row>
    <row r="254" spans="1:15" x14ac:dyDescent="0.25">
      <c r="A254" t="s">
        <v>1526</v>
      </c>
      <c r="B254">
        <v>9003430100</v>
      </c>
      <c r="C254" t="s">
        <v>1527</v>
      </c>
      <c r="D254">
        <v>4103</v>
      </c>
      <c r="E254">
        <v>1.2663375269999999</v>
      </c>
      <c r="F254">
        <v>3240.0524439999999</v>
      </c>
      <c r="G254">
        <v>1</v>
      </c>
      <c r="H254">
        <v>557</v>
      </c>
      <c r="I254">
        <v>12.16157205</v>
      </c>
      <c r="J254">
        <v>0.52500000000000002</v>
      </c>
      <c r="K254">
        <f t="shared" si="3"/>
        <v>3</v>
      </c>
      <c r="N254">
        <v>3.5</v>
      </c>
      <c r="O254">
        <v>4</v>
      </c>
    </row>
    <row r="255" spans="1:15" x14ac:dyDescent="0.25">
      <c r="A255" t="s">
        <v>1528</v>
      </c>
      <c r="B255">
        <v>9003430201</v>
      </c>
      <c r="C255" t="s">
        <v>1529</v>
      </c>
      <c r="D255">
        <v>3388</v>
      </c>
      <c r="E255">
        <v>2.5185244099999999</v>
      </c>
      <c r="F255">
        <v>1345.2321469999999</v>
      </c>
      <c r="G255">
        <v>1</v>
      </c>
      <c r="H255">
        <v>332</v>
      </c>
      <c r="I255">
        <v>9.1083676269999998</v>
      </c>
      <c r="J255">
        <v>0.38900000000000001</v>
      </c>
      <c r="K255">
        <f t="shared" si="3"/>
        <v>2</v>
      </c>
      <c r="N255">
        <v>3</v>
      </c>
      <c r="O255">
        <v>3</v>
      </c>
    </row>
    <row r="256" spans="1:15" x14ac:dyDescent="0.25">
      <c r="A256" t="s">
        <v>1530</v>
      </c>
      <c r="B256">
        <v>9003430202</v>
      </c>
      <c r="C256" t="s">
        <v>1531</v>
      </c>
      <c r="D256">
        <v>4709</v>
      </c>
      <c r="E256">
        <v>6.2864688949999996</v>
      </c>
      <c r="F256">
        <v>749.06916409999997</v>
      </c>
      <c r="G256">
        <v>1</v>
      </c>
      <c r="H256">
        <v>432</v>
      </c>
      <c r="I256">
        <v>8.7061668680000004</v>
      </c>
      <c r="J256">
        <v>0.36599999999999999</v>
      </c>
      <c r="K256">
        <f t="shared" si="3"/>
        <v>2</v>
      </c>
      <c r="N256">
        <v>1.5</v>
      </c>
      <c r="O256">
        <v>2</v>
      </c>
    </row>
    <row r="257" spans="1:15" x14ac:dyDescent="0.25">
      <c r="A257" t="s">
        <v>1532</v>
      </c>
      <c r="B257">
        <v>9003430203</v>
      </c>
      <c r="C257" t="s">
        <v>1533</v>
      </c>
      <c r="D257">
        <v>4212</v>
      </c>
      <c r="E257">
        <v>2.0054301410000002</v>
      </c>
      <c r="F257">
        <v>2100.297544</v>
      </c>
      <c r="G257">
        <v>1</v>
      </c>
      <c r="H257">
        <v>274</v>
      </c>
      <c r="I257">
        <v>6.2216167120000003</v>
      </c>
      <c r="J257">
        <v>0.22600000000000001</v>
      </c>
      <c r="K257">
        <f t="shared" si="3"/>
        <v>2</v>
      </c>
      <c r="N257">
        <v>3</v>
      </c>
      <c r="O257">
        <v>3</v>
      </c>
    </row>
    <row r="258" spans="1:15" x14ac:dyDescent="0.25">
      <c r="A258" t="s">
        <v>1534</v>
      </c>
      <c r="B258">
        <v>9003430301</v>
      </c>
      <c r="C258" t="s">
        <v>1535</v>
      </c>
      <c r="D258">
        <v>3599</v>
      </c>
      <c r="E258">
        <v>3.6606188909999999</v>
      </c>
      <c r="F258">
        <v>983.1670838</v>
      </c>
      <c r="G258">
        <v>1</v>
      </c>
      <c r="H258">
        <v>208</v>
      </c>
      <c r="I258">
        <v>5.6094929880000004</v>
      </c>
      <c r="J258">
        <v>0.19500000000000001</v>
      </c>
      <c r="K258">
        <f t="shared" si="3"/>
        <v>1</v>
      </c>
      <c r="N258">
        <v>1</v>
      </c>
      <c r="O258">
        <v>1</v>
      </c>
    </row>
    <row r="259" spans="1:15" x14ac:dyDescent="0.25">
      <c r="A259" t="s">
        <v>1536</v>
      </c>
      <c r="B259">
        <v>9003430302</v>
      </c>
      <c r="C259" t="s">
        <v>1537</v>
      </c>
      <c r="D259">
        <v>2755</v>
      </c>
      <c r="E259">
        <v>1.7104666120000001</v>
      </c>
      <c r="F259">
        <v>1610.671603</v>
      </c>
      <c r="G259">
        <v>1</v>
      </c>
      <c r="H259">
        <v>67</v>
      </c>
      <c r="I259">
        <v>2.3255813949999999</v>
      </c>
      <c r="J259">
        <v>3.1E-2</v>
      </c>
      <c r="K259">
        <f t="shared" ref="K259:K322" si="4">IF(J259&lt;0.2,1,IF(J259&lt;0.4,2,IF(J259&lt;0.6,3,IF(J259&lt;0.8,4,5))))</f>
        <v>1</v>
      </c>
      <c r="N259">
        <v>2</v>
      </c>
      <c r="O259">
        <v>2</v>
      </c>
    </row>
    <row r="260" spans="1:15" x14ac:dyDescent="0.25">
      <c r="A260" t="s">
        <v>1538</v>
      </c>
      <c r="B260">
        <v>9003430400</v>
      </c>
      <c r="C260" t="s">
        <v>1539</v>
      </c>
      <c r="D260">
        <v>5049</v>
      </c>
      <c r="E260">
        <v>3.8524749919999999</v>
      </c>
      <c r="F260">
        <v>1310.586055</v>
      </c>
      <c r="G260">
        <v>1</v>
      </c>
      <c r="H260">
        <v>137</v>
      </c>
      <c r="I260">
        <v>3.3685763460000002</v>
      </c>
      <c r="J260">
        <v>7.9000000000000001E-2</v>
      </c>
      <c r="K260">
        <f t="shared" si="4"/>
        <v>1</v>
      </c>
      <c r="N260">
        <v>2</v>
      </c>
      <c r="O260">
        <v>2</v>
      </c>
    </row>
    <row r="261" spans="1:15" x14ac:dyDescent="0.25">
      <c r="A261" t="s">
        <v>1540</v>
      </c>
      <c r="B261">
        <v>9003430500</v>
      </c>
      <c r="C261" t="s">
        <v>1541</v>
      </c>
      <c r="D261">
        <v>6547</v>
      </c>
      <c r="E261">
        <v>4.7830240909999997</v>
      </c>
      <c r="F261">
        <v>1368.7992939999999</v>
      </c>
      <c r="G261">
        <v>1</v>
      </c>
      <c r="H261">
        <v>17</v>
      </c>
      <c r="I261">
        <v>0.25275051999999998</v>
      </c>
      <c r="J261">
        <v>0</v>
      </c>
      <c r="K261">
        <f t="shared" si="4"/>
        <v>1</v>
      </c>
      <c r="N261">
        <v>1</v>
      </c>
      <c r="O261">
        <v>1</v>
      </c>
    </row>
    <row r="262" spans="1:15" x14ac:dyDescent="0.25">
      <c r="A262" t="s">
        <v>1542</v>
      </c>
      <c r="B262">
        <v>9003430601</v>
      </c>
      <c r="C262" t="s">
        <v>1543</v>
      </c>
      <c r="D262">
        <v>5202</v>
      </c>
      <c r="E262">
        <v>8.4193239510000009</v>
      </c>
      <c r="F262">
        <v>617.86433569999997</v>
      </c>
      <c r="G262">
        <v>1</v>
      </c>
      <c r="H262">
        <v>494</v>
      </c>
      <c r="I262">
        <v>9.4346829640000003</v>
      </c>
      <c r="J262">
        <v>0.39200000000000002</v>
      </c>
      <c r="K262">
        <f t="shared" si="4"/>
        <v>2</v>
      </c>
      <c r="N262">
        <v>3.5</v>
      </c>
      <c r="O262">
        <v>4</v>
      </c>
    </row>
    <row r="263" spans="1:15" x14ac:dyDescent="0.25">
      <c r="A263" t="s">
        <v>1544</v>
      </c>
      <c r="B263">
        <v>9003430602</v>
      </c>
      <c r="C263" t="s">
        <v>1545</v>
      </c>
      <c r="D263">
        <v>3505</v>
      </c>
      <c r="E263">
        <v>1.409440121</v>
      </c>
      <c r="F263">
        <v>2486.8030560000002</v>
      </c>
      <c r="G263">
        <v>1</v>
      </c>
      <c r="H263">
        <v>234</v>
      </c>
      <c r="I263">
        <v>6.5509518480000004</v>
      </c>
      <c r="J263">
        <v>0.23899999999999999</v>
      </c>
      <c r="K263">
        <f t="shared" si="4"/>
        <v>2</v>
      </c>
      <c r="N263">
        <v>2.5</v>
      </c>
      <c r="O263">
        <v>3</v>
      </c>
    </row>
    <row r="264" spans="1:15" x14ac:dyDescent="0.25">
      <c r="A264" t="s">
        <v>1546</v>
      </c>
      <c r="B264">
        <v>9003460100</v>
      </c>
      <c r="C264" t="s">
        <v>1547</v>
      </c>
      <c r="D264">
        <v>3325</v>
      </c>
      <c r="E264">
        <v>3.8003650979999999</v>
      </c>
      <c r="F264">
        <v>874.91593939999996</v>
      </c>
      <c r="G264">
        <v>1</v>
      </c>
      <c r="H264">
        <v>439</v>
      </c>
      <c r="I264">
        <v>13.60818351</v>
      </c>
      <c r="J264">
        <v>0.58699999999999997</v>
      </c>
      <c r="K264">
        <f t="shared" si="4"/>
        <v>3</v>
      </c>
      <c r="N264">
        <v>2.5</v>
      </c>
      <c r="O264">
        <v>3</v>
      </c>
    </row>
    <row r="265" spans="1:15" x14ac:dyDescent="0.25">
      <c r="A265" t="s">
        <v>1548</v>
      </c>
      <c r="B265">
        <v>9003460202</v>
      </c>
      <c r="C265" t="s">
        <v>1549</v>
      </c>
      <c r="D265">
        <v>4119</v>
      </c>
      <c r="E265">
        <v>7.6055989449999997</v>
      </c>
      <c r="F265">
        <v>541.57470439999997</v>
      </c>
      <c r="G265">
        <v>1</v>
      </c>
      <c r="H265">
        <v>938</v>
      </c>
      <c r="I265">
        <v>21.687861269999999</v>
      </c>
      <c r="J265">
        <v>0.78800000000000003</v>
      </c>
      <c r="K265">
        <f t="shared" si="4"/>
        <v>4</v>
      </c>
      <c r="N265">
        <v>3</v>
      </c>
      <c r="O265">
        <v>3</v>
      </c>
    </row>
    <row r="266" spans="1:15" x14ac:dyDescent="0.25">
      <c r="A266" t="s">
        <v>1550</v>
      </c>
      <c r="B266">
        <v>9003460203</v>
      </c>
      <c r="C266" t="s">
        <v>1551</v>
      </c>
      <c r="D266">
        <v>3018</v>
      </c>
      <c r="E266">
        <v>4.7342084209999999</v>
      </c>
      <c r="F266">
        <v>637.4877765</v>
      </c>
      <c r="G266">
        <v>1</v>
      </c>
      <c r="H266">
        <v>965</v>
      </c>
      <c r="I266">
        <v>29.84843798</v>
      </c>
      <c r="J266">
        <v>0.89100000000000001</v>
      </c>
      <c r="K266">
        <f t="shared" si="4"/>
        <v>5</v>
      </c>
      <c r="N266">
        <v>4</v>
      </c>
      <c r="O266">
        <v>4</v>
      </c>
    </row>
    <row r="267" spans="1:15" x14ac:dyDescent="0.25">
      <c r="A267" t="s">
        <v>1552</v>
      </c>
      <c r="B267">
        <v>9003460204</v>
      </c>
      <c r="C267" t="s">
        <v>1553</v>
      </c>
      <c r="D267">
        <v>5941</v>
      </c>
      <c r="E267">
        <v>6.7924395789999998</v>
      </c>
      <c r="F267">
        <v>874.64892859999998</v>
      </c>
      <c r="G267">
        <v>1</v>
      </c>
      <c r="H267">
        <v>1319</v>
      </c>
      <c r="I267">
        <v>21.436697550000002</v>
      </c>
      <c r="J267">
        <v>0.78300000000000003</v>
      </c>
      <c r="K267">
        <f t="shared" si="4"/>
        <v>4</v>
      </c>
      <c r="N267">
        <v>3.5</v>
      </c>
      <c r="O267">
        <v>4</v>
      </c>
    </row>
    <row r="268" spans="1:15" x14ac:dyDescent="0.25">
      <c r="A268" t="s">
        <v>1554</v>
      </c>
      <c r="B268">
        <v>9003460301</v>
      </c>
      <c r="C268" t="s">
        <v>1555</v>
      </c>
      <c r="D268">
        <v>4982</v>
      </c>
      <c r="E268">
        <v>2.8572781030000001</v>
      </c>
      <c r="F268">
        <v>1743.6174639999999</v>
      </c>
      <c r="G268">
        <v>1</v>
      </c>
      <c r="H268">
        <v>457</v>
      </c>
      <c r="I268">
        <v>9.5686767170000007</v>
      </c>
      <c r="J268">
        <v>0.40899999999999997</v>
      </c>
      <c r="K268">
        <f t="shared" si="4"/>
        <v>3</v>
      </c>
      <c r="N268">
        <v>3</v>
      </c>
      <c r="O268">
        <v>3</v>
      </c>
    </row>
    <row r="269" spans="1:15" x14ac:dyDescent="0.25">
      <c r="A269" t="s">
        <v>1556</v>
      </c>
      <c r="B269">
        <v>9003460302</v>
      </c>
      <c r="C269" t="s">
        <v>1557</v>
      </c>
      <c r="D269">
        <v>4033</v>
      </c>
      <c r="E269">
        <v>2.2399219609999999</v>
      </c>
      <c r="F269">
        <v>1800.5091560000001</v>
      </c>
      <c r="G269">
        <v>1</v>
      </c>
      <c r="H269">
        <v>489</v>
      </c>
      <c r="I269">
        <v>12.817824379999999</v>
      </c>
      <c r="J269">
        <v>0.55700000000000005</v>
      </c>
      <c r="K269">
        <f t="shared" si="4"/>
        <v>3</v>
      </c>
      <c r="N269">
        <v>3</v>
      </c>
      <c r="O269">
        <v>3</v>
      </c>
    </row>
    <row r="270" spans="1:15" x14ac:dyDescent="0.25">
      <c r="A270" t="s">
        <v>1558</v>
      </c>
      <c r="B270">
        <v>9003462101</v>
      </c>
      <c r="C270" t="s">
        <v>1559</v>
      </c>
      <c r="D270">
        <v>5833</v>
      </c>
      <c r="E270">
        <v>4.1099244480000001</v>
      </c>
      <c r="F270">
        <v>1419.2475010000001</v>
      </c>
      <c r="G270">
        <v>1</v>
      </c>
      <c r="H270">
        <v>947</v>
      </c>
      <c r="I270">
        <v>14.977067849999999</v>
      </c>
      <c r="J270">
        <v>0.61899999999999999</v>
      </c>
      <c r="K270">
        <f t="shared" si="4"/>
        <v>4</v>
      </c>
      <c r="N270">
        <v>3</v>
      </c>
      <c r="O270">
        <v>3</v>
      </c>
    </row>
    <row r="271" spans="1:15" x14ac:dyDescent="0.25">
      <c r="A271" t="s">
        <v>1560</v>
      </c>
      <c r="B271">
        <v>9003462102</v>
      </c>
      <c r="C271" t="s">
        <v>1561</v>
      </c>
      <c r="D271">
        <v>4239</v>
      </c>
      <c r="E271">
        <v>4.3947914040000002</v>
      </c>
      <c r="F271">
        <v>964.55089899999996</v>
      </c>
      <c r="G271">
        <v>1</v>
      </c>
      <c r="H271">
        <v>839</v>
      </c>
      <c r="I271">
        <v>21.283612380000001</v>
      </c>
      <c r="J271">
        <v>0.77500000000000002</v>
      </c>
      <c r="K271">
        <f t="shared" si="4"/>
        <v>4</v>
      </c>
      <c r="N271">
        <v>2.5</v>
      </c>
      <c r="O271">
        <v>3</v>
      </c>
    </row>
    <row r="272" spans="1:15" x14ac:dyDescent="0.25">
      <c r="A272" t="s">
        <v>1562</v>
      </c>
      <c r="B272">
        <v>9003462201</v>
      </c>
      <c r="C272" t="s">
        <v>1563</v>
      </c>
      <c r="D272">
        <v>5256</v>
      </c>
      <c r="E272">
        <v>8.5129297899999994</v>
      </c>
      <c r="F272">
        <v>617.41376119999995</v>
      </c>
      <c r="G272">
        <v>1</v>
      </c>
      <c r="H272">
        <v>771</v>
      </c>
      <c r="I272">
        <v>14.866949480000001</v>
      </c>
      <c r="J272">
        <v>0.61799999999999999</v>
      </c>
      <c r="K272">
        <f t="shared" si="4"/>
        <v>4</v>
      </c>
      <c r="N272">
        <v>3.5</v>
      </c>
      <c r="O272">
        <v>4</v>
      </c>
    </row>
    <row r="273" spans="1:15" x14ac:dyDescent="0.25">
      <c r="A273" t="s">
        <v>1564</v>
      </c>
      <c r="B273">
        <v>9003462202</v>
      </c>
      <c r="C273" t="s">
        <v>1565</v>
      </c>
      <c r="D273">
        <v>2692</v>
      </c>
      <c r="E273">
        <v>6.122822963</v>
      </c>
      <c r="F273">
        <v>439.6664768</v>
      </c>
      <c r="G273">
        <v>1</v>
      </c>
      <c r="H273">
        <v>813</v>
      </c>
      <c r="I273">
        <v>28.41663754</v>
      </c>
      <c r="J273">
        <v>0.871</v>
      </c>
      <c r="K273">
        <f t="shared" si="4"/>
        <v>5</v>
      </c>
      <c r="N273">
        <v>3</v>
      </c>
      <c r="O273">
        <v>3</v>
      </c>
    </row>
    <row r="274" spans="1:15" x14ac:dyDescent="0.25">
      <c r="A274" t="s">
        <v>1566</v>
      </c>
      <c r="B274">
        <v>9003464101</v>
      </c>
      <c r="C274" t="s">
        <v>1567</v>
      </c>
      <c r="D274">
        <v>5285</v>
      </c>
      <c r="E274">
        <v>20.37469479</v>
      </c>
      <c r="F274">
        <v>259.39038870000002</v>
      </c>
      <c r="G274">
        <v>2</v>
      </c>
      <c r="H274">
        <v>162</v>
      </c>
      <c r="I274">
        <v>3.003893937</v>
      </c>
      <c r="J274">
        <v>5.1999999999999998E-2</v>
      </c>
      <c r="K274">
        <f t="shared" si="4"/>
        <v>1</v>
      </c>
      <c r="N274">
        <v>1.5</v>
      </c>
      <c r="O274">
        <v>2</v>
      </c>
    </row>
    <row r="275" spans="1:15" x14ac:dyDescent="0.25">
      <c r="A275" t="s">
        <v>1568</v>
      </c>
      <c r="B275">
        <v>9003464102</v>
      </c>
      <c r="C275" t="s">
        <v>1569</v>
      </c>
      <c r="D275">
        <v>5007</v>
      </c>
      <c r="E275">
        <v>4.2109731779999997</v>
      </c>
      <c r="F275">
        <v>1189.036308</v>
      </c>
      <c r="G275">
        <v>1</v>
      </c>
      <c r="H275">
        <v>487</v>
      </c>
      <c r="I275">
        <v>9.9489274769999998</v>
      </c>
      <c r="J275">
        <v>0.41799999999999998</v>
      </c>
      <c r="K275">
        <f t="shared" si="4"/>
        <v>3</v>
      </c>
      <c r="N275">
        <v>3</v>
      </c>
      <c r="O275">
        <v>3</v>
      </c>
    </row>
    <row r="276" spans="1:15" x14ac:dyDescent="0.25">
      <c r="A276" t="s">
        <v>1570</v>
      </c>
      <c r="B276">
        <v>9003466101</v>
      </c>
      <c r="C276" t="s">
        <v>1571</v>
      </c>
      <c r="D276">
        <v>4200</v>
      </c>
      <c r="E276">
        <v>5.3551001009999997</v>
      </c>
      <c r="F276">
        <v>784.29906459999995</v>
      </c>
      <c r="G276">
        <v>1</v>
      </c>
      <c r="H276">
        <v>168</v>
      </c>
      <c r="I276">
        <v>3.8312428729999999</v>
      </c>
      <c r="J276">
        <v>9.9000000000000005E-2</v>
      </c>
      <c r="K276">
        <f t="shared" si="4"/>
        <v>1</v>
      </c>
      <c r="N276">
        <v>1.5</v>
      </c>
      <c r="O276">
        <v>2</v>
      </c>
    </row>
    <row r="277" spans="1:15" x14ac:dyDescent="0.25">
      <c r="A277" t="s">
        <v>1572</v>
      </c>
      <c r="B277">
        <v>9003466102</v>
      </c>
      <c r="C277" t="s">
        <v>1573</v>
      </c>
      <c r="D277">
        <v>4978</v>
      </c>
      <c r="E277">
        <v>4.2594517810000001</v>
      </c>
      <c r="F277">
        <v>1168.6949999999999</v>
      </c>
      <c r="G277">
        <v>1</v>
      </c>
      <c r="H277">
        <v>441</v>
      </c>
      <c r="I277">
        <v>8.9871611980000008</v>
      </c>
      <c r="J277">
        <v>0.376</v>
      </c>
      <c r="K277">
        <f t="shared" si="4"/>
        <v>2</v>
      </c>
      <c r="N277">
        <v>2</v>
      </c>
      <c r="O277">
        <v>2</v>
      </c>
    </row>
    <row r="278" spans="1:15" x14ac:dyDescent="0.25">
      <c r="A278" t="s">
        <v>1574</v>
      </c>
      <c r="B278">
        <v>9003466201</v>
      </c>
      <c r="C278" t="s">
        <v>1575</v>
      </c>
      <c r="D278">
        <v>2318</v>
      </c>
      <c r="E278">
        <v>3.1226607999999998</v>
      </c>
      <c r="F278">
        <v>742.31565590000002</v>
      </c>
      <c r="G278">
        <v>1</v>
      </c>
      <c r="H278">
        <v>393</v>
      </c>
      <c r="I278">
        <v>13.57512953</v>
      </c>
      <c r="J278">
        <v>0.59</v>
      </c>
      <c r="K278">
        <f t="shared" si="4"/>
        <v>3</v>
      </c>
      <c r="N278">
        <v>3</v>
      </c>
      <c r="O278">
        <v>3</v>
      </c>
    </row>
    <row r="279" spans="1:15" x14ac:dyDescent="0.25">
      <c r="A279" t="s">
        <v>1576</v>
      </c>
      <c r="B279">
        <v>9003466202</v>
      </c>
      <c r="C279" t="s">
        <v>1577</v>
      </c>
      <c r="D279">
        <v>4732</v>
      </c>
      <c r="E279">
        <v>11.024516330000001</v>
      </c>
      <c r="F279">
        <v>429.22517950000002</v>
      </c>
      <c r="G279">
        <v>1</v>
      </c>
      <c r="H279">
        <v>355</v>
      </c>
      <c r="I279">
        <v>7.2066585459999999</v>
      </c>
      <c r="J279">
        <v>0.27300000000000002</v>
      </c>
      <c r="K279">
        <f t="shared" si="4"/>
        <v>2</v>
      </c>
      <c r="N279">
        <v>1.5</v>
      </c>
      <c r="O279">
        <v>2</v>
      </c>
    </row>
    <row r="280" spans="1:15" x14ac:dyDescent="0.25">
      <c r="A280" t="s">
        <v>1578</v>
      </c>
      <c r="B280">
        <v>9003466300</v>
      </c>
      <c r="C280" t="s">
        <v>1579</v>
      </c>
      <c r="D280">
        <v>4866</v>
      </c>
      <c r="E280">
        <v>4.0479890249999997</v>
      </c>
      <c r="F280">
        <v>1202.078358</v>
      </c>
      <c r="G280">
        <v>1</v>
      </c>
      <c r="H280">
        <v>353</v>
      </c>
      <c r="I280">
        <v>7.0067487100000001</v>
      </c>
      <c r="J280">
        <v>0.25900000000000001</v>
      </c>
      <c r="K280">
        <f t="shared" si="4"/>
        <v>2</v>
      </c>
      <c r="N280">
        <v>1.5</v>
      </c>
      <c r="O280">
        <v>2</v>
      </c>
    </row>
    <row r="281" spans="1:15" x14ac:dyDescent="0.25">
      <c r="A281" t="s">
        <v>1580</v>
      </c>
      <c r="B281">
        <v>9003466400</v>
      </c>
      <c r="C281" t="s">
        <v>1581</v>
      </c>
      <c r="D281">
        <v>2417</v>
      </c>
      <c r="E281">
        <v>6.1140318020000004</v>
      </c>
      <c r="F281">
        <v>395.320155</v>
      </c>
      <c r="G281">
        <v>1</v>
      </c>
      <c r="H281">
        <v>323</v>
      </c>
      <c r="I281">
        <v>12.1978852</v>
      </c>
      <c r="J281">
        <v>0.52300000000000002</v>
      </c>
      <c r="K281">
        <f t="shared" si="4"/>
        <v>3</v>
      </c>
      <c r="N281">
        <v>2.5</v>
      </c>
      <c r="O281">
        <v>3</v>
      </c>
    </row>
    <row r="282" spans="1:15" x14ac:dyDescent="0.25">
      <c r="A282" t="s">
        <v>1582</v>
      </c>
      <c r="B282">
        <v>9003468101</v>
      </c>
      <c r="C282" t="s">
        <v>1583</v>
      </c>
      <c r="D282">
        <v>7468</v>
      </c>
      <c r="E282">
        <v>35.342737110000002</v>
      </c>
      <c r="F282">
        <v>211.3022536</v>
      </c>
      <c r="G282">
        <v>1</v>
      </c>
      <c r="H282">
        <v>397</v>
      </c>
      <c r="I282">
        <v>5.3699445419999998</v>
      </c>
      <c r="J282">
        <v>0.17899999999999999</v>
      </c>
      <c r="K282">
        <f t="shared" si="4"/>
        <v>1</v>
      </c>
      <c r="N282">
        <v>1</v>
      </c>
      <c r="O282">
        <v>1</v>
      </c>
    </row>
    <row r="283" spans="1:15" x14ac:dyDescent="0.25">
      <c r="A283" t="s">
        <v>1584</v>
      </c>
      <c r="B283">
        <v>9003468102</v>
      </c>
      <c r="C283" t="s">
        <v>1585</v>
      </c>
      <c r="D283">
        <v>3814</v>
      </c>
      <c r="E283">
        <v>5.3353888129999998</v>
      </c>
      <c r="F283">
        <v>714.84949529999994</v>
      </c>
      <c r="G283">
        <v>1</v>
      </c>
      <c r="H283">
        <v>257</v>
      </c>
      <c r="I283">
        <v>6.4768145160000001</v>
      </c>
      <c r="J283">
        <v>0.23799999999999999</v>
      </c>
      <c r="K283">
        <f t="shared" si="4"/>
        <v>2</v>
      </c>
      <c r="N283">
        <v>2</v>
      </c>
      <c r="O283">
        <v>2</v>
      </c>
    </row>
    <row r="284" spans="1:15" x14ac:dyDescent="0.25">
      <c r="A284" t="s">
        <v>1586</v>
      </c>
      <c r="B284">
        <v>9003470100</v>
      </c>
      <c r="C284" t="s">
        <v>1587</v>
      </c>
      <c r="D284">
        <v>5148</v>
      </c>
      <c r="E284">
        <v>16.651323090000002</v>
      </c>
      <c r="F284">
        <v>309.16462139999999</v>
      </c>
      <c r="G284">
        <v>1</v>
      </c>
      <c r="H284">
        <v>712</v>
      </c>
      <c r="I284">
        <v>13.42383107</v>
      </c>
      <c r="J284">
        <v>0.57799999999999996</v>
      </c>
      <c r="K284">
        <f t="shared" si="4"/>
        <v>3</v>
      </c>
      <c r="N284">
        <v>3</v>
      </c>
      <c r="O284">
        <v>3</v>
      </c>
    </row>
    <row r="285" spans="1:15" x14ac:dyDescent="0.25">
      <c r="A285" t="s">
        <v>1588</v>
      </c>
      <c r="B285">
        <v>9003471100</v>
      </c>
      <c r="C285" t="s">
        <v>1589</v>
      </c>
      <c r="D285">
        <v>3635</v>
      </c>
      <c r="E285">
        <v>1.0545902140000001</v>
      </c>
      <c r="F285">
        <v>3446.8364590000001</v>
      </c>
      <c r="G285">
        <v>1</v>
      </c>
      <c r="H285">
        <v>387</v>
      </c>
      <c r="I285">
        <v>9.9511442530000007</v>
      </c>
      <c r="J285">
        <v>0.41499999999999998</v>
      </c>
      <c r="K285">
        <f t="shared" si="4"/>
        <v>3</v>
      </c>
      <c r="N285">
        <v>3.5</v>
      </c>
      <c r="O285">
        <v>4</v>
      </c>
    </row>
    <row r="286" spans="1:15" x14ac:dyDescent="0.25">
      <c r="A286" t="s">
        <v>1590</v>
      </c>
      <c r="B286">
        <v>9003471200</v>
      </c>
      <c r="C286" t="s">
        <v>1591</v>
      </c>
      <c r="D286">
        <v>3347</v>
      </c>
      <c r="E286">
        <v>2.2447285469999998</v>
      </c>
      <c r="F286">
        <v>1491.048886</v>
      </c>
      <c r="G286">
        <v>1</v>
      </c>
      <c r="H286">
        <v>146</v>
      </c>
      <c r="I286">
        <v>4.4376899700000001</v>
      </c>
      <c r="J286">
        <v>0.13100000000000001</v>
      </c>
      <c r="K286">
        <f t="shared" si="4"/>
        <v>1</v>
      </c>
      <c r="N286">
        <v>2.5</v>
      </c>
      <c r="O286">
        <v>3</v>
      </c>
    </row>
    <row r="287" spans="1:15" x14ac:dyDescent="0.25">
      <c r="A287" t="s">
        <v>1592</v>
      </c>
      <c r="B287">
        <v>9003471300</v>
      </c>
      <c r="C287" t="s">
        <v>1593</v>
      </c>
      <c r="D287">
        <v>4577</v>
      </c>
      <c r="E287">
        <v>3.4100227489999999</v>
      </c>
      <c r="F287">
        <v>1342.219785</v>
      </c>
      <c r="G287">
        <v>1</v>
      </c>
      <c r="H287">
        <v>141</v>
      </c>
      <c r="I287">
        <v>3.1473214289999998</v>
      </c>
      <c r="J287">
        <v>5.8999999999999997E-2</v>
      </c>
      <c r="K287">
        <f t="shared" si="4"/>
        <v>1</v>
      </c>
      <c r="N287">
        <v>2</v>
      </c>
      <c r="O287">
        <v>2</v>
      </c>
    </row>
    <row r="288" spans="1:15" x14ac:dyDescent="0.25">
      <c r="A288" t="s">
        <v>1594</v>
      </c>
      <c r="B288">
        <v>9003471400</v>
      </c>
      <c r="C288" t="s">
        <v>1595</v>
      </c>
      <c r="D288">
        <v>5515</v>
      </c>
      <c r="E288">
        <v>12.885838079999999</v>
      </c>
      <c r="F288">
        <v>427.98923639999998</v>
      </c>
      <c r="G288">
        <v>1</v>
      </c>
      <c r="H288">
        <v>422</v>
      </c>
      <c r="I288">
        <v>7.692307692</v>
      </c>
      <c r="J288">
        <v>0.28499999999999998</v>
      </c>
      <c r="K288">
        <f t="shared" si="4"/>
        <v>2</v>
      </c>
      <c r="N288">
        <v>2</v>
      </c>
      <c r="O288">
        <v>2</v>
      </c>
    </row>
    <row r="289" spans="1:15" x14ac:dyDescent="0.25">
      <c r="A289" t="s">
        <v>1596</v>
      </c>
      <c r="B289">
        <v>9003471500</v>
      </c>
      <c r="C289" t="s">
        <v>1597</v>
      </c>
      <c r="D289">
        <v>3412</v>
      </c>
      <c r="E289">
        <v>6.4674901970000001</v>
      </c>
      <c r="F289">
        <v>527.56168100000002</v>
      </c>
      <c r="G289">
        <v>1</v>
      </c>
      <c r="H289">
        <v>476</v>
      </c>
      <c r="I289">
        <v>12.27753418</v>
      </c>
      <c r="J289">
        <v>0.52200000000000002</v>
      </c>
      <c r="K289">
        <f t="shared" si="4"/>
        <v>3</v>
      </c>
      <c r="N289">
        <v>3</v>
      </c>
      <c r="O289">
        <v>3</v>
      </c>
    </row>
    <row r="290" spans="1:15" x14ac:dyDescent="0.25">
      <c r="A290" t="s">
        <v>1598</v>
      </c>
      <c r="B290">
        <v>9003473100</v>
      </c>
      <c r="C290" t="s">
        <v>1599</v>
      </c>
      <c r="D290">
        <v>6246</v>
      </c>
      <c r="E290">
        <v>4.0921093070000003</v>
      </c>
      <c r="F290">
        <v>1526.352189</v>
      </c>
      <c r="G290">
        <v>1</v>
      </c>
      <c r="H290">
        <v>163</v>
      </c>
      <c r="I290">
        <v>2.5492649360000001</v>
      </c>
      <c r="J290">
        <v>3.1E-2</v>
      </c>
      <c r="K290">
        <f t="shared" si="4"/>
        <v>1</v>
      </c>
      <c r="N290">
        <v>1.5</v>
      </c>
      <c r="O290">
        <v>2</v>
      </c>
    </row>
    <row r="291" spans="1:15" x14ac:dyDescent="0.25">
      <c r="A291" t="s">
        <v>1600</v>
      </c>
      <c r="B291">
        <v>9003473400</v>
      </c>
      <c r="C291" t="s">
        <v>1601</v>
      </c>
      <c r="D291">
        <v>1854</v>
      </c>
      <c r="E291">
        <v>0.88954311799999997</v>
      </c>
      <c r="F291">
        <v>2084.2160020000001</v>
      </c>
      <c r="G291">
        <v>1</v>
      </c>
      <c r="H291">
        <v>133</v>
      </c>
      <c r="I291">
        <v>7.7280650780000002</v>
      </c>
      <c r="J291">
        <v>0.28899999999999998</v>
      </c>
      <c r="K291">
        <f t="shared" si="4"/>
        <v>2</v>
      </c>
      <c r="N291">
        <v>3</v>
      </c>
      <c r="O291">
        <v>3</v>
      </c>
    </row>
    <row r="292" spans="1:15" x14ac:dyDescent="0.25">
      <c r="A292" t="s">
        <v>1602</v>
      </c>
      <c r="B292">
        <v>9003473501</v>
      </c>
      <c r="C292" t="s">
        <v>1603</v>
      </c>
      <c r="D292">
        <v>4400</v>
      </c>
      <c r="E292">
        <v>9.6119217540000008</v>
      </c>
      <c r="F292">
        <v>457.76485830000001</v>
      </c>
      <c r="G292">
        <v>1</v>
      </c>
      <c r="H292">
        <v>573</v>
      </c>
      <c r="I292">
        <v>13.56534091</v>
      </c>
      <c r="J292">
        <v>0.57899999999999996</v>
      </c>
      <c r="K292">
        <f t="shared" si="4"/>
        <v>3</v>
      </c>
      <c r="N292">
        <v>2.5</v>
      </c>
      <c r="O292">
        <v>3</v>
      </c>
    </row>
    <row r="293" spans="1:15" x14ac:dyDescent="0.25">
      <c r="A293" t="s">
        <v>1604</v>
      </c>
      <c r="B293">
        <v>9003473502</v>
      </c>
      <c r="C293" t="s">
        <v>1605</v>
      </c>
      <c r="D293">
        <v>3241</v>
      </c>
      <c r="E293">
        <v>5.4175258729999998</v>
      </c>
      <c r="F293">
        <v>598.24356660000001</v>
      </c>
      <c r="G293">
        <v>1</v>
      </c>
      <c r="H293">
        <v>267</v>
      </c>
      <c r="I293">
        <v>8.7084148730000006</v>
      </c>
      <c r="J293">
        <v>0.36099999999999999</v>
      </c>
      <c r="K293">
        <f t="shared" si="4"/>
        <v>2</v>
      </c>
      <c r="N293">
        <v>2.5</v>
      </c>
      <c r="O293">
        <v>3</v>
      </c>
    </row>
    <row r="294" spans="1:15" x14ac:dyDescent="0.25">
      <c r="A294" t="s">
        <v>1606</v>
      </c>
      <c r="B294">
        <v>9003473601</v>
      </c>
      <c r="C294" t="s">
        <v>1607</v>
      </c>
      <c r="D294">
        <v>3320</v>
      </c>
      <c r="E294">
        <v>4.819932756</v>
      </c>
      <c r="F294">
        <v>688.80628999999999</v>
      </c>
      <c r="G294">
        <v>1</v>
      </c>
      <c r="H294">
        <v>430</v>
      </c>
      <c r="I294">
        <v>13.94293126</v>
      </c>
      <c r="J294">
        <v>0.58699999999999997</v>
      </c>
      <c r="K294">
        <f t="shared" si="4"/>
        <v>3</v>
      </c>
      <c r="N294">
        <v>3</v>
      </c>
      <c r="O294">
        <v>3</v>
      </c>
    </row>
    <row r="295" spans="1:15" x14ac:dyDescent="0.25">
      <c r="A295" t="s">
        <v>1608</v>
      </c>
      <c r="B295">
        <v>9003473602</v>
      </c>
      <c r="C295" t="s">
        <v>1609</v>
      </c>
      <c r="D295">
        <v>2260</v>
      </c>
      <c r="E295">
        <v>1.2559042739999999</v>
      </c>
      <c r="F295">
        <v>1799.5002059999999</v>
      </c>
      <c r="G295">
        <v>1</v>
      </c>
      <c r="H295">
        <v>637</v>
      </c>
      <c r="I295">
        <v>24.863387979999999</v>
      </c>
      <c r="J295">
        <v>0.81899999999999995</v>
      </c>
      <c r="K295">
        <f t="shared" si="4"/>
        <v>5</v>
      </c>
      <c r="N295">
        <v>4</v>
      </c>
      <c r="O295">
        <v>4</v>
      </c>
    </row>
    <row r="296" spans="1:15" x14ac:dyDescent="0.25">
      <c r="A296" t="s">
        <v>1610</v>
      </c>
      <c r="B296">
        <v>9003473700</v>
      </c>
      <c r="C296" t="s">
        <v>1611</v>
      </c>
      <c r="D296">
        <v>5865</v>
      </c>
      <c r="E296">
        <v>2.7591039030000002</v>
      </c>
      <c r="F296">
        <v>2125.6901539999999</v>
      </c>
      <c r="G296">
        <v>1</v>
      </c>
      <c r="H296">
        <v>792</v>
      </c>
      <c r="I296">
        <v>13.11909889</v>
      </c>
      <c r="J296">
        <v>0.56100000000000005</v>
      </c>
      <c r="K296">
        <f t="shared" si="4"/>
        <v>3</v>
      </c>
      <c r="N296">
        <v>3.5</v>
      </c>
      <c r="O296">
        <v>4</v>
      </c>
    </row>
    <row r="297" spans="1:15" x14ac:dyDescent="0.25">
      <c r="A297" t="s">
        <v>1612</v>
      </c>
      <c r="B297">
        <v>9003473800</v>
      </c>
      <c r="C297" t="s">
        <v>1613</v>
      </c>
      <c r="D297">
        <v>1858</v>
      </c>
      <c r="E297">
        <v>0.728708782</v>
      </c>
      <c r="F297">
        <v>2549.7153960000001</v>
      </c>
      <c r="G297">
        <v>1</v>
      </c>
      <c r="H297">
        <v>526</v>
      </c>
      <c r="I297">
        <v>29.700734050000001</v>
      </c>
      <c r="J297">
        <v>0.88400000000000001</v>
      </c>
      <c r="K297">
        <f t="shared" si="4"/>
        <v>5</v>
      </c>
      <c r="N297">
        <v>4.5</v>
      </c>
      <c r="O297">
        <v>5</v>
      </c>
    </row>
    <row r="298" spans="1:15" x14ac:dyDescent="0.25">
      <c r="A298" t="s">
        <v>1614</v>
      </c>
      <c r="B298">
        <v>9003476100</v>
      </c>
      <c r="C298" t="s">
        <v>1615</v>
      </c>
      <c r="D298">
        <v>4570</v>
      </c>
      <c r="E298">
        <v>2.4510704300000001</v>
      </c>
      <c r="F298">
        <v>1864.491507</v>
      </c>
      <c r="G298">
        <v>1</v>
      </c>
      <c r="H298">
        <v>309</v>
      </c>
      <c r="I298">
        <v>6.6480206539999998</v>
      </c>
      <c r="J298">
        <v>0.245</v>
      </c>
      <c r="K298">
        <f t="shared" si="4"/>
        <v>2</v>
      </c>
      <c r="N298">
        <v>3</v>
      </c>
      <c r="O298">
        <v>3</v>
      </c>
    </row>
    <row r="299" spans="1:15" x14ac:dyDescent="0.25">
      <c r="A299" t="s">
        <v>1616</v>
      </c>
      <c r="B299">
        <v>9003476200</v>
      </c>
      <c r="C299" t="s">
        <v>1617</v>
      </c>
      <c r="D299">
        <v>2814</v>
      </c>
      <c r="E299">
        <v>1.538820257</v>
      </c>
      <c r="F299">
        <v>1828.673614</v>
      </c>
      <c r="G299">
        <v>1</v>
      </c>
      <c r="H299">
        <v>266</v>
      </c>
      <c r="I299">
        <v>9.4393186660000001</v>
      </c>
      <c r="J299">
        <v>0.39200000000000002</v>
      </c>
      <c r="K299">
        <f t="shared" si="4"/>
        <v>2</v>
      </c>
      <c r="N299">
        <v>3</v>
      </c>
      <c r="O299">
        <v>3</v>
      </c>
    </row>
    <row r="300" spans="1:15" x14ac:dyDescent="0.25">
      <c r="A300" t="s">
        <v>1618</v>
      </c>
      <c r="B300">
        <v>9003476300</v>
      </c>
      <c r="C300" t="s">
        <v>1619</v>
      </c>
      <c r="D300">
        <v>5114</v>
      </c>
      <c r="E300">
        <v>3.6157132769999998</v>
      </c>
      <c r="F300">
        <v>1414.3820619999999</v>
      </c>
      <c r="G300">
        <v>1</v>
      </c>
      <c r="H300">
        <v>896</v>
      </c>
      <c r="I300">
        <v>17.214217099999999</v>
      </c>
      <c r="J300">
        <v>0.67500000000000004</v>
      </c>
      <c r="K300">
        <f t="shared" si="4"/>
        <v>4</v>
      </c>
      <c r="N300">
        <v>4</v>
      </c>
      <c r="O300">
        <v>4</v>
      </c>
    </row>
    <row r="301" spans="1:15" x14ac:dyDescent="0.25">
      <c r="A301" t="s">
        <v>1620</v>
      </c>
      <c r="B301">
        <v>9003477101</v>
      </c>
      <c r="C301" t="s">
        <v>1621</v>
      </c>
      <c r="D301">
        <v>4259</v>
      </c>
      <c r="E301">
        <v>17.499784170000002</v>
      </c>
      <c r="F301">
        <v>243.37443020000001</v>
      </c>
      <c r="G301">
        <v>1</v>
      </c>
      <c r="H301">
        <v>218</v>
      </c>
      <c r="I301">
        <v>5.2165589849999998</v>
      </c>
      <c r="J301">
        <v>0.17100000000000001</v>
      </c>
      <c r="K301">
        <f t="shared" si="4"/>
        <v>1</v>
      </c>
      <c r="N301">
        <v>1.5</v>
      </c>
      <c r="O301">
        <v>2</v>
      </c>
    </row>
    <row r="302" spans="1:15" x14ac:dyDescent="0.25">
      <c r="A302" t="s">
        <v>1622</v>
      </c>
      <c r="B302">
        <v>9003477102</v>
      </c>
      <c r="C302" t="s">
        <v>1623</v>
      </c>
      <c r="D302">
        <v>8521</v>
      </c>
      <c r="E302">
        <v>10.62522375</v>
      </c>
      <c r="F302">
        <v>801.95958259999998</v>
      </c>
      <c r="G302">
        <v>1</v>
      </c>
      <c r="H302">
        <v>1391</v>
      </c>
      <c r="I302">
        <v>16.28233642</v>
      </c>
      <c r="J302">
        <v>0.64900000000000002</v>
      </c>
      <c r="K302">
        <f t="shared" si="4"/>
        <v>4</v>
      </c>
      <c r="N302">
        <v>3</v>
      </c>
      <c r="O302">
        <v>3</v>
      </c>
    </row>
    <row r="303" spans="1:15" x14ac:dyDescent="0.25">
      <c r="A303" t="s">
        <v>1624</v>
      </c>
      <c r="B303">
        <v>9003477200</v>
      </c>
      <c r="C303" t="s">
        <v>1625</v>
      </c>
      <c r="D303">
        <v>2955</v>
      </c>
      <c r="E303">
        <v>13.905159790000001</v>
      </c>
      <c r="F303">
        <v>212.51104219999999</v>
      </c>
      <c r="G303">
        <v>1</v>
      </c>
      <c r="H303">
        <v>100</v>
      </c>
      <c r="I303">
        <v>3.3715441670000001</v>
      </c>
      <c r="J303">
        <v>7.8E-2</v>
      </c>
      <c r="K303">
        <f t="shared" si="4"/>
        <v>1</v>
      </c>
      <c r="N303">
        <v>1.5</v>
      </c>
      <c r="O303">
        <v>2</v>
      </c>
    </row>
    <row r="304" spans="1:15" x14ac:dyDescent="0.25">
      <c r="A304" t="s">
        <v>1626</v>
      </c>
      <c r="B304">
        <v>9003480300</v>
      </c>
      <c r="C304" t="s">
        <v>1627</v>
      </c>
      <c r="D304">
        <v>2244</v>
      </c>
      <c r="E304">
        <v>1.134458924</v>
      </c>
      <c r="F304">
        <v>1978.035478</v>
      </c>
      <c r="G304">
        <v>1</v>
      </c>
      <c r="H304">
        <v>147</v>
      </c>
      <c r="I304">
        <v>6.6275924259999996</v>
      </c>
      <c r="J304">
        <v>0.24199999999999999</v>
      </c>
      <c r="K304">
        <f t="shared" si="4"/>
        <v>2</v>
      </c>
      <c r="N304">
        <v>3</v>
      </c>
      <c r="O304">
        <v>3</v>
      </c>
    </row>
    <row r="305" spans="1:15" x14ac:dyDescent="0.25">
      <c r="A305" t="s">
        <v>1628</v>
      </c>
      <c r="B305">
        <v>9003480400</v>
      </c>
      <c r="C305" t="s">
        <v>1629</v>
      </c>
      <c r="D305">
        <v>3730</v>
      </c>
      <c r="E305">
        <v>1.6232341619999999</v>
      </c>
      <c r="F305">
        <v>2297.8816539999998</v>
      </c>
      <c r="G305">
        <v>1</v>
      </c>
      <c r="H305">
        <v>350</v>
      </c>
      <c r="I305">
        <v>9.5082857920000006</v>
      </c>
      <c r="J305">
        <v>0.40200000000000002</v>
      </c>
      <c r="K305">
        <f t="shared" si="4"/>
        <v>3</v>
      </c>
      <c r="N305">
        <v>3</v>
      </c>
      <c r="O305">
        <v>3</v>
      </c>
    </row>
    <row r="306" spans="1:15" x14ac:dyDescent="0.25">
      <c r="A306" t="s">
        <v>1630</v>
      </c>
      <c r="B306">
        <v>9003480500</v>
      </c>
      <c r="C306" t="s">
        <v>1631</v>
      </c>
      <c r="D306">
        <v>3253</v>
      </c>
      <c r="E306">
        <v>1.404285271</v>
      </c>
      <c r="F306">
        <v>2316.4808939999998</v>
      </c>
      <c r="G306">
        <v>1</v>
      </c>
      <c r="H306">
        <v>313</v>
      </c>
      <c r="I306">
        <v>9.46191052</v>
      </c>
      <c r="J306">
        <v>0.39300000000000002</v>
      </c>
      <c r="K306">
        <f t="shared" si="4"/>
        <v>2</v>
      </c>
      <c r="N306">
        <v>3</v>
      </c>
      <c r="O306">
        <v>3</v>
      </c>
    </row>
    <row r="307" spans="1:15" x14ac:dyDescent="0.25">
      <c r="A307" t="s">
        <v>1632</v>
      </c>
      <c r="B307">
        <v>9003480600</v>
      </c>
      <c r="C307" t="s">
        <v>1633</v>
      </c>
      <c r="D307">
        <v>4955</v>
      </c>
      <c r="E307">
        <v>0.67413285300000003</v>
      </c>
      <c r="F307">
        <v>7350.1832420000001</v>
      </c>
      <c r="G307">
        <v>1</v>
      </c>
      <c r="H307">
        <v>1583</v>
      </c>
      <c r="I307">
        <v>33.048016699999998</v>
      </c>
      <c r="J307">
        <v>0.91900000000000004</v>
      </c>
      <c r="K307">
        <f t="shared" si="4"/>
        <v>5</v>
      </c>
      <c r="N307">
        <v>5</v>
      </c>
      <c r="O307">
        <v>5</v>
      </c>
    </row>
    <row r="308" spans="1:15" x14ac:dyDescent="0.25">
      <c r="A308" t="s">
        <v>1634</v>
      </c>
      <c r="B308">
        <v>9003480700</v>
      </c>
      <c r="C308" t="s">
        <v>1635</v>
      </c>
      <c r="D308">
        <v>2210</v>
      </c>
      <c r="E308">
        <v>0.90687215499999996</v>
      </c>
      <c r="F308">
        <v>2436.9476850000001</v>
      </c>
      <c r="G308">
        <v>1</v>
      </c>
      <c r="H308">
        <v>288</v>
      </c>
      <c r="I308">
        <v>11.930405970000001</v>
      </c>
      <c r="J308">
        <v>0.50800000000000001</v>
      </c>
      <c r="K308">
        <f t="shared" si="4"/>
        <v>3</v>
      </c>
      <c r="N308">
        <v>4</v>
      </c>
      <c r="O308">
        <v>4</v>
      </c>
    </row>
    <row r="309" spans="1:15" x14ac:dyDescent="0.25">
      <c r="A309" t="s">
        <v>1636</v>
      </c>
      <c r="B309">
        <v>9003480800</v>
      </c>
      <c r="C309" t="s">
        <v>1637</v>
      </c>
      <c r="D309">
        <v>4425</v>
      </c>
      <c r="E309">
        <v>5.079765621</v>
      </c>
      <c r="F309">
        <v>871.10318280000001</v>
      </c>
      <c r="G309">
        <v>1</v>
      </c>
      <c r="H309">
        <v>536</v>
      </c>
      <c r="I309">
        <v>11.65977812</v>
      </c>
      <c r="J309">
        <v>0.49</v>
      </c>
      <c r="K309">
        <f t="shared" si="4"/>
        <v>3</v>
      </c>
      <c r="N309">
        <v>3.5</v>
      </c>
      <c r="O309">
        <v>4</v>
      </c>
    </row>
    <row r="310" spans="1:15" x14ac:dyDescent="0.25">
      <c r="A310" t="s">
        <v>1638</v>
      </c>
      <c r="B310">
        <v>9003480900</v>
      </c>
      <c r="C310" t="s">
        <v>1639</v>
      </c>
      <c r="D310">
        <v>2246</v>
      </c>
      <c r="E310">
        <v>2.2558436560000001</v>
      </c>
      <c r="F310">
        <v>995.63637470000003</v>
      </c>
      <c r="G310">
        <v>1</v>
      </c>
      <c r="H310">
        <v>143</v>
      </c>
      <c r="I310">
        <v>6.4472497750000004</v>
      </c>
      <c r="J310">
        <v>0.23899999999999999</v>
      </c>
      <c r="K310">
        <f t="shared" si="4"/>
        <v>2</v>
      </c>
      <c r="N310">
        <v>2.5</v>
      </c>
      <c r="O310">
        <v>3</v>
      </c>
    </row>
    <row r="311" spans="1:15" x14ac:dyDescent="0.25">
      <c r="A311" t="s">
        <v>1640</v>
      </c>
      <c r="B311">
        <v>9003481000</v>
      </c>
      <c r="C311" t="s">
        <v>1641</v>
      </c>
      <c r="D311">
        <v>3644</v>
      </c>
      <c r="E311">
        <v>7.5065282160000004</v>
      </c>
      <c r="F311">
        <v>485.44412219999998</v>
      </c>
      <c r="G311">
        <v>1</v>
      </c>
      <c r="H311">
        <v>191</v>
      </c>
      <c r="I311">
        <v>5.2029419780000001</v>
      </c>
      <c r="J311">
        <v>0.17</v>
      </c>
      <c r="K311">
        <f t="shared" si="4"/>
        <v>1</v>
      </c>
      <c r="N311">
        <v>1.5</v>
      </c>
      <c r="O311">
        <v>2</v>
      </c>
    </row>
    <row r="312" spans="1:15" x14ac:dyDescent="0.25">
      <c r="A312" t="s">
        <v>1642</v>
      </c>
      <c r="B312">
        <v>9003481100</v>
      </c>
      <c r="C312" t="s">
        <v>1643</v>
      </c>
      <c r="D312">
        <v>3855</v>
      </c>
      <c r="E312">
        <v>2.2182373050000002</v>
      </c>
      <c r="F312">
        <v>1737.8663650000001</v>
      </c>
      <c r="G312">
        <v>1</v>
      </c>
      <c r="H312">
        <v>332</v>
      </c>
      <c r="I312">
        <v>8.4456881199999998</v>
      </c>
      <c r="J312">
        <v>0.33900000000000002</v>
      </c>
      <c r="K312">
        <f t="shared" si="4"/>
        <v>2</v>
      </c>
      <c r="N312">
        <v>3</v>
      </c>
      <c r="O312">
        <v>3</v>
      </c>
    </row>
    <row r="313" spans="1:15" x14ac:dyDescent="0.25">
      <c r="A313" t="s">
        <v>1644</v>
      </c>
      <c r="B313">
        <v>9003481200</v>
      </c>
      <c r="C313" t="s">
        <v>1645</v>
      </c>
      <c r="D313">
        <v>3769</v>
      </c>
      <c r="E313">
        <v>2.3702522949999998</v>
      </c>
      <c r="F313">
        <v>1590.126084</v>
      </c>
      <c r="G313">
        <v>1</v>
      </c>
      <c r="H313">
        <v>399</v>
      </c>
      <c r="I313">
        <v>10.01757469</v>
      </c>
      <c r="J313">
        <v>0.41</v>
      </c>
      <c r="K313">
        <f t="shared" si="4"/>
        <v>3</v>
      </c>
      <c r="N313">
        <v>3</v>
      </c>
      <c r="O313">
        <v>3</v>
      </c>
    </row>
    <row r="314" spans="1:15" x14ac:dyDescent="0.25">
      <c r="A314" t="s">
        <v>1646</v>
      </c>
      <c r="B314">
        <v>9003481300</v>
      </c>
      <c r="C314" t="s">
        <v>1647</v>
      </c>
      <c r="D314">
        <v>3032</v>
      </c>
      <c r="E314">
        <v>3.0247016590000002</v>
      </c>
      <c r="F314">
        <v>1002.412913</v>
      </c>
      <c r="G314">
        <v>1</v>
      </c>
      <c r="H314">
        <v>121</v>
      </c>
      <c r="I314">
        <v>4.2233856889999997</v>
      </c>
      <c r="J314">
        <v>0.124</v>
      </c>
      <c r="K314">
        <f t="shared" si="4"/>
        <v>1</v>
      </c>
      <c r="N314">
        <v>2</v>
      </c>
      <c r="O314">
        <v>2</v>
      </c>
    </row>
    <row r="315" spans="1:15" x14ac:dyDescent="0.25">
      <c r="A315" t="s">
        <v>1648</v>
      </c>
      <c r="B315">
        <v>9003484100</v>
      </c>
      <c r="C315" t="s">
        <v>1649</v>
      </c>
      <c r="D315">
        <v>5527</v>
      </c>
      <c r="E315">
        <v>12.94079007</v>
      </c>
      <c r="F315">
        <v>427.09911599999998</v>
      </c>
      <c r="G315">
        <v>1</v>
      </c>
      <c r="H315">
        <v>1037</v>
      </c>
      <c r="I315">
        <v>19.536548610000001</v>
      </c>
      <c r="J315">
        <v>0.73199999999999998</v>
      </c>
      <c r="K315">
        <f t="shared" si="4"/>
        <v>4</v>
      </c>
      <c r="N315">
        <v>4</v>
      </c>
      <c r="O315">
        <v>4</v>
      </c>
    </row>
    <row r="316" spans="1:15" x14ac:dyDescent="0.25">
      <c r="A316" t="s">
        <v>1650</v>
      </c>
      <c r="B316">
        <v>9003484200</v>
      </c>
      <c r="C316" t="s">
        <v>1651</v>
      </c>
      <c r="D316">
        <v>5635</v>
      </c>
      <c r="E316">
        <v>13.30991109</v>
      </c>
      <c r="F316">
        <v>423.36871839999998</v>
      </c>
      <c r="G316">
        <v>1</v>
      </c>
      <c r="H316">
        <v>778</v>
      </c>
      <c r="I316">
        <v>12.67720385</v>
      </c>
      <c r="J316">
        <v>0.54200000000000004</v>
      </c>
      <c r="K316">
        <f t="shared" si="4"/>
        <v>3</v>
      </c>
      <c r="N316">
        <v>3.5</v>
      </c>
      <c r="O316">
        <v>4</v>
      </c>
    </row>
    <row r="317" spans="1:15" x14ac:dyDescent="0.25">
      <c r="A317" t="s">
        <v>1652</v>
      </c>
      <c r="B317">
        <v>9003487100</v>
      </c>
      <c r="C317" t="s">
        <v>1653</v>
      </c>
      <c r="D317">
        <v>6781</v>
      </c>
      <c r="E317">
        <v>7.063096431</v>
      </c>
      <c r="F317">
        <v>960.06051539999999</v>
      </c>
      <c r="G317">
        <v>1</v>
      </c>
      <c r="H317">
        <v>931</v>
      </c>
      <c r="I317">
        <v>13.09055118</v>
      </c>
      <c r="J317">
        <v>0.55200000000000005</v>
      </c>
      <c r="K317">
        <f t="shared" si="4"/>
        <v>3</v>
      </c>
      <c r="N317">
        <v>2.5</v>
      </c>
      <c r="O317">
        <v>3</v>
      </c>
    </row>
    <row r="318" spans="1:15" x14ac:dyDescent="0.25">
      <c r="A318" t="s">
        <v>1654</v>
      </c>
      <c r="B318">
        <v>9003487201</v>
      </c>
      <c r="C318" t="s">
        <v>1655</v>
      </c>
      <c r="D318">
        <v>4567</v>
      </c>
      <c r="E318">
        <v>2.7955561960000002</v>
      </c>
      <c r="F318">
        <v>1633.6641729999999</v>
      </c>
      <c r="G318">
        <v>1</v>
      </c>
      <c r="H318">
        <v>883</v>
      </c>
      <c r="I318">
        <v>19.075394249999999</v>
      </c>
      <c r="J318">
        <v>0.72199999999999998</v>
      </c>
      <c r="K318">
        <f t="shared" si="4"/>
        <v>4</v>
      </c>
      <c r="N318">
        <v>3</v>
      </c>
      <c r="O318">
        <v>3</v>
      </c>
    </row>
    <row r="319" spans="1:15" x14ac:dyDescent="0.25">
      <c r="A319" t="s">
        <v>1656</v>
      </c>
      <c r="B319">
        <v>9003487202</v>
      </c>
      <c r="C319" t="s">
        <v>1657</v>
      </c>
      <c r="D319">
        <v>3659</v>
      </c>
      <c r="E319">
        <v>2.2125793630000001</v>
      </c>
      <c r="F319">
        <v>1653.725991</v>
      </c>
      <c r="G319">
        <v>1</v>
      </c>
      <c r="H319">
        <v>603</v>
      </c>
      <c r="I319">
        <v>16.815393199999999</v>
      </c>
      <c r="J319">
        <v>0.66100000000000003</v>
      </c>
      <c r="K319">
        <f t="shared" si="4"/>
        <v>4</v>
      </c>
      <c r="N319">
        <v>2.5</v>
      </c>
      <c r="O319">
        <v>3</v>
      </c>
    </row>
    <row r="320" spans="1:15" x14ac:dyDescent="0.25">
      <c r="A320" t="s">
        <v>1658</v>
      </c>
      <c r="B320">
        <v>9003487300</v>
      </c>
      <c r="C320" t="s">
        <v>1659</v>
      </c>
      <c r="D320">
        <v>1595</v>
      </c>
      <c r="E320">
        <v>6.2391227300000001</v>
      </c>
      <c r="F320">
        <v>255.644915</v>
      </c>
      <c r="G320">
        <v>1</v>
      </c>
      <c r="H320">
        <v>208</v>
      </c>
      <c r="I320">
        <v>13.75661376</v>
      </c>
      <c r="J320">
        <v>0.58099999999999996</v>
      </c>
      <c r="K320">
        <f t="shared" si="4"/>
        <v>3</v>
      </c>
      <c r="N320">
        <v>2.5</v>
      </c>
      <c r="O320">
        <v>3</v>
      </c>
    </row>
    <row r="321" spans="1:15" x14ac:dyDescent="0.25">
      <c r="A321" t="s">
        <v>1660</v>
      </c>
      <c r="B321">
        <v>9003487400</v>
      </c>
      <c r="C321" t="s">
        <v>1661</v>
      </c>
      <c r="D321">
        <v>2317</v>
      </c>
      <c r="E321">
        <v>5.136922642</v>
      </c>
      <c r="F321">
        <v>451.04825620000003</v>
      </c>
      <c r="G321">
        <v>1</v>
      </c>
      <c r="H321">
        <v>292</v>
      </c>
      <c r="I321">
        <v>12.19715957</v>
      </c>
      <c r="J321">
        <v>0.51700000000000002</v>
      </c>
      <c r="K321">
        <f t="shared" si="4"/>
        <v>3</v>
      </c>
      <c r="N321">
        <v>2.5</v>
      </c>
      <c r="O321">
        <v>3</v>
      </c>
    </row>
    <row r="322" spans="1:15" x14ac:dyDescent="0.25">
      <c r="A322" t="s">
        <v>1662</v>
      </c>
      <c r="B322">
        <v>9003487500</v>
      </c>
      <c r="C322" t="s">
        <v>1663</v>
      </c>
      <c r="D322">
        <v>6790</v>
      </c>
      <c r="E322">
        <v>4.6155453230000001</v>
      </c>
      <c r="F322">
        <v>1471.1154429999999</v>
      </c>
      <c r="G322">
        <v>1</v>
      </c>
      <c r="H322">
        <v>1830</v>
      </c>
      <c r="I322">
        <v>27.45686422</v>
      </c>
      <c r="J322">
        <v>0.86099999999999999</v>
      </c>
      <c r="K322">
        <f t="shared" si="4"/>
        <v>5</v>
      </c>
      <c r="N322">
        <v>4.5</v>
      </c>
      <c r="O322">
        <v>5</v>
      </c>
    </row>
    <row r="323" spans="1:15" x14ac:dyDescent="0.25">
      <c r="A323" t="s">
        <v>1664</v>
      </c>
      <c r="B323">
        <v>9003490100</v>
      </c>
      <c r="C323" t="s">
        <v>1665</v>
      </c>
      <c r="D323">
        <v>5316</v>
      </c>
      <c r="E323">
        <v>4.3108678500000002</v>
      </c>
      <c r="F323">
        <v>1233.1623669999999</v>
      </c>
      <c r="G323">
        <v>1</v>
      </c>
      <c r="H323">
        <v>1270</v>
      </c>
      <c r="I323">
        <v>22.27679354</v>
      </c>
      <c r="J323">
        <v>0.79100000000000004</v>
      </c>
      <c r="K323">
        <f t="shared" ref="K323:K386" si="5">IF(J323&lt;0.2,1,IF(J323&lt;0.4,2,IF(J323&lt;0.6,3,IF(J323&lt;0.8,4,5))))</f>
        <v>4</v>
      </c>
      <c r="N323">
        <v>4</v>
      </c>
      <c r="O323">
        <v>4</v>
      </c>
    </row>
    <row r="324" spans="1:15" x14ac:dyDescent="0.25">
      <c r="A324" t="s">
        <v>1666</v>
      </c>
      <c r="B324">
        <v>9003490302</v>
      </c>
      <c r="C324" t="s">
        <v>1667</v>
      </c>
      <c r="D324">
        <v>8249</v>
      </c>
      <c r="E324">
        <v>4.6750479150000004</v>
      </c>
      <c r="F324">
        <v>1764.473894</v>
      </c>
      <c r="G324">
        <v>1</v>
      </c>
      <c r="H324">
        <v>2870</v>
      </c>
      <c r="I324">
        <v>35.599106919999997</v>
      </c>
      <c r="J324">
        <v>0.93799999999999994</v>
      </c>
      <c r="K324">
        <f t="shared" si="5"/>
        <v>5</v>
      </c>
      <c r="N324">
        <v>4</v>
      </c>
      <c r="O324">
        <v>4</v>
      </c>
    </row>
    <row r="325" spans="1:15" x14ac:dyDescent="0.25">
      <c r="A325" t="s">
        <v>1668</v>
      </c>
      <c r="B325">
        <v>9003492100</v>
      </c>
      <c r="C325" t="s">
        <v>1669</v>
      </c>
      <c r="D325">
        <v>3319</v>
      </c>
      <c r="E325">
        <v>3.431130955</v>
      </c>
      <c r="F325">
        <v>967.31953499999997</v>
      </c>
      <c r="G325">
        <v>1</v>
      </c>
      <c r="H325">
        <v>109</v>
      </c>
      <c r="I325">
        <v>3.2296296299999998</v>
      </c>
      <c r="J325">
        <v>6.9000000000000006E-2</v>
      </c>
      <c r="K325">
        <f t="shared" si="5"/>
        <v>1</v>
      </c>
      <c r="N325">
        <v>2</v>
      </c>
      <c r="O325">
        <v>2</v>
      </c>
    </row>
    <row r="326" spans="1:15" x14ac:dyDescent="0.25">
      <c r="A326" t="s">
        <v>1670</v>
      </c>
      <c r="B326">
        <v>9003492200</v>
      </c>
      <c r="C326" t="s">
        <v>1671</v>
      </c>
      <c r="D326">
        <v>4163</v>
      </c>
      <c r="E326">
        <v>1.0437198940000001</v>
      </c>
      <c r="F326">
        <v>3988.6180429999999</v>
      </c>
      <c r="G326">
        <v>1</v>
      </c>
      <c r="H326">
        <v>572</v>
      </c>
      <c r="I326">
        <v>14.56582633</v>
      </c>
      <c r="J326">
        <v>0.59399999999999997</v>
      </c>
      <c r="K326">
        <f t="shared" si="5"/>
        <v>3</v>
      </c>
      <c r="N326">
        <v>3</v>
      </c>
      <c r="O326">
        <v>3</v>
      </c>
    </row>
    <row r="327" spans="1:15" x14ac:dyDescent="0.25">
      <c r="A327" t="s">
        <v>1672</v>
      </c>
      <c r="B327">
        <v>9003492300</v>
      </c>
      <c r="C327" t="s">
        <v>1673</v>
      </c>
      <c r="D327">
        <v>5815</v>
      </c>
      <c r="E327">
        <v>2.1036012519999998</v>
      </c>
      <c r="F327">
        <v>2764.307159</v>
      </c>
      <c r="G327">
        <v>1</v>
      </c>
      <c r="H327">
        <v>1575</v>
      </c>
      <c r="I327">
        <v>26.969178079999999</v>
      </c>
      <c r="J327">
        <v>0.85399999999999998</v>
      </c>
      <c r="K327">
        <f t="shared" si="5"/>
        <v>5</v>
      </c>
      <c r="N327">
        <v>4.5</v>
      </c>
      <c r="O327">
        <v>5</v>
      </c>
    </row>
    <row r="328" spans="1:15" x14ac:dyDescent="0.25">
      <c r="A328" t="s">
        <v>1674</v>
      </c>
      <c r="B328">
        <v>9003492400</v>
      </c>
      <c r="C328" t="s">
        <v>1675</v>
      </c>
      <c r="D328">
        <v>2967</v>
      </c>
      <c r="E328">
        <v>1.161444763</v>
      </c>
      <c r="F328">
        <v>2554.5769319999999</v>
      </c>
      <c r="G328">
        <v>1</v>
      </c>
      <c r="H328">
        <v>489</v>
      </c>
      <c r="I328">
        <v>15.85603113</v>
      </c>
      <c r="J328">
        <v>0.63300000000000001</v>
      </c>
      <c r="K328">
        <f t="shared" si="5"/>
        <v>4</v>
      </c>
      <c r="N328">
        <v>3.5</v>
      </c>
      <c r="O328">
        <v>4</v>
      </c>
    </row>
    <row r="329" spans="1:15" x14ac:dyDescent="0.25">
      <c r="A329" t="s">
        <v>1676</v>
      </c>
      <c r="B329">
        <v>9003492500</v>
      </c>
      <c r="C329" t="s">
        <v>1677</v>
      </c>
      <c r="D329">
        <v>3433</v>
      </c>
      <c r="E329">
        <v>1.244531249</v>
      </c>
      <c r="F329">
        <v>2758.4683020000002</v>
      </c>
      <c r="G329">
        <v>1</v>
      </c>
      <c r="H329">
        <v>198</v>
      </c>
      <c r="I329">
        <v>5.8858501780000001</v>
      </c>
      <c r="J329">
        <v>0.20799999999999999</v>
      </c>
      <c r="K329">
        <f t="shared" si="5"/>
        <v>2</v>
      </c>
      <c r="N329">
        <v>2</v>
      </c>
      <c r="O329">
        <v>2</v>
      </c>
    </row>
    <row r="330" spans="1:15" x14ac:dyDescent="0.25">
      <c r="A330" t="s">
        <v>1678</v>
      </c>
      <c r="B330">
        <v>9003492600</v>
      </c>
      <c r="C330" t="s">
        <v>1679</v>
      </c>
      <c r="D330">
        <v>6971</v>
      </c>
      <c r="E330">
        <v>3.3257825900000002</v>
      </c>
      <c r="F330">
        <v>2096.0480160000002</v>
      </c>
      <c r="G330">
        <v>1</v>
      </c>
      <c r="H330">
        <v>310</v>
      </c>
      <c r="I330">
        <v>4.7105303149999997</v>
      </c>
      <c r="J330">
        <v>0.14000000000000001</v>
      </c>
      <c r="K330">
        <f t="shared" si="5"/>
        <v>1</v>
      </c>
      <c r="N330">
        <v>2</v>
      </c>
      <c r="O330">
        <v>2</v>
      </c>
    </row>
    <row r="331" spans="1:15" x14ac:dyDescent="0.25">
      <c r="A331" t="s">
        <v>1680</v>
      </c>
      <c r="B331">
        <v>9003494100</v>
      </c>
      <c r="C331" t="s">
        <v>1681</v>
      </c>
      <c r="D331">
        <v>6048</v>
      </c>
      <c r="E331">
        <v>1.948131034</v>
      </c>
      <c r="F331">
        <v>3104.5139650000001</v>
      </c>
      <c r="G331">
        <v>1</v>
      </c>
      <c r="H331">
        <v>1044</v>
      </c>
      <c r="I331">
        <v>18.006209040000002</v>
      </c>
      <c r="J331">
        <v>0.70099999999999996</v>
      </c>
      <c r="K331">
        <f t="shared" si="5"/>
        <v>4</v>
      </c>
      <c r="N331">
        <v>3.5</v>
      </c>
      <c r="O331">
        <v>4</v>
      </c>
    </row>
    <row r="332" spans="1:15" x14ac:dyDescent="0.25">
      <c r="A332" t="s">
        <v>1682</v>
      </c>
      <c r="B332">
        <v>9003494201</v>
      </c>
      <c r="C332" t="s">
        <v>1683</v>
      </c>
      <c r="D332">
        <v>4822</v>
      </c>
      <c r="E332">
        <v>2.3396471339999998</v>
      </c>
      <c r="F332">
        <v>2060.9945539999999</v>
      </c>
      <c r="G332">
        <v>1</v>
      </c>
      <c r="H332">
        <v>841</v>
      </c>
      <c r="I332">
        <v>17.765103509999999</v>
      </c>
      <c r="J332">
        <v>0.69599999999999995</v>
      </c>
      <c r="K332">
        <f t="shared" si="5"/>
        <v>4</v>
      </c>
      <c r="N332">
        <v>4</v>
      </c>
      <c r="O332">
        <v>4</v>
      </c>
    </row>
    <row r="333" spans="1:15" x14ac:dyDescent="0.25">
      <c r="A333" t="s">
        <v>1684</v>
      </c>
      <c r="B333">
        <v>9003494202</v>
      </c>
      <c r="C333" t="s">
        <v>1685</v>
      </c>
      <c r="D333">
        <v>2815</v>
      </c>
      <c r="E333">
        <v>0.96015271099999999</v>
      </c>
      <c r="F333">
        <v>2931.8252889999999</v>
      </c>
      <c r="G333">
        <v>1</v>
      </c>
      <c r="H333">
        <v>465</v>
      </c>
      <c r="I333">
        <v>17.939814810000001</v>
      </c>
      <c r="J333">
        <v>0.69799999999999995</v>
      </c>
      <c r="K333">
        <f t="shared" si="5"/>
        <v>4</v>
      </c>
      <c r="N333">
        <v>3.5</v>
      </c>
      <c r="O333">
        <v>4</v>
      </c>
    </row>
    <row r="334" spans="1:15" x14ac:dyDescent="0.25">
      <c r="A334" t="s">
        <v>1686</v>
      </c>
      <c r="B334">
        <v>9003494300</v>
      </c>
      <c r="C334" t="s">
        <v>1687</v>
      </c>
      <c r="D334">
        <v>4140</v>
      </c>
      <c r="E334">
        <v>1.9843644060000001</v>
      </c>
      <c r="F334">
        <v>2086.3103510000001</v>
      </c>
      <c r="G334">
        <v>1</v>
      </c>
      <c r="H334">
        <v>447</v>
      </c>
      <c r="I334">
        <v>10.347222220000001</v>
      </c>
      <c r="J334">
        <v>0.436</v>
      </c>
      <c r="K334">
        <f t="shared" si="5"/>
        <v>3</v>
      </c>
      <c r="N334">
        <v>3</v>
      </c>
      <c r="O334">
        <v>3</v>
      </c>
    </row>
    <row r="335" spans="1:15" x14ac:dyDescent="0.25">
      <c r="A335" t="s">
        <v>1688</v>
      </c>
      <c r="B335">
        <v>9003494400</v>
      </c>
      <c r="C335" t="s">
        <v>1689</v>
      </c>
      <c r="D335">
        <v>4758</v>
      </c>
      <c r="E335">
        <v>1.673024354</v>
      </c>
      <c r="F335">
        <v>2843.9514279999999</v>
      </c>
      <c r="G335">
        <v>1</v>
      </c>
      <c r="H335">
        <v>860</v>
      </c>
      <c r="I335">
        <v>18.135807679999999</v>
      </c>
      <c r="J335">
        <v>0.70099999999999996</v>
      </c>
      <c r="K335">
        <f t="shared" si="5"/>
        <v>4</v>
      </c>
      <c r="N335">
        <v>4</v>
      </c>
      <c r="O335">
        <v>4</v>
      </c>
    </row>
    <row r="336" spans="1:15" x14ac:dyDescent="0.25">
      <c r="A336" t="s">
        <v>1690</v>
      </c>
      <c r="B336">
        <v>9003494500</v>
      </c>
      <c r="C336" t="s">
        <v>1691</v>
      </c>
      <c r="D336">
        <v>4497</v>
      </c>
      <c r="E336">
        <v>1.9948104010000001</v>
      </c>
      <c r="F336">
        <v>2254.3495859999998</v>
      </c>
      <c r="G336">
        <v>1</v>
      </c>
      <c r="H336">
        <v>741</v>
      </c>
      <c r="I336">
        <v>16.264266899999999</v>
      </c>
      <c r="J336">
        <v>0.64900000000000002</v>
      </c>
      <c r="K336">
        <f t="shared" si="5"/>
        <v>4</v>
      </c>
      <c r="N336">
        <v>3.5</v>
      </c>
      <c r="O336">
        <v>4</v>
      </c>
    </row>
    <row r="337" spans="1:15" x14ac:dyDescent="0.25">
      <c r="A337" t="s">
        <v>1692</v>
      </c>
      <c r="B337">
        <v>9003494600</v>
      </c>
      <c r="C337" t="s">
        <v>1693</v>
      </c>
      <c r="D337">
        <v>3482</v>
      </c>
      <c r="E337">
        <v>2.2408250540000001</v>
      </c>
      <c r="F337">
        <v>1553.891944</v>
      </c>
      <c r="G337">
        <v>1</v>
      </c>
      <c r="H337">
        <v>494</v>
      </c>
      <c r="I337">
        <v>14.14662085</v>
      </c>
      <c r="J337">
        <v>0.59299999999999997</v>
      </c>
      <c r="K337">
        <f t="shared" si="5"/>
        <v>3</v>
      </c>
      <c r="N337">
        <v>3</v>
      </c>
      <c r="O337">
        <v>3</v>
      </c>
    </row>
    <row r="338" spans="1:15" x14ac:dyDescent="0.25">
      <c r="A338" t="s">
        <v>1694</v>
      </c>
      <c r="B338">
        <v>9003496100</v>
      </c>
      <c r="C338" t="s">
        <v>1695</v>
      </c>
      <c r="D338">
        <v>2691</v>
      </c>
      <c r="E338">
        <v>1.22144118</v>
      </c>
      <c r="F338">
        <v>2203.135151</v>
      </c>
      <c r="G338">
        <v>1</v>
      </c>
      <c r="H338">
        <v>734</v>
      </c>
      <c r="I338">
        <v>24.94901428</v>
      </c>
      <c r="J338">
        <v>0.81699999999999995</v>
      </c>
      <c r="K338">
        <f t="shared" si="5"/>
        <v>5</v>
      </c>
      <c r="N338">
        <v>4.5</v>
      </c>
      <c r="O338">
        <v>5</v>
      </c>
    </row>
    <row r="339" spans="1:15" x14ac:dyDescent="0.25">
      <c r="A339" t="s">
        <v>1696</v>
      </c>
      <c r="B339">
        <v>9003496200</v>
      </c>
      <c r="C339" t="s">
        <v>1697</v>
      </c>
      <c r="D339">
        <v>4592</v>
      </c>
      <c r="E339">
        <v>1.0602485420000001</v>
      </c>
      <c r="F339">
        <v>4331.0599540000003</v>
      </c>
      <c r="G339">
        <v>1</v>
      </c>
      <c r="H339">
        <v>1258</v>
      </c>
      <c r="I339">
        <v>26.90909091</v>
      </c>
      <c r="J339">
        <v>0.85</v>
      </c>
      <c r="K339">
        <f t="shared" si="5"/>
        <v>5</v>
      </c>
      <c r="N339">
        <v>4</v>
      </c>
      <c r="O339">
        <v>4</v>
      </c>
    </row>
    <row r="340" spans="1:15" x14ac:dyDescent="0.25">
      <c r="A340" t="s">
        <v>1698</v>
      </c>
      <c r="B340">
        <v>9003496300</v>
      </c>
      <c r="C340" t="s">
        <v>1699</v>
      </c>
      <c r="D340">
        <v>3565</v>
      </c>
      <c r="E340">
        <v>0.84199424899999997</v>
      </c>
      <c r="F340">
        <v>4233.9956670000001</v>
      </c>
      <c r="G340">
        <v>1</v>
      </c>
      <c r="H340">
        <v>438</v>
      </c>
      <c r="I340">
        <v>11.45098039</v>
      </c>
      <c r="J340">
        <v>0.49</v>
      </c>
      <c r="K340">
        <f t="shared" si="5"/>
        <v>3</v>
      </c>
      <c r="N340">
        <v>2.5</v>
      </c>
      <c r="O340">
        <v>3</v>
      </c>
    </row>
    <row r="341" spans="1:15" x14ac:dyDescent="0.25">
      <c r="A341" t="s">
        <v>1700</v>
      </c>
      <c r="B341">
        <v>9003496400</v>
      </c>
      <c r="C341" t="s">
        <v>1701</v>
      </c>
      <c r="D341">
        <v>2954</v>
      </c>
      <c r="E341">
        <v>1.103006269</v>
      </c>
      <c r="F341">
        <v>2678.1352780000002</v>
      </c>
      <c r="G341">
        <v>1</v>
      </c>
      <c r="H341">
        <v>272</v>
      </c>
      <c r="I341">
        <v>9.1706001350000008</v>
      </c>
      <c r="J341">
        <v>0.39500000000000002</v>
      </c>
      <c r="K341">
        <f t="shared" si="5"/>
        <v>2</v>
      </c>
      <c r="N341">
        <v>2</v>
      </c>
      <c r="O341">
        <v>2</v>
      </c>
    </row>
    <row r="342" spans="1:15" x14ac:dyDescent="0.25">
      <c r="A342" t="s">
        <v>1702</v>
      </c>
      <c r="B342">
        <v>9003496500</v>
      </c>
      <c r="C342" t="s">
        <v>1703</v>
      </c>
      <c r="D342">
        <v>2700</v>
      </c>
      <c r="E342">
        <v>0.52780437599999996</v>
      </c>
      <c r="F342">
        <v>5115.531669</v>
      </c>
      <c r="G342">
        <v>1</v>
      </c>
      <c r="H342">
        <v>285</v>
      </c>
      <c r="I342">
        <v>10.63036181</v>
      </c>
      <c r="J342">
        <v>0.45500000000000002</v>
      </c>
      <c r="K342">
        <f t="shared" si="5"/>
        <v>3</v>
      </c>
      <c r="N342">
        <v>2</v>
      </c>
      <c r="O342">
        <v>2</v>
      </c>
    </row>
    <row r="343" spans="1:15" x14ac:dyDescent="0.25">
      <c r="A343" t="s">
        <v>1704</v>
      </c>
      <c r="B343">
        <v>9003496600</v>
      </c>
      <c r="C343" t="s">
        <v>1705</v>
      </c>
      <c r="D343">
        <v>2741</v>
      </c>
      <c r="E343">
        <v>1.244646693</v>
      </c>
      <c r="F343">
        <v>2202.2313760000002</v>
      </c>
      <c r="G343">
        <v>1</v>
      </c>
      <c r="H343">
        <v>427</v>
      </c>
      <c r="I343">
        <v>15.70430305</v>
      </c>
      <c r="J343">
        <v>0.63</v>
      </c>
      <c r="K343">
        <f t="shared" si="5"/>
        <v>4</v>
      </c>
      <c r="N343">
        <v>2.5</v>
      </c>
      <c r="O343">
        <v>3</v>
      </c>
    </row>
    <row r="344" spans="1:15" x14ac:dyDescent="0.25">
      <c r="A344" t="s">
        <v>1706</v>
      </c>
      <c r="B344">
        <v>9003496700</v>
      </c>
      <c r="C344" t="s">
        <v>1707</v>
      </c>
      <c r="D344">
        <v>3979</v>
      </c>
      <c r="E344">
        <v>0.49899652</v>
      </c>
      <c r="F344">
        <v>7974.0034990000004</v>
      </c>
      <c r="G344">
        <v>1</v>
      </c>
      <c r="H344">
        <v>866</v>
      </c>
      <c r="I344">
        <v>24.928036850000002</v>
      </c>
      <c r="J344">
        <v>0.81699999999999995</v>
      </c>
      <c r="K344">
        <f t="shared" si="5"/>
        <v>5</v>
      </c>
      <c r="N344">
        <v>4.5</v>
      </c>
      <c r="O344">
        <v>5</v>
      </c>
    </row>
    <row r="345" spans="1:15" x14ac:dyDescent="0.25">
      <c r="A345" t="s">
        <v>1708</v>
      </c>
      <c r="B345">
        <v>9003496800</v>
      </c>
      <c r="C345" t="s">
        <v>1709</v>
      </c>
      <c r="D345">
        <v>3523</v>
      </c>
      <c r="E345">
        <v>0.53618086300000001</v>
      </c>
      <c r="F345">
        <v>6570.5440939999999</v>
      </c>
      <c r="G345">
        <v>1</v>
      </c>
      <c r="H345">
        <v>1042</v>
      </c>
      <c r="I345">
        <v>32.633886629999999</v>
      </c>
      <c r="J345">
        <v>0.91200000000000003</v>
      </c>
      <c r="K345">
        <f t="shared" si="5"/>
        <v>5</v>
      </c>
      <c r="N345">
        <v>4</v>
      </c>
      <c r="O345">
        <v>4</v>
      </c>
    </row>
    <row r="346" spans="1:15" x14ac:dyDescent="0.25">
      <c r="A346" t="s">
        <v>1710</v>
      </c>
      <c r="B346">
        <v>9003496900</v>
      </c>
      <c r="C346" t="s">
        <v>1711</v>
      </c>
      <c r="D346">
        <v>6332</v>
      </c>
      <c r="E346">
        <v>0.82732198000000001</v>
      </c>
      <c r="F346">
        <v>7653.6102680000004</v>
      </c>
      <c r="G346">
        <v>1</v>
      </c>
      <c r="H346">
        <v>646</v>
      </c>
      <c r="I346">
        <v>10.42776433</v>
      </c>
      <c r="J346">
        <v>0.44600000000000001</v>
      </c>
      <c r="K346">
        <f t="shared" si="5"/>
        <v>3</v>
      </c>
      <c r="N346">
        <v>3</v>
      </c>
      <c r="O346">
        <v>3</v>
      </c>
    </row>
    <row r="347" spans="1:15" x14ac:dyDescent="0.25">
      <c r="A347" t="s">
        <v>1712</v>
      </c>
      <c r="B347">
        <v>9003497000</v>
      </c>
      <c r="C347" t="s">
        <v>1713</v>
      </c>
      <c r="D347">
        <v>4342</v>
      </c>
      <c r="E347">
        <v>0.92950121799999996</v>
      </c>
      <c r="F347">
        <v>4671.3225510000002</v>
      </c>
      <c r="G347">
        <v>1</v>
      </c>
      <c r="H347">
        <v>261</v>
      </c>
      <c r="I347">
        <v>6.0528756960000001</v>
      </c>
      <c r="J347">
        <v>0.22</v>
      </c>
      <c r="K347">
        <f t="shared" si="5"/>
        <v>2</v>
      </c>
      <c r="N347">
        <v>1.5</v>
      </c>
      <c r="O347">
        <v>2</v>
      </c>
    </row>
    <row r="348" spans="1:15" x14ac:dyDescent="0.25">
      <c r="A348" t="s">
        <v>1714</v>
      </c>
      <c r="B348">
        <v>9003497100</v>
      </c>
      <c r="C348" t="s">
        <v>1715</v>
      </c>
      <c r="D348">
        <v>4070</v>
      </c>
      <c r="E348">
        <v>0.51762556400000004</v>
      </c>
      <c r="F348">
        <v>7862.8264920000001</v>
      </c>
      <c r="G348">
        <v>1</v>
      </c>
      <c r="H348">
        <v>354</v>
      </c>
      <c r="I348">
        <v>8.5838991270000005</v>
      </c>
      <c r="J348">
        <v>0.36499999999999999</v>
      </c>
      <c r="K348">
        <f t="shared" si="5"/>
        <v>2</v>
      </c>
      <c r="N348">
        <v>2.5</v>
      </c>
      <c r="O348">
        <v>3</v>
      </c>
    </row>
    <row r="349" spans="1:15" x14ac:dyDescent="0.25">
      <c r="A349" t="s">
        <v>1716</v>
      </c>
      <c r="B349">
        <v>9003497200</v>
      </c>
      <c r="C349" t="s">
        <v>1717</v>
      </c>
      <c r="D349">
        <v>2415</v>
      </c>
      <c r="E349">
        <v>0.69433410500000003</v>
      </c>
      <c r="F349">
        <v>3478.1526389999999</v>
      </c>
      <c r="G349">
        <v>1</v>
      </c>
      <c r="H349">
        <v>150</v>
      </c>
      <c r="I349">
        <v>6.7628494139999997</v>
      </c>
      <c r="J349">
        <v>0.253</v>
      </c>
      <c r="K349">
        <f t="shared" si="5"/>
        <v>2</v>
      </c>
      <c r="N349">
        <v>1.5</v>
      </c>
      <c r="O349">
        <v>2</v>
      </c>
    </row>
    <row r="350" spans="1:15" x14ac:dyDescent="0.25">
      <c r="A350" t="s">
        <v>1718</v>
      </c>
      <c r="B350">
        <v>9003497300</v>
      </c>
      <c r="C350" t="s">
        <v>1719</v>
      </c>
      <c r="D350">
        <v>5207</v>
      </c>
      <c r="E350">
        <v>2.0507789999999999</v>
      </c>
      <c r="F350">
        <v>2539.035167</v>
      </c>
      <c r="G350">
        <v>1</v>
      </c>
      <c r="H350">
        <v>853</v>
      </c>
      <c r="I350">
        <v>15.93796712</v>
      </c>
      <c r="J350">
        <v>0.63900000000000001</v>
      </c>
      <c r="K350">
        <f t="shared" si="5"/>
        <v>4</v>
      </c>
      <c r="N350">
        <v>2.5</v>
      </c>
      <c r="O350">
        <v>3</v>
      </c>
    </row>
    <row r="351" spans="1:15" x14ac:dyDescent="0.25">
      <c r="A351" t="s">
        <v>1720</v>
      </c>
      <c r="B351">
        <v>9003497400</v>
      </c>
      <c r="C351" t="s">
        <v>1721</v>
      </c>
      <c r="D351">
        <v>3834</v>
      </c>
      <c r="E351">
        <v>1.5662616970000001</v>
      </c>
      <c r="F351">
        <v>2447.8667949999999</v>
      </c>
      <c r="G351">
        <v>1</v>
      </c>
      <c r="H351">
        <v>306</v>
      </c>
      <c r="I351">
        <v>7.5462392109999996</v>
      </c>
      <c r="J351">
        <v>0.29199999999999998</v>
      </c>
      <c r="K351">
        <f t="shared" si="5"/>
        <v>2</v>
      </c>
      <c r="N351">
        <v>1.5</v>
      </c>
      <c r="O351">
        <v>2</v>
      </c>
    </row>
    <row r="352" spans="1:15" x14ac:dyDescent="0.25">
      <c r="A352" t="s">
        <v>1722</v>
      </c>
      <c r="B352">
        <v>9003497500</v>
      </c>
      <c r="C352" t="s">
        <v>1723</v>
      </c>
      <c r="D352">
        <v>3841</v>
      </c>
      <c r="E352">
        <v>1.4780562690000001</v>
      </c>
      <c r="F352">
        <v>2598.6832039999999</v>
      </c>
      <c r="G352">
        <v>1</v>
      </c>
      <c r="H352">
        <v>858</v>
      </c>
      <c r="I352">
        <v>23.66896552</v>
      </c>
      <c r="J352">
        <v>0.80400000000000005</v>
      </c>
      <c r="K352">
        <f t="shared" si="5"/>
        <v>5</v>
      </c>
      <c r="N352">
        <v>3.5</v>
      </c>
      <c r="O352">
        <v>4</v>
      </c>
    </row>
    <row r="353" spans="1:15" x14ac:dyDescent="0.25">
      <c r="A353" t="s">
        <v>1724</v>
      </c>
      <c r="B353">
        <v>9003497600</v>
      </c>
      <c r="C353" t="s">
        <v>1725</v>
      </c>
      <c r="D353">
        <v>2342</v>
      </c>
      <c r="E353">
        <v>0.69178042500000003</v>
      </c>
      <c r="F353">
        <v>3385.4672879999998</v>
      </c>
      <c r="G353">
        <v>1</v>
      </c>
      <c r="H353">
        <v>219</v>
      </c>
      <c r="I353">
        <v>9.8118279570000002</v>
      </c>
      <c r="J353">
        <v>0.41499999999999998</v>
      </c>
      <c r="K353">
        <f t="shared" si="5"/>
        <v>3</v>
      </c>
      <c r="N353">
        <v>2</v>
      </c>
      <c r="O353">
        <v>2</v>
      </c>
    </row>
    <row r="354" spans="1:15" x14ac:dyDescent="0.25">
      <c r="A354" t="s">
        <v>1726</v>
      </c>
      <c r="B354">
        <v>9003497700</v>
      </c>
      <c r="C354" t="s">
        <v>1727</v>
      </c>
      <c r="D354">
        <v>4140</v>
      </c>
      <c r="E354">
        <v>6.0470646969999997</v>
      </c>
      <c r="F354">
        <v>684.62968520000004</v>
      </c>
      <c r="G354">
        <v>1</v>
      </c>
      <c r="H354">
        <v>527</v>
      </c>
      <c r="I354">
        <v>11.776536309999999</v>
      </c>
      <c r="J354">
        <v>0.503</v>
      </c>
      <c r="K354">
        <f t="shared" si="5"/>
        <v>3</v>
      </c>
      <c r="N354">
        <v>2</v>
      </c>
      <c r="O354">
        <v>2</v>
      </c>
    </row>
    <row r="355" spans="1:15" x14ac:dyDescent="0.25">
      <c r="A355" t="s">
        <v>1728</v>
      </c>
      <c r="B355">
        <v>9003500100</v>
      </c>
      <c r="C355" t="s">
        <v>1729</v>
      </c>
      <c r="D355">
        <v>4099</v>
      </c>
      <c r="E355">
        <v>0.155808058</v>
      </c>
      <c r="F355">
        <v>26308.01037</v>
      </c>
      <c r="G355">
        <v>1</v>
      </c>
      <c r="H355">
        <v>2069</v>
      </c>
      <c r="I355">
        <v>52.753697090000003</v>
      </c>
      <c r="J355">
        <v>0.99299999999999999</v>
      </c>
      <c r="K355">
        <f t="shared" si="5"/>
        <v>5</v>
      </c>
      <c r="N355">
        <v>5</v>
      </c>
      <c r="O355">
        <v>5</v>
      </c>
    </row>
    <row r="356" spans="1:15" x14ac:dyDescent="0.25">
      <c r="A356" t="s">
        <v>1730</v>
      </c>
      <c r="B356">
        <v>9003500200</v>
      </c>
      <c r="C356" t="s">
        <v>1731</v>
      </c>
      <c r="D356">
        <v>2335</v>
      </c>
      <c r="E356">
        <v>0.15034702899999999</v>
      </c>
      <c r="F356">
        <v>15530.735930000001</v>
      </c>
      <c r="G356">
        <v>1</v>
      </c>
      <c r="H356">
        <v>1210</v>
      </c>
      <c r="I356">
        <v>51.206093950000003</v>
      </c>
      <c r="J356">
        <v>0.99299999999999999</v>
      </c>
      <c r="K356">
        <f t="shared" si="5"/>
        <v>5</v>
      </c>
      <c r="N356">
        <v>5</v>
      </c>
      <c r="O356">
        <v>5</v>
      </c>
    </row>
    <row r="357" spans="1:15" x14ac:dyDescent="0.25">
      <c r="A357" t="s">
        <v>1732</v>
      </c>
      <c r="B357">
        <v>9003500300</v>
      </c>
      <c r="C357" t="s">
        <v>1733</v>
      </c>
      <c r="D357">
        <v>2343</v>
      </c>
      <c r="E357">
        <v>0.20521948400000001</v>
      </c>
      <c r="F357">
        <v>11417.044610000001</v>
      </c>
      <c r="G357">
        <v>1</v>
      </c>
      <c r="H357">
        <v>737</v>
      </c>
      <c r="I357">
        <v>31.960104080000001</v>
      </c>
      <c r="J357">
        <v>0.90800000000000003</v>
      </c>
      <c r="K357">
        <f t="shared" si="5"/>
        <v>5</v>
      </c>
      <c r="N357">
        <v>5</v>
      </c>
      <c r="O357">
        <v>5</v>
      </c>
    </row>
    <row r="358" spans="1:15" x14ac:dyDescent="0.25">
      <c r="A358" t="s">
        <v>1734</v>
      </c>
      <c r="B358">
        <v>9003500400</v>
      </c>
      <c r="C358" t="s">
        <v>1735</v>
      </c>
      <c r="D358">
        <v>1687</v>
      </c>
      <c r="E358">
        <v>0.36630246900000002</v>
      </c>
      <c r="F358">
        <v>4605.4835579999999</v>
      </c>
      <c r="G358">
        <v>1</v>
      </c>
      <c r="H358">
        <v>756</v>
      </c>
      <c r="I358">
        <v>45</v>
      </c>
      <c r="J358">
        <v>0.98199999999999998</v>
      </c>
      <c r="K358">
        <f t="shared" si="5"/>
        <v>5</v>
      </c>
      <c r="N358">
        <v>5</v>
      </c>
      <c r="O358">
        <v>5</v>
      </c>
    </row>
    <row r="359" spans="1:15" x14ac:dyDescent="0.25">
      <c r="A359" t="s">
        <v>1736</v>
      </c>
      <c r="B359">
        <v>9003500500</v>
      </c>
      <c r="C359" t="s">
        <v>1737</v>
      </c>
      <c r="D359">
        <v>1477</v>
      </c>
      <c r="E359">
        <v>0.109122127</v>
      </c>
      <c r="F359">
        <v>13535.29333</v>
      </c>
      <c r="G359">
        <v>1</v>
      </c>
      <c r="H359">
        <v>687</v>
      </c>
      <c r="I359">
        <v>47.087045920000001</v>
      </c>
      <c r="J359">
        <v>0.98899999999999999</v>
      </c>
      <c r="K359">
        <f t="shared" si="5"/>
        <v>5</v>
      </c>
      <c r="N359">
        <v>5</v>
      </c>
      <c r="O359">
        <v>5</v>
      </c>
    </row>
    <row r="360" spans="1:15" x14ac:dyDescent="0.25">
      <c r="A360" t="s">
        <v>1738</v>
      </c>
      <c r="B360">
        <v>9003500900</v>
      </c>
      <c r="C360" t="s">
        <v>1739</v>
      </c>
      <c r="D360">
        <v>2124</v>
      </c>
      <c r="E360">
        <v>0.19459163500000001</v>
      </c>
      <c r="F360">
        <v>10915.165999999999</v>
      </c>
      <c r="G360">
        <v>1</v>
      </c>
      <c r="H360">
        <v>831</v>
      </c>
      <c r="I360">
        <v>39.439962029999997</v>
      </c>
      <c r="J360">
        <v>0.96499999999999997</v>
      </c>
      <c r="K360">
        <f t="shared" si="5"/>
        <v>5</v>
      </c>
      <c r="N360">
        <v>5</v>
      </c>
      <c r="O360">
        <v>5</v>
      </c>
    </row>
    <row r="361" spans="1:15" x14ac:dyDescent="0.25">
      <c r="A361" t="s">
        <v>1740</v>
      </c>
      <c r="B361">
        <v>9003501200</v>
      </c>
      <c r="C361" t="s">
        <v>1741</v>
      </c>
      <c r="D361">
        <v>2369</v>
      </c>
      <c r="E361">
        <v>0.28261636699999998</v>
      </c>
      <c r="F361">
        <v>8382.3878370000002</v>
      </c>
      <c r="G361">
        <v>1</v>
      </c>
      <c r="H361">
        <v>454</v>
      </c>
      <c r="I361">
        <v>15.93541594</v>
      </c>
      <c r="J361">
        <v>0.64700000000000002</v>
      </c>
      <c r="K361">
        <f t="shared" si="5"/>
        <v>4</v>
      </c>
      <c r="N361">
        <v>4.5</v>
      </c>
      <c r="O361">
        <v>5</v>
      </c>
    </row>
    <row r="362" spans="1:15" x14ac:dyDescent="0.25">
      <c r="A362" t="s">
        <v>1742</v>
      </c>
      <c r="B362">
        <v>9003501300</v>
      </c>
      <c r="C362" t="s">
        <v>1743</v>
      </c>
      <c r="D362">
        <v>1735</v>
      </c>
      <c r="E362">
        <v>0.101255681</v>
      </c>
      <c r="F362">
        <v>17134.840970000001</v>
      </c>
      <c r="G362">
        <v>1</v>
      </c>
      <c r="H362">
        <v>340</v>
      </c>
      <c r="I362">
        <v>19.48424069</v>
      </c>
      <c r="J362">
        <v>0.73899999999999999</v>
      </c>
      <c r="K362">
        <f t="shared" si="5"/>
        <v>4</v>
      </c>
      <c r="N362">
        <v>4.5</v>
      </c>
      <c r="O362">
        <v>5</v>
      </c>
    </row>
    <row r="363" spans="1:15" x14ac:dyDescent="0.25">
      <c r="A363" t="s">
        <v>1744</v>
      </c>
      <c r="B363">
        <v>9003501400</v>
      </c>
      <c r="C363" t="s">
        <v>1745</v>
      </c>
      <c r="D363">
        <v>2641</v>
      </c>
      <c r="E363">
        <v>0.142857805</v>
      </c>
      <c r="F363">
        <v>18486.914349999999</v>
      </c>
      <c r="G363">
        <v>1</v>
      </c>
      <c r="H363">
        <v>397</v>
      </c>
      <c r="I363">
        <v>15.25749424</v>
      </c>
      <c r="J363">
        <v>0.63200000000000001</v>
      </c>
      <c r="K363">
        <f t="shared" si="5"/>
        <v>4</v>
      </c>
      <c r="N363">
        <v>4.5</v>
      </c>
      <c r="O363">
        <v>5</v>
      </c>
    </row>
    <row r="364" spans="1:15" x14ac:dyDescent="0.25">
      <c r="A364" t="s">
        <v>1746</v>
      </c>
      <c r="B364">
        <v>9003501500</v>
      </c>
      <c r="C364" t="s">
        <v>1747</v>
      </c>
      <c r="D364">
        <v>3550</v>
      </c>
      <c r="E364">
        <v>0.69100281500000005</v>
      </c>
      <c r="F364">
        <v>5137.4609780000001</v>
      </c>
      <c r="G364">
        <v>1</v>
      </c>
      <c r="H364">
        <v>383</v>
      </c>
      <c r="I364">
        <v>12.275641029999999</v>
      </c>
      <c r="J364">
        <v>0.53600000000000003</v>
      </c>
      <c r="K364">
        <f t="shared" si="5"/>
        <v>3</v>
      </c>
      <c r="N364">
        <v>4</v>
      </c>
      <c r="O364">
        <v>4</v>
      </c>
    </row>
    <row r="365" spans="1:15" x14ac:dyDescent="0.25">
      <c r="A365" t="s">
        <v>1748</v>
      </c>
      <c r="B365">
        <v>9003501700</v>
      </c>
      <c r="C365" t="s">
        <v>1749</v>
      </c>
      <c r="D365">
        <v>1318</v>
      </c>
      <c r="E365">
        <v>0.114904007</v>
      </c>
      <c r="F365">
        <v>11470.444170000001</v>
      </c>
      <c r="G365">
        <v>1</v>
      </c>
      <c r="H365">
        <v>558</v>
      </c>
      <c r="I365">
        <v>32.404181180000002</v>
      </c>
      <c r="J365">
        <v>0.91900000000000004</v>
      </c>
      <c r="K365">
        <f t="shared" si="5"/>
        <v>5</v>
      </c>
      <c r="N365">
        <v>5</v>
      </c>
      <c r="O365">
        <v>5</v>
      </c>
    </row>
    <row r="366" spans="1:15" x14ac:dyDescent="0.25">
      <c r="A366" t="s">
        <v>1750</v>
      </c>
      <c r="B366">
        <v>9003501800</v>
      </c>
      <c r="C366" t="s">
        <v>1751</v>
      </c>
      <c r="D366">
        <v>2863</v>
      </c>
      <c r="E366">
        <v>0.198044161</v>
      </c>
      <c r="F366">
        <v>14456.37169</v>
      </c>
      <c r="G366">
        <v>1</v>
      </c>
      <c r="H366">
        <v>1160</v>
      </c>
      <c r="I366">
        <v>38.423318979999998</v>
      </c>
      <c r="J366">
        <v>0.96499999999999997</v>
      </c>
      <c r="K366">
        <f t="shared" si="5"/>
        <v>5</v>
      </c>
      <c r="N366">
        <v>5</v>
      </c>
      <c r="O366">
        <v>5</v>
      </c>
    </row>
    <row r="367" spans="1:15" x14ac:dyDescent="0.25">
      <c r="A367" t="s">
        <v>1752</v>
      </c>
      <c r="B367">
        <v>9003502100</v>
      </c>
      <c r="C367" t="s">
        <v>1753</v>
      </c>
      <c r="D367">
        <v>1852</v>
      </c>
      <c r="E367">
        <v>0.88824233900000005</v>
      </c>
      <c r="F367">
        <v>2085.0165750000001</v>
      </c>
      <c r="G367">
        <v>1</v>
      </c>
      <c r="H367">
        <v>609</v>
      </c>
      <c r="I367">
        <v>25.343320850000001</v>
      </c>
      <c r="J367">
        <v>0.84</v>
      </c>
      <c r="K367">
        <f t="shared" si="5"/>
        <v>5</v>
      </c>
      <c r="N367">
        <v>4</v>
      </c>
      <c r="O367">
        <v>4</v>
      </c>
    </row>
    <row r="368" spans="1:15" x14ac:dyDescent="0.25">
      <c r="A368" t="s">
        <v>1754</v>
      </c>
      <c r="B368">
        <v>9003502300</v>
      </c>
      <c r="C368" t="s">
        <v>1755</v>
      </c>
      <c r="D368">
        <v>5998</v>
      </c>
      <c r="E368">
        <v>0.66644826199999996</v>
      </c>
      <c r="F368">
        <v>8999.9484520000005</v>
      </c>
      <c r="G368">
        <v>1</v>
      </c>
      <c r="H368">
        <v>2638</v>
      </c>
      <c r="I368">
        <v>44.20982068</v>
      </c>
      <c r="J368">
        <v>0.98399999999999999</v>
      </c>
      <c r="K368">
        <f t="shared" si="5"/>
        <v>5</v>
      </c>
      <c r="N368">
        <v>5</v>
      </c>
      <c r="O368">
        <v>5</v>
      </c>
    </row>
    <row r="369" spans="1:15" x14ac:dyDescent="0.25">
      <c r="A369" t="s">
        <v>1756</v>
      </c>
      <c r="B369">
        <v>9003502400</v>
      </c>
      <c r="C369" t="s">
        <v>1757</v>
      </c>
      <c r="D369">
        <v>6055</v>
      </c>
      <c r="E369">
        <v>0.28303644700000002</v>
      </c>
      <c r="F369">
        <v>21393.00459</v>
      </c>
      <c r="G369">
        <v>1</v>
      </c>
      <c r="H369">
        <v>3500</v>
      </c>
      <c r="I369">
        <v>56.753688990000001</v>
      </c>
      <c r="J369">
        <v>0.997</v>
      </c>
      <c r="K369">
        <f t="shared" si="5"/>
        <v>5</v>
      </c>
      <c r="N369">
        <v>5</v>
      </c>
      <c r="O369">
        <v>5</v>
      </c>
    </row>
    <row r="370" spans="1:15" x14ac:dyDescent="0.25">
      <c r="A370" t="s">
        <v>1758</v>
      </c>
      <c r="B370">
        <v>9003502500</v>
      </c>
      <c r="C370" t="s">
        <v>1759</v>
      </c>
      <c r="D370">
        <v>1828</v>
      </c>
      <c r="E370">
        <v>2.0907776409999999</v>
      </c>
      <c r="F370">
        <v>874.31583560000001</v>
      </c>
      <c r="G370">
        <v>1</v>
      </c>
      <c r="H370">
        <v>993</v>
      </c>
      <c r="I370">
        <v>46.100278549999999</v>
      </c>
      <c r="J370">
        <v>0.98899999999999999</v>
      </c>
      <c r="K370">
        <f t="shared" si="5"/>
        <v>5</v>
      </c>
      <c r="N370">
        <v>5</v>
      </c>
      <c r="O370">
        <v>5</v>
      </c>
    </row>
    <row r="371" spans="1:15" x14ac:dyDescent="0.25">
      <c r="A371" t="s">
        <v>1760</v>
      </c>
      <c r="B371">
        <v>9003502600</v>
      </c>
      <c r="C371" t="s">
        <v>1761</v>
      </c>
      <c r="D371">
        <v>3838</v>
      </c>
      <c r="E371">
        <v>0.21110638400000001</v>
      </c>
      <c r="F371">
        <v>18180.40713</v>
      </c>
      <c r="G371">
        <v>1</v>
      </c>
      <c r="H371">
        <v>2061</v>
      </c>
      <c r="I371">
        <v>50.951792339999997</v>
      </c>
      <c r="J371">
        <v>0.995</v>
      </c>
      <c r="K371">
        <f t="shared" si="5"/>
        <v>5</v>
      </c>
      <c r="N371">
        <v>5</v>
      </c>
      <c r="O371">
        <v>5</v>
      </c>
    </row>
    <row r="372" spans="1:15" x14ac:dyDescent="0.25">
      <c r="A372" t="s">
        <v>1762</v>
      </c>
      <c r="B372">
        <v>9003502700</v>
      </c>
      <c r="C372" t="s">
        <v>1763</v>
      </c>
      <c r="D372">
        <v>5240</v>
      </c>
      <c r="E372">
        <v>0.34860702100000002</v>
      </c>
      <c r="F372">
        <v>15031.25207</v>
      </c>
      <c r="G372">
        <v>1</v>
      </c>
      <c r="H372">
        <v>1445</v>
      </c>
      <c r="I372">
        <v>29.12132205</v>
      </c>
      <c r="J372">
        <v>0.88900000000000001</v>
      </c>
      <c r="K372">
        <f t="shared" si="5"/>
        <v>5</v>
      </c>
      <c r="N372">
        <v>5</v>
      </c>
      <c r="O372">
        <v>5</v>
      </c>
    </row>
    <row r="373" spans="1:15" x14ac:dyDescent="0.25">
      <c r="A373" t="s">
        <v>1764</v>
      </c>
      <c r="B373">
        <v>9003502800</v>
      </c>
      <c r="C373" t="s">
        <v>1765</v>
      </c>
      <c r="D373">
        <v>3283</v>
      </c>
      <c r="E373">
        <v>0.17989620000000001</v>
      </c>
      <c r="F373">
        <v>18249.412690000001</v>
      </c>
      <c r="G373">
        <v>1</v>
      </c>
      <c r="H373">
        <v>1173</v>
      </c>
      <c r="I373">
        <v>41.507430999999997</v>
      </c>
      <c r="J373">
        <v>0.98599999999999999</v>
      </c>
      <c r="K373">
        <f t="shared" si="5"/>
        <v>5</v>
      </c>
      <c r="N373">
        <v>5</v>
      </c>
      <c r="O373">
        <v>5</v>
      </c>
    </row>
    <row r="374" spans="1:15" x14ac:dyDescent="0.25">
      <c r="A374" t="s">
        <v>1766</v>
      </c>
      <c r="B374">
        <v>9003502900</v>
      </c>
      <c r="C374" t="s">
        <v>1767</v>
      </c>
      <c r="D374">
        <v>2938</v>
      </c>
      <c r="E374">
        <v>0.296082067</v>
      </c>
      <c r="F374">
        <v>9922.9245179999998</v>
      </c>
      <c r="G374">
        <v>1</v>
      </c>
      <c r="H374">
        <v>1408</v>
      </c>
      <c r="I374">
        <v>46.209386279999997</v>
      </c>
      <c r="J374">
        <v>0.99299999999999999</v>
      </c>
      <c r="K374">
        <f t="shared" si="5"/>
        <v>5</v>
      </c>
      <c r="N374">
        <v>5</v>
      </c>
      <c r="O374">
        <v>5</v>
      </c>
    </row>
    <row r="375" spans="1:15" x14ac:dyDescent="0.25">
      <c r="A375" t="s">
        <v>1768</v>
      </c>
      <c r="B375">
        <v>9003503000</v>
      </c>
      <c r="C375" t="s">
        <v>1769</v>
      </c>
      <c r="D375">
        <v>3255</v>
      </c>
      <c r="E375">
        <v>0.16433242200000001</v>
      </c>
      <c r="F375">
        <v>19807.412120000001</v>
      </c>
      <c r="G375">
        <v>1</v>
      </c>
      <c r="H375">
        <v>904</v>
      </c>
      <c r="I375">
        <v>31.741573030000001</v>
      </c>
      <c r="J375">
        <v>0.92900000000000005</v>
      </c>
      <c r="K375">
        <f t="shared" si="5"/>
        <v>5</v>
      </c>
      <c r="N375">
        <v>5</v>
      </c>
      <c r="O375">
        <v>5</v>
      </c>
    </row>
    <row r="376" spans="1:15" x14ac:dyDescent="0.25">
      <c r="A376" t="s">
        <v>1770</v>
      </c>
      <c r="B376">
        <v>9003503100</v>
      </c>
      <c r="C376" t="s">
        <v>1771</v>
      </c>
      <c r="D376">
        <v>4478</v>
      </c>
      <c r="E376">
        <v>0.27098156400000001</v>
      </c>
      <c r="F376">
        <v>16525.109410000001</v>
      </c>
      <c r="G376">
        <v>1</v>
      </c>
      <c r="H376">
        <v>1315</v>
      </c>
      <c r="I376">
        <v>31.663857449999998</v>
      </c>
      <c r="J376">
        <v>0.92800000000000005</v>
      </c>
      <c r="K376">
        <f t="shared" si="5"/>
        <v>5</v>
      </c>
      <c r="N376">
        <v>5</v>
      </c>
      <c r="O376">
        <v>5</v>
      </c>
    </row>
    <row r="377" spans="1:15" x14ac:dyDescent="0.25">
      <c r="A377" t="s">
        <v>1772</v>
      </c>
      <c r="B377">
        <v>9003503300</v>
      </c>
      <c r="C377" t="s">
        <v>1773</v>
      </c>
      <c r="D377">
        <v>2390</v>
      </c>
      <c r="E377">
        <v>0.106136013</v>
      </c>
      <c r="F377">
        <v>22518.275679999999</v>
      </c>
      <c r="G377">
        <v>1</v>
      </c>
      <c r="H377">
        <v>846</v>
      </c>
      <c r="I377">
        <v>30.010642069999999</v>
      </c>
      <c r="J377">
        <v>0.91</v>
      </c>
      <c r="K377">
        <f t="shared" si="5"/>
        <v>5</v>
      </c>
      <c r="N377">
        <v>5</v>
      </c>
      <c r="O377">
        <v>5</v>
      </c>
    </row>
    <row r="378" spans="1:15" x14ac:dyDescent="0.25">
      <c r="A378" t="s">
        <v>1774</v>
      </c>
      <c r="B378">
        <v>9003503500</v>
      </c>
      <c r="C378" t="s">
        <v>1775</v>
      </c>
      <c r="D378">
        <v>1622</v>
      </c>
      <c r="E378">
        <v>8.6270669999999994E-2</v>
      </c>
      <c r="F378">
        <v>18801.29134</v>
      </c>
      <c r="G378">
        <v>1</v>
      </c>
      <c r="H378">
        <v>279</v>
      </c>
      <c r="I378">
        <v>17.714285709999999</v>
      </c>
      <c r="J378">
        <v>0.72499999999999998</v>
      </c>
      <c r="K378">
        <f t="shared" si="5"/>
        <v>4</v>
      </c>
      <c r="N378">
        <v>4.5</v>
      </c>
      <c r="O378">
        <v>5</v>
      </c>
    </row>
    <row r="379" spans="1:15" x14ac:dyDescent="0.25">
      <c r="A379" t="s">
        <v>1776</v>
      </c>
      <c r="B379">
        <v>9003503700</v>
      </c>
      <c r="C379" t="s">
        <v>1777</v>
      </c>
      <c r="D379">
        <v>2651</v>
      </c>
      <c r="E379">
        <v>0.23441382699999999</v>
      </c>
      <c r="F379">
        <v>11309.05983</v>
      </c>
      <c r="G379">
        <v>1</v>
      </c>
      <c r="H379">
        <v>158</v>
      </c>
      <c r="I379">
        <v>6.6191872639999998</v>
      </c>
      <c r="J379">
        <v>0.26600000000000001</v>
      </c>
      <c r="K379">
        <f t="shared" si="5"/>
        <v>2</v>
      </c>
      <c r="N379">
        <v>3.5</v>
      </c>
      <c r="O379">
        <v>4</v>
      </c>
    </row>
    <row r="380" spans="1:15" x14ac:dyDescent="0.25">
      <c r="A380" t="s">
        <v>1778</v>
      </c>
      <c r="B380">
        <v>9003503800</v>
      </c>
      <c r="C380" t="s">
        <v>1779</v>
      </c>
      <c r="D380">
        <v>3508</v>
      </c>
      <c r="E380">
        <v>0.71547281299999999</v>
      </c>
      <c r="F380">
        <v>4903.0514320000002</v>
      </c>
      <c r="G380">
        <v>1</v>
      </c>
      <c r="H380">
        <v>367</v>
      </c>
      <c r="I380">
        <v>13.27305606</v>
      </c>
      <c r="J380">
        <v>0.6</v>
      </c>
      <c r="K380">
        <f t="shared" si="5"/>
        <v>4</v>
      </c>
      <c r="N380">
        <v>4</v>
      </c>
      <c r="O380">
        <v>4</v>
      </c>
    </row>
    <row r="381" spans="1:15" x14ac:dyDescent="0.25">
      <c r="A381" t="s">
        <v>1780</v>
      </c>
      <c r="B381">
        <v>9003503900</v>
      </c>
      <c r="C381" t="s">
        <v>1781</v>
      </c>
      <c r="D381">
        <v>5203</v>
      </c>
      <c r="E381">
        <v>0.69281904000000005</v>
      </c>
      <c r="F381">
        <v>7509.8975330000003</v>
      </c>
      <c r="G381">
        <v>1</v>
      </c>
      <c r="H381">
        <v>348</v>
      </c>
      <c r="I381">
        <v>7.278811964</v>
      </c>
      <c r="J381">
        <v>0.29599999999999999</v>
      </c>
      <c r="K381">
        <f t="shared" si="5"/>
        <v>2</v>
      </c>
      <c r="N381">
        <v>3.5</v>
      </c>
      <c r="O381">
        <v>4</v>
      </c>
    </row>
    <row r="382" spans="1:15" x14ac:dyDescent="0.25">
      <c r="A382" t="s">
        <v>1782</v>
      </c>
      <c r="B382">
        <v>9003504000</v>
      </c>
      <c r="C382" t="s">
        <v>1783</v>
      </c>
      <c r="D382">
        <v>3413</v>
      </c>
      <c r="E382">
        <v>0.35855108200000002</v>
      </c>
      <c r="F382">
        <v>9518.8668240000006</v>
      </c>
      <c r="G382">
        <v>1</v>
      </c>
      <c r="H382">
        <v>127</v>
      </c>
      <c r="I382">
        <v>4.007573367</v>
      </c>
      <c r="J382">
        <v>0.128</v>
      </c>
      <c r="K382">
        <f t="shared" si="5"/>
        <v>1</v>
      </c>
      <c r="N382">
        <v>2.5</v>
      </c>
      <c r="O382">
        <v>3</v>
      </c>
    </row>
    <row r="383" spans="1:15" x14ac:dyDescent="0.25">
      <c r="A383" t="s">
        <v>1784</v>
      </c>
      <c r="B383">
        <v>9003504100</v>
      </c>
      <c r="C383" t="s">
        <v>1785</v>
      </c>
      <c r="D383">
        <v>1855</v>
      </c>
      <c r="E383">
        <v>0.125195947</v>
      </c>
      <c r="F383">
        <v>14816.7736</v>
      </c>
      <c r="G383">
        <v>1</v>
      </c>
      <c r="H383">
        <v>578</v>
      </c>
      <c r="I383">
        <v>32.022160659999997</v>
      </c>
      <c r="J383">
        <v>0.93200000000000005</v>
      </c>
      <c r="K383">
        <f t="shared" si="5"/>
        <v>5</v>
      </c>
      <c r="N383">
        <v>5</v>
      </c>
      <c r="O383">
        <v>5</v>
      </c>
    </row>
    <row r="384" spans="1:15" x14ac:dyDescent="0.25">
      <c r="A384" t="s">
        <v>1786</v>
      </c>
      <c r="B384">
        <v>9003504200</v>
      </c>
      <c r="C384" t="s">
        <v>1787</v>
      </c>
      <c r="D384">
        <v>5123</v>
      </c>
      <c r="E384">
        <v>0.45103259200000001</v>
      </c>
      <c r="F384">
        <v>11358.38096</v>
      </c>
      <c r="G384">
        <v>1</v>
      </c>
      <c r="H384">
        <v>1827</v>
      </c>
      <c r="I384">
        <v>36.214073339999999</v>
      </c>
      <c r="J384">
        <v>0.96099999999999997</v>
      </c>
      <c r="K384">
        <f t="shared" si="5"/>
        <v>5</v>
      </c>
      <c r="N384">
        <v>5</v>
      </c>
      <c r="O384">
        <v>5</v>
      </c>
    </row>
    <row r="385" spans="1:15" x14ac:dyDescent="0.25">
      <c r="A385" t="s">
        <v>1788</v>
      </c>
      <c r="B385">
        <v>9003504300</v>
      </c>
      <c r="C385" t="s">
        <v>1789</v>
      </c>
      <c r="D385">
        <v>2946</v>
      </c>
      <c r="E385">
        <v>0.31312886400000001</v>
      </c>
      <c r="F385">
        <v>9408.2671370000007</v>
      </c>
      <c r="G385">
        <v>1</v>
      </c>
      <c r="H385">
        <v>1214</v>
      </c>
      <c r="I385">
        <v>40.013183920000003</v>
      </c>
      <c r="J385">
        <v>0.98099999999999998</v>
      </c>
      <c r="K385">
        <f t="shared" si="5"/>
        <v>5</v>
      </c>
      <c r="N385">
        <v>5</v>
      </c>
      <c r="O385">
        <v>5</v>
      </c>
    </row>
    <row r="386" spans="1:15" x14ac:dyDescent="0.25">
      <c r="A386" t="s">
        <v>1790</v>
      </c>
      <c r="B386">
        <v>9003504500</v>
      </c>
      <c r="C386" t="s">
        <v>1791</v>
      </c>
      <c r="D386">
        <v>3701</v>
      </c>
      <c r="E386">
        <v>0.34253942500000001</v>
      </c>
      <c r="F386">
        <v>10804.59571</v>
      </c>
      <c r="G386">
        <v>1</v>
      </c>
      <c r="H386">
        <v>1318</v>
      </c>
      <c r="I386">
        <v>40.26886648</v>
      </c>
      <c r="J386">
        <v>0.98399999999999999</v>
      </c>
      <c r="K386">
        <f t="shared" si="5"/>
        <v>5</v>
      </c>
      <c r="N386">
        <v>5</v>
      </c>
      <c r="O386">
        <v>5</v>
      </c>
    </row>
    <row r="387" spans="1:15" x14ac:dyDescent="0.25">
      <c r="A387" t="s">
        <v>1792</v>
      </c>
      <c r="B387">
        <v>9003504800</v>
      </c>
      <c r="C387" t="s">
        <v>1793</v>
      </c>
      <c r="D387">
        <v>4560</v>
      </c>
      <c r="E387">
        <v>0.57594822800000001</v>
      </c>
      <c r="F387">
        <v>7917.3782920000003</v>
      </c>
      <c r="G387">
        <v>1</v>
      </c>
      <c r="H387">
        <v>2012</v>
      </c>
      <c r="I387">
        <v>40.605449040000003</v>
      </c>
      <c r="J387">
        <v>0.98599999999999999</v>
      </c>
      <c r="K387">
        <f t="shared" ref="K387:K450" si="6">IF(J387&lt;0.2,1,IF(J387&lt;0.4,2,IF(J387&lt;0.6,3,IF(J387&lt;0.8,4,5))))</f>
        <v>5</v>
      </c>
      <c r="N387">
        <v>5</v>
      </c>
      <c r="O387">
        <v>5</v>
      </c>
    </row>
    <row r="388" spans="1:15" x14ac:dyDescent="0.25">
      <c r="A388" t="s">
        <v>1794</v>
      </c>
      <c r="B388">
        <v>9003504900</v>
      </c>
      <c r="C388" t="s">
        <v>1795</v>
      </c>
      <c r="D388">
        <v>4548</v>
      </c>
      <c r="E388">
        <v>0.60123521800000002</v>
      </c>
      <c r="F388">
        <v>7564.427138</v>
      </c>
      <c r="G388">
        <v>1</v>
      </c>
      <c r="H388">
        <v>1712</v>
      </c>
      <c r="I388">
        <v>36.55776212</v>
      </c>
      <c r="J388">
        <v>0.97199999999999998</v>
      </c>
      <c r="K388">
        <f t="shared" si="6"/>
        <v>5</v>
      </c>
      <c r="N388">
        <v>5</v>
      </c>
      <c r="O388">
        <v>5</v>
      </c>
    </row>
    <row r="389" spans="1:15" x14ac:dyDescent="0.25">
      <c r="A389" t="s">
        <v>1796</v>
      </c>
      <c r="B389">
        <v>9003510100</v>
      </c>
      <c r="C389" t="s">
        <v>1797</v>
      </c>
      <c r="D389">
        <v>2232</v>
      </c>
      <c r="E389">
        <v>1.253199629</v>
      </c>
      <c r="F389">
        <v>1781.041064</v>
      </c>
      <c r="G389">
        <v>1</v>
      </c>
      <c r="H389">
        <v>259</v>
      </c>
      <c r="I389">
        <v>13.46853874</v>
      </c>
      <c r="J389">
        <v>0.61699999999999999</v>
      </c>
      <c r="K389">
        <f t="shared" si="6"/>
        <v>4</v>
      </c>
      <c r="N389">
        <v>4.5</v>
      </c>
      <c r="O389">
        <v>5</v>
      </c>
    </row>
    <row r="390" spans="1:15" x14ac:dyDescent="0.25">
      <c r="A390" t="s">
        <v>1798</v>
      </c>
      <c r="B390">
        <v>9003510200</v>
      </c>
      <c r="C390" t="s">
        <v>1799</v>
      </c>
      <c r="D390">
        <v>2502</v>
      </c>
      <c r="E390">
        <v>1.1213156200000001</v>
      </c>
      <c r="F390">
        <v>2231.307542</v>
      </c>
      <c r="G390">
        <v>1</v>
      </c>
      <c r="H390">
        <v>711</v>
      </c>
      <c r="I390">
        <v>27.356675639999999</v>
      </c>
      <c r="J390">
        <v>0.90100000000000002</v>
      </c>
      <c r="K390">
        <f t="shared" si="6"/>
        <v>5</v>
      </c>
      <c r="N390">
        <v>5</v>
      </c>
      <c r="O390">
        <v>5</v>
      </c>
    </row>
    <row r="391" spans="1:15" x14ac:dyDescent="0.25">
      <c r="A391" t="s">
        <v>1800</v>
      </c>
      <c r="B391">
        <v>9003510300</v>
      </c>
      <c r="C391" t="s">
        <v>1801</v>
      </c>
      <c r="D391">
        <v>4310</v>
      </c>
      <c r="E391">
        <v>0.92202589400000001</v>
      </c>
      <c r="F391">
        <v>4674.4891120000002</v>
      </c>
      <c r="G391">
        <v>1</v>
      </c>
      <c r="H391">
        <v>585</v>
      </c>
      <c r="I391">
        <v>14.17494548</v>
      </c>
      <c r="J391">
        <v>0.63400000000000001</v>
      </c>
      <c r="K391">
        <f t="shared" si="6"/>
        <v>4</v>
      </c>
      <c r="N391">
        <v>4.5</v>
      </c>
      <c r="O391">
        <v>5</v>
      </c>
    </row>
    <row r="392" spans="1:15" x14ac:dyDescent="0.25">
      <c r="A392" t="s">
        <v>1802</v>
      </c>
      <c r="B392">
        <v>9003510400</v>
      </c>
      <c r="C392" t="s">
        <v>1803</v>
      </c>
      <c r="D392">
        <v>5659</v>
      </c>
      <c r="E392">
        <v>1.0436731749999999</v>
      </c>
      <c r="F392">
        <v>5422.1955049999997</v>
      </c>
      <c r="G392">
        <v>1</v>
      </c>
      <c r="H392">
        <v>1281</v>
      </c>
      <c r="I392">
        <v>19.539353259999999</v>
      </c>
      <c r="J392">
        <v>0.77100000000000002</v>
      </c>
      <c r="K392">
        <f t="shared" si="6"/>
        <v>4</v>
      </c>
      <c r="N392">
        <v>4.5</v>
      </c>
      <c r="O392">
        <v>5</v>
      </c>
    </row>
    <row r="393" spans="1:15" x14ac:dyDescent="0.25">
      <c r="A393" t="s">
        <v>1804</v>
      </c>
      <c r="B393">
        <v>9003510500</v>
      </c>
      <c r="C393" t="s">
        <v>1805</v>
      </c>
      <c r="D393">
        <v>3458</v>
      </c>
      <c r="E393">
        <v>1.401036607</v>
      </c>
      <c r="F393">
        <v>2468.1724819999999</v>
      </c>
      <c r="G393">
        <v>1</v>
      </c>
      <c r="H393">
        <v>944</v>
      </c>
      <c r="I393">
        <v>31.185992729999999</v>
      </c>
      <c r="J393">
        <v>0.93700000000000006</v>
      </c>
      <c r="K393">
        <f t="shared" si="6"/>
        <v>5</v>
      </c>
      <c r="N393">
        <v>4.5</v>
      </c>
      <c r="O393">
        <v>5</v>
      </c>
    </row>
    <row r="394" spans="1:15" x14ac:dyDescent="0.25">
      <c r="A394" t="s">
        <v>1806</v>
      </c>
      <c r="B394">
        <v>9003510600</v>
      </c>
      <c r="C394" t="s">
        <v>1807</v>
      </c>
      <c r="D394">
        <v>5007</v>
      </c>
      <c r="E394">
        <v>2.6409045139999998</v>
      </c>
      <c r="F394">
        <v>1895.9413239999999</v>
      </c>
      <c r="G394">
        <v>1</v>
      </c>
      <c r="H394">
        <v>1201</v>
      </c>
      <c r="I394">
        <v>26.01256227</v>
      </c>
      <c r="J394">
        <v>0.88400000000000001</v>
      </c>
      <c r="K394">
        <f t="shared" si="6"/>
        <v>5</v>
      </c>
      <c r="N394">
        <v>5</v>
      </c>
      <c r="O394">
        <v>5</v>
      </c>
    </row>
    <row r="395" spans="1:15" x14ac:dyDescent="0.25">
      <c r="A395" t="s">
        <v>1808</v>
      </c>
      <c r="B395">
        <v>9003510700</v>
      </c>
      <c r="C395" t="s">
        <v>1809</v>
      </c>
      <c r="D395">
        <v>4961</v>
      </c>
      <c r="E395">
        <v>1.300701393</v>
      </c>
      <c r="F395">
        <v>3814.0960150000001</v>
      </c>
      <c r="G395">
        <v>1</v>
      </c>
      <c r="H395">
        <v>1041</v>
      </c>
      <c r="I395">
        <v>22.96999117</v>
      </c>
      <c r="J395">
        <v>0.84399999999999997</v>
      </c>
      <c r="K395">
        <f t="shared" si="6"/>
        <v>5</v>
      </c>
      <c r="N395">
        <v>4.5</v>
      </c>
      <c r="O395">
        <v>5</v>
      </c>
    </row>
    <row r="396" spans="1:15" x14ac:dyDescent="0.25">
      <c r="A396" t="s">
        <v>1810</v>
      </c>
      <c r="B396">
        <v>9003510800</v>
      </c>
      <c r="C396" t="s">
        <v>1811</v>
      </c>
      <c r="D396">
        <v>3143</v>
      </c>
      <c r="E396">
        <v>1.0942591239999999</v>
      </c>
      <c r="F396">
        <v>2872.2630049999998</v>
      </c>
      <c r="G396">
        <v>1</v>
      </c>
      <c r="H396">
        <v>404</v>
      </c>
      <c r="I396">
        <v>12.625</v>
      </c>
      <c r="J396">
        <v>0.59299999999999997</v>
      </c>
      <c r="K396">
        <f t="shared" si="6"/>
        <v>3</v>
      </c>
      <c r="N396">
        <v>4</v>
      </c>
      <c r="O396">
        <v>4</v>
      </c>
    </row>
    <row r="397" spans="1:15" x14ac:dyDescent="0.25">
      <c r="A397" t="s">
        <v>1812</v>
      </c>
      <c r="B397">
        <v>9003510900</v>
      </c>
      <c r="C397" t="s">
        <v>1813</v>
      </c>
      <c r="D397">
        <v>3680</v>
      </c>
      <c r="E397">
        <v>1.2351215529999999</v>
      </c>
      <c r="F397">
        <v>2979.4638369999998</v>
      </c>
      <c r="G397">
        <v>1</v>
      </c>
      <c r="H397">
        <v>637</v>
      </c>
      <c r="I397">
        <v>17.342771580000001</v>
      </c>
      <c r="J397">
        <v>0.72199999999999998</v>
      </c>
      <c r="K397">
        <f t="shared" si="6"/>
        <v>4</v>
      </c>
      <c r="N397">
        <v>3.5</v>
      </c>
      <c r="O397">
        <v>4</v>
      </c>
    </row>
    <row r="398" spans="1:15" x14ac:dyDescent="0.25">
      <c r="A398" t="s">
        <v>1814</v>
      </c>
      <c r="B398">
        <v>9003511000</v>
      </c>
      <c r="C398" t="s">
        <v>1815</v>
      </c>
      <c r="D398">
        <v>3415</v>
      </c>
      <c r="E398">
        <v>1.297802924</v>
      </c>
      <c r="F398">
        <v>2631.370246</v>
      </c>
      <c r="G398">
        <v>1</v>
      </c>
      <c r="H398">
        <v>494</v>
      </c>
      <c r="I398">
        <v>13.7374861</v>
      </c>
      <c r="J398">
        <v>0.63500000000000001</v>
      </c>
      <c r="K398">
        <f t="shared" si="6"/>
        <v>4</v>
      </c>
      <c r="N398">
        <v>3.5</v>
      </c>
      <c r="O398">
        <v>4</v>
      </c>
    </row>
    <row r="399" spans="1:15" x14ac:dyDescent="0.25">
      <c r="A399" t="s">
        <v>1816</v>
      </c>
      <c r="B399">
        <v>9003511100</v>
      </c>
      <c r="C399" t="s">
        <v>1817</v>
      </c>
      <c r="D399">
        <v>3592</v>
      </c>
      <c r="E399">
        <v>1.596393111</v>
      </c>
      <c r="F399">
        <v>2250.0723509999998</v>
      </c>
      <c r="G399">
        <v>1</v>
      </c>
      <c r="H399">
        <v>541</v>
      </c>
      <c r="I399">
        <v>16.384009689999999</v>
      </c>
      <c r="J399">
        <v>0.69299999999999995</v>
      </c>
      <c r="K399">
        <f t="shared" si="6"/>
        <v>4</v>
      </c>
      <c r="N399">
        <v>3.5</v>
      </c>
      <c r="O399">
        <v>4</v>
      </c>
    </row>
    <row r="400" spans="1:15" x14ac:dyDescent="0.25">
      <c r="A400" t="s">
        <v>1818</v>
      </c>
      <c r="B400">
        <v>9003511200</v>
      </c>
      <c r="C400" t="s">
        <v>1819</v>
      </c>
      <c r="D400">
        <v>3363</v>
      </c>
      <c r="E400">
        <v>0.73333081099999997</v>
      </c>
      <c r="F400">
        <v>4585.9248660000003</v>
      </c>
      <c r="G400">
        <v>1</v>
      </c>
      <c r="H400">
        <v>1152</v>
      </c>
      <c r="I400">
        <v>35.555555560000002</v>
      </c>
      <c r="J400">
        <v>0.96699999999999997</v>
      </c>
      <c r="K400">
        <f t="shared" si="6"/>
        <v>5</v>
      </c>
      <c r="N400">
        <v>4.5</v>
      </c>
      <c r="O400">
        <v>5</v>
      </c>
    </row>
    <row r="401" spans="1:15" x14ac:dyDescent="0.25">
      <c r="A401" t="s">
        <v>1820</v>
      </c>
      <c r="B401">
        <v>9003511300</v>
      </c>
      <c r="C401" t="s">
        <v>1821</v>
      </c>
      <c r="D401">
        <v>3509</v>
      </c>
      <c r="E401">
        <v>0.676619737</v>
      </c>
      <c r="F401">
        <v>5186.0739599999997</v>
      </c>
      <c r="G401">
        <v>1</v>
      </c>
      <c r="H401">
        <v>624</v>
      </c>
      <c r="I401">
        <v>17.049180329999999</v>
      </c>
      <c r="J401">
        <v>0.71499999999999997</v>
      </c>
      <c r="K401">
        <f t="shared" si="6"/>
        <v>4</v>
      </c>
      <c r="N401">
        <v>4.5</v>
      </c>
      <c r="O401">
        <v>5</v>
      </c>
    </row>
    <row r="402" spans="1:15" x14ac:dyDescent="0.25">
      <c r="A402" t="s">
        <v>1822</v>
      </c>
      <c r="B402">
        <v>9003511400</v>
      </c>
      <c r="C402" t="s">
        <v>1823</v>
      </c>
      <c r="D402">
        <v>2421</v>
      </c>
      <c r="E402">
        <v>1.679904308</v>
      </c>
      <c r="F402">
        <v>1441.1535160000001</v>
      </c>
      <c r="G402">
        <v>1</v>
      </c>
      <c r="H402">
        <v>331</v>
      </c>
      <c r="I402">
        <v>14.90990991</v>
      </c>
      <c r="J402">
        <v>0.65500000000000003</v>
      </c>
      <c r="K402">
        <f t="shared" si="6"/>
        <v>4</v>
      </c>
      <c r="N402">
        <v>3.5</v>
      </c>
      <c r="O402">
        <v>4</v>
      </c>
    </row>
    <row r="403" spans="1:15" x14ac:dyDescent="0.25">
      <c r="A403" t="s">
        <v>1824</v>
      </c>
      <c r="B403">
        <v>9003514101</v>
      </c>
      <c r="C403" t="s">
        <v>1825</v>
      </c>
      <c r="D403">
        <v>3659</v>
      </c>
      <c r="E403">
        <v>1.8171219329999999</v>
      </c>
      <c r="F403">
        <v>2013.623816</v>
      </c>
      <c r="G403">
        <v>1</v>
      </c>
      <c r="H403">
        <v>415</v>
      </c>
      <c r="I403">
        <v>12.008101849999999</v>
      </c>
      <c r="J403">
        <v>0.57399999999999995</v>
      </c>
      <c r="K403">
        <f t="shared" si="6"/>
        <v>3</v>
      </c>
      <c r="N403">
        <v>3</v>
      </c>
      <c r="O403">
        <v>3</v>
      </c>
    </row>
    <row r="404" spans="1:15" x14ac:dyDescent="0.25">
      <c r="A404" t="s">
        <v>1826</v>
      </c>
      <c r="B404">
        <v>9003514102</v>
      </c>
      <c r="C404" t="s">
        <v>1827</v>
      </c>
      <c r="D404">
        <v>7398</v>
      </c>
      <c r="E404">
        <v>4.7768422089999998</v>
      </c>
      <c r="F404">
        <v>1548.7218700000001</v>
      </c>
      <c r="G404">
        <v>1</v>
      </c>
      <c r="H404">
        <v>4552</v>
      </c>
      <c r="I404">
        <v>57.236263049999998</v>
      </c>
      <c r="J404">
        <v>1</v>
      </c>
      <c r="K404">
        <f t="shared" si="6"/>
        <v>5</v>
      </c>
      <c r="N404">
        <v>4</v>
      </c>
      <c r="O404">
        <v>4</v>
      </c>
    </row>
    <row r="405" spans="1:15" x14ac:dyDescent="0.25">
      <c r="A405" t="s">
        <v>1828</v>
      </c>
      <c r="B405">
        <v>9003514200</v>
      </c>
      <c r="C405" t="s">
        <v>1829</v>
      </c>
      <c r="D405">
        <v>3076</v>
      </c>
      <c r="E405">
        <v>1.379580523</v>
      </c>
      <c r="F405">
        <v>2229.6632549999999</v>
      </c>
      <c r="G405">
        <v>1</v>
      </c>
      <c r="H405">
        <v>727</v>
      </c>
      <c r="I405">
        <v>23.836065569999999</v>
      </c>
      <c r="J405">
        <v>0.85499999999999998</v>
      </c>
      <c r="K405">
        <f t="shared" si="6"/>
        <v>5</v>
      </c>
      <c r="N405">
        <v>4.5</v>
      </c>
      <c r="O405">
        <v>5</v>
      </c>
    </row>
    <row r="406" spans="1:15" x14ac:dyDescent="0.25">
      <c r="A406" t="s">
        <v>1830</v>
      </c>
      <c r="B406">
        <v>9003514300</v>
      </c>
      <c r="C406" t="s">
        <v>1831</v>
      </c>
      <c r="D406">
        <v>4291</v>
      </c>
      <c r="E406">
        <v>0.846451026</v>
      </c>
      <c r="F406">
        <v>5069.4013809999997</v>
      </c>
      <c r="G406">
        <v>1</v>
      </c>
      <c r="H406">
        <v>395</v>
      </c>
      <c r="I406">
        <v>9.9974689950000002</v>
      </c>
      <c r="J406">
        <v>0.46899999999999997</v>
      </c>
      <c r="K406">
        <f t="shared" si="6"/>
        <v>3</v>
      </c>
      <c r="N406">
        <v>3.5</v>
      </c>
      <c r="O406">
        <v>4</v>
      </c>
    </row>
    <row r="407" spans="1:15" x14ac:dyDescent="0.25">
      <c r="A407" t="s">
        <v>1832</v>
      </c>
      <c r="B407">
        <v>9003514400</v>
      </c>
      <c r="C407" t="s">
        <v>1833</v>
      </c>
      <c r="D407">
        <v>4768</v>
      </c>
      <c r="E407">
        <v>0.94892292899999997</v>
      </c>
      <c r="F407">
        <v>5024.6441020000002</v>
      </c>
      <c r="G407">
        <v>1</v>
      </c>
      <c r="H407">
        <v>573</v>
      </c>
      <c r="I407">
        <v>13.30392384</v>
      </c>
      <c r="J407">
        <v>0.63</v>
      </c>
      <c r="K407">
        <f t="shared" si="6"/>
        <v>4</v>
      </c>
      <c r="N407">
        <v>4</v>
      </c>
      <c r="O407">
        <v>4</v>
      </c>
    </row>
    <row r="408" spans="1:15" x14ac:dyDescent="0.25">
      <c r="A408" t="s">
        <v>1834</v>
      </c>
      <c r="B408">
        <v>9003514500</v>
      </c>
      <c r="C408" t="s">
        <v>1835</v>
      </c>
      <c r="D408">
        <v>4364</v>
      </c>
      <c r="E408">
        <v>1.0321395310000001</v>
      </c>
      <c r="F408">
        <v>4228.1105109999999</v>
      </c>
      <c r="G408">
        <v>1</v>
      </c>
      <c r="H408">
        <v>1066</v>
      </c>
      <c r="I408">
        <v>23.13870198</v>
      </c>
      <c r="J408">
        <v>0.85099999999999998</v>
      </c>
      <c r="K408">
        <f t="shared" si="6"/>
        <v>5</v>
      </c>
      <c r="N408">
        <v>4.5</v>
      </c>
      <c r="O408">
        <v>5</v>
      </c>
    </row>
    <row r="409" spans="1:15" x14ac:dyDescent="0.25">
      <c r="A409" t="s">
        <v>1836</v>
      </c>
      <c r="B409">
        <v>9003514600</v>
      </c>
      <c r="C409" t="s">
        <v>1837</v>
      </c>
      <c r="D409">
        <v>5261</v>
      </c>
      <c r="E409">
        <v>0.82816484099999998</v>
      </c>
      <c r="F409">
        <v>6352.6000379999996</v>
      </c>
      <c r="G409">
        <v>1</v>
      </c>
      <c r="H409">
        <v>1065</v>
      </c>
      <c r="I409">
        <v>20.37887486</v>
      </c>
      <c r="J409">
        <v>0.8</v>
      </c>
      <c r="K409">
        <f t="shared" si="6"/>
        <v>5</v>
      </c>
      <c r="N409">
        <v>4</v>
      </c>
      <c r="O409">
        <v>4</v>
      </c>
    </row>
    <row r="410" spans="1:15" x14ac:dyDescent="0.25">
      <c r="A410" t="s">
        <v>1838</v>
      </c>
      <c r="B410">
        <v>9003514700</v>
      </c>
      <c r="C410" t="s">
        <v>1839</v>
      </c>
      <c r="D410">
        <v>4298</v>
      </c>
      <c r="E410">
        <v>0.53397776399999997</v>
      </c>
      <c r="F410">
        <v>8049.0243099999998</v>
      </c>
      <c r="G410">
        <v>1</v>
      </c>
      <c r="H410">
        <v>1199</v>
      </c>
      <c r="I410">
        <v>26.608965820000002</v>
      </c>
      <c r="J410">
        <v>0.89100000000000001</v>
      </c>
      <c r="K410">
        <f t="shared" si="6"/>
        <v>5</v>
      </c>
      <c r="N410">
        <v>5</v>
      </c>
      <c r="O410">
        <v>5</v>
      </c>
    </row>
    <row r="411" spans="1:15" x14ac:dyDescent="0.25">
      <c r="A411" t="s">
        <v>1840</v>
      </c>
      <c r="B411">
        <v>9003514800</v>
      </c>
      <c r="C411" t="s">
        <v>1841</v>
      </c>
      <c r="D411">
        <v>3485</v>
      </c>
      <c r="E411">
        <v>0.53186462599999995</v>
      </c>
      <c r="F411">
        <v>6552.4192190000003</v>
      </c>
      <c r="G411">
        <v>1</v>
      </c>
      <c r="H411">
        <v>1117</v>
      </c>
      <c r="I411">
        <v>34.337534580000003</v>
      </c>
      <c r="J411">
        <v>0.96599999999999997</v>
      </c>
      <c r="K411">
        <f t="shared" si="6"/>
        <v>5</v>
      </c>
      <c r="N411">
        <v>4.5</v>
      </c>
      <c r="O411">
        <v>5</v>
      </c>
    </row>
    <row r="412" spans="1:15" x14ac:dyDescent="0.25">
      <c r="A412" t="s">
        <v>1842</v>
      </c>
      <c r="B412">
        <v>9003514900</v>
      </c>
      <c r="C412" t="s">
        <v>1843</v>
      </c>
      <c r="D412">
        <v>2881</v>
      </c>
      <c r="E412">
        <v>1.369123332</v>
      </c>
      <c r="F412">
        <v>2104.2662359999999</v>
      </c>
      <c r="G412">
        <v>1</v>
      </c>
      <c r="H412">
        <v>251</v>
      </c>
      <c r="I412">
        <v>9.0093323759999997</v>
      </c>
      <c r="J412">
        <v>0.434</v>
      </c>
      <c r="K412">
        <f t="shared" si="6"/>
        <v>3</v>
      </c>
      <c r="N412">
        <v>3.5</v>
      </c>
      <c r="O412">
        <v>4</v>
      </c>
    </row>
    <row r="413" spans="1:15" x14ac:dyDescent="0.25">
      <c r="A413" t="s">
        <v>1844</v>
      </c>
      <c r="B413">
        <v>9003515000</v>
      </c>
      <c r="C413" t="s">
        <v>1845</v>
      </c>
      <c r="D413">
        <v>2923</v>
      </c>
      <c r="E413">
        <v>2.2469996000000001</v>
      </c>
      <c r="F413">
        <v>1300.8458029999999</v>
      </c>
      <c r="G413">
        <v>1</v>
      </c>
      <c r="H413">
        <v>409</v>
      </c>
      <c r="I413">
        <v>13.287849250000001</v>
      </c>
      <c r="J413">
        <v>0.63400000000000001</v>
      </c>
      <c r="K413">
        <f t="shared" si="6"/>
        <v>4</v>
      </c>
      <c r="N413">
        <v>3</v>
      </c>
      <c r="O413">
        <v>3</v>
      </c>
    </row>
    <row r="414" spans="1:15" x14ac:dyDescent="0.25">
      <c r="A414" t="s">
        <v>1846</v>
      </c>
      <c r="B414">
        <v>9003515101</v>
      </c>
      <c r="C414" t="s">
        <v>1847</v>
      </c>
      <c r="D414">
        <v>2555</v>
      </c>
      <c r="E414">
        <v>1.1288797479999999</v>
      </c>
      <c r="F414">
        <v>2263.3057290000002</v>
      </c>
      <c r="G414">
        <v>1</v>
      </c>
      <c r="H414">
        <v>291</v>
      </c>
      <c r="I414">
        <v>11.81965881</v>
      </c>
      <c r="J414">
        <v>0.56999999999999995</v>
      </c>
      <c r="K414">
        <f t="shared" si="6"/>
        <v>3</v>
      </c>
      <c r="N414">
        <v>3.5</v>
      </c>
      <c r="O414">
        <v>4</v>
      </c>
    </row>
    <row r="415" spans="1:15" x14ac:dyDescent="0.25">
      <c r="A415" t="s">
        <v>1848</v>
      </c>
      <c r="B415">
        <v>9003515102</v>
      </c>
      <c r="C415" t="s">
        <v>1849</v>
      </c>
      <c r="D415">
        <v>5866</v>
      </c>
      <c r="E415">
        <v>5.5487720410000003</v>
      </c>
      <c r="F415">
        <v>1057.17084</v>
      </c>
      <c r="G415">
        <v>1</v>
      </c>
      <c r="H415">
        <v>1897</v>
      </c>
      <c r="I415">
        <v>31.2984656</v>
      </c>
      <c r="J415">
        <v>0.94399999999999995</v>
      </c>
      <c r="K415">
        <f t="shared" si="6"/>
        <v>5</v>
      </c>
      <c r="N415">
        <v>4.5</v>
      </c>
      <c r="O415">
        <v>5</v>
      </c>
    </row>
    <row r="416" spans="1:15" x14ac:dyDescent="0.25">
      <c r="A416" t="s">
        <v>1850</v>
      </c>
      <c r="B416">
        <v>9003515200</v>
      </c>
      <c r="C416" t="s">
        <v>1851</v>
      </c>
      <c r="D416">
        <v>3416</v>
      </c>
      <c r="E416">
        <v>4.4139115699999998</v>
      </c>
      <c r="F416">
        <v>773.91672800000003</v>
      </c>
      <c r="G416">
        <v>1</v>
      </c>
      <c r="H416">
        <v>458</v>
      </c>
      <c r="I416">
        <v>14.7314249</v>
      </c>
      <c r="J416">
        <v>0.66</v>
      </c>
      <c r="K416">
        <f t="shared" si="6"/>
        <v>4</v>
      </c>
      <c r="N416">
        <v>3</v>
      </c>
      <c r="O416">
        <v>3</v>
      </c>
    </row>
    <row r="417" spans="1:15" x14ac:dyDescent="0.25">
      <c r="A417" t="s">
        <v>1852</v>
      </c>
      <c r="B417">
        <v>9003520100</v>
      </c>
      <c r="C417" t="s">
        <v>1853</v>
      </c>
      <c r="D417">
        <v>5830</v>
      </c>
      <c r="E417">
        <v>5.6104333300000002</v>
      </c>
      <c r="F417">
        <v>1039.135421</v>
      </c>
      <c r="G417">
        <v>1</v>
      </c>
      <c r="H417">
        <v>858</v>
      </c>
      <c r="I417">
        <v>14.429868819999999</v>
      </c>
      <c r="J417">
        <v>0.65500000000000003</v>
      </c>
      <c r="K417">
        <f t="shared" si="6"/>
        <v>4</v>
      </c>
      <c r="N417">
        <v>2.5</v>
      </c>
      <c r="O417">
        <v>3</v>
      </c>
    </row>
    <row r="418" spans="1:15" x14ac:dyDescent="0.25">
      <c r="A418" t="s">
        <v>1854</v>
      </c>
      <c r="B418">
        <v>9003520201</v>
      </c>
      <c r="C418" t="s">
        <v>1855</v>
      </c>
      <c r="D418">
        <v>3739</v>
      </c>
      <c r="E418">
        <v>11.83297065</v>
      </c>
      <c r="F418">
        <v>315.9815155</v>
      </c>
      <c r="G418">
        <v>1</v>
      </c>
      <c r="H418">
        <v>635</v>
      </c>
      <c r="I418">
        <v>17.580287930000001</v>
      </c>
      <c r="J418">
        <v>0.74199999999999999</v>
      </c>
      <c r="K418">
        <f t="shared" si="6"/>
        <v>4</v>
      </c>
      <c r="N418">
        <v>2.5</v>
      </c>
      <c r="O418">
        <v>3</v>
      </c>
    </row>
    <row r="419" spans="1:15" x14ac:dyDescent="0.25">
      <c r="A419" t="s">
        <v>1856</v>
      </c>
      <c r="B419">
        <v>9003520202</v>
      </c>
      <c r="C419" t="s">
        <v>1857</v>
      </c>
      <c r="D419">
        <v>4280</v>
      </c>
      <c r="E419">
        <v>13.60132325</v>
      </c>
      <c r="F419">
        <v>314.67526520000001</v>
      </c>
      <c r="G419">
        <v>1</v>
      </c>
      <c r="H419">
        <v>315</v>
      </c>
      <c r="I419">
        <v>7.9325107030000002</v>
      </c>
      <c r="J419">
        <v>0.35799999999999998</v>
      </c>
      <c r="K419">
        <f t="shared" si="6"/>
        <v>2</v>
      </c>
      <c r="N419">
        <v>1.5</v>
      </c>
      <c r="O419">
        <v>2</v>
      </c>
    </row>
    <row r="420" spans="1:15" x14ac:dyDescent="0.25">
      <c r="A420" t="s">
        <v>1858</v>
      </c>
      <c r="B420">
        <v>9003520301</v>
      </c>
      <c r="C420" t="s">
        <v>1859</v>
      </c>
      <c r="D420">
        <v>4578</v>
      </c>
      <c r="E420">
        <v>2.8692349149999998</v>
      </c>
      <c r="F420">
        <v>1595.547292</v>
      </c>
      <c r="G420">
        <v>1</v>
      </c>
      <c r="H420">
        <v>756</v>
      </c>
      <c r="I420">
        <v>17.244525549999999</v>
      </c>
      <c r="J420">
        <v>0.72599999999999998</v>
      </c>
      <c r="K420">
        <f t="shared" si="6"/>
        <v>4</v>
      </c>
      <c r="N420">
        <v>3.5</v>
      </c>
      <c r="O420">
        <v>4</v>
      </c>
    </row>
    <row r="421" spans="1:15" x14ac:dyDescent="0.25">
      <c r="A421" t="s">
        <v>1860</v>
      </c>
      <c r="B421">
        <v>9003520302</v>
      </c>
      <c r="C421" t="s">
        <v>1861</v>
      </c>
      <c r="D421">
        <v>3877</v>
      </c>
      <c r="E421">
        <v>3.1484601470000002</v>
      </c>
      <c r="F421">
        <v>1231.3956089999999</v>
      </c>
      <c r="G421">
        <v>1</v>
      </c>
      <c r="H421">
        <v>938</v>
      </c>
      <c r="I421">
        <v>22.50479846</v>
      </c>
      <c r="J421">
        <v>0.85099999999999998</v>
      </c>
      <c r="K421">
        <f t="shared" si="6"/>
        <v>5</v>
      </c>
      <c r="N421">
        <v>4.5</v>
      </c>
      <c r="O421">
        <v>5</v>
      </c>
    </row>
    <row r="422" spans="1:15" x14ac:dyDescent="0.25">
      <c r="A422" t="s">
        <v>1862</v>
      </c>
      <c r="B422">
        <v>9003520400</v>
      </c>
      <c r="C422" t="s">
        <v>1863</v>
      </c>
      <c r="D422">
        <v>7718</v>
      </c>
      <c r="E422">
        <v>6.981616131</v>
      </c>
      <c r="F422">
        <v>1105.4747</v>
      </c>
      <c r="G422">
        <v>1</v>
      </c>
      <c r="H422">
        <v>936</v>
      </c>
      <c r="I422">
        <v>11.463563990000001</v>
      </c>
      <c r="J422">
        <v>0.55600000000000005</v>
      </c>
      <c r="K422">
        <f t="shared" si="6"/>
        <v>3</v>
      </c>
      <c r="N422">
        <v>2</v>
      </c>
      <c r="O422">
        <v>2</v>
      </c>
    </row>
    <row r="423" spans="1:15" x14ac:dyDescent="0.25">
      <c r="A423" t="s">
        <v>1864</v>
      </c>
      <c r="B423">
        <v>9003520501</v>
      </c>
      <c r="C423" t="s">
        <v>1865</v>
      </c>
      <c r="D423">
        <v>4405</v>
      </c>
      <c r="E423">
        <v>7.225800274</v>
      </c>
      <c r="F423">
        <v>609.62105689999999</v>
      </c>
      <c r="G423">
        <v>1</v>
      </c>
      <c r="H423">
        <v>514</v>
      </c>
      <c r="I423">
        <v>11.9036591</v>
      </c>
      <c r="J423">
        <v>0.58299999999999996</v>
      </c>
      <c r="K423">
        <f t="shared" si="6"/>
        <v>3</v>
      </c>
      <c r="N423">
        <v>2</v>
      </c>
      <c r="O423">
        <v>2</v>
      </c>
    </row>
    <row r="424" spans="1:15" x14ac:dyDescent="0.25">
      <c r="A424" t="s">
        <v>1866</v>
      </c>
      <c r="B424">
        <v>9003524100</v>
      </c>
      <c r="C424" t="s">
        <v>1867</v>
      </c>
      <c r="D424">
        <v>6404</v>
      </c>
      <c r="E424">
        <v>23.351148729999998</v>
      </c>
      <c r="F424">
        <v>274.24775</v>
      </c>
      <c r="G424">
        <v>1</v>
      </c>
      <c r="H424">
        <v>114</v>
      </c>
      <c r="I424">
        <v>1.7902010049999999</v>
      </c>
      <c r="J424">
        <v>2.4E-2</v>
      </c>
      <c r="K424">
        <f t="shared" si="6"/>
        <v>1</v>
      </c>
      <c r="N424">
        <v>1.5</v>
      </c>
      <c r="O424">
        <v>2</v>
      </c>
    </row>
    <row r="425" spans="1:15" x14ac:dyDescent="0.25">
      <c r="A425" t="s">
        <v>1868</v>
      </c>
      <c r="B425">
        <v>9003524200</v>
      </c>
      <c r="C425" t="s">
        <v>1869</v>
      </c>
      <c r="D425">
        <v>6144</v>
      </c>
      <c r="E425">
        <v>4.4684600860000003</v>
      </c>
      <c r="F425">
        <v>1374.970321</v>
      </c>
      <c r="G425">
        <v>1</v>
      </c>
      <c r="H425">
        <v>800</v>
      </c>
      <c r="I425">
        <v>12.490242</v>
      </c>
      <c r="J425">
        <v>0.6</v>
      </c>
      <c r="K425">
        <f t="shared" si="6"/>
        <v>4</v>
      </c>
      <c r="N425">
        <v>3</v>
      </c>
      <c r="O425">
        <v>3</v>
      </c>
    </row>
    <row r="426" spans="1:15" x14ac:dyDescent="0.25">
      <c r="A426" t="s">
        <v>1870</v>
      </c>
      <c r="B426">
        <v>9003524300</v>
      </c>
      <c r="C426" t="s">
        <v>1871</v>
      </c>
      <c r="D426">
        <v>7291</v>
      </c>
      <c r="E426">
        <v>5.0719875920000002</v>
      </c>
      <c r="F426">
        <v>1437.5035170000001</v>
      </c>
      <c r="G426">
        <v>1</v>
      </c>
      <c r="H426">
        <v>1074</v>
      </c>
      <c r="I426">
        <v>16.607391369999998</v>
      </c>
      <c r="J426">
        <v>0.71199999999999997</v>
      </c>
      <c r="K426">
        <f t="shared" si="6"/>
        <v>4</v>
      </c>
      <c r="N426">
        <v>3.5</v>
      </c>
      <c r="O426">
        <v>4</v>
      </c>
    </row>
    <row r="427" spans="1:15" x14ac:dyDescent="0.25">
      <c r="A427" t="s">
        <v>1872</v>
      </c>
      <c r="B427">
        <v>9003524400</v>
      </c>
      <c r="C427" t="s">
        <v>1873</v>
      </c>
      <c r="D427">
        <v>3057</v>
      </c>
      <c r="E427">
        <v>1.061308006</v>
      </c>
      <c r="F427">
        <v>2880.407933</v>
      </c>
      <c r="G427">
        <v>1</v>
      </c>
      <c r="H427">
        <v>726</v>
      </c>
      <c r="I427">
        <v>21.756068320000001</v>
      </c>
      <c r="J427">
        <v>0.83399999999999996</v>
      </c>
      <c r="K427">
        <f t="shared" si="6"/>
        <v>5</v>
      </c>
      <c r="N427">
        <v>5</v>
      </c>
      <c r="O427">
        <v>5</v>
      </c>
    </row>
    <row r="428" spans="1:15" x14ac:dyDescent="0.25">
      <c r="A428" t="s">
        <v>1874</v>
      </c>
      <c r="B428">
        <v>9003524501</v>
      </c>
      <c r="C428" t="s">
        <v>1875</v>
      </c>
      <c r="D428">
        <v>2704</v>
      </c>
      <c r="E428">
        <v>0.16307527299999999</v>
      </c>
      <c r="F428">
        <v>16581.299859999999</v>
      </c>
      <c r="G428">
        <v>1</v>
      </c>
      <c r="H428">
        <v>1005</v>
      </c>
      <c r="I428">
        <v>40.007961780000002</v>
      </c>
      <c r="J428">
        <v>0.98699999999999999</v>
      </c>
      <c r="K428">
        <f t="shared" si="6"/>
        <v>5</v>
      </c>
      <c r="N428">
        <v>5</v>
      </c>
      <c r="O428">
        <v>5</v>
      </c>
    </row>
    <row r="429" spans="1:15" x14ac:dyDescent="0.25">
      <c r="A429" t="s">
        <v>1876</v>
      </c>
      <c r="B429">
        <v>9003524502</v>
      </c>
      <c r="C429" t="s">
        <v>1877</v>
      </c>
      <c r="D429">
        <v>2158</v>
      </c>
      <c r="E429">
        <v>0.65855787700000001</v>
      </c>
      <c r="F429">
        <v>3276.8570140000002</v>
      </c>
      <c r="G429">
        <v>1</v>
      </c>
      <c r="H429">
        <v>430</v>
      </c>
      <c r="I429">
        <v>20.934761439999999</v>
      </c>
      <c r="J429">
        <v>0.81599999999999995</v>
      </c>
      <c r="K429">
        <f t="shared" si="6"/>
        <v>5</v>
      </c>
      <c r="N429">
        <v>5</v>
      </c>
      <c r="O429">
        <v>5</v>
      </c>
    </row>
    <row r="430" spans="1:15" x14ac:dyDescent="0.25">
      <c r="A430" t="s">
        <v>1878</v>
      </c>
      <c r="B430">
        <v>9003524600</v>
      </c>
      <c r="C430" t="s">
        <v>1879</v>
      </c>
      <c r="D430">
        <v>3311</v>
      </c>
      <c r="E430">
        <v>0.49609303199999999</v>
      </c>
      <c r="F430">
        <v>6674.1513910000003</v>
      </c>
      <c r="G430">
        <v>1</v>
      </c>
      <c r="H430">
        <v>1018</v>
      </c>
      <c r="I430">
        <v>33.798140770000003</v>
      </c>
      <c r="J430">
        <v>0.95699999999999996</v>
      </c>
      <c r="K430">
        <f t="shared" si="6"/>
        <v>5</v>
      </c>
      <c r="N430">
        <v>5</v>
      </c>
      <c r="O430">
        <v>5</v>
      </c>
    </row>
    <row r="431" spans="1:15" x14ac:dyDescent="0.25">
      <c r="A431" t="s">
        <v>1880</v>
      </c>
      <c r="B431">
        <v>9003524700</v>
      </c>
      <c r="C431" t="s">
        <v>1881</v>
      </c>
      <c r="D431">
        <v>3624</v>
      </c>
      <c r="E431">
        <v>0.68990126600000001</v>
      </c>
      <c r="F431">
        <v>5252.925569</v>
      </c>
      <c r="G431">
        <v>1</v>
      </c>
      <c r="H431">
        <v>1037</v>
      </c>
      <c r="I431">
        <v>29.552579080000001</v>
      </c>
      <c r="J431">
        <v>0.93100000000000005</v>
      </c>
      <c r="K431">
        <f t="shared" si="6"/>
        <v>5</v>
      </c>
      <c r="N431">
        <v>4.5</v>
      </c>
      <c r="O431">
        <v>5</v>
      </c>
    </row>
    <row r="432" spans="1:15" x14ac:dyDescent="0.25">
      <c r="A432" t="s">
        <v>1882</v>
      </c>
      <c r="B432">
        <v>9005250100</v>
      </c>
      <c r="C432" t="s">
        <v>1883</v>
      </c>
      <c r="D432">
        <v>1727</v>
      </c>
      <c r="E432">
        <v>16.395230399999999</v>
      </c>
      <c r="F432">
        <v>105.3355127</v>
      </c>
      <c r="G432">
        <v>2</v>
      </c>
      <c r="H432">
        <v>96</v>
      </c>
      <c r="I432">
        <v>5.6239015820000002</v>
      </c>
      <c r="J432">
        <v>0.23799999999999999</v>
      </c>
      <c r="K432">
        <f t="shared" si="6"/>
        <v>2</v>
      </c>
      <c r="N432">
        <v>2</v>
      </c>
      <c r="O432">
        <v>2</v>
      </c>
    </row>
    <row r="433" spans="1:15" x14ac:dyDescent="0.25">
      <c r="A433" t="s">
        <v>1884</v>
      </c>
      <c r="B433">
        <v>9005253100</v>
      </c>
      <c r="C433" t="s">
        <v>1885</v>
      </c>
      <c r="D433">
        <v>3511</v>
      </c>
      <c r="E433">
        <v>1.9580449790000001</v>
      </c>
      <c r="F433">
        <v>1793.11509</v>
      </c>
      <c r="G433">
        <v>1</v>
      </c>
      <c r="H433">
        <v>532</v>
      </c>
      <c r="I433">
        <v>15.53284672</v>
      </c>
      <c r="J433">
        <v>0.68700000000000006</v>
      </c>
      <c r="K433">
        <f t="shared" si="6"/>
        <v>4</v>
      </c>
      <c r="N433">
        <v>4.5</v>
      </c>
      <c r="O433">
        <v>5</v>
      </c>
    </row>
    <row r="434" spans="1:15" x14ac:dyDescent="0.25">
      <c r="A434" t="s">
        <v>1886</v>
      </c>
      <c r="B434">
        <v>9005253200</v>
      </c>
      <c r="C434" t="s">
        <v>1887</v>
      </c>
      <c r="D434">
        <v>7429</v>
      </c>
      <c r="E434">
        <v>11.942436409999999</v>
      </c>
      <c r="F434">
        <v>622.06736909999995</v>
      </c>
      <c r="G434">
        <v>1</v>
      </c>
      <c r="H434">
        <v>880</v>
      </c>
      <c r="I434">
        <v>12.77769711</v>
      </c>
      <c r="J434">
        <v>0.63</v>
      </c>
      <c r="K434">
        <f t="shared" si="6"/>
        <v>4</v>
      </c>
      <c r="N434">
        <v>3</v>
      </c>
      <c r="O434">
        <v>3</v>
      </c>
    </row>
    <row r="435" spans="1:15" x14ac:dyDescent="0.25">
      <c r="A435" t="s">
        <v>1888</v>
      </c>
      <c r="B435">
        <v>9005253300</v>
      </c>
      <c r="C435" t="s">
        <v>1889</v>
      </c>
      <c r="D435">
        <v>2215</v>
      </c>
      <c r="E435">
        <v>2.5342464910000002</v>
      </c>
      <c r="F435">
        <v>874.02705619999995</v>
      </c>
      <c r="G435">
        <v>1</v>
      </c>
      <c r="H435">
        <v>214</v>
      </c>
      <c r="I435">
        <v>10.15662079</v>
      </c>
      <c r="J435">
        <v>0.50600000000000001</v>
      </c>
      <c r="K435">
        <f t="shared" si="6"/>
        <v>3</v>
      </c>
      <c r="N435">
        <v>2.5</v>
      </c>
      <c r="O435">
        <v>3</v>
      </c>
    </row>
    <row r="436" spans="1:15" x14ac:dyDescent="0.25">
      <c r="A436" t="s">
        <v>1890</v>
      </c>
      <c r="B436">
        <v>9005253400</v>
      </c>
      <c r="C436" t="s">
        <v>1891</v>
      </c>
      <c r="D436">
        <v>6308</v>
      </c>
      <c r="E436">
        <v>14.40645555</v>
      </c>
      <c r="F436">
        <v>437.85926230000001</v>
      </c>
      <c r="G436">
        <v>1</v>
      </c>
      <c r="H436">
        <v>323</v>
      </c>
      <c r="I436">
        <v>5.3046477249999997</v>
      </c>
      <c r="J436">
        <v>0.215</v>
      </c>
      <c r="K436">
        <f t="shared" si="6"/>
        <v>2</v>
      </c>
      <c r="N436">
        <v>2</v>
      </c>
      <c r="O436">
        <v>2</v>
      </c>
    </row>
    <row r="437" spans="1:15" x14ac:dyDescent="0.25">
      <c r="A437" t="s">
        <v>1892</v>
      </c>
      <c r="B437">
        <v>9005253500</v>
      </c>
      <c r="C437" t="s">
        <v>1893</v>
      </c>
      <c r="D437">
        <v>6114</v>
      </c>
      <c r="E437">
        <v>26.564693349999999</v>
      </c>
      <c r="F437">
        <v>230.155113</v>
      </c>
      <c r="G437">
        <v>1</v>
      </c>
      <c r="H437">
        <v>936</v>
      </c>
      <c r="I437">
        <v>16.252821669999999</v>
      </c>
      <c r="J437">
        <v>0.70599999999999996</v>
      </c>
      <c r="K437">
        <f t="shared" si="6"/>
        <v>4</v>
      </c>
      <c r="N437">
        <v>3</v>
      </c>
      <c r="O437">
        <v>3</v>
      </c>
    </row>
    <row r="438" spans="1:15" x14ac:dyDescent="0.25">
      <c r="A438" t="s">
        <v>1894</v>
      </c>
      <c r="B438">
        <v>9005253600</v>
      </c>
      <c r="C438" t="s">
        <v>1895</v>
      </c>
      <c r="D438">
        <v>2565</v>
      </c>
      <c r="E438">
        <v>4.1601061469999996</v>
      </c>
      <c r="F438">
        <v>616.57080589999998</v>
      </c>
      <c r="G438">
        <v>1</v>
      </c>
      <c r="H438">
        <v>367</v>
      </c>
      <c r="I438">
        <v>13.36002912</v>
      </c>
      <c r="J438">
        <v>0.64900000000000002</v>
      </c>
      <c r="K438">
        <f t="shared" si="6"/>
        <v>4</v>
      </c>
      <c r="N438">
        <v>4</v>
      </c>
      <c r="O438">
        <v>4</v>
      </c>
    </row>
    <row r="439" spans="1:15" x14ac:dyDescent="0.25">
      <c r="A439" t="s">
        <v>1896</v>
      </c>
      <c r="B439">
        <v>9005260200</v>
      </c>
      <c r="C439" t="s">
        <v>1897</v>
      </c>
      <c r="D439">
        <v>3315</v>
      </c>
      <c r="E439">
        <v>19.466365870000001</v>
      </c>
      <c r="F439">
        <v>170.2937273</v>
      </c>
      <c r="G439">
        <v>5</v>
      </c>
      <c r="H439">
        <v>162</v>
      </c>
      <c r="I439">
        <v>4.9375190489999996</v>
      </c>
      <c r="J439">
        <v>0.193</v>
      </c>
      <c r="K439">
        <f t="shared" si="6"/>
        <v>1</v>
      </c>
      <c r="N439">
        <v>3.3333333330000001</v>
      </c>
      <c r="O439">
        <v>4</v>
      </c>
    </row>
    <row r="440" spans="1:15" x14ac:dyDescent="0.25">
      <c r="A440" t="s">
        <v>1898</v>
      </c>
      <c r="B440">
        <v>9005261100</v>
      </c>
      <c r="C440" t="s">
        <v>1899</v>
      </c>
      <c r="D440">
        <v>3741</v>
      </c>
      <c r="E440">
        <v>57.241788769999999</v>
      </c>
      <c r="F440">
        <v>65.354351789999996</v>
      </c>
      <c r="G440">
        <v>5</v>
      </c>
      <c r="H440">
        <v>126</v>
      </c>
      <c r="I440">
        <v>3.4758620690000002</v>
      </c>
      <c r="J440">
        <v>0.113</v>
      </c>
      <c r="K440">
        <f t="shared" si="6"/>
        <v>1</v>
      </c>
      <c r="N440">
        <v>3</v>
      </c>
      <c r="O440">
        <v>3</v>
      </c>
    </row>
    <row r="441" spans="1:15" x14ac:dyDescent="0.25">
      <c r="A441" t="s">
        <v>1900</v>
      </c>
      <c r="B441">
        <v>9005262100</v>
      </c>
      <c r="C441" t="s">
        <v>1901</v>
      </c>
      <c r="D441">
        <v>2782</v>
      </c>
      <c r="E441">
        <v>58.76519235</v>
      </c>
      <c r="F441">
        <v>47.340949440000003</v>
      </c>
      <c r="G441">
        <v>5</v>
      </c>
      <c r="H441">
        <v>127</v>
      </c>
      <c r="I441">
        <v>4.7037037039999996</v>
      </c>
      <c r="J441">
        <v>0.17100000000000001</v>
      </c>
      <c r="K441">
        <f t="shared" si="6"/>
        <v>1</v>
      </c>
      <c r="N441">
        <v>3</v>
      </c>
      <c r="O441">
        <v>3</v>
      </c>
    </row>
    <row r="442" spans="1:15" x14ac:dyDescent="0.25">
      <c r="A442" t="s">
        <v>1902</v>
      </c>
      <c r="B442">
        <v>9005263200</v>
      </c>
      <c r="C442" t="s">
        <v>1903</v>
      </c>
      <c r="D442">
        <v>1420</v>
      </c>
      <c r="E442">
        <v>46.060997970000003</v>
      </c>
      <c r="F442">
        <v>30.828685060000002</v>
      </c>
      <c r="G442">
        <v>5</v>
      </c>
      <c r="H442">
        <v>109</v>
      </c>
      <c r="I442">
        <v>8.4430673899999995</v>
      </c>
      <c r="J442">
        <v>0.40799999999999997</v>
      </c>
      <c r="K442">
        <f t="shared" si="6"/>
        <v>3</v>
      </c>
      <c r="N442">
        <v>3.6666666669999999</v>
      </c>
      <c r="O442">
        <v>4</v>
      </c>
    </row>
    <row r="443" spans="1:15" x14ac:dyDescent="0.25">
      <c r="A443" t="s">
        <v>1904</v>
      </c>
      <c r="B443">
        <v>9005265100</v>
      </c>
      <c r="C443" t="s">
        <v>1905</v>
      </c>
      <c r="D443">
        <v>1461</v>
      </c>
      <c r="E443">
        <v>26.30879023</v>
      </c>
      <c r="F443">
        <v>55.532770110000001</v>
      </c>
      <c r="G443">
        <v>2</v>
      </c>
      <c r="H443">
        <v>51</v>
      </c>
      <c r="I443">
        <v>3.5003431709999999</v>
      </c>
      <c r="J443">
        <v>0.114</v>
      </c>
      <c r="K443">
        <f t="shared" si="6"/>
        <v>1</v>
      </c>
      <c r="N443">
        <v>1.5</v>
      </c>
      <c r="O443">
        <v>2</v>
      </c>
    </row>
    <row r="444" spans="1:15" x14ac:dyDescent="0.25">
      <c r="A444" t="s">
        <v>1906</v>
      </c>
      <c r="B444">
        <v>9005266100</v>
      </c>
      <c r="C444" t="s">
        <v>1907</v>
      </c>
      <c r="D444">
        <v>2979</v>
      </c>
      <c r="E444">
        <v>48.550055829999998</v>
      </c>
      <c r="F444">
        <v>61.359352710000003</v>
      </c>
      <c r="G444">
        <v>5</v>
      </c>
      <c r="H444">
        <v>226</v>
      </c>
      <c r="I444">
        <v>8.0743122540000005</v>
      </c>
      <c r="J444">
        <v>0.36599999999999999</v>
      </c>
      <c r="K444">
        <f t="shared" si="6"/>
        <v>2</v>
      </c>
      <c r="N444">
        <v>3.3333333330000001</v>
      </c>
      <c r="O444">
        <v>4</v>
      </c>
    </row>
    <row r="445" spans="1:15" x14ac:dyDescent="0.25">
      <c r="A445" t="s">
        <v>1908</v>
      </c>
      <c r="B445">
        <v>9005267100</v>
      </c>
      <c r="C445" t="s">
        <v>1909</v>
      </c>
      <c r="D445">
        <v>3578</v>
      </c>
      <c r="E445">
        <v>38.070548979999998</v>
      </c>
      <c r="F445">
        <v>93.983409649999999</v>
      </c>
      <c r="G445">
        <v>5</v>
      </c>
      <c r="H445">
        <v>309</v>
      </c>
      <c r="I445">
        <v>8.9565217389999994</v>
      </c>
      <c r="J445">
        <v>0.44</v>
      </c>
      <c r="K445">
        <f t="shared" si="6"/>
        <v>3</v>
      </c>
      <c r="N445">
        <v>3.3333333330000001</v>
      </c>
      <c r="O445">
        <v>4</v>
      </c>
    </row>
    <row r="446" spans="1:15" x14ac:dyDescent="0.25">
      <c r="A446" t="s">
        <v>1910</v>
      </c>
      <c r="B446">
        <v>9005268100</v>
      </c>
      <c r="C446" t="s">
        <v>1911</v>
      </c>
      <c r="D446">
        <v>2262</v>
      </c>
      <c r="E446">
        <v>26.30168364</v>
      </c>
      <c r="F446">
        <v>86.002099000000001</v>
      </c>
      <c r="G446">
        <v>5</v>
      </c>
      <c r="H446">
        <v>74</v>
      </c>
      <c r="I446">
        <v>3.5154394299999998</v>
      </c>
      <c r="J446">
        <v>0.115</v>
      </c>
      <c r="K446">
        <f t="shared" si="6"/>
        <v>1</v>
      </c>
      <c r="N446">
        <v>2.3333333330000001</v>
      </c>
      <c r="O446">
        <v>3</v>
      </c>
    </row>
    <row r="447" spans="1:15" x14ac:dyDescent="0.25">
      <c r="A447" t="s">
        <v>1912</v>
      </c>
      <c r="B447">
        <v>9005290100</v>
      </c>
      <c r="C447" t="s">
        <v>1913</v>
      </c>
      <c r="D447">
        <v>3799</v>
      </c>
      <c r="E447">
        <v>36.25374789</v>
      </c>
      <c r="F447">
        <v>104.78916580000001</v>
      </c>
      <c r="G447">
        <v>2</v>
      </c>
      <c r="H447">
        <v>199</v>
      </c>
      <c r="I447">
        <v>5.4535489180000001</v>
      </c>
      <c r="J447">
        <v>0.224</v>
      </c>
      <c r="K447">
        <f t="shared" si="6"/>
        <v>2</v>
      </c>
      <c r="N447">
        <v>2</v>
      </c>
      <c r="O447">
        <v>2</v>
      </c>
    </row>
    <row r="448" spans="1:15" x14ac:dyDescent="0.25">
      <c r="A448" t="s">
        <v>1914</v>
      </c>
      <c r="B448">
        <v>9005293100</v>
      </c>
      <c r="C448" t="s">
        <v>1915</v>
      </c>
      <c r="D448">
        <v>1485</v>
      </c>
      <c r="E448">
        <v>31.531427170000001</v>
      </c>
      <c r="F448">
        <v>47.095870159999997</v>
      </c>
      <c r="G448">
        <v>3</v>
      </c>
      <c r="H448">
        <v>31</v>
      </c>
      <c r="I448">
        <v>2.0889487870000001</v>
      </c>
      <c r="J448">
        <v>3.4000000000000002E-2</v>
      </c>
      <c r="K448">
        <f t="shared" si="6"/>
        <v>1</v>
      </c>
      <c r="N448">
        <v>2</v>
      </c>
      <c r="O448">
        <v>2</v>
      </c>
    </row>
    <row r="449" spans="1:15" x14ac:dyDescent="0.25">
      <c r="A449" t="s">
        <v>1916</v>
      </c>
      <c r="B449">
        <v>9005296100</v>
      </c>
      <c r="C449" t="s">
        <v>1917</v>
      </c>
      <c r="D449">
        <v>2976</v>
      </c>
      <c r="E449">
        <v>43.631416049999999</v>
      </c>
      <c r="F449">
        <v>68.207733540000007</v>
      </c>
      <c r="G449">
        <v>5</v>
      </c>
      <c r="H449">
        <v>250</v>
      </c>
      <c r="I449">
        <v>8.6715227190000004</v>
      </c>
      <c r="J449">
        <v>0.42099999999999999</v>
      </c>
      <c r="K449">
        <f t="shared" si="6"/>
        <v>3</v>
      </c>
      <c r="N449">
        <v>3.6666666669999999</v>
      </c>
      <c r="O449">
        <v>4</v>
      </c>
    </row>
    <row r="450" spans="1:15" x14ac:dyDescent="0.25">
      <c r="A450" t="s">
        <v>1918</v>
      </c>
      <c r="B450">
        <v>9005298300</v>
      </c>
      <c r="C450" t="s">
        <v>1919</v>
      </c>
      <c r="D450">
        <v>2767</v>
      </c>
      <c r="E450">
        <v>6.7376254250000001</v>
      </c>
      <c r="F450">
        <v>410.67881119999998</v>
      </c>
      <c r="G450">
        <v>2</v>
      </c>
      <c r="H450">
        <v>43</v>
      </c>
      <c r="I450">
        <v>1.6494054469999999</v>
      </c>
      <c r="J450">
        <v>1.2999999999999999E-2</v>
      </c>
      <c r="K450">
        <f t="shared" si="6"/>
        <v>1</v>
      </c>
      <c r="N450">
        <v>2</v>
      </c>
      <c r="O450">
        <v>2</v>
      </c>
    </row>
    <row r="451" spans="1:15" x14ac:dyDescent="0.25">
      <c r="A451" t="s">
        <v>1920</v>
      </c>
      <c r="B451">
        <v>9005298400</v>
      </c>
      <c r="C451" t="s">
        <v>1921</v>
      </c>
      <c r="D451">
        <v>2875</v>
      </c>
      <c r="E451">
        <v>24.05547748</v>
      </c>
      <c r="F451">
        <v>119.5153995</v>
      </c>
      <c r="G451">
        <v>2</v>
      </c>
      <c r="H451">
        <v>56</v>
      </c>
      <c r="I451">
        <v>1.9656019659999999</v>
      </c>
      <c r="J451">
        <v>2.5999999999999999E-2</v>
      </c>
      <c r="K451">
        <f t="shared" ref="K451:K514" si="7">IF(J451&lt;0.2,1,IF(J451&lt;0.4,2,IF(J451&lt;0.6,3,IF(J451&lt;0.8,4,5))))</f>
        <v>1</v>
      </c>
      <c r="N451">
        <v>1.5</v>
      </c>
      <c r="O451">
        <v>2</v>
      </c>
    </row>
    <row r="452" spans="1:15" x14ac:dyDescent="0.25">
      <c r="A452" t="s">
        <v>1922</v>
      </c>
      <c r="B452">
        <v>9005300100</v>
      </c>
      <c r="C452" t="s">
        <v>1923</v>
      </c>
      <c r="D452">
        <v>2716</v>
      </c>
      <c r="E452">
        <v>21.181598139999998</v>
      </c>
      <c r="F452">
        <v>128.22450799999999</v>
      </c>
      <c r="G452">
        <v>3</v>
      </c>
      <c r="H452">
        <v>106</v>
      </c>
      <c r="I452">
        <v>4.7533632289999996</v>
      </c>
      <c r="J452">
        <v>0.16300000000000001</v>
      </c>
      <c r="K452">
        <f t="shared" si="7"/>
        <v>1</v>
      </c>
      <c r="N452">
        <v>2</v>
      </c>
      <c r="O452">
        <v>2</v>
      </c>
    </row>
    <row r="453" spans="1:15" x14ac:dyDescent="0.25">
      <c r="A453" t="s">
        <v>1924</v>
      </c>
      <c r="B453">
        <v>9005300400</v>
      </c>
      <c r="C453" t="s">
        <v>1925</v>
      </c>
      <c r="D453">
        <v>2074</v>
      </c>
      <c r="E453">
        <v>11.66278956</v>
      </c>
      <c r="F453">
        <v>177.8305259</v>
      </c>
      <c r="G453">
        <v>2</v>
      </c>
      <c r="H453">
        <v>109</v>
      </c>
      <c r="I453">
        <v>5.4364089780000002</v>
      </c>
      <c r="J453">
        <v>0.20899999999999999</v>
      </c>
      <c r="K453">
        <f t="shared" si="7"/>
        <v>2</v>
      </c>
      <c r="N453">
        <v>2.5</v>
      </c>
      <c r="O453">
        <v>3</v>
      </c>
    </row>
    <row r="454" spans="1:15" x14ac:dyDescent="0.25">
      <c r="A454" t="s">
        <v>1926</v>
      </c>
      <c r="B454">
        <v>9005300500</v>
      </c>
      <c r="C454" t="s">
        <v>1927</v>
      </c>
      <c r="D454">
        <v>3676</v>
      </c>
      <c r="E454">
        <v>23.254267200000001</v>
      </c>
      <c r="F454">
        <v>158.07851389999999</v>
      </c>
      <c r="G454">
        <v>2</v>
      </c>
      <c r="H454">
        <v>161</v>
      </c>
      <c r="I454">
        <v>4.1155419220000002</v>
      </c>
      <c r="J454">
        <v>0.13700000000000001</v>
      </c>
      <c r="K454">
        <f t="shared" si="7"/>
        <v>1</v>
      </c>
      <c r="N454">
        <v>2</v>
      </c>
      <c r="O454">
        <v>2</v>
      </c>
    </row>
    <row r="455" spans="1:15" x14ac:dyDescent="0.25">
      <c r="A455" t="s">
        <v>1928</v>
      </c>
      <c r="B455">
        <v>9005303100</v>
      </c>
      <c r="C455" t="s">
        <v>1929</v>
      </c>
      <c r="D455">
        <v>2388</v>
      </c>
      <c r="E455">
        <v>17.346009330000001</v>
      </c>
      <c r="F455">
        <v>137.66855279999999</v>
      </c>
      <c r="G455">
        <v>2</v>
      </c>
      <c r="H455">
        <v>62</v>
      </c>
      <c r="I455">
        <v>2.8117913830000001</v>
      </c>
      <c r="J455">
        <v>5.2999999999999999E-2</v>
      </c>
      <c r="K455">
        <f t="shared" si="7"/>
        <v>1</v>
      </c>
      <c r="N455">
        <v>2</v>
      </c>
      <c r="O455">
        <v>2</v>
      </c>
    </row>
    <row r="456" spans="1:15" x14ac:dyDescent="0.25">
      <c r="A456" t="s">
        <v>1930</v>
      </c>
      <c r="B456">
        <v>9005306100</v>
      </c>
      <c r="C456" t="s">
        <v>1931</v>
      </c>
      <c r="D456">
        <v>6970</v>
      </c>
      <c r="E456">
        <v>37.037713689999997</v>
      </c>
      <c r="F456">
        <v>188.18656189999999</v>
      </c>
      <c r="G456">
        <v>2</v>
      </c>
      <c r="H456">
        <v>115</v>
      </c>
      <c r="I456">
        <v>1.715649709</v>
      </c>
      <c r="J456">
        <v>1.6E-2</v>
      </c>
      <c r="K456">
        <f t="shared" si="7"/>
        <v>1</v>
      </c>
      <c r="N456">
        <v>1.5</v>
      </c>
      <c r="O456">
        <v>2</v>
      </c>
    </row>
    <row r="457" spans="1:15" x14ac:dyDescent="0.25">
      <c r="A457" t="s">
        <v>1932</v>
      </c>
      <c r="B457">
        <v>9005310100</v>
      </c>
      <c r="C457" t="s">
        <v>1933</v>
      </c>
      <c r="D457">
        <v>4406</v>
      </c>
      <c r="E457">
        <v>1.30006278</v>
      </c>
      <c r="F457">
        <v>3389.0671029999999</v>
      </c>
      <c r="G457">
        <v>2</v>
      </c>
      <c r="H457">
        <v>427</v>
      </c>
      <c r="I457">
        <v>10.33898305</v>
      </c>
      <c r="J457">
        <v>0.48699999999999999</v>
      </c>
      <c r="K457">
        <f t="shared" si="7"/>
        <v>3</v>
      </c>
      <c r="N457">
        <v>4</v>
      </c>
      <c r="O457">
        <v>4</v>
      </c>
    </row>
    <row r="458" spans="1:15" x14ac:dyDescent="0.25">
      <c r="A458" t="s">
        <v>1934</v>
      </c>
      <c r="B458">
        <v>9005310200</v>
      </c>
      <c r="C458" t="s">
        <v>1935</v>
      </c>
      <c r="D458">
        <v>2929</v>
      </c>
      <c r="E458">
        <v>0.52899434300000003</v>
      </c>
      <c r="F458">
        <v>5536.9212159999997</v>
      </c>
      <c r="G458">
        <v>2</v>
      </c>
      <c r="H458">
        <v>203</v>
      </c>
      <c r="I458">
        <v>8.0747812250000006</v>
      </c>
      <c r="J458">
        <v>0.35299999999999998</v>
      </c>
      <c r="K458">
        <f t="shared" si="7"/>
        <v>2</v>
      </c>
      <c r="N458">
        <v>3.5</v>
      </c>
      <c r="O458">
        <v>4</v>
      </c>
    </row>
    <row r="459" spans="1:15" x14ac:dyDescent="0.25">
      <c r="A459" t="s">
        <v>1936</v>
      </c>
      <c r="B459">
        <v>9005310300</v>
      </c>
      <c r="C459" t="s">
        <v>1937</v>
      </c>
      <c r="D459">
        <v>1817</v>
      </c>
      <c r="E459">
        <v>0.37459748799999998</v>
      </c>
      <c r="F459">
        <v>4850.5397279999997</v>
      </c>
      <c r="G459">
        <v>2</v>
      </c>
      <c r="H459">
        <v>126</v>
      </c>
      <c r="I459">
        <v>7.7681874229999996</v>
      </c>
      <c r="J459">
        <v>0.33700000000000002</v>
      </c>
      <c r="K459">
        <f t="shared" si="7"/>
        <v>2</v>
      </c>
      <c r="N459">
        <v>3.5</v>
      </c>
      <c r="O459">
        <v>4</v>
      </c>
    </row>
    <row r="460" spans="1:15" x14ac:dyDescent="0.25">
      <c r="A460" t="s">
        <v>1938</v>
      </c>
      <c r="B460">
        <v>9005310400</v>
      </c>
      <c r="C460" t="s">
        <v>1939</v>
      </c>
      <c r="D460">
        <v>2644</v>
      </c>
      <c r="E460">
        <v>0.77931210500000003</v>
      </c>
      <c r="F460">
        <v>3392.7357000000002</v>
      </c>
      <c r="G460">
        <v>2</v>
      </c>
      <c r="H460">
        <v>293</v>
      </c>
      <c r="I460">
        <v>11.954304369999999</v>
      </c>
      <c r="J460">
        <v>0.57299999999999995</v>
      </c>
      <c r="K460">
        <f t="shared" si="7"/>
        <v>3</v>
      </c>
      <c r="N460">
        <v>3.5</v>
      </c>
      <c r="O460">
        <v>4</v>
      </c>
    </row>
    <row r="461" spans="1:15" x14ac:dyDescent="0.25">
      <c r="A461" t="s">
        <v>1940</v>
      </c>
      <c r="B461">
        <v>9005310500</v>
      </c>
      <c r="C461" t="s">
        <v>1941</v>
      </c>
      <c r="D461">
        <v>1806</v>
      </c>
      <c r="E461">
        <v>0.562329246</v>
      </c>
      <c r="F461">
        <v>3211.641599</v>
      </c>
      <c r="G461">
        <v>2</v>
      </c>
      <c r="H461">
        <v>77</v>
      </c>
      <c r="I461">
        <v>3.8790931990000002</v>
      </c>
      <c r="J461">
        <v>0.123</v>
      </c>
      <c r="K461">
        <f t="shared" si="7"/>
        <v>1</v>
      </c>
      <c r="N461">
        <v>3</v>
      </c>
      <c r="O461">
        <v>3</v>
      </c>
    </row>
    <row r="462" spans="1:15" x14ac:dyDescent="0.25">
      <c r="A462" t="s">
        <v>1942</v>
      </c>
      <c r="B462">
        <v>9005310601</v>
      </c>
      <c r="C462" t="s">
        <v>1943</v>
      </c>
      <c r="D462">
        <v>3740</v>
      </c>
      <c r="E462">
        <v>5.2423852929999999</v>
      </c>
      <c r="F462">
        <v>713.41570509999997</v>
      </c>
      <c r="G462">
        <v>2</v>
      </c>
      <c r="H462">
        <v>385</v>
      </c>
      <c r="I462">
        <v>10.58273777</v>
      </c>
      <c r="J462">
        <v>0.5</v>
      </c>
      <c r="K462">
        <f t="shared" si="7"/>
        <v>3</v>
      </c>
      <c r="N462">
        <v>3</v>
      </c>
      <c r="O462">
        <v>3</v>
      </c>
    </row>
    <row r="463" spans="1:15" x14ac:dyDescent="0.25">
      <c r="A463" t="s">
        <v>1944</v>
      </c>
      <c r="B463">
        <v>9005310602</v>
      </c>
      <c r="C463" t="s">
        <v>1945</v>
      </c>
      <c r="D463">
        <v>4605</v>
      </c>
      <c r="E463">
        <v>2.3671074920000001</v>
      </c>
      <c r="F463">
        <v>1945.4122870000001</v>
      </c>
      <c r="G463">
        <v>2</v>
      </c>
      <c r="H463">
        <v>103</v>
      </c>
      <c r="I463">
        <v>2.315126995</v>
      </c>
      <c r="J463">
        <v>0.03</v>
      </c>
      <c r="K463">
        <f t="shared" si="7"/>
        <v>1</v>
      </c>
      <c r="N463">
        <v>2.5</v>
      </c>
      <c r="O463">
        <v>3</v>
      </c>
    </row>
    <row r="464" spans="1:15" x14ac:dyDescent="0.25">
      <c r="A464" t="s">
        <v>1946</v>
      </c>
      <c r="B464">
        <v>9005310700</v>
      </c>
      <c r="C464" t="s">
        <v>1947</v>
      </c>
      <c r="D464">
        <v>4279</v>
      </c>
      <c r="E464">
        <v>19.314517670000001</v>
      </c>
      <c r="F464">
        <v>221.5431973</v>
      </c>
      <c r="G464">
        <v>2</v>
      </c>
      <c r="H464">
        <v>114</v>
      </c>
      <c r="I464">
        <v>2.9457364340000001</v>
      </c>
      <c r="J464">
        <v>5.1999999999999998E-2</v>
      </c>
      <c r="K464">
        <f t="shared" si="7"/>
        <v>1</v>
      </c>
      <c r="N464">
        <v>3</v>
      </c>
      <c r="O464">
        <v>3</v>
      </c>
    </row>
    <row r="465" spans="1:15" x14ac:dyDescent="0.25">
      <c r="A465" t="s">
        <v>1948</v>
      </c>
      <c r="B465">
        <v>9005310801</v>
      </c>
      <c r="C465" t="s">
        <v>1949</v>
      </c>
      <c r="D465">
        <v>2414</v>
      </c>
      <c r="E465">
        <v>1.583554055</v>
      </c>
      <c r="F465">
        <v>1524.4190699999999</v>
      </c>
      <c r="G465">
        <v>2</v>
      </c>
      <c r="H465">
        <v>233</v>
      </c>
      <c r="I465">
        <v>10.121633360000001</v>
      </c>
      <c r="J465">
        <v>0.47599999999999998</v>
      </c>
      <c r="K465">
        <f t="shared" si="7"/>
        <v>3</v>
      </c>
      <c r="N465">
        <v>4</v>
      </c>
      <c r="O465">
        <v>4</v>
      </c>
    </row>
    <row r="466" spans="1:15" x14ac:dyDescent="0.25">
      <c r="A466" t="s">
        <v>1950</v>
      </c>
      <c r="B466">
        <v>9005310803</v>
      </c>
      <c r="C466" t="s">
        <v>1951</v>
      </c>
      <c r="D466">
        <v>4826</v>
      </c>
      <c r="E466">
        <v>2.2926631319999999</v>
      </c>
      <c r="F466">
        <v>2104.975621</v>
      </c>
      <c r="G466">
        <v>2</v>
      </c>
      <c r="H466">
        <v>823</v>
      </c>
      <c r="I466">
        <v>17.544233640000002</v>
      </c>
      <c r="J466">
        <v>0.72499999999999998</v>
      </c>
      <c r="K466">
        <f t="shared" si="7"/>
        <v>4</v>
      </c>
      <c r="N466">
        <v>4.5</v>
      </c>
      <c r="O466">
        <v>5</v>
      </c>
    </row>
    <row r="467" spans="1:15" x14ac:dyDescent="0.25">
      <c r="A467" t="s">
        <v>1952</v>
      </c>
      <c r="B467">
        <v>9005310804</v>
      </c>
      <c r="C467" t="s">
        <v>1953</v>
      </c>
      <c r="D467">
        <v>2917</v>
      </c>
      <c r="E467">
        <v>5.4085895380000002</v>
      </c>
      <c r="F467">
        <v>539.32730140000001</v>
      </c>
      <c r="G467">
        <v>2</v>
      </c>
      <c r="H467">
        <v>237</v>
      </c>
      <c r="I467">
        <v>8.3538949589999998</v>
      </c>
      <c r="J467">
        <v>0.38100000000000001</v>
      </c>
      <c r="K467">
        <f t="shared" si="7"/>
        <v>2</v>
      </c>
      <c r="N467">
        <v>3.5</v>
      </c>
      <c r="O467">
        <v>4</v>
      </c>
    </row>
    <row r="468" spans="1:15" x14ac:dyDescent="0.25">
      <c r="A468" t="s">
        <v>1954</v>
      </c>
      <c r="B468">
        <v>9005320100</v>
      </c>
      <c r="C468" t="s">
        <v>1955</v>
      </c>
      <c r="D468">
        <v>6345</v>
      </c>
      <c r="E468">
        <v>9.8187308200000007</v>
      </c>
      <c r="F468">
        <v>646.21386570000004</v>
      </c>
      <c r="G468">
        <v>2</v>
      </c>
      <c r="H468">
        <v>211</v>
      </c>
      <c r="I468">
        <v>3.3679169990000002</v>
      </c>
      <c r="J468">
        <v>8.5999999999999993E-2</v>
      </c>
      <c r="K468">
        <f t="shared" si="7"/>
        <v>1</v>
      </c>
      <c r="N468">
        <v>3</v>
      </c>
      <c r="O468">
        <v>3</v>
      </c>
    </row>
    <row r="469" spans="1:15" x14ac:dyDescent="0.25">
      <c r="A469" t="s">
        <v>1956</v>
      </c>
      <c r="B469">
        <v>9005320200</v>
      </c>
      <c r="C469" t="s">
        <v>1957</v>
      </c>
      <c r="D469">
        <v>4897</v>
      </c>
      <c r="E469">
        <v>22.693433710000001</v>
      </c>
      <c r="F469">
        <v>215.7892923</v>
      </c>
      <c r="G469">
        <v>2</v>
      </c>
      <c r="H469">
        <v>517</v>
      </c>
      <c r="I469">
        <v>11.57894737</v>
      </c>
      <c r="J469">
        <v>0.54300000000000004</v>
      </c>
      <c r="K469">
        <f t="shared" si="7"/>
        <v>3</v>
      </c>
      <c r="N469">
        <v>3.5</v>
      </c>
      <c r="O469">
        <v>4</v>
      </c>
    </row>
    <row r="470" spans="1:15" x14ac:dyDescent="0.25">
      <c r="A470" t="s">
        <v>1958</v>
      </c>
      <c r="B470">
        <v>9005342100</v>
      </c>
      <c r="C470" t="s">
        <v>1959</v>
      </c>
      <c r="D470">
        <v>3607</v>
      </c>
      <c r="E470">
        <v>19.375040349999999</v>
      </c>
      <c r="F470">
        <v>186.1673543</v>
      </c>
      <c r="G470">
        <v>2</v>
      </c>
      <c r="H470">
        <v>287</v>
      </c>
      <c r="I470">
        <v>8.3600349549999997</v>
      </c>
      <c r="J470">
        <v>0.38200000000000001</v>
      </c>
      <c r="K470">
        <f t="shared" si="7"/>
        <v>2</v>
      </c>
      <c r="N470">
        <v>2</v>
      </c>
      <c r="O470">
        <v>2</v>
      </c>
    </row>
    <row r="471" spans="1:15" x14ac:dyDescent="0.25">
      <c r="A471" t="s">
        <v>1960</v>
      </c>
      <c r="B471">
        <v>9005349100</v>
      </c>
      <c r="C471" t="s">
        <v>1961</v>
      </c>
      <c r="D471">
        <v>5045</v>
      </c>
      <c r="E471">
        <v>8.4237648979999999</v>
      </c>
      <c r="F471">
        <v>598.90085509999994</v>
      </c>
      <c r="G471">
        <v>1</v>
      </c>
      <c r="H471">
        <v>88</v>
      </c>
      <c r="I471">
        <v>1.7374136229999999</v>
      </c>
      <c r="J471">
        <v>1.6E-2</v>
      </c>
      <c r="K471">
        <f t="shared" si="7"/>
        <v>1</v>
      </c>
      <c r="N471">
        <v>2</v>
      </c>
      <c r="O471">
        <v>2</v>
      </c>
    </row>
    <row r="472" spans="1:15" x14ac:dyDescent="0.25">
      <c r="A472" t="s">
        <v>1962</v>
      </c>
      <c r="B472">
        <v>9005349200</v>
      </c>
      <c r="C472" t="s">
        <v>1963</v>
      </c>
      <c r="D472">
        <v>2842</v>
      </c>
      <c r="E472">
        <v>3.544973954</v>
      </c>
      <c r="F472">
        <v>801.69841510000003</v>
      </c>
      <c r="G472">
        <v>1</v>
      </c>
      <c r="H472">
        <v>13</v>
      </c>
      <c r="I472">
        <v>0.51302288900000004</v>
      </c>
      <c r="J472">
        <v>0</v>
      </c>
      <c r="K472">
        <f t="shared" si="7"/>
        <v>1</v>
      </c>
      <c r="N472">
        <v>2</v>
      </c>
      <c r="O472">
        <v>2</v>
      </c>
    </row>
    <row r="473" spans="1:15" x14ac:dyDescent="0.25">
      <c r="A473" t="s">
        <v>1964</v>
      </c>
      <c r="B473">
        <v>9005360100</v>
      </c>
      <c r="C473" t="s">
        <v>1965</v>
      </c>
      <c r="D473">
        <v>5357</v>
      </c>
      <c r="E473">
        <v>3.6229426550000001</v>
      </c>
      <c r="F473">
        <v>1478.632292</v>
      </c>
      <c r="G473">
        <v>1</v>
      </c>
      <c r="H473">
        <v>421</v>
      </c>
      <c r="I473">
        <v>8.6965503000000002</v>
      </c>
      <c r="J473">
        <v>0.40200000000000002</v>
      </c>
      <c r="K473">
        <f t="shared" si="7"/>
        <v>3</v>
      </c>
      <c r="N473">
        <v>3.5</v>
      </c>
      <c r="O473">
        <v>4</v>
      </c>
    </row>
    <row r="474" spans="1:15" x14ac:dyDescent="0.25">
      <c r="A474" t="s">
        <v>1966</v>
      </c>
      <c r="B474">
        <v>9005360200</v>
      </c>
      <c r="C474" t="s">
        <v>1967</v>
      </c>
      <c r="D474">
        <v>7765</v>
      </c>
      <c r="E474">
        <v>21.102913990000001</v>
      </c>
      <c r="F474">
        <v>367.95866219999999</v>
      </c>
      <c r="G474">
        <v>1</v>
      </c>
      <c r="H474">
        <v>492</v>
      </c>
      <c r="I474">
        <v>6.1785759139999996</v>
      </c>
      <c r="J474">
        <v>0.24399999999999999</v>
      </c>
      <c r="K474">
        <f t="shared" si="7"/>
        <v>2</v>
      </c>
      <c r="N474">
        <v>2</v>
      </c>
      <c r="O474">
        <v>2</v>
      </c>
    </row>
    <row r="475" spans="1:15" x14ac:dyDescent="0.25">
      <c r="A475" t="s">
        <v>1968</v>
      </c>
      <c r="B475">
        <v>9005360300</v>
      </c>
      <c r="C475" t="s">
        <v>1969</v>
      </c>
      <c r="D475">
        <v>3396</v>
      </c>
      <c r="E475">
        <v>2.1952476230000002</v>
      </c>
      <c r="F475">
        <v>1546.978102</v>
      </c>
      <c r="G475">
        <v>1</v>
      </c>
      <c r="H475">
        <v>238</v>
      </c>
      <c r="I475">
        <v>7.3411474400000003</v>
      </c>
      <c r="J475">
        <v>0.307</v>
      </c>
      <c r="K475">
        <f t="shared" si="7"/>
        <v>2</v>
      </c>
      <c r="N475">
        <v>3</v>
      </c>
      <c r="O475">
        <v>3</v>
      </c>
    </row>
    <row r="476" spans="1:15" x14ac:dyDescent="0.25">
      <c r="A476" t="s">
        <v>1970</v>
      </c>
      <c r="B476">
        <v>9005360400</v>
      </c>
      <c r="C476" t="s">
        <v>1971</v>
      </c>
      <c r="D476">
        <v>5996</v>
      </c>
      <c r="E476">
        <v>2.0845907389999998</v>
      </c>
      <c r="F476">
        <v>2876.3439680000001</v>
      </c>
      <c r="G476">
        <v>1</v>
      </c>
      <c r="H476">
        <v>768</v>
      </c>
      <c r="I476">
        <v>13.46187555</v>
      </c>
      <c r="J476">
        <v>0.61699999999999999</v>
      </c>
      <c r="K476">
        <f t="shared" si="7"/>
        <v>4</v>
      </c>
      <c r="N476">
        <v>4</v>
      </c>
      <c r="O476">
        <v>4</v>
      </c>
    </row>
    <row r="477" spans="1:15" x14ac:dyDescent="0.25">
      <c r="A477" t="s">
        <v>1972</v>
      </c>
      <c r="B477">
        <v>9005362101</v>
      </c>
      <c r="C477" t="s">
        <v>1973</v>
      </c>
      <c r="D477">
        <v>4159</v>
      </c>
      <c r="E477">
        <v>9.998662156</v>
      </c>
      <c r="F477">
        <v>415.95564839999997</v>
      </c>
      <c r="G477">
        <v>1</v>
      </c>
      <c r="H477">
        <v>288</v>
      </c>
      <c r="I477">
        <v>6.855510593</v>
      </c>
      <c r="J477">
        <v>0.27500000000000002</v>
      </c>
      <c r="K477">
        <f t="shared" si="7"/>
        <v>2</v>
      </c>
      <c r="N477">
        <v>2.5</v>
      </c>
      <c r="O477">
        <v>3</v>
      </c>
    </row>
    <row r="478" spans="1:15" x14ac:dyDescent="0.25">
      <c r="A478" t="s">
        <v>1974</v>
      </c>
      <c r="B478">
        <v>9005362102</v>
      </c>
      <c r="C478" t="s">
        <v>1975</v>
      </c>
      <c r="D478">
        <v>5816</v>
      </c>
      <c r="E478">
        <v>26.400081</v>
      </c>
      <c r="F478">
        <v>220.30235429999999</v>
      </c>
      <c r="G478">
        <v>2</v>
      </c>
      <c r="H478">
        <v>207</v>
      </c>
      <c r="I478">
        <v>3.8612199220000001</v>
      </c>
      <c r="J478">
        <v>0.112</v>
      </c>
      <c r="K478">
        <f t="shared" si="7"/>
        <v>1</v>
      </c>
      <c r="N478">
        <v>1.5</v>
      </c>
      <c r="O478">
        <v>2</v>
      </c>
    </row>
    <row r="479" spans="1:15" x14ac:dyDescent="0.25">
      <c r="A479" t="s">
        <v>1976</v>
      </c>
      <c r="B479">
        <v>9005425300</v>
      </c>
      <c r="C479" t="s">
        <v>1977</v>
      </c>
      <c r="D479">
        <v>4107</v>
      </c>
      <c r="E479">
        <v>6.9832532040000004</v>
      </c>
      <c r="F479">
        <v>588.12130679999996</v>
      </c>
      <c r="G479">
        <v>1</v>
      </c>
      <c r="H479">
        <v>121</v>
      </c>
      <c r="I479">
        <v>3.0563273550000001</v>
      </c>
      <c r="J479">
        <v>5.3999999999999999E-2</v>
      </c>
      <c r="K479">
        <f t="shared" si="7"/>
        <v>1</v>
      </c>
      <c r="N479">
        <v>2</v>
      </c>
      <c r="O479">
        <v>2</v>
      </c>
    </row>
    <row r="480" spans="1:15" x14ac:dyDescent="0.25">
      <c r="A480" t="s">
        <v>1978</v>
      </c>
      <c r="B480">
        <v>9005425400</v>
      </c>
      <c r="C480" t="s">
        <v>1979</v>
      </c>
      <c r="D480">
        <v>4818</v>
      </c>
      <c r="E480">
        <v>13.116497450000001</v>
      </c>
      <c r="F480">
        <v>367.32367140000002</v>
      </c>
      <c r="G480">
        <v>1</v>
      </c>
      <c r="H480">
        <v>364</v>
      </c>
      <c r="I480">
        <v>7.7645051189999998</v>
      </c>
      <c r="J480">
        <v>0.32300000000000001</v>
      </c>
      <c r="K480">
        <f t="shared" si="7"/>
        <v>2</v>
      </c>
      <c r="N480">
        <v>2.5</v>
      </c>
      <c r="O480">
        <v>3</v>
      </c>
    </row>
    <row r="481" spans="1:15" x14ac:dyDescent="0.25">
      <c r="A481" t="s">
        <v>1980</v>
      </c>
      <c r="B481">
        <v>9005425500</v>
      </c>
      <c r="C481" t="s">
        <v>1981</v>
      </c>
      <c r="D481">
        <v>3318</v>
      </c>
      <c r="E481">
        <v>1.792592475</v>
      </c>
      <c r="F481">
        <v>1850.9505340000001</v>
      </c>
      <c r="G481">
        <v>1</v>
      </c>
      <c r="H481">
        <v>342</v>
      </c>
      <c r="I481">
        <v>11.161879900000001</v>
      </c>
      <c r="J481">
        <v>0.51</v>
      </c>
      <c r="K481">
        <f t="shared" si="7"/>
        <v>3</v>
      </c>
      <c r="N481">
        <v>3.5</v>
      </c>
      <c r="O481">
        <v>4</v>
      </c>
    </row>
    <row r="482" spans="1:15" x14ac:dyDescent="0.25">
      <c r="A482" t="s">
        <v>1982</v>
      </c>
      <c r="B482">
        <v>9005425600</v>
      </c>
      <c r="C482" t="s">
        <v>1983</v>
      </c>
      <c r="D482">
        <v>2943</v>
      </c>
      <c r="E482">
        <v>78.234308810000002</v>
      </c>
      <c r="F482">
        <v>37.617767000000001</v>
      </c>
      <c r="G482">
        <v>5</v>
      </c>
      <c r="H482">
        <v>147</v>
      </c>
      <c r="I482">
        <v>5.3049440639999998</v>
      </c>
      <c r="J482">
        <v>0.186</v>
      </c>
      <c r="K482">
        <f t="shared" si="7"/>
        <v>1</v>
      </c>
      <c r="N482">
        <v>3.3333333330000001</v>
      </c>
      <c r="O482">
        <v>4</v>
      </c>
    </row>
    <row r="483" spans="1:15" x14ac:dyDescent="0.25">
      <c r="A483" t="s">
        <v>1984</v>
      </c>
      <c r="B483">
        <v>9007541100</v>
      </c>
      <c r="C483" t="s">
        <v>1985</v>
      </c>
      <c r="D483">
        <v>2579</v>
      </c>
      <c r="E483">
        <v>0.60277383500000004</v>
      </c>
      <c r="F483">
        <v>4278.5533299999997</v>
      </c>
      <c r="G483">
        <v>1</v>
      </c>
      <c r="H483">
        <v>430</v>
      </c>
      <c r="I483">
        <v>19.53657428</v>
      </c>
      <c r="J483">
        <v>0.76</v>
      </c>
      <c r="K483">
        <f t="shared" si="7"/>
        <v>4</v>
      </c>
      <c r="N483">
        <v>4.5</v>
      </c>
      <c r="O483">
        <v>5</v>
      </c>
    </row>
    <row r="484" spans="1:15" x14ac:dyDescent="0.25">
      <c r="A484" t="s">
        <v>1986</v>
      </c>
      <c r="B484">
        <v>9007541200</v>
      </c>
      <c r="C484" t="s">
        <v>1987</v>
      </c>
      <c r="D484">
        <v>5190</v>
      </c>
      <c r="E484">
        <v>3.450725254</v>
      </c>
      <c r="F484">
        <v>1504.031651</v>
      </c>
      <c r="G484">
        <v>1</v>
      </c>
      <c r="H484">
        <v>779</v>
      </c>
      <c r="I484">
        <v>15.018315019999999</v>
      </c>
      <c r="J484">
        <v>0.63700000000000001</v>
      </c>
      <c r="K484">
        <f t="shared" si="7"/>
        <v>4</v>
      </c>
      <c r="N484">
        <v>4</v>
      </c>
      <c r="O484">
        <v>4</v>
      </c>
    </row>
    <row r="485" spans="1:15" x14ac:dyDescent="0.25">
      <c r="A485" t="s">
        <v>1988</v>
      </c>
      <c r="B485">
        <v>9007541300</v>
      </c>
      <c r="C485" t="s">
        <v>1989</v>
      </c>
      <c r="D485">
        <v>6207</v>
      </c>
      <c r="E485">
        <v>0.83243744799999997</v>
      </c>
      <c r="F485">
        <v>7456.4161160000003</v>
      </c>
      <c r="G485">
        <v>1</v>
      </c>
      <c r="H485">
        <v>1234</v>
      </c>
      <c r="I485">
        <v>19.900016130000001</v>
      </c>
      <c r="J485">
        <v>0.77100000000000002</v>
      </c>
      <c r="K485">
        <f t="shared" si="7"/>
        <v>4</v>
      </c>
      <c r="N485">
        <v>3.5</v>
      </c>
      <c r="O485">
        <v>4</v>
      </c>
    </row>
    <row r="486" spans="1:15" x14ac:dyDescent="0.25">
      <c r="A486" t="s">
        <v>1990</v>
      </c>
      <c r="B486">
        <v>9007541401</v>
      </c>
      <c r="C486" t="s">
        <v>1991</v>
      </c>
      <c r="D486">
        <v>3339</v>
      </c>
      <c r="E486">
        <v>8.6443307849999993</v>
      </c>
      <c r="F486">
        <v>386.26471880000003</v>
      </c>
      <c r="G486">
        <v>1</v>
      </c>
      <c r="H486">
        <v>235</v>
      </c>
      <c r="I486">
        <v>7.2530864199999998</v>
      </c>
      <c r="J486">
        <v>0.3</v>
      </c>
      <c r="K486">
        <f t="shared" si="7"/>
        <v>2</v>
      </c>
      <c r="N486">
        <v>1.5</v>
      </c>
      <c r="O486">
        <v>2</v>
      </c>
    </row>
    <row r="487" spans="1:15" x14ac:dyDescent="0.25">
      <c r="A487" t="s">
        <v>1992</v>
      </c>
      <c r="B487">
        <v>9007541402</v>
      </c>
      <c r="C487" t="s">
        <v>1993</v>
      </c>
      <c r="D487">
        <v>5479</v>
      </c>
      <c r="E487">
        <v>3.0580087630000001</v>
      </c>
      <c r="F487">
        <v>1791.6887830000001</v>
      </c>
      <c r="G487">
        <v>1</v>
      </c>
      <c r="H487">
        <v>446</v>
      </c>
      <c r="I487">
        <v>7.9120099340000003</v>
      </c>
      <c r="J487">
        <v>0.33</v>
      </c>
      <c r="K487">
        <f t="shared" si="7"/>
        <v>2</v>
      </c>
      <c r="N487">
        <v>3</v>
      </c>
      <c r="O487">
        <v>3</v>
      </c>
    </row>
    <row r="488" spans="1:15" x14ac:dyDescent="0.25">
      <c r="A488" t="s">
        <v>1994</v>
      </c>
      <c r="B488">
        <v>9007541500</v>
      </c>
      <c r="C488" t="s">
        <v>1995</v>
      </c>
      <c r="D488">
        <v>3227</v>
      </c>
      <c r="E488">
        <v>0.47237825</v>
      </c>
      <c r="F488">
        <v>6831.3898810000001</v>
      </c>
      <c r="G488">
        <v>1</v>
      </c>
      <c r="H488">
        <v>742</v>
      </c>
      <c r="I488">
        <v>21.933195390000002</v>
      </c>
      <c r="J488">
        <v>0.81899999999999995</v>
      </c>
      <c r="K488">
        <f t="shared" si="7"/>
        <v>5</v>
      </c>
      <c r="N488">
        <v>4.5</v>
      </c>
      <c r="O488">
        <v>5</v>
      </c>
    </row>
    <row r="489" spans="1:15" x14ac:dyDescent="0.25">
      <c r="A489" t="s">
        <v>1996</v>
      </c>
      <c r="B489">
        <v>9007541600</v>
      </c>
      <c r="C489" t="s">
        <v>1997</v>
      </c>
      <c r="D489">
        <v>1540</v>
      </c>
      <c r="E489">
        <v>0.253534765</v>
      </c>
      <c r="F489">
        <v>6074.1176759999998</v>
      </c>
      <c r="G489">
        <v>1</v>
      </c>
      <c r="H489">
        <v>273</v>
      </c>
      <c r="I489">
        <v>21.344800630000002</v>
      </c>
      <c r="J489">
        <v>0.80100000000000005</v>
      </c>
      <c r="K489">
        <f t="shared" si="7"/>
        <v>5</v>
      </c>
      <c r="N489">
        <v>5</v>
      </c>
      <c r="O489">
        <v>5</v>
      </c>
    </row>
    <row r="490" spans="1:15" x14ac:dyDescent="0.25">
      <c r="A490" t="s">
        <v>1998</v>
      </c>
      <c r="B490">
        <v>9007541700</v>
      </c>
      <c r="C490" t="s">
        <v>1999</v>
      </c>
      <c r="D490">
        <v>3740</v>
      </c>
      <c r="E490">
        <v>0.72545162399999996</v>
      </c>
      <c r="F490">
        <v>5155.4092339999997</v>
      </c>
      <c r="G490">
        <v>1</v>
      </c>
      <c r="H490">
        <v>434</v>
      </c>
      <c r="I490">
        <v>13.12367705</v>
      </c>
      <c r="J490">
        <v>0.61</v>
      </c>
      <c r="K490">
        <f t="shared" si="7"/>
        <v>4</v>
      </c>
      <c r="N490">
        <v>4.5</v>
      </c>
      <c r="O490">
        <v>5</v>
      </c>
    </row>
    <row r="491" spans="1:15" x14ac:dyDescent="0.25">
      <c r="A491" t="s">
        <v>2000</v>
      </c>
      <c r="B491">
        <v>9007542000</v>
      </c>
      <c r="C491" t="s">
        <v>2001</v>
      </c>
      <c r="D491">
        <v>4439</v>
      </c>
      <c r="E491">
        <v>1.5390384050000001</v>
      </c>
      <c r="F491">
        <v>2884.2685059999999</v>
      </c>
      <c r="G491">
        <v>1</v>
      </c>
      <c r="H491">
        <v>344</v>
      </c>
      <c r="I491">
        <v>8.4458629999999992</v>
      </c>
      <c r="J491">
        <v>0.376</v>
      </c>
      <c r="K491">
        <f t="shared" si="7"/>
        <v>2</v>
      </c>
      <c r="N491">
        <v>3</v>
      </c>
      <c r="O491">
        <v>3</v>
      </c>
    </row>
    <row r="492" spans="1:15" x14ac:dyDescent="0.25">
      <c r="A492" t="s">
        <v>2002</v>
      </c>
      <c r="B492">
        <v>9007542100</v>
      </c>
      <c r="C492" t="s">
        <v>2003</v>
      </c>
      <c r="D492">
        <v>3544</v>
      </c>
      <c r="E492">
        <v>1.8827156730000001</v>
      </c>
      <c r="F492">
        <v>1882.387262</v>
      </c>
      <c r="G492">
        <v>1</v>
      </c>
      <c r="H492">
        <v>510</v>
      </c>
      <c r="I492">
        <v>13.127413130000001</v>
      </c>
      <c r="J492">
        <v>0.61</v>
      </c>
      <c r="K492">
        <f t="shared" si="7"/>
        <v>4</v>
      </c>
      <c r="N492">
        <v>4.5</v>
      </c>
      <c r="O492">
        <v>5</v>
      </c>
    </row>
    <row r="493" spans="1:15" x14ac:dyDescent="0.25">
      <c r="A493" t="s">
        <v>2004</v>
      </c>
      <c r="B493">
        <v>9007542200</v>
      </c>
      <c r="C493" t="s">
        <v>2005</v>
      </c>
      <c r="D493">
        <v>1638</v>
      </c>
      <c r="E493">
        <v>1.4697029479999999</v>
      </c>
      <c r="F493">
        <v>1114.5109299999999</v>
      </c>
      <c r="G493">
        <v>1</v>
      </c>
      <c r="H493">
        <v>186</v>
      </c>
      <c r="I493">
        <v>11.204819280000001</v>
      </c>
      <c r="J493">
        <v>0.51600000000000001</v>
      </c>
      <c r="K493">
        <f t="shared" si="7"/>
        <v>3</v>
      </c>
      <c r="N493">
        <v>2.5</v>
      </c>
      <c r="O493">
        <v>3</v>
      </c>
    </row>
    <row r="494" spans="1:15" x14ac:dyDescent="0.25">
      <c r="A494" t="s">
        <v>2006</v>
      </c>
      <c r="B494">
        <v>9007550100</v>
      </c>
      <c r="C494" t="s">
        <v>2007</v>
      </c>
      <c r="D494">
        <v>5829</v>
      </c>
      <c r="E494">
        <v>12.646811489999999</v>
      </c>
      <c r="F494">
        <v>460.90668820000002</v>
      </c>
      <c r="G494">
        <v>2</v>
      </c>
      <c r="H494">
        <v>700</v>
      </c>
      <c r="I494">
        <v>12.341325810000001</v>
      </c>
      <c r="J494">
        <v>0.56899999999999995</v>
      </c>
      <c r="K494">
        <f t="shared" si="7"/>
        <v>3</v>
      </c>
      <c r="N494">
        <v>3</v>
      </c>
      <c r="O494">
        <v>3</v>
      </c>
    </row>
    <row r="495" spans="1:15" x14ac:dyDescent="0.25">
      <c r="A495" t="s">
        <v>2008</v>
      </c>
      <c r="B495">
        <v>9007550201</v>
      </c>
      <c r="C495" t="s">
        <v>2009</v>
      </c>
      <c r="D495">
        <v>3954</v>
      </c>
      <c r="E495">
        <v>12.384916840000001</v>
      </c>
      <c r="F495">
        <v>319.25930959999999</v>
      </c>
      <c r="G495">
        <v>2</v>
      </c>
      <c r="H495">
        <v>223</v>
      </c>
      <c r="I495">
        <v>5.6341586660000003</v>
      </c>
      <c r="J495">
        <v>0.214</v>
      </c>
      <c r="K495">
        <f t="shared" si="7"/>
        <v>2</v>
      </c>
      <c r="N495">
        <v>2</v>
      </c>
      <c r="O495">
        <v>2</v>
      </c>
    </row>
    <row r="496" spans="1:15" x14ac:dyDescent="0.25">
      <c r="A496" t="s">
        <v>2010</v>
      </c>
      <c r="B496">
        <v>9007550202</v>
      </c>
      <c r="C496" t="s">
        <v>2011</v>
      </c>
      <c r="D496">
        <v>3176</v>
      </c>
      <c r="E496">
        <v>10.618344949999999</v>
      </c>
      <c r="F496">
        <v>299.10499379999999</v>
      </c>
      <c r="G496">
        <v>2</v>
      </c>
      <c r="H496">
        <v>64</v>
      </c>
      <c r="I496">
        <v>2.001876759</v>
      </c>
      <c r="J496">
        <v>2.1000000000000001E-2</v>
      </c>
      <c r="K496">
        <f t="shared" si="7"/>
        <v>1</v>
      </c>
      <c r="N496">
        <v>2</v>
      </c>
      <c r="O496">
        <v>2</v>
      </c>
    </row>
    <row r="497" spans="1:15" x14ac:dyDescent="0.25">
      <c r="A497" t="s">
        <v>2012</v>
      </c>
      <c r="B497">
        <v>9007560100</v>
      </c>
      <c r="C497" t="s">
        <v>2013</v>
      </c>
      <c r="D497">
        <v>5816</v>
      </c>
      <c r="E497">
        <v>21.124519500000002</v>
      </c>
      <c r="F497">
        <v>275.31987179999999</v>
      </c>
      <c r="G497">
        <v>1</v>
      </c>
      <c r="H497">
        <v>148</v>
      </c>
      <c r="I497">
        <v>2.604258314</v>
      </c>
      <c r="J497">
        <v>2.7E-2</v>
      </c>
      <c r="K497">
        <f t="shared" si="7"/>
        <v>1</v>
      </c>
      <c r="N497">
        <v>1.5</v>
      </c>
      <c r="O497">
        <v>2</v>
      </c>
    </row>
    <row r="498" spans="1:15" x14ac:dyDescent="0.25">
      <c r="A498" t="s">
        <v>2014</v>
      </c>
      <c r="B498">
        <v>9007560200</v>
      </c>
      <c r="C498" t="s">
        <v>2015</v>
      </c>
      <c r="D498">
        <v>3692</v>
      </c>
      <c r="E498">
        <v>2.2257222809999999</v>
      </c>
      <c r="F498">
        <v>1658.787366</v>
      </c>
      <c r="G498">
        <v>1</v>
      </c>
      <c r="H498">
        <v>108</v>
      </c>
      <c r="I498">
        <v>2.9678483099999999</v>
      </c>
      <c r="J498">
        <v>4.4999999999999998E-2</v>
      </c>
      <c r="K498">
        <f t="shared" si="7"/>
        <v>1</v>
      </c>
      <c r="N498">
        <v>2.5</v>
      </c>
      <c r="O498">
        <v>3</v>
      </c>
    </row>
    <row r="499" spans="1:15" x14ac:dyDescent="0.25">
      <c r="A499" t="s">
        <v>2016</v>
      </c>
      <c r="B499">
        <v>9007570100</v>
      </c>
      <c r="C499" t="s">
        <v>2017</v>
      </c>
      <c r="D499">
        <v>4675</v>
      </c>
      <c r="E499">
        <v>3.9177922829999998</v>
      </c>
      <c r="F499">
        <v>1193.274085</v>
      </c>
      <c r="G499">
        <v>1</v>
      </c>
      <c r="H499">
        <v>389</v>
      </c>
      <c r="I499">
        <v>8.2206255279999993</v>
      </c>
      <c r="J499">
        <v>0.35699999999999998</v>
      </c>
      <c r="K499">
        <f t="shared" si="7"/>
        <v>2</v>
      </c>
      <c r="N499">
        <v>2</v>
      </c>
      <c r="O499">
        <v>2</v>
      </c>
    </row>
    <row r="500" spans="1:15" x14ac:dyDescent="0.25">
      <c r="A500" t="s">
        <v>2018</v>
      </c>
      <c r="B500">
        <v>9007570200</v>
      </c>
      <c r="C500" t="s">
        <v>2019</v>
      </c>
      <c r="D500">
        <v>3388</v>
      </c>
      <c r="E500">
        <v>2.4815196049999999</v>
      </c>
      <c r="F500">
        <v>1365.292457</v>
      </c>
      <c r="G500">
        <v>1</v>
      </c>
      <c r="H500">
        <v>214</v>
      </c>
      <c r="I500">
        <v>6.286721504</v>
      </c>
      <c r="J500">
        <v>0.248</v>
      </c>
      <c r="K500">
        <f t="shared" si="7"/>
        <v>2</v>
      </c>
      <c r="N500">
        <v>2</v>
      </c>
      <c r="O500">
        <v>2</v>
      </c>
    </row>
    <row r="501" spans="1:15" x14ac:dyDescent="0.25">
      <c r="A501" t="s">
        <v>2020</v>
      </c>
      <c r="B501">
        <v>9007570300</v>
      </c>
      <c r="C501" t="s">
        <v>2021</v>
      </c>
      <c r="D501">
        <v>5942</v>
      </c>
      <c r="E501">
        <v>6.0534519849999997</v>
      </c>
      <c r="F501">
        <v>981.58868930000006</v>
      </c>
      <c r="G501">
        <v>1</v>
      </c>
      <c r="H501">
        <v>338</v>
      </c>
      <c r="I501">
        <v>5.8538275029999998</v>
      </c>
      <c r="J501">
        <v>0.215</v>
      </c>
      <c r="K501">
        <f t="shared" si="7"/>
        <v>2</v>
      </c>
      <c r="N501">
        <v>3</v>
      </c>
      <c r="O501">
        <v>3</v>
      </c>
    </row>
    <row r="502" spans="1:15" x14ac:dyDescent="0.25">
      <c r="A502" t="s">
        <v>2022</v>
      </c>
      <c r="B502">
        <v>9007580100</v>
      </c>
      <c r="C502" t="s">
        <v>2023</v>
      </c>
      <c r="D502">
        <v>4425</v>
      </c>
      <c r="E502">
        <v>12.648591809999999</v>
      </c>
      <c r="F502">
        <v>349.8413157</v>
      </c>
      <c r="G502">
        <v>1</v>
      </c>
      <c r="H502">
        <v>133</v>
      </c>
      <c r="I502">
        <v>3.035836567</v>
      </c>
      <c r="J502">
        <v>4.5999999999999999E-2</v>
      </c>
      <c r="K502">
        <f t="shared" si="7"/>
        <v>1</v>
      </c>
      <c r="N502">
        <v>2</v>
      </c>
      <c r="O502">
        <v>2</v>
      </c>
    </row>
    <row r="503" spans="1:15" x14ac:dyDescent="0.25">
      <c r="A503" t="s">
        <v>2024</v>
      </c>
      <c r="B503">
        <v>9007585100</v>
      </c>
      <c r="C503" t="s">
        <v>2025</v>
      </c>
      <c r="D503">
        <v>7388</v>
      </c>
      <c r="E503">
        <v>23.65904437</v>
      </c>
      <c r="F503">
        <v>312.2695865</v>
      </c>
      <c r="G503">
        <v>1</v>
      </c>
      <c r="H503">
        <v>194</v>
      </c>
      <c r="I503">
        <v>2.686608503</v>
      </c>
      <c r="J503">
        <v>0.03</v>
      </c>
      <c r="K503">
        <f t="shared" si="7"/>
        <v>1</v>
      </c>
      <c r="N503">
        <v>1.5</v>
      </c>
      <c r="O503">
        <v>2</v>
      </c>
    </row>
    <row r="504" spans="1:15" x14ac:dyDescent="0.25">
      <c r="A504" t="s">
        <v>2026</v>
      </c>
      <c r="B504">
        <v>9007590100</v>
      </c>
      <c r="C504" t="s">
        <v>2027</v>
      </c>
      <c r="D504">
        <v>8346</v>
      </c>
      <c r="E504">
        <v>43.936902410000002</v>
      </c>
      <c r="F504">
        <v>189.9542194</v>
      </c>
      <c r="G504">
        <v>2</v>
      </c>
      <c r="H504">
        <v>405</v>
      </c>
      <c r="I504">
        <v>4.9228151210000002</v>
      </c>
      <c r="J504">
        <v>0.155</v>
      </c>
      <c r="K504">
        <f t="shared" si="7"/>
        <v>1</v>
      </c>
      <c r="N504">
        <v>1.5</v>
      </c>
      <c r="O504">
        <v>2</v>
      </c>
    </row>
    <row r="505" spans="1:15" x14ac:dyDescent="0.25">
      <c r="A505" t="s">
        <v>2028</v>
      </c>
      <c r="B505">
        <v>9007595101</v>
      </c>
      <c r="C505" t="s">
        <v>2029</v>
      </c>
      <c r="D505">
        <v>3697</v>
      </c>
      <c r="E505">
        <v>34.292008299999999</v>
      </c>
      <c r="F505">
        <v>107.8093755</v>
      </c>
      <c r="G505">
        <v>2</v>
      </c>
      <c r="H505">
        <v>126</v>
      </c>
      <c r="I505">
        <v>3.2583397980000002</v>
      </c>
      <c r="J505">
        <v>5.8999999999999997E-2</v>
      </c>
      <c r="K505">
        <f t="shared" si="7"/>
        <v>1</v>
      </c>
      <c r="N505">
        <v>1.5</v>
      </c>
      <c r="O505">
        <v>2</v>
      </c>
    </row>
    <row r="506" spans="1:15" x14ac:dyDescent="0.25">
      <c r="A506" t="s">
        <v>2030</v>
      </c>
      <c r="B506">
        <v>9007595102</v>
      </c>
      <c r="C506" t="s">
        <v>2031</v>
      </c>
      <c r="D506">
        <v>5429</v>
      </c>
      <c r="E506">
        <v>19.961304070000001</v>
      </c>
      <c r="F506">
        <v>271.9762187</v>
      </c>
      <c r="G506">
        <v>2</v>
      </c>
      <c r="H506">
        <v>269</v>
      </c>
      <c r="I506">
        <v>5.2334630349999998</v>
      </c>
      <c r="J506">
        <v>0.17499999999999999</v>
      </c>
      <c r="K506">
        <f t="shared" si="7"/>
        <v>1</v>
      </c>
      <c r="N506">
        <v>2</v>
      </c>
      <c r="O506">
        <v>2</v>
      </c>
    </row>
    <row r="507" spans="1:15" x14ac:dyDescent="0.25">
      <c r="A507" t="s">
        <v>2032</v>
      </c>
      <c r="B507">
        <v>9007600100</v>
      </c>
      <c r="C507" t="s">
        <v>2033</v>
      </c>
      <c r="D507">
        <v>3994</v>
      </c>
      <c r="E507">
        <v>16.051479390000001</v>
      </c>
      <c r="F507">
        <v>248.82441689999999</v>
      </c>
      <c r="G507">
        <v>1</v>
      </c>
      <c r="H507">
        <v>89</v>
      </c>
      <c r="I507">
        <v>2.1020311760000001</v>
      </c>
      <c r="J507">
        <v>2.1000000000000001E-2</v>
      </c>
      <c r="K507">
        <f t="shared" si="7"/>
        <v>1</v>
      </c>
      <c r="N507">
        <v>1.5</v>
      </c>
      <c r="O507">
        <v>2</v>
      </c>
    </row>
    <row r="508" spans="1:15" x14ac:dyDescent="0.25">
      <c r="A508" t="s">
        <v>2034</v>
      </c>
      <c r="B508">
        <v>9007610100</v>
      </c>
      <c r="C508" t="s">
        <v>2035</v>
      </c>
      <c r="D508">
        <v>2149</v>
      </c>
      <c r="E508">
        <v>2.0573913859999999</v>
      </c>
      <c r="F508">
        <v>1044.526586</v>
      </c>
      <c r="G508">
        <v>1</v>
      </c>
      <c r="H508">
        <v>103</v>
      </c>
      <c r="I508">
        <v>5.1784816490000001</v>
      </c>
      <c r="J508">
        <v>0.16300000000000001</v>
      </c>
      <c r="K508">
        <f t="shared" si="7"/>
        <v>1</v>
      </c>
      <c r="N508">
        <v>2</v>
      </c>
      <c r="O508">
        <v>2</v>
      </c>
    </row>
    <row r="509" spans="1:15" x14ac:dyDescent="0.25">
      <c r="A509" t="s">
        <v>2036</v>
      </c>
      <c r="B509">
        <v>9007610200</v>
      </c>
      <c r="C509" t="s">
        <v>2037</v>
      </c>
      <c r="D509">
        <v>3513</v>
      </c>
      <c r="E509">
        <v>3.1804645429999998</v>
      </c>
      <c r="F509">
        <v>1104.555625</v>
      </c>
      <c r="G509">
        <v>1</v>
      </c>
      <c r="H509">
        <v>273</v>
      </c>
      <c r="I509">
        <v>7.5082508250000002</v>
      </c>
      <c r="J509">
        <v>0.28699999999999998</v>
      </c>
      <c r="K509">
        <f t="shared" si="7"/>
        <v>2</v>
      </c>
      <c r="N509">
        <v>3</v>
      </c>
      <c r="O509">
        <v>3</v>
      </c>
    </row>
    <row r="510" spans="1:15" x14ac:dyDescent="0.25">
      <c r="A510" t="s">
        <v>2038</v>
      </c>
      <c r="B510">
        <v>9007610300</v>
      </c>
      <c r="C510" t="s">
        <v>2039</v>
      </c>
      <c r="D510">
        <v>4212</v>
      </c>
      <c r="E510">
        <v>6.3282208259999999</v>
      </c>
      <c r="F510">
        <v>665.58992109999997</v>
      </c>
      <c r="G510">
        <v>1</v>
      </c>
      <c r="H510">
        <v>224</v>
      </c>
      <c r="I510">
        <v>5.3794428429999996</v>
      </c>
      <c r="J510">
        <v>0.17399999999999999</v>
      </c>
      <c r="K510">
        <f t="shared" si="7"/>
        <v>1</v>
      </c>
      <c r="N510">
        <v>2</v>
      </c>
      <c r="O510">
        <v>2</v>
      </c>
    </row>
    <row r="511" spans="1:15" x14ac:dyDescent="0.25">
      <c r="A511" t="s">
        <v>2040</v>
      </c>
      <c r="B511">
        <v>9007610400</v>
      </c>
      <c r="C511" t="s">
        <v>2041</v>
      </c>
      <c r="D511">
        <v>3386</v>
      </c>
      <c r="E511">
        <v>4.6407655170000002</v>
      </c>
      <c r="F511">
        <v>729.6210049</v>
      </c>
      <c r="G511">
        <v>1</v>
      </c>
      <c r="H511">
        <v>99</v>
      </c>
      <c r="I511">
        <v>3.1378763869999999</v>
      </c>
      <c r="J511">
        <v>4.1000000000000002E-2</v>
      </c>
      <c r="K511">
        <f t="shared" si="7"/>
        <v>1</v>
      </c>
      <c r="N511">
        <v>1.5</v>
      </c>
      <c r="O511">
        <v>2</v>
      </c>
    </row>
    <row r="512" spans="1:15" x14ac:dyDescent="0.25">
      <c r="A512" t="s">
        <v>2042</v>
      </c>
      <c r="B512">
        <v>9007620100</v>
      </c>
      <c r="C512" t="s">
        <v>2043</v>
      </c>
      <c r="D512">
        <v>4629</v>
      </c>
      <c r="E512">
        <v>13.513561839999999</v>
      </c>
      <c r="F512">
        <v>342.54477500000002</v>
      </c>
      <c r="G512">
        <v>1</v>
      </c>
      <c r="H512">
        <v>244</v>
      </c>
      <c r="I512">
        <v>5.4464285710000002</v>
      </c>
      <c r="J512">
        <v>0.17499999999999999</v>
      </c>
      <c r="K512">
        <f t="shared" si="7"/>
        <v>1</v>
      </c>
      <c r="N512">
        <v>2</v>
      </c>
      <c r="O512">
        <v>2</v>
      </c>
    </row>
    <row r="513" spans="1:15" x14ac:dyDescent="0.25">
      <c r="A513" t="s">
        <v>2044</v>
      </c>
      <c r="B513">
        <v>9007630100</v>
      </c>
      <c r="C513" t="s">
        <v>2045</v>
      </c>
      <c r="D513">
        <v>6683</v>
      </c>
      <c r="E513">
        <v>10.40243121</v>
      </c>
      <c r="F513">
        <v>642.44596920000004</v>
      </c>
      <c r="G513">
        <v>1</v>
      </c>
      <c r="H513">
        <v>563</v>
      </c>
      <c r="I513">
        <v>8.525136281</v>
      </c>
      <c r="J513">
        <v>0.35399999999999998</v>
      </c>
      <c r="K513">
        <f t="shared" si="7"/>
        <v>2</v>
      </c>
      <c r="N513">
        <v>2</v>
      </c>
      <c r="O513">
        <v>2</v>
      </c>
    </row>
    <row r="514" spans="1:15" x14ac:dyDescent="0.25">
      <c r="A514" t="s">
        <v>2046</v>
      </c>
      <c r="B514">
        <v>9007640100</v>
      </c>
      <c r="C514" t="s">
        <v>2047</v>
      </c>
      <c r="D514">
        <v>6525</v>
      </c>
      <c r="E514">
        <v>35.330880299999997</v>
      </c>
      <c r="F514">
        <v>184.68263300000001</v>
      </c>
      <c r="G514">
        <v>2</v>
      </c>
      <c r="H514">
        <v>175</v>
      </c>
      <c r="I514">
        <v>2.737797247</v>
      </c>
      <c r="J514">
        <v>2.8000000000000001E-2</v>
      </c>
      <c r="K514">
        <f t="shared" si="7"/>
        <v>1</v>
      </c>
      <c r="N514">
        <v>1.5</v>
      </c>
      <c r="O514">
        <v>2</v>
      </c>
    </row>
    <row r="515" spans="1:15" x14ac:dyDescent="0.25">
      <c r="A515" t="s">
        <v>2048</v>
      </c>
      <c r="B515">
        <v>9007670100</v>
      </c>
      <c r="C515" t="s">
        <v>2049</v>
      </c>
      <c r="D515">
        <v>4848</v>
      </c>
      <c r="E515">
        <v>9.7010839430000004</v>
      </c>
      <c r="F515">
        <v>499.73797039999999</v>
      </c>
      <c r="G515">
        <v>1</v>
      </c>
      <c r="H515">
        <v>372</v>
      </c>
      <c r="I515">
        <v>8.3091355819999997</v>
      </c>
      <c r="J515">
        <v>0.33400000000000002</v>
      </c>
      <c r="K515">
        <f t="shared" ref="K515:K578" si="8">IF(J515&lt;0.2,1,IF(J515&lt;0.4,2,IF(J515&lt;0.6,3,IF(J515&lt;0.8,4,5))))</f>
        <v>2</v>
      </c>
      <c r="N515">
        <v>2</v>
      </c>
      <c r="O515">
        <v>2</v>
      </c>
    </row>
    <row r="516" spans="1:15" x14ac:dyDescent="0.25">
      <c r="A516" t="s">
        <v>2050</v>
      </c>
      <c r="B516">
        <v>9007670200</v>
      </c>
      <c r="C516" t="s">
        <v>2051</v>
      </c>
      <c r="D516">
        <v>5394</v>
      </c>
      <c r="E516">
        <v>5.3429930949999997</v>
      </c>
      <c r="F516">
        <v>1009.546504</v>
      </c>
      <c r="G516">
        <v>1</v>
      </c>
      <c r="H516">
        <v>194</v>
      </c>
      <c r="I516">
        <v>3.4562622479999998</v>
      </c>
      <c r="J516">
        <v>7.0000000000000007E-2</v>
      </c>
      <c r="K516">
        <f t="shared" si="8"/>
        <v>1</v>
      </c>
      <c r="N516">
        <v>2</v>
      </c>
      <c r="O516">
        <v>2</v>
      </c>
    </row>
    <row r="517" spans="1:15" x14ac:dyDescent="0.25">
      <c r="A517" t="s">
        <v>2052</v>
      </c>
      <c r="B517">
        <v>9007680100</v>
      </c>
      <c r="C517" t="s">
        <v>2053</v>
      </c>
      <c r="D517">
        <v>6938</v>
      </c>
      <c r="E517">
        <v>15.78315845</v>
      </c>
      <c r="F517">
        <v>439.58248409999999</v>
      </c>
      <c r="G517">
        <v>1</v>
      </c>
      <c r="H517">
        <v>476</v>
      </c>
      <c r="I517">
        <v>6.8955526579999997</v>
      </c>
      <c r="J517">
        <v>0.24199999999999999</v>
      </c>
      <c r="K517">
        <f t="shared" si="8"/>
        <v>2</v>
      </c>
      <c r="N517">
        <v>2.5</v>
      </c>
      <c r="O517">
        <v>3</v>
      </c>
    </row>
    <row r="518" spans="1:15" x14ac:dyDescent="0.25">
      <c r="A518" t="s">
        <v>2054</v>
      </c>
      <c r="B518">
        <v>9007680200</v>
      </c>
      <c r="C518" t="s">
        <v>2055</v>
      </c>
      <c r="D518">
        <v>6726</v>
      </c>
      <c r="E518">
        <v>18.086957160000001</v>
      </c>
      <c r="F518">
        <v>371.8701792</v>
      </c>
      <c r="G518">
        <v>1</v>
      </c>
      <c r="H518">
        <v>512</v>
      </c>
      <c r="I518">
        <v>7.9281511299999998</v>
      </c>
      <c r="J518">
        <v>0.29799999999999999</v>
      </c>
      <c r="K518">
        <f t="shared" si="8"/>
        <v>2</v>
      </c>
      <c r="N518">
        <v>3</v>
      </c>
      <c r="O518">
        <v>3</v>
      </c>
    </row>
    <row r="519" spans="1:15" x14ac:dyDescent="0.25">
      <c r="A519" t="s">
        <v>2056</v>
      </c>
      <c r="B519">
        <v>9009120100</v>
      </c>
      <c r="C519" t="s">
        <v>2057</v>
      </c>
      <c r="D519">
        <v>6721</v>
      </c>
      <c r="E519">
        <v>2.3995018510000001</v>
      </c>
      <c r="F519">
        <v>2800.9980479999999</v>
      </c>
      <c r="G519">
        <v>1</v>
      </c>
      <c r="H519">
        <v>421</v>
      </c>
      <c r="I519">
        <v>6.750040083</v>
      </c>
      <c r="J519">
        <v>0.23699999999999999</v>
      </c>
      <c r="K519">
        <f t="shared" si="8"/>
        <v>2</v>
      </c>
      <c r="N519">
        <v>3</v>
      </c>
      <c r="O519">
        <v>3</v>
      </c>
    </row>
    <row r="520" spans="1:15" x14ac:dyDescent="0.25">
      <c r="A520" t="s">
        <v>2058</v>
      </c>
      <c r="B520">
        <v>9009120200</v>
      </c>
      <c r="C520" t="s">
        <v>2059</v>
      </c>
      <c r="D520">
        <v>6181</v>
      </c>
      <c r="E520">
        <v>2.6559709929999999</v>
      </c>
      <c r="F520">
        <v>2327.209151</v>
      </c>
      <c r="G520">
        <v>1</v>
      </c>
      <c r="H520">
        <v>1328</v>
      </c>
      <c r="I520">
        <v>21.254801539999999</v>
      </c>
      <c r="J520">
        <v>0.77700000000000002</v>
      </c>
      <c r="K520">
        <f t="shared" si="8"/>
        <v>4</v>
      </c>
      <c r="N520">
        <v>4.5</v>
      </c>
      <c r="O520">
        <v>5</v>
      </c>
    </row>
    <row r="521" spans="1:15" x14ac:dyDescent="0.25">
      <c r="A521" t="s">
        <v>2060</v>
      </c>
      <c r="B521">
        <v>9009125100</v>
      </c>
      <c r="C521" t="s">
        <v>2061</v>
      </c>
      <c r="D521">
        <v>4503</v>
      </c>
      <c r="E521">
        <v>1.6046062759999999</v>
      </c>
      <c r="F521">
        <v>2806.2958910000002</v>
      </c>
      <c r="G521">
        <v>1</v>
      </c>
      <c r="H521">
        <v>286</v>
      </c>
      <c r="I521">
        <v>5.8799342110000001</v>
      </c>
      <c r="J521">
        <v>0.19</v>
      </c>
      <c r="K521">
        <f t="shared" si="8"/>
        <v>1</v>
      </c>
      <c r="N521">
        <v>2</v>
      </c>
      <c r="O521">
        <v>2</v>
      </c>
    </row>
    <row r="522" spans="1:15" x14ac:dyDescent="0.25">
      <c r="A522" t="s">
        <v>2062</v>
      </c>
      <c r="B522">
        <v>9009125200</v>
      </c>
      <c r="C522" t="s">
        <v>2063</v>
      </c>
      <c r="D522">
        <v>5812</v>
      </c>
      <c r="E522">
        <v>2.4131084779999998</v>
      </c>
      <c r="F522">
        <v>2408.5116990000001</v>
      </c>
      <c r="G522">
        <v>1</v>
      </c>
      <c r="H522">
        <v>593</v>
      </c>
      <c r="I522">
        <v>10.429124160000001</v>
      </c>
      <c r="J522">
        <v>0.437</v>
      </c>
      <c r="K522">
        <f t="shared" si="8"/>
        <v>3</v>
      </c>
      <c r="N522">
        <v>4</v>
      </c>
      <c r="O522">
        <v>4</v>
      </c>
    </row>
    <row r="523" spans="1:15" x14ac:dyDescent="0.25">
      <c r="A523" t="s">
        <v>2064</v>
      </c>
      <c r="B523">
        <v>9009125300</v>
      </c>
      <c r="C523" t="s">
        <v>2065</v>
      </c>
      <c r="D523">
        <v>5540</v>
      </c>
      <c r="E523">
        <v>1.2530374660000001</v>
      </c>
      <c r="F523">
        <v>4421.2564679999996</v>
      </c>
      <c r="G523">
        <v>1</v>
      </c>
      <c r="H523">
        <v>1755</v>
      </c>
      <c r="I523">
        <v>36.877495269999997</v>
      </c>
      <c r="J523">
        <v>0.97599999999999998</v>
      </c>
      <c r="K523">
        <f t="shared" si="8"/>
        <v>5</v>
      </c>
      <c r="N523">
        <v>5</v>
      </c>
      <c r="O523">
        <v>5</v>
      </c>
    </row>
    <row r="524" spans="1:15" x14ac:dyDescent="0.25">
      <c r="A524" t="s">
        <v>2066</v>
      </c>
      <c r="B524">
        <v>9009125400</v>
      </c>
      <c r="C524" t="s">
        <v>2067</v>
      </c>
      <c r="D524">
        <v>3394</v>
      </c>
      <c r="E524">
        <v>0.74813358200000002</v>
      </c>
      <c r="F524">
        <v>4536.6229789999998</v>
      </c>
      <c r="G524">
        <v>1</v>
      </c>
      <c r="H524">
        <v>449</v>
      </c>
      <c r="I524">
        <v>12.85427999</v>
      </c>
      <c r="J524">
        <v>0.56899999999999995</v>
      </c>
      <c r="K524">
        <f t="shared" si="8"/>
        <v>3</v>
      </c>
      <c r="N524">
        <v>4</v>
      </c>
      <c r="O524">
        <v>4</v>
      </c>
    </row>
    <row r="525" spans="1:15" x14ac:dyDescent="0.25">
      <c r="A525" t="s">
        <v>2068</v>
      </c>
      <c r="B525">
        <v>9009130101</v>
      </c>
      <c r="C525" t="s">
        <v>2069</v>
      </c>
      <c r="D525">
        <v>4911</v>
      </c>
      <c r="E525">
        <v>3.3433691579999998</v>
      </c>
      <c r="F525">
        <v>1468.8775800000001</v>
      </c>
      <c r="G525">
        <v>1</v>
      </c>
      <c r="H525">
        <v>368</v>
      </c>
      <c r="I525">
        <v>7.0349837510000004</v>
      </c>
      <c r="J525">
        <v>0.252</v>
      </c>
      <c r="K525">
        <f t="shared" si="8"/>
        <v>2</v>
      </c>
      <c r="N525">
        <v>3</v>
      </c>
      <c r="O525">
        <v>3</v>
      </c>
    </row>
    <row r="526" spans="1:15" x14ac:dyDescent="0.25">
      <c r="A526" t="s">
        <v>2070</v>
      </c>
      <c r="B526">
        <v>9009130102</v>
      </c>
      <c r="C526" t="s">
        <v>2071</v>
      </c>
      <c r="D526">
        <v>3113</v>
      </c>
      <c r="E526">
        <v>2.8647179060000001</v>
      </c>
      <c r="F526">
        <v>1086.66895</v>
      </c>
      <c r="G526">
        <v>1</v>
      </c>
      <c r="H526">
        <v>188</v>
      </c>
      <c r="I526">
        <v>6.3880394159999998</v>
      </c>
      <c r="J526">
        <v>0.23300000000000001</v>
      </c>
      <c r="K526">
        <f t="shared" si="8"/>
        <v>2</v>
      </c>
      <c r="N526">
        <v>3</v>
      </c>
      <c r="O526">
        <v>3</v>
      </c>
    </row>
    <row r="527" spans="1:15" x14ac:dyDescent="0.25">
      <c r="A527" t="s">
        <v>2072</v>
      </c>
      <c r="B527">
        <v>9009130200</v>
      </c>
      <c r="C527" t="s">
        <v>2073</v>
      </c>
      <c r="D527">
        <v>8516</v>
      </c>
      <c r="E527">
        <v>8.309543133</v>
      </c>
      <c r="F527">
        <v>1024.8457539999999</v>
      </c>
      <c r="G527">
        <v>1</v>
      </c>
      <c r="H527">
        <v>1047</v>
      </c>
      <c r="I527">
        <v>12.562994959999999</v>
      </c>
      <c r="J527">
        <v>0.55100000000000005</v>
      </c>
      <c r="K527">
        <f t="shared" si="8"/>
        <v>3</v>
      </c>
      <c r="N527">
        <v>3</v>
      </c>
      <c r="O527">
        <v>3</v>
      </c>
    </row>
    <row r="528" spans="1:15" x14ac:dyDescent="0.25">
      <c r="A528" t="s">
        <v>2074</v>
      </c>
      <c r="B528">
        <v>9009140100</v>
      </c>
      <c r="C528" t="s">
        <v>2075</v>
      </c>
      <c r="D528">
        <v>2426</v>
      </c>
      <c r="E528">
        <v>0.26767846000000001</v>
      </c>
      <c r="F528">
        <v>9063.1125019999999</v>
      </c>
      <c r="G528">
        <v>1</v>
      </c>
      <c r="H528">
        <v>1029</v>
      </c>
      <c r="I528">
        <v>29.241261720000001</v>
      </c>
      <c r="J528">
        <v>0.90200000000000002</v>
      </c>
      <c r="K528">
        <f t="shared" si="8"/>
        <v>5</v>
      </c>
      <c r="N528">
        <v>3.5</v>
      </c>
      <c r="O528">
        <v>4</v>
      </c>
    </row>
    <row r="529" spans="1:15" x14ac:dyDescent="0.25">
      <c r="A529" t="s">
        <v>2076</v>
      </c>
      <c r="B529">
        <v>9009140200</v>
      </c>
      <c r="C529" t="s">
        <v>2077</v>
      </c>
      <c r="D529">
        <v>1518</v>
      </c>
      <c r="E529">
        <v>0.77617734100000002</v>
      </c>
      <c r="F529">
        <v>1955.738617</v>
      </c>
      <c r="G529">
        <v>1</v>
      </c>
      <c r="H529">
        <v>65</v>
      </c>
      <c r="I529">
        <v>10.12461059</v>
      </c>
      <c r="J529">
        <v>0.43</v>
      </c>
      <c r="K529">
        <f t="shared" si="8"/>
        <v>3</v>
      </c>
      <c r="N529">
        <v>4</v>
      </c>
      <c r="O529">
        <v>4</v>
      </c>
    </row>
    <row r="530" spans="1:15" x14ac:dyDescent="0.25">
      <c r="A530" t="s">
        <v>2078</v>
      </c>
      <c r="B530">
        <v>9009140300</v>
      </c>
      <c r="C530" t="s">
        <v>2079</v>
      </c>
      <c r="D530">
        <v>2737</v>
      </c>
      <c r="E530">
        <v>0.27474799100000002</v>
      </c>
      <c r="F530">
        <v>9961.8562779999993</v>
      </c>
      <c r="G530">
        <v>1</v>
      </c>
      <c r="H530">
        <v>560</v>
      </c>
      <c r="I530">
        <v>22.055927530000002</v>
      </c>
      <c r="J530">
        <v>0.80700000000000005</v>
      </c>
      <c r="K530">
        <f t="shared" si="8"/>
        <v>5</v>
      </c>
      <c r="N530">
        <v>5</v>
      </c>
      <c r="O530">
        <v>5</v>
      </c>
    </row>
    <row r="531" spans="1:15" x14ac:dyDescent="0.25">
      <c r="A531" t="s">
        <v>2080</v>
      </c>
      <c r="B531">
        <v>9009140400</v>
      </c>
      <c r="C531" t="s">
        <v>2081</v>
      </c>
      <c r="D531">
        <v>3329</v>
      </c>
      <c r="E531">
        <v>0.34233440500000001</v>
      </c>
      <c r="F531">
        <v>9724.4096850000005</v>
      </c>
      <c r="G531">
        <v>1</v>
      </c>
      <c r="H531">
        <v>1008</v>
      </c>
      <c r="I531">
        <v>29.362073989999999</v>
      </c>
      <c r="J531">
        <v>0.91100000000000003</v>
      </c>
      <c r="K531">
        <f t="shared" si="8"/>
        <v>5</v>
      </c>
      <c r="N531">
        <v>5</v>
      </c>
      <c r="O531">
        <v>5</v>
      </c>
    </row>
    <row r="532" spans="1:15" x14ac:dyDescent="0.25">
      <c r="A532" t="s">
        <v>2082</v>
      </c>
      <c r="B532">
        <v>9009140500</v>
      </c>
      <c r="C532" t="s">
        <v>2083</v>
      </c>
      <c r="D532">
        <v>3687</v>
      </c>
      <c r="E532">
        <v>0.39240413499999999</v>
      </c>
      <c r="F532">
        <v>9395.9254610000007</v>
      </c>
      <c r="G532">
        <v>1</v>
      </c>
      <c r="H532">
        <v>1307</v>
      </c>
      <c r="I532">
        <v>36.498184860000002</v>
      </c>
      <c r="J532">
        <v>0.96899999999999997</v>
      </c>
      <c r="K532">
        <f t="shared" si="8"/>
        <v>5</v>
      </c>
      <c r="N532">
        <v>5</v>
      </c>
      <c r="O532">
        <v>5</v>
      </c>
    </row>
    <row r="533" spans="1:15" x14ac:dyDescent="0.25">
      <c r="A533" t="s">
        <v>2084</v>
      </c>
      <c r="B533">
        <v>9009140600</v>
      </c>
      <c r="C533" t="s">
        <v>2085</v>
      </c>
      <c r="D533">
        <v>4745</v>
      </c>
      <c r="E533">
        <v>0.28313374400000002</v>
      </c>
      <c r="F533">
        <v>16758.864310000001</v>
      </c>
      <c r="G533">
        <v>1</v>
      </c>
      <c r="H533">
        <v>1282</v>
      </c>
      <c r="I533">
        <v>25.295974739999998</v>
      </c>
      <c r="J533">
        <v>0.85299999999999998</v>
      </c>
      <c r="K533">
        <f t="shared" si="8"/>
        <v>5</v>
      </c>
      <c r="N533">
        <v>5</v>
      </c>
      <c r="O533">
        <v>5</v>
      </c>
    </row>
    <row r="534" spans="1:15" x14ac:dyDescent="0.25">
      <c r="A534" t="s">
        <v>2086</v>
      </c>
      <c r="B534">
        <v>9009140700</v>
      </c>
      <c r="C534" t="s">
        <v>2087</v>
      </c>
      <c r="D534">
        <v>3979</v>
      </c>
      <c r="E534">
        <v>0.212585155</v>
      </c>
      <c r="F534">
        <v>18717.20536</v>
      </c>
      <c r="G534">
        <v>1</v>
      </c>
      <c r="H534">
        <v>1197</v>
      </c>
      <c r="I534">
        <v>30.898296330000001</v>
      </c>
      <c r="J534">
        <v>0.93400000000000005</v>
      </c>
      <c r="K534">
        <f t="shared" si="8"/>
        <v>5</v>
      </c>
      <c r="N534">
        <v>5</v>
      </c>
      <c r="O534">
        <v>5</v>
      </c>
    </row>
    <row r="535" spans="1:15" x14ac:dyDescent="0.25">
      <c r="A535" t="s">
        <v>2088</v>
      </c>
      <c r="B535">
        <v>9009140800</v>
      </c>
      <c r="C535" t="s">
        <v>2089</v>
      </c>
      <c r="D535">
        <v>3964</v>
      </c>
      <c r="E535">
        <v>0.63564271299999997</v>
      </c>
      <c r="F535">
        <v>6236.2077259999996</v>
      </c>
      <c r="G535">
        <v>1</v>
      </c>
      <c r="H535">
        <v>778</v>
      </c>
      <c r="I535">
        <v>20.48446551</v>
      </c>
      <c r="J535">
        <v>0.79</v>
      </c>
      <c r="K535">
        <f t="shared" si="8"/>
        <v>4</v>
      </c>
      <c r="N535">
        <v>4.5</v>
      </c>
      <c r="O535">
        <v>5</v>
      </c>
    </row>
    <row r="536" spans="1:15" x14ac:dyDescent="0.25">
      <c r="A536" t="s">
        <v>2090</v>
      </c>
      <c r="B536">
        <v>9009140900</v>
      </c>
      <c r="C536" t="s">
        <v>2091</v>
      </c>
      <c r="D536">
        <v>4476</v>
      </c>
      <c r="E536">
        <v>0.37876198700000002</v>
      </c>
      <c r="F536">
        <v>11817.44779</v>
      </c>
      <c r="G536">
        <v>1</v>
      </c>
      <c r="H536">
        <v>562</v>
      </c>
      <c r="I536">
        <v>11.874075639999999</v>
      </c>
      <c r="J536">
        <v>0.53400000000000003</v>
      </c>
      <c r="K536">
        <f t="shared" si="8"/>
        <v>3</v>
      </c>
      <c r="N536">
        <v>4</v>
      </c>
      <c r="O536">
        <v>4</v>
      </c>
    </row>
    <row r="537" spans="1:15" x14ac:dyDescent="0.25">
      <c r="A537" t="s">
        <v>2092</v>
      </c>
      <c r="B537">
        <v>9009141000</v>
      </c>
      <c r="C537" t="s">
        <v>2093</v>
      </c>
      <c r="D537">
        <v>3729</v>
      </c>
      <c r="E537">
        <v>0.73237405</v>
      </c>
      <c r="F537">
        <v>5091.6604729999999</v>
      </c>
      <c r="G537">
        <v>1</v>
      </c>
      <c r="H537">
        <v>655</v>
      </c>
      <c r="I537">
        <v>16.515380740000001</v>
      </c>
      <c r="J537">
        <v>0.66700000000000004</v>
      </c>
      <c r="K537">
        <f t="shared" si="8"/>
        <v>4</v>
      </c>
      <c r="N537">
        <v>3</v>
      </c>
      <c r="O537">
        <v>3</v>
      </c>
    </row>
    <row r="538" spans="1:15" x14ac:dyDescent="0.25">
      <c r="A538" t="s">
        <v>2094</v>
      </c>
      <c r="B538">
        <v>9009141100</v>
      </c>
      <c r="C538" t="s">
        <v>2095</v>
      </c>
      <c r="D538">
        <v>2777</v>
      </c>
      <c r="E538">
        <v>1.4939914780000001</v>
      </c>
      <c r="F538">
        <v>1858.77901</v>
      </c>
      <c r="G538">
        <v>1</v>
      </c>
      <c r="H538">
        <v>433</v>
      </c>
      <c r="I538">
        <v>16.162747289999999</v>
      </c>
      <c r="J538">
        <v>0.65600000000000003</v>
      </c>
      <c r="K538">
        <f t="shared" si="8"/>
        <v>4</v>
      </c>
      <c r="N538">
        <v>3</v>
      </c>
      <c r="O538">
        <v>3</v>
      </c>
    </row>
    <row r="539" spans="1:15" x14ac:dyDescent="0.25">
      <c r="A539" t="s">
        <v>2096</v>
      </c>
      <c r="B539">
        <v>9009141200</v>
      </c>
      <c r="C539" t="s">
        <v>2097</v>
      </c>
      <c r="D539">
        <v>4426</v>
      </c>
      <c r="E539">
        <v>0.73638179000000004</v>
      </c>
      <c r="F539">
        <v>6010.4691059999996</v>
      </c>
      <c r="G539">
        <v>1</v>
      </c>
      <c r="H539">
        <v>1090</v>
      </c>
      <c r="I539">
        <v>23.044397459999999</v>
      </c>
      <c r="J539">
        <v>0.82499999999999996</v>
      </c>
      <c r="K539">
        <f t="shared" si="8"/>
        <v>5</v>
      </c>
      <c r="N539">
        <v>5</v>
      </c>
      <c r="O539">
        <v>5</v>
      </c>
    </row>
    <row r="540" spans="1:15" x14ac:dyDescent="0.25">
      <c r="A540" t="s">
        <v>2098</v>
      </c>
      <c r="B540">
        <v>9009141300</v>
      </c>
      <c r="C540" t="s">
        <v>2099</v>
      </c>
      <c r="D540">
        <v>5913</v>
      </c>
      <c r="E540">
        <v>1.409121973</v>
      </c>
      <c r="F540">
        <v>4196.2300740000001</v>
      </c>
      <c r="G540">
        <v>1</v>
      </c>
      <c r="H540">
        <v>726</v>
      </c>
      <c r="I540">
        <v>10.860134629999999</v>
      </c>
      <c r="J540">
        <v>0.46800000000000003</v>
      </c>
      <c r="K540">
        <f t="shared" si="8"/>
        <v>3</v>
      </c>
      <c r="N540">
        <v>4</v>
      </c>
      <c r="O540">
        <v>4</v>
      </c>
    </row>
    <row r="541" spans="1:15" x14ac:dyDescent="0.25">
      <c r="A541" t="s">
        <v>2100</v>
      </c>
      <c r="B541">
        <v>9009141400</v>
      </c>
      <c r="C541" t="s">
        <v>2101</v>
      </c>
      <c r="D541">
        <v>5023</v>
      </c>
      <c r="E541">
        <v>0.592104674</v>
      </c>
      <c r="F541">
        <v>8483.2973320000001</v>
      </c>
      <c r="G541">
        <v>1</v>
      </c>
      <c r="H541">
        <v>1323</v>
      </c>
      <c r="I541">
        <v>26.765122399999999</v>
      </c>
      <c r="J541">
        <v>0.88</v>
      </c>
      <c r="K541">
        <f t="shared" si="8"/>
        <v>5</v>
      </c>
      <c r="N541">
        <v>4.5</v>
      </c>
      <c r="O541">
        <v>5</v>
      </c>
    </row>
    <row r="542" spans="1:15" x14ac:dyDescent="0.25">
      <c r="A542" t="s">
        <v>2102</v>
      </c>
      <c r="B542">
        <v>9009141500</v>
      </c>
      <c r="C542" t="s">
        <v>2103</v>
      </c>
      <c r="D542">
        <v>6873</v>
      </c>
      <c r="E542">
        <v>0.61839012400000004</v>
      </c>
      <c r="F542">
        <v>11114.34309</v>
      </c>
      <c r="G542">
        <v>1</v>
      </c>
      <c r="H542">
        <v>913</v>
      </c>
      <c r="I542">
        <v>12.5</v>
      </c>
      <c r="J542">
        <v>0.56299999999999994</v>
      </c>
      <c r="K542">
        <f t="shared" si="8"/>
        <v>3</v>
      </c>
      <c r="N542">
        <v>4</v>
      </c>
      <c r="O542">
        <v>4</v>
      </c>
    </row>
    <row r="543" spans="1:15" x14ac:dyDescent="0.25">
      <c r="A543" t="s">
        <v>2104</v>
      </c>
      <c r="B543">
        <v>9009141600</v>
      </c>
      <c r="C543" t="s">
        <v>2105</v>
      </c>
      <c r="D543">
        <v>5169</v>
      </c>
      <c r="E543">
        <v>0.41283704799999998</v>
      </c>
      <c r="F543">
        <v>12520.678620000001</v>
      </c>
      <c r="G543">
        <v>1</v>
      </c>
      <c r="H543">
        <v>1054</v>
      </c>
      <c r="I543">
        <v>20.46999417</v>
      </c>
      <c r="J543">
        <v>0.79100000000000004</v>
      </c>
      <c r="K543">
        <f t="shared" si="8"/>
        <v>4</v>
      </c>
      <c r="N543">
        <v>4.5</v>
      </c>
      <c r="O543">
        <v>5</v>
      </c>
    </row>
    <row r="544" spans="1:15" x14ac:dyDescent="0.25">
      <c r="A544" t="s">
        <v>2106</v>
      </c>
      <c r="B544">
        <v>9009141800</v>
      </c>
      <c r="C544" t="s">
        <v>2107</v>
      </c>
      <c r="D544">
        <v>3892</v>
      </c>
      <c r="E544">
        <v>0.56799568199999995</v>
      </c>
      <c r="F544">
        <v>6852.164769</v>
      </c>
      <c r="G544">
        <v>1</v>
      </c>
      <c r="H544">
        <v>1483</v>
      </c>
      <c r="I544">
        <v>34.178382120000002</v>
      </c>
      <c r="J544">
        <v>0.95299999999999996</v>
      </c>
      <c r="K544">
        <f t="shared" si="8"/>
        <v>5</v>
      </c>
      <c r="N544">
        <v>4.5</v>
      </c>
      <c r="O544">
        <v>5</v>
      </c>
    </row>
    <row r="545" spans="1:15" x14ac:dyDescent="0.25">
      <c r="A545" t="s">
        <v>2108</v>
      </c>
      <c r="B545">
        <v>9009141900</v>
      </c>
      <c r="C545" t="s">
        <v>2109</v>
      </c>
      <c r="D545">
        <v>5063</v>
      </c>
      <c r="E545">
        <v>0.50239962500000002</v>
      </c>
      <c r="F545">
        <v>10077.634910000001</v>
      </c>
      <c r="G545">
        <v>1</v>
      </c>
      <c r="H545">
        <v>1171</v>
      </c>
      <c r="I545">
        <v>21.482296829999999</v>
      </c>
      <c r="J545">
        <v>0.80700000000000005</v>
      </c>
      <c r="K545">
        <f t="shared" si="8"/>
        <v>5</v>
      </c>
      <c r="N545">
        <v>4</v>
      </c>
      <c r="O545">
        <v>4</v>
      </c>
    </row>
    <row r="546" spans="1:15" x14ac:dyDescent="0.25">
      <c r="A546" t="s">
        <v>2110</v>
      </c>
      <c r="B546">
        <v>9009142000</v>
      </c>
      <c r="C546" t="s">
        <v>2111</v>
      </c>
      <c r="D546">
        <v>3396</v>
      </c>
      <c r="E546">
        <v>0.257172234</v>
      </c>
      <c r="F546">
        <v>13205.158069999999</v>
      </c>
      <c r="G546">
        <v>1</v>
      </c>
      <c r="H546">
        <v>783</v>
      </c>
      <c r="I546">
        <v>25.816023739999999</v>
      </c>
      <c r="J546">
        <v>0.875</v>
      </c>
      <c r="K546">
        <f t="shared" si="8"/>
        <v>5</v>
      </c>
      <c r="N546">
        <v>4.5</v>
      </c>
      <c r="O546">
        <v>5</v>
      </c>
    </row>
    <row r="547" spans="1:15" x14ac:dyDescent="0.25">
      <c r="A547" t="s">
        <v>2112</v>
      </c>
      <c r="B547">
        <v>9009142100</v>
      </c>
      <c r="C547" t="s">
        <v>2113</v>
      </c>
      <c r="D547">
        <v>1744</v>
      </c>
      <c r="E547">
        <v>0.23397560100000001</v>
      </c>
      <c r="F547">
        <v>7453.7686379999996</v>
      </c>
      <c r="G547">
        <v>1</v>
      </c>
      <c r="H547">
        <v>376</v>
      </c>
      <c r="I547">
        <v>25.0166334</v>
      </c>
      <c r="J547">
        <v>0.85599999999999998</v>
      </c>
      <c r="K547">
        <f t="shared" si="8"/>
        <v>5</v>
      </c>
      <c r="N547">
        <v>5</v>
      </c>
      <c r="O547">
        <v>5</v>
      </c>
    </row>
    <row r="548" spans="1:15" x14ac:dyDescent="0.25">
      <c r="A548" t="s">
        <v>2114</v>
      </c>
      <c r="B548">
        <v>9009142200</v>
      </c>
      <c r="C548" t="s">
        <v>2115</v>
      </c>
      <c r="D548">
        <v>1581</v>
      </c>
      <c r="E548">
        <v>0.34710624099999998</v>
      </c>
      <c r="F548">
        <v>4554.8014160000002</v>
      </c>
      <c r="G548">
        <v>1</v>
      </c>
      <c r="H548">
        <v>303</v>
      </c>
      <c r="I548">
        <v>20.106171199999999</v>
      </c>
      <c r="J548">
        <v>0.78700000000000003</v>
      </c>
      <c r="K548">
        <f t="shared" si="8"/>
        <v>4</v>
      </c>
      <c r="N548">
        <v>3.5</v>
      </c>
      <c r="O548">
        <v>4</v>
      </c>
    </row>
    <row r="549" spans="1:15" x14ac:dyDescent="0.25">
      <c r="A549" t="s">
        <v>2116</v>
      </c>
      <c r="B549">
        <v>9009142300</v>
      </c>
      <c r="C549" t="s">
        <v>2117</v>
      </c>
      <c r="D549">
        <v>5448</v>
      </c>
      <c r="E549">
        <v>0.39080335500000002</v>
      </c>
      <c r="F549">
        <v>13940.51491</v>
      </c>
      <c r="G549">
        <v>1</v>
      </c>
      <c r="H549">
        <v>1968</v>
      </c>
      <c r="I549">
        <v>36.043956039999998</v>
      </c>
      <c r="J549">
        <v>0.96699999999999997</v>
      </c>
      <c r="K549">
        <f t="shared" si="8"/>
        <v>5</v>
      </c>
      <c r="N549">
        <v>5</v>
      </c>
      <c r="O549">
        <v>5</v>
      </c>
    </row>
    <row r="550" spans="1:15" x14ac:dyDescent="0.25">
      <c r="A550" t="s">
        <v>2118</v>
      </c>
      <c r="B550">
        <v>9009142400</v>
      </c>
      <c r="C550" t="s">
        <v>2119</v>
      </c>
      <c r="D550">
        <v>5360</v>
      </c>
      <c r="E550">
        <v>0.460519122</v>
      </c>
      <c r="F550">
        <v>11639.03895</v>
      </c>
      <c r="G550">
        <v>1</v>
      </c>
      <c r="H550">
        <v>2195</v>
      </c>
      <c r="I550">
        <v>36.565050810000002</v>
      </c>
      <c r="J550">
        <v>0.97099999999999997</v>
      </c>
      <c r="K550">
        <f t="shared" si="8"/>
        <v>5</v>
      </c>
      <c r="N550">
        <v>5</v>
      </c>
      <c r="O550">
        <v>5</v>
      </c>
    </row>
    <row r="551" spans="1:15" x14ac:dyDescent="0.25">
      <c r="A551" t="s">
        <v>2120</v>
      </c>
      <c r="B551">
        <v>9009142500</v>
      </c>
      <c r="C551" t="s">
        <v>2121</v>
      </c>
      <c r="D551">
        <v>5929</v>
      </c>
      <c r="E551">
        <v>0.71219210300000002</v>
      </c>
      <c r="F551">
        <v>8325.0010450000009</v>
      </c>
      <c r="G551">
        <v>1</v>
      </c>
      <c r="H551">
        <v>1624</v>
      </c>
      <c r="I551">
        <v>27.567475810000001</v>
      </c>
      <c r="J551">
        <v>0.90500000000000003</v>
      </c>
      <c r="K551">
        <f t="shared" si="8"/>
        <v>5</v>
      </c>
      <c r="N551">
        <v>5</v>
      </c>
      <c r="O551">
        <v>5</v>
      </c>
    </row>
    <row r="552" spans="1:15" x14ac:dyDescent="0.25">
      <c r="A552" t="s">
        <v>2122</v>
      </c>
      <c r="B552">
        <v>9009142601</v>
      </c>
      <c r="C552" t="s">
        <v>2123</v>
      </c>
      <c r="D552">
        <v>5926</v>
      </c>
      <c r="E552">
        <v>1.473282116</v>
      </c>
      <c r="F552">
        <v>4022.3117739999998</v>
      </c>
      <c r="G552">
        <v>1</v>
      </c>
      <c r="H552">
        <v>2010</v>
      </c>
      <c r="I552">
        <v>34.300341299999999</v>
      </c>
      <c r="J552">
        <v>0.96699999999999997</v>
      </c>
      <c r="K552">
        <f t="shared" si="8"/>
        <v>5</v>
      </c>
      <c r="N552">
        <v>4.5</v>
      </c>
      <c r="O552">
        <v>5</v>
      </c>
    </row>
    <row r="553" spans="1:15" x14ac:dyDescent="0.25">
      <c r="A553" t="s">
        <v>2124</v>
      </c>
      <c r="B553">
        <v>9009142603</v>
      </c>
      <c r="C553" t="s">
        <v>2125</v>
      </c>
      <c r="D553">
        <v>3960</v>
      </c>
      <c r="E553">
        <v>0.36950132600000002</v>
      </c>
      <c r="F553">
        <v>10717.146930000001</v>
      </c>
      <c r="G553">
        <v>1</v>
      </c>
      <c r="H553">
        <v>902</v>
      </c>
      <c r="I553">
        <v>21.978557500000001</v>
      </c>
      <c r="J553">
        <v>0.83799999999999997</v>
      </c>
      <c r="K553">
        <f t="shared" si="8"/>
        <v>5</v>
      </c>
      <c r="N553">
        <v>5</v>
      </c>
      <c r="O553">
        <v>5</v>
      </c>
    </row>
    <row r="554" spans="1:15" x14ac:dyDescent="0.25">
      <c r="A554" t="s">
        <v>2126</v>
      </c>
      <c r="B554">
        <v>9009142604</v>
      </c>
      <c r="C554" t="s">
        <v>2127</v>
      </c>
      <c r="D554">
        <v>2914</v>
      </c>
      <c r="E554">
        <v>0.58107566499999996</v>
      </c>
      <c r="F554">
        <v>5014.8374379999996</v>
      </c>
      <c r="G554">
        <v>1</v>
      </c>
      <c r="H554">
        <v>478</v>
      </c>
      <c r="I554">
        <v>18.24427481</v>
      </c>
      <c r="J554">
        <v>0.753</v>
      </c>
      <c r="K554">
        <f t="shared" si="8"/>
        <v>4</v>
      </c>
      <c r="N554">
        <v>4</v>
      </c>
      <c r="O554">
        <v>4</v>
      </c>
    </row>
    <row r="555" spans="1:15" x14ac:dyDescent="0.25">
      <c r="A555" t="s">
        <v>2128</v>
      </c>
      <c r="B555">
        <v>9009142700</v>
      </c>
      <c r="C555" t="s">
        <v>2129</v>
      </c>
      <c r="D555">
        <v>6654</v>
      </c>
      <c r="E555">
        <v>1.2282381229999999</v>
      </c>
      <c r="F555">
        <v>5417.5162579999997</v>
      </c>
      <c r="G555">
        <v>1</v>
      </c>
      <c r="H555">
        <v>3104</v>
      </c>
      <c r="I555">
        <v>42.543859650000002</v>
      </c>
      <c r="J555">
        <v>0.99199999999999999</v>
      </c>
      <c r="K555">
        <f t="shared" si="8"/>
        <v>5</v>
      </c>
      <c r="N555">
        <v>4.5</v>
      </c>
      <c r="O555">
        <v>5</v>
      </c>
    </row>
    <row r="556" spans="1:15" x14ac:dyDescent="0.25">
      <c r="A556" t="s">
        <v>2130</v>
      </c>
      <c r="B556">
        <v>9009142800</v>
      </c>
      <c r="C556" t="s">
        <v>2131</v>
      </c>
      <c r="D556">
        <v>4841</v>
      </c>
      <c r="E556">
        <v>1.5338835550000001</v>
      </c>
      <c r="F556">
        <v>3156.0413990000002</v>
      </c>
      <c r="G556">
        <v>1</v>
      </c>
      <c r="H556">
        <v>511</v>
      </c>
      <c r="I556">
        <v>12.50917993</v>
      </c>
      <c r="J556">
        <v>0.59199999999999997</v>
      </c>
      <c r="K556">
        <f t="shared" si="8"/>
        <v>3</v>
      </c>
      <c r="N556">
        <v>3.5</v>
      </c>
      <c r="O556">
        <v>4</v>
      </c>
    </row>
    <row r="557" spans="1:15" x14ac:dyDescent="0.25">
      <c r="A557" t="s">
        <v>2132</v>
      </c>
      <c r="B557">
        <v>9009150100</v>
      </c>
      <c r="C557" t="s">
        <v>2133</v>
      </c>
      <c r="D557">
        <v>4123</v>
      </c>
      <c r="E557">
        <v>1.2127951939999999</v>
      </c>
      <c r="F557">
        <v>3399.584711</v>
      </c>
      <c r="G557">
        <v>1</v>
      </c>
      <c r="H557">
        <v>450</v>
      </c>
      <c r="I557">
        <v>9.3926111460000001</v>
      </c>
      <c r="J557">
        <v>0.43099999999999999</v>
      </c>
      <c r="K557">
        <f t="shared" si="8"/>
        <v>3</v>
      </c>
      <c r="N557">
        <v>2.5</v>
      </c>
      <c r="O557">
        <v>3</v>
      </c>
    </row>
    <row r="558" spans="1:15" x14ac:dyDescent="0.25">
      <c r="A558" t="s">
        <v>2134</v>
      </c>
      <c r="B558">
        <v>9009150200</v>
      </c>
      <c r="C558" t="s">
        <v>2135</v>
      </c>
      <c r="D558">
        <v>3622</v>
      </c>
      <c r="E558">
        <v>1.0286205960000001</v>
      </c>
      <c r="F558">
        <v>3521.2205690000001</v>
      </c>
      <c r="G558">
        <v>1</v>
      </c>
      <c r="H558">
        <v>633</v>
      </c>
      <c r="I558">
        <v>19.095022620000002</v>
      </c>
      <c r="J558">
        <v>0.78300000000000003</v>
      </c>
      <c r="K558">
        <f t="shared" si="8"/>
        <v>4</v>
      </c>
      <c r="N558">
        <v>3.5</v>
      </c>
      <c r="O558">
        <v>4</v>
      </c>
    </row>
    <row r="559" spans="1:15" x14ac:dyDescent="0.25">
      <c r="A559" t="s">
        <v>2136</v>
      </c>
      <c r="B559">
        <v>9009150300</v>
      </c>
      <c r="C559" t="s">
        <v>2137</v>
      </c>
      <c r="D559">
        <v>3953</v>
      </c>
      <c r="E559">
        <v>1.1303090979999999</v>
      </c>
      <c r="F559">
        <v>3497.273451</v>
      </c>
      <c r="G559">
        <v>1</v>
      </c>
      <c r="H559">
        <v>363</v>
      </c>
      <c r="I559">
        <v>9.22021844</v>
      </c>
      <c r="J559">
        <v>0.42299999999999999</v>
      </c>
      <c r="K559">
        <f t="shared" si="8"/>
        <v>3</v>
      </c>
      <c r="N559">
        <v>2.5</v>
      </c>
      <c r="O559">
        <v>3</v>
      </c>
    </row>
    <row r="560" spans="1:15" x14ac:dyDescent="0.25">
      <c r="A560" t="s">
        <v>2138</v>
      </c>
      <c r="B560">
        <v>9009150400</v>
      </c>
      <c r="C560" t="s">
        <v>2139</v>
      </c>
      <c r="D560">
        <v>4284</v>
      </c>
      <c r="E560">
        <v>0.63277165800000001</v>
      </c>
      <c r="F560">
        <v>6770.2147340000001</v>
      </c>
      <c r="G560">
        <v>1</v>
      </c>
      <c r="H560">
        <v>578</v>
      </c>
      <c r="I560">
        <v>14.15279138</v>
      </c>
      <c r="J560">
        <v>0.63500000000000001</v>
      </c>
      <c r="K560">
        <f t="shared" si="8"/>
        <v>4</v>
      </c>
      <c r="N560">
        <v>4</v>
      </c>
      <c r="O560">
        <v>4</v>
      </c>
    </row>
    <row r="561" spans="1:15" x14ac:dyDescent="0.25">
      <c r="A561" t="s">
        <v>2140</v>
      </c>
      <c r="B561">
        <v>9009150500</v>
      </c>
      <c r="C561" t="s">
        <v>2141</v>
      </c>
      <c r="D561">
        <v>4308</v>
      </c>
      <c r="E561">
        <v>1.6505145969999999</v>
      </c>
      <c r="F561">
        <v>2610.0950619999999</v>
      </c>
      <c r="G561">
        <v>1</v>
      </c>
      <c r="H561">
        <v>349</v>
      </c>
      <c r="I561">
        <v>7.7315019940000003</v>
      </c>
      <c r="J561">
        <v>0.32</v>
      </c>
      <c r="K561">
        <f t="shared" si="8"/>
        <v>2</v>
      </c>
      <c r="N561">
        <v>2.5</v>
      </c>
      <c r="O561">
        <v>3</v>
      </c>
    </row>
    <row r="562" spans="1:15" x14ac:dyDescent="0.25">
      <c r="A562" t="s">
        <v>2142</v>
      </c>
      <c r="B562">
        <v>9009150600</v>
      </c>
      <c r="C562" t="s">
        <v>2143</v>
      </c>
      <c r="D562">
        <v>6407</v>
      </c>
      <c r="E562">
        <v>3.9162826239999999</v>
      </c>
      <c r="F562">
        <v>1635.990202</v>
      </c>
      <c r="G562">
        <v>1</v>
      </c>
      <c r="H562">
        <v>880</v>
      </c>
      <c r="I562">
        <v>12.340485210000001</v>
      </c>
      <c r="J562">
        <v>0.57899999999999996</v>
      </c>
      <c r="K562">
        <f t="shared" si="8"/>
        <v>3</v>
      </c>
      <c r="N562">
        <v>2.5</v>
      </c>
      <c r="O562">
        <v>3</v>
      </c>
    </row>
    <row r="563" spans="1:15" x14ac:dyDescent="0.25">
      <c r="A563" t="s">
        <v>2144</v>
      </c>
      <c r="B563">
        <v>9009150700</v>
      </c>
      <c r="C563" t="s">
        <v>2145</v>
      </c>
      <c r="D563">
        <v>4361</v>
      </c>
      <c r="E563">
        <v>4.4284301700000004</v>
      </c>
      <c r="F563">
        <v>984.77334680000001</v>
      </c>
      <c r="G563">
        <v>1</v>
      </c>
      <c r="H563">
        <v>429</v>
      </c>
      <c r="I563">
        <v>9.4827586210000003</v>
      </c>
      <c r="J563">
        <v>0.437</v>
      </c>
      <c r="K563">
        <f t="shared" si="8"/>
        <v>3</v>
      </c>
      <c r="N563">
        <v>2</v>
      </c>
      <c r="O563">
        <v>2</v>
      </c>
    </row>
    <row r="564" spans="1:15" x14ac:dyDescent="0.25">
      <c r="A564" t="s">
        <v>2146</v>
      </c>
      <c r="B564">
        <v>9009150800</v>
      </c>
      <c r="C564" t="s">
        <v>2147</v>
      </c>
      <c r="D564">
        <v>3950</v>
      </c>
      <c r="E564">
        <v>2.1166766020000001</v>
      </c>
      <c r="F564">
        <v>1866.132973</v>
      </c>
      <c r="G564">
        <v>1</v>
      </c>
      <c r="H564">
        <v>692</v>
      </c>
      <c r="I564">
        <v>17.514553280000001</v>
      </c>
      <c r="J564">
        <v>0.73199999999999998</v>
      </c>
      <c r="K564">
        <f t="shared" si="8"/>
        <v>4</v>
      </c>
      <c r="N564">
        <v>3</v>
      </c>
      <c r="O564">
        <v>3</v>
      </c>
    </row>
    <row r="565" spans="1:15" x14ac:dyDescent="0.25">
      <c r="A565" t="s">
        <v>2148</v>
      </c>
      <c r="B565">
        <v>9009150900</v>
      </c>
      <c r="C565" t="s">
        <v>2149</v>
      </c>
      <c r="D565">
        <v>3958</v>
      </c>
      <c r="E565">
        <v>1.7314840840000001</v>
      </c>
      <c r="F565">
        <v>2285.9003069999999</v>
      </c>
      <c r="G565">
        <v>1</v>
      </c>
      <c r="H565">
        <v>131</v>
      </c>
      <c r="I565">
        <v>3.4592025350000002</v>
      </c>
      <c r="J565">
        <v>8.4000000000000005E-2</v>
      </c>
      <c r="K565">
        <f t="shared" si="8"/>
        <v>1</v>
      </c>
      <c r="N565">
        <v>1</v>
      </c>
      <c r="O565">
        <v>1</v>
      </c>
    </row>
    <row r="566" spans="1:15" x14ac:dyDescent="0.25">
      <c r="A566" t="s">
        <v>2150</v>
      </c>
      <c r="B566">
        <v>9009151000</v>
      </c>
      <c r="C566" t="s">
        <v>2151</v>
      </c>
      <c r="D566">
        <v>4126</v>
      </c>
      <c r="E566">
        <v>0.79923922400000003</v>
      </c>
      <c r="F566">
        <v>5162.4092950000004</v>
      </c>
      <c r="G566">
        <v>1</v>
      </c>
      <c r="H566">
        <v>434</v>
      </c>
      <c r="I566">
        <v>10.43771044</v>
      </c>
      <c r="J566">
        <v>0.48</v>
      </c>
      <c r="K566">
        <f t="shared" si="8"/>
        <v>3</v>
      </c>
      <c r="N566">
        <v>2.5</v>
      </c>
      <c r="O566">
        <v>3</v>
      </c>
    </row>
    <row r="567" spans="1:15" x14ac:dyDescent="0.25">
      <c r="A567" t="s">
        <v>2152</v>
      </c>
      <c r="B567">
        <v>9009151100</v>
      </c>
      <c r="C567" t="s">
        <v>2153</v>
      </c>
      <c r="D567">
        <v>6579</v>
      </c>
      <c r="E567">
        <v>2.2009453329999999</v>
      </c>
      <c r="F567">
        <v>2989.1701090000001</v>
      </c>
      <c r="G567">
        <v>1</v>
      </c>
      <c r="H567">
        <v>792</v>
      </c>
      <c r="I567">
        <v>11.53678077</v>
      </c>
      <c r="J567">
        <v>0.54</v>
      </c>
      <c r="K567">
        <f t="shared" si="8"/>
        <v>3</v>
      </c>
      <c r="N567">
        <v>2.5</v>
      </c>
      <c r="O567">
        <v>3</v>
      </c>
    </row>
    <row r="568" spans="1:15" x14ac:dyDescent="0.25">
      <c r="A568" t="s">
        <v>2154</v>
      </c>
      <c r="B568">
        <v>9009151200</v>
      </c>
      <c r="C568" t="s">
        <v>2155</v>
      </c>
      <c r="D568">
        <v>3088</v>
      </c>
      <c r="E568">
        <v>1.327340899</v>
      </c>
      <c r="F568">
        <v>2326.4558510000002</v>
      </c>
      <c r="G568">
        <v>1</v>
      </c>
      <c r="H568">
        <v>235</v>
      </c>
      <c r="I568">
        <v>7.1843472940000002</v>
      </c>
      <c r="J568">
        <v>0.29399999999999998</v>
      </c>
      <c r="K568">
        <f t="shared" si="8"/>
        <v>2</v>
      </c>
      <c r="N568">
        <v>2.5</v>
      </c>
      <c r="O568">
        <v>3</v>
      </c>
    </row>
    <row r="569" spans="1:15" x14ac:dyDescent="0.25">
      <c r="A569" t="s">
        <v>2156</v>
      </c>
      <c r="B569">
        <v>9009154100</v>
      </c>
      <c r="C569" t="s">
        <v>2157</v>
      </c>
      <c r="D569">
        <v>8070</v>
      </c>
      <c r="E569">
        <v>2.4697373119999999</v>
      </c>
      <c r="F569">
        <v>3267.5539869999998</v>
      </c>
      <c r="G569">
        <v>1</v>
      </c>
      <c r="H569">
        <v>1456</v>
      </c>
      <c r="I569">
        <v>17.999752749999999</v>
      </c>
      <c r="J569">
        <v>0.73899999999999999</v>
      </c>
      <c r="K569">
        <f t="shared" si="8"/>
        <v>4</v>
      </c>
      <c r="N569">
        <v>4</v>
      </c>
      <c r="O569">
        <v>4</v>
      </c>
    </row>
    <row r="570" spans="1:15" x14ac:dyDescent="0.25">
      <c r="A570" t="s">
        <v>2158</v>
      </c>
      <c r="B570">
        <v>9009154200</v>
      </c>
      <c r="C570" t="s">
        <v>2159</v>
      </c>
      <c r="D570">
        <v>7176</v>
      </c>
      <c r="E570">
        <v>1.184925953</v>
      </c>
      <c r="F570">
        <v>6056.0746259999996</v>
      </c>
      <c r="G570">
        <v>1</v>
      </c>
      <c r="H570">
        <v>1030</v>
      </c>
      <c r="I570">
        <v>16.061125839999999</v>
      </c>
      <c r="J570">
        <v>0.68300000000000005</v>
      </c>
      <c r="K570">
        <f t="shared" si="8"/>
        <v>4</v>
      </c>
      <c r="N570">
        <v>4</v>
      </c>
      <c r="O570">
        <v>4</v>
      </c>
    </row>
    <row r="571" spans="1:15" x14ac:dyDescent="0.25">
      <c r="A571" t="s">
        <v>2160</v>
      </c>
      <c r="B571">
        <v>9009154500</v>
      </c>
      <c r="C571" t="s">
        <v>2161</v>
      </c>
      <c r="D571">
        <v>4813</v>
      </c>
      <c r="E571">
        <v>0.52658429299999998</v>
      </c>
      <c r="F571">
        <v>9140.0371479999994</v>
      </c>
      <c r="G571">
        <v>1</v>
      </c>
      <c r="H571">
        <v>743</v>
      </c>
      <c r="I571">
        <v>17.299185099999999</v>
      </c>
      <c r="J571">
        <v>0.71699999999999997</v>
      </c>
      <c r="K571">
        <f t="shared" si="8"/>
        <v>4</v>
      </c>
      <c r="N571">
        <v>4.5</v>
      </c>
      <c r="O571">
        <v>5</v>
      </c>
    </row>
    <row r="572" spans="1:15" x14ac:dyDescent="0.25">
      <c r="A572" t="s">
        <v>2162</v>
      </c>
      <c r="B572">
        <v>9009154600</v>
      </c>
      <c r="C572" t="s">
        <v>2163</v>
      </c>
      <c r="D572">
        <v>4029</v>
      </c>
      <c r="E572">
        <v>0.86725034999999995</v>
      </c>
      <c r="F572">
        <v>4645.7173519999997</v>
      </c>
      <c r="G572">
        <v>1</v>
      </c>
      <c r="H572">
        <v>1190</v>
      </c>
      <c r="I572">
        <v>25.607919089999999</v>
      </c>
      <c r="J572">
        <v>0.874</v>
      </c>
      <c r="K572">
        <f t="shared" si="8"/>
        <v>5</v>
      </c>
      <c r="N572">
        <v>5</v>
      </c>
      <c r="O572">
        <v>5</v>
      </c>
    </row>
    <row r="573" spans="1:15" x14ac:dyDescent="0.25">
      <c r="A573" t="s">
        <v>2164</v>
      </c>
      <c r="B573">
        <v>9009154700</v>
      </c>
      <c r="C573" t="s">
        <v>2165</v>
      </c>
      <c r="D573">
        <v>6384</v>
      </c>
      <c r="E573">
        <v>1.962751565</v>
      </c>
      <c r="F573">
        <v>3252.5766960000001</v>
      </c>
      <c r="G573">
        <v>1</v>
      </c>
      <c r="H573">
        <v>754</v>
      </c>
      <c r="I573">
        <v>11.316223920000001</v>
      </c>
      <c r="J573">
        <v>0.53300000000000003</v>
      </c>
      <c r="K573">
        <f t="shared" si="8"/>
        <v>3</v>
      </c>
      <c r="N573">
        <v>3</v>
      </c>
      <c r="O573">
        <v>3</v>
      </c>
    </row>
    <row r="574" spans="1:15" x14ac:dyDescent="0.25">
      <c r="A574" t="s">
        <v>2166</v>
      </c>
      <c r="B574">
        <v>9009154800</v>
      </c>
      <c r="C574" t="s">
        <v>2167</v>
      </c>
      <c r="D574">
        <v>5135</v>
      </c>
      <c r="E574">
        <v>0.75609269199999996</v>
      </c>
      <c r="F574">
        <v>6791.4953450000003</v>
      </c>
      <c r="G574">
        <v>1</v>
      </c>
      <c r="H574">
        <v>278</v>
      </c>
      <c r="I574">
        <v>5.5500099819999997</v>
      </c>
      <c r="J574">
        <v>0.20599999999999999</v>
      </c>
      <c r="K574">
        <f t="shared" si="8"/>
        <v>2</v>
      </c>
      <c r="N574">
        <v>2.5</v>
      </c>
      <c r="O574">
        <v>3</v>
      </c>
    </row>
    <row r="575" spans="1:15" x14ac:dyDescent="0.25">
      <c r="A575" t="s">
        <v>2168</v>
      </c>
      <c r="B575">
        <v>9009154900</v>
      </c>
      <c r="C575" t="s">
        <v>2169</v>
      </c>
      <c r="D575">
        <v>3670</v>
      </c>
      <c r="E575">
        <v>0.71461566600000004</v>
      </c>
      <c r="F575">
        <v>5135.6276859999998</v>
      </c>
      <c r="G575">
        <v>1</v>
      </c>
      <c r="H575">
        <v>271</v>
      </c>
      <c r="I575">
        <v>7.0207253889999999</v>
      </c>
      <c r="J575">
        <v>0.28599999999999998</v>
      </c>
      <c r="K575">
        <f t="shared" si="8"/>
        <v>2</v>
      </c>
      <c r="N575">
        <v>3</v>
      </c>
      <c r="O575">
        <v>3</v>
      </c>
    </row>
    <row r="576" spans="1:15" x14ac:dyDescent="0.25">
      <c r="A576" t="s">
        <v>2170</v>
      </c>
      <c r="B576">
        <v>9009155000</v>
      </c>
      <c r="C576" t="s">
        <v>2171</v>
      </c>
      <c r="D576">
        <v>5290</v>
      </c>
      <c r="E576">
        <v>0.60375955400000003</v>
      </c>
      <c r="F576">
        <v>8761.7661110000008</v>
      </c>
      <c r="G576">
        <v>1</v>
      </c>
      <c r="H576">
        <v>1668</v>
      </c>
      <c r="I576">
        <v>32.419825070000002</v>
      </c>
      <c r="J576">
        <v>0.95199999999999996</v>
      </c>
      <c r="K576">
        <f t="shared" si="8"/>
        <v>5</v>
      </c>
      <c r="N576">
        <v>4.5</v>
      </c>
      <c r="O576">
        <v>5</v>
      </c>
    </row>
    <row r="577" spans="1:15" x14ac:dyDescent="0.25">
      <c r="A577" t="s">
        <v>2172</v>
      </c>
      <c r="B577">
        <v>9009155100</v>
      </c>
      <c r="C577" t="s">
        <v>2173</v>
      </c>
      <c r="D577">
        <v>3390</v>
      </c>
      <c r="E577">
        <v>0.48756519300000001</v>
      </c>
      <c r="F577">
        <v>6952.9163410000001</v>
      </c>
      <c r="G577">
        <v>1</v>
      </c>
      <c r="H577">
        <v>608</v>
      </c>
      <c r="I577">
        <v>20.20604852</v>
      </c>
      <c r="J577">
        <v>0.79900000000000004</v>
      </c>
      <c r="K577">
        <f t="shared" si="8"/>
        <v>4</v>
      </c>
      <c r="N577">
        <v>4.5</v>
      </c>
      <c r="O577">
        <v>5</v>
      </c>
    </row>
    <row r="578" spans="1:15" x14ac:dyDescent="0.25">
      <c r="A578" t="s">
        <v>2174</v>
      </c>
      <c r="B578">
        <v>9009157100</v>
      </c>
      <c r="C578" t="s">
        <v>2175</v>
      </c>
      <c r="D578">
        <v>2603</v>
      </c>
      <c r="E578">
        <v>3.606949916</v>
      </c>
      <c r="F578">
        <v>721.66236300000003</v>
      </c>
      <c r="G578">
        <v>1</v>
      </c>
      <c r="H578">
        <v>722</v>
      </c>
      <c r="I578">
        <v>29.112903230000001</v>
      </c>
      <c r="J578">
        <v>0.91900000000000004</v>
      </c>
      <c r="K578">
        <f t="shared" si="8"/>
        <v>5</v>
      </c>
      <c r="N578">
        <v>4</v>
      </c>
      <c r="O578">
        <v>4</v>
      </c>
    </row>
    <row r="579" spans="1:15" x14ac:dyDescent="0.25">
      <c r="A579" t="s">
        <v>2176</v>
      </c>
      <c r="B579">
        <v>9009157200</v>
      </c>
      <c r="C579" t="s">
        <v>2177</v>
      </c>
      <c r="D579">
        <v>3837</v>
      </c>
      <c r="E579">
        <v>3.5861281979999999</v>
      </c>
      <c r="F579">
        <v>1069.9561719999999</v>
      </c>
      <c r="G579">
        <v>1</v>
      </c>
      <c r="H579">
        <v>337</v>
      </c>
      <c r="I579">
        <v>8.5947462380000008</v>
      </c>
      <c r="J579">
        <v>0.39200000000000002</v>
      </c>
      <c r="K579">
        <f t="shared" ref="K579:K642" si="9">IF(J579&lt;0.2,1,IF(J579&lt;0.4,2,IF(J579&lt;0.6,3,IF(J579&lt;0.8,4,5))))</f>
        <v>2</v>
      </c>
      <c r="N579">
        <v>1.5</v>
      </c>
      <c r="O579">
        <v>2</v>
      </c>
    </row>
    <row r="580" spans="1:15" x14ac:dyDescent="0.25">
      <c r="A580" t="s">
        <v>2178</v>
      </c>
      <c r="B580">
        <v>9009157300</v>
      </c>
      <c r="C580" t="s">
        <v>2179</v>
      </c>
      <c r="D580">
        <v>3310</v>
      </c>
      <c r="E580">
        <v>4.4937787360000003</v>
      </c>
      <c r="F580">
        <v>736.57387129999995</v>
      </c>
      <c r="G580">
        <v>1</v>
      </c>
      <c r="H580">
        <v>353</v>
      </c>
      <c r="I580">
        <v>10.502826539999999</v>
      </c>
      <c r="J580">
        <v>0.495</v>
      </c>
      <c r="K580">
        <f t="shared" si="9"/>
        <v>3</v>
      </c>
      <c r="N580">
        <v>2</v>
      </c>
      <c r="O580">
        <v>2</v>
      </c>
    </row>
    <row r="581" spans="1:15" x14ac:dyDescent="0.25">
      <c r="A581" t="s">
        <v>2180</v>
      </c>
      <c r="B581">
        <v>9009157400</v>
      </c>
      <c r="C581" t="s">
        <v>2181</v>
      </c>
      <c r="D581">
        <v>4206</v>
      </c>
      <c r="E581">
        <v>5.4941992009999998</v>
      </c>
      <c r="F581">
        <v>765.53467509999996</v>
      </c>
      <c r="G581">
        <v>1</v>
      </c>
      <c r="H581">
        <v>376</v>
      </c>
      <c r="I581">
        <v>9.0124640459999998</v>
      </c>
      <c r="J581">
        <v>0.42</v>
      </c>
      <c r="K581">
        <f t="shared" si="9"/>
        <v>3</v>
      </c>
      <c r="N581">
        <v>2</v>
      </c>
      <c r="O581">
        <v>2</v>
      </c>
    </row>
    <row r="582" spans="1:15" x14ac:dyDescent="0.25">
      <c r="A582" t="s">
        <v>2182</v>
      </c>
      <c r="B582">
        <v>9009160100</v>
      </c>
      <c r="C582" t="s">
        <v>2183</v>
      </c>
      <c r="D582">
        <v>3443</v>
      </c>
      <c r="E582">
        <v>6.728513414</v>
      </c>
      <c r="F582">
        <v>511.7029258</v>
      </c>
      <c r="G582">
        <v>1</v>
      </c>
      <c r="H582">
        <v>791</v>
      </c>
      <c r="I582">
        <v>24.32349323</v>
      </c>
      <c r="J582">
        <v>0.85599999999999998</v>
      </c>
      <c r="K582">
        <f t="shared" si="9"/>
        <v>5</v>
      </c>
      <c r="N582">
        <v>3</v>
      </c>
      <c r="O582">
        <v>3</v>
      </c>
    </row>
    <row r="583" spans="1:15" x14ac:dyDescent="0.25">
      <c r="A583" t="s">
        <v>2184</v>
      </c>
      <c r="B583">
        <v>9009160200</v>
      </c>
      <c r="C583" t="s">
        <v>2185</v>
      </c>
      <c r="D583">
        <v>5547</v>
      </c>
      <c r="E583">
        <v>12.08328069</v>
      </c>
      <c r="F583">
        <v>459.06406879999997</v>
      </c>
      <c r="G583">
        <v>1</v>
      </c>
      <c r="H583">
        <v>970</v>
      </c>
      <c r="I583">
        <v>17.399103140000001</v>
      </c>
      <c r="J583">
        <v>0.73199999999999998</v>
      </c>
      <c r="K583">
        <f t="shared" si="9"/>
        <v>4</v>
      </c>
      <c r="N583">
        <v>2.5</v>
      </c>
      <c r="O583">
        <v>3</v>
      </c>
    </row>
    <row r="584" spans="1:15" x14ac:dyDescent="0.25">
      <c r="A584" t="s">
        <v>2186</v>
      </c>
      <c r="B584">
        <v>9009161100</v>
      </c>
      <c r="C584" t="s">
        <v>2187</v>
      </c>
      <c r="D584">
        <v>5563</v>
      </c>
      <c r="E584">
        <v>21.12921643</v>
      </c>
      <c r="F584">
        <v>263.28472799999997</v>
      </c>
      <c r="G584">
        <v>1</v>
      </c>
      <c r="H584">
        <v>868</v>
      </c>
      <c r="I584">
        <v>15.744603659999999</v>
      </c>
      <c r="J584">
        <v>0.68100000000000005</v>
      </c>
      <c r="K584">
        <f t="shared" si="9"/>
        <v>4</v>
      </c>
      <c r="N584">
        <v>2.5</v>
      </c>
      <c r="O584">
        <v>3</v>
      </c>
    </row>
    <row r="585" spans="1:15" x14ac:dyDescent="0.25">
      <c r="A585" t="s">
        <v>2188</v>
      </c>
      <c r="B585">
        <v>9009165100</v>
      </c>
      <c r="C585" t="s">
        <v>2189</v>
      </c>
      <c r="D585">
        <v>3928</v>
      </c>
      <c r="E585">
        <v>1.8282748799999999</v>
      </c>
      <c r="F585">
        <v>2148.4734290000001</v>
      </c>
      <c r="G585">
        <v>1</v>
      </c>
      <c r="H585">
        <v>1059</v>
      </c>
      <c r="I585">
        <v>25.226298239999998</v>
      </c>
      <c r="J585">
        <v>0.871</v>
      </c>
      <c r="K585">
        <f t="shared" si="9"/>
        <v>5</v>
      </c>
      <c r="N585">
        <v>4</v>
      </c>
      <c r="O585">
        <v>4</v>
      </c>
    </row>
    <row r="586" spans="1:15" x14ac:dyDescent="0.25">
      <c r="A586" t="s">
        <v>2190</v>
      </c>
      <c r="B586">
        <v>9009165200</v>
      </c>
      <c r="C586" t="s">
        <v>2191</v>
      </c>
      <c r="D586">
        <v>2485</v>
      </c>
      <c r="E586">
        <v>1.3692260350000001</v>
      </c>
      <c r="F586">
        <v>1814.893916</v>
      </c>
      <c r="G586">
        <v>1</v>
      </c>
      <c r="H586">
        <v>244</v>
      </c>
      <c r="I586">
        <v>10.0370218</v>
      </c>
      <c r="J586">
        <v>0.47899999999999998</v>
      </c>
      <c r="K586">
        <f t="shared" si="9"/>
        <v>3</v>
      </c>
      <c r="N586">
        <v>2.5</v>
      </c>
      <c r="O586">
        <v>3</v>
      </c>
    </row>
    <row r="587" spans="1:15" x14ac:dyDescent="0.25">
      <c r="A587" t="s">
        <v>2192</v>
      </c>
      <c r="B587">
        <v>9009165300</v>
      </c>
      <c r="C587" t="s">
        <v>2193</v>
      </c>
      <c r="D587">
        <v>2289</v>
      </c>
      <c r="E587">
        <v>0.61575227399999999</v>
      </c>
      <c r="F587">
        <v>3717.4040559999999</v>
      </c>
      <c r="G587">
        <v>1</v>
      </c>
      <c r="H587">
        <v>184</v>
      </c>
      <c r="I587">
        <v>8.3826879269999992</v>
      </c>
      <c r="J587">
        <v>0.38900000000000001</v>
      </c>
      <c r="K587">
        <f t="shared" si="9"/>
        <v>2</v>
      </c>
      <c r="N587">
        <v>2</v>
      </c>
      <c r="O587">
        <v>2</v>
      </c>
    </row>
    <row r="588" spans="1:15" x14ac:dyDescent="0.25">
      <c r="A588" t="s">
        <v>2194</v>
      </c>
      <c r="B588">
        <v>9009165400</v>
      </c>
      <c r="C588" t="s">
        <v>2195</v>
      </c>
      <c r="D588">
        <v>5112</v>
      </c>
      <c r="E588">
        <v>1.1067116910000001</v>
      </c>
      <c r="F588">
        <v>4619.0891810000003</v>
      </c>
      <c r="G588">
        <v>1</v>
      </c>
      <c r="H588">
        <v>555</v>
      </c>
      <c r="I588">
        <v>11.721224919999999</v>
      </c>
      <c r="J588">
        <v>0.55800000000000005</v>
      </c>
      <c r="K588">
        <f t="shared" si="9"/>
        <v>3</v>
      </c>
      <c r="N588">
        <v>3</v>
      </c>
      <c r="O588">
        <v>3</v>
      </c>
    </row>
    <row r="589" spans="1:15" x14ac:dyDescent="0.25">
      <c r="A589" t="s">
        <v>2196</v>
      </c>
      <c r="B589">
        <v>9009165500</v>
      </c>
      <c r="C589" t="s">
        <v>2197</v>
      </c>
      <c r="D589">
        <v>4959</v>
      </c>
      <c r="E589">
        <v>0.60177035599999995</v>
      </c>
      <c r="F589">
        <v>8240.6850940000004</v>
      </c>
      <c r="G589">
        <v>1</v>
      </c>
      <c r="H589">
        <v>777</v>
      </c>
      <c r="I589">
        <v>16.416649060000001</v>
      </c>
      <c r="J589">
        <v>0.7</v>
      </c>
      <c r="K589">
        <f t="shared" si="9"/>
        <v>4</v>
      </c>
      <c r="N589">
        <v>4.5</v>
      </c>
      <c r="O589">
        <v>5</v>
      </c>
    </row>
    <row r="590" spans="1:15" x14ac:dyDescent="0.25">
      <c r="A590" t="s">
        <v>2198</v>
      </c>
      <c r="B590">
        <v>9009165600</v>
      </c>
      <c r="C590" t="s">
        <v>2199</v>
      </c>
      <c r="D590">
        <v>5569</v>
      </c>
      <c r="E590">
        <v>0.90630767400000001</v>
      </c>
      <c r="F590">
        <v>6144.7123970000002</v>
      </c>
      <c r="G590">
        <v>1</v>
      </c>
      <c r="H590">
        <v>1177</v>
      </c>
      <c r="I590">
        <v>21.330192100000001</v>
      </c>
      <c r="J590">
        <v>0.81699999999999995</v>
      </c>
      <c r="K590">
        <f t="shared" si="9"/>
        <v>5</v>
      </c>
      <c r="N590">
        <v>4.5</v>
      </c>
      <c r="O590">
        <v>5</v>
      </c>
    </row>
    <row r="591" spans="1:15" x14ac:dyDescent="0.25">
      <c r="A591" t="s">
        <v>2200</v>
      </c>
      <c r="B591">
        <v>9009165700</v>
      </c>
      <c r="C591" t="s">
        <v>2201</v>
      </c>
      <c r="D591">
        <v>4588</v>
      </c>
      <c r="E591">
        <v>1.0416256749999999</v>
      </c>
      <c r="F591">
        <v>4404.6533300000001</v>
      </c>
      <c r="G591">
        <v>1</v>
      </c>
      <c r="H591">
        <v>948</v>
      </c>
      <c r="I591">
        <v>19.672131149999998</v>
      </c>
      <c r="J591">
        <v>0.79500000000000004</v>
      </c>
      <c r="K591">
        <f t="shared" si="9"/>
        <v>4</v>
      </c>
      <c r="N591">
        <v>3.5</v>
      </c>
      <c r="O591">
        <v>4</v>
      </c>
    </row>
    <row r="592" spans="1:15" x14ac:dyDescent="0.25">
      <c r="A592" t="s">
        <v>2202</v>
      </c>
      <c r="B592">
        <v>9009165801</v>
      </c>
      <c r="C592" t="s">
        <v>2203</v>
      </c>
      <c r="D592">
        <v>5434</v>
      </c>
      <c r="E592">
        <v>1.5055957790000001</v>
      </c>
      <c r="F592">
        <v>3609.202468</v>
      </c>
      <c r="G592">
        <v>1</v>
      </c>
      <c r="H592">
        <v>1140</v>
      </c>
      <c r="I592">
        <v>19.377868429999999</v>
      </c>
      <c r="J592">
        <v>0.79</v>
      </c>
      <c r="K592">
        <f t="shared" si="9"/>
        <v>4</v>
      </c>
      <c r="N592">
        <v>4</v>
      </c>
      <c r="O592">
        <v>4</v>
      </c>
    </row>
    <row r="593" spans="1:15" x14ac:dyDescent="0.25">
      <c r="A593" t="s">
        <v>2204</v>
      </c>
      <c r="B593">
        <v>9009165802</v>
      </c>
      <c r="C593" t="s">
        <v>2205</v>
      </c>
      <c r="D593">
        <v>4086</v>
      </c>
      <c r="E593">
        <v>4.9728620360000004</v>
      </c>
      <c r="F593">
        <v>821.65963380000005</v>
      </c>
      <c r="G593">
        <v>1</v>
      </c>
      <c r="H593">
        <v>489</v>
      </c>
      <c r="I593">
        <v>11.42523364</v>
      </c>
      <c r="J593">
        <v>0.55700000000000005</v>
      </c>
      <c r="K593">
        <f t="shared" si="9"/>
        <v>3</v>
      </c>
      <c r="N593">
        <v>2.5</v>
      </c>
      <c r="O593">
        <v>3</v>
      </c>
    </row>
    <row r="594" spans="1:15" x14ac:dyDescent="0.25">
      <c r="A594" t="s">
        <v>2206</v>
      </c>
      <c r="B594">
        <v>9009165900</v>
      </c>
      <c r="C594" t="s">
        <v>2207</v>
      </c>
      <c r="D594">
        <v>7897</v>
      </c>
      <c r="E594">
        <v>10.43590279</v>
      </c>
      <c r="F594">
        <v>756.7145994</v>
      </c>
      <c r="G594">
        <v>1</v>
      </c>
      <c r="H594">
        <v>675</v>
      </c>
      <c r="I594">
        <v>8.4788343170000005</v>
      </c>
      <c r="J594">
        <v>0.40500000000000003</v>
      </c>
      <c r="K594">
        <f t="shared" si="9"/>
        <v>3</v>
      </c>
      <c r="N594">
        <v>2.5</v>
      </c>
      <c r="O594">
        <v>3</v>
      </c>
    </row>
    <row r="595" spans="1:15" x14ac:dyDescent="0.25">
      <c r="A595" t="s">
        <v>2208</v>
      </c>
      <c r="B595">
        <v>9009166001</v>
      </c>
      <c r="C595" t="s">
        <v>2209</v>
      </c>
      <c r="D595">
        <v>6887</v>
      </c>
      <c r="E595">
        <v>1.5721235</v>
      </c>
      <c r="F595">
        <v>4380.6990990000004</v>
      </c>
      <c r="G595">
        <v>1</v>
      </c>
      <c r="H595">
        <v>1278</v>
      </c>
      <c r="I595">
        <v>18.624307779999999</v>
      </c>
      <c r="J595">
        <v>0.77400000000000002</v>
      </c>
      <c r="K595">
        <f t="shared" si="9"/>
        <v>4</v>
      </c>
      <c r="N595">
        <v>3.5</v>
      </c>
      <c r="O595">
        <v>4</v>
      </c>
    </row>
    <row r="596" spans="1:15" x14ac:dyDescent="0.25">
      <c r="A596" t="s">
        <v>2210</v>
      </c>
      <c r="B596">
        <v>9009166002</v>
      </c>
      <c r="C596" t="s">
        <v>2211</v>
      </c>
      <c r="D596">
        <v>7726</v>
      </c>
      <c r="E596">
        <v>6.6902086030000003</v>
      </c>
      <c r="F596">
        <v>1154.8219879999999</v>
      </c>
      <c r="G596">
        <v>1</v>
      </c>
      <c r="H596">
        <v>841</v>
      </c>
      <c r="I596">
        <v>11.415773039999999</v>
      </c>
      <c r="J596">
        <v>0.55600000000000005</v>
      </c>
      <c r="K596">
        <f t="shared" si="9"/>
        <v>3</v>
      </c>
      <c r="N596">
        <v>2.5</v>
      </c>
      <c r="O596">
        <v>3</v>
      </c>
    </row>
    <row r="597" spans="1:15" x14ac:dyDescent="0.25">
      <c r="A597" t="s">
        <v>2212</v>
      </c>
      <c r="B597">
        <v>9009167100</v>
      </c>
      <c r="C597" t="s">
        <v>2213</v>
      </c>
      <c r="D597">
        <v>7743</v>
      </c>
      <c r="E597">
        <v>6.359049154</v>
      </c>
      <c r="F597">
        <v>1217.6348720000001</v>
      </c>
      <c r="G597">
        <v>1</v>
      </c>
      <c r="H597">
        <v>859</v>
      </c>
      <c r="I597">
        <v>10.66285998</v>
      </c>
      <c r="J597">
        <v>0.51500000000000001</v>
      </c>
      <c r="K597">
        <f t="shared" si="9"/>
        <v>3</v>
      </c>
      <c r="N597">
        <v>2.5</v>
      </c>
      <c r="O597">
        <v>3</v>
      </c>
    </row>
    <row r="598" spans="1:15" x14ac:dyDescent="0.25">
      <c r="A598" t="s">
        <v>2214</v>
      </c>
      <c r="B598">
        <v>9009167201</v>
      </c>
      <c r="C598" t="s">
        <v>2215</v>
      </c>
      <c r="D598">
        <v>4176</v>
      </c>
      <c r="E598">
        <v>3.648926559</v>
      </c>
      <c r="F598">
        <v>1144.4461630000001</v>
      </c>
      <c r="G598">
        <v>1</v>
      </c>
      <c r="H598">
        <v>358</v>
      </c>
      <c r="I598">
        <v>8.2185491279999994</v>
      </c>
      <c r="J598">
        <v>0.39</v>
      </c>
      <c r="K598">
        <f t="shared" si="9"/>
        <v>2</v>
      </c>
      <c r="N598">
        <v>2.5</v>
      </c>
      <c r="O598">
        <v>3</v>
      </c>
    </row>
    <row r="599" spans="1:15" x14ac:dyDescent="0.25">
      <c r="A599" t="s">
        <v>2216</v>
      </c>
      <c r="B599">
        <v>9009167202</v>
      </c>
      <c r="C599" t="s">
        <v>2217</v>
      </c>
      <c r="D599">
        <v>4485</v>
      </c>
      <c r="E599">
        <v>3.8170165269999998</v>
      </c>
      <c r="F599">
        <v>1175.0014619999999</v>
      </c>
      <c r="G599">
        <v>1</v>
      </c>
      <c r="H599">
        <v>620</v>
      </c>
      <c r="I599">
        <v>13.623379480000001</v>
      </c>
      <c r="J599">
        <v>0.63800000000000001</v>
      </c>
      <c r="K599">
        <f t="shared" si="9"/>
        <v>4</v>
      </c>
      <c r="N599">
        <v>3.5</v>
      </c>
      <c r="O599">
        <v>4</v>
      </c>
    </row>
    <row r="600" spans="1:15" x14ac:dyDescent="0.25">
      <c r="A600" t="s">
        <v>2218</v>
      </c>
      <c r="B600">
        <v>9009167300</v>
      </c>
      <c r="C600" t="s">
        <v>2219</v>
      </c>
      <c r="D600">
        <v>7689</v>
      </c>
      <c r="E600">
        <v>7.0147649330000004</v>
      </c>
      <c r="F600">
        <v>1096.1165590000001</v>
      </c>
      <c r="G600">
        <v>1</v>
      </c>
      <c r="H600">
        <v>509</v>
      </c>
      <c r="I600">
        <v>7.5306998079999996</v>
      </c>
      <c r="J600">
        <v>0.34</v>
      </c>
      <c r="K600">
        <f t="shared" si="9"/>
        <v>2</v>
      </c>
      <c r="N600">
        <v>2</v>
      </c>
      <c r="O600">
        <v>2</v>
      </c>
    </row>
    <row r="601" spans="1:15" x14ac:dyDescent="0.25">
      <c r="A601" t="s">
        <v>2220</v>
      </c>
      <c r="B601">
        <v>9009170100</v>
      </c>
      <c r="C601" t="s">
        <v>2221</v>
      </c>
      <c r="D601">
        <v>2022</v>
      </c>
      <c r="E601">
        <v>0.18744179499999999</v>
      </c>
      <c r="F601">
        <v>10787.348679999999</v>
      </c>
      <c r="G601">
        <v>1</v>
      </c>
      <c r="H601">
        <v>364</v>
      </c>
      <c r="I601">
        <v>24.202127659999999</v>
      </c>
      <c r="J601">
        <v>0.84799999999999998</v>
      </c>
      <c r="K601">
        <f t="shared" si="9"/>
        <v>5</v>
      </c>
      <c r="N601">
        <v>5</v>
      </c>
      <c r="O601">
        <v>5</v>
      </c>
    </row>
    <row r="602" spans="1:15" x14ac:dyDescent="0.25">
      <c r="A602" t="s">
        <v>2222</v>
      </c>
      <c r="B602">
        <v>9009170200</v>
      </c>
      <c r="C602" t="s">
        <v>2223</v>
      </c>
      <c r="D602">
        <v>2505</v>
      </c>
      <c r="E602">
        <v>0.24175633199999999</v>
      </c>
      <c r="F602">
        <v>10361.67274</v>
      </c>
      <c r="G602">
        <v>1</v>
      </c>
      <c r="H602">
        <v>368</v>
      </c>
      <c r="I602">
        <v>33.607305940000003</v>
      </c>
      <c r="J602">
        <v>0.95499999999999996</v>
      </c>
      <c r="K602">
        <f t="shared" si="9"/>
        <v>5</v>
      </c>
      <c r="N602">
        <v>5</v>
      </c>
      <c r="O602">
        <v>5</v>
      </c>
    </row>
    <row r="603" spans="1:15" x14ac:dyDescent="0.25">
      <c r="A603" t="s">
        <v>2224</v>
      </c>
      <c r="B603">
        <v>9009170300</v>
      </c>
      <c r="C603" t="s">
        <v>2225</v>
      </c>
      <c r="D603">
        <v>2147</v>
      </c>
      <c r="E603">
        <v>0.347598136</v>
      </c>
      <c r="F603">
        <v>6176.6729459999997</v>
      </c>
      <c r="G603">
        <v>1</v>
      </c>
      <c r="H603">
        <v>333</v>
      </c>
      <c r="I603">
        <v>16.460701929999999</v>
      </c>
      <c r="J603">
        <v>0.71299999999999997</v>
      </c>
      <c r="K603">
        <f t="shared" si="9"/>
        <v>4</v>
      </c>
      <c r="N603">
        <v>4.5</v>
      </c>
      <c r="O603">
        <v>5</v>
      </c>
    </row>
    <row r="604" spans="1:15" x14ac:dyDescent="0.25">
      <c r="A604" t="s">
        <v>2226</v>
      </c>
      <c r="B604">
        <v>9009170400</v>
      </c>
      <c r="C604" t="s">
        <v>2227</v>
      </c>
      <c r="D604">
        <v>1747</v>
      </c>
      <c r="E604">
        <v>2.0933019769999999</v>
      </c>
      <c r="F604">
        <v>834.56664130000001</v>
      </c>
      <c r="G604">
        <v>1</v>
      </c>
      <c r="H604">
        <v>547</v>
      </c>
      <c r="I604">
        <v>31.93228255</v>
      </c>
      <c r="J604">
        <v>0.95</v>
      </c>
      <c r="K604">
        <f t="shared" si="9"/>
        <v>5</v>
      </c>
      <c r="N604">
        <v>5</v>
      </c>
      <c r="O604">
        <v>5</v>
      </c>
    </row>
    <row r="605" spans="1:15" x14ac:dyDescent="0.25">
      <c r="A605" t="s">
        <v>2228</v>
      </c>
      <c r="B605">
        <v>9009170500</v>
      </c>
      <c r="C605" t="s">
        <v>2229</v>
      </c>
      <c r="D605">
        <v>5781</v>
      </c>
      <c r="E605">
        <v>2.8865388570000001</v>
      </c>
      <c r="F605">
        <v>2002.744563</v>
      </c>
      <c r="G605">
        <v>1</v>
      </c>
      <c r="H605">
        <v>803</v>
      </c>
      <c r="I605">
        <v>12.49222153</v>
      </c>
      <c r="J605">
        <v>0.61</v>
      </c>
      <c r="K605">
        <f t="shared" si="9"/>
        <v>4</v>
      </c>
      <c r="N605">
        <v>3.5</v>
      </c>
      <c r="O605">
        <v>4</v>
      </c>
    </row>
    <row r="606" spans="1:15" x14ac:dyDescent="0.25">
      <c r="A606" t="s">
        <v>2230</v>
      </c>
      <c r="B606">
        <v>9009170600</v>
      </c>
      <c r="C606" t="s">
        <v>2231</v>
      </c>
      <c r="D606">
        <v>2518</v>
      </c>
      <c r="E606">
        <v>0.80742574899999997</v>
      </c>
      <c r="F606">
        <v>3118.553011</v>
      </c>
      <c r="G606">
        <v>1</v>
      </c>
      <c r="H606">
        <v>279</v>
      </c>
      <c r="I606">
        <v>10.45335332</v>
      </c>
      <c r="J606">
        <v>0.52200000000000002</v>
      </c>
      <c r="K606">
        <f t="shared" si="9"/>
        <v>3</v>
      </c>
      <c r="N606">
        <v>4</v>
      </c>
      <c r="O606">
        <v>4</v>
      </c>
    </row>
    <row r="607" spans="1:15" x14ac:dyDescent="0.25">
      <c r="A607" t="s">
        <v>2232</v>
      </c>
      <c r="B607">
        <v>9009170700</v>
      </c>
      <c r="C607" t="s">
        <v>2233</v>
      </c>
      <c r="D607">
        <v>2598</v>
      </c>
      <c r="E607">
        <v>0.35529855700000001</v>
      </c>
      <c r="F607">
        <v>7312.1602839999996</v>
      </c>
      <c r="G607">
        <v>1</v>
      </c>
      <c r="H607">
        <v>315</v>
      </c>
      <c r="I607">
        <v>13.25199832</v>
      </c>
      <c r="J607">
        <v>0.63900000000000001</v>
      </c>
      <c r="K607">
        <f t="shared" si="9"/>
        <v>4</v>
      </c>
      <c r="N607">
        <v>4</v>
      </c>
      <c r="O607">
        <v>4</v>
      </c>
    </row>
    <row r="608" spans="1:15" x14ac:dyDescent="0.25">
      <c r="A608" t="s">
        <v>2234</v>
      </c>
      <c r="B608">
        <v>9009170800</v>
      </c>
      <c r="C608" t="s">
        <v>2235</v>
      </c>
      <c r="D608">
        <v>5741</v>
      </c>
      <c r="E608">
        <v>1.31295396</v>
      </c>
      <c r="F608">
        <v>4372.5828750000001</v>
      </c>
      <c r="G608">
        <v>1</v>
      </c>
      <c r="H608">
        <v>794</v>
      </c>
      <c r="I608">
        <v>11.98852484</v>
      </c>
      <c r="J608">
        <v>0.59599999999999997</v>
      </c>
      <c r="K608">
        <f t="shared" si="9"/>
        <v>3</v>
      </c>
      <c r="N608">
        <v>4</v>
      </c>
      <c r="O608">
        <v>4</v>
      </c>
    </row>
    <row r="609" spans="1:15" x14ac:dyDescent="0.25">
      <c r="A609" t="s">
        <v>2236</v>
      </c>
      <c r="B609">
        <v>9009170900</v>
      </c>
      <c r="C609" t="s">
        <v>2237</v>
      </c>
      <c r="D609">
        <v>2006</v>
      </c>
      <c r="E609">
        <v>0.26708115999999998</v>
      </c>
      <c r="F609">
        <v>7510.8255419999996</v>
      </c>
      <c r="G609">
        <v>1</v>
      </c>
      <c r="H609">
        <v>329</v>
      </c>
      <c r="I609">
        <v>13.67983368</v>
      </c>
      <c r="J609">
        <v>0.64500000000000002</v>
      </c>
      <c r="K609">
        <f t="shared" si="9"/>
        <v>4</v>
      </c>
      <c r="N609">
        <v>4.5</v>
      </c>
      <c r="O609">
        <v>5</v>
      </c>
    </row>
    <row r="610" spans="1:15" x14ac:dyDescent="0.25">
      <c r="A610" t="s">
        <v>2238</v>
      </c>
      <c r="B610">
        <v>9009171000</v>
      </c>
      <c r="C610" t="s">
        <v>2239</v>
      </c>
      <c r="D610">
        <v>1869</v>
      </c>
      <c r="E610">
        <v>0.196575428</v>
      </c>
      <c r="F610">
        <v>9507.8007340000004</v>
      </c>
      <c r="G610">
        <v>1</v>
      </c>
      <c r="H610">
        <v>318</v>
      </c>
      <c r="I610">
        <v>20.28061224</v>
      </c>
      <c r="J610">
        <v>0.81</v>
      </c>
      <c r="K610">
        <f t="shared" si="9"/>
        <v>5</v>
      </c>
      <c r="N610">
        <v>5</v>
      </c>
      <c r="O610">
        <v>5</v>
      </c>
    </row>
    <row r="611" spans="1:15" x14ac:dyDescent="0.25">
      <c r="A611" t="s">
        <v>2240</v>
      </c>
      <c r="B611">
        <v>9009171100</v>
      </c>
      <c r="C611" t="s">
        <v>2241</v>
      </c>
      <c r="D611">
        <v>5784</v>
      </c>
      <c r="E611">
        <v>1.649971737</v>
      </c>
      <c r="F611">
        <v>3505.5145910000001</v>
      </c>
      <c r="G611">
        <v>1</v>
      </c>
      <c r="H611">
        <v>466</v>
      </c>
      <c r="I611">
        <v>8.1682734440000004</v>
      </c>
      <c r="J611">
        <v>0.40400000000000003</v>
      </c>
      <c r="K611">
        <f t="shared" si="9"/>
        <v>3</v>
      </c>
      <c r="N611">
        <v>4</v>
      </c>
      <c r="O611">
        <v>4</v>
      </c>
    </row>
    <row r="612" spans="1:15" x14ac:dyDescent="0.25">
      <c r="A612" t="s">
        <v>2242</v>
      </c>
      <c r="B612">
        <v>9009171200</v>
      </c>
      <c r="C612" t="s">
        <v>2243</v>
      </c>
      <c r="D612">
        <v>8018</v>
      </c>
      <c r="E612">
        <v>5.2007692700000003</v>
      </c>
      <c r="F612">
        <v>1541.6950039999999</v>
      </c>
      <c r="G612">
        <v>1</v>
      </c>
      <c r="H612">
        <v>918</v>
      </c>
      <c r="I612">
        <v>11.08294096</v>
      </c>
      <c r="J612">
        <v>0.55600000000000005</v>
      </c>
      <c r="K612">
        <f t="shared" si="9"/>
        <v>3</v>
      </c>
      <c r="N612">
        <v>3</v>
      </c>
      <c r="O612">
        <v>3</v>
      </c>
    </row>
    <row r="613" spans="1:15" x14ac:dyDescent="0.25">
      <c r="A613" t="s">
        <v>2244</v>
      </c>
      <c r="B613">
        <v>9009171300</v>
      </c>
      <c r="C613" t="s">
        <v>2245</v>
      </c>
      <c r="D613">
        <v>3694</v>
      </c>
      <c r="E613">
        <v>0.74775134099999996</v>
      </c>
      <c r="F613">
        <v>4940.1449359999997</v>
      </c>
      <c r="G613">
        <v>1</v>
      </c>
      <c r="H613">
        <v>259</v>
      </c>
      <c r="I613">
        <v>7.196443457</v>
      </c>
      <c r="J613">
        <v>0.34699999999999998</v>
      </c>
      <c r="K613">
        <f t="shared" si="9"/>
        <v>2</v>
      </c>
      <c r="N613">
        <v>3</v>
      </c>
      <c r="O613">
        <v>3</v>
      </c>
    </row>
    <row r="614" spans="1:15" x14ac:dyDescent="0.25">
      <c r="A614" t="s">
        <v>2246</v>
      </c>
      <c r="B614">
        <v>9009171400</v>
      </c>
      <c r="C614" t="s">
        <v>2247</v>
      </c>
      <c r="D614">
        <v>2128</v>
      </c>
      <c r="E614">
        <v>0.26229735399999998</v>
      </c>
      <c r="F614">
        <v>8112.9297159999996</v>
      </c>
      <c r="G614">
        <v>1</v>
      </c>
      <c r="H614">
        <v>366</v>
      </c>
      <c r="I614">
        <v>22.23572296</v>
      </c>
      <c r="J614">
        <v>0.83899999999999997</v>
      </c>
      <c r="K614">
        <f t="shared" si="9"/>
        <v>5</v>
      </c>
      <c r="N614">
        <v>5</v>
      </c>
      <c r="O614">
        <v>5</v>
      </c>
    </row>
    <row r="615" spans="1:15" x14ac:dyDescent="0.25">
      <c r="A615" t="s">
        <v>2248</v>
      </c>
      <c r="B615">
        <v>9009171500</v>
      </c>
      <c r="C615" t="s">
        <v>2249</v>
      </c>
      <c r="D615">
        <v>3656</v>
      </c>
      <c r="E615">
        <v>0.38281605899999999</v>
      </c>
      <c r="F615">
        <v>9550.2785490000006</v>
      </c>
      <c r="G615">
        <v>1</v>
      </c>
      <c r="H615">
        <v>1450</v>
      </c>
      <c r="I615">
        <v>48.060987740000002</v>
      </c>
      <c r="J615">
        <v>0.995</v>
      </c>
      <c r="K615">
        <f t="shared" si="9"/>
        <v>5</v>
      </c>
      <c r="N615">
        <v>5</v>
      </c>
      <c r="O615">
        <v>5</v>
      </c>
    </row>
    <row r="616" spans="1:15" x14ac:dyDescent="0.25">
      <c r="A616" t="s">
        <v>2250</v>
      </c>
      <c r="B616">
        <v>9009171600</v>
      </c>
      <c r="C616" t="s">
        <v>2251</v>
      </c>
      <c r="D616">
        <v>4808</v>
      </c>
      <c r="E616">
        <v>2.9818369809999998</v>
      </c>
      <c r="F616">
        <v>1612.428858</v>
      </c>
      <c r="G616">
        <v>1</v>
      </c>
      <c r="H616">
        <v>476</v>
      </c>
      <c r="I616">
        <v>9.4877416780000008</v>
      </c>
      <c r="J616">
        <v>0.495</v>
      </c>
      <c r="K616">
        <f t="shared" si="9"/>
        <v>3</v>
      </c>
      <c r="N616">
        <v>3.5</v>
      </c>
      <c r="O616">
        <v>4</v>
      </c>
    </row>
    <row r="617" spans="1:15" x14ac:dyDescent="0.25">
      <c r="A617" t="s">
        <v>2252</v>
      </c>
      <c r="B617">
        <v>9009171700</v>
      </c>
      <c r="C617" t="s">
        <v>2253</v>
      </c>
      <c r="D617">
        <v>3846</v>
      </c>
      <c r="E617">
        <v>3.8716573200000002</v>
      </c>
      <c r="F617">
        <v>993.37303940000004</v>
      </c>
      <c r="G617">
        <v>1</v>
      </c>
      <c r="H617">
        <v>218</v>
      </c>
      <c r="I617">
        <v>5.4445554449999998</v>
      </c>
      <c r="J617">
        <v>0.24399999999999999</v>
      </c>
      <c r="K617">
        <f t="shared" si="9"/>
        <v>2</v>
      </c>
      <c r="N617">
        <v>3</v>
      </c>
      <c r="O617">
        <v>3</v>
      </c>
    </row>
    <row r="618" spans="1:15" x14ac:dyDescent="0.25">
      <c r="A618" t="s">
        <v>2254</v>
      </c>
      <c r="B618">
        <v>9009175100</v>
      </c>
      <c r="C618" t="s">
        <v>2255</v>
      </c>
      <c r="D618">
        <v>3244</v>
      </c>
      <c r="E618">
        <v>0.53204146100000005</v>
      </c>
      <c r="F618">
        <v>6097.2691729999997</v>
      </c>
      <c r="G618">
        <v>1</v>
      </c>
      <c r="H618">
        <v>265</v>
      </c>
      <c r="I618">
        <v>8.1613797350000006</v>
      </c>
      <c r="J618">
        <v>0.39900000000000002</v>
      </c>
      <c r="K618">
        <f t="shared" si="9"/>
        <v>2</v>
      </c>
      <c r="N618">
        <v>3</v>
      </c>
      <c r="O618">
        <v>3</v>
      </c>
    </row>
    <row r="619" spans="1:15" x14ac:dyDescent="0.25">
      <c r="A619" t="s">
        <v>2256</v>
      </c>
      <c r="B619">
        <v>9009175200</v>
      </c>
      <c r="C619" t="s">
        <v>2257</v>
      </c>
      <c r="D619">
        <v>2315</v>
      </c>
      <c r="E619">
        <v>0.309302205</v>
      </c>
      <c r="F619">
        <v>7484.5893779999997</v>
      </c>
      <c r="G619">
        <v>1</v>
      </c>
      <c r="H619">
        <v>321</v>
      </c>
      <c r="I619">
        <v>13.02231237</v>
      </c>
      <c r="J619">
        <v>0.63200000000000001</v>
      </c>
      <c r="K619">
        <f t="shared" si="9"/>
        <v>4</v>
      </c>
      <c r="N619">
        <v>4.5</v>
      </c>
      <c r="O619">
        <v>5</v>
      </c>
    </row>
    <row r="620" spans="1:15" x14ac:dyDescent="0.25">
      <c r="A620" t="s">
        <v>2258</v>
      </c>
      <c r="B620">
        <v>9009175300</v>
      </c>
      <c r="C620" t="s">
        <v>2259</v>
      </c>
      <c r="D620">
        <v>4327</v>
      </c>
      <c r="E620">
        <v>1.6766846019999999</v>
      </c>
      <c r="F620">
        <v>2580.6880999999998</v>
      </c>
      <c r="G620">
        <v>1</v>
      </c>
      <c r="H620">
        <v>491</v>
      </c>
      <c r="I620">
        <v>11.591123700000001</v>
      </c>
      <c r="J620">
        <v>0.57199999999999995</v>
      </c>
      <c r="K620">
        <f t="shared" si="9"/>
        <v>3</v>
      </c>
      <c r="N620">
        <v>3.5</v>
      </c>
      <c r="O620">
        <v>4</v>
      </c>
    </row>
    <row r="621" spans="1:15" x14ac:dyDescent="0.25">
      <c r="A621" t="s">
        <v>2260</v>
      </c>
      <c r="B621">
        <v>9009175400</v>
      </c>
      <c r="C621" t="s">
        <v>2261</v>
      </c>
      <c r="D621">
        <v>4431</v>
      </c>
      <c r="E621">
        <v>4.0144332719999998</v>
      </c>
      <c r="F621">
        <v>1103.767257</v>
      </c>
      <c r="G621">
        <v>1</v>
      </c>
      <c r="H621">
        <v>804</v>
      </c>
      <c r="I621">
        <v>17.38754325</v>
      </c>
      <c r="J621">
        <v>0.73599999999999999</v>
      </c>
      <c r="K621">
        <f t="shared" si="9"/>
        <v>4</v>
      </c>
      <c r="N621">
        <v>4.5</v>
      </c>
      <c r="O621">
        <v>5</v>
      </c>
    </row>
    <row r="622" spans="1:15" x14ac:dyDescent="0.25">
      <c r="A622" t="s">
        <v>2262</v>
      </c>
      <c r="B622">
        <v>9009175500</v>
      </c>
      <c r="C622" t="s">
        <v>2263</v>
      </c>
      <c r="D622">
        <v>7905</v>
      </c>
      <c r="E622">
        <v>5.3117651510000004</v>
      </c>
      <c r="F622">
        <v>1488.2058549999999</v>
      </c>
      <c r="G622">
        <v>1</v>
      </c>
      <c r="H622">
        <v>415</v>
      </c>
      <c r="I622">
        <v>5.5884729330000003</v>
      </c>
      <c r="J622">
        <v>0.25</v>
      </c>
      <c r="K622">
        <f t="shared" si="9"/>
        <v>2</v>
      </c>
      <c r="N622">
        <v>3</v>
      </c>
      <c r="O622">
        <v>3</v>
      </c>
    </row>
    <row r="623" spans="1:15" x14ac:dyDescent="0.25">
      <c r="A623" t="s">
        <v>2264</v>
      </c>
      <c r="B623">
        <v>9009175600</v>
      </c>
      <c r="C623" t="s">
        <v>2265</v>
      </c>
      <c r="D623">
        <v>5009</v>
      </c>
      <c r="E623">
        <v>2.464363541</v>
      </c>
      <c r="F623">
        <v>2032.573488</v>
      </c>
      <c r="G623">
        <v>1</v>
      </c>
      <c r="H623">
        <v>201</v>
      </c>
      <c r="I623">
        <v>4.1927409259999999</v>
      </c>
      <c r="J623">
        <v>0.157</v>
      </c>
      <c r="K623">
        <f t="shared" si="9"/>
        <v>1</v>
      </c>
      <c r="N623">
        <v>2.5</v>
      </c>
      <c r="O623">
        <v>3</v>
      </c>
    </row>
    <row r="624" spans="1:15" x14ac:dyDescent="0.25">
      <c r="A624" t="s">
        <v>2266</v>
      </c>
      <c r="B624">
        <v>9009175700</v>
      </c>
      <c r="C624" t="s">
        <v>2267</v>
      </c>
      <c r="D624">
        <v>2496</v>
      </c>
      <c r="E624">
        <v>2.1329832419999999</v>
      </c>
      <c r="F624">
        <v>1170.192035</v>
      </c>
      <c r="G624">
        <v>1</v>
      </c>
      <c r="H624">
        <v>134</v>
      </c>
      <c r="I624">
        <v>4.9740163329999998</v>
      </c>
      <c r="J624">
        <v>0.222</v>
      </c>
      <c r="K624">
        <f t="shared" si="9"/>
        <v>2</v>
      </c>
      <c r="N624">
        <v>2.5</v>
      </c>
      <c r="O624">
        <v>3</v>
      </c>
    </row>
    <row r="625" spans="1:15" x14ac:dyDescent="0.25">
      <c r="A625" t="s">
        <v>2268</v>
      </c>
      <c r="B625">
        <v>9009175800</v>
      </c>
      <c r="C625" t="s">
        <v>2269</v>
      </c>
      <c r="D625">
        <v>4014</v>
      </c>
      <c r="E625">
        <v>5.5840722039999999</v>
      </c>
      <c r="F625">
        <v>718.83024669999998</v>
      </c>
      <c r="G625">
        <v>1</v>
      </c>
      <c r="H625">
        <v>400</v>
      </c>
      <c r="I625">
        <v>9.2893636789999992</v>
      </c>
      <c r="J625">
        <v>0.47199999999999998</v>
      </c>
      <c r="K625">
        <f t="shared" si="9"/>
        <v>3</v>
      </c>
      <c r="N625">
        <v>2.5</v>
      </c>
      <c r="O625">
        <v>3</v>
      </c>
    </row>
    <row r="626" spans="1:15" x14ac:dyDescent="0.25">
      <c r="A626" t="s">
        <v>2270</v>
      </c>
      <c r="B626">
        <v>9009175900</v>
      </c>
      <c r="C626" t="s">
        <v>2271</v>
      </c>
      <c r="D626">
        <v>5043</v>
      </c>
      <c r="E626">
        <v>2.0182730580000001</v>
      </c>
      <c r="F626">
        <v>2498.670822</v>
      </c>
      <c r="G626">
        <v>1</v>
      </c>
      <c r="H626">
        <v>323</v>
      </c>
      <c r="I626">
        <v>6.3073618429999998</v>
      </c>
      <c r="J626">
        <v>0.30499999999999999</v>
      </c>
      <c r="K626">
        <f t="shared" si="9"/>
        <v>2</v>
      </c>
      <c r="N626">
        <v>3</v>
      </c>
      <c r="O626">
        <v>3</v>
      </c>
    </row>
    <row r="627" spans="1:15" x14ac:dyDescent="0.25">
      <c r="A627" t="s">
        <v>2272</v>
      </c>
      <c r="B627">
        <v>9009176000</v>
      </c>
      <c r="C627" t="s">
        <v>2273</v>
      </c>
      <c r="D627">
        <v>6351</v>
      </c>
      <c r="E627">
        <v>14.99619689</v>
      </c>
      <c r="F627">
        <v>423.50737620000001</v>
      </c>
      <c r="G627">
        <v>1</v>
      </c>
      <c r="H627">
        <v>295</v>
      </c>
      <c r="I627">
        <v>5.1909202890000001</v>
      </c>
      <c r="J627">
        <v>0.23100000000000001</v>
      </c>
      <c r="K627">
        <f t="shared" si="9"/>
        <v>2</v>
      </c>
      <c r="N627">
        <v>2.5</v>
      </c>
      <c r="O627">
        <v>3</v>
      </c>
    </row>
    <row r="628" spans="1:15" x14ac:dyDescent="0.25">
      <c r="A628" t="s">
        <v>2274</v>
      </c>
      <c r="B628">
        <v>9009180100</v>
      </c>
      <c r="C628" t="s">
        <v>2275</v>
      </c>
      <c r="D628">
        <v>6811</v>
      </c>
      <c r="E628">
        <v>2.297936902</v>
      </c>
      <c r="F628">
        <v>2963.963021</v>
      </c>
      <c r="G628">
        <v>1</v>
      </c>
      <c r="H628">
        <v>1455</v>
      </c>
      <c r="I628">
        <v>20.43252352</v>
      </c>
      <c r="J628">
        <v>0.80800000000000005</v>
      </c>
      <c r="K628">
        <f t="shared" si="9"/>
        <v>5</v>
      </c>
      <c r="N628">
        <v>4.5</v>
      </c>
      <c r="O628">
        <v>5</v>
      </c>
    </row>
    <row r="629" spans="1:15" x14ac:dyDescent="0.25">
      <c r="A629" t="s">
        <v>2276</v>
      </c>
      <c r="B629">
        <v>9009180200</v>
      </c>
      <c r="C629" t="s">
        <v>2277</v>
      </c>
      <c r="D629">
        <v>5545</v>
      </c>
      <c r="E629">
        <v>1.3991852469999999</v>
      </c>
      <c r="F629">
        <v>3963.02063</v>
      </c>
      <c r="G629">
        <v>1</v>
      </c>
      <c r="H629">
        <v>1640</v>
      </c>
      <c r="I629">
        <v>28.526700300000002</v>
      </c>
      <c r="J629">
        <v>0.90800000000000003</v>
      </c>
      <c r="K629">
        <f t="shared" si="9"/>
        <v>5</v>
      </c>
      <c r="N629">
        <v>4.5</v>
      </c>
      <c r="O629">
        <v>5</v>
      </c>
    </row>
    <row r="630" spans="1:15" x14ac:dyDescent="0.25">
      <c r="A630" t="s">
        <v>2278</v>
      </c>
      <c r="B630">
        <v>9009180300</v>
      </c>
      <c r="C630" t="s">
        <v>2279</v>
      </c>
      <c r="D630">
        <v>2546</v>
      </c>
      <c r="E630">
        <v>0.68661978400000001</v>
      </c>
      <c r="F630">
        <v>3708.02016</v>
      </c>
      <c r="G630">
        <v>1</v>
      </c>
      <c r="H630">
        <v>193</v>
      </c>
      <c r="I630">
        <v>8.744902583</v>
      </c>
      <c r="J630">
        <v>0.438</v>
      </c>
      <c r="K630">
        <f t="shared" si="9"/>
        <v>3</v>
      </c>
      <c r="N630">
        <v>3.5</v>
      </c>
      <c r="O630">
        <v>4</v>
      </c>
    </row>
    <row r="631" spans="1:15" x14ac:dyDescent="0.25">
      <c r="A631" t="s">
        <v>2280</v>
      </c>
      <c r="B631">
        <v>9009180400</v>
      </c>
      <c r="C631" t="s">
        <v>2281</v>
      </c>
      <c r="D631">
        <v>2690</v>
      </c>
      <c r="E631">
        <v>1.908305753</v>
      </c>
      <c r="F631">
        <v>1409.62736</v>
      </c>
      <c r="G631">
        <v>1</v>
      </c>
      <c r="H631">
        <v>485</v>
      </c>
      <c r="I631">
        <v>18.192048010000001</v>
      </c>
      <c r="J631">
        <v>0.75800000000000001</v>
      </c>
      <c r="K631">
        <f t="shared" si="9"/>
        <v>4</v>
      </c>
      <c r="N631">
        <v>3.5</v>
      </c>
      <c r="O631">
        <v>4</v>
      </c>
    </row>
    <row r="632" spans="1:15" x14ac:dyDescent="0.25">
      <c r="A632" t="s">
        <v>2282</v>
      </c>
      <c r="B632">
        <v>9009180500</v>
      </c>
      <c r="C632" t="s">
        <v>2283</v>
      </c>
      <c r="D632">
        <v>4692</v>
      </c>
      <c r="E632">
        <v>1.5928425150000001</v>
      </c>
      <c r="F632">
        <v>2945.677275</v>
      </c>
      <c r="G632">
        <v>1</v>
      </c>
      <c r="H632">
        <v>914</v>
      </c>
      <c r="I632">
        <v>19.856615250000001</v>
      </c>
      <c r="J632">
        <v>0.80400000000000005</v>
      </c>
      <c r="K632">
        <f t="shared" si="9"/>
        <v>5</v>
      </c>
      <c r="N632">
        <v>4</v>
      </c>
      <c r="O632">
        <v>4</v>
      </c>
    </row>
    <row r="633" spans="1:15" x14ac:dyDescent="0.25">
      <c r="A633" t="s">
        <v>2284</v>
      </c>
      <c r="B633">
        <v>9009180601</v>
      </c>
      <c r="C633" t="s">
        <v>2285</v>
      </c>
      <c r="D633">
        <v>3151</v>
      </c>
      <c r="E633">
        <v>1.519238699</v>
      </c>
      <c r="F633">
        <v>2074.0651229999999</v>
      </c>
      <c r="G633">
        <v>1</v>
      </c>
      <c r="H633">
        <v>38</v>
      </c>
      <c r="I633">
        <v>1.3384994720000001</v>
      </c>
      <c r="J633">
        <v>0.01</v>
      </c>
      <c r="K633">
        <f t="shared" si="9"/>
        <v>1</v>
      </c>
      <c r="N633">
        <v>2.5</v>
      </c>
      <c r="O633">
        <v>3</v>
      </c>
    </row>
    <row r="634" spans="1:15" x14ac:dyDescent="0.25">
      <c r="A634" t="s">
        <v>2286</v>
      </c>
      <c r="B634">
        <v>9009180602</v>
      </c>
      <c r="C634" t="s">
        <v>2287</v>
      </c>
      <c r="D634">
        <v>3822</v>
      </c>
      <c r="E634">
        <v>2.900677918</v>
      </c>
      <c r="F634">
        <v>1317.6230210000001</v>
      </c>
      <c r="G634">
        <v>1</v>
      </c>
      <c r="H634">
        <v>61</v>
      </c>
      <c r="I634">
        <v>1.7149283099999999</v>
      </c>
      <c r="J634">
        <v>1.4999999999999999E-2</v>
      </c>
      <c r="K634">
        <f t="shared" si="9"/>
        <v>1</v>
      </c>
      <c r="N634">
        <v>2</v>
      </c>
      <c r="O634">
        <v>2</v>
      </c>
    </row>
    <row r="635" spans="1:15" x14ac:dyDescent="0.25">
      <c r="A635" t="s">
        <v>2288</v>
      </c>
      <c r="B635">
        <v>9009184100</v>
      </c>
      <c r="C635" t="s">
        <v>2289</v>
      </c>
      <c r="D635">
        <v>5083</v>
      </c>
      <c r="E635">
        <v>1.5498689569999999</v>
      </c>
      <c r="F635">
        <v>3279.6321119999998</v>
      </c>
      <c r="G635">
        <v>1</v>
      </c>
      <c r="H635">
        <v>439</v>
      </c>
      <c r="I635">
        <v>8.7975951899999991</v>
      </c>
      <c r="J635">
        <v>0.439</v>
      </c>
      <c r="K635">
        <f t="shared" si="9"/>
        <v>3</v>
      </c>
      <c r="N635">
        <v>3.5</v>
      </c>
      <c r="O635">
        <v>4</v>
      </c>
    </row>
    <row r="636" spans="1:15" x14ac:dyDescent="0.25">
      <c r="A636" t="s">
        <v>2290</v>
      </c>
      <c r="B636">
        <v>9009184200</v>
      </c>
      <c r="C636" t="s">
        <v>2291</v>
      </c>
      <c r="D636">
        <v>4065</v>
      </c>
      <c r="E636">
        <v>2.0576550930000002</v>
      </c>
      <c r="F636">
        <v>1975.549747</v>
      </c>
      <c r="G636">
        <v>1</v>
      </c>
      <c r="H636">
        <v>885</v>
      </c>
      <c r="I636">
        <v>21.532846719999998</v>
      </c>
      <c r="J636">
        <v>0.82099999999999995</v>
      </c>
      <c r="K636">
        <f t="shared" si="9"/>
        <v>5</v>
      </c>
      <c r="N636">
        <v>4</v>
      </c>
      <c r="O636">
        <v>4</v>
      </c>
    </row>
    <row r="637" spans="1:15" x14ac:dyDescent="0.25">
      <c r="A637" t="s">
        <v>2292</v>
      </c>
      <c r="B637">
        <v>9009184300</v>
      </c>
      <c r="C637" t="s">
        <v>2293</v>
      </c>
      <c r="D637">
        <v>4279</v>
      </c>
      <c r="E637">
        <v>1.5662790719999999</v>
      </c>
      <c r="F637">
        <v>2731.9524839999999</v>
      </c>
      <c r="G637">
        <v>1</v>
      </c>
      <c r="H637">
        <v>220</v>
      </c>
      <c r="I637">
        <v>4.9382716049999997</v>
      </c>
      <c r="J637">
        <v>0.216</v>
      </c>
      <c r="K637">
        <f t="shared" si="9"/>
        <v>2</v>
      </c>
      <c r="N637">
        <v>2.5</v>
      </c>
      <c r="O637">
        <v>3</v>
      </c>
    </row>
    <row r="638" spans="1:15" x14ac:dyDescent="0.25">
      <c r="A638" t="s">
        <v>2294</v>
      </c>
      <c r="B638">
        <v>9009184400</v>
      </c>
      <c r="C638" t="s">
        <v>2295</v>
      </c>
      <c r="D638">
        <v>3327</v>
      </c>
      <c r="E638">
        <v>1.8377691330000001</v>
      </c>
      <c r="F638">
        <v>1810.3470890000001</v>
      </c>
      <c r="G638">
        <v>1</v>
      </c>
      <c r="H638">
        <v>138</v>
      </c>
      <c r="I638">
        <v>4.1095890410000004</v>
      </c>
      <c r="J638">
        <v>0.14299999999999999</v>
      </c>
      <c r="K638">
        <f t="shared" si="9"/>
        <v>1</v>
      </c>
      <c r="N638">
        <v>2</v>
      </c>
      <c r="O638">
        <v>2</v>
      </c>
    </row>
    <row r="639" spans="1:15" x14ac:dyDescent="0.25">
      <c r="A639" t="s">
        <v>2296</v>
      </c>
      <c r="B639">
        <v>9009184500</v>
      </c>
      <c r="C639" t="s">
        <v>2297</v>
      </c>
      <c r="D639">
        <v>2512</v>
      </c>
      <c r="E639">
        <v>2.011765692</v>
      </c>
      <c r="F639">
        <v>1248.6543590000001</v>
      </c>
      <c r="G639">
        <v>1</v>
      </c>
      <c r="H639">
        <v>107</v>
      </c>
      <c r="I639">
        <v>4.1650447640000001</v>
      </c>
      <c r="J639">
        <v>0.14399999999999999</v>
      </c>
      <c r="K639">
        <f t="shared" si="9"/>
        <v>1</v>
      </c>
      <c r="N639">
        <v>2</v>
      </c>
      <c r="O639">
        <v>2</v>
      </c>
    </row>
    <row r="640" spans="1:15" x14ac:dyDescent="0.25">
      <c r="A640" t="s">
        <v>2298</v>
      </c>
      <c r="B640">
        <v>9009184600</v>
      </c>
      <c r="C640" t="s">
        <v>2299</v>
      </c>
      <c r="D640">
        <v>2852</v>
      </c>
      <c r="E640">
        <v>4.8442274640000003</v>
      </c>
      <c r="F640">
        <v>588.74196589999997</v>
      </c>
      <c r="G640">
        <v>1</v>
      </c>
      <c r="H640">
        <v>75</v>
      </c>
      <c r="I640">
        <v>2.7472527470000001</v>
      </c>
      <c r="J640">
        <v>3.6999999999999998E-2</v>
      </c>
      <c r="K640">
        <f t="shared" si="9"/>
        <v>1</v>
      </c>
      <c r="N640">
        <v>1</v>
      </c>
      <c r="O640">
        <v>1</v>
      </c>
    </row>
    <row r="641" spans="1:15" x14ac:dyDescent="0.25">
      <c r="A641" t="s">
        <v>2300</v>
      </c>
      <c r="B641">
        <v>9009184700</v>
      </c>
      <c r="C641" t="s">
        <v>2301</v>
      </c>
      <c r="D641">
        <v>5908</v>
      </c>
      <c r="E641">
        <v>7.9670013920000002</v>
      </c>
      <c r="F641">
        <v>741.55880109999998</v>
      </c>
      <c r="G641">
        <v>1</v>
      </c>
      <c r="H641">
        <v>1027</v>
      </c>
      <c r="I641">
        <v>17.682506889999999</v>
      </c>
      <c r="J641">
        <v>0.745</v>
      </c>
      <c r="K641">
        <f t="shared" si="9"/>
        <v>4</v>
      </c>
      <c r="N641">
        <v>3.5</v>
      </c>
      <c r="O641">
        <v>4</v>
      </c>
    </row>
    <row r="642" spans="1:15" x14ac:dyDescent="0.25">
      <c r="A642" t="s">
        <v>2302</v>
      </c>
      <c r="B642">
        <v>9009186100</v>
      </c>
      <c r="C642" t="s">
        <v>2303</v>
      </c>
      <c r="D642">
        <v>7309</v>
      </c>
      <c r="E642">
        <v>7.6249839770000003</v>
      </c>
      <c r="F642">
        <v>958.55939139999998</v>
      </c>
      <c r="G642">
        <v>1</v>
      </c>
      <c r="H642">
        <v>524</v>
      </c>
      <c r="I642">
        <v>7.3194580250000003</v>
      </c>
      <c r="J642">
        <v>0.33600000000000002</v>
      </c>
      <c r="K642">
        <f t="shared" si="9"/>
        <v>2</v>
      </c>
      <c r="N642">
        <v>2.5</v>
      </c>
      <c r="O642">
        <v>3</v>
      </c>
    </row>
    <row r="643" spans="1:15" x14ac:dyDescent="0.25">
      <c r="A643" t="s">
        <v>2304</v>
      </c>
      <c r="B643">
        <v>9009186200</v>
      </c>
      <c r="C643" t="s">
        <v>2305</v>
      </c>
      <c r="D643">
        <v>7098</v>
      </c>
      <c r="E643">
        <v>17.132348100000002</v>
      </c>
      <c r="F643">
        <v>414.30397970000001</v>
      </c>
      <c r="G643">
        <v>1</v>
      </c>
      <c r="H643">
        <v>137</v>
      </c>
      <c r="I643">
        <v>1.9482366330000001</v>
      </c>
      <c r="J643">
        <v>2.1000000000000001E-2</v>
      </c>
      <c r="K643">
        <f t="shared" ref="K643:K706" si="10">IF(J643&lt;0.2,1,IF(J643&lt;0.4,2,IF(J643&lt;0.6,3,IF(J643&lt;0.8,4,5))))</f>
        <v>1</v>
      </c>
      <c r="N643">
        <v>1.5</v>
      </c>
      <c r="O643">
        <v>2</v>
      </c>
    </row>
    <row r="644" spans="1:15" x14ac:dyDescent="0.25">
      <c r="A644" t="s">
        <v>2306</v>
      </c>
      <c r="B644">
        <v>9009190100</v>
      </c>
      <c r="C644" t="s">
        <v>2307</v>
      </c>
      <c r="D644">
        <v>3340</v>
      </c>
      <c r="E644">
        <v>3.2021144499999998</v>
      </c>
      <c r="F644">
        <v>1043.0607809999999</v>
      </c>
      <c r="G644">
        <v>1</v>
      </c>
      <c r="H644">
        <v>202</v>
      </c>
      <c r="I644">
        <v>6.0569715139999998</v>
      </c>
      <c r="J644">
        <v>0.25800000000000001</v>
      </c>
      <c r="K644">
        <f t="shared" si="10"/>
        <v>2</v>
      </c>
      <c r="N644">
        <v>2.5</v>
      </c>
      <c r="O644">
        <v>3</v>
      </c>
    </row>
    <row r="645" spans="1:15" x14ac:dyDescent="0.25">
      <c r="A645" t="s">
        <v>2308</v>
      </c>
      <c r="B645">
        <v>9009190200</v>
      </c>
      <c r="C645" t="s">
        <v>2309</v>
      </c>
      <c r="D645">
        <v>3362</v>
      </c>
      <c r="E645">
        <v>7.8568696070000001</v>
      </c>
      <c r="F645">
        <v>427.90579050000002</v>
      </c>
      <c r="G645">
        <v>1</v>
      </c>
      <c r="H645">
        <v>418</v>
      </c>
      <c r="I645">
        <v>11.59500693</v>
      </c>
      <c r="J645">
        <v>0.55800000000000005</v>
      </c>
      <c r="K645">
        <f t="shared" si="10"/>
        <v>3</v>
      </c>
      <c r="N645">
        <v>2</v>
      </c>
      <c r="O645">
        <v>2</v>
      </c>
    </row>
    <row r="646" spans="1:15" x14ac:dyDescent="0.25">
      <c r="A646" t="s">
        <v>2310</v>
      </c>
      <c r="B646">
        <v>9009190301</v>
      </c>
      <c r="C646" t="s">
        <v>2311</v>
      </c>
      <c r="D646">
        <v>6791</v>
      </c>
      <c r="E646">
        <v>11.31647946</v>
      </c>
      <c r="F646">
        <v>600.09829249999996</v>
      </c>
      <c r="G646">
        <v>1</v>
      </c>
      <c r="H646">
        <v>581</v>
      </c>
      <c r="I646">
        <v>8.6496948039999992</v>
      </c>
      <c r="J646">
        <v>0.41599999999999998</v>
      </c>
      <c r="K646">
        <f t="shared" si="10"/>
        <v>3</v>
      </c>
      <c r="N646">
        <v>2</v>
      </c>
      <c r="O646">
        <v>2</v>
      </c>
    </row>
    <row r="647" spans="1:15" x14ac:dyDescent="0.25">
      <c r="A647" t="s">
        <v>2312</v>
      </c>
      <c r="B647">
        <v>9009190302</v>
      </c>
      <c r="C647" t="s">
        <v>2313</v>
      </c>
      <c r="D647">
        <v>5448</v>
      </c>
      <c r="E647">
        <v>7.7422057549999996</v>
      </c>
      <c r="F647">
        <v>703.67543460000002</v>
      </c>
      <c r="G647">
        <v>1</v>
      </c>
      <c r="H647">
        <v>329</v>
      </c>
      <c r="I647">
        <v>6.2846227319999999</v>
      </c>
      <c r="J647">
        <v>0.28399999999999997</v>
      </c>
      <c r="K647">
        <f t="shared" si="10"/>
        <v>2</v>
      </c>
      <c r="N647">
        <v>2</v>
      </c>
      <c r="O647">
        <v>2</v>
      </c>
    </row>
    <row r="648" spans="1:15" x14ac:dyDescent="0.25">
      <c r="A648" t="s">
        <v>2314</v>
      </c>
      <c r="B648">
        <v>9009190303</v>
      </c>
      <c r="C648" t="s">
        <v>2315</v>
      </c>
      <c r="D648">
        <v>3434</v>
      </c>
      <c r="E648">
        <v>17.000172589999998</v>
      </c>
      <c r="F648">
        <v>201.99794929999999</v>
      </c>
      <c r="G648">
        <v>1</v>
      </c>
      <c r="H648">
        <v>277</v>
      </c>
      <c r="I648">
        <v>8.3333333330000006</v>
      </c>
      <c r="J648">
        <v>0.39800000000000002</v>
      </c>
      <c r="K648">
        <f t="shared" si="10"/>
        <v>2</v>
      </c>
      <c r="N648">
        <v>2</v>
      </c>
      <c r="O648">
        <v>2</v>
      </c>
    </row>
    <row r="649" spans="1:15" x14ac:dyDescent="0.25">
      <c r="A649" t="s">
        <v>2316</v>
      </c>
      <c r="B649">
        <v>9009194100</v>
      </c>
      <c r="C649" t="s">
        <v>2317</v>
      </c>
      <c r="D649">
        <v>5154</v>
      </c>
      <c r="E649">
        <v>6.5418747110000002</v>
      </c>
      <c r="F649">
        <v>787.8475555</v>
      </c>
      <c r="G649">
        <v>1</v>
      </c>
      <c r="H649">
        <v>70</v>
      </c>
      <c r="I649">
        <v>1.419878296</v>
      </c>
      <c r="J649">
        <v>1.0999999999999999E-2</v>
      </c>
      <c r="K649">
        <f t="shared" si="10"/>
        <v>1</v>
      </c>
      <c r="N649">
        <v>2</v>
      </c>
      <c r="O649">
        <v>2</v>
      </c>
    </row>
    <row r="650" spans="1:15" x14ac:dyDescent="0.25">
      <c r="A650" t="s">
        <v>2318</v>
      </c>
      <c r="B650">
        <v>9009194201</v>
      </c>
      <c r="C650" t="s">
        <v>2319</v>
      </c>
      <c r="D650">
        <v>7837</v>
      </c>
      <c r="E650">
        <v>18.24780269</v>
      </c>
      <c r="F650">
        <v>429.47636670000003</v>
      </c>
      <c r="G650">
        <v>1</v>
      </c>
      <c r="H650">
        <v>718</v>
      </c>
      <c r="I650">
        <v>9.3404449070000002</v>
      </c>
      <c r="J650">
        <v>0.443</v>
      </c>
      <c r="K650">
        <f t="shared" si="10"/>
        <v>3</v>
      </c>
      <c r="N650">
        <v>2</v>
      </c>
      <c r="O650">
        <v>2</v>
      </c>
    </row>
    <row r="651" spans="1:15" x14ac:dyDescent="0.25">
      <c r="A651" t="s">
        <v>2320</v>
      </c>
      <c r="B651">
        <v>9009194202</v>
      </c>
      <c r="C651" t="s">
        <v>2321</v>
      </c>
      <c r="D651">
        <v>5278</v>
      </c>
      <c r="E651">
        <v>11.357661889999999</v>
      </c>
      <c r="F651">
        <v>464.7083222</v>
      </c>
      <c r="G651">
        <v>1</v>
      </c>
      <c r="H651">
        <v>545</v>
      </c>
      <c r="I651">
        <v>9.9163027659999994</v>
      </c>
      <c r="J651">
        <v>0.46200000000000002</v>
      </c>
      <c r="K651">
        <f t="shared" si="10"/>
        <v>3</v>
      </c>
      <c r="N651">
        <v>2</v>
      </c>
      <c r="O651">
        <v>2</v>
      </c>
    </row>
    <row r="652" spans="1:15" x14ac:dyDescent="0.25">
      <c r="A652" t="s">
        <v>2322</v>
      </c>
      <c r="B652">
        <v>9009341100</v>
      </c>
      <c r="C652" t="s">
        <v>2323</v>
      </c>
      <c r="D652">
        <v>6049</v>
      </c>
      <c r="E652">
        <v>9.6682957599999995</v>
      </c>
      <c r="F652">
        <v>625.65318130000003</v>
      </c>
      <c r="G652">
        <v>1</v>
      </c>
      <c r="H652">
        <v>261</v>
      </c>
      <c r="I652">
        <v>4.2315175099999998</v>
      </c>
      <c r="J652">
        <v>0.14299999999999999</v>
      </c>
      <c r="K652">
        <f t="shared" si="10"/>
        <v>1</v>
      </c>
      <c r="N652">
        <v>2</v>
      </c>
      <c r="O652">
        <v>2</v>
      </c>
    </row>
    <row r="653" spans="1:15" x14ac:dyDescent="0.25">
      <c r="A653" t="s">
        <v>2324</v>
      </c>
      <c r="B653">
        <v>9009343101</v>
      </c>
      <c r="C653" t="s">
        <v>2325</v>
      </c>
      <c r="D653">
        <v>5810</v>
      </c>
      <c r="E653">
        <v>6.5372051920000001</v>
      </c>
      <c r="F653">
        <v>888.75900779999995</v>
      </c>
      <c r="G653">
        <v>1</v>
      </c>
      <c r="H653">
        <v>1044</v>
      </c>
      <c r="I653">
        <v>17.493297590000001</v>
      </c>
      <c r="J653">
        <v>0.72799999999999998</v>
      </c>
      <c r="K653">
        <f t="shared" si="10"/>
        <v>4</v>
      </c>
      <c r="N653">
        <v>2.5</v>
      </c>
      <c r="O653">
        <v>3</v>
      </c>
    </row>
    <row r="654" spans="1:15" x14ac:dyDescent="0.25">
      <c r="A654" t="s">
        <v>2326</v>
      </c>
      <c r="B654">
        <v>9009343102</v>
      </c>
      <c r="C654" t="s">
        <v>2327</v>
      </c>
      <c r="D654">
        <v>3653</v>
      </c>
      <c r="E654">
        <v>4.5246479910000001</v>
      </c>
      <c r="F654">
        <v>807.35562359999994</v>
      </c>
      <c r="G654">
        <v>1</v>
      </c>
      <c r="H654">
        <v>354</v>
      </c>
      <c r="I654">
        <v>8.9893346879999996</v>
      </c>
      <c r="J654">
        <v>0.42399999999999999</v>
      </c>
      <c r="K654">
        <f t="shared" si="10"/>
        <v>3</v>
      </c>
      <c r="N654">
        <v>3</v>
      </c>
      <c r="O654">
        <v>3</v>
      </c>
    </row>
    <row r="655" spans="1:15" x14ac:dyDescent="0.25">
      <c r="A655" t="s">
        <v>2328</v>
      </c>
      <c r="B655">
        <v>9009343200</v>
      </c>
      <c r="C655" t="s">
        <v>2329</v>
      </c>
      <c r="D655">
        <v>6249</v>
      </c>
      <c r="E655">
        <v>8.6393099119999999</v>
      </c>
      <c r="F655">
        <v>723.3216615</v>
      </c>
      <c r="G655">
        <v>1</v>
      </c>
      <c r="H655">
        <v>646</v>
      </c>
      <c r="I655">
        <v>11.264167390000001</v>
      </c>
      <c r="J655">
        <v>0.53200000000000003</v>
      </c>
      <c r="K655">
        <f t="shared" si="10"/>
        <v>3</v>
      </c>
      <c r="N655">
        <v>2.5</v>
      </c>
      <c r="O655">
        <v>3</v>
      </c>
    </row>
    <row r="656" spans="1:15" x14ac:dyDescent="0.25">
      <c r="A656" t="s">
        <v>2330</v>
      </c>
      <c r="B656">
        <v>9009343300</v>
      </c>
      <c r="C656" t="s">
        <v>2331</v>
      </c>
      <c r="D656">
        <v>6809</v>
      </c>
      <c r="E656">
        <v>7.5639273229999997</v>
      </c>
      <c r="F656">
        <v>900.1937365</v>
      </c>
      <c r="G656">
        <v>1</v>
      </c>
      <c r="H656">
        <v>635</v>
      </c>
      <c r="I656">
        <v>9.0857061100000003</v>
      </c>
      <c r="J656">
        <v>0.435</v>
      </c>
      <c r="K656">
        <f t="shared" si="10"/>
        <v>3</v>
      </c>
      <c r="N656">
        <v>2.5</v>
      </c>
      <c r="O656">
        <v>3</v>
      </c>
    </row>
    <row r="657" spans="1:15" x14ac:dyDescent="0.25">
      <c r="A657" t="s">
        <v>2332</v>
      </c>
      <c r="B657">
        <v>9009343400</v>
      </c>
      <c r="C657" t="s">
        <v>2333</v>
      </c>
      <c r="D657">
        <v>6740</v>
      </c>
      <c r="E657">
        <v>5.804433457</v>
      </c>
      <c r="F657">
        <v>1161.1813709999999</v>
      </c>
      <c r="G657">
        <v>1</v>
      </c>
      <c r="H657">
        <v>1027</v>
      </c>
      <c r="I657">
        <v>15.75878472</v>
      </c>
      <c r="J657">
        <v>0.68</v>
      </c>
      <c r="K657">
        <f t="shared" si="10"/>
        <v>4</v>
      </c>
      <c r="N657">
        <v>3</v>
      </c>
      <c r="O657">
        <v>3</v>
      </c>
    </row>
    <row r="658" spans="1:15" x14ac:dyDescent="0.25">
      <c r="A658" t="s">
        <v>2334</v>
      </c>
      <c r="B658">
        <v>9009344100</v>
      </c>
      <c r="C658" t="s">
        <v>2335</v>
      </c>
      <c r="D658">
        <v>4856</v>
      </c>
      <c r="E658">
        <v>8.2378698279999991</v>
      </c>
      <c r="F658">
        <v>589.47277650000001</v>
      </c>
      <c r="G658">
        <v>1</v>
      </c>
      <c r="H658">
        <v>381</v>
      </c>
      <c r="I658">
        <v>7.7172371890000004</v>
      </c>
      <c r="J658">
        <v>0.35699999999999998</v>
      </c>
      <c r="K658">
        <f t="shared" si="10"/>
        <v>2</v>
      </c>
      <c r="N658">
        <v>2</v>
      </c>
      <c r="O658">
        <v>2</v>
      </c>
    </row>
    <row r="659" spans="1:15" x14ac:dyDescent="0.25">
      <c r="A659" t="s">
        <v>2336</v>
      </c>
      <c r="B659">
        <v>9009344200</v>
      </c>
      <c r="C659" t="s">
        <v>2337</v>
      </c>
      <c r="D659">
        <v>2719</v>
      </c>
      <c r="E659">
        <v>9.5131359680000003</v>
      </c>
      <c r="F659">
        <v>285.81531990000002</v>
      </c>
      <c r="G659">
        <v>1</v>
      </c>
      <c r="H659">
        <v>305</v>
      </c>
      <c r="I659">
        <v>10.88508208</v>
      </c>
      <c r="J659">
        <v>0.497</v>
      </c>
      <c r="K659">
        <f t="shared" si="10"/>
        <v>3</v>
      </c>
      <c r="N659">
        <v>2</v>
      </c>
      <c r="O659">
        <v>2</v>
      </c>
    </row>
    <row r="660" spans="1:15" x14ac:dyDescent="0.25">
      <c r="A660" t="s">
        <v>2338</v>
      </c>
      <c r="B660">
        <v>9009345100</v>
      </c>
      <c r="C660" t="s">
        <v>2339</v>
      </c>
      <c r="D660">
        <v>6979</v>
      </c>
      <c r="E660">
        <v>3.3230574810000002</v>
      </c>
      <c r="F660">
        <v>2100.1743240000001</v>
      </c>
      <c r="G660">
        <v>1</v>
      </c>
      <c r="H660">
        <v>557</v>
      </c>
      <c r="I660">
        <v>7.573079538</v>
      </c>
      <c r="J660">
        <v>0.34899999999999998</v>
      </c>
      <c r="K660">
        <f t="shared" si="10"/>
        <v>2</v>
      </c>
      <c r="N660">
        <v>3</v>
      </c>
      <c r="O660">
        <v>3</v>
      </c>
    </row>
    <row r="661" spans="1:15" x14ac:dyDescent="0.25">
      <c r="A661" t="s">
        <v>2340</v>
      </c>
      <c r="B661">
        <v>9009345201</v>
      </c>
      <c r="C661" t="s">
        <v>2341</v>
      </c>
      <c r="D661">
        <v>7065</v>
      </c>
      <c r="E661">
        <v>3.3367405560000001</v>
      </c>
      <c r="F661">
        <v>2117.3357299999998</v>
      </c>
      <c r="G661">
        <v>1</v>
      </c>
      <c r="H661">
        <v>1247</v>
      </c>
      <c r="I661">
        <v>16.644420719999999</v>
      </c>
      <c r="J661">
        <v>0.69599999999999995</v>
      </c>
      <c r="K661">
        <f t="shared" si="10"/>
        <v>4</v>
      </c>
      <c r="N661">
        <v>4</v>
      </c>
      <c r="O661">
        <v>4</v>
      </c>
    </row>
    <row r="662" spans="1:15" x14ac:dyDescent="0.25">
      <c r="A662" t="s">
        <v>2342</v>
      </c>
      <c r="B662">
        <v>9009345202</v>
      </c>
      <c r="C662" t="s">
        <v>2343</v>
      </c>
      <c r="D662">
        <v>4229</v>
      </c>
      <c r="E662">
        <v>1.803079783</v>
      </c>
      <c r="F662">
        <v>2345.4314340000001</v>
      </c>
      <c r="G662">
        <v>1</v>
      </c>
      <c r="H662">
        <v>379</v>
      </c>
      <c r="I662">
        <v>9.0930902109999998</v>
      </c>
      <c r="J662">
        <v>0.439</v>
      </c>
      <c r="K662">
        <f t="shared" si="10"/>
        <v>3</v>
      </c>
      <c r="N662">
        <v>3</v>
      </c>
      <c r="O662">
        <v>3</v>
      </c>
    </row>
    <row r="663" spans="1:15" x14ac:dyDescent="0.25">
      <c r="A663" t="s">
        <v>2344</v>
      </c>
      <c r="B663">
        <v>9009345300</v>
      </c>
      <c r="C663" t="s">
        <v>2345</v>
      </c>
      <c r="D663">
        <v>6455</v>
      </c>
      <c r="E663">
        <v>5.1045275109999997</v>
      </c>
      <c r="F663">
        <v>1264.563662</v>
      </c>
      <c r="G663">
        <v>1</v>
      </c>
      <c r="H663">
        <v>999</v>
      </c>
      <c r="I663">
        <v>16.633366630000001</v>
      </c>
      <c r="J663">
        <v>0.69299999999999995</v>
      </c>
      <c r="K663">
        <f t="shared" si="10"/>
        <v>4</v>
      </c>
      <c r="N663">
        <v>4.5</v>
      </c>
      <c r="O663">
        <v>5</v>
      </c>
    </row>
    <row r="664" spans="1:15" x14ac:dyDescent="0.25">
      <c r="A664" t="s">
        <v>2346</v>
      </c>
      <c r="B664">
        <v>9009345400</v>
      </c>
      <c r="C664" t="s">
        <v>2347</v>
      </c>
      <c r="D664">
        <v>7134</v>
      </c>
      <c r="E664">
        <v>2.7402798779999999</v>
      </c>
      <c r="F664">
        <v>2603.3837119999998</v>
      </c>
      <c r="G664">
        <v>1</v>
      </c>
      <c r="H664">
        <v>929</v>
      </c>
      <c r="I664">
        <v>14.68542523</v>
      </c>
      <c r="J664">
        <v>0.629</v>
      </c>
      <c r="K664">
        <f t="shared" si="10"/>
        <v>4</v>
      </c>
      <c r="N664">
        <v>4</v>
      </c>
      <c r="O664">
        <v>4</v>
      </c>
    </row>
    <row r="665" spans="1:15" x14ac:dyDescent="0.25">
      <c r="A665" t="s">
        <v>2348</v>
      </c>
      <c r="B665">
        <v>9009346101</v>
      </c>
      <c r="C665" t="s">
        <v>2349</v>
      </c>
      <c r="D665">
        <v>6674</v>
      </c>
      <c r="E665">
        <v>13.983450120000001</v>
      </c>
      <c r="F665">
        <v>477.27849309999999</v>
      </c>
      <c r="G665">
        <v>1</v>
      </c>
      <c r="H665">
        <v>204</v>
      </c>
      <c r="I665">
        <v>2.9445727480000001</v>
      </c>
      <c r="J665">
        <v>3.6999999999999998E-2</v>
      </c>
      <c r="K665">
        <f t="shared" si="10"/>
        <v>1</v>
      </c>
      <c r="N665">
        <v>1.5</v>
      </c>
      <c r="O665">
        <v>2</v>
      </c>
    </row>
    <row r="666" spans="1:15" x14ac:dyDescent="0.25">
      <c r="A666" t="s">
        <v>2350</v>
      </c>
      <c r="B666">
        <v>9009346102</v>
      </c>
      <c r="C666" t="s">
        <v>2351</v>
      </c>
      <c r="D666">
        <v>6009</v>
      </c>
      <c r="E666">
        <v>18.758535559999999</v>
      </c>
      <c r="F666">
        <v>320.33417429999997</v>
      </c>
      <c r="G666">
        <v>1</v>
      </c>
      <c r="H666">
        <v>420</v>
      </c>
      <c r="I666">
        <v>6.8203962330000003</v>
      </c>
      <c r="J666">
        <v>0.318</v>
      </c>
      <c r="K666">
        <f t="shared" si="10"/>
        <v>2</v>
      </c>
      <c r="N666">
        <v>2</v>
      </c>
      <c r="O666">
        <v>2</v>
      </c>
    </row>
    <row r="667" spans="1:15" x14ac:dyDescent="0.25">
      <c r="A667" t="s">
        <v>2352</v>
      </c>
      <c r="B667">
        <v>9009347100</v>
      </c>
      <c r="C667" t="s">
        <v>2353</v>
      </c>
      <c r="D667">
        <v>5527</v>
      </c>
      <c r="E667">
        <v>7.9956486279999996</v>
      </c>
      <c r="F667">
        <v>691.25098620000006</v>
      </c>
      <c r="G667">
        <v>1</v>
      </c>
      <c r="H667">
        <v>214</v>
      </c>
      <c r="I667">
        <v>3.672558778</v>
      </c>
      <c r="J667">
        <v>0.106</v>
      </c>
      <c r="K667">
        <f t="shared" si="10"/>
        <v>1</v>
      </c>
      <c r="N667">
        <v>2</v>
      </c>
      <c r="O667">
        <v>2</v>
      </c>
    </row>
    <row r="668" spans="1:15" x14ac:dyDescent="0.25">
      <c r="A668" t="s">
        <v>2354</v>
      </c>
      <c r="B668">
        <v>9009347200</v>
      </c>
      <c r="C668" t="s">
        <v>2355</v>
      </c>
      <c r="D668">
        <v>3878</v>
      </c>
      <c r="E668">
        <v>6.2296381299999997</v>
      </c>
      <c r="F668">
        <v>622.5080686</v>
      </c>
      <c r="G668">
        <v>1</v>
      </c>
      <c r="H668">
        <v>272</v>
      </c>
      <c r="I668">
        <v>7.0139247029999998</v>
      </c>
      <c r="J668">
        <v>0.32200000000000001</v>
      </c>
      <c r="K668">
        <f t="shared" si="10"/>
        <v>2</v>
      </c>
      <c r="N668">
        <v>2</v>
      </c>
      <c r="O668">
        <v>2</v>
      </c>
    </row>
    <row r="669" spans="1:15" x14ac:dyDescent="0.25">
      <c r="A669" t="s">
        <v>2356</v>
      </c>
      <c r="B669">
        <v>9009348111</v>
      </c>
      <c r="C669" t="s">
        <v>2357</v>
      </c>
      <c r="D669">
        <v>2902</v>
      </c>
      <c r="E669">
        <v>13.426967619999999</v>
      </c>
      <c r="F669">
        <v>216.1321963</v>
      </c>
      <c r="G669">
        <v>1</v>
      </c>
      <c r="H669">
        <v>169</v>
      </c>
      <c r="I669">
        <v>6.3845863239999998</v>
      </c>
      <c r="J669">
        <v>0.30499999999999999</v>
      </c>
      <c r="K669">
        <f t="shared" si="10"/>
        <v>2</v>
      </c>
      <c r="N669">
        <v>2</v>
      </c>
      <c r="O669">
        <v>2</v>
      </c>
    </row>
    <row r="670" spans="1:15" x14ac:dyDescent="0.25">
      <c r="A670" t="s">
        <v>2358</v>
      </c>
      <c r="B670">
        <v>9009348122</v>
      </c>
      <c r="C670" t="s">
        <v>2359</v>
      </c>
      <c r="D670">
        <v>4349</v>
      </c>
      <c r="E670">
        <v>7.7475146600000002</v>
      </c>
      <c r="F670">
        <v>561.34130630000004</v>
      </c>
      <c r="G670">
        <v>1</v>
      </c>
      <c r="H670">
        <v>201</v>
      </c>
      <c r="I670">
        <v>4.8166786479999999</v>
      </c>
      <c r="J670">
        <v>0.19800000000000001</v>
      </c>
      <c r="K670">
        <f t="shared" si="10"/>
        <v>1</v>
      </c>
      <c r="N670">
        <v>1</v>
      </c>
      <c r="O670">
        <v>1</v>
      </c>
    </row>
    <row r="671" spans="1:15" x14ac:dyDescent="0.25">
      <c r="A671" t="s">
        <v>2360</v>
      </c>
      <c r="B671">
        <v>9009348123</v>
      </c>
      <c r="C671" t="s">
        <v>2361</v>
      </c>
      <c r="D671">
        <v>5739</v>
      </c>
      <c r="E671">
        <v>10.82340497</v>
      </c>
      <c r="F671">
        <v>530.23979180000003</v>
      </c>
      <c r="G671">
        <v>1</v>
      </c>
      <c r="H671">
        <v>600</v>
      </c>
      <c r="I671">
        <v>10.05025126</v>
      </c>
      <c r="J671">
        <v>0.45800000000000002</v>
      </c>
      <c r="K671">
        <f t="shared" si="10"/>
        <v>3</v>
      </c>
      <c r="N671">
        <v>2</v>
      </c>
      <c r="O671">
        <v>2</v>
      </c>
    </row>
    <row r="672" spans="1:15" x14ac:dyDescent="0.25">
      <c r="A672" t="s">
        <v>2362</v>
      </c>
      <c r="B672">
        <v>9009348124</v>
      </c>
      <c r="C672" t="s">
        <v>2363</v>
      </c>
      <c r="D672">
        <v>2330</v>
      </c>
      <c r="E672">
        <v>3.094906231</v>
      </c>
      <c r="F672">
        <v>752.84994949999998</v>
      </c>
      <c r="G672">
        <v>1</v>
      </c>
      <c r="H672">
        <v>156</v>
      </c>
      <c r="I672">
        <v>6.2675773399999999</v>
      </c>
      <c r="J672">
        <v>0.29199999999999998</v>
      </c>
      <c r="K672">
        <f t="shared" si="10"/>
        <v>2</v>
      </c>
      <c r="N672">
        <v>3</v>
      </c>
      <c r="O672">
        <v>3</v>
      </c>
    </row>
    <row r="673" spans="1:15" x14ac:dyDescent="0.25">
      <c r="A673" t="s">
        <v>2364</v>
      </c>
      <c r="B673">
        <v>9009348125</v>
      </c>
      <c r="C673" t="s">
        <v>2365</v>
      </c>
      <c r="D673">
        <v>4584</v>
      </c>
      <c r="E673">
        <v>3.8996369870000001</v>
      </c>
      <c r="F673">
        <v>1175.4940309999999</v>
      </c>
      <c r="G673">
        <v>1</v>
      </c>
      <c r="H673">
        <v>113</v>
      </c>
      <c r="I673">
        <v>2.5670149929999999</v>
      </c>
      <c r="J673">
        <v>1.9E-2</v>
      </c>
      <c r="K673">
        <f t="shared" si="10"/>
        <v>1</v>
      </c>
      <c r="N673">
        <v>2</v>
      </c>
      <c r="O673">
        <v>2</v>
      </c>
    </row>
    <row r="674" spans="1:15" x14ac:dyDescent="0.25">
      <c r="A674" t="s">
        <v>2366</v>
      </c>
      <c r="B674">
        <v>9009350100</v>
      </c>
      <c r="C674" t="s">
        <v>2367</v>
      </c>
      <c r="D674">
        <v>4852</v>
      </c>
      <c r="E674">
        <v>0.44202598599999998</v>
      </c>
      <c r="F674">
        <v>10976.730219999999</v>
      </c>
      <c r="G674">
        <v>1</v>
      </c>
      <c r="H674">
        <v>889</v>
      </c>
      <c r="I674">
        <v>23.339459179999999</v>
      </c>
      <c r="J674">
        <v>0.80200000000000005</v>
      </c>
      <c r="K674">
        <f t="shared" si="10"/>
        <v>5</v>
      </c>
      <c r="N674">
        <v>5</v>
      </c>
      <c r="O674">
        <v>5</v>
      </c>
    </row>
    <row r="675" spans="1:15" x14ac:dyDescent="0.25">
      <c r="A675" t="s">
        <v>2368</v>
      </c>
      <c r="B675">
        <v>9009350200</v>
      </c>
      <c r="C675" t="s">
        <v>2369</v>
      </c>
      <c r="D675">
        <v>3355</v>
      </c>
      <c r="E675">
        <v>0.26204523000000002</v>
      </c>
      <c r="F675">
        <v>12803.13328</v>
      </c>
      <c r="G675">
        <v>1</v>
      </c>
      <c r="H675">
        <v>617</v>
      </c>
      <c r="I675">
        <v>21.39389736</v>
      </c>
      <c r="J675">
        <v>0.78100000000000003</v>
      </c>
      <c r="K675">
        <f t="shared" si="10"/>
        <v>4</v>
      </c>
      <c r="N675">
        <v>4.5</v>
      </c>
      <c r="O675">
        <v>5</v>
      </c>
    </row>
    <row r="676" spans="1:15" x14ac:dyDescent="0.25">
      <c r="A676" t="s">
        <v>2370</v>
      </c>
      <c r="B676">
        <v>9009350300</v>
      </c>
      <c r="C676" t="s">
        <v>2371</v>
      </c>
      <c r="D676">
        <v>1969</v>
      </c>
      <c r="E676">
        <v>0.187970369</v>
      </c>
      <c r="F676">
        <v>10475.055249999999</v>
      </c>
      <c r="G676">
        <v>1</v>
      </c>
      <c r="H676">
        <v>491</v>
      </c>
      <c r="I676">
        <v>26.214628940000001</v>
      </c>
      <c r="J676">
        <v>0.84599999999999997</v>
      </c>
      <c r="K676">
        <f t="shared" si="10"/>
        <v>5</v>
      </c>
      <c r="N676">
        <v>5</v>
      </c>
      <c r="O676">
        <v>5</v>
      </c>
    </row>
    <row r="677" spans="1:15" x14ac:dyDescent="0.25">
      <c r="A677" t="s">
        <v>2372</v>
      </c>
      <c r="B677">
        <v>9009350400</v>
      </c>
      <c r="C677" t="s">
        <v>2373</v>
      </c>
      <c r="D677">
        <v>2487</v>
      </c>
      <c r="E677">
        <v>0.200322164</v>
      </c>
      <c r="F677">
        <v>12415.001689999999</v>
      </c>
      <c r="G677">
        <v>1</v>
      </c>
      <c r="H677">
        <v>601</v>
      </c>
      <c r="I677">
        <v>25.618073320000001</v>
      </c>
      <c r="J677">
        <v>0.84499999999999997</v>
      </c>
      <c r="K677">
        <f t="shared" si="10"/>
        <v>5</v>
      </c>
      <c r="N677">
        <v>5</v>
      </c>
      <c r="O677">
        <v>5</v>
      </c>
    </row>
    <row r="678" spans="1:15" x14ac:dyDescent="0.25">
      <c r="A678" t="s">
        <v>2374</v>
      </c>
      <c r="B678">
        <v>9009350500</v>
      </c>
      <c r="C678" t="s">
        <v>2375</v>
      </c>
      <c r="D678">
        <v>2498</v>
      </c>
      <c r="E678">
        <v>0.31251843600000001</v>
      </c>
      <c r="F678">
        <v>7993.1284340000002</v>
      </c>
      <c r="G678">
        <v>1</v>
      </c>
      <c r="H678">
        <v>1205</v>
      </c>
      <c r="I678">
        <v>52.874067570000001</v>
      </c>
      <c r="J678">
        <v>1</v>
      </c>
      <c r="K678">
        <f t="shared" si="10"/>
        <v>5</v>
      </c>
      <c r="N678">
        <v>5</v>
      </c>
      <c r="O678">
        <v>5</v>
      </c>
    </row>
    <row r="679" spans="1:15" x14ac:dyDescent="0.25">
      <c r="A679" t="s">
        <v>2376</v>
      </c>
      <c r="B679">
        <v>9009350800</v>
      </c>
      <c r="C679" t="s">
        <v>2377</v>
      </c>
      <c r="D679">
        <v>5998</v>
      </c>
      <c r="E679">
        <v>0.42387841199999998</v>
      </c>
      <c r="F679">
        <v>14150.28422</v>
      </c>
      <c r="G679">
        <v>1</v>
      </c>
      <c r="H679">
        <v>758</v>
      </c>
      <c r="I679">
        <v>12.65653698</v>
      </c>
      <c r="J679">
        <v>0.59099999999999997</v>
      </c>
      <c r="K679">
        <f t="shared" si="10"/>
        <v>3</v>
      </c>
      <c r="N679">
        <v>4</v>
      </c>
      <c r="O679">
        <v>4</v>
      </c>
    </row>
    <row r="680" spans="1:15" x14ac:dyDescent="0.25">
      <c r="A680" t="s">
        <v>2378</v>
      </c>
      <c r="B680">
        <v>9009350900</v>
      </c>
      <c r="C680" t="s">
        <v>2379</v>
      </c>
      <c r="D680">
        <v>1987</v>
      </c>
      <c r="E680">
        <v>0.294017578</v>
      </c>
      <c r="F680">
        <v>6758.09933</v>
      </c>
      <c r="G680">
        <v>1</v>
      </c>
      <c r="H680">
        <v>262</v>
      </c>
      <c r="I680">
        <v>11.807120319999999</v>
      </c>
      <c r="J680">
        <v>0.54100000000000004</v>
      </c>
      <c r="K680">
        <f t="shared" si="10"/>
        <v>3</v>
      </c>
      <c r="N680">
        <v>3.5</v>
      </c>
      <c r="O680">
        <v>4</v>
      </c>
    </row>
    <row r="681" spans="1:15" x14ac:dyDescent="0.25">
      <c r="A681" t="s">
        <v>2380</v>
      </c>
      <c r="B681">
        <v>9009351000</v>
      </c>
      <c r="C681" t="s">
        <v>2381</v>
      </c>
      <c r="D681">
        <v>3678</v>
      </c>
      <c r="E681">
        <v>0.67972091000000001</v>
      </c>
      <c r="F681">
        <v>5411.0443660000001</v>
      </c>
      <c r="G681">
        <v>1</v>
      </c>
      <c r="H681">
        <v>689</v>
      </c>
      <c r="I681">
        <v>17.744012359999999</v>
      </c>
      <c r="J681">
        <v>0.71699999999999997</v>
      </c>
      <c r="K681">
        <f t="shared" si="10"/>
        <v>4</v>
      </c>
      <c r="N681">
        <v>4.5</v>
      </c>
      <c r="O681">
        <v>5</v>
      </c>
    </row>
    <row r="682" spans="1:15" x14ac:dyDescent="0.25">
      <c r="A682" t="s">
        <v>2382</v>
      </c>
      <c r="B682">
        <v>9009351100</v>
      </c>
      <c r="C682" t="s">
        <v>2383</v>
      </c>
      <c r="D682">
        <v>3928</v>
      </c>
      <c r="E682">
        <v>1.5363225620000001</v>
      </c>
      <c r="F682">
        <v>2556.7547450000002</v>
      </c>
      <c r="G682">
        <v>1</v>
      </c>
      <c r="H682">
        <v>1310</v>
      </c>
      <c r="I682">
        <v>34.582893349999999</v>
      </c>
      <c r="J682">
        <v>0.96499999999999997</v>
      </c>
      <c r="K682">
        <f t="shared" si="10"/>
        <v>5</v>
      </c>
      <c r="N682">
        <v>5</v>
      </c>
      <c r="O682">
        <v>5</v>
      </c>
    </row>
    <row r="683" spans="1:15" x14ac:dyDescent="0.25">
      <c r="A683" t="s">
        <v>2384</v>
      </c>
      <c r="B683">
        <v>9009351200</v>
      </c>
      <c r="C683" t="s">
        <v>2385</v>
      </c>
      <c r="D683">
        <v>3862</v>
      </c>
      <c r="E683">
        <v>0.69791095599999997</v>
      </c>
      <c r="F683">
        <v>5533.6572230000002</v>
      </c>
      <c r="G683">
        <v>1</v>
      </c>
      <c r="H683">
        <v>986</v>
      </c>
      <c r="I683">
        <v>24.64383904</v>
      </c>
      <c r="J683">
        <v>0.83199999999999996</v>
      </c>
      <c r="K683">
        <f t="shared" si="10"/>
        <v>5</v>
      </c>
      <c r="N683">
        <v>5</v>
      </c>
      <c r="O683">
        <v>5</v>
      </c>
    </row>
    <row r="684" spans="1:15" x14ac:dyDescent="0.25">
      <c r="A684" t="s">
        <v>2386</v>
      </c>
      <c r="B684">
        <v>9009351300</v>
      </c>
      <c r="C684" t="s">
        <v>2387</v>
      </c>
      <c r="D684">
        <v>5535</v>
      </c>
      <c r="E684">
        <v>0.87473146599999996</v>
      </c>
      <c r="F684">
        <v>6327.6562190000004</v>
      </c>
      <c r="G684">
        <v>1</v>
      </c>
      <c r="H684">
        <v>1642</v>
      </c>
      <c r="I684">
        <v>30.29520295</v>
      </c>
      <c r="J684">
        <v>0.92200000000000004</v>
      </c>
      <c r="K684">
        <f t="shared" si="10"/>
        <v>5</v>
      </c>
      <c r="N684">
        <v>5</v>
      </c>
      <c r="O684">
        <v>5</v>
      </c>
    </row>
    <row r="685" spans="1:15" x14ac:dyDescent="0.25">
      <c r="A685" t="s">
        <v>2388</v>
      </c>
      <c r="B685">
        <v>9009351400</v>
      </c>
      <c r="C685" t="s">
        <v>2389</v>
      </c>
      <c r="D685">
        <v>4352</v>
      </c>
      <c r="E685">
        <v>0.43980280999999999</v>
      </c>
      <c r="F685">
        <v>9895.3437819999999</v>
      </c>
      <c r="G685">
        <v>1</v>
      </c>
      <c r="H685">
        <v>1552</v>
      </c>
      <c r="I685">
        <v>36.698983210000002</v>
      </c>
      <c r="J685">
        <v>0.97099999999999997</v>
      </c>
      <c r="K685">
        <f t="shared" si="10"/>
        <v>5</v>
      </c>
      <c r="N685">
        <v>5</v>
      </c>
      <c r="O685">
        <v>5</v>
      </c>
    </row>
    <row r="686" spans="1:15" x14ac:dyDescent="0.25">
      <c r="A686" t="s">
        <v>2390</v>
      </c>
      <c r="B686">
        <v>9009351500</v>
      </c>
      <c r="C686" t="s">
        <v>2391</v>
      </c>
      <c r="D686">
        <v>4915</v>
      </c>
      <c r="E686">
        <v>1.0825876409999999</v>
      </c>
      <c r="F686">
        <v>4540.0481330000002</v>
      </c>
      <c r="G686">
        <v>1</v>
      </c>
      <c r="H686">
        <v>1268</v>
      </c>
      <c r="I686">
        <v>25.610987680000001</v>
      </c>
      <c r="J686">
        <v>0.86399999999999999</v>
      </c>
      <c r="K686">
        <f t="shared" si="10"/>
        <v>5</v>
      </c>
      <c r="N686">
        <v>4.5</v>
      </c>
      <c r="O686">
        <v>5</v>
      </c>
    </row>
    <row r="687" spans="1:15" x14ac:dyDescent="0.25">
      <c r="A687" t="s">
        <v>2392</v>
      </c>
      <c r="B687">
        <v>9009351601</v>
      </c>
      <c r="C687" t="s">
        <v>2393</v>
      </c>
      <c r="D687">
        <v>3281</v>
      </c>
      <c r="E687">
        <v>0.44680014000000001</v>
      </c>
      <c r="F687">
        <v>7343.3280549999999</v>
      </c>
      <c r="G687">
        <v>1</v>
      </c>
      <c r="H687">
        <v>306</v>
      </c>
      <c r="I687">
        <v>9.9804305279999994</v>
      </c>
      <c r="J687">
        <v>0.48899999999999999</v>
      </c>
      <c r="K687">
        <f t="shared" si="10"/>
        <v>3</v>
      </c>
      <c r="N687">
        <v>4</v>
      </c>
      <c r="O687">
        <v>4</v>
      </c>
    </row>
    <row r="688" spans="1:15" x14ac:dyDescent="0.25">
      <c r="A688" t="s">
        <v>2394</v>
      </c>
      <c r="B688">
        <v>9009351602</v>
      </c>
      <c r="C688" t="s">
        <v>2395</v>
      </c>
      <c r="D688">
        <v>6221</v>
      </c>
      <c r="E688">
        <v>1.612925234</v>
      </c>
      <c r="F688">
        <v>3856.9673720000001</v>
      </c>
      <c r="G688">
        <v>1</v>
      </c>
      <c r="H688">
        <v>303</v>
      </c>
      <c r="I688">
        <v>3.9894667539999999</v>
      </c>
      <c r="J688">
        <v>0.13700000000000001</v>
      </c>
      <c r="K688">
        <f t="shared" si="10"/>
        <v>1</v>
      </c>
      <c r="N688">
        <v>2.5</v>
      </c>
      <c r="O688">
        <v>3</v>
      </c>
    </row>
    <row r="689" spans="1:15" x14ac:dyDescent="0.25">
      <c r="A689" t="s">
        <v>2396</v>
      </c>
      <c r="B689">
        <v>9009351700</v>
      </c>
      <c r="C689" t="s">
        <v>2397</v>
      </c>
      <c r="D689">
        <v>2717</v>
      </c>
      <c r="E689">
        <v>0.252554838</v>
      </c>
      <c r="F689">
        <v>10758.059600000001</v>
      </c>
      <c r="G689">
        <v>1</v>
      </c>
      <c r="H689">
        <v>281</v>
      </c>
      <c r="I689">
        <v>9.0645161289999994</v>
      </c>
      <c r="J689">
        <v>0.45200000000000001</v>
      </c>
      <c r="K689">
        <f t="shared" si="10"/>
        <v>3</v>
      </c>
      <c r="N689">
        <v>4</v>
      </c>
      <c r="O689">
        <v>4</v>
      </c>
    </row>
    <row r="690" spans="1:15" x14ac:dyDescent="0.25">
      <c r="A690" t="s">
        <v>2398</v>
      </c>
      <c r="B690">
        <v>9009351800</v>
      </c>
      <c r="C690" t="s">
        <v>2399</v>
      </c>
      <c r="D690">
        <v>4252</v>
      </c>
      <c r="E690">
        <v>1.7574718490000001</v>
      </c>
      <c r="F690">
        <v>2419.3844140000001</v>
      </c>
      <c r="G690">
        <v>1</v>
      </c>
      <c r="H690">
        <v>383</v>
      </c>
      <c r="I690">
        <v>10.05513258</v>
      </c>
      <c r="J690">
        <v>0.48499999999999999</v>
      </c>
      <c r="K690">
        <f t="shared" si="10"/>
        <v>3</v>
      </c>
      <c r="N690">
        <v>4</v>
      </c>
      <c r="O690">
        <v>4</v>
      </c>
    </row>
    <row r="691" spans="1:15" x14ac:dyDescent="0.25">
      <c r="A691" t="s">
        <v>2400</v>
      </c>
      <c r="B691">
        <v>9009351900</v>
      </c>
      <c r="C691" t="s">
        <v>2401</v>
      </c>
      <c r="D691">
        <v>2456</v>
      </c>
      <c r="E691">
        <v>2.5294885539999998</v>
      </c>
      <c r="F691">
        <v>970.94726779999996</v>
      </c>
      <c r="G691">
        <v>1</v>
      </c>
      <c r="H691">
        <v>366</v>
      </c>
      <c r="I691">
        <v>16.37583893</v>
      </c>
      <c r="J691">
        <v>0.71099999999999997</v>
      </c>
      <c r="K691">
        <f t="shared" si="10"/>
        <v>4</v>
      </c>
      <c r="N691">
        <v>3.5</v>
      </c>
      <c r="O691">
        <v>4</v>
      </c>
    </row>
    <row r="692" spans="1:15" x14ac:dyDescent="0.25">
      <c r="A692" t="s">
        <v>2402</v>
      </c>
      <c r="B692">
        <v>9009352000</v>
      </c>
      <c r="C692" t="s">
        <v>2403</v>
      </c>
      <c r="D692">
        <v>4920</v>
      </c>
      <c r="E692">
        <v>1.7420107739999999</v>
      </c>
      <c r="F692">
        <v>2824.3223720000001</v>
      </c>
      <c r="G692">
        <v>1</v>
      </c>
      <c r="H692">
        <v>579</v>
      </c>
      <c r="I692">
        <v>12.644682250000001</v>
      </c>
      <c r="J692">
        <v>0.60399999999999998</v>
      </c>
      <c r="K692">
        <f t="shared" si="10"/>
        <v>4</v>
      </c>
      <c r="N692">
        <v>3.5</v>
      </c>
      <c r="O692">
        <v>4</v>
      </c>
    </row>
    <row r="693" spans="1:15" x14ac:dyDescent="0.25">
      <c r="A693" t="s">
        <v>2404</v>
      </c>
      <c r="B693">
        <v>9009352100</v>
      </c>
      <c r="C693" t="s">
        <v>2405</v>
      </c>
      <c r="D693">
        <v>4253</v>
      </c>
      <c r="E693">
        <v>0.75577454399999999</v>
      </c>
      <c r="F693">
        <v>5627.3395719999999</v>
      </c>
      <c r="G693">
        <v>1</v>
      </c>
      <c r="H693">
        <v>302</v>
      </c>
      <c r="I693">
        <v>7.0908664010000004</v>
      </c>
      <c r="J693">
        <v>0.35299999999999998</v>
      </c>
      <c r="K693">
        <f t="shared" si="10"/>
        <v>2</v>
      </c>
      <c r="N693">
        <v>3</v>
      </c>
      <c r="O693">
        <v>3</v>
      </c>
    </row>
    <row r="694" spans="1:15" x14ac:dyDescent="0.25">
      <c r="A694" t="s">
        <v>2406</v>
      </c>
      <c r="B694">
        <v>9009352200</v>
      </c>
      <c r="C694" t="s">
        <v>2407</v>
      </c>
      <c r="D694">
        <v>2689</v>
      </c>
      <c r="E694">
        <v>0.73173234799999998</v>
      </c>
      <c r="F694">
        <v>3674.8409550000001</v>
      </c>
      <c r="G694">
        <v>1</v>
      </c>
      <c r="H694">
        <v>411</v>
      </c>
      <c r="I694">
        <v>15.1604574</v>
      </c>
      <c r="J694">
        <v>0.65900000000000003</v>
      </c>
      <c r="K694">
        <f t="shared" si="10"/>
        <v>4</v>
      </c>
      <c r="N694">
        <v>4.5</v>
      </c>
      <c r="O694">
        <v>5</v>
      </c>
    </row>
    <row r="695" spans="1:15" x14ac:dyDescent="0.25">
      <c r="A695" t="s">
        <v>2408</v>
      </c>
      <c r="B695">
        <v>9009352300</v>
      </c>
      <c r="C695" t="s">
        <v>2409</v>
      </c>
      <c r="D695">
        <v>2815</v>
      </c>
      <c r="E695">
        <v>2.540453855</v>
      </c>
      <c r="F695">
        <v>1108.0697230000001</v>
      </c>
      <c r="G695">
        <v>1</v>
      </c>
      <c r="H695">
        <v>130</v>
      </c>
      <c r="I695">
        <v>4.9599389550000001</v>
      </c>
      <c r="J695">
        <v>0.22900000000000001</v>
      </c>
      <c r="K695">
        <f t="shared" si="10"/>
        <v>2</v>
      </c>
      <c r="N695">
        <v>3.5</v>
      </c>
      <c r="O695">
        <v>4</v>
      </c>
    </row>
    <row r="696" spans="1:15" x14ac:dyDescent="0.25">
      <c r="A696" t="s">
        <v>2410</v>
      </c>
      <c r="B696">
        <v>9009352400</v>
      </c>
      <c r="C696" t="s">
        <v>2411</v>
      </c>
      <c r="D696">
        <v>3437</v>
      </c>
      <c r="E696">
        <v>1.67018187</v>
      </c>
      <c r="F696">
        <v>2057.859723</v>
      </c>
      <c r="G696">
        <v>1</v>
      </c>
      <c r="H696">
        <v>587</v>
      </c>
      <c r="I696">
        <v>15.541435</v>
      </c>
      <c r="J696">
        <v>0.67600000000000005</v>
      </c>
      <c r="K696">
        <f t="shared" si="10"/>
        <v>4</v>
      </c>
      <c r="N696">
        <v>4.5</v>
      </c>
      <c r="O696">
        <v>5</v>
      </c>
    </row>
    <row r="697" spans="1:15" x14ac:dyDescent="0.25">
      <c r="A697" t="s">
        <v>2412</v>
      </c>
      <c r="B697">
        <v>9009352500</v>
      </c>
      <c r="C697" t="s">
        <v>2413</v>
      </c>
      <c r="D697">
        <v>2731</v>
      </c>
      <c r="E697">
        <v>1.27931558</v>
      </c>
      <c r="F697">
        <v>2134.7352000000001</v>
      </c>
      <c r="G697">
        <v>1</v>
      </c>
      <c r="H697">
        <v>284</v>
      </c>
      <c r="I697">
        <v>8.5234093640000008</v>
      </c>
      <c r="J697">
        <v>0.441</v>
      </c>
      <c r="K697">
        <f t="shared" si="10"/>
        <v>3</v>
      </c>
      <c r="N697">
        <v>4</v>
      </c>
      <c r="O697">
        <v>4</v>
      </c>
    </row>
    <row r="698" spans="1:15" x14ac:dyDescent="0.25">
      <c r="A698" t="s">
        <v>2414</v>
      </c>
      <c r="B698">
        <v>9009352600</v>
      </c>
      <c r="C698" t="s">
        <v>2415</v>
      </c>
      <c r="D698">
        <v>5395</v>
      </c>
      <c r="E698">
        <v>0.87557394099999997</v>
      </c>
      <c r="F698">
        <v>6161.6726449999996</v>
      </c>
      <c r="G698">
        <v>1</v>
      </c>
      <c r="H698">
        <v>574</v>
      </c>
      <c r="I698">
        <v>11.32820209</v>
      </c>
      <c r="J698">
        <v>0.54600000000000004</v>
      </c>
      <c r="K698">
        <f t="shared" si="10"/>
        <v>3</v>
      </c>
      <c r="N698">
        <v>4</v>
      </c>
      <c r="O698">
        <v>4</v>
      </c>
    </row>
    <row r="699" spans="1:15" x14ac:dyDescent="0.25">
      <c r="A699" t="s">
        <v>2416</v>
      </c>
      <c r="B699">
        <v>9009352701</v>
      </c>
      <c r="C699" t="s">
        <v>2417</v>
      </c>
      <c r="D699">
        <v>3386</v>
      </c>
      <c r="E699">
        <v>1.1184044099999999</v>
      </c>
      <c r="F699">
        <v>3027.5274049999998</v>
      </c>
      <c r="G699">
        <v>1</v>
      </c>
      <c r="H699">
        <v>570</v>
      </c>
      <c r="I699">
        <v>18.955769870000001</v>
      </c>
      <c r="J699">
        <v>0.77100000000000002</v>
      </c>
      <c r="K699">
        <f t="shared" si="10"/>
        <v>4</v>
      </c>
      <c r="N699">
        <v>4.5</v>
      </c>
      <c r="O699">
        <v>5</v>
      </c>
    </row>
    <row r="700" spans="1:15" x14ac:dyDescent="0.25">
      <c r="A700" t="s">
        <v>2418</v>
      </c>
      <c r="B700">
        <v>9009352702</v>
      </c>
      <c r="C700" t="s">
        <v>2419</v>
      </c>
      <c r="D700">
        <v>5852</v>
      </c>
      <c r="E700">
        <v>1.1099846790000001</v>
      </c>
      <c r="F700">
        <v>5272.1448399999999</v>
      </c>
      <c r="G700">
        <v>1</v>
      </c>
      <c r="H700">
        <v>963</v>
      </c>
      <c r="I700">
        <v>18.497887049999999</v>
      </c>
      <c r="J700">
        <v>0.753</v>
      </c>
      <c r="K700">
        <f t="shared" si="10"/>
        <v>4</v>
      </c>
      <c r="N700">
        <v>4</v>
      </c>
      <c r="O700">
        <v>4</v>
      </c>
    </row>
    <row r="701" spans="1:15" x14ac:dyDescent="0.25">
      <c r="A701" t="s">
        <v>2420</v>
      </c>
      <c r="B701">
        <v>9009352800</v>
      </c>
      <c r="C701" t="s">
        <v>2421</v>
      </c>
      <c r="D701">
        <v>6545</v>
      </c>
      <c r="E701">
        <v>2.6626455409999998</v>
      </c>
      <c r="F701">
        <v>2458.0815950000001</v>
      </c>
      <c r="G701">
        <v>1</v>
      </c>
      <c r="H701">
        <v>2118</v>
      </c>
      <c r="I701">
        <v>33.936869090000002</v>
      </c>
      <c r="J701">
        <v>0.96</v>
      </c>
      <c r="K701">
        <f t="shared" si="10"/>
        <v>5</v>
      </c>
      <c r="N701">
        <v>5</v>
      </c>
      <c r="O701">
        <v>5</v>
      </c>
    </row>
    <row r="702" spans="1:15" x14ac:dyDescent="0.25">
      <c r="A702" t="s">
        <v>2422</v>
      </c>
      <c r="B702">
        <v>9009361100</v>
      </c>
      <c r="C702" t="s">
        <v>2423</v>
      </c>
      <c r="D702">
        <v>6503</v>
      </c>
      <c r="E702">
        <v>9.3128593649999996</v>
      </c>
      <c r="F702">
        <v>698.28177849999997</v>
      </c>
      <c r="G702">
        <v>1</v>
      </c>
      <c r="H702">
        <v>423</v>
      </c>
      <c r="I702">
        <v>6.3637731310000003</v>
      </c>
      <c r="J702">
        <v>0.33800000000000002</v>
      </c>
      <c r="K702">
        <f t="shared" si="10"/>
        <v>2</v>
      </c>
      <c r="N702">
        <v>2.5</v>
      </c>
      <c r="O702">
        <v>3</v>
      </c>
    </row>
    <row r="703" spans="1:15" x14ac:dyDescent="0.25">
      <c r="A703" t="s">
        <v>2424</v>
      </c>
      <c r="B703">
        <v>9009361200</v>
      </c>
      <c r="C703" t="s">
        <v>2425</v>
      </c>
      <c r="D703">
        <v>5524</v>
      </c>
      <c r="E703">
        <v>3.7408709999999998</v>
      </c>
      <c r="F703">
        <v>1476.6614509999999</v>
      </c>
      <c r="G703">
        <v>1</v>
      </c>
      <c r="H703">
        <v>339</v>
      </c>
      <c r="I703">
        <v>6.0074428500000003</v>
      </c>
      <c r="J703">
        <v>0.29199999999999998</v>
      </c>
      <c r="K703">
        <f t="shared" si="10"/>
        <v>2</v>
      </c>
      <c r="N703">
        <v>2.5</v>
      </c>
      <c r="O703">
        <v>3</v>
      </c>
    </row>
    <row r="704" spans="1:15" x14ac:dyDescent="0.25">
      <c r="A704" t="s">
        <v>2426</v>
      </c>
      <c r="B704">
        <v>9009361300</v>
      </c>
      <c r="C704" t="s">
        <v>2427</v>
      </c>
      <c r="D704">
        <v>4653</v>
      </c>
      <c r="E704">
        <v>7.380804081</v>
      </c>
      <c r="F704">
        <v>630.41911819999996</v>
      </c>
      <c r="G704">
        <v>1</v>
      </c>
      <c r="H704">
        <v>147</v>
      </c>
      <c r="I704">
        <v>3.398843931</v>
      </c>
      <c r="J704">
        <v>9.8000000000000004E-2</v>
      </c>
      <c r="K704">
        <f t="shared" si="10"/>
        <v>1</v>
      </c>
      <c r="N704">
        <v>1.5</v>
      </c>
      <c r="O704">
        <v>2</v>
      </c>
    </row>
    <row r="705" spans="1:15" x14ac:dyDescent="0.25">
      <c r="A705" t="s">
        <v>2428</v>
      </c>
      <c r="B705">
        <v>9009361401</v>
      </c>
      <c r="C705" t="s">
        <v>2429</v>
      </c>
      <c r="D705">
        <v>4933</v>
      </c>
      <c r="E705">
        <v>0.163999215</v>
      </c>
      <c r="F705">
        <v>30079.412189999999</v>
      </c>
      <c r="G705">
        <v>1</v>
      </c>
      <c r="H705">
        <v>1163</v>
      </c>
      <c r="I705">
        <v>30.710324799999999</v>
      </c>
      <c r="J705">
        <v>0.95</v>
      </c>
      <c r="K705">
        <f t="shared" si="10"/>
        <v>5</v>
      </c>
      <c r="N705">
        <v>5</v>
      </c>
      <c r="O705">
        <v>5</v>
      </c>
    </row>
    <row r="706" spans="1:15" x14ac:dyDescent="0.25">
      <c r="A706" t="s">
        <v>2430</v>
      </c>
      <c r="B706">
        <v>9009361402</v>
      </c>
      <c r="C706" t="s">
        <v>2431</v>
      </c>
      <c r="D706">
        <v>3367</v>
      </c>
      <c r="E706">
        <v>0.29782454600000002</v>
      </c>
      <c r="F706">
        <v>11305.313969999999</v>
      </c>
      <c r="G706">
        <v>1</v>
      </c>
      <c r="H706">
        <v>806</v>
      </c>
      <c r="I706">
        <v>29.319752640000001</v>
      </c>
      <c r="J706">
        <v>0.92500000000000004</v>
      </c>
      <c r="K706">
        <f t="shared" si="10"/>
        <v>5</v>
      </c>
      <c r="N706">
        <v>4.5</v>
      </c>
      <c r="O706">
        <v>5</v>
      </c>
    </row>
    <row r="707" spans="1:15" x14ac:dyDescent="0.25">
      <c r="A707" t="s">
        <v>2432</v>
      </c>
      <c r="B707">
        <v>9009361500</v>
      </c>
      <c r="C707" t="s">
        <v>2433</v>
      </c>
      <c r="D707">
        <v>7607</v>
      </c>
      <c r="E707">
        <v>1.173429375</v>
      </c>
      <c r="F707">
        <v>6482.7080029999997</v>
      </c>
      <c r="G707">
        <v>1</v>
      </c>
      <c r="H707">
        <v>1699</v>
      </c>
      <c r="I707">
        <v>22.258613910000001</v>
      </c>
      <c r="J707">
        <v>0.84</v>
      </c>
      <c r="K707">
        <f t="shared" ref="K707:K770" si="11">IF(J707&lt;0.2,1,IF(J707&lt;0.4,2,IF(J707&lt;0.6,3,IF(J707&lt;0.8,4,5))))</f>
        <v>5</v>
      </c>
      <c r="N707">
        <v>4.5</v>
      </c>
      <c r="O707">
        <v>5</v>
      </c>
    </row>
    <row r="708" spans="1:15" x14ac:dyDescent="0.25">
      <c r="A708" t="s">
        <v>2434</v>
      </c>
      <c r="B708">
        <v>9011650100</v>
      </c>
      <c r="C708" t="s">
        <v>2435</v>
      </c>
      <c r="D708">
        <v>2406</v>
      </c>
      <c r="E708">
        <v>31.840444430000002</v>
      </c>
      <c r="F708">
        <v>75.564271880000007</v>
      </c>
      <c r="G708">
        <v>2</v>
      </c>
      <c r="H708">
        <v>67</v>
      </c>
      <c r="I708">
        <v>2.6810724289999999</v>
      </c>
      <c r="J708">
        <v>2.5000000000000001E-2</v>
      </c>
      <c r="K708">
        <f t="shared" si="11"/>
        <v>1</v>
      </c>
      <c r="N708">
        <v>1.5</v>
      </c>
      <c r="O708">
        <v>2</v>
      </c>
    </row>
    <row r="709" spans="1:15" x14ac:dyDescent="0.25">
      <c r="A709" t="s">
        <v>2436</v>
      </c>
      <c r="B709">
        <v>9011660101</v>
      </c>
      <c r="C709" t="s">
        <v>2437</v>
      </c>
      <c r="D709">
        <v>3356</v>
      </c>
      <c r="E709">
        <v>11.33900736</v>
      </c>
      <c r="F709">
        <v>295.96947010000002</v>
      </c>
      <c r="G709">
        <v>1</v>
      </c>
      <c r="H709">
        <v>155</v>
      </c>
      <c r="I709">
        <v>4.7957920789999999</v>
      </c>
      <c r="J709">
        <v>0.20499999999999999</v>
      </c>
      <c r="K709">
        <f t="shared" si="11"/>
        <v>2</v>
      </c>
      <c r="N709">
        <v>2</v>
      </c>
      <c r="O709">
        <v>2</v>
      </c>
    </row>
    <row r="710" spans="1:15" x14ac:dyDescent="0.25">
      <c r="A710" t="s">
        <v>2438</v>
      </c>
      <c r="B710">
        <v>9011660102</v>
      </c>
      <c r="C710" t="s">
        <v>2439</v>
      </c>
      <c r="D710">
        <v>4247</v>
      </c>
      <c r="E710">
        <v>11.67637727</v>
      </c>
      <c r="F710">
        <v>363.72582899999998</v>
      </c>
      <c r="G710">
        <v>1</v>
      </c>
      <c r="H710">
        <v>138</v>
      </c>
      <c r="I710">
        <v>3.314121037</v>
      </c>
      <c r="J710">
        <v>7.6999999999999999E-2</v>
      </c>
      <c r="K710">
        <f t="shared" si="11"/>
        <v>1</v>
      </c>
      <c r="N710">
        <v>2</v>
      </c>
      <c r="O710">
        <v>2</v>
      </c>
    </row>
    <row r="711" spans="1:15" x14ac:dyDescent="0.25">
      <c r="A711" t="s">
        <v>2440</v>
      </c>
      <c r="B711">
        <v>9011690300</v>
      </c>
      <c r="C711" t="s">
        <v>2441</v>
      </c>
      <c r="D711">
        <v>6280</v>
      </c>
      <c r="E711">
        <v>1.423164509</v>
      </c>
      <c r="F711">
        <v>4412.7013850000003</v>
      </c>
      <c r="G711">
        <v>1</v>
      </c>
      <c r="H711">
        <v>2160</v>
      </c>
      <c r="I711">
        <v>34.263959389999997</v>
      </c>
      <c r="J711">
        <v>0.96499999999999997</v>
      </c>
      <c r="K711">
        <f t="shared" si="11"/>
        <v>5</v>
      </c>
      <c r="N711">
        <v>5</v>
      </c>
      <c r="O711">
        <v>5</v>
      </c>
    </row>
    <row r="712" spans="1:15" x14ac:dyDescent="0.25">
      <c r="A712" t="s">
        <v>2442</v>
      </c>
      <c r="B712">
        <v>9011690400</v>
      </c>
      <c r="C712" t="s">
        <v>2443</v>
      </c>
      <c r="D712">
        <v>2055</v>
      </c>
      <c r="E712">
        <v>0.18917616600000001</v>
      </c>
      <c r="F712">
        <v>10862.89062</v>
      </c>
      <c r="G712">
        <v>1</v>
      </c>
      <c r="H712">
        <v>849</v>
      </c>
      <c r="I712">
        <v>41.843272550000002</v>
      </c>
      <c r="J712">
        <v>1</v>
      </c>
      <c r="K712">
        <f t="shared" si="11"/>
        <v>5</v>
      </c>
      <c r="N712">
        <v>5</v>
      </c>
      <c r="O712">
        <v>5</v>
      </c>
    </row>
    <row r="713" spans="1:15" x14ac:dyDescent="0.25">
      <c r="A713" t="s">
        <v>2444</v>
      </c>
      <c r="B713">
        <v>9011690500</v>
      </c>
      <c r="C713" t="s">
        <v>2445</v>
      </c>
      <c r="D713">
        <v>2827</v>
      </c>
      <c r="E713">
        <v>0.37402142399999999</v>
      </c>
      <c r="F713">
        <v>7558.3905580000001</v>
      </c>
      <c r="G713">
        <v>1</v>
      </c>
      <c r="H713">
        <v>776</v>
      </c>
      <c r="I713">
        <v>30.124223600000001</v>
      </c>
      <c r="J713">
        <v>0.94599999999999995</v>
      </c>
      <c r="K713">
        <f t="shared" si="11"/>
        <v>5</v>
      </c>
      <c r="N713">
        <v>5</v>
      </c>
      <c r="O713">
        <v>5</v>
      </c>
    </row>
    <row r="714" spans="1:15" x14ac:dyDescent="0.25">
      <c r="A714" t="s">
        <v>2446</v>
      </c>
      <c r="B714">
        <v>9011690700</v>
      </c>
      <c r="C714" t="s">
        <v>2447</v>
      </c>
      <c r="D714">
        <v>1295</v>
      </c>
      <c r="E714">
        <v>0.389669759</v>
      </c>
      <c r="F714">
        <v>3323.3269190000001</v>
      </c>
      <c r="G714">
        <v>1</v>
      </c>
      <c r="H714">
        <v>268</v>
      </c>
      <c r="I714">
        <v>21.788617890000001</v>
      </c>
      <c r="J714">
        <v>0.85699999999999998</v>
      </c>
      <c r="K714">
        <f t="shared" si="11"/>
        <v>5</v>
      </c>
      <c r="N714">
        <v>5</v>
      </c>
      <c r="O714">
        <v>5</v>
      </c>
    </row>
    <row r="715" spans="1:15" x14ac:dyDescent="0.25">
      <c r="A715" t="s">
        <v>2448</v>
      </c>
      <c r="B715">
        <v>9011690800</v>
      </c>
      <c r="C715" t="s">
        <v>2449</v>
      </c>
      <c r="D715">
        <v>3345</v>
      </c>
      <c r="E715">
        <v>0.47782653800000002</v>
      </c>
      <c r="F715">
        <v>7000.4483479999999</v>
      </c>
      <c r="G715">
        <v>1</v>
      </c>
      <c r="H715">
        <v>968</v>
      </c>
      <c r="I715">
        <v>28.912783749999999</v>
      </c>
      <c r="J715">
        <v>0.93600000000000005</v>
      </c>
      <c r="K715">
        <f t="shared" si="11"/>
        <v>5</v>
      </c>
      <c r="N715">
        <v>4.5</v>
      </c>
      <c r="O715">
        <v>5</v>
      </c>
    </row>
    <row r="716" spans="1:15" x14ac:dyDescent="0.25">
      <c r="A716" t="s">
        <v>2450</v>
      </c>
      <c r="B716">
        <v>9011690900</v>
      </c>
      <c r="C716" t="s">
        <v>2451</v>
      </c>
      <c r="D716">
        <v>5156</v>
      </c>
      <c r="E716">
        <v>1.2470845420000001</v>
      </c>
      <c r="F716">
        <v>4134.4430339999999</v>
      </c>
      <c r="G716">
        <v>1</v>
      </c>
      <c r="H716">
        <v>1089</v>
      </c>
      <c r="I716">
        <v>21.650099399999998</v>
      </c>
      <c r="J716">
        <v>0.86299999999999999</v>
      </c>
      <c r="K716">
        <f t="shared" si="11"/>
        <v>5</v>
      </c>
      <c r="N716">
        <v>4.5</v>
      </c>
      <c r="O716">
        <v>5</v>
      </c>
    </row>
    <row r="717" spans="1:15" x14ac:dyDescent="0.25">
      <c r="A717" t="s">
        <v>2452</v>
      </c>
      <c r="B717">
        <v>9011693300</v>
      </c>
      <c r="C717" t="s">
        <v>2453</v>
      </c>
      <c r="D717">
        <v>5752</v>
      </c>
      <c r="E717">
        <v>6.888018014</v>
      </c>
      <c r="F717">
        <v>835.07330969999998</v>
      </c>
      <c r="G717">
        <v>1</v>
      </c>
      <c r="H717">
        <v>675</v>
      </c>
      <c r="I717">
        <v>12.43093923</v>
      </c>
      <c r="J717">
        <v>0.623</v>
      </c>
      <c r="K717">
        <f t="shared" si="11"/>
        <v>4</v>
      </c>
      <c r="N717">
        <v>3.5</v>
      </c>
      <c r="O717">
        <v>4</v>
      </c>
    </row>
    <row r="718" spans="1:15" x14ac:dyDescent="0.25">
      <c r="A718" t="s">
        <v>2454</v>
      </c>
      <c r="B718">
        <v>9011693400</v>
      </c>
      <c r="C718" t="s">
        <v>2455</v>
      </c>
      <c r="D718">
        <v>4099</v>
      </c>
      <c r="E718">
        <v>3.1059356259999999</v>
      </c>
      <c r="F718">
        <v>1319.7311520000001</v>
      </c>
      <c r="G718">
        <v>1</v>
      </c>
      <c r="H718">
        <v>443</v>
      </c>
      <c r="I718">
        <v>10.976214069999999</v>
      </c>
      <c r="J718">
        <v>0.57399999999999995</v>
      </c>
      <c r="K718">
        <f t="shared" si="11"/>
        <v>3</v>
      </c>
      <c r="N718">
        <v>3.5</v>
      </c>
      <c r="O718">
        <v>4</v>
      </c>
    </row>
    <row r="719" spans="1:15" x14ac:dyDescent="0.25">
      <c r="A719" t="s">
        <v>2456</v>
      </c>
      <c r="B719">
        <v>9011693500</v>
      </c>
      <c r="C719" t="s">
        <v>2457</v>
      </c>
      <c r="D719">
        <v>3528</v>
      </c>
      <c r="E719">
        <v>5.0497550569999996</v>
      </c>
      <c r="F719">
        <v>698.64774829999999</v>
      </c>
      <c r="G719">
        <v>1</v>
      </c>
      <c r="H719">
        <v>115</v>
      </c>
      <c r="I719">
        <v>3.3372025540000001</v>
      </c>
      <c r="J719">
        <v>8.4000000000000005E-2</v>
      </c>
      <c r="K719">
        <f t="shared" si="11"/>
        <v>1</v>
      </c>
      <c r="N719">
        <v>1.5</v>
      </c>
      <c r="O719">
        <v>2</v>
      </c>
    </row>
    <row r="720" spans="1:15" x14ac:dyDescent="0.25">
      <c r="A720" t="s">
        <v>2458</v>
      </c>
      <c r="B720">
        <v>9011693600</v>
      </c>
      <c r="C720" t="s">
        <v>2459</v>
      </c>
      <c r="D720">
        <v>2805</v>
      </c>
      <c r="E720">
        <v>4.3256296939999999</v>
      </c>
      <c r="F720">
        <v>648.46050130000003</v>
      </c>
      <c r="G720">
        <v>1</v>
      </c>
      <c r="H720">
        <v>203</v>
      </c>
      <c r="I720">
        <v>6.9783430729999996</v>
      </c>
      <c r="J720">
        <v>0.34899999999999998</v>
      </c>
      <c r="K720">
        <f t="shared" si="11"/>
        <v>2</v>
      </c>
      <c r="N720">
        <v>2.5</v>
      </c>
      <c r="O720">
        <v>3</v>
      </c>
    </row>
    <row r="721" spans="1:15" x14ac:dyDescent="0.25">
      <c r="A721" t="s">
        <v>2460</v>
      </c>
      <c r="B721">
        <v>9011693700</v>
      </c>
      <c r="C721" t="s">
        <v>2461</v>
      </c>
      <c r="D721">
        <v>3333</v>
      </c>
      <c r="E721">
        <v>13.39833466</v>
      </c>
      <c r="F721">
        <v>248.76225919999999</v>
      </c>
      <c r="G721">
        <v>1</v>
      </c>
      <c r="H721">
        <v>393</v>
      </c>
      <c r="I721">
        <v>12.62042389</v>
      </c>
      <c r="J721">
        <v>0.628</v>
      </c>
      <c r="K721">
        <f t="shared" si="11"/>
        <v>4</v>
      </c>
      <c r="N721">
        <v>3.5</v>
      </c>
      <c r="O721">
        <v>4</v>
      </c>
    </row>
    <row r="722" spans="1:15" x14ac:dyDescent="0.25">
      <c r="A722" t="s">
        <v>2462</v>
      </c>
      <c r="B722">
        <v>9011695201</v>
      </c>
      <c r="C722" t="s">
        <v>2463</v>
      </c>
      <c r="D722">
        <v>5266</v>
      </c>
      <c r="E722">
        <v>16.098248720000001</v>
      </c>
      <c r="F722">
        <v>327.11632750000001</v>
      </c>
      <c r="G722">
        <v>1</v>
      </c>
      <c r="H722">
        <v>438</v>
      </c>
      <c r="I722">
        <v>8.1549059770000003</v>
      </c>
      <c r="J722">
        <v>0.42299999999999999</v>
      </c>
      <c r="K722">
        <f t="shared" si="11"/>
        <v>3</v>
      </c>
      <c r="N722">
        <v>3.5</v>
      </c>
      <c r="O722">
        <v>4</v>
      </c>
    </row>
    <row r="723" spans="1:15" x14ac:dyDescent="0.25">
      <c r="A723" t="s">
        <v>2464</v>
      </c>
      <c r="B723">
        <v>9011695202</v>
      </c>
      <c r="C723" t="s">
        <v>2465</v>
      </c>
      <c r="D723">
        <v>6203</v>
      </c>
      <c r="E723">
        <v>17.439198560000001</v>
      </c>
      <c r="F723">
        <v>355.69295110000002</v>
      </c>
      <c r="G723">
        <v>1</v>
      </c>
      <c r="H723">
        <v>592</v>
      </c>
      <c r="I723">
        <v>10.89236431</v>
      </c>
      <c r="J723">
        <v>0.54300000000000004</v>
      </c>
      <c r="K723">
        <f t="shared" si="11"/>
        <v>3</v>
      </c>
      <c r="N723">
        <v>3.5</v>
      </c>
      <c r="O723">
        <v>4</v>
      </c>
    </row>
    <row r="724" spans="1:15" x14ac:dyDescent="0.25">
      <c r="A724" t="s">
        <v>2466</v>
      </c>
      <c r="B724">
        <v>9011696100</v>
      </c>
      <c r="C724" t="s">
        <v>2467</v>
      </c>
      <c r="D724">
        <v>4917</v>
      </c>
      <c r="E724">
        <v>3.2012935969999998</v>
      </c>
      <c r="F724">
        <v>1535.941597</v>
      </c>
      <c r="G724">
        <v>1</v>
      </c>
      <c r="H724">
        <v>741</v>
      </c>
      <c r="I724">
        <v>15.74920298</v>
      </c>
      <c r="J724">
        <v>0.72499999999999998</v>
      </c>
      <c r="K724">
        <f t="shared" si="11"/>
        <v>4</v>
      </c>
      <c r="N724">
        <v>4.5</v>
      </c>
      <c r="O724">
        <v>5</v>
      </c>
    </row>
    <row r="725" spans="1:15" x14ac:dyDescent="0.25">
      <c r="A725" t="s">
        <v>2468</v>
      </c>
      <c r="B725">
        <v>9011696200</v>
      </c>
      <c r="C725" t="s">
        <v>2469</v>
      </c>
      <c r="D725">
        <v>4813</v>
      </c>
      <c r="E725">
        <v>10.524493939999999</v>
      </c>
      <c r="F725">
        <v>457.31415019999997</v>
      </c>
      <c r="G725">
        <v>1</v>
      </c>
      <c r="H725">
        <v>926</v>
      </c>
      <c r="I725">
        <v>19.811724430000002</v>
      </c>
      <c r="J725">
        <v>0.83099999999999996</v>
      </c>
      <c r="K725">
        <f t="shared" si="11"/>
        <v>5</v>
      </c>
      <c r="N725">
        <v>4.5</v>
      </c>
      <c r="O725">
        <v>5</v>
      </c>
    </row>
    <row r="726" spans="1:15" x14ac:dyDescent="0.25">
      <c r="A726" t="s">
        <v>2470</v>
      </c>
      <c r="B726">
        <v>9011696300</v>
      </c>
      <c r="C726" t="s">
        <v>2471</v>
      </c>
      <c r="D726">
        <v>2847</v>
      </c>
      <c r="E726">
        <v>3.5181298139999999</v>
      </c>
      <c r="F726">
        <v>809.23676799999998</v>
      </c>
      <c r="G726">
        <v>1</v>
      </c>
      <c r="H726">
        <v>298</v>
      </c>
      <c r="I726">
        <v>9.4483195940000009</v>
      </c>
      <c r="J726">
        <v>0.5</v>
      </c>
      <c r="K726">
        <f t="shared" si="11"/>
        <v>3</v>
      </c>
      <c r="N726">
        <v>3</v>
      </c>
      <c r="O726">
        <v>3</v>
      </c>
    </row>
    <row r="727" spans="1:15" x14ac:dyDescent="0.25">
      <c r="A727" t="s">
        <v>2472</v>
      </c>
      <c r="B727">
        <v>9011696400</v>
      </c>
      <c r="C727" t="s">
        <v>2473</v>
      </c>
      <c r="D727">
        <v>6052</v>
      </c>
      <c r="E727">
        <v>2.0512006230000002</v>
      </c>
      <c r="F727">
        <v>2950.467122</v>
      </c>
      <c r="G727">
        <v>1</v>
      </c>
      <c r="H727">
        <v>1422</v>
      </c>
      <c r="I727">
        <v>27.204897649999999</v>
      </c>
      <c r="J727">
        <v>0.92900000000000005</v>
      </c>
      <c r="K727">
        <f t="shared" si="11"/>
        <v>5</v>
      </c>
      <c r="N727">
        <v>5</v>
      </c>
      <c r="O727">
        <v>5</v>
      </c>
    </row>
    <row r="728" spans="1:15" x14ac:dyDescent="0.25">
      <c r="A728" t="s">
        <v>2474</v>
      </c>
      <c r="B728">
        <v>9011696500</v>
      </c>
      <c r="C728" t="s">
        <v>2475</v>
      </c>
      <c r="D728">
        <v>3134</v>
      </c>
      <c r="E728">
        <v>1.0894108389999999</v>
      </c>
      <c r="F728">
        <v>2876.784302</v>
      </c>
      <c r="G728">
        <v>1</v>
      </c>
      <c r="H728">
        <v>540</v>
      </c>
      <c r="I728">
        <v>18.486819579999999</v>
      </c>
      <c r="J728">
        <v>0.80600000000000005</v>
      </c>
      <c r="K728">
        <f t="shared" si="11"/>
        <v>5</v>
      </c>
      <c r="N728">
        <v>4.5</v>
      </c>
      <c r="O728">
        <v>5</v>
      </c>
    </row>
    <row r="729" spans="1:15" x14ac:dyDescent="0.25">
      <c r="A729" t="s">
        <v>2476</v>
      </c>
      <c r="B729">
        <v>9011696600</v>
      </c>
      <c r="C729" t="s">
        <v>2477</v>
      </c>
      <c r="D729">
        <v>4073</v>
      </c>
      <c r="E729">
        <v>3.0400194900000002</v>
      </c>
      <c r="F729">
        <v>1339.794042</v>
      </c>
      <c r="G729">
        <v>1</v>
      </c>
      <c r="H729">
        <v>1090</v>
      </c>
      <c r="I729">
        <v>26.768172889999999</v>
      </c>
      <c r="J729">
        <v>0.90700000000000003</v>
      </c>
      <c r="K729">
        <f t="shared" si="11"/>
        <v>5</v>
      </c>
      <c r="N729">
        <v>4.5</v>
      </c>
      <c r="O729">
        <v>5</v>
      </c>
    </row>
    <row r="730" spans="1:15" x14ac:dyDescent="0.25">
      <c r="A730" t="s">
        <v>2478</v>
      </c>
      <c r="B730">
        <v>9011696700</v>
      </c>
      <c r="C730" t="s">
        <v>2479</v>
      </c>
      <c r="D730">
        <v>5915</v>
      </c>
      <c r="E730">
        <v>2.003218162</v>
      </c>
      <c r="F730">
        <v>2952.7487890000002</v>
      </c>
      <c r="G730">
        <v>1</v>
      </c>
      <c r="H730">
        <v>1809</v>
      </c>
      <c r="I730">
        <v>30.377833750000001</v>
      </c>
      <c r="J730">
        <v>0.95799999999999996</v>
      </c>
      <c r="K730">
        <f t="shared" si="11"/>
        <v>5</v>
      </c>
      <c r="N730">
        <v>5</v>
      </c>
      <c r="O730">
        <v>5</v>
      </c>
    </row>
    <row r="731" spans="1:15" x14ac:dyDescent="0.25">
      <c r="A731" t="s">
        <v>2480</v>
      </c>
      <c r="B731">
        <v>9011696800</v>
      </c>
      <c r="C731" t="s">
        <v>2481</v>
      </c>
      <c r="D731">
        <v>3974</v>
      </c>
      <c r="E731">
        <v>0.43052709099999997</v>
      </c>
      <c r="F731">
        <v>9230.5457210000004</v>
      </c>
      <c r="G731">
        <v>1</v>
      </c>
      <c r="H731">
        <v>687</v>
      </c>
      <c r="I731">
        <v>21.348663770000002</v>
      </c>
      <c r="J731">
        <v>0.873</v>
      </c>
      <c r="K731">
        <f t="shared" si="11"/>
        <v>5</v>
      </c>
      <c r="N731">
        <v>5</v>
      </c>
      <c r="O731">
        <v>5</v>
      </c>
    </row>
    <row r="732" spans="1:15" x14ac:dyDescent="0.25">
      <c r="A732" t="s">
        <v>2482</v>
      </c>
      <c r="B732">
        <v>9011697000</v>
      </c>
      <c r="C732" t="s">
        <v>2483</v>
      </c>
      <c r="D732">
        <v>4768</v>
      </c>
      <c r="E732">
        <v>2.2036731440000001</v>
      </c>
      <c r="F732">
        <v>2163.6602560000001</v>
      </c>
      <c r="G732">
        <v>1</v>
      </c>
      <c r="H732">
        <v>1620</v>
      </c>
      <c r="I732">
        <v>30.371203600000001</v>
      </c>
      <c r="J732">
        <v>0.95699999999999996</v>
      </c>
      <c r="K732">
        <f t="shared" si="11"/>
        <v>5</v>
      </c>
      <c r="N732">
        <v>5</v>
      </c>
      <c r="O732">
        <v>5</v>
      </c>
    </row>
    <row r="733" spans="1:15" x14ac:dyDescent="0.25">
      <c r="A733" t="s">
        <v>2484</v>
      </c>
      <c r="B733">
        <v>9011700100</v>
      </c>
      <c r="C733" t="s">
        <v>2485</v>
      </c>
      <c r="D733">
        <v>4726</v>
      </c>
      <c r="E733">
        <v>30.815190650000002</v>
      </c>
      <c r="F733">
        <v>153.3659179</v>
      </c>
      <c r="G733">
        <v>2</v>
      </c>
      <c r="H733">
        <v>656</v>
      </c>
      <c r="I733">
        <v>14.08632167</v>
      </c>
      <c r="J733">
        <v>0.70899999999999996</v>
      </c>
      <c r="K733">
        <f t="shared" si="11"/>
        <v>4</v>
      </c>
      <c r="N733">
        <v>3.5</v>
      </c>
      <c r="O733">
        <v>4</v>
      </c>
    </row>
    <row r="734" spans="1:15" x14ac:dyDescent="0.25">
      <c r="A734" t="s">
        <v>2486</v>
      </c>
      <c r="B734">
        <v>9011701100</v>
      </c>
      <c r="C734" t="s">
        <v>2487</v>
      </c>
      <c r="D734">
        <v>7691</v>
      </c>
      <c r="E734">
        <v>26.848667249999998</v>
      </c>
      <c r="F734">
        <v>286.45742180000002</v>
      </c>
      <c r="G734">
        <v>1</v>
      </c>
      <c r="H734">
        <v>1216</v>
      </c>
      <c r="I734">
        <v>15.4158215</v>
      </c>
      <c r="J734">
        <v>0.76</v>
      </c>
      <c r="K734">
        <f t="shared" si="11"/>
        <v>4</v>
      </c>
      <c r="N734">
        <v>3.5</v>
      </c>
      <c r="O734">
        <v>4</v>
      </c>
    </row>
    <row r="735" spans="1:15" x14ac:dyDescent="0.25">
      <c r="A735" t="s">
        <v>2488</v>
      </c>
      <c r="B735">
        <v>9011701200</v>
      </c>
      <c r="C735" t="s">
        <v>2489</v>
      </c>
      <c r="D735">
        <v>7356</v>
      </c>
      <c r="E735">
        <v>10.918714680000001</v>
      </c>
      <c r="F735">
        <v>673.70567089999997</v>
      </c>
      <c r="G735">
        <v>1</v>
      </c>
      <c r="H735">
        <v>565</v>
      </c>
      <c r="I735">
        <v>8.2205732579999999</v>
      </c>
      <c r="J735">
        <v>0.49399999999999999</v>
      </c>
      <c r="K735">
        <f t="shared" si="11"/>
        <v>3</v>
      </c>
      <c r="N735">
        <v>3</v>
      </c>
      <c r="O735">
        <v>3</v>
      </c>
    </row>
    <row r="736" spans="1:15" x14ac:dyDescent="0.25">
      <c r="A736" t="s">
        <v>2490</v>
      </c>
      <c r="B736">
        <v>9011702100</v>
      </c>
      <c r="C736" t="s">
        <v>2491</v>
      </c>
      <c r="D736">
        <v>4496</v>
      </c>
      <c r="E736">
        <v>8.5523041030000009</v>
      </c>
      <c r="F736">
        <v>525.70628290000002</v>
      </c>
      <c r="G736">
        <v>1</v>
      </c>
      <c r="H736">
        <v>537</v>
      </c>
      <c r="I736">
        <v>13.0879844</v>
      </c>
      <c r="J736">
        <v>0.7</v>
      </c>
      <c r="K736">
        <f t="shared" si="11"/>
        <v>4</v>
      </c>
      <c r="N736">
        <v>3.5</v>
      </c>
      <c r="O736">
        <v>4</v>
      </c>
    </row>
    <row r="737" spans="1:15" x14ac:dyDescent="0.25">
      <c r="A737" t="s">
        <v>2492</v>
      </c>
      <c r="B737">
        <v>9011702300</v>
      </c>
      <c r="C737" t="s">
        <v>2493</v>
      </c>
      <c r="D737">
        <v>2163</v>
      </c>
      <c r="E737">
        <v>0.944344144</v>
      </c>
      <c r="F737">
        <v>2290.4785449999999</v>
      </c>
      <c r="G737">
        <v>1</v>
      </c>
      <c r="H737">
        <v>432</v>
      </c>
      <c r="I737">
        <v>18.453652290000001</v>
      </c>
      <c r="J737">
        <v>0.83099999999999996</v>
      </c>
      <c r="K737">
        <f t="shared" si="11"/>
        <v>5</v>
      </c>
      <c r="N737">
        <v>4</v>
      </c>
      <c r="O737">
        <v>4</v>
      </c>
    </row>
    <row r="738" spans="1:15" x14ac:dyDescent="0.25">
      <c r="A738" t="s">
        <v>2494</v>
      </c>
      <c r="B738">
        <v>9011702400</v>
      </c>
      <c r="C738" t="s">
        <v>2495</v>
      </c>
      <c r="D738">
        <v>3527</v>
      </c>
      <c r="E738">
        <v>1.1054074380000001</v>
      </c>
      <c r="F738">
        <v>3190.6787290000002</v>
      </c>
      <c r="G738">
        <v>1</v>
      </c>
      <c r="H738">
        <v>1326</v>
      </c>
      <c r="I738">
        <v>37.132455890000003</v>
      </c>
      <c r="J738">
        <v>0.97699999999999998</v>
      </c>
      <c r="K738">
        <f t="shared" si="11"/>
        <v>5</v>
      </c>
      <c r="N738">
        <v>4.5</v>
      </c>
      <c r="O738">
        <v>5</v>
      </c>
    </row>
    <row r="739" spans="1:15" x14ac:dyDescent="0.25">
      <c r="A739" t="s">
        <v>2496</v>
      </c>
      <c r="B739">
        <v>9011702500</v>
      </c>
      <c r="C739" t="s">
        <v>2497</v>
      </c>
      <c r="D739">
        <v>4748</v>
      </c>
      <c r="E739">
        <v>1.034820625</v>
      </c>
      <c r="F739">
        <v>4588.2347980000004</v>
      </c>
      <c r="G739">
        <v>1</v>
      </c>
      <c r="H739">
        <v>1151</v>
      </c>
      <c r="I739">
        <v>26.236608159999999</v>
      </c>
      <c r="J739">
        <v>0.93100000000000005</v>
      </c>
      <c r="K739">
        <f t="shared" si="11"/>
        <v>5</v>
      </c>
      <c r="N739">
        <v>5</v>
      </c>
      <c r="O739">
        <v>5</v>
      </c>
    </row>
    <row r="740" spans="1:15" x14ac:dyDescent="0.25">
      <c r="A740" t="s">
        <v>2498</v>
      </c>
      <c r="B740">
        <v>9011702600</v>
      </c>
      <c r="C740" t="s">
        <v>2499</v>
      </c>
      <c r="D740">
        <v>2114</v>
      </c>
      <c r="E740">
        <v>0.94352329000000001</v>
      </c>
      <c r="F740">
        <v>2240.538227</v>
      </c>
      <c r="G740">
        <v>1</v>
      </c>
      <c r="H740">
        <v>87</v>
      </c>
      <c r="I740">
        <v>8.1156716420000006</v>
      </c>
      <c r="J740">
        <v>0.5</v>
      </c>
      <c r="K740">
        <f t="shared" si="11"/>
        <v>3</v>
      </c>
      <c r="N740">
        <v>3</v>
      </c>
      <c r="O740">
        <v>3</v>
      </c>
    </row>
    <row r="741" spans="1:15" x14ac:dyDescent="0.25">
      <c r="A741" t="s">
        <v>2500</v>
      </c>
      <c r="B741">
        <v>9011702700</v>
      </c>
      <c r="C741" t="s">
        <v>2501</v>
      </c>
      <c r="D741">
        <v>4946</v>
      </c>
      <c r="E741">
        <v>3.1611497810000002</v>
      </c>
      <c r="F741">
        <v>1564.6205789999999</v>
      </c>
      <c r="G741">
        <v>1</v>
      </c>
      <c r="H741">
        <v>1349</v>
      </c>
      <c r="I741">
        <v>27.197580649999999</v>
      </c>
      <c r="J741">
        <v>0.94099999999999995</v>
      </c>
      <c r="K741">
        <f t="shared" si="11"/>
        <v>5</v>
      </c>
      <c r="N741">
        <v>4.5</v>
      </c>
      <c r="O741">
        <v>5</v>
      </c>
    </row>
    <row r="742" spans="1:15" x14ac:dyDescent="0.25">
      <c r="A742" t="s">
        <v>2502</v>
      </c>
      <c r="B742">
        <v>9011702800</v>
      </c>
      <c r="C742" t="s">
        <v>2503</v>
      </c>
      <c r="D742">
        <v>4079</v>
      </c>
      <c r="E742">
        <v>4.7347018600000004</v>
      </c>
      <c r="F742">
        <v>861.51147860000003</v>
      </c>
      <c r="G742">
        <v>1</v>
      </c>
      <c r="H742">
        <v>1256</v>
      </c>
      <c r="I742">
        <v>29.31155193</v>
      </c>
      <c r="J742">
        <v>0.96399999999999997</v>
      </c>
      <c r="K742">
        <f t="shared" si="11"/>
        <v>5</v>
      </c>
      <c r="N742">
        <v>4.5</v>
      </c>
      <c r="O742">
        <v>5</v>
      </c>
    </row>
    <row r="743" spans="1:15" x14ac:dyDescent="0.25">
      <c r="A743" t="s">
        <v>2504</v>
      </c>
      <c r="B743">
        <v>9011702900</v>
      </c>
      <c r="C743" t="s">
        <v>2505</v>
      </c>
      <c r="D743">
        <v>2473</v>
      </c>
      <c r="E743">
        <v>2.9708743819999999</v>
      </c>
      <c r="F743">
        <v>832.41486569999995</v>
      </c>
      <c r="G743">
        <v>1</v>
      </c>
      <c r="H743">
        <v>118</v>
      </c>
      <c r="I743">
        <v>5.3611994550000004</v>
      </c>
      <c r="J743">
        <v>0.32500000000000001</v>
      </c>
      <c r="K743">
        <f t="shared" si="11"/>
        <v>2</v>
      </c>
      <c r="N743">
        <v>2</v>
      </c>
      <c r="O743">
        <v>2</v>
      </c>
    </row>
    <row r="744" spans="1:15" x14ac:dyDescent="0.25">
      <c r="A744" t="s">
        <v>2506</v>
      </c>
      <c r="B744">
        <v>9011703000</v>
      </c>
      <c r="C744" t="s">
        <v>2507</v>
      </c>
      <c r="D744">
        <v>3919</v>
      </c>
      <c r="E744">
        <v>2.4008161430000001</v>
      </c>
      <c r="F744">
        <v>1632.3615669999999</v>
      </c>
      <c r="G744">
        <v>1</v>
      </c>
      <c r="H744">
        <v>155</v>
      </c>
      <c r="I744">
        <v>4.3187517409999998</v>
      </c>
      <c r="J744">
        <v>0.20699999999999999</v>
      </c>
      <c r="K744">
        <f t="shared" si="11"/>
        <v>2</v>
      </c>
      <c r="N744">
        <v>2</v>
      </c>
      <c r="O744">
        <v>2</v>
      </c>
    </row>
    <row r="745" spans="1:15" x14ac:dyDescent="0.25">
      <c r="A745" t="s">
        <v>2508</v>
      </c>
      <c r="B745">
        <v>9011705101</v>
      </c>
      <c r="C745" t="s">
        <v>2509</v>
      </c>
      <c r="D745">
        <v>4294</v>
      </c>
      <c r="E745">
        <v>6.0028459590000001</v>
      </c>
      <c r="F745">
        <v>715.32736790000001</v>
      </c>
      <c r="G745">
        <v>1</v>
      </c>
      <c r="H745">
        <v>140</v>
      </c>
      <c r="I745">
        <v>3.4313725490000002</v>
      </c>
      <c r="J745">
        <v>0.123</v>
      </c>
      <c r="K745">
        <f t="shared" si="11"/>
        <v>1</v>
      </c>
      <c r="N745">
        <v>2.5</v>
      </c>
      <c r="O745">
        <v>3</v>
      </c>
    </row>
    <row r="746" spans="1:15" x14ac:dyDescent="0.25">
      <c r="A746" t="s">
        <v>2510</v>
      </c>
      <c r="B746">
        <v>9011705102</v>
      </c>
      <c r="C746" t="s">
        <v>2511</v>
      </c>
      <c r="D746">
        <v>4343</v>
      </c>
      <c r="E746">
        <v>4.3007044820000004</v>
      </c>
      <c r="F746">
        <v>1009.834556</v>
      </c>
      <c r="G746">
        <v>1</v>
      </c>
      <c r="H746">
        <v>495</v>
      </c>
      <c r="I746">
        <v>11.84777405</v>
      </c>
      <c r="J746">
        <v>0.68700000000000006</v>
      </c>
      <c r="K746">
        <f t="shared" si="11"/>
        <v>4</v>
      </c>
      <c r="N746">
        <v>4.5</v>
      </c>
      <c r="O746">
        <v>5</v>
      </c>
    </row>
    <row r="747" spans="1:15" x14ac:dyDescent="0.25">
      <c r="A747" t="s">
        <v>2512</v>
      </c>
      <c r="B747">
        <v>9011705200</v>
      </c>
      <c r="C747" t="s">
        <v>2513</v>
      </c>
      <c r="D747">
        <v>3484</v>
      </c>
      <c r="E747">
        <v>8.8865712890000008</v>
      </c>
      <c r="F747">
        <v>392.05221979999999</v>
      </c>
      <c r="G747">
        <v>1</v>
      </c>
      <c r="H747">
        <v>163</v>
      </c>
      <c r="I747">
        <v>4.459644323</v>
      </c>
      <c r="J747">
        <v>0.215</v>
      </c>
      <c r="K747">
        <f t="shared" si="11"/>
        <v>2</v>
      </c>
      <c r="N747">
        <v>2</v>
      </c>
      <c r="O747">
        <v>2</v>
      </c>
    </row>
    <row r="748" spans="1:15" x14ac:dyDescent="0.25">
      <c r="A748" t="s">
        <v>2514</v>
      </c>
      <c r="B748">
        <v>9011705300</v>
      </c>
      <c r="C748" t="s">
        <v>2515</v>
      </c>
      <c r="D748">
        <v>3540</v>
      </c>
      <c r="E748">
        <v>4.4080347089999998</v>
      </c>
      <c r="F748">
        <v>803.07897590000005</v>
      </c>
      <c r="G748">
        <v>1</v>
      </c>
      <c r="H748">
        <v>292</v>
      </c>
      <c r="I748">
        <v>7.7721586370000004</v>
      </c>
      <c r="J748">
        <v>0.46100000000000002</v>
      </c>
      <c r="K748">
        <f t="shared" si="11"/>
        <v>3</v>
      </c>
      <c r="N748">
        <v>3</v>
      </c>
      <c r="O748">
        <v>3</v>
      </c>
    </row>
    <row r="749" spans="1:15" x14ac:dyDescent="0.25">
      <c r="A749" t="s">
        <v>2516</v>
      </c>
      <c r="B749">
        <v>9011705400</v>
      </c>
      <c r="C749" t="s">
        <v>2517</v>
      </c>
      <c r="D749">
        <v>2884</v>
      </c>
      <c r="E749">
        <v>15.058312239999999</v>
      </c>
      <c r="F749">
        <v>191.5221277</v>
      </c>
      <c r="G749">
        <v>1</v>
      </c>
      <c r="H749">
        <v>95</v>
      </c>
      <c r="I749">
        <v>3.423423423</v>
      </c>
      <c r="J749">
        <v>0.11600000000000001</v>
      </c>
      <c r="K749">
        <f t="shared" si="11"/>
        <v>1</v>
      </c>
      <c r="N749">
        <v>1.5</v>
      </c>
      <c r="O749">
        <v>2</v>
      </c>
    </row>
    <row r="750" spans="1:15" x14ac:dyDescent="0.25">
      <c r="A750" t="s">
        <v>2518</v>
      </c>
      <c r="B750">
        <v>9011707100</v>
      </c>
      <c r="C750" t="s">
        <v>2519</v>
      </c>
      <c r="D750">
        <v>5297</v>
      </c>
      <c r="E750">
        <v>54.248074510000002</v>
      </c>
      <c r="F750">
        <v>97.644018669999994</v>
      </c>
      <c r="G750">
        <v>2</v>
      </c>
      <c r="H750">
        <v>496</v>
      </c>
      <c r="I750">
        <v>9.4964579740000001</v>
      </c>
      <c r="J750">
        <v>0.56499999999999995</v>
      </c>
      <c r="K750">
        <f t="shared" si="11"/>
        <v>3</v>
      </c>
      <c r="N750">
        <v>3.5</v>
      </c>
      <c r="O750">
        <v>4</v>
      </c>
    </row>
    <row r="751" spans="1:15" x14ac:dyDescent="0.25">
      <c r="A751" t="s">
        <v>2520</v>
      </c>
      <c r="B751">
        <v>9011708100</v>
      </c>
      <c r="C751" t="s">
        <v>2521</v>
      </c>
      <c r="D751">
        <v>2603</v>
      </c>
      <c r="E751">
        <v>38.960857730000001</v>
      </c>
      <c r="F751">
        <v>66.810644100000005</v>
      </c>
      <c r="G751">
        <v>2</v>
      </c>
      <c r="H751">
        <v>114</v>
      </c>
      <c r="I751">
        <v>4.4970414200000004</v>
      </c>
      <c r="J751">
        <v>0.21299999999999999</v>
      </c>
      <c r="K751">
        <f t="shared" si="11"/>
        <v>2</v>
      </c>
      <c r="N751">
        <v>2.5</v>
      </c>
      <c r="O751">
        <v>3</v>
      </c>
    </row>
    <row r="752" spans="1:15" x14ac:dyDescent="0.25">
      <c r="A752" t="s">
        <v>2522</v>
      </c>
      <c r="B752">
        <v>9011709100</v>
      </c>
      <c r="C752" t="s">
        <v>2523</v>
      </c>
      <c r="D752">
        <v>6322</v>
      </c>
      <c r="E752">
        <v>29.76382516</v>
      </c>
      <c r="F752">
        <v>212.4054945</v>
      </c>
      <c r="G752">
        <v>2</v>
      </c>
      <c r="H752">
        <v>489</v>
      </c>
      <c r="I752">
        <v>8.4514344969999993</v>
      </c>
      <c r="J752">
        <v>0.51300000000000001</v>
      </c>
      <c r="K752">
        <f t="shared" si="11"/>
        <v>3</v>
      </c>
      <c r="N752">
        <v>3.5</v>
      </c>
      <c r="O752">
        <v>4</v>
      </c>
    </row>
    <row r="753" spans="1:15" x14ac:dyDescent="0.25">
      <c r="A753" t="s">
        <v>2524</v>
      </c>
      <c r="B753">
        <v>9011709200</v>
      </c>
      <c r="C753" t="s">
        <v>2525</v>
      </c>
      <c r="D753">
        <v>5629</v>
      </c>
      <c r="E753">
        <v>4.9427275340000003</v>
      </c>
      <c r="F753">
        <v>1138.844891</v>
      </c>
      <c r="G753">
        <v>2</v>
      </c>
      <c r="H753">
        <v>988</v>
      </c>
      <c r="I753">
        <v>16.929403700000002</v>
      </c>
      <c r="J753">
        <v>0.80800000000000005</v>
      </c>
      <c r="K753">
        <f t="shared" si="11"/>
        <v>5</v>
      </c>
      <c r="N753">
        <v>5</v>
      </c>
      <c r="O753">
        <v>5</v>
      </c>
    </row>
    <row r="754" spans="1:15" x14ac:dyDescent="0.25">
      <c r="A754" t="s">
        <v>2526</v>
      </c>
      <c r="B754">
        <v>9011710100</v>
      </c>
      <c r="C754" t="s">
        <v>2527</v>
      </c>
      <c r="D754">
        <v>4338</v>
      </c>
      <c r="E754">
        <v>16.28693569</v>
      </c>
      <c r="F754">
        <v>266.34844529999998</v>
      </c>
      <c r="G754">
        <v>2</v>
      </c>
      <c r="H754">
        <v>277</v>
      </c>
      <c r="I754">
        <v>6.5222510009999999</v>
      </c>
      <c r="J754">
        <v>0.41599999999999998</v>
      </c>
      <c r="K754">
        <f t="shared" si="11"/>
        <v>3</v>
      </c>
      <c r="N754">
        <v>3</v>
      </c>
      <c r="O754">
        <v>3</v>
      </c>
    </row>
    <row r="755" spans="1:15" x14ac:dyDescent="0.25">
      <c r="A755" t="s">
        <v>2528</v>
      </c>
      <c r="B755">
        <v>9011711100</v>
      </c>
      <c r="C755" t="s">
        <v>2529</v>
      </c>
      <c r="D755">
        <v>2984</v>
      </c>
      <c r="E755">
        <v>13.249206559999999</v>
      </c>
      <c r="F755">
        <v>225.22103390000001</v>
      </c>
      <c r="G755">
        <v>1</v>
      </c>
      <c r="H755">
        <v>372</v>
      </c>
      <c r="I755">
        <v>12.801101170000001</v>
      </c>
      <c r="J755">
        <v>0.70399999999999996</v>
      </c>
      <c r="K755">
        <f t="shared" si="11"/>
        <v>4</v>
      </c>
      <c r="N755">
        <v>4</v>
      </c>
      <c r="O755">
        <v>4</v>
      </c>
    </row>
    <row r="756" spans="1:15" x14ac:dyDescent="0.25">
      <c r="A756" t="s">
        <v>2530</v>
      </c>
      <c r="B756">
        <v>9011712100</v>
      </c>
      <c r="C756" t="s">
        <v>2531</v>
      </c>
      <c r="D756">
        <v>1922</v>
      </c>
      <c r="E756">
        <v>19.4889957</v>
      </c>
      <c r="F756">
        <v>98.619755960000006</v>
      </c>
      <c r="G756">
        <v>2</v>
      </c>
      <c r="H756">
        <v>71</v>
      </c>
      <c r="I756">
        <v>3.9932508439999999</v>
      </c>
      <c r="J756">
        <v>0.185</v>
      </c>
      <c r="K756">
        <f t="shared" si="11"/>
        <v>1</v>
      </c>
      <c r="N756">
        <v>2</v>
      </c>
      <c r="O756">
        <v>2</v>
      </c>
    </row>
    <row r="757" spans="1:15" x14ac:dyDescent="0.25">
      <c r="A757" t="s">
        <v>2532</v>
      </c>
      <c r="B757">
        <v>9011713100</v>
      </c>
      <c r="C757" t="s">
        <v>2533</v>
      </c>
      <c r="D757">
        <v>2627</v>
      </c>
      <c r="E757">
        <v>19.96461296</v>
      </c>
      <c r="F757">
        <v>131.58281629999999</v>
      </c>
      <c r="G757">
        <v>2</v>
      </c>
      <c r="H757">
        <v>214</v>
      </c>
      <c r="I757">
        <v>8.2657396680000002</v>
      </c>
      <c r="J757">
        <v>0.50700000000000001</v>
      </c>
      <c r="K757">
        <f t="shared" si="11"/>
        <v>3</v>
      </c>
      <c r="N757">
        <v>3.5</v>
      </c>
      <c r="O757">
        <v>4</v>
      </c>
    </row>
    <row r="758" spans="1:15" x14ac:dyDescent="0.25">
      <c r="A758" t="s">
        <v>2534</v>
      </c>
      <c r="B758">
        <v>9011714101</v>
      </c>
      <c r="C758" t="s">
        <v>2535</v>
      </c>
      <c r="D758">
        <v>3429</v>
      </c>
      <c r="E758">
        <v>3.0413808869999999</v>
      </c>
      <c r="F758">
        <v>1127.4483949999999</v>
      </c>
      <c r="G758">
        <v>2</v>
      </c>
      <c r="H758">
        <v>36</v>
      </c>
      <c r="I758">
        <v>1.1385199239999999</v>
      </c>
      <c r="J758">
        <v>0</v>
      </c>
      <c r="K758">
        <f t="shared" si="11"/>
        <v>1</v>
      </c>
      <c r="N758">
        <v>2</v>
      </c>
      <c r="O758">
        <v>2</v>
      </c>
    </row>
    <row r="759" spans="1:15" x14ac:dyDescent="0.25">
      <c r="A759" t="s">
        <v>2536</v>
      </c>
      <c r="B759">
        <v>9011714103</v>
      </c>
      <c r="C759" t="s">
        <v>2537</v>
      </c>
      <c r="D759">
        <v>7534</v>
      </c>
      <c r="E759">
        <v>25.82912662</v>
      </c>
      <c r="F759">
        <v>291.68620800000002</v>
      </c>
      <c r="G759">
        <v>2</v>
      </c>
      <c r="H759">
        <v>762</v>
      </c>
      <c r="I759">
        <v>10.350448249999999</v>
      </c>
      <c r="J759">
        <v>0.58199999999999996</v>
      </c>
      <c r="K759">
        <f t="shared" si="11"/>
        <v>3</v>
      </c>
      <c r="N759">
        <v>2.5</v>
      </c>
      <c r="O759">
        <v>3</v>
      </c>
    </row>
    <row r="760" spans="1:15" x14ac:dyDescent="0.25">
      <c r="A760" t="s">
        <v>2538</v>
      </c>
      <c r="B760">
        <v>9011714104</v>
      </c>
      <c r="C760" t="s">
        <v>2539</v>
      </c>
      <c r="D760">
        <v>5105</v>
      </c>
      <c r="E760">
        <v>20.112577739999999</v>
      </c>
      <c r="F760">
        <v>253.82126869999999</v>
      </c>
      <c r="G760">
        <v>2</v>
      </c>
      <c r="H760">
        <v>206</v>
      </c>
      <c r="I760">
        <v>3.860569715</v>
      </c>
      <c r="J760">
        <v>0.16600000000000001</v>
      </c>
      <c r="K760">
        <f t="shared" si="11"/>
        <v>1</v>
      </c>
      <c r="N760">
        <v>1.5</v>
      </c>
      <c r="O760">
        <v>2</v>
      </c>
    </row>
    <row r="761" spans="1:15" x14ac:dyDescent="0.25">
      <c r="A761" t="s">
        <v>2540</v>
      </c>
      <c r="B761">
        <v>9011715100</v>
      </c>
      <c r="C761" t="s">
        <v>2541</v>
      </c>
      <c r="D761">
        <v>4151</v>
      </c>
      <c r="E761">
        <v>28.918937459999999</v>
      </c>
      <c r="F761">
        <v>143.53916029999999</v>
      </c>
      <c r="G761">
        <v>2</v>
      </c>
      <c r="H761">
        <v>367</v>
      </c>
      <c r="I761">
        <v>8.9250972760000007</v>
      </c>
      <c r="J761">
        <v>0.52300000000000002</v>
      </c>
      <c r="K761">
        <f t="shared" si="11"/>
        <v>3</v>
      </c>
      <c r="N761">
        <v>2.5</v>
      </c>
      <c r="O761">
        <v>3</v>
      </c>
    </row>
    <row r="762" spans="1:15" x14ac:dyDescent="0.25">
      <c r="A762" t="s">
        <v>2542</v>
      </c>
      <c r="B762">
        <v>9011716101</v>
      </c>
      <c r="C762" t="s">
        <v>2543</v>
      </c>
      <c r="D762">
        <v>6109</v>
      </c>
      <c r="E762">
        <v>11.06302925</v>
      </c>
      <c r="F762">
        <v>552.19957050000005</v>
      </c>
      <c r="G762">
        <v>1</v>
      </c>
      <c r="H762">
        <v>1057</v>
      </c>
      <c r="I762">
        <v>18.807829179999999</v>
      </c>
      <c r="J762">
        <v>0.85899999999999999</v>
      </c>
      <c r="K762">
        <f t="shared" si="11"/>
        <v>5</v>
      </c>
      <c r="N762">
        <v>4</v>
      </c>
      <c r="O762">
        <v>4</v>
      </c>
    </row>
    <row r="763" spans="1:15" x14ac:dyDescent="0.25">
      <c r="A763" t="s">
        <v>2544</v>
      </c>
      <c r="B763">
        <v>9011716102</v>
      </c>
      <c r="C763" t="s">
        <v>2545</v>
      </c>
      <c r="D763">
        <v>5073</v>
      </c>
      <c r="E763">
        <v>15.65047328</v>
      </c>
      <c r="F763">
        <v>324.143552</v>
      </c>
      <c r="G763">
        <v>1</v>
      </c>
      <c r="H763">
        <v>838</v>
      </c>
      <c r="I763">
        <v>14.98837417</v>
      </c>
      <c r="J763">
        <v>0.73</v>
      </c>
      <c r="K763">
        <f t="shared" si="11"/>
        <v>4</v>
      </c>
      <c r="N763">
        <v>3</v>
      </c>
      <c r="O763">
        <v>3</v>
      </c>
    </row>
    <row r="764" spans="1:15" x14ac:dyDescent="0.25">
      <c r="A764" t="s">
        <v>2546</v>
      </c>
      <c r="B764">
        <v>9011870100</v>
      </c>
      <c r="C764" t="s">
        <v>2547</v>
      </c>
      <c r="D764">
        <v>7308</v>
      </c>
      <c r="E764">
        <v>54.098032889999999</v>
      </c>
      <c r="F764">
        <v>135.08809120000001</v>
      </c>
      <c r="G764">
        <v>2</v>
      </c>
      <c r="H764">
        <v>265</v>
      </c>
      <c r="I764">
        <v>3.672903673</v>
      </c>
      <c r="J764">
        <v>0.14499999999999999</v>
      </c>
      <c r="K764">
        <f t="shared" si="11"/>
        <v>1</v>
      </c>
      <c r="N764">
        <v>2</v>
      </c>
      <c r="O764">
        <v>2</v>
      </c>
    </row>
    <row r="765" spans="1:15" x14ac:dyDescent="0.25">
      <c r="A765" t="s">
        <v>2548</v>
      </c>
      <c r="B765">
        <v>9011870200</v>
      </c>
      <c r="C765" t="s">
        <v>2549</v>
      </c>
      <c r="D765">
        <v>5557</v>
      </c>
      <c r="E765">
        <v>4.6974418409999998</v>
      </c>
      <c r="F765">
        <v>1182.9843109999999</v>
      </c>
      <c r="G765">
        <v>1</v>
      </c>
      <c r="H765">
        <v>911</v>
      </c>
      <c r="I765">
        <v>16.041556610000001</v>
      </c>
      <c r="J765">
        <v>0.78600000000000003</v>
      </c>
      <c r="K765">
        <f t="shared" si="11"/>
        <v>4</v>
      </c>
      <c r="N765">
        <v>3.5</v>
      </c>
      <c r="O765">
        <v>4</v>
      </c>
    </row>
    <row r="766" spans="1:15" x14ac:dyDescent="0.25">
      <c r="A766" t="s">
        <v>2550</v>
      </c>
      <c r="B766">
        <v>9011870300</v>
      </c>
      <c r="C766" t="s">
        <v>2551</v>
      </c>
      <c r="D766">
        <v>6662</v>
      </c>
      <c r="E766">
        <v>1.514325549</v>
      </c>
      <c r="F766">
        <v>4399.3182340000003</v>
      </c>
      <c r="G766">
        <v>1</v>
      </c>
      <c r="H766">
        <v>1633</v>
      </c>
      <c r="I766">
        <v>25.32175531</v>
      </c>
      <c r="J766">
        <v>0.93300000000000005</v>
      </c>
      <c r="K766">
        <f t="shared" si="11"/>
        <v>5</v>
      </c>
      <c r="N766">
        <v>5</v>
      </c>
      <c r="O766">
        <v>5</v>
      </c>
    </row>
    <row r="767" spans="1:15" x14ac:dyDescent="0.25">
      <c r="A767" t="s">
        <v>2552</v>
      </c>
      <c r="B767">
        <v>9011870501</v>
      </c>
      <c r="C767" t="s">
        <v>2553</v>
      </c>
      <c r="D767">
        <v>4470</v>
      </c>
      <c r="E767">
        <v>5.2157430849999997</v>
      </c>
      <c r="F767">
        <v>857.02074040000002</v>
      </c>
      <c r="G767">
        <v>1</v>
      </c>
      <c r="H767">
        <v>1804</v>
      </c>
      <c r="I767">
        <v>41.04664391</v>
      </c>
      <c r="J767">
        <v>1</v>
      </c>
      <c r="K767">
        <f t="shared" si="11"/>
        <v>5</v>
      </c>
      <c r="N767">
        <v>4.5</v>
      </c>
      <c r="O767">
        <v>5</v>
      </c>
    </row>
    <row r="768" spans="1:15" x14ac:dyDescent="0.25">
      <c r="A768" t="s">
        <v>2554</v>
      </c>
      <c r="B768">
        <v>9011870502</v>
      </c>
      <c r="C768" t="s">
        <v>2555</v>
      </c>
      <c r="D768">
        <v>3632</v>
      </c>
      <c r="E768">
        <v>3.2010379969999998</v>
      </c>
      <c r="F768">
        <v>1134.6319550000001</v>
      </c>
      <c r="G768">
        <v>1</v>
      </c>
      <c r="H768">
        <v>707</v>
      </c>
      <c r="I768">
        <v>19.45514584</v>
      </c>
      <c r="J768">
        <v>0.89600000000000002</v>
      </c>
      <c r="K768">
        <f t="shared" si="11"/>
        <v>5</v>
      </c>
      <c r="N768">
        <v>4.5</v>
      </c>
      <c r="O768">
        <v>5</v>
      </c>
    </row>
    <row r="769" spans="1:15" x14ac:dyDescent="0.25">
      <c r="A769" t="s">
        <v>2556</v>
      </c>
      <c r="B769">
        <v>9011870701</v>
      </c>
      <c r="C769" t="s">
        <v>2557</v>
      </c>
      <c r="D769">
        <v>2156</v>
      </c>
      <c r="E769">
        <v>2.4951246880000002</v>
      </c>
      <c r="F769">
        <v>864.08507380000003</v>
      </c>
      <c r="G769">
        <v>1</v>
      </c>
      <c r="H769">
        <v>163</v>
      </c>
      <c r="I769">
        <v>7.8403078400000004</v>
      </c>
      <c r="J769">
        <v>0.50800000000000001</v>
      </c>
      <c r="K769">
        <f t="shared" si="11"/>
        <v>3</v>
      </c>
      <c r="N769">
        <v>3</v>
      </c>
      <c r="O769">
        <v>3</v>
      </c>
    </row>
    <row r="770" spans="1:15" x14ac:dyDescent="0.25">
      <c r="A770" t="s">
        <v>2558</v>
      </c>
      <c r="B770">
        <v>9011870703</v>
      </c>
      <c r="C770" t="s">
        <v>2559</v>
      </c>
      <c r="D770">
        <v>1749</v>
      </c>
      <c r="E770">
        <v>2.1851946799999999</v>
      </c>
      <c r="F770">
        <v>800.38635260000001</v>
      </c>
      <c r="G770">
        <v>1</v>
      </c>
      <c r="H770">
        <v>196</v>
      </c>
      <c r="I770">
        <v>11.757648469999999</v>
      </c>
      <c r="J770">
        <v>0.67800000000000005</v>
      </c>
      <c r="K770">
        <f t="shared" si="11"/>
        <v>4</v>
      </c>
      <c r="N770">
        <v>3.5</v>
      </c>
      <c r="O770">
        <v>4</v>
      </c>
    </row>
    <row r="771" spans="1:15" x14ac:dyDescent="0.25">
      <c r="A771" t="s">
        <v>2560</v>
      </c>
      <c r="B771">
        <v>9011870704</v>
      </c>
      <c r="C771" t="s">
        <v>2561</v>
      </c>
      <c r="D771">
        <v>4072</v>
      </c>
      <c r="E771">
        <v>2.602448737</v>
      </c>
      <c r="F771">
        <v>1564.680196</v>
      </c>
      <c r="G771">
        <v>1</v>
      </c>
      <c r="H771">
        <v>383</v>
      </c>
      <c r="I771">
        <v>10.167241840000001</v>
      </c>
      <c r="J771">
        <v>0.61799999999999999</v>
      </c>
      <c r="K771">
        <f t="shared" ref="K771:K823" si="12">IF(J771&lt;0.2,1,IF(J771&lt;0.4,2,IF(J771&lt;0.6,3,IF(J771&lt;0.8,4,5))))</f>
        <v>4</v>
      </c>
      <c r="N771">
        <v>3.5</v>
      </c>
      <c r="O771">
        <v>4</v>
      </c>
    </row>
    <row r="772" spans="1:15" x14ac:dyDescent="0.25">
      <c r="A772" t="s">
        <v>2562</v>
      </c>
      <c r="B772">
        <v>9013526101</v>
      </c>
      <c r="C772" t="s">
        <v>2563</v>
      </c>
      <c r="D772">
        <v>4630</v>
      </c>
      <c r="E772">
        <v>16.711880520000001</v>
      </c>
      <c r="F772">
        <v>277.04841440000001</v>
      </c>
      <c r="G772">
        <v>2</v>
      </c>
      <c r="H772">
        <v>210</v>
      </c>
      <c r="I772">
        <v>4.6728971960000001</v>
      </c>
      <c r="J772">
        <v>0.22600000000000001</v>
      </c>
      <c r="K772">
        <f t="shared" si="12"/>
        <v>2</v>
      </c>
      <c r="N772">
        <v>2</v>
      </c>
      <c r="O772">
        <v>2</v>
      </c>
    </row>
    <row r="773" spans="1:15" x14ac:dyDescent="0.25">
      <c r="A773" t="s">
        <v>2564</v>
      </c>
      <c r="B773">
        <v>9013526102</v>
      </c>
      <c r="C773" t="s">
        <v>2565</v>
      </c>
      <c r="D773">
        <v>5056</v>
      </c>
      <c r="E773">
        <v>20.225102969999998</v>
      </c>
      <c r="F773">
        <v>249.98636629999999</v>
      </c>
      <c r="G773">
        <v>2</v>
      </c>
      <c r="H773">
        <v>162</v>
      </c>
      <c r="I773">
        <v>3.2283778399999998</v>
      </c>
      <c r="J773">
        <v>0.115</v>
      </c>
      <c r="K773">
        <f t="shared" si="12"/>
        <v>1</v>
      </c>
      <c r="N773">
        <v>1.5</v>
      </c>
      <c r="O773">
        <v>2</v>
      </c>
    </row>
    <row r="774" spans="1:15" x14ac:dyDescent="0.25">
      <c r="A774" t="s">
        <v>2566</v>
      </c>
      <c r="B774">
        <v>9013528100</v>
      </c>
      <c r="C774" t="s">
        <v>2567</v>
      </c>
      <c r="D774">
        <v>3303</v>
      </c>
      <c r="E774">
        <v>15.447457289999999</v>
      </c>
      <c r="F774">
        <v>213.8215979</v>
      </c>
      <c r="G774">
        <v>2</v>
      </c>
      <c r="H774">
        <v>57</v>
      </c>
      <c r="I774">
        <v>1.7795816419999999</v>
      </c>
      <c r="J774">
        <v>1.9E-2</v>
      </c>
      <c r="K774">
        <f t="shared" si="12"/>
        <v>1</v>
      </c>
      <c r="N774">
        <v>2</v>
      </c>
      <c r="O774">
        <v>2</v>
      </c>
    </row>
    <row r="775" spans="1:15" x14ac:dyDescent="0.25">
      <c r="A775" t="s">
        <v>2568</v>
      </c>
      <c r="B775">
        <v>9013529100</v>
      </c>
      <c r="C775" t="s">
        <v>2569</v>
      </c>
      <c r="D775">
        <v>4980</v>
      </c>
      <c r="E775">
        <v>14.407233550000001</v>
      </c>
      <c r="F775">
        <v>345.65969819999998</v>
      </c>
      <c r="G775">
        <v>1</v>
      </c>
      <c r="H775">
        <v>255</v>
      </c>
      <c r="I775">
        <v>5.1924251679999998</v>
      </c>
      <c r="J775">
        <v>0.28000000000000003</v>
      </c>
      <c r="K775">
        <f t="shared" si="12"/>
        <v>2</v>
      </c>
      <c r="N775">
        <v>2</v>
      </c>
      <c r="O775">
        <v>2</v>
      </c>
    </row>
    <row r="776" spans="1:15" x14ac:dyDescent="0.25">
      <c r="A776" t="s">
        <v>2570</v>
      </c>
      <c r="B776">
        <v>9013530100</v>
      </c>
      <c r="C776" t="s">
        <v>2571</v>
      </c>
      <c r="D776">
        <v>2271</v>
      </c>
      <c r="E776">
        <v>0.95036347700000001</v>
      </c>
      <c r="F776">
        <v>2389.6120340000002</v>
      </c>
      <c r="G776">
        <v>1</v>
      </c>
      <c r="H776">
        <v>404</v>
      </c>
      <c r="I776">
        <v>18.165467629999998</v>
      </c>
      <c r="J776">
        <v>0.85699999999999998</v>
      </c>
      <c r="K776">
        <f t="shared" si="12"/>
        <v>5</v>
      </c>
      <c r="N776">
        <v>5</v>
      </c>
      <c r="O776">
        <v>5</v>
      </c>
    </row>
    <row r="777" spans="1:15" x14ac:dyDescent="0.25">
      <c r="A777" t="s">
        <v>2572</v>
      </c>
      <c r="B777">
        <v>9013530200</v>
      </c>
      <c r="C777" t="s">
        <v>2573</v>
      </c>
      <c r="D777">
        <v>6177</v>
      </c>
      <c r="E777">
        <v>1.234672902</v>
      </c>
      <c r="F777">
        <v>5002.9444970000004</v>
      </c>
      <c r="G777">
        <v>1</v>
      </c>
      <c r="H777">
        <v>810</v>
      </c>
      <c r="I777">
        <v>11.81446908</v>
      </c>
      <c r="J777">
        <v>0.68700000000000006</v>
      </c>
      <c r="K777">
        <f t="shared" si="12"/>
        <v>4</v>
      </c>
      <c r="N777">
        <v>4.5</v>
      </c>
      <c r="O777">
        <v>5</v>
      </c>
    </row>
    <row r="778" spans="1:15" x14ac:dyDescent="0.25">
      <c r="A778" t="s">
        <v>2574</v>
      </c>
      <c r="B778">
        <v>9013530301</v>
      </c>
      <c r="C778" t="s">
        <v>2575</v>
      </c>
      <c r="D778">
        <v>5533</v>
      </c>
      <c r="E778">
        <v>1.7299207560000001</v>
      </c>
      <c r="F778">
        <v>3198.412401</v>
      </c>
      <c r="G778">
        <v>1</v>
      </c>
      <c r="H778">
        <v>304</v>
      </c>
      <c r="I778">
        <v>6.026962728</v>
      </c>
      <c r="J778">
        <v>0.38200000000000001</v>
      </c>
      <c r="K778">
        <f t="shared" si="12"/>
        <v>2</v>
      </c>
      <c r="N778">
        <v>3.5</v>
      </c>
      <c r="O778">
        <v>4</v>
      </c>
    </row>
    <row r="779" spans="1:15" x14ac:dyDescent="0.25">
      <c r="A779" t="s">
        <v>2576</v>
      </c>
      <c r="B779">
        <v>9013530302</v>
      </c>
      <c r="C779" t="s">
        <v>2577</v>
      </c>
      <c r="D779">
        <v>5984</v>
      </c>
      <c r="E779">
        <v>3.1479296429999999</v>
      </c>
      <c r="F779">
        <v>1900.9319390000001</v>
      </c>
      <c r="G779">
        <v>1</v>
      </c>
      <c r="H779">
        <v>1491</v>
      </c>
      <c r="I779">
        <v>24.632413679999999</v>
      </c>
      <c r="J779">
        <v>0.91300000000000003</v>
      </c>
      <c r="K779">
        <f t="shared" si="12"/>
        <v>5</v>
      </c>
      <c r="N779">
        <v>4</v>
      </c>
      <c r="O779">
        <v>4</v>
      </c>
    </row>
    <row r="780" spans="1:15" x14ac:dyDescent="0.25">
      <c r="A780" t="s">
        <v>2578</v>
      </c>
      <c r="B780">
        <v>9013530400</v>
      </c>
      <c r="C780" t="s">
        <v>2579</v>
      </c>
      <c r="D780">
        <v>3273</v>
      </c>
      <c r="E780">
        <v>1.7177137499999999</v>
      </c>
      <c r="F780">
        <v>1905.4397160000001</v>
      </c>
      <c r="G780">
        <v>1</v>
      </c>
      <c r="H780">
        <v>671</v>
      </c>
      <c r="I780">
        <v>18.73778274</v>
      </c>
      <c r="J780">
        <v>0.88800000000000001</v>
      </c>
      <c r="K780">
        <f t="shared" si="12"/>
        <v>5</v>
      </c>
      <c r="N780">
        <v>4.5</v>
      </c>
      <c r="O780">
        <v>5</v>
      </c>
    </row>
    <row r="781" spans="1:15" x14ac:dyDescent="0.25">
      <c r="A781" t="s">
        <v>2580</v>
      </c>
      <c r="B781">
        <v>9013530500</v>
      </c>
      <c r="C781" t="s">
        <v>2581</v>
      </c>
      <c r="D781">
        <v>3243</v>
      </c>
      <c r="E781">
        <v>2.4744280669999998</v>
      </c>
      <c r="F781">
        <v>1310.6058909999999</v>
      </c>
      <c r="G781">
        <v>1</v>
      </c>
      <c r="H781">
        <v>289</v>
      </c>
      <c r="I781">
        <v>9.9210435980000007</v>
      </c>
      <c r="J781">
        <v>0.63600000000000001</v>
      </c>
      <c r="K781">
        <f t="shared" si="12"/>
        <v>4</v>
      </c>
      <c r="N781">
        <v>4</v>
      </c>
      <c r="O781">
        <v>4</v>
      </c>
    </row>
    <row r="782" spans="1:15" x14ac:dyDescent="0.25">
      <c r="A782" t="s">
        <v>2582</v>
      </c>
      <c r="B782">
        <v>9013530600</v>
      </c>
      <c r="C782" t="s">
        <v>2583</v>
      </c>
      <c r="D782">
        <v>2698</v>
      </c>
      <c r="E782">
        <v>6.4440912470000002</v>
      </c>
      <c r="F782">
        <v>418.67811870000003</v>
      </c>
      <c r="G782">
        <v>1</v>
      </c>
      <c r="H782">
        <v>223</v>
      </c>
      <c r="I782">
        <v>8.7075361190000002</v>
      </c>
      <c r="J782">
        <v>0.60399999999999998</v>
      </c>
      <c r="K782">
        <f t="shared" si="12"/>
        <v>4</v>
      </c>
      <c r="N782">
        <v>3</v>
      </c>
      <c r="O782">
        <v>3</v>
      </c>
    </row>
    <row r="783" spans="1:15" x14ac:dyDescent="0.25">
      <c r="A783" t="s">
        <v>2584</v>
      </c>
      <c r="B783">
        <v>9013533101</v>
      </c>
      <c r="C783" t="s">
        <v>2585</v>
      </c>
      <c r="D783">
        <v>9318</v>
      </c>
      <c r="E783">
        <v>25.62911836</v>
      </c>
      <c r="F783">
        <v>363.57083649999998</v>
      </c>
      <c r="G783">
        <v>1</v>
      </c>
      <c r="H783">
        <v>524</v>
      </c>
      <c r="I783">
        <v>5.7012294639999999</v>
      </c>
      <c r="J783">
        <v>0.35699999999999998</v>
      </c>
      <c r="K783">
        <f t="shared" si="12"/>
        <v>2</v>
      </c>
      <c r="N783">
        <v>2</v>
      </c>
      <c r="O783">
        <v>2</v>
      </c>
    </row>
    <row r="784" spans="1:15" x14ac:dyDescent="0.25">
      <c r="A784" t="s">
        <v>2586</v>
      </c>
      <c r="B784">
        <v>9013533102</v>
      </c>
      <c r="C784" t="s">
        <v>2587</v>
      </c>
      <c r="D784">
        <v>5734</v>
      </c>
      <c r="E784">
        <v>13.997890719999999</v>
      </c>
      <c r="F784">
        <v>409.63314500000001</v>
      </c>
      <c r="G784">
        <v>1</v>
      </c>
      <c r="H784">
        <v>602</v>
      </c>
      <c r="I784">
        <v>10.901847160000001</v>
      </c>
      <c r="J784">
        <v>0.63400000000000001</v>
      </c>
      <c r="K784">
        <f t="shared" si="12"/>
        <v>4</v>
      </c>
      <c r="N784">
        <v>3</v>
      </c>
      <c r="O784">
        <v>3</v>
      </c>
    </row>
    <row r="785" spans="1:15" x14ac:dyDescent="0.25">
      <c r="A785" t="s">
        <v>2588</v>
      </c>
      <c r="B785">
        <v>9013535100</v>
      </c>
      <c r="C785" t="s">
        <v>2589</v>
      </c>
      <c r="D785">
        <v>9161</v>
      </c>
      <c r="E785">
        <v>17.376222590000001</v>
      </c>
      <c r="F785">
        <v>527.21470109999996</v>
      </c>
      <c r="G785">
        <v>1</v>
      </c>
      <c r="H785">
        <v>915</v>
      </c>
      <c r="I785">
        <v>9.4857972220000004</v>
      </c>
      <c r="J785">
        <v>0.625</v>
      </c>
      <c r="K785">
        <f t="shared" si="12"/>
        <v>4</v>
      </c>
      <c r="N785">
        <v>3.5</v>
      </c>
      <c r="O785">
        <v>4</v>
      </c>
    </row>
    <row r="786" spans="1:15" x14ac:dyDescent="0.25">
      <c r="A786" t="s">
        <v>2590</v>
      </c>
      <c r="B786">
        <v>9013535200</v>
      </c>
      <c r="C786" t="s">
        <v>2591</v>
      </c>
      <c r="D786">
        <v>6441</v>
      </c>
      <c r="E786">
        <v>16.683871889999999</v>
      </c>
      <c r="F786">
        <v>386.0614635</v>
      </c>
      <c r="G786">
        <v>1</v>
      </c>
      <c r="H786">
        <v>1107</v>
      </c>
      <c r="I786">
        <v>16.968117719999999</v>
      </c>
      <c r="J786">
        <v>0.84599999999999997</v>
      </c>
      <c r="K786">
        <f t="shared" si="12"/>
        <v>5</v>
      </c>
      <c r="N786">
        <v>3.5</v>
      </c>
      <c r="O786">
        <v>4</v>
      </c>
    </row>
    <row r="787" spans="1:15" x14ac:dyDescent="0.25">
      <c r="A787" t="s">
        <v>2592</v>
      </c>
      <c r="B787">
        <v>9013538201</v>
      </c>
      <c r="C787" t="s">
        <v>2593</v>
      </c>
      <c r="D787">
        <v>5166</v>
      </c>
      <c r="E787">
        <v>14.88098053</v>
      </c>
      <c r="F787">
        <v>347.1545433</v>
      </c>
      <c r="G787">
        <v>1</v>
      </c>
      <c r="H787">
        <v>359</v>
      </c>
      <c r="I787">
        <v>7.035077405</v>
      </c>
      <c r="J787">
        <v>0.54</v>
      </c>
      <c r="K787">
        <f t="shared" si="12"/>
        <v>3</v>
      </c>
      <c r="N787">
        <v>2.5</v>
      </c>
      <c r="O787">
        <v>3</v>
      </c>
    </row>
    <row r="788" spans="1:15" x14ac:dyDescent="0.25">
      <c r="A788" t="s">
        <v>2594</v>
      </c>
      <c r="B788">
        <v>9013538202</v>
      </c>
      <c r="C788" t="s">
        <v>2595</v>
      </c>
      <c r="D788">
        <v>3939</v>
      </c>
      <c r="E788">
        <v>12.86606617</v>
      </c>
      <c r="F788">
        <v>306.15418469999997</v>
      </c>
      <c r="G788">
        <v>1</v>
      </c>
      <c r="H788">
        <v>52</v>
      </c>
      <c r="I788">
        <v>1.2392755</v>
      </c>
      <c r="J788">
        <v>0</v>
      </c>
      <c r="K788">
        <f t="shared" si="12"/>
        <v>1</v>
      </c>
      <c r="N788">
        <v>1</v>
      </c>
      <c r="O788">
        <v>1</v>
      </c>
    </row>
    <row r="789" spans="1:15" x14ac:dyDescent="0.25">
      <c r="A789" t="s">
        <v>2596</v>
      </c>
      <c r="B789">
        <v>9013840100</v>
      </c>
      <c r="C789" t="s">
        <v>2597</v>
      </c>
      <c r="D789">
        <v>6041</v>
      </c>
      <c r="E789">
        <v>33.293711790000003</v>
      </c>
      <c r="F789">
        <v>181.44567480000001</v>
      </c>
      <c r="G789">
        <v>2</v>
      </c>
      <c r="H789">
        <v>733</v>
      </c>
      <c r="I789">
        <v>12.438486340000001</v>
      </c>
      <c r="J789">
        <v>0.74199999999999999</v>
      </c>
      <c r="K789">
        <f t="shared" si="12"/>
        <v>4</v>
      </c>
      <c r="N789">
        <v>3.5</v>
      </c>
      <c r="O789">
        <v>4</v>
      </c>
    </row>
    <row r="790" spans="1:15" x14ac:dyDescent="0.25">
      <c r="A790" t="s">
        <v>2598</v>
      </c>
      <c r="B790">
        <v>9013850100</v>
      </c>
      <c r="C790" t="s">
        <v>2599</v>
      </c>
      <c r="D790">
        <v>5504</v>
      </c>
      <c r="E790">
        <v>19.212928399999999</v>
      </c>
      <c r="F790">
        <v>286.47376839999998</v>
      </c>
      <c r="G790">
        <v>2</v>
      </c>
      <c r="H790">
        <v>353</v>
      </c>
      <c r="I790">
        <v>6.0611263739999997</v>
      </c>
      <c r="J790">
        <v>0.47</v>
      </c>
      <c r="K790">
        <f t="shared" si="12"/>
        <v>3</v>
      </c>
      <c r="N790">
        <v>2.5</v>
      </c>
      <c r="O790">
        <v>3</v>
      </c>
    </row>
    <row r="791" spans="1:15" x14ac:dyDescent="0.25">
      <c r="A791" t="s">
        <v>2600</v>
      </c>
      <c r="B791">
        <v>9013850200</v>
      </c>
      <c r="C791" t="s">
        <v>2601</v>
      </c>
      <c r="D791">
        <v>6931</v>
      </c>
      <c r="E791">
        <v>18.35628543</v>
      </c>
      <c r="F791">
        <v>377.58183839999998</v>
      </c>
      <c r="G791">
        <v>2</v>
      </c>
      <c r="H791">
        <v>218</v>
      </c>
      <c r="I791">
        <v>3.2985323040000001</v>
      </c>
      <c r="J791">
        <v>0.121</v>
      </c>
      <c r="K791">
        <f t="shared" si="12"/>
        <v>1</v>
      </c>
      <c r="N791">
        <v>2</v>
      </c>
      <c r="O791">
        <v>2</v>
      </c>
    </row>
    <row r="792" spans="1:15" x14ac:dyDescent="0.25">
      <c r="A792" t="s">
        <v>2602</v>
      </c>
      <c r="B792">
        <v>9013860100</v>
      </c>
      <c r="C792" t="s">
        <v>2603</v>
      </c>
      <c r="D792">
        <v>5485</v>
      </c>
      <c r="E792">
        <v>21.372704039999999</v>
      </c>
      <c r="F792">
        <v>256.63575320000001</v>
      </c>
      <c r="G792">
        <v>2</v>
      </c>
      <c r="H792">
        <v>208</v>
      </c>
      <c r="I792">
        <v>3.8397637069999999</v>
      </c>
      <c r="J792">
        <v>0.156</v>
      </c>
      <c r="K792">
        <f t="shared" si="12"/>
        <v>1</v>
      </c>
      <c r="N792">
        <v>2</v>
      </c>
      <c r="O792">
        <v>2</v>
      </c>
    </row>
    <row r="793" spans="1:15" x14ac:dyDescent="0.25">
      <c r="A793" t="s">
        <v>2604</v>
      </c>
      <c r="B793">
        <v>9013881100</v>
      </c>
      <c r="C793" t="s">
        <v>2605</v>
      </c>
      <c r="D793">
        <v>4119</v>
      </c>
      <c r="E793">
        <v>22.311847</v>
      </c>
      <c r="F793">
        <v>184.61044480000001</v>
      </c>
      <c r="G793">
        <v>2</v>
      </c>
      <c r="H793">
        <v>652</v>
      </c>
      <c r="I793">
        <v>14.68468468</v>
      </c>
      <c r="J793">
        <v>0.77400000000000002</v>
      </c>
      <c r="K793">
        <f t="shared" si="12"/>
        <v>4</v>
      </c>
      <c r="N793">
        <v>3.5</v>
      </c>
      <c r="O793">
        <v>4</v>
      </c>
    </row>
    <row r="794" spans="1:15" x14ac:dyDescent="0.25">
      <c r="A794" t="s">
        <v>2606</v>
      </c>
      <c r="B794">
        <v>9013881200</v>
      </c>
      <c r="C794" t="s">
        <v>2607</v>
      </c>
      <c r="D794">
        <v>10289</v>
      </c>
      <c r="E794">
        <v>0.87737510799999996</v>
      </c>
      <c r="F794">
        <v>11727.02521</v>
      </c>
      <c r="G794">
        <v>1</v>
      </c>
      <c r="H794">
        <v>1715</v>
      </c>
      <c r="I794">
        <v>15.66067026</v>
      </c>
      <c r="J794">
        <v>0.83299999999999996</v>
      </c>
      <c r="K794">
        <f t="shared" si="12"/>
        <v>5</v>
      </c>
      <c r="N794">
        <v>4</v>
      </c>
      <c r="O794">
        <v>4</v>
      </c>
    </row>
    <row r="795" spans="1:15" x14ac:dyDescent="0.25">
      <c r="A795" t="s">
        <v>2608</v>
      </c>
      <c r="B795">
        <v>9013881300</v>
      </c>
      <c r="C795" t="s">
        <v>2609</v>
      </c>
      <c r="D795">
        <v>6189</v>
      </c>
      <c r="E795">
        <v>9.1518300470000007</v>
      </c>
      <c r="F795">
        <v>676.25818749999996</v>
      </c>
      <c r="G795">
        <v>1</v>
      </c>
      <c r="H795">
        <v>535</v>
      </c>
      <c r="I795">
        <v>12.09859792</v>
      </c>
      <c r="J795">
        <v>0.75800000000000001</v>
      </c>
      <c r="K795">
        <f t="shared" si="12"/>
        <v>4</v>
      </c>
      <c r="N795">
        <v>4.5</v>
      </c>
      <c r="O795">
        <v>5</v>
      </c>
    </row>
    <row r="796" spans="1:15" x14ac:dyDescent="0.25">
      <c r="A796" t="s">
        <v>2610</v>
      </c>
      <c r="B796">
        <v>9013881500</v>
      </c>
      <c r="C796" t="s">
        <v>2611</v>
      </c>
      <c r="D796">
        <v>5946</v>
      </c>
      <c r="E796">
        <v>12.258355249999999</v>
      </c>
      <c r="F796">
        <v>485.05691660000002</v>
      </c>
      <c r="G796">
        <v>2</v>
      </c>
      <c r="H796">
        <v>808</v>
      </c>
      <c r="I796">
        <v>13.49816238</v>
      </c>
      <c r="J796">
        <v>0.78500000000000003</v>
      </c>
      <c r="K796">
        <f t="shared" si="12"/>
        <v>4</v>
      </c>
      <c r="N796">
        <v>4</v>
      </c>
      <c r="O796">
        <v>4</v>
      </c>
    </row>
    <row r="797" spans="1:15" x14ac:dyDescent="0.25">
      <c r="A797" t="s">
        <v>2612</v>
      </c>
      <c r="B797">
        <v>9013890100</v>
      </c>
      <c r="C797" t="s">
        <v>2613</v>
      </c>
      <c r="D797">
        <v>3858</v>
      </c>
      <c r="E797">
        <v>3.4172285740000001</v>
      </c>
      <c r="F797">
        <v>1128.985058</v>
      </c>
      <c r="G797">
        <v>2</v>
      </c>
      <c r="H797">
        <v>170</v>
      </c>
      <c r="I797">
        <v>4.3545081970000004</v>
      </c>
      <c r="J797">
        <v>0.222</v>
      </c>
      <c r="K797">
        <f t="shared" si="12"/>
        <v>2</v>
      </c>
      <c r="N797">
        <v>3.5</v>
      </c>
      <c r="O797">
        <v>4</v>
      </c>
    </row>
    <row r="798" spans="1:15" x14ac:dyDescent="0.25">
      <c r="A798" t="s">
        <v>2614</v>
      </c>
      <c r="B798">
        <v>9013890201</v>
      </c>
      <c r="C798" t="s">
        <v>2615</v>
      </c>
      <c r="D798">
        <v>3878</v>
      </c>
      <c r="E798">
        <v>47.407410380000002</v>
      </c>
      <c r="F798">
        <v>81.801557369999998</v>
      </c>
      <c r="G798">
        <v>2</v>
      </c>
      <c r="H798">
        <v>282</v>
      </c>
      <c r="I798">
        <v>7.7133479210000004</v>
      </c>
      <c r="J798">
        <v>0.61499999999999999</v>
      </c>
      <c r="K798">
        <f t="shared" si="12"/>
        <v>4</v>
      </c>
      <c r="N798">
        <v>4</v>
      </c>
      <c r="O798">
        <v>4</v>
      </c>
    </row>
    <row r="799" spans="1:15" x14ac:dyDescent="0.25">
      <c r="A799" t="s">
        <v>2616</v>
      </c>
      <c r="B799">
        <v>9013890202</v>
      </c>
      <c r="C799" t="s">
        <v>2617</v>
      </c>
      <c r="D799">
        <v>5205</v>
      </c>
      <c r="E799">
        <v>36.007573010000002</v>
      </c>
      <c r="F799">
        <v>144.55292499999999</v>
      </c>
      <c r="G799">
        <v>2</v>
      </c>
      <c r="H799">
        <v>385</v>
      </c>
      <c r="I799">
        <v>7.3825503360000004</v>
      </c>
      <c r="J799">
        <v>0.6</v>
      </c>
      <c r="K799">
        <f t="shared" si="12"/>
        <v>4</v>
      </c>
      <c r="N799">
        <v>3</v>
      </c>
      <c r="O799">
        <v>3</v>
      </c>
    </row>
    <row r="800" spans="1:15" x14ac:dyDescent="0.25">
      <c r="A800" t="s">
        <v>2618</v>
      </c>
      <c r="B800">
        <v>9015800300</v>
      </c>
      <c r="C800" t="s">
        <v>2619</v>
      </c>
      <c r="D800">
        <v>6430</v>
      </c>
      <c r="E800">
        <v>1.6730324620000001</v>
      </c>
      <c r="F800">
        <v>3843.3205250000001</v>
      </c>
      <c r="G800">
        <v>2</v>
      </c>
      <c r="H800">
        <v>1209</v>
      </c>
      <c r="I800">
        <v>17.131925750000001</v>
      </c>
      <c r="J800">
        <v>0.83299999999999996</v>
      </c>
      <c r="K800">
        <f t="shared" si="12"/>
        <v>5</v>
      </c>
      <c r="N800">
        <v>5</v>
      </c>
      <c r="O800">
        <v>5</v>
      </c>
    </row>
    <row r="801" spans="1:15" x14ac:dyDescent="0.25">
      <c r="A801" t="s">
        <v>2620</v>
      </c>
      <c r="B801">
        <v>9015800400</v>
      </c>
      <c r="C801" t="s">
        <v>2621</v>
      </c>
      <c r="D801">
        <v>4040</v>
      </c>
      <c r="E801">
        <v>2.251941322</v>
      </c>
      <c r="F801">
        <v>1794.007668</v>
      </c>
      <c r="G801">
        <v>2</v>
      </c>
      <c r="H801">
        <v>1131</v>
      </c>
      <c r="I801">
        <v>32.868352219999998</v>
      </c>
      <c r="J801">
        <v>0.95599999999999996</v>
      </c>
      <c r="K801">
        <f t="shared" si="12"/>
        <v>5</v>
      </c>
      <c r="N801">
        <v>5</v>
      </c>
      <c r="O801">
        <v>5</v>
      </c>
    </row>
    <row r="802" spans="1:15" x14ac:dyDescent="0.25">
      <c r="A802" t="s">
        <v>2622</v>
      </c>
      <c r="B802">
        <v>9015800500</v>
      </c>
      <c r="C802" t="s">
        <v>2623</v>
      </c>
      <c r="D802">
        <v>7007</v>
      </c>
      <c r="E802">
        <v>21.79043532</v>
      </c>
      <c r="F802">
        <v>321.56310309999998</v>
      </c>
      <c r="G802">
        <v>2</v>
      </c>
      <c r="H802">
        <v>1355</v>
      </c>
      <c r="I802">
        <v>20.232940119999999</v>
      </c>
      <c r="J802">
        <v>0.90900000000000003</v>
      </c>
      <c r="K802">
        <f t="shared" si="12"/>
        <v>5</v>
      </c>
      <c r="N802">
        <v>4.5</v>
      </c>
      <c r="O802">
        <v>5</v>
      </c>
    </row>
    <row r="803" spans="1:15" x14ac:dyDescent="0.25">
      <c r="A803" t="s">
        <v>2624</v>
      </c>
      <c r="B803">
        <v>9015800600</v>
      </c>
      <c r="C803" t="s">
        <v>2625</v>
      </c>
      <c r="D803">
        <v>4394</v>
      </c>
      <c r="E803">
        <v>0.56322423099999996</v>
      </c>
      <c r="F803">
        <v>7801.5109380000004</v>
      </c>
      <c r="G803">
        <v>2</v>
      </c>
      <c r="H803">
        <v>1430</v>
      </c>
      <c r="I803">
        <v>37.395397490000001</v>
      </c>
      <c r="J803">
        <v>1</v>
      </c>
      <c r="K803">
        <f t="shared" si="12"/>
        <v>5</v>
      </c>
      <c r="N803">
        <v>5</v>
      </c>
      <c r="O803">
        <v>5</v>
      </c>
    </row>
    <row r="804" spans="1:15" x14ac:dyDescent="0.25">
      <c r="A804" t="s">
        <v>2626</v>
      </c>
      <c r="B804">
        <v>9015800700</v>
      </c>
      <c r="C804" t="s">
        <v>2627</v>
      </c>
      <c r="D804">
        <v>3397</v>
      </c>
      <c r="E804">
        <v>0.69366112899999999</v>
      </c>
      <c r="F804">
        <v>4897.2039199999999</v>
      </c>
      <c r="G804">
        <v>2</v>
      </c>
      <c r="H804">
        <v>989</v>
      </c>
      <c r="I804">
        <v>27.20022002</v>
      </c>
      <c r="J804">
        <v>1</v>
      </c>
      <c r="K804">
        <f t="shared" si="12"/>
        <v>5</v>
      </c>
      <c r="N804">
        <v>5</v>
      </c>
      <c r="O804">
        <v>5</v>
      </c>
    </row>
    <row r="805" spans="1:15" x14ac:dyDescent="0.25">
      <c r="A805" t="s">
        <v>2628</v>
      </c>
      <c r="B805">
        <v>9015815000</v>
      </c>
      <c r="C805" t="s">
        <v>2629</v>
      </c>
      <c r="D805">
        <v>2305</v>
      </c>
      <c r="E805">
        <v>19.427314339999999</v>
      </c>
      <c r="F805">
        <v>118.6473828</v>
      </c>
      <c r="G805">
        <v>2</v>
      </c>
      <c r="H805">
        <v>276</v>
      </c>
      <c r="I805">
        <v>11.088790680000001</v>
      </c>
      <c r="J805">
        <v>0.94699999999999995</v>
      </c>
      <c r="K805">
        <f t="shared" si="12"/>
        <v>5</v>
      </c>
      <c r="N805">
        <v>4.5</v>
      </c>
      <c r="O805">
        <v>5</v>
      </c>
    </row>
    <row r="806" spans="1:15" x14ac:dyDescent="0.25">
      <c r="A806" t="s">
        <v>2630</v>
      </c>
      <c r="B806">
        <v>9015820000</v>
      </c>
      <c r="C806" t="s">
        <v>2631</v>
      </c>
      <c r="D806">
        <v>1863</v>
      </c>
      <c r="E806">
        <v>25.092195019999998</v>
      </c>
      <c r="F806">
        <v>74.246194819999999</v>
      </c>
      <c r="G806">
        <v>2</v>
      </c>
      <c r="H806">
        <v>113</v>
      </c>
      <c r="I806">
        <v>6.1748633880000003</v>
      </c>
      <c r="J806">
        <v>0.77700000000000002</v>
      </c>
      <c r="K806">
        <f t="shared" si="12"/>
        <v>4</v>
      </c>
      <c r="N806">
        <v>3.5</v>
      </c>
      <c r="O806">
        <v>4</v>
      </c>
    </row>
    <row r="807" spans="1:15" x14ac:dyDescent="0.25">
      <c r="A807" t="s">
        <v>2632</v>
      </c>
      <c r="B807">
        <v>9015825000</v>
      </c>
      <c r="C807" t="s">
        <v>2633</v>
      </c>
      <c r="D807">
        <v>1726</v>
      </c>
      <c r="E807">
        <v>18.63232339</v>
      </c>
      <c r="F807">
        <v>92.634716760000003</v>
      </c>
      <c r="G807">
        <v>2</v>
      </c>
      <c r="H807">
        <v>56</v>
      </c>
      <c r="I807">
        <v>3.5691523260000002</v>
      </c>
      <c r="J807">
        <v>0.23499999999999999</v>
      </c>
      <c r="K807">
        <f t="shared" si="12"/>
        <v>2</v>
      </c>
      <c r="N807">
        <v>2.5</v>
      </c>
      <c r="O807">
        <v>3</v>
      </c>
    </row>
    <row r="808" spans="1:15" x14ac:dyDescent="0.25">
      <c r="A808" t="s">
        <v>2634</v>
      </c>
      <c r="B808">
        <v>9015830100</v>
      </c>
      <c r="C808" t="s">
        <v>2635</v>
      </c>
      <c r="D808">
        <v>4317</v>
      </c>
      <c r="E808">
        <v>38.76182206</v>
      </c>
      <c r="F808">
        <v>111.3724735</v>
      </c>
      <c r="G808">
        <v>2</v>
      </c>
      <c r="H808">
        <v>261</v>
      </c>
      <c r="I808">
        <v>6.1614730880000002</v>
      </c>
      <c r="J808">
        <v>0.75</v>
      </c>
      <c r="K808">
        <f t="shared" si="12"/>
        <v>4</v>
      </c>
      <c r="N808">
        <v>4</v>
      </c>
      <c r="O808">
        <v>4</v>
      </c>
    </row>
    <row r="809" spans="1:15" x14ac:dyDescent="0.25">
      <c r="A809" t="s">
        <v>2636</v>
      </c>
      <c r="B809">
        <v>9015900100</v>
      </c>
      <c r="C809" t="s">
        <v>2637</v>
      </c>
      <c r="D809">
        <v>4570</v>
      </c>
      <c r="E809">
        <v>26.86631869</v>
      </c>
      <c r="F809">
        <v>170.10145879999999</v>
      </c>
      <c r="G809">
        <v>2</v>
      </c>
      <c r="H809">
        <v>219</v>
      </c>
      <c r="I809">
        <v>4.8015786010000001</v>
      </c>
      <c r="J809">
        <v>0.33300000000000002</v>
      </c>
      <c r="K809">
        <f t="shared" si="12"/>
        <v>2</v>
      </c>
      <c r="N809">
        <v>3</v>
      </c>
      <c r="O809">
        <v>3</v>
      </c>
    </row>
    <row r="810" spans="1:15" x14ac:dyDescent="0.25">
      <c r="A810" t="s">
        <v>2638</v>
      </c>
      <c r="B810">
        <v>9015900200</v>
      </c>
      <c r="C810" t="s">
        <v>2639</v>
      </c>
      <c r="D810">
        <v>4888</v>
      </c>
      <c r="E810">
        <v>20.036518699999998</v>
      </c>
      <c r="F810">
        <v>243.95455480000001</v>
      </c>
      <c r="G810">
        <v>1</v>
      </c>
      <c r="H810">
        <v>230</v>
      </c>
      <c r="I810">
        <v>4.8016701460000002</v>
      </c>
      <c r="J810">
        <v>0.35699999999999998</v>
      </c>
      <c r="K810">
        <f t="shared" si="12"/>
        <v>2</v>
      </c>
      <c r="N810">
        <v>3</v>
      </c>
      <c r="O810">
        <v>3</v>
      </c>
    </row>
    <row r="811" spans="1:15" x14ac:dyDescent="0.25">
      <c r="A811" t="s">
        <v>2640</v>
      </c>
      <c r="B811">
        <v>9015901100</v>
      </c>
      <c r="C811" t="s">
        <v>2641</v>
      </c>
      <c r="D811">
        <v>7964</v>
      </c>
      <c r="E811">
        <v>60.645263610000001</v>
      </c>
      <c r="F811">
        <v>131.321055</v>
      </c>
      <c r="G811">
        <v>2</v>
      </c>
      <c r="H811">
        <v>219</v>
      </c>
      <c r="I811">
        <v>2.7947932619999998</v>
      </c>
      <c r="J811">
        <v>0</v>
      </c>
      <c r="K811">
        <f t="shared" si="12"/>
        <v>1</v>
      </c>
      <c r="N811">
        <v>2</v>
      </c>
      <c r="O811">
        <v>2</v>
      </c>
    </row>
    <row r="812" spans="1:15" x14ac:dyDescent="0.25">
      <c r="A812" t="s">
        <v>2642</v>
      </c>
      <c r="B812">
        <v>9015902200</v>
      </c>
      <c r="C812" t="s">
        <v>2643</v>
      </c>
      <c r="D812">
        <v>1749</v>
      </c>
      <c r="E812">
        <v>28.920844030000001</v>
      </c>
      <c r="F812">
        <v>60.475413439999997</v>
      </c>
      <c r="G812">
        <v>2</v>
      </c>
      <c r="H812">
        <v>69</v>
      </c>
      <c r="I812">
        <v>4.1742286750000002</v>
      </c>
      <c r="J812">
        <v>0.25</v>
      </c>
      <c r="K812">
        <f t="shared" si="12"/>
        <v>2</v>
      </c>
      <c r="N812">
        <v>2.5</v>
      </c>
      <c r="O812">
        <v>3</v>
      </c>
    </row>
    <row r="813" spans="1:15" x14ac:dyDescent="0.25">
      <c r="A813" t="s">
        <v>2644</v>
      </c>
      <c r="B813">
        <v>9015902500</v>
      </c>
      <c r="C813" t="s">
        <v>2645</v>
      </c>
      <c r="D813">
        <v>4247</v>
      </c>
      <c r="E813">
        <v>40.328865999999998</v>
      </c>
      <c r="F813">
        <v>105.3091847</v>
      </c>
      <c r="G813">
        <v>2</v>
      </c>
      <c r="H813">
        <v>204</v>
      </c>
      <c r="I813">
        <v>4.873387482</v>
      </c>
      <c r="J813">
        <v>0.27200000000000002</v>
      </c>
      <c r="K813">
        <f t="shared" si="12"/>
        <v>2</v>
      </c>
      <c r="N813">
        <v>2.5</v>
      </c>
      <c r="O813">
        <v>3</v>
      </c>
    </row>
    <row r="814" spans="1:15" x14ac:dyDescent="0.25">
      <c r="A814" t="s">
        <v>2646</v>
      </c>
      <c r="B814">
        <v>9015903100</v>
      </c>
      <c r="C814" t="s">
        <v>2647</v>
      </c>
      <c r="D814">
        <v>7240</v>
      </c>
      <c r="E814">
        <v>3.3297810650000002</v>
      </c>
      <c r="F814">
        <v>2174.3171280000001</v>
      </c>
      <c r="G814">
        <v>1</v>
      </c>
      <c r="H814">
        <v>221</v>
      </c>
      <c r="I814">
        <v>3.2192279680000002</v>
      </c>
      <c r="J814">
        <v>0.2</v>
      </c>
      <c r="K814">
        <f t="shared" si="12"/>
        <v>2</v>
      </c>
      <c r="N814">
        <v>3</v>
      </c>
      <c r="O814">
        <v>3</v>
      </c>
    </row>
    <row r="815" spans="1:15" x14ac:dyDescent="0.25">
      <c r="A815" t="s">
        <v>2648</v>
      </c>
      <c r="B815">
        <v>9015903200</v>
      </c>
      <c r="C815" t="s">
        <v>2649</v>
      </c>
      <c r="D815">
        <v>2344</v>
      </c>
      <c r="E815">
        <v>16.974579810000002</v>
      </c>
      <c r="F815">
        <v>138.08883800000001</v>
      </c>
      <c r="G815">
        <v>2</v>
      </c>
      <c r="H815">
        <v>144</v>
      </c>
      <c r="I815">
        <v>5.769230769</v>
      </c>
      <c r="J815">
        <v>0.44400000000000001</v>
      </c>
      <c r="K815">
        <f t="shared" si="12"/>
        <v>3</v>
      </c>
      <c r="N815">
        <v>3.5</v>
      </c>
      <c r="O815">
        <v>4</v>
      </c>
    </row>
    <row r="816" spans="1:15" x14ac:dyDescent="0.25">
      <c r="A816" t="s">
        <v>2650</v>
      </c>
      <c r="B816">
        <v>9015904100</v>
      </c>
      <c r="C816" t="s">
        <v>2651</v>
      </c>
      <c r="D816">
        <v>7466</v>
      </c>
      <c r="E816">
        <v>36.704049210000001</v>
      </c>
      <c r="F816">
        <v>203.41079970000001</v>
      </c>
      <c r="G816">
        <v>2</v>
      </c>
      <c r="H816">
        <v>402</v>
      </c>
      <c r="I816">
        <v>5.6318296439999997</v>
      </c>
      <c r="J816">
        <v>0.375</v>
      </c>
      <c r="K816">
        <f t="shared" si="12"/>
        <v>2</v>
      </c>
      <c r="N816">
        <v>3</v>
      </c>
      <c r="O816">
        <v>3</v>
      </c>
    </row>
    <row r="817" spans="1:15" x14ac:dyDescent="0.25">
      <c r="A817" t="s">
        <v>2652</v>
      </c>
      <c r="B817">
        <v>9015904400</v>
      </c>
      <c r="C817" t="s">
        <v>2653</v>
      </c>
      <c r="D817">
        <v>4085</v>
      </c>
      <c r="E817">
        <v>7.2519969199999998</v>
      </c>
      <c r="F817">
        <v>563.29312389999996</v>
      </c>
      <c r="G817">
        <v>1</v>
      </c>
      <c r="H817">
        <v>342</v>
      </c>
      <c r="I817">
        <v>7.9906542060000003</v>
      </c>
      <c r="J817">
        <v>0.57099999999999995</v>
      </c>
      <c r="K817">
        <f t="shared" si="12"/>
        <v>3</v>
      </c>
      <c r="N817">
        <v>4</v>
      </c>
      <c r="O817">
        <v>4</v>
      </c>
    </row>
    <row r="818" spans="1:15" x14ac:dyDescent="0.25">
      <c r="A818" t="s">
        <v>2654</v>
      </c>
      <c r="B818">
        <v>9015904500</v>
      </c>
      <c r="C818" t="s">
        <v>2655</v>
      </c>
      <c r="D818">
        <v>5819</v>
      </c>
      <c r="E818">
        <v>4.35022865</v>
      </c>
      <c r="F818">
        <v>1337.6308389999999</v>
      </c>
      <c r="G818">
        <v>1</v>
      </c>
      <c r="H818">
        <v>886</v>
      </c>
      <c r="I818">
        <v>15.24169964</v>
      </c>
      <c r="J818">
        <v>1</v>
      </c>
      <c r="K818">
        <f t="shared" si="12"/>
        <v>5</v>
      </c>
      <c r="N818">
        <v>5</v>
      </c>
      <c r="O818">
        <v>5</v>
      </c>
    </row>
    <row r="819" spans="1:15" x14ac:dyDescent="0.25">
      <c r="A819" t="s">
        <v>2656</v>
      </c>
      <c r="B819">
        <v>9015905100</v>
      </c>
      <c r="C819" t="s">
        <v>2657</v>
      </c>
      <c r="D819">
        <v>8210</v>
      </c>
      <c r="E819">
        <v>29.09115255</v>
      </c>
      <c r="F819">
        <v>282.21638819999998</v>
      </c>
      <c r="G819">
        <v>1</v>
      </c>
      <c r="H819">
        <v>495</v>
      </c>
      <c r="I819">
        <v>6.0087399850000001</v>
      </c>
      <c r="J819">
        <v>0.6</v>
      </c>
      <c r="K819">
        <f t="shared" si="12"/>
        <v>4</v>
      </c>
      <c r="N819">
        <v>3.5</v>
      </c>
      <c r="O819">
        <v>4</v>
      </c>
    </row>
    <row r="820" spans="1:15" x14ac:dyDescent="0.25">
      <c r="A820" t="s">
        <v>2658</v>
      </c>
      <c r="B820">
        <v>9015906100</v>
      </c>
      <c r="C820" t="s">
        <v>2659</v>
      </c>
      <c r="D820">
        <v>5132</v>
      </c>
      <c r="E820">
        <v>39.944780440000002</v>
      </c>
      <c r="F820">
        <v>128.47736159999999</v>
      </c>
      <c r="G820">
        <v>2</v>
      </c>
      <c r="H820">
        <v>160</v>
      </c>
      <c r="I820">
        <v>3.1564411130000001</v>
      </c>
      <c r="J820">
        <v>0</v>
      </c>
      <c r="K820">
        <f t="shared" si="12"/>
        <v>1</v>
      </c>
      <c r="N820">
        <v>1.5</v>
      </c>
      <c r="O820">
        <v>2</v>
      </c>
    </row>
    <row r="821" spans="1:15" x14ac:dyDescent="0.25">
      <c r="A821" t="s">
        <v>2660</v>
      </c>
      <c r="B821">
        <v>9015907100</v>
      </c>
      <c r="C821" t="s">
        <v>2661</v>
      </c>
      <c r="D821">
        <v>4413</v>
      </c>
      <c r="E821">
        <v>13.24820076</v>
      </c>
      <c r="F821">
        <v>333.10183610000001</v>
      </c>
      <c r="G821">
        <v>1</v>
      </c>
      <c r="H821">
        <v>377</v>
      </c>
      <c r="I821">
        <v>8.1637072330000002</v>
      </c>
      <c r="J821">
        <v>0.66600000000000004</v>
      </c>
      <c r="K821">
        <f t="shared" si="12"/>
        <v>4</v>
      </c>
      <c r="N821">
        <v>4</v>
      </c>
      <c r="O821">
        <v>4</v>
      </c>
    </row>
    <row r="822" spans="1:15" x14ac:dyDescent="0.25">
      <c r="A822" t="s">
        <v>2662</v>
      </c>
      <c r="B822">
        <v>9015907200</v>
      </c>
      <c r="C822" t="s">
        <v>2663</v>
      </c>
      <c r="D822">
        <v>5506</v>
      </c>
      <c r="E822">
        <v>13.477922680000001</v>
      </c>
      <c r="F822">
        <v>408.51992790000003</v>
      </c>
      <c r="G822">
        <v>1</v>
      </c>
      <c r="H822">
        <v>282</v>
      </c>
      <c r="I822">
        <v>5.0783360350000004</v>
      </c>
      <c r="J822">
        <v>0.5</v>
      </c>
      <c r="K822">
        <f t="shared" si="12"/>
        <v>3</v>
      </c>
      <c r="N822">
        <v>4</v>
      </c>
      <c r="O822">
        <v>4</v>
      </c>
    </row>
    <row r="823" spans="1:15" x14ac:dyDescent="0.25">
      <c r="A823" t="s">
        <v>2664</v>
      </c>
      <c r="B823">
        <v>9015907300</v>
      </c>
      <c r="C823" t="s">
        <v>2665</v>
      </c>
      <c r="D823">
        <v>5486</v>
      </c>
      <c r="E823">
        <v>15.63334772</v>
      </c>
      <c r="F823">
        <v>350.91652140000002</v>
      </c>
      <c r="G823">
        <v>2</v>
      </c>
      <c r="H823">
        <v>541</v>
      </c>
      <c r="I823">
        <v>10.9647345</v>
      </c>
      <c r="J823">
        <v>1</v>
      </c>
      <c r="K823">
        <f t="shared" si="12"/>
        <v>5</v>
      </c>
      <c r="N823">
        <v>5</v>
      </c>
      <c r="O823">
        <v>5</v>
      </c>
    </row>
  </sheetData>
  <sortState xmlns:xlrd2="http://schemas.microsoft.com/office/spreadsheetml/2017/richdata2" ref="O2:P823">
    <sortCondition ref="P2:P823"/>
  </sortState>
  <hyperlinks>
    <hyperlink ref="V2" r:id="rId1" display="https://www.ers.usda.gov/data-products/rural-urban-commuting-area-codes/" xr:uid="{96F92A2B-06FD-4596-AE83-83D4990E4213}"/>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7F03B-0915-4479-9EEF-CFDECA6662F9}">
  <sheetPr>
    <tabColor theme="6" tint="0.59999389629810485"/>
  </sheetPr>
  <dimension ref="A1"/>
  <sheetViews>
    <sheetView workbookViewId="0">
      <selection activeCell="F27" sqref="F27"/>
    </sheetView>
  </sheetViews>
  <sheetFormatPr defaultRowHeight="15" x14ac:dyDescent="0.25"/>
  <sheetData>
    <row r="1" spans="1:1" x14ac:dyDescent="0.25">
      <c r="A1" t="s">
        <v>2680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C8C32-3EAD-4C71-B2C7-292595D99F18}">
  <sheetPr>
    <tabColor theme="6" tint="0.59999389629810485"/>
  </sheetPr>
  <dimension ref="A1:M914"/>
  <sheetViews>
    <sheetView topLeftCell="A879" workbookViewId="0">
      <selection activeCell="H906" sqref="H906"/>
    </sheetView>
  </sheetViews>
  <sheetFormatPr defaultRowHeight="15" x14ac:dyDescent="0.25"/>
  <cols>
    <col min="1" max="1" width="21.7109375" bestFit="1" customWidth="1"/>
    <col min="2" max="2" width="11" bestFit="1" customWidth="1"/>
    <col min="3" max="3" width="50.85546875" bestFit="1" customWidth="1"/>
    <col min="4" max="4" width="27.42578125" customWidth="1"/>
    <col min="5" max="5" width="25.7109375" bestFit="1" customWidth="1"/>
  </cols>
  <sheetData>
    <row r="1" spans="1:13" x14ac:dyDescent="0.25">
      <c r="A1" t="s">
        <v>1002</v>
      </c>
      <c r="B1" t="s">
        <v>1003</v>
      </c>
      <c r="C1" t="s">
        <v>1004</v>
      </c>
      <c r="D1" t="s">
        <v>2681</v>
      </c>
      <c r="E1" t="s">
        <v>2682</v>
      </c>
      <c r="M1" t="s">
        <v>2683</v>
      </c>
    </row>
    <row r="2" spans="1:13" x14ac:dyDescent="0.25">
      <c r="A2" t="s">
        <v>1021</v>
      </c>
      <c r="B2">
        <v>9001010101</v>
      </c>
      <c r="C2" t="s">
        <v>1022</v>
      </c>
      <c r="D2">
        <v>2</v>
      </c>
      <c r="E2" t="s">
        <v>944</v>
      </c>
      <c r="M2" t="s">
        <v>2684</v>
      </c>
    </row>
    <row r="3" spans="1:13" x14ac:dyDescent="0.25">
      <c r="A3" t="s">
        <v>1334</v>
      </c>
      <c r="B3">
        <v>9001100100</v>
      </c>
      <c r="C3" t="s">
        <v>1335</v>
      </c>
      <c r="D3">
        <v>3</v>
      </c>
      <c r="E3" t="s">
        <v>944</v>
      </c>
    </row>
    <row r="4" spans="1:13" x14ac:dyDescent="0.25">
      <c r="A4" t="s">
        <v>1334</v>
      </c>
      <c r="B4">
        <v>9001100100</v>
      </c>
      <c r="C4" t="s">
        <v>1335</v>
      </c>
      <c r="D4">
        <v>3</v>
      </c>
      <c r="E4" t="s">
        <v>944</v>
      </c>
      <c r="M4" s="13" t="s">
        <v>2685</v>
      </c>
    </row>
    <row r="5" spans="1:13" x14ac:dyDescent="0.25">
      <c r="A5" t="s">
        <v>2566</v>
      </c>
      <c r="B5">
        <v>9013528100</v>
      </c>
      <c r="C5" t="s">
        <v>2567</v>
      </c>
      <c r="D5">
        <v>3</v>
      </c>
      <c r="E5" t="s">
        <v>944</v>
      </c>
    </row>
    <row r="6" spans="1:13" x14ac:dyDescent="0.25">
      <c r="A6" t="s">
        <v>2566</v>
      </c>
      <c r="B6">
        <v>9013528100</v>
      </c>
      <c r="C6" t="s">
        <v>2567</v>
      </c>
      <c r="D6">
        <v>3</v>
      </c>
      <c r="E6" t="s">
        <v>944</v>
      </c>
    </row>
    <row r="7" spans="1:13" x14ac:dyDescent="0.25">
      <c r="A7" t="s">
        <v>1336</v>
      </c>
      <c r="B7">
        <v>9001100200</v>
      </c>
      <c r="C7" t="s">
        <v>1337</v>
      </c>
      <c r="D7">
        <v>3</v>
      </c>
      <c r="E7" t="s">
        <v>944</v>
      </c>
    </row>
    <row r="8" spans="1:13" x14ac:dyDescent="0.25">
      <c r="A8" t="s">
        <v>1024</v>
      </c>
      <c r="B8">
        <v>9001010102</v>
      </c>
      <c r="C8" t="s">
        <v>1025</v>
      </c>
      <c r="D8">
        <v>2</v>
      </c>
      <c r="E8" t="s">
        <v>944</v>
      </c>
    </row>
    <row r="9" spans="1:13" x14ac:dyDescent="0.25">
      <c r="A9" t="s">
        <v>2568</v>
      </c>
      <c r="B9">
        <v>9013529100</v>
      </c>
      <c r="C9" t="s">
        <v>2569</v>
      </c>
      <c r="D9">
        <v>3</v>
      </c>
      <c r="E9" t="s">
        <v>944</v>
      </c>
    </row>
    <row r="10" spans="1:13" x14ac:dyDescent="0.25">
      <c r="A10" t="s">
        <v>2568</v>
      </c>
      <c r="B10">
        <v>9013529100</v>
      </c>
      <c r="C10" t="s">
        <v>2569</v>
      </c>
      <c r="D10">
        <v>3</v>
      </c>
      <c r="E10" t="s">
        <v>944</v>
      </c>
    </row>
    <row r="11" spans="1:13" x14ac:dyDescent="0.25">
      <c r="A11" t="s">
        <v>1026</v>
      </c>
      <c r="B11">
        <v>9001010201</v>
      </c>
      <c r="C11" t="s">
        <v>1027</v>
      </c>
      <c r="D11">
        <v>2</v>
      </c>
      <c r="E11" t="s">
        <v>944</v>
      </c>
    </row>
    <row r="12" spans="1:13" x14ac:dyDescent="0.25">
      <c r="A12" t="s">
        <v>1028</v>
      </c>
      <c r="B12">
        <v>9001010202</v>
      </c>
      <c r="C12" t="s">
        <v>1029</v>
      </c>
      <c r="D12">
        <v>2</v>
      </c>
      <c r="E12" t="s">
        <v>944</v>
      </c>
    </row>
    <row r="13" spans="1:13" x14ac:dyDescent="0.25">
      <c r="A13" t="s">
        <v>1028</v>
      </c>
      <c r="B13">
        <v>9001010202</v>
      </c>
      <c r="C13" t="s">
        <v>1029</v>
      </c>
      <c r="D13">
        <v>2</v>
      </c>
      <c r="E13" t="s">
        <v>944</v>
      </c>
    </row>
    <row r="14" spans="1:13" x14ac:dyDescent="0.25">
      <c r="A14" t="s">
        <v>1030</v>
      </c>
      <c r="B14">
        <v>9001010300</v>
      </c>
      <c r="C14" t="s">
        <v>1031</v>
      </c>
      <c r="D14">
        <v>2</v>
      </c>
      <c r="E14" t="s">
        <v>944</v>
      </c>
    </row>
    <row r="15" spans="1:13" x14ac:dyDescent="0.25">
      <c r="A15" t="s">
        <v>2598</v>
      </c>
      <c r="B15">
        <v>9013850100</v>
      </c>
      <c r="C15" t="s">
        <v>2599</v>
      </c>
      <c r="D15">
        <v>3</v>
      </c>
      <c r="E15" t="s">
        <v>944</v>
      </c>
    </row>
    <row r="16" spans="1:13" x14ac:dyDescent="0.25">
      <c r="A16" t="s">
        <v>2598</v>
      </c>
      <c r="B16">
        <v>9013850100</v>
      </c>
      <c r="C16" t="s">
        <v>2599</v>
      </c>
      <c r="D16">
        <v>3</v>
      </c>
      <c r="E16" t="s">
        <v>944</v>
      </c>
    </row>
    <row r="17" spans="1:5" x14ac:dyDescent="0.25">
      <c r="A17" t="s">
        <v>1342</v>
      </c>
      <c r="B17">
        <v>9001105200</v>
      </c>
      <c r="C17" t="s">
        <v>1343</v>
      </c>
      <c r="D17">
        <v>2</v>
      </c>
      <c r="E17" t="s">
        <v>944</v>
      </c>
    </row>
    <row r="18" spans="1:5" x14ac:dyDescent="0.25">
      <c r="A18" t="s">
        <v>1034</v>
      </c>
      <c r="B18">
        <v>9001010500</v>
      </c>
      <c r="C18" t="s">
        <v>1035</v>
      </c>
      <c r="D18">
        <v>3</v>
      </c>
      <c r="E18" t="s">
        <v>944</v>
      </c>
    </row>
    <row r="19" spans="1:5" x14ac:dyDescent="0.25">
      <c r="A19" t="s">
        <v>1036</v>
      </c>
      <c r="B19">
        <v>9001010600</v>
      </c>
      <c r="C19" t="s">
        <v>1037</v>
      </c>
      <c r="D19">
        <v>1</v>
      </c>
      <c r="E19" t="s">
        <v>944</v>
      </c>
    </row>
    <row r="20" spans="1:5" x14ac:dyDescent="0.25">
      <c r="A20" t="s">
        <v>2634</v>
      </c>
      <c r="B20">
        <v>9015830100</v>
      </c>
      <c r="C20" t="s">
        <v>2635</v>
      </c>
      <c r="D20">
        <v>4</v>
      </c>
      <c r="E20" t="s">
        <v>944</v>
      </c>
    </row>
    <row r="21" spans="1:5" x14ac:dyDescent="0.25">
      <c r="A21" t="s">
        <v>1038</v>
      </c>
      <c r="B21">
        <v>9001010700</v>
      </c>
      <c r="C21" t="s">
        <v>1039</v>
      </c>
      <c r="D21">
        <v>2</v>
      </c>
      <c r="E21" t="s">
        <v>944</v>
      </c>
    </row>
    <row r="22" spans="1:5" x14ac:dyDescent="0.25">
      <c r="A22" t="s">
        <v>1040</v>
      </c>
      <c r="B22">
        <v>9001010800</v>
      </c>
      <c r="C22" t="s">
        <v>1041</v>
      </c>
      <c r="D22">
        <v>2</v>
      </c>
      <c r="E22" t="s">
        <v>944</v>
      </c>
    </row>
    <row r="23" spans="1:5" x14ac:dyDescent="0.25">
      <c r="A23" t="s">
        <v>2642</v>
      </c>
      <c r="B23">
        <v>9015902200</v>
      </c>
      <c r="C23" t="s">
        <v>2643</v>
      </c>
      <c r="D23">
        <v>4</v>
      </c>
      <c r="E23" t="s">
        <v>944</v>
      </c>
    </row>
    <row r="24" spans="1:5" x14ac:dyDescent="0.25">
      <c r="A24" t="s">
        <v>2642</v>
      </c>
      <c r="B24">
        <v>9015902200</v>
      </c>
      <c r="C24" t="s">
        <v>2643</v>
      </c>
      <c r="D24">
        <v>4</v>
      </c>
      <c r="E24" t="s">
        <v>944</v>
      </c>
    </row>
    <row r="25" spans="1:5" x14ac:dyDescent="0.25">
      <c r="A25" t="s">
        <v>2642</v>
      </c>
      <c r="B25">
        <v>9015902200</v>
      </c>
      <c r="C25" t="s">
        <v>2643</v>
      </c>
      <c r="D25">
        <v>4</v>
      </c>
      <c r="E25" t="s">
        <v>944</v>
      </c>
    </row>
    <row r="26" spans="1:5" x14ac:dyDescent="0.25">
      <c r="A26" t="s">
        <v>1042</v>
      </c>
      <c r="B26">
        <v>9001010900</v>
      </c>
      <c r="C26" t="s">
        <v>1043</v>
      </c>
      <c r="D26">
        <v>2</v>
      </c>
      <c r="E26" t="s">
        <v>944</v>
      </c>
    </row>
    <row r="27" spans="1:5" x14ac:dyDescent="0.25">
      <c r="A27" t="s">
        <v>1032</v>
      </c>
      <c r="B27">
        <v>9001010400</v>
      </c>
      <c r="C27" t="s">
        <v>1033</v>
      </c>
      <c r="D27">
        <v>2</v>
      </c>
      <c r="E27" t="s">
        <v>944</v>
      </c>
    </row>
    <row r="28" spans="1:5" x14ac:dyDescent="0.25">
      <c r="A28" t="s">
        <v>1554</v>
      </c>
      <c r="B28">
        <v>9003460301</v>
      </c>
      <c r="C28" t="s">
        <v>1555</v>
      </c>
      <c r="D28">
        <v>3</v>
      </c>
      <c r="E28" t="s">
        <v>944</v>
      </c>
    </row>
    <row r="29" spans="1:5" x14ac:dyDescent="0.25">
      <c r="A29" t="s">
        <v>1554</v>
      </c>
      <c r="B29">
        <v>9003460301</v>
      </c>
      <c r="C29" t="s">
        <v>1555</v>
      </c>
      <c r="D29">
        <v>3</v>
      </c>
      <c r="E29" t="s">
        <v>944</v>
      </c>
    </row>
    <row r="30" spans="1:5" x14ac:dyDescent="0.25">
      <c r="A30" t="s">
        <v>1356</v>
      </c>
      <c r="B30">
        <v>9001110500</v>
      </c>
      <c r="C30" t="s">
        <v>1357</v>
      </c>
      <c r="D30">
        <v>3</v>
      </c>
      <c r="E30" t="s">
        <v>944</v>
      </c>
    </row>
    <row r="31" spans="1:5" x14ac:dyDescent="0.25">
      <c r="A31" t="s">
        <v>1556</v>
      </c>
      <c r="B31">
        <v>9003460302</v>
      </c>
      <c r="C31" t="s">
        <v>1557</v>
      </c>
      <c r="D31">
        <v>3</v>
      </c>
      <c r="E31" t="s">
        <v>944</v>
      </c>
    </row>
    <row r="32" spans="1:5" x14ac:dyDescent="0.25">
      <c r="A32" t="s">
        <v>1556</v>
      </c>
      <c r="B32">
        <v>9003460302</v>
      </c>
      <c r="C32" t="s">
        <v>1557</v>
      </c>
      <c r="D32">
        <v>3</v>
      </c>
      <c r="E32" t="s">
        <v>944</v>
      </c>
    </row>
    <row r="33" spans="1:5" x14ac:dyDescent="0.25">
      <c r="A33" t="s">
        <v>1556</v>
      </c>
      <c r="B33">
        <v>9003460302</v>
      </c>
      <c r="C33" t="s">
        <v>1557</v>
      </c>
      <c r="D33">
        <v>3</v>
      </c>
      <c r="E33" t="s">
        <v>944</v>
      </c>
    </row>
    <row r="34" spans="1:5" x14ac:dyDescent="0.25">
      <c r="A34" t="s">
        <v>1044</v>
      </c>
      <c r="B34">
        <v>9001011000</v>
      </c>
      <c r="C34" t="s">
        <v>1045</v>
      </c>
      <c r="D34">
        <v>2</v>
      </c>
      <c r="E34" t="s">
        <v>944</v>
      </c>
    </row>
    <row r="35" spans="1:5" x14ac:dyDescent="0.25">
      <c r="A35" t="s">
        <v>1046</v>
      </c>
      <c r="B35">
        <v>9001011100</v>
      </c>
      <c r="C35" t="s">
        <v>1047</v>
      </c>
      <c r="D35">
        <v>2</v>
      </c>
      <c r="E35" t="s">
        <v>944</v>
      </c>
    </row>
    <row r="36" spans="1:5" x14ac:dyDescent="0.25">
      <c r="A36" t="s">
        <v>1048</v>
      </c>
      <c r="B36">
        <v>9001011200</v>
      </c>
      <c r="C36" t="s">
        <v>1049</v>
      </c>
      <c r="D36">
        <v>2</v>
      </c>
      <c r="E36" t="s">
        <v>944</v>
      </c>
    </row>
    <row r="37" spans="1:5" x14ac:dyDescent="0.25">
      <c r="A37" t="s">
        <v>1050</v>
      </c>
      <c r="B37">
        <v>9001011300</v>
      </c>
      <c r="C37" t="s">
        <v>1051</v>
      </c>
      <c r="D37">
        <v>2</v>
      </c>
      <c r="E37" t="s">
        <v>944</v>
      </c>
    </row>
    <row r="38" spans="1:5" x14ac:dyDescent="0.25">
      <c r="A38" t="s">
        <v>1558</v>
      </c>
      <c r="B38">
        <v>9003462101</v>
      </c>
      <c r="C38" t="s">
        <v>1559</v>
      </c>
      <c r="D38">
        <v>2</v>
      </c>
      <c r="E38" t="s">
        <v>944</v>
      </c>
    </row>
    <row r="39" spans="1:5" x14ac:dyDescent="0.25">
      <c r="A39" t="s">
        <v>1558</v>
      </c>
      <c r="B39">
        <v>9003462101</v>
      </c>
      <c r="C39" t="s">
        <v>1559</v>
      </c>
      <c r="D39">
        <v>2</v>
      </c>
      <c r="E39" t="s">
        <v>944</v>
      </c>
    </row>
    <row r="40" spans="1:5" x14ac:dyDescent="0.25">
      <c r="A40" t="s">
        <v>2058</v>
      </c>
      <c r="B40">
        <v>9009120200</v>
      </c>
      <c r="C40" t="s">
        <v>2059</v>
      </c>
      <c r="D40">
        <v>6</v>
      </c>
      <c r="E40" t="s">
        <v>936</v>
      </c>
    </row>
    <row r="41" spans="1:5" x14ac:dyDescent="0.25">
      <c r="A41" t="s">
        <v>2068</v>
      </c>
      <c r="B41">
        <v>9009130101</v>
      </c>
      <c r="C41" t="s">
        <v>2069</v>
      </c>
      <c r="D41">
        <v>4</v>
      </c>
      <c r="E41" t="s">
        <v>944</v>
      </c>
    </row>
    <row r="42" spans="1:5" x14ac:dyDescent="0.25">
      <c r="A42" t="s">
        <v>2068</v>
      </c>
      <c r="B42">
        <v>9009130101</v>
      </c>
      <c r="C42" t="s">
        <v>2069</v>
      </c>
      <c r="D42">
        <v>4</v>
      </c>
      <c r="E42" t="s">
        <v>944</v>
      </c>
    </row>
    <row r="43" spans="1:5" x14ac:dyDescent="0.25">
      <c r="A43" t="s">
        <v>1560</v>
      </c>
      <c r="B43">
        <v>9003462102</v>
      </c>
      <c r="C43" t="s">
        <v>1561</v>
      </c>
      <c r="D43">
        <v>2</v>
      </c>
      <c r="E43" t="s">
        <v>944</v>
      </c>
    </row>
    <row r="44" spans="1:5" x14ac:dyDescent="0.25">
      <c r="A44" t="s">
        <v>2070</v>
      </c>
      <c r="B44">
        <v>9009130102</v>
      </c>
      <c r="C44" t="s">
        <v>2071</v>
      </c>
      <c r="D44">
        <v>4</v>
      </c>
      <c r="E44" t="s">
        <v>944</v>
      </c>
    </row>
    <row r="45" spans="1:5" x14ac:dyDescent="0.25">
      <c r="A45" t="s">
        <v>1562</v>
      </c>
      <c r="B45">
        <v>9003462201</v>
      </c>
      <c r="C45" t="s">
        <v>1563</v>
      </c>
      <c r="D45">
        <v>3</v>
      </c>
      <c r="E45" t="s">
        <v>944</v>
      </c>
    </row>
    <row r="46" spans="1:5" x14ac:dyDescent="0.25">
      <c r="A46" t="s">
        <v>1564</v>
      </c>
      <c r="B46">
        <v>9003462202</v>
      </c>
      <c r="C46" t="s">
        <v>1565</v>
      </c>
      <c r="D46">
        <v>2</v>
      </c>
      <c r="E46" t="s">
        <v>944</v>
      </c>
    </row>
    <row r="47" spans="1:5" x14ac:dyDescent="0.25">
      <c r="A47" t="s">
        <v>2210</v>
      </c>
      <c r="B47">
        <v>9009166002</v>
      </c>
      <c r="C47" t="s">
        <v>2211</v>
      </c>
      <c r="D47">
        <v>3</v>
      </c>
      <c r="E47" t="s">
        <v>944</v>
      </c>
    </row>
    <row r="48" spans="1:5" x14ac:dyDescent="0.25">
      <c r="A48" t="s">
        <v>1440</v>
      </c>
      <c r="B48">
        <v>9003330100</v>
      </c>
      <c r="C48" t="s">
        <v>1441</v>
      </c>
      <c r="D48">
        <v>3</v>
      </c>
      <c r="E48" t="s">
        <v>944</v>
      </c>
    </row>
    <row r="49" spans="1:5" x14ac:dyDescent="0.25">
      <c r="A49" t="s">
        <v>1440</v>
      </c>
      <c r="B49">
        <v>9003330100</v>
      </c>
      <c r="C49" t="s">
        <v>1441</v>
      </c>
      <c r="D49">
        <v>3</v>
      </c>
      <c r="E49" t="s">
        <v>944</v>
      </c>
    </row>
    <row r="50" spans="1:5" x14ac:dyDescent="0.25">
      <c r="A50" t="s">
        <v>1440</v>
      </c>
      <c r="B50">
        <v>9003330100</v>
      </c>
      <c r="C50" t="s">
        <v>1441</v>
      </c>
      <c r="D50">
        <v>3</v>
      </c>
      <c r="E50" t="s">
        <v>944</v>
      </c>
    </row>
    <row r="51" spans="1:5" x14ac:dyDescent="0.25">
      <c r="A51" t="s">
        <v>2222</v>
      </c>
      <c r="B51">
        <v>9009170200</v>
      </c>
      <c r="C51" t="s">
        <v>2223</v>
      </c>
      <c r="D51">
        <v>5</v>
      </c>
      <c r="E51" t="s">
        <v>944</v>
      </c>
    </row>
    <row r="52" spans="1:5" x14ac:dyDescent="0.25">
      <c r="A52" t="s">
        <v>2224</v>
      </c>
      <c r="B52">
        <v>9009170300</v>
      </c>
      <c r="C52" t="s">
        <v>2225</v>
      </c>
      <c r="D52">
        <v>5</v>
      </c>
      <c r="E52" t="s">
        <v>944</v>
      </c>
    </row>
    <row r="53" spans="1:5" x14ac:dyDescent="0.25">
      <c r="A53" t="s">
        <v>2226</v>
      </c>
      <c r="B53">
        <v>9009170400</v>
      </c>
      <c r="C53" t="s">
        <v>2227</v>
      </c>
      <c r="D53">
        <v>4</v>
      </c>
      <c r="E53" t="s">
        <v>944</v>
      </c>
    </row>
    <row r="54" spans="1:5" x14ac:dyDescent="0.25">
      <c r="A54" t="s">
        <v>1912</v>
      </c>
      <c r="B54">
        <v>9005290100</v>
      </c>
      <c r="C54" t="s">
        <v>1913</v>
      </c>
      <c r="D54">
        <v>3</v>
      </c>
      <c r="E54" t="s">
        <v>944</v>
      </c>
    </row>
    <row r="55" spans="1:5" x14ac:dyDescent="0.25">
      <c r="A55" t="s">
        <v>1912</v>
      </c>
      <c r="B55">
        <v>9005290100</v>
      </c>
      <c r="C55" t="s">
        <v>1913</v>
      </c>
      <c r="D55">
        <v>3</v>
      </c>
      <c r="E55" t="s">
        <v>944</v>
      </c>
    </row>
    <row r="56" spans="1:5" x14ac:dyDescent="0.25">
      <c r="A56" t="s">
        <v>2266</v>
      </c>
      <c r="B56">
        <v>9009175700</v>
      </c>
      <c r="C56" t="s">
        <v>2267</v>
      </c>
      <c r="D56">
        <v>3</v>
      </c>
      <c r="E56" t="s">
        <v>944</v>
      </c>
    </row>
    <row r="57" spans="1:5" x14ac:dyDescent="0.25">
      <c r="A57" t="s">
        <v>1954</v>
      </c>
      <c r="B57">
        <v>9005320100</v>
      </c>
      <c r="C57" t="s">
        <v>1955</v>
      </c>
      <c r="D57">
        <v>4</v>
      </c>
      <c r="E57" t="s">
        <v>944</v>
      </c>
    </row>
    <row r="58" spans="1:5" x14ac:dyDescent="0.25">
      <c r="A58" t="s">
        <v>1954</v>
      </c>
      <c r="B58">
        <v>9005320100</v>
      </c>
      <c r="C58" t="s">
        <v>1955</v>
      </c>
      <c r="D58">
        <v>4</v>
      </c>
      <c r="E58" t="s">
        <v>944</v>
      </c>
    </row>
    <row r="59" spans="1:5" x14ac:dyDescent="0.25">
      <c r="A59" t="s">
        <v>1052</v>
      </c>
      <c r="B59">
        <v>9001020100</v>
      </c>
      <c r="C59" t="s">
        <v>1053</v>
      </c>
      <c r="D59">
        <v>2</v>
      </c>
      <c r="E59" t="s">
        <v>944</v>
      </c>
    </row>
    <row r="60" spans="1:5" x14ac:dyDescent="0.25">
      <c r="A60" t="s">
        <v>2322</v>
      </c>
      <c r="B60">
        <v>9009341100</v>
      </c>
      <c r="C60" t="s">
        <v>2323</v>
      </c>
      <c r="D60">
        <v>3</v>
      </c>
      <c r="E60" t="s">
        <v>944</v>
      </c>
    </row>
    <row r="61" spans="1:5" x14ac:dyDescent="0.25">
      <c r="A61" t="s">
        <v>2288</v>
      </c>
      <c r="B61">
        <v>9009184100</v>
      </c>
      <c r="C61" t="s">
        <v>2289</v>
      </c>
      <c r="D61">
        <v>4</v>
      </c>
      <c r="E61" t="s">
        <v>944</v>
      </c>
    </row>
    <row r="62" spans="1:5" x14ac:dyDescent="0.25">
      <c r="A62" t="s">
        <v>1054</v>
      </c>
      <c r="B62">
        <v>9001020200</v>
      </c>
      <c r="C62" t="s">
        <v>1055</v>
      </c>
      <c r="D62">
        <v>2</v>
      </c>
      <c r="E62" t="s">
        <v>944</v>
      </c>
    </row>
    <row r="63" spans="1:5" x14ac:dyDescent="0.25">
      <c r="A63" t="s">
        <v>1054</v>
      </c>
      <c r="B63">
        <v>9001020200</v>
      </c>
      <c r="C63" t="s">
        <v>1055</v>
      </c>
      <c r="D63">
        <v>2</v>
      </c>
      <c r="E63" t="s">
        <v>944</v>
      </c>
    </row>
    <row r="64" spans="1:5" x14ac:dyDescent="0.25">
      <c r="A64" t="s">
        <v>2294</v>
      </c>
      <c r="B64">
        <v>9009184400</v>
      </c>
      <c r="C64" t="s">
        <v>2295</v>
      </c>
      <c r="D64">
        <v>3</v>
      </c>
      <c r="E64" t="s">
        <v>944</v>
      </c>
    </row>
    <row r="65" spans="1:5" x14ac:dyDescent="0.25">
      <c r="A65" t="s">
        <v>2296</v>
      </c>
      <c r="B65">
        <v>9009184500</v>
      </c>
      <c r="C65" t="s">
        <v>2297</v>
      </c>
      <c r="D65">
        <v>3</v>
      </c>
      <c r="E65" t="s">
        <v>944</v>
      </c>
    </row>
    <row r="66" spans="1:5" x14ac:dyDescent="0.25">
      <c r="A66" t="s">
        <v>1442</v>
      </c>
      <c r="B66">
        <v>9003400100</v>
      </c>
      <c r="C66" t="s">
        <v>1443</v>
      </c>
      <c r="D66">
        <v>3</v>
      </c>
      <c r="E66" t="s">
        <v>944</v>
      </c>
    </row>
    <row r="67" spans="1:5" x14ac:dyDescent="0.25">
      <c r="A67" t="s">
        <v>1442</v>
      </c>
      <c r="B67">
        <v>9003400100</v>
      </c>
      <c r="C67" t="s">
        <v>1443</v>
      </c>
      <c r="D67">
        <v>3</v>
      </c>
      <c r="E67" t="s">
        <v>944</v>
      </c>
    </row>
    <row r="68" spans="1:5" x14ac:dyDescent="0.25">
      <c r="A68" t="s">
        <v>2298</v>
      </c>
      <c r="B68">
        <v>9009184600</v>
      </c>
      <c r="C68" t="s">
        <v>2299</v>
      </c>
      <c r="D68">
        <v>3</v>
      </c>
      <c r="E68" t="s">
        <v>944</v>
      </c>
    </row>
    <row r="69" spans="1:5" x14ac:dyDescent="0.25">
      <c r="A69" t="s">
        <v>2300</v>
      </c>
      <c r="B69">
        <v>9009184700</v>
      </c>
      <c r="C69" t="s">
        <v>2301</v>
      </c>
      <c r="D69">
        <v>3</v>
      </c>
      <c r="E69" t="s">
        <v>944</v>
      </c>
    </row>
    <row r="70" spans="1:5" x14ac:dyDescent="0.25">
      <c r="A70" t="s">
        <v>1056</v>
      </c>
      <c r="B70">
        <v>9001020300</v>
      </c>
      <c r="C70" t="s">
        <v>1057</v>
      </c>
      <c r="D70">
        <v>2</v>
      </c>
      <c r="E70" t="s">
        <v>944</v>
      </c>
    </row>
    <row r="71" spans="1:5" x14ac:dyDescent="0.25">
      <c r="A71" t="s">
        <v>2314</v>
      </c>
      <c r="B71">
        <v>9009190303</v>
      </c>
      <c r="C71" t="s">
        <v>2315</v>
      </c>
      <c r="D71">
        <v>3</v>
      </c>
      <c r="E71" t="s">
        <v>944</v>
      </c>
    </row>
    <row r="72" spans="1:5" x14ac:dyDescent="0.25">
      <c r="A72" t="s">
        <v>2314</v>
      </c>
      <c r="B72">
        <v>9009190303</v>
      </c>
      <c r="C72" t="s">
        <v>2315</v>
      </c>
      <c r="D72">
        <v>3</v>
      </c>
      <c r="E72" t="s">
        <v>944</v>
      </c>
    </row>
    <row r="73" spans="1:5" x14ac:dyDescent="0.25">
      <c r="A73" t="s">
        <v>1444</v>
      </c>
      <c r="B73">
        <v>9003400200</v>
      </c>
      <c r="C73" t="s">
        <v>1445</v>
      </c>
      <c r="D73">
        <v>3</v>
      </c>
      <c r="E73" t="s">
        <v>944</v>
      </c>
    </row>
    <row r="74" spans="1:5" x14ac:dyDescent="0.25">
      <c r="A74" t="s">
        <v>2320</v>
      </c>
      <c r="B74">
        <v>9009194202</v>
      </c>
      <c r="C74" t="s">
        <v>2321</v>
      </c>
      <c r="D74">
        <v>3</v>
      </c>
      <c r="E74" t="s">
        <v>944</v>
      </c>
    </row>
    <row r="75" spans="1:5" x14ac:dyDescent="0.25">
      <c r="A75" t="s">
        <v>1058</v>
      </c>
      <c r="B75">
        <v>9001020400</v>
      </c>
      <c r="C75" t="s">
        <v>1059</v>
      </c>
      <c r="D75">
        <v>2</v>
      </c>
      <c r="E75" t="s">
        <v>944</v>
      </c>
    </row>
    <row r="76" spans="1:5" x14ac:dyDescent="0.25">
      <c r="A76" t="s">
        <v>1360</v>
      </c>
      <c r="B76">
        <v>9001200100</v>
      </c>
      <c r="C76" t="s">
        <v>1361</v>
      </c>
      <c r="D76">
        <v>3</v>
      </c>
      <c r="E76" t="s">
        <v>944</v>
      </c>
    </row>
    <row r="77" spans="1:5" x14ac:dyDescent="0.25">
      <c r="A77" t="s">
        <v>1360</v>
      </c>
      <c r="B77">
        <v>9001200100</v>
      </c>
      <c r="C77" t="s">
        <v>1361</v>
      </c>
      <c r="D77">
        <v>3</v>
      </c>
      <c r="E77" t="s">
        <v>944</v>
      </c>
    </row>
    <row r="78" spans="1:5" x14ac:dyDescent="0.25">
      <c r="A78" t="s">
        <v>1446</v>
      </c>
      <c r="B78">
        <v>9003400300</v>
      </c>
      <c r="C78" t="s">
        <v>1447</v>
      </c>
      <c r="D78">
        <v>3</v>
      </c>
      <c r="E78" t="s">
        <v>944</v>
      </c>
    </row>
    <row r="79" spans="1:5" x14ac:dyDescent="0.25">
      <c r="A79" t="s">
        <v>1446</v>
      </c>
      <c r="B79">
        <v>9003400300</v>
      </c>
      <c r="C79" t="s">
        <v>1447</v>
      </c>
      <c r="D79">
        <v>3</v>
      </c>
      <c r="E79" t="s">
        <v>944</v>
      </c>
    </row>
    <row r="80" spans="1:5" x14ac:dyDescent="0.25">
      <c r="A80" t="s">
        <v>1362</v>
      </c>
      <c r="B80">
        <v>9001200200</v>
      </c>
      <c r="C80" t="s">
        <v>1363</v>
      </c>
      <c r="D80">
        <v>4</v>
      </c>
      <c r="E80" t="s">
        <v>944</v>
      </c>
    </row>
    <row r="81" spans="1:5" x14ac:dyDescent="0.25">
      <c r="A81" t="s">
        <v>1364</v>
      </c>
      <c r="B81">
        <v>9001200301</v>
      </c>
      <c r="C81" t="s">
        <v>1365</v>
      </c>
      <c r="D81">
        <v>3</v>
      </c>
      <c r="E81" t="s">
        <v>944</v>
      </c>
    </row>
    <row r="82" spans="1:5" x14ac:dyDescent="0.25">
      <c r="A82" t="s">
        <v>1364</v>
      </c>
      <c r="B82">
        <v>9001200301</v>
      </c>
      <c r="C82" t="s">
        <v>1365</v>
      </c>
      <c r="D82">
        <v>3</v>
      </c>
      <c r="E82" t="s">
        <v>944</v>
      </c>
    </row>
    <row r="83" spans="1:5" x14ac:dyDescent="0.25">
      <c r="A83" t="s">
        <v>1060</v>
      </c>
      <c r="B83">
        <v>9001020500</v>
      </c>
      <c r="C83" t="s">
        <v>1061</v>
      </c>
      <c r="D83">
        <v>2</v>
      </c>
      <c r="E83" t="s">
        <v>944</v>
      </c>
    </row>
    <row r="84" spans="1:5" x14ac:dyDescent="0.25">
      <c r="A84" t="s">
        <v>1666</v>
      </c>
      <c r="B84">
        <v>9003490302</v>
      </c>
      <c r="C84" t="s">
        <v>1667</v>
      </c>
      <c r="D84">
        <v>3</v>
      </c>
      <c r="E84" t="s">
        <v>944</v>
      </c>
    </row>
    <row r="85" spans="1:5" x14ac:dyDescent="0.25">
      <c r="A85" t="s">
        <v>1666</v>
      </c>
      <c r="B85">
        <v>9003490302</v>
      </c>
      <c r="C85" t="s">
        <v>1667</v>
      </c>
      <c r="D85">
        <v>3</v>
      </c>
      <c r="E85" t="s">
        <v>944</v>
      </c>
    </row>
    <row r="86" spans="1:5" x14ac:dyDescent="0.25">
      <c r="A86" t="s">
        <v>1062</v>
      </c>
      <c r="B86">
        <v>9001020600</v>
      </c>
      <c r="C86" t="s">
        <v>1063</v>
      </c>
      <c r="D86">
        <v>2</v>
      </c>
      <c r="E86" t="s">
        <v>944</v>
      </c>
    </row>
    <row r="87" spans="1:5" x14ac:dyDescent="0.25">
      <c r="A87" t="s">
        <v>1368</v>
      </c>
      <c r="B87">
        <v>9001205100</v>
      </c>
      <c r="C87" t="s">
        <v>1369</v>
      </c>
      <c r="D87">
        <v>3</v>
      </c>
      <c r="E87" t="s">
        <v>944</v>
      </c>
    </row>
    <row r="88" spans="1:5" x14ac:dyDescent="0.25">
      <c r="A88" t="s">
        <v>2250</v>
      </c>
      <c r="B88">
        <v>9009171600</v>
      </c>
      <c r="C88" t="s">
        <v>2251</v>
      </c>
      <c r="D88">
        <v>4</v>
      </c>
      <c r="E88" t="s">
        <v>944</v>
      </c>
    </row>
    <row r="89" spans="1:5" x14ac:dyDescent="0.25">
      <c r="A89" t="s">
        <v>2250</v>
      </c>
      <c r="B89">
        <v>9009171600</v>
      </c>
      <c r="C89" t="s">
        <v>2251</v>
      </c>
      <c r="D89">
        <v>4</v>
      </c>
      <c r="E89" t="s">
        <v>944</v>
      </c>
    </row>
    <row r="90" spans="1:5" x14ac:dyDescent="0.25">
      <c r="A90" t="s">
        <v>1370</v>
      </c>
      <c r="B90">
        <v>9001205200</v>
      </c>
      <c r="C90" t="s">
        <v>1371</v>
      </c>
      <c r="D90">
        <v>3</v>
      </c>
      <c r="E90" t="s">
        <v>944</v>
      </c>
    </row>
    <row r="91" spans="1:5" x14ac:dyDescent="0.25">
      <c r="A91" t="s">
        <v>1370</v>
      </c>
      <c r="B91">
        <v>9001205200</v>
      </c>
      <c r="C91" t="s">
        <v>1371</v>
      </c>
      <c r="D91">
        <v>3</v>
      </c>
      <c r="E91" t="s">
        <v>944</v>
      </c>
    </row>
    <row r="92" spans="1:5" x14ac:dyDescent="0.25">
      <c r="A92" t="s">
        <v>1372</v>
      </c>
      <c r="B92">
        <v>9001205300</v>
      </c>
      <c r="C92" t="s">
        <v>1373</v>
      </c>
      <c r="D92">
        <v>3</v>
      </c>
      <c r="E92" t="s">
        <v>944</v>
      </c>
    </row>
    <row r="93" spans="1:5" x14ac:dyDescent="0.25">
      <c r="A93" t="s">
        <v>1372</v>
      </c>
      <c r="B93">
        <v>9001205300</v>
      </c>
      <c r="C93" t="s">
        <v>1373</v>
      </c>
      <c r="D93">
        <v>3</v>
      </c>
      <c r="E93" t="s">
        <v>944</v>
      </c>
    </row>
    <row r="94" spans="1:5" x14ac:dyDescent="0.25">
      <c r="A94" t="s">
        <v>1372</v>
      </c>
      <c r="B94">
        <v>9001205300</v>
      </c>
      <c r="C94" t="s">
        <v>1373</v>
      </c>
      <c r="D94">
        <v>3</v>
      </c>
      <c r="E94" t="s">
        <v>944</v>
      </c>
    </row>
    <row r="95" spans="1:5" x14ac:dyDescent="0.25">
      <c r="A95" t="s">
        <v>1064</v>
      </c>
      <c r="B95">
        <v>9001020700</v>
      </c>
      <c r="C95" t="s">
        <v>1065</v>
      </c>
      <c r="D95">
        <v>2</v>
      </c>
      <c r="E95" t="s">
        <v>944</v>
      </c>
    </row>
    <row r="96" spans="1:5" x14ac:dyDescent="0.25">
      <c r="A96" t="s">
        <v>2186</v>
      </c>
      <c r="B96">
        <v>9009161100</v>
      </c>
      <c r="C96" t="s">
        <v>2187</v>
      </c>
      <c r="D96">
        <v>3</v>
      </c>
      <c r="E96" t="s">
        <v>944</v>
      </c>
    </row>
    <row r="97" spans="1:5" x14ac:dyDescent="0.25">
      <c r="A97" t="s">
        <v>1066</v>
      </c>
      <c r="B97">
        <v>9001020800</v>
      </c>
      <c r="C97" t="s">
        <v>1067</v>
      </c>
      <c r="D97">
        <v>2</v>
      </c>
      <c r="E97" t="s">
        <v>944</v>
      </c>
    </row>
    <row r="98" spans="1:5" x14ac:dyDescent="0.25">
      <c r="A98" t="s">
        <v>1068</v>
      </c>
      <c r="B98">
        <v>9001020900</v>
      </c>
      <c r="C98" t="s">
        <v>1069</v>
      </c>
      <c r="D98">
        <v>3</v>
      </c>
      <c r="E98" t="s">
        <v>944</v>
      </c>
    </row>
    <row r="99" spans="1:5" x14ac:dyDescent="0.25">
      <c r="A99" t="s">
        <v>1374</v>
      </c>
      <c r="B99">
        <v>9001210100</v>
      </c>
      <c r="C99" t="s">
        <v>1375</v>
      </c>
      <c r="D99">
        <v>5</v>
      </c>
      <c r="E99" t="s">
        <v>944</v>
      </c>
    </row>
    <row r="100" spans="1:5" x14ac:dyDescent="0.25">
      <c r="A100" t="s">
        <v>1376</v>
      </c>
      <c r="B100">
        <v>9001210200</v>
      </c>
      <c r="C100" t="s">
        <v>1377</v>
      </c>
      <c r="D100">
        <v>6</v>
      </c>
      <c r="E100" t="s">
        <v>936</v>
      </c>
    </row>
    <row r="101" spans="1:5" x14ac:dyDescent="0.25">
      <c r="A101" t="s">
        <v>1382</v>
      </c>
      <c r="B101">
        <v>9001210500</v>
      </c>
      <c r="C101" t="s">
        <v>1383</v>
      </c>
      <c r="D101">
        <v>3</v>
      </c>
      <c r="E101" t="s">
        <v>944</v>
      </c>
    </row>
    <row r="102" spans="1:5" x14ac:dyDescent="0.25">
      <c r="A102" t="s">
        <v>1382</v>
      </c>
      <c r="B102">
        <v>9001210500</v>
      </c>
      <c r="C102" t="s">
        <v>1383</v>
      </c>
      <c r="D102">
        <v>3</v>
      </c>
      <c r="E102" t="s">
        <v>944</v>
      </c>
    </row>
    <row r="103" spans="1:5" x14ac:dyDescent="0.25">
      <c r="A103" t="s">
        <v>1382</v>
      </c>
      <c r="B103">
        <v>9001210500</v>
      </c>
      <c r="C103" t="s">
        <v>1383</v>
      </c>
      <c r="D103">
        <v>3</v>
      </c>
      <c r="E103" t="s">
        <v>944</v>
      </c>
    </row>
    <row r="104" spans="1:5" x14ac:dyDescent="0.25">
      <c r="A104" t="s">
        <v>1070</v>
      </c>
      <c r="B104">
        <v>9001021000</v>
      </c>
      <c r="C104" t="s">
        <v>1071</v>
      </c>
      <c r="D104">
        <v>2</v>
      </c>
      <c r="E104" t="s">
        <v>944</v>
      </c>
    </row>
    <row r="105" spans="1:5" x14ac:dyDescent="0.25">
      <c r="A105" t="s">
        <v>1384</v>
      </c>
      <c r="B105">
        <v>9001210600</v>
      </c>
      <c r="C105" t="s">
        <v>1385</v>
      </c>
      <c r="D105">
        <v>5</v>
      </c>
      <c r="E105" t="s">
        <v>944</v>
      </c>
    </row>
    <row r="106" spans="1:5" x14ac:dyDescent="0.25">
      <c r="A106" t="s">
        <v>1390</v>
      </c>
      <c r="B106">
        <v>9001210800</v>
      </c>
      <c r="C106" t="s">
        <v>1391</v>
      </c>
      <c r="D106">
        <v>3</v>
      </c>
      <c r="E106" t="s">
        <v>944</v>
      </c>
    </row>
    <row r="107" spans="1:5" x14ac:dyDescent="0.25">
      <c r="A107" t="s">
        <v>1392</v>
      </c>
      <c r="B107">
        <v>9001210900</v>
      </c>
      <c r="C107" t="s">
        <v>1393</v>
      </c>
      <c r="D107">
        <v>3</v>
      </c>
      <c r="E107" t="s">
        <v>944</v>
      </c>
    </row>
    <row r="108" spans="1:5" x14ac:dyDescent="0.25">
      <c r="A108" t="s">
        <v>1392</v>
      </c>
      <c r="B108">
        <v>9001210900</v>
      </c>
      <c r="C108" t="s">
        <v>1393</v>
      </c>
      <c r="D108">
        <v>3</v>
      </c>
      <c r="E108" t="s">
        <v>944</v>
      </c>
    </row>
    <row r="109" spans="1:5" x14ac:dyDescent="0.25">
      <c r="A109" t="s">
        <v>1072</v>
      </c>
      <c r="B109">
        <v>9001021100</v>
      </c>
      <c r="C109" t="s">
        <v>1073</v>
      </c>
      <c r="D109">
        <v>2</v>
      </c>
      <c r="E109" t="s">
        <v>944</v>
      </c>
    </row>
    <row r="110" spans="1:5" x14ac:dyDescent="0.25">
      <c r="A110" t="s">
        <v>1366</v>
      </c>
      <c r="B110">
        <v>9001200302</v>
      </c>
      <c r="C110" t="s">
        <v>1367</v>
      </c>
      <c r="D110">
        <v>3</v>
      </c>
      <c r="E110" t="s">
        <v>944</v>
      </c>
    </row>
    <row r="111" spans="1:5" x14ac:dyDescent="0.25">
      <c r="A111" t="s">
        <v>1366</v>
      </c>
      <c r="B111">
        <v>9001200302</v>
      </c>
      <c r="C111" t="s">
        <v>1367</v>
      </c>
      <c r="D111">
        <v>3</v>
      </c>
      <c r="E111" t="s">
        <v>944</v>
      </c>
    </row>
    <row r="112" spans="1:5" x14ac:dyDescent="0.25">
      <c r="A112" t="s">
        <v>1394</v>
      </c>
      <c r="B112">
        <v>9001211000</v>
      </c>
      <c r="C112" t="s">
        <v>1395</v>
      </c>
      <c r="D112">
        <v>4</v>
      </c>
      <c r="E112" t="s">
        <v>944</v>
      </c>
    </row>
    <row r="113" spans="1:5" x14ac:dyDescent="0.25">
      <c r="A113" t="s">
        <v>1394</v>
      </c>
      <c r="B113">
        <v>9001211000</v>
      </c>
      <c r="C113" t="s">
        <v>1395</v>
      </c>
      <c r="D113">
        <v>4</v>
      </c>
      <c r="E113" t="s">
        <v>944</v>
      </c>
    </row>
    <row r="114" spans="1:5" x14ac:dyDescent="0.25">
      <c r="A114" t="s">
        <v>1396</v>
      </c>
      <c r="B114">
        <v>9001211200</v>
      </c>
      <c r="C114" t="s">
        <v>1397</v>
      </c>
      <c r="D114">
        <v>4</v>
      </c>
      <c r="E114" t="s">
        <v>944</v>
      </c>
    </row>
    <row r="115" spans="1:5" x14ac:dyDescent="0.25">
      <c r="A115" t="s">
        <v>1074</v>
      </c>
      <c r="B115">
        <v>9001021200</v>
      </c>
      <c r="C115" t="s">
        <v>1075</v>
      </c>
      <c r="D115">
        <v>2</v>
      </c>
      <c r="E115" t="s">
        <v>944</v>
      </c>
    </row>
    <row r="116" spans="1:5" x14ac:dyDescent="0.25">
      <c r="A116" t="s">
        <v>1078</v>
      </c>
      <c r="B116">
        <v>9001021400</v>
      </c>
      <c r="C116" t="s">
        <v>1079</v>
      </c>
      <c r="D116">
        <v>4</v>
      </c>
      <c r="E116" t="s">
        <v>944</v>
      </c>
    </row>
    <row r="117" spans="1:5" x14ac:dyDescent="0.25">
      <c r="A117" t="s">
        <v>1078</v>
      </c>
      <c r="B117">
        <v>9001021400</v>
      </c>
      <c r="C117" t="s">
        <v>1079</v>
      </c>
      <c r="D117">
        <v>4</v>
      </c>
      <c r="E117" t="s">
        <v>944</v>
      </c>
    </row>
    <row r="118" spans="1:5" x14ac:dyDescent="0.25">
      <c r="A118" t="s">
        <v>1404</v>
      </c>
      <c r="B118">
        <v>9001220200</v>
      </c>
      <c r="C118" t="s">
        <v>1405</v>
      </c>
      <c r="D118">
        <v>3</v>
      </c>
      <c r="E118" t="s">
        <v>944</v>
      </c>
    </row>
    <row r="119" spans="1:5" x14ac:dyDescent="0.25">
      <c r="A119" t="s">
        <v>1404</v>
      </c>
      <c r="B119">
        <v>9001220200</v>
      </c>
      <c r="C119" t="s">
        <v>1405</v>
      </c>
      <c r="D119">
        <v>3</v>
      </c>
      <c r="E119" t="s">
        <v>944</v>
      </c>
    </row>
    <row r="120" spans="1:5" x14ac:dyDescent="0.25">
      <c r="A120" t="s">
        <v>1404</v>
      </c>
      <c r="B120">
        <v>9001220200</v>
      </c>
      <c r="C120" t="s">
        <v>1405</v>
      </c>
      <c r="D120">
        <v>3</v>
      </c>
      <c r="E120" t="s">
        <v>944</v>
      </c>
    </row>
    <row r="121" spans="1:5" x14ac:dyDescent="0.25">
      <c r="A121" t="s">
        <v>1408</v>
      </c>
      <c r="B121">
        <v>9001230100</v>
      </c>
      <c r="C121" t="s">
        <v>1409</v>
      </c>
      <c r="D121">
        <v>3</v>
      </c>
      <c r="E121" t="s">
        <v>944</v>
      </c>
    </row>
    <row r="122" spans="1:5" x14ac:dyDescent="0.25">
      <c r="A122" t="s">
        <v>1076</v>
      </c>
      <c r="B122">
        <v>9001021300</v>
      </c>
      <c r="C122" t="s">
        <v>1077</v>
      </c>
      <c r="D122">
        <v>2</v>
      </c>
      <c r="E122" t="s">
        <v>944</v>
      </c>
    </row>
    <row r="123" spans="1:5" x14ac:dyDescent="0.25">
      <c r="A123" t="s">
        <v>1410</v>
      </c>
      <c r="B123">
        <v>9001230200</v>
      </c>
      <c r="C123" t="s">
        <v>1411</v>
      </c>
      <c r="D123">
        <v>3</v>
      </c>
      <c r="E123" t="s">
        <v>944</v>
      </c>
    </row>
    <row r="124" spans="1:5" x14ac:dyDescent="0.25">
      <c r="A124" t="s">
        <v>1380</v>
      </c>
      <c r="B124">
        <v>9001210400</v>
      </c>
      <c r="C124" t="s">
        <v>1381</v>
      </c>
      <c r="D124">
        <v>3</v>
      </c>
      <c r="E124" t="s">
        <v>944</v>
      </c>
    </row>
    <row r="125" spans="1:5" x14ac:dyDescent="0.25">
      <c r="A125" t="s">
        <v>1380</v>
      </c>
      <c r="B125">
        <v>9001210400</v>
      </c>
      <c r="C125" t="s">
        <v>1381</v>
      </c>
      <c r="D125">
        <v>3</v>
      </c>
      <c r="E125" t="s">
        <v>944</v>
      </c>
    </row>
    <row r="126" spans="1:5" x14ac:dyDescent="0.25">
      <c r="A126" t="s">
        <v>1412</v>
      </c>
      <c r="B126">
        <v>9001230300</v>
      </c>
      <c r="C126" t="s">
        <v>1413</v>
      </c>
      <c r="D126">
        <v>3</v>
      </c>
      <c r="E126" t="s">
        <v>944</v>
      </c>
    </row>
    <row r="127" spans="1:5" x14ac:dyDescent="0.25">
      <c r="A127" t="s">
        <v>1414</v>
      </c>
      <c r="B127">
        <v>9001230400</v>
      </c>
      <c r="C127" t="s">
        <v>1415</v>
      </c>
      <c r="D127">
        <v>3</v>
      </c>
      <c r="E127" t="s">
        <v>944</v>
      </c>
    </row>
    <row r="128" spans="1:5" x14ac:dyDescent="0.25">
      <c r="A128" t="s">
        <v>1414</v>
      </c>
      <c r="B128">
        <v>9001230400</v>
      </c>
      <c r="C128" t="s">
        <v>1415</v>
      </c>
      <c r="D128">
        <v>3</v>
      </c>
      <c r="E128" t="s">
        <v>944</v>
      </c>
    </row>
    <row r="129" spans="1:5" x14ac:dyDescent="0.25">
      <c r="A129" t="s">
        <v>1414</v>
      </c>
      <c r="B129">
        <v>9001230400</v>
      </c>
      <c r="C129" t="s">
        <v>1415</v>
      </c>
      <c r="D129">
        <v>3</v>
      </c>
      <c r="E129" t="s">
        <v>944</v>
      </c>
    </row>
    <row r="130" spans="1:5" x14ac:dyDescent="0.25">
      <c r="A130" t="s">
        <v>1416</v>
      </c>
      <c r="B130">
        <v>9001230501</v>
      </c>
      <c r="C130" t="s">
        <v>1417</v>
      </c>
      <c r="D130">
        <v>3</v>
      </c>
      <c r="E130" t="s">
        <v>944</v>
      </c>
    </row>
    <row r="131" spans="1:5" x14ac:dyDescent="0.25">
      <c r="A131" t="s">
        <v>1418</v>
      </c>
      <c r="B131">
        <v>9001230502</v>
      </c>
      <c r="C131" t="s">
        <v>1419</v>
      </c>
      <c r="D131">
        <v>3</v>
      </c>
      <c r="E131" t="s">
        <v>944</v>
      </c>
    </row>
    <row r="132" spans="1:5" x14ac:dyDescent="0.25">
      <c r="A132" t="s">
        <v>1420</v>
      </c>
      <c r="B132">
        <v>9001240100</v>
      </c>
      <c r="C132" t="s">
        <v>1421</v>
      </c>
      <c r="D132">
        <v>3</v>
      </c>
      <c r="E132" t="s">
        <v>944</v>
      </c>
    </row>
    <row r="133" spans="1:5" x14ac:dyDescent="0.25">
      <c r="A133" t="s">
        <v>1420</v>
      </c>
      <c r="B133">
        <v>9001240100</v>
      </c>
      <c r="C133" t="s">
        <v>1421</v>
      </c>
      <c r="D133">
        <v>3</v>
      </c>
      <c r="E133" t="s">
        <v>944</v>
      </c>
    </row>
    <row r="134" spans="1:5" x14ac:dyDescent="0.25">
      <c r="A134" t="s">
        <v>1420</v>
      </c>
      <c r="B134">
        <v>9001240100</v>
      </c>
      <c r="C134" t="s">
        <v>1421</v>
      </c>
      <c r="D134">
        <v>3</v>
      </c>
      <c r="E134" t="s">
        <v>944</v>
      </c>
    </row>
    <row r="135" spans="1:5" x14ac:dyDescent="0.25">
      <c r="A135" t="s">
        <v>1422</v>
      </c>
      <c r="B135">
        <v>9001240200</v>
      </c>
      <c r="C135" t="s">
        <v>1423</v>
      </c>
      <c r="D135">
        <v>3</v>
      </c>
      <c r="E135" t="s">
        <v>944</v>
      </c>
    </row>
    <row r="136" spans="1:5" x14ac:dyDescent="0.25">
      <c r="A136" t="s">
        <v>1424</v>
      </c>
      <c r="B136">
        <v>9001245100</v>
      </c>
      <c r="C136" t="s">
        <v>1425</v>
      </c>
      <c r="D136">
        <v>2</v>
      </c>
      <c r="E136" t="s">
        <v>944</v>
      </c>
    </row>
    <row r="137" spans="1:5" x14ac:dyDescent="0.25">
      <c r="A137" t="s">
        <v>1080</v>
      </c>
      <c r="B137">
        <v>9001021500</v>
      </c>
      <c r="C137" t="s">
        <v>1081</v>
      </c>
      <c r="D137">
        <v>4</v>
      </c>
      <c r="E137" t="s">
        <v>944</v>
      </c>
    </row>
    <row r="138" spans="1:5" x14ac:dyDescent="0.25">
      <c r="A138" t="s">
        <v>1426</v>
      </c>
      <c r="B138">
        <v>9001245200</v>
      </c>
      <c r="C138" t="s">
        <v>1427</v>
      </c>
      <c r="D138">
        <v>2</v>
      </c>
      <c r="E138" t="s">
        <v>944</v>
      </c>
    </row>
    <row r="139" spans="1:5" x14ac:dyDescent="0.25">
      <c r="A139" t="s">
        <v>1426</v>
      </c>
      <c r="B139">
        <v>9001245200</v>
      </c>
      <c r="C139" t="s">
        <v>1427</v>
      </c>
      <c r="D139">
        <v>2</v>
      </c>
      <c r="E139" t="s">
        <v>944</v>
      </c>
    </row>
    <row r="140" spans="1:5" x14ac:dyDescent="0.25">
      <c r="A140" t="s">
        <v>1426</v>
      </c>
      <c r="B140">
        <v>9001245200</v>
      </c>
      <c r="C140" t="s">
        <v>1427</v>
      </c>
      <c r="D140">
        <v>2</v>
      </c>
      <c r="E140" t="s">
        <v>944</v>
      </c>
    </row>
    <row r="141" spans="1:5" x14ac:dyDescent="0.25">
      <c r="A141" t="s">
        <v>1430</v>
      </c>
      <c r="B141">
        <v>9001245400</v>
      </c>
      <c r="C141" t="s">
        <v>1431</v>
      </c>
      <c r="D141">
        <v>2</v>
      </c>
      <c r="E141" t="s">
        <v>944</v>
      </c>
    </row>
    <row r="142" spans="1:5" x14ac:dyDescent="0.25">
      <c r="A142" t="s">
        <v>1432</v>
      </c>
      <c r="B142">
        <v>9001245500</v>
      </c>
      <c r="C142" t="s">
        <v>1433</v>
      </c>
      <c r="D142">
        <v>2</v>
      </c>
      <c r="E142" t="s">
        <v>944</v>
      </c>
    </row>
    <row r="143" spans="1:5" x14ac:dyDescent="0.25">
      <c r="A143" t="s">
        <v>1434</v>
      </c>
      <c r="B143">
        <v>9001245600</v>
      </c>
      <c r="C143" t="s">
        <v>1435</v>
      </c>
      <c r="D143">
        <v>2</v>
      </c>
      <c r="E143" t="s">
        <v>944</v>
      </c>
    </row>
    <row r="144" spans="1:5" x14ac:dyDescent="0.25">
      <c r="A144" t="s">
        <v>1434</v>
      </c>
      <c r="B144">
        <v>9001245600</v>
      </c>
      <c r="C144" t="s">
        <v>1435</v>
      </c>
      <c r="D144">
        <v>2</v>
      </c>
      <c r="E144" t="s">
        <v>944</v>
      </c>
    </row>
    <row r="145" spans="1:5" x14ac:dyDescent="0.25">
      <c r="A145" t="s">
        <v>1082</v>
      </c>
      <c r="B145">
        <v>9001021600</v>
      </c>
      <c r="C145" t="s">
        <v>1083</v>
      </c>
      <c r="D145">
        <v>2</v>
      </c>
      <c r="E145" t="s">
        <v>944</v>
      </c>
    </row>
    <row r="146" spans="1:5" x14ac:dyDescent="0.25">
      <c r="A146" t="s">
        <v>1886</v>
      </c>
      <c r="B146">
        <v>9005253200</v>
      </c>
      <c r="C146" t="s">
        <v>1887</v>
      </c>
      <c r="D146">
        <v>3</v>
      </c>
      <c r="E146" t="s">
        <v>944</v>
      </c>
    </row>
    <row r="147" spans="1:5" x14ac:dyDescent="0.25">
      <c r="A147" t="s">
        <v>1928</v>
      </c>
      <c r="B147">
        <v>9005303100</v>
      </c>
      <c r="C147" t="s">
        <v>1929</v>
      </c>
      <c r="D147">
        <v>4</v>
      </c>
      <c r="E147" t="s">
        <v>944</v>
      </c>
    </row>
    <row r="148" spans="1:5" x14ac:dyDescent="0.25">
      <c r="A148" t="s">
        <v>1928</v>
      </c>
      <c r="B148">
        <v>9005303100</v>
      </c>
      <c r="C148" t="s">
        <v>1929</v>
      </c>
      <c r="D148">
        <v>4</v>
      </c>
      <c r="E148" t="s">
        <v>944</v>
      </c>
    </row>
    <row r="149" spans="1:5" x14ac:dyDescent="0.25">
      <c r="A149" t="s">
        <v>1928</v>
      </c>
      <c r="B149">
        <v>9005303100</v>
      </c>
      <c r="C149" t="s">
        <v>1929</v>
      </c>
      <c r="D149">
        <v>4</v>
      </c>
      <c r="E149" t="s">
        <v>944</v>
      </c>
    </row>
    <row r="150" spans="1:5" x14ac:dyDescent="0.25">
      <c r="A150" t="s">
        <v>1890</v>
      </c>
      <c r="B150">
        <v>9005253400</v>
      </c>
      <c r="C150" t="s">
        <v>1891</v>
      </c>
      <c r="D150">
        <v>3</v>
      </c>
      <c r="E150" t="s">
        <v>944</v>
      </c>
    </row>
    <row r="151" spans="1:5" x14ac:dyDescent="0.25">
      <c r="A151" t="s">
        <v>1890</v>
      </c>
      <c r="B151">
        <v>9005253400</v>
      </c>
      <c r="C151" t="s">
        <v>1891</v>
      </c>
      <c r="D151">
        <v>3</v>
      </c>
      <c r="E151" t="s">
        <v>944</v>
      </c>
    </row>
    <row r="152" spans="1:5" x14ac:dyDescent="0.25">
      <c r="A152" t="s">
        <v>1890</v>
      </c>
      <c r="B152">
        <v>9005253400</v>
      </c>
      <c r="C152" t="s">
        <v>1891</v>
      </c>
      <c r="D152">
        <v>3</v>
      </c>
      <c r="E152" t="s">
        <v>944</v>
      </c>
    </row>
    <row r="153" spans="1:5" x14ac:dyDescent="0.25">
      <c r="A153" t="s">
        <v>1892</v>
      </c>
      <c r="B153">
        <v>9005253500</v>
      </c>
      <c r="C153" t="s">
        <v>1893</v>
      </c>
      <c r="D153">
        <v>3</v>
      </c>
      <c r="E153" t="s">
        <v>944</v>
      </c>
    </row>
    <row r="154" spans="1:5" x14ac:dyDescent="0.25">
      <c r="A154" t="s">
        <v>1892</v>
      </c>
      <c r="B154">
        <v>9005253500</v>
      </c>
      <c r="C154" t="s">
        <v>1893</v>
      </c>
      <c r="D154">
        <v>3</v>
      </c>
      <c r="E154" t="s">
        <v>944</v>
      </c>
    </row>
    <row r="155" spans="1:5" x14ac:dyDescent="0.25">
      <c r="A155" t="s">
        <v>1892</v>
      </c>
      <c r="B155">
        <v>9005253500</v>
      </c>
      <c r="C155" t="s">
        <v>1893</v>
      </c>
      <c r="D155">
        <v>3</v>
      </c>
      <c r="E155" t="s">
        <v>944</v>
      </c>
    </row>
    <row r="156" spans="1:5" x14ac:dyDescent="0.25">
      <c r="A156" t="s">
        <v>1436</v>
      </c>
      <c r="B156">
        <v>9001257100</v>
      </c>
      <c r="C156" t="s">
        <v>1437</v>
      </c>
      <c r="D156">
        <v>3</v>
      </c>
      <c r="E156" t="s">
        <v>944</v>
      </c>
    </row>
    <row r="157" spans="1:5" x14ac:dyDescent="0.25">
      <c r="A157" t="s">
        <v>1436</v>
      </c>
      <c r="B157">
        <v>9001257100</v>
      </c>
      <c r="C157" t="s">
        <v>1437</v>
      </c>
      <c r="D157">
        <v>3</v>
      </c>
      <c r="E157" t="s">
        <v>944</v>
      </c>
    </row>
    <row r="158" spans="1:5" x14ac:dyDescent="0.25">
      <c r="A158" t="s">
        <v>1084</v>
      </c>
      <c r="B158">
        <v>9001021700</v>
      </c>
      <c r="C158" t="s">
        <v>1085</v>
      </c>
      <c r="D158">
        <v>2</v>
      </c>
      <c r="E158" t="s">
        <v>944</v>
      </c>
    </row>
    <row r="159" spans="1:5" x14ac:dyDescent="0.25">
      <c r="A159" t="s">
        <v>1898</v>
      </c>
      <c r="B159">
        <v>9005261100</v>
      </c>
      <c r="C159" t="s">
        <v>1899</v>
      </c>
      <c r="D159">
        <v>4</v>
      </c>
      <c r="E159" t="s">
        <v>944</v>
      </c>
    </row>
    <row r="160" spans="1:5" x14ac:dyDescent="0.25">
      <c r="A160" t="s">
        <v>1898</v>
      </c>
      <c r="B160">
        <v>9005261100</v>
      </c>
      <c r="C160" t="s">
        <v>1899</v>
      </c>
      <c r="D160">
        <v>4</v>
      </c>
      <c r="E160" t="s">
        <v>944</v>
      </c>
    </row>
    <row r="161" spans="1:5" x14ac:dyDescent="0.25">
      <c r="A161" t="s">
        <v>1958</v>
      </c>
      <c r="B161">
        <v>9005342100</v>
      </c>
      <c r="C161" t="s">
        <v>1959</v>
      </c>
      <c r="D161">
        <v>4</v>
      </c>
      <c r="E161" t="s">
        <v>944</v>
      </c>
    </row>
    <row r="162" spans="1:5" x14ac:dyDescent="0.25">
      <c r="A162" t="s">
        <v>1958</v>
      </c>
      <c r="B162">
        <v>9005342100</v>
      </c>
      <c r="C162" t="s">
        <v>1959</v>
      </c>
      <c r="D162">
        <v>4</v>
      </c>
      <c r="E162" t="s">
        <v>944</v>
      </c>
    </row>
    <row r="163" spans="1:5" x14ac:dyDescent="0.25">
      <c r="A163" t="s">
        <v>1902</v>
      </c>
      <c r="B163">
        <v>9005263200</v>
      </c>
      <c r="C163" t="s">
        <v>1903</v>
      </c>
      <c r="D163">
        <v>5</v>
      </c>
      <c r="E163" t="s">
        <v>944</v>
      </c>
    </row>
    <row r="164" spans="1:5" x14ac:dyDescent="0.25">
      <c r="A164" t="s">
        <v>1902</v>
      </c>
      <c r="B164">
        <v>9005263200</v>
      </c>
      <c r="C164" t="s">
        <v>1903</v>
      </c>
      <c r="D164">
        <v>5</v>
      </c>
      <c r="E164" t="s">
        <v>944</v>
      </c>
    </row>
    <row r="165" spans="1:5" x14ac:dyDescent="0.25">
      <c r="A165" t="s">
        <v>1902</v>
      </c>
      <c r="B165">
        <v>9005263200</v>
      </c>
      <c r="C165" t="s">
        <v>1903</v>
      </c>
      <c r="D165">
        <v>5</v>
      </c>
      <c r="E165" t="s">
        <v>944</v>
      </c>
    </row>
    <row r="166" spans="1:5" x14ac:dyDescent="0.25">
      <c r="A166" t="s">
        <v>1916</v>
      </c>
      <c r="B166">
        <v>9005296100</v>
      </c>
      <c r="C166" t="s">
        <v>1917</v>
      </c>
      <c r="D166">
        <v>4</v>
      </c>
      <c r="E166" t="s">
        <v>944</v>
      </c>
    </row>
    <row r="167" spans="1:5" x14ac:dyDescent="0.25">
      <c r="A167" t="s">
        <v>1916</v>
      </c>
      <c r="B167">
        <v>9005296100</v>
      </c>
      <c r="C167" t="s">
        <v>1917</v>
      </c>
      <c r="D167">
        <v>4</v>
      </c>
      <c r="E167" t="s">
        <v>944</v>
      </c>
    </row>
    <row r="168" spans="1:5" x14ac:dyDescent="0.25">
      <c r="A168" t="s">
        <v>1916</v>
      </c>
      <c r="B168">
        <v>9005296100</v>
      </c>
      <c r="C168" t="s">
        <v>1917</v>
      </c>
      <c r="D168">
        <v>4</v>
      </c>
      <c r="E168" t="s">
        <v>944</v>
      </c>
    </row>
    <row r="169" spans="1:5" x14ac:dyDescent="0.25">
      <c r="A169" t="s">
        <v>1086</v>
      </c>
      <c r="B169">
        <v>9001021801</v>
      </c>
      <c r="C169" t="s">
        <v>1087</v>
      </c>
      <c r="D169">
        <v>2</v>
      </c>
      <c r="E169" t="s">
        <v>944</v>
      </c>
    </row>
    <row r="170" spans="1:5" x14ac:dyDescent="0.25">
      <c r="A170" t="s">
        <v>1922</v>
      </c>
      <c r="B170">
        <v>9005300100</v>
      </c>
      <c r="C170" t="s">
        <v>1923</v>
      </c>
      <c r="D170">
        <v>4</v>
      </c>
      <c r="E170" t="s">
        <v>944</v>
      </c>
    </row>
    <row r="171" spans="1:5" x14ac:dyDescent="0.25">
      <c r="A171" t="s">
        <v>1922</v>
      </c>
      <c r="B171">
        <v>9005300100</v>
      </c>
      <c r="C171" t="s">
        <v>1923</v>
      </c>
      <c r="D171">
        <v>4</v>
      </c>
      <c r="E171" t="s">
        <v>944</v>
      </c>
    </row>
    <row r="172" spans="1:5" x14ac:dyDescent="0.25">
      <c r="A172" t="s">
        <v>1974</v>
      </c>
      <c r="B172">
        <v>9005362102</v>
      </c>
      <c r="C172" t="s">
        <v>1975</v>
      </c>
      <c r="D172">
        <v>4</v>
      </c>
      <c r="E172" t="s">
        <v>944</v>
      </c>
    </row>
    <row r="173" spans="1:5" x14ac:dyDescent="0.25">
      <c r="A173" t="s">
        <v>1974</v>
      </c>
      <c r="B173">
        <v>9005362102</v>
      </c>
      <c r="C173" t="s">
        <v>1975</v>
      </c>
      <c r="D173">
        <v>4</v>
      </c>
      <c r="E173" t="s">
        <v>944</v>
      </c>
    </row>
    <row r="174" spans="1:5" x14ac:dyDescent="0.25">
      <c r="A174" t="s">
        <v>1974</v>
      </c>
      <c r="B174">
        <v>9005362102</v>
      </c>
      <c r="C174" t="s">
        <v>1975</v>
      </c>
      <c r="D174">
        <v>4</v>
      </c>
      <c r="E174" t="s">
        <v>944</v>
      </c>
    </row>
    <row r="175" spans="1:5" x14ac:dyDescent="0.25">
      <c r="A175" t="s">
        <v>1924</v>
      </c>
      <c r="B175">
        <v>9005300400</v>
      </c>
      <c r="C175" t="s">
        <v>1925</v>
      </c>
      <c r="D175">
        <v>4</v>
      </c>
      <c r="E175" t="s">
        <v>944</v>
      </c>
    </row>
    <row r="176" spans="1:5" x14ac:dyDescent="0.25">
      <c r="A176" t="s">
        <v>1924</v>
      </c>
      <c r="B176">
        <v>9005300400</v>
      </c>
      <c r="C176" t="s">
        <v>1925</v>
      </c>
      <c r="D176">
        <v>4</v>
      </c>
      <c r="E176" t="s">
        <v>944</v>
      </c>
    </row>
    <row r="177" spans="1:5" x14ac:dyDescent="0.25">
      <c r="A177" t="s">
        <v>1926</v>
      </c>
      <c r="B177">
        <v>9005300500</v>
      </c>
      <c r="C177" t="s">
        <v>1927</v>
      </c>
      <c r="D177">
        <v>4</v>
      </c>
      <c r="E177" t="s">
        <v>944</v>
      </c>
    </row>
    <row r="178" spans="1:5" x14ac:dyDescent="0.25">
      <c r="A178" t="s">
        <v>1926</v>
      </c>
      <c r="B178">
        <v>9005300500</v>
      </c>
      <c r="C178" t="s">
        <v>1927</v>
      </c>
      <c r="D178">
        <v>4</v>
      </c>
      <c r="E178" t="s">
        <v>944</v>
      </c>
    </row>
    <row r="179" spans="1:5" x14ac:dyDescent="0.25">
      <c r="A179" t="s">
        <v>1102</v>
      </c>
      <c r="B179">
        <v>9001030100</v>
      </c>
      <c r="C179" t="s">
        <v>1103</v>
      </c>
      <c r="D179">
        <v>2</v>
      </c>
      <c r="E179" t="s">
        <v>944</v>
      </c>
    </row>
    <row r="180" spans="1:5" x14ac:dyDescent="0.25">
      <c r="A180" t="s">
        <v>1088</v>
      </c>
      <c r="B180">
        <v>9001021802</v>
      </c>
      <c r="C180" t="s">
        <v>1089</v>
      </c>
      <c r="D180">
        <v>3</v>
      </c>
      <c r="E180" t="s">
        <v>944</v>
      </c>
    </row>
    <row r="181" spans="1:5" x14ac:dyDescent="0.25">
      <c r="A181" t="s">
        <v>1104</v>
      </c>
      <c r="B181">
        <v>9001030200</v>
      </c>
      <c r="C181" t="s">
        <v>1105</v>
      </c>
      <c r="D181">
        <v>2</v>
      </c>
      <c r="E181" t="s">
        <v>944</v>
      </c>
    </row>
    <row r="182" spans="1:5" x14ac:dyDescent="0.25">
      <c r="A182" t="s">
        <v>1588</v>
      </c>
      <c r="B182">
        <v>9003471100</v>
      </c>
      <c r="C182" t="s">
        <v>1589</v>
      </c>
      <c r="D182">
        <v>4</v>
      </c>
      <c r="E182" t="s">
        <v>944</v>
      </c>
    </row>
    <row r="183" spans="1:5" x14ac:dyDescent="0.25">
      <c r="A183" t="s">
        <v>1588</v>
      </c>
      <c r="B183">
        <v>9003471100</v>
      </c>
      <c r="C183" t="s">
        <v>1589</v>
      </c>
      <c r="D183">
        <v>4</v>
      </c>
      <c r="E183" t="s">
        <v>944</v>
      </c>
    </row>
    <row r="184" spans="1:5" x14ac:dyDescent="0.25">
      <c r="A184" t="s">
        <v>1110</v>
      </c>
      <c r="B184">
        <v>9001030500</v>
      </c>
      <c r="C184" t="s">
        <v>1111</v>
      </c>
      <c r="D184">
        <v>2</v>
      </c>
      <c r="E184" t="s">
        <v>944</v>
      </c>
    </row>
    <row r="185" spans="1:5" x14ac:dyDescent="0.25">
      <c r="A185" t="s">
        <v>1930</v>
      </c>
      <c r="B185">
        <v>9005306100</v>
      </c>
      <c r="C185" t="s">
        <v>1931</v>
      </c>
      <c r="D185">
        <v>3</v>
      </c>
      <c r="E185" t="s">
        <v>944</v>
      </c>
    </row>
    <row r="186" spans="1:5" x14ac:dyDescent="0.25">
      <c r="A186" t="s">
        <v>1930</v>
      </c>
      <c r="B186">
        <v>9005306100</v>
      </c>
      <c r="C186" t="s">
        <v>1931</v>
      </c>
      <c r="D186">
        <v>3</v>
      </c>
      <c r="E186" t="s">
        <v>944</v>
      </c>
    </row>
    <row r="187" spans="1:5" x14ac:dyDescent="0.25">
      <c r="A187" t="s">
        <v>1930</v>
      </c>
      <c r="B187">
        <v>9005306100</v>
      </c>
      <c r="C187" t="s">
        <v>1931</v>
      </c>
      <c r="D187">
        <v>3</v>
      </c>
      <c r="E187" t="s">
        <v>944</v>
      </c>
    </row>
    <row r="188" spans="1:5" x14ac:dyDescent="0.25">
      <c r="A188" t="s">
        <v>1090</v>
      </c>
      <c r="B188">
        <v>9001021900</v>
      </c>
      <c r="C188" t="s">
        <v>1091</v>
      </c>
      <c r="D188">
        <v>3</v>
      </c>
      <c r="E188" t="s">
        <v>944</v>
      </c>
    </row>
    <row r="189" spans="1:5" x14ac:dyDescent="0.25">
      <c r="A189" t="s">
        <v>1942</v>
      </c>
      <c r="B189">
        <v>9005310601</v>
      </c>
      <c r="C189" t="s">
        <v>1943</v>
      </c>
      <c r="D189">
        <v>3</v>
      </c>
      <c r="E189" t="s">
        <v>944</v>
      </c>
    </row>
    <row r="190" spans="1:5" x14ac:dyDescent="0.25">
      <c r="A190" t="s">
        <v>1590</v>
      </c>
      <c r="B190">
        <v>9003471200</v>
      </c>
      <c r="C190" t="s">
        <v>1591</v>
      </c>
      <c r="D190">
        <v>4</v>
      </c>
      <c r="E190" t="s">
        <v>944</v>
      </c>
    </row>
    <row r="191" spans="1:5" x14ac:dyDescent="0.25">
      <c r="A191" t="s">
        <v>1092</v>
      </c>
      <c r="B191">
        <v>9001022000</v>
      </c>
      <c r="C191" t="s">
        <v>1093</v>
      </c>
      <c r="D191">
        <v>4</v>
      </c>
      <c r="E191" t="s">
        <v>944</v>
      </c>
    </row>
    <row r="192" spans="1:5" x14ac:dyDescent="0.25">
      <c r="A192" t="s">
        <v>1592</v>
      </c>
      <c r="B192">
        <v>9003471300</v>
      </c>
      <c r="C192" t="s">
        <v>1593</v>
      </c>
      <c r="D192">
        <v>3</v>
      </c>
      <c r="E192" t="s">
        <v>944</v>
      </c>
    </row>
    <row r="193" spans="1:5" x14ac:dyDescent="0.25">
      <c r="A193" t="s">
        <v>2328</v>
      </c>
      <c r="B193">
        <v>9009343200</v>
      </c>
      <c r="C193" t="s">
        <v>2329</v>
      </c>
      <c r="D193">
        <v>3</v>
      </c>
      <c r="E193" t="s">
        <v>944</v>
      </c>
    </row>
    <row r="194" spans="1:5" x14ac:dyDescent="0.25">
      <c r="A194" t="s">
        <v>1094</v>
      </c>
      <c r="B194">
        <v>9001022100</v>
      </c>
      <c r="C194" t="s">
        <v>1095</v>
      </c>
      <c r="D194">
        <v>3</v>
      </c>
      <c r="E194" t="s">
        <v>944</v>
      </c>
    </row>
    <row r="195" spans="1:5" x14ac:dyDescent="0.25">
      <c r="A195" t="s">
        <v>2350</v>
      </c>
      <c r="B195">
        <v>9009346102</v>
      </c>
      <c r="C195" t="s">
        <v>2351</v>
      </c>
      <c r="D195">
        <v>3</v>
      </c>
      <c r="E195" t="s">
        <v>944</v>
      </c>
    </row>
    <row r="196" spans="1:5" x14ac:dyDescent="0.25">
      <c r="A196" t="s">
        <v>2350</v>
      </c>
      <c r="B196">
        <v>9009346102</v>
      </c>
      <c r="C196" t="s">
        <v>2351</v>
      </c>
      <c r="D196">
        <v>3</v>
      </c>
      <c r="E196" t="s">
        <v>944</v>
      </c>
    </row>
    <row r="197" spans="1:5" x14ac:dyDescent="0.25">
      <c r="A197" t="s">
        <v>2350</v>
      </c>
      <c r="B197">
        <v>9009346102</v>
      </c>
      <c r="C197" t="s">
        <v>2351</v>
      </c>
      <c r="D197">
        <v>3</v>
      </c>
      <c r="E197" t="s">
        <v>944</v>
      </c>
    </row>
    <row r="198" spans="1:5" x14ac:dyDescent="0.25">
      <c r="A198" t="s">
        <v>1594</v>
      </c>
      <c r="B198">
        <v>9003471400</v>
      </c>
      <c r="C198" t="s">
        <v>1595</v>
      </c>
      <c r="D198">
        <v>3</v>
      </c>
      <c r="E198" t="s">
        <v>944</v>
      </c>
    </row>
    <row r="199" spans="1:5" x14ac:dyDescent="0.25">
      <c r="A199" t="s">
        <v>1594</v>
      </c>
      <c r="B199">
        <v>9003471400</v>
      </c>
      <c r="C199" t="s">
        <v>1595</v>
      </c>
      <c r="D199">
        <v>3</v>
      </c>
      <c r="E199" t="s">
        <v>944</v>
      </c>
    </row>
    <row r="200" spans="1:5" x14ac:dyDescent="0.25">
      <c r="A200" t="s">
        <v>1960</v>
      </c>
      <c r="B200">
        <v>9005349100</v>
      </c>
      <c r="C200" t="s">
        <v>1961</v>
      </c>
      <c r="D200">
        <v>4</v>
      </c>
      <c r="E200" t="s">
        <v>944</v>
      </c>
    </row>
    <row r="201" spans="1:5" x14ac:dyDescent="0.25">
      <c r="A201" t="s">
        <v>1960</v>
      </c>
      <c r="B201">
        <v>9005349100</v>
      </c>
      <c r="C201" t="s">
        <v>1961</v>
      </c>
      <c r="D201">
        <v>4</v>
      </c>
      <c r="E201" t="s">
        <v>944</v>
      </c>
    </row>
    <row r="202" spans="1:5" x14ac:dyDescent="0.25">
      <c r="A202" t="s">
        <v>1960</v>
      </c>
      <c r="B202">
        <v>9005349100</v>
      </c>
      <c r="C202" t="s">
        <v>1961</v>
      </c>
      <c r="D202">
        <v>4</v>
      </c>
      <c r="E202" t="s">
        <v>944</v>
      </c>
    </row>
    <row r="203" spans="1:5" x14ac:dyDescent="0.25">
      <c r="A203" t="s">
        <v>1962</v>
      </c>
      <c r="B203">
        <v>9005349200</v>
      </c>
      <c r="C203" t="s">
        <v>1963</v>
      </c>
      <c r="D203">
        <v>5</v>
      </c>
      <c r="E203" t="s">
        <v>944</v>
      </c>
    </row>
    <row r="204" spans="1:5" x14ac:dyDescent="0.25">
      <c r="A204" t="s">
        <v>1962</v>
      </c>
      <c r="B204">
        <v>9005349200</v>
      </c>
      <c r="C204" t="s">
        <v>1963</v>
      </c>
      <c r="D204">
        <v>5</v>
      </c>
      <c r="E204" t="s">
        <v>944</v>
      </c>
    </row>
    <row r="205" spans="1:5" x14ac:dyDescent="0.25">
      <c r="A205" t="s">
        <v>1962</v>
      </c>
      <c r="B205">
        <v>9005349200</v>
      </c>
      <c r="C205" t="s">
        <v>1963</v>
      </c>
      <c r="D205">
        <v>5</v>
      </c>
      <c r="E205" t="s">
        <v>944</v>
      </c>
    </row>
    <row r="206" spans="1:5" x14ac:dyDescent="0.25">
      <c r="A206" t="s">
        <v>1096</v>
      </c>
      <c r="B206">
        <v>9001022200</v>
      </c>
      <c r="C206" t="s">
        <v>1097</v>
      </c>
      <c r="D206">
        <v>2</v>
      </c>
      <c r="E206" t="s">
        <v>944</v>
      </c>
    </row>
    <row r="207" spans="1:5" x14ac:dyDescent="0.25">
      <c r="A207" t="s">
        <v>1596</v>
      </c>
      <c r="B207">
        <v>9003471500</v>
      </c>
      <c r="C207" t="s">
        <v>1597</v>
      </c>
      <c r="D207">
        <v>3</v>
      </c>
      <c r="E207" t="s">
        <v>944</v>
      </c>
    </row>
    <row r="208" spans="1:5" x14ac:dyDescent="0.25">
      <c r="A208" t="s">
        <v>1098</v>
      </c>
      <c r="B208">
        <v>9001022300</v>
      </c>
      <c r="C208" t="s">
        <v>1099</v>
      </c>
      <c r="D208">
        <v>3</v>
      </c>
      <c r="E208" t="s">
        <v>944</v>
      </c>
    </row>
    <row r="209" spans="1:5" x14ac:dyDescent="0.25">
      <c r="A209" t="s">
        <v>2370</v>
      </c>
      <c r="B209">
        <v>9009350300</v>
      </c>
      <c r="C209" t="s">
        <v>2371</v>
      </c>
      <c r="D209">
        <v>8</v>
      </c>
      <c r="E209" t="s">
        <v>936</v>
      </c>
    </row>
    <row r="210" spans="1:5" x14ac:dyDescent="0.25">
      <c r="A210" t="s">
        <v>1598</v>
      </c>
      <c r="B210">
        <v>9003473100</v>
      </c>
      <c r="C210" t="s">
        <v>1599</v>
      </c>
      <c r="D210">
        <v>3</v>
      </c>
      <c r="E210" t="s">
        <v>944</v>
      </c>
    </row>
    <row r="211" spans="1:5" x14ac:dyDescent="0.25">
      <c r="A211" t="s">
        <v>2372</v>
      </c>
      <c r="B211">
        <v>9009350400</v>
      </c>
      <c r="C211" t="s">
        <v>2373</v>
      </c>
      <c r="D211">
        <v>10</v>
      </c>
      <c r="E211" t="s">
        <v>936</v>
      </c>
    </row>
    <row r="212" spans="1:5" x14ac:dyDescent="0.25">
      <c r="A212" t="s">
        <v>1100</v>
      </c>
      <c r="B212">
        <v>9001022400</v>
      </c>
      <c r="C212" t="s">
        <v>1101</v>
      </c>
      <c r="D212">
        <v>2</v>
      </c>
      <c r="E212" t="s">
        <v>944</v>
      </c>
    </row>
    <row r="213" spans="1:5" x14ac:dyDescent="0.25">
      <c r="A213" t="s">
        <v>2374</v>
      </c>
      <c r="B213">
        <v>9009350500</v>
      </c>
      <c r="C213" t="s">
        <v>2375</v>
      </c>
      <c r="D213">
        <v>8</v>
      </c>
      <c r="E213" t="s">
        <v>936</v>
      </c>
    </row>
    <row r="214" spans="1:5" x14ac:dyDescent="0.25">
      <c r="A214" t="s">
        <v>1602</v>
      </c>
      <c r="B214">
        <v>9003473501</v>
      </c>
      <c r="C214" t="s">
        <v>1603</v>
      </c>
      <c r="D214">
        <v>3</v>
      </c>
      <c r="E214" t="s">
        <v>944</v>
      </c>
    </row>
    <row r="215" spans="1:5" x14ac:dyDescent="0.25">
      <c r="A215" t="s">
        <v>2376</v>
      </c>
      <c r="B215">
        <v>9009350800</v>
      </c>
      <c r="C215" t="s">
        <v>2377</v>
      </c>
      <c r="D215">
        <v>7</v>
      </c>
      <c r="E215" t="s">
        <v>936</v>
      </c>
    </row>
    <row r="216" spans="1:5" x14ac:dyDescent="0.25">
      <c r="A216" t="s">
        <v>2378</v>
      </c>
      <c r="B216">
        <v>9009350900</v>
      </c>
      <c r="C216" t="s">
        <v>2379</v>
      </c>
      <c r="D216">
        <v>5</v>
      </c>
      <c r="E216" t="s">
        <v>944</v>
      </c>
    </row>
    <row r="217" spans="1:5" x14ac:dyDescent="0.25">
      <c r="A217" t="s">
        <v>1780</v>
      </c>
      <c r="B217">
        <v>9003503900</v>
      </c>
      <c r="C217" t="s">
        <v>1781</v>
      </c>
      <c r="D217">
        <v>5</v>
      </c>
      <c r="E217" t="s">
        <v>944</v>
      </c>
    </row>
    <row r="218" spans="1:5" x14ac:dyDescent="0.25">
      <c r="A218" t="s">
        <v>1780</v>
      </c>
      <c r="B218">
        <v>9003503900</v>
      </c>
      <c r="C218" t="s">
        <v>1781</v>
      </c>
      <c r="D218">
        <v>5</v>
      </c>
      <c r="E218" t="s">
        <v>944</v>
      </c>
    </row>
    <row r="219" spans="1:5" x14ac:dyDescent="0.25">
      <c r="A219" t="s">
        <v>2380</v>
      </c>
      <c r="B219">
        <v>9009351000</v>
      </c>
      <c r="C219" t="s">
        <v>2381</v>
      </c>
      <c r="D219">
        <v>5</v>
      </c>
      <c r="E219" t="s">
        <v>944</v>
      </c>
    </row>
    <row r="220" spans="1:5" x14ac:dyDescent="0.25">
      <c r="A220" t="s">
        <v>2382</v>
      </c>
      <c r="B220">
        <v>9009351100</v>
      </c>
      <c r="C220" t="s">
        <v>2383</v>
      </c>
      <c r="D220">
        <v>7</v>
      </c>
      <c r="E220" t="s">
        <v>936</v>
      </c>
    </row>
    <row r="221" spans="1:5" x14ac:dyDescent="0.25">
      <c r="A221" t="s">
        <v>2384</v>
      </c>
      <c r="B221">
        <v>9009351200</v>
      </c>
      <c r="C221" t="s">
        <v>2385</v>
      </c>
      <c r="D221">
        <v>7</v>
      </c>
      <c r="E221" t="s">
        <v>936</v>
      </c>
    </row>
    <row r="222" spans="1:5" x14ac:dyDescent="0.25">
      <c r="A222" t="s">
        <v>1842</v>
      </c>
      <c r="B222">
        <v>9003514900</v>
      </c>
      <c r="C222" t="s">
        <v>1843</v>
      </c>
      <c r="D222">
        <v>4</v>
      </c>
      <c r="E222" t="s">
        <v>944</v>
      </c>
    </row>
    <row r="223" spans="1:5" x14ac:dyDescent="0.25">
      <c r="A223" t="s">
        <v>1842</v>
      </c>
      <c r="B223">
        <v>9003514900</v>
      </c>
      <c r="C223" t="s">
        <v>1843</v>
      </c>
      <c r="D223">
        <v>4</v>
      </c>
      <c r="E223" t="s">
        <v>944</v>
      </c>
    </row>
    <row r="224" spans="1:5" x14ac:dyDescent="0.25">
      <c r="A224" t="s">
        <v>2386</v>
      </c>
      <c r="B224">
        <v>9009351300</v>
      </c>
      <c r="C224" t="s">
        <v>2387</v>
      </c>
      <c r="D224">
        <v>6</v>
      </c>
      <c r="E224" t="s">
        <v>936</v>
      </c>
    </row>
    <row r="225" spans="1:5" x14ac:dyDescent="0.25">
      <c r="A225" t="s">
        <v>2388</v>
      </c>
      <c r="B225">
        <v>9009351400</v>
      </c>
      <c r="C225" t="s">
        <v>2389</v>
      </c>
      <c r="D225">
        <v>7</v>
      </c>
      <c r="E225" t="s">
        <v>936</v>
      </c>
    </row>
    <row r="226" spans="1:5" x14ac:dyDescent="0.25">
      <c r="A226" t="s">
        <v>1106</v>
      </c>
      <c r="B226">
        <v>9001030300</v>
      </c>
      <c r="C226" t="s">
        <v>1107</v>
      </c>
      <c r="D226">
        <v>2</v>
      </c>
      <c r="E226" t="s">
        <v>944</v>
      </c>
    </row>
    <row r="227" spans="1:5" x14ac:dyDescent="0.25">
      <c r="A227" t="s">
        <v>2398</v>
      </c>
      <c r="B227">
        <v>9009351800</v>
      </c>
      <c r="C227" t="s">
        <v>2399</v>
      </c>
      <c r="D227">
        <v>5</v>
      </c>
      <c r="E227" t="s">
        <v>944</v>
      </c>
    </row>
    <row r="228" spans="1:5" x14ac:dyDescent="0.25">
      <c r="A228" t="s">
        <v>2564</v>
      </c>
      <c r="B228">
        <v>9013526102</v>
      </c>
      <c r="C228" t="s">
        <v>2565</v>
      </c>
      <c r="D228">
        <v>3</v>
      </c>
      <c r="E228" t="s">
        <v>944</v>
      </c>
    </row>
    <row r="229" spans="1:5" x14ac:dyDescent="0.25">
      <c r="A229" t="s">
        <v>2564</v>
      </c>
      <c r="B229">
        <v>9013526102</v>
      </c>
      <c r="C229" t="s">
        <v>2565</v>
      </c>
      <c r="D229">
        <v>3</v>
      </c>
      <c r="E229" t="s">
        <v>944</v>
      </c>
    </row>
    <row r="230" spans="1:5" x14ac:dyDescent="0.25">
      <c r="A230" t="s">
        <v>2564</v>
      </c>
      <c r="B230">
        <v>9013526102</v>
      </c>
      <c r="C230" t="s">
        <v>2565</v>
      </c>
      <c r="D230">
        <v>3</v>
      </c>
      <c r="E230" t="s">
        <v>944</v>
      </c>
    </row>
    <row r="231" spans="1:5" x14ac:dyDescent="0.25">
      <c r="A231" t="s">
        <v>1112</v>
      </c>
      <c r="B231">
        <v>9001035100</v>
      </c>
      <c r="C231" t="s">
        <v>1113</v>
      </c>
      <c r="D231">
        <v>2</v>
      </c>
      <c r="E231" t="s">
        <v>944</v>
      </c>
    </row>
    <row r="232" spans="1:5" x14ac:dyDescent="0.25">
      <c r="A232" t="s">
        <v>1112</v>
      </c>
      <c r="B232">
        <v>9001035100</v>
      </c>
      <c r="C232" t="s">
        <v>1113</v>
      </c>
      <c r="D232">
        <v>2</v>
      </c>
      <c r="E232" t="s">
        <v>944</v>
      </c>
    </row>
    <row r="233" spans="1:5" x14ac:dyDescent="0.25">
      <c r="A233" t="s">
        <v>2416</v>
      </c>
      <c r="B233">
        <v>9009352701</v>
      </c>
      <c r="C233" t="s">
        <v>2417</v>
      </c>
      <c r="D233">
        <v>6</v>
      </c>
      <c r="E233" t="s">
        <v>936</v>
      </c>
    </row>
    <row r="234" spans="1:5" x14ac:dyDescent="0.25">
      <c r="A234" t="s">
        <v>2418</v>
      </c>
      <c r="B234">
        <v>9009352702</v>
      </c>
      <c r="C234" t="s">
        <v>2419</v>
      </c>
      <c r="D234">
        <v>4</v>
      </c>
      <c r="E234" t="s">
        <v>944</v>
      </c>
    </row>
    <row r="235" spans="1:5" x14ac:dyDescent="0.25">
      <c r="A235" t="s">
        <v>1108</v>
      </c>
      <c r="B235">
        <v>9001030400</v>
      </c>
      <c r="C235" t="s">
        <v>1109</v>
      </c>
      <c r="D235">
        <v>2</v>
      </c>
      <c r="E235" t="s">
        <v>944</v>
      </c>
    </row>
    <row r="236" spans="1:5" x14ac:dyDescent="0.25">
      <c r="A236" t="s">
        <v>2420</v>
      </c>
      <c r="B236">
        <v>9009352800</v>
      </c>
      <c r="C236" t="s">
        <v>2421</v>
      </c>
      <c r="D236">
        <v>5</v>
      </c>
      <c r="E236" t="s">
        <v>944</v>
      </c>
    </row>
    <row r="237" spans="1:5" x14ac:dyDescent="0.25">
      <c r="A237" t="s">
        <v>2420</v>
      </c>
      <c r="B237">
        <v>9009352800</v>
      </c>
      <c r="C237" t="s">
        <v>2421</v>
      </c>
      <c r="D237">
        <v>5</v>
      </c>
      <c r="E237" t="s">
        <v>944</v>
      </c>
    </row>
    <row r="238" spans="1:5" x14ac:dyDescent="0.25">
      <c r="A238" t="s">
        <v>1114</v>
      </c>
      <c r="B238">
        <v>9001035200</v>
      </c>
      <c r="C238" t="s">
        <v>1115</v>
      </c>
      <c r="D238">
        <v>2</v>
      </c>
      <c r="E238" t="s">
        <v>944</v>
      </c>
    </row>
    <row r="239" spans="1:5" x14ac:dyDescent="0.25">
      <c r="A239" t="s">
        <v>1118</v>
      </c>
      <c r="B239">
        <v>9001035400</v>
      </c>
      <c r="C239" t="s">
        <v>1119</v>
      </c>
      <c r="D239">
        <v>2</v>
      </c>
      <c r="E239" t="s">
        <v>944</v>
      </c>
    </row>
    <row r="240" spans="1:5" x14ac:dyDescent="0.25">
      <c r="A240" t="s">
        <v>1118</v>
      </c>
      <c r="B240">
        <v>9001035400</v>
      </c>
      <c r="C240" t="s">
        <v>1119</v>
      </c>
      <c r="D240">
        <v>2</v>
      </c>
      <c r="E240" t="s">
        <v>944</v>
      </c>
    </row>
    <row r="241" spans="1:5" x14ac:dyDescent="0.25">
      <c r="A241" t="s">
        <v>2582</v>
      </c>
      <c r="B241">
        <v>9013530600</v>
      </c>
      <c r="C241" t="s">
        <v>2583</v>
      </c>
      <c r="D241">
        <v>3</v>
      </c>
      <c r="E241" t="s">
        <v>944</v>
      </c>
    </row>
    <row r="242" spans="1:5" x14ac:dyDescent="0.25">
      <c r="A242" t="s">
        <v>2582</v>
      </c>
      <c r="B242">
        <v>9013530600</v>
      </c>
      <c r="C242" t="s">
        <v>2583</v>
      </c>
      <c r="D242">
        <v>3</v>
      </c>
      <c r="E242" t="s">
        <v>944</v>
      </c>
    </row>
    <row r="243" spans="1:5" x14ac:dyDescent="0.25">
      <c r="A243" t="s">
        <v>2582</v>
      </c>
      <c r="B243">
        <v>9013530600</v>
      </c>
      <c r="C243" t="s">
        <v>2583</v>
      </c>
      <c r="D243">
        <v>3</v>
      </c>
      <c r="E243" t="s">
        <v>944</v>
      </c>
    </row>
    <row r="244" spans="1:5" x14ac:dyDescent="0.25">
      <c r="A244" t="s">
        <v>1120</v>
      </c>
      <c r="B244">
        <v>9001042500</v>
      </c>
      <c r="C244" t="s">
        <v>1121</v>
      </c>
      <c r="D244">
        <v>2</v>
      </c>
      <c r="E244" t="s">
        <v>944</v>
      </c>
    </row>
    <row r="245" spans="1:5" x14ac:dyDescent="0.25">
      <c r="A245" t="s">
        <v>1124</v>
      </c>
      <c r="B245">
        <v>9001042700</v>
      </c>
      <c r="C245" t="s">
        <v>1125</v>
      </c>
      <c r="D245">
        <v>2</v>
      </c>
      <c r="E245" t="s">
        <v>944</v>
      </c>
    </row>
    <row r="246" spans="1:5" x14ac:dyDescent="0.25">
      <c r="A246" t="s">
        <v>1126</v>
      </c>
      <c r="B246">
        <v>9001042800</v>
      </c>
      <c r="C246" t="s">
        <v>1127</v>
      </c>
      <c r="D246">
        <v>3</v>
      </c>
      <c r="E246" t="s">
        <v>944</v>
      </c>
    </row>
    <row r="247" spans="1:5" x14ac:dyDescent="0.25">
      <c r="A247" t="s">
        <v>1132</v>
      </c>
      <c r="B247">
        <v>9001043100</v>
      </c>
      <c r="C247" t="s">
        <v>1133</v>
      </c>
      <c r="D247">
        <v>2</v>
      </c>
      <c r="E247" t="s">
        <v>944</v>
      </c>
    </row>
    <row r="248" spans="1:5" x14ac:dyDescent="0.25">
      <c r="A248" t="s">
        <v>1134</v>
      </c>
      <c r="B248">
        <v>9001043200</v>
      </c>
      <c r="C248" t="s">
        <v>1135</v>
      </c>
      <c r="D248">
        <v>3</v>
      </c>
      <c r="E248" t="s">
        <v>944</v>
      </c>
    </row>
    <row r="249" spans="1:5" x14ac:dyDescent="0.25">
      <c r="A249" t="s">
        <v>1116</v>
      </c>
      <c r="B249">
        <v>9001035300</v>
      </c>
      <c r="C249" t="s">
        <v>1117</v>
      </c>
      <c r="D249">
        <v>2</v>
      </c>
      <c r="E249" t="s">
        <v>944</v>
      </c>
    </row>
    <row r="250" spans="1:5" x14ac:dyDescent="0.25">
      <c r="A250" t="s">
        <v>1116</v>
      </c>
      <c r="B250">
        <v>9001035300</v>
      </c>
      <c r="C250" t="s">
        <v>1117</v>
      </c>
      <c r="D250">
        <v>2</v>
      </c>
      <c r="E250" t="s">
        <v>944</v>
      </c>
    </row>
    <row r="251" spans="1:5" x14ac:dyDescent="0.25">
      <c r="A251" t="s">
        <v>1136</v>
      </c>
      <c r="B251">
        <v>9001043300</v>
      </c>
      <c r="C251" t="s">
        <v>1137</v>
      </c>
      <c r="D251">
        <v>3</v>
      </c>
      <c r="E251" t="s">
        <v>944</v>
      </c>
    </row>
    <row r="252" spans="1:5" x14ac:dyDescent="0.25">
      <c r="A252" t="s">
        <v>1166</v>
      </c>
      <c r="B252">
        <v>9001045102</v>
      </c>
      <c r="C252" t="s">
        <v>1167</v>
      </c>
      <c r="D252">
        <v>2</v>
      </c>
      <c r="E252" t="s">
        <v>944</v>
      </c>
    </row>
    <row r="253" spans="1:5" x14ac:dyDescent="0.25">
      <c r="A253" t="s">
        <v>2290</v>
      </c>
      <c r="B253">
        <v>9009184200</v>
      </c>
      <c r="C253" t="s">
        <v>2291</v>
      </c>
      <c r="D253">
        <v>4</v>
      </c>
      <c r="E253" t="s">
        <v>944</v>
      </c>
    </row>
    <row r="254" spans="1:5" x14ac:dyDescent="0.25">
      <c r="A254" t="s">
        <v>1172</v>
      </c>
      <c r="B254">
        <v>9001045400</v>
      </c>
      <c r="C254" t="s">
        <v>1173</v>
      </c>
      <c r="D254">
        <v>2</v>
      </c>
      <c r="E254" t="s">
        <v>944</v>
      </c>
    </row>
    <row r="255" spans="1:5" x14ac:dyDescent="0.25">
      <c r="A255" t="s">
        <v>2292</v>
      </c>
      <c r="B255">
        <v>9009184300</v>
      </c>
      <c r="C255" t="s">
        <v>2293</v>
      </c>
      <c r="D255">
        <v>3</v>
      </c>
      <c r="E255" t="s">
        <v>944</v>
      </c>
    </row>
    <row r="256" spans="1:5" x14ac:dyDescent="0.25">
      <c r="A256" t="s">
        <v>1186</v>
      </c>
      <c r="B256">
        <v>9001055100</v>
      </c>
      <c r="C256" t="s">
        <v>1187</v>
      </c>
      <c r="D256">
        <v>2</v>
      </c>
      <c r="E256" t="s">
        <v>944</v>
      </c>
    </row>
    <row r="257" spans="1:5" x14ac:dyDescent="0.25">
      <c r="A257" t="s">
        <v>1122</v>
      </c>
      <c r="B257">
        <v>9001042600</v>
      </c>
      <c r="C257" t="s">
        <v>1123</v>
      </c>
      <c r="D257">
        <v>3</v>
      </c>
      <c r="E257" t="s">
        <v>944</v>
      </c>
    </row>
    <row r="258" spans="1:5" x14ac:dyDescent="0.25">
      <c r="A258" t="s">
        <v>1128</v>
      </c>
      <c r="B258">
        <v>9001042900</v>
      </c>
      <c r="C258" t="s">
        <v>1129</v>
      </c>
      <c r="D258">
        <v>2</v>
      </c>
      <c r="E258" t="s">
        <v>944</v>
      </c>
    </row>
    <row r="259" spans="1:5" x14ac:dyDescent="0.25">
      <c r="A259" t="s">
        <v>1882</v>
      </c>
      <c r="B259">
        <v>9005250100</v>
      </c>
      <c r="C259" t="s">
        <v>1883</v>
      </c>
      <c r="D259">
        <v>3</v>
      </c>
      <c r="E259" t="s">
        <v>944</v>
      </c>
    </row>
    <row r="260" spans="1:5" x14ac:dyDescent="0.25">
      <c r="A260" t="s">
        <v>1130</v>
      </c>
      <c r="B260">
        <v>9001043000</v>
      </c>
      <c r="C260" t="s">
        <v>1131</v>
      </c>
      <c r="D260">
        <v>3</v>
      </c>
      <c r="E260" t="s">
        <v>944</v>
      </c>
    </row>
    <row r="261" spans="1:5" x14ac:dyDescent="0.25">
      <c r="A261" t="s">
        <v>1910</v>
      </c>
      <c r="B261">
        <v>9005268100</v>
      </c>
      <c r="C261" t="s">
        <v>1911</v>
      </c>
      <c r="D261">
        <v>3</v>
      </c>
      <c r="E261" t="s">
        <v>944</v>
      </c>
    </row>
    <row r="262" spans="1:5" x14ac:dyDescent="0.25">
      <c r="A262" t="s">
        <v>1910</v>
      </c>
      <c r="B262">
        <v>9005268100</v>
      </c>
      <c r="C262" t="s">
        <v>1911</v>
      </c>
      <c r="D262">
        <v>3</v>
      </c>
      <c r="E262" t="s">
        <v>944</v>
      </c>
    </row>
    <row r="263" spans="1:5" x14ac:dyDescent="0.25">
      <c r="A263" t="s">
        <v>1910</v>
      </c>
      <c r="B263">
        <v>9005268100</v>
      </c>
      <c r="C263" t="s">
        <v>1911</v>
      </c>
      <c r="D263">
        <v>3</v>
      </c>
      <c r="E263" t="s">
        <v>944</v>
      </c>
    </row>
    <row r="264" spans="1:5" x14ac:dyDescent="0.25">
      <c r="A264" t="s">
        <v>1448</v>
      </c>
      <c r="B264">
        <v>9003405100</v>
      </c>
      <c r="C264" t="s">
        <v>1449</v>
      </c>
      <c r="D264">
        <v>4</v>
      </c>
      <c r="E264" t="s">
        <v>944</v>
      </c>
    </row>
    <row r="265" spans="1:5" x14ac:dyDescent="0.25">
      <c r="A265" t="s">
        <v>1450</v>
      </c>
      <c r="B265">
        <v>9003405200</v>
      </c>
      <c r="C265" t="s">
        <v>1451</v>
      </c>
      <c r="D265">
        <v>4</v>
      </c>
      <c r="E265" t="s">
        <v>944</v>
      </c>
    </row>
    <row r="266" spans="1:5" x14ac:dyDescent="0.25">
      <c r="A266" t="s">
        <v>2636</v>
      </c>
      <c r="B266">
        <v>9015900100</v>
      </c>
      <c r="C266" t="s">
        <v>2637</v>
      </c>
      <c r="D266">
        <v>4</v>
      </c>
      <c r="E266" t="s">
        <v>944</v>
      </c>
    </row>
    <row r="267" spans="1:5" x14ac:dyDescent="0.25">
      <c r="A267" t="s">
        <v>1452</v>
      </c>
      <c r="B267">
        <v>9003405300</v>
      </c>
      <c r="C267" t="s">
        <v>1453</v>
      </c>
      <c r="D267">
        <v>4</v>
      </c>
      <c r="E267" t="s">
        <v>944</v>
      </c>
    </row>
    <row r="268" spans="1:5" x14ac:dyDescent="0.25">
      <c r="A268" t="s">
        <v>2640</v>
      </c>
      <c r="B268">
        <v>9015901100</v>
      </c>
      <c r="C268" t="s">
        <v>2641</v>
      </c>
      <c r="D268">
        <v>4</v>
      </c>
      <c r="E268" t="s">
        <v>944</v>
      </c>
    </row>
    <row r="269" spans="1:5" x14ac:dyDescent="0.25">
      <c r="A269" t="s">
        <v>2640</v>
      </c>
      <c r="B269">
        <v>9015901100</v>
      </c>
      <c r="C269" t="s">
        <v>2641</v>
      </c>
      <c r="D269">
        <v>4</v>
      </c>
      <c r="E269" t="s">
        <v>944</v>
      </c>
    </row>
    <row r="270" spans="1:5" x14ac:dyDescent="0.25">
      <c r="A270" t="s">
        <v>2640</v>
      </c>
      <c r="B270">
        <v>9015901100</v>
      </c>
      <c r="C270" t="s">
        <v>2641</v>
      </c>
      <c r="D270">
        <v>4</v>
      </c>
      <c r="E270" t="s">
        <v>944</v>
      </c>
    </row>
    <row r="271" spans="1:5" x14ac:dyDescent="0.25">
      <c r="A271" t="s">
        <v>1138</v>
      </c>
      <c r="B271">
        <v>9001043400</v>
      </c>
      <c r="C271" t="s">
        <v>1139</v>
      </c>
      <c r="D271">
        <v>3</v>
      </c>
      <c r="E271" t="s">
        <v>944</v>
      </c>
    </row>
    <row r="272" spans="1:5" x14ac:dyDescent="0.25">
      <c r="A272" t="s">
        <v>1454</v>
      </c>
      <c r="B272">
        <v>9003405401</v>
      </c>
      <c r="C272" t="s">
        <v>1455</v>
      </c>
      <c r="D272">
        <v>3</v>
      </c>
      <c r="E272" t="s">
        <v>944</v>
      </c>
    </row>
    <row r="273" spans="1:5" x14ac:dyDescent="0.25">
      <c r="A273" t="s">
        <v>1454</v>
      </c>
      <c r="B273">
        <v>9003405401</v>
      </c>
      <c r="C273" t="s">
        <v>1455</v>
      </c>
      <c r="D273">
        <v>3</v>
      </c>
      <c r="E273" t="s">
        <v>944</v>
      </c>
    </row>
    <row r="274" spans="1:5" x14ac:dyDescent="0.25">
      <c r="A274" t="s">
        <v>2644</v>
      </c>
      <c r="B274">
        <v>9015902500</v>
      </c>
      <c r="C274" t="s">
        <v>2645</v>
      </c>
      <c r="D274">
        <v>3</v>
      </c>
      <c r="E274" t="s">
        <v>944</v>
      </c>
    </row>
    <row r="275" spans="1:5" x14ac:dyDescent="0.25">
      <c r="A275" t="s">
        <v>2644</v>
      </c>
      <c r="B275">
        <v>9015902500</v>
      </c>
      <c r="C275" t="s">
        <v>2645</v>
      </c>
      <c r="D275">
        <v>3</v>
      </c>
      <c r="E275" t="s">
        <v>944</v>
      </c>
    </row>
    <row r="276" spans="1:5" x14ac:dyDescent="0.25">
      <c r="A276" t="s">
        <v>2644</v>
      </c>
      <c r="B276">
        <v>9015902500</v>
      </c>
      <c r="C276" t="s">
        <v>2645</v>
      </c>
      <c r="D276">
        <v>3</v>
      </c>
      <c r="E276" t="s">
        <v>944</v>
      </c>
    </row>
    <row r="277" spans="1:5" x14ac:dyDescent="0.25">
      <c r="A277" t="s">
        <v>1140</v>
      </c>
      <c r="B277">
        <v>9001043500</v>
      </c>
      <c r="C277" t="s">
        <v>1141</v>
      </c>
      <c r="D277">
        <v>3</v>
      </c>
      <c r="E277" t="s">
        <v>944</v>
      </c>
    </row>
    <row r="278" spans="1:5" x14ac:dyDescent="0.25">
      <c r="A278" t="s">
        <v>2646</v>
      </c>
      <c r="B278">
        <v>9015903100</v>
      </c>
      <c r="C278" t="s">
        <v>2647</v>
      </c>
      <c r="D278">
        <v>5</v>
      </c>
      <c r="E278" t="s">
        <v>944</v>
      </c>
    </row>
    <row r="279" spans="1:5" x14ac:dyDescent="0.25">
      <c r="A279" t="s">
        <v>1456</v>
      </c>
      <c r="B279">
        <v>9003405402</v>
      </c>
      <c r="C279" t="s">
        <v>1457</v>
      </c>
      <c r="D279">
        <v>3</v>
      </c>
      <c r="E279" t="s">
        <v>944</v>
      </c>
    </row>
    <row r="280" spans="1:5" x14ac:dyDescent="0.25">
      <c r="A280" t="s">
        <v>2650</v>
      </c>
      <c r="B280">
        <v>9015904100</v>
      </c>
      <c r="C280" t="s">
        <v>2651</v>
      </c>
      <c r="D280">
        <v>4</v>
      </c>
      <c r="E280" t="s">
        <v>944</v>
      </c>
    </row>
    <row r="281" spans="1:5" x14ac:dyDescent="0.25">
      <c r="A281" t="s">
        <v>2650</v>
      </c>
      <c r="B281">
        <v>9015904100</v>
      </c>
      <c r="C281" t="s">
        <v>2651</v>
      </c>
      <c r="D281">
        <v>4</v>
      </c>
      <c r="E281" t="s">
        <v>944</v>
      </c>
    </row>
    <row r="282" spans="1:5" x14ac:dyDescent="0.25">
      <c r="A282" t="s">
        <v>1142</v>
      </c>
      <c r="B282">
        <v>9001043600</v>
      </c>
      <c r="C282" t="s">
        <v>1143</v>
      </c>
      <c r="D282">
        <v>3</v>
      </c>
      <c r="E282" t="s">
        <v>944</v>
      </c>
    </row>
    <row r="283" spans="1:5" x14ac:dyDescent="0.25">
      <c r="A283" t="s">
        <v>2654</v>
      </c>
      <c r="B283">
        <v>9015904500</v>
      </c>
      <c r="C283" t="s">
        <v>2655</v>
      </c>
      <c r="D283">
        <v>5</v>
      </c>
      <c r="E283" t="s">
        <v>944</v>
      </c>
    </row>
    <row r="284" spans="1:5" x14ac:dyDescent="0.25">
      <c r="A284" t="s">
        <v>1458</v>
      </c>
      <c r="B284">
        <v>9003405500</v>
      </c>
      <c r="C284" t="s">
        <v>1459</v>
      </c>
      <c r="D284">
        <v>4</v>
      </c>
      <c r="E284" t="s">
        <v>944</v>
      </c>
    </row>
    <row r="285" spans="1:5" x14ac:dyDescent="0.25">
      <c r="A285" t="s">
        <v>1144</v>
      </c>
      <c r="B285">
        <v>9001043700</v>
      </c>
      <c r="C285" t="s">
        <v>1145</v>
      </c>
      <c r="D285">
        <v>2</v>
      </c>
      <c r="E285" t="s">
        <v>944</v>
      </c>
    </row>
    <row r="286" spans="1:5" x14ac:dyDescent="0.25">
      <c r="A286" t="s">
        <v>2656</v>
      </c>
      <c r="B286">
        <v>9015905100</v>
      </c>
      <c r="C286" t="s">
        <v>2657</v>
      </c>
      <c r="D286">
        <v>4</v>
      </c>
      <c r="E286" t="s">
        <v>944</v>
      </c>
    </row>
    <row r="287" spans="1:5" x14ac:dyDescent="0.25">
      <c r="A287" t="s">
        <v>2656</v>
      </c>
      <c r="B287">
        <v>9015905100</v>
      </c>
      <c r="C287" t="s">
        <v>2657</v>
      </c>
      <c r="D287">
        <v>4</v>
      </c>
      <c r="E287" t="s">
        <v>944</v>
      </c>
    </row>
    <row r="288" spans="1:5" x14ac:dyDescent="0.25">
      <c r="A288" t="s">
        <v>2656</v>
      </c>
      <c r="B288">
        <v>9015905100</v>
      </c>
      <c r="C288" t="s">
        <v>2657</v>
      </c>
      <c r="D288">
        <v>4</v>
      </c>
      <c r="E288" t="s">
        <v>944</v>
      </c>
    </row>
    <row r="289" spans="1:5" x14ac:dyDescent="0.25">
      <c r="A289" t="s">
        <v>1460</v>
      </c>
      <c r="B289">
        <v>9003405600</v>
      </c>
      <c r="C289" t="s">
        <v>1461</v>
      </c>
      <c r="D289">
        <v>5</v>
      </c>
      <c r="E289" t="s">
        <v>944</v>
      </c>
    </row>
    <row r="290" spans="1:5" x14ac:dyDescent="0.25">
      <c r="A290" t="s">
        <v>1146</v>
      </c>
      <c r="B290">
        <v>9001043800</v>
      </c>
      <c r="C290" t="s">
        <v>1147</v>
      </c>
      <c r="D290">
        <v>3</v>
      </c>
      <c r="E290" t="s">
        <v>944</v>
      </c>
    </row>
    <row r="291" spans="1:5" x14ac:dyDescent="0.25">
      <c r="A291" t="s">
        <v>1462</v>
      </c>
      <c r="B291">
        <v>9003405700</v>
      </c>
      <c r="C291" t="s">
        <v>1463</v>
      </c>
      <c r="D291">
        <v>6</v>
      </c>
      <c r="E291" t="s">
        <v>936</v>
      </c>
    </row>
    <row r="292" spans="1:5" x14ac:dyDescent="0.25">
      <c r="A292" t="s">
        <v>2660</v>
      </c>
      <c r="B292">
        <v>9015907100</v>
      </c>
      <c r="C292" t="s">
        <v>2661</v>
      </c>
      <c r="D292">
        <v>5</v>
      </c>
      <c r="E292" t="s">
        <v>944</v>
      </c>
    </row>
    <row r="293" spans="1:5" x14ac:dyDescent="0.25">
      <c r="A293" t="s">
        <v>2660</v>
      </c>
      <c r="B293">
        <v>9015907100</v>
      </c>
      <c r="C293" t="s">
        <v>2661</v>
      </c>
      <c r="D293">
        <v>5</v>
      </c>
      <c r="E293" t="s">
        <v>944</v>
      </c>
    </row>
    <row r="294" spans="1:5" x14ac:dyDescent="0.25">
      <c r="A294" t="s">
        <v>1148</v>
      </c>
      <c r="B294">
        <v>9001043900</v>
      </c>
      <c r="C294" t="s">
        <v>1149</v>
      </c>
      <c r="D294">
        <v>3</v>
      </c>
      <c r="E294" t="s">
        <v>944</v>
      </c>
    </row>
    <row r="295" spans="1:5" x14ac:dyDescent="0.25">
      <c r="A295" t="s">
        <v>1338</v>
      </c>
      <c r="B295">
        <v>9001100300</v>
      </c>
      <c r="C295" t="s">
        <v>1339</v>
      </c>
      <c r="D295">
        <v>3</v>
      </c>
      <c r="E295" t="s">
        <v>944</v>
      </c>
    </row>
    <row r="296" spans="1:5" x14ac:dyDescent="0.25">
      <c r="A296" t="s">
        <v>1338</v>
      </c>
      <c r="B296">
        <v>9001100300</v>
      </c>
      <c r="C296" t="s">
        <v>1339</v>
      </c>
      <c r="D296">
        <v>3</v>
      </c>
      <c r="E296" t="s">
        <v>944</v>
      </c>
    </row>
    <row r="297" spans="1:5" x14ac:dyDescent="0.25">
      <c r="A297" t="s">
        <v>1464</v>
      </c>
      <c r="B297">
        <v>9003405800</v>
      </c>
      <c r="C297" t="s">
        <v>1465</v>
      </c>
      <c r="D297">
        <v>3</v>
      </c>
      <c r="E297" t="s">
        <v>944</v>
      </c>
    </row>
    <row r="298" spans="1:5" x14ac:dyDescent="0.25">
      <c r="A298" t="s">
        <v>1150</v>
      </c>
      <c r="B298">
        <v>9001044000</v>
      </c>
      <c r="C298" t="s">
        <v>1151</v>
      </c>
      <c r="D298">
        <v>4</v>
      </c>
      <c r="E298" t="s">
        <v>944</v>
      </c>
    </row>
    <row r="299" spans="1:5" x14ac:dyDescent="0.25">
      <c r="A299" t="s">
        <v>1466</v>
      </c>
      <c r="B299">
        <v>9003405900</v>
      </c>
      <c r="C299" t="s">
        <v>1467</v>
      </c>
      <c r="D299">
        <v>3</v>
      </c>
      <c r="E299" t="s">
        <v>944</v>
      </c>
    </row>
    <row r="300" spans="1:5" x14ac:dyDescent="0.25">
      <c r="A300" t="s">
        <v>1468</v>
      </c>
      <c r="B300">
        <v>9003406001</v>
      </c>
      <c r="C300" t="s">
        <v>1469</v>
      </c>
      <c r="D300">
        <v>5</v>
      </c>
      <c r="E300" t="s">
        <v>944</v>
      </c>
    </row>
    <row r="301" spans="1:5" x14ac:dyDescent="0.25">
      <c r="A301" t="s">
        <v>1468</v>
      </c>
      <c r="B301">
        <v>9003406001</v>
      </c>
      <c r="C301" t="s">
        <v>1469</v>
      </c>
      <c r="D301">
        <v>5</v>
      </c>
      <c r="E301" t="s">
        <v>944</v>
      </c>
    </row>
    <row r="302" spans="1:5" x14ac:dyDescent="0.25">
      <c r="A302" t="s">
        <v>1154</v>
      </c>
      <c r="B302">
        <v>9001044200</v>
      </c>
      <c r="C302" t="s">
        <v>1155</v>
      </c>
      <c r="D302">
        <v>2</v>
      </c>
      <c r="E302" t="s">
        <v>944</v>
      </c>
    </row>
    <row r="303" spans="1:5" x14ac:dyDescent="0.25">
      <c r="A303" t="s">
        <v>2064</v>
      </c>
      <c r="B303">
        <v>9009125300</v>
      </c>
      <c r="C303" t="s">
        <v>2065</v>
      </c>
      <c r="D303">
        <v>5</v>
      </c>
      <c r="E303" t="s">
        <v>944</v>
      </c>
    </row>
    <row r="304" spans="1:5" x14ac:dyDescent="0.25">
      <c r="A304" t="s">
        <v>1470</v>
      </c>
      <c r="B304">
        <v>9003406002</v>
      </c>
      <c r="C304" t="s">
        <v>1471</v>
      </c>
      <c r="D304">
        <v>3</v>
      </c>
      <c r="E304" t="s">
        <v>944</v>
      </c>
    </row>
    <row r="305" spans="1:5" x14ac:dyDescent="0.25">
      <c r="A305" t="s">
        <v>1470</v>
      </c>
      <c r="B305">
        <v>9003406002</v>
      </c>
      <c r="C305" t="s">
        <v>1471</v>
      </c>
      <c r="D305">
        <v>3</v>
      </c>
      <c r="E305" t="s">
        <v>944</v>
      </c>
    </row>
    <row r="306" spans="1:5" x14ac:dyDescent="0.25">
      <c r="A306" t="s">
        <v>2066</v>
      </c>
      <c r="B306">
        <v>9009125400</v>
      </c>
      <c r="C306" t="s">
        <v>2067</v>
      </c>
      <c r="D306">
        <v>5</v>
      </c>
      <c r="E306" t="s">
        <v>944</v>
      </c>
    </row>
    <row r="307" spans="1:5" x14ac:dyDescent="0.25">
      <c r="A307" t="s">
        <v>2072</v>
      </c>
      <c r="B307">
        <v>9009130200</v>
      </c>
      <c r="C307" t="s">
        <v>2073</v>
      </c>
      <c r="D307">
        <v>4</v>
      </c>
      <c r="E307" t="s">
        <v>944</v>
      </c>
    </row>
    <row r="308" spans="1:5" x14ac:dyDescent="0.25">
      <c r="A308" t="s">
        <v>1156</v>
      </c>
      <c r="B308">
        <v>9001044300</v>
      </c>
      <c r="C308" t="s">
        <v>1157</v>
      </c>
      <c r="D308">
        <v>2</v>
      </c>
      <c r="E308" t="s">
        <v>944</v>
      </c>
    </row>
    <row r="309" spans="1:5" x14ac:dyDescent="0.25">
      <c r="A309" t="s">
        <v>1472</v>
      </c>
      <c r="B309">
        <v>9003406100</v>
      </c>
      <c r="C309" t="s">
        <v>1473</v>
      </c>
      <c r="D309">
        <v>5</v>
      </c>
      <c r="E309" t="s">
        <v>944</v>
      </c>
    </row>
    <row r="310" spans="1:5" x14ac:dyDescent="0.25">
      <c r="A310" t="s">
        <v>1158</v>
      </c>
      <c r="B310">
        <v>9001044400</v>
      </c>
      <c r="C310" t="s">
        <v>1159</v>
      </c>
      <c r="D310">
        <v>2</v>
      </c>
      <c r="E310" t="s">
        <v>944</v>
      </c>
    </row>
    <row r="311" spans="1:5" x14ac:dyDescent="0.25">
      <c r="A311" t="s">
        <v>1474</v>
      </c>
      <c r="B311">
        <v>9003410101</v>
      </c>
      <c r="C311" t="s">
        <v>1475</v>
      </c>
      <c r="D311">
        <v>3</v>
      </c>
      <c r="E311" t="s">
        <v>944</v>
      </c>
    </row>
    <row r="312" spans="1:5" x14ac:dyDescent="0.25">
      <c r="A312" t="s">
        <v>1474</v>
      </c>
      <c r="B312">
        <v>9003410101</v>
      </c>
      <c r="C312" t="s">
        <v>1475</v>
      </c>
      <c r="D312">
        <v>3</v>
      </c>
      <c r="E312" t="s">
        <v>944</v>
      </c>
    </row>
    <row r="313" spans="1:5" x14ac:dyDescent="0.25">
      <c r="A313" t="s">
        <v>1474</v>
      </c>
      <c r="B313">
        <v>9003410101</v>
      </c>
      <c r="C313" t="s">
        <v>1475</v>
      </c>
      <c r="D313">
        <v>3</v>
      </c>
      <c r="E313" t="s">
        <v>944</v>
      </c>
    </row>
    <row r="314" spans="1:5" x14ac:dyDescent="0.25">
      <c r="A314" t="s">
        <v>1160</v>
      </c>
      <c r="B314">
        <v>9001044500</v>
      </c>
      <c r="C314" t="s">
        <v>1161</v>
      </c>
      <c r="D314">
        <v>2</v>
      </c>
      <c r="E314" t="s">
        <v>944</v>
      </c>
    </row>
    <row r="315" spans="1:5" x14ac:dyDescent="0.25">
      <c r="A315" t="s">
        <v>1520</v>
      </c>
      <c r="B315">
        <v>9003420500</v>
      </c>
      <c r="C315" t="s">
        <v>1521</v>
      </c>
      <c r="D315">
        <v>4</v>
      </c>
      <c r="E315" t="s">
        <v>944</v>
      </c>
    </row>
    <row r="316" spans="1:5" x14ac:dyDescent="0.25">
      <c r="A316" t="s">
        <v>1520</v>
      </c>
      <c r="B316">
        <v>9003420500</v>
      </c>
      <c r="C316" t="s">
        <v>1521</v>
      </c>
      <c r="D316">
        <v>4</v>
      </c>
      <c r="E316" t="s">
        <v>944</v>
      </c>
    </row>
    <row r="317" spans="1:5" x14ac:dyDescent="0.25">
      <c r="A317" t="s">
        <v>1162</v>
      </c>
      <c r="B317">
        <v>9001044600</v>
      </c>
      <c r="C317" t="s">
        <v>1163</v>
      </c>
      <c r="D317">
        <v>2</v>
      </c>
      <c r="E317" t="s">
        <v>944</v>
      </c>
    </row>
    <row r="318" spans="1:5" x14ac:dyDescent="0.25">
      <c r="A318" t="s">
        <v>1542</v>
      </c>
      <c r="B318">
        <v>9003430601</v>
      </c>
      <c r="C318" t="s">
        <v>1543</v>
      </c>
      <c r="D318">
        <v>4</v>
      </c>
      <c r="E318" t="s">
        <v>944</v>
      </c>
    </row>
    <row r="319" spans="1:5" x14ac:dyDescent="0.25">
      <c r="A319" t="s">
        <v>1542</v>
      </c>
      <c r="B319">
        <v>9003430601</v>
      </c>
      <c r="C319" t="s">
        <v>1543</v>
      </c>
      <c r="D319">
        <v>4</v>
      </c>
      <c r="E319" t="s">
        <v>944</v>
      </c>
    </row>
    <row r="320" spans="1:5" x14ac:dyDescent="0.25">
      <c r="A320" t="s">
        <v>1978</v>
      </c>
      <c r="B320">
        <v>9005425400</v>
      </c>
      <c r="C320" t="s">
        <v>1979</v>
      </c>
      <c r="D320">
        <v>4</v>
      </c>
      <c r="E320" t="s">
        <v>944</v>
      </c>
    </row>
    <row r="321" spans="1:5" x14ac:dyDescent="0.25">
      <c r="A321" t="s">
        <v>1978</v>
      </c>
      <c r="B321">
        <v>9005425400</v>
      </c>
      <c r="C321" t="s">
        <v>1979</v>
      </c>
      <c r="D321">
        <v>4</v>
      </c>
      <c r="E321" t="s">
        <v>944</v>
      </c>
    </row>
    <row r="322" spans="1:5" x14ac:dyDescent="0.25">
      <c r="A322" t="s">
        <v>1170</v>
      </c>
      <c r="B322">
        <v>9001045300</v>
      </c>
      <c r="C322" t="s">
        <v>1171</v>
      </c>
      <c r="D322">
        <v>2</v>
      </c>
      <c r="E322" t="s">
        <v>944</v>
      </c>
    </row>
    <row r="323" spans="1:5" x14ac:dyDescent="0.25">
      <c r="A323" t="s">
        <v>1400</v>
      </c>
      <c r="B323">
        <v>9001211400</v>
      </c>
      <c r="C323" t="s">
        <v>1401</v>
      </c>
      <c r="D323">
        <v>3</v>
      </c>
      <c r="E323" t="s">
        <v>944</v>
      </c>
    </row>
    <row r="324" spans="1:5" x14ac:dyDescent="0.25">
      <c r="A324" t="s">
        <v>1400</v>
      </c>
      <c r="B324">
        <v>9001211400</v>
      </c>
      <c r="C324" t="s">
        <v>1401</v>
      </c>
      <c r="D324">
        <v>3</v>
      </c>
      <c r="E324" t="s">
        <v>944</v>
      </c>
    </row>
    <row r="325" spans="1:5" x14ac:dyDescent="0.25">
      <c r="A325" t="s">
        <v>1180</v>
      </c>
      <c r="B325">
        <v>9001050400</v>
      </c>
      <c r="C325" t="s">
        <v>1181</v>
      </c>
      <c r="D325">
        <v>3</v>
      </c>
      <c r="E325" t="s">
        <v>944</v>
      </c>
    </row>
    <row r="326" spans="1:5" x14ac:dyDescent="0.25">
      <c r="A326" t="s">
        <v>1476</v>
      </c>
      <c r="B326">
        <v>9003410102</v>
      </c>
      <c r="C326" t="s">
        <v>1477</v>
      </c>
      <c r="D326">
        <v>3</v>
      </c>
      <c r="E326" t="s">
        <v>944</v>
      </c>
    </row>
    <row r="327" spans="1:5" x14ac:dyDescent="0.25">
      <c r="A327" t="s">
        <v>1476</v>
      </c>
      <c r="B327">
        <v>9003410102</v>
      </c>
      <c r="C327" t="s">
        <v>1477</v>
      </c>
      <c r="D327">
        <v>3</v>
      </c>
      <c r="E327" t="s">
        <v>944</v>
      </c>
    </row>
    <row r="328" spans="1:5" x14ac:dyDescent="0.25">
      <c r="A328" t="s">
        <v>1476</v>
      </c>
      <c r="B328">
        <v>9003410102</v>
      </c>
      <c r="C328" t="s">
        <v>1477</v>
      </c>
      <c r="D328">
        <v>3</v>
      </c>
      <c r="E328" t="s">
        <v>944</v>
      </c>
    </row>
    <row r="329" spans="1:5" x14ac:dyDescent="0.25">
      <c r="A329" t="s">
        <v>1896</v>
      </c>
      <c r="B329">
        <v>9005260200</v>
      </c>
      <c r="C329" t="s">
        <v>1897</v>
      </c>
      <c r="D329">
        <v>4</v>
      </c>
      <c r="E329" t="s">
        <v>944</v>
      </c>
    </row>
    <row r="330" spans="1:5" x14ac:dyDescent="0.25">
      <c r="A330" t="s">
        <v>1896</v>
      </c>
      <c r="B330">
        <v>9005260200</v>
      </c>
      <c r="C330" t="s">
        <v>1897</v>
      </c>
      <c r="D330">
        <v>4</v>
      </c>
      <c r="E330" t="s">
        <v>944</v>
      </c>
    </row>
    <row r="331" spans="1:5" x14ac:dyDescent="0.25">
      <c r="A331" t="s">
        <v>1982</v>
      </c>
      <c r="B331">
        <v>9005425600</v>
      </c>
      <c r="C331" t="s">
        <v>1983</v>
      </c>
      <c r="D331">
        <v>4</v>
      </c>
      <c r="E331" t="s">
        <v>944</v>
      </c>
    </row>
    <row r="332" spans="1:5" x14ac:dyDescent="0.25">
      <c r="A332" t="s">
        <v>1982</v>
      </c>
      <c r="B332">
        <v>9005425600</v>
      </c>
      <c r="C332" t="s">
        <v>1983</v>
      </c>
      <c r="D332">
        <v>4</v>
      </c>
      <c r="E332" t="s">
        <v>944</v>
      </c>
    </row>
    <row r="333" spans="1:5" x14ac:dyDescent="0.25">
      <c r="A333" t="s">
        <v>2632</v>
      </c>
      <c r="B333">
        <v>9015825000</v>
      </c>
      <c r="C333" t="s">
        <v>2633</v>
      </c>
      <c r="D333">
        <v>4</v>
      </c>
      <c r="E333" t="s">
        <v>944</v>
      </c>
    </row>
    <row r="334" spans="1:5" x14ac:dyDescent="0.25">
      <c r="A334" t="s">
        <v>2632</v>
      </c>
      <c r="B334">
        <v>9015825000</v>
      </c>
      <c r="C334" t="s">
        <v>2633</v>
      </c>
      <c r="D334">
        <v>4</v>
      </c>
      <c r="E334" t="s">
        <v>944</v>
      </c>
    </row>
    <row r="335" spans="1:5" x14ac:dyDescent="0.25">
      <c r="A335" t="s">
        <v>2632</v>
      </c>
      <c r="B335">
        <v>9015825000</v>
      </c>
      <c r="C335" t="s">
        <v>2633</v>
      </c>
      <c r="D335">
        <v>4</v>
      </c>
      <c r="E335" t="s">
        <v>944</v>
      </c>
    </row>
    <row r="336" spans="1:5" x14ac:dyDescent="0.25">
      <c r="A336" t="s">
        <v>2658</v>
      </c>
      <c r="B336">
        <v>9015906100</v>
      </c>
      <c r="C336" t="s">
        <v>2659</v>
      </c>
      <c r="D336">
        <v>4</v>
      </c>
      <c r="E336" t="s">
        <v>944</v>
      </c>
    </row>
    <row r="337" spans="1:5" x14ac:dyDescent="0.25">
      <c r="A337" t="s">
        <v>2658</v>
      </c>
      <c r="B337">
        <v>9015906100</v>
      </c>
      <c r="C337" t="s">
        <v>2659</v>
      </c>
      <c r="D337">
        <v>4</v>
      </c>
      <c r="E337" t="s">
        <v>944</v>
      </c>
    </row>
    <row r="338" spans="1:5" x14ac:dyDescent="0.25">
      <c r="A338" t="s">
        <v>1566</v>
      </c>
      <c r="B338">
        <v>9003464101</v>
      </c>
      <c r="C338" t="s">
        <v>1567</v>
      </c>
      <c r="D338">
        <v>3</v>
      </c>
      <c r="E338" t="s">
        <v>944</v>
      </c>
    </row>
    <row r="339" spans="1:5" x14ac:dyDescent="0.25">
      <c r="A339" t="s">
        <v>1566</v>
      </c>
      <c r="B339">
        <v>9003464101</v>
      </c>
      <c r="C339" t="s">
        <v>1567</v>
      </c>
      <c r="D339">
        <v>3</v>
      </c>
      <c r="E339" t="s">
        <v>944</v>
      </c>
    </row>
    <row r="340" spans="1:5" x14ac:dyDescent="0.25">
      <c r="A340" t="s">
        <v>1568</v>
      </c>
      <c r="B340">
        <v>9003464102</v>
      </c>
      <c r="C340" t="s">
        <v>1569</v>
      </c>
      <c r="D340">
        <v>3</v>
      </c>
      <c r="E340" t="s">
        <v>944</v>
      </c>
    </row>
    <row r="341" spans="1:5" x14ac:dyDescent="0.25">
      <c r="A341" t="s">
        <v>1572</v>
      </c>
      <c r="B341">
        <v>9003466102</v>
      </c>
      <c r="C341" t="s">
        <v>1573</v>
      </c>
      <c r="D341">
        <v>2</v>
      </c>
      <c r="E341" t="s">
        <v>944</v>
      </c>
    </row>
    <row r="342" spans="1:5" x14ac:dyDescent="0.25">
      <c r="A342" t="s">
        <v>1572</v>
      </c>
      <c r="B342">
        <v>9003466102</v>
      </c>
      <c r="C342" t="s">
        <v>1573</v>
      </c>
      <c r="D342">
        <v>2</v>
      </c>
      <c r="E342" t="s">
        <v>944</v>
      </c>
    </row>
    <row r="343" spans="1:5" x14ac:dyDescent="0.25">
      <c r="A343" t="s">
        <v>1576</v>
      </c>
      <c r="B343">
        <v>9003466202</v>
      </c>
      <c r="C343" t="s">
        <v>1577</v>
      </c>
      <c r="D343">
        <v>2</v>
      </c>
      <c r="E343" t="s">
        <v>944</v>
      </c>
    </row>
    <row r="344" spans="1:5" x14ac:dyDescent="0.25">
      <c r="A344" t="s">
        <v>1576</v>
      </c>
      <c r="B344">
        <v>9003466202</v>
      </c>
      <c r="C344" t="s">
        <v>1577</v>
      </c>
      <c r="D344">
        <v>2</v>
      </c>
      <c r="E344" t="s">
        <v>944</v>
      </c>
    </row>
    <row r="345" spans="1:5" x14ac:dyDescent="0.25">
      <c r="A345" t="s">
        <v>2604</v>
      </c>
      <c r="B345">
        <v>9013881100</v>
      </c>
      <c r="C345" t="s">
        <v>2605</v>
      </c>
      <c r="D345">
        <v>3</v>
      </c>
      <c r="E345" t="s">
        <v>944</v>
      </c>
    </row>
    <row r="346" spans="1:5" x14ac:dyDescent="0.25">
      <c r="A346" t="s">
        <v>2604</v>
      </c>
      <c r="B346">
        <v>9013881100</v>
      </c>
      <c r="C346" t="s">
        <v>2605</v>
      </c>
      <c r="D346">
        <v>3</v>
      </c>
      <c r="E346" t="s">
        <v>944</v>
      </c>
    </row>
    <row r="347" spans="1:5" x14ac:dyDescent="0.25">
      <c r="A347" t="s">
        <v>2628</v>
      </c>
      <c r="B347">
        <v>9015815000</v>
      </c>
      <c r="C347" t="s">
        <v>2629</v>
      </c>
      <c r="D347">
        <v>4</v>
      </c>
      <c r="E347" t="s">
        <v>944</v>
      </c>
    </row>
    <row r="348" spans="1:5" x14ac:dyDescent="0.25">
      <c r="A348" t="s">
        <v>2628</v>
      </c>
      <c r="B348">
        <v>9015815000</v>
      </c>
      <c r="C348" t="s">
        <v>2629</v>
      </c>
      <c r="D348">
        <v>4</v>
      </c>
      <c r="E348" t="s">
        <v>944</v>
      </c>
    </row>
    <row r="349" spans="1:5" x14ac:dyDescent="0.25">
      <c r="A349" t="s">
        <v>2324</v>
      </c>
      <c r="B349">
        <v>9009343101</v>
      </c>
      <c r="C349" t="s">
        <v>2325</v>
      </c>
      <c r="D349">
        <v>3</v>
      </c>
      <c r="E349" t="s">
        <v>944</v>
      </c>
    </row>
    <row r="350" spans="1:5" x14ac:dyDescent="0.25">
      <c r="A350" t="s">
        <v>2324</v>
      </c>
      <c r="B350">
        <v>9009343101</v>
      </c>
      <c r="C350" t="s">
        <v>2325</v>
      </c>
      <c r="D350">
        <v>3</v>
      </c>
      <c r="E350" t="s">
        <v>944</v>
      </c>
    </row>
    <row r="351" spans="1:5" x14ac:dyDescent="0.25">
      <c r="A351" t="s">
        <v>2324</v>
      </c>
      <c r="B351">
        <v>9009343101</v>
      </c>
      <c r="C351" t="s">
        <v>2325</v>
      </c>
      <c r="D351">
        <v>3</v>
      </c>
      <c r="E351" t="s">
        <v>944</v>
      </c>
    </row>
    <row r="352" spans="1:5" x14ac:dyDescent="0.25">
      <c r="A352" t="s">
        <v>2326</v>
      </c>
      <c r="B352">
        <v>9009343102</v>
      </c>
      <c r="C352" t="s">
        <v>2327</v>
      </c>
      <c r="D352">
        <v>3</v>
      </c>
      <c r="E352" t="s">
        <v>944</v>
      </c>
    </row>
    <row r="353" spans="1:5" x14ac:dyDescent="0.25">
      <c r="A353" t="s">
        <v>2330</v>
      </c>
      <c r="B353">
        <v>9009343300</v>
      </c>
      <c r="C353" t="s">
        <v>2331</v>
      </c>
      <c r="D353">
        <v>3</v>
      </c>
      <c r="E353" t="s">
        <v>944</v>
      </c>
    </row>
    <row r="354" spans="1:5" x14ac:dyDescent="0.25">
      <c r="A354" t="s">
        <v>2332</v>
      </c>
      <c r="B354">
        <v>9009343400</v>
      </c>
      <c r="C354" t="s">
        <v>2333</v>
      </c>
      <c r="D354">
        <v>3</v>
      </c>
      <c r="E354" t="s">
        <v>944</v>
      </c>
    </row>
    <row r="355" spans="1:5" x14ac:dyDescent="0.25">
      <c r="A355" t="s">
        <v>2228</v>
      </c>
      <c r="B355">
        <v>9009170500</v>
      </c>
      <c r="C355" t="s">
        <v>2229</v>
      </c>
      <c r="D355">
        <v>3</v>
      </c>
      <c r="E355" t="s">
        <v>944</v>
      </c>
    </row>
    <row r="356" spans="1:5" x14ac:dyDescent="0.25">
      <c r="A356" t="s">
        <v>2352</v>
      </c>
      <c r="B356">
        <v>9009347100</v>
      </c>
      <c r="C356" t="s">
        <v>2353</v>
      </c>
      <c r="D356">
        <v>3</v>
      </c>
      <c r="E356" t="s">
        <v>944</v>
      </c>
    </row>
    <row r="357" spans="1:5" x14ac:dyDescent="0.25">
      <c r="A357" t="s">
        <v>2352</v>
      </c>
      <c r="B357">
        <v>9009347100</v>
      </c>
      <c r="C357" t="s">
        <v>2353</v>
      </c>
      <c r="D357">
        <v>3</v>
      </c>
      <c r="E357" t="s">
        <v>944</v>
      </c>
    </row>
    <row r="358" spans="1:5" x14ac:dyDescent="0.25">
      <c r="A358" t="s">
        <v>2352</v>
      </c>
      <c r="B358">
        <v>9009347100</v>
      </c>
      <c r="C358" t="s">
        <v>2353</v>
      </c>
      <c r="D358">
        <v>3</v>
      </c>
      <c r="E358" t="s">
        <v>944</v>
      </c>
    </row>
    <row r="359" spans="1:5" x14ac:dyDescent="0.25">
      <c r="A359" t="s">
        <v>2230</v>
      </c>
      <c r="B359">
        <v>9009170600</v>
      </c>
      <c r="C359" t="s">
        <v>2231</v>
      </c>
      <c r="D359">
        <v>4</v>
      </c>
      <c r="E359" t="s">
        <v>944</v>
      </c>
    </row>
    <row r="360" spans="1:5" x14ac:dyDescent="0.25">
      <c r="A360" t="s">
        <v>2232</v>
      </c>
      <c r="B360">
        <v>9009170700</v>
      </c>
      <c r="C360" t="s">
        <v>2233</v>
      </c>
      <c r="D360">
        <v>4</v>
      </c>
      <c r="E360" t="s">
        <v>944</v>
      </c>
    </row>
    <row r="361" spans="1:5" x14ac:dyDescent="0.25">
      <c r="A361" t="s">
        <v>2234</v>
      </c>
      <c r="B361">
        <v>9009170800</v>
      </c>
      <c r="C361" t="s">
        <v>2235</v>
      </c>
      <c r="D361">
        <v>4</v>
      </c>
      <c r="E361" t="s">
        <v>944</v>
      </c>
    </row>
    <row r="362" spans="1:5" x14ac:dyDescent="0.25">
      <c r="A362" t="s">
        <v>2032</v>
      </c>
      <c r="B362">
        <v>9007600100</v>
      </c>
      <c r="C362" t="s">
        <v>2033</v>
      </c>
      <c r="D362">
        <v>4</v>
      </c>
      <c r="E362" t="s">
        <v>944</v>
      </c>
    </row>
    <row r="363" spans="1:5" x14ac:dyDescent="0.25">
      <c r="A363" t="s">
        <v>2236</v>
      </c>
      <c r="B363">
        <v>9009170900</v>
      </c>
      <c r="C363" t="s">
        <v>2237</v>
      </c>
      <c r="D363">
        <v>5</v>
      </c>
      <c r="E363" t="s">
        <v>944</v>
      </c>
    </row>
    <row r="364" spans="1:5" x14ac:dyDescent="0.25">
      <c r="A364" t="s">
        <v>2034</v>
      </c>
      <c r="B364">
        <v>9007610100</v>
      </c>
      <c r="C364" t="s">
        <v>2035</v>
      </c>
      <c r="D364">
        <v>4</v>
      </c>
      <c r="E364" t="s">
        <v>944</v>
      </c>
    </row>
    <row r="365" spans="1:5" x14ac:dyDescent="0.25">
      <c r="A365" t="s">
        <v>2238</v>
      </c>
      <c r="B365">
        <v>9009171000</v>
      </c>
      <c r="C365" t="s">
        <v>2239</v>
      </c>
      <c r="D365">
        <v>5</v>
      </c>
      <c r="E365" t="s">
        <v>944</v>
      </c>
    </row>
    <row r="366" spans="1:5" x14ac:dyDescent="0.25">
      <c r="A366" t="s">
        <v>2036</v>
      </c>
      <c r="B366">
        <v>9007610200</v>
      </c>
      <c r="C366" t="s">
        <v>2037</v>
      </c>
      <c r="D366">
        <v>4</v>
      </c>
      <c r="E366" t="s">
        <v>944</v>
      </c>
    </row>
    <row r="367" spans="1:5" x14ac:dyDescent="0.25">
      <c r="A367" t="s">
        <v>2240</v>
      </c>
      <c r="B367">
        <v>9009171100</v>
      </c>
      <c r="C367" t="s">
        <v>2241</v>
      </c>
      <c r="D367">
        <v>4</v>
      </c>
      <c r="E367" t="s">
        <v>944</v>
      </c>
    </row>
    <row r="368" spans="1:5" x14ac:dyDescent="0.25">
      <c r="A368" t="s">
        <v>2038</v>
      </c>
      <c r="B368">
        <v>9007610300</v>
      </c>
      <c r="C368" t="s">
        <v>2039</v>
      </c>
      <c r="D368">
        <v>3</v>
      </c>
      <c r="E368" t="s">
        <v>944</v>
      </c>
    </row>
    <row r="369" spans="1:5" x14ac:dyDescent="0.25">
      <c r="A369" t="s">
        <v>2242</v>
      </c>
      <c r="B369">
        <v>9009171200</v>
      </c>
      <c r="C369" t="s">
        <v>2243</v>
      </c>
      <c r="D369">
        <v>3</v>
      </c>
      <c r="E369" t="s">
        <v>944</v>
      </c>
    </row>
    <row r="370" spans="1:5" x14ac:dyDescent="0.25">
      <c r="A370" t="s">
        <v>2040</v>
      </c>
      <c r="B370">
        <v>9007610400</v>
      </c>
      <c r="C370" t="s">
        <v>2041</v>
      </c>
      <c r="D370">
        <v>3</v>
      </c>
      <c r="E370" t="s">
        <v>944</v>
      </c>
    </row>
    <row r="371" spans="1:5" x14ac:dyDescent="0.25">
      <c r="A371" t="s">
        <v>2244</v>
      </c>
      <c r="B371">
        <v>9009171300</v>
      </c>
      <c r="C371" t="s">
        <v>2245</v>
      </c>
      <c r="D371">
        <v>4</v>
      </c>
      <c r="E371" t="s">
        <v>944</v>
      </c>
    </row>
    <row r="372" spans="1:5" x14ac:dyDescent="0.25">
      <c r="A372" t="s">
        <v>2008</v>
      </c>
      <c r="B372">
        <v>9007550201</v>
      </c>
      <c r="C372" t="s">
        <v>2009</v>
      </c>
      <c r="D372">
        <v>3</v>
      </c>
      <c r="E372" t="s">
        <v>944</v>
      </c>
    </row>
    <row r="373" spans="1:5" x14ac:dyDescent="0.25">
      <c r="A373" t="s">
        <v>2008</v>
      </c>
      <c r="B373">
        <v>9007550201</v>
      </c>
      <c r="C373" t="s">
        <v>2009</v>
      </c>
      <c r="D373">
        <v>3</v>
      </c>
      <c r="E373" t="s">
        <v>944</v>
      </c>
    </row>
    <row r="374" spans="1:5" x14ac:dyDescent="0.25">
      <c r="A374" t="s">
        <v>2246</v>
      </c>
      <c r="B374">
        <v>9009171400</v>
      </c>
      <c r="C374" t="s">
        <v>2247</v>
      </c>
      <c r="D374">
        <v>5</v>
      </c>
      <c r="E374" t="s">
        <v>944</v>
      </c>
    </row>
    <row r="375" spans="1:5" x14ac:dyDescent="0.25">
      <c r="A375" t="s">
        <v>2248</v>
      </c>
      <c r="B375">
        <v>9009171500</v>
      </c>
      <c r="C375" t="s">
        <v>2249</v>
      </c>
      <c r="D375">
        <v>5</v>
      </c>
      <c r="E375" t="s">
        <v>944</v>
      </c>
    </row>
    <row r="376" spans="1:5" x14ac:dyDescent="0.25">
      <c r="A376" t="s">
        <v>2028</v>
      </c>
      <c r="B376">
        <v>9007595101</v>
      </c>
      <c r="C376" t="s">
        <v>2029</v>
      </c>
      <c r="D376">
        <v>4</v>
      </c>
      <c r="E376" t="s">
        <v>944</v>
      </c>
    </row>
    <row r="377" spans="1:5" x14ac:dyDescent="0.25">
      <c r="A377" t="s">
        <v>2028</v>
      </c>
      <c r="B377">
        <v>9007595101</v>
      </c>
      <c r="C377" t="s">
        <v>2029</v>
      </c>
      <c r="D377">
        <v>4</v>
      </c>
      <c r="E377" t="s">
        <v>944</v>
      </c>
    </row>
    <row r="378" spans="1:5" x14ac:dyDescent="0.25">
      <c r="A378" t="s">
        <v>2028</v>
      </c>
      <c r="B378">
        <v>9007595101</v>
      </c>
      <c r="C378" t="s">
        <v>2029</v>
      </c>
      <c r="D378">
        <v>4</v>
      </c>
      <c r="E378" t="s">
        <v>944</v>
      </c>
    </row>
    <row r="379" spans="1:5" x14ac:dyDescent="0.25">
      <c r="A379" t="s">
        <v>2252</v>
      </c>
      <c r="B379">
        <v>9009171700</v>
      </c>
      <c r="C379" t="s">
        <v>2253</v>
      </c>
      <c r="D379">
        <v>3</v>
      </c>
      <c r="E379" t="s">
        <v>944</v>
      </c>
    </row>
    <row r="380" spans="1:5" x14ac:dyDescent="0.25">
      <c r="A380" t="s">
        <v>2534</v>
      </c>
      <c r="B380">
        <v>9011714101</v>
      </c>
      <c r="C380" t="s">
        <v>2535</v>
      </c>
      <c r="D380">
        <v>4</v>
      </c>
      <c r="E380" t="s">
        <v>944</v>
      </c>
    </row>
    <row r="381" spans="1:5" x14ac:dyDescent="0.25">
      <c r="A381" t="s">
        <v>2536</v>
      </c>
      <c r="B381">
        <v>9011714103</v>
      </c>
      <c r="C381" t="s">
        <v>2537</v>
      </c>
      <c r="D381">
        <v>3</v>
      </c>
      <c r="E381" t="s">
        <v>944</v>
      </c>
    </row>
    <row r="382" spans="1:5" x14ac:dyDescent="0.25">
      <c r="A382" t="s">
        <v>2538</v>
      </c>
      <c r="B382">
        <v>9011714104</v>
      </c>
      <c r="C382" t="s">
        <v>2539</v>
      </c>
      <c r="D382">
        <v>4</v>
      </c>
      <c r="E382" t="s">
        <v>944</v>
      </c>
    </row>
    <row r="383" spans="1:5" x14ac:dyDescent="0.25">
      <c r="A383" t="s">
        <v>2538</v>
      </c>
      <c r="B383">
        <v>9011714104</v>
      </c>
      <c r="C383" t="s">
        <v>2539</v>
      </c>
      <c r="D383">
        <v>4</v>
      </c>
      <c r="E383" t="s">
        <v>944</v>
      </c>
    </row>
    <row r="384" spans="1:5" x14ac:dyDescent="0.25">
      <c r="A384" t="s">
        <v>2538</v>
      </c>
      <c r="B384">
        <v>9011714104</v>
      </c>
      <c r="C384" t="s">
        <v>2539</v>
      </c>
      <c r="D384">
        <v>4</v>
      </c>
      <c r="E384" t="s">
        <v>944</v>
      </c>
    </row>
    <row r="385" spans="1:5" x14ac:dyDescent="0.25">
      <c r="A385" t="s">
        <v>2260</v>
      </c>
      <c r="B385">
        <v>9009175400</v>
      </c>
      <c r="C385" t="s">
        <v>2261</v>
      </c>
      <c r="D385">
        <v>3</v>
      </c>
      <c r="E385" t="s">
        <v>944</v>
      </c>
    </row>
    <row r="386" spans="1:5" x14ac:dyDescent="0.25">
      <c r="A386" t="s">
        <v>2540</v>
      </c>
      <c r="B386">
        <v>9011715100</v>
      </c>
      <c r="C386" t="s">
        <v>2541</v>
      </c>
      <c r="D386">
        <v>3</v>
      </c>
      <c r="E386" t="s">
        <v>944</v>
      </c>
    </row>
    <row r="387" spans="1:5" x14ac:dyDescent="0.25">
      <c r="A387" t="s">
        <v>2540</v>
      </c>
      <c r="B387">
        <v>9011715100</v>
      </c>
      <c r="C387" t="s">
        <v>2541</v>
      </c>
      <c r="D387">
        <v>3</v>
      </c>
      <c r="E387" t="s">
        <v>944</v>
      </c>
    </row>
    <row r="388" spans="1:5" x14ac:dyDescent="0.25">
      <c r="A388" t="s">
        <v>2540</v>
      </c>
      <c r="B388">
        <v>9011715100</v>
      </c>
      <c r="C388" t="s">
        <v>2541</v>
      </c>
      <c r="D388">
        <v>3</v>
      </c>
      <c r="E388" t="s">
        <v>944</v>
      </c>
    </row>
    <row r="389" spans="1:5" x14ac:dyDescent="0.25">
      <c r="A389" t="s">
        <v>2546</v>
      </c>
      <c r="B389">
        <v>9011870100</v>
      </c>
      <c r="C389" t="s">
        <v>2547</v>
      </c>
      <c r="D389">
        <v>3</v>
      </c>
      <c r="E389" t="s">
        <v>944</v>
      </c>
    </row>
    <row r="390" spans="1:5" x14ac:dyDescent="0.25">
      <c r="A390" t="s">
        <v>2546</v>
      </c>
      <c r="B390">
        <v>9011870100</v>
      </c>
      <c r="C390" t="s">
        <v>2547</v>
      </c>
      <c r="D390">
        <v>3</v>
      </c>
      <c r="E390" t="s">
        <v>944</v>
      </c>
    </row>
    <row r="391" spans="1:5" x14ac:dyDescent="0.25">
      <c r="A391" t="s">
        <v>2546</v>
      </c>
      <c r="B391">
        <v>9011870100</v>
      </c>
      <c r="C391" t="s">
        <v>2547</v>
      </c>
      <c r="D391">
        <v>3</v>
      </c>
      <c r="E391" t="s">
        <v>944</v>
      </c>
    </row>
    <row r="392" spans="1:5" x14ac:dyDescent="0.25">
      <c r="A392" t="s">
        <v>2562</v>
      </c>
      <c r="B392">
        <v>9013526101</v>
      </c>
      <c r="C392" t="s">
        <v>2563</v>
      </c>
      <c r="D392">
        <v>3</v>
      </c>
      <c r="E392" t="s">
        <v>944</v>
      </c>
    </row>
    <row r="393" spans="1:5" x14ac:dyDescent="0.25">
      <c r="A393" t="s">
        <v>2562</v>
      </c>
      <c r="B393">
        <v>9013526101</v>
      </c>
      <c r="C393" t="s">
        <v>2563</v>
      </c>
      <c r="D393">
        <v>3</v>
      </c>
      <c r="E393" t="s">
        <v>944</v>
      </c>
    </row>
    <row r="394" spans="1:5" x14ac:dyDescent="0.25">
      <c r="A394" t="s">
        <v>2562</v>
      </c>
      <c r="B394">
        <v>9013526101</v>
      </c>
      <c r="C394" t="s">
        <v>2563</v>
      </c>
      <c r="D394">
        <v>3</v>
      </c>
      <c r="E394" t="s">
        <v>944</v>
      </c>
    </row>
    <row r="395" spans="1:5" x14ac:dyDescent="0.25">
      <c r="A395" t="s">
        <v>2306</v>
      </c>
      <c r="B395">
        <v>9009190100</v>
      </c>
      <c r="C395" t="s">
        <v>2307</v>
      </c>
      <c r="D395">
        <v>3</v>
      </c>
      <c r="E395" t="s">
        <v>944</v>
      </c>
    </row>
    <row r="396" spans="1:5" x14ac:dyDescent="0.25">
      <c r="A396" t="s">
        <v>2308</v>
      </c>
      <c r="B396">
        <v>9009190200</v>
      </c>
      <c r="C396" t="s">
        <v>2309</v>
      </c>
      <c r="D396">
        <v>3</v>
      </c>
      <c r="E396" t="s">
        <v>944</v>
      </c>
    </row>
    <row r="397" spans="1:5" x14ac:dyDescent="0.25">
      <c r="A397" t="s">
        <v>2310</v>
      </c>
      <c r="B397">
        <v>9009190301</v>
      </c>
      <c r="C397" t="s">
        <v>2311</v>
      </c>
      <c r="D397">
        <v>3</v>
      </c>
      <c r="E397" t="s">
        <v>944</v>
      </c>
    </row>
    <row r="398" spans="1:5" x14ac:dyDescent="0.25">
      <c r="A398" t="s">
        <v>2310</v>
      </c>
      <c r="B398">
        <v>9009190301</v>
      </c>
      <c r="C398" t="s">
        <v>2311</v>
      </c>
      <c r="D398">
        <v>3</v>
      </c>
      <c r="E398" t="s">
        <v>944</v>
      </c>
    </row>
    <row r="399" spans="1:5" x14ac:dyDescent="0.25">
      <c r="A399" t="s">
        <v>1914</v>
      </c>
      <c r="B399">
        <v>9005293100</v>
      </c>
      <c r="C399" t="s">
        <v>1915</v>
      </c>
      <c r="D399">
        <v>4</v>
      </c>
      <c r="E399" t="s">
        <v>944</v>
      </c>
    </row>
    <row r="400" spans="1:5" x14ac:dyDescent="0.25">
      <c r="A400" t="s">
        <v>2312</v>
      </c>
      <c r="B400">
        <v>9009190302</v>
      </c>
      <c r="C400" t="s">
        <v>2313</v>
      </c>
      <c r="D400">
        <v>3</v>
      </c>
      <c r="E400" t="s">
        <v>944</v>
      </c>
    </row>
    <row r="401" spans="1:5" x14ac:dyDescent="0.25">
      <c r="A401" t="s">
        <v>2600</v>
      </c>
      <c r="B401">
        <v>9013850200</v>
      </c>
      <c r="C401" t="s">
        <v>2601</v>
      </c>
      <c r="D401">
        <v>3</v>
      </c>
      <c r="E401" t="s">
        <v>944</v>
      </c>
    </row>
    <row r="402" spans="1:5" x14ac:dyDescent="0.25">
      <c r="A402" t="s">
        <v>2600</v>
      </c>
      <c r="B402">
        <v>9013850200</v>
      </c>
      <c r="C402" t="s">
        <v>2601</v>
      </c>
      <c r="D402">
        <v>3</v>
      </c>
      <c r="E402" t="s">
        <v>944</v>
      </c>
    </row>
    <row r="403" spans="1:5" x14ac:dyDescent="0.25">
      <c r="A403" t="s">
        <v>2600</v>
      </c>
      <c r="B403">
        <v>9013850200</v>
      </c>
      <c r="C403" t="s">
        <v>2601</v>
      </c>
      <c r="D403">
        <v>3</v>
      </c>
      <c r="E403" t="s">
        <v>944</v>
      </c>
    </row>
    <row r="404" spans="1:5" x14ac:dyDescent="0.25">
      <c r="A404" t="s">
        <v>2316</v>
      </c>
      <c r="B404">
        <v>9009194100</v>
      </c>
      <c r="C404" t="s">
        <v>2317</v>
      </c>
      <c r="D404">
        <v>4</v>
      </c>
      <c r="E404" t="s">
        <v>944</v>
      </c>
    </row>
    <row r="405" spans="1:5" x14ac:dyDescent="0.25">
      <c r="A405" t="s">
        <v>2318</v>
      </c>
      <c r="B405">
        <v>9009194201</v>
      </c>
      <c r="C405" t="s">
        <v>2319</v>
      </c>
      <c r="D405">
        <v>3</v>
      </c>
      <c r="E405" t="s">
        <v>944</v>
      </c>
    </row>
    <row r="406" spans="1:5" x14ac:dyDescent="0.25">
      <c r="A406" t="s">
        <v>2318</v>
      </c>
      <c r="B406">
        <v>9009194201</v>
      </c>
      <c r="C406" t="s">
        <v>2319</v>
      </c>
      <c r="D406">
        <v>3</v>
      </c>
      <c r="E406" t="s">
        <v>944</v>
      </c>
    </row>
    <row r="407" spans="1:5" x14ac:dyDescent="0.25">
      <c r="A407" t="s">
        <v>2602</v>
      </c>
      <c r="B407">
        <v>9013860100</v>
      </c>
      <c r="C407" t="s">
        <v>2603</v>
      </c>
      <c r="D407">
        <v>3</v>
      </c>
      <c r="E407" t="s">
        <v>944</v>
      </c>
    </row>
    <row r="408" spans="1:5" x14ac:dyDescent="0.25">
      <c r="A408" t="s">
        <v>2602</v>
      </c>
      <c r="B408">
        <v>9013860100</v>
      </c>
      <c r="C408" t="s">
        <v>2603</v>
      </c>
      <c r="D408">
        <v>3</v>
      </c>
      <c r="E408" t="s">
        <v>944</v>
      </c>
    </row>
    <row r="409" spans="1:5" x14ac:dyDescent="0.25">
      <c r="A409" t="s">
        <v>1900</v>
      </c>
      <c r="B409">
        <v>9005262100</v>
      </c>
      <c r="C409" t="s">
        <v>1901</v>
      </c>
      <c r="D409">
        <v>4</v>
      </c>
      <c r="E409" t="s">
        <v>944</v>
      </c>
    </row>
    <row r="410" spans="1:5" x14ac:dyDescent="0.25">
      <c r="A410" t="s">
        <v>1900</v>
      </c>
      <c r="B410">
        <v>9005262100</v>
      </c>
      <c r="C410" t="s">
        <v>1901</v>
      </c>
      <c r="D410">
        <v>4</v>
      </c>
      <c r="E410" t="s">
        <v>944</v>
      </c>
    </row>
    <row r="411" spans="1:5" x14ac:dyDescent="0.25">
      <c r="A411" t="s">
        <v>1900</v>
      </c>
      <c r="B411">
        <v>9005262100</v>
      </c>
      <c r="C411" t="s">
        <v>1901</v>
      </c>
      <c r="D411">
        <v>4</v>
      </c>
      <c r="E411" t="s">
        <v>944</v>
      </c>
    </row>
    <row r="412" spans="1:5" x14ac:dyDescent="0.25">
      <c r="A412" t="s">
        <v>1378</v>
      </c>
      <c r="B412">
        <v>9001210300</v>
      </c>
      <c r="C412" t="s">
        <v>1379</v>
      </c>
      <c r="D412">
        <v>4</v>
      </c>
      <c r="E412" t="s">
        <v>944</v>
      </c>
    </row>
    <row r="413" spans="1:5" x14ac:dyDescent="0.25">
      <c r="A413" t="s">
        <v>1386</v>
      </c>
      <c r="B413">
        <v>9001210701</v>
      </c>
      <c r="C413" t="s">
        <v>1387</v>
      </c>
      <c r="D413">
        <v>5</v>
      </c>
      <c r="E413" t="s">
        <v>944</v>
      </c>
    </row>
    <row r="414" spans="1:5" x14ac:dyDescent="0.25">
      <c r="A414" t="s">
        <v>1904</v>
      </c>
      <c r="B414">
        <v>9005265100</v>
      </c>
      <c r="C414" t="s">
        <v>1905</v>
      </c>
      <c r="D414">
        <v>4</v>
      </c>
      <c r="E414" t="s">
        <v>944</v>
      </c>
    </row>
    <row r="415" spans="1:5" x14ac:dyDescent="0.25">
      <c r="A415" t="s">
        <v>1904</v>
      </c>
      <c r="B415">
        <v>9005265100</v>
      </c>
      <c r="C415" t="s">
        <v>1905</v>
      </c>
      <c r="D415">
        <v>4</v>
      </c>
      <c r="E415" t="s">
        <v>944</v>
      </c>
    </row>
    <row r="416" spans="1:5" x14ac:dyDescent="0.25">
      <c r="A416" t="s">
        <v>1904</v>
      </c>
      <c r="B416">
        <v>9005265100</v>
      </c>
      <c r="C416" t="s">
        <v>1905</v>
      </c>
      <c r="D416">
        <v>4</v>
      </c>
      <c r="E416" t="s">
        <v>944</v>
      </c>
    </row>
    <row r="417" spans="1:5" x14ac:dyDescent="0.25">
      <c r="A417" t="s">
        <v>1904</v>
      </c>
      <c r="B417">
        <v>9005265100</v>
      </c>
      <c r="C417" t="s">
        <v>1905</v>
      </c>
      <c r="D417">
        <v>4</v>
      </c>
      <c r="E417" t="s">
        <v>944</v>
      </c>
    </row>
    <row r="418" spans="1:5" x14ac:dyDescent="0.25">
      <c r="A418" t="s">
        <v>1388</v>
      </c>
      <c r="B418">
        <v>9001210702</v>
      </c>
      <c r="C418" t="s">
        <v>1389</v>
      </c>
      <c r="D418">
        <v>5</v>
      </c>
      <c r="E418" t="s">
        <v>944</v>
      </c>
    </row>
    <row r="419" spans="1:5" x14ac:dyDescent="0.25">
      <c r="A419" t="s">
        <v>1398</v>
      </c>
      <c r="B419">
        <v>9001211300</v>
      </c>
      <c r="C419" t="s">
        <v>1399</v>
      </c>
      <c r="D419">
        <v>3</v>
      </c>
      <c r="E419" t="s">
        <v>944</v>
      </c>
    </row>
    <row r="420" spans="1:5" x14ac:dyDescent="0.25">
      <c r="A420" t="s">
        <v>1906</v>
      </c>
      <c r="B420">
        <v>9005266100</v>
      </c>
      <c r="C420" t="s">
        <v>1907</v>
      </c>
      <c r="D420">
        <v>4</v>
      </c>
      <c r="E420" t="s">
        <v>944</v>
      </c>
    </row>
    <row r="421" spans="1:5" x14ac:dyDescent="0.25">
      <c r="A421" t="s">
        <v>1906</v>
      </c>
      <c r="B421">
        <v>9005266100</v>
      </c>
      <c r="C421" t="s">
        <v>1907</v>
      </c>
      <c r="D421">
        <v>4</v>
      </c>
      <c r="E421" t="s">
        <v>944</v>
      </c>
    </row>
    <row r="422" spans="1:5" x14ac:dyDescent="0.25">
      <c r="A422" t="s">
        <v>1906</v>
      </c>
      <c r="B422">
        <v>9005266100</v>
      </c>
      <c r="C422" t="s">
        <v>1907</v>
      </c>
      <c r="D422">
        <v>4</v>
      </c>
      <c r="E422" t="s">
        <v>944</v>
      </c>
    </row>
    <row r="423" spans="1:5" x14ac:dyDescent="0.25">
      <c r="A423" t="s">
        <v>1906</v>
      </c>
      <c r="B423">
        <v>9005266100</v>
      </c>
      <c r="C423" t="s">
        <v>1907</v>
      </c>
      <c r="D423">
        <v>4</v>
      </c>
      <c r="E423" t="s">
        <v>944</v>
      </c>
    </row>
    <row r="424" spans="1:5" x14ac:dyDescent="0.25">
      <c r="A424" t="s">
        <v>1906</v>
      </c>
      <c r="B424">
        <v>9005266100</v>
      </c>
      <c r="C424" t="s">
        <v>1907</v>
      </c>
      <c r="D424">
        <v>4</v>
      </c>
      <c r="E424" t="s">
        <v>944</v>
      </c>
    </row>
    <row r="425" spans="1:5" x14ac:dyDescent="0.25">
      <c r="A425" t="s">
        <v>2016</v>
      </c>
      <c r="B425">
        <v>9007570100</v>
      </c>
      <c r="C425" t="s">
        <v>2017</v>
      </c>
      <c r="D425">
        <v>3</v>
      </c>
      <c r="E425" t="s">
        <v>944</v>
      </c>
    </row>
    <row r="426" spans="1:5" x14ac:dyDescent="0.25">
      <c r="A426" t="s">
        <v>2018</v>
      </c>
      <c r="B426">
        <v>9007570200</v>
      </c>
      <c r="C426" t="s">
        <v>2019</v>
      </c>
      <c r="D426">
        <v>3</v>
      </c>
      <c r="E426" t="s">
        <v>944</v>
      </c>
    </row>
    <row r="427" spans="1:5" x14ac:dyDescent="0.25">
      <c r="A427" t="s">
        <v>1402</v>
      </c>
      <c r="B427">
        <v>9001220100</v>
      </c>
      <c r="C427" t="s">
        <v>1403</v>
      </c>
      <c r="D427">
        <v>3</v>
      </c>
      <c r="E427" t="s">
        <v>944</v>
      </c>
    </row>
    <row r="428" spans="1:5" x14ac:dyDescent="0.25">
      <c r="A428" t="s">
        <v>2020</v>
      </c>
      <c r="B428">
        <v>9007570300</v>
      </c>
      <c r="C428" t="s">
        <v>2021</v>
      </c>
      <c r="D428">
        <v>3</v>
      </c>
      <c r="E428" t="s">
        <v>944</v>
      </c>
    </row>
    <row r="429" spans="1:5" x14ac:dyDescent="0.25">
      <c r="A429" t="s">
        <v>1406</v>
      </c>
      <c r="B429">
        <v>9001220300</v>
      </c>
      <c r="C429" t="s">
        <v>1407</v>
      </c>
      <c r="D429">
        <v>4</v>
      </c>
      <c r="E429" t="s">
        <v>944</v>
      </c>
    </row>
    <row r="430" spans="1:5" x14ac:dyDescent="0.25">
      <c r="A430" t="s">
        <v>1406</v>
      </c>
      <c r="B430">
        <v>9001220300</v>
      </c>
      <c r="C430" t="s">
        <v>1407</v>
      </c>
      <c r="D430">
        <v>4</v>
      </c>
      <c r="E430" t="s">
        <v>944</v>
      </c>
    </row>
    <row r="431" spans="1:5" x14ac:dyDescent="0.25">
      <c r="A431" t="s">
        <v>1406</v>
      </c>
      <c r="B431">
        <v>9001220300</v>
      </c>
      <c r="C431" t="s">
        <v>1407</v>
      </c>
      <c r="D431">
        <v>4</v>
      </c>
      <c r="E431" t="s">
        <v>944</v>
      </c>
    </row>
    <row r="432" spans="1:5" x14ac:dyDescent="0.25">
      <c r="A432" t="s">
        <v>1428</v>
      </c>
      <c r="B432">
        <v>9001245300</v>
      </c>
      <c r="C432" t="s">
        <v>1429</v>
      </c>
      <c r="D432">
        <v>2</v>
      </c>
      <c r="E432" t="s">
        <v>944</v>
      </c>
    </row>
    <row r="433" spans="1:5" x14ac:dyDescent="0.25">
      <c r="A433" t="s">
        <v>1884</v>
      </c>
      <c r="B433">
        <v>9005253100</v>
      </c>
      <c r="C433" t="s">
        <v>1885</v>
      </c>
      <c r="D433">
        <v>4</v>
      </c>
      <c r="E433" t="s">
        <v>944</v>
      </c>
    </row>
    <row r="434" spans="1:5" x14ac:dyDescent="0.25">
      <c r="A434" t="s">
        <v>1888</v>
      </c>
      <c r="B434">
        <v>9005253300</v>
      </c>
      <c r="C434" t="s">
        <v>1889</v>
      </c>
      <c r="D434">
        <v>4</v>
      </c>
      <c r="E434" t="s">
        <v>944</v>
      </c>
    </row>
    <row r="435" spans="1:5" x14ac:dyDescent="0.25">
      <c r="A435" t="s">
        <v>1894</v>
      </c>
      <c r="B435">
        <v>9005253600</v>
      </c>
      <c r="C435" t="s">
        <v>1895</v>
      </c>
      <c r="D435">
        <v>5</v>
      </c>
      <c r="E435" t="s">
        <v>944</v>
      </c>
    </row>
    <row r="436" spans="1:5" x14ac:dyDescent="0.25">
      <c r="A436" t="s">
        <v>1908</v>
      </c>
      <c r="B436">
        <v>9005267100</v>
      </c>
      <c r="C436" t="s">
        <v>1909</v>
      </c>
      <c r="D436">
        <v>4</v>
      </c>
      <c r="E436" t="s">
        <v>944</v>
      </c>
    </row>
    <row r="437" spans="1:5" x14ac:dyDescent="0.25">
      <c r="A437" t="s">
        <v>1908</v>
      </c>
      <c r="B437">
        <v>9005267100</v>
      </c>
      <c r="C437" t="s">
        <v>1909</v>
      </c>
      <c r="D437">
        <v>4</v>
      </c>
      <c r="E437" t="s">
        <v>944</v>
      </c>
    </row>
    <row r="438" spans="1:5" x14ac:dyDescent="0.25">
      <c r="A438" t="s">
        <v>1908</v>
      </c>
      <c r="B438">
        <v>9005267100</v>
      </c>
      <c r="C438" t="s">
        <v>1909</v>
      </c>
      <c r="D438">
        <v>4</v>
      </c>
      <c r="E438" t="s">
        <v>944</v>
      </c>
    </row>
    <row r="439" spans="1:5" x14ac:dyDescent="0.25">
      <c r="A439" t="s">
        <v>1918</v>
      </c>
      <c r="B439">
        <v>9005298300</v>
      </c>
      <c r="C439" t="s">
        <v>1919</v>
      </c>
      <c r="D439">
        <v>3</v>
      </c>
      <c r="E439" t="s">
        <v>944</v>
      </c>
    </row>
    <row r="440" spans="1:5" x14ac:dyDescent="0.25">
      <c r="A440" t="s">
        <v>1920</v>
      </c>
      <c r="B440">
        <v>9005298400</v>
      </c>
      <c r="C440" t="s">
        <v>1921</v>
      </c>
      <c r="D440">
        <v>3</v>
      </c>
      <c r="E440" t="s">
        <v>944</v>
      </c>
    </row>
    <row r="441" spans="1:5" x14ac:dyDescent="0.25">
      <c r="A441" t="s">
        <v>1932</v>
      </c>
      <c r="B441">
        <v>9005310100</v>
      </c>
      <c r="C441" t="s">
        <v>1933</v>
      </c>
      <c r="D441">
        <v>5</v>
      </c>
      <c r="E441" t="s">
        <v>944</v>
      </c>
    </row>
    <row r="442" spans="1:5" x14ac:dyDescent="0.25">
      <c r="A442" t="s">
        <v>1934</v>
      </c>
      <c r="B442">
        <v>9005310200</v>
      </c>
      <c r="C442" t="s">
        <v>1935</v>
      </c>
      <c r="D442">
        <v>5</v>
      </c>
      <c r="E442" t="s">
        <v>944</v>
      </c>
    </row>
    <row r="443" spans="1:5" x14ac:dyDescent="0.25">
      <c r="A443" t="s">
        <v>1936</v>
      </c>
      <c r="B443">
        <v>9005310300</v>
      </c>
      <c r="C443" t="s">
        <v>1937</v>
      </c>
      <c r="D443">
        <v>6</v>
      </c>
      <c r="E443" t="s">
        <v>936</v>
      </c>
    </row>
    <row r="444" spans="1:5" x14ac:dyDescent="0.25">
      <c r="A444" t="s">
        <v>1938</v>
      </c>
      <c r="B444">
        <v>9005310400</v>
      </c>
      <c r="C444" t="s">
        <v>1939</v>
      </c>
      <c r="D444">
        <v>4</v>
      </c>
      <c r="E444" t="s">
        <v>944</v>
      </c>
    </row>
    <row r="445" spans="1:5" x14ac:dyDescent="0.25">
      <c r="A445" t="s">
        <v>1938</v>
      </c>
      <c r="B445">
        <v>9005310400</v>
      </c>
      <c r="C445" t="s">
        <v>1939</v>
      </c>
      <c r="D445">
        <v>4</v>
      </c>
      <c r="E445" t="s">
        <v>944</v>
      </c>
    </row>
    <row r="446" spans="1:5" x14ac:dyDescent="0.25">
      <c r="A446" t="s">
        <v>1940</v>
      </c>
      <c r="B446">
        <v>9005310500</v>
      </c>
      <c r="C446" t="s">
        <v>1941</v>
      </c>
      <c r="D446">
        <v>5</v>
      </c>
      <c r="E446" t="s">
        <v>944</v>
      </c>
    </row>
    <row r="447" spans="1:5" x14ac:dyDescent="0.25">
      <c r="A447" t="s">
        <v>1944</v>
      </c>
      <c r="B447">
        <v>9005310602</v>
      </c>
      <c r="C447" t="s">
        <v>1945</v>
      </c>
      <c r="D447">
        <v>4</v>
      </c>
      <c r="E447" t="s">
        <v>944</v>
      </c>
    </row>
    <row r="448" spans="1:5" x14ac:dyDescent="0.25">
      <c r="A448" t="s">
        <v>1946</v>
      </c>
      <c r="B448">
        <v>9005310700</v>
      </c>
      <c r="C448" t="s">
        <v>1947</v>
      </c>
      <c r="D448">
        <v>5</v>
      </c>
      <c r="E448" t="s">
        <v>944</v>
      </c>
    </row>
    <row r="449" spans="1:5" x14ac:dyDescent="0.25">
      <c r="A449" t="s">
        <v>2042</v>
      </c>
      <c r="B449">
        <v>9007620100</v>
      </c>
      <c r="C449" t="s">
        <v>2043</v>
      </c>
      <c r="D449">
        <v>4</v>
      </c>
      <c r="E449" t="s">
        <v>944</v>
      </c>
    </row>
    <row r="450" spans="1:5" x14ac:dyDescent="0.25">
      <c r="A450" t="s">
        <v>1948</v>
      </c>
      <c r="B450">
        <v>9005310801</v>
      </c>
      <c r="C450" t="s">
        <v>1949</v>
      </c>
      <c r="D450">
        <v>5</v>
      </c>
      <c r="E450" t="s">
        <v>944</v>
      </c>
    </row>
    <row r="451" spans="1:5" x14ac:dyDescent="0.25">
      <c r="A451" t="s">
        <v>1950</v>
      </c>
      <c r="B451">
        <v>9005310803</v>
      </c>
      <c r="C451" t="s">
        <v>1951</v>
      </c>
      <c r="D451">
        <v>6</v>
      </c>
      <c r="E451" t="s">
        <v>936</v>
      </c>
    </row>
    <row r="452" spans="1:5" x14ac:dyDescent="0.25">
      <c r="A452" t="s">
        <v>1952</v>
      </c>
      <c r="B452">
        <v>9005310804</v>
      </c>
      <c r="C452" t="s">
        <v>1953</v>
      </c>
      <c r="D452">
        <v>4</v>
      </c>
      <c r="E452" t="s">
        <v>944</v>
      </c>
    </row>
    <row r="453" spans="1:5" x14ac:dyDescent="0.25">
      <c r="A453" t="s">
        <v>2024</v>
      </c>
      <c r="B453">
        <v>9007585100</v>
      </c>
      <c r="C453" t="s">
        <v>2025</v>
      </c>
      <c r="D453">
        <v>3</v>
      </c>
      <c r="E453" t="s">
        <v>944</v>
      </c>
    </row>
    <row r="454" spans="1:5" x14ac:dyDescent="0.25">
      <c r="A454" t="s">
        <v>2024</v>
      </c>
      <c r="B454">
        <v>9007585100</v>
      </c>
      <c r="C454" t="s">
        <v>2025</v>
      </c>
      <c r="D454">
        <v>3</v>
      </c>
      <c r="E454" t="s">
        <v>944</v>
      </c>
    </row>
    <row r="455" spans="1:5" x14ac:dyDescent="0.25">
      <c r="A455" t="s">
        <v>1956</v>
      </c>
      <c r="B455">
        <v>9005320200</v>
      </c>
      <c r="C455" t="s">
        <v>1957</v>
      </c>
      <c r="D455">
        <v>4</v>
      </c>
      <c r="E455" t="s">
        <v>944</v>
      </c>
    </row>
    <row r="456" spans="1:5" x14ac:dyDescent="0.25">
      <c r="A456" t="s">
        <v>1586</v>
      </c>
      <c r="B456">
        <v>9003470100</v>
      </c>
      <c r="C456" t="s">
        <v>1587</v>
      </c>
      <c r="D456">
        <v>3</v>
      </c>
      <c r="E456" t="s">
        <v>944</v>
      </c>
    </row>
    <row r="457" spans="1:5" x14ac:dyDescent="0.25">
      <c r="A457" t="s">
        <v>1586</v>
      </c>
      <c r="B457">
        <v>9003470100</v>
      </c>
      <c r="C457" t="s">
        <v>1587</v>
      </c>
      <c r="D457">
        <v>3</v>
      </c>
      <c r="E457" t="s">
        <v>944</v>
      </c>
    </row>
    <row r="458" spans="1:5" x14ac:dyDescent="0.25">
      <c r="A458" t="s">
        <v>1586</v>
      </c>
      <c r="B458">
        <v>9003470100</v>
      </c>
      <c r="C458" t="s">
        <v>1587</v>
      </c>
      <c r="D458">
        <v>3</v>
      </c>
      <c r="E458" t="s">
        <v>944</v>
      </c>
    </row>
    <row r="459" spans="1:5" x14ac:dyDescent="0.25">
      <c r="A459" t="s">
        <v>2334</v>
      </c>
      <c r="B459">
        <v>9009344100</v>
      </c>
      <c r="C459" t="s">
        <v>2335</v>
      </c>
      <c r="D459">
        <v>3</v>
      </c>
      <c r="E459" t="s">
        <v>944</v>
      </c>
    </row>
    <row r="460" spans="1:5" x14ac:dyDescent="0.25">
      <c r="A460" t="s">
        <v>2334</v>
      </c>
      <c r="B460">
        <v>9009344100</v>
      </c>
      <c r="C460" t="s">
        <v>2335</v>
      </c>
      <c r="D460">
        <v>3</v>
      </c>
      <c r="E460" t="s">
        <v>944</v>
      </c>
    </row>
    <row r="461" spans="1:5" x14ac:dyDescent="0.25">
      <c r="A461" t="s">
        <v>2336</v>
      </c>
      <c r="B461">
        <v>9009344200</v>
      </c>
      <c r="C461" t="s">
        <v>2337</v>
      </c>
      <c r="D461">
        <v>3</v>
      </c>
      <c r="E461" t="s">
        <v>944</v>
      </c>
    </row>
    <row r="462" spans="1:5" x14ac:dyDescent="0.25">
      <c r="A462" t="s">
        <v>2336</v>
      </c>
      <c r="B462">
        <v>9009344200</v>
      </c>
      <c r="C462" t="s">
        <v>2337</v>
      </c>
      <c r="D462">
        <v>3</v>
      </c>
      <c r="E462" t="s">
        <v>944</v>
      </c>
    </row>
    <row r="463" spans="1:5" x14ac:dyDescent="0.25">
      <c r="A463" t="s">
        <v>2338</v>
      </c>
      <c r="B463">
        <v>9009345100</v>
      </c>
      <c r="C463" t="s">
        <v>2339</v>
      </c>
      <c r="D463">
        <v>4</v>
      </c>
      <c r="E463" t="s">
        <v>944</v>
      </c>
    </row>
    <row r="464" spans="1:5" x14ac:dyDescent="0.25">
      <c r="A464" t="s">
        <v>2338</v>
      </c>
      <c r="B464">
        <v>9009345100</v>
      </c>
      <c r="C464" t="s">
        <v>2339</v>
      </c>
      <c r="D464">
        <v>4</v>
      </c>
      <c r="E464" t="s">
        <v>944</v>
      </c>
    </row>
    <row r="465" spans="1:5" x14ac:dyDescent="0.25">
      <c r="A465" t="s">
        <v>1620</v>
      </c>
      <c r="B465">
        <v>9003477101</v>
      </c>
      <c r="C465" t="s">
        <v>1621</v>
      </c>
      <c r="D465">
        <v>3</v>
      </c>
      <c r="E465" t="s">
        <v>944</v>
      </c>
    </row>
    <row r="466" spans="1:5" x14ac:dyDescent="0.25">
      <c r="A466" t="s">
        <v>1620</v>
      </c>
      <c r="B466">
        <v>9003477101</v>
      </c>
      <c r="C466" t="s">
        <v>1621</v>
      </c>
      <c r="D466">
        <v>3</v>
      </c>
      <c r="E466" t="s">
        <v>944</v>
      </c>
    </row>
    <row r="467" spans="1:5" x14ac:dyDescent="0.25">
      <c r="A467" t="s">
        <v>2340</v>
      </c>
      <c r="B467">
        <v>9009345201</v>
      </c>
      <c r="C467" t="s">
        <v>2341</v>
      </c>
      <c r="D467">
        <v>4</v>
      </c>
      <c r="E467" t="s">
        <v>944</v>
      </c>
    </row>
    <row r="468" spans="1:5" x14ac:dyDescent="0.25">
      <c r="A468" t="s">
        <v>2342</v>
      </c>
      <c r="B468">
        <v>9009345202</v>
      </c>
      <c r="C468" t="s">
        <v>2343</v>
      </c>
      <c r="D468">
        <v>3</v>
      </c>
      <c r="E468" t="s">
        <v>944</v>
      </c>
    </row>
    <row r="469" spans="1:5" x14ac:dyDescent="0.25">
      <c r="A469" t="s">
        <v>2344</v>
      </c>
      <c r="B469">
        <v>9009345300</v>
      </c>
      <c r="C469" t="s">
        <v>2345</v>
      </c>
      <c r="D469">
        <v>4</v>
      </c>
      <c r="E469" t="s">
        <v>944</v>
      </c>
    </row>
    <row r="470" spans="1:5" x14ac:dyDescent="0.25">
      <c r="A470" t="s">
        <v>2344</v>
      </c>
      <c r="B470">
        <v>9009345300</v>
      </c>
      <c r="C470" t="s">
        <v>2345</v>
      </c>
      <c r="D470">
        <v>4</v>
      </c>
      <c r="E470" t="s">
        <v>944</v>
      </c>
    </row>
    <row r="471" spans="1:5" x14ac:dyDescent="0.25">
      <c r="A471" t="s">
        <v>1624</v>
      </c>
      <c r="B471">
        <v>9003477200</v>
      </c>
      <c r="C471" t="s">
        <v>1625</v>
      </c>
      <c r="D471">
        <v>3</v>
      </c>
      <c r="E471" t="s">
        <v>944</v>
      </c>
    </row>
    <row r="472" spans="1:5" x14ac:dyDescent="0.25">
      <c r="A472" t="s">
        <v>1624</v>
      </c>
      <c r="B472">
        <v>9003477200</v>
      </c>
      <c r="C472" t="s">
        <v>1625</v>
      </c>
      <c r="D472">
        <v>3</v>
      </c>
      <c r="E472" t="s">
        <v>944</v>
      </c>
    </row>
    <row r="473" spans="1:5" x14ac:dyDescent="0.25">
      <c r="A473" t="s">
        <v>2346</v>
      </c>
      <c r="B473">
        <v>9009345400</v>
      </c>
      <c r="C473" t="s">
        <v>2347</v>
      </c>
      <c r="D473">
        <v>4</v>
      </c>
      <c r="E473" t="s">
        <v>944</v>
      </c>
    </row>
    <row r="474" spans="1:5" x14ac:dyDescent="0.25">
      <c r="A474" t="s">
        <v>2346</v>
      </c>
      <c r="B474">
        <v>9009345400</v>
      </c>
      <c r="C474" t="s">
        <v>2347</v>
      </c>
      <c r="D474">
        <v>4</v>
      </c>
      <c r="E474" t="s">
        <v>944</v>
      </c>
    </row>
    <row r="475" spans="1:5" x14ac:dyDescent="0.25">
      <c r="A475" t="s">
        <v>2348</v>
      </c>
      <c r="B475">
        <v>9009346101</v>
      </c>
      <c r="C475" t="s">
        <v>2349</v>
      </c>
      <c r="D475">
        <v>3</v>
      </c>
      <c r="E475" t="s">
        <v>944</v>
      </c>
    </row>
    <row r="476" spans="1:5" x14ac:dyDescent="0.25">
      <c r="A476" t="s">
        <v>2030</v>
      </c>
      <c r="B476">
        <v>9007595102</v>
      </c>
      <c r="C476" t="s">
        <v>2031</v>
      </c>
      <c r="D476">
        <v>4</v>
      </c>
      <c r="E476" t="s">
        <v>944</v>
      </c>
    </row>
    <row r="477" spans="1:5" x14ac:dyDescent="0.25">
      <c r="A477" t="s">
        <v>2006</v>
      </c>
      <c r="B477">
        <v>9007550100</v>
      </c>
      <c r="C477" t="s">
        <v>2007</v>
      </c>
      <c r="D477">
        <v>4</v>
      </c>
      <c r="E477" t="s">
        <v>944</v>
      </c>
    </row>
    <row r="478" spans="1:5" x14ac:dyDescent="0.25">
      <c r="A478" t="s">
        <v>2354</v>
      </c>
      <c r="B478">
        <v>9009347200</v>
      </c>
      <c r="C478" t="s">
        <v>2355</v>
      </c>
      <c r="D478">
        <v>3</v>
      </c>
      <c r="E478" t="s">
        <v>944</v>
      </c>
    </row>
    <row r="479" spans="1:5" x14ac:dyDescent="0.25">
      <c r="A479" t="s">
        <v>2354</v>
      </c>
      <c r="B479">
        <v>9009347200</v>
      </c>
      <c r="C479" t="s">
        <v>2355</v>
      </c>
      <c r="D479">
        <v>3</v>
      </c>
      <c r="E479" t="s">
        <v>944</v>
      </c>
    </row>
    <row r="480" spans="1:5" x14ac:dyDescent="0.25">
      <c r="A480" t="s">
        <v>2010</v>
      </c>
      <c r="B480">
        <v>9007550202</v>
      </c>
      <c r="C480" t="s">
        <v>2011</v>
      </c>
      <c r="D480">
        <v>4</v>
      </c>
      <c r="E480" t="s">
        <v>944</v>
      </c>
    </row>
    <row r="481" spans="1:5" x14ac:dyDescent="0.25">
      <c r="A481" t="s">
        <v>2356</v>
      </c>
      <c r="B481">
        <v>9009348111</v>
      </c>
      <c r="C481" t="s">
        <v>2357</v>
      </c>
      <c r="D481">
        <v>3</v>
      </c>
      <c r="E481" t="s">
        <v>944</v>
      </c>
    </row>
    <row r="482" spans="1:5" x14ac:dyDescent="0.25">
      <c r="A482" t="s">
        <v>2026</v>
      </c>
      <c r="B482">
        <v>9007590100</v>
      </c>
      <c r="C482" t="s">
        <v>2027</v>
      </c>
      <c r="D482">
        <v>3</v>
      </c>
      <c r="E482" t="s">
        <v>944</v>
      </c>
    </row>
    <row r="483" spans="1:5" x14ac:dyDescent="0.25">
      <c r="A483" t="s">
        <v>2026</v>
      </c>
      <c r="B483">
        <v>9007590100</v>
      </c>
      <c r="C483" t="s">
        <v>2027</v>
      </c>
      <c r="D483">
        <v>3</v>
      </c>
      <c r="E483" t="s">
        <v>944</v>
      </c>
    </row>
    <row r="484" spans="1:5" x14ac:dyDescent="0.25">
      <c r="A484" t="s">
        <v>2026</v>
      </c>
      <c r="B484">
        <v>9007590100</v>
      </c>
      <c r="C484" t="s">
        <v>2027</v>
      </c>
      <c r="D484">
        <v>3</v>
      </c>
      <c r="E484" t="s">
        <v>944</v>
      </c>
    </row>
    <row r="485" spans="1:5" x14ac:dyDescent="0.25">
      <c r="A485" t="s">
        <v>2026</v>
      </c>
      <c r="B485">
        <v>9007590100</v>
      </c>
      <c r="C485" t="s">
        <v>2027</v>
      </c>
      <c r="D485">
        <v>3</v>
      </c>
      <c r="E485" t="s">
        <v>944</v>
      </c>
    </row>
    <row r="486" spans="1:5" x14ac:dyDescent="0.25">
      <c r="A486" t="s">
        <v>2358</v>
      </c>
      <c r="B486">
        <v>9009348122</v>
      </c>
      <c r="C486" t="s">
        <v>2359</v>
      </c>
      <c r="D486">
        <v>3</v>
      </c>
      <c r="E486" t="s">
        <v>944</v>
      </c>
    </row>
    <row r="487" spans="1:5" x14ac:dyDescent="0.25">
      <c r="A487" t="s">
        <v>2360</v>
      </c>
      <c r="B487">
        <v>9009348123</v>
      </c>
      <c r="C487" t="s">
        <v>2361</v>
      </c>
      <c r="D487">
        <v>3</v>
      </c>
      <c r="E487" t="s">
        <v>944</v>
      </c>
    </row>
    <row r="488" spans="1:5" x14ac:dyDescent="0.25">
      <c r="A488" t="s">
        <v>2362</v>
      </c>
      <c r="B488">
        <v>9009348124</v>
      </c>
      <c r="C488" t="s">
        <v>2363</v>
      </c>
      <c r="D488">
        <v>4</v>
      </c>
      <c r="E488" t="s">
        <v>944</v>
      </c>
    </row>
    <row r="489" spans="1:5" x14ac:dyDescent="0.25">
      <c r="A489" t="s">
        <v>2364</v>
      </c>
      <c r="B489">
        <v>9009348125</v>
      </c>
      <c r="C489" t="s">
        <v>2365</v>
      </c>
      <c r="D489">
        <v>4</v>
      </c>
      <c r="E489" t="s">
        <v>944</v>
      </c>
    </row>
    <row r="490" spans="1:5" x14ac:dyDescent="0.25">
      <c r="A490" t="s">
        <v>2394</v>
      </c>
      <c r="B490">
        <v>9009351602</v>
      </c>
      <c r="C490" t="s">
        <v>2395</v>
      </c>
      <c r="D490">
        <v>5</v>
      </c>
      <c r="E490" t="s">
        <v>944</v>
      </c>
    </row>
    <row r="491" spans="1:5" x14ac:dyDescent="0.25">
      <c r="A491" t="s">
        <v>1710</v>
      </c>
      <c r="B491">
        <v>9003496900</v>
      </c>
      <c r="C491" t="s">
        <v>1711</v>
      </c>
      <c r="D491">
        <v>3</v>
      </c>
      <c r="E491" t="s">
        <v>944</v>
      </c>
    </row>
    <row r="492" spans="1:5" x14ac:dyDescent="0.25">
      <c r="A492" t="s">
        <v>1710</v>
      </c>
      <c r="B492">
        <v>9003496900</v>
      </c>
      <c r="C492" t="s">
        <v>1711</v>
      </c>
      <c r="D492">
        <v>3</v>
      </c>
      <c r="E492" t="s">
        <v>944</v>
      </c>
    </row>
    <row r="493" spans="1:5" x14ac:dyDescent="0.25">
      <c r="A493" t="s">
        <v>1710</v>
      </c>
      <c r="B493">
        <v>9003496900</v>
      </c>
      <c r="C493" t="s">
        <v>1711</v>
      </c>
      <c r="D493">
        <v>3</v>
      </c>
      <c r="E493" t="s">
        <v>944</v>
      </c>
    </row>
    <row r="494" spans="1:5" x14ac:dyDescent="0.25">
      <c r="A494" t="s">
        <v>2396</v>
      </c>
      <c r="B494">
        <v>9009351700</v>
      </c>
      <c r="C494" t="s">
        <v>2397</v>
      </c>
      <c r="D494">
        <v>9</v>
      </c>
      <c r="E494" t="s">
        <v>936</v>
      </c>
    </row>
    <row r="495" spans="1:5" x14ac:dyDescent="0.25">
      <c r="A495" t="s">
        <v>2400</v>
      </c>
      <c r="B495">
        <v>9009351900</v>
      </c>
      <c r="C495" t="s">
        <v>2401</v>
      </c>
      <c r="D495">
        <v>4</v>
      </c>
      <c r="E495" t="s">
        <v>944</v>
      </c>
    </row>
    <row r="496" spans="1:5" x14ac:dyDescent="0.25">
      <c r="A496" t="s">
        <v>2400</v>
      </c>
      <c r="B496">
        <v>9009351900</v>
      </c>
      <c r="C496" t="s">
        <v>2401</v>
      </c>
      <c r="D496">
        <v>4</v>
      </c>
      <c r="E496" t="s">
        <v>944</v>
      </c>
    </row>
    <row r="497" spans="1:5" x14ac:dyDescent="0.25">
      <c r="A497" t="s">
        <v>1796</v>
      </c>
      <c r="B497">
        <v>9003510100</v>
      </c>
      <c r="C497" t="s">
        <v>1797</v>
      </c>
      <c r="D497">
        <v>4</v>
      </c>
      <c r="E497" t="s">
        <v>944</v>
      </c>
    </row>
    <row r="498" spans="1:5" x14ac:dyDescent="0.25">
      <c r="A498" t="s">
        <v>2402</v>
      </c>
      <c r="B498">
        <v>9009352000</v>
      </c>
      <c r="C498" t="s">
        <v>2403</v>
      </c>
      <c r="D498">
        <v>4</v>
      </c>
      <c r="E498" t="s">
        <v>944</v>
      </c>
    </row>
    <row r="499" spans="1:5" x14ac:dyDescent="0.25">
      <c r="A499" t="s">
        <v>1798</v>
      </c>
      <c r="B499">
        <v>9003510200</v>
      </c>
      <c r="C499" t="s">
        <v>1799</v>
      </c>
      <c r="D499">
        <v>4</v>
      </c>
      <c r="E499" t="s">
        <v>944</v>
      </c>
    </row>
    <row r="500" spans="1:5" x14ac:dyDescent="0.25">
      <c r="A500" t="s">
        <v>2404</v>
      </c>
      <c r="B500">
        <v>9009352100</v>
      </c>
      <c r="C500" t="s">
        <v>2405</v>
      </c>
      <c r="D500">
        <v>5</v>
      </c>
      <c r="E500" t="s">
        <v>944</v>
      </c>
    </row>
    <row r="501" spans="1:5" x14ac:dyDescent="0.25">
      <c r="A501" t="s">
        <v>2404</v>
      </c>
      <c r="B501">
        <v>9009352100</v>
      </c>
      <c r="C501" t="s">
        <v>2405</v>
      </c>
      <c r="D501">
        <v>5</v>
      </c>
      <c r="E501" t="s">
        <v>944</v>
      </c>
    </row>
    <row r="502" spans="1:5" x14ac:dyDescent="0.25">
      <c r="A502" t="s">
        <v>1800</v>
      </c>
      <c r="B502">
        <v>9003510300</v>
      </c>
      <c r="C502" t="s">
        <v>1801</v>
      </c>
      <c r="D502">
        <v>5</v>
      </c>
      <c r="E502" t="s">
        <v>944</v>
      </c>
    </row>
    <row r="503" spans="1:5" x14ac:dyDescent="0.25">
      <c r="A503" t="s">
        <v>2406</v>
      </c>
      <c r="B503">
        <v>9009352200</v>
      </c>
      <c r="C503" t="s">
        <v>2407</v>
      </c>
      <c r="D503">
        <v>8</v>
      </c>
      <c r="E503" t="s">
        <v>936</v>
      </c>
    </row>
    <row r="504" spans="1:5" x14ac:dyDescent="0.25">
      <c r="A504" t="s">
        <v>1802</v>
      </c>
      <c r="B504">
        <v>9003510400</v>
      </c>
      <c r="C504" t="s">
        <v>1803</v>
      </c>
      <c r="D504">
        <v>5</v>
      </c>
      <c r="E504" t="s">
        <v>944</v>
      </c>
    </row>
    <row r="505" spans="1:5" x14ac:dyDescent="0.25">
      <c r="A505" t="s">
        <v>2408</v>
      </c>
      <c r="B505">
        <v>9009352300</v>
      </c>
      <c r="C505" t="s">
        <v>2409</v>
      </c>
      <c r="D505">
        <v>6</v>
      </c>
      <c r="E505" t="s">
        <v>936</v>
      </c>
    </row>
    <row r="506" spans="1:5" x14ac:dyDescent="0.25">
      <c r="A506" t="s">
        <v>1804</v>
      </c>
      <c r="B506">
        <v>9003510500</v>
      </c>
      <c r="C506" t="s">
        <v>1805</v>
      </c>
      <c r="D506">
        <v>4</v>
      </c>
      <c r="E506" t="s">
        <v>944</v>
      </c>
    </row>
    <row r="507" spans="1:5" x14ac:dyDescent="0.25">
      <c r="A507" t="s">
        <v>2410</v>
      </c>
      <c r="B507">
        <v>9009352400</v>
      </c>
      <c r="C507" t="s">
        <v>2411</v>
      </c>
      <c r="D507">
        <v>6</v>
      </c>
      <c r="E507" t="s">
        <v>936</v>
      </c>
    </row>
    <row r="508" spans="1:5" x14ac:dyDescent="0.25">
      <c r="A508" t="s">
        <v>1806</v>
      </c>
      <c r="B508">
        <v>9003510600</v>
      </c>
      <c r="C508" t="s">
        <v>1807</v>
      </c>
      <c r="D508">
        <v>5</v>
      </c>
      <c r="E508" t="s">
        <v>944</v>
      </c>
    </row>
    <row r="509" spans="1:5" x14ac:dyDescent="0.25">
      <c r="A509" t="s">
        <v>2412</v>
      </c>
      <c r="B509">
        <v>9009352500</v>
      </c>
      <c r="C509" t="s">
        <v>2413</v>
      </c>
      <c r="D509">
        <v>5</v>
      </c>
      <c r="E509" t="s">
        <v>944</v>
      </c>
    </row>
    <row r="510" spans="1:5" x14ac:dyDescent="0.25">
      <c r="A510" t="s">
        <v>1808</v>
      </c>
      <c r="B510">
        <v>9003510700</v>
      </c>
      <c r="C510" t="s">
        <v>1809</v>
      </c>
      <c r="D510">
        <v>5</v>
      </c>
      <c r="E510" t="s">
        <v>944</v>
      </c>
    </row>
    <row r="511" spans="1:5" x14ac:dyDescent="0.25">
      <c r="A511" t="s">
        <v>1808</v>
      </c>
      <c r="B511">
        <v>9003510700</v>
      </c>
      <c r="C511" t="s">
        <v>1809</v>
      </c>
      <c r="D511">
        <v>5</v>
      </c>
      <c r="E511" t="s">
        <v>944</v>
      </c>
    </row>
    <row r="512" spans="1:5" x14ac:dyDescent="0.25">
      <c r="A512" t="s">
        <v>2414</v>
      </c>
      <c r="B512">
        <v>9009352600</v>
      </c>
      <c r="C512" t="s">
        <v>2415</v>
      </c>
      <c r="D512">
        <v>6</v>
      </c>
      <c r="E512" t="s">
        <v>936</v>
      </c>
    </row>
    <row r="513" spans="1:5" x14ac:dyDescent="0.25">
      <c r="A513" t="s">
        <v>1966</v>
      </c>
      <c r="B513">
        <v>9005360200</v>
      </c>
      <c r="C513" t="s">
        <v>1967</v>
      </c>
      <c r="D513">
        <v>3</v>
      </c>
      <c r="E513" t="s">
        <v>944</v>
      </c>
    </row>
    <row r="514" spans="1:5" x14ac:dyDescent="0.25">
      <c r="A514" t="s">
        <v>1810</v>
      </c>
      <c r="B514">
        <v>9003510800</v>
      </c>
      <c r="C514" t="s">
        <v>1811</v>
      </c>
      <c r="D514">
        <v>5</v>
      </c>
      <c r="E514" t="s">
        <v>944</v>
      </c>
    </row>
    <row r="515" spans="1:5" x14ac:dyDescent="0.25">
      <c r="A515" t="s">
        <v>1968</v>
      </c>
      <c r="B515">
        <v>9005360300</v>
      </c>
      <c r="C515" t="s">
        <v>1969</v>
      </c>
      <c r="D515">
        <v>4</v>
      </c>
      <c r="E515" t="s">
        <v>944</v>
      </c>
    </row>
    <row r="516" spans="1:5" x14ac:dyDescent="0.25">
      <c r="A516" t="s">
        <v>1812</v>
      </c>
      <c r="B516">
        <v>9003510900</v>
      </c>
      <c r="C516" t="s">
        <v>1813</v>
      </c>
      <c r="D516">
        <v>4</v>
      </c>
      <c r="E516" t="s">
        <v>944</v>
      </c>
    </row>
    <row r="517" spans="1:5" x14ac:dyDescent="0.25">
      <c r="A517" t="s">
        <v>1970</v>
      </c>
      <c r="B517">
        <v>9005360400</v>
      </c>
      <c r="C517" t="s">
        <v>1971</v>
      </c>
      <c r="D517">
        <v>5</v>
      </c>
      <c r="E517" t="s">
        <v>944</v>
      </c>
    </row>
    <row r="518" spans="1:5" x14ac:dyDescent="0.25">
      <c r="A518" t="s">
        <v>1814</v>
      </c>
      <c r="B518">
        <v>9003511000</v>
      </c>
      <c r="C518" t="s">
        <v>1815</v>
      </c>
      <c r="D518">
        <v>4</v>
      </c>
      <c r="E518" t="s">
        <v>944</v>
      </c>
    </row>
    <row r="519" spans="1:5" x14ac:dyDescent="0.25">
      <c r="A519" t="s">
        <v>2422</v>
      </c>
      <c r="B519">
        <v>9009361100</v>
      </c>
      <c r="C519" t="s">
        <v>2423</v>
      </c>
      <c r="D519">
        <v>4</v>
      </c>
      <c r="E519" t="s">
        <v>944</v>
      </c>
    </row>
    <row r="520" spans="1:5" x14ac:dyDescent="0.25">
      <c r="A520" t="s">
        <v>1816</v>
      </c>
      <c r="B520">
        <v>9003511100</v>
      </c>
      <c r="C520" t="s">
        <v>1817</v>
      </c>
      <c r="D520">
        <v>4</v>
      </c>
      <c r="E520" t="s">
        <v>944</v>
      </c>
    </row>
    <row r="521" spans="1:5" x14ac:dyDescent="0.25">
      <c r="A521" t="s">
        <v>1818</v>
      </c>
      <c r="B521">
        <v>9003511200</v>
      </c>
      <c r="C521" t="s">
        <v>1819</v>
      </c>
      <c r="D521">
        <v>5</v>
      </c>
      <c r="E521" t="s">
        <v>944</v>
      </c>
    </row>
    <row r="522" spans="1:5" x14ac:dyDescent="0.25">
      <c r="A522" t="s">
        <v>1820</v>
      </c>
      <c r="B522">
        <v>9003511300</v>
      </c>
      <c r="C522" t="s">
        <v>1821</v>
      </c>
      <c r="D522">
        <v>4</v>
      </c>
      <c r="E522" t="s">
        <v>944</v>
      </c>
    </row>
    <row r="523" spans="1:5" x14ac:dyDescent="0.25">
      <c r="A523" t="s">
        <v>1822</v>
      </c>
      <c r="B523">
        <v>9003511400</v>
      </c>
      <c r="C523" t="s">
        <v>1823</v>
      </c>
      <c r="D523">
        <v>4</v>
      </c>
      <c r="E523" t="s">
        <v>944</v>
      </c>
    </row>
    <row r="524" spans="1:5" x14ac:dyDescent="0.25">
      <c r="A524" t="s">
        <v>1826</v>
      </c>
      <c r="B524">
        <v>9003514102</v>
      </c>
      <c r="C524" t="s">
        <v>1827</v>
      </c>
      <c r="D524">
        <v>3</v>
      </c>
      <c r="E524" t="s">
        <v>944</v>
      </c>
    </row>
    <row r="525" spans="1:5" x14ac:dyDescent="0.25">
      <c r="A525" t="s">
        <v>1826</v>
      </c>
      <c r="B525">
        <v>9003514102</v>
      </c>
      <c r="C525" t="s">
        <v>1827</v>
      </c>
      <c r="D525">
        <v>3</v>
      </c>
      <c r="E525" t="s">
        <v>944</v>
      </c>
    </row>
    <row r="526" spans="1:5" x14ac:dyDescent="0.25">
      <c r="A526" t="s">
        <v>1826</v>
      </c>
      <c r="B526">
        <v>9003514102</v>
      </c>
      <c r="C526" t="s">
        <v>1827</v>
      </c>
      <c r="D526">
        <v>3</v>
      </c>
      <c r="E526" t="s">
        <v>944</v>
      </c>
    </row>
    <row r="527" spans="1:5" x14ac:dyDescent="0.25">
      <c r="A527" t="s">
        <v>2464</v>
      </c>
      <c r="B527">
        <v>9011695202</v>
      </c>
      <c r="C527" t="s">
        <v>2465</v>
      </c>
      <c r="D527">
        <v>3</v>
      </c>
      <c r="E527" t="s">
        <v>944</v>
      </c>
    </row>
    <row r="528" spans="1:5" x14ac:dyDescent="0.25">
      <c r="A528" t="s">
        <v>2464</v>
      </c>
      <c r="B528">
        <v>9011695202</v>
      </c>
      <c r="C528" t="s">
        <v>2465</v>
      </c>
      <c r="D528">
        <v>3</v>
      </c>
      <c r="E528" t="s">
        <v>944</v>
      </c>
    </row>
    <row r="529" spans="1:5" x14ac:dyDescent="0.25">
      <c r="A529" t="s">
        <v>2542</v>
      </c>
      <c r="B529">
        <v>9011716101</v>
      </c>
      <c r="C529" t="s">
        <v>2543</v>
      </c>
      <c r="D529">
        <v>3</v>
      </c>
      <c r="E529" t="s">
        <v>944</v>
      </c>
    </row>
    <row r="530" spans="1:5" x14ac:dyDescent="0.25">
      <c r="A530" t="s">
        <v>2544</v>
      </c>
      <c r="B530">
        <v>9011716102</v>
      </c>
      <c r="C530" t="s">
        <v>2545</v>
      </c>
      <c r="D530">
        <v>3</v>
      </c>
      <c r="E530" t="s">
        <v>944</v>
      </c>
    </row>
    <row r="531" spans="1:5" x14ac:dyDescent="0.25">
      <c r="A531" t="s">
        <v>2544</v>
      </c>
      <c r="B531">
        <v>9011716102</v>
      </c>
      <c r="C531" t="s">
        <v>2545</v>
      </c>
      <c r="D531">
        <v>3</v>
      </c>
      <c r="E531" t="s">
        <v>944</v>
      </c>
    </row>
    <row r="532" spans="1:5" x14ac:dyDescent="0.25">
      <c r="A532" t="s">
        <v>2544</v>
      </c>
      <c r="B532">
        <v>9011716102</v>
      </c>
      <c r="C532" t="s">
        <v>2545</v>
      </c>
      <c r="D532">
        <v>3</v>
      </c>
      <c r="E532" t="s">
        <v>944</v>
      </c>
    </row>
    <row r="533" spans="1:5" x14ac:dyDescent="0.25">
      <c r="A533" t="s">
        <v>2556</v>
      </c>
      <c r="B533">
        <v>9011870701</v>
      </c>
      <c r="C533" t="s">
        <v>2557</v>
      </c>
      <c r="D533">
        <v>3</v>
      </c>
      <c r="E533" t="s">
        <v>944</v>
      </c>
    </row>
    <row r="534" spans="1:5" x14ac:dyDescent="0.25">
      <c r="A534" t="s">
        <v>1480</v>
      </c>
      <c r="B534">
        <v>9003415400</v>
      </c>
      <c r="C534" t="s">
        <v>1481</v>
      </c>
      <c r="D534">
        <v>6</v>
      </c>
      <c r="E534" t="s">
        <v>936</v>
      </c>
    </row>
    <row r="535" spans="1:5" x14ac:dyDescent="0.25">
      <c r="A535" t="s">
        <v>2558</v>
      </c>
      <c r="B535">
        <v>9011870703</v>
      </c>
      <c r="C535" t="s">
        <v>2559</v>
      </c>
      <c r="D535">
        <v>4</v>
      </c>
      <c r="E535" t="s">
        <v>944</v>
      </c>
    </row>
    <row r="536" spans="1:5" x14ac:dyDescent="0.25">
      <c r="A536" t="s">
        <v>1502</v>
      </c>
      <c r="B536">
        <v>9003416500</v>
      </c>
      <c r="C536" t="s">
        <v>1503</v>
      </c>
      <c r="D536">
        <v>4</v>
      </c>
      <c r="E536" t="s">
        <v>944</v>
      </c>
    </row>
    <row r="537" spans="1:5" x14ac:dyDescent="0.25">
      <c r="A537" t="s">
        <v>2560</v>
      </c>
      <c r="B537">
        <v>9011870704</v>
      </c>
      <c r="C537" t="s">
        <v>2561</v>
      </c>
      <c r="D537">
        <v>4</v>
      </c>
      <c r="E537" t="s">
        <v>944</v>
      </c>
    </row>
    <row r="538" spans="1:5" x14ac:dyDescent="0.25">
      <c r="A538" t="s">
        <v>1522</v>
      </c>
      <c r="B538">
        <v>9003420600</v>
      </c>
      <c r="C538" t="s">
        <v>1523</v>
      </c>
      <c r="D538">
        <v>4</v>
      </c>
      <c r="E538" t="s">
        <v>944</v>
      </c>
    </row>
    <row r="539" spans="1:5" x14ac:dyDescent="0.25">
      <c r="A539" t="s">
        <v>1522</v>
      </c>
      <c r="B539">
        <v>9003420600</v>
      </c>
      <c r="C539" t="s">
        <v>1523</v>
      </c>
      <c r="D539">
        <v>4</v>
      </c>
      <c r="E539" t="s">
        <v>944</v>
      </c>
    </row>
    <row r="540" spans="1:5" x14ac:dyDescent="0.25">
      <c r="A540" t="s">
        <v>1648</v>
      </c>
      <c r="B540">
        <v>9003484100</v>
      </c>
      <c r="C540" t="s">
        <v>1649</v>
      </c>
      <c r="D540">
        <v>4</v>
      </c>
      <c r="E540" t="s">
        <v>944</v>
      </c>
    </row>
    <row r="541" spans="1:5" x14ac:dyDescent="0.25">
      <c r="A541" t="s">
        <v>1524</v>
      </c>
      <c r="B541">
        <v>9003420700</v>
      </c>
      <c r="C541" t="s">
        <v>1525</v>
      </c>
      <c r="D541">
        <v>4</v>
      </c>
      <c r="E541" t="s">
        <v>944</v>
      </c>
    </row>
    <row r="542" spans="1:5" x14ac:dyDescent="0.25">
      <c r="A542" t="s">
        <v>1650</v>
      </c>
      <c r="B542">
        <v>9003484200</v>
      </c>
      <c r="C542" t="s">
        <v>1651</v>
      </c>
      <c r="D542">
        <v>3</v>
      </c>
      <c r="E542" t="s">
        <v>944</v>
      </c>
    </row>
    <row r="543" spans="1:5" x14ac:dyDescent="0.25">
      <c r="A543" t="s">
        <v>1650</v>
      </c>
      <c r="B543">
        <v>9003484200</v>
      </c>
      <c r="C543" t="s">
        <v>1651</v>
      </c>
      <c r="D543">
        <v>3</v>
      </c>
      <c r="E543" t="s">
        <v>944</v>
      </c>
    </row>
    <row r="544" spans="1:5" x14ac:dyDescent="0.25">
      <c r="A544" t="s">
        <v>1650</v>
      </c>
      <c r="B544">
        <v>9003484200</v>
      </c>
      <c r="C544" t="s">
        <v>1651</v>
      </c>
      <c r="D544">
        <v>3</v>
      </c>
      <c r="E544" t="s">
        <v>944</v>
      </c>
    </row>
    <row r="545" spans="1:5" x14ac:dyDescent="0.25">
      <c r="A545" t="s">
        <v>1980</v>
      </c>
      <c r="B545">
        <v>9005425500</v>
      </c>
      <c r="C545" t="s">
        <v>1981</v>
      </c>
      <c r="D545">
        <v>4</v>
      </c>
      <c r="E545" t="s">
        <v>944</v>
      </c>
    </row>
    <row r="546" spans="1:5" x14ac:dyDescent="0.25">
      <c r="A546" t="s">
        <v>1652</v>
      </c>
      <c r="B546">
        <v>9003487100</v>
      </c>
      <c r="C546" t="s">
        <v>1653</v>
      </c>
      <c r="D546">
        <v>2</v>
      </c>
      <c r="E546" t="s">
        <v>944</v>
      </c>
    </row>
    <row r="547" spans="1:5" x14ac:dyDescent="0.25">
      <c r="A547" t="s">
        <v>1652</v>
      </c>
      <c r="B547">
        <v>9003487100</v>
      </c>
      <c r="C547" t="s">
        <v>1653</v>
      </c>
      <c r="D547">
        <v>2</v>
      </c>
      <c r="E547" t="s">
        <v>944</v>
      </c>
    </row>
    <row r="548" spans="1:5" x14ac:dyDescent="0.25">
      <c r="A548" t="s">
        <v>1526</v>
      </c>
      <c r="B548">
        <v>9003430100</v>
      </c>
      <c r="C548" t="s">
        <v>1527</v>
      </c>
      <c r="D548">
        <v>3</v>
      </c>
      <c r="E548" t="s">
        <v>944</v>
      </c>
    </row>
    <row r="549" spans="1:5" x14ac:dyDescent="0.25">
      <c r="A549" t="s">
        <v>1530</v>
      </c>
      <c r="B549">
        <v>9003430202</v>
      </c>
      <c r="C549" t="s">
        <v>1531</v>
      </c>
      <c r="D549">
        <v>3</v>
      </c>
      <c r="E549" t="s">
        <v>944</v>
      </c>
    </row>
    <row r="550" spans="1:5" x14ac:dyDescent="0.25">
      <c r="A550" t="s">
        <v>2570</v>
      </c>
      <c r="B550">
        <v>9013530100</v>
      </c>
      <c r="C550" t="s">
        <v>2571</v>
      </c>
      <c r="D550">
        <v>4</v>
      </c>
      <c r="E550" t="s">
        <v>944</v>
      </c>
    </row>
    <row r="551" spans="1:5" x14ac:dyDescent="0.25">
      <c r="A551" t="s">
        <v>2570</v>
      </c>
      <c r="B551">
        <v>9013530100</v>
      </c>
      <c r="C551" t="s">
        <v>2571</v>
      </c>
      <c r="D551">
        <v>4</v>
      </c>
      <c r="E551" t="s">
        <v>944</v>
      </c>
    </row>
    <row r="552" spans="1:5" x14ac:dyDescent="0.25">
      <c r="A552" t="s">
        <v>1534</v>
      </c>
      <c r="B552">
        <v>9003430301</v>
      </c>
      <c r="C552" t="s">
        <v>1535</v>
      </c>
      <c r="D552">
        <v>3</v>
      </c>
      <c r="E552" t="s">
        <v>944</v>
      </c>
    </row>
    <row r="553" spans="1:5" x14ac:dyDescent="0.25">
      <c r="A553" t="s">
        <v>1534</v>
      </c>
      <c r="B553">
        <v>9003430301</v>
      </c>
      <c r="C553" t="s">
        <v>1535</v>
      </c>
      <c r="D553">
        <v>3</v>
      </c>
      <c r="E553" t="s">
        <v>944</v>
      </c>
    </row>
    <row r="554" spans="1:5" x14ac:dyDescent="0.25">
      <c r="A554" t="s">
        <v>1538</v>
      </c>
      <c r="B554">
        <v>9003430400</v>
      </c>
      <c r="C554" t="s">
        <v>1539</v>
      </c>
      <c r="D554">
        <v>4</v>
      </c>
      <c r="E554" t="s">
        <v>944</v>
      </c>
    </row>
    <row r="555" spans="1:5" x14ac:dyDescent="0.25">
      <c r="A555" t="s">
        <v>1540</v>
      </c>
      <c r="B555">
        <v>9003430500</v>
      </c>
      <c r="C555" t="s">
        <v>1541</v>
      </c>
      <c r="D555">
        <v>3</v>
      </c>
      <c r="E555" t="s">
        <v>944</v>
      </c>
    </row>
    <row r="556" spans="1:5" x14ac:dyDescent="0.25">
      <c r="A556" t="s">
        <v>2588</v>
      </c>
      <c r="B556">
        <v>9013535100</v>
      </c>
      <c r="C556" t="s">
        <v>2589</v>
      </c>
      <c r="D556">
        <v>3</v>
      </c>
      <c r="E556" t="s">
        <v>944</v>
      </c>
    </row>
    <row r="557" spans="1:5" x14ac:dyDescent="0.25">
      <c r="A557" t="s">
        <v>2588</v>
      </c>
      <c r="B557">
        <v>9013535100</v>
      </c>
      <c r="C557" t="s">
        <v>2589</v>
      </c>
      <c r="D557">
        <v>3</v>
      </c>
      <c r="E557" t="s">
        <v>944</v>
      </c>
    </row>
    <row r="558" spans="1:5" x14ac:dyDescent="0.25">
      <c r="A558" t="s">
        <v>2590</v>
      </c>
      <c r="B558">
        <v>9013535200</v>
      </c>
      <c r="C558" t="s">
        <v>2591</v>
      </c>
      <c r="D558">
        <v>3</v>
      </c>
      <c r="E558" t="s">
        <v>944</v>
      </c>
    </row>
    <row r="559" spans="1:5" x14ac:dyDescent="0.25">
      <c r="A559" t="s">
        <v>2590</v>
      </c>
      <c r="B559">
        <v>9013535200</v>
      </c>
      <c r="C559" t="s">
        <v>2591</v>
      </c>
      <c r="D559">
        <v>3</v>
      </c>
      <c r="E559" t="s">
        <v>944</v>
      </c>
    </row>
    <row r="560" spans="1:5" x14ac:dyDescent="0.25">
      <c r="A560" t="s">
        <v>2590</v>
      </c>
      <c r="B560">
        <v>9013535200</v>
      </c>
      <c r="C560" t="s">
        <v>2591</v>
      </c>
      <c r="D560">
        <v>3</v>
      </c>
      <c r="E560" t="s">
        <v>944</v>
      </c>
    </row>
    <row r="561" spans="1:5" x14ac:dyDescent="0.25">
      <c r="A561" t="s">
        <v>2592</v>
      </c>
      <c r="B561">
        <v>9013538201</v>
      </c>
      <c r="C561" t="s">
        <v>2593</v>
      </c>
      <c r="D561">
        <v>3</v>
      </c>
      <c r="E561" t="s">
        <v>944</v>
      </c>
    </row>
    <row r="562" spans="1:5" x14ac:dyDescent="0.25">
      <c r="A562" t="s">
        <v>2592</v>
      </c>
      <c r="B562">
        <v>9013538201</v>
      </c>
      <c r="C562" t="s">
        <v>2593</v>
      </c>
      <c r="D562">
        <v>3</v>
      </c>
      <c r="E562" t="s">
        <v>944</v>
      </c>
    </row>
    <row r="563" spans="1:5" x14ac:dyDescent="0.25">
      <c r="A563" t="s">
        <v>2594</v>
      </c>
      <c r="B563">
        <v>9013538202</v>
      </c>
      <c r="C563" t="s">
        <v>2595</v>
      </c>
      <c r="D563">
        <v>3</v>
      </c>
      <c r="E563" t="s">
        <v>944</v>
      </c>
    </row>
    <row r="564" spans="1:5" x14ac:dyDescent="0.25">
      <c r="A564" t="s">
        <v>2594</v>
      </c>
      <c r="B564">
        <v>9013538202</v>
      </c>
      <c r="C564" t="s">
        <v>2595</v>
      </c>
      <c r="D564">
        <v>3</v>
      </c>
      <c r="E564" t="s">
        <v>944</v>
      </c>
    </row>
    <row r="565" spans="1:5" x14ac:dyDescent="0.25">
      <c r="A565" t="s">
        <v>1626</v>
      </c>
      <c r="B565">
        <v>9003480300</v>
      </c>
      <c r="C565" t="s">
        <v>1627</v>
      </c>
      <c r="D565">
        <v>4</v>
      </c>
      <c r="E565" t="s">
        <v>944</v>
      </c>
    </row>
    <row r="566" spans="1:5" x14ac:dyDescent="0.25">
      <c r="A566" t="s">
        <v>1628</v>
      </c>
      <c r="B566">
        <v>9003480400</v>
      </c>
      <c r="C566" t="s">
        <v>1629</v>
      </c>
      <c r="D566">
        <v>3</v>
      </c>
      <c r="E566" t="s">
        <v>944</v>
      </c>
    </row>
    <row r="567" spans="1:5" x14ac:dyDescent="0.25">
      <c r="A567" t="s">
        <v>1630</v>
      </c>
      <c r="B567">
        <v>9003480500</v>
      </c>
      <c r="C567" t="s">
        <v>1631</v>
      </c>
      <c r="D567">
        <v>4</v>
      </c>
      <c r="E567" t="s">
        <v>944</v>
      </c>
    </row>
    <row r="568" spans="1:5" x14ac:dyDescent="0.25">
      <c r="A568" t="s">
        <v>1548</v>
      </c>
      <c r="B568">
        <v>9003460202</v>
      </c>
      <c r="C568" t="s">
        <v>1549</v>
      </c>
      <c r="D568">
        <v>2</v>
      </c>
      <c r="E568" t="s">
        <v>944</v>
      </c>
    </row>
    <row r="569" spans="1:5" x14ac:dyDescent="0.25">
      <c r="A569" t="s">
        <v>1548</v>
      </c>
      <c r="B569">
        <v>9003460202</v>
      </c>
      <c r="C569" t="s">
        <v>1549</v>
      </c>
      <c r="D569">
        <v>2</v>
      </c>
      <c r="E569" t="s">
        <v>944</v>
      </c>
    </row>
    <row r="570" spans="1:5" x14ac:dyDescent="0.25">
      <c r="A570" t="s">
        <v>1632</v>
      </c>
      <c r="B570">
        <v>9003480600</v>
      </c>
      <c r="C570" t="s">
        <v>1633</v>
      </c>
      <c r="D570">
        <v>5</v>
      </c>
      <c r="E570" t="s">
        <v>944</v>
      </c>
    </row>
    <row r="571" spans="1:5" x14ac:dyDescent="0.25">
      <c r="A571" t="s">
        <v>1552</v>
      </c>
      <c r="B571">
        <v>9003460204</v>
      </c>
      <c r="C571" t="s">
        <v>1553</v>
      </c>
      <c r="D571">
        <v>2</v>
      </c>
      <c r="E571" t="s">
        <v>944</v>
      </c>
    </row>
    <row r="572" spans="1:5" x14ac:dyDescent="0.25">
      <c r="A572" t="s">
        <v>1634</v>
      </c>
      <c r="B572">
        <v>9003480700</v>
      </c>
      <c r="C572" t="s">
        <v>1635</v>
      </c>
      <c r="D572">
        <v>4</v>
      </c>
      <c r="E572" t="s">
        <v>944</v>
      </c>
    </row>
    <row r="573" spans="1:5" x14ac:dyDescent="0.25">
      <c r="A573" t="s">
        <v>1636</v>
      </c>
      <c r="B573">
        <v>9003480800</v>
      </c>
      <c r="C573" t="s">
        <v>1637</v>
      </c>
      <c r="D573">
        <v>3</v>
      </c>
      <c r="E573" t="s">
        <v>944</v>
      </c>
    </row>
    <row r="574" spans="1:5" x14ac:dyDescent="0.25">
      <c r="A574" t="s">
        <v>1638</v>
      </c>
      <c r="B574">
        <v>9003480900</v>
      </c>
      <c r="C574" t="s">
        <v>1639</v>
      </c>
      <c r="D574">
        <v>3</v>
      </c>
      <c r="E574" t="s">
        <v>944</v>
      </c>
    </row>
    <row r="575" spans="1:5" x14ac:dyDescent="0.25">
      <c r="A575" t="s">
        <v>1640</v>
      </c>
      <c r="B575">
        <v>9003481000</v>
      </c>
      <c r="C575" t="s">
        <v>1641</v>
      </c>
      <c r="D575">
        <v>3</v>
      </c>
      <c r="E575" t="s">
        <v>944</v>
      </c>
    </row>
    <row r="576" spans="1:5" x14ac:dyDescent="0.25">
      <c r="A576" t="s">
        <v>1578</v>
      </c>
      <c r="B576">
        <v>9003466300</v>
      </c>
      <c r="C576" t="s">
        <v>1579</v>
      </c>
      <c r="D576">
        <v>2</v>
      </c>
      <c r="E576" t="s">
        <v>944</v>
      </c>
    </row>
    <row r="577" spans="1:5" x14ac:dyDescent="0.25">
      <c r="A577" t="s">
        <v>1642</v>
      </c>
      <c r="B577">
        <v>9003481100</v>
      </c>
      <c r="C577" t="s">
        <v>1643</v>
      </c>
      <c r="D577">
        <v>3</v>
      </c>
      <c r="E577" t="s">
        <v>944</v>
      </c>
    </row>
    <row r="578" spans="1:5" x14ac:dyDescent="0.25">
      <c r="A578" t="s">
        <v>1582</v>
      </c>
      <c r="B578">
        <v>9003468101</v>
      </c>
      <c r="C578" t="s">
        <v>1583</v>
      </c>
      <c r="D578">
        <v>3</v>
      </c>
      <c r="E578" t="s">
        <v>944</v>
      </c>
    </row>
    <row r="579" spans="1:5" x14ac:dyDescent="0.25">
      <c r="A579" t="s">
        <v>1582</v>
      </c>
      <c r="B579">
        <v>9003468101</v>
      </c>
      <c r="C579" t="s">
        <v>1583</v>
      </c>
      <c r="D579">
        <v>3</v>
      </c>
      <c r="E579" t="s">
        <v>944</v>
      </c>
    </row>
    <row r="580" spans="1:5" x14ac:dyDescent="0.25">
      <c r="A580" t="s">
        <v>1584</v>
      </c>
      <c r="B580">
        <v>9003468102</v>
      </c>
      <c r="C580" t="s">
        <v>1585</v>
      </c>
      <c r="D580">
        <v>3</v>
      </c>
      <c r="E580" t="s">
        <v>944</v>
      </c>
    </row>
    <row r="581" spans="1:5" x14ac:dyDescent="0.25">
      <c r="A581" t="s">
        <v>1644</v>
      </c>
      <c r="B581">
        <v>9003481200</v>
      </c>
      <c r="C581" t="s">
        <v>1645</v>
      </c>
      <c r="D581">
        <v>3</v>
      </c>
      <c r="E581" t="s">
        <v>944</v>
      </c>
    </row>
    <row r="582" spans="1:5" x14ac:dyDescent="0.25">
      <c r="A582" t="s">
        <v>1646</v>
      </c>
      <c r="B582">
        <v>9003481300</v>
      </c>
      <c r="C582" t="s">
        <v>1647</v>
      </c>
      <c r="D582">
        <v>3</v>
      </c>
      <c r="E582" t="s">
        <v>944</v>
      </c>
    </row>
    <row r="583" spans="1:5" x14ac:dyDescent="0.25">
      <c r="A583" t="s">
        <v>1870</v>
      </c>
      <c r="B583">
        <v>9003524300</v>
      </c>
      <c r="C583" t="s">
        <v>1871</v>
      </c>
      <c r="D583">
        <v>3</v>
      </c>
      <c r="E583" t="s">
        <v>944</v>
      </c>
    </row>
    <row r="584" spans="1:5" x14ac:dyDescent="0.25">
      <c r="A584" t="s">
        <v>2044</v>
      </c>
      <c r="B584">
        <v>9007630100</v>
      </c>
      <c r="C584" t="s">
        <v>2045</v>
      </c>
      <c r="D584">
        <v>3</v>
      </c>
      <c r="E584" t="s">
        <v>944</v>
      </c>
    </row>
    <row r="585" spans="1:5" x14ac:dyDescent="0.25">
      <c r="A585" t="s">
        <v>2048</v>
      </c>
      <c r="B585">
        <v>9007670100</v>
      </c>
      <c r="C585" t="s">
        <v>2049</v>
      </c>
      <c r="D585">
        <v>4</v>
      </c>
      <c r="E585" t="s">
        <v>944</v>
      </c>
    </row>
    <row r="586" spans="1:5" x14ac:dyDescent="0.25">
      <c r="A586" t="s">
        <v>2048</v>
      </c>
      <c r="B586">
        <v>9007670100</v>
      </c>
      <c r="C586" t="s">
        <v>2049</v>
      </c>
      <c r="D586">
        <v>4</v>
      </c>
      <c r="E586" t="s">
        <v>944</v>
      </c>
    </row>
    <row r="587" spans="1:5" x14ac:dyDescent="0.25">
      <c r="A587" t="s">
        <v>1546</v>
      </c>
      <c r="B587">
        <v>9003460100</v>
      </c>
      <c r="C587" t="s">
        <v>1547</v>
      </c>
      <c r="D587">
        <v>2</v>
      </c>
      <c r="E587" t="s">
        <v>944</v>
      </c>
    </row>
    <row r="588" spans="1:5" x14ac:dyDescent="0.25">
      <c r="A588" t="s">
        <v>1546</v>
      </c>
      <c r="B588">
        <v>9003460100</v>
      </c>
      <c r="C588" t="s">
        <v>1547</v>
      </c>
      <c r="D588">
        <v>2</v>
      </c>
      <c r="E588" t="s">
        <v>944</v>
      </c>
    </row>
    <row r="589" spans="1:5" x14ac:dyDescent="0.25">
      <c r="A589" t="s">
        <v>1546</v>
      </c>
      <c r="B589">
        <v>9003460100</v>
      </c>
      <c r="C589" t="s">
        <v>1547</v>
      </c>
      <c r="D589">
        <v>2</v>
      </c>
      <c r="E589" t="s">
        <v>944</v>
      </c>
    </row>
    <row r="590" spans="1:5" x14ac:dyDescent="0.25">
      <c r="A590" t="s">
        <v>1660</v>
      </c>
      <c r="B590">
        <v>9003487400</v>
      </c>
      <c r="C590" t="s">
        <v>1661</v>
      </c>
      <c r="D590">
        <v>3</v>
      </c>
      <c r="E590" t="s">
        <v>944</v>
      </c>
    </row>
    <row r="591" spans="1:5" x14ac:dyDescent="0.25">
      <c r="A591" t="s">
        <v>1700</v>
      </c>
      <c r="B591">
        <v>9003496400</v>
      </c>
      <c r="C591" t="s">
        <v>1701</v>
      </c>
      <c r="D591">
        <v>2</v>
      </c>
      <c r="E591" t="s">
        <v>944</v>
      </c>
    </row>
    <row r="592" spans="1:5" x14ac:dyDescent="0.25">
      <c r="A592" t="s">
        <v>1702</v>
      </c>
      <c r="B592">
        <v>9003496500</v>
      </c>
      <c r="C592" t="s">
        <v>1703</v>
      </c>
      <c r="D592">
        <v>2</v>
      </c>
      <c r="E592" t="s">
        <v>944</v>
      </c>
    </row>
    <row r="593" spans="1:5" x14ac:dyDescent="0.25">
      <c r="A593" t="s">
        <v>1550</v>
      </c>
      <c r="B593">
        <v>9003460203</v>
      </c>
      <c r="C593" t="s">
        <v>1551</v>
      </c>
      <c r="D593">
        <v>2</v>
      </c>
      <c r="E593" t="s">
        <v>944</v>
      </c>
    </row>
    <row r="594" spans="1:5" x14ac:dyDescent="0.25">
      <c r="A594" t="s">
        <v>1704</v>
      </c>
      <c r="B594">
        <v>9003496600</v>
      </c>
      <c r="C594" t="s">
        <v>1705</v>
      </c>
      <c r="D594">
        <v>2</v>
      </c>
      <c r="E594" t="s">
        <v>944</v>
      </c>
    </row>
    <row r="595" spans="1:5" x14ac:dyDescent="0.25">
      <c r="A595" t="s">
        <v>1706</v>
      </c>
      <c r="B595">
        <v>9003496700</v>
      </c>
      <c r="C595" t="s">
        <v>1707</v>
      </c>
      <c r="D595">
        <v>3</v>
      </c>
      <c r="E595" t="s">
        <v>944</v>
      </c>
    </row>
    <row r="596" spans="1:5" x14ac:dyDescent="0.25">
      <c r="A596" t="s">
        <v>1706</v>
      </c>
      <c r="B596">
        <v>9003496700</v>
      </c>
      <c r="C596" t="s">
        <v>1707</v>
      </c>
      <c r="D596">
        <v>3</v>
      </c>
      <c r="E596" t="s">
        <v>944</v>
      </c>
    </row>
    <row r="597" spans="1:5" x14ac:dyDescent="0.25">
      <c r="A597" t="s">
        <v>1696</v>
      </c>
      <c r="B597">
        <v>9003496200</v>
      </c>
      <c r="C597" t="s">
        <v>1697</v>
      </c>
      <c r="D597">
        <v>3</v>
      </c>
      <c r="E597" t="s">
        <v>944</v>
      </c>
    </row>
    <row r="598" spans="1:5" x14ac:dyDescent="0.25">
      <c r="A598" t="s">
        <v>1696</v>
      </c>
      <c r="B598">
        <v>9003496200</v>
      </c>
      <c r="C598" t="s">
        <v>1697</v>
      </c>
      <c r="D598">
        <v>3</v>
      </c>
      <c r="E598" t="s">
        <v>944</v>
      </c>
    </row>
    <row r="599" spans="1:5" x14ac:dyDescent="0.25">
      <c r="A599" t="s">
        <v>1696</v>
      </c>
      <c r="B599">
        <v>9003496200</v>
      </c>
      <c r="C599" t="s">
        <v>1697</v>
      </c>
      <c r="D599">
        <v>3</v>
      </c>
      <c r="E599" t="s">
        <v>944</v>
      </c>
    </row>
    <row r="600" spans="1:5" x14ac:dyDescent="0.25">
      <c r="A600" t="s">
        <v>1696</v>
      </c>
      <c r="B600">
        <v>9003496200</v>
      </c>
      <c r="C600" t="s">
        <v>1697</v>
      </c>
      <c r="D600">
        <v>3</v>
      </c>
      <c r="E600" t="s">
        <v>944</v>
      </c>
    </row>
    <row r="601" spans="1:5" x14ac:dyDescent="0.25">
      <c r="A601" t="s">
        <v>1696</v>
      </c>
      <c r="B601">
        <v>9003496200</v>
      </c>
      <c r="C601" t="s">
        <v>1697</v>
      </c>
      <c r="D601">
        <v>3</v>
      </c>
      <c r="E601" t="s">
        <v>944</v>
      </c>
    </row>
    <row r="602" spans="1:5" x14ac:dyDescent="0.25">
      <c r="A602" t="s">
        <v>1708</v>
      </c>
      <c r="B602">
        <v>9003496800</v>
      </c>
      <c r="C602" t="s">
        <v>1709</v>
      </c>
      <c r="D602">
        <v>4</v>
      </c>
      <c r="E602" t="s">
        <v>944</v>
      </c>
    </row>
    <row r="603" spans="1:5" x14ac:dyDescent="0.25">
      <c r="A603" t="s">
        <v>1708</v>
      </c>
      <c r="B603">
        <v>9003496800</v>
      </c>
      <c r="C603" t="s">
        <v>1709</v>
      </c>
      <c r="D603">
        <v>4</v>
      </c>
      <c r="E603" t="s">
        <v>944</v>
      </c>
    </row>
    <row r="604" spans="1:5" x14ac:dyDescent="0.25">
      <c r="A604" t="s">
        <v>1712</v>
      </c>
      <c r="B604">
        <v>9003497000</v>
      </c>
      <c r="C604" t="s">
        <v>1713</v>
      </c>
      <c r="D604">
        <v>2</v>
      </c>
      <c r="E604" t="s">
        <v>944</v>
      </c>
    </row>
    <row r="605" spans="1:5" x14ac:dyDescent="0.25">
      <c r="A605" t="s">
        <v>1714</v>
      </c>
      <c r="B605">
        <v>9003497100</v>
      </c>
      <c r="C605" t="s">
        <v>1715</v>
      </c>
      <c r="D605">
        <v>2</v>
      </c>
      <c r="E605" t="s">
        <v>944</v>
      </c>
    </row>
    <row r="606" spans="1:5" x14ac:dyDescent="0.25">
      <c r="A606" t="s">
        <v>1714</v>
      </c>
      <c r="B606">
        <v>9003497100</v>
      </c>
      <c r="C606" t="s">
        <v>1715</v>
      </c>
      <c r="D606">
        <v>2</v>
      </c>
      <c r="E606" t="s">
        <v>944</v>
      </c>
    </row>
    <row r="607" spans="1:5" x14ac:dyDescent="0.25">
      <c r="A607" t="s">
        <v>2530</v>
      </c>
      <c r="B607">
        <v>9011712100</v>
      </c>
      <c r="C607" t="s">
        <v>2531</v>
      </c>
      <c r="D607">
        <v>3</v>
      </c>
      <c r="E607" t="s">
        <v>944</v>
      </c>
    </row>
    <row r="608" spans="1:5" x14ac:dyDescent="0.25">
      <c r="A608" t="s">
        <v>2530</v>
      </c>
      <c r="B608">
        <v>9011712100</v>
      </c>
      <c r="C608" t="s">
        <v>2531</v>
      </c>
      <c r="D608">
        <v>3</v>
      </c>
      <c r="E608" t="s">
        <v>944</v>
      </c>
    </row>
    <row r="609" spans="1:5" x14ac:dyDescent="0.25">
      <c r="A609" t="s">
        <v>1478</v>
      </c>
      <c r="B609">
        <v>9003415300</v>
      </c>
      <c r="C609" t="s">
        <v>1479</v>
      </c>
      <c r="D609">
        <v>8</v>
      </c>
      <c r="E609" t="s">
        <v>936</v>
      </c>
    </row>
    <row r="610" spans="1:5" x14ac:dyDescent="0.25">
      <c r="A610" t="s">
        <v>1852</v>
      </c>
      <c r="B610">
        <v>9003520100</v>
      </c>
      <c r="C610" t="s">
        <v>1853</v>
      </c>
      <c r="D610">
        <v>2</v>
      </c>
      <c r="E610" t="s">
        <v>944</v>
      </c>
    </row>
    <row r="611" spans="1:5" x14ac:dyDescent="0.25">
      <c r="A611" t="s">
        <v>1852</v>
      </c>
      <c r="B611">
        <v>9003520100</v>
      </c>
      <c r="C611" t="s">
        <v>1853</v>
      </c>
      <c r="D611">
        <v>2</v>
      </c>
      <c r="E611" t="s">
        <v>944</v>
      </c>
    </row>
    <row r="612" spans="1:5" x14ac:dyDescent="0.25">
      <c r="A612" t="s">
        <v>1728</v>
      </c>
      <c r="B612">
        <v>9003500100</v>
      </c>
      <c r="C612" t="s">
        <v>1729</v>
      </c>
      <c r="D612">
        <v>9</v>
      </c>
      <c r="E612" t="s">
        <v>936</v>
      </c>
    </row>
    <row r="613" spans="1:5" x14ac:dyDescent="0.25">
      <c r="A613" t="s">
        <v>1854</v>
      </c>
      <c r="B613">
        <v>9003520201</v>
      </c>
      <c r="C613" t="s">
        <v>1855</v>
      </c>
      <c r="D613">
        <v>2</v>
      </c>
      <c r="E613" t="s">
        <v>944</v>
      </c>
    </row>
    <row r="614" spans="1:5" x14ac:dyDescent="0.25">
      <c r="A614" t="s">
        <v>1854</v>
      </c>
      <c r="B614">
        <v>9003520201</v>
      </c>
      <c r="C614" t="s">
        <v>1855</v>
      </c>
      <c r="D614">
        <v>2</v>
      </c>
      <c r="E614" t="s">
        <v>944</v>
      </c>
    </row>
    <row r="615" spans="1:5" x14ac:dyDescent="0.25">
      <c r="A615" t="s">
        <v>1736</v>
      </c>
      <c r="B615">
        <v>9003500500</v>
      </c>
      <c r="C615" t="s">
        <v>1737</v>
      </c>
      <c r="D615">
        <v>3</v>
      </c>
      <c r="E615" t="s">
        <v>944</v>
      </c>
    </row>
    <row r="616" spans="1:5" x14ac:dyDescent="0.25">
      <c r="A616" t="s">
        <v>1744</v>
      </c>
      <c r="B616">
        <v>9003501400</v>
      </c>
      <c r="C616" t="s">
        <v>1745</v>
      </c>
      <c r="D616">
        <v>8</v>
      </c>
      <c r="E616" t="s">
        <v>936</v>
      </c>
    </row>
    <row r="617" spans="1:5" x14ac:dyDescent="0.25">
      <c r="A617" t="s">
        <v>1482</v>
      </c>
      <c r="B617">
        <v>9003415500</v>
      </c>
      <c r="C617" t="s">
        <v>1483</v>
      </c>
      <c r="D617">
        <v>6</v>
      </c>
      <c r="E617" t="s">
        <v>936</v>
      </c>
    </row>
    <row r="618" spans="1:5" x14ac:dyDescent="0.25">
      <c r="A618" t="s">
        <v>1856</v>
      </c>
      <c r="B618">
        <v>9003520202</v>
      </c>
      <c r="C618" t="s">
        <v>1857</v>
      </c>
      <c r="D618">
        <v>2</v>
      </c>
      <c r="E618" t="s">
        <v>944</v>
      </c>
    </row>
    <row r="619" spans="1:5" x14ac:dyDescent="0.25">
      <c r="A619" t="s">
        <v>1752</v>
      </c>
      <c r="B619">
        <v>9003502100</v>
      </c>
      <c r="C619" t="s">
        <v>1753</v>
      </c>
      <c r="D619">
        <v>2</v>
      </c>
      <c r="E619" t="s">
        <v>944</v>
      </c>
    </row>
    <row r="620" spans="1:5" x14ac:dyDescent="0.25">
      <c r="A620" t="s">
        <v>1484</v>
      </c>
      <c r="B620">
        <v>9003415600</v>
      </c>
      <c r="C620" t="s">
        <v>1485</v>
      </c>
      <c r="D620">
        <v>5</v>
      </c>
      <c r="E620" t="s">
        <v>944</v>
      </c>
    </row>
    <row r="621" spans="1:5" x14ac:dyDescent="0.25">
      <c r="A621" t="s">
        <v>1758</v>
      </c>
      <c r="B621">
        <v>9003502500</v>
      </c>
      <c r="C621" t="s">
        <v>1759</v>
      </c>
      <c r="D621">
        <v>6</v>
      </c>
      <c r="E621" t="s">
        <v>936</v>
      </c>
    </row>
    <row r="622" spans="1:5" x14ac:dyDescent="0.25">
      <c r="A622" t="s">
        <v>1858</v>
      </c>
      <c r="B622">
        <v>9003520301</v>
      </c>
      <c r="C622" t="s">
        <v>1859</v>
      </c>
      <c r="D622">
        <v>3</v>
      </c>
      <c r="E622" t="s">
        <v>944</v>
      </c>
    </row>
    <row r="623" spans="1:5" x14ac:dyDescent="0.25">
      <c r="A623" t="s">
        <v>1760</v>
      </c>
      <c r="B623">
        <v>9003502600</v>
      </c>
      <c r="C623" t="s">
        <v>1761</v>
      </c>
      <c r="D623">
        <v>7</v>
      </c>
      <c r="E623" t="s">
        <v>936</v>
      </c>
    </row>
    <row r="624" spans="1:5" x14ac:dyDescent="0.25">
      <c r="A624" t="s">
        <v>1486</v>
      </c>
      <c r="B624">
        <v>9003415700</v>
      </c>
      <c r="C624" t="s">
        <v>1487</v>
      </c>
      <c r="D624">
        <v>5</v>
      </c>
      <c r="E624" t="s">
        <v>944</v>
      </c>
    </row>
    <row r="625" spans="1:5" x14ac:dyDescent="0.25">
      <c r="A625" t="s">
        <v>1762</v>
      </c>
      <c r="B625">
        <v>9003502700</v>
      </c>
      <c r="C625" t="s">
        <v>1763</v>
      </c>
      <c r="D625">
        <v>7</v>
      </c>
      <c r="E625" t="s">
        <v>936</v>
      </c>
    </row>
    <row r="626" spans="1:5" x14ac:dyDescent="0.25">
      <c r="A626" t="s">
        <v>1860</v>
      </c>
      <c r="B626">
        <v>9003520302</v>
      </c>
      <c r="C626" t="s">
        <v>1861</v>
      </c>
      <c r="D626">
        <v>3</v>
      </c>
      <c r="E626" t="s">
        <v>944</v>
      </c>
    </row>
    <row r="627" spans="1:5" x14ac:dyDescent="0.25">
      <c r="A627" t="s">
        <v>1488</v>
      </c>
      <c r="B627">
        <v>9003415800</v>
      </c>
      <c r="C627" t="s">
        <v>1489</v>
      </c>
      <c r="D627">
        <v>4</v>
      </c>
      <c r="E627" t="s">
        <v>944</v>
      </c>
    </row>
    <row r="628" spans="1:5" x14ac:dyDescent="0.25">
      <c r="A628" t="s">
        <v>1766</v>
      </c>
      <c r="B628">
        <v>9003502900</v>
      </c>
      <c r="C628" t="s">
        <v>1767</v>
      </c>
      <c r="D628">
        <v>5</v>
      </c>
      <c r="E628" t="s">
        <v>944</v>
      </c>
    </row>
    <row r="629" spans="1:5" x14ac:dyDescent="0.25">
      <c r="A629" t="s">
        <v>1862</v>
      </c>
      <c r="B629">
        <v>9003520400</v>
      </c>
      <c r="C629" t="s">
        <v>1863</v>
      </c>
      <c r="D629">
        <v>2</v>
      </c>
      <c r="E629" t="s">
        <v>944</v>
      </c>
    </row>
    <row r="630" spans="1:5" x14ac:dyDescent="0.25">
      <c r="A630" t="s">
        <v>1864</v>
      </c>
      <c r="B630">
        <v>9003520501</v>
      </c>
      <c r="C630" t="s">
        <v>1865</v>
      </c>
      <c r="D630">
        <v>2</v>
      </c>
      <c r="E630" t="s">
        <v>944</v>
      </c>
    </row>
    <row r="631" spans="1:5" x14ac:dyDescent="0.25">
      <c r="A631" t="s">
        <v>1770</v>
      </c>
      <c r="B631">
        <v>9003503100</v>
      </c>
      <c r="C631" t="s">
        <v>1771</v>
      </c>
      <c r="D631">
        <v>5</v>
      </c>
      <c r="E631" t="s">
        <v>944</v>
      </c>
    </row>
    <row r="632" spans="1:5" x14ac:dyDescent="0.25">
      <c r="A632" t="s">
        <v>1492</v>
      </c>
      <c r="B632">
        <v>9003416000</v>
      </c>
      <c r="C632" t="s">
        <v>1493</v>
      </c>
      <c r="D632">
        <v>6</v>
      </c>
      <c r="E632" t="s">
        <v>936</v>
      </c>
    </row>
    <row r="633" spans="1:5" x14ac:dyDescent="0.25">
      <c r="A633" t="s">
        <v>1776</v>
      </c>
      <c r="B633">
        <v>9003503700</v>
      </c>
      <c r="C633" t="s">
        <v>1777</v>
      </c>
      <c r="D633">
        <v>7</v>
      </c>
      <c r="E633" t="s">
        <v>936</v>
      </c>
    </row>
    <row r="634" spans="1:5" x14ac:dyDescent="0.25">
      <c r="A634" t="s">
        <v>2012</v>
      </c>
      <c r="B634">
        <v>9007560100</v>
      </c>
      <c r="C634" t="s">
        <v>2013</v>
      </c>
      <c r="D634">
        <v>3</v>
      </c>
      <c r="E634" t="s">
        <v>944</v>
      </c>
    </row>
    <row r="635" spans="1:5" x14ac:dyDescent="0.25">
      <c r="A635" t="s">
        <v>2012</v>
      </c>
      <c r="B635">
        <v>9007560100</v>
      </c>
      <c r="C635" t="s">
        <v>2013</v>
      </c>
      <c r="D635">
        <v>3</v>
      </c>
      <c r="E635" t="s">
        <v>944</v>
      </c>
    </row>
    <row r="636" spans="1:5" x14ac:dyDescent="0.25">
      <c r="A636" t="s">
        <v>1778</v>
      </c>
      <c r="B636">
        <v>9003503800</v>
      </c>
      <c r="C636" t="s">
        <v>1779</v>
      </c>
      <c r="D636">
        <v>11</v>
      </c>
      <c r="E636" t="s">
        <v>936</v>
      </c>
    </row>
    <row r="637" spans="1:5" x14ac:dyDescent="0.25">
      <c r="A637" t="s">
        <v>1494</v>
      </c>
      <c r="B637">
        <v>9003416100</v>
      </c>
      <c r="C637" t="s">
        <v>1495</v>
      </c>
      <c r="D637">
        <v>8</v>
      </c>
      <c r="E637" t="s">
        <v>936</v>
      </c>
    </row>
    <row r="638" spans="1:5" x14ac:dyDescent="0.25">
      <c r="A638" t="s">
        <v>1832</v>
      </c>
      <c r="B638">
        <v>9003514400</v>
      </c>
      <c r="C638" t="s">
        <v>1833</v>
      </c>
      <c r="D638">
        <v>4</v>
      </c>
      <c r="E638" t="s">
        <v>944</v>
      </c>
    </row>
    <row r="639" spans="1:5" x14ac:dyDescent="0.25">
      <c r="A639" t="s">
        <v>1496</v>
      </c>
      <c r="B639">
        <v>9003416200</v>
      </c>
      <c r="C639" t="s">
        <v>1497</v>
      </c>
      <c r="D639">
        <v>6</v>
      </c>
      <c r="E639" t="s">
        <v>936</v>
      </c>
    </row>
    <row r="640" spans="1:5" x14ac:dyDescent="0.25">
      <c r="A640" t="s">
        <v>1834</v>
      </c>
      <c r="B640">
        <v>9003514500</v>
      </c>
      <c r="C640" t="s">
        <v>1835</v>
      </c>
      <c r="D640">
        <v>4</v>
      </c>
      <c r="E640" t="s">
        <v>944</v>
      </c>
    </row>
    <row r="641" spans="1:5" x14ac:dyDescent="0.25">
      <c r="A641" t="s">
        <v>1498</v>
      </c>
      <c r="B641">
        <v>9003416300</v>
      </c>
      <c r="C641" t="s">
        <v>1499</v>
      </c>
      <c r="D641">
        <v>6</v>
      </c>
      <c r="E641" t="s">
        <v>936</v>
      </c>
    </row>
    <row r="642" spans="1:5" x14ac:dyDescent="0.25">
      <c r="A642" t="s">
        <v>1498</v>
      </c>
      <c r="B642">
        <v>9003416300</v>
      </c>
      <c r="C642" t="s">
        <v>1499</v>
      </c>
      <c r="D642">
        <v>6</v>
      </c>
      <c r="E642" t="s">
        <v>936</v>
      </c>
    </row>
    <row r="643" spans="1:5" x14ac:dyDescent="0.25">
      <c r="A643" t="s">
        <v>1836</v>
      </c>
      <c r="B643">
        <v>9003514600</v>
      </c>
      <c r="C643" t="s">
        <v>1837</v>
      </c>
      <c r="D643">
        <v>4</v>
      </c>
      <c r="E643" t="s">
        <v>944</v>
      </c>
    </row>
    <row r="644" spans="1:5" x14ac:dyDescent="0.25">
      <c r="A644" t="s">
        <v>1838</v>
      </c>
      <c r="B644">
        <v>9003514700</v>
      </c>
      <c r="C644" t="s">
        <v>1839</v>
      </c>
      <c r="D644">
        <v>5</v>
      </c>
      <c r="E644" t="s">
        <v>944</v>
      </c>
    </row>
    <row r="645" spans="1:5" x14ac:dyDescent="0.25">
      <c r="A645" t="s">
        <v>1840</v>
      </c>
      <c r="B645">
        <v>9003514800</v>
      </c>
      <c r="C645" t="s">
        <v>1841</v>
      </c>
      <c r="D645">
        <v>6</v>
      </c>
      <c r="E645" t="s">
        <v>936</v>
      </c>
    </row>
    <row r="646" spans="1:5" x14ac:dyDescent="0.25">
      <c r="A646" t="s">
        <v>1500</v>
      </c>
      <c r="B646">
        <v>9003416400</v>
      </c>
      <c r="C646" t="s">
        <v>1501</v>
      </c>
      <c r="D646">
        <v>3</v>
      </c>
      <c r="E646" t="s">
        <v>944</v>
      </c>
    </row>
    <row r="647" spans="1:5" x14ac:dyDescent="0.25">
      <c r="A647" t="s">
        <v>1844</v>
      </c>
      <c r="B647">
        <v>9003515000</v>
      </c>
      <c r="C647" t="s">
        <v>1845</v>
      </c>
      <c r="D647">
        <v>3</v>
      </c>
      <c r="E647" t="s">
        <v>944</v>
      </c>
    </row>
    <row r="648" spans="1:5" x14ac:dyDescent="0.25">
      <c r="A648" t="s">
        <v>1848</v>
      </c>
      <c r="B648">
        <v>9003515102</v>
      </c>
      <c r="C648" t="s">
        <v>1849</v>
      </c>
      <c r="D648">
        <v>3</v>
      </c>
      <c r="E648" t="s">
        <v>944</v>
      </c>
    </row>
    <row r="649" spans="1:5" x14ac:dyDescent="0.25">
      <c r="A649" t="s">
        <v>1850</v>
      </c>
      <c r="B649">
        <v>9003515200</v>
      </c>
      <c r="C649" t="s">
        <v>1851</v>
      </c>
      <c r="D649">
        <v>3</v>
      </c>
      <c r="E649" t="s">
        <v>944</v>
      </c>
    </row>
    <row r="650" spans="1:5" x14ac:dyDescent="0.25">
      <c r="A650" t="s">
        <v>1504</v>
      </c>
      <c r="B650">
        <v>9003416600</v>
      </c>
      <c r="C650" t="s">
        <v>1505</v>
      </c>
      <c r="D650">
        <v>6</v>
      </c>
      <c r="E650" t="s">
        <v>936</v>
      </c>
    </row>
    <row r="651" spans="1:5" x14ac:dyDescent="0.25">
      <c r="A651" t="s">
        <v>1506</v>
      </c>
      <c r="B651">
        <v>9003416700</v>
      </c>
      <c r="C651" t="s">
        <v>1507</v>
      </c>
      <c r="D651">
        <v>5</v>
      </c>
      <c r="E651" t="s">
        <v>944</v>
      </c>
    </row>
    <row r="652" spans="1:5" x14ac:dyDescent="0.25">
      <c r="A652" t="s">
        <v>1508</v>
      </c>
      <c r="B652">
        <v>9003416800</v>
      </c>
      <c r="C652" t="s">
        <v>1509</v>
      </c>
      <c r="D652">
        <v>5</v>
      </c>
      <c r="E652" t="s">
        <v>944</v>
      </c>
    </row>
    <row r="653" spans="1:5" x14ac:dyDescent="0.25">
      <c r="A653" t="s">
        <v>1874</v>
      </c>
      <c r="B653">
        <v>9003524501</v>
      </c>
      <c r="C653" t="s">
        <v>1875</v>
      </c>
      <c r="D653">
        <v>4</v>
      </c>
      <c r="E653" t="s">
        <v>944</v>
      </c>
    </row>
    <row r="654" spans="1:5" x14ac:dyDescent="0.25">
      <c r="A654" t="s">
        <v>1514</v>
      </c>
      <c r="B654">
        <v>9003417400</v>
      </c>
      <c r="C654" t="s">
        <v>1515</v>
      </c>
      <c r="D654">
        <v>3</v>
      </c>
      <c r="E654" t="s">
        <v>944</v>
      </c>
    </row>
    <row r="655" spans="1:5" x14ac:dyDescent="0.25">
      <c r="A655" t="s">
        <v>1516</v>
      </c>
      <c r="B655">
        <v>9003417500</v>
      </c>
      <c r="C655" t="s">
        <v>1517</v>
      </c>
      <c r="D655">
        <v>4</v>
      </c>
      <c r="E655" t="s">
        <v>944</v>
      </c>
    </row>
    <row r="656" spans="1:5" x14ac:dyDescent="0.25">
      <c r="A656" t="s">
        <v>1518</v>
      </c>
      <c r="B656">
        <v>9003420400</v>
      </c>
      <c r="C656" t="s">
        <v>1519</v>
      </c>
      <c r="D656">
        <v>3</v>
      </c>
      <c r="E656" t="s">
        <v>944</v>
      </c>
    </row>
    <row r="657" spans="1:5" x14ac:dyDescent="0.25">
      <c r="A657" t="s">
        <v>2022</v>
      </c>
      <c r="B657">
        <v>9007580100</v>
      </c>
      <c r="C657" t="s">
        <v>2023</v>
      </c>
      <c r="D657">
        <v>3</v>
      </c>
      <c r="E657" t="s">
        <v>944</v>
      </c>
    </row>
    <row r="658" spans="1:5" x14ac:dyDescent="0.25">
      <c r="A658" t="s">
        <v>2022</v>
      </c>
      <c r="B658">
        <v>9007580100</v>
      </c>
      <c r="C658" t="s">
        <v>2023</v>
      </c>
      <c r="D658">
        <v>3</v>
      </c>
      <c r="E658" t="s">
        <v>944</v>
      </c>
    </row>
    <row r="659" spans="1:5" x14ac:dyDescent="0.25">
      <c r="A659" t="s">
        <v>1528</v>
      </c>
      <c r="B659">
        <v>9003430201</v>
      </c>
      <c r="C659" t="s">
        <v>1529</v>
      </c>
      <c r="D659">
        <v>4</v>
      </c>
      <c r="E659" t="s">
        <v>944</v>
      </c>
    </row>
    <row r="660" spans="1:5" x14ac:dyDescent="0.25">
      <c r="A660" t="s">
        <v>1532</v>
      </c>
      <c r="B660">
        <v>9003430203</v>
      </c>
      <c r="C660" t="s">
        <v>1533</v>
      </c>
      <c r="D660">
        <v>3</v>
      </c>
      <c r="E660" t="s">
        <v>944</v>
      </c>
    </row>
    <row r="661" spans="1:5" x14ac:dyDescent="0.25">
      <c r="A661" t="s">
        <v>1536</v>
      </c>
      <c r="B661">
        <v>9003430302</v>
      </c>
      <c r="C661" t="s">
        <v>1537</v>
      </c>
      <c r="D661">
        <v>3</v>
      </c>
      <c r="E661" t="s">
        <v>944</v>
      </c>
    </row>
    <row r="662" spans="1:5" x14ac:dyDescent="0.25">
      <c r="A662" t="s">
        <v>2630</v>
      </c>
      <c r="B662">
        <v>9015820000</v>
      </c>
      <c r="C662" t="s">
        <v>2631</v>
      </c>
      <c r="D662">
        <v>4</v>
      </c>
      <c r="E662" t="s">
        <v>944</v>
      </c>
    </row>
    <row r="663" spans="1:5" x14ac:dyDescent="0.25">
      <c r="A663" t="s">
        <v>2522</v>
      </c>
      <c r="B663">
        <v>9011709100</v>
      </c>
      <c r="C663" t="s">
        <v>2523</v>
      </c>
      <c r="D663">
        <v>4</v>
      </c>
      <c r="E663" t="s">
        <v>944</v>
      </c>
    </row>
    <row r="664" spans="1:5" x14ac:dyDescent="0.25">
      <c r="A664" t="s">
        <v>2522</v>
      </c>
      <c r="B664">
        <v>9011709100</v>
      </c>
      <c r="C664" t="s">
        <v>2523</v>
      </c>
      <c r="D664">
        <v>4</v>
      </c>
      <c r="E664" t="s">
        <v>944</v>
      </c>
    </row>
    <row r="665" spans="1:5" x14ac:dyDescent="0.25">
      <c r="A665" t="s">
        <v>2522</v>
      </c>
      <c r="B665">
        <v>9011709100</v>
      </c>
      <c r="C665" t="s">
        <v>2523</v>
      </c>
      <c r="D665">
        <v>4</v>
      </c>
      <c r="E665" t="s">
        <v>944</v>
      </c>
    </row>
    <row r="666" spans="1:5" x14ac:dyDescent="0.25">
      <c r="A666" t="s">
        <v>2522</v>
      </c>
      <c r="B666">
        <v>9011709100</v>
      </c>
      <c r="C666" t="s">
        <v>2523</v>
      </c>
      <c r="D666">
        <v>4</v>
      </c>
      <c r="E666" t="s">
        <v>944</v>
      </c>
    </row>
    <row r="667" spans="1:5" x14ac:dyDescent="0.25">
      <c r="A667" t="s">
        <v>2596</v>
      </c>
      <c r="B667">
        <v>9013840100</v>
      </c>
      <c r="C667" t="s">
        <v>2597</v>
      </c>
      <c r="D667">
        <v>4</v>
      </c>
      <c r="E667" t="s">
        <v>944</v>
      </c>
    </row>
    <row r="668" spans="1:5" x14ac:dyDescent="0.25">
      <c r="A668" t="s">
        <v>2596</v>
      </c>
      <c r="B668">
        <v>9013840100</v>
      </c>
      <c r="C668" t="s">
        <v>2597</v>
      </c>
      <c r="D668">
        <v>4</v>
      </c>
      <c r="E668" t="s">
        <v>944</v>
      </c>
    </row>
    <row r="669" spans="1:5" x14ac:dyDescent="0.25">
      <c r="A669" t="s">
        <v>2606</v>
      </c>
      <c r="B669">
        <v>9013881200</v>
      </c>
      <c r="C669" t="s">
        <v>2607</v>
      </c>
      <c r="D669">
        <v>3</v>
      </c>
      <c r="E669" t="s">
        <v>944</v>
      </c>
    </row>
    <row r="670" spans="1:5" x14ac:dyDescent="0.25">
      <c r="A670" t="s">
        <v>2608</v>
      </c>
      <c r="B670">
        <v>9013881300</v>
      </c>
      <c r="C670" t="s">
        <v>2609</v>
      </c>
      <c r="D670">
        <v>4</v>
      </c>
      <c r="E670" t="s">
        <v>944</v>
      </c>
    </row>
    <row r="671" spans="1:5" x14ac:dyDescent="0.25">
      <c r="A671" t="s">
        <v>2524</v>
      </c>
      <c r="B671">
        <v>9011709200</v>
      </c>
      <c r="C671" t="s">
        <v>2525</v>
      </c>
      <c r="D671">
        <v>5</v>
      </c>
      <c r="E671" t="s">
        <v>944</v>
      </c>
    </row>
    <row r="672" spans="1:5" x14ac:dyDescent="0.25">
      <c r="A672" t="s">
        <v>2524</v>
      </c>
      <c r="B672">
        <v>9011709200</v>
      </c>
      <c r="C672" t="s">
        <v>2525</v>
      </c>
      <c r="D672">
        <v>5</v>
      </c>
      <c r="E672" t="s">
        <v>944</v>
      </c>
    </row>
    <row r="673" spans="1:5" x14ac:dyDescent="0.25">
      <c r="A673" t="s">
        <v>2526</v>
      </c>
      <c r="B673">
        <v>9011710100</v>
      </c>
      <c r="C673" t="s">
        <v>2527</v>
      </c>
      <c r="D673">
        <v>3</v>
      </c>
      <c r="E673" t="s">
        <v>944</v>
      </c>
    </row>
    <row r="674" spans="1:5" x14ac:dyDescent="0.25">
      <c r="A674" t="s">
        <v>2526</v>
      </c>
      <c r="B674">
        <v>9011710100</v>
      </c>
      <c r="C674" t="s">
        <v>2527</v>
      </c>
      <c r="D674">
        <v>3</v>
      </c>
      <c r="E674" t="s">
        <v>944</v>
      </c>
    </row>
    <row r="675" spans="1:5" x14ac:dyDescent="0.25">
      <c r="A675" t="s">
        <v>1544</v>
      </c>
      <c r="B675">
        <v>9003430602</v>
      </c>
      <c r="C675" t="s">
        <v>1545</v>
      </c>
      <c r="D675">
        <v>3</v>
      </c>
      <c r="E675" t="s">
        <v>944</v>
      </c>
    </row>
    <row r="676" spans="1:5" x14ac:dyDescent="0.25">
      <c r="A676" t="s">
        <v>2490</v>
      </c>
      <c r="B676">
        <v>9011702100</v>
      </c>
      <c r="C676" t="s">
        <v>2491</v>
      </c>
      <c r="D676">
        <v>3</v>
      </c>
      <c r="E676" t="s">
        <v>944</v>
      </c>
    </row>
    <row r="677" spans="1:5" x14ac:dyDescent="0.25">
      <c r="A677" t="s">
        <v>2490</v>
      </c>
      <c r="B677">
        <v>9011702100</v>
      </c>
      <c r="C677" t="s">
        <v>2491</v>
      </c>
      <c r="D677">
        <v>3</v>
      </c>
      <c r="E677" t="s">
        <v>944</v>
      </c>
    </row>
    <row r="678" spans="1:5" x14ac:dyDescent="0.25">
      <c r="A678" t="s">
        <v>2390</v>
      </c>
      <c r="B678">
        <v>9009351500</v>
      </c>
      <c r="C678" t="s">
        <v>2391</v>
      </c>
      <c r="D678">
        <v>5</v>
      </c>
      <c r="E678" t="s">
        <v>944</v>
      </c>
    </row>
    <row r="679" spans="1:5" x14ac:dyDescent="0.25">
      <c r="A679" t="s">
        <v>2494</v>
      </c>
      <c r="B679">
        <v>9011702400</v>
      </c>
      <c r="C679" t="s">
        <v>2495</v>
      </c>
      <c r="D679">
        <v>3</v>
      </c>
      <c r="E679" t="s">
        <v>944</v>
      </c>
    </row>
    <row r="680" spans="1:5" x14ac:dyDescent="0.25">
      <c r="A680" t="s">
        <v>2392</v>
      </c>
      <c r="B680">
        <v>9009351601</v>
      </c>
      <c r="C680" t="s">
        <v>2393</v>
      </c>
      <c r="D680">
        <v>6</v>
      </c>
      <c r="E680" t="s">
        <v>936</v>
      </c>
    </row>
    <row r="681" spans="1:5" x14ac:dyDescent="0.25">
      <c r="A681" t="s">
        <v>2498</v>
      </c>
      <c r="B681">
        <v>9011702600</v>
      </c>
      <c r="C681" t="s">
        <v>2499</v>
      </c>
      <c r="D681">
        <v>3</v>
      </c>
      <c r="E681" t="s">
        <v>944</v>
      </c>
    </row>
    <row r="682" spans="1:5" x14ac:dyDescent="0.25">
      <c r="A682" t="s">
        <v>2500</v>
      </c>
      <c r="B682">
        <v>9011702700</v>
      </c>
      <c r="C682" t="s">
        <v>2501</v>
      </c>
      <c r="D682">
        <v>3</v>
      </c>
      <c r="E682" t="s">
        <v>944</v>
      </c>
    </row>
    <row r="683" spans="1:5" x14ac:dyDescent="0.25">
      <c r="A683" t="s">
        <v>1964</v>
      </c>
      <c r="B683">
        <v>9005360100</v>
      </c>
      <c r="C683" t="s">
        <v>1965</v>
      </c>
      <c r="D683">
        <v>3</v>
      </c>
      <c r="E683" t="s">
        <v>944</v>
      </c>
    </row>
    <row r="684" spans="1:5" x14ac:dyDescent="0.25">
      <c r="A684" t="s">
        <v>2502</v>
      </c>
      <c r="B684">
        <v>9011702800</v>
      </c>
      <c r="C684" t="s">
        <v>2503</v>
      </c>
      <c r="D684">
        <v>4</v>
      </c>
      <c r="E684" t="s">
        <v>944</v>
      </c>
    </row>
    <row r="685" spans="1:5" x14ac:dyDescent="0.25">
      <c r="A685" t="s">
        <v>2502</v>
      </c>
      <c r="B685">
        <v>9011702800</v>
      </c>
      <c r="C685" t="s">
        <v>2503</v>
      </c>
      <c r="D685">
        <v>4</v>
      </c>
      <c r="E685" t="s">
        <v>944</v>
      </c>
    </row>
    <row r="686" spans="1:5" x14ac:dyDescent="0.25">
      <c r="A686" t="s">
        <v>2504</v>
      </c>
      <c r="B686">
        <v>9011702900</v>
      </c>
      <c r="C686" t="s">
        <v>2505</v>
      </c>
      <c r="D686">
        <v>3</v>
      </c>
      <c r="E686" t="s">
        <v>944</v>
      </c>
    </row>
    <row r="687" spans="1:5" x14ac:dyDescent="0.25">
      <c r="A687" t="s">
        <v>2504</v>
      </c>
      <c r="B687">
        <v>9011702900</v>
      </c>
      <c r="C687" t="s">
        <v>2505</v>
      </c>
      <c r="D687">
        <v>3</v>
      </c>
      <c r="E687" t="s">
        <v>944</v>
      </c>
    </row>
    <row r="688" spans="1:5" x14ac:dyDescent="0.25">
      <c r="A688" t="s">
        <v>2506</v>
      </c>
      <c r="B688">
        <v>9011703000</v>
      </c>
      <c r="C688" t="s">
        <v>2507</v>
      </c>
      <c r="D688">
        <v>3</v>
      </c>
      <c r="E688" t="s">
        <v>944</v>
      </c>
    </row>
    <row r="689" spans="1:5" x14ac:dyDescent="0.25">
      <c r="A689" t="s">
        <v>2506</v>
      </c>
      <c r="B689">
        <v>9011703000</v>
      </c>
      <c r="C689" t="s">
        <v>2507</v>
      </c>
      <c r="D689">
        <v>3</v>
      </c>
      <c r="E689" t="s">
        <v>944</v>
      </c>
    </row>
    <row r="690" spans="1:5" x14ac:dyDescent="0.25">
      <c r="A690" t="s">
        <v>1570</v>
      </c>
      <c r="B690">
        <v>9003466101</v>
      </c>
      <c r="C690" t="s">
        <v>1571</v>
      </c>
      <c r="D690">
        <v>3</v>
      </c>
      <c r="E690" t="s">
        <v>944</v>
      </c>
    </row>
    <row r="691" spans="1:5" x14ac:dyDescent="0.25">
      <c r="A691" t="s">
        <v>1574</v>
      </c>
      <c r="B691">
        <v>9003466201</v>
      </c>
      <c r="C691" t="s">
        <v>1575</v>
      </c>
      <c r="D691">
        <v>3</v>
      </c>
      <c r="E691" t="s">
        <v>944</v>
      </c>
    </row>
    <row r="692" spans="1:5" x14ac:dyDescent="0.25">
      <c r="A692" t="s">
        <v>1580</v>
      </c>
      <c r="B692">
        <v>9003466400</v>
      </c>
      <c r="C692" t="s">
        <v>1581</v>
      </c>
      <c r="D692">
        <v>3</v>
      </c>
      <c r="E692" t="s">
        <v>944</v>
      </c>
    </row>
    <row r="693" spans="1:5" x14ac:dyDescent="0.25">
      <c r="A693" t="s">
        <v>1730</v>
      </c>
      <c r="B693">
        <v>9003500200</v>
      </c>
      <c r="C693" t="s">
        <v>1731</v>
      </c>
      <c r="D693">
        <v>8</v>
      </c>
      <c r="E693" t="s">
        <v>936</v>
      </c>
    </row>
    <row r="694" spans="1:5" x14ac:dyDescent="0.25">
      <c r="A694" t="s">
        <v>1734</v>
      </c>
      <c r="B694">
        <v>9003500400</v>
      </c>
      <c r="C694" t="s">
        <v>1735</v>
      </c>
      <c r="D694">
        <v>7</v>
      </c>
      <c r="E694" t="s">
        <v>936</v>
      </c>
    </row>
    <row r="695" spans="1:5" x14ac:dyDescent="0.25">
      <c r="A695" t="s">
        <v>1738</v>
      </c>
      <c r="B695">
        <v>9003500900</v>
      </c>
      <c r="C695" t="s">
        <v>1739</v>
      </c>
      <c r="D695">
        <v>9</v>
      </c>
      <c r="E695" t="s">
        <v>936</v>
      </c>
    </row>
    <row r="696" spans="1:5" x14ac:dyDescent="0.25">
      <c r="A696" t="s">
        <v>1740</v>
      </c>
      <c r="B696">
        <v>9003501200</v>
      </c>
      <c r="C696" t="s">
        <v>1741</v>
      </c>
      <c r="D696">
        <v>9</v>
      </c>
      <c r="E696" t="s">
        <v>936</v>
      </c>
    </row>
    <row r="697" spans="1:5" x14ac:dyDescent="0.25">
      <c r="A697" t="s">
        <v>1742</v>
      </c>
      <c r="B697">
        <v>9003501300</v>
      </c>
      <c r="C697" t="s">
        <v>1743</v>
      </c>
      <c r="D697">
        <v>9</v>
      </c>
      <c r="E697" t="s">
        <v>936</v>
      </c>
    </row>
    <row r="698" spans="1:5" x14ac:dyDescent="0.25">
      <c r="A698" t="s">
        <v>1746</v>
      </c>
      <c r="B698">
        <v>9003501500</v>
      </c>
      <c r="C698" t="s">
        <v>1747</v>
      </c>
      <c r="D698">
        <v>8</v>
      </c>
      <c r="E698" t="s">
        <v>936</v>
      </c>
    </row>
    <row r="699" spans="1:5" x14ac:dyDescent="0.25">
      <c r="A699" t="s">
        <v>1748</v>
      </c>
      <c r="B699">
        <v>9003501700</v>
      </c>
      <c r="C699" t="s">
        <v>1749</v>
      </c>
      <c r="D699">
        <v>8</v>
      </c>
      <c r="E699" t="s">
        <v>936</v>
      </c>
    </row>
    <row r="700" spans="1:5" x14ac:dyDescent="0.25">
      <c r="A700" t="s">
        <v>1754</v>
      </c>
      <c r="B700">
        <v>9003502300</v>
      </c>
      <c r="C700" t="s">
        <v>1755</v>
      </c>
      <c r="D700">
        <v>5</v>
      </c>
      <c r="E700" t="s">
        <v>944</v>
      </c>
    </row>
    <row r="701" spans="1:5" x14ac:dyDescent="0.25">
      <c r="A701" t="s">
        <v>1976</v>
      </c>
      <c r="B701">
        <v>9005425300</v>
      </c>
      <c r="C701" t="s">
        <v>1977</v>
      </c>
      <c r="D701">
        <v>3</v>
      </c>
      <c r="E701" t="s">
        <v>944</v>
      </c>
    </row>
    <row r="702" spans="1:5" x14ac:dyDescent="0.25">
      <c r="A702" t="s">
        <v>1976</v>
      </c>
      <c r="B702">
        <v>9005425300</v>
      </c>
      <c r="C702" t="s">
        <v>1977</v>
      </c>
      <c r="D702">
        <v>3</v>
      </c>
      <c r="E702" t="s">
        <v>944</v>
      </c>
    </row>
    <row r="703" spans="1:5" x14ac:dyDescent="0.25">
      <c r="A703" t="s">
        <v>1976</v>
      </c>
      <c r="B703">
        <v>9005425300</v>
      </c>
      <c r="C703" t="s">
        <v>1977</v>
      </c>
      <c r="D703">
        <v>3</v>
      </c>
      <c r="E703" t="s">
        <v>944</v>
      </c>
    </row>
    <row r="704" spans="1:5" x14ac:dyDescent="0.25">
      <c r="A704" t="s">
        <v>1756</v>
      </c>
      <c r="B704">
        <v>9003502400</v>
      </c>
      <c r="C704" t="s">
        <v>1757</v>
      </c>
      <c r="D704">
        <v>7</v>
      </c>
      <c r="E704" t="s">
        <v>936</v>
      </c>
    </row>
    <row r="705" spans="1:5" x14ac:dyDescent="0.25">
      <c r="A705" t="s">
        <v>1772</v>
      </c>
      <c r="B705">
        <v>9003503300</v>
      </c>
      <c r="C705" t="s">
        <v>1773</v>
      </c>
      <c r="D705">
        <v>6</v>
      </c>
      <c r="E705" t="s">
        <v>936</v>
      </c>
    </row>
    <row r="706" spans="1:5" x14ac:dyDescent="0.25">
      <c r="A706" t="s">
        <v>1622</v>
      </c>
      <c r="B706">
        <v>9003477102</v>
      </c>
      <c r="C706" t="s">
        <v>1623</v>
      </c>
      <c r="D706">
        <v>3</v>
      </c>
      <c r="E706" t="s">
        <v>944</v>
      </c>
    </row>
    <row r="707" spans="1:5" x14ac:dyDescent="0.25">
      <c r="A707" t="s">
        <v>1774</v>
      </c>
      <c r="B707">
        <v>9003503500</v>
      </c>
      <c r="C707" t="s">
        <v>1775</v>
      </c>
      <c r="D707">
        <v>8</v>
      </c>
      <c r="E707" t="s">
        <v>936</v>
      </c>
    </row>
    <row r="708" spans="1:5" x14ac:dyDescent="0.25">
      <c r="A708" t="s">
        <v>1782</v>
      </c>
      <c r="B708">
        <v>9003504000</v>
      </c>
      <c r="C708" t="s">
        <v>1783</v>
      </c>
      <c r="D708">
        <v>6</v>
      </c>
      <c r="E708" t="s">
        <v>936</v>
      </c>
    </row>
    <row r="709" spans="1:5" x14ac:dyDescent="0.25">
      <c r="A709" t="s">
        <v>1784</v>
      </c>
      <c r="B709">
        <v>9003504100</v>
      </c>
      <c r="C709" t="s">
        <v>1785</v>
      </c>
      <c r="D709">
        <v>8</v>
      </c>
      <c r="E709" t="s">
        <v>936</v>
      </c>
    </row>
    <row r="710" spans="1:5" x14ac:dyDescent="0.25">
      <c r="A710" t="s">
        <v>1786</v>
      </c>
      <c r="B710">
        <v>9003504200</v>
      </c>
      <c r="C710" t="s">
        <v>1787</v>
      </c>
      <c r="D710">
        <v>5</v>
      </c>
      <c r="E710" t="s">
        <v>944</v>
      </c>
    </row>
    <row r="711" spans="1:5" x14ac:dyDescent="0.25">
      <c r="A711" t="s">
        <v>1788</v>
      </c>
      <c r="B711">
        <v>9003504300</v>
      </c>
      <c r="C711" t="s">
        <v>1789</v>
      </c>
      <c r="D711">
        <v>9</v>
      </c>
      <c r="E711" t="s">
        <v>936</v>
      </c>
    </row>
    <row r="712" spans="1:5" x14ac:dyDescent="0.25">
      <c r="A712" t="s">
        <v>1790</v>
      </c>
      <c r="B712">
        <v>9003504500</v>
      </c>
      <c r="C712" t="s">
        <v>1791</v>
      </c>
      <c r="D712">
        <v>7</v>
      </c>
      <c r="E712" t="s">
        <v>936</v>
      </c>
    </row>
    <row r="713" spans="1:5" x14ac:dyDescent="0.25">
      <c r="A713" t="s">
        <v>1792</v>
      </c>
      <c r="B713">
        <v>9003504800</v>
      </c>
      <c r="C713" t="s">
        <v>1793</v>
      </c>
      <c r="D713">
        <v>6</v>
      </c>
      <c r="E713" t="s">
        <v>936</v>
      </c>
    </row>
    <row r="714" spans="1:5" x14ac:dyDescent="0.25">
      <c r="A714" t="s">
        <v>1794</v>
      </c>
      <c r="B714">
        <v>9003504900</v>
      </c>
      <c r="C714" t="s">
        <v>1795</v>
      </c>
      <c r="D714">
        <v>6</v>
      </c>
      <c r="E714" t="s">
        <v>936</v>
      </c>
    </row>
    <row r="715" spans="1:5" x14ac:dyDescent="0.25">
      <c r="A715" t="s">
        <v>1872</v>
      </c>
      <c r="B715">
        <v>9003524400</v>
      </c>
      <c r="C715" t="s">
        <v>1873</v>
      </c>
      <c r="D715">
        <v>8</v>
      </c>
      <c r="E715" t="s">
        <v>936</v>
      </c>
    </row>
    <row r="716" spans="1:5" x14ac:dyDescent="0.25">
      <c r="A716" t="s">
        <v>1876</v>
      </c>
      <c r="B716">
        <v>9003524502</v>
      </c>
      <c r="C716" t="s">
        <v>1877</v>
      </c>
      <c r="D716">
        <v>2</v>
      </c>
      <c r="E716" t="s">
        <v>944</v>
      </c>
    </row>
    <row r="717" spans="1:5" x14ac:dyDescent="0.25">
      <c r="A717" t="s">
        <v>1878</v>
      </c>
      <c r="B717">
        <v>9003524600</v>
      </c>
      <c r="C717" t="s">
        <v>1879</v>
      </c>
      <c r="D717">
        <v>4</v>
      </c>
      <c r="E717" t="s">
        <v>944</v>
      </c>
    </row>
    <row r="718" spans="1:5" x14ac:dyDescent="0.25">
      <c r="A718" t="s">
        <v>1880</v>
      </c>
      <c r="B718">
        <v>9003524700</v>
      </c>
      <c r="C718" t="s">
        <v>1881</v>
      </c>
      <c r="D718">
        <v>5</v>
      </c>
      <c r="E718" t="s">
        <v>944</v>
      </c>
    </row>
    <row r="719" spans="1:5" x14ac:dyDescent="0.25">
      <c r="A719" t="s">
        <v>1654</v>
      </c>
      <c r="B719">
        <v>9003487201</v>
      </c>
      <c r="C719" t="s">
        <v>1655</v>
      </c>
      <c r="D719">
        <v>3</v>
      </c>
      <c r="E719" t="s">
        <v>944</v>
      </c>
    </row>
    <row r="720" spans="1:5" x14ac:dyDescent="0.25">
      <c r="A720" t="s">
        <v>1654</v>
      </c>
      <c r="B720">
        <v>9003487201</v>
      </c>
      <c r="C720" t="s">
        <v>1655</v>
      </c>
      <c r="D720">
        <v>3</v>
      </c>
      <c r="E720" t="s">
        <v>944</v>
      </c>
    </row>
    <row r="721" spans="1:5" x14ac:dyDescent="0.25">
      <c r="A721" t="s">
        <v>1656</v>
      </c>
      <c r="B721">
        <v>9003487202</v>
      </c>
      <c r="C721" t="s">
        <v>1657</v>
      </c>
      <c r="D721">
        <v>2</v>
      </c>
      <c r="E721" t="s">
        <v>944</v>
      </c>
    </row>
    <row r="722" spans="1:5" x14ac:dyDescent="0.25">
      <c r="A722" t="s">
        <v>1656</v>
      </c>
      <c r="B722">
        <v>9003487202</v>
      </c>
      <c r="C722" t="s">
        <v>1657</v>
      </c>
      <c r="D722">
        <v>2</v>
      </c>
      <c r="E722" t="s">
        <v>944</v>
      </c>
    </row>
    <row r="723" spans="1:5" x14ac:dyDescent="0.25">
      <c r="A723" t="s">
        <v>1658</v>
      </c>
      <c r="B723">
        <v>9003487300</v>
      </c>
      <c r="C723" t="s">
        <v>1659</v>
      </c>
      <c r="D723">
        <v>3</v>
      </c>
      <c r="E723" t="s">
        <v>944</v>
      </c>
    </row>
    <row r="724" spans="1:5" x14ac:dyDescent="0.25">
      <c r="A724" t="s">
        <v>1662</v>
      </c>
      <c r="B724">
        <v>9003487500</v>
      </c>
      <c r="C724" t="s">
        <v>1663</v>
      </c>
      <c r="D724">
        <v>3</v>
      </c>
      <c r="E724" t="s">
        <v>944</v>
      </c>
    </row>
    <row r="725" spans="1:5" x14ac:dyDescent="0.25">
      <c r="A725" t="s">
        <v>1662</v>
      </c>
      <c r="B725">
        <v>9003487500</v>
      </c>
      <c r="C725" t="s">
        <v>1663</v>
      </c>
      <c r="D725">
        <v>3</v>
      </c>
      <c r="E725" t="s">
        <v>944</v>
      </c>
    </row>
    <row r="726" spans="1:5" x14ac:dyDescent="0.25">
      <c r="A726" t="s">
        <v>1664</v>
      </c>
      <c r="B726">
        <v>9003490100</v>
      </c>
      <c r="C726" t="s">
        <v>1665</v>
      </c>
      <c r="D726">
        <v>3</v>
      </c>
      <c r="E726" t="s">
        <v>944</v>
      </c>
    </row>
    <row r="727" spans="1:5" x14ac:dyDescent="0.25">
      <c r="A727" t="s">
        <v>1678</v>
      </c>
      <c r="B727">
        <v>9003492600</v>
      </c>
      <c r="C727" t="s">
        <v>1679</v>
      </c>
      <c r="D727">
        <v>3</v>
      </c>
      <c r="E727" t="s">
        <v>944</v>
      </c>
    </row>
    <row r="728" spans="1:5" x14ac:dyDescent="0.25">
      <c r="A728" t="s">
        <v>1678</v>
      </c>
      <c r="B728">
        <v>9003492600</v>
      </c>
      <c r="C728" t="s">
        <v>1679</v>
      </c>
      <c r="D728">
        <v>3</v>
      </c>
      <c r="E728" t="s">
        <v>944</v>
      </c>
    </row>
    <row r="729" spans="1:5" x14ac:dyDescent="0.25">
      <c r="A729" t="s">
        <v>1680</v>
      </c>
      <c r="B729">
        <v>9003494100</v>
      </c>
      <c r="C729" t="s">
        <v>1681</v>
      </c>
      <c r="D729">
        <v>3</v>
      </c>
      <c r="E729" t="s">
        <v>944</v>
      </c>
    </row>
    <row r="730" spans="1:5" x14ac:dyDescent="0.25">
      <c r="A730" t="s">
        <v>1682</v>
      </c>
      <c r="B730">
        <v>9003494201</v>
      </c>
      <c r="C730" t="s">
        <v>1683</v>
      </c>
      <c r="D730">
        <v>3</v>
      </c>
      <c r="E730" t="s">
        <v>944</v>
      </c>
    </row>
    <row r="731" spans="1:5" x14ac:dyDescent="0.25">
      <c r="A731" t="s">
        <v>1684</v>
      </c>
      <c r="B731">
        <v>9003494202</v>
      </c>
      <c r="C731" t="s">
        <v>1685</v>
      </c>
      <c r="D731">
        <v>2</v>
      </c>
      <c r="E731" t="s">
        <v>944</v>
      </c>
    </row>
    <row r="732" spans="1:5" x14ac:dyDescent="0.25">
      <c r="A732" t="s">
        <v>1686</v>
      </c>
      <c r="B732">
        <v>9003494300</v>
      </c>
      <c r="C732" t="s">
        <v>1687</v>
      </c>
      <c r="D732">
        <v>3</v>
      </c>
      <c r="E732" t="s">
        <v>944</v>
      </c>
    </row>
    <row r="733" spans="1:5" x14ac:dyDescent="0.25">
      <c r="A733" t="s">
        <v>1686</v>
      </c>
      <c r="B733">
        <v>9003494300</v>
      </c>
      <c r="C733" t="s">
        <v>1687</v>
      </c>
      <c r="D733">
        <v>3</v>
      </c>
      <c r="E733" t="s">
        <v>944</v>
      </c>
    </row>
    <row r="734" spans="1:5" x14ac:dyDescent="0.25">
      <c r="A734" t="s">
        <v>1688</v>
      </c>
      <c r="B734">
        <v>9003494400</v>
      </c>
      <c r="C734" t="s">
        <v>1689</v>
      </c>
      <c r="D734">
        <v>3</v>
      </c>
      <c r="E734" t="s">
        <v>944</v>
      </c>
    </row>
    <row r="735" spans="1:5" x14ac:dyDescent="0.25">
      <c r="A735" t="s">
        <v>1690</v>
      </c>
      <c r="B735">
        <v>9003494500</v>
      </c>
      <c r="C735" t="s">
        <v>1691</v>
      </c>
      <c r="D735">
        <v>3</v>
      </c>
      <c r="E735" t="s">
        <v>944</v>
      </c>
    </row>
    <row r="736" spans="1:5" x14ac:dyDescent="0.25">
      <c r="A736" t="s">
        <v>1692</v>
      </c>
      <c r="B736">
        <v>9003494600</v>
      </c>
      <c r="C736" t="s">
        <v>1693</v>
      </c>
      <c r="D736">
        <v>3</v>
      </c>
      <c r="E736" t="s">
        <v>944</v>
      </c>
    </row>
    <row r="737" spans="1:5" x14ac:dyDescent="0.25">
      <c r="A737" t="s">
        <v>2652</v>
      </c>
      <c r="B737">
        <v>9015904400</v>
      </c>
      <c r="C737" t="s">
        <v>2653</v>
      </c>
      <c r="D737">
        <v>5</v>
      </c>
      <c r="E737" t="s">
        <v>944</v>
      </c>
    </row>
    <row r="738" spans="1:5" x14ac:dyDescent="0.25">
      <c r="A738" t="s">
        <v>1694</v>
      </c>
      <c r="B738">
        <v>9003496100</v>
      </c>
      <c r="C738" t="s">
        <v>1695</v>
      </c>
      <c r="D738">
        <v>5</v>
      </c>
      <c r="E738" t="s">
        <v>944</v>
      </c>
    </row>
    <row r="739" spans="1:5" x14ac:dyDescent="0.25">
      <c r="A739" t="s">
        <v>1698</v>
      </c>
      <c r="B739">
        <v>9003496300</v>
      </c>
      <c r="C739" t="s">
        <v>1699</v>
      </c>
      <c r="D739">
        <v>3</v>
      </c>
      <c r="E739" t="s">
        <v>944</v>
      </c>
    </row>
    <row r="740" spans="1:5" x14ac:dyDescent="0.25">
      <c r="A740" t="s">
        <v>2662</v>
      </c>
      <c r="B740">
        <v>9015907200</v>
      </c>
      <c r="C740" t="s">
        <v>2663</v>
      </c>
      <c r="D740">
        <v>5</v>
      </c>
      <c r="E740" t="s">
        <v>944</v>
      </c>
    </row>
    <row r="741" spans="1:5" x14ac:dyDescent="0.25">
      <c r="A741" t="s">
        <v>2662</v>
      </c>
      <c r="B741">
        <v>9015907200</v>
      </c>
      <c r="C741" t="s">
        <v>2663</v>
      </c>
      <c r="D741">
        <v>5</v>
      </c>
      <c r="E741" t="s">
        <v>944</v>
      </c>
    </row>
    <row r="742" spans="1:5" x14ac:dyDescent="0.25">
      <c r="A742" t="s">
        <v>2662</v>
      </c>
      <c r="B742">
        <v>9015907200</v>
      </c>
      <c r="C742" t="s">
        <v>2663</v>
      </c>
      <c r="D742">
        <v>5</v>
      </c>
      <c r="E742" t="s">
        <v>944</v>
      </c>
    </row>
    <row r="743" spans="1:5" x14ac:dyDescent="0.25">
      <c r="A743" t="s">
        <v>2046</v>
      </c>
      <c r="B743">
        <v>9007640100</v>
      </c>
      <c r="C743" t="s">
        <v>2047</v>
      </c>
      <c r="D743">
        <v>3</v>
      </c>
      <c r="E743" t="s">
        <v>944</v>
      </c>
    </row>
    <row r="744" spans="1:5" x14ac:dyDescent="0.25">
      <c r="A744" t="s">
        <v>2486</v>
      </c>
      <c r="B744">
        <v>9011701100</v>
      </c>
      <c r="C744" t="s">
        <v>2487</v>
      </c>
      <c r="D744">
        <v>4</v>
      </c>
      <c r="E744" t="s">
        <v>944</v>
      </c>
    </row>
    <row r="745" spans="1:5" x14ac:dyDescent="0.25">
      <c r="A745" t="s">
        <v>2488</v>
      </c>
      <c r="B745">
        <v>9011701200</v>
      </c>
      <c r="C745" t="s">
        <v>2489</v>
      </c>
      <c r="D745">
        <v>3</v>
      </c>
      <c r="E745" t="s">
        <v>944</v>
      </c>
    </row>
    <row r="746" spans="1:5" x14ac:dyDescent="0.25">
      <c r="A746" t="s">
        <v>2454</v>
      </c>
      <c r="B746">
        <v>9011693400</v>
      </c>
      <c r="C746" t="s">
        <v>2455</v>
      </c>
      <c r="D746">
        <v>4</v>
      </c>
      <c r="E746" t="s">
        <v>944</v>
      </c>
    </row>
    <row r="747" spans="1:5" x14ac:dyDescent="0.25">
      <c r="A747" t="s">
        <v>2454</v>
      </c>
      <c r="B747">
        <v>9011693400</v>
      </c>
      <c r="C747" t="s">
        <v>2455</v>
      </c>
      <c r="D747">
        <v>4</v>
      </c>
      <c r="E747" t="s">
        <v>944</v>
      </c>
    </row>
    <row r="748" spans="1:5" x14ac:dyDescent="0.25">
      <c r="A748" t="s">
        <v>2454</v>
      </c>
      <c r="B748">
        <v>9011693400</v>
      </c>
      <c r="C748" t="s">
        <v>2455</v>
      </c>
      <c r="D748">
        <v>4</v>
      </c>
      <c r="E748" t="s">
        <v>944</v>
      </c>
    </row>
    <row r="749" spans="1:5" x14ac:dyDescent="0.25">
      <c r="A749" t="s">
        <v>2434</v>
      </c>
      <c r="B749">
        <v>9011650100</v>
      </c>
      <c r="C749" t="s">
        <v>2435</v>
      </c>
      <c r="D749">
        <v>3</v>
      </c>
      <c r="E749" t="s">
        <v>944</v>
      </c>
    </row>
    <row r="750" spans="1:5" x14ac:dyDescent="0.25">
      <c r="A750" t="s">
        <v>2434</v>
      </c>
      <c r="B750">
        <v>9011650100</v>
      </c>
      <c r="C750" t="s">
        <v>2435</v>
      </c>
      <c r="D750">
        <v>3</v>
      </c>
      <c r="E750" t="s">
        <v>944</v>
      </c>
    </row>
    <row r="751" spans="1:5" x14ac:dyDescent="0.25">
      <c r="A751" t="s">
        <v>1824</v>
      </c>
      <c r="B751">
        <v>9003514101</v>
      </c>
      <c r="C751" t="s">
        <v>1825</v>
      </c>
      <c r="D751">
        <v>3</v>
      </c>
      <c r="E751" t="s">
        <v>944</v>
      </c>
    </row>
    <row r="752" spans="1:5" x14ac:dyDescent="0.25">
      <c r="A752" t="s">
        <v>1824</v>
      </c>
      <c r="B752">
        <v>9003514101</v>
      </c>
      <c r="C752" t="s">
        <v>1825</v>
      </c>
      <c r="D752">
        <v>3</v>
      </c>
      <c r="E752" t="s">
        <v>944</v>
      </c>
    </row>
    <row r="753" spans="1:5" x14ac:dyDescent="0.25">
      <c r="A753" t="s">
        <v>1828</v>
      </c>
      <c r="B753">
        <v>9003514200</v>
      </c>
      <c r="C753" t="s">
        <v>1829</v>
      </c>
      <c r="D753">
        <v>4</v>
      </c>
      <c r="E753" t="s">
        <v>944</v>
      </c>
    </row>
    <row r="754" spans="1:5" x14ac:dyDescent="0.25">
      <c r="A754" t="s">
        <v>1830</v>
      </c>
      <c r="B754">
        <v>9003514300</v>
      </c>
      <c r="C754" t="s">
        <v>1831</v>
      </c>
      <c r="D754">
        <v>4</v>
      </c>
      <c r="E754" t="s">
        <v>944</v>
      </c>
    </row>
    <row r="755" spans="1:5" x14ac:dyDescent="0.25">
      <c r="A755" t="s">
        <v>1846</v>
      </c>
      <c r="B755">
        <v>9003515101</v>
      </c>
      <c r="C755" t="s">
        <v>1847</v>
      </c>
      <c r="D755">
        <v>3</v>
      </c>
      <c r="E755" t="s">
        <v>944</v>
      </c>
    </row>
    <row r="756" spans="1:5" x14ac:dyDescent="0.25">
      <c r="A756" t="s">
        <v>2580</v>
      </c>
      <c r="B756">
        <v>9013530500</v>
      </c>
      <c r="C756" t="s">
        <v>2581</v>
      </c>
      <c r="D756">
        <v>3</v>
      </c>
      <c r="E756" t="s">
        <v>944</v>
      </c>
    </row>
    <row r="757" spans="1:5" x14ac:dyDescent="0.25">
      <c r="A757" t="s">
        <v>2580</v>
      </c>
      <c r="B757">
        <v>9013530500</v>
      </c>
      <c r="C757" t="s">
        <v>2581</v>
      </c>
      <c r="D757">
        <v>3</v>
      </c>
      <c r="E757" t="s">
        <v>944</v>
      </c>
    </row>
    <row r="758" spans="1:5" x14ac:dyDescent="0.25">
      <c r="A758" t="s">
        <v>2610</v>
      </c>
      <c r="B758">
        <v>9013881500</v>
      </c>
      <c r="C758" t="s">
        <v>2611</v>
      </c>
      <c r="D758">
        <v>3</v>
      </c>
      <c r="E758" t="s">
        <v>944</v>
      </c>
    </row>
    <row r="759" spans="1:5" x14ac:dyDescent="0.25">
      <c r="A759" t="s">
        <v>1866</v>
      </c>
      <c r="B759">
        <v>9003524100</v>
      </c>
      <c r="C759" t="s">
        <v>1867</v>
      </c>
      <c r="D759">
        <v>3</v>
      </c>
      <c r="E759" t="s">
        <v>944</v>
      </c>
    </row>
    <row r="760" spans="1:5" x14ac:dyDescent="0.25">
      <c r="A760" t="s">
        <v>1868</v>
      </c>
      <c r="B760">
        <v>9003524200</v>
      </c>
      <c r="C760" t="s">
        <v>1869</v>
      </c>
      <c r="D760">
        <v>3</v>
      </c>
      <c r="E760" t="s">
        <v>944</v>
      </c>
    </row>
    <row r="761" spans="1:5" x14ac:dyDescent="0.25">
      <c r="A761" t="s">
        <v>2572</v>
      </c>
      <c r="B761">
        <v>9013530200</v>
      </c>
      <c r="C761" t="s">
        <v>2573</v>
      </c>
      <c r="D761">
        <v>5</v>
      </c>
      <c r="E761" t="s">
        <v>944</v>
      </c>
    </row>
    <row r="762" spans="1:5" x14ac:dyDescent="0.25">
      <c r="A762" t="s">
        <v>2574</v>
      </c>
      <c r="B762">
        <v>9013530301</v>
      </c>
      <c r="C762" t="s">
        <v>2575</v>
      </c>
      <c r="D762">
        <v>3</v>
      </c>
      <c r="E762" t="s">
        <v>944</v>
      </c>
    </row>
    <row r="763" spans="1:5" x14ac:dyDescent="0.25">
      <c r="A763" t="s">
        <v>2574</v>
      </c>
      <c r="B763">
        <v>9013530301</v>
      </c>
      <c r="C763" t="s">
        <v>2575</v>
      </c>
      <c r="D763">
        <v>3</v>
      </c>
      <c r="E763" t="s">
        <v>944</v>
      </c>
    </row>
    <row r="764" spans="1:5" x14ac:dyDescent="0.25">
      <c r="A764" t="s">
        <v>2576</v>
      </c>
      <c r="B764">
        <v>9013530302</v>
      </c>
      <c r="C764" t="s">
        <v>2577</v>
      </c>
      <c r="D764">
        <v>3</v>
      </c>
      <c r="E764" t="s">
        <v>944</v>
      </c>
    </row>
    <row r="765" spans="1:5" x14ac:dyDescent="0.25">
      <c r="A765" t="s">
        <v>2576</v>
      </c>
      <c r="B765">
        <v>9013530302</v>
      </c>
      <c r="C765" t="s">
        <v>2577</v>
      </c>
      <c r="D765">
        <v>3</v>
      </c>
      <c r="E765" t="s">
        <v>944</v>
      </c>
    </row>
    <row r="766" spans="1:5" x14ac:dyDescent="0.25">
      <c r="A766" t="s">
        <v>2578</v>
      </c>
      <c r="B766">
        <v>9013530400</v>
      </c>
      <c r="C766" t="s">
        <v>2579</v>
      </c>
      <c r="D766">
        <v>3</v>
      </c>
      <c r="E766" t="s">
        <v>944</v>
      </c>
    </row>
    <row r="767" spans="1:5" x14ac:dyDescent="0.25">
      <c r="A767" t="s">
        <v>2584</v>
      </c>
      <c r="B767">
        <v>9013533101</v>
      </c>
      <c r="C767" t="s">
        <v>2585</v>
      </c>
      <c r="D767">
        <v>3</v>
      </c>
      <c r="E767" t="s">
        <v>944</v>
      </c>
    </row>
    <row r="768" spans="1:5" x14ac:dyDescent="0.25">
      <c r="A768" t="s">
        <v>2586</v>
      </c>
      <c r="B768">
        <v>9013533102</v>
      </c>
      <c r="C768" t="s">
        <v>2587</v>
      </c>
      <c r="D768">
        <v>3</v>
      </c>
      <c r="E768" t="s">
        <v>944</v>
      </c>
    </row>
    <row r="769" spans="1:5" x14ac:dyDescent="0.25">
      <c r="A769" t="s">
        <v>1984</v>
      </c>
      <c r="B769">
        <v>9007541100</v>
      </c>
      <c r="C769" t="s">
        <v>1985</v>
      </c>
      <c r="D769">
        <v>6</v>
      </c>
      <c r="E769" t="s">
        <v>936</v>
      </c>
    </row>
    <row r="770" spans="1:5" x14ac:dyDescent="0.25">
      <c r="A770" t="s">
        <v>1986</v>
      </c>
      <c r="B770">
        <v>9007541200</v>
      </c>
      <c r="C770" t="s">
        <v>1987</v>
      </c>
      <c r="D770">
        <v>3</v>
      </c>
      <c r="E770" t="s">
        <v>944</v>
      </c>
    </row>
    <row r="771" spans="1:5" x14ac:dyDescent="0.25">
      <c r="A771" t="s">
        <v>1988</v>
      </c>
      <c r="B771">
        <v>9007541300</v>
      </c>
      <c r="C771" t="s">
        <v>1989</v>
      </c>
      <c r="D771">
        <v>2</v>
      </c>
      <c r="E771" t="s">
        <v>944</v>
      </c>
    </row>
    <row r="772" spans="1:5" x14ac:dyDescent="0.25">
      <c r="A772" t="s">
        <v>1990</v>
      </c>
      <c r="B772">
        <v>9007541401</v>
      </c>
      <c r="C772" t="s">
        <v>1991</v>
      </c>
      <c r="D772">
        <v>3</v>
      </c>
      <c r="E772" t="s">
        <v>944</v>
      </c>
    </row>
    <row r="773" spans="1:5" x14ac:dyDescent="0.25">
      <c r="A773" t="s">
        <v>1992</v>
      </c>
      <c r="B773">
        <v>9007541402</v>
      </c>
      <c r="C773" t="s">
        <v>1993</v>
      </c>
      <c r="D773">
        <v>3</v>
      </c>
      <c r="E773" t="s">
        <v>944</v>
      </c>
    </row>
    <row r="774" spans="1:5" x14ac:dyDescent="0.25">
      <c r="A774" t="s">
        <v>1994</v>
      </c>
      <c r="B774">
        <v>9007541500</v>
      </c>
      <c r="C774" t="s">
        <v>1995</v>
      </c>
      <c r="D774">
        <v>4</v>
      </c>
      <c r="E774" t="s">
        <v>944</v>
      </c>
    </row>
    <row r="775" spans="1:5" x14ac:dyDescent="0.25">
      <c r="A775" t="s">
        <v>1996</v>
      </c>
      <c r="B775">
        <v>9007541600</v>
      </c>
      <c r="C775" t="s">
        <v>1997</v>
      </c>
      <c r="D775">
        <v>6</v>
      </c>
      <c r="E775" t="s">
        <v>936</v>
      </c>
    </row>
    <row r="776" spans="1:5" x14ac:dyDescent="0.25">
      <c r="A776" t="s">
        <v>1998</v>
      </c>
      <c r="B776">
        <v>9007541700</v>
      </c>
      <c r="C776" t="s">
        <v>1999</v>
      </c>
      <c r="D776">
        <v>6</v>
      </c>
      <c r="E776" t="s">
        <v>936</v>
      </c>
    </row>
    <row r="777" spans="1:5" x14ac:dyDescent="0.25">
      <c r="A777" t="s">
        <v>2000</v>
      </c>
      <c r="B777">
        <v>9007542000</v>
      </c>
      <c r="C777" t="s">
        <v>2001</v>
      </c>
      <c r="D777">
        <v>4</v>
      </c>
      <c r="E777" t="s">
        <v>944</v>
      </c>
    </row>
    <row r="778" spans="1:5" x14ac:dyDescent="0.25">
      <c r="A778" t="s">
        <v>2002</v>
      </c>
      <c r="B778">
        <v>9007542100</v>
      </c>
      <c r="C778" t="s">
        <v>2003</v>
      </c>
      <c r="D778">
        <v>3</v>
      </c>
      <c r="E778" t="s">
        <v>944</v>
      </c>
    </row>
    <row r="779" spans="1:5" x14ac:dyDescent="0.25">
      <c r="A779" t="s">
        <v>2004</v>
      </c>
      <c r="B779">
        <v>9007542200</v>
      </c>
      <c r="C779" t="s">
        <v>2005</v>
      </c>
      <c r="D779">
        <v>3</v>
      </c>
      <c r="E779" t="s">
        <v>944</v>
      </c>
    </row>
    <row r="780" spans="1:5" x14ac:dyDescent="0.25">
      <c r="A780" t="s">
        <v>2014</v>
      </c>
      <c r="B780">
        <v>9007560200</v>
      </c>
      <c r="C780" t="s">
        <v>2015</v>
      </c>
      <c r="D780">
        <v>4</v>
      </c>
      <c r="E780" t="s">
        <v>944</v>
      </c>
    </row>
    <row r="781" spans="1:5" x14ac:dyDescent="0.25">
      <c r="A781" t="s">
        <v>2054</v>
      </c>
      <c r="B781">
        <v>9007680200</v>
      </c>
      <c r="C781" t="s">
        <v>2055</v>
      </c>
      <c r="D781">
        <v>3</v>
      </c>
      <c r="E781" t="s">
        <v>944</v>
      </c>
    </row>
    <row r="782" spans="1:5" x14ac:dyDescent="0.25">
      <c r="A782" t="s">
        <v>2458</v>
      </c>
      <c r="B782">
        <v>9011693600</v>
      </c>
      <c r="C782" t="s">
        <v>2459</v>
      </c>
      <c r="D782">
        <v>3</v>
      </c>
      <c r="E782" t="s">
        <v>944</v>
      </c>
    </row>
    <row r="783" spans="1:5" x14ac:dyDescent="0.25">
      <c r="A783" t="s">
        <v>2458</v>
      </c>
      <c r="B783">
        <v>9011693600</v>
      </c>
      <c r="C783" t="s">
        <v>2459</v>
      </c>
      <c r="D783">
        <v>3</v>
      </c>
      <c r="E783" t="s">
        <v>944</v>
      </c>
    </row>
    <row r="784" spans="1:5" x14ac:dyDescent="0.25">
      <c r="A784" t="s">
        <v>2458</v>
      </c>
      <c r="B784">
        <v>9011693600</v>
      </c>
      <c r="C784" t="s">
        <v>2459</v>
      </c>
      <c r="D784">
        <v>3</v>
      </c>
      <c r="E784" t="s">
        <v>944</v>
      </c>
    </row>
    <row r="785" spans="1:5" x14ac:dyDescent="0.25">
      <c r="A785" t="s">
        <v>2462</v>
      </c>
      <c r="B785">
        <v>9011695201</v>
      </c>
      <c r="C785" t="s">
        <v>2463</v>
      </c>
      <c r="D785">
        <v>2</v>
      </c>
      <c r="E785" t="s">
        <v>944</v>
      </c>
    </row>
    <row r="786" spans="1:5" x14ac:dyDescent="0.25">
      <c r="A786" t="s">
        <v>2462</v>
      </c>
      <c r="B786">
        <v>9011695201</v>
      </c>
      <c r="C786" t="s">
        <v>2463</v>
      </c>
      <c r="D786">
        <v>2</v>
      </c>
      <c r="E786" t="s">
        <v>944</v>
      </c>
    </row>
    <row r="787" spans="1:5" x14ac:dyDescent="0.25">
      <c r="A787" t="s">
        <v>2552</v>
      </c>
      <c r="B787">
        <v>9011870501</v>
      </c>
      <c r="C787" t="s">
        <v>2553</v>
      </c>
      <c r="D787">
        <v>4</v>
      </c>
      <c r="E787" t="s">
        <v>944</v>
      </c>
    </row>
    <row r="788" spans="1:5" x14ac:dyDescent="0.25">
      <c r="A788" t="s">
        <v>2554</v>
      </c>
      <c r="B788">
        <v>9011870502</v>
      </c>
      <c r="C788" t="s">
        <v>2555</v>
      </c>
      <c r="D788">
        <v>4</v>
      </c>
      <c r="E788" t="s">
        <v>944</v>
      </c>
    </row>
    <row r="789" spans="1:5" x14ac:dyDescent="0.25">
      <c r="A789" t="s">
        <v>2554</v>
      </c>
      <c r="B789">
        <v>9011870502</v>
      </c>
      <c r="C789" t="s">
        <v>2555</v>
      </c>
      <c r="D789">
        <v>4</v>
      </c>
      <c r="E789" t="s">
        <v>944</v>
      </c>
    </row>
    <row r="790" spans="1:5" x14ac:dyDescent="0.25">
      <c r="A790" t="s">
        <v>2436</v>
      </c>
      <c r="B790">
        <v>9011660101</v>
      </c>
      <c r="C790" t="s">
        <v>2437</v>
      </c>
      <c r="D790">
        <v>3</v>
      </c>
      <c r="E790" t="s">
        <v>944</v>
      </c>
    </row>
    <row r="791" spans="1:5" x14ac:dyDescent="0.25">
      <c r="A791" t="s">
        <v>2438</v>
      </c>
      <c r="B791">
        <v>9011660102</v>
      </c>
      <c r="C791" t="s">
        <v>2439</v>
      </c>
      <c r="D791">
        <v>4</v>
      </c>
      <c r="E791" t="s">
        <v>944</v>
      </c>
    </row>
    <row r="792" spans="1:5" x14ac:dyDescent="0.25">
      <c r="A792" t="s">
        <v>2050</v>
      </c>
      <c r="B792">
        <v>9007670200</v>
      </c>
      <c r="C792" t="s">
        <v>2051</v>
      </c>
      <c r="D792">
        <v>4</v>
      </c>
      <c r="E792" t="s">
        <v>944</v>
      </c>
    </row>
    <row r="793" spans="1:5" x14ac:dyDescent="0.25">
      <c r="A793" t="s">
        <v>2440</v>
      </c>
      <c r="B793">
        <v>9011690300</v>
      </c>
      <c r="C793" t="s">
        <v>2441</v>
      </c>
      <c r="D793">
        <v>5</v>
      </c>
      <c r="E793" t="s">
        <v>944</v>
      </c>
    </row>
    <row r="794" spans="1:5" x14ac:dyDescent="0.25">
      <c r="A794" t="s">
        <v>2440</v>
      </c>
      <c r="B794">
        <v>9011690300</v>
      </c>
      <c r="C794" t="s">
        <v>2441</v>
      </c>
      <c r="D794">
        <v>5</v>
      </c>
      <c r="E794" t="s">
        <v>944</v>
      </c>
    </row>
    <row r="795" spans="1:5" x14ac:dyDescent="0.25">
      <c r="A795" t="s">
        <v>2442</v>
      </c>
      <c r="B795">
        <v>9011690400</v>
      </c>
      <c r="C795" t="s">
        <v>2443</v>
      </c>
      <c r="D795">
        <v>5</v>
      </c>
      <c r="E795" t="s">
        <v>944</v>
      </c>
    </row>
    <row r="796" spans="1:5" x14ac:dyDescent="0.25">
      <c r="A796" t="s">
        <v>2444</v>
      </c>
      <c r="B796">
        <v>9011690500</v>
      </c>
      <c r="C796" t="s">
        <v>2445</v>
      </c>
      <c r="D796">
        <v>5</v>
      </c>
      <c r="E796" t="s">
        <v>944</v>
      </c>
    </row>
    <row r="797" spans="1:5" x14ac:dyDescent="0.25">
      <c r="A797" t="s">
        <v>2446</v>
      </c>
      <c r="B797">
        <v>9011690700</v>
      </c>
      <c r="C797" t="s">
        <v>2447</v>
      </c>
      <c r="D797">
        <v>5</v>
      </c>
      <c r="E797" t="s">
        <v>944</v>
      </c>
    </row>
    <row r="798" spans="1:5" x14ac:dyDescent="0.25">
      <c r="A798" t="s">
        <v>2448</v>
      </c>
      <c r="B798">
        <v>9011690800</v>
      </c>
      <c r="C798" t="s">
        <v>2449</v>
      </c>
      <c r="D798">
        <v>6</v>
      </c>
      <c r="E798" t="s">
        <v>936</v>
      </c>
    </row>
    <row r="799" spans="1:5" x14ac:dyDescent="0.25">
      <c r="A799" t="s">
        <v>2450</v>
      </c>
      <c r="B799">
        <v>9011690900</v>
      </c>
      <c r="C799" t="s">
        <v>2451</v>
      </c>
      <c r="D799">
        <v>3</v>
      </c>
      <c r="E799" t="s">
        <v>944</v>
      </c>
    </row>
    <row r="800" spans="1:5" x14ac:dyDescent="0.25">
      <c r="A800" t="s">
        <v>2452</v>
      </c>
      <c r="B800">
        <v>9011693300</v>
      </c>
      <c r="C800" t="s">
        <v>2453</v>
      </c>
      <c r="D800">
        <v>3</v>
      </c>
      <c r="E800" t="s">
        <v>944</v>
      </c>
    </row>
    <row r="801" spans="1:5" x14ac:dyDescent="0.25">
      <c r="A801" t="s">
        <v>2456</v>
      </c>
      <c r="B801">
        <v>9011693500</v>
      </c>
      <c r="C801" t="s">
        <v>2457</v>
      </c>
      <c r="D801">
        <v>3</v>
      </c>
      <c r="E801" t="s">
        <v>944</v>
      </c>
    </row>
    <row r="802" spans="1:5" x14ac:dyDescent="0.25">
      <c r="A802" t="s">
        <v>2460</v>
      </c>
      <c r="B802">
        <v>9011693700</v>
      </c>
      <c r="C802" t="s">
        <v>2461</v>
      </c>
      <c r="D802">
        <v>3</v>
      </c>
      <c r="E802" t="s">
        <v>944</v>
      </c>
    </row>
    <row r="803" spans="1:5" x14ac:dyDescent="0.25">
      <c r="A803" t="s">
        <v>2482</v>
      </c>
      <c r="B803">
        <v>9011697000</v>
      </c>
      <c r="C803" t="s">
        <v>2483</v>
      </c>
      <c r="D803">
        <v>6</v>
      </c>
      <c r="E803" t="s">
        <v>936</v>
      </c>
    </row>
    <row r="804" spans="1:5" x14ac:dyDescent="0.25">
      <c r="A804" t="s">
        <v>2484</v>
      </c>
      <c r="B804">
        <v>9011700100</v>
      </c>
      <c r="C804" t="s">
        <v>2485</v>
      </c>
      <c r="D804">
        <v>4</v>
      </c>
      <c r="E804" t="s">
        <v>944</v>
      </c>
    </row>
    <row r="805" spans="1:5" x14ac:dyDescent="0.25">
      <c r="A805" t="s">
        <v>2550</v>
      </c>
      <c r="B805">
        <v>9011870300</v>
      </c>
      <c r="C805" t="s">
        <v>2551</v>
      </c>
      <c r="D805">
        <v>5</v>
      </c>
      <c r="E805" t="s">
        <v>944</v>
      </c>
    </row>
    <row r="806" spans="1:5" x14ac:dyDescent="0.25">
      <c r="A806" t="s">
        <v>2550</v>
      </c>
      <c r="B806">
        <v>9011870300</v>
      </c>
      <c r="C806" t="s">
        <v>2551</v>
      </c>
      <c r="D806">
        <v>5</v>
      </c>
      <c r="E806" t="s">
        <v>944</v>
      </c>
    </row>
    <row r="807" spans="1:5" x14ac:dyDescent="0.25">
      <c r="A807" t="s">
        <v>2518</v>
      </c>
      <c r="B807">
        <v>9011707100</v>
      </c>
      <c r="C807" t="s">
        <v>2519</v>
      </c>
      <c r="D807">
        <v>4</v>
      </c>
      <c r="E807" t="s">
        <v>944</v>
      </c>
    </row>
    <row r="808" spans="1:5" x14ac:dyDescent="0.25">
      <c r="A808" t="s">
        <v>2518</v>
      </c>
      <c r="B808">
        <v>9011707100</v>
      </c>
      <c r="C808" t="s">
        <v>2519</v>
      </c>
      <c r="D808">
        <v>4</v>
      </c>
      <c r="E808" t="s">
        <v>944</v>
      </c>
    </row>
    <row r="809" spans="1:5" x14ac:dyDescent="0.25">
      <c r="A809" t="s">
        <v>2508</v>
      </c>
      <c r="B809">
        <v>9011705101</v>
      </c>
      <c r="C809" t="s">
        <v>2509</v>
      </c>
      <c r="D809">
        <v>3</v>
      </c>
      <c r="E809" t="s">
        <v>944</v>
      </c>
    </row>
    <row r="810" spans="1:5" x14ac:dyDescent="0.25">
      <c r="A810" t="s">
        <v>2520</v>
      </c>
      <c r="B810">
        <v>9011708100</v>
      </c>
      <c r="C810" t="s">
        <v>2521</v>
      </c>
      <c r="D810">
        <v>4</v>
      </c>
      <c r="E810" t="s">
        <v>944</v>
      </c>
    </row>
    <row r="811" spans="1:5" x14ac:dyDescent="0.25">
      <c r="A811" t="s">
        <v>2520</v>
      </c>
      <c r="B811">
        <v>9011708100</v>
      </c>
      <c r="C811" t="s">
        <v>2521</v>
      </c>
      <c r="D811">
        <v>4</v>
      </c>
      <c r="E811" t="s">
        <v>944</v>
      </c>
    </row>
    <row r="812" spans="1:5" x14ac:dyDescent="0.25">
      <c r="A812" t="s">
        <v>2510</v>
      </c>
      <c r="B812">
        <v>9011705102</v>
      </c>
      <c r="C812" t="s">
        <v>2511</v>
      </c>
      <c r="D812">
        <v>4</v>
      </c>
      <c r="E812" t="s">
        <v>944</v>
      </c>
    </row>
    <row r="813" spans="1:5" x14ac:dyDescent="0.25">
      <c r="A813" t="s">
        <v>2512</v>
      </c>
      <c r="B813">
        <v>9011705200</v>
      </c>
      <c r="C813" t="s">
        <v>2513</v>
      </c>
      <c r="D813">
        <v>3</v>
      </c>
      <c r="E813" t="s">
        <v>944</v>
      </c>
    </row>
    <row r="814" spans="1:5" x14ac:dyDescent="0.25">
      <c r="A814" t="s">
        <v>2514</v>
      </c>
      <c r="B814">
        <v>9011705300</v>
      </c>
      <c r="C814" t="s">
        <v>2515</v>
      </c>
      <c r="D814">
        <v>3</v>
      </c>
      <c r="E814" t="s">
        <v>944</v>
      </c>
    </row>
    <row r="815" spans="1:5" x14ac:dyDescent="0.25">
      <c r="A815" t="s">
        <v>2516</v>
      </c>
      <c r="B815">
        <v>9011705400</v>
      </c>
      <c r="C815" t="s">
        <v>2517</v>
      </c>
      <c r="D815">
        <v>3</v>
      </c>
      <c r="E815" t="s">
        <v>944</v>
      </c>
    </row>
    <row r="816" spans="1:5" x14ac:dyDescent="0.25">
      <c r="A816" t="s">
        <v>2664</v>
      </c>
      <c r="B816">
        <v>9015907300</v>
      </c>
      <c r="C816" t="s">
        <v>2665</v>
      </c>
      <c r="D816">
        <v>5</v>
      </c>
      <c r="E816" t="s">
        <v>944</v>
      </c>
    </row>
    <row r="817" spans="1:5" x14ac:dyDescent="0.25">
      <c r="A817" t="s">
        <v>2528</v>
      </c>
      <c r="B817">
        <v>9011711100</v>
      </c>
      <c r="C817" t="s">
        <v>2529</v>
      </c>
      <c r="D817">
        <v>4</v>
      </c>
      <c r="E817" t="s">
        <v>944</v>
      </c>
    </row>
    <row r="818" spans="1:5" x14ac:dyDescent="0.25">
      <c r="A818" t="s">
        <v>2648</v>
      </c>
      <c r="B818">
        <v>9015903200</v>
      </c>
      <c r="C818" t="s">
        <v>2649</v>
      </c>
      <c r="D818">
        <v>4</v>
      </c>
      <c r="E818" t="s">
        <v>944</v>
      </c>
    </row>
    <row r="819" spans="1:5" x14ac:dyDescent="0.25">
      <c r="A819" t="s">
        <v>2648</v>
      </c>
      <c r="B819">
        <v>9015903200</v>
      </c>
      <c r="C819" t="s">
        <v>2649</v>
      </c>
      <c r="D819">
        <v>4</v>
      </c>
      <c r="E819" t="s">
        <v>944</v>
      </c>
    </row>
    <row r="820" spans="1:5" x14ac:dyDescent="0.25">
      <c r="A820" t="s">
        <v>2616</v>
      </c>
      <c r="B820">
        <v>9013890202</v>
      </c>
      <c r="C820" t="s">
        <v>2617</v>
      </c>
      <c r="D820">
        <v>3</v>
      </c>
      <c r="E820" t="s">
        <v>944</v>
      </c>
    </row>
    <row r="821" spans="1:5" x14ac:dyDescent="0.25">
      <c r="A821" t="s">
        <v>2616</v>
      </c>
      <c r="B821">
        <v>9013890202</v>
      </c>
      <c r="C821" t="s">
        <v>2617</v>
      </c>
      <c r="D821">
        <v>3</v>
      </c>
      <c r="E821" t="s">
        <v>944</v>
      </c>
    </row>
    <row r="822" spans="1:5" x14ac:dyDescent="0.25">
      <c r="A822" t="s">
        <v>2616</v>
      </c>
      <c r="B822">
        <v>9013890202</v>
      </c>
      <c r="C822" t="s">
        <v>2617</v>
      </c>
      <c r="D822">
        <v>3</v>
      </c>
      <c r="E822" t="s">
        <v>944</v>
      </c>
    </row>
    <row r="823" spans="1:5" x14ac:dyDescent="0.25">
      <c r="A823" t="s">
        <v>2612</v>
      </c>
      <c r="B823">
        <v>9013890100</v>
      </c>
      <c r="C823" t="s">
        <v>2613</v>
      </c>
      <c r="D823">
        <v>5</v>
      </c>
      <c r="E823" t="s">
        <v>944</v>
      </c>
    </row>
    <row r="824" spans="1:5" x14ac:dyDescent="0.25">
      <c r="A824" t="s">
        <v>2612</v>
      </c>
      <c r="B824">
        <v>9013890100</v>
      </c>
      <c r="C824" t="s">
        <v>2613</v>
      </c>
      <c r="D824">
        <v>5</v>
      </c>
      <c r="E824" t="s">
        <v>944</v>
      </c>
    </row>
    <row r="825" spans="1:5" x14ac:dyDescent="0.25">
      <c r="A825" t="s">
        <v>2614</v>
      </c>
      <c r="B825">
        <v>9013890201</v>
      </c>
      <c r="C825" t="s">
        <v>2615</v>
      </c>
      <c r="D825">
        <v>3</v>
      </c>
      <c r="E825" t="s">
        <v>944</v>
      </c>
    </row>
    <row r="826" spans="1:5" x14ac:dyDescent="0.25">
      <c r="A826" t="s">
        <v>2614</v>
      </c>
      <c r="B826">
        <v>9013890201</v>
      </c>
      <c r="C826" t="s">
        <v>2615</v>
      </c>
      <c r="D826">
        <v>3</v>
      </c>
      <c r="E826" t="s">
        <v>944</v>
      </c>
    </row>
    <row r="827" spans="1:5" x14ac:dyDescent="0.25">
      <c r="A827" t="s">
        <v>2638</v>
      </c>
      <c r="B827">
        <v>9015900200</v>
      </c>
      <c r="C827" t="s">
        <v>2639</v>
      </c>
      <c r="D827">
        <v>4</v>
      </c>
      <c r="E827" t="s">
        <v>944</v>
      </c>
    </row>
    <row r="828" spans="1:5" x14ac:dyDescent="0.25">
      <c r="A828" t="s">
        <v>1716</v>
      </c>
      <c r="B828">
        <v>9003497200</v>
      </c>
      <c r="C828" t="s">
        <v>1717</v>
      </c>
      <c r="D828">
        <v>2</v>
      </c>
      <c r="E828" t="s">
        <v>944</v>
      </c>
    </row>
    <row r="829" spans="1:5" x14ac:dyDescent="0.25">
      <c r="A829" t="s">
        <v>1718</v>
      </c>
      <c r="B829">
        <v>9003497300</v>
      </c>
      <c r="C829" t="s">
        <v>1719</v>
      </c>
      <c r="D829">
        <v>2</v>
      </c>
      <c r="E829" t="s">
        <v>944</v>
      </c>
    </row>
    <row r="830" spans="1:5" x14ac:dyDescent="0.25">
      <c r="A830" t="s">
        <v>1720</v>
      </c>
      <c r="B830">
        <v>9003497400</v>
      </c>
      <c r="C830" t="s">
        <v>1721</v>
      </c>
      <c r="D830">
        <v>2</v>
      </c>
      <c r="E830" t="s">
        <v>944</v>
      </c>
    </row>
    <row r="831" spans="1:5" x14ac:dyDescent="0.25">
      <c r="A831" t="s">
        <v>1722</v>
      </c>
      <c r="B831">
        <v>9003497500</v>
      </c>
      <c r="C831" t="s">
        <v>1723</v>
      </c>
      <c r="D831">
        <v>3</v>
      </c>
      <c r="E831" t="s">
        <v>944</v>
      </c>
    </row>
    <row r="832" spans="1:5" x14ac:dyDescent="0.25">
      <c r="A832" t="s">
        <v>1724</v>
      </c>
      <c r="B832">
        <v>9003497600</v>
      </c>
      <c r="C832" t="s">
        <v>1725</v>
      </c>
      <c r="D832">
        <v>2</v>
      </c>
      <c r="E832" t="s">
        <v>944</v>
      </c>
    </row>
    <row r="833" spans="1:5" x14ac:dyDescent="0.25">
      <c r="A833" t="s">
        <v>1726</v>
      </c>
      <c r="B833">
        <v>9003497700</v>
      </c>
      <c r="C833" t="s">
        <v>1727</v>
      </c>
      <c r="D833">
        <v>2</v>
      </c>
      <c r="E833" t="s">
        <v>944</v>
      </c>
    </row>
    <row r="834" spans="1:5" x14ac:dyDescent="0.25">
      <c r="A834" t="s">
        <v>2042</v>
      </c>
      <c r="B834">
        <v>9007620100</v>
      </c>
      <c r="C834" t="s">
        <v>2043</v>
      </c>
      <c r="D834">
        <v>4</v>
      </c>
      <c r="E834" t="s">
        <v>944</v>
      </c>
    </row>
    <row r="835" spans="1:5" x14ac:dyDescent="0.25">
      <c r="A835" t="s">
        <v>2052</v>
      </c>
      <c r="B835">
        <v>9007680100</v>
      </c>
      <c r="C835" t="s">
        <v>2053</v>
      </c>
      <c r="D835">
        <v>4</v>
      </c>
      <c r="E835" t="s">
        <v>944</v>
      </c>
    </row>
    <row r="836" spans="1:5" x14ac:dyDescent="0.25">
      <c r="A836" t="s">
        <v>1174</v>
      </c>
      <c r="B836">
        <v>9001050100</v>
      </c>
      <c r="C836" t="s">
        <v>1175</v>
      </c>
      <c r="D836">
        <v>2</v>
      </c>
      <c r="E836" t="s">
        <v>944</v>
      </c>
    </row>
    <row r="837" spans="1:5" x14ac:dyDescent="0.25">
      <c r="A837" t="s">
        <v>1178</v>
      </c>
      <c r="B837">
        <v>9001050300</v>
      </c>
      <c r="C837" t="s">
        <v>1179</v>
      </c>
      <c r="D837">
        <v>2</v>
      </c>
      <c r="E837" t="s">
        <v>944</v>
      </c>
    </row>
    <row r="838" spans="1:5" x14ac:dyDescent="0.25">
      <c r="A838" t="s">
        <v>1186</v>
      </c>
      <c r="B838">
        <v>9001055100</v>
      </c>
      <c r="C838" t="s">
        <v>1187</v>
      </c>
      <c r="D838">
        <v>2</v>
      </c>
      <c r="E838" t="s">
        <v>944</v>
      </c>
    </row>
    <row r="839" spans="1:5" x14ac:dyDescent="0.25">
      <c r="A839" t="s">
        <v>1188</v>
      </c>
      <c r="B839">
        <v>9001055200</v>
      </c>
      <c r="C839" t="s">
        <v>1189</v>
      </c>
      <c r="D839">
        <v>2</v>
      </c>
      <c r="E839" t="s">
        <v>944</v>
      </c>
    </row>
    <row r="840" spans="1:5" x14ac:dyDescent="0.25">
      <c r="A840" t="s">
        <v>1340</v>
      </c>
      <c r="B840">
        <v>9001105100</v>
      </c>
      <c r="C840" t="s">
        <v>1341</v>
      </c>
      <c r="D840">
        <v>2</v>
      </c>
      <c r="E840" t="s">
        <v>944</v>
      </c>
    </row>
    <row r="841" spans="1:5" x14ac:dyDescent="0.25">
      <c r="A841" t="s">
        <v>1120</v>
      </c>
      <c r="B841">
        <v>9001042500</v>
      </c>
      <c r="C841" t="s">
        <v>1121</v>
      </c>
      <c r="D841">
        <v>2</v>
      </c>
      <c r="E841" t="s">
        <v>944</v>
      </c>
    </row>
    <row r="842" spans="1:5" x14ac:dyDescent="0.25">
      <c r="A842" t="s">
        <v>1122</v>
      </c>
      <c r="B842">
        <v>9001042600</v>
      </c>
      <c r="C842" t="s">
        <v>1123</v>
      </c>
      <c r="D842">
        <v>3</v>
      </c>
      <c r="E842" t="s">
        <v>944</v>
      </c>
    </row>
    <row r="843" spans="1:5" x14ac:dyDescent="0.25">
      <c r="A843" t="s">
        <v>1140</v>
      </c>
      <c r="B843">
        <v>9001043500</v>
      </c>
      <c r="C843" t="s">
        <v>1141</v>
      </c>
      <c r="D843">
        <v>3</v>
      </c>
      <c r="E843" t="s">
        <v>944</v>
      </c>
    </row>
    <row r="844" spans="1:5" x14ac:dyDescent="0.25">
      <c r="A844" t="s">
        <v>1156</v>
      </c>
      <c r="B844">
        <v>9001044300</v>
      </c>
      <c r="C844" t="s">
        <v>1157</v>
      </c>
      <c r="D844">
        <v>2</v>
      </c>
      <c r="E844" t="s">
        <v>944</v>
      </c>
    </row>
    <row r="845" spans="1:5" x14ac:dyDescent="0.25">
      <c r="A845" t="s">
        <v>1172</v>
      </c>
      <c r="B845">
        <v>9001045400</v>
      </c>
      <c r="C845" t="s">
        <v>1173</v>
      </c>
      <c r="D845">
        <v>2</v>
      </c>
      <c r="E845" t="s">
        <v>944</v>
      </c>
    </row>
    <row r="846" spans="1:5" x14ac:dyDescent="0.25">
      <c r="A846" t="s">
        <v>1174</v>
      </c>
      <c r="B846">
        <v>9001050100</v>
      </c>
      <c r="C846" t="s">
        <v>1175</v>
      </c>
      <c r="D846">
        <v>2</v>
      </c>
      <c r="E846" t="s">
        <v>944</v>
      </c>
    </row>
    <row r="847" spans="1:5" x14ac:dyDescent="0.25">
      <c r="A847" t="s">
        <v>1176</v>
      </c>
      <c r="B847">
        <v>9001050200</v>
      </c>
      <c r="C847" t="s">
        <v>1177</v>
      </c>
      <c r="D847">
        <v>2</v>
      </c>
      <c r="E847" t="s">
        <v>944</v>
      </c>
    </row>
    <row r="848" spans="1:5" x14ac:dyDescent="0.25">
      <c r="A848" t="s">
        <v>1178</v>
      </c>
      <c r="B848">
        <v>9001050300</v>
      </c>
      <c r="C848" t="s">
        <v>1179</v>
      </c>
      <c r="D848">
        <v>2</v>
      </c>
      <c r="E848" t="s">
        <v>944</v>
      </c>
    </row>
    <row r="849" spans="1:5" x14ac:dyDescent="0.25">
      <c r="A849" t="s">
        <v>1180</v>
      </c>
      <c r="B849">
        <v>9001050400</v>
      </c>
      <c r="C849" t="s">
        <v>1181</v>
      </c>
      <c r="D849">
        <v>3</v>
      </c>
      <c r="E849" t="s">
        <v>944</v>
      </c>
    </row>
    <row r="850" spans="1:5" x14ac:dyDescent="0.25">
      <c r="A850" t="s">
        <v>1182</v>
      </c>
      <c r="B850">
        <v>9001050500</v>
      </c>
      <c r="C850" t="s">
        <v>1183</v>
      </c>
      <c r="D850">
        <v>2</v>
      </c>
      <c r="E850" t="s">
        <v>944</v>
      </c>
    </row>
    <row r="851" spans="1:5" x14ac:dyDescent="0.25">
      <c r="A851" t="s">
        <v>1184</v>
      </c>
      <c r="B851">
        <v>9001050600</v>
      </c>
      <c r="C851" t="s">
        <v>1185</v>
      </c>
      <c r="D851">
        <v>2</v>
      </c>
      <c r="E851" t="s">
        <v>944</v>
      </c>
    </row>
    <row r="852" spans="1:5" x14ac:dyDescent="0.25">
      <c r="A852" t="s">
        <v>1188</v>
      </c>
      <c r="B852">
        <v>9001055200</v>
      </c>
      <c r="C852" t="s">
        <v>1189</v>
      </c>
      <c r="D852">
        <v>2</v>
      </c>
      <c r="E852" t="s">
        <v>944</v>
      </c>
    </row>
    <row r="853" spans="1:5" x14ac:dyDescent="0.25">
      <c r="A853" t="s">
        <v>1196</v>
      </c>
      <c r="B853">
        <v>9001060400</v>
      </c>
      <c r="C853" t="s">
        <v>1197</v>
      </c>
      <c r="D853">
        <v>2</v>
      </c>
      <c r="E853" t="s">
        <v>944</v>
      </c>
    </row>
    <row r="854" spans="1:5" x14ac:dyDescent="0.25">
      <c r="A854" t="s">
        <v>1668</v>
      </c>
      <c r="B854">
        <v>9003492100</v>
      </c>
      <c r="C854" t="s">
        <v>1669</v>
      </c>
      <c r="D854">
        <v>3</v>
      </c>
      <c r="E854" t="s">
        <v>944</v>
      </c>
    </row>
    <row r="855" spans="1:5" x14ac:dyDescent="0.25">
      <c r="A855" t="s">
        <v>1670</v>
      </c>
      <c r="B855">
        <v>9003492200</v>
      </c>
      <c r="C855" t="s">
        <v>1671</v>
      </c>
      <c r="D855">
        <v>3</v>
      </c>
      <c r="E855" t="s">
        <v>944</v>
      </c>
    </row>
    <row r="856" spans="1:5" x14ac:dyDescent="0.25">
      <c r="A856" t="s">
        <v>1672</v>
      </c>
      <c r="B856">
        <v>9003492300</v>
      </c>
      <c r="C856" t="s">
        <v>1673</v>
      </c>
      <c r="D856">
        <v>4</v>
      </c>
      <c r="E856" t="s">
        <v>944</v>
      </c>
    </row>
    <row r="857" spans="1:5" x14ac:dyDescent="0.25">
      <c r="A857" t="s">
        <v>1674</v>
      </c>
      <c r="B857">
        <v>9003492400</v>
      </c>
      <c r="C857" t="s">
        <v>1675</v>
      </c>
      <c r="D857">
        <v>3</v>
      </c>
      <c r="E857" t="s">
        <v>944</v>
      </c>
    </row>
    <row r="858" spans="1:5" x14ac:dyDescent="0.25">
      <c r="A858" t="s">
        <v>1676</v>
      </c>
      <c r="B858">
        <v>9003492500</v>
      </c>
      <c r="C858" t="s">
        <v>1677</v>
      </c>
      <c r="D858">
        <v>3</v>
      </c>
      <c r="E858" t="s">
        <v>944</v>
      </c>
    </row>
    <row r="859" spans="1:5" x14ac:dyDescent="0.25">
      <c r="A859" t="s">
        <v>1678</v>
      </c>
      <c r="B859">
        <v>9003492600</v>
      </c>
      <c r="C859" t="s">
        <v>1679</v>
      </c>
      <c r="D859">
        <v>3</v>
      </c>
      <c r="E859" t="s">
        <v>944</v>
      </c>
    </row>
    <row r="860" spans="1:5" x14ac:dyDescent="0.25">
      <c r="A860" t="s">
        <v>1680</v>
      </c>
      <c r="B860">
        <v>9003494100</v>
      </c>
      <c r="C860" t="s">
        <v>1681</v>
      </c>
      <c r="D860">
        <v>3</v>
      </c>
      <c r="E860" t="s">
        <v>944</v>
      </c>
    </row>
    <row r="861" spans="1:5" x14ac:dyDescent="0.25">
      <c r="A861" t="s">
        <v>2596</v>
      </c>
      <c r="B861">
        <v>9013840100</v>
      </c>
      <c r="C861" t="s">
        <v>2597</v>
      </c>
      <c r="D861">
        <v>4</v>
      </c>
      <c r="E861" t="s">
        <v>944</v>
      </c>
    </row>
    <row r="862" spans="1:5" x14ac:dyDescent="0.25">
      <c r="A862" t="s">
        <v>2614</v>
      </c>
      <c r="B862">
        <v>9013890201</v>
      </c>
      <c r="C862" t="s">
        <v>2615</v>
      </c>
      <c r="D862">
        <v>3</v>
      </c>
      <c r="E862" t="s">
        <v>944</v>
      </c>
    </row>
    <row r="863" spans="1:5" x14ac:dyDescent="0.25">
      <c r="A863" t="s">
        <v>2634</v>
      </c>
      <c r="B863">
        <v>9015830100</v>
      </c>
      <c r="C863" t="s">
        <v>2635</v>
      </c>
      <c r="D863">
        <v>4</v>
      </c>
      <c r="E863" t="s">
        <v>944</v>
      </c>
    </row>
    <row r="864" spans="1:5" x14ac:dyDescent="0.25">
      <c r="A864" t="s">
        <v>1118</v>
      </c>
      <c r="B864">
        <v>9001035400</v>
      </c>
      <c r="C864" t="s">
        <v>1119</v>
      </c>
      <c r="D864">
        <v>2</v>
      </c>
      <c r="E864" t="s">
        <v>944</v>
      </c>
    </row>
    <row r="865" spans="1:5" x14ac:dyDescent="0.25">
      <c r="A865" t="s">
        <v>1128</v>
      </c>
      <c r="B865">
        <v>9001042900</v>
      </c>
      <c r="C865" t="s">
        <v>1129</v>
      </c>
      <c r="D865">
        <v>2</v>
      </c>
      <c r="E865" t="s">
        <v>944</v>
      </c>
    </row>
    <row r="866" spans="1:5" x14ac:dyDescent="0.25">
      <c r="A866" t="s">
        <v>1164</v>
      </c>
      <c r="B866">
        <v>9001045101</v>
      </c>
      <c r="C866" t="s">
        <v>1165</v>
      </c>
      <c r="D866">
        <v>2</v>
      </c>
      <c r="E866" t="s">
        <v>944</v>
      </c>
    </row>
    <row r="867" spans="1:5" x14ac:dyDescent="0.25">
      <c r="A867" t="s">
        <v>1166</v>
      </c>
      <c r="B867">
        <v>9001045102</v>
      </c>
      <c r="C867" t="s">
        <v>1167</v>
      </c>
      <c r="D867">
        <v>2</v>
      </c>
      <c r="E867" t="s">
        <v>944</v>
      </c>
    </row>
    <row r="868" spans="1:5" x14ac:dyDescent="0.25">
      <c r="A868" t="s">
        <v>1168</v>
      </c>
      <c r="B868">
        <v>9001045200</v>
      </c>
      <c r="C868" t="s">
        <v>1169</v>
      </c>
      <c r="D868">
        <v>2</v>
      </c>
      <c r="E868" t="s">
        <v>944</v>
      </c>
    </row>
    <row r="869" spans="1:5" x14ac:dyDescent="0.25">
      <c r="A869" t="s">
        <v>1170</v>
      </c>
      <c r="B869">
        <v>9001045300</v>
      </c>
      <c r="C869" t="s">
        <v>1171</v>
      </c>
      <c r="D869">
        <v>2</v>
      </c>
      <c r="E869" t="s">
        <v>944</v>
      </c>
    </row>
    <row r="870" spans="1:5" x14ac:dyDescent="0.25">
      <c r="A870" t="s">
        <v>1172</v>
      </c>
      <c r="B870">
        <v>9001045400</v>
      </c>
      <c r="C870" t="s">
        <v>1173</v>
      </c>
      <c r="D870">
        <v>2</v>
      </c>
      <c r="E870" t="s">
        <v>944</v>
      </c>
    </row>
    <row r="871" spans="1:5" x14ac:dyDescent="0.25">
      <c r="A871" t="s">
        <v>1186</v>
      </c>
      <c r="B871">
        <v>9001055100</v>
      </c>
      <c r="C871" t="s">
        <v>1187</v>
      </c>
      <c r="D871">
        <v>2</v>
      </c>
      <c r="E871" t="s">
        <v>944</v>
      </c>
    </row>
    <row r="872" spans="1:5" x14ac:dyDescent="0.25">
      <c r="A872" t="s">
        <v>1420</v>
      </c>
      <c r="B872">
        <v>9001240100</v>
      </c>
      <c r="C872" t="s">
        <v>1421</v>
      </c>
      <c r="D872">
        <v>3</v>
      </c>
      <c r="E872" t="s">
        <v>944</v>
      </c>
    </row>
    <row r="873" spans="1:5" x14ac:dyDescent="0.25">
      <c r="A873" t="s">
        <v>1430</v>
      </c>
      <c r="B873">
        <v>9001245400</v>
      </c>
      <c r="C873" t="s">
        <v>1431</v>
      </c>
      <c r="D873">
        <v>2</v>
      </c>
      <c r="E873" t="s">
        <v>944</v>
      </c>
    </row>
    <row r="874" spans="1:5" x14ac:dyDescent="0.25">
      <c r="A874" t="s">
        <v>1912</v>
      </c>
      <c r="B874">
        <v>9005290100</v>
      </c>
      <c r="C874" t="s">
        <v>1913</v>
      </c>
      <c r="D874">
        <v>3</v>
      </c>
      <c r="E874" t="s">
        <v>944</v>
      </c>
    </row>
    <row r="875" spans="1:5" x14ac:dyDescent="0.25">
      <c r="A875" t="s">
        <v>1914</v>
      </c>
      <c r="B875">
        <v>9005293100</v>
      </c>
      <c r="C875" t="s">
        <v>1915</v>
      </c>
      <c r="D875">
        <v>4</v>
      </c>
      <c r="E875" t="s">
        <v>944</v>
      </c>
    </row>
    <row r="876" spans="1:5" x14ac:dyDescent="0.25">
      <c r="A876" t="s">
        <v>1946</v>
      </c>
      <c r="B876">
        <v>9005310700</v>
      </c>
      <c r="C876" t="s">
        <v>1947</v>
      </c>
      <c r="D876">
        <v>5</v>
      </c>
      <c r="E876" t="s">
        <v>944</v>
      </c>
    </row>
    <row r="877" spans="1:5" x14ac:dyDescent="0.25">
      <c r="A877" t="s">
        <v>1954</v>
      </c>
      <c r="B877">
        <v>9005320100</v>
      </c>
      <c r="C877" t="s">
        <v>1955</v>
      </c>
      <c r="D877">
        <v>4</v>
      </c>
      <c r="E877" t="s">
        <v>944</v>
      </c>
    </row>
    <row r="878" spans="1:5" x14ac:dyDescent="0.25">
      <c r="A878" t="s">
        <v>1956</v>
      </c>
      <c r="B878">
        <v>9005320200</v>
      </c>
      <c r="C878" t="s">
        <v>1957</v>
      </c>
      <c r="D878">
        <v>4</v>
      </c>
      <c r="E878" t="s">
        <v>944</v>
      </c>
    </row>
    <row r="879" spans="1:5" x14ac:dyDescent="0.25">
      <c r="A879" t="s">
        <v>2610</v>
      </c>
      <c r="B879">
        <v>9013881500</v>
      </c>
      <c r="C879" t="s">
        <v>2611</v>
      </c>
      <c r="D879">
        <v>3</v>
      </c>
      <c r="E879" t="s">
        <v>944</v>
      </c>
    </row>
    <row r="880" spans="1:5" x14ac:dyDescent="0.25">
      <c r="A880" t="s">
        <v>2618</v>
      </c>
      <c r="B880">
        <v>9015800300</v>
      </c>
      <c r="C880" t="s">
        <v>2619</v>
      </c>
      <c r="D880">
        <v>6</v>
      </c>
      <c r="E880" t="s">
        <v>936</v>
      </c>
    </row>
    <row r="881" spans="1:5" x14ac:dyDescent="0.25">
      <c r="A881" t="s">
        <v>2620</v>
      </c>
      <c r="B881">
        <v>9015800400</v>
      </c>
      <c r="C881" t="s">
        <v>2621</v>
      </c>
      <c r="D881">
        <v>5</v>
      </c>
      <c r="E881" t="s">
        <v>944</v>
      </c>
    </row>
    <row r="882" spans="1:5" x14ac:dyDescent="0.25">
      <c r="A882" t="s">
        <v>2622</v>
      </c>
      <c r="B882">
        <v>9015800500</v>
      </c>
      <c r="C882" t="s">
        <v>2623</v>
      </c>
      <c r="D882">
        <v>5</v>
      </c>
      <c r="E882" t="s">
        <v>944</v>
      </c>
    </row>
    <row r="883" spans="1:5" x14ac:dyDescent="0.25">
      <c r="A883" t="s">
        <v>2624</v>
      </c>
      <c r="B883">
        <v>9015800600</v>
      </c>
      <c r="C883" t="s">
        <v>2625</v>
      </c>
      <c r="D883">
        <v>8</v>
      </c>
      <c r="E883" t="s">
        <v>936</v>
      </c>
    </row>
    <row r="884" spans="1:5" x14ac:dyDescent="0.25">
      <c r="A884" t="s">
        <v>2626</v>
      </c>
      <c r="B884">
        <v>9015800700</v>
      </c>
      <c r="C884" t="s">
        <v>2627</v>
      </c>
      <c r="D884">
        <v>7</v>
      </c>
      <c r="E884" t="s">
        <v>936</v>
      </c>
    </row>
    <row r="885" spans="1:5" x14ac:dyDescent="0.25">
      <c r="A885" t="s">
        <v>2628</v>
      </c>
      <c r="B885">
        <v>9015815000</v>
      </c>
      <c r="C885" t="s">
        <v>2629</v>
      </c>
      <c r="D885">
        <v>4</v>
      </c>
      <c r="E885" t="s">
        <v>944</v>
      </c>
    </row>
    <row r="886" spans="1:5" x14ac:dyDescent="0.25">
      <c r="A886" t="s">
        <v>2632</v>
      </c>
      <c r="B886">
        <v>9015825000</v>
      </c>
      <c r="C886" t="s">
        <v>2633</v>
      </c>
      <c r="D886">
        <v>4</v>
      </c>
      <c r="E886" t="s">
        <v>944</v>
      </c>
    </row>
    <row r="887" spans="1:5" x14ac:dyDescent="0.25">
      <c r="A887" t="s">
        <v>1586</v>
      </c>
      <c r="B887">
        <v>9003470100</v>
      </c>
      <c r="C887" t="s">
        <v>1587</v>
      </c>
      <c r="D887">
        <v>3</v>
      </c>
      <c r="E887" t="s">
        <v>944</v>
      </c>
    </row>
    <row r="888" spans="1:5" x14ac:dyDescent="0.25">
      <c r="A888" t="s">
        <v>1594</v>
      </c>
      <c r="B888">
        <v>9003471400</v>
      </c>
      <c r="C888" t="s">
        <v>1595</v>
      </c>
      <c r="D888">
        <v>3</v>
      </c>
      <c r="E888" t="s">
        <v>944</v>
      </c>
    </row>
    <row r="889" spans="1:5" x14ac:dyDescent="0.25">
      <c r="A889" t="s">
        <v>1598</v>
      </c>
      <c r="B889">
        <v>9003473100</v>
      </c>
      <c r="C889" t="s">
        <v>1599</v>
      </c>
      <c r="D889">
        <v>3</v>
      </c>
      <c r="E889" t="s">
        <v>944</v>
      </c>
    </row>
    <row r="890" spans="1:5" x14ac:dyDescent="0.25">
      <c r="A890" t="s">
        <v>1600</v>
      </c>
      <c r="B890">
        <v>9003473400</v>
      </c>
      <c r="C890" t="s">
        <v>1601</v>
      </c>
      <c r="D890">
        <v>4</v>
      </c>
      <c r="E890" t="s">
        <v>944</v>
      </c>
    </row>
    <row r="891" spans="1:5" x14ac:dyDescent="0.25">
      <c r="A891" t="s">
        <v>1602</v>
      </c>
      <c r="B891">
        <v>9003473501</v>
      </c>
      <c r="C891" t="s">
        <v>1603</v>
      </c>
      <c r="D891">
        <v>3</v>
      </c>
      <c r="E891" t="s">
        <v>944</v>
      </c>
    </row>
    <row r="892" spans="1:5" x14ac:dyDescent="0.25">
      <c r="A892" t="s">
        <v>1604</v>
      </c>
      <c r="B892">
        <v>9003473502</v>
      </c>
      <c r="C892" t="s">
        <v>1605</v>
      </c>
      <c r="D892">
        <v>3</v>
      </c>
      <c r="E892" t="s">
        <v>944</v>
      </c>
    </row>
    <row r="893" spans="1:5" x14ac:dyDescent="0.25">
      <c r="A893" t="s">
        <v>1606</v>
      </c>
      <c r="B893">
        <v>9003473601</v>
      </c>
      <c r="C893" t="s">
        <v>1607</v>
      </c>
      <c r="D893">
        <v>3</v>
      </c>
      <c r="E893" t="s">
        <v>944</v>
      </c>
    </row>
    <row r="894" spans="1:5" x14ac:dyDescent="0.25">
      <c r="A894" t="s">
        <v>1608</v>
      </c>
      <c r="B894">
        <v>9003473602</v>
      </c>
      <c r="C894" t="s">
        <v>1609</v>
      </c>
      <c r="D894">
        <v>3</v>
      </c>
      <c r="E894" t="s">
        <v>944</v>
      </c>
    </row>
    <row r="895" spans="1:5" x14ac:dyDescent="0.25">
      <c r="A895" t="s">
        <v>1610</v>
      </c>
      <c r="B895">
        <v>9003473700</v>
      </c>
      <c r="C895" t="s">
        <v>1611</v>
      </c>
      <c r="D895">
        <v>4</v>
      </c>
      <c r="E895" t="s">
        <v>944</v>
      </c>
    </row>
    <row r="896" spans="1:5" x14ac:dyDescent="0.25">
      <c r="A896" t="s">
        <v>1612</v>
      </c>
      <c r="B896">
        <v>9003473800</v>
      </c>
      <c r="C896" t="s">
        <v>1613</v>
      </c>
      <c r="D896">
        <v>5</v>
      </c>
      <c r="E896" t="s">
        <v>944</v>
      </c>
    </row>
    <row r="897" spans="1:5" x14ac:dyDescent="0.25">
      <c r="A897" t="s">
        <v>1872</v>
      </c>
      <c r="B897">
        <v>9003524400</v>
      </c>
      <c r="C897" t="s">
        <v>1873</v>
      </c>
      <c r="D897">
        <v>8</v>
      </c>
      <c r="E897" t="s">
        <v>936</v>
      </c>
    </row>
    <row r="898" spans="1:5" x14ac:dyDescent="0.25">
      <c r="A898" t="s">
        <v>1614</v>
      </c>
      <c r="B898">
        <v>9003476100</v>
      </c>
      <c r="C898" t="s">
        <v>1615</v>
      </c>
      <c r="D898">
        <v>4</v>
      </c>
      <c r="E898" t="s">
        <v>944</v>
      </c>
    </row>
    <row r="899" spans="1:5" x14ac:dyDescent="0.25">
      <c r="A899" t="s">
        <v>1616</v>
      </c>
      <c r="B899">
        <v>9003476200</v>
      </c>
      <c r="C899" t="s">
        <v>1617</v>
      </c>
      <c r="D899">
        <v>3</v>
      </c>
      <c r="E899" t="s">
        <v>944</v>
      </c>
    </row>
    <row r="900" spans="1:5" x14ac:dyDescent="0.25">
      <c r="A900" t="s">
        <v>1618</v>
      </c>
      <c r="B900">
        <v>9003476300</v>
      </c>
      <c r="C900" t="s">
        <v>1619</v>
      </c>
      <c r="D900">
        <v>4</v>
      </c>
      <c r="E900" t="s">
        <v>944</v>
      </c>
    </row>
    <row r="901" spans="1:5" x14ac:dyDescent="0.25">
      <c r="A901" t="s">
        <v>2414</v>
      </c>
      <c r="B901">
        <v>9009352600</v>
      </c>
      <c r="C901" t="s">
        <v>2415</v>
      </c>
      <c r="D901">
        <v>6</v>
      </c>
      <c r="E901" t="s">
        <v>936</v>
      </c>
    </row>
    <row r="902" spans="1:5" x14ac:dyDescent="0.25">
      <c r="A902" t="s">
        <v>2416</v>
      </c>
      <c r="B902">
        <v>9009352701</v>
      </c>
      <c r="C902" t="s">
        <v>2417</v>
      </c>
      <c r="D902">
        <v>6</v>
      </c>
      <c r="E902" t="s">
        <v>936</v>
      </c>
    </row>
    <row r="903" spans="1:5" x14ac:dyDescent="0.25">
      <c r="A903" t="s">
        <v>2420</v>
      </c>
      <c r="B903">
        <v>9009352800</v>
      </c>
      <c r="C903" t="s">
        <v>2421</v>
      </c>
      <c r="D903">
        <v>5</v>
      </c>
      <c r="E903" t="s">
        <v>944</v>
      </c>
    </row>
    <row r="904" spans="1:5" x14ac:dyDescent="0.25">
      <c r="A904" t="s">
        <v>2422</v>
      </c>
      <c r="B904">
        <v>9009361100</v>
      </c>
      <c r="C904" t="s">
        <v>2423</v>
      </c>
      <c r="D904">
        <v>4</v>
      </c>
      <c r="E904" t="s">
        <v>944</v>
      </c>
    </row>
    <row r="905" spans="1:5" x14ac:dyDescent="0.25">
      <c r="A905" t="s">
        <v>2424</v>
      </c>
      <c r="B905">
        <v>9009361200</v>
      </c>
      <c r="C905" t="s">
        <v>2425</v>
      </c>
      <c r="D905">
        <v>4</v>
      </c>
      <c r="E905" t="s">
        <v>944</v>
      </c>
    </row>
    <row r="906" spans="1:5" x14ac:dyDescent="0.25">
      <c r="A906" t="s">
        <v>2426</v>
      </c>
      <c r="B906">
        <v>9009361300</v>
      </c>
      <c r="C906" t="s">
        <v>2427</v>
      </c>
      <c r="D906">
        <v>4</v>
      </c>
      <c r="E906" t="s">
        <v>944</v>
      </c>
    </row>
    <row r="907" spans="1:5" x14ac:dyDescent="0.25">
      <c r="A907" t="s">
        <v>1958</v>
      </c>
      <c r="B907">
        <v>9005342100</v>
      </c>
      <c r="C907" t="s">
        <v>1959</v>
      </c>
      <c r="D907">
        <v>4</v>
      </c>
      <c r="E907" t="s">
        <v>944</v>
      </c>
    </row>
    <row r="908" spans="1:5" x14ac:dyDescent="0.25">
      <c r="A908" t="s">
        <v>1966</v>
      </c>
      <c r="B908">
        <v>9005360200</v>
      </c>
      <c r="C908" t="s">
        <v>1967</v>
      </c>
      <c r="D908">
        <v>3</v>
      </c>
      <c r="E908" t="s">
        <v>944</v>
      </c>
    </row>
    <row r="909" spans="1:5" x14ac:dyDescent="0.25">
      <c r="A909" t="s">
        <v>1972</v>
      </c>
      <c r="B909">
        <v>9005362101</v>
      </c>
      <c r="C909" t="s">
        <v>1973</v>
      </c>
      <c r="D909">
        <v>4</v>
      </c>
      <c r="E909" t="s">
        <v>944</v>
      </c>
    </row>
    <row r="910" spans="1:5" x14ac:dyDescent="0.25">
      <c r="A910" t="s">
        <v>1974</v>
      </c>
      <c r="B910">
        <v>9005362102</v>
      </c>
      <c r="C910" t="s">
        <v>1975</v>
      </c>
      <c r="D910">
        <v>4</v>
      </c>
      <c r="E910" t="s">
        <v>944</v>
      </c>
    </row>
    <row r="911" spans="1:5" x14ac:dyDescent="0.25">
      <c r="A911" t="s">
        <v>2638</v>
      </c>
      <c r="B911">
        <v>9015900200</v>
      </c>
      <c r="C911" t="s">
        <v>2639</v>
      </c>
      <c r="D911">
        <v>4</v>
      </c>
      <c r="E911" t="s">
        <v>944</v>
      </c>
    </row>
    <row r="912" spans="1:5" x14ac:dyDescent="0.25">
      <c r="A912" t="s">
        <v>2640</v>
      </c>
      <c r="B912">
        <v>9015901100</v>
      </c>
      <c r="C912" t="s">
        <v>2641</v>
      </c>
      <c r="D912">
        <v>4</v>
      </c>
      <c r="E912" t="s">
        <v>944</v>
      </c>
    </row>
    <row r="913" spans="1:5" x14ac:dyDescent="0.25">
      <c r="A913" t="s">
        <v>2642</v>
      </c>
      <c r="B913">
        <v>9015902200</v>
      </c>
      <c r="C913" t="s">
        <v>2643</v>
      </c>
      <c r="D913">
        <v>4</v>
      </c>
      <c r="E913" t="s">
        <v>944</v>
      </c>
    </row>
    <row r="914" spans="1:5" x14ac:dyDescent="0.25">
      <c r="A914" t="s">
        <v>2644</v>
      </c>
      <c r="B914">
        <v>9015902500</v>
      </c>
      <c r="C914" t="s">
        <v>2645</v>
      </c>
      <c r="D914">
        <v>3</v>
      </c>
      <c r="E914" t="s">
        <v>944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297A-545C-4C41-8AE4-5CC43B1202B5}">
  <sheetPr>
    <tabColor theme="6" tint="0.59999389629810485"/>
  </sheetPr>
  <dimension ref="A1:K9"/>
  <sheetViews>
    <sheetView zoomScale="150" zoomScaleNormal="150" workbookViewId="0">
      <selection activeCell="E2" sqref="E2:G2"/>
    </sheetView>
  </sheetViews>
  <sheetFormatPr defaultRowHeight="15" x14ac:dyDescent="0.25"/>
  <cols>
    <col min="2" max="2" width="13.140625" bestFit="1" customWidth="1"/>
    <col min="3" max="8" width="13.42578125" bestFit="1" customWidth="1"/>
    <col min="9" max="9" width="11" bestFit="1" customWidth="1"/>
    <col min="10" max="10" width="13.42578125" bestFit="1" customWidth="1"/>
  </cols>
  <sheetData>
    <row r="1" spans="1:11" x14ac:dyDescent="0.25">
      <c r="A1" s="15" t="s">
        <v>2686</v>
      </c>
    </row>
    <row r="2" spans="1:11" x14ac:dyDescent="0.25">
      <c r="A2" s="292" t="s">
        <v>2687</v>
      </c>
      <c r="B2" s="294" t="s">
        <v>2688</v>
      </c>
      <c r="C2" s="294"/>
      <c r="D2" s="295"/>
      <c r="E2" s="296" t="s">
        <v>2689</v>
      </c>
      <c r="F2" s="297"/>
      <c r="G2" s="297"/>
      <c r="H2" s="298" t="s">
        <v>2690</v>
      </c>
      <c r="I2" s="299"/>
      <c r="J2" s="300"/>
    </row>
    <row r="3" spans="1:11" x14ac:dyDescent="0.25">
      <c r="A3" s="293"/>
      <c r="B3" s="16" t="s">
        <v>2691</v>
      </c>
      <c r="C3" s="17" t="s">
        <v>2692</v>
      </c>
      <c r="D3" s="18" t="s">
        <v>2693</v>
      </c>
      <c r="E3" s="16" t="s">
        <v>2691</v>
      </c>
      <c r="F3" s="18" t="s">
        <v>2692</v>
      </c>
      <c r="G3" s="17" t="s">
        <v>2693</v>
      </c>
      <c r="H3" s="16" t="s">
        <v>2691</v>
      </c>
      <c r="I3" s="17" t="s">
        <v>2692</v>
      </c>
      <c r="J3" s="19" t="s">
        <v>2693</v>
      </c>
    </row>
    <row r="4" spans="1:11" x14ac:dyDescent="0.25">
      <c r="A4" s="20" t="s">
        <v>2694</v>
      </c>
      <c r="B4" s="21">
        <f>C4+D4</f>
        <v>112718710.6524774</v>
      </c>
      <c r="C4" s="22">
        <f>F4+I4</f>
        <v>52682522.780123465</v>
      </c>
      <c r="D4" s="23">
        <f>G4+J4</f>
        <v>60036187.872353934</v>
      </c>
      <c r="E4" s="22">
        <f>F4+G4</f>
        <v>70659148.926617235</v>
      </c>
      <c r="F4" s="23">
        <v>52629786.815592907</v>
      </c>
      <c r="G4" s="22">
        <v>18029362.111024335</v>
      </c>
      <c r="H4" s="23">
        <f>I4+J4</f>
        <v>42059561.725860156</v>
      </c>
      <c r="I4" s="22">
        <v>52735.964530559999</v>
      </c>
      <c r="J4" s="24">
        <v>42006825.761329599</v>
      </c>
    </row>
    <row r="5" spans="1:11" x14ac:dyDescent="0.25">
      <c r="A5" s="20" t="s">
        <v>2695</v>
      </c>
      <c r="B5" s="25">
        <f>C5+D5</f>
        <v>81735058.186299995</v>
      </c>
      <c r="C5" s="26">
        <f>F5+I5</f>
        <v>36999853.3169</v>
      </c>
      <c r="D5" s="27">
        <f>G5+J5</f>
        <v>44735204.869399995</v>
      </c>
      <c r="E5" s="26">
        <f>F5+G5</f>
        <v>44405301.081500001</v>
      </c>
      <c r="F5" s="27">
        <v>36999853.3169</v>
      </c>
      <c r="G5" s="26">
        <v>7405447.7646000003</v>
      </c>
      <c r="H5" s="27">
        <f>I5+J5</f>
        <v>37329757.104799993</v>
      </c>
      <c r="I5" s="26">
        <v>0</v>
      </c>
      <c r="J5" s="28">
        <v>37329757.104799993</v>
      </c>
    </row>
    <row r="6" spans="1:11" x14ac:dyDescent="0.25">
      <c r="A6" t="s">
        <v>2696</v>
      </c>
      <c r="B6" s="29">
        <f>B5/B4</f>
        <v>0.72512414055459717</v>
      </c>
      <c r="C6" s="29">
        <f t="shared" ref="C6:J6" si="0">C5/C4</f>
        <v>0.70231741694153715</v>
      </c>
      <c r="D6" s="29">
        <f t="shared" si="0"/>
        <v>0.74513733224557566</v>
      </c>
      <c r="E6" s="29">
        <f t="shared" si="0"/>
        <v>0.62844375790057905</v>
      </c>
      <c r="F6" s="29">
        <f t="shared" si="0"/>
        <v>0.70302115124543607</v>
      </c>
      <c r="G6" s="29">
        <f t="shared" si="0"/>
        <v>0.41074374783741369</v>
      </c>
      <c r="H6" s="29">
        <f t="shared" si="0"/>
        <v>0.88754508066706594</v>
      </c>
      <c r="I6" s="29">
        <f t="shared" si="0"/>
        <v>0</v>
      </c>
      <c r="J6" s="29">
        <f t="shared" si="0"/>
        <v>0.88865931734277348</v>
      </c>
    </row>
    <row r="7" spans="1:11" x14ac:dyDescent="0.25">
      <c r="C7" s="301" t="s">
        <v>2697</v>
      </c>
      <c r="D7" s="301"/>
    </row>
    <row r="8" spans="1:11" x14ac:dyDescent="0.25">
      <c r="A8" s="30" t="s">
        <v>2698</v>
      </c>
      <c r="B8" s="31"/>
      <c r="C8" s="32"/>
      <c r="D8" s="32"/>
      <c r="E8" s="33"/>
      <c r="F8" s="33"/>
      <c r="G8" s="33"/>
      <c r="H8" s="33"/>
      <c r="I8" s="33"/>
      <c r="J8" s="33"/>
      <c r="K8" s="33"/>
    </row>
    <row r="9" spans="1:11" x14ac:dyDescent="0.25">
      <c r="A9" s="30" t="s">
        <v>2699</v>
      </c>
      <c r="B9" s="31"/>
      <c r="C9" s="32"/>
      <c r="D9" s="32"/>
      <c r="E9" s="33"/>
      <c r="F9" s="33"/>
      <c r="G9" s="33"/>
      <c r="H9" s="33"/>
      <c r="I9" s="33"/>
      <c r="J9" s="33"/>
      <c r="K9" s="33"/>
    </row>
  </sheetData>
  <mergeCells count="5">
    <mergeCell ref="A2:A3"/>
    <mergeCell ref="B2:D2"/>
    <mergeCell ref="E2:G2"/>
    <mergeCell ref="H2:J2"/>
    <mergeCell ref="C7:D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BC7A7-E4DB-4FAB-A684-4AFFABB7814A}">
  <sheetPr>
    <tabColor theme="6" tint="0.59999389629810485"/>
  </sheetPr>
  <dimension ref="A3:D644"/>
  <sheetViews>
    <sheetView topLeftCell="A529" workbookViewId="0">
      <selection activeCell="E632" sqref="E632"/>
    </sheetView>
  </sheetViews>
  <sheetFormatPr defaultRowHeight="15" x14ac:dyDescent="0.25"/>
  <cols>
    <col min="1" max="1" width="13.140625" bestFit="1" customWidth="1"/>
    <col min="2" max="2" width="20.140625" bestFit="1" customWidth="1"/>
    <col min="3" max="3" width="22.5703125" bestFit="1" customWidth="1"/>
    <col min="4" max="4" width="30.28515625" bestFit="1" customWidth="1"/>
    <col min="5" max="5" width="25.7109375" bestFit="1" customWidth="1"/>
    <col min="6" max="6" width="2" bestFit="1" customWidth="1"/>
    <col min="7" max="7" width="5.5703125" bestFit="1" customWidth="1"/>
    <col min="8" max="8" width="11.28515625" bestFit="1" customWidth="1"/>
    <col min="9" max="640" width="16.28515625" bestFit="1" customWidth="1"/>
    <col min="641" max="641" width="11.28515625" bestFit="1" customWidth="1"/>
  </cols>
  <sheetData>
    <row r="3" spans="1:4" x14ac:dyDescent="0.25">
      <c r="A3" s="184" t="s">
        <v>2700</v>
      </c>
      <c r="B3" t="s">
        <v>2701</v>
      </c>
      <c r="C3" t="s">
        <v>915</v>
      </c>
      <c r="D3" t="s">
        <v>917</v>
      </c>
    </row>
    <row r="4" spans="1:4" x14ac:dyDescent="0.25">
      <c r="A4" s="185">
        <v>9000016000</v>
      </c>
      <c r="B4" s="186">
        <v>1</v>
      </c>
      <c r="C4" s="186">
        <v>84.533846399999987</v>
      </c>
      <c r="D4" s="186">
        <v>0</v>
      </c>
    </row>
    <row r="5" spans="1:4" x14ac:dyDescent="0.25">
      <c r="A5" s="185">
        <v>9001010101</v>
      </c>
      <c r="B5" s="186">
        <v>1</v>
      </c>
      <c r="C5" s="186">
        <v>240578.94357504</v>
      </c>
      <c r="D5" s="186">
        <v>21123.27</v>
      </c>
    </row>
    <row r="6" spans="1:4" x14ac:dyDescent="0.25">
      <c r="A6" s="185">
        <v>9001010102</v>
      </c>
      <c r="B6" s="186">
        <v>1</v>
      </c>
      <c r="C6" s="186">
        <v>815679.35501184</v>
      </c>
      <c r="D6" s="186">
        <v>354251.39610000001</v>
      </c>
    </row>
    <row r="7" spans="1:4" x14ac:dyDescent="0.25">
      <c r="A7" s="185">
        <v>9001010201</v>
      </c>
      <c r="B7" s="186">
        <v>1</v>
      </c>
      <c r="C7" s="186">
        <v>185024.45169216002</v>
      </c>
      <c r="D7" s="186">
        <v>4279.21</v>
      </c>
    </row>
    <row r="8" spans="1:4" x14ac:dyDescent="0.25">
      <c r="A8" s="185">
        <v>9001010202</v>
      </c>
      <c r="B8" s="186">
        <v>2</v>
      </c>
      <c r="C8" s="186">
        <v>150409.21585248</v>
      </c>
      <c r="D8" s="186">
        <v>12605.017599999999</v>
      </c>
    </row>
    <row r="9" spans="1:4" x14ac:dyDescent="0.25">
      <c r="A9" s="185">
        <v>9001010300</v>
      </c>
      <c r="B9" s="186">
        <v>1</v>
      </c>
      <c r="C9" s="186">
        <v>232331.66626463999</v>
      </c>
      <c r="D9" s="186">
        <v>14940.7438</v>
      </c>
    </row>
    <row r="10" spans="1:4" x14ac:dyDescent="0.25">
      <c r="A10" s="185">
        <v>9001010400</v>
      </c>
      <c r="B10" s="186">
        <v>1</v>
      </c>
      <c r="C10" s="186">
        <v>104263.06610592001</v>
      </c>
      <c r="D10" s="186">
        <v>6235.2754999999997</v>
      </c>
    </row>
    <row r="11" spans="1:4" x14ac:dyDescent="0.25">
      <c r="A11" s="185">
        <v>9001010500</v>
      </c>
      <c r="B11" s="186">
        <v>1</v>
      </c>
      <c r="C11" s="186">
        <v>79218.90946368</v>
      </c>
      <c r="D11" s="186">
        <v>2031.71</v>
      </c>
    </row>
    <row r="12" spans="1:4" x14ac:dyDescent="0.25">
      <c r="A12" s="185">
        <v>9001010600</v>
      </c>
      <c r="B12" s="186">
        <v>1</v>
      </c>
      <c r="C12" s="186">
        <v>37228.613912640001</v>
      </c>
      <c r="D12" s="186">
        <v>0</v>
      </c>
    </row>
    <row r="13" spans="1:4" x14ac:dyDescent="0.25">
      <c r="A13" s="185">
        <v>9001010700</v>
      </c>
      <c r="B13" s="186">
        <v>1</v>
      </c>
      <c r="C13" s="186">
        <v>75171.932176319999</v>
      </c>
      <c r="D13" s="186">
        <v>287.59500000000003</v>
      </c>
    </row>
    <row r="14" spans="1:4" x14ac:dyDescent="0.25">
      <c r="A14" s="185">
        <v>9001010800</v>
      </c>
      <c r="B14" s="186">
        <v>1</v>
      </c>
      <c r="C14" s="186">
        <v>69440.01003071999</v>
      </c>
      <c r="D14" s="186">
        <v>4273.3671000000004</v>
      </c>
    </row>
    <row r="15" spans="1:4" x14ac:dyDescent="0.25">
      <c r="A15" s="185">
        <v>9001010900</v>
      </c>
      <c r="B15" s="186">
        <v>1</v>
      </c>
      <c r="C15" s="186">
        <v>95240.909289600007</v>
      </c>
      <c r="D15" s="186">
        <v>5192.7631000000001</v>
      </c>
    </row>
    <row r="16" spans="1:4" x14ac:dyDescent="0.25">
      <c r="A16" s="185">
        <v>9001011000</v>
      </c>
      <c r="B16" s="186">
        <v>1</v>
      </c>
      <c r="C16" s="186">
        <v>149163.66117504</v>
      </c>
      <c r="D16" s="186">
        <v>6130.23</v>
      </c>
    </row>
    <row r="17" spans="1:4" x14ac:dyDescent="0.25">
      <c r="A17" s="185">
        <v>9001011100</v>
      </c>
      <c r="B17" s="186">
        <v>1</v>
      </c>
      <c r="C17" s="186">
        <v>156251.62535040002</v>
      </c>
      <c r="D17" s="186">
        <v>3011.9016999999999</v>
      </c>
    </row>
    <row r="18" spans="1:4" x14ac:dyDescent="0.25">
      <c r="A18" s="185">
        <v>9001011200</v>
      </c>
      <c r="B18" s="186">
        <v>1</v>
      </c>
      <c r="C18" s="186">
        <v>117303.06865248001</v>
      </c>
      <c r="D18" s="186">
        <v>2614.33</v>
      </c>
    </row>
    <row r="19" spans="1:4" x14ac:dyDescent="0.25">
      <c r="A19" s="185">
        <v>9001011300</v>
      </c>
      <c r="B19" s="186">
        <v>1</v>
      </c>
      <c r="C19" s="186">
        <v>58602.084949439995</v>
      </c>
      <c r="D19" s="186">
        <v>628.98</v>
      </c>
    </row>
    <row r="20" spans="1:4" x14ac:dyDescent="0.25">
      <c r="A20" s="185">
        <v>9001020100</v>
      </c>
      <c r="B20" s="186">
        <v>2</v>
      </c>
      <c r="C20" s="186">
        <v>176164.74539135999</v>
      </c>
      <c r="D20" s="186">
        <v>30202.722900000001</v>
      </c>
    </row>
    <row r="21" spans="1:4" x14ac:dyDescent="0.25">
      <c r="A21" s="185">
        <v>9001020200</v>
      </c>
      <c r="B21" s="186">
        <v>2</v>
      </c>
      <c r="C21" s="186">
        <v>136284.81071615999</v>
      </c>
      <c r="D21" s="186">
        <v>29147.88</v>
      </c>
    </row>
    <row r="22" spans="1:4" x14ac:dyDescent="0.25">
      <c r="A22" s="185">
        <v>9001020300</v>
      </c>
      <c r="B22" s="186">
        <v>1</v>
      </c>
      <c r="C22" s="186">
        <v>1185603.40382112</v>
      </c>
      <c r="D22" s="186">
        <v>1034688.0803</v>
      </c>
    </row>
    <row r="23" spans="1:4" x14ac:dyDescent="0.25">
      <c r="A23" s="185">
        <v>9001020400</v>
      </c>
      <c r="B23" s="186">
        <v>1</v>
      </c>
      <c r="C23" s="186">
        <v>98807.302137599996</v>
      </c>
      <c r="D23" s="186">
        <v>11006.608099999999</v>
      </c>
    </row>
    <row r="24" spans="1:4" x14ac:dyDescent="0.25">
      <c r="A24" s="185">
        <v>9001020500</v>
      </c>
      <c r="B24" s="186">
        <v>1</v>
      </c>
      <c r="C24" s="186">
        <v>134841.29239295999</v>
      </c>
      <c r="D24" s="186">
        <v>23276.3524</v>
      </c>
    </row>
    <row r="25" spans="1:4" x14ac:dyDescent="0.25">
      <c r="A25" s="185">
        <v>9001020600</v>
      </c>
      <c r="B25" s="186">
        <v>1</v>
      </c>
      <c r="C25" s="186">
        <v>109788.85834560001</v>
      </c>
      <c r="D25" s="186">
        <v>9380.7999999999993</v>
      </c>
    </row>
    <row r="26" spans="1:4" x14ac:dyDescent="0.25">
      <c r="A26" s="185">
        <v>9001020700</v>
      </c>
      <c r="B26" s="186">
        <v>1</v>
      </c>
      <c r="C26" s="186">
        <v>93484.321084800002</v>
      </c>
      <c r="D26" s="186">
        <v>7756.2</v>
      </c>
    </row>
    <row r="27" spans="1:4" x14ac:dyDescent="0.25">
      <c r="A27" s="185">
        <v>9001020800</v>
      </c>
      <c r="B27" s="186">
        <v>1</v>
      </c>
      <c r="C27" s="186">
        <v>60746.351405759997</v>
      </c>
      <c r="D27" s="186">
        <v>12748.1304</v>
      </c>
    </row>
    <row r="28" spans="1:4" x14ac:dyDescent="0.25">
      <c r="A28" s="185">
        <v>9001020900</v>
      </c>
      <c r="B28" s="186">
        <v>1</v>
      </c>
      <c r="C28" s="186">
        <v>109799.58904416001</v>
      </c>
      <c r="D28" s="186">
        <v>8620.5794999999998</v>
      </c>
    </row>
    <row r="29" spans="1:4" x14ac:dyDescent="0.25">
      <c r="A29" s="185">
        <v>9001021000</v>
      </c>
      <c r="B29" s="186">
        <v>1</v>
      </c>
      <c r="C29" s="186">
        <v>70717.539144959999</v>
      </c>
      <c r="D29" s="186">
        <v>2774.1374000000001</v>
      </c>
    </row>
    <row r="30" spans="1:4" x14ac:dyDescent="0.25">
      <c r="A30" s="185">
        <v>9001021100</v>
      </c>
      <c r="B30" s="186">
        <v>1</v>
      </c>
      <c r="C30" s="186">
        <v>115220.04017471999</v>
      </c>
      <c r="D30" s="186">
        <v>8369.6</v>
      </c>
    </row>
    <row r="31" spans="1:4" x14ac:dyDescent="0.25">
      <c r="A31" s="185">
        <v>9001021200</v>
      </c>
      <c r="B31" s="186">
        <v>1</v>
      </c>
      <c r="C31" s="186">
        <v>111285.65852063999</v>
      </c>
      <c r="D31" s="186">
        <v>23460</v>
      </c>
    </row>
    <row r="32" spans="1:4" x14ac:dyDescent="0.25">
      <c r="A32" s="185">
        <v>9001021300</v>
      </c>
      <c r="B32" s="186">
        <v>1</v>
      </c>
      <c r="C32" s="186">
        <v>74577.157868159993</v>
      </c>
      <c r="D32" s="186">
        <v>8945.08</v>
      </c>
    </row>
    <row r="33" spans="1:4" x14ac:dyDescent="0.25">
      <c r="A33" s="185">
        <v>9001021400</v>
      </c>
      <c r="B33" s="186">
        <v>2</v>
      </c>
      <c r="C33" s="186">
        <v>90429.771617279999</v>
      </c>
      <c r="D33" s="186">
        <v>5225.13</v>
      </c>
    </row>
    <row r="34" spans="1:4" x14ac:dyDescent="0.25">
      <c r="A34" s="185">
        <v>9001021500</v>
      </c>
      <c r="B34" s="186">
        <v>1</v>
      </c>
      <c r="C34" s="186">
        <v>65226.474495360002</v>
      </c>
      <c r="D34" s="186">
        <v>403</v>
      </c>
    </row>
    <row r="35" spans="1:4" x14ac:dyDescent="0.25">
      <c r="A35" s="185">
        <v>9001021600</v>
      </c>
      <c r="B35" s="186">
        <v>1</v>
      </c>
      <c r="C35" s="186">
        <v>103228.87383072</v>
      </c>
      <c r="D35" s="186">
        <v>6524.6980000000003</v>
      </c>
    </row>
    <row r="36" spans="1:4" x14ac:dyDescent="0.25">
      <c r="A36" s="185">
        <v>9001021700</v>
      </c>
      <c r="B36" s="186">
        <v>1</v>
      </c>
      <c r="C36" s="186">
        <v>111040.17635231998</v>
      </c>
      <c r="D36" s="186">
        <v>10284.4203</v>
      </c>
    </row>
    <row r="37" spans="1:4" x14ac:dyDescent="0.25">
      <c r="A37" s="185">
        <v>9001021801</v>
      </c>
      <c r="B37" s="186">
        <v>1</v>
      </c>
      <c r="C37" s="186">
        <v>63583.488017279997</v>
      </c>
      <c r="D37" s="186">
        <v>9221.6200000000008</v>
      </c>
    </row>
    <row r="38" spans="1:4" x14ac:dyDescent="0.25">
      <c r="A38" s="185">
        <v>9001021802</v>
      </c>
      <c r="B38" s="186">
        <v>1</v>
      </c>
      <c r="C38" s="186">
        <v>76084.431719040003</v>
      </c>
      <c r="D38" s="186">
        <v>9793.5617999999995</v>
      </c>
    </row>
    <row r="39" spans="1:4" x14ac:dyDescent="0.25">
      <c r="A39" s="185">
        <v>9001021900</v>
      </c>
      <c r="B39" s="186">
        <v>1</v>
      </c>
      <c r="C39" s="186">
        <v>117333.27924191998</v>
      </c>
      <c r="D39" s="186">
        <v>10290.35</v>
      </c>
    </row>
    <row r="40" spans="1:4" x14ac:dyDescent="0.25">
      <c r="A40" s="185">
        <v>9001022000</v>
      </c>
      <c r="B40" s="186">
        <v>1</v>
      </c>
      <c r="C40" s="186">
        <v>37835.245998719998</v>
      </c>
      <c r="D40" s="186">
        <v>6324.97</v>
      </c>
    </row>
    <row r="41" spans="1:4" x14ac:dyDescent="0.25">
      <c r="A41" s="185">
        <v>9001022100</v>
      </c>
      <c r="B41" s="186">
        <v>1</v>
      </c>
      <c r="C41" s="186">
        <v>92737.622036159999</v>
      </c>
      <c r="D41" s="186">
        <v>5543.82</v>
      </c>
    </row>
    <row r="42" spans="1:4" x14ac:dyDescent="0.25">
      <c r="A42" s="185">
        <v>9001022200</v>
      </c>
      <c r="B42" s="186">
        <v>1</v>
      </c>
      <c r="C42" s="186">
        <v>81861.026613120019</v>
      </c>
      <c r="D42" s="186">
        <v>0</v>
      </c>
    </row>
    <row r="43" spans="1:4" x14ac:dyDescent="0.25">
      <c r="A43" s="185">
        <v>9001022300</v>
      </c>
      <c r="B43" s="186">
        <v>1</v>
      </c>
      <c r="C43" s="186">
        <v>88271.146042559994</v>
      </c>
      <c r="D43" s="186">
        <v>49293.5962</v>
      </c>
    </row>
    <row r="44" spans="1:4" x14ac:dyDescent="0.25">
      <c r="A44" s="185">
        <v>9001022400</v>
      </c>
      <c r="B44" s="186">
        <v>1</v>
      </c>
      <c r="C44" s="186">
        <v>65418.021835199994</v>
      </c>
      <c r="D44" s="186">
        <v>3895.87</v>
      </c>
    </row>
    <row r="45" spans="1:4" x14ac:dyDescent="0.25">
      <c r="A45" s="185">
        <v>9001030100</v>
      </c>
      <c r="B45" s="186">
        <v>1</v>
      </c>
      <c r="C45" s="186">
        <v>144986.32474272</v>
      </c>
      <c r="D45" s="186">
        <v>21254.052</v>
      </c>
    </row>
    <row r="46" spans="1:4" x14ac:dyDescent="0.25">
      <c r="A46" s="185">
        <v>9001030200</v>
      </c>
      <c r="B46" s="186">
        <v>1</v>
      </c>
      <c r="C46" s="186">
        <v>90975.895113599996</v>
      </c>
      <c r="D46" s="186">
        <v>24472.4656</v>
      </c>
    </row>
    <row r="47" spans="1:4" x14ac:dyDescent="0.25">
      <c r="A47" s="185">
        <v>9001030300</v>
      </c>
      <c r="B47" s="186">
        <v>1</v>
      </c>
      <c r="C47" s="186">
        <v>329747.23436832003</v>
      </c>
      <c r="D47" s="186">
        <v>224847.87</v>
      </c>
    </row>
    <row r="48" spans="1:4" x14ac:dyDescent="0.25">
      <c r="A48" s="185">
        <v>9001030400</v>
      </c>
      <c r="B48" s="186">
        <v>1</v>
      </c>
      <c r="C48" s="186">
        <v>83365.854695999995</v>
      </c>
      <c r="D48" s="186">
        <v>14030.75</v>
      </c>
    </row>
    <row r="49" spans="1:4" x14ac:dyDescent="0.25">
      <c r="A49" s="185">
        <v>9001030500</v>
      </c>
      <c r="B49" s="186">
        <v>1</v>
      </c>
      <c r="C49" s="186">
        <v>137375.18561088003</v>
      </c>
      <c r="D49" s="186">
        <v>32728.266500000002</v>
      </c>
    </row>
    <row r="50" spans="1:4" x14ac:dyDescent="0.25">
      <c r="A50" s="185">
        <v>9001035100</v>
      </c>
      <c r="B50" s="186">
        <v>2</v>
      </c>
      <c r="C50" s="186">
        <v>371401.6770576</v>
      </c>
      <c r="D50" s="186">
        <v>173505.5471</v>
      </c>
    </row>
    <row r="51" spans="1:4" x14ac:dyDescent="0.25">
      <c r="A51" s="185">
        <v>9001035200</v>
      </c>
      <c r="B51" s="186">
        <v>1</v>
      </c>
      <c r="C51" s="186">
        <v>168416.02037664002</v>
      </c>
      <c r="D51" s="186">
        <v>16177.38</v>
      </c>
    </row>
    <row r="52" spans="1:4" x14ac:dyDescent="0.25">
      <c r="A52" s="185">
        <v>9001035300</v>
      </c>
      <c r="B52" s="186">
        <v>2</v>
      </c>
      <c r="C52" s="186">
        <v>139570.99554239999</v>
      </c>
      <c r="D52" s="186">
        <v>18915.32</v>
      </c>
    </row>
    <row r="53" spans="1:4" x14ac:dyDescent="0.25">
      <c r="A53" s="185">
        <v>9001035400</v>
      </c>
      <c r="B53" s="186">
        <v>3</v>
      </c>
      <c r="C53" s="186">
        <v>201620.67211296002</v>
      </c>
      <c r="D53" s="186">
        <v>65011.672400000003</v>
      </c>
    </row>
    <row r="54" spans="1:4" x14ac:dyDescent="0.25">
      <c r="A54" s="185">
        <v>9001042500</v>
      </c>
      <c r="B54" s="186">
        <v>2</v>
      </c>
      <c r="C54" s="186">
        <v>83177.860521600014</v>
      </c>
      <c r="D54" s="186">
        <v>25488.235000000001</v>
      </c>
    </row>
    <row r="55" spans="1:4" x14ac:dyDescent="0.25">
      <c r="A55" s="185">
        <v>9001042600</v>
      </c>
      <c r="B55" s="186">
        <v>2</v>
      </c>
      <c r="C55" s="186">
        <v>82894.608748800005</v>
      </c>
      <c r="D55" s="186">
        <v>15735.29</v>
      </c>
    </row>
    <row r="56" spans="1:4" x14ac:dyDescent="0.25">
      <c r="A56" s="185">
        <v>9001042700</v>
      </c>
      <c r="B56" s="186">
        <v>1</v>
      </c>
      <c r="C56" s="186">
        <v>85645.313366399991</v>
      </c>
      <c r="D56" s="186">
        <v>11611.1448</v>
      </c>
    </row>
    <row r="57" spans="1:4" x14ac:dyDescent="0.25">
      <c r="A57" s="185">
        <v>9001042800</v>
      </c>
      <c r="B57" s="186">
        <v>1</v>
      </c>
      <c r="C57" s="186">
        <v>115974.89911584</v>
      </c>
      <c r="D57" s="186">
        <v>22248.071899999999</v>
      </c>
    </row>
    <row r="58" spans="1:4" x14ac:dyDescent="0.25">
      <c r="A58" s="185">
        <v>9001042900</v>
      </c>
      <c r="B58" s="186">
        <v>2</v>
      </c>
      <c r="C58" s="186">
        <v>41516.653040639991</v>
      </c>
      <c r="D58" s="186">
        <v>22228.298200000001</v>
      </c>
    </row>
    <row r="59" spans="1:4" x14ac:dyDescent="0.25">
      <c r="A59" s="185">
        <v>9001043000</v>
      </c>
      <c r="B59" s="186">
        <v>1</v>
      </c>
      <c r="C59" s="186">
        <v>63115.726927679993</v>
      </c>
      <c r="D59" s="186">
        <v>13700.7127</v>
      </c>
    </row>
    <row r="60" spans="1:4" x14ac:dyDescent="0.25">
      <c r="A60" s="185">
        <v>9001043100</v>
      </c>
      <c r="B60" s="186">
        <v>1</v>
      </c>
      <c r="C60" s="186">
        <v>104499.4986432</v>
      </c>
      <c r="D60" s="186">
        <v>28444.488799999999</v>
      </c>
    </row>
    <row r="61" spans="1:4" x14ac:dyDescent="0.25">
      <c r="A61" s="185">
        <v>9001043200</v>
      </c>
      <c r="B61" s="186">
        <v>1</v>
      </c>
      <c r="C61" s="186">
        <v>59452.694694720005</v>
      </c>
      <c r="D61" s="186">
        <v>4285.76</v>
      </c>
    </row>
    <row r="62" spans="1:4" x14ac:dyDescent="0.25">
      <c r="A62" s="185">
        <v>9001043300</v>
      </c>
      <c r="B62" s="186">
        <v>1</v>
      </c>
      <c r="C62" s="186">
        <v>64142.895072960004</v>
      </c>
      <c r="D62" s="186">
        <v>25985.81</v>
      </c>
    </row>
    <row r="63" spans="1:4" x14ac:dyDescent="0.25">
      <c r="A63" s="185">
        <v>9001043400</v>
      </c>
      <c r="B63" s="186">
        <v>1</v>
      </c>
      <c r="C63" s="186">
        <v>65534.864711040005</v>
      </c>
      <c r="D63" s="186">
        <v>6121.5024000000003</v>
      </c>
    </row>
    <row r="64" spans="1:4" x14ac:dyDescent="0.25">
      <c r="A64" s="185">
        <v>9001043500</v>
      </c>
      <c r="B64" s="186">
        <v>2</v>
      </c>
      <c r="C64" s="186">
        <v>44107.548572159998</v>
      </c>
      <c r="D64" s="186">
        <v>6773.4652000000006</v>
      </c>
    </row>
    <row r="65" spans="1:4" x14ac:dyDescent="0.25">
      <c r="A65" s="185">
        <v>9001043600</v>
      </c>
      <c r="B65" s="186">
        <v>1</v>
      </c>
      <c r="C65" s="186">
        <v>52708.824316800004</v>
      </c>
      <c r="D65" s="186">
        <v>17760.28</v>
      </c>
    </row>
    <row r="66" spans="1:4" x14ac:dyDescent="0.25">
      <c r="A66" s="185">
        <v>9001043700</v>
      </c>
      <c r="B66" s="186">
        <v>1</v>
      </c>
      <c r="C66" s="186">
        <v>48043.2251808</v>
      </c>
      <c r="D66" s="186">
        <v>204.88</v>
      </c>
    </row>
    <row r="67" spans="1:4" x14ac:dyDescent="0.25">
      <c r="A67" s="185">
        <v>9001043800</v>
      </c>
      <c r="B67" s="186">
        <v>1</v>
      </c>
      <c r="C67" s="186">
        <v>111989.26689984</v>
      </c>
      <c r="D67" s="186">
        <v>20916.12</v>
      </c>
    </row>
    <row r="68" spans="1:4" x14ac:dyDescent="0.25">
      <c r="A68" s="185">
        <v>9001043900</v>
      </c>
      <c r="B68" s="186">
        <v>1</v>
      </c>
      <c r="C68" s="186">
        <v>84960.330451200018</v>
      </c>
      <c r="D68" s="186">
        <v>29575.041700000002</v>
      </c>
    </row>
    <row r="69" spans="1:4" x14ac:dyDescent="0.25">
      <c r="A69" s="185">
        <v>9001044000</v>
      </c>
      <c r="B69" s="186">
        <v>1</v>
      </c>
      <c r="C69" s="186">
        <v>9493.4351807999992</v>
      </c>
      <c r="D69" s="186">
        <v>1151.32</v>
      </c>
    </row>
    <row r="70" spans="1:4" x14ac:dyDescent="0.25">
      <c r="A70" s="185">
        <v>9001044200</v>
      </c>
      <c r="B70" s="186">
        <v>1</v>
      </c>
      <c r="C70" s="186">
        <v>1613.0028096000001</v>
      </c>
      <c r="D70" s="186">
        <v>0</v>
      </c>
    </row>
    <row r="71" spans="1:4" x14ac:dyDescent="0.25">
      <c r="A71" s="185">
        <v>9001044300</v>
      </c>
      <c r="B71" s="186">
        <v>2</v>
      </c>
      <c r="C71" s="186">
        <v>7376.7604607999992</v>
      </c>
      <c r="D71" s="186">
        <v>1007.24</v>
      </c>
    </row>
    <row r="72" spans="1:4" x14ac:dyDescent="0.25">
      <c r="A72" s="185">
        <v>9001044400</v>
      </c>
      <c r="B72" s="186">
        <v>1</v>
      </c>
      <c r="C72" s="186">
        <v>12491.628364799999</v>
      </c>
      <c r="D72" s="186">
        <v>297.27</v>
      </c>
    </row>
    <row r="73" spans="1:4" x14ac:dyDescent="0.25">
      <c r="A73" s="185">
        <v>9001044500</v>
      </c>
      <c r="B73" s="186">
        <v>1</v>
      </c>
      <c r="C73" s="186">
        <v>22822.7260608</v>
      </c>
      <c r="D73" s="186">
        <v>1502.88</v>
      </c>
    </row>
    <row r="74" spans="1:4" x14ac:dyDescent="0.25">
      <c r="A74" s="185">
        <v>9001044600</v>
      </c>
      <c r="B74" s="186">
        <v>1</v>
      </c>
      <c r="C74" s="186">
        <v>641725.94221919996</v>
      </c>
      <c r="D74" s="186">
        <v>1222150.5935999991</v>
      </c>
    </row>
    <row r="75" spans="1:4" x14ac:dyDescent="0.25">
      <c r="A75" s="185">
        <v>9001045101</v>
      </c>
      <c r="B75" s="186">
        <v>1</v>
      </c>
      <c r="C75" s="186">
        <v>121792.58059679999</v>
      </c>
      <c r="D75" s="186">
        <v>26942.549299999999</v>
      </c>
    </row>
    <row r="76" spans="1:4" x14ac:dyDescent="0.25">
      <c r="A76" s="185">
        <v>9001045102</v>
      </c>
      <c r="B76" s="186">
        <v>2</v>
      </c>
      <c r="C76" s="186">
        <v>281076.99820992007</v>
      </c>
      <c r="D76" s="186">
        <v>98164.801600000108</v>
      </c>
    </row>
    <row r="77" spans="1:4" x14ac:dyDescent="0.25">
      <c r="A77" s="185">
        <v>9001045200</v>
      </c>
      <c r="B77" s="186">
        <v>1</v>
      </c>
      <c r="C77" s="186">
        <v>79552.867651200009</v>
      </c>
      <c r="D77" s="186">
        <v>17456.605100000001</v>
      </c>
    </row>
    <row r="78" spans="1:4" x14ac:dyDescent="0.25">
      <c r="A78" s="185">
        <v>9001045300</v>
      </c>
      <c r="B78" s="186">
        <v>2</v>
      </c>
      <c r="C78" s="186">
        <v>60408.1946016</v>
      </c>
      <c r="D78" s="186">
        <v>10246.200000000001</v>
      </c>
    </row>
    <row r="79" spans="1:4" x14ac:dyDescent="0.25">
      <c r="A79" s="185">
        <v>9001045400</v>
      </c>
      <c r="B79" s="186">
        <v>3</v>
      </c>
      <c r="C79" s="186">
        <v>88251.321139200008</v>
      </c>
      <c r="D79" s="186">
        <v>24622.080000000002</v>
      </c>
    </row>
    <row r="80" spans="1:4" x14ac:dyDescent="0.25">
      <c r="A80" s="185">
        <v>9001050100</v>
      </c>
      <c r="B80" s="186">
        <v>2</v>
      </c>
      <c r="C80" s="186">
        <v>131515.43113151999</v>
      </c>
      <c r="D80" s="186">
        <v>20756.725299999998</v>
      </c>
    </row>
    <row r="81" spans="1:4" x14ac:dyDescent="0.25">
      <c r="A81" s="185">
        <v>9001050200</v>
      </c>
      <c r="B81" s="186">
        <v>1</v>
      </c>
      <c r="C81" s="186">
        <v>121173.53558688</v>
      </c>
      <c r="D81" s="186">
        <v>21742.54</v>
      </c>
    </row>
    <row r="82" spans="1:4" x14ac:dyDescent="0.25">
      <c r="A82" s="185">
        <v>9001050300</v>
      </c>
      <c r="B82" s="186">
        <v>2</v>
      </c>
      <c r="C82" s="186">
        <v>564249.73362912005</v>
      </c>
      <c r="D82" s="186">
        <v>203794.64620000002</v>
      </c>
    </row>
    <row r="83" spans="1:4" x14ac:dyDescent="0.25">
      <c r="A83" s="185">
        <v>9001050400</v>
      </c>
      <c r="B83" s="186">
        <v>2</v>
      </c>
      <c r="C83" s="186">
        <v>74601.128131200006</v>
      </c>
      <c r="D83" s="186">
        <v>7135.08</v>
      </c>
    </row>
    <row r="84" spans="1:4" x14ac:dyDescent="0.25">
      <c r="A84" s="185">
        <v>9001050500</v>
      </c>
      <c r="B84" s="186">
        <v>1</v>
      </c>
      <c r="C84" s="186">
        <v>146978.52289631998</v>
      </c>
      <c r="D84" s="186">
        <v>32140.67</v>
      </c>
    </row>
    <row r="85" spans="1:4" x14ac:dyDescent="0.25">
      <c r="A85" s="185">
        <v>9001050600</v>
      </c>
      <c r="B85" s="186">
        <v>1</v>
      </c>
      <c r="C85" s="186">
        <v>125849.61476639999</v>
      </c>
      <c r="D85" s="186">
        <v>10952.81</v>
      </c>
    </row>
    <row r="86" spans="1:4" x14ac:dyDescent="0.25">
      <c r="A86" s="185">
        <v>9001055100</v>
      </c>
      <c r="B86" s="186">
        <v>3</v>
      </c>
      <c r="C86" s="186">
        <v>215947.24356383999</v>
      </c>
      <c r="D86" s="186">
        <v>80664.353000000003</v>
      </c>
    </row>
    <row r="87" spans="1:4" x14ac:dyDescent="0.25">
      <c r="A87" s="185">
        <v>9001055200</v>
      </c>
      <c r="B87" s="186">
        <v>2</v>
      </c>
      <c r="C87" s="186">
        <v>158788.24856640003</v>
      </c>
      <c r="D87" s="186">
        <v>30830.174299999999</v>
      </c>
    </row>
    <row r="88" spans="1:4" x14ac:dyDescent="0.25">
      <c r="A88" s="185">
        <v>9001060400</v>
      </c>
      <c r="B88" s="186">
        <v>1</v>
      </c>
      <c r="C88" s="186">
        <v>4359.446870400001</v>
      </c>
      <c r="D88" s="186">
        <v>1373.72</v>
      </c>
    </row>
    <row r="89" spans="1:4" x14ac:dyDescent="0.25">
      <c r="A89" s="185">
        <v>9001100100</v>
      </c>
      <c r="B89" s="186">
        <v>2</v>
      </c>
      <c r="C89" s="186">
        <v>100918.10180448001</v>
      </c>
      <c r="D89" s="186">
        <v>20403.166799999999</v>
      </c>
    </row>
    <row r="90" spans="1:4" x14ac:dyDescent="0.25">
      <c r="A90" s="185">
        <v>9001100200</v>
      </c>
      <c r="B90" s="186">
        <v>1</v>
      </c>
      <c r="C90" s="186">
        <v>133580.15600255999</v>
      </c>
      <c r="D90" s="186">
        <v>32119.5658</v>
      </c>
    </row>
    <row r="91" spans="1:4" x14ac:dyDescent="0.25">
      <c r="A91" s="185">
        <v>9001100300</v>
      </c>
      <c r="B91" s="186">
        <v>2</v>
      </c>
      <c r="C91" s="186">
        <v>257975.51190623999</v>
      </c>
      <c r="D91" s="186">
        <v>156101.05499999999</v>
      </c>
    </row>
    <row r="92" spans="1:4" x14ac:dyDescent="0.25">
      <c r="A92" s="185">
        <v>9001105100</v>
      </c>
      <c r="B92" s="186">
        <v>1</v>
      </c>
      <c r="C92" s="186">
        <v>932.56989120000003</v>
      </c>
      <c r="D92" s="186">
        <v>0</v>
      </c>
    </row>
    <row r="93" spans="1:4" x14ac:dyDescent="0.25">
      <c r="A93" s="185">
        <v>9001105200</v>
      </c>
      <c r="B93" s="186">
        <v>1</v>
      </c>
      <c r="C93" s="186">
        <v>279.45432000000005</v>
      </c>
      <c r="D93" s="186">
        <v>0</v>
      </c>
    </row>
    <row r="94" spans="1:4" x14ac:dyDescent="0.25">
      <c r="A94" s="185">
        <v>9001110500</v>
      </c>
      <c r="B94" s="186">
        <v>1</v>
      </c>
      <c r="C94" s="186">
        <v>763.01015040000004</v>
      </c>
      <c r="D94" s="186">
        <v>0</v>
      </c>
    </row>
    <row r="95" spans="1:4" x14ac:dyDescent="0.25">
      <c r="A95" s="185">
        <v>9001200100</v>
      </c>
      <c r="B95" s="186">
        <v>2</v>
      </c>
      <c r="C95" s="186">
        <v>70231.776624000006</v>
      </c>
      <c r="D95" s="186">
        <v>10371.963599999999</v>
      </c>
    </row>
    <row r="96" spans="1:4" x14ac:dyDescent="0.25">
      <c r="A96" s="185">
        <v>9001200200</v>
      </c>
      <c r="B96" s="186">
        <v>1</v>
      </c>
      <c r="C96" s="186">
        <v>247653.1882944</v>
      </c>
      <c r="D96" s="186">
        <v>176536.53519999998</v>
      </c>
    </row>
    <row r="97" spans="1:4" x14ac:dyDescent="0.25">
      <c r="A97" s="185">
        <v>9001200301</v>
      </c>
      <c r="B97" s="186">
        <v>2</v>
      </c>
      <c r="C97" s="186">
        <v>96566.654476800002</v>
      </c>
      <c r="D97" s="186">
        <v>16100.537899999999</v>
      </c>
    </row>
    <row r="98" spans="1:4" x14ac:dyDescent="0.25">
      <c r="A98" s="185">
        <v>9001200302</v>
      </c>
      <c r="B98" s="186">
        <v>2</v>
      </c>
      <c r="C98" s="186">
        <v>112872.07800288002</v>
      </c>
      <c r="D98" s="186">
        <v>17053.723399999999</v>
      </c>
    </row>
    <row r="99" spans="1:4" x14ac:dyDescent="0.25">
      <c r="A99" s="185">
        <v>9001205100</v>
      </c>
      <c r="B99" s="186">
        <v>1</v>
      </c>
      <c r="C99" s="186">
        <v>93675.313857600006</v>
      </c>
      <c r="D99" s="186">
        <v>12836.5</v>
      </c>
    </row>
    <row r="100" spans="1:4" x14ac:dyDescent="0.25">
      <c r="A100" s="185">
        <v>9001205200</v>
      </c>
      <c r="B100" s="186">
        <v>2</v>
      </c>
      <c r="C100" s="186">
        <v>333547.51326048002</v>
      </c>
      <c r="D100" s="186">
        <v>427613.46220000001</v>
      </c>
    </row>
    <row r="101" spans="1:4" x14ac:dyDescent="0.25">
      <c r="A101" s="185">
        <v>9001205300</v>
      </c>
      <c r="B101" s="186">
        <v>3</v>
      </c>
      <c r="C101" s="186">
        <v>135660.07531584002</v>
      </c>
      <c r="D101" s="186">
        <v>17564.3</v>
      </c>
    </row>
    <row r="102" spans="1:4" x14ac:dyDescent="0.25">
      <c r="A102" s="185">
        <v>9001210100</v>
      </c>
      <c r="B102" s="186">
        <v>1</v>
      </c>
      <c r="C102" s="186">
        <v>80635.962551039993</v>
      </c>
      <c r="D102" s="186">
        <v>11314.693300000001</v>
      </c>
    </row>
    <row r="103" spans="1:4" x14ac:dyDescent="0.25">
      <c r="A103" s="185">
        <v>9001210200</v>
      </c>
      <c r="B103" s="186">
        <v>1</v>
      </c>
      <c r="C103" s="186">
        <v>66177.26174016</v>
      </c>
      <c r="D103" s="186">
        <v>3072.29</v>
      </c>
    </row>
    <row r="104" spans="1:4" x14ac:dyDescent="0.25">
      <c r="A104" s="185">
        <v>9001210300</v>
      </c>
      <c r="B104" s="186">
        <v>1</v>
      </c>
      <c r="C104" s="186">
        <v>72919.210815359998</v>
      </c>
      <c r="D104" s="186">
        <v>9926.9599999999991</v>
      </c>
    </row>
    <row r="105" spans="1:4" x14ac:dyDescent="0.25">
      <c r="A105" s="185">
        <v>9001210400</v>
      </c>
      <c r="B105" s="186">
        <v>2</v>
      </c>
      <c r="C105" s="186">
        <v>166991.35849056</v>
      </c>
      <c r="D105" s="186">
        <v>14744.53</v>
      </c>
    </row>
    <row r="106" spans="1:4" x14ac:dyDescent="0.25">
      <c r="A106" s="185">
        <v>9001210500</v>
      </c>
      <c r="B106" s="186">
        <v>3</v>
      </c>
      <c r="C106" s="186">
        <v>877429.64352960011</v>
      </c>
      <c r="D106" s="186">
        <v>897178.81859999895</v>
      </c>
    </row>
    <row r="107" spans="1:4" x14ac:dyDescent="0.25">
      <c r="A107" s="185">
        <v>9001210600</v>
      </c>
      <c r="B107" s="186">
        <v>1</v>
      </c>
      <c r="C107" s="186">
        <v>79251.416470080003</v>
      </c>
      <c r="D107" s="186">
        <v>3809.8373999999999</v>
      </c>
    </row>
    <row r="108" spans="1:4" x14ac:dyDescent="0.25">
      <c r="A108" s="185">
        <v>9001210701</v>
      </c>
      <c r="B108" s="186">
        <v>1</v>
      </c>
      <c r="C108" s="186">
        <v>103630.93667135999</v>
      </c>
      <c r="D108" s="186">
        <v>7306.01</v>
      </c>
    </row>
    <row r="109" spans="1:4" x14ac:dyDescent="0.25">
      <c r="A109" s="185">
        <v>9001210702</v>
      </c>
      <c r="B109" s="186">
        <v>1</v>
      </c>
      <c r="C109" s="186">
        <v>69888.772857600008</v>
      </c>
      <c r="D109" s="186">
        <v>4260.4978000000001</v>
      </c>
    </row>
    <row r="110" spans="1:4" x14ac:dyDescent="0.25">
      <c r="A110" s="185">
        <v>9001210800</v>
      </c>
      <c r="B110" s="186">
        <v>1</v>
      </c>
      <c r="C110" s="186">
        <v>112936.28332031998</v>
      </c>
      <c r="D110" s="186">
        <v>15526.7817</v>
      </c>
    </row>
    <row r="111" spans="1:4" x14ac:dyDescent="0.25">
      <c r="A111" s="185">
        <v>9001210900</v>
      </c>
      <c r="B111" s="186">
        <v>2</v>
      </c>
      <c r="C111" s="186">
        <v>130602.68151264002</v>
      </c>
      <c r="D111" s="186">
        <v>22839.652999999998</v>
      </c>
    </row>
    <row r="112" spans="1:4" x14ac:dyDescent="0.25">
      <c r="A112" s="185">
        <v>9001211000</v>
      </c>
      <c r="B112" s="186">
        <v>2</v>
      </c>
      <c r="C112" s="186">
        <v>92180.518922880015</v>
      </c>
      <c r="D112" s="186">
        <v>25082.14</v>
      </c>
    </row>
    <row r="113" spans="1:4" x14ac:dyDescent="0.25">
      <c r="A113" s="185">
        <v>9001211100</v>
      </c>
      <c r="B113" s="186">
        <v>1</v>
      </c>
      <c r="C113" s="186">
        <v>854.27637120000009</v>
      </c>
      <c r="D113" s="186">
        <v>0</v>
      </c>
    </row>
    <row r="114" spans="1:4" x14ac:dyDescent="0.25">
      <c r="A114" s="185">
        <v>9001211200</v>
      </c>
      <c r="B114" s="186">
        <v>1</v>
      </c>
      <c r="C114" s="186">
        <v>126281.56981248001</v>
      </c>
      <c r="D114" s="186">
        <v>9848.92</v>
      </c>
    </row>
    <row r="115" spans="1:4" x14ac:dyDescent="0.25">
      <c r="A115" s="185">
        <v>9001211300</v>
      </c>
      <c r="B115" s="186">
        <v>1</v>
      </c>
      <c r="C115" s="186">
        <v>81086.724829440005</v>
      </c>
      <c r="D115" s="186">
        <v>21246.9</v>
      </c>
    </row>
    <row r="116" spans="1:4" x14ac:dyDescent="0.25">
      <c r="A116" s="185">
        <v>9001211400</v>
      </c>
      <c r="B116" s="186">
        <v>2</v>
      </c>
      <c r="C116" s="186">
        <v>97935.556325760001</v>
      </c>
      <c r="D116" s="186">
        <v>19683.9421</v>
      </c>
    </row>
    <row r="117" spans="1:4" x14ac:dyDescent="0.25">
      <c r="A117" s="185">
        <v>9001220100</v>
      </c>
      <c r="B117" s="186">
        <v>1</v>
      </c>
      <c r="C117" s="186">
        <v>108677.484</v>
      </c>
      <c r="D117" s="186">
        <v>12699.62</v>
      </c>
    </row>
    <row r="118" spans="1:4" x14ac:dyDescent="0.25">
      <c r="A118" s="185">
        <v>9001220200</v>
      </c>
      <c r="B118" s="186">
        <v>3</v>
      </c>
      <c r="C118" s="186">
        <v>164400.46411679999</v>
      </c>
      <c r="D118" s="186">
        <v>42717.744299999998</v>
      </c>
    </row>
    <row r="119" spans="1:4" x14ac:dyDescent="0.25">
      <c r="A119" s="185">
        <v>9001220300</v>
      </c>
      <c r="B119" s="186">
        <v>3</v>
      </c>
      <c r="C119" s="186">
        <v>104317.229592</v>
      </c>
      <c r="D119" s="186">
        <v>5080.6705000000002</v>
      </c>
    </row>
    <row r="120" spans="1:4" x14ac:dyDescent="0.25">
      <c r="A120" s="185">
        <v>9001230100</v>
      </c>
      <c r="B120" s="186">
        <v>1</v>
      </c>
      <c r="C120" s="186">
        <v>301855.53053664003</v>
      </c>
      <c r="D120" s="186">
        <v>142597.049</v>
      </c>
    </row>
    <row r="121" spans="1:4" x14ac:dyDescent="0.25">
      <c r="A121" s="185">
        <v>9001230200</v>
      </c>
      <c r="B121" s="186">
        <v>1</v>
      </c>
      <c r="C121" s="186">
        <v>46300.658607359997</v>
      </c>
      <c r="D121" s="186">
        <v>12190.543</v>
      </c>
    </row>
    <row r="122" spans="1:4" x14ac:dyDescent="0.25">
      <c r="A122" s="185">
        <v>9001230300</v>
      </c>
      <c r="B122" s="186">
        <v>1</v>
      </c>
      <c r="C122" s="186">
        <v>78817.512913920014</v>
      </c>
      <c r="D122" s="186">
        <v>22507.883300000001</v>
      </c>
    </row>
    <row r="123" spans="1:4" x14ac:dyDescent="0.25">
      <c r="A123" s="185">
        <v>9001230400</v>
      </c>
      <c r="B123" s="186">
        <v>3</v>
      </c>
      <c r="C123" s="186">
        <v>126649.58814144002</v>
      </c>
      <c r="D123" s="186">
        <v>22799.4643</v>
      </c>
    </row>
    <row r="124" spans="1:4" x14ac:dyDescent="0.25">
      <c r="A124" s="185">
        <v>9001230501</v>
      </c>
      <c r="B124" s="186">
        <v>1</v>
      </c>
      <c r="C124" s="186">
        <v>88437.196612800006</v>
      </c>
      <c r="D124" s="186">
        <v>18717.475399999999</v>
      </c>
    </row>
    <row r="125" spans="1:4" x14ac:dyDescent="0.25">
      <c r="A125" s="185">
        <v>9001230502</v>
      </c>
      <c r="B125" s="186">
        <v>1</v>
      </c>
      <c r="C125" s="186">
        <v>84605.596839359991</v>
      </c>
      <c r="D125" s="186">
        <v>9151.4843000000001</v>
      </c>
    </row>
    <row r="126" spans="1:4" x14ac:dyDescent="0.25">
      <c r="A126" s="185">
        <v>9001240100</v>
      </c>
      <c r="B126" s="186">
        <v>4</v>
      </c>
      <c r="C126" s="186">
        <v>107649.45332351998</v>
      </c>
      <c r="D126" s="186">
        <v>23180.573899999999</v>
      </c>
    </row>
    <row r="127" spans="1:4" x14ac:dyDescent="0.25">
      <c r="A127" s="185">
        <v>9001240200</v>
      </c>
      <c r="B127" s="186">
        <v>1</v>
      </c>
      <c r="C127" s="186">
        <v>169993.67156351998</v>
      </c>
      <c r="D127" s="186">
        <v>66021.557700000005</v>
      </c>
    </row>
    <row r="128" spans="1:4" x14ac:dyDescent="0.25">
      <c r="A128" s="185">
        <v>9001245100</v>
      </c>
      <c r="B128" s="186">
        <v>1</v>
      </c>
      <c r="C128" s="186">
        <v>57530.246371200003</v>
      </c>
      <c r="D128" s="186">
        <v>11748.259099999999</v>
      </c>
    </row>
    <row r="129" spans="1:4" x14ac:dyDescent="0.25">
      <c r="A129" s="185">
        <v>9001245200</v>
      </c>
      <c r="B129" s="186">
        <v>3</v>
      </c>
      <c r="C129" s="186">
        <v>99016.382016000003</v>
      </c>
      <c r="D129" s="186">
        <v>10773.143099999999</v>
      </c>
    </row>
    <row r="130" spans="1:4" x14ac:dyDescent="0.25">
      <c r="A130" s="185">
        <v>9001245300</v>
      </c>
      <c r="B130" s="186">
        <v>1</v>
      </c>
      <c r="C130" s="186">
        <v>134335.73796479998</v>
      </c>
      <c r="D130" s="186">
        <v>64446.402699999999</v>
      </c>
    </row>
    <row r="131" spans="1:4" x14ac:dyDescent="0.25">
      <c r="A131" s="185">
        <v>9001245400</v>
      </c>
      <c r="B131" s="186">
        <v>2</v>
      </c>
      <c r="C131" s="186">
        <v>92443.537681920003</v>
      </c>
      <c r="D131" s="186">
        <v>15050.615299999999</v>
      </c>
    </row>
    <row r="132" spans="1:4" x14ac:dyDescent="0.25">
      <c r="A132" s="185">
        <v>9001245500</v>
      </c>
      <c r="B132" s="186">
        <v>1</v>
      </c>
      <c r="C132" s="186">
        <v>81971.845084799992</v>
      </c>
      <c r="D132" s="186">
        <v>16745.104599999999</v>
      </c>
    </row>
    <row r="133" spans="1:4" x14ac:dyDescent="0.25">
      <c r="A133" s="185">
        <v>9001245600</v>
      </c>
      <c r="B133" s="186">
        <v>2</v>
      </c>
      <c r="C133" s="186">
        <v>328478.00639328</v>
      </c>
      <c r="D133" s="186">
        <v>244622.0661</v>
      </c>
    </row>
    <row r="134" spans="1:4" x14ac:dyDescent="0.25">
      <c r="A134" s="185">
        <v>9001257100</v>
      </c>
      <c r="B134" s="186">
        <v>2</v>
      </c>
      <c r="C134" s="186">
        <v>125693.88794208001</v>
      </c>
      <c r="D134" s="186">
        <v>34462.43</v>
      </c>
    </row>
    <row r="135" spans="1:4" x14ac:dyDescent="0.25">
      <c r="A135" s="185">
        <v>9003330100</v>
      </c>
      <c r="B135" s="186">
        <v>3</v>
      </c>
      <c r="C135" s="186">
        <v>43966.083614400006</v>
      </c>
      <c r="D135" s="186">
        <v>12321.41</v>
      </c>
    </row>
    <row r="136" spans="1:4" x14ac:dyDescent="0.25">
      <c r="A136" s="185">
        <v>9003400100</v>
      </c>
      <c r="B136" s="186">
        <v>2</v>
      </c>
      <c r="C136" s="186">
        <v>309201.6115152</v>
      </c>
      <c r="D136" s="186">
        <v>439874.09740000003</v>
      </c>
    </row>
    <row r="137" spans="1:4" x14ac:dyDescent="0.25">
      <c r="A137" s="185">
        <v>9003400200</v>
      </c>
      <c r="B137" s="186">
        <v>1</v>
      </c>
      <c r="C137" s="186">
        <v>119228.18040288001</v>
      </c>
      <c r="D137" s="186">
        <v>19579.490000000002</v>
      </c>
    </row>
    <row r="138" spans="1:4" x14ac:dyDescent="0.25">
      <c r="A138" s="185">
        <v>9003400300</v>
      </c>
      <c r="B138" s="186">
        <v>2</v>
      </c>
      <c r="C138" s="186">
        <v>119246.7445056</v>
      </c>
      <c r="D138" s="186">
        <v>26773.760200000001</v>
      </c>
    </row>
    <row r="139" spans="1:4" x14ac:dyDescent="0.25">
      <c r="A139" s="185">
        <v>9003405100</v>
      </c>
      <c r="B139" s="186">
        <v>1</v>
      </c>
      <c r="C139" s="186">
        <v>73591.994413439999</v>
      </c>
      <c r="D139" s="186">
        <v>30053.519799999998</v>
      </c>
    </row>
    <row r="140" spans="1:4" x14ac:dyDescent="0.25">
      <c r="A140" s="185">
        <v>9003405200</v>
      </c>
      <c r="B140" s="186">
        <v>1</v>
      </c>
      <c r="C140" s="186">
        <v>78441.760748159999</v>
      </c>
      <c r="D140" s="186">
        <v>42995.71</v>
      </c>
    </row>
    <row r="141" spans="1:4" x14ac:dyDescent="0.25">
      <c r="A141" s="185">
        <v>9003405300</v>
      </c>
      <c r="B141" s="186">
        <v>1</v>
      </c>
      <c r="C141" s="186">
        <v>104034.2122656</v>
      </c>
      <c r="D141" s="186">
        <v>85654.017500000002</v>
      </c>
    </row>
    <row r="142" spans="1:4" x14ac:dyDescent="0.25">
      <c r="A142" s="185">
        <v>9003405401</v>
      </c>
      <c r="B142" s="186">
        <v>2</v>
      </c>
      <c r="C142" s="186">
        <v>71841.494868480004</v>
      </c>
      <c r="D142" s="186">
        <v>9810.9004999999997</v>
      </c>
    </row>
    <row r="143" spans="1:4" x14ac:dyDescent="0.25">
      <c r="A143" s="185">
        <v>9003405402</v>
      </c>
      <c r="B143" s="186">
        <v>1</v>
      </c>
      <c r="C143" s="186">
        <v>84617.753319359996</v>
      </c>
      <c r="D143" s="186">
        <v>14170.022000000001</v>
      </c>
    </row>
    <row r="144" spans="1:4" x14ac:dyDescent="0.25">
      <c r="A144" s="185">
        <v>9003405500</v>
      </c>
      <c r="B144" s="186">
        <v>1</v>
      </c>
      <c r="C144" s="186">
        <v>95029.491893759987</v>
      </c>
      <c r="D144" s="186">
        <v>79289.1728</v>
      </c>
    </row>
    <row r="145" spans="1:4" x14ac:dyDescent="0.25">
      <c r="A145" s="185">
        <v>9003405600</v>
      </c>
      <c r="B145" s="186">
        <v>1</v>
      </c>
      <c r="C145" s="186">
        <v>125510.08948992001</v>
      </c>
      <c r="D145" s="186">
        <v>64317.655200000001</v>
      </c>
    </row>
    <row r="146" spans="1:4" x14ac:dyDescent="0.25">
      <c r="A146" s="185">
        <v>9003405700</v>
      </c>
      <c r="B146" s="186">
        <v>1</v>
      </c>
      <c r="C146" s="186">
        <v>33239.069625599994</v>
      </c>
      <c r="D146" s="186">
        <v>28576.05</v>
      </c>
    </row>
    <row r="147" spans="1:4" x14ac:dyDescent="0.25">
      <c r="A147" s="185">
        <v>9003405800</v>
      </c>
      <c r="B147" s="186">
        <v>1</v>
      </c>
      <c r="C147" s="186">
        <v>509551.29354240006</v>
      </c>
      <c r="D147" s="186">
        <v>739362.14009999996</v>
      </c>
    </row>
    <row r="148" spans="1:4" x14ac:dyDescent="0.25">
      <c r="A148" s="185">
        <v>9003405900</v>
      </c>
      <c r="B148" s="186">
        <v>1</v>
      </c>
      <c r="C148" s="186">
        <v>95207.098066559993</v>
      </c>
      <c r="D148" s="186">
        <v>47858.912400000001</v>
      </c>
    </row>
    <row r="149" spans="1:4" x14ac:dyDescent="0.25">
      <c r="A149" s="185">
        <v>9003406001</v>
      </c>
      <c r="B149" s="186">
        <v>2</v>
      </c>
      <c r="C149" s="186">
        <v>65893.439191679994</v>
      </c>
      <c r="D149" s="186">
        <v>61190</v>
      </c>
    </row>
    <row r="150" spans="1:4" x14ac:dyDescent="0.25">
      <c r="A150" s="185">
        <v>9003406002</v>
      </c>
      <c r="B150" s="186">
        <v>2</v>
      </c>
      <c r="C150" s="186">
        <v>99397.97218656</v>
      </c>
      <c r="D150" s="186">
        <v>88476.909499999994</v>
      </c>
    </row>
    <row r="151" spans="1:4" x14ac:dyDescent="0.25">
      <c r="A151" s="185">
        <v>9003406100</v>
      </c>
      <c r="B151" s="186">
        <v>1</v>
      </c>
      <c r="C151" s="186">
        <v>52063.520731199998</v>
      </c>
      <c r="D151" s="186">
        <v>10335.120000000001</v>
      </c>
    </row>
    <row r="152" spans="1:4" x14ac:dyDescent="0.25">
      <c r="A152" s="185">
        <v>9003410101</v>
      </c>
      <c r="B152" s="186">
        <v>3</v>
      </c>
      <c r="C152" s="186">
        <v>142770.78252864</v>
      </c>
      <c r="D152" s="186">
        <v>95237.751399999994</v>
      </c>
    </row>
    <row r="153" spans="1:4" x14ac:dyDescent="0.25">
      <c r="A153" s="185">
        <v>9003410102</v>
      </c>
      <c r="B153" s="186">
        <v>3</v>
      </c>
      <c r="C153" s="186">
        <v>92434.943629440007</v>
      </c>
      <c r="D153" s="186">
        <v>37313.933100000002</v>
      </c>
    </row>
    <row r="154" spans="1:4" x14ac:dyDescent="0.25">
      <c r="A154" s="185">
        <v>9003415300</v>
      </c>
      <c r="B154" s="186">
        <v>1</v>
      </c>
      <c r="C154" s="186">
        <v>61846.119786240008</v>
      </c>
      <c r="D154" s="186">
        <v>907.27</v>
      </c>
    </row>
    <row r="155" spans="1:4" x14ac:dyDescent="0.25">
      <c r="A155" s="185">
        <v>9003415400</v>
      </c>
      <c r="B155" s="186">
        <v>1</v>
      </c>
      <c r="C155" s="186">
        <v>60029.682335999998</v>
      </c>
      <c r="D155" s="186">
        <v>7314.39</v>
      </c>
    </row>
    <row r="156" spans="1:4" x14ac:dyDescent="0.25">
      <c r="A156" s="185">
        <v>9003415500</v>
      </c>
      <c r="B156" s="186">
        <v>1</v>
      </c>
      <c r="C156" s="186">
        <v>30047.905635839998</v>
      </c>
      <c r="D156" s="186">
        <v>2366.27</v>
      </c>
    </row>
    <row r="157" spans="1:4" x14ac:dyDescent="0.25">
      <c r="A157" s="185">
        <v>9003415600</v>
      </c>
      <c r="B157" s="186">
        <v>1</v>
      </c>
      <c r="C157" s="186">
        <v>37752.075993600003</v>
      </c>
      <c r="D157" s="186">
        <v>1307.4318000000001</v>
      </c>
    </row>
    <row r="158" spans="1:4" x14ac:dyDescent="0.25">
      <c r="A158" s="185">
        <v>9003415700</v>
      </c>
      <c r="B158" s="186">
        <v>1</v>
      </c>
      <c r="C158" s="186">
        <v>35649.427536000003</v>
      </c>
      <c r="D158" s="186">
        <v>7072.64</v>
      </c>
    </row>
    <row r="159" spans="1:4" x14ac:dyDescent="0.25">
      <c r="A159" s="185">
        <v>9003415800</v>
      </c>
      <c r="B159" s="186">
        <v>1</v>
      </c>
      <c r="C159" s="186">
        <v>33526.781089920005</v>
      </c>
      <c r="D159" s="186">
        <v>4495.78</v>
      </c>
    </row>
    <row r="160" spans="1:4" x14ac:dyDescent="0.25">
      <c r="A160" s="185">
        <v>9003416000</v>
      </c>
      <c r="B160" s="186">
        <v>1</v>
      </c>
      <c r="C160" s="186">
        <v>53175.932429759996</v>
      </c>
      <c r="D160" s="186">
        <v>772.94</v>
      </c>
    </row>
    <row r="161" spans="1:4" x14ac:dyDescent="0.25">
      <c r="A161" s="185">
        <v>9003416100</v>
      </c>
      <c r="B161" s="186">
        <v>1</v>
      </c>
      <c r="C161" s="186">
        <v>45937.126019520001</v>
      </c>
      <c r="D161" s="186">
        <v>2835.0911999999998</v>
      </c>
    </row>
    <row r="162" spans="1:4" x14ac:dyDescent="0.25">
      <c r="A162" s="185">
        <v>9003416200</v>
      </c>
      <c r="B162" s="186">
        <v>1</v>
      </c>
      <c r="C162" s="186">
        <v>25037.862480000003</v>
      </c>
      <c r="D162" s="186">
        <v>31916.26</v>
      </c>
    </row>
    <row r="163" spans="1:4" x14ac:dyDescent="0.25">
      <c r="A163" s="185">
        <v>9003416300</v>
      </c>
      <c r="B163" s="186">
        <v>2</v>
      </c>
      <c r="C163" s="186">
        <v>46764.531360000008</v>
      </c>
      <c r="D163" s="186">
        <v>7464.55</v>
      </c>
    </row>
    <row r="164" spans="1:4" x14ac:dyDescent="0.25">
      <c r="A164" s="185">
        <v>9003416400</v>
      </c>
      <c r="B164" s="186">
        <v>1</v>
      </c>
      <c r="C164" s="186">
        <v>55528.130845440013</v>
      </c>
      <c r="D164" s="186">
        <v>6996.7744000000002</v>
      </c>
    </row>
    <row r="165" spans="1:4" x14ac:dyDescent="0.25">
      <c r="A165" s="185">
        <v>9003416500</v>
      </c>
      <c r="B165" s="186">
        <v>1</v>
      </c>
      <c r="C165" s="186">
        <v>58912.03814112</v>
      </c>
      <c r="D165" s="186">
        <v>9258.3799999999992</v>
      </c>
    </row>
    <row r="166" spans="1:4" x14ac:dyDescent="0.25">
      <c r="A166" s="185">
        <v>9003416600</v>
      </c>
      <c r="B166" s="186">
        <v>1</v>
      </c>
      <c r="C166" s="186">
        <v>21919.58064</v>
      </c>
      <c r="D166" s="186">
        <v>3646.41</v>
      </c>
    </row>
    <row r="167" spans="1:4" x14ac:dyDescent="0.25">
      <c r="A167" s="185">
        <v>9003416700</v>
      </c>
      <c r="B167" s="186">
        <v>1</v>
      </c>
      <c r="C167" s="186">
        <v>490335.53576543997</v>
      </c>
      <c r="D167" s="186">
        <v>674060.61529999995</v>
      </c>
    </row>
    <row r="168" spans="1:4" x14ac:dyDescent="0.25">
      <c r="A168" s="185">
        <v>9003416800</v>
      </c>
      <c r="B168" s="186">
        <v>1</v>
      </c>
      <c r="C168" s="186">
        <v>37524.223036800002</v>
      </c>
      <c r="D168" s="186">
        <v>42090.9902</v>
      </c>
    </row>
    <row r="169" spans="1:4" x14ac:dyDescent="0.25">
      <c r="A169" s="185">
        <v>9003417100</v>
      </c>
      <c r="B169" s="186">
        <v>2</v>
      </c>
      <c r="C169" s="186">
        <v>32951.018937600005</v>
      </c>
      <c r="D169" s="186">
        <v>3149.7061999999996</v>
      </c>
    </row>
    <row r="170" spans="1:4" x14ac:dyDescent="0.25">
      <c r="A170" s="185">
        <v>9003417300</v>
      </c>
      <c r="B170" s="186">
        <v>1</v>
      </c>
      <c r="C170" s="186">
        <v>1344.3822288000001</v>
      </c>
      <c r="D170" s="186">
        <v>0</v>
      </c>
    </row>
    <row r="171" spans="1:4" x14ac:dyDescent="0.25">
      <c r="A171" s="185">
        <v>9003417400</v>
      </c>
      <c r="B171" s="186">
        <v>1</v>
      </c>
      <c r="C171" s="186">
        <v>42183.385027200005</v>
      </c>
      <c r="D171" s="186">
        <v>6750.4196000000002</v>
      </c>
    </row>
    <row r="172" spans="1:4" x14ac:dyDescent="0.25">
      <c r="A172" s="185">
        <v>9003417500</v>
      </c>
      <c r="B172" s="186">
        <v>1</v>
      </c>
      <c r="C172" s="186">
        <v>60109.840428480005</v>
      </c>
      <c r="D172" s="186">
        <v>6313.4265999999998</v>
      </c>
    </row>
    <row r="173" spans="1:4" x14ac:dyDescent="0.25">
      <c r="A173" s="185">
        <v>9003420400</v>
      </c>
      <c r="B173" s="186">
        <v>1</v>
      </c>
      <c r="C173" s="186">
        <v>59279.313767040003</v>
      </c>
      <c r="D173" s="186">
        <v>16805.87</v>
      </c>
    </row>
    <row r="174" spans="1:4" x14ac:dyDescent="0.25">
      <c r="A174" s="185">
        <v>9003420500</v>
      </c>
      <c r="B174" s="186">
        <v>2</v>
      </c>
      <c r="C174" s="186">
        <v>99030.843017279985</v>
      </c>
      <c r="D174" s="186">
        <v>16477.6862</v>
      </c>
    </row>
    <row r="175" spans="1:4" x14ac:dyDescent="0.25">
      <c r="A175" s="185">
        <v>9003420600</v>
      </c>
      <c r="B175" s="186">
        <v>2</v>
      </c>
      <c r="C175" s="186">
        <v>271409.51233728003</v>
      </c>
      <c r="D175" s="186">
        <v>192031.23229999997</v>
      </c>
    </row>
    <row r="176" spans="1:4" x14ac:dyDescent="0.25">
      <c r="A176" s="185">
        <v>9003420700</v>
      </c>
      <c r="B176" s="186">
        <v>1</v>
      </c>
      <c r="C176" s="186">
        <v>69727.892843520007</v>
      </c>
      <c r="D176" s="186">
        <v>8228.0300000000007</v>
      </c>
    </row>
    <row r="177" spans="1:4" x14ac:dyDescent="0.25">
      <c r="A177" s="185">
        <v>9003430100</v>
      </c>
      <c r="B177" s="186">
        <v>1</v>
      </c>
      <c r="C177" s="186">
        <v>65457.047030400005</v>
      </c>
      <c r="D177" s="186">
        <v>15117.22</v>
      </c>
    </row>
    <row r="178" spans="1:4" x14ac:dyDescent="0.25">
      <c r="A178" s="185">
        <v>9003430201</v>
      </c>
      <c r="B178" s="186">
        <v>1</v>
      </c>
      <c r="C178" s="186">
        <v>64134.59972256</v>
      </c>
      <c r="D178" s="186">
        <v>15521.53</v>
      </c>
    </row>
    <row r="179" spans="1:4" x14ac:dyDescent="0.25">
      <c r="A179" s="185">
        <v>9003430202</v>
      </c>
      <c r="B179" s="186">
        <v>1</v>
      </c>
      <c r="C179" s="186">
        <v>98483.855832000001</v>
      </c>
      <c r="D179" s="186">
        <v>11144.9805</v>
      </c>
    </row>
    <row r="180" spans="1:4" x14ac:dyDescent="0.25">
      <c r="A180" s="185">
        <v>9003430203</v>
      </c>
      <c r="B180" s="186">
        <v>1</v>
      </c>
      <c r="C180" s="186">
        <v>75692.323877759991</v>
      </c>
      <c r="D180" s="186">
        <v>10154.0301</v>
      </c>
    </row>
    <row r="181" spans="1:4" x14ac:dyDescent="0.25">
      <c r="A181" s="185">
        <v>9003430301</v>
      </c>
      <c r="B181" s="186">
        <v>2</v>
      </c>
      <c r="C181" s="186">
        <v>77370.42753216</v>
      </c>
      <c r="D181" s="186">
        <v>48051.903100000003</v>
      </c>
    </row>
    <row r="182" spans="1:4" x14ac:dyDescent="0.25">
      <c r="A182" s="185">
        <v>9003430302</v>
      </c>
      <c r="B182" s="186">
        <v>1</v>
      </c>
      <c r="C182" s="186">
        <v>52046.875036800004</v>
      </c>
      <c r="D182" s="186">
        <v>11547.05</v>
      </c>
    </row>
    <row r="183" spans="1:4" x14ac:dyDescent="0.25">
      <c r="A183" s="185">
        <v>9003430400</v>
      </c>
      <c r="B183" s="186">
        <v>1</v>
      </c>
      <c r="C183" s="186">
        <v>88148.191930559988</v>
      </c>
      <c r="D183" s="186">
        <v>81530.634699999995</v>
      </c>
    </row>
    <row r="184" spans="1:4" x14ac:dyDescent="0.25">
      <c r="A184" s="185">
        <v>9003430500</v>
      </c>
      <c r="B184" s="186">
        <v>1</v>
      </c>
      <c r="C184" s="186">
        <v>449466.82252992003</v>
      </c>
      <c r="D184" s="186">
        <v>751695.51569999999</v>
      </c>
    </row>
    <row r="185" spans="1:4" x14ac:dyDescent="0.25">
      <c r="A185" s="185">
        <v>9003430601</v>
      </c>
      <c r="B185" s="186">
        <v>2</v>
      </c>
      <c r="C185" s="186">
        <v>117837.92540736</v>
      </c>
      <c r="D185" s="186">
        <v>22448.91</v>
      </c>
    </row>
    <row r="186" spans="1:4" x14ac:dyDescent="0.25">
      <c r="A186" s="185">
        <v>9003430602</v>
      </c>
      <c r="B186" s="186">
        <v>1</v>
      </c>
      <c r="C186" s="186">
        <v>67101.176217600005</v>
      </c>
      <c r="D186" s="186">
        <v>15712.5005</v>
      </c>
    </row>
    <row r="187" spans="1:4" x14ac:dyDescent="0.25">
      <c r="A187" s="185">
        <v>9003460100</v>
      </c>
      <c r="B187" s="186">
        <v>3</v>
      </c>
      <c r="C187" s="186">
        <v>59187.913246080003</v>
      </c>
      <c r="D187" s="186">
        <v>5440.42</v>
      </c>
    </row>
    <row r="188" spans="1:4" x14ac:dyDescent="0.25">
      <c r="A188" s="185">
        <v>9003460202</v>
      </c>
      <c r="B188" s="186">
        <v>2</v>
      </c>
      <c r="C188" s="186">
        <v>93258.074519999995</v>
      </c>
      <c r="D188" s="186">
        <v>22420.239999999998</v>
      </c>
    </row>
    <row r="189" spans="1:4" x14ac:dyDescent="0.25">
      <c r="A189" s="185">
        <v>9003460203</v>
      </c>
      <c r="B189" s="186">
        <v>1</v>
      </c>
      <c r="C189" s="186">
        <v>101702.457576</v>
      </c>
      <c r="D189" s="186">
        <v>21242.799999999999</v>
      </c>
    </row>
    <row r="190" spans="1:4" x14ac:dyDescent="0.25">
      <c r="A190" s="185">
        <v>9003460204</v>
      </c>
      <c r="B190" s="186">
        <v>1</v>
      </c>
      <c r="C190" s="186">
        <v>197109.42727680001</v>
      </c>
      <c r="D190" s="186">
        <v>142165.11420000001</v>
      </c>
    </row>
    <row r="191" spans="1:4" x14ac:dyDescent="0.25">
      <c r="A191" s="185">
        <v>9003460301</v>
      </c>
      <c r="B191" s="186">
        <v>2</v>
      </c>
      <c r="C191" s="186">
        <v>86311.83348288</v>
      </c>
      <c r="D191" s="186">
        <v>15872.5816</v>
      </c>
    </row>
    <row r="192" spans="1:4" x14ac:dyDescent="0.25">
      <c r="A192" s="185">
        <v>9003460302</v>
      </c>
      <c r="B192" s="186">
        <v>3</v>
      </c>
      <c r="C192" s="186">
        <v>64767.115270080001</v>
      </c>
      <c r="D192" s="186">
        <v>11949.12</v>
      </c>
    </row>
    <row r="193" spans="1:4" x14ac:dyDescent="0.25">
      <c r="A193" s="185">
        <v>9003462101</v>
      </c>
      <c r="B193" s="186">
        <v>2</v>
      </c>
      <c r="C193" s="186">
        <v>276014.2358736</v>
      </c>
      <c r="D193" s="186">
        <v>221594.31520000001</v>
      </c>
    </row>
    <row r="194" spans="1:4" x14ac:dyDescent="0.25">
      <c r="A194" s="185">
        <v>9003462102</v>
      </c>
      <c r="B194" s="186">
        <v>1</v>
      </c>
      <c r="C194" s="186">
        <v>95029.398115199991</v>
      </c>
      <c r="D194" s="186">
        <v>14426.35</v>
      </c>
    </row>
    <row r="195" spans="1:4" x14ac:dyDescent="0.25">
      <c r="A195" s="185">
        <v>9003462201</v>
      </c>
      <c r="B195" s="186">
        <v>1</v>
      </c>
      <c r="C195" s="186">
        <v>111900.19984415999</v>
      </c>
      <c r="D195" s="186">
        <v>68021.914199999999</v>
      </c>
    </row>
    <row r="196" spans="1:4" x14ac:dyDescent="0.25">
      <c r="A196" s="185">
        <v>9003462202</v>
      </c>
      <c r="B196" s="186">
        <v>1</v>
      </c>
      <c r="C196" s="186">
        <v>83246.663882880006</v>
      </c>
      <c r="D196" s="186">
        <v>17796.78</v>
      </c>
    </row>
    <row r="197" spans="1:4" x14ac:dyDescent="0.25">
      <c r="A197" s="185">
        <v>9003464101</v>
      </c>
      <c r="B197" s="186">
        <v>2</v>
      </c>
      <c r="C197" s="186">
        <v>204535.17777312003</v>
      </c>
      <c r="D197" s="186">
        <v>381996.05530000001</v>
      </c>
    </row>
    <row r="198" spans="1:4" x14ac:dyDescent="0.25">
      <c r="A198" s="185">
        <v>9003464102</v>
      </c>
      <c r="B198" s="186">
        <v>1</v>
      </c>
      <c r="C198" s="186">
        <v>92435.087191679995</v>
      </c>
      <c r="D198" s="186">
        <v>43294.517699999997</v>
      </c>
    </row>
    <row r="199" spans="1:4" x14ac:dyDescent="0.25">
      <c r="A199" s="185">
        <v>9003466101</v>
      </c>
      <c r="B199" s="186">
        <v>1</v>
      </c>
      <c r="C199" s="186">
        <v>89359.129584000009</v>
      </c>
      <c r="D199" s="186">
        <v>9945.31</v>
      </c>
    </row>
    <row r="200" spans="1:4" x14ac:dyDescent="0.25">
      <c r="A200" s="185">
        <v>9003466102</v>
      </c>
      <c r="B200" s="186">
        <v>2</v>
      </c>
      <c r="C200" s="186">
        <v>260512.23005856</v>
      </c>
      <c r="D200" s="186">
        <v>314302.68479999999</v>
      </c>
    </row>
    <row r="201" spans="1:4" x14ac:dyDescent="0.25">
      <c r="A201" s="185">
        <v>9003466201</v>
      </c>
      <c r="B201" s="186">
        <v>1</v>
      </c>
      <c r="C201" s="186">
        <v>49398.020303040008</v>
      </c>
      <c r="D201" s="186">
        <v>14239.196</v>
      </c>
    </row>
    <row r="202" spans="1:4" x14ac:dyDescent="0.25">
      <c r="A202" s="185">
        <v>9003466202</v>
      </c>
      <c r="B202" s="186">
        <v>2</v>
      </c>
      <c r="C202" s="186">
        <v>99891.249148800009</v>
      </c>
      <c r="D202" s="186">
        <v>14061.6337</v>
      </c>
    </row>
    <row r="203" spans="1:4" x14ac:dyDescent="0.25">
      <c r="A203" s="185">
        <v>9003466300</v>
      </c>
      <c r="B203" s="186">
        <v>1</v>
      </c>
      <c r="C203" s="186">
        <v>101449.18831391999</v>
      </c>
      <c r="D203" s="186">
        <v>41323.4208</v>
      </c>
    </row>
    <row r="204" spans="1:4" x14ac:dyDescent="0.25">
      <c r="A204" s="185">
        <v>9003466400</v>
      </c>
      <c r="B204" s="186">
        <v>1</v>
      </c>
      <c r="C204" s="186">
        <v>58695.277104000008</v>
      </c>
      <c r="D204" s="186">
        <v>6847.7622000000001</v>
      </c>
    </row>
    <row r="205" spans="1:4" x14ac:dyDescent="0.25">
      <c r="A205" s="185">
        <v>9003468101</v>
      </c>
      <c r="B205" s="186">
        <v>2</v>
      </c>
      <c r="C205" s="186">
        <v>203074.46266175999</v>
      </c>
      <c r="D205" s="186">
        <v>112382.2395</v>
      </c>
    </row>
    <row r="206" spans="1:4" x14ac:dyDescent="0.25">
      <c r="A206" s="185">
        <v>9003468102</v>
      </c>
      <c r="B206" s="186">
        <v>1</v>
      </c>
      <c r="C206" s="186">
        <v>81276.893277120005</v>
      </c>
      <c r="D206" s="186">
        <v>23168.03</v>
      </c>
    </row>
    <row r="207" spans="1:4" x14ac:dyDescent="0.25">
      <c r="A207" s="185">
        <v>9003470100</v>
      </c>
      <c r="B207" s="186">
        <v>4</v>
      </c>
      <c r="C207" s="186">
        <v>176748.70680000001</v>
      </c>
      <c r="D207" s="186">
        <v>67359.439799999993</v>
      </c>
    </row>
    <row r="208" spans="1:4" x14ac:dyDescent="0.25">
      <c r="A208" s="185">
        <v>9003471100</v>
      </c>
      <c r="B208" s="186">
        <v>2</v>
      </c>
      <c r="C208" s="186">
        <v>47717.654964480003</v>
      </c>
      <c r="D208" s="186">
        <v>42775.131199999996</v>
      </c>
    </row>
    <row r="209" spans="1:4" x14ac:dyDescent="0.25">
      <c r="A209" s="185">
        <v>9003471200</v>
      </c>
      <c r="B209" s="186">
        <v>1</v>
      </c>
      <c r="C209" s="186">
        <v>39966.161745599995</v>
      </c>
      <c r="D209" s="186">
        <v>17709.740000000002</v>
      </c>
    </row>
    <row r="210" spans="1:4" x14ac:dyDescent="0.25">
      <c r="A210" s="185">
        <v>9003471300</v>
      </c>
      <c r="B210" s="186">
        <v>1</v>
      </c>
      <c r="C210" s="186">
        <v>96587.341911359996</v>
      </c>
      <c r="D210" s="186">
        <v>52661.58</v>
      </c>
    </row>
    <row r="211" spans="1:4" x14ac:dyDescent="0.25">
      <c r="A211" s="185">
        <v>9003471400</v>
      </c>
      <c r="B211" s="186">
        <v>3</v>
      </c>
      <c r="C211" s="186">
        <v>364294.21215168008</v>
      </c>
      <c r="D211" s="186">
        <v>478020.00659999996</v>
      </c>
    </row>
    <row r="212" spans="1:4" x14ac:dyDescent="0.25">
      <c r="A212" s="185">
        <v>9003471500</v>
      </c>
      <c r="B212" s="186">
        <v>1</v>
      </c>
      <c r="C212" s="186">
        <v>49318.771052159995</v>
      </c>
      <c r="D212" s="186">
        <v>38345.180200000003</v>
      </c>
    </row>
    <row r="213" spans="1:4" x14ac:dyDescent="0.25">
      <c r="A213" s="185">
        <v>9003473100</v>
      </c>
      <c r="B213" s="186">
        <v>2</v>
      </c>
      <c r="C213" s="186">
        <v>325620.21823775995</v>
      </c>
      <c r="D213" s="186">
        <v>312262.06060000003</v>
      </c>
    </row>
    <row r="214" spans="1:4" x14ac:dyDescent="0.25">
      <c r="A214" s="185">
        <v>9003473400</v>
      </c>
      <c r="B214" s="186">
        <v>1</v>
      </c>
      <c r="C214" s="186">
        <v>31967.588649600002</v>
      </c>
      <c r="D214" s="186">
        <v>52940.47</v>
      </c>
    </row>
    <row r="215" spans="1:4" x14ac:dyDescent="0.25">
      <c r="A215" s="185">
        <v>9003473501</v>
      </c>
      <c r="B215" s="186">
        <v>2</v>
      </c>
      <c r="C215" s="186">
        <v>82721.121886079985</v>
      </c>
      <c r="D215" s="186">
        <v>20406.150000000001</v>
      </c>
    </row>
    <row r="216" spans="1:4" x14ac:dyDescent="0.25">
      <c r="A216" s="185">
        <v>9003473502</v>
      </c>
      <c r="B216" s="186">
        <v>1</v>
      </c>
      <c r="C216" s="186">
        <v>54612.039352320004</v>
      </c>
      <c r="D216" s="186">
        <v>15242.11</v>
      </c>
    </row>
    <row r="217" spans="1:4" x14ac:dyDescent="0.25">
      <c r="A217" s="185">
        <v>9003473601</v>
      </c>
      <c r="B217" s="186">
        <v>1</v>
      </c>
      <c r="C217" s="186">
        <v>56273.828431679998</v>
      </c>
      <c r="D217" s="186">
        <v>30001.8174</v>
      </c>
    </row>
    <row r="218" spans="1:4" x14ac:dyDescent="0.25">
      <c r="A218" s="185">
        <v>9003473602</v>
      </c>
      <c r="B218" s="186">
        <v>1</v>
      </c>
      <c r="C218" s="186">
        <v>40136.663324160007</v>
      </c>
      <c r="D218" s="186">
        <v>7232.82</v>
      </c>
    </row>
    <row r="219" spans="1:4" x14ac:dyDescent="0.25">
      <c r="A219" s="185">
        <v>9003473700</v>
      </c>
      <c r="B219" s="186">
        <v>1</v>
      </c>
      <c r="C219" s="186">
        <v>82475.239132800009</v>
      </c>
      <c r="D219" s="186">
        <v>115028.0877</v>
      </c>
    </row>
    <row r="220" spans="1:4" x14ac:dyDescent="0.25">
      <c r="A220" s="185">
        <v>9003473800</v>
      </c>
      <c r="B220" s="186">
        <v>1</v>
      </c>
      <c r="C220" s="186">
        <v>25234.275885120005</v>
      </c>
      <c r="D220" s="186">
        <v>23928.34</v>
      </c>
    </row>
    <row r="221" spans="1:4" x14ac:dyDescent="0.25">
      <c r="A221" s="185">
        <v>9003476100</v>
      </c>
      <c r="B221" s="186">
        <v>1</v>
      </c>
      <c r="C221" s="186">
        <v>70373.131015680003</v>
      </c>
      <c r="D221" s="186">
        <v>22750.9817</v>
      </c>
    </row>
    <row r="222" spans="1:4" x14ac:dyDescent="0.25">
      <c r="A222" s="185">
        <v>9003476200</v>
      </c>
      <c r="B222" s="186">
        <v>1</v>
      </c>
      <c r="C222" s="186">
        <v>41918.246409600004</v>
      </c>
      <c r="D222" s="186">
        <v>14140.3282</v>
      </c>
    </row>
    <row r="223" spans="1:4" x14ac:dyDescent="0.25">
      <c r="A223" s="185">
        <v>9003476300</v>
      </c>
      <c r="B223" s="186">
        <v>1</v>
      </c>
      <c r="C223" s="186">
        <v>217921.13174303999</v>
      </c>
      <c r="D223" s="186">
        <v>395528.42539999995</v>
      </c>
    </row>
    <row r="224" spans="1:4" x14ac:dyDescent="0.25">
      <c r="A224" s="185">
        <v>9003477101</v>
      </c>
      <c r="B224" s="186">
        <v>2</v>
      </c>
      <c r="C224" s="186">
        <v>95081.027843520002</v>
      </c>
      <c r="D224" s="186">
        <v>24103.85</v>
      </c>
    </row>
    <row r="225" spans="1:4" x14ac:dyDescent="0.25">
      <c r="A225" s="185">
        <v>9003477102</v>
      </c>
      <c r="B225" s="186">
        <v>1</v>
      </c>
      <c r="C225" s="186">
        <v>655629.93763775995</v>
      </c>
      <c r="D225" s="186">
        <v>130820.77500000001</v>
      </c>
    </row>
    <row r="226" spans="1:4" x14ac:dyDescent="0.25">
      <c r="A226" s="185">
        <v>9003477200</v>
      </c>
      <c r="B226" s="186">
        <v>2</v>
      </c>
      <c r="C226" s="186">
        <v>65055.112701119993</v>
      </c>
      <c r="D226" s="186">
        <v>12768.789500000001</v>
      </c>
    </row>
    <row r="227" spans="1:4" x14ac:dyDescent="0.25">
      <c r="A227" s="185">
        <v>9003480300</v>
      </c>
      <c r="B227" s="186">
        <v>1</v>
      </c>
      <c r="C227" s="186">
        <v>34392.488025599996</v>
      </c>
      <c r="D227" s="186">
        <v>14221.0897</v>
      </c>
    </row>
    <row r="228" spans="1:4" x14ac:dyDescent="0.25">
      <c r="A228" s="185">
        <v>9003480400</v>
      </c>
      <c r="B228" s="186">
        <v>1</v>
      </c>
      <c r="C228" s="186">
        <v>58521.540743999998</v>
      </c>
      <c r="D228" s="186">
        <v>9810.43</v>
      </c>
    </row>
    <row r="229" spans="1:4" x14ac:dyDescent="0.25">
      <c r="A229" s="185">
        <v>9003480500</v>
      </c>
      <c r="B229" s="186">
        <v>1</v>
      </c>
      <c r="C229" s="186">
        <v>53208.866649600001</v>
      </c>
      <c r="D229" s="186">
        <v>14584.495500000001</v>
      </c>
    </row>
    <row r="230" spans="1:4" x14ac:dyDescent="0.25">
      <c r="A230" s="185">
        <v>9003480600</v>
      </c>
      <c r="B230" s="186">
        <v>1</v>
      </c>
      <c r="C230" s="186">
        <v>52973.169868800003</v>
      </c>
      <c r="D230" s="186">
        <v>43649.13</v>
      </c>
    </row>
    <row r="231" spans="1:4" x14ac:dyDescent="0.25">
      <c r="A231" s="185">
        <v>9003480700</v>
      </c>
      <c r="B231" s="186">
        <v>1</v>
      </c>
      <c r="C231" s="186">
        <v>28925.4816288</v>
      </c>
      <c r="D231" s="186">
        <v>16334.19</v>
      </c>
    </row>
    <row r="232" spans="1:4" x14ac:dyDescent="0.25">
      <c r="A232" s="185">
        <v>9003480800</v>
      </c>
      <c r="B232" s="186">
        <v>1</v>
      </c>
      <c r="C232" s="186">
        <v>400528.32643296011</v>
      </c>
      <c r="D232" s="186">
        <v>936957.13520000002</v>
      </c>
    </row>
    <row r="233" spans="1:4" x14ac:dyDescent="0.25">
      <c r="A233" s="185">
        <v>9003480900</v>
      </c>
      <c r="B233" s="186">
        <v>1</v>
      </c>
      <c r="C233" s="186">
        <v>35031.230585279998</v>
      </c>
      <c r="D233" s="186">
        <v>12948.832700000001</v>
      </c>
    </row>
    <row r="234" spans="1:4" x14ac:dyDescent="0.25">
      <c r="A234" s="185">
        <v>9003481000</v>
      </c>
      <c r="B234" s="186">
        <v>1</v>
      </c>
      <c r="C234" s="186">
        <v>63039.794659200001</v>
      </c>
      <c r="D234" s="186">
        <v>5864.6796999999997</v>
      </c>
    </row>
    <row r="235" spans="1:4" x14ac:dyDescent="0.25">
      <c r="A235" s="185">
        <v>9003481100</v>
      </c>
      <c r="B235" s="186">
        <v>1</v>
      </c>
      <c r="C235" s="186">
        <v>63124.477856640005</v>
      </c>
      <c r="D235" s="186">
        <v>8987.7000000000007</v>
      </c>
    </row>
    <row r="236" spans="1:4" x14ac:dyDescent="0.25">
      <c r="A236" s="185">
        <v>9003481200</v>
      </c>
      <c r="B236" s="186">
        <v>1</v>
      </c>
      <c r="C236" s="186">
        <v>64998.361042559998</v>
      </c>
      <c r="D236" s="186">
        <v>15440.29</v>
      </c>
    </row>
    <row r="237" spans="1:4" x14ac:dyDescent="0.25">
      <c r="A237" s="185">
        <v>9003481300</v>
      </c>
      <c r="B237" s="186">
        <v>1</v>
      </c>
      <c r="C237" s="186">
        <v>47713.246214400002</v>
      </c>
      <c r="D237" s="186">
        <v>5946.1067999999996</v>
      </c>
    </row>
    <row r="238" spans="1:4" x14ac:dyDescent="0.25">
      <c r="A238" s="185">
        <v>9003484100</v>
      </c>
      <c r="B238" s="186">
        <v>1</v>
      </c>
      <c r="C238" s="186">
        <v>173372.84362080001</v>
      </c>
      <c r="D238" s="186">
        <v>304630.3566</v>
      </c>
    </row>
    <row r="239" spans="1:4" x14ac:dyDescent="0.25">
      <c r="A239" s="185">
        <v>9003484200</v>
      </c>
      <c r="B239" s="186">
        <v>3</v>
      </c>
      <c r="C239" s="186">
        <v>96017.958437759997</v>
      </c>
      <c r="D239" s="186">
        <v>25148.027699999999</v>
      </c>
    </row>
    <row r="240" spans="1:4" x14ac:dyDescent="0.25">
      <c r="A240" s="185">
        <v>9003487100</v>
      </c>
      <c r="B240" s="186">
        <v>2</v>
      </c>
      <c r="C240" s="186">
        <v>121078.97264448</v>
      </c>
      <c r="D240" s="186">
        <v>23590.233199999999</v>
      </c>
    </row>
    <row r="241" spans="1:4" x14ac:dyDescent="0.25">
      <c r="A241" s="185">
        <v>9003487201</v>
      </c>
      <c r="B241" s="186">
        <v>2</v>
      </c>
      <c r="C241" s="186">
        <v>80597.659798079985</v>
      </c>
      <c r="D241" s="186">
        <v>21358.700199999999</v>
      </c>
    </row>
    <row r="242" spans="1:4" x14ac:dyDescent="0.25">
      <c r="A242" s="185">
        <v>9003487202</v>
      </c>
      <c r="B242" s="186">
        <v>2</v>
      </c>
      <c r="C242" s="186">
        <v>60634.959264000005</v>
      </c>
      <c r="D242" s="186">
        <v>12147.027999999998</v>
      </c>
    </row>
    <row r="243" spans="1:4" x14ac:dyDescent="0.25">
      <c r="A243" s="185">
        <v>9003487300</v>
      </c>
      <c r="B243" s="186">
        <v>1</v>
      </c>
      <c r="C243" s="186">
        <v>30797.602703999997</v>
      </c>
      <c r="D243" s="186">
        <v>14270.43</v>
      </c>
    </row>
    <row r="244" spans="1:4" x14ac:dyDescent="0.25">
      <c r="A244" s="185">
        <v>9003487400</v>
      </c>
      <c r="B244" s="186">
        <v>1</v>
      </c>
      <c r="C244" s="186">
        <v>34129.392854400001</v>
      </c>
      <c r="D244" s="186">
        <v>5484.4790000000003</v>
      </c>
    </row>
    <row r="245" spans="1:4" x14ac:dyDescent="0.25">
      <c r="A245" s="185">
        <v>9003487500</v>
      </c>
      <c r="B245" s="186">
        <v>2</v>
      </c>
      <c r="C245" s="186">
        <v>354546.59481504001</v>
      </c>
      <c r="D245" s="186">
        <v>314306.69949999999</v>
      </c>
    </row>
    <row r="246" spans="1:4" x14ac:dyDescent="0.25">
      <c r="A246" s="185">
        <v>9003490100</v>
      </c>
      <c r="B246" s="186">
        <v>1</v>
      </c>
      <c r="C246" s="186">
        <v>76843.239779519994</v>
      </c>
      <c r="D246" s="186">
        <v>22526.2637</v>
      </c>
    </row>
    <row r="247" spans="1:4" x14ac:dyDescent="0.25">
      <c r="A247" s="185">
        <v>9003490302</v>
      </c>
      <c r="B247" s="186">
        <v>2</v>
      </c>
      <c r="C247" s="186">
        <v>320384.99944511999</v>
      </c>
      <c r="D247" s="186">
        <v>161859.7885</v>
      </c>
    </row>
    <row r="248" spans="1:4" x14ac:dyDescent="0.25">
      <c r="A248" s="185">
        <v>9003492100</v>
      </c>
      <c r="B248" s="186">
        <v>1</v>
      </c>
      <c r="C248" s="186">
        <v>57899.365729919999</v>
      </c>
      <c r="D248" s="186">
        <v>7088.3504999999996</v>
      </c>
    </row>
    <row r="249" spans="1:4" x14ac:dyDescent="0.25">
      <c r="A249" s="185">
        <v>9003492200</v>
      </c>
      <c r="B249" s="186">
        <v>1</v>
      </c>
      <c r="C249" s="186">
        <v>60830.6149152</v>
      </c>
      <c r="D249" s="186">
        <v>12981.8608</v>
      </c>
    </row>
    <row r="250" spans="1:4" x14ac:dyDescent="0.25">
      <c r="A250" s="185">
        <v>9003492300</v>
      </c>
      <c r="B250" s="186">
        <v>1</v>
      </c>
      <c r="C250" s="186">
        <v>86123.850307199988</v>
      </c>
      <c r="D250" s="186">
        <v>9848.5290999999997</v>
      </c>
    </row>
    <row r="251" spans="1:4" x14ac:dyDescent="0.25">
      <c r="A251" s="185">
        <v>9003492400</v>
      </c>
      <c r="B251" s="186">
        <v>1</v>
      </c>
      <c r="C251" s="186">
        <v>49411.587513600003</v>
      </c>
      <c r="D251" s="186">
        <v>6725.7366000000002</v>
      </c>
    </row>
    <row r="252" spans="1:4" x14ac:dyDescent="0.25">
      <c r="A252" s="185">
        <v>9003492500</v>
      </c>
      <c r="B252" s="186">
        <v>1</v>
      </c>
      <c r="C252" s="186">
        <v>59729.9845824</v>
      </c>
      <c r="D252" s="186">
        <v>10869.7922</v>
      </c>
    </row>
    <row r="253" spans="1:4" x14ac:dyDescent="0.25">
      <c r="A253" s="185">
        <v>9003492600</v>
      </c>
      <c r="B253" s="186">
        <v>3</v>
      </c>
      <c r="C253" s="186">
        <v>289872.89283167996</v>
      </c>
      <c r="D253" s="186">
        <v>121493.1286</v>
      </c>
    </row>
    <row r="254" spans="1:4" x14ac:dyDescent="0.25">
      <c r="A254" s="185">
        <v>9003494100</v>
      </c>
      <c r="B254" s="186">
        <v>2</v>
      </c>
      <c r="C254" s="186">
        <v>340913.25126720004</v>
      </c>
      <c r="D254" s="186">
        <v>315843.81949999998</v>
      </c>
    </row>
    <row r="255" spans="1:4" x14ac:dyDescent="0.25">
      <c r="A255" s="185">
        <v>9003494201</v>
      </c>
      <c r="B255" s="186">
        <v>1</v>
      </c>
      <c r="C255" s="186">
        <v>75521.807827200013</v>
      </c>
      <c r="D255" s="186">
        <v>9254.0817000000006</v>
      </c>
    </row>
    <row r="256" spans="1:4" x14ac:dyDescent="0.25">
      <c r="A256" s="185">
        <v>9003494202</v>
      </c>
      <c r="B256" s="186">
        <v>1</v>
      </c>
      <c r="C256" s="186">
        <v>49848.942931199999</v>
      </c>
      <c r="D256" s="186">
        <v>7119.7650000000003</v>
      </c>
    </row>
    <row r="257" spans="1:4" x14ac:dyDescent="0.25">
      <c r="A257" s="185">
        <v>9003494300</v>
      </c>
      <c r="B257" s="186">
        <v>2</v>
      </c>
      <c r="C257" s="186">
        <v>64387.635695999998</v>
      </c>
      <c r="D257" s="186">
        <v>12201.13</v>
      </c>
    </row>
    <row r="258" spans="1:4" x14ac:dyDescent="0.25">
      <c r="A258" s="185">
        <v>9003494400</v>
      </c>
      <c r="B258" s="186">
        <v>1</v>
      </c>
      <c r="C258" s="186">
        <v>83430.791717760003</v>
      </c>
      <c r="D258" s="186">
        <v>52850.414900000003</v>
      </c>
    </row>
    <row r="259" spans="1:4" x14ac:dyDescent="0.25">
      <c r="A259" s="185">
        <v>9003494500</v>
      </c>
      <c r="B259" s="186">
        <v>1</v>
      </c>
      <c r="C259" s="186">
        <v>67984.732339200011</v>
      </c>
      <c r="D259" s="186">
        <v>18676.55</v>
      </c>
    </row>
    <row r="260" spans="1:4" x14ac:dyDescent="0.25">
      <c r="A260" s="185">
        <v>9003494600</v>
      </c>
      <c r="B260" s="186">
        <v>1</v>
      </c>
      <c r="C260" s="186">
        <v>56666.718339840008</v>
      </c>
      <c r="D260" s="186">
        <v>14589.277</v>
      </c>
    </row>
    <row r="261" spans="1:4" x14ac:dyDescent="0.25">
      <c r="A261" s="185">
        <v>9003496100</v>
      </c>
      <c r="B261" s="186">
        <v>1</v>
      </c>
      <c r="C261" s="186">
        <v>28610.9587584</v>
      </c>
      <c r="D261" s="186">
        <v>2101.48</v>
      </c>
    </row>
    <row r="262" spans="1:4" x14ac:dyDescent="0.25">
      <c r="A262" s="185">
        <v>9003496200</v>
      </c>
      <c r="B262" s="186">
        <v>5</v>
      </c>
      <c r="C262" s="186">
        <v>548709.76081151993</v>
      </c>
      <c r="D262" s="186">
        <v>9485.2767999999996</v>
      </c>
    </row>
    <row r="263" spans="1:4" x14ac:dyDescent="0.25">
      <c r="A263" s="185">
        <v>9003496300</v>
      </c>
      <c r="B263" s="186">
        <v>1</v>
      </c>
      <c r="C263" s="186">
        <v>55727.230832640002</v>
      </c>
      <c r="D263" s="186">
        <v>8621.5300000000007</v>
      </c>
    </row>
    <row r="264" spans="1:4" x14ac:dyDescent="0.25">
      <c r="A264" s="185">
        <v>9003496400</v>
      </c>
      <c r="B264" s="186">
        <v>1</v>
      </c>
      <c r="C264" s="186">
        <v>48185.508096000005</v>
      </c>
      <c r="D264" s="186">
        <v>6747.1818000000003</v>
      </c>
    </row>
    <row r="265" spans="1:4" x14ac:dyDescent="0.25">
      <c r="A265" s="185">
        <v>9003496500</v>
      </c>
      <c r="B265" s="186">
        <v>1</v>
      </c>
      <c r="C265" s="186">
        <v>43302.135461760001</v>
      </c>
      <c r="D265" s="186">
        <v>18052.32</v>
      </c>
    </row>
    <row r="266" spans="1:4" x14ac:dyDescent="0.25">
      <c r="A266" s="185">
        <v>9003496600</v>
      </c>
      <c r="B266" s="186">
        <v>1</v>
      </c>
      <c r="C266" s="186">
        <v>55092.762144000008</v>
      </c>
      <c r="D266" s="186">
        <v>28113.459900000002</v>
      </c>
    </row>
    <row r="267" spans="1:4" x14ac:dyDescent="0.25">
      <c r="A267" s="185">
        <v>9003496700</v>
      </c>
      <c r="B267" s="186">
        <v>2</v>
      </c>
      <c r="C267" s="186">
        <v>47027.570958720004</v>
      </c>
      <c r="D267" s="186">
        <v>6747.4892</v>
      </c>
    </row>
    <row r="268" spans="1:4" x14ac:dyDescent="0.25">
      <c r="A268" s="185">
        <v>9003496800</v>
      </c>
      <c r="B268" s="186">
        <v>2</v>
      </c>
      <c r="C268" s="186">
        <v>43443.673358399996</v>
      </c>
      <c r="D268" s="186">
        <v>4929.1130000000003</v>
      </c>
    </row>
    <row r="269" spans="1:4" x14ac:dyDescent="0.25">
      <c r="A269" s="185">
        <v>9003496900</v>
      </c>
      <c r="B269" s="186">
        <v>3</v>
      </c>
      <c r="C269" s="186">
        <v>77211.887929920005</v>
      </c>
      <c r="D269" s="186">
        <v>8861.1478999999999</v>
      </c>
    </row>
    <row r="270" spans="1:4" x14ac:dyDescent="0.25">
      <c r="A270" s="185">
        <v>9003497000</v>
      </c>
      <c r="B270" s="186">
        <v>1</v>
      </c>
      <c r="C270" s="186">
        <v>74511.301584960005</v>
      </c>
      <c r="D270" s="186">
        <v>10418.5515</v>
      </c>
    </row>
    <row r="271" spans="1:4" x14ac:dyDescent="0.25">
      <c r="A271" s="185">
        <v>9003497100</v>
      </c>
      <c r="B271" s="186">
        <v>2</v>
      </c>
      <c r="C271" s="186">
        <v>49089.903897600001</v>
      </c>
      <c r="D271" s="186">
        <v>4881.03</v>
      </c>
    </row>
    <row r="272" spans="1:4" x14ac:dyDescent="0.25">
      <c r="A272" s="185">
        <v>9003497200</v>
      </c>
      <c r="B272" s="186">
        <v>1</v>
      </c>
      <c r="C272" s="186">
        <v>32413.523068800001</v>
      </c>
      <c r="D272" s="186">
        <v>16865.05</v>
      </c>
    </row>
    <row r="273" spans="1:4" x14ac:dyDescent="0.25">
      <c r="A273" s="185">
        <v>9003497300</v>
      </c>
      <c r="B273" s="186">
        <v>1</v>
      </c>
      <c r="C273" s="186">
        <v>80343.415123200015</v>
      </c>
      <c r="D273" s="186">
        <v>18040.036100000001</v>
      </c>
    </row>
    <row r="274" spans="1:4" x14ac:dyDescent="0.25">
      <c r="A274" s="185">
        <v>9003497400</v>
      </c>
      <c r="B274" s="186">
        <v>1</v>
      </c>
      <c r="C274" s="186">
        <v>76001.059105919994</v>
      </c>
      <c r="D274" s="186">
        <v>13016.7014</v>
      </c>
    </row>
    <row r="275" spans="1:4" x14ac:dyDescent="0.25">
      <c r="A275" s="185">
        <v>9003497500</v>
      </c>
      <c r="B275" s="186">
        <v>1</v>
      </c>
      <c r="C275" s="186">
        <v>74873.673518400014</v>
      </c>
      <c r="D275" s="186">
        <v>52438</v>
      </c>
    </row>
    <row r="276" spans="1:4" x14ac:dyDescent="0.25">
      <c r="A276" s="185">
        <v>9003497600</v>
      </c>
      <c r="B276" s="186">
        <v>1</v>
      </c>
      <c r="C276" s="186">
        <v>35446.190293439999</v>
      </c>
      <c r="D276" s="186">
        <v>2038.99</v>
      </c>
    </row>
    <row r="277" spans="1:4" x14ac:dyDescent="0.25">
      <c r="A277" s="185">
        <v>9003497700</v>
      </c>
      <c r="B277" s="186">
        <v>1</v>
      </c>
      <c r="C277" s="186">
        <v>253494.14654016</v>
      </c>
      <c r="D277" s="186">
        <v>457020.29220000003</v>
      </c>
    </row>
    <row r="278" spans="1:4" x14ac:dyDescent="0.25">
      <c r="A278" s="185">
        <v>9003500100</v>
      </c>
      <c r="B278" s="186">
        <v>1</v>
      </c>
      <c r="C278" s="186">
        <v>27599.33412</v>
      </c>
      <c r="D278" s="186">
        <v>2246.44</v>
      </c>
    </row>
    <row r="279" spans="1:4" x14ac:dyDescent="0.25">
      <c r="A279" s="185">
        <v>9003500200</v>
      </c>
      <c r="B279" s="186">
        <v>1</v>
      </c>
      <c r="C279" s="186">
        <v>18357.163539839996</v>
      </c>
      <c r="D279" s="186">
        <v>1257.69</v>
      </c>
    </row>
    <row r="280" spans="1:4" x14ac:dyDescent="0.25">
      <c r="A280" s="185">
        <v>9003500300</v>
      </c>
      <c r="B280" s="186">
        <v>1</v>
      </c>
      <c r="C280" s="186">
        <v>19192.581737280001</v>
      </c>
      <c r="D280" s="186">
        <v>15607.35</v>
      </c>
    </row>
    <row r="281" spans="1:4" x14ac:dyDescent="0.25">
      <c r="A281" s="185">
        <v>9003500400</v>
      </c>
      <c r="B281" s="186">
        <v>1</v>
      </c>
      <c r="C281" s="186">
        <v>20330.00047296</v>
      </c>
      <c r="D281" s="186">
        <v>601.65</v>
      </c>
    </row>
    <row r="282" spans="1:4" x14ac:dyDescent="0.25">
      <c r="A282" s="185">
        <v>9003500500</v>
      </c>
      <c r="B282" s="186">
        <v>1</v>
      </c>
      <c r="C282" s="186">
        <v>16445.239833600001</v>
      </c>
      <c r="D282" s="186">
        <v>148437.2053</v>
      </c>
    </row>
    <row r="283" spans="1:4" x14ac:dyDescent="0.25">
      <c r="A283" s="185">
        <v>9003500900</v>
      </c>
      <c r="B283" s="186">
        <v>1</v>
      </c>
      <c r="C283" s="186">
        <v>20985.07844736</v>
      </c>
      <c r="D283" s="186">
        <v>8680.39</v>
      </c>
    </row>
    <row r="284" spans="1:4" x14ac:dyDescent="0.25">
      <c r="A284" s="185">
        <v>9003501200</v>
      </c>
      <c r="B284" s="186">
        <v>1</v>
      </c>
      <c r="C284" s="186">
        <v>23903.896184639998</v>
      </c>
      <c r="D284" s="186">
        <v>1628.75</v>
      </c>
    </row>
    <row r="285" spans="1:4" x14ac:dyDescent="0.25">
      <c r="A285" s="185">
        <v>9003501300</v>
      </c>
      <c r="B285" s="186">
        <v>1</v>
      </c>
      <c r="C285" s="186">
        <v>14078.583889920001</v>
      </c>
      <c r="D285" s="186">
        <v>2029.63</v>
      </c>
    </row>
    <row r="286" spans="1:4" x14ac:dyDescent="0.25">
      <c r="A286" s="185">
        <v>9003501400</v>
      </c>
      <c r="B286" s="186">
        <v>1</v>
      </c>
      <c r="C286" s="186">
        <v>25922.267818560002</v>
      </c>
      <c r="D286" s="186">
        <v>53046.98</v>
      </c>
    </row>
    <row r="287" spans="1:4" x14ac:dyDescent="0.25">
      <c r="A287" s="185">
        <v>9003501500</v>
      </c>
      <c r="B287" s="186">
        <v>1</v>
      </c>
      <c r="C287" s="186">
        <v>34494.509257919999</v>
      </c>
      <c r="D287" s="186">
        <v>10977.39</v>
      </c>
    </row>
    <row r="288" spans="1:4" x14ac:dyDescent="0.25">
      <c r="A288" s="185">
        <v>9003501700</v>
      </c>
      <c r="B288" s="186">
        <v>1</v>
      </c>
      <c r="C288" s="186">
        <v>10912.4263584</v>
      </c>
      <c r="D288" s="186">
        <v>1164.8900000000001</v>
      </c>
    </row>
    <row r="289" spans="1:4" x14ac:dyDescent="0.25">
      <c r="A289" s="185">
        <v>9003501800</v>
      </c>
      <c r="B289" s="186">
        <v>1</v>
      </c>
      <c r="C289" s="186">
        <v>19569.573285120001</v>
      </c>
      <c r="D289" s="186">
        <v>1213.1500000000001</v>
      </c>
    </row>
    <row r="290" spans="1:4" x14ac:dyDescent="0.25">
      <c r="A290" s="185">
        <v>9003502100</v>
      </c>
      <c r="B290" s="186">
        <v>1</v>
      </c>
      <c r="C290" s="186">
        <v>27091.375603200002</v>
      </c>
      <c r="D290" s="186">
        <v>2298.11</v>
      </c>
    </row>
    <row r="291" spans="1:4" x14ac:dyDescent="0.25">
      <c r="A291" s="185">
        <v>9003502300</v>
      </c>
      <c r="B291" s="186">
        <v>1</v>
      </c>
      <c r="C291" s="186">
        <v>61237.230647040007</v>
      </c>
      <c r="D291" s="186">
        <v>31422.542399999998</v>
      </c>
    </row>
    <row r="292" spans="1:4" x14ac:dyDescent="0.25">
      <c r="A292" s="185">
        <v>9003502400</v>
      </c>
      <c r="B292" s="186">
        <v>1</v>
      </c>
      <c r="C292" s="186">
        <v>1035759.4729718401</v>
      </c>
      <c r="D292" s="186">
        <v>1565113.7553999999</v>
      </c>
    </row>
    <row r="293" spans="1:4" x14ac:dyDescent="0.25">
      <c r="A293" s="185">
        <v>9003502500</v>
      </c>
      <c r="B293" s="186">
        <v>1</v>
      </c>
      <c r="C293" s="186">
        <v>19614.414487680002</v>
      </c>
      <c r="D293" s="186">
        <v>18113.2</v>
      </c>
    </row>
    <row r="294" spans="1:4" x14ac:dyDescent="0.25">
      <c r="A294" s="185">
        <v>9003502600</v>
      </c>
      <c r="B294" s="186">
        <v>1</v>
      </c>
      <c r="C294" s="186">
        <v>36489.036245759999</v>
      </c>
      <c r="D294" s="186">
        <v>8703.0400000000009</v>
      </c>
    </row>
    <row r="295" spans="1:4" x14ac:dyDescent="0.25">
      <c r="A295" s="185">
        <v>9003502700</v>
      </c>
      <c r="B295" s="186">
        <v>1</v>
      </c>
      <c r="C295" s="186">
        <v>32741.750923200001</v>
      </c>
      <c r="D295" s="186">
        <v>2431</v>
      </c>
    </row>
    <row r="296" spans="1:4" x14ac:dyDescent="0.25">
      <c r="A296" s="185">
        <v>9003502800</v>
      </c>
      <c r="B296" s="186">
        <v>1</v>
      </c>
      <c r="C296" s="186">
        <v>34597.11747456</v>
      </c>
      <c r="D296" s="186">
        <v>3386.56</v>
      </c>
    </row>
    <row r="297" spans="1:4" x14ac:dyDescent="0.25">
      <c r="A297" s="185">
        <v>9003502900</v>
      </c>
      <c r="B297" s="186">
        <v>1</v>
      </c>
      <c r="C297" s="186">
        <v>21805.829562239996</v>
      </c>
      <c r="D297" s="186">
        <v>534.38</v>
      </c>
    </row>
    <row r="298" spans="1:4" x14ac:dyDescent="0.25">
      <c r="A298" s="185">
        <v>9003503000</v>
      </c>
      <c r="B298" s="186">
        <v>1</v>
      </c>
      <c r="C298" s="186">
        <v>27613.769650560003</v>
      </c>
      <c r="D298" s="186">
        <v>677.72</v>
      </c>
    </row>
    <row r="299" spans="1:4" x14ac:dyDescent="0.25">
      <c r="A299" s="185">
        <v>9003503100</v>
      </c>
      <c r="B299" s="186">
        <v>1</v>
      </c>
      <c r="C299" s="186">
        <v>37160.74254816</v>
      </c>
      <c r="D299" s="186">
        <v>78848.03</v>
      </c>
    </row>
    <row r="300" spans="1:4" x14ac:dyDescent="0.25">
      <c r="A300" s="185">
        <v>9003503300</v>
      </c>
      <c r="B300" s="186">
        <v>1</v>
      </c>
      <c r="C300" s="186">
        <v>24785.822180160001</v>
      </c>
      <c r="D300" s="186">
        <v>61180.35</v>
      </c>
    </row>
    <row r="301" spans="1:4" x14ac:dyDescent="0.25">
      <c r="A301" s="185">
        <v>9003503500</v>
      </c>
      <c r="B301" s="186">
        <v>1</v>
      </c>
      <c r="C301" s="186">
        <v>14693.71104</v>
      </c>
      <c r="D301" s="186">
        <v>2186.64</v>
      </c>
    </row>
    <row r="302" spans="1:4" x14ac:dyDescent="0.25">
      <c r="A302" s="185">
        <v>9003503700</v>
      </c>
      <c r="B302" s="186">
        <v>1</v>
      </c>
      <c r="C302" s="186">
        <v>32750.498957759999</v>
      </c>
      <c r="D302" s="186">
        <v>26309.74</v>
      </c>
    </row>
    <row r="303" spans="1:4" x14ac:dyDescent="0.25">
      <c r="A303" s="185">
        <v>9003503800</v>
      </c>
      <c r="B303" s="186">
        <v>1</v>
      </c>
      <c r="C303" s="186">
        <v>5708.3524675200006</v>
      </c>
      <c r="D303" s="186">
        <v>98479.72</v>
      </c>
    </row>
    <row r="304" spans="1:4" x14ac:dyDescent="0.25">
      <c r="A304" s="185">
        <v>9003503900</v>
      </c>
      <c r="B304" s="186">
        <v>2</v>
      </c>
      <c r="C304" s="186">
        <v>55908.026634240006</v>
      </c>
      <c r="D304" s="186">
        <v>43874.208400000003</v>
      </c>
    </row>
    <row r="305" spans="1:4" x14ac:dyDescent="0.25">
      <c r="A305" s="185">
        <v>9003504000</v>
      </c>
      <c r="B305" s="186">
        <v>1</v>
      </c>
      <c r="C305" s="186">
        <v>32737.94073504</v>
      </c>
      <c r="D305" s="186">
        <v>14980.31</v>
      </c>
    </row>
    <row r="306" spans="1:4" x14ac:dyDescent="0.25">
      <c r="A306" s="185">
        <v>9003504100</v>
      </c>
      <c r="B306" s="186">
        <v>1</v>
      </c>
      <c r="C306" s="186">
        <v>16383.093013440001</v>
      </c>
      <c r="D306" s="186">
        <v>14080.65</v>
      </c>
    </row>
    <row r="307" spans="1:4" x14ac:dyDescent="0.25">
      <c r="A307" s="185">
        <v>9003504200</v>
      </c>
      <c r="B307" s="186">
        <v>1</v>
      </c>
      <c r="C307" s="186">
        <v>54014.641560000004</v>
      </c>
      <c r="D307" s="186">
        <v>3657.96</v>
      </c>
    </row>
    <row r="308" spans="1:4" x14ac:dyDescent="0.25">
      <c r="A308" s="185">
        <v>9003504300</v>
      </c>
      <c r="B308" s="186">
        <v>1</v>
      </c>
      <c r="C308" s="186">
        <v>23985.625936320001</v>
      </c>
      <c r="D308" s="186">
        <v>18422.213</v>
      </c>
    </row>
    <row r="309" spans="1:4" x14ac:dyDescent="0.25">
      <c r="A309" s="185">
        <v>9003504500</v>
      </c>
      <c r="B309" s="186">
        <v>1</v>
      </c>
      <c r="C309" s="186">
        <v>37871.045095680005</v>
      </c>
      <c r="D309" s="186">
        <v>81361.004799999995</v>
      </c>
    </row>
    <row r="310" spans="1:4" x14ac:dyDescent="0.25">
      <c r="A310" s="185">
        <v>9003504800</v>
      </c>
      <c r="B310" s="186">
        <v>1</v>
      </c>
      <c r="C310" s="186">
        <v>58254.756370559997</v>
      </c>
      <c r="D310" s="186">
        <v>18063.281900000002</v>
      </c>
    </row>
    <row r="311" spans="1:4" x14ac:dyDescent="0.25">
      <c r="A311" s="185">
        <v>9003504900</v>
      </c>
      <c r="B311" s="186">
        <v>1</v>
      </c>
      <c r="C311" s="186">
        <v>42553.5758928</v>
      </c>
      <c r="D311" s="186">
        <v>30501.02</v>
      </c>
    </row>
    <row r="312" spans="1:4" x14ac:dyDescent="0.25">
      <c r="A312" s="185">
        <v>9003510100</v>
      </c>
      <c r="B312" s="186">
        <v>1</v>
      </c>
      <c r="C312" s="186">
        <v>28572.322570560002</v>
      </c>
      <c r="D312" s="186">
        <v>22163.206699999999</v>
      </c>
    </row>
    <row r="313" spans="1:4" x14ac:dyDescent="0.25">
      <c r="A313" s="185">
        <v>9003510200</v>
      </c>
      <c r="B313" s="186">
        <v>1</v>
      </c>
      <c r="C313" s="186">
        <v>23940.745948800002</v>
      </c>
      <c r="D313" s="186">
        <v>2074.27</v>
      </c>
    </row>
    <row r="314" spans="1:4" x14ac:dyDescent="0.25">
      <c r="A314" s="185">
        <v>9003510300</v>
      </c>
      <c r="B314" s="186">
        <v>1</v>
      </c>
      <c r="C314" s="186">
        <v>45262.2046176</v>
      </c>
      <c r="D314" s="186">
        <v>42202.34</v>
      </c>
    </row>
    <row r="315" spans="1:4" x14ac:dyDescent="0.25">
      <c r="A315" s="185">
        <v>9003510400</v>
      </c>
      <c r="B315" s="186">
        <v>1</v>
      </c>
      <c r="C315" s="186">
        <v>57149.46894816</v>
      </c>
      <c r="D315" s="186">
        <v>9259.56</v>
      </c>
    </row>
    <row r="316" spans="1:4" x14ac:dyDescent="0.25">
      <c r="A316" s="185">
        <v>9003510500</v>
      </c>
      <c r="B316" s="186">
        <v>1</v>
      </c>
      <c r="C316" s="186">
        <v>47422.277971200005</v>
      </c>
      <c r="D316" s="186">
        <v>3607.91</v>
      </c>
    </row>
    <row r="317" spans="1:4" x14ac:dyDescent="0.25">
      <c r="A317" s="185">
        <v>9003510600</v>
      </c>
      <c r="B317" s="186">
        <v>1</v>
      </c>
      <c r="C317" s="186">
        <v>59338.273852800005</v>
      </c>
      <c r="D317" s="186">
        <v>16098.58</v>
      </c>
    </row>
    <row r="318" spans="1:4" x14ac:dyDescent="0.25">
      <c r="A318" s="185">
        <v>9003510700</v>
      </c>
      <c r="B318" s="186">
        <v>2</v>
      </c>
      <c r="C318" s="186">
        <v>682380.13236767997</v>
      </c>
      <c r="D318" s="186">
        <v>698719.04249999998</v>
      </c>
    </row>
    <row r="319" spans="1:4" x14ac:dyDescent="0.25">
      <c r="A319" s="185">
        <v>9003510800</v>
      </c>
      <c r="B319" s="186">
        <v>1</v>
      </c>
      <c r="C319" s="186">
        <v>40521.756297600004</v>
      </c>
      <c r="D319" s="186">
        <v>5767.2932000000001</v>
      </c>
    </row>
    <row r="320" spans="1:4" x14ac:dyDescent="0.25">
      <c r="A320" s="185">
        <v>9003510900</v>
      </c>
      <c r="B320" s="186">
        <v>1</v>
      </c>
      <c r="C320" s="186">
        <v>56760.885907200005</v>
      </c>
      <c r="D320" s="186">
        <v>28094.3</v>
      </c>
    </row>
    <row r="321" spans="1:4" x14ac:dyDescent="0.25">
      <c r="A321" s="185">
        <v>9003511000</v>
      </c>
      <c r="B321" s="186">
        <v>1</v>
      </c>
      <c r="C321" s="186">
        <v>52835.4427392</v>
      </c>
      <c r="D321" s="186">
        <v>18406.3269</v>
      </c>
    </row>
    <row r="322" spans="1:4" x14ac:dyDescent="0.25">
      <c r="A322" s="185">
        <v>9003511100</v>
      </c>
      <c r="B322" s="186">
        <v>1</v>
      </c>
      <c r="C322" s="186">
        <v>56665.462170240004</v>
      </c>
      <c r="D322" s="186">
        <v>32384.834299999999</v>
      </c>
    </row>
    <row r="323" spans="1:4" x14ac:dyDescent="0.25">
      <c r="A323" s="185">
        <v>9003511200</v>
      </c>
      <c r="B323" s="186">
        <v>1</v>
      </c>
      <c r="C323" s="186">
        <v>37711.687535999998</v>
      </c>
      <c r="D323" s="186">
        <v>16579.5</v>
      </c>
    </row>
    <row r="324" spans="1:4" x14ac:dyDescent="0.25">
      <c r="A324" s="185">
        <v>9003511300</v>
      </c>
      <c r="B324" s="186">
        <v>1</v>
      </c>
      <c r="C324" s="186">
        <v>38897.82654912</v>
      </c>
      <c r="D324" s="186">
        <v>21005.37</v>
      </c>
    </row>
    <row r="325" spans="1:4" x14ac:dyDescent="0.25">
      <c r="A325" s="185">
        <v>9003511400</v>
      </c>
      <c r="B325" s="186">
        <v>1</v>
      </c>
      <c r="C325" s="186">
        <v>33981.297984000004</v>
      </c>
      <c r="D325" s="186">
        <v>15077.28</v>
      </c>
    </row>
    <row r="326" spans="1:4" x14ac:dyDescent="0.25">
      <c r="A326" s="185">
        <v>9003514101</v>
      </c>
      <c r="B326" s="186">
        <v>2</v>
      </c>
      <c r="C326" s="186">
        <v>54129.158496000004</v>
      </c>
      <c r="D326" s="186">
        <v>17130.2068</v>
      </c>
    </row>
    <row r="327" spans="1:4" x14ac:dyDescent="0.25">
      <c r="A327" s="185">
        <v>9003514102</v>
      </c>
      <c r="B327" s="186">
        <v>3</v>
      </c>
      <c r="C327" s="186">
        <v>633962.40366528009</v>
      </c>
      <c r="D327" s="186">
        <v>943389.83539999998</v>
      </c>
    </row>
    <row r="328" spans="1:4" x14ac:dyDescent="0.25">
      <c r="A328" s="185">
        <v>9003514200</v>
      </c>
      <c r="B328" s="186">
        <v>1</v>
      </c>
      <c r="C328" s="186">
        <v>43657.98804864</v>
      </c>
      <c r="D328" s="186">
        <v>17546.2</v>
      </c>
    </row>
    <row r="329" spans="1:4" x14ac:dyDescent="0.25">
      <c r="A329" s="185">
        <v>9003514300</v>
      </c>
      <c r="B329" s="186">
        <v>1</v>
      </c>
      <c r="C329" s="186">
        <v>59959.54349856</v>
      </c>
      <c r="D329" s="186">
        <v>23289.680899999999</v>
      </c>
    </row>
    <row r="330" spans="1:4" x14ac:dyDescent="0.25">
      <c r="A330" s="185">
        <v>9003514400</v>
      </c>
      <c r="B330" s="186">
        <v>1</v>
      </c>
      <c r="C330" s="186">
        <v>56814.210017279998</v>
      </c>
      <c r="D330" s="186">
        <v>19789.490000000002</v>
      </c>
    </row>
    <row r="331" spans="1:4" x14ac:dyDescent="0.25">
      <c r="A331" s="185">
        <v>9003514500</v>
      </c>
      <c r="B331" s="186">
        <v>1</v>
      </c>
      <c r="C331" s="186">
        <v>54927.830548799997</v>
      </c>
      <c r="D331" s="186">
        <v>25536.752199999999</v>
      </c>
    </row>
    <row r="332" spans="1:4" x14ac:dyDescent="0.25">
      <c r="A332" s="185">
        <v>9003514600</v>
      </c>
      <c r="B332" s="186">
        <v>1</v>
      </c>
      <c r="C332" s="186">
        <v>65624.928019200001</v>
      </c>
      <c r="D332" s="186">
        <v>48251.67</v>
      </c>
    </row>
    <row r="333" spans="1:4" x14ac:dyDescent="0.25">
      <c r="A333" s="185">
        <v>9003514700</v>
      </c>
      <c r="B333" s="186">
        <v>1</v>
      </c>
      <c r="C333" s="186">
        <v>61058.657744640004</v>
      </c>
      <c r="D333" s="186">
        <v>8211.23</v>
      </c>
    </row>
    <row r="334" spans="1:4" x14ac:dyDescent="0.25">
      <c r="A334" s="185">
        <v>9003514800</v>
      </c>
      <c r="B334" s="186">
        <v>1</v>
      </c>
      <c r="C334" s="186">
        <v>42600.301349760004</v>
      </c>
      <c r="D334" s="186">
        <v>8567.1447000000007</v>
      </c>
    </row>
    <row r="335" spans="1:4" x14ac:dyDescent="0.25">
      <c r="A335" s="185">
        <v>9003514900</v>
      </c>
      <c r="B335" s="186">
        <v>2</v>
      </c>
      <c r="C335" s="186">
        <v>46564.87738464</v>
      </c>
      <c r="D335" s="186">
        <v>37234.143300000003</v>
      </c>
    </row>
    <row r="336" spans="1:4" x14ac:dyDescent="0.25">
      <c r="A336" s="185">
        <v>9003515000</v>
      </c>
      <c r="B336" s="186">
        <v>1</v>
      </c>
      <c r="C336" s="186">
        <v>54351.689230079995</v>
      </c>
      <c r="D336" s="186">
        <v>14280.3079</v>
      </c>
    </row>
    <row r="337" spans="1:4" x14ac:dyDescent="0.25">
      <c r="A337" s="185">
        <v>9003515101</v>
      </c>
      <c r="B337" s="186">
        <v>1</v>
      </c>
      <c r="C337" s="186">
        <v>38263.875379200006</v>
      </c>
      <c r="D337" s="186">
        <v>5126.2425000000003</v>
      </c>
    </row>
    <row r="338" spans="1:4" x14ac:dyDescent="0.25">
      <c r="A338" s="185">
        <v>9003515102</v>
      </c>
      <c r="B338" s="186">
        <v>1</v>
      </c>
      <c r="C338" s="186">
        <v>77689.852358400007</v>
      </c>
      <c r="D338" s="186">
        <v>17970.6512</v>
      </c>
    </row>
    <row r="339" spans="1:4" x14ac:dyDescent="0.25">
      <c r="A339" s="185">
        <v>9003515200</v>
      </c>
      <c r="B339" s="186">
        <v>1</v>
      </c>
      <c r="C339" s="186">
        <v>65201.310581760001</v>
      </c>
      <c r="D339" s="186">
        <v>11137.36</v>
      </c>
    </row>
    <row r="340" spans="1:4" x14ac:dyDescent="0.25">
      <c r="A340" s="185">
        <v>9003520100</v>
      </c>
      <c r="B340" s="186">
        <v>2</v>
      </c>
      <c r="C340" s="186">
        <v>99184.049398080024</v>
      </c>
      <c r="D340" s="186">
        <v>7809.0663999999997</v>
      </c>
    </row>
    <row r="341" spans="1:4" x14ac:dyDescent="0.25">
      <c r="A341" s="185">
        <v>9003520201</v>
      </c>
      <c r="B341" s="186">
        <v>2</v>
      </c>
      <c r="C341" s="186">
        <v>82677.546115199992</v>
      </c>
      <c r="D341" s="186">
        <v>23410.549800000001</v>
      </c>
    </row>
    <row r="342" spans="1:4" x14ac:dyDescent="0.25">
      <c r="A342" s="185">
        <v>9003520202</v>
      </c>
      <c r="B342" s="186">
        <v>1</v>
      </c>
      <c r="C342" s="186">
        <v>92569.522809600006</v>
      </c>
      <c r="D342" s="186">
        <v>20573.626</v>
      </c>
    </row>
    <row r="343" spans="1:4" x14ac:dyDescent="0.25">
      <c r="A343" s="185">
        <v>9003520301</v>
      </c>
      <c r="B343" s="186">
        <v>1</v>
      </c>
      <c r="C343" s="186">
        <v>90725.333852160009</v>
      </c>
      <c r="D343" s="186">
        <v>19678.828099999999</v>
      </c>
    </row>
    <row r="344" spans="1:4" x14ac:dyDescent="0.25">
      <c r="A344" s="185">
        <v>9003520302</v>
      </c>
      <c r="B344" s="186">
        <v>1</v>
      </c>
      <c r="C344" s="186">
        <v>57957.166319040007</v>
      </c>
      <c r="D344" s="186">
        <v>28100.66</v>
      </c>
    </row>
    <row r="345" spans="1:4" x14ac:dyDescent="0.25">
      <c r="A345" s="185">
        <v>9003520400</v>
      </c>
      <c r="B345" s="186">
        <v>1</v>
      </c>
      <c r="C345" s="186">
        <v>409220.56738080003</v>
      </c>
      <c r="D345" s="186">
        <v>412347.66379999998</v>
      </c>
    </row>
    <row r="346" spans="1:4" x14ac:dyDescent="0.25">
      <c r="A346" s="185">
        <v>9003520501</v>
      </c>
      <c r="B346" s="186">
        <v>1</v>
      </c>
      <c r="C346" s="186">
        <v>94824.764035200002</v>
      </c>
      <c r="D346" s="186">
        <v>16202.107099999999</v>
      </c>
    </row>
    <row r="347" spans="1:4" x14ac:dyDescent="0.25">
      <c r="A347" s="185">
        <v>9003524100</v>
      </c>
      <c r="B347" s="186">
        <v>1</v>
      </c>
      <c r="C347" s="186">
        <v>159114.29809535999</v>
      </c>
      <c r="D347" s="186">
        <v>48667.315399999999</v>
      </c>
    </row>
    <row r="348" spans="1:4" x14ac:dyDescent="0.25">
      <c r="A348" s="185">
        <v>9003524200</v>
      </c>
      <c r="B348" s="186">
        <v>1</v>
      </c>
      <c r="C348" s="186">
        <v>97311.370861440024</v>
      </c>
      <c r="D348" s="186">
        <v>24959.3027</v>
      </c>
    </row>
    <row r="349" spans="1:4" x14ac:dyDescent="0.25">
      <c r="A349" s="185">
        <v>9003524300</v>
      </c>
      <c r="B349" s="186">
        <v>1</v>
      </c>
      <c r="C349" s="186">
        <v>77128.346283840016</v>
      </c>
      <c r="D349" s="186">
        <v>31690.293099999999</v>
      </c>
    </row>
    <row r="350" spans="1:4" x14ac:dyDescent="0.25">
      <c r="A350" s="185">
        <v>9003524400</v>
      </c>
      <c r="B350" s="186">
        <v>2</v>
      </c>
      <c r="C350" s="186">
        <v>36722.718524160002</v>
      </c>
      <c r="D350" s="186">
        <v>28619.973300000001</v>
      </c>
    </row>
    <row r="351" spans="1:4" x14ac:dyDescent="0.25">
      <c r="A351" s="185">
        <v>9003524501</v>
      </c>
      <c r="B351" s="186">
        <v>1</v>
      </c>
      <c r="C351" s="186">
        <v>26853.682265279996</v>
      </c>
      <c r="D351" s="186">
        <v>1003.633</v>
      </c>
    </row>
    <row r="352" spans="1:4" x14ac:dyDescent="0.25">
      <c r="A352" s="185">
        <v>9003524502</v>
      </c>
      <c r="B352" s="186">
        <v>1</v>
      </c>
      <c r="C352" s="186">
        <v>38598.850080000004</v>
      </c>
      <c r="D352" s="186">
        <v>2487.0500000000002</v>
      </c>
    </row>
    <row r="353" spans="1:4" x14ac:dyDescent="0.25">
      <c r="A353" s="185">
        <v>9003524600</v>
      </c>
      <c r="B353" s="186">
        <v>1</v>
      </c>
      <c r="C353" s="186">
        <v>29057.523577920001</v>
      </c>
      <c r="D353" s="186">
        <v>2328.62</v>
      </c>
    </row>
    <row r="354" spans="1:4" x14ac:dyDescent="0.25">
      <c r="A354" s="185">
        <v>9003524700</v>
      </c>
      <c r="B354" s="186">
        <v>1</v>
      </c>
      <c r="C354" s="186">
        <v>39743.093231999999</v>
      </c>
      <c r="D354" s="186">
        <v>14436.07</v>
      </c>
    </row>
    <row r="355" spans="1:4" x14ac:dyDescent="0.25">
      <c r="A355" s="185">
        <v>9005250100</v>
      </c>
      <c r="B355" s="186">
        <v>1</v>
      </c>
      <c r="C355" s="186">
        <v>69851.627285760012</v>
      </c>
      <c r="D355" s="186">
        <v>14188.062400000001</v>
      </c>
    </row>
    <row r="356" spans="1:4" x14ac:dyDescent="0.25">
      <c r="A356" s="185">
        <v>9005253100</v>
      </c>
      <c r="B356" s="186">
        <v>1</v>
      </c>
      <c r="C356" s="186">
        <v>96741.50344416</v>
      </c>
      <c r="D356" s="186">
        <v>48216.78</v>
      </c>
    </row>
    <row r="357" spans="1:4" x14ac:dyDescent="0.25">
      <c r="A357" s="185">
        <v>9005253200</v>
      </c>
      <c r="B357" s="186">
        <v>1</v>
      </c>
      <c r="C357" s="186">
        <v>373255.31217888003</v>
      </c>
      <c r="D357" s="186">
        <v>435948.83130000002</v>
      </c>
    </row>
    <row r="358" spans="1:4" x14ac:dyDescent="0.25">
      <c r="A358" s="185">
        <v>9005253300</v>
      </c>
      <c r="B358" s="186">
        <v>1</v>
      </c>
      <c r="C358" s="186">
        <v>51696.375353280004</v>
      </c>
      <c r="D358" s="186">
        <v>13320.82</v>
      </c>
    </row>
    <row r="359" spans="1:4" x14ac:dyDescent="0.25">
      <c r="A359" s="185">
        <v>9005253400</v>
      </c>
      <c r="B359" s="186">
        <v>3</v>
      </c>
      <c r="C359" s="186">
        <v>156860.80103520001</v>
      </c>
      <c r="D359" s="186">
        <v>20699.23</v>
      </c>
    </row>
    <row r="360" spans="1:4" x14ac:dyDescent="0.25">
      <c r="A360" s="185">
        <v>9005253500</v>
      </c>
      <c r="B360" s="186">
        <v>3</v>
      </c>
      <c r="C360" s="186">
        <v>147859.15335839998</v>
      </c>
      <c r="D360" s="186">
        <v>29305.079600000001</v>
      </c>
    </row>
    <row r="361" spans="1:4" x14ac:dyDescent="0.25">
      <c r="A361" s="185">
        <v>9005253600</v>
      </c>
      <c r="B361" s="186">
        <v>1</v>
      </c>
      <c r="C361" s="186">
        <v>49566.037328640006</v>
      </c>
      <c r="D361" s="186">
        <v>7377.73</v>
      </c>
    </row>
    <row r="362" spans="1:4" x14ac:dyDescent="0.25">
      <c r="A362" s="185">
        <v>9005260200</v>
      </c>
      <c r="B362" s="186">
        <v>2</v>
      </c>
      <c r="C362" s="186">
        <v>101229.06108960001</v>
      </c>
      <c r="D362" s="186">
        <v>35293.021999999997</v>
      </c>
    </row>
    <row r="363" spans="1:4" x14ac:dyDescent="0.25">
      <c r="A363" s="185">
        <v>9005261100</v>
      </c>
      <c r="B363" s="186">
        <v>2</v>
      </c>
      <c r="C363" s="186">
        <v>174027.25356768002</v>
      </c>
      <c r="D363" s="186">
        <v>274061.99890000001</v>
      </c>
    </row>
    <row r="364" spans="1:4" x14ac:dyDescent="0.25">
      <c r="A364" s="185">
        <v>9005262100</v>
      </c>
      <c r="B364" s="186">
        <v>3</v>
      </c>
      <c r="C364" s="186">
        <v>114343.00918847999</v>
      </c>
      <c r="D364" s="186">
        <v>25605.557799999999</v>
      </c>
    </row>
    <row r="365" spans="1:4" x14ac:dyDescent="0.25">
      <c r="A365" s="185">
        <v>9005263200</v>
      </c>
      <c r="B365" s="186">
        <v>3</v>
      </c>
      <c r="C365" s="186">
        <v>59584.37079167999</v>
      </c>
      <c r="D365" s="186">
        <v>15124.35</v>
      </c>
    </row>
    <row r="366" spans="1:4" x14ac:dyDescent="0.25">
      <c r="A366" s="185">
        <v>9005265100</v>
      </c>
      <c r="B366" s="186">
        <v>4</v>
      </c>
      <c r="C366" s="186">
        <v>44685.600194879989</v>
      </c>
      <c r="D366" s="186">
        <v>41436.902900000001</v>
      </c>
    </row>
    <row r="367" spans="1:4" x14ac:dyDescent="0.25">
      <c r="A367" s="185">
        <v>9005266100</v>
      </c>
      <c r="B367" s="186">
        <v>5</v>
      </c>
      <c r="C367" s="186">
        <v>154361.72744928001</v>
      </c>
      <c r="D367" s="186">
        <v>30652.258000000002</v>
      </c>
    </row>
    <row r="368" spans="1:4" x14ac:dyDescent="0.25">
      <c r="A368" s="185">
        <v>9005267100</v>
      </c>
      <c r="B368" s="186">
        <v>3</v>
      </c>
      <c r="C368" s="186">
        <v>183790.78200000001</v>
      </c>
      <c r="D368" s="186">
        <v>49884.353299999995</v>
      </c>
    </row>
    <row r="369" spans="1:4" x14ac:dyDescent="0.25">
      <c r="A369" s="185">
        <v>9005268100</v>
      </c>
      <c r="B369" s="186">
        <v>3</v>
      </c>
      <c r="C369" s="186">
        <v>96396.450442560003</v>
      </c>
      <c r="D369" s="186">
        <v>17705.96</v>
      </c>
    </row>
    <row r="370" spans="1:4" x14ac:dyDescent="0.25">
      <c r="A370" s="185">
        <v>9005290100</v>
      </c>
      <c r="B370" s="186">
        <v>3</v>
      </c>
      <c r="C370" s="186">
        <v>83617.004099520011</v>
      </c>
      <c r="D370" s="186">
        <v>51220.400099999999</v>
      </c>
    </row>
    <row r="371" spans="1:4" x14ac:dyDescent="0.25">
      <c r="A371" s="185">
        <v>9005293100</v>
      </c>
      <c r="B371" s="186">
        <v>2</v>
      </c>
      <c r="C371" s="186">
        <v>46255.179479039994</v>
      </c>
      <c r="D371" s="186">
        <v>32795.43</v>
      </c>
    </row>
    <row r="372" spans="1:4" x14ac:dyDescent="0.25">
      <c r="A372" s="185">
        <v>9005296100</v>
      </c>
      <c r="B372" s="186">
        <v>3</v>
      </c>
      <c r="C372" s="186">
        <v>101048.01810624001</v>
      </c>
      <c r="D372" s="186">
        <v>47056.84</v>
      </c>
    </row>
    <row r="373" spans="1:4" x14ac:dyDescent="0.25">
      <c r="A373" s="185">
        <v>9005298300</v>
      </c>
      <c r="B373" s="186">
        <v>1</v>
      </c>
      <c r="C373" s="186">
        <v>56629.998823680005</v>
      </c>
      <c r="D373" s="186">
        <v>11448.81</v>
      </c>
    </row>
    <row r="374" spans="1:4" x14ac:dyDescent="0.25">
      <c r="A374" s="185">
        <v>9005298400</v>
      </c>
      <c r="B374" s="186">
        <v>1</v>
      </c>
      <c r="C374" s="186">
        <v>84260.560625280006</v>
      </c>
      <c r="D374" s="186">
        <v>57299.408799999997</v>
      </c>
    </row>
    <row r="375" spans="1:4" x14ac:dyDescent="0.25">
      <c r="A375" s="185">
        <v>9005300100</v>
      </c>
      <c r="B375" s="186">
        <v>2</v>
      </c>
      <c r="C375" s="186">
        <v>70081.276507200004</v>
      </c>
      <c r="D375" s="186">
        <v>74664.482900000003</v>
      </c>
    </row>
    <row r="376" spans="1:4" x14ac:dyDescent="0.25">
      <c r="A376" s="185">
        <v>9005300400</v>
      </c>
      <c r="B376" s="186">
        <v>2</v>
      </c>
      <c r="C376" s="186">
        <v>46744.496323200001</v>
      </c>
      <c r="D376" s="186">
        <v>11260.856400000001</v>
      </c>
    </row>
    <row r="377" spans="1:4" x14ac:dyDescent="0.25">
      <c r="A377" s="185">
        <v>9005300500</v>
      </c>
      <c r="B377" s="186">
        <v>2</v>
      </c>
      <c r="C377" s="186">
        <v>187165.26223488001</v>
      </c>
      <c r="D377" s="186">
        <v>100941.6158</v>
      </c>
    </row>
    <row r="378" spans="1:4" x14ac:dyDescent="0.25">
      <c r="A378" s="185">
        <v>9005303100</v>
      </c>
      <c r="B378" s="186">
        <v>3</v>
      </c>
      <c r="C378" s="186">
        <v>70847.830560960007</v>
      </c>
      <c r="D378" s="186">
        <v>32958.909800000001</v>
      </c>
    </row>
    <row r="379" spans="1:4" x14ac:dyDescent="0.25">
      <c r="A379" s="185">
        <v>9005306100</v>
      </c>
      <c r="B379" s="186">
        <v>3</v>
      </c>
      <c r="C379" s="186">
        <v>174173.42481984</v>
      </c>
      <c r="D379" s="186">
        <v>201562.2647</v>
      </c>
    </row>
    <row r="380" spans="1:4" x14ac:dyDescent="0.25">
      <c r="A380" s="185">
        <v>9005310100</v>
      </c>
      <c r="B380" s="186">
        <v>1</v>
      </c>
      <c r="C380" s="186">
        <v>76307.070124799997</v>
      </c>
      <c r="D380" s="186">
        <v>20088.7081</v>
      </c>
    </row>
    <row r="381" spans="1:4" x14ac:dyDescent="0.25">
      <c r="A381" s="185">
        <v>9005310200</v>
      </c>
      <c r="B381" s="186">
        <v>1</v>
      </c>
      <c r="C381" s="186">
        <v>34487.976597120003</v>
      </c>
      <c r="D381" s="186">
        <v>23654.6</v>
      </c>
    </row>
    <row r="382" spans="1:4" x14ac:dyDescent="0.25">
      <c r="A382" s="185">
        <v>9005310300</v>
      </c>
      <c r="B382" s="186">
        <v>1</v>
      </c>
      <c r="C382" s="186">
        <v>26950.979836799997</v>
      </c>
      <c r="D382" s="186">
        <v>18765.400000000001</v>
      </c>
    </row>
    <row r="383" spans="1:4" x14ac:dyDescent="0.25">
      <c r="A383" s="185">
        <v>9005310400</v>
      </c>
      <c r="B383" s="186">
        <v>2</v>
      </c>
      <c r="C383" s="186">
        <v>48731.079340799995</v>
      </c>
      <c r="D383" s="186">
        <v>17822.708299999998</v>
      </c>
    </row>
    <row r="384" spans="1:4" x14ac:dyDescent="0.25">
      <c r="A384" s="185">
        <v>9005310500</v>
      </c>
      <c r="B384" s="186">
        <v>1</v>
      </c>
      <c r="C384" s="186">
        <v>34178.324423040001</v>
      </c>
      <c r="D384" s="186">
        <v>28920.17</v>
      </c>
    </row>
    <row r="385" spans="1:4" x14ac:dyDescent="0.25">
      <c r="A385" s="185">
        <v>9005310601</v>
      </c>
      <c r="B385" s="186">
        <v>1</v>
      </c>
      <c r="C385" s="186">
        <v>62090.761420800001</v>
      </c>
      <c r="D385" s="186">
        <v>13849.6288</v>
      </c>
    </row>
    <row r="386" spans="1:4" x14ac:dyDescent="0.25">
      <c r="A386" s="185">
        <v>9005310602</v>
      </c>
      <c r="B386" s="186">
        <v>1</v>
      </c>
      <c r="C386" s="186">
        <v>72546.218170559994</v>
      </c>
      <c r="D386" s="186">
        <v>39940.89</v>
      </c>
    </row>
    <row r="387" spans="1:4" x14ac:dyDescent="0.25">
      <c r="A387" s="185">
        <v>9005310700</v>
      </c>
      <c r="B387" s="186">
        <v>2</v>
      </c>
      <c r="C387" s="186">
        <v>373539.13183296</v>
      </c>
      <c r="D387" s="186">
        <v>358572.60279999999</v>
      </c>
    </row>
    <row r="388" spans="1:4" x14ac:dyDescent="0.25">
      <c r="A388" s="185">
        <v>9005310801</v>
      </c>
      <c r="B388" s="186">
        <v>1</v>
      </c>
      <c r="C388" s="186">
        <v>36919.849161600003</v>
      </c>
      <c r="D388" s="186">
        <v>3462.34</v>
      </c>
    </row>
    <row r="389" spans="1:4" x14ac:dyDescent="0.25">
      <c r="A389" s="185">
        <v>9005310803</v>
      </c>
      <c r="B389" s="186">
        <v>1</v>
      </c>
      <c r="C389" s="186">
        <v>72946.220777279988</v>
      </c>
      <c r="D389" s="186">
        <v>28410.995900000002</v>
      </c>
    </row>
    <row r="390" spans="1:4" x14ac:dyDescent="0.25">
      <c r="A390" s="185">
        <v>9005310804</v>
      </c>
      <c r="B390" s="186">
        <v>1</v>
      </c>
      <c r="C390" s="186">
        <v>41928.608361600003</v>
      </c>
      <c r="D390" s="186">
        <v>3042.1</v>
      </c>
    </row>
    <row r="391" spans="1:4" x14ac:dyDescent="0.25">
      <c r="A391" s="185">
        <v>9005320100</v>
      </c>
      <c r="B391" s="186">
        <v>3</v>
      </c>
      <c r="C391" s="186">
        <v>181087.47318240005</v>
      </c>
      <c r="D391" s="186">
        <v>114368.24100000001</v>
      </c>
    </row>
    <row r="392" spans="1:4" x14ac:dyDescent="0.25">
      <c r="A392" s="185">
        <v>9005320200</v>
      </c>
      <c r="B392" s="186">
        <v>2</v>
      </c>
      <c r="C392" s="186">
        <v>83576.637060479989</v>
      </c>
      <c r="D392" s="186">
        <v>13461.21</v>
      </c>
    </row>
    <row r="393" spans="1:4" x14ac:dyDescent="0.25">
      <c r="A393" s="185">
        <v>9005342100</v>
      </c>
      <c r="B393" s="186">
        <v>3</v>
      </c>
      <c r="C393" s="186">
        <v>102440.29628736</v>
      </c>
      <c r="D393" s="186">
        <v>35443.029300000002</v>
      </c>
    </row>
    <row r="394" spans="1:4" x14ac:dyDescent="0.25">
      <c r="A394" s="185">
        <v>9005349100</v>
      </c>
      <c r="B394" s="186">
        <v>3</v>
      </c>
      <c r="C394" s="186">
        <v>173315.28268800001</v>
      </c>
      <c r="D394" s="186">
        <v>101751.56359999999</v>
      </c>
    </row>
    <row r="395" spans="1:4" x14ac:dyDescent="0.25">
      <c r="A395" s="185">
        <v>9005349200</v>
      </c>
      <c r="B395" s="186">
        <v>3</v>
      </c>
      <c r="C395" s="186">
        <v>51677.738890560002</v>
      </c>
      <c r="D395" s="186">
        <v>34946.99</v>
      </c>
    </row>
    <row r="396" spans="1:4" x14ac:dyDescent="0.25">
      <c r="A396" s="185">
        <v>9005360100</v>
      </c>
      <c r="B396" s="186">
        <v>1</v>
      </c>
      <c r="C396" s="186">
        <v>105586.70416991999</v>
      </c>
      <c r="D396" s="186">
        <v>30575.06</v>
      </c>
    </row>
    <row r="397" spans="1:4" x14ac:dyDescent="0.25">
      <c r="A397" s="185">
        <v>9005360200</v>
      </c>
      <c r="B397" s="186">
        <v>2</v>
      </c>
      <c r="C397" s="186">
        <v>331341.70607135992</v>
      </c>
      <c r="D397" s="186">
        <v>190649.19930000001</v>
      </c>
    </row>
    <row r="398" spans="1:4" x14ac:dyDescent="0.25">
      <c r="A398" s="185">
        <v>9005360300</v>
      </c>
      <c r="B398" s="186">
        <v>1</v>
      </c>
      <c r="C398" s="186">
        <v>58545.817234560003</v>
      </c>
      <c r="D398" s="186">
        <v>61008.1924</v>
      </c>
    </row>
    <row r="399" spans="1:4" x14ac:dyDescent="0.25">
      <c r="A399" s="185">
        <v>9005360400</v>
      </c>
      <c r="B399" s="186">
        <v>1</v>
      </c>
      <c r="C399" s="186">
        <v>107974.49965344</v>
      </c>
      <c r="D399" s="186">
        <v>39579.555399999997</v>
      </c>
    </row>
    <row r="400" spans="1:4" x14ac:dyDescent="0.25">
      <c r="A400" s="185">
        <v>9005362101</v>
      </c>
      <c r="B400" s="186">
        <v>1</v>
      </c>
      <c r="C400" s="186">
        <v>121304.12917823999</v>
      </c>
      <c r="D400" s="186">
        <v>26145.79</v>
      </c>
    </row>
    <row r="401" spans="1:4" x14ac:dyDescent="0.25">
      <c r="A401" s="185">
        <v>9005362102</v>
      </c>
      <c r="B401" s="186">
        <v>4</v>
      </c>
      <c r="C401" s="186">
        <v>202170.30709535998</v>
      </c>
      <c r="D401" s="186">
        <v>151431.49799999999</v>
      </c>
    </row>
    <row r="402" spans="1:4" x14ac:dyDescent="0.25">
      <c r="A402" s="185">
        <v>9005425300</v>
      </c>
      <c r="B402" s="186">
        <v>3</v>
      </c>
      <c r="C402" s="186">
        <v>75857.165746559986</v>
      </c>
      <c r="D402" s="186">
        <v>12089.58</v>
      </c>
    </row>
    <row r="403" spans="1:4" x14ac:dyDescent="0.25">
      <c r="A403" s="185">
        <v>9005425400</v>
      </c>
      <c r="B403" s="186">
        <v>2</v>
      </c>
      <c r="C403" s="186">
        <v>173270.22035327999</v>
      </c>
      <c r="D403" s="186">
        <v>239097.30319999999</v>
      </c>
    </row>
    <row r="404" spans="1:4" x14ac:dyDescent="0.25">
      <c r="A404" s="185">
        <v>9005425500</v>
      </c>
      <c r="B404" s="186">
        <v>1</v>
      </c>
      <c r="C404" s="186">
        <v>59404.700332799999</v>
      </c>
      <c r="D404" s="186">
        <v>14947.95</v>
      </c>
    </row>
    <row r="405" spans="1:4" x14ac:dyDescent="0.25">
      <c r="A405" s="185">
        <v>9005425600</v>
      </c>
      <c r="B405" s="186">
        <v>2</v>
      </c>
      <c r="C405" s="186">
        <v>100529.26000416001</v>
      </c>
      <c r="D405" s="186">
        <v>40501.622000000003</v>
      </c>
    </row>
    <row r="406" spans="1:4" x14ac:dyDescent="0.25">
      <c r="A406" s="185">
        <v>9007541100</v>
      </c>
      <c r="B406" s="186">
        <v>1</v>
      </c>
      <c r="C406" s="186">
        <v>32800.354997759998</v>
      </c>
      <c r="D406" s="186">
        <v>3801.79</v>
      </c>
    </row>
    <row r="407" spans="1:4" x14ac:dyDescent="0.25">
      <c r="A407" s="185">
        <v>9007541200</v>
      </c>
      <c r="B407" s="186">
        <v>1</v>
      </c>
      <c r="C407" s="186">
        <v>93768.011069760003</v>
      </c>
      <c r="D407" s="186">
        <v>34895.177799999998</v>
      </c>
    </row>
    <row r="408" spans="1:4" x14ac:dyDescent="0.25">
      <c r="A408" s="185">
        <v>9007541300</v>
      </c>
      <c r="B408" s="186">
        <v>1</v>
      </c>
      <c r="C408" s="186">
        <v>500137.82079263998</v>
      </c>
      <c r="D408" s="186">
        <v>452025.68660000002</v>
      </c>
    </row>
    <row r="409" spans="1:4" x14ac:dyDescent="0.25">
      <c r="A409" s="185">
        <v>9007541401</v>
      </c>
      <c r="B409" s="186">
        <v>1</v>
      </c>
      <c r="C409" s="186">
        <v>69125.694399359985</v>
      </c>
      <c r="D409" s="186">
        <v>17537.349699999999</v>
      </c>
    </row>
    <row r="410" spans="1:4" x14ac:dyDescent="0.25">
      <c r="A410" s="185">
        <v>9007541402</v>
      </c>
      <c r="B410" s="186">
        <v>1</v>
      </c>
      <c r="C410" s="186">
        <v>112928.96280384</v>
      </c>
      <c r="D410" s="186">
        <v>285103.42810000002</v>
      </c>
    </row>
    <row r="411" spans="1:4" x14ac:dyDescent="0.25">
      <c r="A411" s="185">
        <v>9007541500</v>
      </c>
      <c r="B411" s="186">
        <v>1</v>
      </c>
      <c r="C411" s="186">
        <v>21092.82943392</v>
      </c>
      <c r="D411" s="186">
        <v>7092.3125</v>
      </c>
    </row>
    <row r="412" spans="1:4" x14ac:dyDescent="0.25">
      <c r="A412" s="185">
        <v>9007541600</v>
      </c>
      <c r="B412" s="186">
        <v>1</v>
      </c>
      <c r="C412" s="186">
        <v>15013.82183904</v>
      </c>
      <c r="D412" s="186">
        <v>37706.81</v>
      </c>
    </row>
    <row r="413" spans="1:4" x14ac:dyDescent="0.25">
      <c r="A413" s="185">
        <v>9007541700</v>
      </c>
      <c r="B413" s="186">
        <v>1</v>
      </c>
      <c r="C413" s="186">
        <v>36521.771909760006</v>
      </c>
      <c r="D413" s="186">
        <v>4608.43</v>
      </c>
    </row>
    <row r="414" spans="1:4" x14ac:dyDescent="0.25">
      <c r="A414" s="185">
        <v>9007542000</v>
      </c>
      <c r="B414" s="186">
        <v>1</v>
      </c>
      <c r="C414" s="186">
        <v>71103.73662144001</v>
      </c>
      <c r="D414" s="186">
        <v>22533.360000000001</v>
      </c>
    </row>
    <row r="415" spans="1:4" x14ac:dyDescent="0.25">
      <c r="A415" s="185">
        <v>9007542100</v>
      </c>
      <c r="B415" s="186">
        <v>1</v>
      </c>
      <c r="C415" s="186">
        <v>59097.286108800006</v>
      </c>
      <c r="D415" s="186">
        <v>30046.16</v>
      </c>
    </row>
    <row r="416" spans="1:4" x14ac:dyDescent="0.25">
      <c r="A416" s="185">
        <v>9007542200</v>
      </c>
      <c r="B416" s="186">
        <v>1</v>
      </c>
      <c r="C416" s="186">
        <v>46529.618961600005</v>
      </c>
      <c r="D416" s="186">
        <v>11053.972100000001</v>
      </c>
    </row>
    <row r="417" spans="1:4" x14ac:dyDescent="0.25">
      <c r="A417" s="185">
        <v>9007550100</v>
      </c>
      <c r="B417" s="186">
        <v>1</v>
      </c>
      <c r="C417" s="186">
        <v>173298.61325952</v>
      </c>
      <c r="D417" s="186">
        <v>123940.35619999999</v>
      </c>
    </row>
    <row r="418" spans="1:4" x14ac:dyDescent="0.25">
      <c r="A418" s="185">
        <v>9007550201</v>
      </c>
      <c r="B418" s="186">
        <v>2</v>
      </c>
      <c r="C418" s="186">
        <v>77402.888807040013</v>
      </c>
      <c r="D418" s="186">
        <v>15684.3472</v>
      </c>
    </row>
    <row r="419" spans="1:4" x14ac:dyDescent="0.25">
      <c r="A419" s="185">
        <v>9007550202</v>
      </c>
      <c r="B419" s="186">
        <v>1</v>
      </c>
      <c r="C419" s="186">
        <v>72378.179726400005</v>
      </c>
      <c r="D419" s="186">
        <v>17842.5468</v>
      </c>
    </row>
    <row r="420" spans="1:4" x14ac:dyDescent="0.25">
      <c r="A420" s="185">
        <v>9007560100</v>
      </c>
      <c r="B420" s="186">
        <v>2</v>
      </c>
      <c r="C420" s="186">
        <v>193137.33159071999</v>
      </c>
      <c r="D420" s="186">
        <v>93783.939599999998</v>
      </c>
    </row>
    <row r="421" spans="1:4" x14ac:dyDescent="0.25">
      <c r="A421" s="185">
        <v>9007560200</v>
      </c>
      <c r="B421" s="186">
        <v>1</v>
      </c>
      <c r="C421" s="186">
        <v>60508.24069536</v>
      </c>
      <c r="D421" s="186">
        <v>31057.98</v>
      </c>
    </row>
    <row r="422" spans="1:4" x14ac:dyDescent="0.25">
      <c r="A422" s="185">
        <v>9007570100</v>
      </c>
      <c r="B422" s="186">
        <v>1</v>
      </c>
      <c r="C422" s="186">
        <v>105823.17838656</v>
      </c>
      <c r="D422" s="186">
        <v>12420.4566</v>
      </c>
    </row>
    <row r="423" spans="1:4" x14ac:dyDescent="0.25">
      <c r="A423" s="185">
        <v>9007570200</v>
      </c>
      <c r="B423" s="186">
        <v>1</v>
      </c>
      <c r="C423" s="186">
        <v>60556.671532799999</v>
      </c>
      <c r="D423" s="186">
        <v>14839.490299999999</v>
      </c>
    </row>
    <row r="424" spans="1:4" x14ac:dyDescent="0.25">
      <c r="A424" s="185">
        <v>9007570300</v>
      </c>
      <c r="B424" s="186">
        <v>1</v>
      </c>
      <c r="C424" s="186">
        <v>258744.63329279999</v>
      </c>
      <c r="D424" s="186">
        <v>300876.64160000003</v>
      </c>
    </row>
    <row r="425" spans="1:4" x14ac:dyDescent="0.25">
      <c r="A425" s="185">
        <v>9007580100</v>
      </c>
      <c r="B425" s="186">
        <v>2</v>
      </c>
      <c r="C425" s="186">
        <v>125281.13145120002</v>
      </c>
      <c r="D425" s="186">
        <v>131187.26260000002</v>
      </c>
    </row>
    <row r="426" spans="1:4" x14ac:dyDescent="0.25">
      <c r="A426" s="185">
        <v>9007585100</v>
      </c>
      <c r="B426" s="186">
        <v>2</v>
      </c>
      <c r="C426" s="186">
        <v>186528.99091391999</v>
      </c>
      <c r="D426" s="186">
        <v>75403.70670000001</v>
      </c>
    </row>
    <row r="427" spans="1:4" x14ac:dyDescent="0.25">
      <c r="A427" s="185">
        <v>9007590100</v>
      </c>
      <c r="B427" s="186">
        <v>4</v>
      </c>
      <c r="C427" s="186">
        <v>220117.59754560003</v>
      </c>
      <c r="D427" s="186">
        <v>74875.723700000002</v>
      </c>
    </row>
    <row r="428" spans="1:4" x14ac:dyDescent="0.25">
      <c r="A428" s="185">
        <v>9007595101</v>
      </c>
      <c r="B428" s="186">
        <v>3</v>
      </c>
      <c r="C428" s="186">
        <v>65463.31514304001</v>
      </c>
      <c r="D428" s="186">
        <v>4781.78</v>
      </c>
    </row>
    <row r="429" spans="1:4" x14ac:dyDescent="0.25">
      <c r="A429" s="185">
        <v>9007595102</v>
      </c>
      <c r="B429" s="186">
        <v>1</v>
      </c>
      <c r="C429" s="186">
        <v>164063.69662464</v>
      </c>
      <c r="D429" s="186">
        <v>63836.366699999999</v>
      </c>
    </row>
    <row r="430" spans="1:4" x14ac:dyDescent="0.25">
      <c r="A430" s="185">
        <v>9007600100</v>
      </c>
      <c r="B430" s="186">
        <v>1</v>
      </c>
      <c r="C430" s="186">
        <v>118950.99702912</v>
      </c>
      <c r="D430" s="186">
        <v>36099.027499999997</v>
      </c>
    </row>
    <row r="431" spans="1:4" x14ac:dyDescent="0.25">
      <c r="A431" s="185">
        <v>9007610100</v>
      </c>
      <c r="B431" s="186">
        <v>1</v>
      </c>
      <c r="C431" s="186">
        <v>49833.557458559997</v>
      </c>
      <c r="D431" s="186">
        <v>5070.47</v>
      </c>
    </row>
    <row r="432" spans="1:4" x14ac:dyDescent="0.25">
      <c r="A432" s="185">
        <v>9007610200</v>
      </c>
      <c r="B432" s="186">
        <v>1</v>
      </c>
      <c r="C432" s="186">
        <v>82281.225185279996</v>
      </c>
      <c r="D432" s="186">
        <v>16245.14</v>
      </c>
    </row>
    <row r="433" spans="1:4" x14ac:dyDescent="0.25">
      <c r="A433" s="185">
        <v>9007610300</v>
      </c>
      <c r="B433" s="186">
        <v>1</v>
      </c>
      <c r="C433" s="186">
        <v>199379.29564224</v>
      </c>
      <c r="D433" s="186">
        <v>120258.32740000001</v>
      </c>
    </row>
    <row r="434" spans="1:4" x14ac:dyDescent="0.25">
      <c r="A434" s="185">
        <v>9007610400</v>
      </c>
      <c r="B434" s="186">
        <v>1</v>
      </c>
      <c r="C434" s="186">
        <v>67552.741402560001</v>
      </c>
      <c r="D434" s="186">
        <v>9962.2000000000007</v>
      </c>
    </row>
    <row r="435" spans="1:4" x14ac:dyDescent="0.25">
      <c r="A435" s="185">
        <v>9007620100</v>
      </c>
      <c r="B435" s="186">
        <v>2</v>
      </c>
      <c r="C435" s="186">
        <v>136754.24766336</v>
      </c>
      <c r="D435" s="186">
        <v>60771.553199999995</v>
      </c>
    </row>
    <row r="436" spans="1:4" x14ac:dyDescent="0.25">
      <c r="A436" s="185">
        <v>9007630100</v>
      </c>
      <c r="B436" s="186">
        <v>1</v>
      </c>
      <c r="C436" s="186">
        <v>243904.75794719998</v>
      </c>
      <c r="D436" s="186">
        <v>111069.48940000001</v>
      </c>
    </row>
    <row r="437" spans="1:4" x14ac:dyDescent="0.25">
      <c r="A437" s="185">
        <v>9007640100</v>
      </c>
      <c r="B437" s="186">
        <v>1</v>
      </c>
      <c r="C437" s="186">
        <v>171906.27661151998</v>
      </c>
      <c r="D437" s="186">
        <v>77881.463700000008</v>
      </c>
    </row>
    <row r="438" spans="1:4" x14ac:dyDescent="0.25">
      <c r="A438" s="185">
        <v>9007670100</v>
      </c>
      <c r="B438" s="186">
        <v>2</v>
      </c>
      <c r="C438" s="186">
        <v>123458.58565919999</v>
      </c>
      <c r="D438" s="186">
        <v>22006.809000000001</v>
      </c>
    </row>
    <row r="439" spans="1:4" x14ac:dyDescent="0.25">
      <c r="A439" s="185">
        <v>9007670200</v>
      </c>
      <c r="B439" s="186">
        <v>1</v>
      </c>
      <c r="C439" s="186">
        <v>309636.59236703999</v>
      </c>
      <c r="D439" s="186">
        <v>207640.47029999999</v>
      </c>
    </row>
    <row r="440" spans="1:4" x14ac:dyDescent="0.25">
      <c r="A440" s="185">
        <v>9007680100</v>
      </c>
      <c r="B440" s="186">
        <v>1</v>
      </c>
      <c r="C440" s="186">
        <v>254015.70005376</v>
      </c>
      <c r="D440" s="186">
        <v>98737.813800000004</v>
      </c>
    </row>
    <row r="441" spans="1:4" x14ac:dyDescent="0.25">
      <c r="A441" s="185">
        <v>9007680200</v>
      </c>
      <c r="B441" s="186">
        <v>1</v>
      </c>
      <c r="C441" s="186">
        <v>109151.62550496</v>
      </c>
      <c r="D441" s="186">
        <v>359384.16</v>
      </c>
    </row>
    <row r="442" spans="1:4" x14ac:dyDescent="0.25">
      <c r="A442" s="185">
        <v>9009120200</v>
      </c>
      <c r="B442" s="186">
        <v>1</v>
      </c>
      <c r="C442" s="186">
        <v>167.08792319999998</v>
      </c>
      <c r="D442" s="186">
        <v>0</v>
      </c>
    </row>
    <row r="443" spans="1:4" x14ac:dyDescent="0.25">
      <c r="A443" s="185">
        <v>9009125300</v>
      </c>
      <c r="B443" s="186">
        <v>1</v>
      </c>
      <c r="C443" s="186">
        <v>41.106268800000002</v>
      </c>
      <c r="D443" s="186">
        <v>0</v>
      </c>
    </row>
    <row r="444" spans="1:4" x14ac:dyDescent="0.25">
      <c r="A444" s="185">
        <v>9009125400</v>
      </c>
      <c r="B444" s="186">
        <v>1</v>
      </c>
      <c r="C444" s="186">
        <v>876.93952319999994</v>
      </c>
      <c r="D444" s="186">
        <v>0</v>
      </c>
    </row>
    <row r="445" spans="1:4" x14ac:dyDescent="0.25">
      <c r="A445" s="185">
        <v>9009130101</v>
      </c>
      <c r="B445" s="186">
        <v>2</v>
      </c>
      <c r="C445" s="186">
        <v>90253.192377600004</v>
      </c>
      <c r="D445" s="186">
        <v>38284.129999999997</v>
      </c>
    </row>
    <row r="446" spans="1:4" x14ac:dyDescent="0.25">
      <c r="A446" s="185">
        <v>9009130102</v>
      </c>
      <c r="B446" s="186">
        <v>1</v>
      </c>
      <c r="C446" s="186">
        <v>53976.907267200004</v>
      </c>
      <c r="D446" s="186">
        <v>13351.72</v>
      </c>
    </row>
    <row r="447" spans="1:4" x14ac:dyDescent="0.25">
      <c r="A447" s="185">
        <v>9009130200</v>
      </c>
      <c r="B447" s="186">
        <v>1</v>
      </c>
      <c r="C447" s="186">
        <v>243716.62715712</v>
      </c>
      <c r="D447" s="186">
        <v>300973.51299999998</v>
      </c>
    </row>
    <row r="448" spans="1:4" x14ac:dyDescent="0.25">
      <c r="A448" s="185">
        <v>9009161100</v>
      </c>
      <c r="B448" s="186">
        <v>1</v>
      </c>
      <c r="C448" s="186">
        <v>139960.93200479998</v>
      </c>
      <c r="D448" s="186">
        <v>52036.621699999996</v>
      </c>
    </row>
    <row r="449" spans="1:4" x14ac:dyDescent="0.25">
      <c r="A449" s="185">
        <v>9009166002</v>
      </c>
      <c r="B449" s="186">
        <v>1</v>
      </c>
      <c r="C449" s="186">
        <v>481.21136640000003</v>
      </c>
      <c r="D449" s="186">
        <v>0</v>
      </c>
    </row>
    <row r="450" spans="1:4" x14ac:dyDescent="0.25">
      <c r="A450" s="185">
        <v>9009170100</v>
      </c>
      <c r="B450" s="186">
        <v>1</v>
      </c>
      <c r="C450" s="186">
        <v>15409.842909120001</v>
      </c>
      <c r="D450" s="186">
        <v>24.64</v>
      </c>
    </row>
    <row r="451" spans="1:4" x14ac:dyDescent="0.25">
      <c r="A451" s="185">
        <v>9009170200</v>
      </c>
      <c r="B451" s="186">
        <v>1</v>
      </c>
      <c r="C451" s="186">
        <v>27634.187327039999</v>
      </c>
      <c r="D451" s="186">
        <v>10720.27</v>
      </c>
    </row>
    <row r="452" spans="1:4" x14ac:dyDescent="0.25">
      <c r="A452" s="185">
        <v>9009170300</v>
      </c>
      <c r="B452" s="186">
        <v>1</v>
      </c>
      <c r="C452" s="186">
        <v>26998.412106239997</v>
      </c>
      <c r="D452" s="186">
        <v>10029.17</v>
      </c>
    </row>
    <row r="453" spans="1:4" x14ac:dyDescent="0.25">
      <c r="A453" s="185">
        <v>9009170400</v>
      </c>
      <c r="B453" s="186">
        <v>1</v>
      </c>
      <c r="C453" s="186">
        <v>25467.548316479999</v>
      </c>
      <c r="D453" s="186">
        <v>90980.7</v>
      </c>
    </row>
    <row r="454" spans="1:4" x14ac:dyDescent="0.25">
      <c r="A454" s="185">
        <v>9009170500</v>
      </c>
      <c r="B454" s="186">
        <v>1</v>
      </c>
      <c r="C454" s="186">
        <v>96969.884918399999</v>
      </c>
      <c r="D454" s="186">
        <v>50845.675799999997</v>
      </c>
    </row>
    <row r="455" spans="1:4" x14ac:dyDescent="0.25">
      <c r="A455" s="185">
        <v>9009170600</v>
      </c>
      <c r="B455" s="186">
        <v>1</v>
      </c>
      <c r="C455" s="186">
        <v>38795.349159359997</v>
      </c>
      <c r="D455" s="186">
        <v>5765.8999000000003</v>
      </c>
    </row>
    <row r="456" spans="1:4" x14ac:dyDescent="0.25">
      <c r="A456" s="185">
        <v>9009170700</v>
      </c>
      <c r="B456" s="186">
        <v>1</v>
      </c>
      <c r="C456" s="186">
        <v>41239.000774079999</v>
      </c>
      <c r="D456" s="186">
        <v>16580.21</v>
      </c>
    </row>
    <row r="457" spans="1:4" x14ac:dyDescent="0.25">
      <c r="A457" s="185">
        <v>9009170800</v>
      </c>
      <c r="B457" s="186">
        <v>1</v>
      </c>
      <c r="C457" s="186">
        <v>78850.006606080002</v>
      </c>
      <c r="D457" s="186">
        <v>25700.38</v>
      </c>
    </row>
    <row r="458" spans="1:4" x14ac:dyDescent="0.25">
      <c r="A458" s="185">
        <v>9009170900</v>
      </c>
      <c r="B458" s="186">
        <v>1</v>
      </c>
      <c r="C458" s="186">
        <v>25729.242598079996</v>
      </c>
      <c r="D458" s="186">
        <v>4202.71</v>
      </c>
    </row>
    <row r="459" spans="1:4" x14ac:dyDescent="0.25">
      <c r="A459" s="185">
        <v>9009171000</v>
      </c>
      <c r="B459" s="186">
        <v>1</v>
      </c>
      <c r="C459" s="186">
        <v>21095.331353280002</v>
      </c>
      <c r="D459" s="186">
        <v>11921.13</v>
      </c>
    </row>
    <row r="460" spans="1:4" x14ac:dyDescent="0.25">
      <c r="A460" s="185">
        <v>9009171100</v>
      </c>
      <c r="B460" s="186">
        <v>1</v>
      </c>
      <c r="C460" s="186">
        <v>86641.140948479995</v>
      </c>
      <c r="D460" s="186">
        <v>71986.295199999993</v>
      </c>
    </row>
    <row r="461" spans="1:4" x14ac:dyDescent="0.25">
      <c r="A461" s="185">
        <v>9009171200</v>
      </c>
      <c r="B461" s="186">
        <v>1</v>
      </c>
      <c r="C461" s="186">
        <v>506628.12262752</v>
      </c>
      <c r="D461" s="186">
        <v>578343.46900000004</v>
      </c>
    </row>
    <row r="462" spans="1:4" x14ac:dyDescent="0.25">
      <c r="A462" s="185">
        <v>9009171300</v>
      </c>
      <c r="B462" s="186">
        <v>1</v>
      </c>
      <c r="C462" s="186">
        <v>72013.899225600006</v>
      </c>
      <c r="D462" s="186">
        <v>39596.46</v>
      </c>
    </row>
    <row r="463" spans="1:4" x14ac:dyDescent="0.25">
      <c r="A463" s="185">
        <v>9009171400</v>
      </c>
      <c r="B463" s="186">
        <v>1</v>
      </c>
      <c r="C463" s="186">
        <v>25513.065071999998</v>
      </c>
      <c r="D463" s="186">
        <v>677.99</v>
      </c>
    </row>
    <row r="464" spans="1:4" x14ac:dyDescent="0.25">
      <c r="A464" s="185">
        <v>9009171500</v>
      </c>
      <c r="B464" s="186">
        <v>1</v>
      </c>
      <c r="C464" s="186">
        <v>39338.779705920009</v>
      </c>
      <c r="D464" s="186">
        <v>134145.59239999999</v>
      </c>
    </row>
    <row r="465" spans="1:4" x14ac:dyDescent="0.25">
      <c r="A465" s="185">
        <v>9009171600</v>
      </c>
      <c r="B465" s="186">
        <v>2</v>
      </c>
      <c r="C465" s="186">
        <v>74890.840783679989</v>
      </c>
      <c r="D465" s="186">
        <v>22695.94</v>
      </c>
    </row>
    <row r="466" spans="1:4" x14ac:dyDescent="0.25">
      <c r="A466" s="185">
        <v>9009171700</v>
      </c>
      <c r="B466" s="186">
        <v>1</v>
      </c>
      <c r="C466" s="186">
        <v>71849.104246079994</v>
      </c>
      <c r="D466" s="186">
        <v>40708.639999999999</v>
      </c>
    </row>
    <row r="467" spans="1:4" x14ac:dyDescent="0.25">
      <c r="A467" s="185">
        <v>9009175400</v>
      </c>
      <c r="B467" s="186">
        <v>1</v>
      </c>
      <c r="C467" s="186">
        <v>95.069462399999992</v>
      </c>
      <c r="D467" s="186">
        <v>0</v>
      </c>
    </row>
    <row r="468" spans="1:4" x14ac:dyDescent="0.25">
      <c r="A468" s="185">
        <v>9009175700</v>
      </c>
      <c r="B468" s="186">
        <v>1</v>
      </c>
      <c r="C468" s="186">
        <v>292.10284799999999</v>
      </c>
      <c r="D468" s="186">
        <v>264.70999999999998</v>
      </c>
    </row>
    <row r="469" spans="1:4" x14ac:dyDescent="0.25">
      <c r="A469" s="185">
        <v>9009184100</v>
      </c>
      <c r="B469" s="186">
        <v>1</v>
      </c>
      <c r="C469" s="186">
        <v>98810.04429215999</v>
      </c>
      <c r="D469" s="186">
        <v>14180.251700000001</v>
      </c>
    </row>
    <row r="470" spans="1:4" x14ac:dyDescent="0.25">
      <c r="A470" s="185">
        <v>9009184200</v>
      </c>
      <c r="B470" s="186">
        <v>1</v>
      </c>
      <c r="C470" s="186">
        <v>64502.505169920005</v>
      </c>
      <c r="D470" s="186">
        <v>10900.4157</v>
      </c>
    </row>
    <row r="471" spans="1:4" x14ac:dyDescent="0.25">
      <c r="A471" s="185">
        <v>9009184300</v>
      </c>
      <c r="B471" s="186">
        <v>1</v>
      </c>
      <c r="C471" s="186">
        <v>83683.552723200002</v>
      </c>
      <c r="D471" s="186">
        <v>11085.186100000001</v>
      </c>
    </row>
    <row r="472" spans="1:4" x14ac:dyDescent="0.25">
      <c r="A472" s="185">
        <v>9009184400</v>
      </c>
      <c r="B472" s="186">
        <v>1</v>
      </c>
      <c r="C472" s="186">
        <v>71578.025161919999</v>
      </c>
      <c r="D472" s="186">
        <v>22676.038700000001</v>
      </c>
    </row>
    <row r="473" spans="1:4" x14ac:dyDescent="0.25">
      <c r="A473" s="185">
        <v>9009184500</v>
      </c>
      <c r="B473" s="186">
        <v>1</v>
      </c>
      <c r="C473" s="186">
        <v>51159.279490560002</v>
      </c>
      <c r="D473" s="186">
        <v>16216.5388</v>
      </c>
    </row>
    <row r="474" spans="1:4" x14ac:dyDescent="0.25">
      <c r="A474" s="185">
        <v>9009184600</v>
      </c>
      <c r="B474" s="186">
        <v>1</v>
      </c>
      <c r="C474" s="186">
        <v>71746.751315519999</v>
      </c>
      <c r="D474" s="186">
        <v>19083.82</v>
      </c>
    </row>
    <row r="475" spans="1:4" x14ac:dyDescent="0.25">
      <c r="A475" s="185">
        <v>9009184700</v>
      </c>
      <c r="B475" s="186">
        <v>1</v>
      </c>
      <c r="C475" s="186">
        <v>386662.77964512003</v>
      </c>
      <c r="D475" s="186">
        <v>306803.8248</v>
      </c>
    </row>
    <row r="476" spans="1:4" x14ac:dyDescent="0.25">
      <c r="A476" s="185">
        <v>9009190100</v>
      </c>
      <c r="B476" s="186">
        <v>1</v>
      </c>
      <c r="C476" s="186">
        <v>74457.283976639999</v>
      </c>
      <c r="D476" s="186">
        <v>30283.0586</v>
      </c>
    </row>
    <row r="477" spans="1:4" x14ac:dyDescent="0.25">
      <c r="A477" s="185">
        <v>9009190200</v>
      </c>
      <c r="B477" s="186">
        <v>1</v>
      </c>
      <c r="C477" s="186">
        <v>99217.489559040012</v>
      </c>
      <c r="D477" s="186">
        <v>24604.87</v>
      </c>
    </row>
    <row r="478" spans="1:4" x14ac:dyDescent="0.25">
      <c r="A478" s="185">
        <v>9009190301</v>
      </c>
      <c r="B478" s="186">
        <v>2</v>
      </c>
      <c r="C478" s="186">
        <v>305580.39873119997</v>
      </c>
      <c r="D478" s="186">
        <v>205741.3161</v>
      </c>
    </row>
    <row r="479" spans="1:4" x14ac:dyDescent="0.25">
      <c r="A479" s="185">
        <v>9009190302</v>
      </c>
      <c r="B479" s="186">
        <v>1</v>
      </c>
      <c r="C479" s="186">
        <v>114957.60608448001</v>
      </c>
      <c r="D479" s="186">
        <v>20711.39</v>
      </c>
    </row>
    <row r="480" spans="1:4" x14ac:dyDescent="0.25">
      <c r="A480" s="185">
        <v>9009190303</v>
      </c>
      <c r="B480" s="186">
        <v>2</v>
      </c>
      <c r="C480" s="186">
        <v>79441.81646976</v>
      </c>
      <c r="D480" s="186">
        <v>18373.099999999999</v>
      </c>
    </row>
    <row r="481" spans="1:4" x14ac:dyDescent="0.25">
      <c r="A481" s="185">
        <v>9009194100</v>
      </c>
      <c r="B481" s="186">
        <v>1</v>
      </c>
      <c r="C481" s="186">
        <v>147742.19007552002</v>
      </c>
      <c r="D481" s="186">
        <v>34658.589500000002</v>
      </c>
    </row>
    <row r="482" spans="1:4" x14ac:dyDescent="0.25">
      <c r="A482" s="185">
        <v>9009194201</v>
      </c>
      <c r="B482" s="186">
        <v>2</v>
      </c>
      <c r="C482" s="186">
        <v>292841.64996768004</v>
      </c>
      <c r="D482" s="186">
        <v>188699.47329999998</v>
      </c>
    </row>
    <row r="483" spans="1:4" x14ac:dyDescent="0.25">
      <c r="A483" s="185">
        <v>9009194202</v>
      </c>
      <c r="B483" s="186">
        <v>1</v>
      </c>
      <c r="C483" s="186">
        <v>130404.20613695998</v>
      </c>
      <c r="D483" s="186">
        <v>29098.8796</v>
      </c>
    </row>
    <row r="484" spans="1:4" x14ac:dyDescent="0.25">
      <c r="A484" s="185">
        <v>9009341100</v>
      </c>
      <c r="B484" s="186">
        <v>1</v>
      </c>
      <c r="C484" s="186">
        <v>139240.40006879999</v>
      </c>
      <c r="D484" s="186">
        <v>125450.95</v>
      </c>
    </row>
    <row r="485" spans="1:4" x14ac:dyDescent="0.25">
      <c r="A485" s="185">
        <v>9009343101</v>
      </c>
      <c r="B485" s="186">
        <v>3</v>
      </c>
      <c r="C485" s="186">
        <v>83717.416045440026</v>
      </c>
      <c r="D485" s="186">
        <v>42478.22</v>
      </c>
    </row>
    <row r="486" spans="1:4" x14ac:dyDescent="0.25">
      <c r="A486" s="185">
        <v>9009343102</v>
      </c>
      <c r="B486" s="186">
        <v>1</v>
      </c>
      <c r="C486" s="186">
        <v>82879.846151039994</v>
      </c>
      <c r="D486" s="186">
        <v>29712.117900000001</v>
      </c>
    </row>
    <row r="487" spans="1:4" x14ac:dyDescent="0.25">
      <c r="A487" s="185">
        <v>9009343200</v>
      </c>
      <c r="B487" s="186">
        <v>1</v>
      </c>
      <c r="C487" s="186">
        <v>124500.06834911999</v>
      </c>
      <c r="D487" s="186">
        <v>63604.970600000001</v>
      </c>
    </row>
    <row r="488" spans="1:4" x14ac:dyDescent="0.25">
      <c r="A488" s="185">
        <v>9009343300</v>
      </c>
      <c r="B488" s="186">
        <v>1</v>
      </c>
      <c r="C488" s="186">
        <v>135596.24742815999</v>
      </c>
      <c r="D488" s="186">
        <v>35106.553699999997</v>
      </c>
    </row>
    <row r="489" spans="1:4" x14ac:dyDescent="0.25">
      <c r="A489" s="185">
        <v>9009343400</v>
      </c>
      <c r="B489" s="186">
        <v>1</v>
      </c>
      <c r="C489" s="186">
        <v>319177.76662368001</v>
      </c>
      <c r="D489" s="186">
        <v>233729.35649999999</v>
      </c>
    </row>
    <row r="490" spans="1:4" x14ac:dyDescent="0.25">
      <c r="A490" s="185">
        <v>9009344100</v>
      </c>
      <c r="B490" s="186">
        <v>2</v>
      </c>
      <c r="C490" s="186">
        <v>166772.47238496001</v>
      </c>
      <c r="D490" s="186">
        <v>51741.262999999999</v>
      </c>
    </row>
    <row r="491" spans="1:4" x14ac:dyDescent="0.25">
      <c r="A491" s="185">
        <v>9009344200</v>
      </c>
      <c r="B491" s="186">
        <v>2</v>
      </c>
      <c r="C491" s="186">
        <v>67061.241023040013</v>
      </c>
      <c r="D491" s="186">
        <v>18638.996200000001</v>
      </c>
    </row>
    <row r="492" spans="1:4" x14ac:dyDescent="0.25">
      <c r="A492" s="185">
        <v>9009345100</v>
      </c>
      <c r="B492" s="186">
        <v>2</v>
      </c>
      <c r="C492" s="186">
        <v>117094.27531968</v>
      </c>
      <c r="D492" s="186">
        <v>53381.299099999997</v>
      </c>
    </row>
    <row r="493" spans="1:4" x14ac:dyDescent="0.25">
      <c r="A493" s="185">
        <v>9009345201</v>
      </c>
      <c r="B493" s="186">
        <v>1</v>
      </c>
      <c r="C493" s="186">
        <v>120469.52720159998</v>
      </c>
      <c r="D493" s="186">
        <v>55301.3724</v>
      </c>
    </row>
    <row r="494" spans="1:4" x14ac:dyDescent="0.25">
      <c r="A494" s="185">
        <v>9009345202</v>
      </c>
      <c r="B494" s="186">
        <v>1</v>
      </c>
      <c r="C494" s="186">
        <v>76552.852731840016</v>
      </c>
      <c r="D494" s="186">
        <v>51535.862300000001</v>
      </c>
    </row>
    <row r="495" spans="1:4" x14ac:dyDescent="0.25">
      <c r="A495" s="185">
        <v>9009345300</v>
      </c>
      <c r="B495" s="186">
        <v>2</v>
      </c>
      <c r="C495" s="186">
        <v>93895.705051199999</v>
      </c>
      <c r="D495" s="186">
        <v>25594.8802</v>
      </c>
    </row>
    <row r="496" spans="1:4" x14ac:dyDescent="0.25">
      <c r="A496" s="185">
        <v>9009345400</v>
      </c>
      <c r="B496" s="186">
        <v>2</v>
      </c>
      <c r="C496" s="186">
        <v>283816.30468032003</v>
      </c>
      <c r="D496" s="186">
        <v>1161160.6663000002</v>
      </c>
    </row>
    <row r="497" spans="1:4" x14ac:dyDescent="0.25">
      <c r="A497" s="185">
        <v>9009346101</v>
      </c>
      <c r="B497" s="186">
        <v>1</v>
      </c>
      <c r="C497" s="186">
        <v>219250.79363231998</v>
      </c>
      <c r="D497" s="186">
        <v>135049.008</v>
      </c>
    </row>
    <row r="498" spans="1:4" x14ac:dyDescent="0.25">
      <c r="A498" s="185">
        <v>9009346102</v>
      </c>
      <c r="B498" s="186">
        <v>3</v>
      </c>
      <c r="C498" s="186">
        <v>132310.82151360001</v>
      </c>
      <c r="D498" s="186">
        <v>36296.912199999999</v>
      </c>
    </row>
    <row r="499" spans="1:4" x14ac:dyDescent="0.25">
      <c r="A499" s="185">
        <v>9009347100</v>
      </c>
      <c r="B499" s="186">
        <v>3</v>
      </c>
      <c r="C499" s="186">
        <v>166953.82680575998</v>
      </c>
      <c r="D499" s="186">
        <v>114759.0438</v>
      </c>
    </row>
    <row r="500" spans="1:4" x14ac:dyDescent="0.25">
      <c r="A500" s="185">
        <v>9009347200</v>
      </c>
      <c r="B500" s="186">
        <v>2</v>
      </c>
      <c r="C500" s="186">
        <v>70613.553193920001</v>
      </c>
      <c r="D500" s="186">
        <v>19924.240000000002</v>
      </c>
    </row>
    <row r="501" spans="1:4" x14ac:dyDescent="0.25">
      <c r="A501" s="185">
        <v>9009348111</v>
      </c>
      <c r="B501" s="186">
        <v>1</v>
      </c>
      <c r="C501" s="186">
        <v>50319.654572159998</v>
      </c>
      <c r="D501" s="186">
        <v>14313.4704</v>
      </c>
    </row>
    <row r="502" spans="1:4" x14ac:dyDescent="0.25">
      <c r="A502" s="185">
        <v>9009348122</v>
      </c>
      <c r="B502" s="186">
        <v>1</v>
      </c>
      <c r="C502" s="186">
        <v>93121.412529599998</v>
      </c>
      <c r="D502" s="186">
        <v>28005.930799999998</v>
      </c>
    </row>
    <row r="503" spans="1:4" x14ac:dyDescent="0.25">
      <c r="A503" s="185">
        <v>9009348123</v>
      </c>
      <c r="B503" s="186">
        <v>1</v>
      </c>
      <c r="C503" s="186">
        <v>126459.8903232</v>
      </c>
      <c r="D503" s="186">
        <v>17211.9856</v>
      </c>
    </row>
    <row r="504" spans="1:4" x14ac:dyDescent="0.25">
      <c r="A504" s="185">
        <v>9009348124</v>
      </c>
      <c r="B504" s="186">
        <v>1</v>
      </c>
      <c r="C504" s="186">
        <v>139376.27825568002</v>
      </c>
      <c r="D504" s="186">
        <v>20548.512500000001</v>
      </c>
    </row>
    <row r="505" spans="1:4" x14ac:dyDescent="0.25">
      <c r="A505" s="185">
        <v>9009348125</v>
      </c>
      <c r="B505" s="186">
        <v>1</v>
      </c>
      <c r="C505" s="186">
        <v>292580.02630944003</v>
      </c>
      <c r="D505" s="186">
        <v>232556.77870000002</v>
      </c>
    </row>
    <row r="506" spans="1:4" x14ac:dyDescent="0.25">
      <c r="A506" s="185">
        <v>9009350100</v>
      </c>
      <c r="B506" s="186">
        <v>1</v>
      </c>
      <c r="C506" s="186">
        <v>38315.271240000002</v>
      </c>
      <c r="D506" s="186">
        <v>12377.77</v>
      </c>
    </row>
    <row r="507" spans="1:4" x14ac:dyDescent="0.25">
      <c r="A507" s="185">
        <v>9009350200</v>
      </c>
      <c r="B507" s="186">
        <v>1</v>
      </c>
      <c r="C507" s="186">
        <v>44886.648113279996</v>
      </c>
      <c r="D507" s="186">
        <v>14823.31</v>
      </c>
    </row>
    <row r="508" spans="1:4" x14ac:dyDescent="0.25">
      <c r="A508" s="185">
        <v>9009350300</v>
      </c>
      <c r="B508" s="186">
        <v>1</v>
      </c>
      <c r="C508" s="186">
        <v>26865.736862400001</v>
      </c>
      <c r="D508" s="186">
        <v>7264.46</v>
      </c>
    </row>
    <row r="509" spans="1:4" x14ac:dyDescent="0.25">
      <c r="A509" s="185">
        <v>9009350400</v>
      </c>
      <c r="B509" s="186">
        <v>1</v>
      </c>
      <c r="C509" s="186">
        <v>37398.924460800001</v>
      </c>
      <c r="D509" s="186">
        <v>1172.21</v>
      </c>
    </row>
    <row r="510" spans="1:4" x14ac:dyDescent="0.25">
      <c r="A510" s="185">
        <v>9009350500</v>
      </c>
      <c r="B510" s="186">
        <v>1</v>
      </c>
      <c r="C510" s="186">
        <v>30786.989518080001</v>
      </c>
      <c r="D510" s="186">
        <v>5469.22</v>
      </c>
    </row>
    <row r="511" spans="1:4" x14ac:dyDescent="0.25">
      <c r="A511" s="185">
        <v>9009350800</v>
      </c>
      <c r="B511" s="186">
        <v>1</v>
      </c>
      <c r="C511" s="186">
        <v>75308.789249280017</v>
      </c>
      <c r="D511" s="186">
        <v>26025.75</v>
      </c>
    </row>
    <row r="512" spans="1:4" x14ac:dyDescent="0.25">
      <c r="A512" s="185">
        <v>9009350900</v>
      </c>
      <c r="B512" s="186">
        <v>1</v>
      </c>
      <c r="C512" s="186">
        <v>30064.937443199997</v>
      </c>
      <c r="D512" s="186">
        <v>35858.410000000003</v>
      </c>
    </row>
    <row r="513" spans="1:4" x14ac:dyDescent="0.25">
      <c r="A513" s="185">
        <v>9009351000</v>
      </c>
      <c r="B513" s="186">
        <v>1</v>
      </c>
      <c r="C513" s="186">
        <v>60298.793807040005</v>
      </c>
      <c r="D513" s="186">
        <v>118554.3701</v>
      </c>
    </row>
    <row r="514" spans="1:4" x14ac:dyDescent="0.25">
      <c r="A514" s="185">
        <v>9009351100</v>
      </c>
      <c r="B514" s="186">
        <v>1</v>
      </c>
      <c r="C514" s="186">
        <v>82675.970403840009</v>
      </c>
      <c r="D514" s="186">
        <v>57259.17</v>
      </c>
    </row>
    <row r="515" spans="1:4" x14ac:dyDescent="0.25">
      <c r="A515" s="185">
        <v>9009351200</v>
      </c>
      <c r="B515" s="186">
        <v>1</v>
      </c>
      <c r="C515" s="186">
        <v>54356.397840000005</v>
      </c>
      <c r="D515" s="186">
        <v>7114.2227999999996</v>
      </c>
    </row>
    <row r="516" spans="1:4" x14ac:dyDescent="0.25">
      <c r="A516" s="185">
        <v>9009351300</v>
      </c>
      <c r="B516" s="186">
        <v>1</v>
      </c>
      <c r="C516" s="186">
        <v>73467.303661440004</v>
      </c>
      <c r="D516" s="186">
        <v>32921.589999999997</v>
      </c>
    </row>
    <row r="517" spans="1:4" x14ac:dyDescent="0.25">
      <c r="A517" s="185">
        <v>9009351400</v>
      </c>
      <c r="B517" s="186">
        <v>1</v>
      </c>
      <c r="C517" s="186">
        <v>53848.322968320004</v>
      </c>
      <c r="D517" s="186">
        <v>3381.01</v>
      </c>
    </row>
    <row r="518" spans="1:4" x14ac:dyDescent="0.25">
      <c r="A518" s="185">
        <v>9009351500</v>
      </c>
      <c r="B518" s="186">
        <v>1</v>
      </c>
      <c r="C518" s="186">
        <v>73375.150596480002</v>
      </c>
      <c r="D518" s="186">
        <v>79377.770300000004</v>
      </c>
    </row>
    <row r="519" spans="1:4" x14ac:dyDescent="0.25">
      <c r="A519" s="185">
        <v>9009351601</v>
      </c>
      <c r="B519" s="186">
        <v>1</v>
      </c>
      <c r="C519" s="186">
        <v>54795.537365759999</v>
      </c>
      <c r="D519" s="186">
        <v>22097.49</v>
      </c>
    </row>
    <row r="520" spans="1:4" x14ac:dyDescent="0.25">
      <c r="A520" s="185">
        <v>9009351602</v>
      </c>
      <c r="B520" s="186">
        <v>1</v>
      </c>
      <c r="C520" s="186">
        <v>928086.51075263997</v>
      </c>
      <c r="D520" s="186">
        <v>1583684.9359000002</v>
      </c>
    </row>
    <row r="521" spans="1:4" x14ac:dyDescent="0.25">
      <c r="A521" s="185">
        <v>9009351700</v>
      </c>
      <c r="B521" s="186">
        <v>1</v>
      </c>
      <c r="C521" s="186">
        <v>40955.166647999999</v>
      </c>
      <c r="D521" s="186">
        <v>9409.7900000000009</v>
      </c>
    </row>
    <row r="522" spans="1:4" x14ac:dyDescent="0.25">
      <c r="A522" s="185">
        <v>9009351800</v>
      </c>
      <c r="B522" s="186">
        <v>1</v>
      </c>
      <c r="C522" s="186">
        <v>78965.426015999998</v>
      </c>
      <c r="D522" s="186">
        <v>32630.14</v>
      </c>
    </row>
    <row r="523" spans="1:4" x14ac:dyDescent="0.25">
      <c r="A523" s="185">
        <v>9009351900</v>
      </c>
      <c r="B523" s="186">
        <v>2</v>
      </c>
      <c r="C523" s="186">
        <v>46716.587939519995</v>
      </c>
      <c r="D523" s="186">
        <v>33038.6175</v>
      </c>
    </row>
    <row r="524" spans="1:4" x14ac:dyDescent="0.25">
      <c r="A524" s="185">
        <v>9009352000</v>
      </c>
      <c r="B524" s="186">
        <v>1</v>
      </c>
      <c r="C524" s="186">
        <v>86934.247574400011</v>
      </c>
      <c r="D524" s="186">
        <v>43374.961799999997</v>
      </c>
    </row>
    <row r="525" spans="1:4" x14ac:dyDescent="0.25">
      <c r="A525" s="185">
        <v>9009352100</v>
      </c>
      <c r="B525" s="186">
        <v>2</v>
      </c>
      <c r="C525" s="186">
        <v>66408.297379199998</v>
      </c>
      <c r="D525" s="186">
        <v>16926.25</v>
      </c>
    </row>
    <row r="526" spans="1:4" x14ac:dyDescent="0.25">
      <c r="A526" s="185">
        <v>9009352200</v>
      </c>
      <c r="B526" s="186">
        <v>1</v>
      </c>
      <c r="C526" s="186">
        <v>30857.74312608</v>
      </c>
      <c r="D526" s="186">
        <v>3404.86</v>
      </c>
    </row>
    <row r="527" spans="1:4" x14ac:dyDescent="0.25">
      <c r="A527" s="185">
        <v>9009352300</v>
      </c>
      <c r="B527" s="186">
        <v>1</v>
      </c>
      <c r="C527" s="186">
        <v>41957.293023359998</v>
      </c>
      <c r="D527" s="186">
        <v>70837.55</v>
      </c>
    </row>
    <row r="528" spans="1:4" x14ac:dyDescent="0.25">
      <c r="A528" s="185">
        <v>9009352400</v>
      </c>
      <c r="B528" s="186">
        <v>1</v>
      </c>
      <c r="C528" s="186">
        <v>67570.252522559997</v>
      </c>
      <c r="D528" s="186">
        <v>18995.95</v>
      </c>
    </row>
    <row r="529" spans="1:4" x14ac:dyDescent="0.25">
      <c r="A529" s="185">
        <v>9009352500</v>
      </c>
      <c r="B529" s="186">
        <v>1</v>
      </c>
      <c r="C529" s="186">
        <v>68249.952578880009</v>
      </c>
      <c r="D529" s="186">
        <v>82131.960000000006</v>
      </c>
    </row>
    <row r="530" spans="1:4" x14ac:dyDescent="0.25">
      <c r="A530" s="185">
        <v>9009352600</v>
      </c>
      <c r="B530" s="186">
        <v>2</v>
      </c>
      <c r="C530" s="186">
        <v>103238.61869664001</v>
      </c>
      <c r="D530" s="186">
        <v>126038.12</v>
      </c>
    </row>
    <row r="531" spans="1:4" x14ac:dyDescent="0.25">
      <c r="A531" s="185">
        <v>9009352701</v>
      </c>
      <c r="B531" s="186">
        <v>2</v>
      </c>
      <c r="C531" s="186">
        <v>41876.326814400003</v>
      </c>
      <c r="D531" s="186">
        <v>5658.59</v>
      </c>
    </row>
    <row r="532" spans="1:4" x14ac:dyDescent="0.25">
      <c r="A532" s="185">
        <v>9009352702</v>
      </c>
      <c r="B532" s="186">
        <v>1</v>
      </c>
      <c r="C532" s="186">
        <v>111415.61708064002</v>
      </c>
      <c r="D532" s="186">
        <v>168967.71100000001</v>
      </c>
    </row>
    <row r="533" spans="1:4" x14ac:dyDescent="0.25">
      <c r="A533" s="185">
        <v>9009352800</v>
      </c>
      <c r="B533" s="186">
        <v>3</v>
      </c>
      <c r="C533" s="186">
        <v>100100.21672447999</v>
      </c>
      <c r="D533" s="186">
        <v>58143.451700000005</v>
      </c>
    </row>
    <row r="534" spans="1:4" x14ac:dyDescent="0.25">
      <c r="A534" s="185">
        <v>9009361100</v>
      </c>
      <c r="B534" s="186">
        <v>2</v>
      </c>
      <c r="C534" s="186">
        <v>220322.53090655999</v>
      </c>
      <c r="D534" s="186">
        <v>257118.53869999998</v>
      </c>
    </row>
    <row r="535" spans="1:4" x14ac:dyDescent="0.25">
      <c r="A535" s="185">
        <v>9009361200</v>
      </c>
      <c r="B535" s="186">
        <v>1</v>
      </c>
      <c r="C535" s="186">
        <v>114930.85025088002</v>
      </c>
      <c r="D535" s="186">
        <v>58843.71</v>
      </c>
    </row>
    <row r="536" spans="1:4" x14ac:dyDescent="0.25">
      <c r="A536" s="185">
        <v>9009361300</v>
      </c>
      <c r="B536" s="186">
        <v>1</v>
      </c>
      <c r="C536" s="186">
        <v>84377.259360000011</v>
      </c>
      <c r="D536" s="186">
        <v>68011.649999999994</v>
      </c>
    </row>
    <row r="537" spans="1:4" x14ac:dyDescent="0.25">
      <c r="A537" s="185">
        <v>9011650100</v>
      </c>
      <c r="B537" s="186">
        <v>2</v>
      </c>
      <c r="C537" s="186">
        <v>88774.048621440015</v>
      </c>
      <c r="D537" s="186">
        <v>41069.801000000007</v>
      </c>
    </row>
    <row r="538" spans="1:4" x14ac:dyDescent="0.25">
      <c r="A538" s="185">
        <v>9011660101</v>
      </c>
      <c r="B538" s="186">
        <v>1</v>
      </c>
      <c r="C538" s="186">
        <v>111903.93362015999</v>
      </c>
      <c r="D538" s="186">
        <v>24522.071</v>
      </c>
    </row>
    <row r="539" spans="1:4" x14ac:dyDescent="0.25">
      <c r="A539" s="185">
        <v>9011660102</v>
      </c>
      <c r="B539" s="186">
        <v>1</v>
      </c>
      <c r="C539" s="186">
        <v>168222.66808896</v>
      </c>
      <c r="D539" s="186">
        <v>132131.85570000001</v>
      </c>
    </row>
    <row r="540" spans="1:4" x14ac:dyDescent="0.25">
      <c r="A540" s="185">
        <v>9011690300</v>
      </c>
      <c r="B540" s="186">
        <v>2</v>
      </c>
      <c r="C540" s="186">
        <v>79471.479438720009</v>
      </c>
      <c r="D540" s="186">
        <v>20285.972600000001</v>
      </c>
    </row>
    <row r="541" spans="1:4" x14ac:dyDescent="0.25">
      <c r="A541" s="185">
        <v>9011690400</v>
      </c>
      <c r="B541" s="186">
        <v>1</v>
      </c>
      <c r="C541" s="186">
        <v>39959.697971520007</v>
      </c>
      <c r="D541" s="186">
        <v>4461.97</v>
      </c>
    </row>
    <row r="542" spans="1:4" x14ac:dyDescent="0.25">
      <c r="A542" s="185">
        <v>9011690500</v>
      </c>
      <c r="B542" s="186">
        <v>1</v>
      </c>
      <c r="C542" s="186">
        <v>41927.549011199997</v>
      </c>
      <c r="D542" s="186">
        <v>16842.5</v>
      </c>
    </row>
    <row r="543" spans="1:4" x14ac:dyDescent="0.25">
      <c r="A543" s="185">
        <v>9011690700</v>
      </c>
      <c r="B543" s="186">
        <v>1</v>
      </c>
      <c r="C543" s="186">
        <v>14865.608877119999</v>
      </c>
      <c r="D543" s="186">
        <v>4541.3999999999996</v>
      </c>
    </row>
    <row r="544" spans="1:4" x14ac:dyDescent="0.25">
      <c r="A544" s="185">
        <v>9011690800</v>
      </c>
      <c r="B544" s="186">
        <v>1</v>
      </c>
      <c r="C544" s="186">
        <v>43011.512809920001</v>
      </c>
      <c r="D544" s="186">
        <v>11641.346100000001</v>
      </c>
    </row>
    <row r="545" spans="1:4" x14ac:dyDescent="0.25">
      <c r="A545" s="185">
        <v>9011690900</v>
      </c>
      <c r="B545" s="186">
        <v>1</v>
      </c>
      <c r="C545" s="186">
        <v>314079.29086463997</v>
      </c>
      <c r="D545" s="186">
        <v>226740.76459999999</v>
      </c>
    </row>
    <row r="546" spans="1:4" x14ac:dyDescent="0.25">
      <c r="A546" s="185">
        <v>9011693300</v>
      </c>
      <c r="B546" s="186">
        <v>1</v>
      </c>
      <c r="C546" s="186">
        <v>298229.70639455999</v>
      </c>
      <c r="D546" s="186">
        <v>526570.05579999997</v>
      </c>
    </row>
    <row r="547" spans="1:4" x14ac:dyDescent="0.25">
      <c r="A547" s="185">
        <v>9011693400</v>
      </c>
      <c r="B547" s="186">
        <v>3</v>
      </c>
      <c r="C547" s="186">
        <v>81944.137572480002</v>
      </c>
      <c r="D547" s="186">
        <v>20885.86</v>
      </c>
    </row>
    <row r="548" spans="1:4" x14ac:dyDescent="0.25">
      <c r="A548" s="185">
        <v>9011693500</v>
      </c>
      <c r="B548" s="186">
        <v>1</v>
      </c>
      <c r="C548" s="186">
        <v>82657.042764479993</v>
      </c>
      <c r="D548" s="186">
        <v>39929.422500000001</v>
      </c>
    </row>
    <row r="549" spans="1:4" x14ac:dyDescent="0.25">
      <c r="A549" s="185">
        <v>9011693600</v>
      </c>
      <c r="B549" s="186">
        <v>3</v>
      </c>
      <c r="C549" s="186">
        <v>53684.259693120002</v>
      </c>
      <c r="D549" s="186">
        <v>18171.203200000004</v>
      </c>
    </row>
    <row r="550" spans="1:4" x14ac:dyDescent="0.25">
      <c r="A550" s="185">
        <v>9011693700</v>
      </c>
      <c r="B550" s="186">
        <v>1</v>
      </c>
      <c r="C550" s="186">
        <v>68545.761995520006</v>
      </c>
      <c r="D550" s="186">
        <v>23494.13</v>
      </c>
    </row>
    <row r="551" spans="1:4" x14ac:dyDescent="0.25">
      <c r="A551" s="185">
        <v>9011695201</v>
      </c>
      <c r="B551" s="186">
        <v>2</v>
      </c>
      <c r="C551" s="186">
        <v>192593.48714496</v>
      </c>
      <c r="D551" s="186">
        <v>190334.15599999999</v>
      </c>
    </row>
    <row r="552" spans="1:4" x14ac:dyDescent="0.25">
      <c r="A552" s="185">
        <v>9011695202</v>
      </c>
      <c r="B552" s="186">
        <v>2</v>
      </c>
      <c r="C552" s="186">
        <v>99747.533505599989</v>
      </c>
      <c r="D552" s="186">
        <v>14638.392099999999</v>
      </c>
    </row>
    <row r="553" spans="1:4" x14ac:dyDescent="0.25">
      <c r="A553" s="185">
        <v>9011697000</v>
      </c>
      <c r="B553" s="186">
        <v>1</v>
      </c>
      <c r="C553" s="186">
        <v>68.452560000000005</v>
      </c>
      <c r="D553" s="186">
        <v>0</v>
      </c>
    </row>
    <row r="554" spans="1:4" x14ac:dyDescent="0.25">
      <c r="A554" s="185">
        <v>9011700100</v>
      </c>
      <c r="B554" s="186">
        <v>1</v>
      </c>
      <c r="C554" s="186">
        <v>130427.25598079999</v>
      </c>
      <c r="D554" s="186">
        <v>75747.447100000005</v>
      </c>
    </row>
    <row r="555" spans="1:4" x14ac:dyDescent="0.25">
      <c r="A555" s="185">
        <v>9011701100</v>
      </c>
      <c r="B555" s="186">
        <v>1</v>
      </c>
      <c r="C555" s="186">
        <v>233295.33706271998</v>
      </c>
      <c r="D555" s="186">
        <v>103588.01820000009</v>
      </c>
    </row>
    <row r="556" spans="1:4" x14ac:dyDescent="0.25">
      <c r="A556" s="185">
        <v>9011701200</v>
      </c>
      <c r="B556" s="186">
        <v>1</v>
      </c>
      <c r="C556" s="186">
        <v>138641.1926976</v>
      </c>
      <c r="D556" s="186">
        <v>35876.579899999997</v>
      </c>
    </row>
    <row r="557" spans="1:4" x14ac:dyDescent="0.25">
      <c r="A557" s="185">
        <v>9011702100</v>
      </c>
      <c r="B557" s="186">
        <v>2</v>
      </c>
      <c r="C557" s="186">
        <v>70836.377420159988</v>
      </c>
      <c r="D557" s="186">
        <v>20803.311399999999</v>
      </c>
    </row>
    <row r="558" spans="1:4" x14ac:dyDescent="0.25">
      <c r="A558" s="185">
        <v>9011702400</v>
      </c>
      <c r="B558" s="186">
        <v>1</v>
      </c>
      <c r="C558" s="186">
        <v>159.43512960000001</v>
      </c>
      <c r="D558" s="186">
        <v>0</v>
      </c>
    </row>
    <row r="559" spans="1:4" x14ac:dyDescent="0.25">
      <c r="A559" s="185">
        <v>9011702600</v>
      </c>
      <c r="B559" s="186">
        <v>1</v>
      </c>
      <c r="C559" s="186">
        <v>30.819571199999999</v>
      </c>
      <c r="D559" s="186">
        <v>0</v>
      </c>
    </row>
    <row r="560" spans="1:4" x14ac:dyDescent="0.25">
      <c r="A560" s="185">
        <v>9011702700</v>
      </c>
      <c r="B560" s="186">
        <v>1</v>
      </c>
      <c r="C560" s="186">
        <v>2747.5092</v>
      </c>
      <c r="D560" s="186">
        <v>59.2</v>
      </c>
    </row>
    <row r="561" spans="1:4" x14ac:dyDescent="0.25">
      <c r="A561" s="185">
        <v>9011702800</v>
      </c>
      <c r="B561" s="186">
        <v>2</v>
      </c>
      <c r="C561" s="186">
        <v>28040.3220096</v>
      </c>
      <c r="D561" s="186">
        <v>8554.2574000000004</v>
      </c>
    </row>
    <row r="562" spans="1:4" x14ac:dyDescent="0.25">
      <c r="A562" s="185">
        <v>9011702900</v>
      </c>
      <c r="B562" s="186">
        <v>2</v>
      </c>
      <c r="C562" s="186">
        <v>52961.82613632</v>
      </c>
      <c r="D562" s="186">
        <v>58206.132299999997</v>
      </c>
    </row>
    <row r="563" spans="1:4" x14ac:dyDescent="0.25">
      <c r="A563" s="185">
        <v>9011703000</v>
      </c>
      <c r="B563" s="186">
        <v>2</v>
      </c>
      <c r="C563" s="186">
        <v>88433.054726400005</v>
      </c>
      <c r="D563" s="186">
        <v>26386.0635</v>
      </c>
    </row>
    <row r="564" spans="1:4" x14ac:dyDescent="0.25">
      <c r="A564" s="185">
        <v>9011705101</v>
      </c>
      <c r="B564" s="186">
        <v>1</v>
      </c>
      <c r="C564" s="186">
        <v>81245.80684224001</v>
      </c>
      <c r="D564" s="186">
        <v>51276.364600000001</v>
      </c>
    </row>
    <row r="565" spans="1:4" x14ac:dyDescent="0.25">
      <c r="A565" s="185">
        <v>9011705102</v>
      </c>
      <c r="B565" s="186">
        <v>1</v>
      </c>
      <c r="C565" s="186">
        <v>70169.614752960013</v>
      </c>
      <c r="D565" s="186">
        <v>12001.766100000001</v>
      </c>
    </row>
    <row r="566" spans="1:4" x14ac:dyDescent="0.25">
      <c r="A566" s="185">
        <v>9011705200</v>
      </c>
      <c r="B566" s="186">
        <v>1</v>
      </c>
      <c r="C566" s="186">
        <v>323531.31702239998</v>
      </c>
      <c r="D566" s="186">
        <v>271299.88939999999</v>
      </c>
    </row>
    <row r="567" spans="1:4" x14ac:dyDescent="0.25">
      <c r="A567" s="185">
        <v>9011705300</v>
      </c>
      <c r="B567" s="186">
        <v>1</v>
      </c>
      <c r="C567" s="186">
        <v>81742.746957120005</v>
      </c>
      <c r="D567" s="186">
        <v>22836.517100000001</v>
      </c>
    </row>
    <row r="568" spans="1:4" x14ac:dyDescent="0.25">
      <c r="A568" s="185">
        <v>9011705400</v>
      </c>
      <c r="B568" s="186">
        <v>1</v>
      </c>
      <c r="C568" s="186">
        <v>64517.608149120002</v>
      </c>
      <c r="D568" s="186">
        <v>23641.341400000001</v>
      </c>
    </row>
    <row r="569" spans="1:4" x14ac:dyDescent="0.25">
      <c r="A569" s="185">
        <v>9011707100</v>
      </c>
      <c r="B569" s="186">
        <v>2</v>
      </c>
      <c r="C569" s="186">
        <v>149752.43944416</v>
      </c>
      <c r="D569" s="186">
        <v>51278.805999999997</v>
      </c>
    </row>
    <row r="570" spans="1:4" x14ac:dyDescent="0.25">
      <c r="A570" s="185">
        <v>9011708100</v>
      </c>
      <c r="B570" s="186">
        <v>2</v>
      </c>
      <c r="C570" s="186">
        <v>70984.119173759987</v>
      </c>
      <c r="D570" s="186">
        <v>36101.566500000001</v>
      </c>
    </row>
    <row r="571" spans="1:4" x14ac:dyDescent="0.25">
      <c r="A571" s="185">
        <v>9011709100</v>
      </c>
      <c r="B571" s="186">
        <v>4</v>
      </c>
      <c r="C571" s="186">
        <v>156288.92258880005</v>
      </c>
      <c r="D571" s="186">
        <v>76633.350099999996</v>
      </c>
    </row>
    <row r="572" spans="1:4" x14ac:dyDescent="0.25">
      <c r="A572" s="185">
        <v>9011709200</v>
      </c>
      <c r="B572" s="186">
        <v>2</v>
      </c>
      <c r="C572" s="186">
        <v>26278.703916480001</v>
      </c>
      <c r="D572" s="186">
        <v>3627.62</v>
      </c>
    </row>
    <row r="573" spans="1:4" x14ac:dyDescent="0.25">
      <c r="A573" s="185">
        <v>9011710100</v>
      </c>
      <c r="B573" s="186">
        <v>2</v>
      </c>
      <c r="C573" s="186">
        <v>93605.913671039991</v>
      </c>
      <c r="D573" s="186">
        <v>184063.5822</v>
      </c>
    </row>
    <row r="574" spans="1:4" x14ac:dyDescent="0.25">
      <c r="A574" s="185">
        <v>9011711100</v>
      </c>
      <c r="B574" s="186">
        <v>1</v>
      </c>
      <c r="C574" s="186">
        <v>70585.506457920012</v>
      </c>
      <c r="D574" s="186">
        <v>40892.65</v>
      </c>
    </row>
    <row r="575" spans="1:4" x14ac:dyDescent="0.25">
      <c r="A575" s="185">
        <v>9011712100</v>
      </c>
      <c r="B575" s="186">
        <v>2</v>
      </c>
      <c r="C575" s="186">
        <v>45664.230409919997</v>
      </c>
      <c r="D575" s="186">
        <v>14386.054400000001</v>
      </c>
    </row>
    <row r="576" spans="1:4" x14ac:dyDescent="0.25">
      <c r="A576" s="185">
        <v>9011714101</v>
      </c>
      <c r="B576" s="186">
        <v>1</v>
      </c>
      <c r="C576" s="186">
        <v>62837.596506239999</v>
      </c>
      <c r="D576" s="186">
        <v>68354.2</v>
      </c>
    </row>
    <row r="577" spans="1:4" x14ac:dyDescent="0.25">
      <c r="A577" s="185">
        <v>9011714103</v>
      </c>
      <c r="B577" s="186">
        <v>1</v>
      </c>
      <c r="C577" s="186">
        <v>220309.76660256003</v>
      </c>
      <c r="D577" s="186">
        <v>297088.71460000001</v>
      </c>
    </row>
    <row r="578" spans="1:4" x14ac:dyDescent="0.25">
      <c r="A578" s="185">
        <v>9011714104</v>
      </c>
      <c r="B578" s="186">
        <v>3</v>
      </c>
      <c r="C578" s="186">
        <v>99325.468624319998</v>
      </c>
      <c r="D578" s="186">
        <v>30020.496500000001</v>
      </c>
    </row>
    <row r="579" spans="1:4" x14ac:dyDescent="0.25">
      <c r="A579" s="185">
        <v>9011715100</v>
      </c>
      <c r="B579" s="186">
        <v>3</v>
      </c>
      <c r="C579" s="186">
        <v>114781.7533392</v>
      </c>
      <c r="D579" s="186">
        <v>57213.7</v>
      </c>
    </row>
    <row r="580" spans="1:4" x14ac:dyDescent="0.25">
      <c r="A580" s="185">
        <v>9011716101</v>
      </c>
      <c r="B580" s="186">
        <v>1</v>
      </c>
      <c r="C580" s="186">
        <v>94268.427937920002</v>
      </c>
      <c r="D580" s="186">
        <v>40280.123399999997</v>
      </c>
    </row>
    <row r="581" spans="1:4" x14ac:dyDescent="0.25">
      <c r="A581" s="185">
        <v>9011716102</v>
      </c>
      <c r="B581" s="186">
        <v>3</v>
      </c>
      <c r="C581" s="186">
        <v>255809.72153376002</v>
      </c>
      <c r="D581" s="186">
        <v>240683.9578</v>
      </c>
    </row>
    <row r="582" spans="1:4" x14ac:dyDescent="0.25">
      <c r="A582" s="185">
        <v>9011870100</v>
      </c>
      <c r="B582" s="186">
        <v>3</v>
      </c>
      <c r="C582" s="186">
        <v>107088.35188608001</v>
      </c>
      <c r="D582" s="186">
        <v>66859.39</v>
      </c>
    </row>
    <row r="583" spans="1:4" x14ac:dyDescent="0.25">
      <c r="A583" s="185">
        <v>9011870300</v>
      </c>
      <c r="B583" s="186">
        <v>2</v>
      </c>
      <c r="C583" s="186">
        <v>41336.513688960003</v>
      </c>
      <c r="D583" s="186">
        <v>21513.050299999999</v>
      </c>
    </row>
    <row r="584" spans="1:4" x14ac:dyDescent="0.25">
      <c r="A584" s="185">
        <v>9011870501</v>
      </c>
      <c r="B584" s="186">
        <v>1</v>
      </c>
      <c r="C584" s="186">
        <v>80574.145113599996</v>
      </c>
      <c r="D584" s="186">
        <v>31425.54</v>
      </c>
    </row>
    <row r="585" spans="1:4" x14ac:dyDescent="0.25">
      <c r="A585" s="185">
        <v>9011870502</v>
      </c>
      <c r="B585" s="186">
        <v>2</v>
      </c>
      <c r="C585" s="186">
        <v>40297.201799040005</v>
      </c>
      <c r="D585" s="186">
        <v>10395.2546</v>
      </c>
    </row>
    <row r="586" spans="1:4" x14ac:dyDescent="0.25">
      <c r="A586" s="185">
        <v>9011870701</v>
      </c>
      <c r="B586" s="186">
        <v>1</v>
      </c>
      <c r="C586" s="186">
        <v>50602.6302192</v>
      </c>
      <c r="D586" s="186">
        <v>7191.9422999999997</v>
      </c>
    </row>
    <row r="587" spans="1:4" x14ac:dyDescent="0.25">
      <c r="A587" s="185">
        <v>9011870703</v>
      </c>
      <c r="B587" s="186">
        <v>1</v>
      </c>
      <c r="C587" s="186">
        <v>42616.216497600006</v>
      </c>
      <c r="D587" s="186">
        <v>14608.0656</v>
      </c>
    </row>
    <row r="588" spans="1:4" x14ac:dyDescent="0.25">
      <c r="A588" s="185">
        <v>9011870704</v>
      </c>
      <c r="B588" s="186">
        <v>1</v>
      </c>
      <c r="C588" s="186">
        <v>110586.99898655999</v>
      </c>
      <c r="D588" s="186">
        <v>67520.932400000005</v>
      </c>
    </row>
    <row r="589" spans="1:4" x14ac:dyDescent="0.25">
      <c r="A589" s="185">
        <v>9011980000</v>
      </c>
      <c r="B589" s="186">
        <v>1</v>
      </c>
      <c r="C589" s="186">
        <v>64.956124800000012</v>
      </c>
      <c r="D589" s="186">
        <v>0</v>
      </c>
    </row>
    <row r="590" spans="1:4" x14ac:dyDescent="0.25">
      <c r="A590" s="185">
        <v>9013526101</v>
      </c>
      <c r="B590" s="186">
        <v>3</v>
      </c>
      <c r="C590" s="186">
        <v>50411.553508799996</v>
      </c>
      <c r="D590" s="186">
        <v>8012.84</v>
      </c>
    </row>
    <row r="591" spans="1:4" x14ac:dyDescent="0.25">
      <c r="A591" s="185">
        <v>9013526102</v>
      </c>
      <c r="B591" s="186">
        <v>3</v>
      </c>
      <c r="C591" s="186">
        <v>167297.14085184</v>
      </c>
      <c r="D591" s="186">
        <v>82230.272499999992</v>
      </c>
    </row>
    <row r="592" spans="1:4" x14ac:dyDescent="0.25">
      <c r="A592" s="185">
        <v>9013528100</v>
      </c>
      <c r="B592" s="186">
        <v>2</v>
      </c>
      <c r="C592" s="186">
        <v>78607.984982399983</v>
      </c>
      <c r="D592" s="186">
        <v>28236.48</v>
      </c>
    </row>
    <row r="593" spans="1:4" x14ac:dyDescent="0.25">
      <c r="A593" s="185">
        <v>9013529100</v>
      </c>
      <c r="B593" s="186">
        <v>2</v>
      </c>
      <c r="C593" s="186">
        <v>122846.97636288</v>
      </c>
      <c r="D593" s="186">
        <v>98228.382099999988</v>
      </c>
    </row>
    <row r="594" spans="1:4" x14ac:dyDescent="0.25">
      <c r="A594" s="185">
        <v>9013530100</v>
      </c>
      <c r="B594" s="186">
        <v>2</v>
      </c>
      <c r="C594" s="186">
        <v>34112.597808960003</v>
      </c>
      <c r="D594" s="186">
        <v>8725.9500000000007</v>
      </c>
    </row>
    <row r="595" spans="1:4" x14ac:dyDescent="0.25">
      <c r="A595" s="185">
        <v>9013530200</v>
      </c>
      <c r="B595" s="186">
        <v>1</v>
      </c>
      <c r="C595" s="186">
        <v>78604.228051200014</v>
      </c>
      <c r="D595" s="186">
        <v>29090.1</v>
      </c>
    </row>
    <row r="596" spans="1:4" x14ac:dyDescent="0.25">
      <c r="A596" s="185">
        <v>9013530301</v>
      </c>
      <c r="B596" s="186">
        <v>2</v>
      </c>
      <c r="C596" s="186">
        <v>74682.751368959987</v>
      </c>
      <c r="D596" s="186">
        <v>23277.45</v>
      </c>
    </row>
    <row r="597" spans="1:4" x14ac:dyDescent="0.25">
      <c r="A597" s="185">
        <v>9013530302</v>
      </c>
      <c r="B597" s="186">
        <v>2</v>
      </c>
      <c r="C597" s="186">
        <v>311447.5732944</v>
      </c>
      <c r="D597" s="186">
        <v>217918.8671</v>
      </c>
    </row>
    <row r="598" spans="1:4" x14ac:dyDescent="0.25">
      <c r="A598" s="185">
        <v>9013530400</v>
      </c>
      <c r="B598" s="186">
        <v>1</v>
      </c>
      <c r="C598" s="186">
        <v>65216.719788479997</v>
      </c>
      <c r="D598" s="186">
        <v>10887.23</v>
      </c>
    </row>
    <row r="599" spans="1:4" x14ac:dyDescent="0.25">
      <c r="A599" s="185">
        <v>9013530500</v>
      </c>
      <c r="B599" s="186">
        <v>2</v>
      </c>
      <c r="C599" s="186">
        <v>59279.894383679995</v>
      </c>
      <c r="D599" s="186">
        <v>19884.302</v>
      </c>
    </row>
    <row r="600" spans="1:4" x14ac:dyDescent="0.25">
      <c r="A600" s="185">
        <v>9013530600</v>
      </c>
      <c r="B600" s="186">
        <v>3</v>
      </c>
      <c r="C600" s="186">
        <v>53855.719896959999</v>
      </c>
      <c r="D600" s="186">
        <v>19791.499500000002</v>
      </c>
    </row>
    <row r="601" spans="1:4" x14ac:dyDescent="0.25">
      <c r="A601" s="185">
        <v>9013533101</v>
      </c>
      <c r="B601" s="186">
        <v>1</v>
      </c>
      <c r="C601" s="186">
        <v>211485.03391584003</v>
      </c>
      <c r="D601" s="186">
        <v>124145.8175</v>
      </c>
    </row>
    <row r="602" spans="1:4" x14ac:dyDescent="0.25">
      <c r="A602" s="185">
        <v>9013533102</v>
      </c>
      <c r="B602" s="186">
        <v>1</v>
      </c>
      <c r="C602" s="186">
        <v>102545.04115008</v>
      </c>
      <c r="D602" s="186">
        <v>28463.101999999999</v>
      </c>
    </row>
    <row r="603" spans="1:4" x14ac:dyDescent="0.25">
      <c r="A603" s="185">
        <v>9013535100</v>
      </c>
      <c r="B603" s="186">
        <v>2</v>
      </c>
      <c r="C603" s="186">
        <v>268972.95316032</v>
      </c>
      <c r="D603" s="186">
        <v>200421.26310000001</v>
      </c>
    </row>
    <row r="604" spans="1:4" x14ac:dyDescent="0.25">
      <c r="A604" s="185">
        <v>9013535200</v>
      </c>
      <c r="B604" s="186">
        <v>3</v>
      </c>
      <c r="C604" s="186">
        <v>128274.11066304002</v>
      </c>
      <c r="D604" s="186">
        <v>36380.263400000003</v>
      </c>
    </row>
    <row r="605" spans="1:4" x14ac:dyDescent="0.25">
      <c r="A605" s="185">
        <v>9013538201</v>
      </c>
      <c r="B605" s="186">
        <v>2</v>
      </c>
      <c r="C605" s="186">
        <v>148310.85979008002</v>
      </c>
      <c r="D605" s="186">
        <v>83172.125400000004</v>
      </c>
    </row>
    <row r="606" spans="1:4" x14ac:dyDescent="0.25">
      <c r="A606" s="185">
        <v>9013538202</v>
      </c>
      <c r="B606" s="186">
        <v>2</v>
      </c>
      <c r="C606" s="186">
        <v>88507.348185600014</v>
      </c>
      <c r="D606" s="186">
        <v>22506.682400000002</v>
      </c>
    </row>
    <row r="607" spans="1:4" x14ac:dyDescent="0.25">
      <c r="A607" s="185">
        <v>9013840100</v>
      </c>
      <c r="B607" s="186">
        <v>3</v>
      </c>
      <c r="C607" s="186">
        <v>139058.61380352001</v>
      </c>
      <c r="D607" s="186">
        <v>60554.824200000003</v>
      </c>
    </row>
    <row r="608" spans="1:4" x14ac:dyDescent="0.25">
      <c r="A608" s="185">
        <v>9013850100</v>
      </c>
      <c r="B608" s="186">
        <v>2</v>
      </c>
      <c r="C608" s="186">
        <v>114692.35342752001</v>
      </c>
      <c r="D608" s="186">
        <v>26282.479299999999</v>
      </c>
    </row>
    <row r="609" spans="1:4" x14ac:dyDescent="0.25">
      <c r="A609" s="185">
        <v>9013850200</v>
      </c>
      <c r="B609" s="186">
        <v>3</v>
      </c>
      <c r="C609" s="186">
        <v>175187.60405568001</v>
      </c>
      <c r="D609" s="186">
        <v>98738.7261</v>
      </c>
    </row>
    <row r="610" spans="1:4" x14ac:dyDescent="0.25">
      <c r="A610" s="185">
        <v>9013860100</v>
      </c>
      <c r="B610" s="186">
        <v>2</v>
      </c>
      <c r="C610" s="186">
        <v>134528.00427360003</v>
      </c>
      <c r="D610" s="186">
        <v>44825.78</v>
      </c>
    </row>
    <row r="611" spans="1:4" x14ac:dyDescent="0.25">
      <c r="A611" s="185">
        <v>9013881100</v>
      </c>
      <c r="B611" s="186">
        <v>2</v>
      </c>
      <c r="C611" s="186">
        <v>88733.925290879997</v>
      </c>
      <c r="D611" s="186">
        <v>31198.000400000001</v>
      </c>
    </row>
    <row r="612" spans="1:4" x14ac:dyDescent="0.25">
      <c r="A612" s="185">
        <v>9013881200</v>
      </c>
      <c r="B612" s="186">
        <v>1</v>
      </c>
      <c r="C612" s="186">
        <v>5767.4219616000009</v>
      </c>
      <c r="D612" s="186">
        <v>154</v>
      </c>
    </row>
    <row r="613" spans="1:4" x14ac:dyDescent="0.25">
      <c r="A613" s="185">
        <v>9013881300</v>
      </c>
      <c r="B613" s="186">
        <v>1</v>
      </c>
      <c r="C613" s="186">
        <v>61596.592404479998</v>
      </c>
      <c r="D613" s="186">
        <v>16521.36</v>
      </c>
    </row>
    <row r="614" spans="1:4" x14ac:dyDescent="0.25">
      <c r="A614" s="185">
        <v>9013881500</v>
      </c>
      <c r="B614" s="186">
        <v>2</v>
      </c>
      <c r="C614" s="186">
        <v>210168.59654016001</v>
      </c>
      <c r="D614" s="186">
        <v>189906.91070000012</v>
      </c>
    </row>
    <row r="615" spans="1:4" x14ac:dyDescent="0.25">
      <c r="A615" s="185">
        <v>9013890100</v>
      </c>
      <c r="B615" s="186">
        <v>2</v>
      </c>
      <c r="C615" s="186">
        <v>80249.990258880003</v>
      </c>
      <c r="D615" s="186">
        <v>10995.81</v>
      </c>
    </row>
    <row r="616" spans="1:4" x14ac:dyDescent="0.25">
      <c r="A616" s="185">
        <v>9013890201</v>
      </c>
      <c r="B616" s="186">
        <v>3</v>
      </c>
      <c r="C616" s="186">
        <v>73817.042117760007</v>
      </c>
      <c r="D616" s="186">
        <v>15660.502799999998</v>
      </c>
    </row>
    <row r="617" spans="1:4" x14ac:dyDescent="0.25">
      <c r="A617" s="185">
        <v>9013890202</v>
      </c>
      <c r="B617" s="186">
        <v>3</v>
      </c>
      <c r="C617" s="186">
        <v>207622.50053183999</v>
      </c>
      <c r="D617" s="186">
        <v>94722.85</v>
      </c>
    </row>
    <row r="618" spans="1:4" x14ac:dyDescent="0.25">
      <c r="A618" s="185">
        <v>9015800300</v>
      </c>
      <c r="B618" s="186">
        <v>1</v>
      </c>
      <c r="C618" s="186">
        <v>46300.286966400003</v>
      </c>
      <c r="D618" s="186">
        <v>43359.29</v>
      </c>
    </row>
    <row r="619" spans="1:4" x14ac:dyDescent="0.25">
      <c r="A619" s="185">
        <v>9015800400</v>
      </c>
      <c r="B619" s="186">
        <v>1</v>
      </c>
      <c r="C619" s="186">
        <v>60159.073014720001</v>
      </c>
      <c r="D619" s="186">
        <v>17243.333500000001</v>
      </c>
    </row>
    <row r="620" spans="1:4" x14ac:dyDescent="0.25">
      <c r="A620" s="185">
        <v>9015800500</v>
      </c>
      <c r="B620" s="186">
        <v>1</v>
      </c>
      <c r="C620" s="186">
        <v>292503.24829727999</v>
      </c>
      <c r="D620" s="186">
        <v>489387.0355</v>
      </c>
    </row>
    <row r="621" spans="1:4" x14ac:dyDescent="0.25">
      <c r="A621" s="185">
        <v>9015800600</v>
      </c>
      <c r="B621" s="186">
        <v>1</v>
      </c>
      <c r="C621" s="186">
        <v>64791.193204800002</v>
      </c>
      <c r="D621" s="186">
        <v>890.52359999999999</v>
      </c>
    </row>
    <row r="622" spans="1:4" x14ac:dyDescent="0.25">
      <c r="A622" s="185">
        <v>9015800700</v>
      </c>
      <c r="B622" s="186">
        <v>1</v>
      </c>
      <c r="C622" s="186">
        <v>41272.490139839996</v>
      </c>
      <c r="D622" s="186">
        <v>41619.35</v>
      </c>
    </row>
    <row r="623" spans="1:4" x14ac:dyDescent="0.25">
      <c r="A623" s="185">
        <v>9015815000</v>
      </c>
      <c r="B623" s="186">
        <v>3</v>
      </c>
      <c r="C623" s="186">
        <v>56999.095027200012</v>
      </c>
      <c r="D623" s="186">
        <v>36685.682000000001</v>
      </c>
    </row>
    <row r="624" spans="1:4" x14ac:dyDescent="0.25">
      <c r="A624" s="185">
        <v>9015820000</v>
      </c>
      <c r="B624" s="186">
        <v>1</v>
      </c>
      <c r="C624" s="186">
        <v>44289.82572768</v>
      </c>
      <c r="D624" s="186">
        <v>11419.08</v>
      </c>
    </row>
    <row r="625" spans="1:4" x14ac:dyDescent="0.25">
      <c r="A625" s="185">
        <v>9015825000</v>
      </c>
      <c r="B625" s="186">
        <v>4</v>
      </c>
      <c r="C625" s="186">
        <v>35607.01936608</v>
      </c>
      <c r="D625" s="186">
        <v>15297.96</v>
      </c>
    </row>
    <row r="626" spans="1:4" x14ac:dyDescent="0.25">
      <c r="A626" s="185">
        <v>9015830100</v>
      </c>
      <c r="B626" s="186">
        <v>2</v>
      </c>
      <c r="C626" s="186">
        <v>113150.45502720001</v>
      </c>
      <c r="D626" s="186">
        <v>106590.4568</v>
      </c>
    </row>
    <row r="627" spans="1:4" x14ac:dyDescent="0.25">
      <c r="A627" s="185">
        <v>9015900100</v>
      </c>
      <c r="B627" s="186">
        <v>1</v>
      </c>
      <c r="C627" s="186">
        <v>131978.84541119999</v>
      </c>
      <c r="D627" s="186">
        <v>55611.319199999998</v>
      </c>
    </row>
    <row r="628" spans="1:4" x14ac:dyDescent="0.25">
      <c r="A628" s="185">
        <v>9015900200</v>
      </c>
      <c r="B628" s="186">
        <v>2</v>
      </c>
      <c r="C628" s="186">
        <v>78391.372138560007</v>
      </c>
      <c r="D628" s="186">
        <v>10634.31</v>
      </c>
    </row>
    <row r="629" spans="1:4" x14ac:dyDescent="0.25">
      <c r="A629" s="185">
        <v>9015901100</v>
      </c>
      <c r="B629" s="186">
        <v>4</v>
      </c>
      <c r="C629" s="186">
        <v>213563.97781632</v>
      </c>
      <c r="D629" s="186">
        <v>106399.69559999999</v>
      </c>
    </row>
    <row r="630" spans="1:4" x14ac:dyDescent="0.25">
      <c r="A630" s="185">
        <v>9015902200</v>
      </c>
      <c r="B630" s="186">
        <v>4</v>
      </c>
      <c r="C630" s="186">
        <v>45315.740597760006</v>
      </c>
      <c r="D630" s="186">
        <v>24413.994499999997</v>
      </c>
    </row>
    <row r="631" spans="1:4" x14ac:dyDescent="0.25">
      <c r="A631" s="185">
        <v>9015902500</v>
      </c>
      <c r="B631" s="186">
        <v>4</v>
      </c>
      <c r="C631" s="186">
        <v>105201.22913568001</v>
      </c>
      <c r="D631" s="186">
        <v>64848.626700000008</v>
      </c>
    </row>
    <row r="632" spans="1:4" x14ac:dyDescent="0.25">
      <c r="A632" s="185">
        <v>9015903100</v>
      </c>
      <c r="B632" s="186">
        <v>1</v>
      </c>
      <c r="C632" s="186">
        <v>224139.23609759999</v>
      </c>
      <c r="D632" s="186">
        <v>277851.3052</v>
      </c>
    </row>
    <row r="633" spans="1:4" x14ac:dyDescent="0.25">
      <c r="A633" s="185">
        <v>9015903200</v>
      </c>
      <c r="B633" s="186">
        <v>2</v>
      </c>
      <c r="C633" s="186">
        <v>45723.849840000003</v>
      </c>
      <c r="D633" s="186">
        <v>4946.6899999999996</v>
      </c>
    </row>
    <row r="634" spans="1:4" x14ac:dyDescent="0.25">
      <c r="A634" s="185">
        <v>9015904100</v>
      </c>
      <c r="B634" s="186">
        <v>2</v>
      </c>
      <c r="C634" s="186">
        <v>259775.91438047998</v>
      </c>
      <c r="D634" s="186">
        <v>230692.6937</v>
      </c>
    </row>
    <row r="635" spans="1:4" x14ac:dyDescent="0.25">
      <c r="A635" s="185">
        <v>9015904400</v>
      </c>
      <c r="B635" s="186">
        <v>1</v>
      </c>
      <c r="C635" s="186">
        <v>60618.712996800001</v>
      </c>
      <c r="D635" s="186">
        <v>12798.2778</v>
      </c>
    </row>
    <row r="636" spans="1:4" x14ac:dyDescent="0.25">
      <c r="A636" s="185">
        <v>9015904500</v>
      </c>
      <c r="B636" s="186">
        <v>1</v>
      </c>
      <c r="C636" s="186">
        <v>103701.58665984</v>
      </c>
      <c r="D636" s="186">
        <v>41168.17</v>
      </c>
    </row>
    <row r="637" spans="1:4" x14ac:dyDescent="0.25">
      <c r="A637" s="185">
        <v>9015905100</v>
      </c>
      <c r="B637" s="186">
        <v>3</v>
      </c>
      <c r="C637" s="186">
        <v>191417.40790848</v>
      </c>
      <c r="D637" s="186">
        <v>124998.14720000001</v>
      </c>
    </row>
    <row r="638" spans="1:4" x14ac:dyDescent="0.25">
      <c r="A638" s="185">
        <v>9015906100</v>
      </c>
      <c r="B638" s="186">
        <v>2</v>
      </c>
      <c r="C638" s="186">
        <v>116975.7345888</v>
      </c>
      <c r="D638" s="186">
        <v>37815.000800000002</v>
      </c>
    </row>
    <row r="639" spans="1:4" x14ac:dyDescent="0.25">
      <c r="A639" s="185">
        <v>9015907100</v>
      </c>
      <c r="B639" s="186">
        <v>2</v>
      </c>
      <c r="C639" s="186">
        <v>74094.42809952001</v>
      </c>
      <c r="D639" s="186">
        <v>10386.07</v>
      </c>
    </row>
    <row r="640" spans="1:4" x14ac:dyDescent="0.25">
      <c r="A640" s="185">
        <v>9015907200</v>
      </c>
      <c r="B640" s="186">
        <v>3</v>
      </c>
      <c r="C640" s="186">
        <v>95656.089551040015</v>
      </c>
      <c r="D640" s="186">
        <v>24022.759900000001</v>
      </c>
    </row>
    <row r="641" spans="1:4" x14ac:dyDescent="0.25">
      <c r="A641" s="185">
        <v>9015907300</v>
      </c>
      <c r="B641" s="186">
        <v>1</v>
      </c>
      <c r="C641" s="186">
        <v>207982.41048864002</v>
      </c>
      <c r="D641" s="186">
        <v>197372.1023</v>
      </c>
    </row>
    <row r="642" spans="1:4" x14ac:dyDescent="0.25">
      <c r="A642" s="185">
        <v>9015908100</v>
      </c>
      <c r="B642" s="186">
        <v>4</v>
      </c>
      <c r="C642" s="186">
        <v>86048.875506240001</v>
      </c>
      <c r="D642" s="186">
        <v>33246.379999999997</v>
      </c>
    </row>
    <row r="643" spans="1:4" x14ac:dyDescent="0.25">
      <c r="A643" s="185" t="s">
        <v>2702</v>
      </c>
      <c r="B643" s="186">
        <v>1</v>
      </c>
      <c r="C643" s="186">
        <v>70659148.926617205</v>
      </c>
      <c r="D643" s="186">
        <v>44405301.081499971</v>
      </c>
    </row>
    <row r="644" spans="1:4" x14ac:dyDescent="0.25">
      <c r="A644" s="185" t="s">
        <v>951</v>
      </c>
      <c r="B644" s="186" t="e">
        <v>#N/A</v>
      </c>
      <c r="C644" s="186">
        <v>141318297.85323447</v>
      </c>
      <c r="D644" s="186">
        <v>88810602.162999988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341A9-99DD-4FB1-9844-C1EDDBA14169}">
  <sheetPr>
    <tabColor theme="6" tint="0.59999389629810485"/>
    <pageSetUpPr fitToPage="1"/>
  </sheetPr>
  <dimension ref="A1:S940"/>
  <sheetViews>
    <sheetView zoomScale="90" zoomScaleNormal="90" workbookViewId="0">
      <pane ySplit="5" topLeftCell="A6" activePane="bottomLeft" state="frozen"/>
      <selection pane="bottomLeft" activeCell="B793" sqref="B793"/>
    </sheetView>
  </sheetViews>
  <sheetFormatPr defaultRowHeight="15" x14ac:dyDescent="0.25"/>
  <cols>
    <col min="1" max="1" width="15.7109375" customWidth="1"/>
    <col min="2" max="2" width="23.28515625" customWidth="1"/>
    <col min="3" max="3" width="20" customWidth="1"/>
    <col min="4" max="4" width="20.7109375" style="36" customWidth="1"/>
    <col min="5" max="5" width="20.7109375" style="35" customWidth="1"/>
    <col min="6" max="6" width="20.7109375" style="36" customWidth="1"/>
    <col min="7" max="7" width="20.7109375" style="35" customWidth="1"/>
    <col min="8" max="8" width="20.7109375" style="34" customWidth="1"/>
    <col min="9" max="9" width="20.7109375" style="29" customWidth="1"/>
    <col min="10" max="10" width="20.7109375" customWidth="1"/>
    <col min="11" max="11" width="20.7109375" style="29" customWidth="1"/>
    <col min="12" max="12" width="20.7109375" customWidth="1"/>
    <col min="13" max="13" width="20.7109375" style="29" customWidth="1"/>
    <col min="14" max="14" width="20.7109375" customWidth="1"/>
    <col min="15" max="15" width="20.7109375" style="29" customWidth="1"/>
    <col min="16" max="16" width="20.5703125" customWidth="1"/>
    <col min="17" max="18" width="14.140625" customWidth="1"/>
    <col min="19" max="19" width="12.7109375" customWidth="1"/>
  </cols>
  <sheetData>
    <row r="1" spans="1:19" ht="18.75" customHeight="1" x14ac:dyDescent="0.25">
      <c r="A1" s="305" t="s">
        <v>2703</v>
      </c>
      <c r="B1" s="306"/>
      <c r="C1" s="306"/>
      <c r="D1" s="306"/>
      <c r="E1" s="306"/>
      <c r="F1" s="306"/>
      <c r="G1" s="306"/>
      <c r="H1" s="306"/>
      <c r="I1" s="306"/>
      <c r="J1" s="306"/>
      <c r="K1" s="306"/>
      <c r="L1" s="306"/>
      <c r="M1" s="306"/>
      <c r="N1" s="306"/>
      <c r="O1" s="307"/>
    </row>
    <row r="2" spans="1:19" ht="15.75" customHeight="1" thickBot="1" x14ac:dyDescent="0.3">
      <c r="A2" s="308"/>
      <c r="B2" s="309"/>
      <c r="C2" s="309"/>
      <c r="D2" s="309"/>
      <c r="E2" s="309"/>
      <c r="F2" s="309"/>
      <c r="G2" s="309"/>
      <c r="H2" s="309"/>
      <c r="I2" s="309"/>
      <c r="J2" s="309"/>
      <c r="K2" s="309"/>
      <c r="L2" s="309"/>
      <c r="M2" s="309"/>
      <c r="N2" s="309"/>
      <c r="O2" s="310"/>
    </row>
    <row r="3" spans="1:19" ht="16.5" thickBot="1" x14ac:dyDescent="0.3">
      <c r="A3" s="318" t="s">
        <v>2686</v>
      </c>
      <c r="B3" s="319"/>
      <c r="C3" s="319"/>
      <c r="D3" s="302" t="s">
        <v>2689</v>
      </c>
      <c r="E3" s="303"/>
      <c r="F3" s="303"/>
      <c r="G3" s="303"/>
      <c r="H3" s="303"/>
      <c r="I3" s="303"/>
      <c r="J3" s="303"/>
      <c r="K3" s="303"/>
      <c r="L3" s="303"/>
      <c r="M3" s="303"/>
      <c r="N3" s="303"/>
      <c r="O3" s="304"/>
    </row>
    <row r="4" spans="1:19" x14ac:dyDescent="0.25">
      <c r="A4" s="320"/>
      <c r="B4" s="321"/>
      <c r="C4" s="322"/>
      <c r="D4" s="314" t="s">
        <v>2691</v>
      </c>
      <c r="E4" s="315"/>
      <c r="F4" s="315"/>
      <c r="G4" s="315"/>
      <c r="H4" s="316" t="s">
        <v>2692</v>
      </c>
      <c r="I4" s="317"/>
      <c r="J4" s="317"/>
      <c r="K4" s="317"/>
      <c r="L4" s="311" t="s">
        <v>2693</v>
      </c>
      <c r="M4" s="312"/>
      <c r="N4" s="312"/>
      <c r="O4" s="313"/>
    </row>
    <row r="5" spans="1:19" ht="74.25" customHeight="1" x14ac:dyDescent="0.25">
      <c r="A5" s="50" t="s">
        <v>2704</v>
      </c>
      <c r="B5" s="50" t="s">
        <v>2705</v>
      </c>
      <c r="C5" s="49" t="s">
        <v>2706</v>
      </c>
      <c r="D5" s="48" t="s">
        <v>2707</v>
      </c>
      <c r="E5" s="47" t="s">
        <v>2708</v>
      </c>
      <c r="F5" s="48" t="s">
        <v>2709</v>
      </c>
      <c r="G5" s="47" t="s">
        <v>2710</v>
      </c>
      <c r="H5" s="46" t="s">
        <v>2711</v>
      </c>
      <c r="I5" s="45" t="s">
        <v>2712</v>
      </c>
      <c r="J5" s="46" t="s">
        <v>2713</v>
      </c>
      <c r="K5" s="45" t="s">
        <v>2714</v>
      </c>
      <c r="L5" s="46" t="s">
        <v>2715</v>
      </c>
      <c r="M5" s="45" t="s">
        <v>2716</v>
      </c>
      <c r="N5" s="46" t="s">
        <v>2717</v>
      </c>
      <c r="O5" s="45" t="s">
        <v>2718</v>
      </c>
      <c r="P5" s="115" t="s">
        <v>2719</v>
      </c>
      <c r="Q5" s="115" t="s">
        <v>2720</v>
      </c>
      <c r="R5" s="170" t="s">
        <v>2721</v>
      </c>
      <c r="S5" s="170" t="s">
        <v>2722</v>
      </c>
    </row>
    <row r="6" spans="1:19" hidden="1" x14ac:dyDescent="0.25">
      <c r="A6" s="140">
        <v>9013528100</v>
      </c>
      <c r="B6" s="39" t="s">
        <v>2723</v>
      </c>
      <c r="C6" s="39" t="s">
        <v>944</v>
      </c>
      <c r="D6" s="41">
        <v>78377.260780799988</v>
      </c>
      <c r="E6" s="37">
        <v>6.9533496548274587E-4</v>
      </c>
      <c r="F6" s="41">
        <v>28236.48</v>
      </c>
      <c r="G6" s="37">
        <v>3.4546350888550357E-4</v>
      </c>
      <c r="H6" s="41">
        <v>66033.272865599996</v>
      </c>
      <c r="I6" s="37">
        <v>5.8582352906064476E-4</v>
      </c>
      <c r="J6" s="42">
        <v>14369.65</v>
      </c>
      <c r="K6" s="37">
        <v>1.7580766832326749E-4</v>
      </c>
      <c r="L6" s="38">
        <v>12343.987915199999</v>
      </c>
      <c r="M6" s="37">
        <v>1.0951143642210119E-4</v>
      </c>
      <c r="N6" s="42">
        <v>13866.83</v>
      </c>
      <c r="O6" s="37">
        <v>1.6965584056223608E-4</v>
      </c>
      <c r="Q6">
        <f>VLOOKUP(Table3[[#This Row],[Census Tract]],'Population and Diversity Data'!$B$2:$K$823,10,FALSE)</f>
        <v>1</v>
      </c>
      <c r="R6" t="str">
        <f>VLOOKUP(Table3[[#This Row],[Census Tract]],'ES Energy Burden'!$B$2:$E$914,4,FALSE)</f>
        <v>No</v>
      </c>
    </row>
    <row r="7" spans="1:19" hidden="1" x14ac:dyDescent="0.25">
      <c r="A7" s="140">
        <v>9013529100</v>
      </c>
      <c r="B7" s="39" t="s">
        <v>2723</v>
      </c>
      <c r="C7" s="39" t="s">
        <v>944</v>
      </c>
      <c r="D7" s="41">
        <v>992.09612159999995</v>
      </c>
      <c r="E7" s="37">
        <v>8.8015212013800227E-6</v>
      </c>
      <c r="F7" s="41">
        <v>0</v>
      </c>
      <c r="G7" s="37">
        <v>0</v>
      </c>
      <c r="H7" s="41">
        <v>992.09612159999995</v>
      </c>
      <c r="I7" s="37">
        <v>8.8015212013800227E-6</v>
      </c>
      <c r="J7" s="42">
        <v>0</v>
      </c>
      <c r="K7" s="37">
        <v>0</v>
      </c>
      <c r="L7" s="38">
        <v>0</v>
      </c>
      <c r="M7" s="37">
        <v>0</v>
      </c>
      <c r="N7" s="42">
        <v>0</v>
      </c>
      <c r="O7" s="37">
        <v>0</v>
      </c>
      <c r="Q7">
        <f>VLOOKUP(Table3[[#This Row],[Census Tract]],'Population and Diversity Data'!$B$2:$K$823,10,FALSE)</f>
        <v>2</v>
      </c>
      <c r="R7" t="str">
        <f>VLOOKUP(Table3[[#This Row],[Census Tract]],'ES Energy Burden'!$B$2:$E$914,4,FALSE)</f>
        <v>No</v>
      </c>
    </row>
    <row r="8" spans="1:19" hidden="1" x14ac:dyDescent="0.25">
      <c r="A8" s="140">
        <v>9013850100</v>
      </c>
      <c r="B8" s="39" t="s">
        <v>2723</v>
      </c>
      <c r="C8" s="39" t="s">
        <v>944</v>
      </c>
      <c r="D8" s="41">
        <v>209.21302080000001</v>
      </c>
      <c r="E8" s="37">
        <v>1.8560629339083183E-6</v>
      </c>
      <c r="F8" s="41">
        <v>0</v>
      </c>
      <c r="G8" s="37">
        <v>0</v>
      </c>
      <c r="H8" s="41">
        <v>209.21302080000001</v>
      </c>
      <c r="I8" s="37">
        <v>1.8560629339083183E-6</v>
      </c>
      <c r="J8" s="42">
        <v>0</v>
      </c>
      <c r="K8" s="37">
        <v>0</v>
      </c>
      <c r="L8" s="38">
        <v>0</v>
      </c>
      <c r="M8" s="37">
        <v>0</v>
      </c>
      <c r="N8" s="42">
        <v>0</v>
      </c>
      <c r="O8" s="37">
        <v>0</v>
      </c>
      <c r="Q8">
        <f>VLOOKUP(Table3[[#This Row],[Census Tract]],'Population and Diversity Data'!$B$2:$K$823,10,FALSE)</f>
        <v>3</v>
      </c>
      <c r="R8" t="str">
        <f>VLOOKUP(Table3[[#This Row],[Census Tract]],'ES Energy Burden'!$B$2:$E$914,4,FALSE)</f>
        <v>No</v>
      </c>
    </row>
    <row r="9" spans="1:19" hidden="1" x14ac:dyDescent="0.25">
      <c r="A9" s="140">
        <v>9015830100</v>
      </c>
      <c r="B9" s="39" t="s">
        <v>2724</v>
      </c>
      <c r="C9" s="39" t="s">
        <v>944</v>
      </c>
      <c r="D9" s="41">
        <v>112486.96013760001</v>
      </c>
      <c r="E9" s="37">
        <v>9.9794399249657933E-4</v>
      </c>
      <c r="F9" s="41">
        <v>106590.4568</v>
      </c>
      <c r="G9" s="37">
        <v>1.3040971544553955E-3</v>
      </c>
      <c r="H9" s="41">
        <v>88003.867884480002</v>
      </c>
      <c r="I9" s="37">
        <v>7.8073877331514521E-4</v>
      </c>
      <c r="J9" s="42">
        <v>106590.4568</v>
      </c>
      <c r="K9" s="37">
        <v>1.3040971544553955E-3</v>
      </c>
      <c r="L9" s="38">
        <v>24483.092253120005</v>
      </c>
      <c r="M9" s="37">
        <v>2.1720521918143412E-4</v>
      </c>
      <c r="N9" s="42">
        <v>0</v>
      </c>
      <c r="O9" s="37">
        <v>0</v>
      </c>
      <c r="Q9">
        <f>VLOOKUP(Table3[[#This Row],[Census Tract]],'Population and Diversity Data'!$B$2:$K$823,10,FALSE)</f>
        <v>4</v>
      </c>
      <c r="R9" t="str">
        <f>VLOOKUP(Table3[[#This Row],[Census Tract]],'ES Energy Burden'!$B$2:$E$914,4,FALSE)</f>
        <v>No</v>
      </c>
    </row>
    <row r="10" spans="1:19" hidden="1" x14ac:dyDescent="0.25">
      <c r="A10" s="140">
        <v>9015902200</v>
      </c>
      <c r="B10" s="39" t="s">
        <v>2724</v>
      </c>
      <c r="C10" s="39" t="s">
        <v>944</v>
      </c>
      <c r="D10" s="41">
        <v>1561.7371968000002</v>
      </c>
      <c r="E10" s="37">
        <v>1.3855172648443309E-5</v>
      </c>
      <c r="F10" s="41">
        <v>2802.3708999999999</v>
      </c>
      <c r="G10" s="37">
        <v>3.4286032972687342E-5</v>
      </c>
      <c r="H10" s="41">
        <v>1561.7371968000002</v>
      </c>
      <c r="I10" s="37">
        <v>1.3855172648443309E-5</v>
      </c>
      <c r="J10" s="42">
        <v>2802.3708999999999</v>
      </c>
      <c r="K10" s="37">
        <v>3.4286032972687342E-5</v>
      </c>
      <c r="L10" s="38">
        <v>0</v>
      </c>
      <c r="M10" s="37">
        <v>0</v>
      </c>
      <c r="N10" s="42">
        <v>0</v>
      </c>
      <c r="O10" s="37">
        <v>0</v>
      </c>
      <c r="Q10">
        <f>VLOOKUP(Table3[[#This Row],[Census Tract]],'Population and Diversity Data'!$B$2:$K$823,10,FALSE)</f>
        <v>2</v>
      </c>
      <c r="R10" t="str">
        <f>VLOOKUP(Table3[[#This Row],[Census Tract]],'ES Energy Burden'!$B$2:$E$914,4,FALSE)</f>
        <v>No</v>
      </c>
    </row>
    <row r="11" spans="1:19" hidden="1" x14ac:dyDescent="0.25">
      <c r="A11" s="140">
        <v>9003460301</v>
      </c>
      <c r="B11" s="39" t="s">
        <v>2725</v>
      </c>
      <c r="C11" s="39" t="s">
        <v>944</v>
      </c>
      <c r="D11" s="41">
        <v>456.74789760000004</v>
      </c>
      <c r="E11" s="37">
        <v>4.0521036388377228E-6</v>
      </c>
      <c r="F11" s="41">
        <v>0</v>
      </c>
      <c r="G11" s="37">
        <v>0</v>
      </c>
      <c r="H11" s="41">
        <v>456.74789760000004</v>
      </c>
      <c r="I11" s="37">
        <v>4.0521036388377228E-6</v>
      </c>
      <c r="J11" s="42">
        <v>0</v>
      </c>
      <c r="K11" s="37">
        <v>0</v>
      </c>
      <c r="L11" s="38">
        <v>0</v>
      </c>
      <c r="M11" s="37">
        <v>0</v>
      </c>
      <c r="N11" s="42">
        <v>0</v>
      </c>
      <c r="O11" s="37">
        <v>0</v>
      </c>
      <c r="Q11">
        <f>VLOOKUP(Table3[[#This Row],[Census Tract]],'Population and Diversity Data'!$B$2:$K$823,10,FALSE)</f>
        <v>3</v>
      </c>
      <c r="R11" t="str">
        <f>VLOOKUP(Table3[[#This Row],[Census Tract]],'ES Energy Burden'!$B$2:$E$914,4,FALSE)</f>
        <v>No</v>
      </c>
    </row>
    <row r="12" spans="1:19" hidden="1" x14ac:dyDescent="0.25">
      <c r="A12" s="140">
        <v>9003460302</v>
      </c>
      <c r="B12" s="39" t="s">
        <v>2725</v>
      </c>
      <c r="C12" s="39" t="s">
        <v>944</v>
      </c>
      <c r="D12" s="41">
        <v>1956.2149727999999</v>
      </c>
      <c r="E12" s="37">
        <v>1.7354838087451147E-5</v>
      </c>
      <c r="F12" s="41">
        <v>0</v>
      </c>
      <c r="G12" s="37">
        <v>0</v>
      </c>
      <c r="H12" s="41">
        <v>1956.2149727999999</v>
      </c>
      <c r="I12" s="37">
        <v>1.7354838087451147E-5</v>
      </c>
      <c r="J12" s="42">
        <v>0</v>
      </c>
      <c r="K12" s="37">
        <v>0</v>
      </c>
      <c r="L12" s="38">
        <v>0</v>
      </c>
      <c r="M12" s="37">
        <v>0</v>
      </c>
      <c r="N12" s="42">
        <v>0</v>
      </c>
      <c r="O12" s="37">
        <v>0</v>
      </c>
      <c r="Q12">
        <f>VLOOKUP(Table3[[#This Row],[Census Tract]],'Population and Diversity Data'!$B$2:$K$823,10,FALSE)</f>
        <v>3</v>
      </c>
      <c r="R12" t="str">
        <f>VLOOKUP(Table3[[#This Row],[Census Tract]],'ES Energy Burden'!$B$2:$E$914,4,FALSE)</f>
        <v>No</v>
      </c>
    </row>
    <row r="13" spans="1:19" hidden="1" x14ac:dyDescent="0.25">
      <c r="A13" s="140">
        <v>9003462101</v>
      </c>
      <c r="B13" s="39" t="s">
        <v>2725</v>
      </c>
      <c r="C13" s="39" t="s">
        <v>944</v>
      </c>
      <c r="D13" s="41">
        <v>275379.37238880002</v>
      </c>
      <c r="E13" s="37">
        <v>2.4430670897028005E-3</v>
      </c>
      <c r="F13" s="41">
        <v>220994.56520000001</v>
      </c>
      <c r="G13" s="37">
        <v>2.7037916177447829E-3</v>
      </c>
      <c r="H13" s="41">
        <v>138431.24565696</v>
      </c>
      <c r="I13" s="37">
        <v>1.2281123946117235E-3</v>
      </c>
      <c r="J13" s="42">
        <v>186175.93520000001</v>
      </c>
      <c r="K13" s="37">
        <v>2.2777977936425551E-3</v>
      </c>
      <c r="L13" s="38">
        <v>136948.12673184002</v>
      </c>
      <c r="M13" s="37">
        <v>1.214954695091077E-3</v>
      </c>
      <c r="N13" s="42">
        <v>34818.629999999997</v>
      </c>
      <c r="O13" s="37">
        <v>4.2599382410222732E-4</v>
      </c>
      <c r="Q13">
        <f>VLOOKUP(Table3[[#This Row],[Census Tract]],'Population and Diversity Data'!$B$2:$K$823,10,FALSE)</f>
        <v>4</v>
      </c>
      <c r="R13" t="str">
        <f>VLOOKUP(Table3[[#This Row],[Census Tract]],'ES Energy Burden'!$B$2:$E$914,4,FALSE)</f>
        <v>No</v>
      </c>
    </row>
    <row r="14" spans="1:19" hidden="1" x14ac:dyDescent="0.25">
      <c r="A14" s="140">
        <v>9003462102</v>
      </c>
      <c r="B14" s="39" t="s">
        <v>2725</v>
      </c>
      <c r="C14" s="39" t="s">
        <v>944</v>
      </c>
      <c r="D14" s="41">
        <v>95029.398115199991</v>
      </c>
      <c r="E14" s="37">
        <v>8.4306675941481224E-4</v>
      </c>
      <c r="F14" s="41">
        <v>14426.35</v>
      </c>
      <c r="G14" s="37">
        <v>1.7650137309644775E-4</v>
      </c>
      <c r="H14" s="41">
        <v>95029.398115199991</v>
      </c>
      <c r="I14" s="37">
        <v>8.4306675941481224E-4</v>
      </c>
      <c r="J14" s="42">
        <v>14426.35</v>
      </c>
      <c r="K14" s="37">
        <v>1.7650137309644775E-4</v>
      </c>
      <c r="L14" s="38">
        <v>0</v>
      </c>
      <c r="M14" s="37">
        <v>0</v>
      </c>
      <c r="N14" s="42">
        <v>0</v>
      </c>
      <c r="O14" s="37">
        <v>0</v>
      </c>
      <c r="Q14">
        <f>VLOOKUP(Table3[[#This Row],[Census Tract]],'Population and Diversity Data'!$B$2:$K$823,10,FALSE)</f>
        <v>4</v>
      </c>
      <c r="R14" t="str">
        <f>VLOOKUP(Table3[[#This Row],[Census Tract]],'ES Energy Burden'!$B$2:$E$914,4,FALSE)</f>
        <v>No</v>
      </c>
    </row>
    <row r="15" spans="1:19" hidden="1" x14ac:dyDescent="0.25">
      <c r="A15" s="140">
        <v>9003462201</v>
      </c>
      <c r="B15" s="39" t="s">
        <v>2725</v>
      </c>
      <c r="C15" s="39" t="s">
        <v>944</v>
      </c>
      <c r="D15" s="41">
        <v>111900.19984415999</v>
      </c>
      <c r="E15" s="37">
        <v>9.9273846548120171E-4</v>
      </c>
      <c r="F15" s="41">
        <v>68021.914199999999</v>
      </c>
      <c r="G15" s="37">
        <v>8.3222445434560758E-4</v>
      </c>
      <c r="H15" s="41">
        <v>111899.55728735999</v>
      </c>
      <c r="I15" s="37">
        <v>9.9273276494757866E-4</v>
      </c>
      <c r="J15" s="42">
        <v>68021.914199999999</v>
      </c>
      <c r="K15" s="37">
        <v>8.3222445434560758E-4</v>
      </c>
      <c r="L15" s="38">
        <v>0.64255680000000004</v>
      </c>
      <c r="M15" s="37">
        <v>5.7005336228611085E-9</v>
      </c>
      <c r="N15" s="42">
        <v>0</v>
      </c>
      <c r="O15" s="37">
        <v>0</v>
      </c>
      <c r="Q15">
        <f>VLOOKUP(Table3[[#This Row],[Census Tract]],'Population and Diversity Data'!$B$2:$K$823,10,FALSE)</f>
        <v>4</v>
      </c>
      <c r="R15" t="str">
        <f>VLOOKUP(Table3[[#This Row],[Census Tract]],'ES Energy Burden'!$B$2:$E$914,4,FALSE)</f>
        <v>No</v>
      </c>
    </row>
    <row r="16" spans="1:19" hidden="1" x14ac:dyDescent="0.25">
      <c r="A16" s="140">
        <v>9003462202</v>
      </c>
      <c r="B16" s="39" t="s">
        <v>2725</v>
      </c>
      <c r="C16" s="39" t="s">
        <v>944</v>
      </c>
      <c r="D16" s="41">
        <v>83246.663882880006</v>
      </c>
      <c r="E16" s="37">
        <v>7.3853456450134053E-4</v>
      </c>
      <c r="F16" s="41">
        <v>17796.78</v>
      </c>
      <c r="G16" s="37">
        <v>2.1773741152095983E-4</v>
      </c>
      <c r="H16" s="41">
        <v>83246.663882880006</v>
      </c>
      <c r="I16" s="37">
        <v>7.3853456450134053E-4</v>
      </c>
      <c r="J16" s="42">
        <v>17796.78</v>
      </c>
      <c r="K16" s="37">
        <v>2.1773741152095983E-4</v>
      </c>
      <c r="L16" s="38">
        <v>0</v>
      </c>
      <c r="M16" s="37">
        <v>0</v>
      </c>
      <c r="N16" s="42">
        <v>0</v>
      </c>
      <c r="O16" s="37">
        <v>0</v>
      </c>
      <c r="Q16">
        <f>VLOOKUP(Table3[[#This Row],[Census Tract]],'Population and Diversity Data'!$B$2:$K$823,10,FALSE)</f>
        <v>5</v>
      </c>
      <c r="R16" t="str">
        <f>VLOOKUP(Table3[[#This Row],[Census Tract]],'ES Energy Burden'!$B$2:$E$914,4,FALSE)</f>
        <v>No</v>
      </c>
    </row>
    <row r="17" spans="1:18" hidden="1" x14ac:dyDescent="0.25">
      <c r="A17" s="140">
        <v>9003330100</v>
      </c>
      <c r="B17" s="39" t="s">
        <v>2726</v>
      </c>
      <c r="C17" s="39" t="s">
        <v>944</v>
      </c>
      <c r="D17" s="41">
        <v>3140.5924540799997</v>
      </c>
      <c r="E17" s="37">
        <v>2.7862210593969155E-5</v>
      </c>
      <c r="F17" s="41">
        <v>0</v>
      </c>
      <c r="G17" s="37">
        <v>0</v>
      </c>
      <c r="H17" s="41">
        <v>3140.5924540799997</v>
      </c>
      <c r="I17" s="37">
        <v>2.7862210593969155E-5</v>
      </c>
      <c r="J17" s="42">
        <v>0</v>
      </c>
      <c r="K17" s="37">
        <v>0</v>
      </c>
      <c r="L17" s="38">
        <v>0</v>
      </c>
      <c r="M17" s="37">
        <v>0</v>
      </c>
      <c r="N17" s="42">
        <v>0</v>
      </c>
      <c r="O17" s="37">
        <v>0</v>
      </c>
      <c r="Q17">
        <f>VLOOKUP(Table3[[#This Row],[Census Tract]],'Population and Diversity Data'!$B$2:$K$823,10,FALSE)</f>
        <v>3</v>
      </c>
      <c r="R17" t="str">
        <f>VLOOKUP(Table3[[#This Row],[Census Tract]],'ES Energy Burden'!$B$2:$E$914,4,FALSE)</f>
        <v>No</v>
      </c>
    </row>
    <row r="18" spans="1:18" hidden="1" x14ac:dyDescent="0.25">
      <c r="A18" s="140">
        <v>9005290100</v>
      </c>
      <c r="B18" s="39" t="s">
        <v>2726</v>
      </c>
      <c r="C18" s="39" t="s">
        <v>944</v>
      </c>
      <c r="D18" s="41">
        <v>80928.668013120012</v>
      </c>
      <c r="E18" s="37">
        <v>7.1797013596643121E-4</v>
      </c>
      <c r="F18" s="41">
        <v>51220.400099999999</v>
      </c>
      <c r="G18" s="37">
        <v>6.2666377484252279E-4</v>
      </c>
      <c r="H18" s="41">
        <v>72807.389144640008</v>
      </c>
      <c r="I18" s="37">
        <v>6.4592106069339436E-4</v>
      </c>
      <c r="J18" s="42">
        <v>47244.700100000002</v>
      </c>
      <c r="K18" s="37">
        <v>5.7802246855094195E-4</v>
      </c>
      <c r="L18" s="38">
        <v>8121.2788684800007</v>
      </c>
      <c r="M18" s="37">
        <v>7.2049075273036814E-5</v>
      </c>
      <c r="N18" s="42">
        <v>3975.7</v>
      </c>
      <c r="O18" s="37">
        <v>4.8641306291580841E-5</v>
      </c>
      <c r="Q18">
        <f>VLOOKUP(Table3[[#This Row],[Census Tract]],'Population and Diversity Data'!$B$2:$K$823,10,FALSE)</f>
        <v>2</v>
      </c>
      <c r="R18" t="str">
        <f>VLOOKUP(Table3[[#This Row],[Census Tract]],'ES Energy Burden'!$B$2:$E$914,4,FALSE)</f>
        <v>No</v>
      </c>
    </row>
    <row r="19" spans="1:18" hidden="1" x14ac:dyDescent="0.25">
      <c r="A19" s="140">
        <v>9005320100</v>
      </c>
      <c r="B19" s="39" t="s">
        <v>2726</v>
      </c>
      <c r="C19" s="39" t="s">
        <v>944</v>
      </c>
      <c r="D19" s="41">
        <v>168.22252800000001</v>
      </c>
      <c r="E19" s="37">
        <v>1.4924099736967913E-6</v>
      </c>
      <c r="F19" s="41">
        <v>0</v>
      </c>
      <c r="G19" s="37">
        <v>0</v>
      </c>
      <c r="H19" s="41">
        <v>168.22252800000001</v>
      </c>
      <c r="I19" s="37">
        <v>1.4924099736967913E-6</v>
      </c>
      <c r="J19" s="42">
        <v>0</v>
      </c>
      <c r="K19" s="37">
        <v>0</v>
      </c>
      <c r="L19" s="38">
        <v>0</v>
      </c>
      <c r="M19" s="37">
        <v>0</v>
      </c>
      <c r="N19" s="42">
        <v>0</v>
      </c>
      <c r="O19" s="37">
        <v>0</v>
      </c>
      <c r="Q19">
        <f>VLOOKUP(Table3[[#This Row],[Census Tract]],'Population and Diversity Data'!$B$2:$K$823,10,FALSE)</f>
        <v>1</v>
      </c>
      <c r="R19" t="str">
        <f>VLOOKUP(Table3[[#This Row],[Census Tract]],'ES Energy Burden'!$B$2:$E$914,4,FALSE)</f>
        <v>No</v>
      </c>
    </row>
    <row r="20" spans="1:18" hidden="1" x14ac:dyDescent="0.25">
      <c r="A20" s="140">
        <v>9009130101</v>
      </c>
      <c r="B20" s="39" t="s">
        <v>2727</v>
      </c>
      <c r="C20" s="39" t="s">
        <v>944</v>
      </c>
      <c r="D20" s="41">
        <v>639.00826559999996</v>
      </c>
      <c r="E20" s="37">
        <v>5.6690522975384611E-6</v>
      </c>
      <c r="F20" s="41">
        <v>0</v>
      </c>
      <c r="G20" s="37">
        <v>0</v>
      </c>
      <c r="H20" s="41">
        <v>639.00826559999996</v>
      </c>
      <c r="I20" s="37">
        <v>5.6690522975384611E-6</v>
      </c>
      <c r="J20" s="42">
        <v>0</v>
      </c>
      <c r="K20" s="37">
        <v>0</v>
      </c>
      <c r="L20" s="38">
        <v>0</v>
      </c>
      <c r="M20" s="37">
        <v>0</v>
      </c>
      <c r="N20" s="42">
        <v>0</v>
      </c>
      <c r="O20" s="37">
        <v>0</v>
      </c>
      <c r="Q20">
        <f>VLOOKUP(Table3[[#This Row],[Census Tract]],'Population and Diversity Data'!$B$2:$K$823,10,FALSE)</f>
        <v>2</v>
      </c>
      <c r="R20" t="str">
        <f>VLOOKUP(Table3[[#This Row],[Census Tract]],'ES Energy Burden'!$B$2:$E$914,4,FALSE)</f>
        <v>No</v>
      </c>
    </row>
    <row r="21" spans="1:18" hidden="1" x14ac:dyDescent="0.25">
      <c r="A21" s="140">
        <v>9009341100</v>
      </c>
      <c r="B21" s="39" t="s">
        <v>2727</v>
      </c>
      <c r="C21" s="39" t="s">
        <v>944</v>
      </c>
      <c r="D21" s="41">
        <v>139240.40006879999</v>
      </c>
      <c r="E21" s="37">
        <v>1.235290922534516E-3</v>
      </c>
      <c r="F21" s="41">
        <v>125450.95</v>
      </c>
      <c r="G21" s="37">
        <v>1.5348487268958405E-3</v>
      </c>
      <c r="H21" s="41">
        <v>113902.65690912001</v>
      </c>
      <c r="I21" s="37">
        <v>1.0105035468360956E-3</v>
      </c>
      <c r="J21" s="42">
        <v>123113.15</v>
      </c>
      <c r="K21" s="37">
        <v>1.5062465572531468E-3</v>
      </c>
      <c r="L21" s="38">
        <v>25337.743159679998</v>
      </c>
      <c r="M21" s="37">
        <v>2.2478737569842056E-4</v>
      </c>
      <c r="N21" s="42">
        <v>2337.8000000000002</v>
      </c>
      <c r="O21" s="37">
        <v>2.8602169642693788E-5</v>
      </c>
      <c r="Q21">
        <f>VLOOKUP(Table3[[#This Row],[Census Tract]],'Population and Diversity Data'!$B$2:$K$823,10,FALSE)</f>
        <v>1</v>
      </c>
      <c r="R21" t="str">
        <f>VLOOKUP(Table3[[#This Row],[Census Tract]],'ES Energy Burden'!$B$2:$E$914,4,FALSE)</f>
        <v>No</v>
      </c>
    </row>
    <row r="22" spans="1:18" hidden="1" x14ac:dyDescent="0.25">
      <c r="A22" s="140">
        <v>9003400100</v>
      </c>
      <c r="B22" s="39" t="s">
        <v>2728</v>
      </c>
      <c r="C22" s="39" t="s">
        <v>944</v>
      </c>
      <c r="D22" s="41">
        <v>308615.61708</v>
      </c>
      <c r="E22" s="37">
        <v>2.7379271399891325E-3</v>
      </c>
      <c r="F22" s="41">
        <v>439874.09740000003</v>
      </c>
      <c r="G22" s="37">
        <v>5.3817065425877369E-3</v>
      </c>
      <c r="H22" s="41">
        <v>134773.82566560002</v>
      </c>
      <c r="I22" s="37">
        <v>1.1956650753495632E-3</v>
      </c>
      <c r="J22" s="42">
        <v>362603.68420000002</v>
      </c>
      <c r="K22" s="37">
        <v>4.4363299206750641E-3</v>
      </c>
      <c r="L22" s="38">
        <v>173841.79141439998</v>
      </c>
      <c r="M22" s="37">
        <v>1.5422620646395691E-3</v>
      </c>
      <c r="N22" s="42">
        <v>77270.413199999995</v>
      </c>
      <c r="O22" s="37">
        <v>9.4537662191267224E-4</v>
      </c>
      <c r="Q22">
        <f>VLOOKUP(Table3[[#This Row],[Census Tract]],'Population and Diversity Data'!$B$2:$K$823,10,FALSE)</f>
        <v>2</v>
      </c>
      <c r="R22" t="str">
        <f>VLOOKUP(Table3[[#This Row],[Census Tract]],'ES Energy Burden'!$B$2:$E$914,4,FALSE)</f>
        <v>No</v>
      </c>
    </row>
    <row r="23" spans="1:18" hidden="1" x14ac:dyDescent="0.25">
      <c r="A23" s="140">
        <v>9003400200</v>
      </c>
      <c r="B23" s="39" t="s">
        <v>2728</v>
      </c>
      <c r="C23" s="39" t="s">
        <v>944</v>
      </c>
      <c r="D23" s="41">
        <v>119228.18040288001</v>
      </c>
      <c r="E23" s="37">
        <v>1.0577496824859178E-3</v>
      </c>
      <c r="F23" s="41">
        <v>19579.490000000002</v>
      </c>
      <c r="G23" s="37">
        <v>2.3954824813817547E-4</v>
      </c>
      <c r="H23" s="41">
        <v>119228.18040288001</v>
      </c>
      <c r="I23" s="37">
        <v>1.0577496824859178E-3</v>
      </c>
      <c r="J23" s="42">
        <v>19579.490000000002</v>
      </c>
      <c r="K23" s="37">
        <v>2.3954824813817547E-4</v>
      </c>
      <c r="L23" s="38">
        <v>0</v>
      </c>
      <c r="M23" s="37">
        <v>0</v>
      </c>
      <c r="N23" s="42">
        <v>0</v>
      </c>
      <c r="O23" s="37">
        <v>0</v>
      </c>
      <c r="Q23">
        <f>VLOOKUP(Table3[[#This Row],[Census Tract]],'Population and Diversity Data'!$B$2:$K$823,10,FALSE)</f>
        <v>2</v>
      </c>
      <c r="R23" t="str">
        <f>VLOOKUP(Table3[[#This Row],[Census Tract]],'ES Energy Burden'!$B$2:$E$914,4,FALSE)</f>
        <v>No</v>
      </c>
    </row>
    <row r="24" spans="1:18" hidden="1" x14ac:dyDescent="0.25">
      <c r="A24" s="140">
        <v>9003400300</v>
      </c>
      <c r="B24" s="39" t="s">
        <v>2728</v>
      </c>
      <c r="C24" s="39" t="s">
        <v>944</v>
      </c>
      <c r="D24" s="41">
        <v>118629.3053088</v>
      </c>
      <c r="E24" s="37">
        <v>1.0524366773014778E-3</v>
      </c>
      <c r="F24" s="41">
        <v>26337.480200000002</v>
      </c>
      <c r="G24" s="37">
        <v>3.2222990702433432E-4</v>
      </c>
      <c r="H24" s="41">
        <v>118629.3053088</v>
      </c>
      <c r="I24" s="37">
        <v>1.0524366773014778E-3</v>
      </c>
      <c r="J24" s="42">
        <v>26337.480200000002</v>
      </c>
      <c r="K24" s="37">
        <v>3.2222990702433432E-4</v>
      </c>
      <c r="L24" s="38">
        <v>0</v>
      </c>
      <c r="M24" s="37">
        <v>0</v>
      </c>
      <c r="N24" s="42">
        <v>0</v>
      </c>
      <c r="O24" s="37">
        <v>0</v>
      </c>
      <c r="Q24">
        <f>VLOOKUP(Table3[[#This Row],[Census Tract]],'Population and Diversity Data'!$B$2:$K$823,10,FALSE)</f>
        <v>2</v>
      </c>
      <c r="R24" t="str">
        <f>VLOOKUP(Table3[[#This Row],[Census Tract]],'ES Energy Burden'!$B$2:$E$914,4,FALSE)</f>
        <v>No</v>
      </c>
    </row>
    <row r="25" spans="1:18" hidden="1" x14ac:dyDescent="0.25">
      <c r="A25" s="140">
        <v>9003490302</v>
      </c>
      <c r="B25" s="39" t="s">
        <v>2728</v>
      </c>
      <c r="C25" s="39" t="s">
        <v>944</v>
      </c>
      <c r="D25" s="41">
        <v>76.724755200000004</v>
      </c>
      <c r="E25" s="37">
        <v>6.8067452826487507E-7</v>
      </c>
      <c r="F25" s="41">
        <v>0</v>
      </c>
      <c r="G25" s="37">
        <v>0</v>
      </c>
      <c r="H25" s="41">
        <v>76.724755200000004</v>
      </c>
      <c r="I25" s="37">
        <v>6.8067452826487507E-7</v>
      </c>
      <c r="J25" s="42">
        <v>0</v>
      </c>
      <c r="K25" s="37">
        <v>0</v>
      </c>
      <c r="L25" s="38">
        <v>0</v>
      </c>
      <c r="M25" s="37">
        <v>0</v>
      </c>
      <c r="N25" s="42">
        <v>0</v>
      </c>
      <c r="O25" s="37">
        <v>0</v>
      </c>
      <c r="Q25">
        <f>VLOOKUP(Table3[[#This Row],[Census Tract]],'Population and Diversity Data'!$B$2:$K$823,10,FALSE)</f>
        <v>5</v>
      </c>
      <c r="R25" t="str">
        <f>VLOOKUP(Table3[[#This Row],[Census Tract]],'ES Energy Burden'!$B$2:$E$914,4,FALSE)</f>
        <v>No</v>
      </c>
    </row>
    <row r="26" spans="1:18" hidden="1" x14ac:dyDescent="0.25">
      <c r="A26" s="140">
        <v>9009171600</v>
      </c>
      <c r="B26" s="39" t="s">
        <v>2728</v>
      </c>
      <c r="C26" s="39" t="s">
        <v>944</v>
      </c>
      <c r="D26" s="41">
        <v>154.1210112</v>
      </c>
      <c r="E26" s="37">
        <v>1.3673063709464338E-6</v>
      </c>
      <c r="F26" s="41">
        <v>228.35</v>
      </c>
      <c r="G26" s="37">
        <v>2.7937828034515895E-6</v>
      </c>
      <c r="H26" s="41">
        <v>154.1210112</v>
      </c>
      <c r="I26" s="37">
        <v>1.3673063709464338E-6</v>
      </c>
      <c r="J26" s="42">
        <v>228.35</v>
      </c>
      <c r="K26" s="37">
        <v>2.7937828034515895E-6</v>
      </c>
      <c r="L26" s="38">
        <v>0</v>
      </c>
      <c r="M26" s="37">
        <v>0</v>
      </c>
      <c r="N26" s="42">
        <v>0</v>
      </c>
      <c r="O26" s="37">
        <v>0</v>
      </c>
      <c r="Q26">
        <f>VLOOKUP(Table3[[#This Row],[Census Tract]],'Population and Diversity Data'!$B$2:$K$823,10,FALSE)</f>
        <v>3</v>
      </c>
      <c r="R26" t="str">
        <f>VLOOKUP(Table3[[#This Row],[Census Tract]],'ES Energy Burden'!$B$2:$E$914,4,FALSE)</f>
        <v>No</v>
      </c>
    </row>
    <row r="27" spans="1:18" hidden="1" x14ac:dyDescent="0.25">
      <c r="A27" s="140">
        <v>9009161100</v>
      </c>
      <c r="B27" s="39" t="s">
        <v>2729</v>
      </c>
      <c r="C27" s="39" t="s">
        <v>944</v>
      </c>
      <c r="D27" s="41">
        <v>139960.93200479998</v>
      </c>
      <c r="E27" s="37">
        <v>1.2416832236159352E-3</v>
      </c>
      <c r="F27" s="41">
        <v>52036.621699999996</v>
      </c>
      <c r="G27" s="37">
        <v>6.366499621422195E-4</v>
      </c>
      <c r="H27" s="41">
        <v>119240.17653311999</v>
      </c>
      <c r="I27" s="37">
        <v>1.0578561078537253E-3</v>
      </c>
      <c r="J27" s="42">
        <v>37333.951699999998</v>
      </c>
      <c r="K27" s="37">
        <v>4.5676790998183594E-4</v>
      </c>
      <c r="L27" s="38">
        <v>20720.75547168</v>
      </c>
      <c r="M27" s="37">
        <v>1.8382711576220986E-4</v>
      </c>
      <c r="N27" s="42">
        <v>14702.67</v>
      </c>
      <c r="O27" s="37">
        <v>1.7988205216038354E-4</v>
      </c>
      <c r="Q27">
        <f>VLOOKUP(Table3[[#This Row],[Census Tract]],'Population and Diversity Data'!$B$2:$K$823,10,FALSE)</f>
        <v>4</v>
      </c>
      <c r="R27" t="str">
        <f>VLOOKUP(Table3[[#This Row],[Census Tract]],'ES Energy Burden'!$B$2:$E$914,4,FALSE)</f>
        <v>No</v>
      </c>
    </row>
    <row r="28" spans="1:18" hidden="1" x14ac:dyDescent="0.25">
      <c r="A28" s="140">
        <v>9001200100</v>
      </c>
      <c r="B28" s="39" t="s">
        <v>2730</v>
      </c>
      <c r="C28" s="39" t="s">
        <v>944</v>
      </c>
      <c r="D28" s="41">
        <v>67102.061904000002</v>
      </c>
      <c r="E28" s="37">
        <v>5.9530544233141647E-4</v>
      </c>
      <c r="F28" s="41">
        <v>10371.963599999999</v>
      </c>
      <c r="G28" s="37">
        <v>1.2689736607710025E-4</v>
      </c>
      <c r="H28" s="41">
        <v>67101.224843520002</v>
      </c>
      <c r="I28" s="37">
        <v>5.9529801623085907E-4</v>
      </c>
      <c r="J28" s="42">
        <v>10371.963599999999</v>
      </c>
      <c r="K28" s="37">
        <v>1.2689736607710025E-4</v>
      </c>
      <c r="L28" s="38">
        <v>0.83706048000000011</v>
      </c>
      <c r="M28" s="37">
        <v>7.4261005573487962E-9</v>
      </c>
      <c r="N28" s="42">
        <v>0</v>
      </c>
      <c r="O28" s="37">
        <v>0</v>
      </c>
      <c r="Q28">
        <f>VLOOKUP(Table3[[#This Row],[Census Tract]],'Population and Diversity Data'!$B$2:$K$823,10,FALSE)</f>
        <v>4</v>
      </c>
      <c r="R28" t="str">
        <f>VLOOKUP(Table3[[#This Row],[Census Tract]],'ES Energy Burden'!$B$2:$E$914,4,FALSE)</f>
        <v>No</v>
      </c>
    </row>
    <row r="29" spans="1:18" hidden="1" x14ac:dyDescent="0.25">
      <c r="A29" s="140">
        <v>9001200200</v>
      </c>
      <c r="B29" s="39" t="s">
        <v>2730</v>
      </c>
      <c r="C29" s="39" t="s">
        <v>944</v>
      </c>
      <c r="D29" s="41">
        <v>247653.1882944</v>
      </c>
      <c r="E29" s="37">
        <v>2.1970903221022334E-3</v>
      </c>
      <c r="F29" s="41">
        <v>176536.53519999998</v>
      </c>
      <c r="G29" s="37">
        <v>2.1598630883410824E-3</v>
      </c>
      <c r="H29" s="41">
        <v>130171.54616064001</v>
      </c>
      <c r="I29" s="37">
        <v>1.1548353011415415E-3</v>
      </c>
      <c r="J29" s="42">
        <v>103523.648</v>
      </c>
      <c r="K29" s="37">
        <v>1.2665758157783032E-3</v>
      </c>
      <c r="L29" s="38">
        <v>117481.64213376</v>
      </c>
      <c r="M29" s="37">
        <v>1.0422550209606919E-3</v>
      </c>
      <c r="N29" s="42">
        <v>73012.887199999997</v>
      </c>
      <c r="O29" s="37">
        <v>8.9328727256277941E-4</v>
      </c>
      <c r="Q29">
        <f>VLOOKUP(Table3[[#This Row],[Census Tract]],'Population and Diversity Data'!$B$2:$K$823,10,FALSE)</f>
        <v>4</v>
      </c>
      <c r="R29" t="str">
        <f>VLOOKUP(Table3[[#This Row],[Census Tract]],'ES Energy Burden'!$B$2:$E$914,4,FALSE)</f>
        <v>No</v>
      </c>
    </row>
    <row r="30" spans="1:18" hidden="1" x14ac:dyDescent="0.25">
      <c r="A30" s="140">
        <v>9001200301</v>
      </c>
      <c r="B30" s="39" t="s">
        <v>2730</v>
      </c>
      <c r="C30" s="39" t="s">
        <v>944</v>
      </c>
      <c r="D30" s="41">
        <v>95432.935363199998</v>
      </c>
      <c r="E30" s="37">
        <v>8.4664679724228656E-4</v>
      </c>
      <c r="F30" s="41">
        <v>16100.537899999999</v>
      </c>
      <c r="G30" s="37">
        <v>1.9698447957670491E-4</v>
      </c>
      <c r="H30" s="41">
        <v>95432.935363199998</v>
      </c>
      <c r="I30" s="37">
        <v>8.4664679724228656E-4</v>
      </c>
      <c r="J30" s="42">
        <v>16100.537899999999</v>
      </c>
      <c r="K30" s="37">
        <v>1.9698447957670491E-4</v>
      </c>
      <c r="L30" s="38">
        <v>0</v>
      </c>
      <c r="M30" s="37">
        <v>0</v>
      </c>
      <c r="N30" s="42">
        <v>0</v>
      </c>
      <c r="O30" s="37">
        <v>0</v>
      </c>
      <c r="Q30">
        <f>VLOOKUP(Table3[[#This Row],[Census Tract]],'Population and Diversity Data'!$B$2:$K$823,10,FALSE)</f>
        <v>4</v>
      </c>
      <c r="R30" t="str">
        <f>VLOOKUP(Table3[[#This Row],[Census Tract]],'ES Energy Burden'!$B$2:$E$914,4,FALSE)</f>
        <v>No</v>
      </c>
    </row>
    <row r="31" spans="1:18" hidden="1" x14ac:dyDescent="0.25">
      <c r="A31" s="140">
        <v>9001200302</v>
      </c>
      <c r="B31" s="39" t="s">
        <v>2730</v>
      </c>
      <c r="C31" s="39" t="s">
        <v>944</v>
      </c>
      <c r="D31" s="41">
        <v>112578.35429088002</v>
      </c>
      <c r="E31" s="37">
        <v>9.9875480866676953E-4</v>
      </c>
      <c r="F31" s="41">
        <v>17053.723399999999</v>
      </c>
      <c r="G31" s="37">
        <v>2.0864637254101149E-4</v>
      </c>
      <c r="H31" s="41">
        <v>112578.35429088002</v>
      </c>
      <c r="I31" s="37">
        <v>9.9875480866676953E-4</v>
      </c>
      <c r="J31" s="42">
        <v>17053.723399999999</v>
      </c>
      <c r="K31" s="37">
        <v>2.0864637254101149E-4</v>
      </c>
      <c r="L31" s="38">
        <v>0</v>
      </c>
      <c r="M31" s="37">
        <v>0</v>
      </c>
      <c r="N31" s="42">
        <v>0</v>
      </c>
      <c r="O31" s="37">
        <v>0</v>
      </c>
      <c r="Q31">
        <f>VLOOKUP(Table3[[#This Row],[Census Tract]],'Population and Diversity Data'!$B$2:$K$823,10,FALSE)</f>
        <v>1</v>
      </c>
      <c r="R31" t="str">
        <f>VLOOKUP(Table3[[#This Row],[Census Tract]],'ES Energy Burden'!$B$2:$E$914,4,FALSE)</f>
        <v>No</v>
      </c>
    </row>
    <row r="32" spans="1:18" hidden="1" x14ac:dyDescent="0.25">
      <c r="A32" s="140">
        <v>9001205300</v>
      </c>
      <c r="B32" s="39" t="s">
        <v>2730</v>
      </c>
      <c r="C32" s="39" t="s">
        <v>944</v>
      </c>
      <c r="D32" s="41">
        <v>227.8298016</v>
      </c>
      <c r="E32" s="37">
        <v>2.0212243404949967E-6</v>
      </c>
      <c r="F32" s="41">
        <v>0</v>
      </c>
      <c r="G32" s="37">
        <v>0</v>
      </c>
      <c r="H32" s="41">
        <v>227.8298016</v>
      </c>
      <c r="I32" s="37">
        <v>2.0212243404949967E-6</v>
      </c>
      <c r="J32" s="42">
        <v>0</v>
      </c>
      <c r="K32" s="37">
        <v>0</v>
      </c>
      <c r="L32" s="38">
        <v>0</v>
      </c>
      <c r="M32" s="37">
        <v>0</v>
      </c>
      <c r="N32" s="42">
        <v>0</v>
      </c>
      <c r="O32" s="37">
        <v>0</v>
      </c>
      <c r="Q32">
        <f>VLOOKUP(Table3[[#This Row],[Census Tract]],'Population and Diversity Data'!$B$2:$K$823,10,FALSE)</f>
        <v>4</v>
      </c>
      <c r="R32" t="str">
        <f>VLOOKUP(Table3[[#This Row],[Census Tract]],'ES Energy Burden'!$B$2:$E$914,4,FALSE)</f>
        <v>No</v>
      </c>
    </row>
    <row r="33" spans="1:18" hidden="1" x14ac:dyDescent="0.25">
      <c r="A33" s="140">
        <v>9001210400</v>
      </c>
      <c r="B33" s="39" t="s">
        <v>2730</v>
      </c>
      <c r="C33" s="39" t="s">
        <v>944</v>
      </c>
      <c r="D33" s="41">
        <v>2053.6578431999997</v>
      </c>
      <c r="E33" s="37">
        <v>1.8219316307934214E-5</v>
      </c>
      <c r="F33" s="41">
        <v>0</v>
      </c>
      <c r="G33" s="37">
        <v>0</v>
      </c>
      <c r="H33" s="41">
        <v>2053.6578431999997</v>
      </c>
      <c r="I33" s="37">
        <v>1.8219316307934214E-5</v>
      </c>
      <c r="J33" s="42">
        <v>0</v>
      </c>
      <c r="K33" s="37">
        <v>0</v>
      </c>
      <c r="L33" s="38">
        <v>0</v>
      </c>
      <c r="M33" s="37">
        <v>0</v>
      </c>
      <c r="N33" s="42">
        <v>0</v>
      </c>
      <c r="O33" s="37">
        <v>0</v>
      </c>
      <c r="Q33">
        <f>VLOOKUP(Table3[[#This Row],[Census Tract]],'Population and Diversity Data'!$B$2:$K$823,10,FALSE)</f>
        <v>5</v>
      </c>
      <c r="R33" t="str">
        <f>VLOOKUP(Table3[[#This Row],[Census Tract]],'ES Energy Burden'!$B$2:$E$914,4,FALSE)</f>
        <v>No</v>
      </c>
    </row>
    <row r="34" spans="1:18" hidden="1" x14ac:dyDescent="0.25">
      <c r="A34" s="140">
        <v>9001210500</v>
      </c>
      <c r="B34" s="39" t="s">
        <v>2730</v>
      </c>
      <c r="C34" s="39" t="s">
        <v>944</v>
      </c>
      <c r="D34" s="41">
        <v>232.81395839999999</v>
      </c>
      <c r="E34" s="37">
        <v>2.0654419931912439E-6</v>
      </c>
      <c r="F34" s="41">
        <v>0</v>
      </c>
      <c r="G34" s="37">
        <v>0</v>
      </c>
      <c r="H34" s="41">
        <v>232.81395839999999</v>
      </c>
      <c r="I34" s="37">
        <v>2.0654419931912439E-6</v>
      </c>
      <c r="J34" s="42">
        <v>0</v>
      </c>
      <c r="K34" s="37">
        <v>0</v>
      </c>
      <c r="L34" s="38">
        <v>0</v>
      </c>
      <c r="M34" s="37">
        <v>0</v>
      </c>
      <c r="N34" s="42">
        <v>0</v>
      </c>
      <c r="O34" s="37">
        <v>0</v>
      </c>
      <c r="Q34">
        <f>VLOOKUP(Table3[[#This Row],[Census Tract]],'Population and Diversity Data'!$B$2:$K$823,10,FALSE)</f>
        <v>4</v>
      </c>
      <c r="R34" t="str">
        <f>VLOOKUP(Table3[[#This Row],[Census Tract]],'ES Energy Burden'!$B$2:$E$914,4,FALSE)</f>
        <v>No</v>
      </c>
    </row>
    <row r="35" spans="1:18" hidden="1" x14ac:dyDescent="0.25">
      <c r="A35" s="140">
        <v>9001230400</v>
      </c>
      <c r="B35" s="39" t="s">
        <v>2730</v>
      </c>
      <c r="C35" s="39" t="s">
        <v>944</v>
      </c>
      <c r="D35" s="41">
        <v>1151.9191007999998</v>
      </c>
      <c r="E35" s="37">
        <v>1.0219413388709501E-5</v>
      </c>
      <c r="F35" s="41">
        <v>1429.53</v>
      </c>
      <c r="G35" s="37">
        <v>1.7489802194079926E-5</v>
      </c>
      <c r="H35" s="41">
        <v>1151.9191007999998</v>
      </c>
      <c r="I35" s="37">
        <v>1.0219413388709501E-5</v>
      </c>
      <c r="J35" s="42">
        <v>1429.53</v>
      </c>
      <c r="K35" s="37">
        <v>1.7489802194079926E-5</v>
      </c>
      <c r="L35" s="38">
        <v>0</v>
      </c>
      <c r="M35" s="37">
        <v>0</v>
      </c>
      <c r="N35" s="42">
        <v>0</v>
      </c>
      <c r="O35" s="37">
        <v>0</v>
      </c>
      <c r="Q35">
        <f>VLOOKUP(Table3[[#This Row],[Census Tract]],'Population and Diversity Data'!$B$2:$K$823,10,FALSE)</f>
        <v>2</v>
      </c>
      <c r="R35" t="str">
        <f>VLOOKUP(Table3[[#This Row],[Census Tract]],'ES Energy Burden'!$B$2:$E$914,4,FALSE)</f>
        <v>No</v>
      </c>
    </row>
    <row r="36" spans="1:18" hidden="1" x14ac:dyDescent="0.25">
      <c r="A36" s="140">
        <v>9005303100</v>
      </c>
      <c r="B36" s="39" t="s">
        <v>2731</v>
      </c>
      <c r="C36" s="39" t="s">
        <v>944</v>
      </c>
      <c r="D36" s="41">
        <v>164.1356352</v>
      </c>
      <c r="E36" s="37">
        <v>1.4561525256090438E-6</v>
      </c>
      <c r="F36" s="41">
        <v>0</v>
      </c>
      <c r="G36" s="37">
        <v>0</v>
      </c>
      <c r="H36" s="41">
        <v>164.1356352</v>
      </c>
      <c r="I36" s="37">
        <v>1.4561525256090438E-6</v>
      </c>
      <c r="J36" s="42">
        <v>0</v>
      </c>
      <c r="K36" s="37">
        <v>0</v>
      </c>
      <c r="L36" s="38">
        <v>0</v>
      </c>
      <c r="M36" s="37">
        <v>0</v>
      </c>
      <c r="N36" s="42">
        <v>0</v>
      </c>
      <c r="O36" s="37">
        <v>0</v>
      </c>
      <c r="Q36">
        <f>VLOOKUP(Table3[[#This Row],[Census Tract]],'Population and Diversity Data'!$B$2:$K$823,10,FALSE)</f>
        <v>1</v>
      </c>
      <c r="R36" t="str">
        <f>VLOOKUP(Table3[[#This Row],[Census Tract]],'ES Energy Burden'!$B$2:$E$914,4,FALSE)</f>
        <v>No</v>
      </c>
    </row>
    <row r="37" spans="1:18" hidden="1" x14ac:dyDescent="0.25">
      <c r="A37" s="140">
        <v>9005342100</v>
      </c>
      <c r="B37" s="39" t="s">
        <v>2731</v>
      </c>
      <c r="C37" s="39" t="s">
        <v>944</v>
      </c>
      <c r="D37" s="41">
        <v>102039.57239616</v>
      </c>
      <c r="E37" s="37">
        <v>9.0525851303212463E-4</v>
      </c>
      <c r="F37" s="41">
        <v>35443.029300000002</v>
      </c>
      <c r="G37" s="37">
        <v>4.3363313229941247E-4</v>
      </c>
      <c r="H37" s="41">
        <v>86632.990318080003</v>
      </c>
      <c r="I37" s="37">
        <v>7.6857683889924736E-4</v>
      </c>
      <c r="J37" s="42">
        <v>35443.029300000002</v>
      </c>
      <c r="K37" s="37">
        <v>4.3363313229941247E-4</v>
      </c>
      <c r="L37" s="38">
        <v>15406.582078080002</v>
      </c>
      <c r="M37" s="37">
        <v>1.366816741328773E-4</v>
      </c>
      <c r="N37" s="42">
        <v>0</v>
      </c>
      <c r="O37" s="37">
        <v>0</v>
      </c>
      <c r="Q37">
        <f>VLOOKUP(Table3[[#This Row],[Census Tract]],'Population and Diversity Data'!$B$2:$K$823,10,FALSE)</f>
        <v>2</v>
      </c>
      <c r="R37" t="str">
        <f>VLOOKUP(Table3[[#This Row],[Census Tract]],'ES Energy Burden'!$B$2:$E$914,4,FALSE)</f>
        <v>No</v>
      </c>
    </row>
    <row r="38" spans="1:18" hidden="1" x14ac:dyDescent="0.25">
      <c r="A38" s="140">
        <v>9005362102</v>
      </c>
      <c r="B38" s="39" t="s">
        <v>2731</v>
      </c>
      <c r="C38" s="39" t="s">
        <v>944</v>
      </c>
      <c r="D38" s="41">
        <v>203.81785919999999</v>
      </c>
      <c r="E38" s="37">
        <v>1.8081989939397906E-6</v>
      </c>
      <c r="F38" s="41">
        <v>0</v>
      </c>
      <c r="G38" s="37">
        <v>0</v>
      </c>
      <c r="H38" s="41">
        <v>203.81785919999999</v>
      </c>
      <c r="I38" s="37">
        <v>1.8081989939397906E-6</v>
      </c>
      <c r="J38" s="42">
        <v>0</v>
      </c>
      <c r="K38" s="37">
        <v>0</v>
      </c>
      <c r="L38" s="38">
        <v>0</v>
      </c>
      <c r="M38" s="37">
        <v>0</v>
      </c>
      <c r="N38" s="42">
        <v>0</v>
      </c>
      <c r="O38" s="37">
        <v>0</v>
      </c>
      <c r="Q38">
        <f>VLOOKUP(Table3[[#This Row],[Census Tract]],'Population and Diversity Data'!$B$2:$K$823,10,FALSE)</f>
        <v>1</v>
      </c>
      <c r="R38" t="str">
        <f>VLOOKUP(Table3[[#This Row],[Census Tract]],'ES Energy Burden'!$B$2:$E$914,4,FALSE)</f>
        <v>No</v>
      </c>
    </row>
    <row r="39" spans="1:18" hidden="1" x14ac:dyDescent="0.25">
      <c r="A39" s="140">
        <v>9003471100</v>
      </c>
      <c r="B39" s="39" t="s">
        <v>2732</v>
      </c>
      <c r="C39" s="39" t="s">
        <v>944</v>
      </c>
      <c r="D39" s="41">
        <v>47323.947098880002</v>
      </c>
      <c r="E39" s="37">
        <v>4.1984109669941373E-4</v>
      </c>
      <c r="F39" s="41">
        <v>41951.821199999998</v>
      </c>
      <c r="G39" s="37">
        <v>5.1326593668507038E-4</v>
      </c>
      <c r="H39" s="41">
        <v>47323.947098880002</v>
      </c>
      <c r="I39" s="37">
        <v>4.1984109669941373E-4</v>
      </c>
      <c r="J39" s="42">
        <v>41951.821199999998</v>
      </c>
      <c r="K39" s="37">
        <v>5.1326593668507038E-4</v>
      </c>
      <c r="L39" s="38">
        <v>0</v>
      </c>
      <c r="M39" s="37">
        <v>0</v>
      </c>
      <c r="N39" s="42">
        <v>0</v>
      </c>
      <c r="O39" s="37">
        <v>0</v>
      </c>
      <c r="Q39">
        <f>VLOOKUP(Table3[[#This Row],[Census Tract]],'Population and Diversity Data'!$B$2:$K$823,10,FALSE)</f>
        <v>3</v>
      </c>
      <c r="R39" t="str">
        <f>VLOOKUP(Table3[[#This Row],[Census Tract]],'ES Energy Burden'!$B$2:$E$914,4,FALSE)</f>
        <v>No</v>
      </c>
    </row>
    <row r="40" spans="1:18" hidden="1" x14ac:dyDescent="0.25">
      <c r="A40" s="140">
        <v>9003471200</v>
      </c>
      <c r="B40" s="39" t="s">
        <v>2732</v>
      </c>
      <c r="C40" s="39" t="s">
        <v>944</v>
      </c>
      <c r="D40" s="41">
        <v>39966.161745599995</v>
      </c>
      <c r="E40" s="37">
        <v>3.5456546224006685E-4</v>
      </c>
      <c r="F40" s="41">
        <v>17709.740000000002</v>
      </c>
      <c r="G40" s="37">
        <v>2.1667250740354176E-4</v>
      </c>
      <c r="H40" s="41">
        <v>39966.161745599995</v>
      </c>
      <c r="I40" s="37">
        <v>3.5456546224006685E-4</v>
      </c>
      <c r="J40" s="42">
        <v>17709.740000000002</v>
      </c>
      <c r="K40" s="37">
        <v>2.1667250740354176E-4</v>
      </c>
      <c r="L40" s="38">
        <v>0</v>
      </c>
      <c r="M40" s="37">
        <v>0</v>
      </c>
      <c r="N40" s="42">
        <v>0</v>
      </c>
      <c r="O40" s="37">
        <v>0</v>
      </c>
      <c r="Q40">
        <f>VLOOKUP(Table3[[#This Row],[Census Tract]],'Population and Diversity Data'!$B$2:$K$823,10,FALSE)</f>
        <v>1</v>
      </c>
      <c r="R40" t="str">
        <f>VLOOKUP(Table3[[#This Row],[Census Tract]],'ES Energy Burden'!$B$2:$E$914,4,FALSE)</f>
        <v>No</v>
      </c>
    </row>
    <row r="41" spans="1:18" hidden="1" x14ac:dyDescent="0.25">
      <c r="A41" s="140">
        <v>9003471300</v>
      </c>
      <c r="B41" s="39" t="s">
        <v>2732</v>
      </c>
      <c r="C41" s="39" t="s">
        <v>944</v>
      </c>
      <c r="D41" s="41">
        <v>96587.341911359996</v>
      </c>
      <c r="E41" s="37">
        <v>8.5688827837241712E-4</v>
      </c>
      <c r="F41" s="41">
        <v>52661.58</v>
      </c>
      <c r="G41" s="37">
        <v>6.4429610950991973E-4</v>
      </c>
      <c r="H41" s="41">
        <v>96587.341911359996</v>
      </c>
      <c r="I41" s="37">
        <v>8.5688827837241712E-4</v>
      </c>
      <c r="J41" s="42">
        <v>52661.58</v>
      </c>
      <c r="K41" s="37">
        <v>6.4429610950991973E-4</v>
      </c>
      <c r="L41" s="38">
        <v>0</v>
      </c>
      <c r="M41" s="37">
        <v>0</v>
      </c>
      <c r="N41" s="42">
        <v>0</v>
      </c>
      <c r="O41" s="37">
        <v>0</v>
      </c>
      <c r="Q41">
        <f>VLOOKUP(Table3[[#This Row],[Census Tract]],'Population and Diversity Data'!$B$2:$K$823,10,FALSE)</f>
        <v>1</v>
      </c>
      <c r="R41" t="str">
        <f>VLOOKUP(Table3[[#This Row],[Census Tract]],'ES Energy Burden'!$B$2:$E$914,4,FALSE)</f>
        <v>No</v>
      </c>
    </row>
    <row r="42" spans="1:18" hidden="1" x14ac:dyDescent="0.25">
      <c r="A42" s="140">
        <v>9003471400</v>
      </c>
      <c r="B42" s="39" t="s">
        <v>2732</v>
      </c>
      <c r="C42" s="39" t="s">
        <v>944</v>
      </c>
      <c r="D42" s="41">
        <v>363014.11744128005</v>
      </c>
      <c r="E42" s="37">
        <v>3.2205311375543269E-3</v>
      </c>
      <c r="F42" s="41">
        <v>478020.00659999996</v>
      </c>
      <c r="G42" s="37">
        <v>5.8484084700893158E-3</v>
      </c>
      <c r="H42" s="41">
        <v>142783.02120960003</v>
      </c>
      <c r="I42" s="37">
        <v>1.2667197875409859E-3</v>
      </c>
      <c r="J42" s="42">
        <v>440854.14079999999</v>
      </c>
      <c r="K42" s="37">
        <v>5.3936970326142579E-3</v>
      </c>
      <c r="L42" s="38">
        <v>220231.09623168001</v>
      </c>
      <c r="M42" s="37">
        <v>1.953811350013341E-3</v>
      </c>
      <c r="N42" s="42">
        <v>37165.8658</v>
      </c>
      <c r="O42" s="37">
        <v>4.5471143747505824E-4</v>
      </c>
      <c r="Q42">
        <f>VLOOKUP(Table3[[#This Row],[Census Tract]],'Population and Diversity Data'!$B$2:$K$823,10,FALSE)</f>
        <v>2</v>
      </c>
      <c r="R42" t="str">
        <f>VLOOKUP(Table3[[#This Row],[Census Tract]],'ES Energy Burden'!$B$2:$E$914,4,FALSE)</f>
        <v>No</v>
      </c>
    </row>
    <row r="43" spans="1:18" hidden="1" x14ac:dyDescent="0.25">
      <c r="A43" s="140">
        <v>9003471500</v>
      </c>
      <c r="B43" s="39" t="s">
        <v>2732</v>
      </c>
      <c r="C43" s="39" t="s">
        <v>944</v>
      </c>
      <c r="D43" s="41">
        <v>49318.771052159995</v>
      </c>
      <c r="E43" s="37">
        <v>4.3753845982336066E-4</v>
      </c>
      <c r="F43" s="41">
        <v>38345.180200000003</v>
      </c>
      <c r="G43" s="37">
        <v>4.6913993885707198E-4</v>
      </c>
      <c r="H43" s="41">
        <v>49318.771052159995</v>
      </c>
      <c r="I43" s="37">
        <v>4.3753845982336066E-4</v>
      </c>
      <c r="J43" s="42">
        <v>38345.180200000003</v>
      </c>
      <c r="K43" s="37">
        <v>4.6913993885707198E-4</v>
      </c>
      <c r="L43" s="38">
        <v>0</v>
      </c>
      <c r="M43" s="37">
        <v>0</v>
      </c>
      <c r="N43" s="42">
        <v>0</v>
      </c>
      <c r="O43" s="37">
        <v>0</v>
      </c>
      <c r="Q43">
        <f>VLOOKUP(Table3[[#This Row],[Census Tract]],'Population and Diversity Data'!$B$2:$K$823,10,FALSE)</f>
        <v>3</v>
      </c>
      <c r="R43" t="str">
        <f>VLOOKUP(Table3[[#This Row],[Census Tract]],'ES Energy Burden'!$B$2:$E$914,4,FALSE)</f>
        <v>No</v>
      </c>
    </row>
    <row r="44" spans="1:18" hidden="1" x14ac:dyDescent="0.25">
      <c r="A44" s="140">
        <v>9003473100</v>
      </c>
      <c r="B44" s="39" t="s">
        <v>2732</v>
      </c>
      <c r="C44" s="39" t="s">
        <v>944</v>
      </c>
      <c r="D44" s="41">
        <v>1546.3737216000002</v>
      </c>
      <c r="E44" s="37">
        <v>1.3718873403082286E-5</v>
      </c>
      <c r="F44" s="41">
        <v>6947.03</v>
      </c>
      <c r="G44" s="37">
        <v>8.4994495069245872E-5</v>
      </c>
      <c r="H44" s="41">
        <v>1546.3737216000002</v>
      </c>
      <c r="I44" s="37">
        <v>1.3718873403082286E-5</v>
      </c>
      <c r="J44" s="42">
        <v>6947.03</v>
      </c>
      <c r="K44" s="37">
        <v>8.4994495069245872E-5</v>
      </c>
      <c r="L44" s="38">
        <v>0</v>
      </c>
      <c r="M44" s="37">
        <v>0</v>
      </c>
      <c r="N44" s="42">
        <v>0</v>
      </c>
      <c r="O44" s="37">
        <v>0</v>
      </c>
      <c r="Q44">
        <f>VLOOKUP(Table3[[#This Row],[Census Tract]],'Population and Diversity Data'!$B$2:$K$823,10,FALSE)</f>
        <v>1</v>
      </c>
      <c r="R44" t="str">
        <f>VLOOKUP(Table3[[#This Row],[Census Tract]],'ES Energy Burden'!$B$2:$E$914,4,FALSE)</f>
        <v>No</v>
      </c>
    </row>
    <row r="45" spans="1:18" hidden="1" x14ac:dyDescent="0.25">
      <c r="A45" s="140">
        <v>9003473501</v>
      </c>
      <c r="B45" s="39" t="s">
        <v>2732</v>
      </c>
      <c r="C45" s="39" t="s">
        <v>944</v>
      </c>
      <c r="D45" s="41">
        <v>287.77282560000003</v>
      </c>
      <c r="E45" s="37">
        <v>2.5530173645015446E-6</v>
      </c>
      <c r="F45" s="41">
        <v>0</v>
      </c>
      <c r="G45" s="37">
        <v>0</v>
      </c>
      <c r="H45" s="41">
        <v>287.77282560000003</v>
      </c>
      <c r="I45" s="37">
        <v>2.5530173645015446E-6</v>
      </c>
      <c r="J45" s="42">
        <v>0</v>
      </c>
      <c r="K45" s="37">
        <v>0</v>
      </c>
      <c r="L45" s="38">
        <v>0</v>
      </c>
      <c r="M45" s="37">
        <v>0</v>
      </c>
      <c r="N45" s="42">
        <v>0</v>
      </c>
      <c r="O45" s="37">
        <v>0</v>
      </c>
      <c r="Q45">
        <f>VLOOKUP(Table3[[#This Row],[Census Tract]],'Population and Diversity Data'!$B$2:$K$823,10,FALSE)</f>
        <v>3</v>
      </c>
      <c r="R45" t="str">
        <f>VLOOKUP(Table3[[#This Row],[Census Tract]],'ES Energy Burden'!$B$2:$E$914,4,FALSE)</f>
        <v>No</v>
      </c>
    </row>
    <row r="46" spans="1:18" hidden="1" x14ac:dyDescent="0.25">
      <c r="A46" s="140">
        <v>9003503900</v>
      </c>
      <c r="B46" s="39" t="s">
        <v>2732</v>
      </c>
      <c r="C46" s="39" t="s">
        <v>944</v>
      </c>
      <c r="D46" s="41">
        <v>201.31130880000001</v>
      </c>
      <c r="E46" s="37">
        <v>1.785961777194756E-6</v>
      </c>
      <c r="F46" s="41">
        <v>0</v>
      </c>
      <c r="G46" s="37">
        <v>0</v>
      </c>
      <c r="H46" s="41">
        <v>201.31130880000001</v>
      </c>
      <c r="I46" s="37">
        <v>1.785961777194756E-6</v>
      </c>
      <c r="J46" s="42">
        <v>0</v>
      </c>
      <c r="K46" s="37">
        <v>0</v>
      </c>
      <c r="L46" s="38">
        <v>0</v>
      </c>
      <c r="M46" s="37">
        <v>0</v>
      </c>
      <c r="N46" s="42">
        <v>0</v>
      </c>
      <c r="O46" s="37">
        <v>0</v>
      </c>
      <c r="Q46">
        <f>VLOOKUP(Table3[[#This Row],[Census Tract]],'Population and Diversity Data'!$B$2:$K$823,10,FALSE)</f>
        <v>2</v>
      </c>
      <c r="R46" t="str">
        <f>VLOOKUP(Table3[[#This Row],[Census Tract]],'ES Energy Burden'!$B$2:$E$914,4,FALSE)</f>
        <v>No</v>
      </c>
    </row>
    <row r="47" spans="1:18" hidden="1" x14ac:dyDescent="0.25">
      <c r="A47" s="140">
        <v>9003514900</v>
      </c>
      <c r="B47" s="39" t="s">
        <v>2733</v>
      </c>
      <c r="C47" s="39" t="s">
        <v>944</v>
      </c>
      <c r="D47" s="41">
        <v>157.35695040000002</v>
      </c>
      <c r="E47" s="37">
        <v>1.3960144636957974E-6</v>
      </c>
      <c r="F47" s="41">
        <v>0</v>
      </c>
      <c r="G47" s="37">
        <v>0</v>
      </c>
      <c r="H47" s="41">
        <v>157.35695040000002</v>
      </c>
      <c r="I47" s="37">
        <v>1.3960144636957974E-6</v>
      </c>
      <c r="J47" s="42">
        <v>0</v>
      </c>
      <c r="K47" s="37">
        <v>0</v>
      </c>
      <c r="L47" s="38">
        <v>0</v>
      </c>
      <c r="M47" s="37">
        <v>0</v>
      </c>
      <c r="N47" s="42">
        <v>0</v>
      </c>
      <c r="O47" s="37">
        <v>0</v>
      </c>
      <c r="Q47">
        <f>VLOOKUP(Table3[[#This Row],[Census Tract]],'Population and Diversity Data'!$B$2:$K$823,10,FALSE)</f>
        <v>3</v>
      </c>
      <c r="R47" t="str">
        <f>VLOOKUP(Table3[[#This Row],[Census Tract]],'ES Energy Burden'!$B$2:$E$914,4,FALSE)</f>
        <v>No</v>
      </c>
    </row>
    <row r="48" spans="1:18" hidden="1" x14ac:dyDescent="0.25">
      <c r="A48" s="140">
        <v>9013526102</v>
      </c>
      <c r="B48" s="39" t="s">
        <v>2733</v>
      </c>
      <c r="C48" s="39" t="s">
        <v>944</v>
      </c>
      <c r="D48" s="41">
        <v>146.4682176</v>
      </c>
      <c r="E48" s="37">
        <v>1.2994135290597457E-6</v>
      </c>
      <c r="F48" s="41">
        <v>0</v>
      </c>
      <c r="G48" s="37">
        <v>0</v>
      </c>
      <c r="H48" s="41">
        <v>146.4682176</v>
      </c>
      <c r="I48" s="37">
        <v>1.2994135290597457E-6</v>
      </c>
      <c r="J48" s="42">
        <v>0</v>
      </c>
      <c r="K48" s="37">
        <v>0</v>
      </c>
      <c r="L48" s="38">
        <v>0</v>
      </c>
      <c r="M48" s="37">
        <v>0</v>
      </c>
      <c r="N48" s="42">
        <v>0</v>
      </c>
      <c r="O48" s="37">
        <v>0</v>
      </c>
      <c r="Q48">
        <f>VLOOKUP(Table3[[#This Row],[Census Tract]],'Population and Diversity Data'!$B$2:$K$823,10,FALSE)</f>
        <v>1</v>
      </c>
      <c r="R48" t="str">
        <f>VLOOKUP(Table3[[#This Row],[Census Tract]],'ES Energy Burden'!$B$2:$E$914,4,FALSE)</f>
        <v>No</v>
      </c>
    </row>
    <row r="49" spans="1:18" hidden="1" x14ac:dyDescent="0.25">
      <c r="A49" s="140">
        <v>9013528100</v>
      </c>
      <c r="B49" s="39" t="s">
        <v>2733</v>
      </c>
      <c r="C49" s="39" t="s">
        <v>944</v>
      </c>
      <c r="D49" s="41">
        <v>230.72420160000001</v>
      </c>
      <c r="E49" s="37">
        <v>2.0469024198772541E-6</v>
      </c>
      <c r="F49" s="41">
        <v>0</v>
      </c>
      <c r="G49" s="37">
        <v>0</v>
      </c>
      <c r="H49" s="41">
        <v>230.72420160000001</v>
      </c>
      <c r="I49" s="37">
        <v>2.0469024198772541E-6</v>
      </c>
      <c r="J49" s="42">
        <v>0</v>
      </c>
      <c r="K49" s="37">
        <v>0</v>
      </c>
      <c r="L49" s="38">
        <v>0</v>
      </c>
      <c r="M49" s="37">
        <v>0</v>
      </c>
      <c r="N49" s="42">
        <v>0</v>
      </c>
      <c r="O49" s="37">
        <v>0</v>
      </c>
      <c r="Q49">
        <f>VLOOKUP(Table3[[#This Row],[Census Tract]],'Population and Diversity Data'!$B$2:$K$823,10,FALSE)</f>
        <v>1</v>
      </c>
      <c r="R49" t="str">
        <f>VLOOKUP(Table3[[#This Row],[Census Tract]],'ES Energy Burden'!$B$2:$E$914,4,FALSE)</f>
        <v>No</v>
      </c>
    </row>
    <row r="50" spans="1:18" hidden="1" x14ac:dyDescent="0.25">
      <c r="A50" s="140">
        <v>9013529100</v>
      </c>
      <c r="B50" s="39" t="s">
        <v>2733</v>
      </c>
      <c r="C50" s="39" t="s">
        <v>944</v>
      </c>
      <c r="D50" s="41">
        <v>121854.88024128</v>
      </c>
      <c r="E50" s="37">
        <v>1.0810528219841894E-3</v>
      </c>
      <c r="F50" s="41">
        <v>98228.382099999988</v>
      </c>
      <c r="G50" s="37">
        <v>1.2017900797979062E-3</v>
      </c>
      <c r="H50" s="41">
        <v>101516.74534656</v>
      </c>
      <c r="I50" s="37">
        <v>9.0062017884098996E-4</v>
      </c>
      <c r="J50" s="42">
        <v>75181.872099999993</v>
      </c>
      <c r="K50" s="37">
        <v>9.1982404819039554E-4</v>
      </c>
      <c r="L50" s="38">
        <v>20338.134894720002</v>
      </c>
      <c r="M50" s="37">
        <v>1.8043264314319938E-4</v>
      </c>
      <c r="N50" s="42">
        <v>23046.51</v>
      </c>
      <c r="O50" s="37">
        <v>2.819660316075108E-4</v>
      </c>
      <c r="Q50">
        <f>VLOOKUP(Table3[[#This Row],[Census Tract]],'Population and Diversity Data'!$B$2:$K$823,10,FALSE)</f>
        <v>2</v>
      </c>
      <c r="R50" t="str">
        <f>VLOOKUP(Table3[[#This Row],[Census Tract]],'ES Energy Burden'!$B$2:$E$914,4,FALSE)</f>
        <v>No</v>
      </c>
    </row>
    <row r="51" spans="1:18" hidden="1" x14ac:dyDescent="0.25">
      <c r="A51" s="140">
        <v>9013530600</v>
      </c>
      <c r="B51" s="39" t="s">
        <v>2733</v>
      </c>
      <c r="C51" s="39" t="s">
        <v>944</v>
      </c>
      <c r="D51" s="41">
        <v>388.26639360000001</v>
      </c>
      <c r="E51" s="37">
        <v>3.4445602806535159E-6</v>
      </c>
      <c r="F51" s="41">
        <v>0</v>
      </c>
      <c r="G51" s="37">
        <v>0</v>
      </c>
      <c r="H51" s="41">
        <v>388.26639360000001</v>
      </c>
      <c r="I51" s="37">
        <v>3.4445602806535159E-6</v>
      </c>
      <c r="J51" s="42">
        <v>0</v>
      </c>
      <c r="K51" s="37">
        <v>0</v>
      </c>
      <c r="L51" s="38">
        <v>0</v>
      </c>
      <c r="M51" s="37">
        <v>0</v>
      </c>
      <c r="N51" s="42">
        <v>0</v>
      </c>
      <c r="O51" s="37">
        <v>0</v>
      </c>
      <c r="Q51">
        <f>VLOOKUP(Table3[[#This Row],[Census Tract]],'Population and Diversity Data'!$B$2:$K$823,10,FALSE)</f>
        <v>4</v>
      </c>
      <c r="R51" t="str">
        <f>VLOOKUP(Table3[[#This Row],[Census Tract]],'ES Energy Burden'!$B$2:$E$914,4,FALSE)</f>
        <v>No</v>
      </c>
    </row>
    <row r="52" spans="1:18" hidden="1" x14ac:dyDescent="0.25">
      <c r="A52" s="140">
        <v>9009184100</v>
      </c>
      <c r="B52" s="39" t="s">
        <v>2734</v>
      </c>
      <c r="C52" s="39" t="s">
        <v>944</v>
      </c>
      <c r="D52" s="41">
        <v>98810.04429215999</v>
      </c>
      <c r="E52" s="37">
        <v>8.7660729722859271E-4</v>
      </c>
      <c r="F52" s="41">
        <v>14180.251700000001</v>
      </c>
      <c r="G52" s="37">
        <v>1.7349044601740825E-4</v>
      </c>
      <c r="H52" s="41">
        <v>98810.04429215999</v>
      </c>
      <c r="I52" s="37">
        <v>8.7660729722859271E-4</v>
      </c>
      <c r="J52" s="42">
        <v>14180.251700000001</v>
      </c>
      <c r="K52" s="37">
        <v>1.7349044601740825E-4</v>
      </c>
      <c r="L52" s="38">
        <v>0</v>
      </c>
      <c r="M52" s="37">
        <v>0</v>
      </c>
      <c r="N52" s="42">
        <v>0</v>
      </c>
      <c r="O52" s="37">
        <v>0</v>
      </c>
      <c r="Q52">
        <f>VLOOKUP(Table3[[#This Row],[Census Tract]],'Population and Diversity Data'!$B$2:$K$823,10,FALSE)</f>
        <v>3</v>
      </c>
      <c r="R52" t="str">
        <f>VLOOKUP(Table3[[#This Row],[Census Tract]],'ES Energy Burden'!$B$2:$E$914,4,FALSE)</f>
        <v>No</v>
      </c>
    </row>
    <row r="53" spans="1:18" hidden="1" x14ac:dyDescent="0.25">
      <c r="A53" s="140">
        <v>9009184200</v>
      </c>
      <c r="B53" s="39" t="s">
        <v>2734</v>
      </c>
      <c r="C53" s="39" t="s">
        <v>944</v>
      </c>
      <c r="D53" s="41">
        <v>64502.505169920005</v>
      </c>
      <c r="E53" s="37">
        <v>5.7224310672597577E-4</v>
      </c>
      <c r="F53" s="41">
        <v>10900.4157</v>
      </c>
      <c r="G53" s="37">
        <v>1.3336279366382185E-4</v>
      </c>
      <c r="H53" s="41">
        <v>64502.505169920005</v>
      </c>
      <c r="I53" s="37">
        <v>5.7224310672597577E-4</v>
      </c>
      <c r="J53" s="42">
        <v>10900.4157</v>
      </c>
      <c r="K53" s="37">
        <v>1.3336279366382185E-4</v>
      </c>
      <c r="L53" s="38">
        <v>0</v>
      </c>
      <c r="M53" s="37">
        <v>0</v>
      </c>
      <c r="N53" s="42">
        <v>0</v>
      </c>
      <c r="O53" s="37">
        <v>0</v>
      </c>
      <c r="Q53">
        <f>VLOOKUP(Table3[[#This Row],[Census Tract]],'Population and Diversity Data'!$B$2:$K$823,10,FALSE)</f>
        <v>5</v>
      </c>
      <c r="R53" t="str">
        <f>VLOOKUP(Table3[[#This Row],[Census Tract]],'ES Energy Burden'!$B$2:$E$914,4,FALSE)</f>
        <v>No</v>
      </c>
    </row>
    <row r="54" spans="1:18" hidden="1" x14ac:dyDescent="0.25">
      <c r="A54" s="140">
        <v>9009184300</v>
      </c>
      <c r="B54" s="39" t="s">
        <v>2734</v>
      </c>
      <c r="C54" s="39" t="s">
        <v>944</v>
      </c>
      <c r="D54" s="41">
        <v>83683.552723200002</v>
      </c>
      <c r="E54" s="37">
        <v>7.4241048570192062E-4</v>
      </c>
      <c r="F54" s="41">
        <v>11085.186100000001</v>
      </c>
      <c r="G54" s="37">
        <v>1.3562339522330019E-4</v>
      </c>
      <c r="H54" s="41">
        <v>83683.552723200002</v>
      </c>
      <c r="I54" s="37">
        <v>7.4241048570192062E-4</v>
      </c>
      <c r="J54" s="42">
        <v>11085.186100000001</v>
      </c>
      <c r="K54" s="37">
        <v>1.3562339522330019E-4</v>
      </c>
      <c r="L54" s="38">
        <v>0</v>
      </c>
      <c r="M54" s="37">
        <v>0</v>
      </c>
      <c r="N54" s="42">
        <v>0</v>
      </c>
      <c r="O54" s="37">
        <v>0</v>
      </c>
      <c r="Q54">
        <f>VLOOKUP(Table3[[#This Row],[Census Tract]],'Population and Diversity Data'!$B$2:$K$823,10,FALSE)</f>
        <v>2</v>
      </c>
      <c r="R54" t="str">
        <f>VLOOKUP(Table3[[#This Row],[Census Tract]],'ES Energy Burden'!$B$2:$E$914,4,FALSE)</f>
        <v>No</v>
      </c>
    </row>
    <row r="55" spans="1:18" hidden="1" x14ac:dyDescent="0.25">
      <c r="A55" s="140">
        <v>9009184400</v>
      </c>
      <c r="B55" s="39" t="s">
        <v>2734</v>
      </c>
      <c r="C55" s="39" t="s">
        <v>944</v>
      </c>
      <c r="D55" s="41">
        <v>71578.025161919999</v>
      </c>
      <c r="E55" s="37">
        <v>6.3501458407026962E-4</v>
      </c>
      <c r="F55" s="41">
        <v>22676.038700000001</v>
      </c>
      <c r="G55" s="37">
        <v>2.7743344414478974E-4</v>
      </c>
      <c r="H55" s="41">
        <v>71578.025161919999</v>
      </c>
      <c r="I55" s="37">
        <v>6.3501458407026962E-4</v>
      </c>
      <c r="J55" s="42">
        <v>22676.038700000001</v>
      </c>
      <c r="K55" s="37">
        <v>2.7743344414478974E-4</v>
      </c>
      <c r="L55" s="38">
        <v>0</v>
      </c>
      <c r="M55" s="37">
        <v>0</v>
      </c>
      <c r="N55" s="42">
        <v>0</v>
      </c>
      <c r="O55" s="37">
        <v>0</v>
      </c>
      <c r="Q55">
        <f>VLOOKUP(Table3[[#This Row],[Census Tract]],'Population and Diversity Data'!$B$2:$K$823,10,FALSE)</f>
        <v>1</v>
      </c>
      <c r="R55" t="str">
        <f>VLOOKUP(Table3[[#This Row],[Census Tract]],'ES Energy Burden'!$B$2:$E$914,4,FALSE)</f>
        <v>No</v>
      </c>
    </row>
    <row r="56" spans="1:18" hidden="1" x14ac:dyDescent="0.25">
      <c r="A56" s="140">
        <v>9009184500</v>
      </c>
      <c r="B56" s="39" t="s">
        <v>2734</v>
      </c>
      <c r="C56" s="39" t="s">
        <v>944</v>
      </c>
      <c r="D56" s="41">
        <v>51159.279490560002</v>
      </c>
      <c r="E56" s="37">
        <v>4.5386679100942672E-4</v>
      </c>
      <c r="F56" s="41">
        <v>16216.5388</v>
      </c>
      <c r="G56" s="37">
        <v>1.9840371022967145E-4</v>
      </c>
      <c r="H56" s="41">
        <v>51159.279490560002</v>
      </c>
      <c r="I56" s="37">
        <v>4.5386679100942672E-4</v>
      </c>
      <c r="J56" s="42">
        <v>16216.5388</v>
      </c>
      <c r="K56" s="37">
        <v>1.9840371022967145E-4</v>
      </c>
      <c r="L56" s="38">
        <v>0</v>
      </c>
      <c r="M56" s="37">
        <v>0</v>
      </c>
      <c r="N56" s="42">
        <v>0</v>
      </c>
      <c r="O56" s="37">
        <v>0</v>
      </c>
      <c r="Q56">
        <f>VLOOKUP(Table3[[#This Row],[Census Tract]],'Population and Diversity Data'!$B$2:$K$823,10,FALSE)</f>
        <v>1</v>
      </c>
      <c r="R56" t="str">
        <f>VLOOKUP(Table3[[#This Row],[Census Tract]],'ES Energy Burden'!$B$2:$E$914,4,FALSE)</f>
        <v>No</v>
      </c>
    </row>
    <row r="57" spans="1:18" hidden="1" x14ac:dyDescent="0.25">
      <c r="A57" s="140">
        <v>9009184600</v>
      </c>
      <c r="B57" s="39" t="s">
        <v>2734</v>
      </c>
      <c r="C57" s="39" t="s">
        <v>944</v>
      </c>
      <c r="D57" s="41">
        <v>71746.751315519999</v>
      </c>
      <c r="E57" s="37">
        <v>6.3651146202977889E-4</v>
      </c>
      <c r="F57" s="41">
        <v>19083.82</v>
      </c>
      <c r="G57" s="37">
        <v>2.3348389813954683E-4</v>
      </c>
      <c r="H57" s="41">
        <v>71746.751315519999</v>
      </c>
      <c r="I57" s="37">
        <v>6.3651146202977889E-4</v>
      </c>
      <c r="J57" s="42">
        <v>19083.82</v>
      </c>
      <c r="K57" s="37">
        <v>2.3348389813954683E-4</v>
      </c>
      <c r="L57" s="38">
        <v>0</v>
      </c>
      <c r="M57" s="37">
        <v>0</v>
      </c>
      <c r="N57" s="42">
        <v>0</v>
      </c>
      <c r="O57" s="37">
        <v>0</v>
      </c>
      <c r="Q57">
        <f>VLOOKUP(Table3[[#This Row],[Census Tract]],'Population and Diversity Data'!$B$2:$K$823,10,FALSE)</f>
        <v>1</v>
      </c>
      <c r="R57" t="str">
        <f>VLOOKUP(Table3[[#This Row],[Census Tract]],'ES Energy Burden'!$B$2:$E$914,4,FALSE)</f>
        <v>No</v>
      </c>
    </row>
    <row r="58" spans="1:18" hidden="1" x14ac:dyDescent="0.25">
      <c r="A58" s="140">
        <v>9009184700</v>
      </c>
      <c r="B58" s="39" t="s">
        <v>2734</v>
      </c>
      <c r="C58" s="39" t="s">
        <v>944</v>
      </c>
      <c r="D58" s="41">
        <v>386662.77964512003</v>
      </c>
      <c r="E58" s="37">
        <v>3.4303335924169543E-3</v>
      </c>
      <c r="F58" s="41">
        <v>306803.8248</v>
      </c>
      <c r="G58" s="37">
        <v>3.7536380545627954E-3</v>
      </c>
      <c r="H58" s="41">
        <v>127510.82612351999</v>
      </c>
      <c r="I58" s="37">
        <v>1.1312303466338265E-3</v>
      </c>
      <c r="J58" s="42">
        <v>184133.80179999999</v>
      </c>
      <c r="K58" s="37">
        <v>2.2528130019838113E-3</v>
      </c>
      <c r="L58" s="38">
        <v>259151.95352160002</v>
      </c>
      <c r="M58" s="37">
        <v>2.299103245783128E-3</v>
      </c>
      <c r="N58" s="42">
        <v>122670.023</v>
      </c>
      <c r="O58" s="37">
        <v>1.500825052578984E-3</v>
      </c>
      <c r="Q58">
        <f>VLOOKUP(Table3[[#This Row],[Census Tract]],'Population and Diversity Data'!$B$2:$K$823,10,FALSE)</f>
        <v>4</v>
      </c>
      <c r="R58" t="str">
        <f>VLOOKUP(Table3[[#This Row],[Census Tract]],'ES Energy Burden'!$B$2:$E$914,4,FALSE)</f>
        <v>No</v>
      </c>
    </row>
    <row r="59" spans="1:18" hidden="1" x14ac:dyDescent="0.25">
      <c r="A59" s="140">
        <v>9005250100</v>
      </c>
      <c r="B59" s="39" t="s">
        <v>2735</v>
      </c>
      <c r="C59" s="39" t="s">
        <v>944</v>
      </c>
      <c r="D59" s="41">
        <v>69851.627285760012</v>
      </c>
      <c r="E59" s="37">
        <v>6.1969860089261736E-4</v>
      </c>
      <c r="F59" s="41">
        <v>14188.062400000001</v>
      </c>
      <c r="G59" s="37">
        <v>1.7358600721444314E-4</v>
      </c>
      <c r="H59" s="41">
        <v>63737.97777504001</v>
      </c>
      <c r="I59" s="37">
        <v>5.6546049370233048E-4</v>
      </c>
      <c r="J59" s="42">
        <v>14188.062400000001</v>
      </c>
      <c r="K59" s="37">
        <v>1.7358600721444314E-4</v>
      </c>
      <c r="L59" s="38">
        <v>6113.6495107199999</v>
      </c>
      <c r="M59" s="37">
        <v>5.4238107190286871E-5</v>
      </c>
      <c r="N59" s="42">
        <v>0</v>
      </c>
      <c r="O59" s="37">
        <v>0</v>
      </c>
      <c r="Q59">
        <f>VLOOKUP(Table3[[#This Row],[Census Tract]],'Population and Diversity Data'!$B$2:$K$823,10,FALSE)</f>
        <v>2</v>
      </c>
      <c r="R59" t="str">
        <f>VLOOKUP(Table3[[#This Row],[Census Tract]],'ES Energy Burden'!$B$2:$E$914,4,FALSE)</f>
        <v>No</v>
      </c>
    </row>
    <row r="60" spans="1:18" hidden="1" x14ac:dyDescent="0.25">
      <c r="A60" s="140">
        <v>9005268100</v>
      </c>
      <c r="B60" s="39" t="s">
        <v>2735</v>
      </c>
      <c r="C60" s="39" t="s">
        <v>944</v>
      </c>
      <c r="D60" s="41">
        <v>1019.2745376</v>
      </c>
      <c r="E60" s="37">
        <v>9.0426383667794178E-6</v>
      </c>
      <c r="F60" s="41">
        <v>0</v>
      </c>
      <c r="G60" s="37">
        <v>0</v>
      </c>
      <c r="H60" s="41">
        <v>1019.2745376</v>
      </c>
      <c r="I60" s="37">
        <v>9.0426383667794178E-6</v>
      </c>
      <c r="J60" s="42">
        <v>0</v>
      </c>
      <c r="K60" s="37">
        <v>0</v>
      </c>
      <c r="L60" s="38">
        <v>0</v>
      </c>
      <c r="M60" s="37">
        <v>0</v>
      </c>
      <c r="N60" s="42">
        <v>0</v>
      </c>
      <c r="O60" s="37">
        <v>0</v>
      </c>
      <c r="Q60">
        <f>VLOOKUP(Table3[[#This Row],[Census Tract]],'Population and Diversity Data'!$B$2:$K$823,10,FALSE)</f>
        <v>1</v>
      </c>
      <c r="R60" t="str">
        <f>VLOOKUP(Table3[[#This Row],[Census Tract]],'ES Energy Burden'!$B$2:$E$914,4,FALSE)</f>
        <v>No</v>
      </c>
    </row>
    <row r="61" spans="1:18" hidden="1" x14ac:dyDescent="0.25">
      <c r="A61" s="140">
        <v>9003405100</v>
      </c>
      <c r="B61" s="39" t="s">
        <v>2736</v>
      </c>
      <c r="C61" s="39" t="s">
        <v>944</v>
      </c>
      <c r="D61" s="41">
        <v>73591.994413439999</v>
      </c>
      <c r="E61" s="37">
        <v>6.5288179741809836E-4</v>
      </c>
      <c r="F61" s="41">
        <v>30053.519799999998</v>
      </c>
      <c r="G61" s="37">
        <v>3.6769435866184302E-4</v>
      </c>
      <c r="H61" s="41">
        <v>73591.994413439999</v>
      </c>
      <c r="I61" s="37">
        <v>6.5288179741809836E-4</v>
      </c>
      <c r="J61" s="42">
        <v>30053.519799999998</v>
      </c>
      <c r="K61" s="37">
        <v>3.6769435866184302E-4</v>
      </c>
      <c r="L61" s="38">
        <v>0</v>
      </c>
      <c r="M61" s="37">
        <v>0</v>
      </c>
      <c r="N61" s="42">
        <v>0</v>
      </c>
      <c r="O61" s="37">
        <v>0</v>
      </c>
      <c r="Q61">
        <f>VLOOKUP(Table3[[#This Row],[Census Tract]],'Population and Diversity Data'!$B$2:$K$823,10,FALSE)</f>
        <v>4</v>
      </c>
      <c r="R61" t="str">
        <f>VLOOKUP(Table3[[#This Row],[Census Tract]],'ES Energy Burden'!$B$2:$E$914,4,FALSE)</f>
        <v>No</v>
      </c>
    </row>
    <row r="62" spans="1:18" hidden="1" x14ac:dyDescent="0.25">
      <c r="A62" s="140">
        <v>9003405200</v>
      </c>
      <c r="B62" s="39" t="s">
        <v>2736</v>
      </c>
      <c r="C62" s="39" t="s">
        <v>944</v>
      </c>
      <c r="D62" s="41">
        <v>78441.760748159999</v>
      </c>
      <c r="E62" s="37">
        <v>6.9590718607493189E-4</v>
      </c>
      <c r="F62" s="41">
        <v>42995.71</v>
      </c>
      <c r="G62" s="37">
        <v>5.2603755296777555E-4</v>
      </c>
      <c r="H62" s="41">
        <v>78441.760748159999</v>
      </c>
      <c r="I62" s="37">
        <v>6.9590718607493189E-4</v>
      </c>
      <c r="J62" s="42">
        <v>42995.71</v>
      </c>
      <c r="K62" s="37">
        <v>5.2603755296777555E-4</v>
      </c>
      <c r="L62" s="38">
        <v>0</v>
      </c>
      <c r="M62" s="37">
        <v>0</v>
      </c>
      <c r="N62" s="42">
        <v>0</v>
      </c>
      <c r="O62" s="37">
        <v>0</v>
      </c>
      <c r="Q62">
        <f>VLOOKUP(Table3[[#This Row],[Census Tract]],'Population and Diversity Data'!$B$2:$K$823,10,FALSE)</f>
        <v>2</v>
      </c>
      <c r="R62" t="str">
        <f>VLOOKUP(Table3[[#This Row],[Census Tract]],'ES Energy Burden'!$B$2:$E$914,4,FALSE)</f>
        <v>No</v>
      </c>
    </row>
    <row r="63" spans="1:18" hidden="1" x14ac:dyDescent="0.25">
      <c r="A63" s="140">
        <v>9003405300</v>
      </c>
      <c r="B63" s="39" t="s">
        <v>2736</v>
      </c>
      <c r="C63" s="39" t="s">
        <v>944</v>
      </c>
      <c r="D63" s="41">
        <v>104034.2122656</v>
      </c>
      <c r="E63" s="37">
        <v>9.2295424303022293E-4</v>
      </c>
      <c r="F63" s="41">
        <v>85654.017500000002</v>
      </c>
      <c r="G63" s="37">
        <v>1.0479471037356757E-3</v>
      </c>
      <c r="H63" s="41">
        <v>104034.2122656</v>
      </c>
      <c r="I63" s="37">
        <v>9.2295424303022293E-4</v>
      </c>
      <c r="J63" s="42">
        <v>85654.017500000002</v>
      </c>
      <c r="K63" s="37">
        <v>1.0479471037356757E-3</v>
      </c>
      <c r="L63" s="38">
        <v>0</v>
      </c>
      <c r="M63" s="37">
        <v>0</v>
      </c>
      <c r="N63" s="42">
        <v>0</v>
      </c>
      <c r="O63" s="37">
        <v>0</v>
      </c>
      <c r="Q63">
        <f>VLOOKUP(Table3[[#This Row],[Census Tract]],'Population and Diversity Data'!$B$2:$K$823,10,FALSE)</f>
        <v>3</v>
      </c>
      <c r="R63" t="str">
        <f>VLOOKUP(Table3[[#This Row],[Census Tract]],'ES Energy Burden'!$B$2:$E$914,4,FALSE)</f>
        <v>No</v>
      </c>
    </row>
    <row r="64" spans="1:18" hidden="1" x14ac:dyDescent="0.25">
      <c r="A64" s="140">
        <v>9003405401</v>
      </c>
      <c r="B64" s="39" t="s">
        <v>2736</v>
      </c>
      <c r="C64" s="39" t="s">
        <v>944</v>
      </c>
      <c r="D64" s="41">
        <v>70101.589985280007</v>
      </c>
      <c r="E64" s="37">
        <v>6.2191618037053256E-4</v>
      </c>
      <c r="F64" s="41">
        <v>9810.9004999999997</v>
      </c>
      <c r="G64" s="37">
        <v>1.2003295425125728E-4</v>
      </c>
      <c r="H64" s="41">
        <v>70101.589985280007</v>
      </c>
      <c r="I64" s="37">
        <v>6.2191618037053256E-4</v>
      </c>
      <c r="J64" s="42">
        <v>9810.9004999999997</v>
      </c>
      <c r="K64" s="37">
        <v>1.2003295425125728E-4</v>
      </c>
      <c r="L64" s="38">
        <v>0</v>
      </c>
      <c r="M64" s="37">
        <v>0</v>
      </c>
      <c r="N64" s="42">
        <v>0</v>
      </c>
      <c r="O64" s="37">
        <v>0</v>
      </c>
      <c r="Q64">
        <f>VLOOKUP(Table3[[#This Row],[Census Tract]],'Population and Diversity Data'!$B$2:$K$823,10,FALSE)</f>
        <v>4</v>
      </c>
      <c r="R64" t="str">
        <f>VLOOKUP(Table3[[#This Row],[Census Tract]],'ES Energy Burden'!$B$2:$E$914,4,FALSE)</f>
        <v>No</v>
      </c>
    </row>
    <row r="65" spans="1:18" hidden="1" x14ac:dyDescent="0.25">
      <c r="A65" s="140">
        <v>9003405402</v>
      </c>
      <c r="B65" s="39" t="s">
        <v>2736</v>
      </c>
      <c r="C65" s="39" t="s">
        <v>944</v>
      </c>
      <c r="D65" s="41">
        <v>84617.753319359996</v>
      </c>
      <c r="E65" s="37">
        <v>7.5069837855264903E-4</v>
      </c>
      <c r="F65" s="41">
        <v>14170.022000000001</v>
      </c>
      <c r="G65" s="37">
        <v>1.7336528919698139E-4</v>
      </c>
      <c r="H65" s="41">
        <v>84617.753319359996</v>
      </c>
      <c r="I65" s="37">
        <v>7.5069837855264903E-4</v>
      </c>
      <c r="J65" s="42">
        <v>14170.022000000001</v>
      </c>
      <c r="K65" s="37">
        <v>1.7336528919698139E-4</v>
      </c>
      <c r="L65" s="38">
        <v>0</v>
      </c>
      <c r="M65" s="37">
        <v>0</v>
      </c>
      <c r="N65" s="42">
        <v>0</v>
      </c>
      <c r="O65" s="37">
        <v>0</v>
      </c>
      <c r="Q65">
        <f>VLOOKUP(Table3[[#This Row],[Census Tract]],'Population and Diversity Data'!$B$2:$K$823,10,FALSE)</f>
        <v>5</v>
      </c>
      <c r="R65" t="str">
        <f>VLOOKUP(Table3[[#This Row],[Census Tract]],'ES Energy Burden'!$B$2:$E$914,4,FALSE)</f>
        <v>No</v>
      </c>
    </row>
    <row r="66" spans="1:18" hidden="1" x14ac:dyDescent="0.25">
      <c r="A66" s="140">
        <v>9003405500</v>
      </c>
      <c r="B66" s="39" t="s">
        <v>2736</v>
      </c>
      <c r="C66" s="39" t="s">
        <v>944</v>
      </c>
      <c r="D66" s="41">
        <v>95029.491893759987</v>
      </c>
      <c r="E66" s="37">
        <v>8.4306759138458418E-4</v>
      </c>
      <c r="F66" s="41">
        <v>79289.1728</v>
      </c>
      <c r="G66" s="37">
        <v>9.7007544326052782E-4</v>
      </c>
      <c r="H66" s="41">
        <v>95029.491893759987</v>
      </c>
      <c r="I66" s="37">
        <v>8.4306759138458418E-4</v>
      </c>
      <c r="J66" s="42">
        <v>79289.1728</v>
      </c>
      <c r="K66" s="37">
        <v>9.7007544326052782E-4</v>
      </c>
      <c r="L66" s="38">
        <v>0</v>
      </c>
      <c r="M66" s="37">
        <v>0</v>
      </c>
      <c r="N66" s="42">
        <v>0</v>
      </c>
      <c r="O66" s="37">
        <v>0</v>
      </c>
      <c r="Q66">
        <f>VLOOKUP(Table3[[#This Row],[Census Tract]],'Population and Diversity Data'!$B$2:$K$823,10,FALSE)</f>
        <v>2</v>
      </c>
      <c r="R66" t="str">
        <f>VLOOKUP(Table3[[#This Row],[Census Tract]],'ES Energy Burden'!$B$2:$E$914,4,FALSE)</f>
        <v>No</v>
      </c>
    </row>
    <row r="67" spans="1:18" hidden="1" x14ac:dyDescent="0.25">
      <c r="A67" s="140">
        <v>9003405600</v>
      </c>
      <c r="B67" s="39" t="s">
        <v>2736</v>
      </c>
      <c r="C67" s="39" t="s">
        <v>944</v>
      </c>
      <c r="D67" s="41">
        <v>125510.08948992001</v>
      </c>
      <c r="E67" s="37">
        <v>1.1134805283293176E-3</v>
      </c>
      <c r="F67" s="41">
        <v>64317.655200000001</v>
      </c>
      <c r="G67" s="37">
        <v>7.8690413425044328E-4</v>
      </c>
      <c r="H67" s="41">
        <v>125510.08948992001</v>
      </c>
      <c r="I67" s="37">
        <v>1.1134805283293176E-3</v>
      </c>
      <c r="J67" s="42">
        <v>64317.655200000001</v>
      </c>
      <c r="K67" s="37">
        <v>7.8690413425044328E-4</v>
      </c>
      <c r="L67" s="38">
        <v>0</v>
      </c>
      <c r="M67" s="37">
        <v>0</v>
      </c>
      <c r="N67" s="42">
        <v>0</v>
      </c>
      <c r="O67" s="37">
        <v>0</v>
      </c>
      <c r="Q67">
        <f>VLOOKUP(Table3[[#This Row],[Census Tract]],'Population and Diversity Data'!$B$2:$K$823,10,FALSE)</f>
        <v>3</v>
      </c>
      <c r="R67" t="str">
        <f>VLOOKUP(Table3[[#This Row],[Census Tract]],'ES Energy Burden'!$B$2:$E$914,4,FALSE)</f>
        <v>No</v>
      </c>
    </row>
    <row r="68" spans="1:18" hidden="1" x14ac:dyDescent="0.25">
      <c r="A68" s="140">
        <v>9003405700</v>
      </c>
      <c r="B68" s="39" t="s">
        <v>2736</v>
      </c>
      <c r="C68" s="39" t="s">
        <v>944</v>
      </c>
      <c r="D68" s="41">
        <v>33239.069625599994</v>
      </c>
      <c r="E68" s="37">
        <v>2.9488511209180908E-4</v>
      </c>
      <c r="F68" s="41">
        <v>28576.05</v>
      </c>
      <c r="G68" s="37">
        <v>3.496180296937718E-4</v>
      </c>
      <c r="H68" s="41">
        <v>33239.069625599994</v>
      </c>
      <c r="I68" s="37">
        <v>2.9488511209180908E-4</v>
      </c>
      <c r="J68" s="42">
        <v>28576.05</v>
      </c>
      <c r="K68" s="37">
        <v>3.496180296937718E-4</v>
      </c>
      <c r="L68" s="38">
        <v>0</v>
      </c>
      <c r="M68" s="37">
        <v>0</v>
      </c>
      <c r="N68" s="42">
        <v>0</v>
      </c>
      <c r="O68" s="37">
        <v>0</v>
      </c>
      <c r="Q68">
        <f>VLOOKUP(Table3[[#This Row],[Census Tract]],'Population and Diversity Data'!$B$2:$K$823,10,FALSE)</f>
        <v>3</v>
      </c>
      <c r="R68" t="str">
        <f>VLOOKUP(Table3[[#This Row],[Census Tract]],'ES Energy Burden'!$B$2:$E$914,4,FALSE)</f>
        <v>Yes</v>
      </c>
    </row>
    <row r="69" spans="1:18" hidden="1" x14ac:dyDescent="0.25">
      <c r="A69" s="140">
        <v>9003405800</v>
      </c>
      <c r="B69" s="39" t="s">
        <v>2736</v>
      </c>
      <c r="C69" s="39" t="s">
        <v>944</v>
      </c>
      <c r="D69" s="41">
        <v>509551.29354240006</v>
      </c>
      <c r="E69" s="37">
        <v>4.5205564417197391E-3</v>
      </c>
      <c r="F69" s="41">
        <v>739362.14009999996</v>
      </c>
      <c r="G69" s="37">
        <v>9.0458385484324284E-3</v>
      </c>
      <c r="H69" s="41">
        <v>199806.49982016004</v>
      </c>
      <c r="I69" s="37">
        <v>1.7726116512828348E-3</v>
      </c>
      <c r="J69" s="42">
        <v>450736.245</v>
      </c>
      <c r="K69" s="37">
        <v>5.5146011393621304E-3</v>
      </c>
      <c r="L69" s="38">
        <v>309744.79372224002</v>
      </c>
      <c r="M69" s="37">
        <v>2.7479447904369039E-3</v>
      </c>
      <c r="N69" s="42">
        <v>288625.89510000002</v>
      </c>
      <c r="O69" s="37">
        <v>3.5312374090702976E-3</v>
      </c>
      <c r="Q69">
        <f>VLOOKUP(Table3[[#This Row],[Census Tract]],'Population and Diversity Data'!$B$2:$K$823,10,FALSE)</f>
        <v>2</v>
      </c>
      <c r="R69" t="str">
        <f>VLOOKUP(Table3[[#This Row],[Census Tract]],'ES Energy Burden'!$B$2:$E$914,4,FALSE)</f>
        <v>No</v>
      </c>
    </row>
    <row r="70" spans="1:18" hidden="1" x14ac:dyDescent="0.25">
      <c r="A70" s="140">
        <v>9003405900</v>
      </c>
      <c r="B70" s="39" t="s">
        <v>2736</v>
      </c>
      <c r="C70" s="39" t="s">
        <v>944</v>
      </c>
      <c r="D70" s="41">
        <v>95207.098066559993</v>
      </c>
      <c r="E70" s="37">
        <v>8.4464324969163831E-4</v>
      </c>
      <c r="F70" s="41">
        <v>47858.912400000001</v>
      </c>
      <c r="G70" s="37">
        <v>5.8553714234734421E-4</v>
      </c>
      <c r="H70" s="41">
        <v>95207.098066559993</v>
      </c>
      <c r="I70" s="37">
        <v>8.4464324969163831E-4</v>
      </c>
      <c r="J70" s="42">
        <v>47858.912400000001</v>
      </c>
      <c r="K70" s="37">
        <v>5.8553714234734421E-4</v>
      </c>
      <c r="L70" s="38">
        <v>0</v>
      </c>
      <c r="M70" s="37">
        <v>0</v>
      </c>
      <c r="N70" s="42">
        <v>0</v>
      </c>
      <c r="O70" s="37">
        <v>0</v>
      </c>
      <c r="Q70">
        <f>VLOOKUP(Table3[[#This Row],[Census Tract]],'Population and Diversity Data'!$B$2:$K$823,10,FALSE)</f>
        <v>1</v>
      </c>
      <c r="R70" t="str">
        <f>VLOOKUP(Table3[[#This Row],[Census Tract]],'ES Energy Burden'!$B$2:$E$914,4,FALSE)</f>
        <v>No</v>
      </c>
    </row>
    <row r="71" spans="1:18" hidden="1" x14ac:dyDescent="0.25">
      <c r="A71" s="140">
        <v>9003406001</v>
      </c>
      <c r="B71" s="39" t="s">
        <v>2736</v>
      </c>
      <c r="C71" s="39" t="s">
        <v>944</v>
      </c>
      <c r="D71" s="41">
        <v>65823.076327679999</v>
      </c>
      <c r="E71" s="37">
        <v>5.8395874071536229E-4</v>
      </c>
      <c r="F71" s="41">
        <v>61190</v>
      </c>
      <c r="G71" s="37">
        <v>7.4863836103876847E-4</v>
      </c>
      <c r="H71" s="41">
        <v>65823.076327679999</v>
      </c>
      <c r="I71" s="37">
        <v>5.8395874071536229E-4</v>
      </c>
      <c r="J71" s="42">
        <v>61190</v>
      </c>
      <c r="K71" s="37">
        <v>7.4863836103876847E-4</v>
      </c>
      <c r="L71" s="38">
        <v>0</v>
      </c>
      <c r="M71" s="37">
        <v>0</v>
      </c>
      <c r="N71" s="42">
        <v>0</v>
      </c>
      <c r="O71" s="37">
        <v>0</v>
      </c>
      <c r="Q71">
        <f>VLOOKUP(Table3[[#This Row],[Census Tract]],'Population and Diversity Data'!$B$2:$K$823,10,FALSE)</f>
        <v>4</v>
      </c>
      <c r="R71" t="str">
        <f>VLOOKUP(Table3[[#This Row],[Census Tract]],'ES Energy Burden'!$B$2:$E$914,4,FALSE)</f>
        <v>No</v>
      </c>
    </row>
    <row r="72" spans="1:18" hidden="1" x14ac:dyDescent="0.25">
      <c r="A72" s="140">
        <v>9003406002</v>
      </c>
      <c r="B72" s="39" t="s">
        <v>2736</v>
      </c>
      <c r="C72" s="39" t="s">
        <v>944</v>
      </c>
      <c r="D72" s="41">
        <v>98369.128762559994</v>
      </c>
      <c r="E72" s="37">
        <v>8.7269565268397592E-4</v>
      </c>
      <c r="F72" s="41">
        <v>88476.909499999994</v>
      </c>
      <c r="G72" s="37">
        <v>1.0824842052272502E-3</v>
      </c>
      <c r="H72" s="41">
        <v>98369.128762559994</v>
      </c>
      <c r="I72" s="37">
        <v>8.7269565268397592E-4</v>
      </c>
      <c r="J72" s="42">
        <v>88476.909499999994</v>
      </c>
      <c r="K72" s="37">
        <v>1.0824842052272502E-3</v>
      </c>
      <c r="L72" s="38">
        <v>0</v>
      </c>
      <c r="M72" s="37">
        <v>0</v>
      </c>
      <c r="N72" s="42">
        <v>0</v>
      </c>
      <c r="O72" s="37">
        <v>0</v>
      </c>
      <c r="Q72">
        <f>VLOOKUP(Table3[[#This Row],[Census Tract]],'Population and Diversity Data'!$B$2:$K$823,10,FALSE)</f>
        <v>2</v>
      </c>
      <c r="R72" t="str">
        <f>VLOOKUP(Table3[[#This Row],[Census Tract]],'ES Energy Burden'!$B$2:$E$914,4,FALSE)</f>
        <v>No</v>
      </c>
    </row>
    <row r="73" spans="1:18" hidden="1" x14ac:dyDescent="0.25">
      <c r="A73" s="140">
        <v>9003406100</v>
      </c>
      <c r="B73" s="39" t="s">
        <v>2736</v>
      </c>
      <c r="C73" s="39" t="s">
        <v>944</v>
      </c>
      <c r="D73" s="41">
        <v>52063.520731199998</v>
      </c>
      <c r="E73" s="37">
        <v>4.6188889519608532E-4</v>
      </c>
      <c r="F73" s="41">
        <v>10335.120000000001</v>
      </c>
      <c r="G73" s="37">
        <v>1.2644659744956687E-4</v>
      </c>
      <c r="H73" s="41">
        <v>52048.524265920001</v>
      </c>
      <c r="I73" s="37">
        <v>4.6175585193118998E-4</v>
      </c>
      <c r="J73" s="42">
        <v>10335.120000000001</v>
      </c>
      <c r="K73" s="37">
        <v>1.2644659744956687E-4</v>
      </c>
      <c r="L73" s="38">
        <v>14.996465279999999</v>
      </c>
      <c r="M73" s="37">
        <v>1.3304326489535124E-7</v>
      </c>
      <c r="N73" s="42">
        <v>0</v>
      </c>
      <c r="O73" s="37">
        <v>0</v>
      </c>
      <c r="Q73">
        <f>VLOOKUP(Table3[[#This Row],[Census Tract]],'Population and Diversity Data'!$B$2:$K$823,10,FALSE)</f>
        <v>4</v>
      </c>
      <c r="R73" t="str">
        <f>VLOOKUP(Table3[[#This Row],[Census Tract]],'ES Energy Burden'!$B$2:$E$914,4,FALSE)</f>
        <v>No</v>
      </c>
    </row>
    <row r="74" spans="1:18" hidden="1" x14ac:dyDescent="0.25">
      <c r="A74" s="140">
        <v>9003410101</v>
      </c>
      <c r="B74" s="39" t="s">
        <v>2736</v>
      </c>
      <c r="C74" s="39" t="s">
        <v>944</v>
      </c>
      <c r="D74" s="41">
        <v>392.66588160000003</v>
      </c>
      <c r="E74" s="37">
        <v>3.4835909613145471E-6</v>
      </c>
      <c r="F74" s="41">
        <v>0</v>
      </c>
      <c r="G74" s="37">
        <v>0</v>
      </c>
      <c r="H74" s="41">
        <v>392.66588160000003</v>
      </c>
      <c r="I74" s="37">
        <v>3.4835909613145471E-6</v>
      </c>
      <c r="J74" s="42">
        <v>0</v>
      </c>
      <c r="K74" s="37">
        <v>0</v>
      </c>
      <c r="L74" s="38">
        <v>0</v>
      </c>
      <c r="M74" s="37">
        <v>0</v>
      </c>
      <c r="N74" s="42">
        <v>0</v>
      </c>
      <c r="O74" s="37">
        <v>0</v>
      </c>
      <c r="Q74">
        <f>VLOOKUP(Table3[[#This Row],[Census Tract]],'Population and Diversity Data'!$B$2:$K$823,10,FALSE)</f>
        <v>1</v>
      </c>
      <c r="R74" t="str">
        <f>VLOOKUP(Table3[[#This Row],[Census Tract]],'ES Energy Burden'!$B$2:$E$914,4,FALSE)</f>
        <v>No</v>
      </c>
    </row>
    <row r="75" spans="1:18" hidden="1" x14ac:dyDescent="0.25">
      <c r="A75" s="140">
        <v>9003420500</v>
      </c>
      <c r="B75" s="39" t="s">
        <v>2736</v>
      </c>
      <c r="C75" s="39" t="s">
        <v>944</v>
      </c>
      <c r="D75" s="41">
        <v>546.64217280000003</v>
      </c>
      <c r="E75" s="37">
        <v>4.8496134282918682E-6</v>
      </c>
      <c r="F75" s="41">
        <v>894.67</v>
      </c>
      <c r="G75" s="37">
        <v>1.0945976180267281E-5</v>
      </c>
      <c r="H75" s="41">
        <v>546.64217280000003</v>
      </c>
      <c r="I75" s="37">
        <v>4.8496134282918682E-6</v>
      </c>
      <c r="J75" s="42">
        <v>894.67</v>
      </c>
      <c r="K75" s="37">
        <v>1.0945976180267281E-5</v>
      </c>
      <c r="L75" s="38">
        <v>0</v>
      </c>
      <c r="M75" s="37">
        <v>0</v>
      </c>
      <c r="N75" s="42">
        <v>0</v>
      </c>
      <c r="O75" s="37">
        <v>0</v>
      </c>
      <c r="Q75">
        <f>VLOOKUP(Table3[[#This Row],[Census Tract]],'Population and Diversity Data'!$B$2:$K$823,10,FALSE)</f>
        <v>4</v>
      </c>
      <c r="R75" t="str">
        <f>VLOOKUP(Table3[[#This Row],[Census Tract]],'ES Energy Burden'!$B$2:$E$914,4,FALSE)</f>
        <v>No</v>
      </c>
    </row>
    <row r="76" spans="1:18" hidden="1" x14ac:dyDescent="0.25">
      <c r="A76" s="140">
        <v>9003430601</v>
      </c>
      <c r="B76" s="39" t="s">
        <v>2736</v>
      </c>
      <c r="C76" s="39" t="s">
        <v>944</v>
      </c>
      <c r="D76" s="41">
        <v>1476.5607936000001</v>
      </c>
      <c r="E76" s="37">
        <v>1.3099518128382241E-5</v>
      </c>
      <c r="F76" s="41">
        <v>0</v>
      </c>
      <c r="G76" s="37">
        <v>0</v>
      </c>
      <c r="H76" s="41">
        <v>1476.5607936000001</v>
      </c>
      <c r="I76" s="37">
        <v>1.3099518128382241E-5</v>
      </c>
      <c r="J76" s="42">
        <v>0</v>
      </c>
      <c r="K76" s="37">
        <v>0</v>
      </c>
      <c r="L76" s="38">
        <v>0</v>
      </c>
      <c r="M76" s="37">
        <v>0</v>
      </c>
      <c r="N76" s="42">
        <v>0</v>
      </c>
      <c r="O76" s="37">
        <v>0</v>
      </c>
      <c r="Q76">
        <f>VLOOKUP(Table3[[#This Row],[Census Tract]],'Population and Diversity Data'!$B$2:$K$823,10,FALSE)</f>
        <v>2</v>
      </c>
      <c r="R76" t="str">
        <f>VLOOKUP(Table3[[#This Row],[Census Tract]],'ES Energy Burden'!$B$2:$E$914,4,FALSE)</f>
        <v>No</v>
      </c>
    </row>
    <row r="77" spans="1:18" hidden="1" x14ac:dyDescent="0.25">
      <c r="A77" s="140">
        <v>9005425400</v>
      </c>
      <c r="B77" s="39" t="s">
        <v>2736</v>
      </c>
      <c r="C77" s="39" t="s">
        <v>944</v>
      </c>
      <c r="D77" s="41">
        <v>559.63802880000003</v>
      </c>
      <c r="E77" s="37">
        <v>4.964908004718203E-6</v>
      </c>
      <c r="F77" s="41">
        <v>0</v>
      </c>
      <c r="G77" s="37">
        <v>0</v>
      </c>
      <c r="H77" s="41">
        <v>559.63802880000003</v>
      </c>
      <c r="I77" s="37">
        <v>4.964908004718203E-6</v>
      </c>
      <c r="J77" s="42">
        <v>0</v>
      </c>
      <c r="K77" s="37">
        <v>0</v>
      </c>
      <c r="L77" s="38">
        <v>0</v>
      </c>
      <c r="M77" s="37">
        <v>0</v>
      </c>
      <c r="N77" s="42">
        <v>0</v>
      </c>
      <c r="O77" s="37">
        <v>0</v>
      </c>
      <c r="Q77">
        <f>VLOOKUP(Table3[[#This Row],[Census Tract]],'Population and Diversity Data'!$B$2:$K$823,10,FALSE)</f>
        <v>2</v>
      </c>
      <c r="R77" t="str">
        <f>VLOOKUP(Table3[[#This Row],[Census Tract]],'ES Energy Burden'!$B$2:$E$914,4,FALSE)</f>
        <v>No</v>
      </c>
    </row>
    <row r="78" spans="1:18" hidden="1" x14ac:dyDescent="0.25">
      <c r="A78" s="140">
        <v>9001205100</v>
      </c>
      <c r="B78" s="39" t="s">
        <v>2737</v>
      </c>
      <c r="C78" s="39" t="s">
        <v>944</v>
      </c>
      <c r="D78" s="41">
        <v>93675.313857600006</v>
      </c>
      <c r="E78" s="37">
        <v>8.310538092154903E-4</v>
      </c>
      <c r="F78" s="41">
        <v>12836.5</v>
      </c>
      <c r="G78" s="37">
        <v>1.5705011148021164E-4</v>
      </c>
      <c r="H78" s="41">
        <v>93675.313857600006</v>
      </c>
      <c r="I78" s="37">
        <v>8.310538092154903E-4</v>
      </c>
      <c r="J78" s="42">
        <v>12836.5</v>
      </c>
      <c r="K78" s="37">
        <v>1.5705011148021164E-4</v>
      </c>
      <c r="L78" s="38">
        <v>0</v>
      </c>
      <c r="M78" s="37">
        <v>0</v>
      </c>
      <c r="N78" s="42">
        <v>0</v>
      </c>
      <c r="O78" s="37">
        <v>0</v>
      </c>
      <c r="Q78">
        <f>VLOOKUP(Table3[[#This Row],[Census Tract]],'Population and Diversity Data'!$B$2:$K$823,10,FALSE)</f>
        <v>3</v>
      </c>
      <c r="R78" t="str">
        <f>VLOOKUP(Table3[[#This Row],[Census Tract]],'ES Energy Burden'!$B$2:$E$914,4,FALSE)</f>
        <v>No</v>
      </c>
    </row>
    <row r="79" spans="1:18" hidden="1" x14ac:dyDescent="0.25">
      <c r="A79" s="140">
        <v>9001205200</v>
      </c>
      <c r="B79" s="39" t="s">
        <v>2737</v>
      </c>
      <c r="C79" s="39" t="s">
        <v>944</v>
      </c>
      <c r="D79" s="41">
        <v>332730.52255008003</v>
      </c>
      <c r="E79" s="37">
        <v>2.9518659379978197E-3</v>
      </c>
      <c r="F79" s="41">
        <v>427613.46220000001</v>
      </c>
      <c r="G79" s="37">
        <v>5.2317019365831245E-3</v>
      </c>
      <c r="H79" s="41">
        <v>173065.61753280001</v>
      </c>
      <c r="I79" s="37">
        <v>1.5353761281601058E-3</v>
      </c>
      <c r="J79" s="42">
        <v>346329.2622</v>
      </c>
      <c r="K79" s="37">
        <v>4.2372180296318665E-3</v>
      </c>
      <c r="L79" s="38">
        <v>159664.90501728002</v>
      </c>
      <c r="M79" s="37">
        <v>1.416489809837714E-3</v>
      </c>
      <c r="N79" s="42">
        <v>81284.2</v>
      </c>
      <c r="O79" s="37">
        <v>9.9448390695125758E-4</v>
      </c>
      <c r="Q79">
        <f>VLOOKUP(Table3[[#This Row],[Census Tract]],'Population and Diversity Data'!$B$2:$K$823,10,FALSE)</f>
        <v>1</v>
      </c>
      <c r="R79" t="str">
        <f>VLOOKUP(Table3[[#This Row],[Census Tract]],'ES Energy Burden'!$B$2:$E$914,4,FALSE)</f>
        <v>No</v>
      </c>
    </row>
    <row r="80" spans="1:18" hidden="1" x14ac:dyDescent="0.25">
      <c r="A80" s="140">
        <v>9001205300</v>
      </c>
      <c r="B80" s="39" t="s">
        <v>2737</v>
      </c>
      <c r="C80" s="39" t="s">
        <v>944</v>
      </c>
      <c r="D80" s="41">
        <v>134676.70291584003</v>
      </c>
      <c r="E80" s="37">
        <v>1.19480343712466E-3</v>
      </c>
      <c r="F80" s="41">
        <v>17564.3</v>
      </c>
      <c r="G80" s="37">
        <v>2.1489309960440005E-4</v>
      </c>
      <c r="H80" s="41">
        <v>134676.70291584003</v>
      </c>
      <c r="I80" s="37">
        <v>1.19480343712466E-3</v>
      </c>
      <c r="J80" s="42">
        <v>17564.3</v>
      </c>
      <c r="K80" s="37">
        <v>2.1489309960440005E-4</v>
      </c>
      <c r="L80" s="38">
        <v>0</v>
      </c>
      <c r="M80" s="37">
        <v>0</v>
      </c>
      <c r="N80" s="42">
        <v>0</v>
      </c>
      <c r="O80" s="37">
        <v>0</v>
      </c>
      <c r="Q80">
        <f>VLOOKUP(Table3[[#This Row],[Census Tract]],'Population and Diversity Data'!$B$2:$K$823,10,FALSE)</f>
        <v>4</v>
      </c>
      <c r="R80" t="str">
        <f>VLOOKUP(Table3[[#This Row],[Census Tract]],'ES Energy Burden'!$B$2:$E$914,4,FALSE)</f>
        <v>No</v>
      </c>
    </row>
    <row r="81" spans="1:18" hidden="1" x14ac:dyDescent="0.25">
      <c r="A81" s="140">
        <v>9001211400</v>
      </c>
      <c r="B81" s="39" t="s">
        <v>2737</v>
      </c>
      <c r="C81" s="39" t="s">
        <v>944</v>
      </c>
      <c r="D81" s="41">
        <v>1156.7643264000001</v>
      </c>
      <c r="E81" s="37">
        <v>1.0262398493595402E-5</v>
      </c>
      <c r="F81" s="41">
        <v>0</v>
      </c>
      <c r="G81" s="37">
        <v>0</v>
      </c>
      <c r="H81" s="41">
        <v>1156.7643264000001</v>
      </c>
      <c r="I81" s="37">
        <v>1.0262398493595402E-5</v>
      </c>
      <c r="J81" s="42">
        <v>0</v>
      </c>
      <c r="K81" s="37">
        <v>0</v>
      </c>
      <c r="L81" s="38">
        <v>0</v>
      </c>
      <c r="M81" s="37">
        <v>0</v>
      </c>
      <c r="N81" s="42">
        <v>0</v>
      </c>
      <c r="O81" s="37">
        <v>0</v>
      </c>
      <c r="Q81">
        <f>VLOOKUP(Table3[[#This Row],[Census Tract]],'Population and Diversity Data'!$B$2:$K$823,10,FALSE)</f>
        <v>4</v>
      </c>
      <c r="R81" t="str">
        <f>VLOOKUP(Table3[[#This Row],[Census Tract]],'ES Energy Burden'!$B$2:$E$914,4,FALSE)</f>
        <v>No</v>
      </c>
    </row>
    <row r="82" spans="1:18" hidden="1" x14ac:dyDescent="0.25">
      <c r="A82" s="140">
        <v>9005253400</v>
      </c>
      <c r="B82" s="39" t="s">
        <v>2737</v>
      </c>
      <c r="C82" s="39" t="s">
        <v>944</v>
      </c>
      <c r="D82" s="41">
        <v>1729.7165952</v>
      </c>
      <c r="E82" s="37">
        <v>1.5345425663471989E-5</v>
      </c>
      <c r="F82" s="41">
        <v>888.71</v>
      </c>
      <c r="G82" s="37">
        <v>1.087305765384481E-5</v>
      </c>
      <c r="H82" s="41">
        <v>1729.7165952</v>
      </c>
      <c r="I82" s="37">
        <v>1.5345425663471989E-5</v>
      </c>
      <c r="J82" s="42">
        <v>888.71</v>
      </c>
      <c r="K82" s="37">
        <v>1.087305765384481E-5</v>
      </c>
      <c r="L82" s="38">
        <v>0</v>
      </c>
      <c r="M82" s="37">
        <v>0</v>
      </c>
      <c r="N82" s="42">
        <v>0</v>
      </c>
      <c r="O82" s="37">
        <v>0</v>
      </c>
      <c r="Q82">
        <f>VLOOKUP(Table3[[#This Row],[Census Tract]],'Population and Diversity Data'!$B$2:$K$823,10,FALSE)</f>
        <v>2</v>
      </c>
      <c r="R82" t="str">
        <f>VLOOKUP(Table3[[#This Row],[Census Tract]],'ES Energy Burden'!$B$2:$E$914,4,FALSE)</f>
        <v>No</v>
      </c>
    </row>
    <row r="83" spans="1:18" hidden="1" x14ac:dyDescent="0.25">
      <c r="A83" s="140">
        <v>9015902500</v>
      </c>
      <c r="B83" s="39" t="s">
        <v>2738</v>
      </c>
      <c r="C83" s="39" t="s">
        <v>944</v>
      </c>
      <c r="D83" s="41">
        <v>40.784411519999999</v>
      </c>
      <c r="E83" s="37">
        <v>3.6182468095951038E-7</v>
      </c>
      <c r="F83" s="41">
        <v>0</v>
      </c>
      <c r="G83" s="37">
        <v>0</v>
      </c>
      <c r="H83" s="41">
        <v>40.784411519999999</v>
      </c>
      <c r="I83" s="37">
        <v>3.6182468095951038E-7</v>
      </c>
      <c r="J83" s="42">
        <v>0</v>
      </c>
      <c r="K83" s="37">
        <v>0</v>
      </c>
      <c r="L83" s="38">
        <v>0</v>
      </c>
      <c r="M83" s="37">
        <v>0</v>
      </c>
      <c r="N83" s="42">
        <v>0</v>
      </c>
      <c r="O83" s="37">
        <v>0</v>
      </c>
      <c r="Q83">
        <f>VLOOKUP(Table3[[#This Row],[Census Tract]],'Population and Diversity Data'!$B$2:$K$823,10,FALSE)</f>
        <v>2</v>
      </c>
      <c r="R83" t="str">
        <f>VLOOKUP(Table3[[#This Row],[Census Tract]],'ES Energy Burden'!$B$2:$E$914,4,FALSE)</f>
        <v>No</v>
      </c>
    </row>
    <row r="84" spans="1:18" hidden="1" x14ac:dyDescent="0.25">
      <c r="A84" s="140">
        <v>9015905100</v>
      </c>
      <c r="B84" s="39" t="s">
        <v>2738</v>
      </c>
      <c r="C84" s="39" t="s">
        <v>944</v>
      </c>
      <c r="D84" s="41">
        <v>190454.70152448001</v>
      </c>
      <c r="E84" s="37">
        <v>1.6896458486973839E-3</v>
      </c>
      <c r="F84" s="41">
        <v>124998.14720000001</v>
      </c>
      <c r="G84" s="37">
        <v>1.5293088421750405E-3</v>
      </c>
      <c r="H84" s="41">
        <v>149299.51099680003</v>
      </c>
      <c r="I84" s="37">
        <v>1.3245317492772317E-3</v>
      </c>
      <c r="J84" s="42">
        <v>89586.357199999999</v>
      </c>
      <c r="K84" s="37">
        <v>1.0960579118424853E-3</v>
      </c>
      <c r="L84" s="38">
        <v>41155.190527679995</v>
      </c>
      <c r="M84" s="37">
        <v>3.6511409942015217E-4</v>
      </c>
      <c r="N84" s="42">
        <v>35411.79</v>
      </c>
      <c r="O84" s="37">
        <v>4.3325093033255518E-4</v>
      </c>
      <c r="Q84">
        <f>VLOOKUP(Table3[[#This Row],[Census Tract]],'Population and Diversity Data'!$B$2:$K$823,10,FALSE)</f>
        <v>4</v>
      </c>
      <c r="R84" t="str">
        <f>VLOOKUP(Table3[[#This Row],[Census Tract]],'ES Energy Burden'!$B$2:$E$914,4,FALSE)</f>
        <v>No</v>
      </c>
    </row>
    <row r="85" spans="1:18" hidden="1" x14ac:dyDescent="0.25">
      <c r="A85" s="140">
        <v>9003406001</v>
      </c>
      <c r="B85" s="39" t="s">
        <v>2739</v>
      </c>
      <c r="C85" s="39" t="s">
        <v>944</v>
      </c>
      <c r="D85" s="41">
        <v>70.362864000000002</v>
      </c>
      <c r="E85" s="37">
        <v>6.2423410978267364E-7</v>
      </c>
      <c r="F85" s="41">
        <v>0</v>
      </c>
      <c r="G85" s="37">
        <v>0</v>
      </c>
      <c r="H85" s="41">
        <v>70.362864000000002</v>
      </c>
      <c r="I85" s="37">
        <v>6.2423410978267364E-7</v>
      </c>
      <c r="J85" s="42">
        <v>0</v>
      </c>
      <c r="K85" s="37">
        <v>0</v>
      </c>
      <c r="L85" s="38">
        <v>0</v>
      </c>
      <c r="M85" s="37">
        <v>0</v>
      </c>
      <c r="N85" s="42">
        <v>0</v>
      </c>
      <c r="O85" s="37">
        <v>0</v>
      </c>
      <c r="Q85">
        <f>VLOOKUP(Table3[[#This Row],[Census Tract]],'Population and Diversity Data'!$B$2:$K$823,10,FALSE)</f>
        <v>4</v>
      </c>
      <c r="R85" t="str">
        <f>VLOOKUP(Table3[[#This Row],[Census Tract]],'ES Energy Burden'!$B$2:$E$914,4,FALSE)</f>
        <v>No</v>
      </c>
    </row>
    <row r="86" spans="1:18" hidden="1" x14ac:dyDescent="0.25">
      <c r="A86" s="140">
        <v>9003410101</v>
      </c>
      <c r="B86" s="39" t="s">
        <v>2739</v>
      </c>
      <c r="C86" s="39" t="s">
        <v>944</v>
      </c>
      <c r="D86" s="41">
        <v>142207.52071104001</v>
      </c>
      <c r="E86" s="37">
        <v>1.2616141533900208E-3</v>
      </c>
      <c r="F86" s="41">
        <v>95237.751399999994</v>
      </c>
      <c r="G86" s="37">
        <v>1.1652007536707579E-3</v>
      </c>
      <c r="H86" s="41">
        <v>121175.56571904001</v>
      </c>
      <c r="I86" s="37">
        <v>1.0750261870244055E-3</v>
      </c>
      <c r="J86" s="42">
        <v>88803.831399999995</v>
      </c>
      <c r="K86" s="37">
        <v>1.0864839809324909E-3</v>
      </c>
      <c r="L86" s="38">
        <v>21031.954991999999</v>
      </c>
      <c r="M86" s="37">
        <v>1.8658796636561551E-4</v>
      </c>
      <c r="N86" s="42">
        <v>6433.92</v>
      </c>
      <c r="O86" s="37">
        <v>7.8716772738266925E-5</v>
      </c>
      <c r="Q86">
        <f>VLOOKUP(Table3[[#This Row],[Census Tract]],'Population and Diversity Data'!$B$2:$K$823,10,FALSE)</f>
        <v>1</v>
      </c>
      <c r="R86" t="str">
        <f>VLOOKUP(Table3[[#This Row],[Census Tract]],'ES Energy Burden'!$B$2:$E$914,4,FALSE)</f>
        <v>No</v>
      </c>
    </row>
    <row r="87" spans="1:18" hidden="1" x14ac:dyDescent="0.25">
      <c r="A87" s="140">
        <v>9003410102</v>
      </c>
      <c r="B87" s="39" t="s">
        <v>2739</v>
      </c>
      <c r="C87" s="39" t="s">
        <v>944</v>
      </c>
      <c r="D87" s="41">
        <v>91578.06808704001</v>
      </c>
      <c r="E87" s="37">
        <v>8.124477964389069E-4</v>
      </c>
      <c r="F87" s="41">
        <v>36952.3531</v>
      </c>
      <c r="G87" s="37">
        <v>4.5209918387497717E-4</v>
      </c>
      <c r="H87" s="41">
        <v>91578.06808704001</v>
      </c>
      <c r="I87" s="37">
        <v>8.124477964389069E-4</v>
      </c>
      <c r="J87" s="42">
        <v>36952.3531</v>
      </c>
      <c r="K87" s="37">
        <v>4.5209918387497717E-4</v>
      </c>
      <c r="L87" s="38">
        <v>0</v>
      </c>
      <c r="M87" s="37">
        <v>0</v>
      </c>
      <c r="N87" s="42">
        <v>0</v>
      </c>
      <c r="O87" s="37">
        <v>0</v>
      </c>
      <c r="Q87">
        <f>VLOOKUP(Table3[[#This Row],[Census Tract]],'Population and Diversity Data'!$B$2:$K$823,10,FALSE)</f>
        <v>2</v>
      </c>
      <c r="R87" t="str">
        <f>VLOOKUP(Table3[[#This Row],[Census Tract]],'ES Energy Burden'!$B$2:$E$914,4,FALSE)</f>
        <v>No</v>
      </c>
    </row>
    <row r="88" spans="1:18" hidden="1" x14ac:dyDescent="0.25">
      <c r="A88" s="140">
        <v>9003460302</v>
      </c>
      <c r="B88" s="39" t="s">
        <v>2739</v>
      </c>
      <c r="C88" s="39" t="s">
        <v>944</v>
      </c>
      <c r="D88" s="41">
        <v>255.88232640000001</v>
      </c>
      <c r="E88" s="37">
        <v>2.270096285867834E-6</v>
      </c>
      <c r="F88" s="41">
        <v>0</v>
      </c>
      <c r="G88" s="37">
        <v>0</v>
      </c>
      <c r="H88" s="41">
        <v>255.88232640000001</v>
      </c>
      <c r="I88" s="37">
        <v>2.270096285867834E-6</v>
      </c>
      <c r="J88" s="42">
        <v>0</v>
      </c>
      <c r="K88" s="37">
        <v>0</v>
      </c>
      <c r="L88" s="38">
        <v>0</v>
      </c>
      <c r="M88" s="37">
        <v>0</v>
      </c>
      <c r="N88" s="42">
        <v>0</v>
      </c>
      <c r="O88" s="37">
        <v>0</v>
      </c>
      <c r="Q88">
        <f>VLOOKUP(Table3[[#This Row],[Census Tract]],'Population and Diversity Data'!$B$2:$K$823,10,FALSE)</f>
        <v>3</v>
      </c>
      <c r="R88" t="str">
        <f>VLOOKUP(Table3[[#This Row],[Census Tract]],'ES Energy Burden'!$B$2:$E$914,4,FALSE)</f>
        <v>No</v>
      </c>
    </row>
    <row r="89" spans="1:18" hidden="1" x14ac:dyDescent="0.25">
      <c r="A89" s="140">
        <v>9005260200</v>
      </c>
      <c r="B89" s="39" t="s">
        <v>2740</v>
      </c>
      <c r="C89" s="39" t="s">
        <v>944</v>
      </c>
      <c r="D89" s="41">
        <v>19721.679793920001</v>
      </c>
      <c r="E89" s="37">
        <v>1.7496367444020747E-4</v>
      </c>
      <c r="F89" s="41">
        <v>14058.66</v>
      </c>
      <c r="G89" s="37">
        <v>1.7200281387156876E-4</v>
      </c>
      <c r="H89" s="41">
        <v>19721.679793920001</v>
      </c>
      <c r="I89" s="37">
        <v>1.7496367444020747E-4</v>
      </c>
      <c r="J89" s="42">
        <v>14058.66</v>
      </c>
      <c r="K89" s="37">
        <v>1.7200281387156876E-4</v>
      </c>
      <c r="L89" s="38">
        <v>0</v>
      </c>
      <c r="M89" s="37">
        <v>0</v>
      </c>
      <c r="N89" s="42">
        <v>0</v>
      </c>
      <c r="O89" s="37">
        <v>0</v>
      </c>
      <c r="Q89">
        <f>VLOOKUP(Table3[[#This Row],[Census Tract]],'Population and Diversity Data'!$B$2:$K$823,10,FALSE)</f>
        <v>1</v>
      </c>
      <c r="R89" t="str">
        <f>VLOOKUP(Table3[[#This Row],[Census Tract]],'ES Energy Burden'!$B$2:$E$914,4,FALSE)</f>
        <v>No</v>
      </c>
    </row>
    <row r="90" spans="1:18" hidden="1" x14ac:dyDescent="0.25">
      <c r="A90" s="140">
        <v>9005261100</v>
      </c>
      <c r="B90" s="39" t="s">
        <v>2740</v>
      </c>
      <c r="C90" s="39" t="s">
        <v>944</v>
      </c>
      <c r="D90" s="41">
        <v>51.971846400000004</v>
      </c>
      <c r="E90" s="37">
        <v>4.6107559338781112E-7</v>
      </c>
      <c r="F90" s="41">
        <v>0</v>
      </c>
      <c r="G90" s="37">
        <v>0</v>
      </c>
      <c r="H90" s="41">
        <v>51.971846400000004</v>
      </c>
      <c r="I90" s="37">
        <v>4.6107559338781112E-7</v>
      </c>
      <c r="J90" s="42">
        <v>0</v>
      </c>
      <c r="K90" s="37">
        <v>0</v>
      </c>
      <c r="L90" s="38">
        <v>0</v>
      </c>
      <c r="M90" s="37">
        <v>0</v>
      </c>
      <c r="N90" s="42">
        <v>0</v>
      </c>
      <c r="O90" s="37">
        <v>0</v>
      </c>
      <c r="Q90">
        <f>VLOOKUP(Table3[[#This Row],[Census Tract]],'Population and Diversity Data'!$B$2:$K$823,10,FALSE)</f>
        <v>1</v>
      </c>
      <c r="R90" t="str">
        <f>VLOOKUP(Table3[[#This Row],[Census Tract]],'ES Energy Burden'!$B$2:$E$914,4,FALSE)</f>
        <v>No</v>
      </c>
    </row>
    <row r="91" spans="1:18" hidden="1" x14ac:dyDescent="0.25">
      <c r="A91" s="140">
        <v>9005263200</v>
      </c>
      <c r="B91" s="39" t="s">
        <v>2740</v>
      </c>
      <c r="C91" s="39" t="s">
        <v>944</v>
      </c>
      <c r="D91" s="41">
        <v>63.364204800000003</v>
      </c>
      <c r="E91" s="37">
        <v>5.6214451383637567E-7</v>
      </c>
      <c r="F91" s="41">
        <v>0</v>
      </c>
      <c r="G91" s="37">
        <v>0</v>
      </c>
      <c r="H91" s="41">
        <v>63.364204800000003</v>
      </c>
      <c r="I91" s="37">
        <v>5.6214451383637567E-7</v>
      </c>
      <c r="J91" s="42">
        <v>0</v>
      </c>
      <c r="K91" s="37">
        <v>0</v>
      </c>
      <c r="L91" s="38">
        <v>0</v>
      </c>
      <c r="M91" s="37">
        <v>0</v>
      </c>
      <c r="N91" s="42">
        <v>0</v>
      </c>
      <c r="O91" s="37">
        <v>0</v>
      </c>
      <c r="Q91">
        <f>VLOOKUP(Table3[[#This Row],[Census Tract]],'Population and Diversity Data'!$B$2:$K$823,10,FALSE)</f>
        <v>3</v>
      </c>
      <c r="R91" t="str">
        <f>VLOOKUP(Table3[[#This Row],[Census Tract]],'ES Energy Burden'!$B$2:$E$914,4,FALSE)</f>
        <v>No</v>
      </c>
    </row>
    <row r="92" spans="1:18" hidden="1" x14ac:dyDescent="0.25">
      <c r="A92" s="140">
        <v>9005425600</v>
      </c>
      <c r="B92" s="39" t="s">
        <v>2740</v>
      </c>
      <c r="C92" s="39" t="s">
        <v>944</v>
      </c>
      <c r="D92" s="41">
        <v>46016.585982720004</v>
      </c>
      <c r="E92" s="37">
        <v>4.0824265746432778E-4</v>
      </c>
      <c r="F92" s="41">
        <v>27381.788800000002</v>
      </c>
      <c r="G92" s="37">
        <v>3.3500665941398441E-4</v>
      </c>
      <c r="H92" s="41">
        <v>29049.917094720004</v>
      </c>
      <c r="I92" s="37">
        <v>2.5772045232387092E-4</v>
      </c>
      <c r="J92" s="42">
        <v>18845.7088</v>
      </c>
      <c r="K92" s="37">
        <v>2.3057069045016989E-4</v>
      </c>
      <c r="L92" s="38">
        <v>16966.668888</v>
      </c>
      <c r="M92" s="37">
        <v>1.5052220514045683E-4</v>
      </c>
      <c r="N92" s="42">
        <v>8536.08</v>
      </c>
      <c r="O92" s="37">
        <v>1.0443596896381451E-4</v>
      </c>
      <c r="Q92">
        <f>VLOOKUP(Table3[[#This Row],[Census Tract]],'Population and Diversity Data'!$B$2:$K$823,10,FALSE)</f>
        <v>1</v>
      </c>
      <c r="R92" t="str">
        <f>VLOOKUP(Table3[[#This Row],[Census Tract]],'ES Energy Burden'!$B$2:$E$914,4,FALSE)</f>
        <v>No</v>
      </c>
    </row>
    <row r="93" spans="1:18" hidden="1" x14ac:dyDescent="0.25">
      <c r="A93" s="140">
        <v>9015825000</v>
      </c>
      <c r="B93" s="39" t="s">
        <v>2741</v>
      </c>
      <c r="C93" s="39" t="s">
        <v>944</v>
      </c>
      <c r="D93" s="41">
        <v>1158.3620352</v>
      </c>
      <c r="E93" s="37">
        <v>1.0276572793414407E-5</v>
      </c>
      <c r="F93" s="41">
        <v>1214.33</v>
      </c>
      <c r="G93" s="37">
        <v>1.4856905065536977E-5</v>
      </c>
      <c r="H93" s="41">
        <v>1158.3620352</v>
      </c>
      <c r="I93" s="37">
        <v>1.0276572793414407E-5</v>
      </c>
      <c r="J93" s="42">
        <v>1214.33</v>
      </c>
      <c r="K93" s="37">
        <v>1.4856905065536977E-5</v>
      </c>
      <c r="L93" s="38">
        <v>0</v>
      </c>
      <c r="M93" s="37">
        <v>0</v>
      </c>
      <c r="N93" s="42">
        <v>0</v>
      </c>
      <c r="O93" s="37">
        <v>0</v>
      </c>
      <c r="Q93">
        <f>VLOOKUP(Table3[[#This Row],[Census Tract]],'Population and Diversity Data'!$B$2:$K$823,10,FALSE)</f>
        <v>2</v>
      </c>
      <c r="R93" t="str">
        <f>VLOOKUP(Table3[[#This Row],[Census Tract]],'ES Energy Burden'!$B$2:$E$914,4,FALSE)</f>
        <v>No</v>
      </c>
    </row>
    <row r="94" spans="1:18" hidden="1" x14ac:dyDescent="0.25">
      <c r="A94" s="140">
        <v>9015906100</v>
      </c>
      <c r="B94" s="39" t="s">
        <v>2741</v>
      </c>
      <c r="C94" s="39" t="s">
        <v>944</v>
      </c>
      <c r="D94" s="41">
        <v>116609.2051392</v>
      </c>
      <c r="E94" s="37">
        <v>1.0345150726459014E-3</v>
      </c>
      <c r="F94" s="41">
        <v>37815.000800000002</v>
      </c>
      <c r="G94" s="37">
        <v>4.6265337835580517E-4</v>
      </c>
      <c r="H94" s="41">
        <v>101396.99244096001</v>
      </c>
      <c r="I94" s="37">
        <v>8.995577739846285E-4</v>
      </c>
      <c r="J94" s="42">
        <v>34497.020799999998</v>
      </c>
      <c r="K94" s="37">
        <v>4.2205904743311491E-4</v>
      </c>
      <c r="L94" s="38">
        <v>15212.212698239999</v>
      </c>
      <c r="M94" s="37">
        <v>1.3495729866127293E-4</v>
      </c>
      <c r="N94" s="42">
        <v>3317.98</v>
      </c>
      <c r="O94" s="37">
        <v>4.0594330922690195E-5</v>
      </c>
      <c r="Q94">
        <f>VLOOKUP(Table3[[#This Row],[Census Tract]],'Population and Diversity Data'!$B$2:$K$823,10,FALSE)</f>
        <v>1</v>
      </c>
      <c r="R94" t="str">
        <f>VLOOKUP(Table3[[#This Row],[Census Tract]],'ES Energy Burden'!$B$2:$E$914,4,FALSE)</f>
        <v>No</v>
      </c>
    </row>
    <row r="95" spans="1:18" hidden="1" x14ac:dyDescent="0.25">
      <c r="A95" s="140">
        <v>9003464101</v>
      </c>
      <c r="B95" s="39" t="s">
        <v>2742</v>
      </c>
      <c r="C95" s="39" t="s">
        <v>944</v>
      </c>
      <c r="D95" s="41">
        <v>203315.20553952002</v>
      </c>
      <c r="E95" s="37">
        <v>1.8037396308263347E-3</v>
      </c>
      <c r="F95" s="41">
        <v>381996.05530000001</v>
      </c>
      <c r="G95" s="37">
        <v>4.6735888341733409E-3</v>
      </c>
      <c r="H95" s="41">
        <v>118631.9710512</v>
      </c>
      <c r="I95" s="37">
        <v>1.0524603268125888E-3</v>
      </c>
      <c r="J95" s="42">
        <v>275715.35590000002</v>
      </c>
      <c r="K95" s="37">
        <v>3.3732814537374856E-3</v>
      </c>
      <c r="L95" s="38">
        <v>84683.234488320013</v>
      </c>
      <c r="M95" s="37">
        <v>7.5127930401374581E-4</v>
      </c>
      <c r="N95" s="42">
        <v>106280.6994</v>
      </c>
      <c r="O95" s="37">
        <v>1.3003073804358559E-3</v>
      </c>
      <c r="Q95">
        <f>VLOOKUP(Table3[[#This Row],[Census Tract]],'Population and Diversity Data'!$B$2:$K$823,10,FALSE)</f>
        <v>1</v>
      </c>
      <c r="R95" t="str">
        <f>VLOOKUP(Table3[[#This Row],[Census Tract]],'ES Energy Burden'!$B$2:$E$914,4,FALSE)</f>
        <v>No</v>
      </c>
    </row>
    <row r="96" spans="1:18" hidden="1" x14ac:dyDescent="0.25">
      <c r="A96" s="140">
        <v>9003464102</v>
      </c>
      <c r="B96" s="39" t="s">
        <v>2742</v>
      </c>
      <c r="C96" s="39" t="s">
        <v>944</v>
      </c>
      <c r="D96" s="41">
        <v>92435.087191679995</v>
      </c>
      <c r="E96" s="37">
        <v>8.2005096276044386E-4</v>
      </c>
      <c r="F96" s="41">
        <v>43294.517699999997</v>
      </c>
      <c r="G96" s="37">
        <v>5.2969336121738762E-4</v>
      </c>
      <c r="H96" s="41">
        <v>92435.087191679995</v>
      </c>
      <c r="I96" s="37">
        <v>8.2005096276044386E-4</v>
      </c>
      <c r="J96" s="42">
        <v>43294.517699999997</v>
      </c>
      <c r="K96" s="37">
        <v>5.2969336121738762E-4</v>
      </c>
      <c r="L96" s="38">
        <v>0</v>
      </c>
      <c r="M96" s="37">
        <v>0</v>
      </c>
      <c r="N96" s="42">
        <v>0</v>
      </c>
      <c r="O96" s="37">
        <v>0</v>
      </c>
      <c r="Q96">
        <f>VLOOKUP(Table3[[#This Row],[Census Tract]],'Population and Diversity Data'!$B$2:$K$823,10,FALSE)</f>
        <v>3</v>
      </c>
      <c r="R96" t="str">
        <f>VLOOKUP(Table3[[#This Row],[Census Tract]],'ES Energy Burden'!$B$2:$E$914,4,FALSE)</f>
        <v>No</v>
      </c>
    </row>
    <row r="97" spans="1:18" hidden="1" x14ac:dyDescent="0.25">
      <c r="A97" s="140">
        <v>9003466102</v>
      </c>
      <c r="B97" s="39" t="s">
        <v>2742</v>
      </c>
      <c r="C97" s="39" t="s">
        <v>944</v>
      </c>
      <c r="D97" s="41">
        <v>243.67374719999998</v>
      </c>
      <c r="E97" s="37">
        <v>2.1617861470334727E-6</v>
      </c>
      <c r="F97" s="41">
        <v>0</v>
      </c>
      <c r="G97" s="37">
        <v>0</v>
      </c>
      <c r="H97" s="41">
        <v>243.67374719999998</v>
      </c>
      <c r="I97" s="37">
        <v>2.1617861470334727E-6</v>
      </c>
      <c r="J97" s="42">
        <v>0</v>
      </c>
      <c r="K97" s="37">
        <v>0</v>
      </c>
      <c r="L97" s="38">
        <v>0</v>
      </c>
      <c r="M97" s="37">
        <v>0</v>
      </c>
      <c r="N97" s="42">
        <v>0</v>
      </c>
      <c r="O97" s="37">
        <v>0</v>
      </c>
      <c r="Q97">
        <f>VLOOKUP(Table3[[#This Row],[Census Tract]],'Population and Diversity Data'!$B$2:$K$823,10,FALSE)</f>
        <v>2</v>
      </c>
      <c r="R97" t="str">
        <f>VLOOKUP(Table3[[#This Row],[Census Tract]],'ES Energy Burden'!$B$2:$E$914,4,FALSE)</f>
        <v>No</v>
      </c>
    </row>
    <row r="98" spans="1:18" hidden="1" x14ac:dyDescent="0.25">
      <c r="A98" s="140">
        <v>9003466202</v>
      </c>
      <c r="B98" s="39" t="s">
        <v>2742</v>
      </c>
      <c r="C98" s="39" t="s">
        <v>944</v>
      </c>
      <c r="D98" s="41">
        <v>466.21258560000001</v>
      </c>
      <c r="E98" s="37">
        <v>4.1360709584177033E-6</v>
      </c>
      <c r="F98" s="41">
        <v>0</v>
      </c>
      <c r="G98" s="37">
        <v>0</v>
      </c>
      <c r="H98" s="41">
        <v>466.21258560000001</v>
      </c>
      <c r="I98" s="37">
        <v>4.1360709584177033E-6</v>
      </c>
      <c r="J98" s="42">
        <v>0</v>
      </c>
      <c r="K98" s="37">
        <v>0</v>
      </c>
      <c r="L98" s="38">
        <v>0</v>
      </c>
      <c r="M98" s="37">
        <v>0</v>
      </c>
      <c r="N98" s="42">
        <v>0</v>
      </c>
      <c r="O98" s="37">
        <v>0</v>
      </c>
      <c r="Q98">
        <f>VLOOKUP(Table3[[#This Row],[Census Tract]],'Population and Diversity Data'!$B$2:$K$823,10,FALSE)</f>
        <v>2</v>
      </c>
      <c r="R98" t="str">
        <f>VLOOKUP(Table3[[#This Row],[Census Tract]],'ES Energy Burden'!$B$2:$E$914,4,FALSE)</f>
        <v>No</v>
      </c>
    </row>
    <row r="99" spans="1:18" hidden="1" x14ac:dyDescent="0.25">
      <c r="A99" s="140">
        <v>9013881100</v>
      </c>
      <c r="B99" s="39" t="s">
        <v>2743</v>
      </c>
      <c r="C99" s="39" t="s">
        <v>944</v>
      </c>
      <c r="D99" s="41">
        <v>94.999996800000005</v>
      </c>
      <c r="E99" s="37">
        <v>8.4280592148444735E-7</v>
      </c>
      <c r="F99" s="41">
        <v>0</v>
      </c>
      <c r="G99" s="37">
        <v>0</v>
      </c>
      <c r="H99" s="41">
        <v>94.999996800000005</v>
      </c>
      <c r="I99" s="37">
        <v>8.4280592148444735E-7</v>
      </c>
      <c r="J99" s="42">
        <v>0</v>
      </c>
      <c r="K99" s="37">
        <v>0</v>
      </c>
      <c r="L99" s="38">
        <v>0</v>
      </c>
      <c r="M99" s="37">
        <v>0</v>
      </c>
      <c r="N99" s="42">
        <v>0</v>
      </c>
      <c r="O99" s="37">
        <v>0</v>
      </c>
      <c r="Q99">
        <f>VLOOKUP(Table3[[#This Row],[Census Tract]],'Population and Diversity Data'!$B$2:$K$823,10,FALSE)</f>
        <v>4</v>
      </c>
      <c r="R99" t="str">
        <f>VLOOKUP(Table3[[#This Row],[Census Tract]],'ES Energy Burden'!$B$2:$E$914,4,FALSE)</f>
        <v>No</v>
      </c>
    </row>
    <row r="100" spans="1:18" hidden="1" x14ac:dyDescent="0.25">
      <c r="A100" s="140">
        <v>9015815000</v>
      </c>
      <c r="B100" s="39" t="s">
        <v>2743</v>
      </c>
      <c r="C100" s="39" t="s">
        <v>944</v>
      </c>
      <c r="D100" s="41">
        <v>56435.665334400008</v>
      </c>
      <c r="E100" s="37">
        <v>5.0067699504119227E-4</v>
      </c>
      <c r="F100" s="41">
        <v>36685.682000000001</v>
      </c>
      <c r="G100" s="37">
        <v>4.4883655574553763E-4</v>
      </c>
      <c r="H100" s="41">
        <v>47722.246640640005</v>
      </c>
      <c r="I100" s="37">
        <v>4.2337466747443793E-4</v>
      </c>
      <c r="J100" s="42">
        <v>36685.682000000001</v>
      </c>
      <c r="K100" s="37">
        <v>4.4883655574553763E-4</v>
      </c>
      <c r="L100" s="38">
        <v>8713.4186937600007</v>
      </c>
      <c r="M100" s="37">
        <v>7.7302327566754265E-5</v>
      </c>
      <c r="N100" s="42">
        <v>0</v>
      </c>
      <c r="O100" s="37">
        <v>0</v>
      </c>
      <c r="Q100">
        <f>VLOOKUP(Table3[[#This Row],[Census Tract]],'Population and Diversity Data'!$B$2:$K$823,10,FALSE)</f>
        <v>5</v>
      </c>
      <c r="R100" t="str">
        <f>VLOOKUP(Table3[[#This Row],[Census Tract]],'ES Energy Burden'!$B$2:$E$914,4,FALSE)</f>
        <v>No</v>
      </c>
    </row>
    <row r="101" spans="1:18" hidden="1" x14ac:dyDescent="0.25">
      <c r="A101" s="140">
        <v>9009166002</v>
      </c>
      <c r="B101" s="39" t="s">
        <v>2744</v>
      </c>
      <c r="C101" s="39" t="s">
        <v>944</v>
      </c>
      <c r="D101" s="41">
        <v>481.21136640000003</v>
      </c>
      <c r="E101" s="37">
        <v>4.2691347657765608E-6</v>
      </c>
      <c r="F101" s="41">
        <v>0</v>
      </c>
      <c r="G101" s="37">
        <v>0</v>
      </c>
      <c r="H101" s="41">
        <v>481.21136640000003</v>
      </c>
      <c r="I101" s="37">
        <v>4.2691347657765608E-6</v>
      </c>
      <c r="J101" s="42">
        <v>0</v>
      </c>
      <c r="K101" s="37">
        <v>0</v>
      </c>
      <c r="L101" s="38">
        <v>0</v>
      </c>
      <c r="M101" s="37">
        <v>0</v>
      </c>
      <c r="N101" s="42">
        <v>0</v>
      </c>
      <c r="O101" s="37">
        <v>0</v>
      </c>
      <c r="Q101">
        <f>VLOOKUP(Table3[[#This Row],[Census Tract]],'Population and Diversity Data'!$B$2:$K$823,10,FALSE)</f>
        <v>3</v>
      </c>
      <c r="R101" t="str">
        <f>VLOOKUP(Table3[[#This Row],[Census Tract]],'ES Energy Burden'!$B$2:$E$914,4,FALSE)</f>
        <v>No</v>
      </c>
    </row>
    <row r="102" spans="1:18" hidden="1" x14ac:dyDescent="0.25">
      <c r="A102" s="140">
        <v>9009343101</v>
      </c>
      <c r="B102" s="39" t="s">
        <v>2744</v>
      </c>
      <c r="C102" s="39" t="s">
        <v>944</v>
      </c>
      <c r="D102" s="41">
        <v>82328.833434240019</v>
      </c>
      <c r="E102" s="37">
        <v>7.3039190173198232E-4</v>
      </c>
      <c r="F102" s="41">
        <v>39982.78</v>
      </c>
      <c r="G102" s="37">
        <v>4.8917540266340328E-4</v>
      </c>
      <c r="H102" s="41">
        <v>82328.833434240019</v>
      </c>
      <c r="I102" s="37">
        <v>7.3039190173198232E-4</v>
      </c>
      <c r="J102" s="42">
        <v>39982.78</v>
      </c>
      <c r="K102" s="37">
        <v>4.8917540266340328E-4</v>
      </c>
      <c r="L102" s="38">
        <v>0</v>
      </c>
      <c r="M102" s="37">
        <v>0</v>
      </c>
      <c r="N102" s="42">
        <v>0</v>
      </c>
      <c r="O102" s="37">
        <v>0</v>
      </c>
      <c r="Q102">
        <f>VLOOKUP(Table3[[#This Row],[Census Tract]],'Population and Diversity Data'!$B$2:$K$823,10,FALSE)</f>
        <v>4</v>
      </c>
      <c r="R102" t="str">
        <f>VLOOKUP(Table3[[#This Row],[Census Tract]],'ES Energy Burden'!$B$2:$E$914,4,FALSE)</f>
        <v>No</v>
      </c>
    </row>
    <row r="103" spans="1:18" hidden="1" x14ac:dyDescent="0.25">
      <c r="A103" s="140">
        <v>9009343102</v>
      </c>
      <c r="B103" s="39" t="s">
        <v>2744</v>
      </c>
      <c r="C103" s="39" t="s">
        <v>944</v>
      </c>
      <c r="D103" s="41">
        <v>82879.846151039994</v>
      </c>
      <c r="E103" s="37">
        <v>7.3528028906014111E-4</v>
      </c>
      <c r="F103" s="41">
        <v>29712.117900000001</v>
      </c>
      <c r="G103" s="37">
        <v>3.6351742519442155E-4</v>
      </c>
      <c r="H103" s="41">
        <v>82879.846151039994</v>
      </c>
      <c r="I103" s="37">
        <v>7.3528028906014111E-4</v>
      </c>
      <c r="J103" s="42">
        <v>29712.117900000001</v>
      </c>
      <c r="K103" s="37">
        <v>3.6351742519442155E-4</v>
      </c>
      <c r="L103" s="38">
        <v>0</v>
      </c>
      <c r="M103" s="37">
        <v>0</v>
      </c>
      <c r="N103" s="42">
        <v>0</v>
      </c>
      <c r="O103" s="37">
        <v>0</v>
      </c>
      <c r="Q103">
        <f>VLOOKUP(Table3[[#This Row],[Census Tract]],'Population and Diversity Data'!$B$2:$K$823,10,FALSE)</f>
        <v>3</v>
      </c>
      <c r="R103" t="str">
        <f>VLOOKUP(Table3[[#This Row],[Census Tract]],'ES Energy Burden'!$B$2:$E$914,4,FALSE)</f>
        <v>No</v>
      </c>
    </row>
    <row r="104" spans="1:18" hidden="1" x14ac:dyDescent="0.25">
      <c r="A104" s="140">
        <v>9009343200</v>
      </c>
      <c r="B104" s="39" t="s">
        <v>2744</v>
      </c>
      <c r="C104" s="39" t="s">
        <v>944</v>
      </c>
      <c r="D104" s="41">
        <v>124500.06834911999</v>
      </c>
      <c r="E104" s="37">
        <v>1.104519982782323E-3</v>
      </c>
      <c r="F104" s="41">
        <v>63604.970600000001</v>
      </c>
      <c r="G104" s="37">
        <v>7.7818468612359947E-4</v>
      </c>
      <c r="H104" s="41">
        <v>124500.06834911999</v>
      </c>
      <c r="I104" s="37">
        <v>1.104519982782323E-3</v>
      </c>
      <c r="J104" s="42">
        <v>63604.970600000001</v>
      </c>
      <c r="K104" s="37">
        <v>7.7818468612359947E-4</v>
      </c>
      <c r="L104" s="38">
        <v>0</v>
      </c>
      <c r="M104" s="37">
        <v>0</v>
      </c>
      <c r="N104" s="42">
        <v>0</v>
      </c>
      <c r="O104" s="37">
        <v>0</v>
      </c>
      <c r="Q104">
        <f>VLOOKUP(Table3[[#This Row],[Census Tract]],'Population and Diversity Data'!$B$2:$K$823,10,FALSE)</f>
        <v>3</v>
      </c>
      <c r="R104" t="str">
        <f>VLOOKUP(Table3[[#This Row],[Census Tract]],'ES Energy Burden'!$B$2:$E$914,4,FALSE)</f>
        <v>No</v>
      </c>
    </row>
    <row r="105" spans="1:18" hidden="1" x14ac:dyDescent="0.25">
      <c r="A105" s="140">
        <v>9009343300</v>
      </c>
      <c r="B105" s="39" t="s">
        <v>2744</v>
      </c>
      <c r="C105" s="39" t="s">
        <v>944</v>
      </c>
      <c r="D105" s="41">
        <v>135596.24742815999</v>
      </c>
      <c r="E105" s="37">
        <v>1.2029613064526283E-3</v>
      </c>
      <c r="F105" s="41">
        <v>35106.553699999997</v>
      </c>
      <c r="G105" s="37">
        <v>4.2951647039855383E-4</v>
      </c>
      <c r="H105" s="41">
        <v>135596.24742815999</v>
      </c>
      <c r="I105" s="37">
        <v>1.2029613064526283E-3</v>
      </c>
      <c r="J105" s="42">
        <v>35106.553699999997</v>
      </c>
      <c r="K105" s="37">
        <v>4.2951647039855383E-4</v>
      </c>
      <c r="L105" s="38">
        <v>0</v>
      </c>
      <c r="M105" s="37">
        <v>0</v>
      </c>
      <c r="N105" s="42">
        <v>0</v>
      </c>
      <c r="O105" s="37">
        <v>0</v>
      </c>
      <c r="Q105">
        <f>VLOOKUP(Table3[[#This Row],[Census Tract]],'Population and Diversity Data'!$B$2:$K$823,10,FALSE)</f>
        <v>3</v>
      </c>
      <c r="R105" t="str">
        <f>VLOOKUP(Table3[[#This Row],[Census Tract]],'ES Energy Burden'!$B$2:$E$914,4,FALSE)</f>
        <v>No</v>
      </c>
    </row>
    <row r="106" spans="1:18" hidden="1" x14ac:dyDescent="0.25">
      <c r="A106" s="140">
        <v>9009343400</v>
      </c>
      <c r="B106" s="39" t="s">
        <v>2744</v>
      </c>
      <c r="C106" s="39" t="s">
        <v>944</v>
      </c>
      <c r="D106" s="41">
        <v>319177.76662368001</v>
      </c>
      <c r="E106" s="37">
        <v>2.8316307450298619E-3</v>
      </c>
      <c r="F106" s="41">
        <v>233729.35649999999</v>
      </c>
      <c r="G106" s="37">
        <v>2.8595973586665472E-3</v>
      </c>
      <c r="H106" s="41">
        <v>152085.30442559998</v>
      </c>
      <c r="I106" s="37">
        <v>1.3492463100868283E-3</v>
      </c>
      <c r="J106" s="42">
        <v>198425.37349999999</v>
      </c>
      <c r="K106" s="37">
        <v>2.4276654094712445E-3</v>
      </c>
      <c r="L106" s="38">
        <v>167092.46219808003</v>
      </c>
      <c r="M106" s="37">
        <v>1.4823844349430338E-3</v>
      </c>
      <c r="N106" s="42">
        <v>35303.983</v>
      </c>
      <c r="O106" s="37">
        <v>4.319319491953022E-4</v>
      </c>
      <c r="Q106">
        <f>VLOOKUP(Table3[[#This Row],[Census Tract]],'Population and Diversity Data'!$B$2:$K$823,10,FALSE)</f>
        <v>4</v>
      </c>
      <c r="R106" t="str">
        <f>VLOOKUP(Table3[[#This Row],[Census Tract]],'ES Energy Burden'!$B$2:$E$914,4,FALSE)</f>
        <v>No</v>
      </c>
    </row>
    <row r="107" spans="1:18" hidden="1" x14ac:dyDescent="0.25">
      <c r="A107" s="140">
        <v>9009347100</v>
      </c>
      <c r="B107" s="39" t="s">
        <v>2744</v>
      </c>
      <c r="C107" s="39" t="s">
        <v>944</v>
      </c>
      <c r="D107" s="41">
        <v>65.558160000000001</v>
      </c>
      <c r="E107" s="37">
        <v>5.8160849800812663E-7</v>
      </c>
      <c r="F107" s="41">
        <v>0</v>
      </c>
      <c r="G107" s="37">
        <v>0</v>
      </c>
      <c r="H107" s="41">
        <v>65.558160000000001</v>
      </c>
      <c r="I107" s="37">
        <v>5.8160849800812663E-7</v>
      </c>
      <c r="J107" s="42">
        <v>0</v>
      </c>
      <c r="K107" s="37">
        <v>0</v>
      </c>
      <c r="L107" s="38">
        <v>0</v>
      </c>
      <c r="M107" s="37">
        <v>0</v>
      </c>
      <c r="N107" s="42">
        <v>0</v>
      </c>
      <c r="O107" s="37">
        <v>0</v>
      </c>
      <c r="Q107">
        <f>VLOOKUP(Table3[[#This Row],[Census Tract]],'Population and Diversity Data'!$B$2:$K$823,10,FALSE)</f>
        <v>1</v>
      </c>
      <c r="R107" t="str">
        <f>VLOOKUP(Table3[[#This Row],[Census Tract]],'ES Energy Burden'!$B$2:$E$914,4,FALSE)</f>
        <v>No</v>
      </c>
    </row>
    <row r="108" spans="1:18" hidden="1" x14ac:dyDescent="0.25">
      <c r="A108" s="140">
        <v>9007600100</v>
      </c>
      <c r="B108" s="39" t="s">
        <v>2745</v>
      </c>
      <c r="C108" s="39" t="s">
        <v>944</v>
      </c>
      <c r="D108" s="41">
        <v>118950.99702912</v>
      </c>
      <c r="E108" s="37">
        <v>1.0552906109426441E-3</v>
      </c>
      <c r="F108" s="41">
        <v>36099.027499999997</v>
      </c>
      <c r="G108" s="37">
        <v>4.4165904204434431E-4</v>
      </c>
      <c r="H108" s="41">
        <v>88488.774820799998</v>
      </c>
      <c r="I108" s="37">
        <v>7.8504069385267701E-4</v>
      </c>
      <c r="J108" s="42">
        <v>28427.077499999999</v>
      </c>
      <c r="K108" s="37">
        <v>3.4779540298614237E-4</v>
      </c>
      <c r="L108" s="38">
        <v>30462.222208320003</v>
      </c>
      <c r="M108" s="37">
        <v>2.7024991708996703E-4</v>
      </c>
      <c r="N108" s="42">
        <v>7671.95</v>
      </c>
      <c r="O108" s="37">
        <v>9.3863639058201979E-5</v>
      </c>
      <c r="Q108">
        <f>VLOOKUP(Table3[[#This Row],[Census Tract]],'Population and Diversity Data'!$B$2:$K$823,10,FALSE)</f>
        <v>1</v>
      </c>
      <c r="R108" t="str">
        <f>VLOOKUP(Table3[[#This Row],[Census Tract]],'ES Energy Burden'!$B$2:$E$914,4,FALSE)</f>
        <v>No</v>
      </c>
    </row>
    <row r="109" spans="1:18" hidden="1" x14ac:dyDescent="0.25">
      <c r="A109" s="140">
        <v>9007610100</v>
      </c>
      <c r="B109" s="39" t="s">
        <v>2746</v>
      </c>
      <c r="C109" s="39" t="s">
        <v>944</v>
      </c>
      <c r="D109" s="41">
        <v>49833.557458559997</v>
      </c>
      <c r="E109" s="37">
        <v>4.4210546030997138E-4</v>
      </c>
      <c r="F109" s="41">
        <v>5070.47</v>
      </c>
      <c r="G109" s="37">
        <v>6.203543635391803E-5</v>
      </c>
      <c r="H109" s="41">
        <v>49833.557458559997</v>
      </c>
      <c r="I109" s="37">
        <v>4.4210546030997138E-4</v>
      </c>
      <c r="J109" s="42">
        <v>5070.47</v>
      </c>
      <c r="K109" s="37">
        <v>6.203543635391803E-5</v>
      </c>
      <c r="L109" s="38">
        <v>0</v>
      </c>
      <c r="M109" s="37">
        <v>0</v>
      </c>
      <c r="N109" s="42">
        <v>0</v>
      </c>
      <c r="O109" s="37">
        <v>0</v>
      </c>
      <c r="Q109">
        <f>VLOOKUP(Table3[[#This Row],[Census Tract]],'Population and Diversity Data'!$B$2:$K$823,10,FALSE)</f>
        <v>1</v>
      </c>
      <c r="R109" t="str">
        <f>VLOOKUP(Table3[[#This Row],[Census Tract]],'ES Energy Burden'!$B$2:$E$914,4,FALSE)</f>
        <v>No</v>
      </c>
    </row>
    <row r="110" spans="1:18" hidden="1" x14ac:dyDescent="0.25">
      <c r="A110" s="140">
        <v>9007610200</v>
      </c>
      <c r="B110" s="39" t="s">
        <v>2746</v>
      </c>
      <c r="C110" s="39" t="s">
        <v>944</v>
      </c>
      <c r="D110" s="41">
        <v>82281.225185279996</v>
      </c>
      <c r="E110" s="37">
        <v>7.2996953841107095E-4</v>
      </c>
      <c r="F110" s="41">
        <v>16245.14</v>
      </c>
      <c r="G110" s="37">
        <v>1.9875363596086513E-4</v>
      </c>
      <c r="H110" s="41">
        <v>82281.225185279996</v>
      </c>
      <c r="I110" s="37">
        <v>7.2996953841107095E-4</v>
      </c>
      <c r="J110" s="42">
        <v>16245.14</v>
      </c>
      <c r="K110" s="37">
        <v>1.9875363596086513E-4</v>
      </c>
      <c r="L110" s="38">
        <v>0</v>
      </c>
      <c r="M110" s="37">
        <v>0</v>
      </c>
      <c r="N110" s="42">
        <v>0</v>
      </c>
      <c r="O110" s="37">
        <v>0</v>
      </c>
      <c r="Q110">
        <f>VLOOKUP(Table3[[#This Row],[Census Tract]],'Population and Diversity Data'!$B$2:$K$823,10,FALSE)</f>
        <v>2</v>
      </c>
      <c r="R110" t="str">
        <f>VLOOKUP(Table3[[#This Row],[Census Tract]],'ES Energy Burden'!$B$2:$E$914,4,FALSE)</f>
        <v>No</v>
      </c>
    </row>
    <row r="111" spans="1:18" hidden="1" x14ac:dyDescent="0.25">
      <c r="A111" s="140">
        <v>9007610300</v>
      </c>
      <c r="B111" s="39" t="s">
        <v>2746</v>
      </c>
      <c r="C111" s="39" t="s">
        <v>944</v>
      </c>
      <c r="D111" s="41">
        <v>199379.29564224</v>
      </c>
      <c r="E111" s="37">
        <v>1.7688216489358676E-3</v>
      </c>
      <c r="F111" s="41">
        <v>120258.32740000001</v>
      </c>
      <c r="G111" s="37">
        <v>1.4713187959797291E-3</v>
      </c>
      <c r="H111" s="41">
        <v>89308.608989759989</v>
      </c>
      <c r="I111" s="37">
        <v>7.9231396875277429E-4</v>
      </c>
      <c r="J111" s="42">
        <v>89279.610400000005</v>
      </c>
      <c r="K111" s="37">
        <v>1.0923049714665106E-3</v>
      </c>
      <c r="L111" s="38">
        <v>110070.68665248001</v>
      </c>
      <c r="M111" s="37">
        <v>9.7650768018309317E-4</v>
      </c>
      <c r="N111" s="42">
        <v>30978.717000000001</v>
      </c>
      <c r="O111" s="37">
        <v>3.7901382451321837E-4</v>
      </c>
      <c r="Q111">
        <f>VLOOKUP(Table3[[#This Row],[Census Tract]],'Population and Diversity Data'!$B$2:$K$823,10,FALSE)</f>
        <v>1</v>
      </c>
      <c r="R111" t="str">
        <f>VLOOKUP(Table3[[#This Row],[Census Tract]],'ES Energy Burden'!$B$2:$E$914,4,FALSE)</f>
        <v>No</v>
      </c>
    </row>
    <row r="112" spans="1:18" hidden="1" x14ac:dyDescent="0.25">
      <c r="A112" s="140">
        <v>9007610400</v>
      </c>
      <c r="B112" s="39" t="s">
        <v>2746</v>
      </c>
      <c r="C112" s="39" t="s">
        <v>944</v>
      </c>
      <c r="D112" s="41">
        <v>67552.741402560001</v>
      </c>
      <c r="E112" s="37">
        <v>5.9930370930902138E-4</v>
      </c>
      <c r="F112" s="41">
        <v>9962.2000000000007</v>
      </c>
      <c r="G112" s="37">
        <v>1.2188405099428696E-4</v>
      </c>
      <c r="H112" s="41">
        <v>67241.355482879997</v>
      </c>
      <c r="I112" s="37">
        <v>5.9654120503730345E-4</v>
      </c>
      <c r="J112" s="42">
        <v>9962.2000000000007</v>
      </c>
      <c r="K112" s="37">
        <v>1.2188405099428696E-4</v>
      </c>
      <c r="L112" s="38">
        <v>311.38591968000003</v>
      </c>
      <c r="M112" s="37">
        <v>2.7625042717178758E-6</v>
      </c>
      <c r="N112" s="42">
        <v>0</v>
      </c>
      <c r="O112" s="37">
        <v>0</v>
      </c>
      <c r="Q112">
        <f>VLOOKUP(Table3[[#This Row],[Census Tract]],'Population and Diversity Data'!$B$2:$K$823,10,FALSE)</f>
        <v>1</v>
      </c>
      <c r="R112" t="str">
        <f>VLOOKUP(Table3[[#This Row],[Census Tract]],'ES Energy Burden'!$B$2:$E$914,4,FALSE)</f>
        <v>No</v>
      </c>
    </row>
    <row r="113" spans="1:18" hidden="1" x14ac:dyDescent="0.25">
      <c r="A113" s="140">
        <v>9007550201</v>
      </c>
      <c r="B113" s="39" t="s">
        <v>2747</v>
      </c>
      <c r="C113" s="39" t="s">
        <v>944</v>
      </c>
      <c r="D113" s="41">
        <v>472.47606719999999</v>
      </c>
      <c r="E113" s="37">
        <v>4.1916383222009083E-6</v>
      </c>
      <c r="F113" s="41">
        <v>0</v>
      </c>
      <c r="G113" s="37">
        <v>0</v>
      </c>
      <c r="H113" s="41">
        <v>472.47606719999999</v>
      </c>
      <c r="I113" s="37">
        <v>4.1916383222009083E-6</v>
      </c>
      <c r="J113" s="42">
        <v>0</v>
      </c>
      <c r="K113" s="37">
        <v>0</v>
      </c>
      <c r="L113" s="38">
        <v>0</v>
      </c>
      <c r="M113" s="37">
        <v>0</v>
      </c>
      <c r="N113" s="42">
        <v>0</v>
      </c>
      <c r="O113" s="37">
        <v>0</v>
      </c>
      <c r="Q113">
        <f>VLOOKUP(Table3[[#This Row],[Census Tract]],'Population and Diversity Data'!$B$2:$K$823,10,FALSE)</f>
        <v>2</v>
      </c>
      <c r="R113" t="str">
        <f>VLOOKUP(Table3[[#This Row],[Census Tract]],'ES Energy Burden'!$B$2:$E$914,4,FALSE)</f>
        <v>No</v>
      </c>
    </row>
    <row r="114" spans="1:18" hidden="1" x14ac:dyDescent="0.25">
      <c r="A114" s="140">
        <v>9007595101</v>
      </c>
      <c r="B114" s="39" t="s">
        <v>2747</v>
      </c>
      <c r="C114" s="39" t="s">
        <v>944</v>
      </c>
      <c r="D114" s="41">
        <v>1526.8828320000002</v>
      </c>
      <c r="E114" s="37">
        <v>1.3545957216522166E-5</v>
      </c>
      <c r="F114" s="41">
        <v>0</v>
      </c>
      <c r="G114" s="37">
        <v>0</v>
      </c>
      <c r="H114" s="41">
        <v>1526.8828320000002</v>
      </c>
      <c r="I114" s="37">
        <v>1.3545957216522166E-5</v>
      </c>
      <c r="J114" s="42">
        <v>0</v>
      </c>
      <c r="K114" s="37">
        <v>0</v>
      </c>
      <c r="L114" s="38">
        <v>0</v>
      </c>
      <c r="M114" s="37">
        <v>0</v>
      </c>
      <c r="N114" s="42">
        <v>0</v>
      </c>
      <c r="O114" s="37">
        <v>0</v>
      </c>
      <c r="Q114">
        <f>VLOOKUP(Table3[[#This Row],[Census Tract]],'Population and Diversity Data'!$B$2:$K$823,10,FALSE)</f>
        <v>1</v>
      </c>
      <c r="R114" t="str">
        <f>VLOOKUP(Table3[[#This Row],[Census Tract]],'ES Energy Burden'!$B$2:$E$914,4,FALSE)</f>
        <v>No</v>
      </c>
    </row>
    <row r="115" spans="1:18" hidden="1" x14ac:dyDescent="0.25">
      <c r="A115" s="140">
        <v>9011714101</v>
      </c>
      <c r="B115" s="39" t="s">
        <v>2747</v>
      </c>
      <c r="C115" s="39" t="s">
        <v>944</v>
      </c>
      <c r="D115" s="41">
        <v>62837.596506239999</v>
      </c>
      <c r="E115" s="37">
        <v>5.5747263380233596E-4</v>
      </c>
      <c r="F115" s="41">
        <v>68354.2</v>
      </c>
      <c r="G115" s="37">
        <v>8.3628985550116333E-4</v>
      </c>
      <c r="H115" s="41">
        <v>62835.427442879998</v>
      </c>
      <c r="I115" s="37">
        <v>5.5745339064964693E-4</v>
      </c>
      <c r="J115" s="42">
        <v>68354.2</v>
      </c>
      <c r="K115" s="37">
        <v>8.3628985550116333E-4</v>
      </c>
      <c r="L115" s="38">
        <v>2.16906336</v>
      </c>
      <c r="M115" s="37">
        <v>1.924315268906358E-8</v>
      </c>
      <c r="N115" s="42">
        <v>0</v>
      </c>
      <c r="O115" s="37">
        <v>0</v>
      </c>
      <c r="Q115">
        <f>VLOOKUP(Table3[[#This Row],[Census Tract]],'Population and Diversity Data'!$B$2:$K$823,10,FALSE)</f>
        <v>1</v>
      </c>
      <c r="R115" t="str">
        <f>VLOOKUP(Table3[[#This Row],[Census Tract]],'ES Energy Burden'!$B$2:$E$914,4,FALSE)</f>
        <v>No</v>
      </c>
    </row>
    <row r="116" spans="1:18" hidden="1" x14ac:dyDescent="0.25">
      <c r="A116" s="140">
        <v>9011714103</v>
      </c>
      <c r="B116" s="39" t="s">
        <v>2747</v>
      </c>
      <c r="C116" s="39" t="s">
        <v>944</v>
      </c>
      <c r="D116" s="41">
        <v>220309.76660256003</v>
      </c>
      <c r="E116" s="37">
        <v>1.9545092853465668E-3</v>
      </c>
      <c r="F116" s="41">
        <v>297088.71460000001</v>
      </c>
      <c r="G116" s="37">
        <v>3.6347770613050895E-3</v>
      </c>
      <c r="H116" s="41">
        <v>142560.62014464004</v>
      </c>
      <c r="I116" s="37">
        <v>1.2647467250061803E-3</v>
      </c>
      <c r="J116" s="42">
        <v>273925.8946</v>
      </c>
      <c r="K116" s="37">
        <v>3.351388017313653E-3</v>
      </c>
      <c r="L116" s="38">
        <v>77749.146457919996</v>
      </c>
      <c r="M116" s="37">
        <v>6.8976256034038641E-4</v>
      </c>
      <c r="N116" s="42">
        <v>23162.82</v>
      </c>
      <c r="O116" s="37">
        <v>2.8338904399143663E-4</v>
      </c>
      <c r="Q116">
        <f>VLOOKUP(Table3[[#This Row],[Census Tract]],'Population and Diversity Data'!$B$2:$K$823,10,FALSE)</f>
        <v>3</v>
      </c>
      <c r="R116" t="str">
        <f>VLOOKUP(Table3[[#This Row],[Census Tract]],'ES Energy Burden'!$B$2:$E$914,4,FALSE)</f>
        <v>No</v>
      </c>
    </row>
    <row r="117" spans="1:18" hidden="1" x14ac:dyDescent="0.25">
      <c r="A117" s="140">
        <v>9011714104</v>
      </c>
      <c r="B117" s="39" t="s">
        <v>2747</v>
      </c>
      <c r="C117" s="39" t="s">
        <v>944</v>
      </c>
      <c r="D117" s="41">
        <v>98284.121392319998</v>
      </c>
      <c r="E117" s="37">
        <v>8.7194149776375078E-4</v>
      </c>
      <c r="F117" s="41">
        <v>30020.496500000001</v>
      </c>
      <c r="G117" s="37">
        <v>3.6729033007566736E-4</v>
      </c>
      <c r="H117" s="41">
        <v>98268.869062080004</v>
      </c>
      <c r="I117" s="37">
        <v>8.7180618455663813E-4</v>
      </c>
      <c r="J117" s="42">
        <v>30020.496500000001</v>
      </c>
      <c r="K117" s="37">
        <v>3.6729033007566736E-4</v>
      </c>
      <c r="L117" s="38">
        <v>15.252330240000003</v>
      </c>
      <c r="M117" s="37">
        <v>1.3531320711274281E-7</v>
      </c>
      <c r="N117" s="42">
        <v>0</v>
      </c>
      <c r="O117" s="37">
        <v>0</v>
      </c>
      <c r="Q117">
        <f>VLOOKUP(Table3[[#This Row],[Census Tract]],'Population and Diversity Data'!$B$2:$K$823,10,FALSE)</f>
        <v>1</v>
      </c>
      <c r="R117" t="str">
        <f>VLOOKUP(Table3[[#This Row],[Census Tract]],'ES Energy Burden'!$B$2:$E$914,4,FALSE)</f>
        <v>No</v>
      </c>
    </row>
    <row r="118" spans="1:18" hidden="1" x14ac:dyDescent="0.25">
      <c r="A118" s="140">
        <v>9011715100</v>
      </c>
      <c r="B118" s="39" t="s">
        <v>2747</v>
      </c>
      <c r="C118" s="39" t="s">
        <v>944</v>
      </c>
      <c r="D118" s="41">
        <v>428.2438464</v>
      </c>
      <c r="E118" s="37">
        <v>3.7992259130812528E-6</v>
      </c>
      <c r="F118" s="41">
        <v>1963.71</v>
      </c>
      <c r="G118" s="37">
        <v>2.402530864447524E-5</v>
      </c>
      <c r="H118" s="41">
        <v>428.2438464</v>
      </c>
      <c r="I118" s="37">
        <v>3.7992259130812528E-6</v>
      </c>
      <c r="J118" s="42">
        <v>1963.71</v>
      </c>
      <c r="K118" s="37">
        <v>2.402530864447524E-5</v>
      </c>
      <c r="L118" s="38">
        <v>0</v>
      </c>
      <c r="M118" s="37">
        <v>0</v>
      </c>
      <c r="N118" s="42">
        <v>0</v>
      </c>
      <c r="O118" s="37">
        <v>0</v>
      </c>
      <c r="Q118">
        <f>VLOOKUP(Table3[[#This Row],[Census Tract]],'Population and Diversity Data'!$B$2:$K$823,10,FALSE)</f>
        <v>3</v>
      </c>
      <c r="R118" t="str">
        <f>VLOOKUP(Table3[[#This Row],[Census Tract]],'ES Energy Burden'!$B$2:$E$914,4,FALSE)</f>
        <v>No</v>
      </c>
    </row>
    <row r="119" spans="1:18" hidden="1" x14ac:dyDescent="0.25">
      <c r="A119" s="140">
        <v>9011870100</v>
      </c>
      <c r="B119" s="39" t="s">
        <v>2747</v>
      </c>
      <c r="C119" s="39" t="s">
        <v>944</v>
      </c>
      <c r="D119" s="41">
        <v>1162.304208</v>
      </c>
      <c r="E119" s="37">
        <v>1.0311546337533041E-5</v>
      </c>
      <c r="F119" s="41">
        <v>0</v>
      </c>
      <c r="G119" s="37">
        <v>0</v>
      </c>
      <c r="H119" s="41">
        <v>1162.304208</v>
      </c>
      <c r="I119" s="37">
        <v>1.0311546337533041E-5</v>
      </c>
      <c r="J119" s="42">
        <v>0</v>
      </c>
      <c r="K119" s="37">
        <v>0</v>
      </c>
      <c r="L119" s="38">
        <v>0</v>
      </c>
      <c r="M119" s="37">
        <v>0</v>
      </c>
      <c r="N119" s="42">
        <v>0</v>
      </c>
      <c r="O119" s="37">
        <v>0</v>
      </c>
      <c r="Q119">
        <f>VLOOKUP(Table3[[#This Row],[Census Tract]],'Population and Diversity Data'!$B$2:$K$823,10,FALSE)</f>
        <v>1</v>
      </c>
      <c r="R119" t="str">
        <f>VLOOKUP(Table3[[#This Row],[Census Tract]],'ES Energy Burden'!$B$2:$E$914,4,FALSE)</f>
        <v>No</v>
      </c>
    </row>
    <row r="120" spans="1:18" hidden="1" x14ac:dyDescent="0.25">
      <c r="A120" s="140">
        <v>9013526101</v>
      </c>
      <c r="B120" s="39" t="s">
        <v>2747</v>
      </c>
      <c r="C120" s="39" t="s">
        <v>944</v>
      </c>
      <c r="D120" s="41">
        <v>787.97724479999999</v>
      </c>
      <c r="E120" s="37">
        <v>6.9906516871844766E-6</v>
      </c>
      <c r="F120" s="41">
        <v>1107.58</v>
      </c>
      <c r="G120" s="37">
        <v>1.3550855955537164E-5</v>
      </c>
      <c r="H120" s="41">
        <v>787.97724479999999</v>
      </c>
      <c r="I120" s="37">
        <v>6.9906516871844766E-6</v>
      </c>
      <c r="J120" s="44">
        <v>1107.58</v>
      </c>
      <c r="K120" s="37">
        <v>1.3550855955537164E-5</v>
      </c>
      <c r="L120" s="38">
        <v>0</v>
      </c>
      <c r="M120" s="37">
        <v>0</v>
      </c>
      <c r="N120" s="42">
        <v>0</v>
      </c>
      <c r="O120" s="37">
        <v>0</v>
      </c>
      <c r="Q120">
        <f>VLOOKUP(Table3[[#This Row],[Census Tract]],'Population and Diversity Data'!$B$2:$K$823,10,FALSE)</f>
        <v>2</v>
      </c>
      <c r="R120" t="str">
        <f>VLOOKUP(Table3[[#This Row],[Census Tract]],'ES Energy Burden'!$B$2:$E$914,4,FALSE)</f>
        <v>No</v>
      </c>
    </row>
    <row r="121" spans="1:18" hidden="1" x14ac:dyDescent="0.25">
      <c r="A121" s="140">
        <v>9005293100</v>
      </c>
      <c r="B121" s="39" t="s">
        <v>2748</v>
      </c>
      <c r="C121" s="39" t="s">
        <v>944</v>
      </c>
      <c r="D121" s="41">
        <v>40187.747168639995</v>
      </c>
      <c r="E121" s="37">
        <v>3.5653128869210255E-4</v>
      </c>
      <c r="F121" s="41">
        <v>31218.78</v>
      </c>
      <c r="G121" s="37">
        <v>3.8195091179653345E-4</v>
      </c>
      <c r="H121" s="41">
        <v>33902.455685759996</v>
      </c>
      <c r="I121" s="37">
        <v>3.0077043544513672E-4</v>
      </c>
      <c r="J121" s="42">
        <v>31218.78</v>
      </c>
      <c r="K121" s="37">
        <v>3.8195091179653345E-4</v>
      </c>
      <c r="L121" s="38">
        <v>6285.2914828800003</v>
      </c>
      <c r="M121" s="37">
        <v>5.5760853246965867E-5</v>
      </c>
      <c r="N121" s="42">
        <v>0</v>
      </c>
      <c r="O121" s="37">
        <v>0</v>
      </c>
      <c r="Q121">
        <f>VLOOKUP(Table3[[#This Row],[Census Tract]],'Population and Diversity Data'!$B$2:$K$823,10,FALSE)</f>
        <v>1</v>
      </c>
      <c r="R121" t="str">
        <f>VLOOKUP(Table3[[#This Row],[Census Tract]],'ES Energy Burden'!$B$2:$E$914,4,FALSE)</f>
        <v>No</v>
      </c>
    </row>
    <row r="122" spans="1:18" hidden="1" x14ac:dyDescent="0.25">
      <c r="A122" s="140">
        <v>9005320100</v>
      </c>
      <c r="B122" s="39" t="s">
        <v>2748</v>
      </c>
      <c r="C122" s="39" t="s">
        <v>944</v>
      </c>
      <c r="D122" s="41">
        <v>236.81980800000002</v>
      </c>
      <c r="E122" s="37">
        <v>2.1009804550562881E-6</v>
      </c>
      <c r="F122" s="41">
        <v>0</v>
      </c>
      <c r="G122" s="37">
        <v>0</v>
      </c>
      <c r="H122" s="41">
        <v>236.81980800000002</v>
      </c>
      <c r="I122" s="37">
        <v>2.1009804550562881E-6</v>
      </c>
      <c r="J122" s="42">
        <v>0</v>
      </c>
      <c r="K122" s="37">
        <v>0</v>
      </c>
      <c r="L122" s="38">
        <v>0</v>
      </c>
      <c r="M122" s="37">
        <v>0</v>
      </c>
      <c r="N122" s="42">
        <v>0</v>
      </c>
      <c r="O122" s="37">
        <v>0</v>
      </c>
      <c r="Q122">
        <f>VLOOKUP(Table3[[#This Row],[Census Tract]],'Population and Diversity Data'!$B$2:$K$823,10,FALSE)</f>
        <v>1</v>
      </c>
      <c r="R122" t="str">
        <f>VLOOKUP(Table3[[#This Row],[Census Tract]],'ES Energy Burden'!$B$2:$E$914,4,FALSE)</f>
        <v>No</v>
      </c>
    </row>
    <row r="123" spans="1:18" hidden="1" x14ac:dyDescent="0.25">
      <c r="A123" s="140">
        <v>9013850200</v>
      </c>
      <c r="B123" s="39" t="s">
        <v>2749</v>
      </c>
      <c r="C123" s="39" t="s">
        <v>944</v>
      </c>
      <c r="D123" s="41">
        <v>384.0116256</v>
      </c>
      <c r="E123" s="37">
        <v>3.4068135039615976E-6</v>
      </c>
      <c r="F123" s="41">
        <v>0</v>
      </c>
      <c r="G123" s="37">
        <v>0</v>
      </c>
      <c r="H123" s="41">
        <v>384.0116256</v>
      </c>
      <c r="I123" s="37">
        <v>3.4068135039615976E-6</v>
      </c>
      <c r="J123" s="42">
        <v>0</v>
      </c>
      <c r="K123" s="37">
        <v>0</v>
      </c>
      <c r="L123" s="38">
        <v>0</v>
      </c>
      <c r="M123" s="37">
        <v>0</v>
      </c>
      <c r="N123" s="42">
        <v>0</v>
      </c>
      <c r="O123" s="37">
        <v>0</v>
      </c>
      <c r="Q123">
        <f>VLOOKUP(Table3[[#This Row],[Census Tract]],'Population and Diversity Data'!$B$2:$K$823,10,FALSE)</f>
        <v>1</v>
      </c>
      <c r="R123" t="str">
        <f>VLOOKUP(Table3[[#This Row],[Census Tract]],'ES Energy Burden'!$B$2:$E$914,4,FALSE)</f>
        <v>No</v>
      </c>
    </row>
    <row r="124" spans="1:18" hidden="1" x14ac:dyDescent="0.25">
      <c r="A124" s="140">
        <v>9013860100</v>
      </c>
      <c r="B124" s="39" t="s">
        <v>2749</v>
      </c>
      <c r="C124" s="39" t="s">
        <v>944</v>
      </c>
      <c r="D124" s="41">
        <v>134293.73153760002</v>
      </c>
      <c r="E124" s="37">
        <v>1.1914058523224283E-3</v>
      </c>
      <c r="F124" s="41">
        <v>44825.78</v>
      </c>
      <c r="G124" s="37">
        <v>5.4842782270770392E-4</v>
      </c>
      <c r="H124" s="41">
        <v>114568.80654240001</v>
      </c>
      <c r="I124" s="37">
        <v>1.0164133876196175E-3</v>
      </c>
      <c r="J124" s="42">
        <v>43500.86</v>
      </c>
      <c r="K124" s="37">
        <v>5.3221788746816339E-4</v>
      </c>
      <c r="L124" s="38">
        <v>19724.924995200003</v>
      </c>
      <c r="M124" s="37">
        <v>1.7499246470281088E-4</v>
      </c>
      <c r="N124" s="42">
        <v>1324.92</v>
      </c>
      <c r="O124" s="37">
        <v>1.6209935239540532E-5</v>
      </c>
      <c r="Q124">
        <f>VLOOKUP(Table3[[#This Row],[Census Tract]],'Population and Diversity Data'!$B$2:$K$823,10,FALSE)</f>
        <v>1</v>
      </c>
      <c r="R124" t="str">
        <f>VLOOKUP(Table3[[#This Row],[Census Tract]],'ES Energy Burden'!$B$2:$E$914,4,FALSE)</f>
        <v>No</v>
      </c>
    </row>
    <row r="125" spans="1:18" hidden="1" x14ac:dyDescent="0.25">
      <c r="A125" s="140">
        <v>9005262100</v>
      </c>
      <c r="B125" s="39" t="s">
        <v>2750</v>
      </c>
      <c r="C125" s="39" t="s">
        <v>944</v>
      </c>
      <c r="D125" s="41">
        <v>207.17536319999999</v>
      </c>
      <c r="E125" s="37">
        <v>1.8379855660232091E-6</v>
      </c>
      <c r="F125" s="41">
        <v>0</v>
      </c>
      <c r="G125" s="37">
        <v>0</v>
      </c>
      <c r="H125" s="41">
        <v>207.17536319999999</v>
      </c>
      <c r="I125" s="37">
        <v>1.8379855660232091E-6</v>
      </c>
      <c r="J125" s="42">
        <v>0</v>
      </c>
      <c r="K125" s="37">
        <v>0</v>
      </c>
      <c r="L125" s="38">
        <v>0</v>
      </c>
      <c r="M125" s="37">
        <v>0</v>
      </c>
      <c r="N125" s="42">
        <v>0</v>
      </c>
      <c r="O125" s="37">
        <v>0</v>
      </c>
      <c r="Q125">
        <f>VLOOKUP(Table3[[#This Row],[Census Tract]],'Population and Diversity Data'!$B$2:$K$823,10,FALSE)</f>
        <v>1</v>
      </c>
      <c r="R125" t="str">
        <f>VLOOKUP(Table3[[#This Row],[Census Tract]],'ES Energy Burden'!$B$2:$E$914,4,FALSE)</f>
        <v>No</v>
      </c>
    </row>
    <row r="126" spans="1:18" hidden="1" x14ac:dyDescent="0.25">
      <c r="A126" s="140">
        <v>9005263200</v>
      </c>
      <c r="B126" s="39" t="s">
        <v>2750</v>
      </c>
      <c r="C126" s="39" t="s">
        <v>944</v>
      </c>
      <c r="D126" s="41">
        <v>58439.273212799992</v>
      </c>
      <c r="E126" s="37">
        <v>5.1845228600044834E-4</v>
      </c>
      <c r="F126" s="41">
        <v>15124.35</v>
      </c>
      <c r="G126" s="37">
        <v>1.850411602512943E-4</v>
      </c>
      <c r="H126" s="41">
        <v>48379.472259839997</v>
      </c>
      <c r="I126" s="37">
        <v>4.2920533760360826E-4</v>
      </c>
      <c r="J126" s="42">
        <v>13559.24</v>
      </c>
      <c r="K126" s="37">
        <v>1.6589258392762395E-4</v>
      </c>
      <c r="L126" s="38">
        <v>10059.800952959999</v>
      </c>
      <c r="M126" s="37">
        <v>8.9246948396840085E-5</v>
      </c>
      <c r="N126" s="42">
        <v>1565.11</v>
      </c>
      <c r="O126" s="37">
        <v>1.914857632367032E-5</v>
      </c>
      <c r="Q126">
        <f>VLOOKUP(Table3[[#This Row],[Census Tract]],'Population and Diversity Data'!$B$2:$K$823,10,FALSE)</f>
        <v>3</v>
      </c>
      <c r="R126" t="str">
        <f>VLOOKUP(Table3[[#This Row],[Census Tract]],'ES Energy Burden'!$B$2:$E$914,4,FALSE)</f>
        <v>No</v>
      </c>
    </row>
    <row r="127" spans="1:18" hidden="1" x14ac:dyDescent="0.25">
      <c r="A127" s="140">
        <v>9005265100</v>
      </c>
      <c r="B127" s="39" t="s">
        <v>2750</v>
      </c>
      <c r="C127" s="39" t="s">
        <v>944</v>
      </c>
      <c r="D127" s="41">
        <v>381.16122048</v>
      </c>
      <c r="E127" s="37">
        <v>3.381525731385951E-6</v>
      </c>
      <c r="F127" s="41">
        <v>0</v>
      </c>
      <c r="G127" s="37">
        <v>0</v>
      </c>
      <c r="H127" s="41">
        <v>381.16122048</v>
      </c>
      <c r="I127" s="37">
        <v>3.381525731385951E-6</v>
      </c>
      <c r="J127" s="42">
        <v>0</v>
      </c>
      <c r="K127" s="37">
        <v>0</v>
      </c>
      <c r="L127" s="38">
        <v>0</v>
      </c>
      <c r="M127" s="37">
        <v>0</v>
      </c>
      <c r="N127" s="42">
        <v>0</v>
      </c>
      <c r="O127" s="37">
        <v>0</v>
      </c>
      <c r="Q127">
        <f>VLOOKUP(Table3[[#This Row],[Census Tract]],'Population and Diversity Data'!$B$2:$K$823,10,FALSE)</f>
        <v>1</v>
      </c>
      <c r="R127" t="str">
        <f>VLOOKUP(Table3[[#This Row],[Census Tract]],'ES Energy Burden'!$B$2:$E$914,4,FALSE)</f>
        <v>No</v>
      </c>
    </row>
    <row r="128" spans="1:18" hidden="1" x14ac:dyDescent="0.25">
      <c r="A128" s="140">
        <v>9005266100</v>
      </c>
      <c r="B128" s="39" t="s">
        <v>2750</v>
      </c>
      <c r="C128" s="39" t="s">
        <v>944</v>
      </c>
      <c r="D128" s="41">
        <v>40.9326048</v>
      </c>
      <c r="E128" s="37">
        <v>3.6313939862388195E-7</v>
      </c>
      <c r="F128" s="41">
        <v>0</v>
      </c>
      <c r="G128" s="37">
        <v>0</v>
      </c>
      <c r="H128" s="41">
        <v>40.9326048</v>
      </c>
      <c r="I128" s="37">
        <v>3.6313939862388195E-7</v>
      </c>
      <c r="J128" s="42">
        <v>0</v>
      </c>
      <c r="K128" s="37">
        <v>0</v>
      </c>
      <c r="L128" s="38">
        <v>0</v>
      </c>
      <c r="M128" s="37">
        <v>0</v>
      </c>
      <c r="N128" s="42">
        <v>0</v>
      </c>
      <c r="O128" s="37">
        <v>0</v>
      </c>
      <c r="Q128">
        <f>VLOOKUP(Table3[[#This Row],[Census Tract]],'Population and Diversity Data'!$B$2:$K$823,10,FALSE)</f>
        <v>2</v>
      </c>
      <c r="R128" t="str">
        <f>VLOOKUP(Table3[[#This Row],[Census Tract]],'ES Energy Burden'!$B$2:$E$914,4,FALSE)</f>
        <v>No</v>
      </c>
    </row>
    <row r="129" spans="1:18" hidden="1" x14ac:dyDescent="0.25">
      <c r="A129" s="140">
        <v>9013850100</v>
      </c>
      <c r="B129" s="39" t="s">
        <v>2751</v>
      </c>
      <c r="C129" s="39" t="s">
        <v>944</v>
      </c>
      <c r="D129" s="41">
        <v>114483.14040672001</v>
      </c>
      <c r="E129" s="37">
        <v>1.0156533883685249E-3</v>
      </c>
      <c r="F129" s="41">
        <v>26282.479299999999</v>
      </c>
      <c r="G129" s="37">
        <v>3.2155699014851051E-4</v>
      </c>
      <c r="H129" s="41">
        <v>114445.98788832</v>
      </c>
      <c r="I129" s="37">
        <v>1.0153237845415741E-3</v>
      </c>
      <c r="J129" s="42">
        <v>26282.479299999999</v>
      </c>
      <c r="K129" s="37">
        <v>3.2155699014851051E-4</v>
      </c>
      <c r="L129" s="38">
        <v>37.152518400000005</v>
      </c>
      <c r="M129" s="37">
        <v>3.2960382695065403E-7</v>
      </c>
      <c r="N129" s="42">
        <v>0</v>
      </c>
      <c r="O129" s="37">
        <v>0</v>
      </c>
      <c r="Q129">
        <f>VLOOKUP(Table3[[#This Row],[Census Tract]],'Population and Diversity Data'!$B$2:$K$823,10,FALSE)</f>
        <v>3</v>
      </c>
      <c r="R129" t="str">
        <f>VLOOKUP(Table3[[#This Row],[Census Tract]],'ES Energy Burden'!$B$2:$E$914,4,FALSE)</f>
        <v>No</v>
      </c>
    </row>
    <row r="130" spans="1:18" hidden="1" x14ac:dyDescent="0.25">
      <c r="A130" s="140">
        <v>9013850200</v>
      </c>
      <c r="B130" s="39" t="s">
        <v>2751</v>
      </c>
      <c r="C130" s="39" t="s">
        <v>944</v>
      </c>
      <c r="D130" s="41">
        <v>174738.03427008004</v>
      </c>
      <c r="E130" s="37">
        <v>1.5502132100216632E-3</v>
      </c>
      <c r="F130" s="41">
        <v>98738.7261</v>
      </c>
      <c r="G130" s="37">
        <v>1.2080339610812203E-3</v>
      </c>
      <c r="H130" s="41">
        <v>136588.91316768003</v>
      </c>
      <c r="I130" s="37">
        <v>1.2117678811000309E-3</v>
      </c>
      <c r="J130" s="42">
        <v>52139.396099999998</v>
      </c>
      <c r="K130" s="37">
        <v>6.3790737116939291E-4</v>
      </c>
      <c r="L130" s="38">
        <v>38149.121102400008</v>
      </c>
      <c r="M130" s="37">
        <v>3.3844532892163227E-4</v>
      </c>
      <c r="N130" s="42">
        <v>46599.33</v>
      </c>
      <c r="O130" s="37">
        <v>5.701265899118273E-4</v>
      </c>
      <c r="Q130">
        <f>VLOOKUP(Table3[[#This Row],[Census Tract]],'Population and Diversity Data'!$B$2:$K$823,10,FALSE)</f>
        <v>1</v>
      </c>
      <c r="R130" t="str">
        <f>VLOOKUP(Table3[[#This Row],[Census Tract]],'ES Energy Burden'!$B$2:$E$914,4,FALSE)</f>
        <v>No</v>
      </c>
    </row>
    <row r="131" spans="1:18" hidden="1" x14ac:dyDescent="0.25">
      <c r="A131" s="140">
        <v>9007570100</v>
      </c>
      <c r="B131" s="39" t="s">
        <v>2752</v>
      </c>
      <c r="C131" s="39" t="s">
        <v>944</v>
      </c>
      <c r="D131" s="41">
        <v>105823.17838656</v>
      </c>
      <c r="E131" s="37">
        <v>9.3882530924988146E-4</v>
      </c>
      <c r="F131" s="41">
        <v>12420.4566</v>
      </c>
      <c r="G131" s="37">
        <v>1.5195996522923932E-4</v>
      </c>
      <c r="H131" s="41">
        <v>105823.17838656</v>
      </c>
      <c r="I131" s="37">
        <v>9.3882530924988146E-4</v>
      </c>
      <c r="J131" s="42">
        <v>12420.4566</v>
      </c>
      <c r="K131" s="37">
        <v>1.5195996522923932E-4</v>
      </c>
      <c r="L131" s="38">
        <v>0</v>
      </c>
      <c r="M131" s="37">
        <v>0</v>
      </c>
      <c r="N131" s="42">
        <v>0</v>
      </c>
      <c r="O131" s="37">
        <v>0</v>
      </c>
      <c r="Q131">
        <f>VLOOKUP(Table3[[#This Row],[Census Tract]],'Population and Diversity Data'!$B$2:$K$823,10,FALSE)</f>
        <v>2</v>
      </c>
      <c r="R131" t="str">
        <f>VLOOKUP(Table3[[#This Row],[Census Tract]],'ES Energy Burden'!$B$2:$E$914,4,FALSE)</f>
        <v>No</v>
      </c>
    </row>
    <row r="132" spans="1:18" hidden="1" x14ac:dyDescent="0.25">
      <c r="A132" s="140">
        <v>9007570200</v>
      </c>
      <c r="B132" s="39" t="s">
        <v>2752</v>
      </c>
      <c r="C132" s="39" t="s">
        <v>944</v>
      </c>
      <c r="D132" s="41">
        <v>60556.671532799999</v>
      </c>
      <c r="E132" s="37">
        <v>5.3723708497253864E-4</v>
      </c>
      <c r="F132" s="41">
        <v>14839.490299999999</v>
      </c>
      <c r="G132" s="37">
        <v>1.8155600092895411E-4</v>
      </c>
      <c r="H132" s="41">
        <v>60556.671532799999</v>
      </c>
      <c r="I132" s="37">
        <v>5.3723708497253864E-4</v>
      </c>
      <c r="J132" s="42">
        <v>14839.490299999999</v>
      </c>
      <c r="K132" s="37">
        <v>1.8155600092895411E-4</v>
      </c>
      <c r="L132" s="38">
        <v>0</v>
      </c>
      <c r="M132" s="37">
        <v>0</v>
      </c>
      <c r="N132" s="42">
        <v>0</v>
      </c>
      <c r="O132" s="37">
        <v>0</v>
      </c>
      <c r="Q132">
        <f>VLOOKUP(Table3[[#This Row],[Census Tract]],'Population and Diversity Data'!$B$2:$K$823,10,FALSE)</f>
        <v>2</v>
      </c>
      <c r="R132" t="str">
        <f>VLOOKUP(Table3[[#This Row],[Census Tract]],'ES Energy Burden'!$B$2:$E$914,4,FALSE)</f>
        <v>No</v>
      </c>
    </row>
    <row r="133" spans="1:18" hidden="1" x14ac:dyDescent="0.25">
      <c r="A133" s="140">
        <v>9007570300</v>
      </c>
      <c r="B133" s="39" t="s">
        <v>2752</v>
      </c>
      <c r="C133" s="39" t="s">
        <v>944</v>
      </c>
      <c r="D133" s="41">
        <v>258744.63329279999</v>
      </c>
      <c r="E133" s="37">
        <v>2.2954896467059006E-3</v>
      </c>
      <c r="F133" s="41">
        <v>300876.64160000003</v>
      </c>
      <c r="G133" s="37">
        <v>3.6811210302708443E-3</v>
      </c>
      <c r="H133" s="41">
        <v>129484.10068992</v>
      </c>
      <c r="I133" s="37">
        <v>1.1487365313211566E-3</v>
      </c>
      <c r="J133" s="42">
        <v>197087.67060000001</v>
      </c>
      <c r="K133" s="37">
        <v>2.411299079897576E-3</v>
      </c>
      <c r="L133" s="38">
        <v>129260.53260288</v>
      </c>
      <c r="M133" s="37">
        <v>1.1467531153847442E-3</v>
      </c>
      <c r="N133" s="42">
        <v>103788.97100000001</v>
      </c>
      <c r="O133" s="37">
        <v>1.2698219503732681E-3</v>
      </c>
      <c r="Q133">
        <f>VLOOKUP(Table3[[#This Row],[Census Tract]],'Population and Diversity Data'!$B$2:$K$823,10,FALSE)</f>
        <v>2</v>
      </c>
      <c r="R133" t="str">
        <f>VLOOKUP(Table3[[#This Row],[Census Tract]],'ES Energy Burden'!$B$2:$E$914,4,FALSE)</f>
        <v>No</v>
      </c>
    </row>
    <row r="134" spans="1:18" hidden="1" x14ac:dyDescent="0.25">
      <c r="A134" s="140">
        <v>9001200100</v>
      </c>
      <c r="B134" s="39" t="s">
        <v>2753</v>
      </c>
      <c r="C134" s="39" t="s">
        <v>944</v>
      </c>
      <c r="D134" s="41">
        <v>3129.7147199999999</v>
      </c>
      <c r="E134" s="37">
        <v>2.776570723603476E-5</v>
      </c>
      <c r="F134" s="41">
        <v>0</v>
      </c>
      <c r="G134" s="37">
        <v>0</v>
      </c>
      <c r="H134" s="41">
        <v>3129.7147199999999</v>
      </c>
      <c r="I134" s="37">
        <v>2.776570723603476E-5</v>
      </c>
      <c r="J134" s="42">
        <v>0</v>
      </c>
      <c r="K134" s="37">
        <v>0</v>
      </c>
      <c r="L134" s="38">
        <v>0</v>
      </c>
      <c r="M134" s="37">
        <v>0</v>
      </c>
      <c r="N134" s="42">
        <v>0</v>
      </c>
      <c r="O134" s="37">
        <v>0</v>
      </c>
      <c r="Q134">
        <f>VLOOKUP(Table3[[#This Row],[Census Tract]],'Population and Diversity Data'!$B$2:$K$823,10,FALSE)</f>
        <v>4</v>
      </c>
      <c r="R134" t="str">
        <f>VLOOKUP(Table3[[#This Row],[Census Tract]],'ES Energy Burden'!$B$2:$E$914,4,FALSE)</f>
        <v>No</v>
      </c>
    </row>
    <row r="135" spans="1:18" hidden="1" x14ac:dyDescent="0.25">
      <c r="A135" s="140">
        <v>9001200301</v>
      </c>
      <c r="B135" s="39" t="s">
        <v>2753</v>
      </c>
      <c r="C135" s="39" t="s">
        <v>944</v>
      </c>
      <c r="D135" s="41">
        <v>1133.7191136000001</v>
      </c>
      <c r="E135" s="37">
        <v>1.005794962555387E-5</v>
      </c>
      <c r="F135" s="41">
        <v>0</v>
      </c>
      <c r="G135" s="37">
        <v>0</v>
      </c>
      <c r="H135" s="41">
        <v>1133.7191136000001</v>
      </c>
      <c r="I135" s="37">
        <v>1.005794962555387E-5</v>
      </c>
      <c r="J135" s="42">
        <v>0</v>
      </c>
      <c r="K135" s="37">
        <v>0</v>
      </c>
      <c r="L135" s="38">
        <v>0</v>
      </c>
      <c r="M135" s="37">
        <v>0</v>
      </c>
      <c r="N135" s="42">
        <v>0</v>
      </c>
      <c r="O135" s="37">
        <v>0</v>
      </c>
      <c r="Q135">
        <f>VLOOKUP(Table3[[#This Row],[Census Tract]],'Population and Diversity Data'!$B$2:$K$823,10,FALSE)</f>
        <v>4</v>
      </c>
      <c r="R135" t="str">
        <f>VLOOKUP(Table3[[#This Row],[Census Tract]],'ES Energy Burden'!$B$2:$E$914,4,FALSE)</f>
        <v>No</v>
      </c>
    </row>
    <row r="136" spans="1:18" hidden="1" x14ac:dyDescent="0.25">
      <c r="A136" s="140">
        <v>9001210100</v>
      </c>
      <c r="B136" s="39" t="s">
        <v>2753</v>
      </c>
      <c r="C136" s="39" t="s">
        <v>944</v>
      </c>
      <c r="D136" s="41">
        <v>80635.962551039993</v>
      </c>
      <c r="E136" s="37">
        <v>7.1537335801904621E-4</v>
      </c>
      <c r="F136" s="41">
        <v>11314.693300000001</v>
      </c>
      <c r="G136" s="37">
        <v>1.3843133596614372E-4</v>
      </c>
      <c r="H136" s="41">
        <v>80635.962551039993</v>
      </c>
      <c r="I136" s="37">
        <v>7.1537335801904621E-4</v>
      </c>
      <c r="J136" s="42">
        <v>11314.693300000001</v>
      </c>
      <c r="K136" s="37">
        <v>1.3843133596614372E-4</v>
      </c>
      <c r="L136" s="38">
        <v>0</v>
      </c>
      <c r="M136" s="37">
        <v>0</v>
      </c>
      <c r="N136" s="42">
        <v>0</v>
      </c>
      <c r="O136" s="37">
        <v>0</v>
      </c>
      <c r="Q136">
        <f>VLOOKUP(Table3[[#This Row],[Census Tract]],'Population and Diversity Data'!$B$2:$K$823,10,FALSE)</f>
        <v>5</v>
      </c>
      <c r="R136" t="str">
        <f>VLOOKUP(Table3[[#This Row],[Census Tract]],'ES Energy Burden'!$B$2:$E$914,4,FALSE)</f>
        <v>No</v>
      </c>
    </row>
    <row r="137" spans="1:18" hidden="1" x14ac:dyDescent="0.25">
      <c r="A137" s="140">
        <v>9001210200</v>
      </c>
      <c r="B137" s="39" t="s">
        <v>2753</v>
      </c>
      <c r="C137" s="39" t="s">
        <v>944</v>
      </c>
      <c r="D137" s="41">
        <v>66177.26174016</v>
      </c>
      <c r="E137" s="37">
        <v>5.871009467469056E-4</v>
      </c>
      <c r="F137" s="41">
        <v>3072.29</v>
      </c>
      <c r="G137" s="37">
        <v>3.7588399252096715E-5</v>
      </c>
      <c r="H137" s="41">
        <v>66177.26174016</v>
      </c>
      <c r="I137" s="37">
        <v>5.871009467469056E-4</v>
      </c>
      <c r="J137" s="42">
        <v>3072.29</v>
      </c>
      <c r="K137" s="37">
        <v>3.7588399252096715E-5</v>
      </c>
      <c r="L137" s="38">
        <v>0</v>
      </c>
      <c r="M137" s="37">
        <v>0</v>
      </c>
      <c r="N137" s="42">
        <v>0</v>
      </c>
      <c r="O137" s="37">
        <v>0</v>
      </c>
      <c r="Q137">
        <f>VLOOKUP(Table3[[#This Row],[Census Tract]],'Population and Diversity Data'!$B$2:$K$823,10,FALSE)</f>
        <v>5</v>
      </c>
      <c r="R137" t="str">
        <f>VLOOKUP(Table3[[#This Row],[Census Tract]],'ES Energy Burden'!$B$2:$E$914,4,FALSE)</f>
        <v>Yes</v>
      </c>
    </row>
    <row r="138" spans="1:18" hidden="1" x14ac:dyDescent="0.25">
      <c r="A138" s="140">
        <v>9001210300</v>
      </c>
      <c r="B138" s="39" t="s">
        <v>2753</v>
      </c>
      <c r="C138" s="39" t="s">
        <v>944</v>
      </c>
      <c r="D138" s="41">
        <v>72919.210815359998</v>
      </c>
      <c r="E138" s="37">
        <v>6.4691310247663248E-4</v>
      </c>
      <c r="F138" s="41">
        <v>9926.9599999999991</v>
      </c>
      <c r="G138" s="37">
        <v>1.2145290185483596E-4</v>
      </c>
      <c r="H138" s="41">
        <v>72913.375704959995</v>
      </c>
      <c r="I138" s="37">
        <v>6.4686133546859787E-4</v>
      </c>
      <c r="J138" s="42">
        <v>9926.9599999999991</v>
      </c>
      <c r="K138" s="37">
        <v>1.2145290185483596E-4</v>
      </c>
      <c r="L138" s="38">
        <v>5.8351103999999996</v>
      </c>
      <c r="M138" s="37">
        <v>5.1767008034630603E-8</v>
      </c>
      <c r="N138" s="42">
        <v>0</v>
      </c>
      <c r="O138" s="37">
        <v>0</v>
      </c>
      <c r="Q138">
        <f>VLOOKUP(Table3[[#This Row],[Census Tract]],'Population and Diversity Data'!$B$2:$K$823,10,FALSE)</f>
        <v>5</v>
      </c>
      <c r="R138" t="str">
        <f>VLOOKUP(Table3[[#This Row],[Census Tract]],'ES Energy Burden'!$B$2:$E$914,4,FALSE)</f>
        <v>No</v>
      </c>
    </row>
    <row r="139" spans="1:18" hidden="1" x14ac:dyDescent="0.25">
      <c r="A139" s="140">
        <v>9001210400</v>
      </c>
      <c r="B139" s="39" t="s">
        <v>2753</v>
      </c>
      <c r="C139" s="39" t="s">
        <v>944</v>
      </c>
      <c r="D139" s="41">
        <v>164937.70064736</v>
      </c>
      <c r="E139" s="37">
        <v>1.4632681627798135E-3</v>
      </c>
      <c r="F139" s="41">
        <v>14744.53</v>
      </c>
      <c r="G139" s="37">
        <v>1.8039419469663266E-4</v>
      </c>
      <c r="H139" s="41">
        <v>164937.70064736</v>
      </c>
      <c r="I139" s="37">
        <v>1.4632681627798135E-3</v>
      </c>
      <c r="J139" s="42">
        <v>14744.53</v>
      </c>
      <c r="K139" s="37">
        <v>1.8039419469663266E-4</v>
      </c>
      <c r="L139" s="38">
        <v>0</v>
      </c>
      <c r="M139" s="37">
        <v>0</v>
      </c>
      <c r="N139" s="42">
        <v>0</v>
      </c>
      <c r="O139" s="37">
        <v>0</v>
      </c>
      <c r="Q139">
        <f>VLOOKUP(Table3[[#This Row],[Census Tract]],'Population and Diversity Data'!$B$2:$K$823,10,FALSE)</f>
        <v>5</v>
      </c>
      <c r="R139" t="str">
        <f>VLOOKUP(Table3[[#This Row],[Census Tract]],'ES Energy Burden'!$B$2:$E$914,4,FALSE)</f>
        <v>No</v>
      </c>
    </row>
    <row r="140" spans="1:18" hidden="1" x14ac:dyDescent="0.25">
      <c r="A140" s="140">
        <v>9001210500</v>
      </c>
      <c r="B140" s="39" t="s">
        <v>2753</v>
      </c>
      <c r="C140" s="39" t="s">
        <v>944</v>
      </c>
      <c r="D140" s="41">
        <v>876122.01728640008</v>
      </c>
      <c r="E140" s="37">
        <v>7.7726405156244944E-3</v>
      </c>
      <c r="F140" s="41">
        <v>897178.81859999895</v>
      </c>
      <c r="G140" s="37">
        <v>1.0976670702980907E-2</v>
      </c>
      <c r="H140" s="41">
        <v>237105.11016576004</v>
      </c>
      <c r="I140" s="37">
        <v>2.1035115536122292E-3</v>
      </c>
      <c r="J140" s="42">
        <v>664344.47099999897</v>
      </c>
      <c r="K140" s="37">
        <v>8.1280234668182193E-3</v>
      </c>
      <c r="L140" s="38">
        <v>639016.90712064004</v>
      </c>
      <c r="M140" s="37">
        <v>5.6691289620122648E-3</v>
      </c>
      <c r="N140" s="42">
        <v>232834.34760000001</v>
      </c>
      <c r="O140" s="37">
        <v>2.8486472361626885E-3</v>
      </c>
      <c r="Q140">
        <f>VLOOKUP(Table3[[#This Row],[Census Tract]],'Population and Diversity Data'!$B$2:$K$823,10,FALSE)</f>
        <v>4</v>
      </c>
      <c r="R140" t="str">
        <f>VLOOKUP(Table3[[#This Row],[Census Tract]],'ES Energy Burden'!$B$2:$E$914,4,FALSE)</f>
        <v>No</v>
      </c>
    </row>
    <row r="141" spans="1:18" hidden="1" x14ac:dyDescent="0.25">
      <c r="A141" s="140">
        <v>9001210600</v>
      </c>
      <c r="B141" s="39" t="s">
        <v>2753</v>
      </c>
      <c r="C141" s="39" t="s">
        <v>944</v>
      </c>
      <c r="D141" s="41">
        <v>79251.416470080003</v>
      </c>
      <c r="E141" s="37">
        <v>7.0309016144107369E-4</v>
      </c>
      <c r="F141" s="41">
        <v>3809.8373999999999</v>
      </c>
      <c r="G141" s="37">
        <v>4.6612035086782201E-5</v>
      </c>
      <c r="H141" s="41">
        <v>79251.416470080003</v>
      </c>
      <c r="I141" s="37">
        <v>7.0309016144107369E-4</v>
      </c>
      <c r="J141" s="42">
        <v>3809.8373999999999</v>
      </c>
      <c r="K141" s="37">
        <v>4.6612035086782201E-5</v>
      </c>
      <c r="L141" s="38">
        <v>0</v>
      </c>
      <c r="M141" s="37">
        <v>0</v>
      </c>
      <c r="N141" s="42">
        <v>0</v>
      </c>
      <c r="O141" s="37">
        <v>0</v>
      </c>
      <c r="Q141">
        <f>VLOOKUP(Table3[[#This Row],[Census Tract]],'Population and Diversity Data'!$B$2:$K$823,10,FALSE)</f>
        <v>5</v>
      </c>
      <c r="R141" t="str">
        <f>VLOOKUP(Table3[[#This Row],[Census Tract]],'ES Energy Burden'!$B$2:$E$914,4,FALSE)</f>
        <v>No</v>
      </c>
    </row>
    <row r="142" spans="1:18" hidden="1" x14ac:dyDescent="0.25">
      <c r="A142" s="140">
        <v>9001210701</v>
      </c>
      <c r="B142" s="39" t="s">
        <v>2753</v>
      </c>
      <c r="C142" s="39" t="s">
        <v>944</v>
      </c>
      <c r="D142" s="41">
        <v>103630.93667135999</v>
      </c>
      <c r="E142" s="37">
        <v>9.1937652650112467E-4</v>
      </c>
      <c r="F142" s="41">
        <v>7306.01</v>
      </c>
      <c r="G142" s="37">
        <v>8.9386490474470542E-5</v>
      </c>
      <c r="H142" s="41">
        <v>103630.93667135999</v>
      </c>
      <c r="I142" s="37">
        <v>9.1937652650112467E-4</v>
      </c>
      <c r="J142" s="42">
        <v>7306.01</v>
      </c>
      <c r="K142" s="37">
        <v>8.9386490474470542E-5</v>
      </c>
      <c r="L142" s="38">
        <v>0</v>
      </c>
      <c r="M142" s="37">
        <v>0</v>
      </c>
      <c r="N142" s="42">
        <v>0</v>
      </c>
      <c r="O142" s="37">
        <v>0</v>
      </c>
      <c r="Q142">
        <f>VLOOKUP(Table3[[#This Row],[Census Tract]],'Population and Diversity Data'!$B$2:$K$823,10,FALSE)</f>
        <v>5</v>
      </c>
      <c r="R142" t="str">
        <f>VLOOKUP(Table3[[#This Row],[Census Tract]],'ES Energy Burden'!$B$2:$E$914,4,FALSE)</f>
        <v>No</v>
      </c>
    </row>
    <row r="143" spans="1:18" hidden="1" x14ac:dyDescent="0.25">
      <c r="A143" s="140">
        <v>9001210702</v>
      </c>
      <c r="B143" s="39" t="s">
        <v>2753</v>
      </c>
      <c r="C143" s="39" t="s">
        <v>944</v>
      </c>
      <c r="D143" s="41">
        <v>69888.772857600008</v>
      </c>
      <c r="E143" s="37">
        <v>6.2002814309217755E-4</v>
      </c>
      <c r="F143" s="41">
        <v>4260.4978000000001</v>
      </c>
      <c r="G143" s="37">
        <v>5.2125708288956999E-5</v>
      </c>
      <c r="H143" s="41">
        <v>69888.772857600008</v>
      </c>
      <c r="I143" s="37">
        <v>6.2002814309217755E-4</v>
      </c>
      <c r="J143" s="42">
        <v>4260.4978000000001</v>
      </c>
      <c r="K143" s="37">
        <v>5.2125708288956999E-5</v>
      </c>
      <c r="L143" s="38">
        <v>0</v>
      </c>
      <c r="M143" s="37">
        <v>0</v>
      </c>
      <c r="N143" s="42">
        <v>0</v>
      </c>
      <c r="O143" s="37">
        <v>0</v>
      </c>
      <c r="Q143">
        <f>VLOOKUP(Table3[[#This Row],[Census Tract]],'Population and Diversity Data'!$B$2:$K$823,10,FALSE)</f>
        <v>5</v>
      </c>
      <c r="R143" t="str">
        <f>VLOOKUP(Table3[[#This Row],[Census Tract]],'ES Energy Burden'!$B$2:$E$914,4,FALSE)</f>
        <v>No</v>
      </c>
    </row>
    <row r="144" spans="1:18" hidden="1" x14ac:dyDescent="0.25">
      <c r="A144" s="140">
        <v>9001210800</v>
      </c>
      <c r="B144" s="39" t="s">
        <v>2753</v>
      </c>
      <c r="C144" s="39" t="s">
        <v>944</v>
      </c>
      <c r="D144" s="41">
        <v>112936.28332031998</v>
      </c>
      <c r="E144" s="37">
        <v>1.0019302267261856E-3</v>
      </c>
      <c r="F144" s="41">
        <v>15526.7817</v>
      </c>
      <c r="G144" s="37">
        <v>1.8996477208849065E-4</v>
      </c>
      <c r="H144" s="41">
        <v>112885.17400511999</v>
      </c>
      <c r="I144" s="37">
        <v>1.0014768032004537E-3</v>
      </c>
      <c r="J144" s="42">
        <v>15526.7817</v>
      </c>
      <c r="K144" s="37">
        <v>1.8996477208849065E-4</v>
      </c>
      <c r="L144" s="38">
        <v>51.109315200000005</v>
      </c>
      <c r="M144" s="37">
        <v>4.5342352573189848E-7</v>
      </c>
      <c r="N144" s="42">
        <v>0</v>
      </c>
      <c r="O144" s="37">
        <v>0</v>
      </c>
      <c r="Q144">
        <f>VLOOKUP(Table3[[#This Row],[Census Tract]],'Population and Diversity Data'!$B$2:$K$823,10,FALSE)</f>
        <v>4</v>
      </c>
      <c r="R144" t="str">
        <f>VLOOKUP(Table3[[#This Row],[Census Tract]],'ES Energy Burden'!$B$2:$E$914,4,FALSE)</f>
        <v>No</v>
      </c>
    </row>
    <row r="145" spans="1:18" hidden="1" x14ac:dyDescent="0.25">
      <c r="A145" s="140">
        <v>9001210900</v>
      </c>
      <c r="B145" s="39" t="s">
        <v>2753</v>
      </c>
      <c r="C145" s="39" t="s">
        <v>944</v>
      </c>
      <c r="D145" s="41">
        <v>129253.82222592001</v>
      </c>
      <c r="E145" s="37">
        <v>1.1466935833255045E-3</v>
      </c>
      <c r="F145" s="41">
        <v>22839.652999999998</v>
      </c>
      <c r="G145" s="37">
        <v>2.7943520818130723E-4</v>
      </c>
      <c r="H145" s="41">
        <v>129253.82222592001</v>
      </c>
      <c r="I145" s="37">
        <v>1.1466935833255045E-3</v>
      </c>
      <c r="J145" s="42">
        <v>22839.652999999998</v>
      </c>
      <c r="K145" s="37">
        <v>2.7943520818130723E-4</v>
      </c>
      <c r="L145" s="38">
        <v>0</v>
      </c>
      <c r="M145" s="37">
        <v>0</v>
      </c>
      <c r="N145" s="42">
        <v>0</v>
      </c>
      <c r="O145" s="37">
        <v>0</v>
      </c>
      <c r="Q145">
        <f>VLOOKUP(Table3[[#This Row],[Census Tract]],'Population and Diversity Data'!$B$2:$K$823,10,FALSE)</f>
        <v>4</v>
      </c>
      <c r="R145" t="str">
        <f>VLOOKUP(Table3[[#This Row],[Census Tract]],'ES Energy Burden'!$B$2:$E$914,4,FALSE)</f>
        <v>No</v>
      </c>
    </row>
    <row r="146" spans="1:18" hidden="1" x14ac:dyDescent="0.25">
      <c r="A146" s="140">
        <v>9001211000</v>
      </c>
      <c r="B146" s="39" t="s">
        <v>2753</v>
      </c>
      <c r="C146" s="39" t="s">
        <v>944</v>
      </c>
      <c r="D146" s="41">
        <v>90044.851150080009</v>
      </c>
      <c r="E146" s="37">
        <v>7.9884564531346462E-4</v>
      </c>
      <c r="F146" s="41">
        <v>25082.14</v>
      </c>
      <c r="G146" s="37">
        <v>3.0687125642988943E-4</v>
      </c>
      <c r="H146" s="41">
        <v>90044.851150080009</v>
      </c>
      <c r="I146" s="37">
        <v>7.9884564531346462E-4</v>
      </c>
      <c r="J146" s="42">
        <v>25082.14</v>
      </c>
      <c r="K146" s="37">
        <v>3.0687125642988943E-4</v>
      </c>
      <c r="L146" s="38">
        <v>0</v>
      </c>
      <c r="M146" s="37">
        <v>0</v>
      </c>
      <c r="N146" s="42">
        <v>0</v>
      </c>
      <c r="O146" s="37">
        <v>0</v>
      </c>
      <c r="Q146">
        <f>VLOOKUP(Table3[[#This Row],[Census Tract]],'Population and Diversity Data'!$B$2:$K$823,10,FALSE)</f>
        <v>5</v>
      </c>
      <c r="R146" t="str">
        <f>VLOOKUP(Table3[[#This Row],[Census Tract]],'ES Energy Burden'!$B$2:$E$914,4,FALSE)</f>
        <v>No</v>
      </c>
    </row>
    <row r="147" spans="1:18" hidden="1" x14ac:dyDescent="0.25">
      <c r="A147" s="140">
        <v>9001211100</v>
      </c>
      <c r="B147" s="39" t="s">
        <v>2753</v>
      </c>
      <c r="C147" s="39" t="s">
        <v>944</v>
      </c>
      <c r="D147" s="41">
        <v>854.27637120000009</v>
      </c>
      <c r="E147" s="37">
        <v>7.5788337735144622E-6</v>
      </c>
      <c r="F147" s="41">
        <v>0</v>
      </c>
      <c r="G147" s="37">
        <v>0</v>
      </c>
      <c r="H147" s="41">
        <v>854.27637120000009</v>
      </c>
      <c r="I147" s="37">
        <v>7.5788337735144622E-6</v>
      </c>
      <c r="J147" s="42">
        <v>0</v>
      </c>
      <c r="K147" s="37">
        <v>0</v>
      </c>
      <c r="L147" s="38">
        <v>0</v>
      </c>
      <c r="M147" s="37">
        <v>0</v>
      </c>
      <c r="N147" s="42">
        <v>0</v>
      </c>
      <c r="O147" s="37">
        <v>0</v>
      </c>
      <c r="Q147" t="e">
        <f>VLOOKUP(Table3[[#This Row],[Census Tract]],'Population and Diversity Data'!$B$2:$K$823,10,FALSE)</f>
        <v>#N/A</v>
      </c>
      <c r="R147" t="e">
        <f>VLOOKUP(Table3[[#This Row],[Census Tract]],'ES Energy Burden'!$B$2:$E$914,4,FALSE)</f>
        <v>#N/A</v>
      </c>
    </row>
    <row r="148" spans="1:18" hidden="1" x14ac:dyDescent="0.25">
      <c r="A148" s="140">
        <v>9001211200</v>
      </c>
      <c r="B148" s="39" t="s">
        <v>2753</v>
      </c>
      <c r="C148" s="39" t="s">
        <v>944</v>
      </c>
      <c r="D148" s="41">
        <v>126281.56981248001</v>
      </c>
      <c r="E148" s="37">
        <v>1.1203248252352549E-3</v>
      </c>
      <c r="F148" s="41">
        <v>9848.92</v>
      </c>
      <c r="G148" s="37">
        <v>1.2049810960617662E-4</v>
      </c>
      <c r="H148" s="41">
        <v>126281.56981248001</v>
      </c>
      <c r="I148" s="37">
        <v>1.1203248252352549E-3</v>
      </c>
      <c r="J148" s="42">
        <v>9848.92</v>
      </c>
      <c r="K148" s="37">
        <v>1.2049810960617662E-4</v>
      </c>
      <c r="L148" s="38">
        <v>0</v>
      </c>
      <c r="M148" s="37">
        <v>0</v>
      </c>
      <c r="N148" s="42">
        <v>0</v>
      </c>
      <c r="O148" s="37">
        <v>0</v>
      </c>
      <c r="Q148">
        <f>VLOOKUP(Table3[[#This Row],[Census Tract]],'Population and Diversity Data'!$B$2:$K$823,10,FALSE)</f>
        <v>5</v>
      </c>
      <c r="R148" t="str">
        <f>VLOOKUP(Table3[[#This Row],[Census Tract]],'ES Energy Burden'!$B$2:$E$914,4,FALSE)</f>
        <v>No</v>
      </c>
    </row>
    <row r="149" spans="1:18" hidden="1" x14ac:dyDescent="0.25">
      <c r="A149" s="140">
        <v>9001211300</v>
      </c>
      <c r="B149" s="39" t="s">
        <v>2753</v>
      </c>
      <c r="C149" s="39" t="s">
        <v>944</v>
      </c>
      <c r="D149" s="41">
        <v>81086.724829440005</v>
      </c>
      <c r="E149" s="37">
        <v>7.1937235938972157E-4</v>
      </c>
      <c r="F149" s="41">
        <v>21246.9</v>
      </c>
      <c r="G149" s="37">
        <v>2.5994842937007045E-4</v>
      </c>
      <c r="H149" s="41">
        <v>81086.724829440005</v>
      </c>
      <c r="I149" s="37">
        <v>7.1937235938972157E-4</v>
      </c>
      <c r="J149" s="42">
        <v>21246.9</v>
      </c>
      <c r="K149" s="37">
        <v>2.5994842937007045E-4</v>
      </c>
      <c r="L149" s="38">
        <v>0</v>
      </c>
      <c r="M149" s="37">
        <v>0</v>
      </c>
      <c r="N149" s="42">
        <v>0</v>
      </c>
      <c r="O149" s="37">
        <v>0</v>
      </c>
      <c r="Q149">
        <f>VLOOKUP(Table3[[#This Row],[Census Tract]],'Population and Diversity Data'!$B$2:$K$823,10,FALSE)</f>
        <v>3</v>
      </c>
      <c r="R149" t="str">
        <f>VLOOKUP(Table3[[#This Row],[Census Tract]],'ES Energy Burden'!$B$2:$E$914,4,FALSE)</f>
        <v>No</v>
      </c>
    </row>
    <row r="150" spans="1:18" hidden="1" x14ac:dyDescent="0.25">
      <c r="A150" s="140">
        <v>9001211400</v>
      </c>
      <c r="B150" s="39" t="s">
        <v>2753</v>
      </c>
      <c r="C150" s="39" t="s">
        <v>944</v>
      </c>
      <c r="D150" s="41">
        <v>96778.791999359993</v>
      </c>
      <c r="E150" s="37">
        <v>8.5858675493315651E-4</v>
      </c>
      <c r="F150" s="41">
        <v>19683.9421</v>
      </c>
      <c r="G150" s="37">
        <v>2.4082618324115074E-4</v>
      </c>
      <c r="H150" s="41">
        <v>96778.791999359993</v>
      </c>
      <c r="I150" s="37">
        <v>8.5858675493315651E-4</v>
      </c>
      <c r="J150" s="42">
        <v>19683.9421</v>
      </c>
      <c r="K150" s="37">
        <v>2.4082618324115074E-4</v>
      </c>
      <c r="L150" s="38">
        <v>0</v>
      </c>
      <c r="M150" s="37">
        <v>0</v>
      </c>
      <c r="N150" s="42">
        <v>0</v>
      </c>
      <c r="O150" s="37">
        <v>0</v>
      </c>
      <c r="Q150">
        <f>VLOOKUP(Table3[[#This Row],[Census Tract]],'Population and Diversity Data'!$B$2:$K$823,10,FALSE)</f>
        <v>4</v>
      </c>
      <c r="R150" t="str">
        <f>VLOOKUP(Table3[[#This Row],[Census Tract]],'ES Energy Burden'!$B$2:$E$914,4,FALSE)</f>
        <v>No</v>
      </c>
    </row>
    <row r="151" spans="1:18" hidden="1" x14ac:dyDescent="0.25">
      <c r="A151" s="140">
        <v>9001220200</v>
      </c>
      <c r="B151" s="39" t="s">
        <v>2753</v>
      </c>
      <c r="C151" s="39" t="s">
        <v>944</v>
      </c>
      <c r="D151" s="41">
        <v>607.07724480000002</v>
      </c>
      <c r="E151" s="37">
        <v>5.3857717257933997E-6</v>
      </c>
      <c r="F151" s="41">
        <v>1235.32</v>
      </c>
      <c r="G151" s="37">
        <v>1.5113710412786589E-5</v>
      </c>
      <c r="H151" s="41">
        <v>607.07724480000002</v>
      </c>
      <c r="I151" s="37">
        <v>5.3857717257933997E-6</v>
      </c>
      <c r="J151" s="42">
        <v>1235.32</v>
      </c>
      <c r="K151" s="37">
        <v>1.5113710412786589E-5</v>
      </c>
      <c r="L151" s="38">
        <v>0</v>
      </c>
      <c r="M151" s="37">
        <v>0</v>
      </c>
      <c r="N151" s="42">
        <v>0</v>
      </c>
      <c r="O151" s="37">
        <v>0</v>
      </c>
      <c r="Q151">
        <f>VLOOKUP(Table3[[#This Row],[Census Tract]],'Population and Diversity Data'!$B$2:$K$823,10,FALSE)</f>
        <v>3</v>
      </c>
      <c r="R151" t="str">
        <f>VLOOKUP(Table3[[#This Row],[Census Tract]],'ES Energy Burden'!$B$2:$E$914,4,FALSE)</f>
        <v>No</v>
      </c>
    </row>
    <row r="152" spans="1:18" hidden="1" x14ac:dyDescent="0.25">
      <c r="A152" s="140">
        <v>9001220300</v>
      </c>
      <c r="B152" s="39" t="s">
        <v>2753</v>
      </c>
      <c r="C152" s="39" t="s">
        <v>944</v>
      </c>
      <c r="D152" s="41">
        <v>570.49781759999996</v>
      </c>
      <c r="E152" s="37">
        <v>5.0612521585604313E-6</v>
      </c>
      <c r="F152" s="41">
        <v>0</v>
      </c>
      <c r="G152" s="37">
        <v>0</v>
      </c>
      <c r="H152" s="41">
        <v>570.49781759999996</v>
      </c>
      <c r="I152" s="37">
        <v>5.0612521585604313E-6</v>
      </c>
      <c r="J152" s="42">
        <v>0</v>
      </c>
      <c r="K152" s="37">
        <v>0</v>
      </c>
      <c r="L152" s="38">
        <v>0</v>
      </c>
      <c r="M152" s="37">
        <v>0</v>
      </c>
      <c r="N152" s="42">
        <v>0</v>
      </c>
      <c r="O152" s="37">
        <v>0</v>
      </c>
      <c r="Q152">
        <f>VLOOKUP(Table3[[#This Row],[Census Tract]],'Population and Diversity Data'!$B$2:$K$823,10,FALSE)</f>
        <v>2</v>
      </c>
      <c r="R152" t="str">
        <f>VLOOKUP(Table3[[#This Row],[Census Tract]],'ES Energy Burden'!$B$2:$E$914,4,FALSE)</f>
        <v>No</v>
      </c>
    </row>
    <row r="153" spans="1:18" hidden="1" x14ac:dyDescent="0.25">
      <c r="A153" s="140">
        <v>9001240100</v>
      </c>
      <c r="B153" s="39" t="s">
        <v>2753</v>
      </c>
      <c r="C153" s="39" t="s">
        <v>944</v>
      </c>
      <c r="D153" s="41">
        <v>66.391747200000012</v>
      </c>
      <c r="E153" s="37">
        <v>5.8900378487021683E-7</v>
      </c>
      <c r="F153" s="41">
        <v>0</v>
      </c>
      <c r="G153" s="37">
        <v>0</v>
      </c>
      <c r="H153" s="41">
        <v>66.391747200000012</v>
      </c>
      <c r="I153" s="37">
        <v>5.8900378487021683E-7</v>
      </c>
      <c r="J153" s="42">
        <v>0</v>
      </c>
      <c r="K153" s="37">
        <v>0</v>
      </c>
      <c r="L153" s="38">
        <v>0</v>
      </c>
      <c r="M153" s="37">
        <v>0</v>
      </c>
      <c r="N153" s="42">
        <v>0</v>
      </c>
      <c r="O153" s="37">
        <v>0</v>
      </c>
      <c r="Q153">
        <f>VLOOKUP(Table3[[#This Row],[Census Tract]],'Population and Diversity Data'!$B$2:$K$823,10,FALSE)</f>
        <v>1</v>
      </c>
      <c r="R153" t="str">
        <f>VLOOKUP(Table3[[#This Row],[Census Tract]],'ES Energy Burden'!$B$2:$E$914,4,FALSE)</f>
        <v>No</v>
      </c>
    </row>
    <row r="154" spans="1:18" hidden="1" x14ac:dyDescent="0.25">
      <c r="A154" s="140">
        <v>9001245200</v>
      </c>
      <c r="B154" s="39" t="s">
        <v>2753</v>
      </c>
      <c r="C154" s="39" t="s">
        <v>944</v>
      </c>
      <c r="D154" s="41">
        <v>295.62822719999997</v>
      </c>
      <c r="E154" s="37">
        <v>2.6227076719449901E-6</v>
      </c>
      <c r="F154" s="41">
        <v>0</v>
      </c>
      <c r="G154" s="37">
        <v>0</v>
      </c>
      <c r="H154" s="41">
        <v>295.62822719999997</v>
      </c>
      <c r="I154" s="37">
        <v>2.6227076719449901E-6</v>
      </c>
      <c r="J154" s="42">
        <v>0</v>
      </c>
      <c r="K154" s="37">
        <v>0</v>
      </c>
      <c r="L154" s="38">
        <v>0</v>
      </c>
      <c r="M154" s="37">
        <v>0</v>
      </c>
      <c r="N154" s="42">
        <v>0</v>
      </c>
      <c r="O154" s="37">
        <v>0</v>
      </c>
      <c r="Q154">
        <f>VLOOKUP(Table3[[#This Row],[Census Tract]],'Population and Diversity Data'!$B$2:$K$823,10,FALSE)</f>
        <v>3</v>
      </c>
      <c r="R154" t="str">
        <f>VLOOKUP(Table3[[#This Row],[Census Tract]],'ES Energy Burden'!$B$2:$E$914,4,FALSE)</f>
        <v>No</v>
      </c>
    </row>
    <row r="155" spans="1:18" hidden="1" x14ac:dyDescent="0.25">
      <c r="A155" s="140">
        <v>9001245600</v>
      </c>
      <c r="B155" s="39" t="s">
        <v>2753</v>
      </c>
      <c r="C155" s="39" t="s">
        <v>944</v>
      </c>
      <c r="D155" s="41">
        <v>3350.3837759999997</v>
      </c>
      <c r="E155" s="37">
        <v>2.972340400813805E-5</v>
      </c>
      <c r="F155" s="41">
        <v>0</v>
      </c>
      <c r="G155" s="37">
        <v>0</v>
      </c>
      <c r="H155" s="41">
        <v>3350.3837759999997</v>
      </c>
      <c r="I155" s="37">
        <v>2.972340400813805E-5</v>
      </c>
      <c r="J155" s="42">
        <v>0</v>
      </c>
      <c r="K155" s="37">
        <v>0</v>
      </c>
      <c r="L155" s="38">
        <v>0</v>
      </c>
      <c r="M155" s="37">
        <v>0</v>
      </c>
      <c r="N155" s="42">
        <v>0</v>
      </c>
      <c r="O155" s="37">
        <v>0</v>
      </c>
      <c r="Q155">
        <f>VLOOKUP(Table3[[#This Row],[Census Tract]],'Population and Diversity Data'!$B$2:$K$823,10,FALSE)</f>
        <v>3</v>
      </c>
      <c r="R155" t="str">
        <f>VLOOKUP(Table3[[#This Row],[Census Tract]],'ES Energy Burden'!$B$2:$E$914,4,FALSE)</f>
        <v>No</v>
      </c>
    </row>
    <row r="156" spans="1:18" hidden="1" x14ac:dyDescent="0.25">
      <c r="A156" s="140">
        <v>9001030100</v>
      </c>
      <c r="B156" s="39" t="s">
        <v>2754</v>
      </c>
      <c r="C156" s="39" t="s">
        <v>944</v>
      </c>
      <c r="D156" s="41">
        <v>144986.32474272</v>
      </c>
      <c r="E156" s="37">
        <v>1.2862667067735254E-3</v>
      </c>
      <c r="F156" s="41">
        <v>21254.052</v>
      </c>
      <c r="G156" s="37">
        <v>2.6003593160177737E-4</v>
      </c>
      <c r="H156" s="41">
        <v>144509.90071392001</v>
      </c>
      <c r="I156" s="37">
        <v>1.2820400435510472E-3</v>
      </c>
      <c r="J156" s="42">
        <v>21254.052</v>
      </c>
      <c r="K156" s="37">
        <v>2.6003593160177737E-4</v>
      </c>
      <c r="L156" s="38">
        <v>476.42402879999997</v>
      </c>
      <c r="M156" s="37">
        <v>4.2266632224783071E-6</v>
      </c>
      <c r="N156" s="42">
        <v>0</v>
      </c>
      <c r="O156" s="37">
        <v>0</v>
      </c>
      <c r="Q156">
        <f>VLOOKUP(Table3[[#This Row],[Census Tract]],'Population and Diversity Data'!$B$2:$K$823,10,FALSE)</f>
        <v>1</v>
      </c>
      <c r="R156" t="str">
        <f>VLOOKUP(Table3[[#This Row],[Census Tract]],'ES Energy Burden'!$B$2:$E$914,4,FALSE)</f>
        <v>No</v>
      </c>
    </row>
    <row r="157" spans="1:18" hidden="1" x14ac:dyDescent="0.25">
      <c r="A157" s="140">
        <v>9001030200</v>
      </c>
      <c r="B157" s="39" t="s">
        <v>2754</v>
      </c>
      <c r="C157" s="39" t="s">
        <v>944</v>
      </c>
      <c r="D157" s="41">
        <v>90975.895113599996</v>
      </c>
      <c r="E157" s="37">
        <v>8.0710553365081876E-4</v>
      </c>
      <c r="F157" s="41">
        <v>24472.4656</v>
      </c>
      <c r="G157" s="37">
        <v>2.9941210226118057E-4</v>
      </c>
      <c r="H157" s="41">
        <v>90975.895113599996</v>
      </c>
      <c r="I157" s="37">
        <v>8.0710553365081876E-4</v>
      </c>
      <c r="J157" s="42">
        <v>24472.4656</v>
      </c>
      <c r="K157" s="37">
        <v>2.9941210226118057E-4</v>
      </c>
      <c r="L157" s="38">
        <v>0</v>
      </c>
      <c r="M157" s="37">
        <v>0</v>
      </c>
      <c r="N157" s="42">
        <v>0</v>
      </c>
      <c r="O157" s="37">
        <v>0</v>
      </c>
      <c r="Q157">
        <f>VLOOKUP(Table3[[#This Row],[Census Tract]],'Population and Diversity Data'!$B$2:$K$823,10,FALSE)</f>
        <v>3</v>
      </c>
      <c r="R157" t="str">
        <f>VLOOKUP(Table3[[#This Row],[Census Tract]],'ES Energy Burden'!$B$2:$E$914,4,FALSE)</f>
        <v>No</v>
      </c>
    </row>
    <row r="158" spans="1:18" hidden="1" x14ac:dyDescent="0.25">
      <c r="A158" s="140">
        <v>9001030300</v>
      </c>
      <c r="B158" s="39" t="s">
        <v>2754</v>
      </c>
      <c r="C158" s="39" t="s">
        <v>944</v>
      </c>
      <c r="D158" s="41">
        <v>329747.23436832003</v>
      </c>
      <c r="E158" s="37">
        <v>2.9253992745265018E-3</v>
      </c>
      <c r="F158" s="41">
        <v>224847.87</v>
      </c>
      <c r="G158" s="37">
        <v>2.7509354613475742E-3</v>
      </c>
      <c r="H158" s="41">
        <v>178578.25472448004</v>
      </c>
      <c r="I158" s="37">
        <v>1.5842822694721371E-3</v>
      </c>
      <c r="J158" s="42">
        <v>84416.53</v>
      </c>
      <c r="K158" s="37">
        <v>1.0328068747144962E-3</v>
      </c>
      <c r="L158" s="38">
        <v>151168.97964383999</v>
      </c>
      <c r="M158" s="37">
        <v>1.3411170050543647E-3</v>
      </c>
      <c r="N158" s="42">
        <v>140431.34</v>
      </c>
      <c r="O158" s="37">
        <v>1.718128586633078E-3</v>
      </c>
      <c r="Q158">
        <f>VLOOKUP(Table3[[#This Row],[Census Tract]],'Population and Diversity Data'!$B$2:$K$823,10,FALSE)</f>
        <v>1</v>
      </c>
      <c r="R158" t="str">
        <f>VLOOKUP(Table3[[#This Row],[Census Tract]],'ES Energy Burden'!$B$2:$E$914,4,FALSE)</f>
        <v>No</v>
      </c>
    </row>
    <row r="159" spans="1:18" hidden="1" x14ac:dyDescent="0.25">
      <c r="A159" s="140">
        <v>9001030400</v>
      </c>
      <c r="B159" s="39" t="s">
        <v>2754</v>
      </c>
      <c r="C159" s="39" t="s">
        <v>944</v>
      </c>
      <c r="D159" s="41">
        <v>83365.854695999995</v>
      </c>
      <c r="E159" s="37">
        <v>7.3959198267468593E-4</v>
      </c>
      <c r="F159" s="41">
        <v>14030.75</v>
      </c>
      <c r="G159" s="37">
        <v>1.7166134473189573E-4</v>
      </c>
      <c r="H159" s="41">
        <v>83365.854695999995</v>
      </c>
      <c r="I159" s="37">
        <v>7.3959198267468593E-4</v>
      </c>
      <c r="J159" s="42">
        <v>14030.75</v>
      </c>
      <c r="K159" s="37">
        <v>1.7166134473189573E-4</v>
      </c>
      <c r="L159" s="38">
        <v>0</v>
      </c>
      <c r="M159" s="37">
        <v>0</v>
      </c>
      <c r="N159" s="42">
        <v>0</v>
      </c>
      <c r="O159" s="37">
        <v>0</v>
      </c>
      <c r="Q159">
        <f>VLOOKUP(Table3[[#This Row],[Census Tract]],'Population and Diversity Data'!$B$2:$K$823,10,FALSE)</f>
        <v>3</v>
      </c>
      <c r="R159" t="str">
        <f>VLOOKUP(Table3[[#This Row],[Census Tract]],'ES Energy Burden'!$B$2:$E$914,4,FALSE)</f>
        <v>No</v>
      </c>
    </row>
    <row r="160" spans="1:18" hidden="1" x14ac:dyDescent="0.25">
      <c r="A160" s="140">
        <v>9001030500</v>
      </c>
      <c r="B160" s="39" t="s">
        <v>2754</v>
      </c>
      <c r="C160" s="39" t="s">
        <v>944</v>
      </c>
      <c r="D160" s="41">
        <v>137375.18561088003</v>
      </c>
      <c r="E160" s="37">
        <v>1.2187434083984594E-3</v>
      </c>
      <c r="F160" s="41">
        <v>32728.266500000002</v>
      </c>
      <c r="G160" s="37">
        <v>4.0041895394999234E-4</v>
      </c>
      <c r="H160" s="41">
        <v>137375.18561088003</v>
      </c>
      <c r="I160" s="37">
        <v>1.2187434083984594E-3</v>
      </c>
      <c r="J160" s="42">
        <v>32728.266500000002</v>
      </c>
      <c r="K160" s="37">
        <v>4.0041895394999234E-4</v>
      </c>
      <c r="L160" s="38">
        <v>0</v>
      </c>
      <c r="M160" s="37">
        <v>0</v>
      </c>
      <c r="N160" s="42">
        <v>0</v>
      </c>
      <c r="O160" s="37">
        <v>0</v>
      </c>
      <c r="Q160">
        <f>VLOOKUP(Table3[[#This Row],[Census Tract]],'Population and Diversity Data'!$B$2:$K$823,10,FALSE)</f>
        <v>3</v>
      </c>
      <c r="R160" t="str">
        <f>VLOOKUP(Table3[[#This Row],[Census Tract]],'ES Energy Burden'!$B$2:$E$914,4,FALSE)</f>
        <v>No</v>
      </c>
    </row>
    <row r="161" spans="1:18" hidden="1" x14ac:dyDescent="0.25">
      <c r="A161" s="140">
        <v>9007620100</v>
      </c>
      <c r="B161" s="39" t="s">
        <v>2755</v>
      </c>
      <c r="C161" s="39" t="s">
        <v>944</v>
      </c>
      <c r="D161" s="41">
        <v>136656.11013695999</v>
      </c>
      <c r="E161" s="37">
        <v>1.212364028526585E-3</v>
      </c>
      <c r="F161" s="41">
        <v>60771.553199999995</v>
      </c>
      <c r="G161" s="37">
        <v>7.4351881002497665E-4</v>
      </c>
      <c r="H161" s="41">
        <v>104659.926552</v>
      </c>
      <c r="I161" s="37">
        <v>9.2850535590915874E-4</v>
      </c>
      <c r="J161" s="42">
        <v>55582.743199999997</v>
      </c>
      <c r="K161" s="37">
        <v>6.8003552494340163E-4</v>
      </c>
      <c r="L161" s="38">
        <v>31996.183584960003</v>
      </c>
      <c r="M161" s="37">
        <v>2.8385867261742644E-4</v>
      </c>
      <c r="N161" s="42">
        <v>5188.8100000000004</v>
      </c>
      <c r="O161" s="37">
        <v>6.3483285081574966E-5</v>
      </c>
      <c r="Q161">
        <f>VLOOKUP(Table3[[#This Row],[Census Tract]],'Population and Diversity Data'!$B$2:$K$823,10,FALSE)</f>
        <v>1</v>
      </c>
      <c r="R161" t="str">
        <f>VLOOKUP(Table3[[#This Row],[Census Tract]],'ES Energy Burden'!$B$2:$E$914,4,FALSE)</f>
        <v>No</v>
      </c>
    </row>
    <row r="162" spans="1:18" hidden="1" x14ac:dyDescent="0.25">
      <c r="A162" s="140">
        <v>9007585100</v>
      </c>
      <c r="B162" s="39" t="s">
        <v>2756</v>
      </c>
      <c r="C162" s="39" t="s">
        <v>944</v>
      </c>
      <c r="D162" s="41">
        <v>186133.39589951999</v>
      </c>
      <c r="E162" s="37">
        <v>1.6513087740453944E-3</v>
      </c>
      <c r="F162" s="41">
        <v>75403.70670000001</v>
      </c>
      <c r="G162" s="37">
        <v>9.2253811734165731E-4</v>
      </c>
      <c r="H162" s="41">
        <v>149595.26773535999</v>
      </c>
      <c r="I162" s="37">
        <v>1.327155597055901E-3</v>
      </c>
      <c r="J162" s="42">
        <v>60194.636700000003</v>
      </c>
      <c r="K162" s="37">
        <v>7.364604373657804E-4</v>
      </c>
      <c r="L162" s="38">
        <v>36538.128164160007</v>
      </c>
      <c r="M162" s="37">
        <v>3.2415317698949347E-4</v>
      </c>
      <c r="N162" s="42">
        <v>15209.07</v>
      </c>
      <c r="O162" s="37">
        <v>1.8607767997587681E-4</v>
      </c>
      <c r="Q162">
        <f>VLOOKUP(Table3[[#This Row],[Census Tract]],'Population and Diversity Data'!$B$2:$K$823,10,FALSE)</f>
        <v>1</v>
      </c>
      <c r="R162" t="str">
        <f>VLOOKUP(Table3[[#This Row],[Census Tract]],'ES Energy Burden'!$B$2:$E$914,4,FALSE)</f>
        <v>No</v>
      </c>
    </row>
    <row r="163" spans="1:18" hidden="1" x14ac:dyDescent="0.25">
      <c r="A163" s="140">
        <v>9009190303</v>
      </c>
      <c r="B163" s="39" t="s">
        <v>2756</v>
      </c>
      <c r="C163" s="39" t="s">
        <v>944</v>
      </c>
      <c r="D163" s="41">
        <v>86.247331200000005</v>
      </c>
      <c r="E163" s="37">
        <v>7.651554094325014E-7</v>
      </c>
      <c r="F163" s="41">
        <v>0</v>
      </c>
      <c r="G163" s="37">
        <v>0</v>
      </c>
      <c r="H163" s="41">
        <v>86.247331200000005</v>
      </c>
      <c r="I163" s="37">
        <v>7.651554094325014E-7</v>
      </c>
      <c r="J163" s="42">
        <v>0</v>
      </c>
      <c r="K163" s="37">
        <v>0</v>
      </c>
      <c r="L163" s="38">
        <v>0</v>
      </c>
      <c r="M163" s="37">
        <v>0</v>
      </c>
      <c r="N163" s="42">
        <v>0</v>
      </c>
      <c r="O163" s="37">
        <v>0</v>
      </c>
      <c r="Q163">
        <f>VLOOKUP(Table3[[#This Row],[Census Tract]],'Population and Diversity Data'!$B$2:$K$823,10,FALSE)</f>
        <v>2</v>
      </c>
      <c r="R163" t="str">
        <f>VLOOKUP(Table3[[#This Row],[Census Tract]],'ES Energy Burden'!$B$2:$E$914,4,FALSE)</f>
        <v>No</v>
      </c>
    </row>
    <row r="164" spans="1:18" hidden="1" x14ac:dyDescent="0.25">
      <c r="A164" s="140">
        <v>9003470100</v>
      </c>
      <c r="B164" s="39" t="s">
        <v>2757</v>
      </c>
      <c r="C164" s="39" t="s">
        <v>944</v>
      </c>
      <c r="D164" s="41">
        <v>175550.4483552</v>
      </c>
      <c r="E164" s="37">
        <v>1.557420656597456E-3</v>
      </c>
      <c r="F164" s="41">
        <v>67359.439799999993</v>
      </c>
      <c r="G164" s="37">
        <v>8.2411931054684725E-4</v>
      </c>
      <c r="H164" s="41">
        <v>111288.10370976001</v>
      </c>
      <c r="I164" s="37">
        <v>9.8730816796575947E-4</v>
      </c>
      <c r="J164" s="42">
        <v>53479.969799999999</v>
      </c>
      <c r="K164" s="37">
        <v>6.5430882398226559E-4</v>
      </c>
      <c r="L164" s="38">
        <v>64262.344645439996</v>
      </c>
      <c r="M164" s="37">
        <v>5.7011248863169642E-4</v>
      </c>
      <c r="N164" s="42">
        <v>13879.47</v>
      </c>
      <c r="O164" s="37">
        <v>1.698104865645817E-4</v>
      </c>
      <c r="Q164">
        <f>VLOOKUP(Table3[[#This Row],[Census Tract]],'Population and Diversity Data'!$B$2:$K$823,10,FALSE)</f>
        <v>3</v>
      </c>
      <c r="R164" t="str">
        <f>VLOOKUP(Table3[[#This Row],[Census Tract]],'ES Energy Burden'!$B$2:$E$914,4,FALSE)</f>
        <v>No</v>
      </c>
    </row>
    <row r="165" spans="1:18" hidden="1" x14ac:dyDescent="0.25">
      <c r="A165" s="140">
        <v>9003477101</v>
      </c>
      <c r="B165" s="39" t="s">
        <v>2757</v>
      </c>
      <c r="C165" s="39" t="s">
        <v>944</v>
      </c>
      <c r="D165" s="41">
        <v>279.3906432</v>
      </c>
      <c r="E165" s="37">
        <v>2.4786536466105272E-6</v>
      </c>
      <c r="F165" s="41">
        <v>0</v>
      </c>
      <c r="G165" s="37">
        <v>0</v>
      </c>
      <c r="H165" s="41">
        <v>279.3906432</v>
      </c>
      <c r="I165" s="37">
        <v>2.4786536466105272E-6</v>
      </c>
      <c r="J165" s="42">
        <v>0</v>
      </c>
      <c r="K165" s="37">
        <v>0</v>
      </c>
      <c r="L165" s="38">
        <v>0</v>
      </c>
      <c r="M165" s="37">
        <v>0</v>
      </c>
      <c r="N165" s="42">
        <v>0</v>
      </c>
      <c r="O165" s="37">
        <v>0</v>
      </c>
      <c r="Q165">
        <f>VLOOKUP(Table3[[#This Row],[Census Tract]],'Population and Diversity Data'!$B$2:$K$823,10,FALSE)</f>
        <v>1</v>
      </c>
      <c r="R165" t="str">
        <f>VLOOKUP(Table3[[#This Row],[Census Tract]],'ES Energy Burden'!$B$2:$E$914,4,FALSE)</f>
        <v>No</v>
      </c>
    </row>
    <row r="166" spans="1:18" hidden="1" x14ac:dyDescent="0.25">
      <c r="A166" s="140">
        <v>9003477200</v>
      </c>
      <c r="B166" s="39" t="s">
        <v>2757</v>
      </c>
      <c r="C166" s="39" t="s">
        <v>944</v>
      </c>
      <c r="D166" s="41">
        <v>239.47686720000002</v>
      </c>
      <c r="E166" s="37">
        <v>2.1245529319292002E-6</v>
      </c>
      <c r="F166" s="41">
        <v>0</v>
      </c>
      <c r="G166" s="37">
        <v>0</v>
      </c>
      <c r="H166" s="41">
        <v>239.47686720000002</v>
      </c>
      <c r="I166" s="37">
        <v>2.1245529319292002E-6</v>
      </c>
      <c r="J166" s="42">
        <v>0</v>
      </c>
      <c r="K166" s="37">
        <v>0</v>
      </c>
      <c r="L166" s="38">
        <v>0</v>
      </c>
      <c r="M166" s="37">
        <v>0</v>
      </c>
      <c r="N166" s="42">
        <v>0</v>
      </c>
      <c r="O166" s="37">
        <v>0</v>
      </c>
      <c r="Q166">
        <f>VLOOKUP(Table3[[#This Row],[Census Tract]],'Population and Diversity Data'!$B$2:$K$823,10,FALSE)</f>
        <v>1</v>
      </c>
      <c r="R166" t="str">
        <f>VLOOKUP(Table3[[#This Row],[Census Tract]],'ES Energy Burden'!$B$2:$E$914,4,FALSE)</f>
        <v>No</v>
      </c>
    </row>
    <row r="167" spans="1:18" hidden="1" x14ac:dyDescent="0.25">
      <c r="A167" s="140">
        <v>9007595101</v>
      </c>
      <c r="B167" s="39" t="s">
        <v>2758</v>
      </c>
      <c r="C167" s="39" t="s">
        <v>944</v>
      </c>
      <c r="D167" s="41">
        <v>63151.540496640009</v>
      </c>
      <c r="E167" s="37">
        <v>5.6025783236061195E-4</v>
      </c>
      <c r="F167" s="41">
        <v>4781.78</v>
      </c>
      <c r="G167" s="37">
        <v>5.8503414643699325E-5</v>
      </c>
      <c r="H167" s="41">
        <v>63105.536903040011</v>
      </c>
      <c r="I167" s="37">
        <v>5.5984970496691044E-4</v>
      </c>
      <c r="J167" s="42">
        <v>4781.78</v>
      </c>
      <c r="K167" s="37">
        <v>5.8503414643699325E-5</v>
      </c>
      <c r="L167" s="38">
        <v>46.003593600000002</v>
      </c>
      <c r="M167" s="37">
        <v>4.0812739370159666E-7</v>
      </c>
      <c r="N167" s="42">
        <v>0</v>
      </c>
      <c r="O167" s="37">
        <v>0</v>
      </c>
      <c r="Q167">
        <f>VLOOKUP(Table3[[#This Row],[Census Tract]],'Population and Diversity Data'!$B$2:$K$823,10,FALSE)</f>
        <v>1</v>
      </c>
      <c r="R167" t="str">
        <f>VLOOKUP(Table3[[#This Row],[Census Tract]],'ES Energy Burden'!$B$2:$E$914,4,FALSE)</f>
        <v>No</v>
      </c>
    </row>
    <row r="168" spans="1:18" hidden="1" x14ac:dyDescent="0.25">
      <c r="A168" s="140">
        <v>9007595102</v>
      </c>
      <c r="B168" s="39" t="s">
        <v>2758</v>
      </c>
      <c r="C168" s="39" t="s">
        <v>944</v>
      </c>
      <c r="D168" s="41">
        <v>164063.69662464</v>
      </c>
      <c r="E168" s="37">
        <v>1.4555143123528454E-3</v>
      </c>
      <c r="F168" s="41">
        <v>63836.366699999999</v>
      </c>
      <c r="G168" s="37">
        <v>7.8101573690076505E-4</v>
      </c>
      <c r="H168" s="41">
        <v>140629.99803552</v>
      </c>
      <c r="I168" s="37">
        <v>1.2476189376322425E-3</v>
      </c>
      <c r="J168" s="42">
        <v>55971.386700000003</v>
      </c>
      <c r="K168" s="37">
        <v>6.8479044295072927E-4</v>
      </c>
      <c r="L168" s="38">
        <v>23433.698589120002</v>
      </c>
      <c r="M168" s="37">
        <v>2.078953747206029E-4</v>
      </c>
      <c r="N168" s="42">
        <v>7864.98</v>
      </c>
      <c r="O168" s="37">
        <v>9.6225293950035829E-5</v>
      </c>
      <c r="Q168">
        <f>VLOOKUP(Table3[[#This Row],[Census Tract]],'Population and Diversity Data'!$B$2:$K$823,10,FALSE)</f>
        <v>1</v>
      </c>
      <c r="R168" t="str">
        <f>VLOOKUP(Table3[[#This Row],[Census Tract]],'ES Energy Burden'!$B$2:$E$914,4,FALSE)</f>
        <v>No</v>
      </c>
    </row>
    <row r="169" spans="1:18" hidden="1" x14ac:dyDescent="0.25">
      <c r="A169" s="140">
        <v>9007550100</v>
      </c>
      <c r="B169" s="39" t="s">
        <v>2759</v>
      </c>
      <c r="C169" s="39" t="s">
        <v>944</v>
      </c>
      <c r="D169" s="41">
        <v>173298.61325952</v>
      </c>
      <c r="E169" s="37">
        <v>1.537443182736682E-3</v>
      </c>
      <c r="F169" s="41">
        <v>123940.35619999999</v>
      </c>
      <c r="G169" s="37">
        <v>1.5163671373121287E-3</v>
      </c>
      <c r="H169" s="41">
        <v>122937.67875456001</v>
      </c>
      <c r="I169" s="37">
        <v>1.0906590222947872E-3</v>
      </c>
      <c r="J169" s="42">
        <v>79748.796199999997</v>
      </c>
      <c r="K169" s="37">
        <v>9.7569877564933425E-4</v>
      </c>
      <c r="L169" s="38">
        <v>50360.934504959994</v>
      </c>
      <c r="M169" s="37">
        <v>4.4678416044189494E-4</v>
      </c>
      <c r="N169" s="42">
        <v>44191.56</v>
      </c>
      <c r="O169" s="37">
        <v>5.4066836166279445E-4</v>
      </c>
      <c r="Q169">
        <f>VLOOKUP(Table3[[#This Row],[Census Tract]],'Population and Diversity Data'!$B$2:$K$823,10,FALSE)</f>
        <v>3</v>
      </c>
      <c r="R169" t="str">
        <f>VLOOKUP(Table3[[#This Row],[Census Tract]],'ES Energy Burden'!$B$2:$E$914,4,FALSE)</f>
        <v>No</v>
      </c>
    </row>
    <row r="170" spans="1:18" hidden="1" x14ac:dyDescent="0.25">
      <c r="A170" s="140">
        <v>9007550201</v>
      </c>
      <c r="B170" s="39" t="s">
        <v>2759</v>
      </c>
      <c r="C170" s="39" t="s">
        <v>944</v>
      </c>
      <c r="D170" s="41">
        <v>76930.412739840016</v>
      </c>
      <c r="E170" s="37">
        <v>6.8249904824607037E-4</v>
      </c>
      <c r="F170" s="41">
        <v>15684.3472</v>
      </c>
      <c r="G170" s="37">
        <v>1.9189253116148059E-4</v>
      </c>
      <c r="H170" s="41">
        <v>76930.412739840016</v>
      </c>
      <c r="I170" s="37">
        <v>6.8249904824607037E-4</v>
      </c>
      <c r="J170" s="42">
        <v>15684.3472</v>
      </c>
      <c r="K170" s="37">
        <v>1.9189253116148059E-4</v>
      </c>
      <c r="L170" s="38">
        <v>0</v>
      </c>
      <c r="M170" s="37">
        <v>0</v>
      </c>
      <c r="N170" s="42">
        <v>0</v>
      </c>
      <c r="O170" s="37">
        <v>0</v>
      </c>
      <c r="Q170">
        <f>VLOOKUP(Table3[[#This Row],[Census Tract]],'Population and Diversity Data'!$B$2:$K$823,10,FALSE)</f>
        <v>2</v>
      </c>
      <c r="R170" t="str">
        <f>VLOOKUP(Table3[[#This Row],[Census Tract]],'ES Energy Burden'!$B$2:$E$914,4,FALSE)</f>
        <v>No</v>
      </c>
    </row>
    <row r="171" spans="1:18" hidden="1" x14ac:dyDescent="0.25">
      <c r="A171" s="140">
        <v>9007550202</v>
      </c>
      <c r="B171" s="39" t="s">
        <v>2759</v>
      </c>
      <c r="C171" s="39" t="s">
        <v>944</v>
      </c>
      <c r="D171" s="41">
        <v>72378.179726400005</v>
      </c>
      <c r="E171" s="37">
        <v>6.4211326857303115E-4</v>
      </c>
      <c r="F171" s="41">
        <v>17842.5468</v>
      </c>
      <c r="G171" s="37">
        <v>2.1829735239597194E-4</v>
      </c>
      <c r="H171" s="41">
        <v>72315.440712000011</v>
      </c>
      <c r="I171" s="37">
        <v>6.4155667052434139E-4</v>
      </c>
      <c r="J171" s="42">
        <v>17842.5468</v>
      </c>
      <c r="K171" s="37">
        <v>2.1829735239597194E-4</v>
      </c>
      <c r="L171" s="38">
        <v>62.739014400000002</v>
      </c>
      <c r="M171" s="37">
        <v>5.5659804868980808E-7</v>
      </c>
      <c r="N171" s="42">
        <v>0</v>
      </c>
      <c r="O171" s="37">
        <v>0</v>
      </c>
      <c r="Q171">
        <f>VLOOKUP(Table3[[#This Row],[Census Tract]],'Population and Diversity Data'!$B$2:$K$823,10,FALSE)</f>
        <v>1</v>
      </c>
      <c r="R171" t="str">
        <f>VLOOKUP(Table3[[#This Row],[Census Tract]],'ES Energy Burden'!$B$2:$E$914,4,FALSE)</f>
        <v>No</v>
      </c>
    </row>
    <row r="172" spans="1:18" hidden="1" x14ac:dyDescent="0.25">
      <c r="A172" s="140">
        <v>9007590100</v>
      </c>
      <c r="B172" s="39" t="s">
        <v>2759</v>
      </c>
      <c r="C172" s="39" t="s">
        <v>944</v>
      </c>
      <c r="D172" s="41">
        <v>775.89023040000006</v>
      </c>
      <c r="E172" s="37">
        <v>6.8834200276841713E-6</v>
      </c>
      <c r="F172" s="41">
        <v>515.64</v>
      </c>
      <c r="G172" s="37">
        <v>6.3086760007522563E-6</v>
      </c>
      <c r="H172" s="41">
        <v>775.89023040000006</v>
      </c>
      <c r="I172" s="37">
        <v>6.8834200276841713E-6</v>
      </c>
      <c r="J172" s="42">
        <v>515.64</v>
      </c>
      <c r="K172" s="37">
        <v>6.3086760007522563E-6</v>
      </c>
      <c r="L172" s="38">
        <v>0</v>
      </c>
      <c r="M172" s="37">
        <v>0</v>
      </c>
      <c r="N172" s="42">
        <v>0</v>
      </c>
      <c r="O172" s="37">
        <v>0</v>
      </c>
      <c r="Q172">
        <f>VLOOKUP(Table3[[#This Row],[Census Tract]],'Population and Diversity Data'!$B$2:$K$823,10,FALSE)</f>
        <v>1</v>
      </c>
      <c r="R172" t="str">
        <f>VLOOKUP(Table3[[#This Row],[Census Tract]],'ES Energy Burden'!$B$2:$E$914,4,FALSE)</f>
        <v>No</v>
      </c>
    </row>
    <row r="173" spans="1:18" hidden="1" x14ac:dyDescent="0.25">
      <c r="A173" s="140">
        <v>9003496900</v>
      </c>
      <c r="B173" s="39" t="s">
        <v>2760</v>
      </c>
      <c r="C173" s="39" t="s">
        <v>944</v>
      </c>
      <c r="D173" s="41">
        <v>236.11936320000001</v>
      </c>
      <c r="E173" s="37">
        <v>2.0947663598457818E-6</v>
      </c>
      <c r="F173" s="41">
        <v>0</v>
      </c>
      <c r="G173" s="37">
        <v>0</v>
      </c>
      <c r="H173" s="41">
        <v>236.11936320000001</v>
      </c>
      <c r="I173" s="37">
        <v>2.0947663598457818E-6</v>
      </c>
      <c r="J173" s="42">
        <v>0</v>
      </c>
      <c r="K173" s="37">
        <v>0</v>
      </c>
      <c r="L173" s="38">
        <v>0</v>
      </c>
      <c r="M173" s="37">
        <v>0</v>
      </c>
      <c r="N173" s="42">
        <v>0</v>
      </c>
      <c r="O173" s="37">
        <v>0</v>
      </c>
      <c r="Q173">
        <f>VLOOKUP(Table3[[#This Row],[Census Tract]],'Population and Diversity Data'!$B$2:$K$823,10,FALSE)</f>
        <v>3</v>
      </c>
      <c r="R173" t="str">
        <f>VLOOKUP(Table3[[#This Row],[Census Tract]],'ES Energy Burden'!$B$2:$E$914,4,FALSE)</f>
        <v>No</v>
      </c>
    </row>
    <row r="174" spans="1:18" hidden="1" x14ac:dyDescent="0.25">
      <c r="A174" s="140">
        <v>9003510100</v>
      </c>
      <c r="B174" s="39" t="s">
        <v>2760</v>
      </c>
      <c r="C174" s="39" t="s">
        <v>944</v>
      </c>
      <c r="D174" s="41">
        <v>28572.322570560002</v>
      </c>
      <c r="E174" s="37">
        <v>2.5348340488609041E-4</v>
      </c>
      <c r="F174" s="41">
        <v>22163.206699999999</v>
      </c>
      <c r="G174" s="37">
        <v>2.7115912304709024E-4</v>
      </c>
      <c r="H174" s="41">
        <v>28572.322570560002</v>
      </c>
      <c r="I174" s="37">
        <v>2.5348340488609041E-4</v>
      </c>
      <c r="J174" s="42">
        <v>22163.206699999999</v>
      </c>
      <c r="K174" s="37">
        <v>2.7115912304709024E-4</v>
      </c>
      <c r="L174" s="38">
        <v>0</v>
      </c>
      <c r="M174" s="37">
        <v>0</v>
      </c>
      <c r="N174" s="42">
        <v>0</v>
      </c>
      <c r="O174" s="37">
        <v>0</v>
      </c>
      <c r="Q174">
        <f>VLOOKUP(Table3[[#This Row],[Census Tract]],'Population and Diversity Data'!$B$2:$K$823,10,FALSE)</f>
        <v>4</v>
      </c>
      <c r="R174" t="str">
        <f>VLOOKUP(Table3[[#This Row],[Census Tract]],'ES Energy Burden'!$B$2:$E$914,4,FALSE)</f>
        <v>No</v>
      </c>
    </row>
    <row r="175" spans="1:18" hidden="1" x14ac:dyDescent="0.25">
      <c r="A175" s="140">
        <v>9003510200</v>
      </c>
      <c r="B175" s="39" t="s">
        <v>2760</v>
      </c>
      <c r="C175" s="39" t="s">
        <v>944</v>
      </c>
      <c r="D175" s="41">
        <v>23940.745948800002</v>
      </c>
      <c r="E175" s="37">
        <v>2.1239371715856136E-4</v>
      </c>
      <c r="F175" s="41">
        <v>2074.27</v>
      </c>
      <c r="G175" s="37">
        <v>2.5377971778916262E-5</v>
      </c>
      <c r="H175" s="41">
        <v>23940.745948800002</v>
      </c>
      <c r="I175" s="37">
        <v>2.1239371715856136E-4</v>
      </c>
      <c r="J175" s="42">
        <v>2074.27</v>
      </c>
      <c r="K175" s="37">
        <v>2.5377971778916262E-5</v>
      </c>
      <c r="L175" s="38">
        <v>0</v>
      </c>
      <c r="M175" s="37">
        <v>0</v>
      </c>
      <c r="N175" s="42">
        <v>0</v>
      </c>
      <c r="O175" s="37">
        <v>0</v>
      </c>
      <c r="Q175">
        <f>VLOOKUP(Table3[[#This Row],[Census Tract]],'Population and Diversity Data'!$B$2:$K$823,10,FALSE)</f>
        <v>5</v>
      </c>
      <c r="R175" t="str">
        <f>VLOOKUP(Table3[[#This Row],[Census Tract]],'ES Energy Burden'!$B$2:$E$914,4,FALSE)</f>
        <v>No</v>
      </c>
    </row>
    <row r="176" spans="1:18" hidden="1" x14ac:dyDescent="0.25">
      <c r="A176" s="140">
        <v>9003510300</v>
      </c>
      <c r="B176" s="39" t="s">
        <v>2760</v>
      </c>
      <c r="C176" s="39" t="s">
        <v>944</v>
      </c>
      <c r="D176" s="41">
        <v>45262.2046176</v>
      </c>
      <c r="E176" s="37">
        <v>4.0155005638014901E-4</v>
      </c>
      <c r="F176" s="41">
        <v>42202.34</v>
      </c>
      <c r="G176" s="37">
        <v>5.1633094704364854E-4</v>
      </c>
      <c r="H176" s="41">
        <v>45069.819638400004</v>
      </c>
      <c r="I176" s="37">
        <v>3.9984328579976915E-4</v>
      </c>
      <c r="J176" s="42">
        <v>42202.34</v>
      </c>
      <c r="K176" s="37">
        <v>5.1633094704364854E-4</v>
      </c>
      <c r="L176" s="38">
        <v>192.38497919999998</v>
      </c>
      <c r="M176" s="37">
        <v>1.7067705803798743E-6</v>
      </c>
      <c r="N176" s="42">
        <v>0</v>
      </c>
      <c r="O176" s="37">
        <v>0</v>
      </c>
      <c r="Q176">
        <f>VLOOKUP(Table3[[#This Row],[Census Tract]],'Population and Diversity Data'!$B$2:$K$823,10,FALSE)</f>
        <v>4</v>
      </c>
      <c r="R176" t="str">
        <f>VLOOKUP(Table3[[#This Row],[Census Tract]],'ES Energy Burden'!$B$2:$E$914,4,FALSE)</f>
        <v>No</v>
      </c>
    </row>
    <row r="177" spans="1:18" hidden="1" x14ac:dyDescent="0.25">
      <c r="A177" s="140">
        <v>9003510400</v>
      </c>
      <c r="B177" s="39" t="s">
        <v>2760</v>
      </c>
      <c r="C177" s="39" t="s">
        <v>944</v>
      </c>
      <c r="D177" s="41">
        <v>57149.46894816</v>
      </c>
      <c r="E177" s="37">
        <v>5.070096048592793E-4</v>
      </c>
      <c r="F177" s="41">
        <v>9259.56</v>
      </c>
      <c r="G177" s="37">
        <v>1.1328749505376922E-4</v>
      </c>
      <c r="H177" s="41">
        <v>57149.46894816</v>
      </c>
      <c r="I177" s="37">
        <v>5.070096048592793E-4</v>
      </c>
      <c r="J177" s="42">
        <v>9259.56</v>
      </c>
      <c r="K177" s="37">
        <v>1.1328749505376922E-4</v>
      </c>
      <c r="L177" s="38">
        <v>0</v>
      </c>
      <c r="M177" s="37">
        <v>0</v>
      </c>
      <c r="N177" s="42">
        <v>0</v>
      </c>
      <c r="O177" s="37">
        <v>0</v>
      </c>
      <c r="Q177">
        <f>VLOOKUP(Table3[[#This Row],[Census Tract]],'Population and Diversity Data'!$B$2:$K$823,10,FALSE)</f>
        <v>4</v>
      </c>
      <c r="R177" t="str">
        <f>VLOOKUP(Table3[[#This Row],[Census Tract]],'ES Energy Burden'!$B$2:$E$914,4,FALSE)</f>
        <v>No</v>
      </c>
    </row>
    <row r="178" spans="1:18" hidden="1" x14ac:dyDescent="0.25">
      <c r="A178" s="140">
        <v>9003510500</v>
      </c>
      <c r="B178" s="39" t="s">
        <v>2760</v>
      </c>
      <c r="C178" s="39" t="s">
        <v>944</v>
      </c>
      <c r="D178" s="41">
        <v>47422.277971200005</v>
      </c>
      <c r="E178" s="37">
        <v>4.2071345295465135E-4</v>
      </c>
      <c r="F178" s="41">
        <v>3607.91</v>
      </c>
      <c r="G178" s="37">
        <v>4.4141523601493431E-5</v>
      </c>
      <c r="H178" s="41">
        <v>47422.277971200005</v>
      </c>
      <c r="I178" s="37">
        <v>4.2071345295465135E-4</v>
      </c>
      <c r="J178" s="42">
        <v>3607.91</v>
      </c>
      <c r="K178" s="37">
        <v>4.4141523601493431E-5</v>
      </c>
      <c r="L178" s="38">
        <v>0</v>
      </c>
      <c r="M178" s="37">
        <v>0</v>
      </c>
      <c r="N178" s="42">
        <v>0</v>
      </c>
      <c r="O178" s="37">
        <v>0</v>
      </c>
      <c r="Q178">
        <f>VLOOKUP(Table3[[#This Row],[Census Tract]],'Population and Diversity Data'!$B$2:$K$823,10,FALSE)</f>
        <v>5</v>
      </c>
      <c r="R178" t="str">
        <f>VLOOKUP(Table3[[#This Row],[Census Tract]],'ES Energy Burden'!$B$2:$E$914,4,FALSE)</f>
        <v>No</v>
      </c>
    </row>
    <row r="179" spans="1:18" hidden="1" x14ac:dyDescent="0.25">
      <c r="A179" s="140">
        <v>9003510600</v>
      </c>
      <c r="B179" s="39" t="s">
        <v>2760</v>
      </c>
      <c r="C179" s="39" t="s">
        <v>944</v>
      </c>
      <c r="D179" s="41">
        <v>59338.273852800005</v>
      </c>
      <c r="E179" s="37">
        <v>5.2642789745657747E-4</v>
      </c>
      <c r="F179" s="41">
        <v>16098.58</v>
      </c>
      <c r="G179" s="37">
        <v>1.9696052535138906E-4</v>
      </c>
      <c r="H179" s="41">
        <v>59338.273852800005</v>
      </c>
      <c r="I179" s="37">
        <v>5.2642789745657747E-4</v>
      </c>
      <c r="J179" s="42">
        <v>16098.58</v>
      </c>
      <c r="K179" s="37">
        <v>1.9696052535138906E-4</v>
      </c>
      <c r="L179" s="38">
        <v>0</v>
      </c>
      <c r="M179" s="37">
        <v>0</v>
      </c>
      <c r="N179" s="42">
        <v>0</v>
      </c>
      <c r="O179" s="37">
        <v>0</v>
      </c>
      <c r="Q179">
        <f>VLOOKUP(Table3[[#This Row],[Census Tract]],'Population and Diversity Data'!$B$2:$K$823,10,FALSE)</f>
        <v>5</v>
      </c>
      <c r="R179" t="str">
        <f>VLOOKUP(Table3[[#This Row],[Census Tract]],'ES Energy Burden'!$B$2:$E$914,4,FALSE)</f>
        <v>No</v>
      </c>
    </row>
    <row r="180" spans="1:18" hidden="1" x14ac:dyDescent="0.25">
      <c r="A180" s="140">
        <v>9003510700</v>
      </c>
      <c r="B180" s="39" t="s">
        <v>2760</v>
      </c>
      <c r="C180" s="39" t="s">
        <v>944</v>
      </c>
      <c r="D180" s="41">
        <v>682247.42991647997</v>
      </c>
      <c r="E180" s="37">
        <v>6.052654665469997E-3</v>
      </c>
      <c r="F180" s="41">
        <v>698719.04249999998</v>
      </c>
      <c r="G180" s="37">
        <v>8.5485843896678793E-3</v>
      </c>
      <c r="H180" s="41">
        <v>98289.779944319991</v>
      </c>
      <c r="I180" s="37">
        <v>8.7199169840894311E-4</v>
      </c>
      <c r="J180" s="42">
        <v>409325.7415</v>
      </c>
      <c r="K180" s="37">
        <v>5.0079580364036378E-3</v>
      </c>
      <c r="L180" s="38">
        <v>583957.64997216</v>
      </c>
      <c r="M180" s="37">
        <v>5.1806629670610544E-3</v>
      </c>
      <c r="N180" s="42">
        <v>289393.30099999998</v>
      </c>
      <c r="O180" s="37">
        <v>3.5406263532642419E-3</v>
      </c>
      <c r="Q180">
        <f>VLOOKUP(Table3[[#This Row],[Census Tract]],'Population and Diversity Data'!$B$2:$K$823,10,FALSE)</f>
        <v>5</v>
      </c>
      <c r="R180" t="str">
        <f>VLOOKUP(Table3[[#This Row],[Census Tract]],'ES Energy Burden'!$B$2:$E$914,4,FALSE)</f>
        <v>No</v>
      </c>
    </row>
    <row r="181" spans="1:18" hidden="1" x14ac:dyDescent="0.25">
      <c r="A181" s="140">
        <v>9003510800</v>
      </c>
      <c r="B181" s="39" t="s">
        <v>2760</v>
      </c>
      <c r="C181" s="39" t="s">
        <v>944</v>
      </c>
      <c r="D181" s="41">
        <v>40521.756297600004</v>
      </c>
      <c r="E181" s="37">
        <v>3.5949449796788814E-4</v>
      </c>
      <c r="F181" s="41">
        <v>5767.2932000000001</v>
      </c>
      <c r="G181" s="37">
        <v>7.056082577019177E-5</v>
      </c>
      <c r="H181" s="41">
        <v>40521.756297600004</v>
      </c>
      <c r="I181" s="37">
        <v>3.5949449796788814E-4</v>
      </c>
      <c r="J181" s="42">
        <v>5767.2932000000001</v>
      </c>
      <c r="K181" s="37">
        <v>7.056082577019177E-5</v>
      </c>
      <c r="L181" s="38">
        <v>0</v>
      </c>
      <c r="M181" s="37">
        <v>0</v>
      </c>
      <c r="N181" s="42">
        <v>0</v>
      </c>
      <c r="O181" s="37">
        <v>0</v>
      </c>
      <c r="Q181">
        <f>VLOOKUP(Table3[[#This Row],[Census Tract]],'Population and Diversity Data'!$B$2:$K$823,10,FALSE)</f>
        <v>3</v>
      </c>
      <c r="R181" t="str">
        <f>VLOOKUP(Table3[[#This Row],[Census Tract]],'ES Energy Burden'!$B$2:$E$914,4,FALSE)</f>
        <v>No</v>
      </c>
    </row>
    <row r="182" spans="1:18" hidden="1" x14ac:dyDescent="0.25">
      <c r="A182" s="140">
        <v>9003510900</v>
      </c>
      <c r="B182" s="39" t="s">
        <v>2760</v>
      </c>
      <c r="C182" s="39" t="s">
        <v>944</v>
      </c>
      <c r="D182" s="41">
        <v>56760.885907200005</v>
      </c>
      <c r="E182" s="37">
        <v>5.0356223539674142E-4</v>
      </c>
      <c r="F182" s="41">
        <v>28094.3</v>
      </c>
      <c r="G182" s="37">
        <v>3.4372398605215674E-4</v>
      </c>
      <c r="H182" s="41">
        <v>56760.885907200005</v>
      </c>
      <c r="I182" s="37">
        <v>5.0356223539674142E-4</v>
      </c>
      <c r="J182" s="42">
        <v>28094.3</v>
      </c>
      <c r="K182" s="37">
        <v>3.4372398605215674E-4</v>
      </c>
      <c r="L182" s="38">
        <v>0</v>
      </c>
      <c r="M182" s="37">
        <v>0</v>
      </c>
      <c r="N182" s="42">
        <v>0</v>
      </c>
      <c r="O182" s="37">
        <v>0</v>
      </c>
      <c r="Q182">
        <f>VLOOKUP(Table3[[#This Row],[Census Tract]],'Population and Diversity Data'!$B$2:$K$823,10,FALSE)</f>
        <v>4</v>
      </c>
      <c r="R182" t="str">
        <f>VLOOKUP(Table3[[#This Row],[Census Tract]],'ES Energy Burden'!$B$2:$E$914,4,FALSE)</f>
        <v>No</v>
      </c>
    </row>
    <row r="183" spans="1:18" hidden="1" x14ac:dyDescent="0.25">
      <c r="A183" s="140">
        <v>9003511000</v>
      </c>
      <c r="B183" s="39" t="s">
        <v>2760</v>
      </c>
      <c r="C183" s="39" t="s">
        <v>944</v>
      </c>
      <c r="D183" s="41">
        <v>52835.4427392</v>
      </c>
      <c r="E183" s="37">
        <v>4.6873711057693644E-4</v>
      </c>
      <c r="F183" s="41">
        <v>18406.3269</v>
      </c>
      <c r="G183" s="37">
        <v>2.2519500577152795E-4</v>
      </c>
      <c r="H183" s="41">
        <v>52835.4427392</v>
      </c>
      <c r="I183" s="37">
        <v>4.6873711057693644E-4</v>
      </c>
      <c r="J183" s="42">
        <v>18406.3269</v>
      </c>
      <c r="K183" s="37">
        <v>2.2519500577152795E-4</v>
      </c>
      <c r="L183" s="38">
        <v>0</v>
      </c>
      <c r="M183" s="37">
        <v>0</v>
      </c>
      <c r="N183" s="42">
        <v>0</v>
      </c>
      <c r="O183" s="37">
        <v>0</v>
      </c>
      <c r="Q183">
        <f>VLOOKUP(Table3[[#This Row],[Census Tract]],'Population and Diversity Data'!$B$2:$K$823,10,FALSE)</f>
        <v>4</v>
      </c>
      <c r="R183" t="str">
        <f>VLOOKUP(Table3[[#This Row],[Census Tract]],'ES Energy Burden'!$B$2:$E$914,4,FALSE)</f>
        <v>No</v>
      </c>
    </row>
    <row r="184" spans="1:18" hidden="1" x14ac:dyDescent="0.25">
      <c r="A184" s="140">
        <v>9003511100</v>
      </c>
      <c r="B184" s="39" t="s">
        <v>2760</v>
      </c>
      <c r="C184" s="39" t="s">
        <v>944</v>
      </c>
      <c r="D184" s="41">
        <v>56665.462170240004</v>
      </c>
      <c r="E184" s="37">
        <v>5.0271567020443539E-4</v>
      </c>
      <c r="F184" s="41">
        <v>32384.834299999999</v>
      </c>
      <c r="G184" s="37">
        <v>3.9621718046844404E-4</v>
      </c>
      <c r="H184" s="41">
        <v>56665.462170240004</v>
      </c>
      <c r="I184" s="37">
        <v>5.0271567020443539E-4</v>
      </c>
      <c r="J184" s="42">
        <v>32384.834299999999</v>
      </c>
      <c r="K184" s="37">
        <v>3.9621718046844404E-4</v>
      </c>
      <c r="L184" s="38">
        <v>0</v>
      </c>
      <c r="M184" s="37">
        <v>0</v>
      </c>
      <c r="N184" s="42">
        <v>0</v>
      </c>
      <c r="O184" s="37">
        <v>0</v>
      </c>
      <c r="Q184">
        <f>VLOOKUP(Table3[[#This Row],[Census Tract]],'Population and Diversity Data'!$B$2:$K$823,10,FALSE)</f>
        <v>4</v>
      </c>
      <c r="R184" t="str">
        <f>VLOOKUP(Table3[[#This Row],[Census Tract]],'ES Energy Burden'!$B$2:$E$914,4,FALSE)</f>
        <v>No</v>
      </c>
    </row>
    <row r="185" spans="1:18" hidden="1" x14ac:dyDescent="0.25">
      <c r="A185" s="140">
        <v>9003511200</v>
      </c>
      <c r="B185" s="39" t="s">
        <v>2760</v>
      </c>
      <c r="C185" s="39" t="s">
        <v>944</v>
      </c>
      <c r="D185" s="41">
        <v>37711.687535999998</v>
      </c>
      <c r="E185" s="37">
        <v>3.3456457510651225E-4</v>
      </c>
      <c r="F185" s="41">
        <v>16579.5</v>
      </c>
      <c r="G185" s="37">
        <v>2.0284441423177416E-4</v>
      </c>
      <c r="H185" s="41">
        <v>37711.687535999998</v>
      </c>
      <c r="I185" s="37">
        <v>3.3456457510651225E-4</v>
      </c>
      <c r="J185" s="42">
        <v>16579.5</v>
      </c>
      <c r="K185" s="37">
        <v>2.0284441423177416E-4</v>
      </c>
      <c r="L185" s="38">
        <v>0</v>
      </c>
      <c r="M185" s="37">
        <v>0</v>
      </c>
      <c r="N185" s="42">
        <v>0</v>
      </c>
      <c r="O185" s="37">
        <v>0</v>
      </c>
      <c r="Q185">
        <f>VLOOKUP(Table3[[#This Row],[Census Tract]],'Population and Diversity Data'!$B$2:$K$823,10,FALSE)</f>
        <v>5</v>
      </c>
      <c r="R185" t="str">
        <f>VLOOKUP(Table3[[#This Row],[Census Tract]],'ES Energy Burden'!$B$2:$E$914,4,FALSE)</f>
        <v>No</v>
      </c>
    </row>
    <row r="186" spans="1:18" hidden="1" x14ac:dyDescent="0.25">
      <c r="A186" s="140">
        <v>9003511300</v>
      </c>
      <c r="B186" s="39" t="s">
        <v>2760</v>
      </c>
      <c r="C186" s="39" t="s">
        <v>944</v>
      </c>
      <c r="D186" s="41">
        <v>38897.82654912</v>
      </c>
      <c r="E186" s="37">
        <v>3.4508757529214232E-4</v>
      </c>
      <c r="F186" s="41">
        <v>21005.37</v>
      </c>
      <c r="G186" s="37">
        <v>2.5699339385214763E-4</v>
      </c>
      <c r="H186" s="41">
        <v>38897.82654912</v>
      </c>
      <c r="I186" s="37">
        <v>3.4508757529214232E-4</v>
      </c>
      <c r="J186" s="42">
        <v>21005.37</v>
      </c>
      <c r="K186" s="37">
        <v>2.5699339385214763E-4</v>
      </c>
      <c r="L186" s="38">
        <v>0</v>
      </c>
      <c r="M186" s="37">
        <v>0</v>
      </c>
      <c r="N186" s="42">
        <v>0</v>
      </c>
      <c r="O186" s="37">
        <v>0</v>
      </c>
      <c r="Q186">
        <f>VLOOKUP(Table3[[#This Row],[Census Tract]],'Population and Diversity Data'!$B$2:$K$823,10,FALSE)</f>
        <v>4</v>
      </c>
      <c r="R186" t="str">
        <f>VLOOKUP(Table3[[#This Row],[Census Tract]],'ES Energy Burden'!$B$2:$E$914,4,FALSE)</f>
        <v>No</v>
      </c>
    </row>
    <row r="187" spans="1:18" hidden="1" x14ac:dyDescent="0.25">
      <c r="A187" s="140">
        <v>9003511400</v>
      </c>
      <c r="B187" s="39" t="s">
        <v>2760</v>
      </c>
      <c r="C187" s="39" t="s">
        <v>944</v>
      </c>
      <c r="D187" s="41">
        <v>33981.297984000004</v>
      </c>
      <c r="E187" s="37">
        <v>3.0146989605627769E-4</v>
      </c>
      <c r="F187" s="41">
        <v>15077.28</v>
      </c>
      <c r="G187" s="37">
        <v>1.8446527517768595E-4</v>
      </c>
      <c r="H187" s="41">
        <v>33981.297984000004</v>
      </c>
      <c r="I187" s="37">
        <v>3.0146989605627769E-4</v>
      </c>
      <c r="J187" s="42">
        <v>15077.28</v>
      </c>
      <c r="K187" s="37">
        <v>1.8446527517768595E-4</v>
      </c>
      <c r="L187" s="38">
        <v>0</v>
      </c>
      <c r="M187" s="37">
        <v>0</v>
      </c>
      <c r="N187" s="42">
        <v>0</v>
      </c>
      <c r="O187" s="37">
        <v>0</v>
      </c>
      <c r="Q187">
        <f>VLOOKUP(Table3[[#This Row],[Census Tract]],'Population and Diversity Data'!$B$2:$K$823,10,FALSE)</f>
        <v>4</v>
      </c>
      <c r="R187" t="str">
        <f>VLOOKUP(Table3[[#This Row],[Census Tract]],'ES Energy Burden'!$B$2:$E$914,4,FALSE)</f>
        <v>No</v>
      </c>
    </row>
    <row r="188" spans="1:18" hidden="1" x14ac:dyDescent="0.25">
      <c r="A188" s="140">
        <v>9003514102</v>
      </c>
      <c r="B188" s="39" t="s">
        <v>2760</v>
      </c>
      <c r="C188" s="39" t="s">
        <v>944</v>
      </c>
      <c r="D188" s="41">
        <v>1951.9243142400001</v>
      </c>
      <c r="E188" s="37">
        <v>1.731677290257489E-5</v>
      </c>
      <c r="F188" s="41">
        <v>0</v>
      </c>
      <c r="G188" s="37">
        <v>0</v>
      </c>
      <c r="H188" s="41">
        <v>1951.9243142400001</v>
      </c>
      <c r="I188" s="37">
        <v>1.731677290257489E-5</v>
      </c>
      <c r="J188" s="42">
        <v>0</v>
      </c>
      <c r="K188" s="37">
        <v>0</v>
      </c>
      <c r="L188" s="38">
        <v>0</v>
      </c>
      <c r="M188" s="37">
        <v>0</v>
      </c>
      <c r="N188" s="42">
        <v>0</v>
      </c>
      <c r="O188" s="37">
        <v>0</v>
      </c>
      <c r="Q188">
        <f>VLOOKUP(Table3[[#This Row],[Census Tract]],'Population and Diversity Data'!$B$2:$K$823,10,FALSE)</f>
        <v>5</v>
      </c>
      <c r="R188" t="str">
        <f>VLOOKUP(Table3[[#This Row],[Census Tract]],'ES Energy Burden'!$B$2:$E$914,4,FALSE)</f>
        <v>No</v>
      </c>
    </row>
    <row r="189" spans="1:18" hidden="1" x14ac:dyDescent="0.25">
      <c r="A189" s="140">
        <v>9011695202</v>
      </c>
      <c r="B189" s="39" t="s">
        <v>2761</v>
      </c>
      <c r="C189" s="39" t="s">
        <v>944</v>
      </c>
      <c r="D189" s="41">
        <v>70.605993600000005</v>
      </c>
      <c r="E189" s="37">
        <v>6.2639106845078325E-7</v>
      </c>
      <c r="F189" s="41">
        <v>0</v>
      </c>
      <c r="G189" s="37">
        <v>0</v>
      </c>
      <c r="H189" s="41">
        <v>70.605993600000005</v>
      </c>
      <c r="I189" s="37">
        <v>6.2639106845078325E-7</v>
      </c>
      <c r="J189" s="42">
        <v>0</v>
      </c>
      <c r="K189" s="37">
        <v>0</v>
      </c>
      <c r="L189" s="38">
        <v>0</v>
      </c>
      <c r="M189" s="37">
        <v>0</v>
      </c>
      <c r="N189" s="42">
        <v>0</v>
      </c>
      <c r="O189" s="37">
        <v>0</v>
      </c>
      <c r="Q189">
        <f>VLOOKUP(Table3[[#This Row],[Census Tract]],'Population and Diversity Data'!$B$2:$K$823,10,FALSE)</f>
        <v>3</v>
      </c>
      <c r="R189" t="str">
        <f>VLOOKUP(Table3[[#This Row],[Census Tract]],'ES Energy Burden'!$B$2:$E$914,4,FALSE)</f>
        <v>No</v>
      </c>
    </row>
    <row r="190" spans="1:18" hidden="1" x14ac:dyDescent="0.25">
      <c r="A190" s="140">
        <v>9011716101</v>
      </c>
      <c r="B190" s="39" t="s">
        <v>2761</v>
      </c>
      <c r="C190" s="39" t="s">
        <v>944</v>
      </c>
      <c r="D190" s="41">
        <v>94268.427937920002</v>
      </c>
      <c r="E190" s="37">
        <v>8.3631570475072774E-4</v>
      </c>
      <c r="F190" s="41">
        <v>40280.123399999997</v>
      </c>
      <c r="G190" s="37">
        <v>4.928132957119683E-4</v>
      </c>
      <c r="H190" s="41">
        <v>94268.427937920002</v>
      </c>
      <c r="I190" s="37">
        <v>8.3631570475072774E-4</v>
      </c>
      <c r="J190" s="42">
        <v>40280.123399999997</v>
      </c>
      <c r="K190" s="37">
        <v>4.928132957119683E-4</v>
      </c>
      <c r="L190" s="38">
        <v>0</v>
      </c>
      <c r="M190" s="37">
        <v>0</v>
      </c>
      <c r="N190" s="42">
        <v>0</v>
      </c>
      <c r="O190" s="37">
        <v>0</v>
      </c>
      <c r="Q190">
        <f>VLOOKUP(Table3[[#This Row],[Census Tract]],'Population and Diversity Data'!$B$2:$K$823,10,FALSE)</f>
        <v>5</v>
      </c>
      <c r="R190" t="str">
        <f>VLOOKUP(Table3[[#This Row],[Census Tract]],'ES Energy Burden'!$B$2:$E$914,4,FALSE)</f>
        <v>No</v>
      </c>
    </row>
    <row r="191" spans="1:18" hidden="1" x14ac:dyDescent="0.25">
      <c r="A191" s="140">
        <v>9011716102</v>
      </c>
      <c r="B191" s="39" t="s">
        <v>2761</v>
      </c>
      <c r="C191" s="39" t="s">
        <v>944</v>
      </c>
      <c r="D191" s="41">
        <v>255083.41237536</v>
      </c>
      <c r="E191" s="37">
        <v>2.2630086069898958E-3</v>
      </c>
      <c r="F191" s="41">
        <v>240683.9578</v>
      </c>
      <c r="G191" s="37">
        <v>2.9446844859571191E-3</v>
      </c>
      <c r="H191" s="41">
        <v>138124.48498847999</v>
      </c>
      <c r="I191" s="37">
        <v>1.2253909239108584E-3</v>
      </c>
      <c r="J191" s="42">
        <v>220651.68780000001</v>
      </c>
      <c r="K191" s="37">
        <v>2.6995966320482109E-3</v>
      </c>
      <c r="L191" s="38">
        <v>116958.92738688001</v>
      </c>
      <c r="M191" s="37">
        <v>1.0376176830790374E-3</v>
      </c>
      <c r="N191" s="42">
        <v>20032.27</v>
      </c>
      <c r="O191" s="37">
        <v>2.4508785390890816E-4</v>
      </c>
      <c r="Q191">
        <f>VLOOKUP(Table3[[#This Row],[Census Tract]],'Population and Diversity Data'!$B$2:$K$823,10,FALSE)</f>
        <v>4</v>
      </c>
      <c r="R191" t="str">
        <f>VLOOKUP(Table3[[#This Row],[Census Tract]],'ES Energy Burden'!$B$2:$E$914,4,FALSE)</f>
        <v>No</v>
      </c>
    </row>
    <row r="192" spans="1:18" hidden="1" x14ac:dyDescent="0.25">
      <c r="A192" s="140">
        <v>9011870701</v>
      </c>
      <c r="B192" s="39" t="s">
        <v>2761</v>
      </c>
      <c r="C192" s="39" t="s">
        <v>944</v>
      </c>
      <c r="D192" s="41">
        <v>50602.6302192</v>
      </c>
      <c r="E192" s="37">
        <v>4.4892839818947865E-4</v>
      </c>
      <c r="F192" s="41">
        <v>7191.9422999999997</v>
      </c>
      <c r="G192" s="37">
        <v>8.7990911850913396E-5</v>
      </c>
      <c r="H192" s="41">
        <v>50602.6302192</v>
      </c>
      <c r="I192" s="37">
        <v>4.4892839818947865E-4</v>
      </c>
      <c r="J192" s="42">
        <v>7191.9422999999997</v>
      </c>
      <c r="K192" s="37">
        <v>8.7990911850913396E-5</v>
      </c>
      <c r="L192" s="38">
        <v>0</v>
      </c>
      <c r="M192" s="37">
        <v>0</v>
      </c>
      <c r="N192" s="42">
        <v>0</v>
      </c>
      <c r="O192" s="37">
        <v>0</v>
      </c>
      <c r="Q192">
        <f>VLOOKUP(Table3[[#This Row],[Census Tract]],'Population and Diversity Data'!$B$2:$K$823,10,FALSE)</f>
        <v>3</v>
      </c>
      <c r="R192" t="str">
        <f>VLOOKUP(Table3[[#This Row],[Census Tract]],'ES Energy Burden'!$B$2:$E$914,4,FALSE)</f>
        <v>No</v>
      </c>
    </row>
    <row r="193" spans="1:18" hidden="1" x14ac:dyDescent="0.25">
      <c r="A193" s="140">
        <v>9011870703</v>
      </c>
      <c r="B193" s="39" t="s">
        <v>2761</v>
      </c>
      <c r="C193" s="39" t="s">
        <v>944</v>
      </c>
      <c r="D193" s="41">
        <v>42616.216497600006</v>
      </c>
      <c r="E193" s="37">
        <v>3.7807579816087405E-4</v>
      </c>
      <c r="F193" s="41">
        <v>14608.0656</v>
      </c>
      <c r="G193" s="37">
        <v>1.787246002407389E-4</v>
      </c>
      <c r="H193" s="41">
        <v>42616.216497600006</v>
      </c>
      <c r="I193" s="37">
        <v>3.7807579816087405E-4</v>
      </c>
      <c r="J193" s="42">
        <v>14608.0656</v>
      </c>
      <c r="K193" s="37">
        <v>1.787246002407389E-4</v>
      </c>
      <c r="L193" s="38">
        <v>0</v>
      </c>
      <c r="M193" s="37">
        <v>0</v>
      </c>
      <c r="N193" s="42">
        <v>0</v>
      </c>
      <c r="O193" s="37">
        <v>0</v>
      </c>
      <c r="Q193">
        <f>VLOOKUP(Table3[[#This Row],[Census Tract]],'Population and Diversity Data'!$B$2:$K$823,10,FALSE)</f>
        <v>4</v>
      </c>
      <c r="R193" t="str">
        <f>VLOOKUP(Table3[[#This Row],[Census Tract]],'ES Energy Burden'!$B$2:$E$914,4,FALSE)</f>
        <v>No</v>
      </c>
    </row>
    <row r="194" spans="1:18" hidden="1" x14ac:dyDescent="0.25">
      <c r="A194" s="140">
        <v>9011870704</v>
      </c>
      <c r="B194" s="39" t="s">
        <v>2761</v>
      </c>
      <c r="C194" s="39" t="s">
        <v>944</v>
      </c>
      <c r="D194" s="41">
        <v>110586.99898655999</v>
      </c>
      <c r="E194" s="37">
        <v>9.8108821815315393E-4</v>
      </c>
      <c r="F194" s="41">
        <v>67520.932400000005</v>
      </c>
      <c r="G194" s="37">
        <v>8.2609511632203761E-4</v>
      </c>
      <c r="H194" s="41">
        <v>110586.99898655999</v>
      </c>
      <c r="I194" s="37">
        <v>9.8108821815315393E-4</v>
      </c>
      <c r="J194" s="42">
        <v>67520.932400000005</v>
      </c>
      <c r="K194" s="37">
        <v>8.2609511632203761E-4</v>
      </c>
      <c r="L194" s="38">
        <v>0</v>
      </c>
      <c r="M194" s="37">
        <v>0</v>
      </c>
      <c r="N194" s="42">
        <v>0</v>
      </c>
      <c r="O194" s="37">
        <v>0</v>
      </c>
      <c r="Q194">
        <f>VLOOKUP(Table3[[#This Row],[Census Tract]],'Population and Diversity Data'!$B$2:$K$823,10,FALSE)</f>
        <v>4</v>
      </c>
      <c r="R194" t="str">
        <f>VLOOKUP(Table3[[#This Row],[Census Tract]],'ES Energy Burden'!$B$2:$E$914,4,FALSE)</f>
        <v>No</v>
      </c>
    </row>
    <row r="195" spans="1:18" hidden="1" x14ac:dyDescent="0.25">
      <c r="A195" s="140">
        <v>9003484100</v>
      </c>
      <c r="B195" s="39" t="s">
        <v>2762</v>
      </c>
      <c r="C195" s="39" t="s">
        <v>944</v>
      </c>
      <c r="D195" s="41">
        <v>173372.84362080001</v>
      </c>
      <c r="E195" s="37">
        <v>1.5381017278961353E-3</v>
      </c>
      <c r="F195" s="41">
        <v>304630.3566</v>
      </c>
      <c r="G195" s="37">
        <v>3.7270464273194896E-3</v>
      </c>
      <c r="H195" s="41">
        <v>108316.02669695999</v>
      </c>
      <c r="I195" s="37">
        <v>9.609409659671205E-4</v>
      </c>
      <c r="J195" s="42">
        <v>234607.06659999999</v>
      </c>
      <c r="K195" s="37">
        <v>2.8703358363709294E-3</v>
      </c>
      <c r="L195" s="38">
        <v>65056.816923840001</v>
      </c>
      <c r="M195" s="37">
        <v>5.7716076192901474E-4</v>
      </c>
      <c r="N195" s="42">
        <v>70023.289999999994</v>
      </c>
      <c r="O195" s="37">
        <v>8.5671059094855984E-4</v>
      </c>
      <c r="Q195">
        <f>VLOOKUP(Table3[[#This Row],[Census Tract]],'Population and Diversity Data'!$B$2:$K$823,10,FALSE)</f>
        <v>4</v>
      </c>
      <c r="R195" t="str">
        <f>VLOOKUP(Table3[[#This Row],[Census Tract]],'ES Energy Burden'!$B$2:$E$914,4,FALSE)</f>
        <v>No</v>
      </c>
    </row>
    <row r="196" spans="1:18" hidden="1" x14ac:dyDescent="0.25">
      <c r="A196" s="140">
        <v>9003484200</v>
      </c>
      <c r="B196" s="39" t="s">
        <v>2762</v>
      </c>
      <c r="C196" s="39" t="s">
        <v>944</v>
      </c>
      <c r="D196" s="41">
        <v>95034.406584960001</v>
      </c>
      <c r="E196" s="37">
        <v>8.4311119276337537E-4</v>
      </c>
      <c r="F196" s="41">
        <v>25148.027699999999</v>
      </c>
      <c r="G196" s="37">
        <v>3.0767736951602467E-4</v>
      </c>
      <c r="H196" s="41">
        <v>95034.406584960001</v>
      </c>
      <c r="I196" s="37">
        <v>8.4311119276337537E-4</v>
      </c>
      <c r="J196" s="42">
        <v>25148.027699999999</v>
      </c>
      <c r="K196" s="37">
        <v>3.0767736951602467E-4</v>
      </c>
      <c r="L196" s="38">
        <v>0</v>
      </c>
      <c r="M196" s="37">
        <v>0</v>
      </c>
      <c r="N196" s="42">
        <v>0</v>
      </c>
      <c r="O196" s="37">
        <v>0</v>
      </c>
      <c r="Q196">
        <f>VLOOKUP(Table3[[#This Row],[Census Tract]],'Population and Diversity Data'!$B$2:$K$823,10,FALSE)</f>
        <v>3</v>
      </c>
      <c r="R196" t="str">
        <f>VLOOKUP(Table3[[#This Row],[Census Tract]],'ES Energy Burden'!$B$2:$E$914,4,FALSE)</f>
        <v>No</v>
      </c>
    </row>
    <row r="197" spans="1:18" hidden="1" x14ac:dyDescent="0.25">
      <c r="A197" s="140">
        <v>9003487100</v>
      </c>
      <c r="B197" s="39" t="s">
        <v>2762</v>
      </c>
      <c r="C197" s="39" t="s">
        <v>944</v>
      </c>
      <c r="D197" s="41">
        <v>330.62152320000001</v>
      </c>
      <c r="E197" s="37">
        <v>2.9331556516764806E-6</v>
      </c>
      <c r="F197" s="41">
        <v>792.94</v>
      </c>
      <c r="G197" s="37">
        <v>9.7013450237306931E-6</v>
      </c>
      <c r="H197" s="41">
        <v>330.62152320000001</v>
      </c>
      <c r="I197" s="37">
        <v>2.9331556516764806E-6</v>
      </c>
      <c r="J197" s="42">
        <v>792.94</v>
      </c>
      <c r="K197" s="37">
        <v>9.7013450237306931E-6</v>
      </c>
      <c r="L197" s="38">
        <v>0</v>
      </c>
      <c r="M197" s="37">
        <v>0</v>
      </c>
      <c r="N197" s="42">
        <v>0</v>
      </c>
      <c r="O197" s="37">
        <v>0</v>
      </c>
      <c r="Q197">
        <f>VLOOKUP(Table3[[#This Row],[Census Tract]],'Population and Diversity Data'!$B$2:$K$823,10,FALSE)</f>
        <v>3</v>
      </c>
      <c r="R197" t="str">
        <f>VLOOKUP(Table3[[#This Row],[Census Tract]],'ES Energy Burden'!$B$2:$E$914,4,FALSE)</f>
        <v>No</v>
      </c>
    </row>
    <row r="198" spans="1:18" hidden="1" x14ac:dyDescent="0.25">
      <c r="A198" s="140">
        <v>9015902200</v>
      </c>
      <c r="B198" s="39" t="s">
        <v>2763</v>
      </c>
      <c r="C198" s="39" t="s">
        <v>944</v>
      </c>
      <c r="D198" s="41">
        <v>42614.721250560004</v>
      </c>
      <c r="E198" s="37">
        <v>3.7806253286506514E-4</v>
      </c>
      <c r="F198" s="41">
        <v>21504.103599999999</v>
      </c>
      <c r="G198" s="37">
        <v>2.6309522593090178E-4</v>
      </c>
      <c r="H198" s="41">
        <v>35663.583467520002</v>
      </c>
      <c r="I198" s="37">
        <v>3.1639452989729673E-4</v>
      </c>
      <c r="J198" s="42">
        <v>21504.103599999999</v>
      </c>
      <c r="K198" s="37">
        <v>2.6309522593090178E-4</v>
      </c>
      <c r="L198" s="38">
        <v>6951.1377830399997</v>
      </c>
      <c r="M198" s="37">
        <v>6.1668002967768358E-5</v>
      </c>
      <c r="N198" s="42">
        <v>0</v>
      </c>
      <c r="O198" s="37">
        <v>0</v>
      </c>
      <c r="Q198">
        <f>VLOOKUP(Table3[[#This Row],[Census Tract]],'Population and Diversity Data'!$B$2:$K$823,10,FALSE)</f>
        <v>2</v>
      </c>
      <c r="R198" t="str">
        <f>VLOOKUP(Table3[[#This Row],[Census Tract]],'ES Energy Burden'!$B$2:$E$914,4,FALSE)</f>
        <v>No</v>
      </c>
    </row>
    <row r="199" spans="1:18" hidden="1" x14ac:dyDescent="0.25">
      <c r="A199" s="140">
        <v>9013530100</v>
      </c>
      <c r="B199" s="39" t="s">
        <v>2764</v>
      </c>
      <c r="C199" s="39" t="s">
        <v>944</v>
      </c>
      <c r="D199" s="41">
        <v>41.766192000000004</v>
      </c>
      <c r="E199" s="37">
        <v>3.705346854859721E-7</v>
      </c>
      <c r="F199" s="41">
        <v>0</v>
      </c>
      <c r="G199" s="37">
        <v>0</v>
      </c>
      <c r="H199" s="41">
        <v>41.766192000000004</v>
      </c>
      <c r="I199" s="37">
        <v>3.705346854859721E-7</v>
      </c>
      <c r="J199" s="42">
        <v>0</v>
      </c>
      <c r="K199" s="37">
        <v>0</v>
      </c>
      <c r="L199" s="38">
        <v>0</v>
      </c>
      <c r="M199" s="37">
        <v>0</v>
      </c>
      <c r="N199" s="42">
        <v>0</v>
      </c>
      <c r="O199" s="37">
        <v>0</v>
      </c>
      <c r="Q199">
        <f>VLOOKUP(Table3[[#This Row],[Census Tract]],'Population and Diversity Data'!$B$2:$K$823,10,FALSE)</f>
        <v>5</v>
      </c>
      <c r="R199" t="str">
        <f>VLOOKUP(Table3[[#This Row],[Census Tract]],'ES Energy Burden'!$B$2:$E$914,4,FALSE)</f>
        <v>No</v>
      </c>
    </row>
    <row r="200" spans="1:18" hidden="1" x14ac:dyDescent="0.25">
      <c r="A200" s="140">
        <v>9013535100</v>
      </c>
      <c r="B200" s="39" t="s">
        <v>2764</v>
      </c>
      <c r="C200" s="39" t="s">
        <v>944</v>
      </c>
      <c r="D200" s="41">
        <v>267742.94314752001</v>
      </c>
      <c r="E200" s="37">
        <v>2.3753194265413238E-3</v>
      </c>
      <c r="F200" s="41">
        <v>200257.17310000001</v>
      </c>
      <c r="G200" s="37">
        <v>2.4500768402654183E-3</v>
      </c>
      <c r="H200" s="41">
        <v>207453.90752064</v>
      </c>
      <c r="I200" s="37">
        <v>1.8404567113994082E-3</v>
      </c>
      <c r="J200" s="42">
        <v>175122.63310000001</v>
      </c>
      <c r="K200" s="37">
        <v>2.1425644880663113E-3</v>
      </c>
      <c r="L200" s="38">
        <v>60289.035626880002</v>
      </c>
      <c r="M200" s="37">
        <v>5.348627151419154E-4</v>
      </c>
      <c r="N200" s="42">
        <v>25134.54</v>
      </c>
      <c r="O200" s="37">
        <v>3.0751235219910714E-4</v>
      </c>
      <c r="Q200">
        <f>VLOOKUP(Table3[[#This Row],[Census Tract]],'Population and Diversity Data'!$B$2:$K$823,10,FALSE)</f>
        <v>4</v>
      </c>
      <c r="R200" t="str">
        <f>VLOOKUP(Table3[[#This Row],[Census Tract]],'ES Energy Burden'!$B$2:$E$914,4,FALSE)</f>
        <v>No</v>
      </c>
    </row>
    <row r="201" spans="1:18" hidden="1" x14ac:dyDescent="0.25">
      <c r="A201" s="140">
        <v>9013535200</v>
      </c>
      <c r="B201" s="39" t="s">
        <v>2764</v>
      </c>
      <c r="C201" s="39" t="s">
        <v>944</v>
      </c>
      <c r="D201" s="41">
        <v>127771.96699584002</v>
      </c>
      <c r="E201" s="37">
        <v>1.1335470948543162E-3</v>
      </c>
      <c r="F201" s="41">
        <v>36380.263400000003</v>
      </c>
      <c r="G201" s="37">
        <v>4.4509986543446141E-4</v>
      </c>
      <c r="H201" s="41">
        <v>127771.96699584002</v>
      </c>
      <c r="I201" s="37">
        <v>1.1335470948543162E-3</v>
      </c>
      <c r="J201" s="42">
        <v>36380.263400000003</v>
      </c>
      <c r="K201" s="37">
        <v>4.4509986543446141E-4</v>
      </c>
      <c r="L201" s="38">
        <v>0</v>
      </c>
      <c r="M201" s="37">
        <v>0</v>
      </c>
      <c r="N201" s="42">
        <v>0</v>
      </c>
      <c r="O201" s="37">
        <v>0</v>
      </c>
      <c r="Q201">
        <f>VLOOKUP(Table3[[#This Row],[Census Tract]],'Population and Diversity Data'!$B$2:$K$823,10,FALSE)</f>
        <v>5</v>
      </c>
      <c r="R201" t="str">
        <f>VLOOKUP(Table3[[#This Row],[Census Tract]],'ES Energy Burden'!$B$2:$E$914,4,FALSE)</f>
        <v>No</v>
      </c>
    </row>
    <row r="202" spans="1:18" hidden="1" x14ac:dyDescent="0.25">
      <c r="A202" s="140">
        <v>9013538201</v>
      </c>
      <c r="B202" s="39" t="s">
        <v>2764</v>
      </c>
      <c r="C202" s="39" t="s">
        <v>944</v>
      </c>
      <c r="D202" s="41">
        <v>165.72176639999998</v>
      </c>
      <c r="E202" s="37">
        <v>1.4702241131105207E-6</v>
      </c>
      <c r="F202" s="41">
        <v>0</v>
      </c>
      <c r="G202" s="37">
        <v>0</v>
      </c>
      <c r="H202" s="41">
        <v>165.72176639999998</v>
      </c>
      <c r="I202" s="37">
        <v>1.4702241131105207E-6</v>
      </c>
      <c r="J202" s="42">
        <v>0</v>
      </c>
      <c r="K202" s="37">
        <v>0</v>
      </c>
      <c r="L202" s="38">
        <v>0</v>
      </c>
      <c r="M202" s="37">
        <v>0</v>
      </c>
      <c r="N202" s="42">
        <v>0</v>
      </c>
      <c r="O202" s="37">
        <v>0</v>
      </c>
      <c r="Q202">
        <f>VLOOKUP(Table3[[#This Row],[Census Tract]],'Population and Diversity Data'!$B$2:$K$823,10,FALSE)</f>
        <v>3</v>
      </c>
      <c r="R202" t="str">
        <f>VLOOKUP(Table3[[#This Row],[Census Tract]],'ES Energy Burden'!$B$2:$E$914,4,FALSE)</f>
        <v>No</v>
      </c>
    </row>
    <row r="203" spans="1:18" hidden="1" x14ac:dyDescent="0.25">
      <c r="A203" s="140">
        <v>9013538202</v>
      </c>
      <c r="B203" s="39" t="s">
        <v>2764</v>
      </c>
      <c r="C203" s="39" t="s">
        <v>944</v>
      </c>
      <c r="D203" s="41">
        <v>227.66771520000003</v>
      </c>
      <c r="E203" s="37">
        <v>2.0197863680495906E-6</v>
      </c>
      <c r="F203" s="41">
        <v>0</v>
      </c>
      <c r="G203" s="37">
        <v>0</v>
      </c>
      <c r="H203" s="41">
        <v>227.66771520000003</v>
      </c>
      <c r="I203" s="37">
        <v>2.0197863680495906E-6</v>
      </c>
      <c r="J203" s="42">
        <v>0</v>
      </c>
      <c r="K203" s="37">
        <v>0</v>
      </c>
      <c r="L203" s="38">
        <v>0</v>
      </c>
      <c r="M203" s="37">
        <v>0</v>
      </c>
      <c r="N203" s="42">
        <v>0</v>
      </c>
      <c r="O203" s="37">
        <v>0</v>
      </c>
      <c r="Q203">
        <f>VLOOKUP(Table3[[#This Row],[Census Tract]],'Population and Diversity Data'!$B$2:$K$823,10,FALSE)</f>
        <v>1</v>
      </c>
      <c r="R203" t="str">
        <f>VLOOKUP(Table3[[#This Row],[Census Tract]],'ES Energy Burden'!$B$2:$E$914,4,FALSE)</f>
        <v>No</v>
      </c>
    </row>
    <row r="204" spans="1:18" hidden="1" x14ac:dyDescent="0.25">
      <c r="A204" s="140">
        <v>9003480300</v>
      </c>
      <c r="B204" s="39" t="s">
        <v>2765</v>
      </c>
      <c r="C204" s="39" t="s">
        <v>944</v>
      </c>
      <c r="D204" s="41">
        <v>34392.488025599996</v>
      </c>
      <c r="E204" s="37">
        <v>3.0511782672563862E-4</v>
      </c>
      <c r="F204" s="41">
        <v>14221.0897</v>
      </c>
      <c r="G204" s="37">
        <v>1.7399008473922717E-4</v>
      </c>
      <c r="H204" s="41">
        <v>34392.488025599996</v>
      </c>
      <c r="I204" s="37">
        <v>3.0511782672563862E-4</v>
      </c>
      <c r="J204" s="42">
        <v>14221.0897</v>
      </c>
      <c r="K204" s="37">
        <v>1.7399008473922717E-4</v>
      </c>
      <c r="L204" s="38">
        <v>0</v>
      </c>
      <c r="M204" s="37">
        <v>0</v>
      </c>
      <c r="N204" s="42">
        <v>0</v>
      </c>
      <c r="O204" s="37">
        <v>0</v>
      </c>
      <c r="Q204">
        <f>VLOOKUP(Table3[[#This Row],[Census Tract]],'Population and Diversity Data'!$B$2:$K$823,10,FALSE)</f>
        <v>2</v>
      </c>
      <c r="R204" t="str">
        <f>VLOOKUP(Table3[[#This Row],[Census Tract]],'ES Energy Burden'!$B$2:$E$914,4,FALSE)</f>
        <v>No</v>
      </c>
    </row>
    <row r="205" spans="1:18" hidden="1" x14ac:dyDescent="0.25">
      <c r="A205" s="140">
        <v>9003480400</v>
      </c>
      <c r="B205" s="39" t="s">
        <v>2765</v>
      </c>
      <c r="C205" s="39" t="s">
        <v>944</v>
      </c>
      <c r="D205" s="41">
        <v>58521.540743999998</v>
      </c>
      <c r="E205" s="37">
        <v>5.1918213405073024E-4</v>
      </c>
      <c r="F205" s="41">
        <v>9810.43</v>
      </c>
      <c r="G205" s="37">
        <v>1.2002719784745163E-4</v>
      </c>
      <c r="H205" s="41">
        <v>58521.540743999998</v>
      </c>
      <c r="I205" s="37">
        <v>5.1918213405073024E-4</v>
      </c>
      <c r="J205" s="42">
        <v>9810.43</v>
      </c>
      <c r="K205" s="37">
        <v>1.2002719784745163E-4</v>
      </c>
      <c r="L205" s="38">
        <v>0</v>
      </c>
      <c r="M205" s="37">
        <v>0</v>
      </c>
      <c r="N205" s="42">
        <v>0</v>
      </c>
      <c r="O205" s="37">
        <v>0</v>
      </c>
      <c r="Q205">
        <f>VLOOKUP(Table3[[#This Row],[Census Tract]],'Population and Diversity Data'!$B$2:$K$823,10,FALSE)</f>
        <v>3</v>
      </c>
      <c r="R205" t="str">
        <f>VLOOKUP(Table3[[#This Row],[Census Tract]],'ES Energy Burden'!$B$2:$E$914,4,FALSE)</f>
        <v>No</v>
      </c>
    </row>
    <row r="206" spans="1:18" hidden="1" x14ac:dyDescent="0.25">
      <c r="A206" s="140">
        <v>9003480500</v>
      </c>
      <c r="B206" s="39" t="s">
        <v>2765</v>
      </c>
      <c r="C206" s="39" t="s">
        <v>944</v>
      </c>
      <c r="D206" s="41">
        <v>53208.866649600001</v>
      </c>
      <c r="E206" s="37">
        <v>4.7204999366651771E-4</v>
      </c>
      <c r="F206" s="41">
        <v>14584.495500000001</v>
      </c>
      <c r="G206" s="37">
        <v>1.7843622826764659E-4</v>
      </c>
      <c r="H206" s="41">
        <v>53208.866649600001</v>
      </c>
      <c r="I206" s="37">
        <v>4.7204999366651771E-4</v>
      </c>
      <c r="J206" s="42">
        <v>14584.495500000001</v>
      </c>
      <c r="K206" s="37">
        <v>1.7843622826764659E-4</v>
      </c>
      <c r="L206" s="38">
        <v>0</v>
      </c>
      <c r="M206" s="37">
        <v>0</v>
      </c>
      <c r="N206" s="42">
        <v>0</v>
      </c>
      <c r="O206" s="37">
        <v>0</v>
      </c>
      <c r="Q206">
        <f>VLOOKUP(Table3[[#This Row],[Census Tract]],'Population and Diversity Data'!$B$2:$K$823,10,FALSE)</f>
        <v>2</v>
      </c>
      <c r="R206" t="str">
        <f>VLOOKUP(Table3[[#This Row],[Census Tract]],'ES Energy Burden'!$B$2:$E$914,4,FALSE)</f>
        <v>No</v>
      </c>
    </row>
    <row r="207" spans="1:18" hidden="1" x14ac:dyDescent="0.25">
      <c r="A207" s="140">
        <v>9003480600</v>
      </c>
      <c r="B207" s="39" t="s">
        <v>2765</v>
      </c>
      <c r="C207" s="39" t="s">
        <v>944</v>
      </c>
      <c r="D207" s="41">
        <v>52973.169868800003</v>
      </c>
      <c r="E207" s="37">
        <v>4.6995897630626178E-4</v>
      </c>
      <c r="F207" s="41">
        <v>43649.13</v>
      </c>
      <c r="G207" s="37">
        <v>5.3403191933270363E-4</v>
      </c>
      <c r="H207" s="41">
        <v>52973.169868800003</v>
      </c>
      <c r="I207" s="37">
        <v>4.6995897630626178E-4</v>
      </c>
      <c r="J207" s="42">
        <v>43649.13</v>
      </c>
      <c r="K207" s="37">
        <v>5.3403191933270363E-4</v>
      </c>
      <c r="L207" s="38">
        <v>0</v>
      </c>
      <c r="M207" s="37">
        <v>0</v>
      </c>
      <c r="N207" s="42">
        <v>0</v>
      </c>
      <c r="O207" s="37">
        <v>0</v>
      </c>
      <c r="Q207">
        <f>VLOOKUP(Table3[[#This Row],[Census Tract]],'Population and Diversity Data'!$B$2:$K$823,10,FALSE)</f>
        <v>5</v>
      </c>
      <c r="R207" t="str">
        <f>VLOOKUP(Table3[[#This Row],[Census Tract]],'ES Energy Burden'!$B$2:$E$914,4,FALSE)</f>
        <v>No</v>
      </c>
    </row>
    <row r="208" spans="1:18" hidden="1" x14ac:dyDescent="0.25">
      <c r="A208" s="140">
        <v>9003480700</v>
      </c>
      <c r="B208" s="39" t="s">
        <v>2765</v>
      </c>
      <c r="C208" s="39" t="s">
        <v>944</v>
      </c>
      <c r="D208" s="41">
        <v>28925.4816288</v>
      </c>
      <c r="E208" s="37">
        <v>2.5661650547068477E-4</v>
      </c>
      <c r="F208" s="41">
        <v>16334.19</v>
      </c>
      <c r="G208" s="37">
        <v>1.9984313172897273E-4</v>
      </c>
      <c r="H208" s="41">
        <v>28925.4816288</v>
      </c>
      <c r="I208" s="37">
        <v>2.5661650547068477E-4</v>
      </c>
      <c r="J208" s="42">
        <v>16334.19</v>
      </c>
      <c r="K208" s="37">
        <v>1.9984313172897273E-4</v>
      </c>
      <c r="L208" s="38">
        <v>0</v>
      </c>
      <c r="M208" s="37">
        <v>0</v>
      </c>
      <c r="N208" s="42">
        <v>0</v>
      </c>
      <c r="O208" s="37">
        <v>0</v>
      </c>
      <c r="Q208">
        <f>VLOOKUP(Table3[[#This Row],[Census Tract]],'Population and Diversity Data'!$B$2:$K$823,10,FALSE)</f>
        <v>3</v>
      </c>
      <c r="R208" t="str">
        <f>VLOOKUP(Table3[[#This Row],[Census Tract]],'ES Energy Burden'!$B$2:$E$914,4,FALSE)</f>
        <v>No</v>
      </c>
    </row>
    <row r="209" spans="1:18" hidden="1" x14ac:dyDescent="0.25">
      <c r="A209" s="140">
        <v>9003480800</v>
      </c>
      <c r="B209" s="39" t="s">
        <v>2765</v>
      </c>
      <c r="C209" s="39" t="s">
        <v>944</v>
      </c>
      <c r="D209" s="41">
        <v>400528.32643296011</v>
      </c>
      <c r="E209" s="37">
        <v>3.5533437537963626E-3</v>
      </c>
      <c r="F209" s="41">
        <v>936957.13520000002</v>
      </c>
      <c r="G209" s="37">
        <v>1.1463344567081349E-2</v>
      </c>
      <c r="H209" s="41">
        <v>93708.069782400009</v>
      </c>
      <c r="I209" s="37">
        <v>8.3134440803985931E-4</v>
      </c>
      <c r="J209" s="42">
        <v>798268.12080000003</v>
      </c>
      <c r="K209" s="37">
        <v>9.7665327279818533E-3</v>
      </c>
      <c r="L209" s="38">
        <v>306820.25665056007</v>
      </c>
      <c r="M209" s="37">
        <v>2.7219993457565034E-3</v>
      </c>
      <c r="N209" s="42">
        <v>138689.01439999999</v>
      </c>
      <c r="O209" s="37">
        <v>1.6968118390994957E-3</v>
      </c>
      <c r="Q209">
        <f>VLOOKUP(Table3[[#This Row],[Census Tract]],'Population and Diversity Data'!$B$2:$K$823,10,FALSE)</f>
        <v>3</v>
      </c>
      <c r="R209" t="str">
        <f>VLOOKUP(Table3[[#This Row],[Census Tract]],'ES Energy Burden'!$B$2:$E$914,4,FALSE)</f>
        <v>No</v>
      </c>
    </row>
    <row r="210" spans="1:18" hidden="1" x14ac:dyDescent="0.25">
      <c r="A210" s="140">
        <v>9003480900</v>
      </c>
      <c r="B210" s="39" t="s">
        <v>2765</v>
      </c>
      <c r="C210" s="39" t="s">
        <v>944</v>
      </c>
      <c r="D210" s="41">
        <v>35031.230585279998</v>
      </c>
      <c r="E210" s="37">
        <v>3.1078452177548982E-4</v>
      </c>
      <c r="F210" s="41">
        <v>12948.832700000001</v>
      </c>
      <c r="G210" s="37">
        <v>1.5842446298240252E-4</v>
      </c>
      <c r="H210" s="41">
        <v>35031.230585279998</v>
      </c>
      <c r="I210" s="37">
        <v>3.1078452177548982E-4</v>
      </c>
      <c r="J210" s="42">
        <v>12948.832700000001</v>
      </c>
      <c r="K210" s="37">
        <v>1.5842446298240252E-4</v>
      </c>
      <c r="L210" s="38">
        <v>0</v>
      </c>
      <c r="M210" s="37">
        <v>0</v>
      </c>
      <c r="N210" s="42">
        <v>0</v>
      </c>
      <c r="O210" s="37">
        <v>0</v>
      </c>
      <c r="Q210">
        <f>VLOOKUP(Table3[[#This Row],[Census Tract]],'Population and Diversity Data'!$B$2:$K$823,10,FALSE)</f>
        <v>2</v>
      </c>
      <c r="R210" t="str">
        <f>VLOOKUP(Table3[[#This Row],[Census Tract]],'ES Energy Burden'!$B$2:$E$914,4,FALSE)</f>
        <v>No</v>
      </c>
    </row>
    <row r="211" spans="1:18" hidden="1" x14ac:dyDescent="0.25">
      <c r="A211" s="140">
        <v>9003481000</v>
      </c>
      <c r="B211" s="39" t="s">
        <v>2765</v>
      </c>
      <c r="C211" s="39" t="s">
        <v>944</v>
      </c>
      <c r="D211" s="41">
        <v>63039.794659200001</v>
      </c>
      <c r="E211" s="37">
        <v>5.5926646334305348E-4</v>
      </c>
      <c r="F211" s="41">
        <v>5864.6796999999997</v>
      </c>
      <c r="G211" s="37">
        <v>7.1752315715400167E-5</v>
      </c>
      <c r="H211" s="41">
        <v>63039.794659200001</v>
      </c>
      <c r="I211" s="37">
        <v>5.5926646334305348E-4</v>
      </c>
      <c r="J211" s="42">
        <v>5864.6796999999997</v>
      </c>
      <c r="K211" s="37">
        <v>7.1752315715400167E-5</v>
      </c>
      <c r="L211" s="38">
        <v>0</v>
      </c>
      <c r="M211" s="37">
        <v>0</v>
      </c>
      <c r="N211" s="42">
        <v>0</v>
      </c>
      <c r="O211" s="37">
        <v>0</v>
      </c>
      <c r="Q211">
        <f>VLOOKUP(Table3[[#This Row],[Census Tract]],'Population and Diversity Data'!$B$2:$K$823,10,FALSE)</f>
        <v>1</v>
      </c>
      <c r="R211" t="str">
        <f>VLOOKUP(Table3[[#This Row],[Census Tract]],'ES Energy Burden'!$B$2:$E$914,4,FALSE)</f>
        <v>No</v>
      </c>
    </row>
    <row r="212" spans="1:18" hidden="1" x14ac:dyDescent="0.25">
      <c r="A212" s="140">
        <v>9003481100</v>
      </c>
      <c r="B212" s="39" t="s">
        <v>2765</v>
      </c>
      <c r="C212" s="39" t="s">
        <v>944</v>
      </c>
      <c r="D212" s="41">
        <v>63124.477856640005</v>
      </c>
      <c r="E212" s="37">
        <v>5.6001774231838786E-4</v>
      </c>
      <c r="F212" s="41">
        <v>8987.7000000000007</v>
      </c>
      <c r="G212" s="37">
        <v>1.0996138253812943E-4</v>
      </c>
      <c r="H212" s="41">
        <v>63124.477856640005</v>
      </c>
      <c r="I212" s="37">
        <v>5.6001774231838786E-4</v>
      </c>
      <c r="J212" s="42">
        <v>8987.7000000000007</v>
      </c>
      <c r="K212" s="37">
        <v>1.0996138253812943E-4</v>
      </c>
      <c r="L212" s="38">
        <v>0</v>
      </c>
      <c r="M212" s="37">
        <v>0</v>
      </c>
      <c r="N212" s="42">
        <v>0</v>
      </c>
      <c r="O212" s="37">
        <v>0</v>
      </c>
      <c r="Q212">
        <f>VLOOKUP(Table3[[#This Row],[Census Tract]],'Population and Diversity Data'!$B$2:$K$823,10,FALSE)</f>
        <v>2</v>
      </c>
      <c r="R212" t="str">
        <f>VLOOKUP(Table3[[#This Row],[Census Tract]],'ES Energy Burden'!$B$2:$E$914,4,FALSE)</f>
        <v>No</v>
      </c>
    </row>
    <row r="213" spans="1:18" hidden="1" x14ac:dyDescent="0.25">
      <c r="A213" s="140">
        <v>9003481200</v>
      </c>
      <c r="B213" s="39" t="s">
        <v>2765</v>
      </c>
      <c r="C213" s="39" t="s">
        <v>944</v>
      </c>
      <c r="D213" s="41">
        <v>64998.361042559998</v>
      </c>
      <c r="E213" s="37">
        <v>5.7664216230219473E-4</v>
      </c>
      <c r="F213" s="41">
        <v>15440.29</v>
      </c>
      <c r="G213" s="37">
        <v>1.8890657623081038E-4</v>
      </c>
      <c r="H213" s="41">
        <v>64998.361042559998</v>
      </c>
      <c r="I213" s="37">
        <v>5.7664216230219473E-4</v>
      </c>
      <c r="J213" s="42">
        <v>15440.29</v>
      </c>
      <c r="K213" s="37">
        <v>1.8890657623081038E-4</v>
      </c>
      <c r="L213" s="38">
        <v>0</v>
      </c>
      <c r="M213" s="37">
        <v>0</v>
      </c>
      <c r="N213" s="42">
        <v>0</v>
      </c>
      <c r="O213" s="37">
        <v>0</v>
      </c>
      <c r="Q213">
        <f>VLOOKUP(Table3[[#This Row],[Census Tract]],'Population and Diversity Data'!$B$2:$K$823,10,FALSE)</f>
        <v>3</v>
      </c>
      <c r="R213" t="str">
        <f>VLOOKUP(Table3[[#This Row],[Census Tract]],'ES Energy Burden'!$B$2:$E$914,4,FALSE)</f>
        <v>No</v>
      </c>
    </row>
    <row r="214" spans="1:18" hidden="1" x14ac:dyDescent="0.25">
      <c r="A214" s="140">
        <v>9003481300</v>
      </c>
      <c r="B214" s="39" t="s">
        <v>2765</v>
      </c>
      <c r="C214" s="39" t="s">
        <v>944</v>
      </c>
      <c r="D214" s="41">
        <v>47713.246214400002</v>
      </c>
      <c r="E214" s="37">
        <v>4.2329481891879086E-4</v>
      </c>
      <c r="F214" s="41">
        <v>5946.1067999999996</v>
      </c>
      <c r="G214" s="37">
        <v>7.2748547954134272E-5</v>
      </c>
      <c r="H214" s="41">
        <v>47713.246214400002</v>
      </c>
      <c r="I214" s="37">
        <v>4.2329481891879086E-4</v>
      </c>
      <c r="J214" s="42">
        <v>5946.1067999999996</v>
      </c>
      <c r="K214" s="37">
        <v>7.2748547954134272E-5</v>
      </c>
      <c r="L214" s="38">
        <v>0</v>
      </c>
      <c r="M214" s="37">
        <v>0</v>
      </c>
      <c r="N214" s="42">
        <v>0</v>
      </c>
      <c r="O214" s="37">
        <v>0</v>
      </c>
      <c r="Q214">
        <f>VLOOKUP(Table3[[#This Row],[Census Tract]],'Population and Diversity Data'!$B$2:$K$823,10,FALSE)</f>
        <v>1</v>
      </c>
      <c r="R214" t="str">
        <f>VLOOKUP(Table3[[#This Row],[Census Tract]],'ES Energy Burden'!$B$2:$E$914,4,FALSE)</f>
        <v>No</v>
      </c>
    </row>
    <row r="215" spans="1:18" hidden="1" x14ac:dyDescent="0.25">
      <c r="A215" s="140">
        <v>9003484200</v>
      </c>
      <c r="B215" s="39" t="s">
        <v>2765</v>
      </c>
      <c r="C215" s="39" t="s">
        <v>944</v>
      </c>
      <c r="D215" s="41">
        <v>658.84648319999997</v>
      </c>
      <c r="E215" s="37">
        <v>5.8450498536244516E-6</v>
      </c>
      <c r="F215" s="41">
        <v>0</v>
      </c>
      <c r="G215" s="37">
        <v>0</v>
      </c>
      <c r="H215" s="41">
        <v>658.84648319999997</v>
      </c>
      <c r="I215" s="37">
        <v>5.8450498536244516E-6</v>
      </c>
      <c r="J215" s="42">
        <v>0</v>
      </c>
      <c r="K215" s="37">
        <v>0</v>
      </c>
      <c r="L215" s="38">
        <v>0</v>
      </c>
      <c r="M215" s="37">
        <v>0</v>
      </c>
      <c r="N215" s="42">
        <v>0</v>
      </c>
      <c r="O215" s="37">
        <v>0</v>
      </c>
      <c r="Q215">
        <f>VLOOKUP(Table3[[#This Row],[Census Tract]],'Population and Diversity Data'!$B$2:$K$823,10,FALSE)</f>
        <v>3</v>
      </c>
      <c r="R215" t="str">
        <f>VLOOKUP(Table3[[#This Row],[Census Tract]],'ES Energy Burden'!$B$2:$E$914,4,FALSE)</f>
        <v>No</v>
      </c>
    </row>
    <row r="216" spans="1:18" hidden="1" x14ac:dyDescent="0.25">
      <c r="A216" s="140">
        <v>9003524300</v>
      </c>
      <c r="B216" s="39" t="s">
        <v>2765</v>
      </c>
      <c r="C216" s="39" t="s">
        <v>944</v>
      </c>
      <c r="D216" s="41">
        <v>77128.346283840016</v>
      </c>
      <c r="E216" s="37">
        <v>6.8425504370462601E-4</v>
      </c>
      <c r="F216" s="41">
        <v>31690.293099999999</v>
      </c>
      <c r="G216" s="37">
        <v>3.8771971052822671E-4</v>
      </c>
      <c r="H216" s="41">
        <v>77128.346283840016</v>
      </c>
      <c r="I216" s="37">
        <v>6.8425504370462601E-4</v>
      </c>
      <c r="J216" s="42">
        <v>31690.293099999999</v>
      </c>
      <c r="K216" s="37">
        <v>3.8771971052822671E-4</v>
      </c>
      <c r="L216" s="38">
        <v>0</v>
      </c>
      <c r="M216" s="37">
        <v>0</v>
      </c>
      <c r="N216" s="42">
        <v>0</v>
      </c>
      <c r="O216" s="37">
        <v>0</v>
      </c>
      <c r="Q216">
        <f>VLOOKUP(Table3[[#This Row],[Census Tract]],'Population and Diversity Data'!$B$2:$K$823,10,FALSE)</f>
        <v>4</v>
      </c>
      <c r="R216" t="str">
        <f>VLOOKUP(Table3[[#This Row],[Census Tract]],'ES Energy Burden'!$B$2:$E$914,4,FALSE)</f>
        <v>No</v>
      </c>
    </row>
    <row r="217" spans="1:18" hidden="1" x14ac:dyDescent="0.25">
      <c r="A217" s="140">
        <v>9007630100</v>
      </c>
      <c r="B217" s="39" t="s">
        <v>2766</v>
      </c>
      <c r="C217" s="39" t="s">
        <v>944</v>
      </c>
      <c r="D217" s="41">
        <v>243904.75794719998</v>
      </c>
      <c r="E217" s="37">
        <v>2.1638355915832089E-3</v>
      </c>
      <c r="F217" s="41">
        <v>111069.48940000001</v>
      </c>
      <c r="G217" s="37">
        <v>1.3588965599906663E-3</v>
      </c>
      <c r="H217" s="41">
        <v>175416.2494992</v>
      </c>
      <c r="I217" s="37">
        <v>1.5562300924468976E-3</v>
      </c>
      <c r="J217" s="42">
        <v>96197.329400000002</v>
      </c>
      <c r="K217" s="37">
        <v>1.1769408566485134E-3</v>
      </c>
      <c r="L217" s="38">
        <v>68488.508447999993</v>
      </c>
      <c r="M217" s="37">
        <v>6.0760549913631138E-4</v>
      </c>
      <c r="N217" s="42">
        <v>14872.16</v>
      </c>
      <c r="O217" s="37">
        <v>1.819557033421528E-4</v>
      </c>
      <c r="Q217">
        <f>VLOOKUP(Table3[[#This Row],[Census Tract]],'Population and Diversity Data'!$B$2:$K$823,10,FALSE)</f>
        <v>2</v>
      </c>
      <c r="R217" t="str">
        <f>VLOOKUP(Table3[[#This Row],[Census Tract]],'ES Energy Burden'!$B$2:$E$914,4,FALSE)</f>
        <v>No</v>
      </c>
    </row>
    <row r="218" spans="1:18" hidden="1" x14ac:dyDescent="0.25">
      <c r="A218" s="140">
        <v>9007670100</v>
      </c>
      <c r="B218" s="39" t="s">
        <v>2766</v>
      </c>
      <c r="C218" s="39" t="s">
        <v>944</v>
      </c>
      <c r="D218" s="41">
        <v>449.22824639999999</v>
      </c>
      <c r="E218" s="37">
        <v>3.9853919886026175E-6</v>
      </c>
      <c r="F218" s="41">
        <v>0</v>
      </c>
      <c r="G218" s="37">
        <v>0</v>
      </c>
      <c r="H218" s="41">
        <v>449.22824639999999</v>
      </c>
      <c r="I218" s="37">
        <v>3.9853919886026175E-6</v>
      </c>
      <c r="J218" s="42">
        <v>0</v>
      </c>
      <c r="K218" s="37">
        <v>0</v>
      </c>
      <c r="L218" s="38">
        <v>0</v>
      </c>
      <c r="M218" s="37">
        <v>0</v>
      </c>
      <c r="N218" s="42">
        <v>0</v>
      </c>
      <c r="O218" s="37">
        <v>0</v>
      </c>
      <c r="Q218">
        <f>VLOOKUP(Table3[[#This Row],[Census Tract]],'Population and Diversity Data'!$B$2:$K$823,10,FALSE)</f>
        <v>2</v>
      </c>
      <c r="R218" t="str">
        <f>VLOOKUP(Table3[[#This Row],[Census Tract]],'ES Energy Burden'!$B$2:$E$914,4,FALSE)</f>
        <v>No</v>
      </c>
    </row>
    <row r="219" spans="1:18" hidden="1" x14ac:dyDescent="0.25">
      <c r="A219" s="140">
        <v>9003406002</v>
      </c>
      <c r="B219" s="39" t="s">
        <v>2767</v>
      </c>
      <c r="C219" s="39" t="s">
        <v>944</v>
      </c>
      <c r="D219" s="41">
        <v>1028.8434240000001</v>
      </c>
      <c r="E219" s="37">
        <v>9.127530097217162E-6</v>
      </c>
      <c r="F219" s="41">
        <v>0</v>
      </c>
      <c r="G219" s="37">
        <v>0</v>
      </c>
      <c r="H219" s="41">
        <v>1028.8434240000001</v>
      </c>
      <c r="I219" s="37">
        <v>9.127530097217162E-6</v>
      </c>
      <c r="J219" s="42">
        <v>0</v>
      </c>
      <c r="K219" s="37">
        <v>0</v>
      </c>
      <c r="L219" s="38">
        <v>0</v>
      </c>
      <c r="M219" s="37">
        <v>0</v>
      </c>
      <c r="N219" s="42">
        <v>0</v>
      </c>
      <c r="O219" s="37">
        <v>0</v>
      </c>
      <c r="Q219">
        <f>VLOOKUP(Table3[[#This Row],[Census Tract]],'Population and Diversity Data'!$B$2:$K$823,10,FALSE)</f>
        <v>2</v>
      </c>
      <c r="R219" t="str">
        <f>VLOOKUP(Table3[[#This Row],[Census Tract]],'ES Energy Burden'!$B$2:$E$914,4,FALSE)</f>
        <v>No</v>
      </c>
    </row>
    <row r="220" spans="1:18" hidden="1" x14ac:dyDescent="0.25">
      <c r="A220" s="140">
        <v>9003410101</v>
      </c>
      <c r="B220" s="39" t="s">
        <v>2767</v>
      </c>
      <c r="C220" s="39" t="s">
        <v>944</v>
      </c>
      <c r="D220" s="41">
        <v>170.59593599999999</v>
      </c>
      <c r="E220" s="37">
        <v>1.513465998790242E-6</v>
      </c>
      <c r="F220" s="41">
        <v>0</v>
      </c>
      <c r="G220" s="37">
        <v>0</v>
      </c>
      <c r="H220" s="41">
        <v>170.59593599999999</v>
      </c>
      <c r="I220" s="37">
        <v>1.513465998790242E-6</v>
      </c>
      <c r="J220" s="42">
        <v>0</v>
      </c>
      <c r="K220" s="37">
        <v>0</v>
      </c>
      <c r="L220" s="38">
        <v>0</v>
      </c>
      <c r="M220" s="37">
        <v>0</v>
      </c>
      <c r="N220" s="42">
        <v>0</v>
      </c>
      <c r="O220" s="37">
        <v>0</v>
      </c>
      <c r="Q220">
        <f>VLOOKUP(Table3[[#This Row],[Census Tract]],'Population and Diversity Data'!$B$2:$K$823,10,FALSE)</f>
        <v>1</v>
      </c>
      <c r="R220" t="str">
        <f>VLOOKUP(Table3[[#This Row],[Census Tract]],'ES Energy Burden'!$B$2:$E$914,4,FALSE)</f>
        <v>No</v>
      </c>
    </row>
    <row r="221" spans="1:18" hidden="1" x14ac:dyDescent="0.25">
      <c r="A221" s="140">
        <v>9003410102</v>
      </c>
      <c r="B221" s="39" t="s">
        <v>2767</v>
      </c>
      <c r="C221" s="39" t="s">
        <v>944</v>
      </c>
      <c r="D221" s="41">
        <v>37.430380799999995</v>
      </c>
      <c r="E221" s="37">
        <v>3.3206892257135066E-7</v>
      </c>
      <c r="F221" s="41">
        <v>361.58</v>
      </c>
      <c r="G221" s="37">
        <v>4.423805500643861E-6</v>
      </c>
      <c r="H221" s="41">
        <v>37.430380799999995</v>
      </c>
      <c r="I221" s="37">
        <v>3.3206892257135066E-7</v>
      </c>
      <c r="J221" s="42">
        <v>361.58</v>
      </c>
      <c r="K221" s="37">
        <v>4.423805500643861E-6</v>
      </c>
      <c r="L221" s="38">
        <v>0</v>
      </c>
      <c r="M221" s="37">
        <v>0</v>
      </c>
      <c r="N221" s="42">
        <v>0</v>
      </c>
      <c r="O221" s="37">
        <v>0</v>
      </c>
      <c r="Q221">
        <f>VLOOKUP(Table3[[#This Row],[Census Tract]],'Population and Diversity Data'!$B$2:$K$823,10,FALSE)</f>
        <v>2</v>
      </c>
      <c r="R221" t="str">
        <f>VLOOKUP(Table3[[#This Row],[Census Tract]],'ES Energy Burden'!$B$2:$E$914,4,FALSE)</f>
        <v>No</v>
      </c>
    </row>
    <row r="222" spans="1:18" hidden="1" x14ac:dyDescent="0.25">
      <c r="A222" s="140">
        <v>9003420600</v>
      </c>
      <c r="B222" s="39" t="s">
        <v>2767</v>
      </c>
      <c r="C222" s="39" t="s">
        <v>944</v>
      </c>
      <c r="D222" s="41">
        <v>1096.0629696000001</v>
      </c>
      <c r="E222" s="37">
        <v>9.7238778127907042E-6</v>
      </c>
      <c r="F222" s="41">
        <v>1548.06</v>
      </c>
      <c r="G222" s="37">
        <v>1.8939975505632879E-5</v>
      </c>
      <c r="H222" s="41">
        <v>1096.0629696000001</v>
      </c>
      <c r="I222" s="37">
        <v>9.7238778127907042E-6</v>
      </c>
      <c r="J222" s="42">
        <v>1548.06</v>
      </c>
      <c r="K222" s="37">
        <v>1.8939975505632879E-5</v>
      </c>
      <c r="L222" s="38">
        <v>0</v>
      </c>
      <c r="M222" s="37">
        <v>0</v>
      </c>
      <c r="N222" s="42">
        <v>0</v>
      </c>
      <c r="O222" s="37">
        <v>0</v>
      </c>
      <c r="Q222">
        <f>VLOOKUP(Table3[[#This Row],[Census Tract]],'Population and Diversity Data'!$B$2:$K$823,10,FALSE)</f>
        <v>3</v>
      </c>
      <c r="R222" t="str">
        <f>VLOOKUP(Table3[[#This Row],[Census Tract]],'ES Energy Burden'!$B$2:$E$914,4,FALSE)</f>
        <v>No</v>
      </c>
    </row>
    <row r="223" spans="1:18" hidden="1" x14ac:dyDescent="0.25">
      <c r="A223" s="140">
        <v>9003460100</v>
      </c>
      <c r="B223" s="39" t="s">
        <v>2767</v>
      </c>
      <c r="C223" s="39" t="s">
        <v>944</v>
      </c>
      <c r="D223" s="41">
        <v>58080.654737279998</v>
      </c>
      <c r="E223" s="37">
        <v>5.1527075142252324E-4</v>
      </c>
      <c r="F223" s="41">
        <v>4140.0200000000004</v>
      </c>
      <c r="G223" s="37">
        <v>5.0651704322074235E-5</v>
      </c>
      <c r="H223" s="41">
        <v>58080.654737279998</v>
      </c>
      <c r="I223" s="37">
        <v>5.1527075142252324E-4</v>
      </c>
      <c r="J223" s="42">
        <v>4140.0200000000004</v>
      </c>
      <c r="K223" s="37">
        <v>5.0651704322074235E-5</v>
      </c>
      <c r="L223" s="38">
        <v>0</v>
      </c>
      <c r="M223" s="37">
        <v>0</v>
      </c>
      <c r="N223" s="42">
        <v>0</v>
      </c>
      <c r="O223" s="37">
        <v>0</v>
      </c>
      <c r="Q223">
        <f>VLOOKUP(Table3[[#This Row],[Census Tract]],'Population and Diversity Data'!$B$2:$K$823,10,FALSE)</f>
        <v>3</v>
      </c>
      <c r="R223" t="str">
        <f>VLOOKUP(Table3[[#This Row],[Census Tract]],'ES Energy Burden'!$B$2:$E$914,4,FALSE)</f>
        <v>No</v>
      </c>
    </row>
    <row r="224" spans="1:18" hidden="1" x14ac:dyDescent="0.25">
      <c r="A224" s="140">
        <v>9003460202</v>
      </c>
      <c r="B224" s="39" t="s">
        <v>2767</v>
      </c>
      <c r="C224" s="39" t="s">
        <v>944</v>
      </c>
      <c r="D224" s="41">
        <v>92611.060343999998</v>
      </c>
      <c r="E224" s="37">
        <v>8.2161213349511058E-4</v>
      </c>
      <c r="F224" s="41">
        <v>17059.78</v>
      </c>
      <c r="G224" s="37">
        <v>2.087204729348253E-4</v>
      </c>
      <c r="H224" s="41">
        <v>92611.060343999998</v>
      </c>
      <c r="I224" s="37">
        <v>8.2161213349511058E-4</v>
      </c>
      <c r="J224" s="42">
        <v>17059.78</v>
      </c>
      <c r="K224" s="37">
        <v>2.087204729348253E-4</v>
      </c>
      <c r="L224" s="38">
        <v>0</v>
      </c>
      <c r="M224" s="37">
        <v>0</v>
      </c>
      <c r="N224" s="42">
        <v>0</v>
      </c>
      <c r="O224" s="37">
        <v>0</v>
      </c>
      <c r="Q224">
        <f>VLOOKUP(Table3[[#This Row],[Census Tract]],'Population and Diversity Data'!$B$2:$K$823,10,FALSE)</f>
        <v>4</v>
      </c>
      <c r="R224" t="str">
        <f>VLOOKUP(Table3[[#This Row],[Census Tract]],'ES Energy Burden'!$B$2:$E$914,4,FALSE)</f>
        <v>No</v>
      </c>
    </row>
    <row r="225" spans="1:18" hidden="1" x14ac:dyDescent="0.25">
      <c r="A225" s="140">
        <v>9003460203</v>
      </c>
      <c r="B225" s="39" t="s">
        <v>2767</v>
      </c>
      <c r="C225" s="39" t="s">
        <v>944</v>
      </c>
      <c r="D225" s="41">
        <v>101702.457576</v>
      </c>
      <c r="E225" s="37">
        <v>9.0226775117716203E-4</v>
      </c>
      <c r="F225" s="41">
        <v>21242.799999999999</v>
      </c>
      <c r="G225" s="37">
        <v>2.5989826729652476E-4</v>
      </c>
      <c r="H225" s="41">
        <v>101695.72983264001</v>
      </c>
      <c r="I225" s="37">
        <v>9.0220806504944591E-4</v>
      </c>
      <c r="J225" s="42">
        <v>21242.799999999999</v>
      </c>
      <c r="K225" s="37">
        <v>2.5989826729652476E-4</v>
      </c>
      <c r="L225" s="38">
        <v>6.7277433599999998</v>
      </c>
      <c r="M225" s="37">
        <v>5.9686127716118744E-8</v>
      </c>
      <c r="N225" s="42">
        <v>0</v>
      </c>
      <c r="O225" s="37">
        <v>0</v>
      </c>
      <c r="Q225">
        <f>VLOOKUP(Table3[[#This Row],[Census Tract]],'Population and Diversity Data'!$B$2:$K$823,10,FALSE)</f>
        <v>5</v>
      </c>
      <c r="R225" t="str">
        <f>VLOOKUP(Table3[[#This Row],[Census Tract]],'ES Energy Burden'!$B$2:$E$914,4,FALSE)</f>
        <v>No</v>
      </c>
    </row>
    <row r="226" spans="1:18" hidden="1" x14ac:dyDescent="0.25">
      <c r="A226" s="140">
        <v>9003460204</v>
      </c>
      <c r="B226" s="39" t="s">
        <v>2767</v>
      </c>
      <c r="C226" s="39" t="s">
        <v>944</v>
      </c>
      <c r="D226" s="41">
        <v>197109.42727680001</v>
      </c>
      <c r="E226" s="37">
        <v>1.7486841903693105E-3</v>
      </c>
      <c r="F226" s="41">
        <v>142165.11420000001</v>
      </c>
      <c r="G226" s="37">
        <v>1.7393407107628264E-3</v>
      </c>
      <c r="H226" s="41">
        <v>122782.0920192</v>
      </c>
      <c r="I226" s="37">
        <v>1.0892787125444416E-3</v>
      </c>
      <c r="J226" s="42">
        <v>95321.2546</v>
      </c>
      <c r="K226" s="37">
        <v>1.1662223862706842E-3</v>
      </c>
      <c r="L226" s="38">
        <v>74327.335257600003</v>
      </c>
      <c r="M226" s="37">
        <v>6.5940547782486893E-4</v>
      </c>
      <c r="N226" s="42">
        <v>46843.859600000003</v>
      </c>
      <c r="O226" s="37">
        <v>5.7311832449214221E-4</v>
      </c>
      <c r="Q226">
        <f>VLOOKUP(Table3[[#This Row],[Census Tract]],'Population and Diversity Data'!$B$2:$K$823,10,FALSE)</f>
        <v>4</v>
      </c>
      <c r="R226" t="str">
        <f>VLOOKUP(Table3[[#This Row],[Census Tract]],'ES Energy Burden'!$B$2:$E$914,4,FALSE)</f>
        <v>No</v>
      </c>
    </row>
    <row r="227" spans="1:18" hidden="1" x14ac:dyDescent="0.25">
      <c r="A227" s="140">
        <v>9003460301</v>
      </c>
      <c r="B227" s="39" t="s">
        <v>2767</v>
      </c>
      <c r="C227" s="39" t="s">
        <v>944</v>
      </c>
      <c r="D227" s="41">
        <v>85855.085585280001</v>
      </c>
      <c r="E227" s="37">
        <v>7.6167554692831315E-4</v>
      </c>
      <c r="F227" s="41">
        <v>15872.5816</v>
      </c>
      <c r="G227" s="37">
        <v>1.9419551355577891E-4</v>
      </c>
      <c r="H227" s="41">
        <v>85855.085585280001</v>
      </c>
      <c r="I227" s="37">
        <v>7.6167554692831315E-4</v>
      </c>
      <c r="J227" s="42">
        <v>15872.5816</v>
      </c>
      <c r="K227" s="37">
        <v>1.9419551355577891E-4</v>
      </c>
      <c r="L227" s="38">
        <v>0</v>
      </c>
      <c r="M227" s="37">
        <v>0</v>
      </c>
      <c r="N227" s="42">
        <v>0</v>
      </c>
      <c r="O227" s="37">
        <v>0</v>
      </c>
      <c r="Q227">
        <f>VLOOKUP(Table3[[#This Row],[Census Tract]],'Population and Diversity Data'!$B$2:$K$823,10,FALSE)</f>
        <v>3</v>
      </c>
      <c r="R227" t="str">
        <f>VLOOKUP(Table3[[#This Row],[Census Tract]],'ES Energy Burden'!$B$2:$E$914,4,FALSE)</f>
        <v>No</v>
      </c>
    </row>
    <row r="228" spans="1:18" hidden="1" x14ac:dyDescent="0.25">
      <c r="A228" s="140">
        <v>9003460302</v>
      </c>
      <c r="B228" s="39" t="s">
        <v>2767</v>
      </c>
      <c r="C228" s="39" t="s">
        <v>944</v>
      </c>
      <c r="D228" s="41">
        <v>62555.017970879999</v>
      </c>
      <c r="E228" s="37">
        <v>5.5496569831909378E-4</v>
      </c>
      <c r="F228" s="41">
        <v>11949.12</v>
      </c>
      <c r="G228" s="37">
        <v>1.4619332591363899E-4</v>
      </c>
      <c r="H228" s="41">
        <v>62555.017970879999</v>
      </c>
      <c r="I228" s="37">
        <v>5.5496569831909378E-4</v>
      </c>
      <c r="J228" s="42">
        <v>11949.12</v>
      </c>
      <c r="K228" s="37">
        <v>1.4619332591363899E-4</v>
      </c>
      <c r="L228" s="38">
        <v>0</v>
      </c>
      <c r="M228" s="37">
        <v>0</v>
      </c>
      <c r="N228" s="42">
        <v>0</v>
      </c>
      <c r="O228" s="37">
        <v>0</v>
      </c>
      <c r="Q228">
        <f>VLOOKUP(Table3[[#This Row],[Census Tract]],'Population and Diversity Data'!$B$2:$K$823,10,FALSE)</f>
        <v>3</v>
      </c>
      <c r="R228" t="str">
        <f>VLOOKUP(Table3[[#This Row],[Census Tract]],'ES Energy Burden'!$B$2:$E$914,4,FALSE)</f>
        <v>No</v>
      </c>
    </row>
    <row r="229" spans="1:18" hidden="1" x14ac:dyDescent="0.25">
      <c r="A229" s="140">
        <v>9003462101</v>
      </c>
      <c r="B229" s="39" t="s">
        <v>2767</v>
      </c>
      <c r="C229" s="39" t="s">
        <v>944</v>
      </c>
      <c r="D229" s="41">
        <v>634.86348480000004</v>
      </c>
      <c r="E229" s="37">
        <v>5.6322812878630688E-6</v>
      </c>
      <c r="F229" s="41">
        <v>599.75</v>
      </c>
      <c r="G229" s="37">
        <v>7.3377325875633496E-6</v>
      </c>
      <c r="H229" s="41">
        <v>634.86348480000004</v>
      </c>
      <c r="I229" s="37">
        <v>5.6322812878630688E-6</v>
      </c>
      <c r="J229" s="42">
        <v>599.75</v>
      </c>
      <c r="K229" s="37">
        <v>7.3377325875633496E-6</v>
      </c>
      <c r="L229" s="38">
        <v>0</v>
      </c>
      <c r="M229" s="37">
        <v>0</v>
      </c>
      <c r="N229" s="42">
        <v>0</v>
      </c>
      <c r="O229" s="37">
        <v>0</v>
      </c>
      <c r="Q229">
        <f>VLOOKUP(Table3[[#This Row],[Census Tract]],'Population and Diversity Data'!$B$2:$K$823,10,FALSE)</f>
        <v>4</v>
      </c>
      <c r="R229" t="str">
        <f>VLOOKUP(Table3[[#This Row],[Census Tract]],'ES Energy Burden'!$B$2:$E$914,4,FALSE)</f>
        <v>No</v>
      </c>
    </row>
    <row r="230" spans="1:18" hidden="1" x14ac:dyDescent="0.25">
      <c r="A230" s="140">
        <v>9003496200</v>
      </c>
      <c r="B230" s="39" t="s">
        <v>2767</v>
      </c>
      <c r="C230" s="39" t="s">
        <v>944</v>
      </c>
      <c r="D230" s="41">
        <v>151394.14717631997</v>
      </c>
      <c r="E230" s="37">
        <v>1.3431146106974436E-3</v>
      </c>
      <c r="F230" s="41">
        <v>61.31</v>
      </c>
      <c r="G230" s="37">
        <v>7.5010651928888531E-7</v>
      </c>
      <c r="H230" s="41">
        <v>5802.2531712</v>
      </c>
      <c r="I230" s="37">
        <v>5.1475510477483219E-5</v>
      </c>
      <c r="J230" s="42">
        <v>61.31</v>
      </c>
      <c r="K230" s="37">
        <v>7.5010651928888531E-7</v>
      </c>
      <c r="L230" s="38">
        <v>145591.89400511998</v>
      </c>
      <c r="M230" s="37">
        <v>1.2916391002199604E-3</v>
      </c>
      <c r="N230" s="42">
        <v>0</v>
      </c>
      <c r="O230" s="37">
        <v>0</v>
      </c>
      <c r="Q230">
        <f>VLOOKUP(Table3[[#This Row],[Census Tract]],'Population and Diversity Data'!$B$2:$K$823,10,FALSE)</f>
        <v>5</v>
      </c>
      <c r="R230" t="str">
        <f>VLOOKUP(Table3[[#This Row],[Census Tract]],'ES Energy Burden'!$B$2:$E$914,4,FALSE)</f>
        <v>No</v>
      </c>
    </row>
    <row r="231" spans="1:18" hidden="1" x14ac:dyDescent="0.25">
      <c r="A231" s="140">
        <v>9011712100</v>
      </c>
      <c r="B231" s="39" t="s">
        <v>2768</v>
      </c>
      <c r="C231" s="39" t="s">
        <v>944</v>
      </c>
      <c r="D231" s="41">
        <v>45315.20629152</v>
      </c>
      <c r="E231" s="37">
        <v>4.0202026823418102E-4</v>
      </c>
      <c r="F231" s="41">
        <v>14386.054400000001</v>
      </c>
      <c r="G231" s="37">
        <v>1.7600837044991932E-4</v>
      </c>
      <c r="H231" s="41">
        <v>40434.531238080002</v>
      </c>
      <c r="I231" s="37">
        <v>3.5872066850324027E-4</v>
      </c>
      <c r="J231" s="42">
        <v>13070.7744</v>
      </c>
      <c r="K231" s="37">
        <v>1.5991637725647152E-4</v>
      </c>
      <c r="L231" s="38">
        <v>4880.6750534399998</v>
      </c>
      <c r="M231" s="37">
        <v>4.3299599730940758E-5</v>
      </c>
      <c r="N231" s="42">
        <v>1315.28</v>
      </c>
      <c r="O231" s="37">
        <v>1.6091993193447806E-5</v>
      </c>
      <c r="Q231">
        <f>VLOOKUP(Table3[[#This Row],[Census Tract]],'Population and Diversity Data'!$B$2:$K$823,10,FALSE)</f>
        <v>1</v>
      </c>
      <c r="R231" t="str">
        <f>VLOOKUP(Table3[[#This Row],[Census Tract]],'ES Energy Burden'!$B$2:$E$914,4,FALSE)</f>
        <v>No</v>
      </c>
    </row>
    <row r="232" spans="1:18" hidden="1" x14ac:dyDescent="0.25">
      <c r="A232" s="140">
        <v>9011870100</v>
      </c>
      <c r="B232" s="39" t="s">
        <v>2768</v>
      </c>
      <c r="C232" s="39" t="s">
        <v>944</v>
      </c>
      <c r="D232" s="41">
        <v>49.980499199999997</v>
      </c>
      <c r="E232" s="37">
        <v>4.4340907477281809E-7</v>
      </c>
      <c r="F232" s="41">
        <v>0</v>
      </c>
      <c r="G232" s="37">
        <v>0</v>
      </c>
      <c r="H232" s="41">
        <v>49.980499199999997</v>
      </c>
      <c r="I232" s="37">
        <v>4.4340907477281809E-7</v>
      </c>
      <c r="J232" s="42">
        <v>0</v>
      </c>
      <c r="K232" s="37">
        <v>0</v>
      </c>
      <c r="L232" s="38">
        <v>0</v>
      </c>
      <c r="M232" s="37">
        <v>0</v>
      </c>
      <c r="N232" s="42">
        <v>0</v>
      </c>
      <c r="O232" s="37">
        <v>0</v>
      </c>
      <c r="Q232">
        <f>VLOOKUP(Table3[[#This Row],[Census Tract]],'Population and Diversity Data'!$B$2:$K$823,10,FALSE)</f>
        <v>1</v>
      </c>
      <c r="R232" t="str">
        <f>VLOOKUP(Table3[[#This Row],[Census Tract]],'ES Energy Burden'!$B$2:$E$914,4,FALSE)</f>
        <v>No</v>
      </c>
    </row>
    <row r="233" spans="1:18" hidden="1" x14ac:dyDescent="0.25">
      <c r="A233" s="140">
        <v>9003510700</v>
      </c>
      <c r="B233" s="39" t="s">
        <v>2769</v>
      </c>
      <c r="C233" s="39" t="s">
        <v>944</v>
      </c>
      <c r="D233" s="41">
        <v>132.70245120000001</v>
      </c>
      <c r="E233" s="37">
        <v>1.1772885835177304E-6</v>
      </c>
      <c r="F233" s="41">
        <v>0</v>
      </c>
      <c r="G233" s="37">
        <v>0</v>
      </c>
      <c r="H233" s="41">
        <v>132.70245120000001</v>
      </c>
      <c r="I233" s="37">
        <v>1.1772885835177304E-6</v>
      </c>
      <c r="J233" s="42">
        <v>0</v>
      </c>
      <c r="K233" s="37">
        <v>0</v>
      </c>
      <c r="L233" s="38">
        <v>0</v>
      </c>
      <c r="M233" s="37">
        <v>0</v>
      </c>
      <c r="N233" s="42">
        <v>0</v>
      </c>
      <c r="O233" s="37">
        <v>0</v>
      </c>
      <c r="Q233">
        <f>VLOOKUP(Table3[[#This Row],[Census Tract]],'Population and Diversity Data'!$B$2:$K$823,10,FALSE)</f>
        <v>5</v>
      </c>
      <c r="R233" t="str">
        <f>VLOOKUP(Table3[[#This Row],[Census Tract]],'ES Energy Burden'!$B$2:$E$914,4,FALSE)</f>
        <v>No</v>
      </c>
    </row>
    <row r="234" spans="1:18" hidden="1" x14ac:dyDescent="0.25">
      <c r="A234" s="140">
        <v>9003520100</v>
      </c>
      <c r="B234" s="39" t="s">
        <v>2769</v>
      </c>
      <c r="C234" s="39" t="s">
        <v>944</v>
      </c>
      <c r="D234" s="41">
        <v>99045.453948480019</v>
      </c>
      <c r="E234" s="37">
        <v>8.7869576732337419E-4</v>
      </c>
      <c r="F234" s="41">
        <v>7809.0663999999997</v>
      </c>
      <c r="G234" s="37">
        <v>9.5541210507254706E-5</v>
      </c>
      <c r="H234" s="41">
        <v>99045.453948480019</v>
      </c>
      <c r="I234" s="37">
        <v>8.7869576732337419E-4</v>
      </c>
      <c r="J234" s="42">
        <v>7809.0663999999997</v>
      </c>
      <c r="K234" s="37">
        <v>9.5541210507254706E-5</v>
      </c>
      <c r="L234" s="38">
        <v>0</v>
      </c>
      <c r="M234" s="37">
        <v>0</v>
      </c>
      <c r="N234" s="42">
        <v>0</v>
      </c>
      <c r="O234" s="37">
        <v>0</v>
      </c>
      <c r="Q234">
        <f>VLOOKUP(Table3[[#This Row],[Census Tract]],'Population and Diversity Data'!$B$2:$K$823,10,FALSE)</f>
        <v>4</v>
      </c>
      <c r="R234" t="str">
        <f>VLOOKUP(Table3[[#This Row],[Census Tract]],'ES Energy Burden'!$B$2:$E$914,4,FALSE)</f>
        <v>No</v>
      </c>
    </row>
    <row r="235" spans="1:18" hidden="1" x14ac:dyDescent="0.25">
      <c r="A235" s="140">
        <v>9003520201</v>
      </c>
      <c r="B235" s="39" t="s">
        <v>2769</v>
      </c>
      <c r="C235" s="39" t="s">
        <v>944</v>
      </c>
      <c r="D235" s="41">
        <v>82610.552332799998</v>
      </c>
      <c r="E235" s="37">
        <v>7.3289121082564768E-4</v>
      </c>
      <c r="F235" s="41">
        <v>23410.549800000001</v>
      </c>
      <c r="G235" s="37">
        <v>2.8641993190535166E-4</v>
      </c>
      <c r="H235" s="41">
        <v>82572.919343999994</v>
      </c>
      <c r="I235" s="37">
        <v>7.3255734443751963E-4</v>
      </c>
      <c r="J235" s="42">
        <v>23410.549800000001</v>
      </c>
      <c r="K235" s="37">
        <v>2.8641993190535166E-4</v>
      </c>
      <c r="L235" s="38">
        <v>37.6329888</v>
      </c>
      <c r="M235" s="37">
        <v>3.3386638812810869E-7</v>
      </c>
      <c r="N235" s="42">
        <v>0</v>
      </c>
      <c r="O235" s="37">
        <v>0</v>
      </c>
      <c r="Q235">
        <f>VLOOKUP(Table3[[#This Row],[Census Tract]],'Population and Diversity Data'!$B$2:$K$823,10,FALSE)</f>
        <v>4</v>
      </c>
      <c r="R235" t="str">
        <f>VLOOKUP(Table3[[#This Row],[Census Tract]],'ES Energy Burden'!$B$2:$E$914,4,FALSE)</f>
        <v>No</v>
      </c>
    </row>
    <row r="236" spans="1:18" hidden="1" x14ac:dyDescent="0.25">
      <c r="A236" s="140">
        <v>9003520202</v>
      </c>
      <c r="B236" s="39" t="s">
        <v>2769</v>
      </c>
      <c r="C236" s="39" t="s">
        <v>944</v>
      </c>
      <c r="D236" s="41">
        <v>92569.522809600006</v>
      </c>
      <c r="E236" s="37">
        <v>8.2124362737789587E-4</v>
      </c>
      <c r="F236" s="41">
        <v>20573.626</v>
      </c>
      <c r="G236" s="37">
        <v>2.5171115622266046E-4</v>
      </c>
      <c r="H236" s="41">
        <v>92512.798358400003</v>
      </c>
      <c r="I236" s="37">
        <v>8.2074038837816235E-4</v>
      </c>
      <c r="J236" s="42">
        <v>20573.626</v>
      </c>
      <c r="K236" s="37">
        <v>2.5171115622266046E-4</v>
      </c>
      <c r="L236" s="38">
        <v>56.724451200000004</v>
      </c>
      <c r="M236" s="37">
        <v>5.0323899973347751E-7</v>
      </c>
      <c r="N236" s="42">
        <v>0</v>
      </c>
      <c r="O236" s="37">
        <v>0</v>
      </c>
      <c r="Q236">
        <f>VLOOKUP(Table3[[#This Row],[Census Tract]],'Population and Diversity Data'!$B$2:$K$823,10,FALSE)</f>
        <v>2</v>
      </c>
      <c r="R236" t="str">
        <f>VLOOKUP(Table3[[#This Row],[Census Tract]],'ES Energy Burden'!$B$2:$E$914,4,FALSE)</f>
        <v>No</v>
      </c>
    </row>
    <row r="237" spans="1:18" hidden="1" x14ac:dyDescent="0.25">
      <c r="A237" s="140">
        <v>9003520301</v>
      </c>
      <c r="B237" s="39" t="s">
        <v>2769</v>
      </c>
      <c r="C237" s="39" t="s">
        <v>944</v>
      </c>
      <c r="D237" s="41">
        <v>90725.333852160009</v>
      </c>
      <c r="E237" s="37">
        <v>8.0488264394608735E-4</v>
      </c>
      <c r="F237" s="41">
        <v>19678.828099999999</v>
      </c>
      <c r="G237" s="37">
        <v>2.4076361523039157E-4</v>
      </c>
      <c r="H237" s="41">
        <v>90718.103640960006</v>
      </c>
      <c r="I237" s="37">
        <v>8.0481850010379042E-4</v>
      </c>
      <c r="J237" s="42">
        <v>19678.828099999999</v>
      </c>
      <c r="K237" s="37">
        <v>2.4076361523039157E-4</v>
      </c>
      <c r="L237" s="38">
        <v>7.2302111999999994</v>
      </c>
      <c r="M237" s="37">
        <v>6.4143842296878594E-8</v>
      </c>
      <c r="N237" s="42">
        <v>0</v>
      </c>
      <c r="O237" s="37">
        <v>0</v>
      </c>
      <c r="Q237">
        <f>VLOOKUP(Table3[[#This Row],[Census Tract]],'Population and Diversity Data'!$B$2:$K$823,10,FALSE)</f>
        <v>4</v>
      </c>
      <c r="R237" t="str">
        <f>VLOOKUP(Table3[[#This Row],[Census Tract]],'ES Energy Burden'!$B$2:$E$914,4,FALSE)</f>
        <v>No</v>
      </c>
    </row>
    <row r="238" spans="1:18" hidden="1" x14ac:dyDescent="0.25">
      <c r="A238" s="140">
        <v>9003520302</v>
      </c>
      <c r="B238" s="39" t="s">
        <v>2769</v>
      </c>
      <c r="C238" s="39" t="s">
        <v>944</v>
      </c>
      <c r="D238" s="41">
        <v>57957.166319040007</v>
      </c>
      <c r="E238" s="37">
        <v>5.1417520643691104E-4</v>
      </c>
      <c r="F238" s="41">
        <v>28100.66</v>
      </c>
      <c r="G238" s="37">
        <v>3.4380179843941297E-4</v>
      </c>
      <c r="H238" s="41">
        <v>57957.166319040007</v>
      </c>
      <c r="I238" s="37">
        <v>5.1417520643691104E-4</v>
      </c>
      <c r="J238" s="42">
        <v>28100.66</v>
      </c>
      <c r="K238" s="37">
        <v>3.4380179843941297E-4</v>
      </c>
      <c r="L238" s="38">
        <v>0</v>
      </c>
      <c r="M238" s="37">
        <v>0</v>
      </c>
      <c r="N238" s="42">
        <v>0</v>
      </c>
      <c r="O238" s="37">
        <v>0</v>
      </c>
      <c r="Q238">
        <f>VLOOKUP(Table3[[#This Row],[Census Tract]],'Population and Diversity Data'!$B$2:$K$823,10,FALSE)</f>
        <v>5</v>
      </c>
      <c r="R238" t="str">
        <f>VLOOKUP(Table3[[#This Row],[Census Tract]],'ES Energy Burden'!$B$2:$E$914,4,FALSE)</f>
        <v>No</v>
      </c>
    </row>
    <row r="239" spans="1:18" hidden="1" x14ac:dyDescent="0.25">
      <c r="A239" s="140">
        <v>9003520400</v>
      </c>
      <c r="B239" s="39" t="s">
        <v>2769</v>
      </c>
      <c r="C239" s="39" t="s">
        <v>944</v>
      </c>
      <c r="D239" s="41">
        <v>409220.56738080003</v>
      </c>
      <c r="E239" s="37">
        <v>3.6304581999918924E-3</v>
      </c>
      <c r="F239" s="41">
        <v>412347.66379999998</v>
      </c>
      <c r="G239" s="37">
        <v>5.0449302043699476E-3</v>
      </c>
      <c r="H239" s="41">
        <v>167362.33605407999</v>
      </c>
      <c r="I239" s="37">
        <v>1.4847786590646351E-3</v>
      </c>
      <c r="J239" s="42">
        <v>366228.74699999997</v>
      </c>
      <c r="K239" s="37">
        <v>4.4806813028168292E-3</v>
      </c>
      <c r="L239" s="38">
        <v>241858.23132672001</v>
      </c>
      <c r="M239" s="37">
        <v>2.1456795409272567E-3</v>
      </c>
      <c r="N239" s="42">
        <v>46118.916799999999</v>
      </c>
      <c r="O239" s="37">
        <v>5.6424890155311856E-4</v>
      </c>
      <c r="Q239">
        <f>VLOOKUP(Table3[[#This Row],[Census Tract]],'Population and Diversity Data'!$B$2:$K$823,10,FALSE)</f>
        <v>3</v>
      </c>
      <c r="R239" t="str">
        <f>VLOOKUP(Table3[[#This Row],[Census Tract]],'ES Energy Burden'!$B$2:$E$914,4,FALSE)</f>
        <v>No</v>
      </c>
    </row>
    <row r="240" spans="1:18" hidden="1" x14ac:dyDescent="0.25">
      <c r="A240" s="140">
        <v>9003520501</v>
      </c>
      <c r="B240" s="39" t="s">
        <v>2769</v>
      </c>
      <c r="C240" s="39" t="s">
        <v>944</v>
      </c>
      <c r="D240" s="41">
        <v>94824.764035200002</v>
      </c>
      <c r="E240" s="37">
        <v>8.4125131920248671E-4</v>
      </c>
      <c r="F240" s="41">
        <v>16202.107099999999</v>
      </c>
      <c r="G240" s="37">
        <v>1.9822714340118634E-4</v>
      </c>
      <c r="H240" s="41">
        <v>94824.764035200002</v>
      </c>
      <c r="I240" s="37">
        <v>8.4125131920248671E-4</v>
      </c>
      <c r="J240" s="42">
        <v>16202.107099999999</v>
      </c>
      <c r="K240" s="37">
        <v>1.9822714340118634E-4</v>
      </c>
      <c r="L240" s="38">
        <v>0</v>
      </c>
      <c r="M240" s="37">
        <v>0</v>
      </c>
      <c r="N240" s="42">
        <v>0</v>
      </c>
      <c r="O240" s="37">
        <v>0</v>
      </c>
      <c r="Q240">
        <f>VLOOKUP(Table3[[#This Row],[Census Tract]],'Population and Diversity Data'!$B$2:$K$823,10,FALSE)</f>
        <v>3</v>
      </c>
      <c r="R240" t="str">
        <f>VLOOKUP(Table3[[#This Row],[Census Tract]],'ES Energy Burden'!$B$2:$E$914,4,FALSE)</f>
        <v>No</v>
      </c>
    </row>
    <row r="241" spans="1:18" hidden="1" x14ac:dyDescent="0.25">
      <c r="A241" s="140">
        <v>9007560100</v>
      </c>
      <c r="B241" s="39" t="s">
        <v>2769</v>
      </c>
      <c r="C241" s="39" t="s">
        <v>944</v>
      </c>
      <c r="D241" s="41">
        <v>360.64802880000002</v>
      </c>
      <c r="E241" s="37">
        <v>3.1995400471880173E-6</v>
      </c>
      <c r="F241" s="41">
        <v>0</v>
      </c>
      <c r="G241" s="37">
        <v>0</v>
      </c>
      <c r="H241" s="41">
        <v>360.64802880000002</v>
      </c>
      <c r="I241" s="37">
        <v>3.1995400471880173E-6</v>
      </c>
      <c r="J241" s="42">
        <v>0</v>
      </c>
      <c r="K241" s="37">
        <v>0</v>
      </c>
      <c r="L241" s="38">
        <v>0</v>
      </c>
      <c r="M241" s="37">
        <v>0</v>
      </c>
      <c r="N241" s="42">
        <v>0</v>
      </c>
      <c r="O241" s="37">
        <v>0</v>
      </c>
      <c r="Q241">
        <f>VLOOKUP(Table3[[#This Row],[Census Tract]],'Population and Diversity Data'!$B$2:$K$823,10,FALSE)</f>
        <v>1</v>
      </c>
      <c r="R241" t="str">
        <f>VLOOKUP(Table3[[#This Row],[Census Tract]],'ES Energy Burden'!$B$2:$E$914,4,FALSE)</f>
        <v>No</v>
      </c>
    </row>
    <row r="242" spans="1:18" hidden="1" x14ac:dyDescent="0.25">
      <c r="A242" s="140">
        <v>9005296100</v>
      </c>
      <c r="B242" s="39" t="s">
        <v>2770</v>
      </c>
      <c r="C242" s="39" t="s">
        <v>944</v>
      </c>
      <c r="D242" s="41">
        <v>100384.60425984001</v>
      </c>
      <c r="E242" s="37">
        <v>8.9057622890431544E-4</v>
      </c>
      <c r="F242" s="41">
        <v>47056.84</v>
      </c>
      <c r="G242" s="37">
        <v>5.7572406558691871E-4</v>
      </c>
      <c r="H242" s="41">
        <v>87595.087141440003</v>
      </c>
      <c r="I242" s="37">
        <v>7.7711221707906202E-4</v>
      </c>
      <c r="J242" s="42">
        <v>47056.84</v>
      </c>
      <c r="K242" s="37">
        <v>5.7572406558691871E-4</v>
      </c>
      <c r="L242" s="38">
        <v>12789.517118399999</v>
      </c>
      <c r="M242" s="37">
        <v>1.1346401182525328E-4</v>
      </c>
      <c r="N242" s="42">
        <v>0</v>
      </c>
      <c r="O242" s="37">
        <v>0</v>
      </c>
      <c r="Q242">
        <f>VLOOKUP(Table3[[#This Row],[Census Tract]],'Population and Diversity Data'!$B$2:$K$823,10,FALSE)</f>
        <v>3</v>
      </c>
      <c r="R242" t="str">
        <f>VLOOKUP(Table3[[#This Row],[Census Tract]],'ES Energy Burden'!$B$2:$E$914,4,FALSE)</f>
        <v>No</v>
      </c>
    </row>
    <row r="243" spans="1:18" hidden="1" x14ac:dyDescent="0.25">
      <c r="A243" s="140">
        <v>9003330100</v>
      </c>
      <c r="B243" s="39" t="s">
        <v>2771</v>
      </c>
      <c r="C243" s="39" t="s">
        <v>944</v>
      </c>
      <c r="D243" s="41">
        <v>47.225030400000001</v>
      </c>
      <c r="E243" s="37">
        <v>4.189635432009092E-7</v>
      </c>
      <c r="F243" s="41">
        <v>0</v>
      </c>
      <c r="G243" s="37">
        <v>0</v>
      </c>
      <c r="H243" s="41">
        <v>47.225030400000001</v>
      </c>
      <c r="I243" s="37">
        <v>4.189635432009092E-7</v>
      </c>
      <c r="J243" s="42">
        <v>0</v>
      </c>
      <c r="K243" s="37">
        <v>0</v>
      </c>
      <c r="L243" s="38">
        <v>0</v>
      </c>
      <c r="M243" s="37">
        <v>0</v>
      </c>
      <c r="N243" s="42">
        <v>0</v>
      </c>
      <c r="O243" s="37">
        <v>0</v>
      </c>
      <c r="Q243">
        <f>VLOOKUP(Table3[[#This Row],[Census Tract]],'Population and Diversity Data'!$B$2:$K$823,10,FALSE)</f>
        <v>3</v>
      </c>
      <c r="R243" t="str">
        <f>VLOOKUP(Table3[[#This Row],[Census Tract]],'ES Energy Burden'!$B$2:$E$914,4,FALSE)</f>
        <v>No</v>
      </c>
    </row>
    <row r="244" spans="1:18" hidden="1" x14ac:dyDescent="0.25">
      <c r="A244" s="140">
        <v>9003468101</v>
      </c>
      <c r="B244" s="39" t="s">
        <v>2771</v>
      </c>
      <c r="C244" s="39" t="s">
        <v>944</v>
      </c>
      <c r="D244" s="41">
        <v>203015.85685056</v>
      </c>
      <c r="E244" s="37">
        <v>1.8010839165511516E-3</v>
      </c>
      <c r="F244" s="41">
        <v>112382.2395</v>
      </c>
      <c r="G244" s="37">
        <v>1.3749576007378059E-3</v>
      </c>
      <c r="H244" s="41">
        <v>151167.66732288001</v>
      </c>
      <c r="I244" s="37">
        <v>1.3411053626131728E-3</v>
      </c>
      <c r="J244" s="42">
        <v>101117.8395</v>
      </c>
      <c r="K244" s="37">
        <v>1.2371415857993339E-3</v>
      </c>
      <c r="L244" s="38">
        <v>51848.189527679999</v>
      </c>
      <c r="M244" s="37">
        <v>4.5997855393797876E-4</v>
      </c>
      <c r="N244" s="42">
        <v>11264.4</v>
      </c>
      <c r="O244" s="37">
        <v>1.3781601493847201E-4</v>
      </c>
      <c r="Q244">
        <f>VLOOKUP(Table3[[#This Row],[Census Tract]],'Population and Diversity Data'!$B$2:$K$823,10,FALSE)</f>
        <v>1</v>
      </c>
      <c r="R244" t="str">
        <f>VLOOKUP(Table3[[#This Row],[Census Tract]],'ES Energy Burden'!$B$2:$E$914,4,FALSE)</f>
        <v>No</v>
      </c>
    </row>
    <row r="245" spans="1:18" hidden="1" x14ac:dyDescent="0.25">
      <c r="A245" s="140">
        <v>9003468102</v>
      </c>
      <c r="B245" s="39" t="s">
        <v>2771</v>
      </c>
      <c r="C245" s="39" t="s">
        <v>944</v>
      </c>
      <c r="D245" s="41">
        <v>81276.893277120005</v>
      </c>
      <c r="E245" s="37">
        <v>7.2105946569691053E-4</v>
      </c>
      <c r="F245" s="41">
        <v>23168.03</v>
      </c>
      <c r="G245" s="37">
        <v>2.8345278652879582E-4</v>
      </c>
      <c r="H245" s="41">
        <v>81261.084064320006</v>
      </c>
      <c r="I245" s="37">
        <v>7.2091921202732461E-4</v>
      </c>
      <c r="J245" s="42">
        <v>23168.03</v>
      </c>
      <c r="K245" s="37">
        <v>2.8345278652879582E-4</v>
      </c>
      <c r="L245" s="38">
        <v>15.809212799999999</v>
      </c>
      <c r="M245" s="37">
        <v>1.4025366958588906E-7</v>
      </c>
      <c r="N245" s="42">
        <v>0</v>
      </c>
      <c r="O245" s="37">
        <v>0</v>
      </c>
      <c r="Q245">
        <f>VLOOKUP(Table3[[#This Row],[Census Tract]],'Population and Diversity Data'!$B$2:$K$823,10,FALSE)</f>
        <v>2</v>
      </c>
      <c r="R245" t="str">
        <f>VLOOKUP(Table3[[#This Row],[Census Tract]],'ES Energy Burden'!$B$2:$E$914,4,FALSE)</f>
        <v>No</v>
      </c>
    </row>
    <row r="246" spans="1:18" hidden="1" x14ac:dyDescent="0.25">
      <c r="A246" s="140">
        <v>9003470100</v>
      </c>
      <c r="B246" s="39" t="s">
        <v>2771</v>
      </c>
      <c r="C246" s="39" t="s">
        <v>944</v>
      </c>
      <c r="D246" s="41">
        <v>761.58031679999999</v>
      </c>
      <c r="E246" s="37">
        <v>6.7564676032182905E-6</v>
      </c>
      <c r="F246" s="41">
        <v>0</v>
      </c>
      <c r="G246" s="37">
        <v>0</v>
      </c>
      <c r="H246" s="41">
        <v>761.58031679999999</v>
      </c>
      <c r="I246" s="37">
        <v>6.7564676032182905E-6</v>
      </c>
      <c r="J246" s="42">
        <v>0</v>
      </c>
      <c r="K246" s="37">
        <v>0</v>
      </c>
      <c r="L246" s="38">
        <v>0</v>
      </c>
      <c r="M246" s="37">
        <v>0</v>
      </c>
      <c r="N246" s="42">
        <v>0</v>
      </c>
      <c r="O246" s="37">
        <v>0</v>
      </c>
      <c r="Q246">
        <f>VLOOKUP(Table3[[#This Row],[Census Tract]],'Population and Diversity Data'!$B$2:$K$823,10,FALSE)</f>
        <v>3</v>
      </c>
      <c r="R246" t="str">
        <f>VLOOKUP(Table3[[#This Row],[Census Tract]],'ES Energy Burden'!$B$2:$E$914,4,FALSE)</f>
        <v>No</v>
      </c>
    </row>
    <row r="247" spans="1:18" hidden="1" x14ac:dyDescent="0.25">
      <c r="A247" s="140">
        <v>9001010101</v>
      </c>
      <c r="B247" s="39" t="s">
        <v>2772</v>
      </c>
      <c r="C247" s="39" t="s">
        <v>944</v>
      </c>
      <c r="D247" s="41">
        <v>240578.94357504</v>
      </c>
      <c r="E247" s="37">
        <v>2.1343301585197154E-3</v>
      </c>
      <c r="F247" s="41">
        <v>21123.27</v>
      </c>
      <c r="G247" s="37">
        <v>2.5843585933288751E-4</v>
      </c>
      <c r="H247" s="41">
        <v>240328.44483264</v>
      </c>
      <c r="I247" s="37">
        <v>2.1321078234614985E-3</v>
      </c>
      <c r="J247" s="42">
        <v>21123.27</v>
      </c>
      <c r="K247" s="37">
        <v>2.5843585933288751E-4</v>
      </c>
      <c r="L247" s="38">
        <v>250.49874240000003</v>
      </c>
      <c r="M247" s="37">
        <v>2.2223350582168356E-6</v>
      </c>
      <c r="N247" s="42">
        <v>0</v>
      </c>
      <c r="O247" s="37">
        <v>0</v>
      </c>
      <c r="Q247">
        <f>VLOOKUP(Table3[[#This Row],[Census Tract]],'Population and Diversity Data'!$B$2:$K$823,10,FALSE)</f>
        <v>2</v>
      </c>
      <c r="R247" t="str">
        <f>VLOOKUP(Table3[[#This Row],[Census Tract]],'ES Energy Burden'!$B$2:$E$914,4,FALSE)</f>
        <v>No</v>
      </c>
    </row>
    <row r="248" spans="1:18" hidden="1" x14ac:dyDescent="0.25">
      <c r="A248" s="140">
        <v>9001010102</v>
      </c>
      <c r="B248" s="39" t="s">
        <v>2772</v>
      </c>
      <c r="C248" s="39" t="s">
        <v>944</v>
      </c>
      <c r="D248" s="41">
        <v>815679.35501184</v>
      </c>
      <c r="E248" s="37">
        <v>7.23641487992759E-3</v>
      </c>
      <c r="F248" s="41">
        <v>354251.39610000001</v>
      </c>
      <c r="G248" s="37">
        <v>4.3341425816636634E-3</v>
      </c>
      <c r="H248" s="41">
        <v>347737.14485856006</v>
      </c>
      <c r="I248" s="37">
        <v>3.0849993124093394E-3</v>
      </c>
      <c r="J248" s="42">
        <v>199896.71350000001</v>
      </c>
      <c r="K248" s="37">
        <v>2.44566674246897E-3</v>
      </c>
      <c r="L248" s="38">
        <v>467942.21015327994</v>
      </c>
      <c r="M248" s="37">
        <v>4.1514155675182506E-3</v>
      </c>
      <c r="N248" s="42">
        <v>154354.6826</v>
      </c>
      <c r="O248" s="37">
        <v>1.8884758391946937E-3</v>
      </c>
      <c r="Q248">
        <f>VLOOKUP(Table3[[#This Row],[Census Tract]],'Population and Diversity Data'!$B$2:$K$823,10,FALSE)</f>
        <v>3</v>
      </c>
      <c r="R248" t="str">
        <f>VLOOKUP(Table3[[#This Row],[Census Tract]],'ES Energy Burden'!$B$2:$E$914,4,FALSE)</f>
        <v>No</v>
      </c>
    </row>
    <row r="249" spans="1:18" hidden="1" x14ac:dyDescent="0.25">
      <c r="A249" s="140">
        <v>9001010201</v>
      </c>
      <c r="B249" s="39" t="s">
        <v>2772</v>
      </c>
      <c r="C249" s="39" t="s">
        <v>944</v>
      </c>
      <c r="D249" s="41">
        <v>185024.45169216002</v>
      </c>
      <c r="E249" s="37">
        <v>1.6414706185081211E-3</v>
      </c>
      <c r="F249" s="41">
        <v>4279.21</v>
      </c>
      <c r="G249" s="37">
        <v>5.2354645545688974E-5</v>
      </c>
      <c r="H249" s="41">
        <v>184550.60946816002</v>
      </c>
      <c r="I249" s="37">
        <v>1.6372668601324519E-3</v>
      </c>
      <c r="J249" s="42">
        <v>4279.21</v>
      </c>
      <c r="K249" s="37">
        <v>5.2354645545688974E-5</v>
      </c>
      <c r="L249" s="38">
        <v>473.84222399999999</v>
      </c>
      <c r="M249" s="37">
        <v>4.2037583756693337E-6</v>
      </c>
      <c r="N249" s="42">
        <v>0</v>
      </c>
      <c r="O249" s="37">
        <v>0</v>
      </c>
      <c r="Q249">
        <f>VLOOKUP(Table3[[#This Row],[Census Tract]],'Population and Diversity Data'!$B$2:$K$823,10,FALSE)</f>
        <v>3</v>
      </c>
      <c r="R249" t="str">
        <f>VLOOKUP(Table3[[#This Row],[Census Tract]],'ES Energy Burden'!$B$2:$E$914,4,FALSE)</f>
        <v>No</v>
      </c>
    </row>
    <row r="250" spans="1:18" hidden="1" x14ac:dyDescent="0.25">
      <c r="A250" s="140">
        <v>9001010202</v>
      </c>
      <c r="B250" s="39" t="s">
        <v>2772</v>
      </c>
      <c r="C250" s="39" t="s">
        <v>944</v>
      </c>
      <c r="D250" s="41">
        <v>149235.83767008001</v>
      </c>
      <c r="E250" s="37">
        <v>1.3239668623445172E-3</v>
      </c>
      <c r="F250" s="41">
        <v>12605.017599999999</v>
      </c>
      <c r="G250" s="37">
        <v>1.5421800485257116E-4</v>
      </c>
      <c r="H250" s="41">
        <v>149235.83767008001</v>
      </c>
      <c r="I250" s="37">
        <v>1.3239668623445172E-3</v>
      </c>
      <c r="J250" s="42">
        <v>12605.017599999999</v>
      </c>
      <c r="K250" s="37">
        <v>1.5421800485257116E-4</v>
      </c>
      <c r="L250" s="38">
        <v>0</v>
      </c>
      <c r="M250" s="37">
        <v>0</v>
      </c>
      <c r="N250" s="42">
        <v>0</v>
      </c>
      <c r="O250" s="37">
        <v>0</v>
      </c>
      <c r="Q250">
        <f>VLOOKUP(Table3[[#This Row],[Census Tract]],'Population and Diversity Data'!$B$2:$K$823,10,FALSE)</f>
        <v>4</v>
      </c>
      <c r="R250" t="str">
        <f>VLOOKUP(Table3[[#This Row],[Census Tract]],'ES Energy Burden'!$B$2:$E$914,4,FALSE)</f>
        <v>No</v>
      </c>
    </row>
    <row r="251" spans="1:18" hidden="1" x14ac:dyDescent="0.25">
      <c r="A251" s="140">
        <v>9001010300</v>
      </c>
      <c r="B251" s="39" t="s">
        <v>2772</v>
      </c>
      <c r="C251" s="39" t="s">
        <v>944</v>
      </c>
      <c r="D251" s="41">
        <v>232331.66626463999</v>
      </c>
      <c r="E251" s="37">
        <v>2.0611632702306256E-3</v>
      </c>
      <c r="F251" s="41">
        <v>14940.7438</v>
      </c>
      <c r="G251" s="37">
        <v>1.8279480227377252E-4</v>
      </c>
      <c r="H251" s="41">
        <v>232331.66626463999</v>
      </c>
      <c r="I251" s="37">
        <v>2.0611632702306256E-3</v>
      </c>
      <c r="J251" s="42">
        <v>14940.7438</v>
      </c>
      <c r="K251" s="37">
        <v>1.8279480227377252E-4</v>
      </c>
      <c r="L251" s="38">
        <v>0</v>
      </c>
      <c r="M251" s="37">
        <v>0</v>
      </c>
      <c r="N251" s="42">
        <v>0</v>
      </c>
      <c r="O251" s="37">
        <v>0</v>
      </c>
      <c r="Q251">
        <f>VLOOKUP(Table3[[#This Row],[Census Tract]],'Population and Diversity Data'!$B$2:$K$823,10,FALSE)</f>
        <v>2</v>
      </c>
      <c r="R251" t="str">
        <f>VLOOKUP(Table3[[#This Row],[Census Tract]],'ES Energy Burden'!$B$2:$E$914,4,FALSE)</f>
        <v>No</v>
      </c>
    </row>
    <row r="252" spans="1:18" hidden="1" x14ac:dyDescent="0.25">
      <c r="A252" s="140">
        <v>9001010400</v>
      </c>
      <c r="B252" s="39" t="s">
        <v>2772</v>
      </c>
      <c r="C252" s="39" t="s">
        <v>944</v>
      </c>
      <c r="D252" s="41">
        <v>104263.06610592001</v>
      </c>
      <c r="E252" s="37">
        <v>9.2498455227520344E-4</v>
      </c>
      <c r="F252" s="41">
        <v>6235.2754999999997</v>
      </c>
      <c r="G252" s="37">
        <v>7.6286426392305722E-5</v>
      </c>
      <c r="H252" s="41">
        <v>104263.06610592001</v>
      </c>
      <c r="I252" s="37">
        <v>9.2498455227520344E-4</v>
      </c>
      <c r="J252" s="42">
        <v>6235.2754999999997</v>
      </c>
      <c r="K252" s="37">
        <v>7.6286426392305722E-5</v>
      </c>
      <c r="L252" s="38">
        <v>0</v>
      </c>
      <c r="M252" s="37">
        <v>0</v>
      </c>
      <c r="N252" s="42">
        <v>0</v>
      </c>
      <c r="O252" s="37">
        <v>0</v>
      </c>
      <c r="Q252">
        <f>VLOOKUP(Table3[[#This Row],[Census Tract]],'Population and Diversity Data'!$B$2:$K$823,10,FALSE)</f>
        <v>3</v>
      </c>
      <c r="R252" t="str">
        <f>VLOOKUP(Table3[[#This Row],[Census Tract]],'ES Energy Burden'!$B$2:$E$914,4,FALSE)</f>
        <v>No</v>
      </c>
    </row>
    <row r="253" spans="1:18" hidden="1" x14ac:dyDescent="0.25">
      <c r="A253" s="140">
        <v>9001010500</v>
      </c>
      <c r="B253" s="39" t="s">
        <v>2772</v>
      </c>
      <c r="C253" s="39" t="s">
        <v>944</v>
      </c>
      <c r="D253" s="41">
        <v>79218.90946368</v>
      </c>
      <c r="E253" s="37">
        <v>7.0280177093153147E-4</v>
      </c>
      <c r="F253" s="41">
        <v>2031.71</v>
      </c>
      <c r="G253" s="37">
        <v>2.4857264986208143E-5</v>
      </c>
      <c r="H253" s="41">
        <v>79218.90946368</v>
      </c>
      <c r="I253" s="37">
        <v>7.0280177093153147E-4</v>
      </c>
      <c r="J253" s="42">
        <v>2031.71</v>
      </c>
      <c r="K253" s="37">
        <v>2.4857264986208143E-5</v>
      </c>
      <c r="L253" s="38">
        <v>0</v>
      </c>
      <c r="M253" s="37">
        <v>0</v>
      </c>
      <c r="N253" s="42">
        <v>0</v>
      </c>
      <c r="O253" s="37">
        <v>0</v>
      </c>
      <c r="Q253">
        <f>VLOOKUP(Table3[[#This Row],[Census Tract]],'Population and Diversity Data'!$B$2:$K$823,10,FALSE)</f>
        <v>3</v>
      </c>
      <c r="R253" t="str">
        <f>VLOOKUP(Table3[[#This Row],[Census Tract]],'ES Energy Burden'!$B$2:$E$914,4,FALSE)</f>
        <v>No</v>
      </c>
    </row>
    <row r="254" spans="1:18" hidden="1" x14ac:dyDescent="0.25">
      <c r="A254" s="140">
        <v>9001010600</v>
      </c>
      <c r="B254" s="39" t="s">
        <v>2772</v>
      </c>
      <c r="C254" s="39" t="s">
        <v>944</v>
      </c>
      <c r="D254" s="41">
        <v>37228.613912640001</v>
      </c>
      <c r="E254" s="37">
        <v>3.3027891906446118E-4</v>
      </c>
      <c r="F254" s="41">
        <v>0</v>
      </c>
      <c r="G254" s="37">
        <v>0</v>
      </c>
      <c r="H254" s="41">
        <v>37228.613912640001</v>
      </c>
      <c r="I254" s="37">
        <v>3.3027891906446118E-4</v>
      </c>
      <c r="J254" s="42">
        <v>0</v>
      </c>
      <c r="K254" s="37">
        <v>0</v>
      </c>
      <c r="L254" s="38">
        <v>0</v>
      </c>
      <c r="M254" s="37">
        <v>0</v>
      </c>
      <c r="N254" s="42">
        <v>0</v>
      </c>
      <c r="O254" s="37">
        <v>0</v>
      </c>
      <c r="Q254">
        <f>VLOOKUP(Table3[[#This Row],[Census Tract]],'Population and Diversity Data'!$B$2:$K$823,10,FALSE)</f>
        <v>3</v>
      </c>
      <c r="R254" t="str">
        <f>VLOOKUP(Table3[[#This Row],[Census Tract]],'ES Energy Burden'!$B$2:$E$914,4,FALSE)</f>
        <v>No</v>
      </c>
    </row>
    <row r="255" spans="1:18" hidden="1" x14ac:dyDescent="0.25">
      <c r="A255" s="140">
        <v>9001010700</v>
      </c>
      <c r="B255" s="39" t="s">
        <v>2772</v>
      </c>
      <c r="C255" s="39" t="s">
        <v>944</v>
      </c>
      <c r="D255" s="41">
        <v>75171.932176319999</v>
      </c>
      <c r="E255" s="37">
        <v>6.6689843896531318E-4</v>
      </c>
      <c r="F255" s="41">
        <v>287.59500000000003</v>
      </c>
      <c r="G255" s="37">
        <v>3.5186247661863806E-6</v>
      </c>
      <c r="H255" s="41">
        <v>75171.932176319999</v>
      </c>
      <c r="I255" s="37">
        <v>6.6689843896531318E-4</v>
      </c>
      <c r="J255" s="42">
        <v>287.59500000000003</v>
      </c>
      <c r="K255" s="37">
        <v>3.5186247661863806E-6</v>
      </c>
      <c r="L255" s="38">
        <v>0</v>
      </c>
      <c r="M255" s="37">
        <v>0</v>
      </c>
      <c r="N255" s="42">
        <v>0</v>
      </c>
      <c r="O255" s="37">
        <v>0</v>
      </c>
      <c r="Q255">
        <f>VLOOKUP(Table3[[#This Row],[Census Tract]],'Population and Diversity Data'!$B$2:$K$823,10,FALSE)</f>
        <v>3</v>
      </c>
      <c r="R255" t="str">
        <f>VLOOKUP(Table3[[#This Row],[Census Tract]],'ES Energy Burden'!$B$2:$E$914,4,FALSE)</f>
        <v>No</v>
      </c>
    </row>
    <row r="256" spans="1:18" hidden="1" x14ac:dyDescent="0.25">
      <c r="A256" s="140">
        <v>9001010800</v>
      </c>
      <c r="B256" s="39" t="s">
        <v>2772</v>
      </c>
      <c r="C256" s="39" t="s">
        <v>944</v>
      </c>
      <c r="D256" s="41">
        <v>69440.01003071999</v>
      </c>
      <c r="E256" s="37">
        <v>6.1604688013873943E-4</v>
      </c>
      <c r="F256" s="41">
        <v>4273.3671000000004</v>
      </c>
      <c r="G256" s="37">
        <v>5.2283159697025576E-5</v>
      </c>
      <c r="H256" s="41">
        <v>69433.055366399989</v>
      </c>
      <c r="I256" s="37">
        <v>6.1598518084959972E-4</v>
      </c>
      <c r="J256" s="42">
        <v>4273.3671000000004</v>
      </c>
      <c r="K256" s="37">
        <v>5.2283159697025576E-5</v>
      </c>
      <c r="L256" s="38">
        <v>6.9546643200000009</v>
      </c>
      <c r="M256" s="37">
        <v>6.1699289139687715E-8</v>
      </c>
      <c r="N256" s="42">
        <v>0</v>
      </c>
      <c r="O256" s="37">
        <v>0</v>
      </c>
      <c r="Q256">
        <f>VLOOKUP(Table3[[#This Row],[Census Tract]],'Population and Diversity Data'!$B$2:$K$823,10,FALSE)</f>
        <v>3</v>
      </c>
      <c r="R256" t="str">
        <f>VLOOKUP(Table3[[#This Row],[Census Tract]],'ES Energy Burden'!$B$2:$E$914,4,FALSE)</f>
        <v>No</v>
      </c>
    </row>
    <row r="257" spans="1:18" hidden="1" x14ac:dyDescent="0.25">
      <c r="A257" s="140">
        <v>9001010900</v>
      </c>
      <c r="B257" s="39" t="s">
        <v>2772</v>
      </c>
      <c r="C257" s="39" t="s">
        <v>944</v>
      </c>
      <c r="D257" s="41">
        <v>95240.909289600007</v>
      </c>
      <c r="E257" s="37">
        <v>8.4494321074375016E-4</v>
      </c>
      <c r="F257" s="41">
        <v>5192.7631000000001</v>
      </c>
      <c r="G257" s="37">
        <v>6.3531649884729445E-5</v>
      </c>
      <c r="H257" s="41">
        <v>95240.909289600007</v>
      </c>
      <c r="I257" s="37">
        <v>8.4494321074375016E-4</v>
      </c>
      <c r="J257" s="42">
        <v>5192.7631000000001</v>
      </c>
      <c r="K257" s="37">
        <v>6.3531649884729445E-5</v>
      </c>
      <c r="L257" s="38">
        <v>0</v>
      </c>
      <c r="M257" s="37">
        <v>0</v>
      </c>
      <c r="N257" s="42">
        <v>0</v>
      </c>
      <c r="O257" s="37">
        <v>0</v>
      </c>
      <c r="Q257">
        <f>VLOOKUP(Table3[[#This Row],[Census Tract]],'Population and Diversity Data'!$B$2:$K$823,10,FALSE)</f>
        <v>5</v>
      </c>
      <c r="R257" t="str">
        <f>VLOOKUP(Table3[[#This Row],[Census Tract]],'ES Energy Burden'!$B$2:$E$914,4,FALSE)</f>
        <v>No</v>
      </c>
    </row>
    <row r="258" spans="1:18" hidden="1" x14ac:dyDescent="0.25">
      <c r="A258" s="140">
        <v>9001011000</v>
      </c>
      <c r="B258" s="39" t="s">
        <v>2772</v>
      </c>
      <c r="C258" s="39" t="s">
        <v>944</v>
      </c>
      <c r="D258" s="41">
        <v>149163.66117504</v>
      </c>
      <c r="E258" s="37">
        <v>1.3233265383501935E-3</v>
      </c>
      <c r="F258" s="41">
        <v>6130.23</v>
      </c>
      <c r="G258" s="37">
        <v>7.5001231246783613E-5</v>
      </c>
      <c r="H258" s="41">
        <v>149163.66117504</v>
      </c>
      <c r="I258" s="37">
        <v>1.3233265383501935E-3</v>
      </c>
      <c r="J258" s="42">
        <v>6130.23</v>
      </c>
      <c r="K258" s="37">
        <v>7.5001231246783613E-5</v>
      </c>
      <c r="L258" s="38">
        <v>0</v>
      </c>
      <c r="M258" s="37">
        <v>0</v>
      </c>
      <c r="N258" s="42">
        <v>0</v>
      </c>
      <c r="O258" s="37">
        <v>0</v>
      </c>
      <c r="Q258">
        <f>VLOOKUP(Table3[[#This Row],[Census Tract]],'Population and Diversity Data'!$B$2:$K$823,10,FALSE)</f>
        <v>2</v>
      </c>
      <c r="R258" t="str">
        <f>VLOOKUP(Table3[[#This Row],[Census Tract]],'ES Energy Burden'!$B$2:$E$914,4,FALSE)</f>
        <v>No</v>
      </c>
    </row>
    <row r="259" spans="1:18" hidden="1" x14ac:dyDescent="0.25">
      <c r="A259" s="140">
        <v>9001011100</v>
      </c>
      <c r="B259" s="39" t="s">
        <v>2772</v>
      </c>
      <c r="C259" s="39" t="s">
        <v>944</v>
      </c>
      <c r="D259" s="41">
        <v>156251.62535040002</v>
      </c>
      <c r="E259" s="37">
        <v>1.3862084160289837E-3</v>
      </c>
      <c r="F259" s="41">
        <v>3011.9016999999999</v>
      </c>
      <c r="G259" s="37">
        <v>3.6849569411633932E-5</v>
      </c>
      <c r="H259" s="41">
        <v>155955.16353600001</v>
      </c>
      <c r="I259" s="37">
        <v>1.3835783130701764E-3</v>
      </c>
      <c r="J259" s="42">
        <v>3011.9016999999999</v>
      </c>
      <c r="K259" s="37">
        <v>3.6849569411633932E-5</v>
      </c>
      <c r="L259" s="38">
        <v>296.46181439999998</v>
      </c>
      <c r="M259" s="37">
        <v>2.6301029588070805E-6</v>
      </c>
      <c r="N259" s="42">
        <v>0</v>
      </c>
      <c r="O259" s="37">
        <v>0</v>
      </c>
      <c r="Q259">
        <f>VLOOKUP(Table3[[#This Row],[Census Tract]],'Population and Diversity Data'!$B$2:$K$823,10,FALSE)</f>
        <v>3</v>
      </c>
      <c r="R259" t="str">
        <f>VLOOKUP(Table3[[#This Row],[Census Tract]],'ES Energy Burden'!$B$2:$E$914,4,FALSE)</f>
        <v>No</v>
      </c>
    </row>
    <row r="260" spans="1:18" hidden="1" x14ac:dyDescent="0.25">
      <c r="A260" s="140">
        <v>9001011200</v>
      </c>
      <c r="B260" s="39" t="s">
        <v>2772</v>
      </c>
      <c r="C260" s="39" t="s">
        <v>944</v>
      </c>
      <c r="D260" s="41">
        <v>117303.06865248001</v>
      </c>
      <c r="E260" s="37">
        <v>1.0406707810395085E-3</v>
      </c>
      <c r="F260" s="41">
        <v>2614.33</v>
      </c>
      <c r="G260" s="37">
        <v>3.1985417983567306E-5</v>
      </c>
      <c r="H260" s="41">
        <v>117112.78500768001</v>
      </c>
      <c r="I260" s="37">
        <v>1.0389826527447601E-3</v>
      </c>
      <c r="J260" s="42">
        <v>2614.33</v>
      </c>
      <c r="K260" s="37">
        <v>3.1985417983567306E-5</v>
      </c>
      <c r="L260" s="38">
        <v>190.28364479999999</v>
      </c>
      <c r="M260" s="37">
        <v>1.6881282947483556E-6</v>
      </c>
      <c r="N260" s="42">
        <v>0</v>
      </c>
      <c r="O260" s="37">
        <v>0</v>
      </c>
      <c r="Q260">
        <f>VLOOKUP(Table3[[#This Row],[Census Tract]],'Population and Diversity Data'!$B$2:$K$823,10,FALSE)</f>
        <v>4</v>
      </c>
      <c r="R260" t="str">
        <f>VLOOKUP(Table3[[#This Row],[Census Tract]],'ES Energy Burden'!$B$2:$E$914,4,FALSE)</f>
        <v>No</v>
      </c>
    </row>
    <row r="261" spans="1:18" hidden="1" x14ac:dyDescent="0.25">
      <c r="A261" s="140">
        <v>9001011300</v>
      </c>
      <c r="B261" s="39" t="s">
        <v>2772</v>
      </c>
      <c r="C261" s="39" t="s">
        <v>944</v>
      </c>
      <c r="D261" s="41">
        <v>58602.084949439995</v>
      </c>
      <c r="E261" s="37">
        <v>5.1989669337254791E-4</v>
      </c>
      <c r="F261" s="41">
        <v>628.98</v>
      </c>
      <c r="G261" s="37">
        <v>7.6953514679876551E-6</v>
      </c>
      <c r="H261" s="41">
        <v>58601.731832639998</v>
      </c>
      <c r="I261" s="37">
        <v>5.1989356064686336E-4</v>
      </c>
      <c r="J261" s="42">
        <v>628.98</v>
      </c>
      <c r="K261" s="37">
        <v>7.6953514679876551E-6</v>
      </c>
      <c r="L261" s="38">
        <v>0.35311680000000001</v>
      </c>
      <c r="M261" s="37">
        <v>3.1327256846353841E-9</v>
      </c>
      <c r="N261" s="42">
        <v>0</v>
      </c>
      <c r="O261" s="37">
        <v>0</v>
      </c>
      <c r="Q261">
        <f>VLOOKUP(Table3[[#This Row],[Census Tract]],'Population and Diversity Data'!$B$2:$K$823,10,FALSE)</f>
        <v>5</v>
      </c>
      <c r="R261" t="str">
        <f>VLOOKUP(Table3[[#This Row],[Census Tract]],'ES Energy Burden'!$B$2:$E$914,4,FALSE)</f>
        <v>No</v>
      </c>
    </row>
    <row r="262" spans="1:18" hidden="1" x14ac:dyDescent="0.25">
      <c r="A262" s="140">
        <v>9001020200</v>
      </c>
      <c r="B262" s="39" t="s">
        <v>2772</v>
      </c>
      <c r="C262" s="39" t="s">
        <v>944</v>
      </c>
      <c r="D262" s="41">
        <v>19079.450639999999</v>
      </c>
      <c r="E262" s="37">
        <v>1.6926604757593243E-4</v>
      </c>
      <c r="F262" s="41">
        <v>0</v>
      </c>
      <c r="G262" s="37">
        <v>0</v>
      </c>
      <c r="H262" s="41">
        <v>19079.450639999999</v>
      </c>
      <c r="I262" s="37">
        <v>1.6926604757593243E-4</v>
      </c>
      <c r="J262" s="42">
        <v>0</v>
      </c>
      <c r="K262" s="37">
        <v>0</v>
      </c>
      <c r="L262" s="38">
        <v>0</v>
      </c>
      <c r="M262" s="37">
        <v>0</v>
      </c>
      <c r="N262" s="42">
        <v>0</v>
      </c>
      <c r="O262" s="37">
        <v>0</v>
      </c>
      <c r="Q262">
        <f>VLOOKUP(Table3[[#This Row],[Census Tract]],'Population and Diversity Data'!$B$2:$K$823,10,FALSE)</f>
        <v>4</v>
      </c>
      <c r="R262" t="str">
        <f>VLOOKUP(Table3[[#This Row],[Census Tract]],'ES Energy Burden'!$B$2:$E$914,4,FALSE)</f>
        <v>No</v>
      </c>
    </row>
    <row r="263" spans="1:18" hidden="1" x14ac:dyDescent="0.25">
      <c r="A263" s="140">
        <v>9001021400</v>
      </c>
      <c r="B263" s="39" t="s">
        <v>2772</v>
      </c>
      <c r="C263" s="39" t="s">
        <v>944</v>
      </c>
      <c r="D263" s="41">
        <v>1134.8595072000003</v>
      </c>
      <c r="E263" s="37">
        <v>1.0068066788830481E-5</v>
      </c>
      <c r="F263" s="41">
        <v>615.08000000000004</v>
      </c>
      <c r="G263" s="37">
        <v>7.5252898040157824E-6</v>
      </c>
      <c r="H263" s="41">
        <v>1134.8595072000003</v>
      </c>
      <c r="I263" s="37">
        <v>1.0068066788830481E-5</v>
      </c>
      <c r="J263" s="42">
        <v>615.08000000000004</v>
      </c>
      <c r="K263" s="37">
        <v>7.5252898040157824E-6</v>
      </c>
      <c r="L263" s="38">
        <v>0</v>
      </c>
      <c r="M263" s="37">
        <v>0</v>
      </c>
      <c r="N263" s="42">
        <v>0</v>
      </c>
      <c r="O263" s="37">
        <v>0</v>
      </c>
      <c r="Q263">
        <f>VLOOKUP(Table3[[#This Row],[Census Tract]],'Population and Diversity Data'!$B$2:$K$823,10,FALSE)</f>
        <v>4</v>
      </c>
      <c r="R263" t="str">
        <f>VLOOKUP(Table3[[#This Row],[Census Tract]],'ES Energy Burden'!$B$2:$E$914,4,FALSE)</f>
        <v>No</v>
      </c>
    </row>
    <row r="264" spans="1:18" hidden="1" x14ac:dyDescent="0.25">
      <c r="A264" s="140">
        <v>9011709100</v>
      </c>
      <c r="B264" s="39" t="s">
        <v>2773</v>
      </c>
      <c r="C264" s="39" t="s">
        <v>944</v>
      </c>
      <c r="D264" s="41">
        <v>154501.39903680002</v>
      </c>
      <c r="E264" s="37">
        <v>1.370681035495009E-3</v>
      </c>
      <c r="F264" s="41">
        <v>76633.350099999996</v>
      </c>
      <c r="G264" s="37">
        <v>9.375823765284219E-4</v>
      </c>
      <c r="H264" s="41">
        <v>132624.27114048001</v>
      </c>
      <c r="I264" s="37">
        <v>1.1765949980511519E-3</v>
      </c>
      <c r="J264" s="44">
        <v>76633.350099999996</v>
      </c>
      <c r="K264" s="37">
        <v>9.375823765284219E-4</v>
      </c>
      <c r="L264" s="38">
        <v>21877.127896320002</v>
      </c>
      <c r="M264" s="37">
        <v>1.9408603744385691E-4</v>
      </c>
      <c r="N264" s="42">
        <v>0</v>
      </c>
      <c r="O264" s="37">
        <v>0</v>
      </c>
      <c r="Q264">
        <f>VLOOKUP(Table3[[#This Row],[Census Tract]],'Population and Diversity Data'!$B$2:$K$823,10,FALSE)</f>
        <v>3</v>
      </c>
      <c r="R264" t="str">
        <f>VLOOKUP(Table3[[#This Row],[Census Tract]],'ES Energy Burden'!$B$2:$E$914,4,FALSE)</f>
        <v>No</v>
      </c>
    </row>
    <row r="265" spans="1:18" hidden="1" x14ac:dyDescent="0.25">
      <c r="A265" s="140">
        <v>9011709200</v>
      </c>
      <c r="B265" s="39" t="s">
        <v>2773</v>
      </c>
      <c r="C265" s="39" t="s">
        <v>944</v>
      </c>
      <c r="D265" s="41">
        <v>26264.613977280002</v>
      </c>
      <c r="E265" s="37">
        <v>2.3301024138092146E-4</v>
      </c>
      <c r="F265" s="41">
        <v>3627.62</v>
      </c>
      <c r="G265" s="37">
        <v>4.4382668594075126E-5</v>
      </c>
      <c r="H265" s="41">
        <v>26264.613977280002</v>
      </c>
      <c r="I265" s="37">
        <v>2.3301024138092146E-4</v>
      </c>
      <c r="J265" s="42">
        <v>3627.62</v>
      </c>
      <c r="K265" s="37">
        <v>4.4382668594075126E-5</v>
      </c>
      <c r="L265" s="38">
        <v>0</v>
      </c>
      <c r="M265" s="37">
        <v>0</v>
      </c>
      <c r="N265" s="42">
        <v>0</v>
      </c>
      <c r="O265" s="37">
        <v>0</v>
      </c>
      <c r="Q265">
        <f>VLOOKUP(Table3[[#This Row],[Census Tract]],'Population and Diversity Data'!$B$2:$K$823,10,FALSE)</f>
        <v>5</v>
      </c>
      <c r="R265" t="str">
        <f>VLOOKUP(Table3[[#This Row],[Census Tract]],'ES Energy Burden'!$B$2:$E$914,4,FALSE)</f>
        <v>No</v>
      </c>
    </row>
    <row r="266" spans="1:18" hidden="1" x14ac:dyDescent="0.25">
      <c r="A266" s="140">
        <v>9011710100</v>
      </c>
      <c r="B266" s="39" t="s">
        <v>2773</v>
      </c>
      <c r="C266" s="39" t="s">
        <v>944</v>
      </c>
      <c r="D266" s="41">
        <v>230.99048640000001</v>
      </c>
      <c r="E266" s="37">
        <v>2.0492648031804218E-6</v>
      </c>
      <c r="F266" s="41">
        <v>0</v>
      </c>
      <c r="G266" s="37">
        <v>0</v>
      </c>
      <c r="H266" s="41">
        <v>230.99048640000001</v>
      </c>
      <c r="I266" s="37">
        <v>2.0492648031804218E-6</v>
      </c>
      <c r="J266" s="42">
        <v>0</v>
      </c>
      <c r="K266" s="37">
        <v>0</v>
      </c>
      <c r="L266" s="38">
        <v>0</v>
      </c>
      <c r="M266" s="37">
        <v>0</v>
      </c>
      <c r="N266" s="42">
        <v>0</v>
      </c>
      <c r="O266" s="37">
        <v>0</v>
      </c>
      <c r="Q266">
        <f>VLOOKUP(Table3[[#This Row],[Census Tract]],'Population and Diversity Data'!$B$2:$K$823,10,FALSE)</f>
        <v>3</v>
      </c>
      <c r="R266" t="str">
        <f>VLOOKUP(Table3[[#This Row],[Census Tract]],'ES Energy Burden'!$B$2:$E$914,4,FALSE)</f>
        <v>No</v>
      </c>
    </row>
    <row r="267" spans="1:18" hidden="1" x14ac:dyDescent="0.25">
      <c r="A267" s="140">
        <v>9011702100</v>
      </c>
      <c r="B267" s="39" t="s">
        <v>2774</v>
      </c>
      <c r="C267" s="39" t="s">
        <v>944</v>
      </c>
      <c r="D267" s="41">
        <v>1500.225408</v>
      </c>
      <c r="E267" s="37">
        <v>1.3309462105411576E-5</v>
      </c>
      <c r="F267" s="41">
        <v>0</v>
      </c>
      <c r="G267" s="37">
        <v>0</v>
      </c>
      <c r="H267" s="41">
        <v>1500.225408</v>
      </c>
      <c r="I267" s="37">
        <v>1.3309462105411576E-5</v>
      </c>
      <c r="J267" s="42">
        <v>0</v>
      </c>
      <c r="K267" s="37">
        <v>0</v>
      </c>
      <c r="L267" s="38">
        <v>0</v>
      </c>
      <c r="M267" s="37">
        <v>0</v>
      </c>
      <c r="N267" s="42">
        <v>0</v>
      </c>
      <c r="O267" s="37">
        <v>0</v>
      </c>
      <c r="Q267">
        <f>VLOOKUP(Table3[[#This Row],[Census Tract]],'Population and Diversity Data'!$B$2:$K$823,10,FALSE)</f>
        <v>4</v>
      </c>
      <c r="R267" t="str">
        <f>VLOOKUP(Table3[[#This Row],[Census Tract]],'ES Energy Burden'!$B$2:$E$914,4,FALSE)</f>
        <v>No</v>
      </c>
    </row>
    <row r="268" spans="1:18" hidden="1" x14ac:dyDescent="0.25">
      <c r="A268" s="140">
        <v>9011702400</v>
      </c>
      <c r="B268" s="39" t="s">
        <v>2774</v>
      </c>
      <c r="C268" s="39" t="s">
        <v>944</v>
      </c>
      <c r="D268" s="41">
        <v>159.43512960000001</v>
      </c>
      <c r="E268" s="37">
        <v>1.4144513246922582E-6</v>
      </c>
      <c r="F268" s="41">
        <v>0</v>
      </c>
      <c r="G268" s="37">
        <v>0</v>
      </c>
      <c r="H268" s="41">
        <v>159.43512960000001</v>
      </c>
      <c r="I268" s="37">
        <v>1.4144513246922582E-6</v>
      </c>
      <c r="J268" s="42">
        <v>0</v>
      </c>
      <c r="K268" s="37">
        <v>0</v>
      </c>
      <c r="L268" s="38">
        <v>0</v>
      </c>
      <c r="M268" s="37">
        <v>0</v>
      </c>
      <c r="N268" s="42">
        <v>0</v>
      </c>
      <c r="O268" s="37">
        <v>0</v>
      </c>
      <c r="Q268">
        <f>VLOOKUP(Table3[[#This Row],[Census Tract]],'Population and Diversity Data'!$B$2:$K$823,10,FALSE)</f>
        <v>5</v>
      </c>
      <c r="R268" t="str">
        <f>VLOOKUP(Table3[[#This Row],[Census Tract]],'ES Energy Burden'!$B$2:$E$914,4,FALSE)</f>
        <v>No</v>
      </c>
    </row>
    <row r="269" spans="1:18" hidden="1" x14ac:dyDescent="0.25">
      <c r="A269" s="140">
        <v>9011702600</v>
      </c>
      <c r="B269" s="39" t="s">
        <v>2774</v>
      </c>
      <c r="C269" s="39" t="s">
        <v>944</v>
      </c>
      <c r="D269" s="41">
        <v>30.819571199999999</v>
      </c>
      <c r="E269" s="37">
        <v>2.7342018926227514E-7</v>
      </c>
      <c r="F269" s="41">
        <v>0</v>
      </c>
      <c r="G269" s="37">
        <v>0</v>
      </c>
      <c r="H269" s="41">
        <v>30.819571199999999</v>
      </c>
      <c r="I269" s="37">
        <v>2.7342018926227514E-7</v>
      </c>
      <c r="J269" s="42">
        <v>0</v>
      </c>
      <c r="K269" s="37">
        <v>0</v>
      </c>
      <c r="L269" s="38">
        <v>0</v>
      </c>
      <c r="M269" s="37">
        <v>0</v>
      </c>
      <c r="N269" s="42">
        <v>0</v>
      </c>
      <c r="O269" s="37">
        <v>0</v>
      </c>
      <c r="Q269">
        <f>VLOOKUP(Table3[[#This Row],[Census Tract]],'Population and Diversity Data'!$B$2:$K$823,10,FALSE)</f>
        <v>3</v>
      </c>
      <c r="R269" t="str">
        <f>VLOOKUP(Table3[[#This Row],[Census Tract]],'ES Energy Burden'!$B$2:$E$914,4,FALSE)</f>
        <v>No</v>
      </c>
    </row>
    <row r="270" spans="1:18" hidden="1" x14ac:dyDescent="0.25">
      <c r="A270" s="140">
        <v>9011702700</v>
      </c>
      <c r="B270" s="39" t="s">
        <v>2774</v>
      </c>
      <c r="C270" s="39" t="s">
        <v>944</v>
      </c>
      <c r="D270" s="41">
        <v>2747.5092</v>
      </c>
      <c r="E270" s="37">
        <v>2.4374916853607691E-5</v>
      </c>
      <c r="F270" s="41">
        <v>59.2</v>
      </c>
      <c r="G270" s="37">
        <v>7.242914033909968E-7</v>
      </c>
      <c r="H270" s="41">
        <v>2747.5092</v>
      </c>
      <c r="I270" s="37">
        <v>2.4374916853607691E-5</v>
      </c>
      <c r="J270" s="42">
        <v>59.2</v>
      </c>
      <c r="K270" s="37">
        <v>7.242914033909968E-7</v>
      </c>
      <c r="L270" s="38">
        <v>0</v>
      </c>
      <c r="M270" s="37">
        <v>0</v>
      </c>
      <c r="N270" s="42">
        <v>0</v>
      </c>
      <c r="O270" s="37">
        <v>0</v>
      </c>
      <c r="Q270">
        <f>VLOOKUP(Table3[[#This Row],[Census Tract]],'Population and Diversity Data'!$B$2:$K$823,10,FALSE)</f>
        <v>5</v>
      </c>
      <c r="R270" t="str">
        <f>VLOOKUP(Table3[[#This Row],[Census Tract]],'ES Energy Burden'!$B$2:$E$914,4,FALSE)</f>
        <v>No</v>
      </c>
    </row>
    <row r="271" spans="1:18" hidden="1" x14ac:dyDescent="0.25">
      <c r="A271" s="140">
        <v>9011702800</v>
      </c>
      <c r="B271" s="39" t="s">
        <v>2774</v>
      </c>
      <c r="C271" s="39" t="s">
        <v>944</v>
      </c>
      <c r="D271" s="41">
        <v>4683.0465792000005</v>
      </c>
      <c r="E271" s="37">
        <v>4.1546310741951998E-5</v>
      </c>
      <c r="F271" s="41">
        <v>456.93</v>
      </c>
      <c r="G271" s="37">
        <v>5.5903795768825697E-6</v>
      </c>
      <c r="H271" s="41">
        <v>4683.0465792000005</v>
      </c>
      <c r="I271" s="37">
        <v>4.1546310741951998E-5</v>
      </c>
      <c r="J271" s="42">
        <v>456.93</v>
      </c>
      <c r="K271" s="37">
        <v>5.5903795768825697E-6</v>
      </c>
      <c r="L271" s="38">
        <v>0</v>
      </c>
      <c r="M271" s="37">
        <v>0</v>
      </c>
      <c r="N271" s="42">
        <v>0</v>
      </c>
      <c r="O271" s="37">
        <v>0</v>
      </c>
      <c r="Q271">
        <f>VLOOKUP(Table3[[#This Row],[Census Tract]],'Population and Diversity Data'!$B$2:$K$823,10,FALSE)</f>
        <v>5</v>
      </c>
      <c r="R271" t="str">
        <f>VLOOKUP(Table3[[#This Row],[Census Tract]],'ES Energy Burden'!$B$2:$E$914,4,FALSE)</f>
        <v>No</v>
      </c>
    </row>
    <row r="272" spans="1:18" hidden="1" x14ac:dyDescent="0.25">
      <c r="A272" s="140">
        <v>9011702900</v>
      </c>
      <c r="B272" s="39" t="s">
        <v>2774</v>
      </c>
      <c r="C272" s="39" t="s">
        <v>944</v>
      </c>
      <c r="D272" s="41">
        <v>50928.539080319999</v>
      </c>
      <c r="E272" s="37">
        <v>4.5181974479230493E-4</v>
      </c>
      <c r="F272" s="41">
        <v>58206.132299999997</v>
      </c>
      <c r="G272" s="37">
        <v>7.1213177786366591E-4</v>
      </c>
      <c r="H272" s="41">
        <v>35301.1096512</v>
      </c>
      <c r="I272" s="37">
        <v>3.131787921176344E-4</v>
      </c>
      <c r="J272" s="42">
        <v>49359.212299999999</v>
      </c>
      <c r="K272" s="37">
        <v>6.0389278964596534E-4</v>
      </c>
      <c r="L272" s="38">
        <v>15627.429429119999</v>
      </c>
      <c r="M272" s="37">
        <v>1.3864095267467053E-4</v>
      </c>
      <c r="N272" s="42">
        <v>8846.92</v>
      </c>
      <c r="O272" s="37">
        <v>1.0823898821770063E-4</v>
      </c>
      <c r="Q272">
        <f>VLOOKUP(Table3[[#This Row],[Census Tract]],'Population and Diversity Data'!$B$2:$K$823,10,FALSE)</f>
        <v>2</v>
      </c>
      <c r="R272" t="str">
        <f>VLOOKUP(Table3[[#This Row],[Census Tract]],'ES Energy Burden'!$B$2:$E$914,4,FALSE)</f>
        <v>No</v>
      </c>
    </row>
    <row r="273" spans="1:18" hidden="1" x14ac:dyDescent="0.25">
      <c r="A273" s="140">
        <v>9011703000</v>
      </c>
      <c r="B273" s="39" t="s">
        <v>2774</v>
      </c>
      <c r="C273" s="39" t="s">
        <v>944</v>
      </c>
      <c r="D273" s="41">
        <v>39.334896000000001</v>
      </c>
      <c r="E273" s="37">
        <v>3.4896509880487595E-7</v>
      </c>
      <c r="F273" s="41">
        <v>0</v>
      </c>
      <c r="G273" s="37">
        <v>0</v>
      </c>
      <c r="H273" s="41">
        <v>39.334896000000001</v>
      </c>
      <c r="I273" s="37">
        <v>3.4896509880487595E-7</v>
      </c>
      <c r="J273" s="42">
        <v>0</v>
      </c>
      <c r="K273" s="37">
        <v>0</v>
      </c>
      <c r="L273" s="38">
        <v>0</v>
      </c>
      <c r="M273" s="37">
        <v>0</v>
      </c>
      <c r="N273" s="42">
        <v>0</v>
      </c>
      <c r="O273" s="37">
        <v>0</v>
      </c>
      <c r="Q273">
        <f>VLOOKUP(Table3[[#This Row],[Census Tract]],'Population and Diversity Data'!$B$2:$K$823,10,FALSE)</f>
        <v>2</v>
      </c>
      <c r="R273" t="str">
        <f>VLOOKUP(Table3[[#This Row],[Census Tract]],'ES Energy Burden'!$B$2:$E$914,4,FALSE)</f>
        <v>No</v>
      </c>
    </row>
    <row r="274" spans="1:18" hidden="1" x14ac:dyDescent="0.25">
      <c r="A274" s="140">
        <v>9009190100</v>
      </c>
      <c r="B274" s="39" t="s">
        <v>2775</v>
      </c>
      <c r="C274" s="39" t="s">
        <v>944</v>
      </c>
      <c r="D274" s="41">
        <v>74457.283976639999</v>
      </c>
      <c r="E274" s="37">
        <v>6.6055833628366238E-4</v>
      </c>
      <c r="F274" s="41">
        <v>30283.0586</v>
      </c>
      <c r="G274" s="37">
        <v>3.7050268601969248E-4</v>
      </c>
      <c r="H274" s="41">
        <v>74457.283976639999</v>
      </c>
      <c r="I274" s="37">
        <v>6.6055833628366238E-4</v>
      </c>
      <c r="J274" s="42">
        <v>30283.0586</v>
      </c>
      <c r="K274" s="37">
        <v>3.7050268601969248E-4</v>
      </c>
      <c r="L274" s="38">
        <v>0</v>
      </c>
      <c r="M274" s="37">
        <v>0</v>
      </c>
      <c r="N274" s="42">
        <v>0</v>
      </c>
      <c r="O274" s="37">
        <v>0</v>
      </c>
      <c r="Q274">
        <f>VLOOKUP(Table3[[#This Row],[Census Tract]],'Population and Diversity Data'!$B$2:$K$823,10,FALSE)</f>
        <v>2</v>
      </c>
      <c r="R274" t="str">
        <f>VLOOKUP(Table3[[#This Row],[Census Tract]],'ES Energy Burden'!$B$2:$E$914,4,FALSE)</f>
        <v>No</v>
      </c>
    </row>
    <row r="275" spans="1:18" hidden="1" x14ac:dyDescent="0.25">
      <c r="A275" s="140">
        <v>9009190200</v>
      </c>
      <c r="B275" s="39" t="s">
        <v>2775</v>
      </c>
      <c r="C275" s="39" t="s">
        <v>944</v>
      </c>
      <c r="D275" s="41">
        <v>99217.489559040012</v>
      </c>
      <c r="E275" s="37">
        <v>8.8022200559884913E-4</v>
      </c>
      <c r="F275" s="41">
        <v>24604.87</v>
      </c>
      <c r="G275" s="37">
        <v>3.0103202402961203E-4</v>
      </c>
      <c r="H275" s="41">
        <v>99217.489559040012</v>
      </c>
      <c r="I275" s="37">
        <v>8.8022200559884913E-4</v>
      </c>
      <c r="J275" s="42">
        <v>24604.87</v>
      </c>
      <c r="K275" s="37">
        <v>3.0103202402961203E-4</v>
      </c>
      <c r="L275" s="38">
        <v>0</v>
      </c>
      <c r="M275" s="37">
        <v>0</v>
      </c>
      <c r="N275" s="42">
        <v>0</v>
      </c>
      <c r="O275" s="37">
        <v>0</v>
      </c>
      <c r="Q275">
        <f>VLOOKUP(Table3[[#This Row],[Census Tract]],'Population and Diversity Data'!$B$2:$K$823,10,FALSE)</f>
        <v>3</v>
      </c>
      <c r="R275" t="str">
        <f>VLOOKUP(Table3[[#This Row],[Census Tract]],'ES Energy Burden'!$B$2:$E$914,4,FALSE)</f>
        <v>No</v>
      </c>
    </row>
    <row r="276" spans="1:18" hidden="1" x14ac:dyDescent="0.25">
      <c r="A276" s="140">
        <v>9009190301</v>
      </c>
      <c r="B276" s="39" t="s">
        <v>2775</v>
      </c>
      <c r="C276" s="39" t="s">
        <v>944</v>
      </c>
      <c r="D276" s="41">
        <v>304348.46683679998</v>
      </c>
      <c r="E276" s="37">
        <v>2.7000705124736167E-3</v>
      </c>
      <c r="F276" s="41">
        <v>204784.0661</v>
      </c>
      <c r="G276" s="37">
        <v>2.5054618011433045E-3</v>
      </c>
      <c r="H276" s="41">
        <v>168002.32320576001</v>
      </c>
      <c r="I276" s="37">
        <v>1.4904563956886208E-3</v>
      </c>
      <c r="J276" s="42">
        <v>178510.27609999999</v>
      </c>
      <c r="K276" s="37">
        <v>2.1840111215571502E-3</v>
      </c>
      <c r="L276" s="38">
        <v>136346.14363104</v>
      </c>
      <c r="M276" s="37">
        <v>1.2096141167849963E-3</v>
      </c>
      <c r="N276" s="42">
        <v>26273.79</v>
      </c>
      <c r="O276" s="37">
        <v>3.2145067958615437E-4</v>
      </c>
      <c r="Q276">
        <f>VLOOKUP(Table3[[#This Row],[Census Tract]],'Population and Diversity Data'!$B$2:$K$823,10,FALSE)</f>
        <v>3</v>
      </c>
      <c r="R276" t="str">
        <f>VLOOKUP(Table3[[#This Row],[Census Tract]],'ES Energy Burden'!$B$2:$E$914,4,FALSE)</f>
        <v>No</v>
      </c>
    </row>
    <row r="277" spans="1:18" hidden="1" x14ac:dyDescent="0.25">
      <c r="A277" s="140">
        <v>9009190302</v>
      </c>
      <c r="B277" s="39" t="s">
        <v>2775</v>
      </c>
      <c r="C277" s="39" t="s">
        <v>944</v>
      </c>
      <c r="D277" s="41">
        <v>114957.60608448001</v>
      </c>
      <c r="E277" s="37">
        <v>1.0198626778024932E-3</v>
      </c>
      <c r="F277" s="41">
        <v>20711.39</v>
      </c>
      <c r="G277" s="37">
        <v>2.5339665083240297E-4</v>
      </c>
      <c r="H277" s="41">
        <v>114957.60608448001</v>
      </c>
      <c r="I277" s="37">
        <v>1.0198626778024932E-3</v>
      </c>
      <c r="J277" s="42">
        <v>20711.39</v>
      </c>
      <c r="K277" s="37">
        <v>2.5339665083240297E-4</v>
      </c>
      <c r="L277" s="38">
        <v>0</v>
      </c>
      <c r="M277" s="37">
        <v>0</v>
      </c>
      <c r="N277" s="42">
        <v>0</v>
      </c>
      <c r="O277" s="37">
        <v>0</v>
      </c>
      <c r="Q277">
        <f>VLOOKUP(Table3[[#This Row],[Census Tract]],'Population and Diversity Data'!$B$2:$K$823,10,FALSE)</f>
        <v>2</v>
      </c>
      <c r="R277" t="str">
        <f>VLOOKUP(Table3[[#This Row],[Census Tract]],'ES Energy Burden'!$B$2:$E$914,4,FALSE)</f>
        <v>No</v>
      </c>
    </row>
    <row r="278" spans="1:18" hidden="1" x14ac:dyDescent="0.25">
      <c r="A278" s="140">
        <v>9009190303</v>
      </c>
      <c r="B278" s="39" t="s">
        <v>2775</v>
      </c>
      <c r="C278" s="39" t="s">
        <v>944</v>
      </c>
      <c r="D278" s="41">
        <v>79355.569138560008</v>
      </c>
      <c r="E278" s="37">
        <v>7.0401416658518075E-4</v>
      </c>
      <c r="F278" s="41">
        <v>18373.099999999999</v>
      </c>
      <c r="G278" s="37">
        <v>2.2478848621018785E-4</v>
      </c>
      <c r="H278" s="41">
        <v>79310.844869760011</v>
      </c>
      <c r="I278" s="37">
        <v>7.036173889025661E-4</v>
      </c>
      <c r="J278" s="42">
        <v>18373.099999999999</v>
      </c>
      <c r="K278" s="37">
        <v>2.2478848621018785E-4</v>
      </c>
      <c r="L278" s="38">
        <v>44.724268800000004</v>
      </c>
      <c r="M278" s="37">
        <v>3.9677768261463897E-7</v>
      </c>
      <c r="N278" s="42">
        <v>0</v>
      </c>
      <c r="O278" s="37">
        <v>0</v>
      </c>
      <c r="Q278">
        <f>VLOOKUP(Table3[[#This Row],[Census Tract]],'Population and Diversity Data'!$B$2:$K$823,10,FALSE)</f>
        <v>2</v>
      </c>
      <c r="R278" t="str">
        <f>VLOOKUP(Table3[[#This Row],[Census Tract]],'ES Energy Burden'!$B$2:$E$914,4,FALSE)</f>
        <v>No</v>
      </c>
    </row>
    <row r="279" spans="1:18" hidden="1" x14ac:dyDescent="0.25">
      <c r="A279" s="140">
        <v>9009194201</v>
      </c>
      <c r="B279" s="39" t="s">
        <v>2775</v>
      </c>
      <c r="C279" s="39" t="s">
        <v>944</v>
      </c>
      <c r="D279" s="41">
        <v>910.06882560000008</v>
      </c>
      <c r="E279" s="37">
        <v>8.0738044316868533E-6</v>
      </c>
      <c r="F279" s="41">
        <v>0</v>
      </c>
      <c r="G279" s="37">
        <v>0</v>
      </c>
      <c r="H279" s="41">
        <v>910.06882560000008</v>
      </c>
      <c r="I279" s="37">
        <v>8.0738044316868533E-6</v>
      </c>
      <c r="J279" s="42">
        <v>0</v>
      </c>
      <c r="K279" s="37">
        <v>0</v>
      </c>
      <c r="L279" s="38">
        <v>0</v>
      </c>
      <c r="M279" s="37">
        <v>0</v>
      </c>
      <c r="N279" s="42">
        <v>0</v>
      </c>
      <c r="O279" s="37">
        <v>0</v>
      </c>
      <c r="Q279">
        <f>VLOOKUP(Table3[[#This Row],[Census Tract]],'Population and Diversity Data'!$B$2:$K$823,10,FALSE)</f>
        <v>3</v>
      </c>
      <c r="R279" t="str">
        <f>VLOOKUP(Table3[[#This Row],[Census Tract]],'ES Energy Burden'!$B$2:$E$914,4,FALSE)</f>
        <v>No</v>
      </c>
    </row>
    <row r="280" spans="1:18" hidden="1" x14ac:dyDescent="0.25">
      <c r="A280" s="140">
        <v>9007590100</v>
      </c>
      <c r="B280" s="39" t="s">
        <v>2776</v>
      </c>
      <c r="C280" s="39" t="s">
        <v>944</v>
      </c>
      <c r="D280" s="41">
        <v>217943.65422720002</v>
      </c>
      <c r="E280" s="37">
        <v>1.9335179844200065E-3</v>
      </c>
      <c r="F280" s="41">
        <v>74360.083700000003</v>
      </c>
      <c r="G280" s="37">
        <v>9.0976975302947607E-4</v>
      </c>
      <c r="H280" s="41">
        <v>183426.55475616001</v>
      </c>
      <c r="I280" s="37">
        <v>1.6272946496139551E-3</v>
      </c>
      <c r="J280" s="42">
        <v>59673.923699999999</v>
      </c>
      <c r="K280" s="37">
        <v>7.3008969497500437E-4</v>
      </c>
      <c r="L280" s="38">
        <v>34517.099471039997</v>
      </c>
      <c r="M280" s="37">
        <v>3.0622333480605121E-4</v>
      </c>
      <c r="N280" s="42">
        <v>14686.16</v>
      </c>
      <c r="O280" s="37">
        <v>1.7968005805447164E-4</v>
      </c>
      <c r="Q280">
        <f>VLOOKUP(Table3[[#This Row],[Census Tract]],'Population and Diversity Data'!$B$2:$K$823,10,FALSE)</f>
        <v>1</v>
      </c>
      <c r="R280" t="str">
        <f>VLOOKUP(Table3[[#This Row],[Census Tract]],'ES Energy Burden'!$B$2:$E$914,4,FALSE)</f>
        <v>No</v>
      </c>
    </row>
    <row r="281" spans="1:18" hidden="1" x14ac:dyDescent="0.25">
      <c r="A281" s="140">
        <v>9015820000</v>
      </c>
      <c r="B281" s="39" t="s">
        <v>2777</v>
      </c>
      <c r="C281" s="39" t="s">
        <v>944</v>
      </c>
      <c r="D281" s="41">
        <v>44289.82572768</v>
      </c>
      <c r="E281" s="37">
        <v>3.9292345939113678E-4</v>
      </c>
      <c r="F281" s="41">
        <v>11419.08</v>
      </c>
      <c r="G281" s="37">
        <v>1.3970847092287269E-4</v>
      </c>
      <c r="H281" s="41">
        <v>39907.668815999998</v>
      </c>
      <c r="I281" s="37">
        <v>3.540465339338308E-4</v>
      </c>
      <c r="J281" s="42">
        <v>11419.08</v>
      </c>
      <c r="K281" s="37">
        <v>1.3970847092287269E-4</v>
      </c>
      <c r="L281" s="38">
        <v>4382.1569116800001</v>
      </c>
      <c r="M281" s="37">
        <v>3.8876925457305935E-5</v>
      </c>
      <c r="N281" s="42">
        <v>0</v>
      </c>
      <c r="O281" s="37">
        <v>0</v>
      </c>
      <c r="Q281">
        <f>VLOOKUP(Table3[[#This Row],[Census Tract]],'Population and Diversity Data'!$B$2:$K$823,10,FALSE)</f>
        <v>4</v>
      </c>
      <c r="R281" t="str">
        <f>VLOOKUP(Table3[[#This Row],[Census Tract]],'ES Energy Burden'!$B$2:$E$914,4,FALSE)</f>
        <v>No</v>
      </c>
    </row>
    <row r="282" spans="1:18" hidden="1" x14ac:dyDescent="0.25">
      <c r="A282" s="140">
        <v>9003471100</v>
      </c>
      <c r="B282" s="39" t="s">
        <v>979</v>
      </c>
      <c r="C282" s="39" t="s">
        <v>944</v>
      </c>
      <c r="D282" s="41">
        <v>393.70786559999999</v>
      </c>
      <c r="E282" s="37">
        <v>3.4928350698921594E-6</v>
      </c>
      <c r="F282" s="41">
        <v>823.31</v>
      </c>
      <c r="G282" s="37">
        <v>1.0072911407531107E-5</v>
      </c>
      <c r="H282" s="41">
        <v>393.70786559999999</v>
      </c>
      <c r="I282" s="37">
        <v>3.4928350698921594E-6</v>
      </c>
      <c r="J282" s="42">
        <v>823.31</v>
      </c>
      <c r="K282" s="37">
        <v>1.0072911407531107E-5</v>
      </c>
      <c r="L282" s="38">
        <v>0</v>
      </c>
      <c r="M282" s="37">
        <v>0</v>
      </c>
      <c r="N282" s="42">
        <v>0</v>
      </c>
      <c r="O282" s="37">
        <v>0</v>
      </c>
      <c r="Q282">
        <f>VLOOKUP(Table3[[#This Row],[Census Tract]],'Population and Diversity Data'!$B$2:$K$823,10,FALSE)</f>
        <v>3</v>
      </c>
      <c r="R282" t="str">
        <f>VLOOKUP(Table3[[#This Row],[Census Tract]],'ES Energy Burden'!$B$2:$E$914,4,FALSE)</f>
        <v>No</v>
      </c>
    </row>
    <row r="283" spans="1:18" hidden="1" x14ac:dyDescent="0.25">
      <c r="A283" s="140">
        <v>9003496700</v>
      </c>
      <c r="B283" s="39" t="s">
        <v>979</v>
      </c>
      <c r="C283" s="39" t="s">
        <v>944</v>
      </c>
      <c r="D283" s="41">
        <v>144.50581439999999</v>
      </c>
      <c r="E283" s="37">
        <v>1.2820037912385751E-6</v>
      </c>
      <c r="F283" s="41">
        <v>0</v>
      </c>
      <c r="G283" s="37">
        <v>0</v>
      </c>
      <c r="H283" s="41">
        <v>144.50581439999999</v>
      </c>
      <c r="I283" s="37">
        <v>1.2820037912385751E-6</v>
      </c>
      <c r="J283" s="42">
        <v>0</v>
      </c>
      <c r="K283" s="37">
        <v>0</v>
      </c>
      <c r="L283" s="38">
        <v>0</v>
      </c>
      <c r="M283" s="37">
        <v>0</v>
      </c>
      <c r="N283" s="42">
        <v>0</v>
      </c>
      <c r="O283" s="37">
        <v>0</v>
      </c>
      <c r="Q283">
        <f>VLOOKUP(Table3[[#This Row],[Census Tract]],'Population and Diversity Data'!$B$2:$K$823,10,FALSE)</f>
        <v>5</v>
      </c>
      <c r="R283" t="str">
        <f>VLOOKUP(Table3[[#This Row],[Census Tract]],'ES Energy Burden'!$B$2:$E$914,4,FALSE)</f>
        <v>No</v>
      </c>
    </row>
    <row r="284" spans="1:18" hidden="1" x14ac:dyDescent="0.25">
      <c r="A284" s="140">
        <v>9003496800</v>
      </c>
      <c r="B284" s="39" t="s">
        <v>979</v>
      </c>
      <c r="C284" s="39" t="s">
        <v>944</v>
      </c>
      <c r="D284" s="41">
        <v>153.42635519999999</v>
      </c>
      <c r="E284" s="37">
        <v>1.3611436318946919E-6</v>
      </c>
      <c r="F284" s="41">
        <v>0</v>
      </c>
      <c r="G284" s="37">
        <v>0</v>
      </c>
      <c r="H284" s="41">
        <v>153.42635519999999</v>
      </c>
      <c r="I284" s="37">
        <v>1.3611436318946919E-6</v>
      </c>
      <c r="J284" s="42">
        <v>0</v>
      </c>
      <c r="K284" s="37">
        <v>0</v>
      </c>
      <c r="L284" s="38">
        <v>0</v>
      </c>
      <c r="M284" s="37">
        <v>0</v>
      </c>
      <c r="N284" s="42">
        <v>0</v>
      </c>
      <c r="O284" s="37">
        <v>0</v>
      </c>
      <c r="Q284">
        <f>VLOOKUP(Table3[[#This Row],[Census Tract]],'Population and Diversity Data'!$B$2:$K$823,10,FALSE)</f>
        <v>5</v>
      </c>
      <c r="R284" t="str">
        <f>VLOOKUP(Table3[[#This Row],[Census Tract]],'ES Energy Burden'!$B$2:$E$914,4,FALSE)</f>
        <v>No</v>
      </c>
    </row>
    <row r="285" spans="1:18" hidden="1" x14ac:dyDescent="0.25">
      <c r="A285" s="140">
        <v>9003496900</v>
      </c>
      <c r="B285" s="39" t="s">
        <v>979</v>
      </c>
      <c r="C285" s="39" t="s">
        <v>944</v>
      </c>
      <c r="D285" s="41">
        <v>284.866848</v>
      </c>
      <c r="E285" s="37">
        <v>2.527236572801758E-6</v>
      </c>
      <c r="F285" s="41">
        <v>0</v>
      </c>
      <c r="G285" s="37">
        <v>0</v>
      </c>
      <c r="H285" s="41">
        <v>284.866848</v>
      </c>
      <c r="I285" s="37">
        <v>2.527236572801758E-6</v>
      </c>
      <c r="J285" s="42">
        <v>0</v>
      </c>
      <c r="K285" s="37">
        <v>0</v>
      </c>
      <c r="L285" s="38">
        <v>0</v>
      </c>
      <c r="M285" s="37">
        <v>0</v>
      </c>
      <c r="N285" s="42">
        <v>0</v>
      </c>
      <c r="O285" s="37">
        <v>0</v>
      </c>
      <c r="Q285">
        <f>VLOOKUP(Table3[[#This Row],[Census Tract]],'Population and Diversity Data'!$B$2:$K$823,10,FALSE)</f>
        <v>3</v>
      </c>
      <c r="R285" t="str">
        <f>VLOOKUP(Table3[[#This Row],[Census Tract]],'ES Energy Burden'!$B$2:$E$914,4,FALSE)</f>
        <v>No</v>
      </c>
    </row>
    <row r="286" spans="1:18" hidden="1" x14ac:dyDescent="0.25">
      <c r="A286" s="140">
        <v>9003497100</v>
      </c>
      <c r="B286" s="39" t="s">
        <v>979</v>
      </c>
      <c r="C286" s="39" t="s">
        <v>944</v>
      </c>
      <c r="D286" s="41">
        <v>80.979523199999988</v>
      </c>
      <c r="E286" s="37">
        <v>7.1842130495679313E-7</v>
      </c>
      <c r="F286" s="41">
        <v>0</v>
      </c>
      <c r="G286" s="37">
        <v>0</v>
      </c>
      <c r="H286" s="41">
        <v>80.979523199999988</v>
      </c>
      <c r="I286" s="37">
        <v>7.1842130495679313E-7</v>
      </c>
      <c r="J286" s="42">
        <v>0</v>
      </c>
      <c r="K286" s="37">
        <v>0</v>
      </c>
      <c r="L286" s="38">
        <v>0</v>
      </c>
      <c r="M286" s="37">
        <v>0</v>
      </c>
      <c r="N286" s="42">
        <v>0</v>
      </c>
      <c r="O286" s="37">
        <v>0</v>
      </c>
      <c r="Q286">
        <f>VLOOKUP(Table3[[#This Row],[Census Tract]],'Population and Diversity Data'!$B$2:$K$823,10,FALSE)</f>
        <v>2</v>
      </c>
      <c r="R286" t="str">
        <f>VLOOKUP(Table3[[#This Row],[Census Tract]],'ES Energy Burden'!$B$2:$E$914,4,FALSE)</f>
        <v>No</v>
      </c>
    </row>
    <row r="287" spans="1:18" hidden="1" x14ac:dyDescent="0.25">
      <c r="A287" s="140">
        <v>9003500100</v>
      </c>
      <c r="B287" s="39" t="s">
        <v>979</v>
      </c>
      <c r="C287" s="39" t="s">
        <v>944</v>
      </c>
      <c r="D287" s="41">
        <v>27599.33412</v>
      </c>
      <c r="E287" s="37">
        <v>2.4485140009356031E-4</v>
      </c>
      <c r="F287" s="41">
        <v>2246.44</v>
      </c>
      <c r="G287" s="37">
        <v>2.7484411828271466E-5</v>
      </c>
      <c r="H287" s="41">
        <v>27599.33412</v>
      </c>
      <c r="I287" s="37">
        <v>2.4485140009356031E-4</v>
      </c>
      <c r="J287" s="42">
        <v>2246.44</v>
      </c>
      <c r="K287" s="37">
        <v>2.7484411828271466E-5</v>
      </c>
      <c r="L287" s="38">
        <v>0</v>
      </c>
      <c r="M287" s="37">
        <v>0</v>
      </c>
      <c r="N287" s="42">
        <v>0</v>
      </c>
      <c r="O287" s="37">
        <v>0</v>
      </c>
      <c r="Q287">
        <f>VLOOKUP(Table3[[#This Row],[Census Tract]],'Population and Diversity Data'!$B$2:$K$823,10,FALSE)</f>
        <v>5</v>
      </c>
      <c r="R287" t="str">
        <f>VLOOKUP(Table3[[#This Row],[Census Tract]],'ES Energy Burden'!$B$2:$E$914,4,FALSE)</f>
        <v>Yes</v>
      </c>
    </row>
    <row r="288" spans="1:18" hidden="1" x14ac:dyDescent="0.25">
      <c r="A288" s="140">
        <v>9003500200</v>
      </c>
      <c r="B288" s="39" t="s">
        <v>979</v>
      </c>
      <c r="C288" s="39" t="s">
        <v>944</v>
      </c>
      <c r="D288" s="41">
        <v>18357.163539839996</v>
      </c>
      <c r="E288" s="37">
        <v>1.6285817530717586E-4</v>
      </c>
      <c r="F288" s="41">
        <v>1257.69</v>
      </c>
      <c r="G288" s="37">
        <v>1.5387399579912547E-5</v>
      </c>
      <c r="H288" s="41">
        <v>18357.163539839996</v>
      </c>
      <c r="I288" s="37">
        <v>1.6285817530717586E-4</v>
      </c>
      <c r="J288" s="42">
        <v>1257.69</v>
      </c>
      <c r="K288" s="37">
        <v>1.5387399579912547E-5</v>
      </c>
      <c r="L288" s="38">
        <v>0</v>
      </c>
      <c r="M288" s="37">
        <v>0</v>
      </c>
      <c r="N288" s="42">
        <v>0</v>
      </c>
      <c r="O288" s="37">
        <v>0</v>
      </c>
      <c r="Q288">
        <f>VLOOKUP(Table3[[#This Row],[Census Tract]],'Population and Diversity Data'!$B$2:$K$823,10,FALSE)</f>
        <v>5</v>
      </c>
      <c r="R288" t="str">
        <f>VLOOKUP(Table3[[#This Row],[Census Tract]],'ES Energy Burden'!$B$2:$E$914,4,FALSE)</f>
        <v>Yes</v>
      </c>
    </row>
    <row r="289" spans="1:18" x14ac:dyDescent="0.25">
      <c r="A289" s="140">
        <v>9003500300</v>
      </c>
      <c r="B289" s="39" t="s">
        <v>979</v>
      </c>
      <c r="C289" s="39" t="s">
        <v>936</v>
      </c>
      <c r="D289" s="41">
        <v>19192.581737280001</v>
      </c>
      <c r="E289" s="37">
        <v>1.7026970612228322E-4</v>
      </c>
      <c r="F289" s="41">
        <v>15607.35</v>
      </c>
      <c r="G289" s="37">
        <v>1.9095049720801476E-4</v>
      </c>
      <c r="H289" s="41">
        <v>19192.581737280001</v>
      </c>
      <c r="I289" s="37">
        <v>1.7026970612228322E-4</v>
      </c>
      <c r="J289" s="42">
        <v>15607.35</v>
      </c>
      <c r="K289" s="37">
        <v>1.9095049720801476E-4</v>
      </c>
      <c r="L289" s="38">
        <v>0</v>
      </c>
      <c r="M289" s="37">
        <v>0</v>
      </c>
      <c r="N289" s="42">
        <v>0</v>
      </c>
      <c r="O289" s="37">
        <v>0</v>
      </c>
      <c r="Q289">
        <f>VLOOKUP(Table3[[#This Row],[Census Tract]],'Population and Diversity Data'!$B$2:$K$823,10,FALSE)</f>
        <v>5</v>
      </c>
      <c r="R289" t="e">
        <f>VLOOKUP(Table3[[#This Row],[Census Tract]],'ES Energy Burden'!$B$2:$E$914,4,FALSE)</f>
        <v>#N/A</v>
      </c>
    </row>
    <row r="290" spans="1:18" hidden="1" x14ac:dyDescent="0.25">
      <c r="A290" s="140">
        <v>9003500400</v>
      </c>
      <c r="B290" s="39" t="s">
        <v>979</v>
      </c>
      <c r="C290" s="39" t="s">
        <v>944</v>
      </c>
      <c r="D290" s="41">
        <v>20330.00047296</v>
      </c>
      <c r="E290" s="37">
        <v>1.8036047746890349E-4</v>
      </c>
      <c r="F290" s="41">
        <v>601.65</v>
      </c>
      <c r="G290" s="37">
        <v>7.3609784265235331E-6</v>
      </c>
      <c r="H290" s="41">
        <v>20330.00047296</v>
      </c>
      <c r="I290" s="37">
        <v>1.8036047746890349E-4</v>
      </c>
      <c r="J290" s="42">
        <v>601.65</v>
      </c>
      <c r="K290" s="37">
        <v>7.3609784265235331E-6</v>
      </c>
      <c r="L290" s="38">
        <v>0</v>
      </c>
      <c r="M290" s="37">
        <v>0</v>
      </c>
      <c r="N290" s="42">
        <v>0</v>
      </c>
      <c r="O290" s="37">
        <v>0</v>
      </c>
      <c r="Q290">
        <f>VLOOKUP(Table3[[#This Row],[Census Tract]],'Population and Diversity Data'!$B$2:$K$823,10,FALSE)</f>
        <v>5</v>
      </c>
      <c r="R290" t="str">
        <f>VLOOKUP(Table3[[#This Row],[Census Tract]],'ES Energy Burden'!$B$2:$E$914,4,FALSE)</f>
        <v>Yes</v>
      </c>
    </row>
    <row r="291" spans="1:18" hidden="1" x14ac:dyDescent="0.25">
      <c r="A291" s="140">
        <v>9003500500</v>
      </c>
      <c r="B291" s="39" t="s">
        <v>979</v>
      </c>
      <c r="C291" s="39" t="s">
        <v>944</v>
      </c>
      <c r="D291" s="41">
        <v>16445.239833600001</v>
      </c>
      <c r="E291" s="37">
        <v>1.4589627346166381E-4</v>
      </c>
      <c r="F291" s="41">
        <v>148437.2053</v>
      </c>
      <c r="G291" s="37">
        <v>1.8160775632124072E-3</v>
      </c>
      <c r="H291" s="41">
        <v>16445.239833600001</v>
      </c>
      <c r="I291" s="37">
        <v>1.4589627346166381E-4</v>
      </c>
      <c r="J291" s="42">
        <v>148437.2053</v>
      </c>
      <c r="K291" s="37">
        <v>1.8160775632124072E-3</v>
      </c>
      <c r="L291" s="38">
        <v>0</v>
      </c>
      <c r="M291" s="37">
        <v>0</v>
      </c>
      <c r="N291" s="42">
        <v>0</v>
      </c>
      <c r="O291" s="37">
        <v>0</v>
      </c>
      <c r="Q291">
        <f>VLOOKUP(Table3[[#This Row],[Census Tract]],'Population and Diversity Data'!$B$2:$K$823,10,FALSE)</f>
        <v>5</v>
      </c>
      <c r="R291" t="str">
        <f>VLOOKUP(Table3[[#This Row],[Census Tract]],'ES Energy Burden'!$B$2:$E$914,4,FALSE)</f>
        <v>No</v>
      </c>
    </row>
    <row r="292" spans="1:18" hidden="1" x14ac:dyDescent="0.25">
      <c r="A292" s="140">
        <v>9003500900</v>
      </c>
      <c r="B292" s="39" t="s">
        <v>979</v>
      </c>
      <c r="C292" s="39" t="s">
        <v>944</v>
      </c>
      <c r="D292" s="41">
        <v>20985.07844736</v>
      </c>
      <c r="E292" s="37">
        <v>1.8617209446317222E-4</v>
      </c>
      <c r="F292" s="41">
        <v>8680.39</v>
      </c>
      <c r="G292" s="37">
        <v>1.0620155160610091E-4</v>
      </c>
      <c r="H292" s="41">
        <v>20985.07844736</v>
      </c>
      <c r="I292" s="37">
        <v>1.8617209446317222E-4</v>
      </c>
      <c r="J292" s="42">
        <v>8680.39</v>
      </c>
      <c r="K292" s="37">
        <v>1.0620155160610091E-4</v>
      </c>
      <c r="L292" s="38">
        <v>0</v>
      </c>
      <c r="M292" s="37">
        <v>0</v>
      </c>
      <c r="N292" s="42">
        <v>0</v>
      </c>
      <c r="O292" s="37">
        <v>0</v>
      </c>
      <c r="Q292">
        <f>VLOOKUP(Table3[[#This Row],[Census Tract]],'Population and Diversity Data'!$B$2:$K$823,10,FALSE)</f>
        <v>5</v>
      </c>
      <c r="R292" t="str">
        <f>VLOOKUP(Table3[[#This Row],[Census Tract]],'ES Energy Burden'!$B$2:$E$914,4,FALSE)</f>
        <v>Yes</v>
      </c>
    </row>
    <row r="293" spans="1:18" hidden="1" x14ac:dyDescent="0.25">
      <c r="A293" s="140">
        <v>9003501200</v>
      </c>
      <c r="B293" s="39" t="s">
        <v>979</v>
      </c>
      <c r="C293" s="39" t="s">
        <v>944</v>
      </c>
      <c r="D293" s="41">
        <v>23903.896184639998</v>
      </c>
      <c r="E293" s="37">
        <v>2.1206679925871405E-4</v>
      </c>
      <c r="F293" s="41">
        <v>1628.75</v>
      </c>
      <c r="G293" s="37">
        <v>1.992718958231564E-5</v>
      </c>
      <c r="H293" s="41">
        <v>23903.896184639998</v>
      </c>
      <c r="I293" s="37">
        <v>2.1206679925871405E-4</v>
      </c>
      <c r="J293" s="42">
        <v>1628.75</v>
      </c>
      <c r="K293" s="37">
        <v>1.992718958231564E-5</v>
      </c>
      <c r="L293" s="38">
        <v>0</v>
      </c>
      <c r="M293" s="37">
        <v>0</v>
      </c>
      <c r="N293" s="42">
        <v>0</v>
      </c>
      <c r="O293" s="37">
        <v>0</v>
      </c>
      <c r="Q293">
        <f>VLOOKUP(Table3[[#This Row],[Census Tract]],'Population and Diversity Data'!$B$2:$K$823,10,FALSE)</f>
        <v>4</v>
      </c>
      <c r="R293" t="str">
        <f>VLOOKUP(Table3[[#This Row],[Census Tract]],'ES Energy Burden'!$B$2:$E$914,4,FALSE)</f>
        <v>Yes</v>
      </c>
    </row>
    <row r="294" spans="1:18" hidden="1" x14ac:dyDescent="0.25">
      <c r="A294" s="140">
        <v>9003501300</v>
      </c>
      <c r="B294" s="39" t="s">
        <v>979</v>
      </c>
      <c r="C294" s="39" t="s">
        <v>944</v>
      </c>
      <c r="D294" s="41">
        <v>14078.583889920001</v>
      </c>
      <c r="E294" s="37">
        <v>1.249001501917958E-4</v>
      </c>
      <c r="F294" s="41">
        <v>2029.63</v>
      </c>
      <c r="G294" s="37">
        <v>2.4831816909872782E-5</v>
      </c>
      <c r="H294" s="41">
        <v>14078.583889920001</v>
      </c>
      <c r="I294" s="37">
        <v>1.249001501917958E-4</v>
      </c>
      <c r="J294" s="42">
        <v>2029.63</v>
      </c>
      <c r="K294" s="37">
        <v>2.4831816909872782E-5</v>
      </c>
      <c r="L294" s="38">
        <v>0</v>
      </c>
      <c r="M294" s="37">
        <v>0</v>
      </c>
      <c r="N294" s="42">
        <v>0</v>
      </c>
      <c r="O294" s="37">
        <v>0</v>
      </c>
      <c r="Q294">
        <f>VLOOKUP(Table3[[#This Row],[Census Tract]],'Population and Diversity Data'!$B$2:$K$823,10,FALSE)</f>
        <v>4</v>
      </c>
      <c r="R294" t="str">
        <f>VLOOKUP(Table3[[#This Row],[Census Tract]],'ES Energy Burden'!$B$2:$E$914,4,FALSE)</f>
        <v>Yes</v>
      </c>
    </row>
    <row r="295" spans="1:18" hidden="1" x14ac:dyDescent="0.25">
      <c r="A295" s="140">
        <v>9003501400</v>
      </c>
      <c r="B295" s="39" t="s">
        <v>979</v>
      </c>
      <c r="C295" s="39" t="s">
        <v>944</v>
      </c>
      <c r="D295" s="41">
        <v>25922.267818560002</v>
      </c>
      <c r="E295" s="37">
        <v>2.2997306896528334E-4</v>
      </c>
      <c r="F295" s="41">
        <v>53046.98</v>
      </c>
      <c r="G295" s="37">
        <v>6.4901134442321175E-4</v>
      </c>
      <c r="H295" s="41">
        <v>25922.267818560002</v>
      </c>
      <c r="I295" s="37">
        <v>2.2997306896528334E-4</v>
      </c>
      <c r="J295" s="42">
        <v>53046.98</v>
      </c>
      <c r="K295" s="37">
        <v>6.4901134442321175E-4</v>
      </c>
      <c r="L295" s="38">
        <v>0</v>
      </c>
      <c r="M295" s="37">
        <v>0</v>
      </c>
      <c r="N295" s="42">
        <v>0</v>
      </c>
      <c r="O295" s="37">
        <v>0</v>
      </c>
      <c r="Q295">
        <f>VLOOKUP(Table3[[#This Row],[Census Tract]],'Population and Diversity Data'!$B$2:$K$823,10,FALSE)</f>
        <v>4</v>
      </c>
      <c r="R295" t="str">
        <f>VLOOKUP(Table3[[#This Row],[Census Tract]],'ES Energy Burden'!$B$2:$E$914,4,FALSE)</f>
        <v>Yes</v>
      </c>
    </row>
    <row r="296" spans="1:18" hidden="1" x14ac:dyDescent="0.25">
      <c r="A296" s="140">
        <v>9003501500</v>
      </c>
      <c r="B296" s="39" t="s">
        <v>979</v>
      </c>
      <c r="C296" s="39" t="s">
        <v>944</v>
      </c>
      <c r="D296" s="41">
        <v>34494.509257919999</v>
      </c>
      <c r="E296" s="37">
        <v>3.0602292253208857E-4</v>
      </c>
      <c r="F296" s="41">
        <v>10977.39</v>
      </c>
      <c r="G296" s="37">
        <v>1.3430454744375495E-4</v>
      </c>
      <c r="H296" s="41">
        <v>34494.509257919999</v>
      </c>
      <c r="I296" s="37">
        <v>3.0602292253208857E-4</v>
      </c>
      <c r="J296" s="42">
        <v>10977.39</v>
      </c>
      <c r="K296" s="37">
        <v>1.3430454744375495E-4</v>
      </c>
      <c r="L296" s="38">
        <v>0</v>
      </c>
      <c r="M296" s="37">
        <v>0</v>
      </c>
      <c r="N296" s="42">
        <v>0</v>
      </c>
      <c r="O296" s="37">
        <v>0</v>
      </c>
      <c r="Q296">
        <f>VLOOKUP(Table3[[#This Row],[Census Tract]],'Population and Diversity Data'!$B$2:$K$823,10,FALSE)</f>
        <v>3</v>
      </c>
      <c r="R296" t="str">
        <f>VLOOKUP(Table3[[#This Row],[Census Tract]],'ES Energy Burden'!$B$2:$E$914,4,FALSE)</f>
        <v>Yes</v>
      </c>
    </row>
    <row r="297" spans="1:18" hidden="1" x14ac:dyDescent="0.25">
      <c r="A297" s="140">
        <v>9003501700</v>
      </c>
      <c r="B297" s="39" t="s">
        <v>979</v>
      </c>
      <c r="C297" s="39" t="s">
        <v>944</v>
      </c>
      <c r="D297" s="41">
        <v>10912.4263584</v>
      </c>
      <c r="E297" s="37">
        <v>9.6811135393874909E-5</v>
      </c>
      <c r="F297" s="41">
        <v>1164.8900000000001</v>
      </c>
      <c r="G297" s="37">
        <v>1.4252023866488823E-5</v>
      </c>
      <c r="H297" s="41">
        <v>10912.4263584</v>
      </c>
      <c r="I297" s="37">
        <v>9.6811135393874909E-5</v>
      </c>
      <c r="J297" s="42">
        <v>1164.8900000000001</v>
      </c>
      <c r="K297" s="37">
        <v>1.4252023866488823E-5</v>
      </c>
      <c r="L297" s="38">
        <v>0</v>
      </c>
      <c r="M297" s="37">
        <v>0</v>
      </c>
      <c r="N297" s="42">
        <v>0</v>
      </c>
      <c r="O297" s="37">
        <v>0</v>
      </c>
      <c r="Q297">
        <f>VLOOKUP(Table3[[#This Row],[Census Tract]],'Population and Diversity Data'!$B$2:$K$823,10,FALSE)</f>
        <v>5</v>
      </c>
      <c r="R297" t="str">
        <f>VLOOKUP(Table3[[#This Row],[Census Tract]],'ES Energy Burden'!$B$2:$E$914,4,FALSE)</f>
        <v>Yes</v>
      </c>
    </row>
    <row r="298" spans="1:18" x14ac:dyDescent="0.25">
      <c r="A298" s="140">
        <v>9003501800</v>
      </c>
      <c r="B298" s="39" t="s">
        <v>979</v>
      </c>
      <c r="C298" s="39" t="s">
        <v>936</v>
      </c>
      <c r="D298" s="41">
        <v>19569.573285120001</v>
      </c>
      <c r="E298" s="37">
        <v>1.7361424001251108E-4</v>
      </c>
      <c r="F298" s="41">
        <v>1213.1500000000001</v>
      </c>
      <c r="G298" s="37">
        <v>1.4842468176077495E-5</v>
      </c>
      <c r="H298" s="41">
        <v>19569.573285120001</v>
      </c>
      <c r="I298" s="37">
        <v>1.7361424001251108E-4</v>
      </c>
      <c r="J298" s="42">
        <v>1213.1500000000001</v>
      </c>
      <c r="K298" s="37">
        <v>1.4842468176077495E-5</v>
      </c>
      <c r="L298" s="38">
        <v>0</v>
      </c>
      <c r="M298" s="37">
        <v>0</v>
      </c>
      <c r="N298" s="42">
        <v>0</v>
      </c>
      <c r="O298" s="37">
        <v>0</v>
      </c>
      <c r="Q298">
        <f>VLOOKUP(Table3[[#This Row],[Census Tract]],'Population and Diversity Data'!$B$2:$K$823,10,FALSE)</f>
        <v>5</v>
      </c>
      <c r="R298" t="e">
        <f>VLOOKUP(Table3[[#This Row],[Census Tract]],'ES Energy Burden'!$B$2:$E$914,4,FALSE)</f>
        <v>#N/A</v>
      </c>
    </row>
    <row r="299" spans="1:18" hidden="1" x14ac:dyDescent="0.25">
      <c r="A299" s="140">
        <v>9003502100</v>
      </c>
      <c r="B299" s="39" t="s">
        <v>979</v>
      </c>
      <c r="C299" s="39" t="s">
        <v>944</v>
      </c>
      <c r="D299" s="41">
        <v>27091.375603200002</v>
      </c>
      <c r="E299" s="37">
        <v>2.4034497419621231E-4</v>
      </c>
      <c r="F299" s="41">
        <v>2298.11</v>
      </c>
      <c r="G299" s="37">
        <v>2.8116576301467627E-5</v>
      </c>
      <c r="H299" s="41">
        <v>27091.375603200002</v>
      </c>
      <c r="I299" s="37">
        <v>2.4034497419621231E-4</v>
      </c>
      <c r="J299" s="42">
        <v>2298.11</v>
      </c>
      <c r="K299" s="37">
        <v>2.8116576301467627E-5</v>
      </c>
      <c r="L299" s="38">
        <v>0</v>
      </c>
      <c r="M299" s="37">
        <v>0</v>
      </c>
      <c r="N299" s="42">
        <v>0</v>
      </c>
      <c r="O299" s="37">
        <v>0</v>
      </c>
      <c r="Q299">
        <f>VLOOKUP(Table3[[#This Row],[Census Tract]],'Population and Diversity Data'!$B$2:$K$823,10,FALSE)</f>
        <v>5</v>
      </c>
      <c r="R299" t="str">
        <f>VLOOKUP(Table3[[#This Row],[Census Tract]],'ES Energy Burden'!$B$2:$E$914,4,FALSE)</f>
        <v>No</v>
      </c>
    </row>
    <row r="300" spans="1:18" hidden="1" x14ac:dyDescent="0.25">
      <c r="A300" s="140">
        <v>9003502300</v>
      </c>
      <c r="B300" s="39" t="s">
        <v>979</v>
      </c>
      <c r="C300" s="39" t="s">
        <v>944</v>
      </c>
      <c r="D300" s="41">
        <v>61237.230647040007</v>
      </c>
      <c r="E300" s="37">
        <v>5.4327476150645712E-4</v>
      </c>
      <c r="F300" s="41">
        <v>31422.542399999998</v>
      </c>
      <c r="G300" s="37">
        <v>3.8444387386839691E-4</v>
      </c>
      <c r="H300" s="41">
        <v>61237.230647040007</v>
      </c>
      <c r="I300" s="37">
        <v>5.4327476150645712E-4</v>
      </c>
      <c r="J300" s="42">
        <v>31422.542399999998</v>
      </c>
      <c r="K300" s="37">
        <v>3.8444387386839691E-4</v>
      </c>
      <c r="L300" s="38">
        <v>0</v>
      </c>
      <c r="M300" s="37">
        <v>0</v>
      </c>
      <c r="N300" s="42">
        <v>0</v>
      </c>
      <c r="O300" s="37">
        <v>0</v>
      </c>
      <c r="Q300">
        <f>VLOOKUP(Table3[[#This Row],[Census Tract]],'Population and Diversity Data'!$B$2:$K$823,10,FALSE)</f>
        <v>5</v>
      </c>
      <c r="R300" t="str">
        <f>VLOOKUP(Table3[[#This Row],[Census Tract]],'ES Energy Burden'!$B$2:$E$914,4,FALSE)</f>
        <v>No</v>
      </c>
    </row>
    <row r="301" spans="1:18" hidden="1" x14ac:dyDescent="0.25">
      <c r="A301" s="140">
        <v>9003502400</v>
      </c>
      <c r="B301" s="39" t="s">
        <v>979</v>
      </c>
      <c r="C301" s="39" t="s">
        <v>944</v>
      </c>
      <c r="D301" s="41">
        <v>1035759.4729718401</v>
      </c>
      <c r="E301" s="37">
        <v>9.1888868048285791E-3</v>
      </c>
      <c r="F301" s="41">
        <v>1565113.7553999999</v>
      </c>
      <c r="G301" s="37">
        <v>1.9148622269682756E-2</v>
      </c>
      <c r="H301" s="41">
        <v>171829.57790591998</v>
      </c>
      <c r="I301" s="37">
        <v>1.5244104276146936E-3</v>
      </c>
      <c r="J301" s="42">
        <v>1207764.3359999999</v>
      </c>
      <c r="K301" s="37">
        <v>1.4776576450794514E-2</v>
      </c>
      <c r="L301" s="38">
        <v>863929.89506592008</v>
      </c>
      <c r="M301" s="37">
        <v>7.6644763772138851E-3</v>
      </c>
      <c r="N301" s="42">
        <v>357349.41940000001</v>
      </c>
      <c r="O301" s="37">
        <v>4.3720458188882417E-3</v>
      </c>
      <c r="Q301">
        <f>VLOOKUP(Table3[[#This Row],[Census Tract]],'Population and Diversity Data'!$B$2:$K$823,10,FALSE)</f>
        <v>5</v>
      </c>
      <c r="R301" t="str">
        <f>VLOOKUP(Table3[[#This Row],[Census Tract]],'ES Energy Burden'!$B$2:$E$914,4,FALSE)</f>
        <v>Yes</v>
      </c>
    </row>
    <row r="302" spans="1:18" hidden="1" x14ac:dyDescent="0.25">
      <c r="A302" s="140">
        <v>9003502500</v>
      </c>
      <c r="B302" s="39" t="s">
        <v>979</v>
      </c>
      <c r="C302" s="39" t="s">
        <v>944</v>
      </c>
      <c r="D302" s="41">
        <v>19614.414487680002</v>
      </c>
      <c r="E302" s="37">
        <v>1.7401205508953276E-4</v>
      </c>
      <c r="F302" s="41">
        <v>18113.2</v>
      </c>
      <c r="G302" s="37">
        <v>2.2160870013347641E-4</v>
      </c>
      <c r="H302" s="41">
        <v>19596.776592960003</v>
      </c>
      <c r="I302" s="37">
        <v>1.7385557800939319E-4</v>
      </c>
      <c r="J302" s="42">
        <v>18113.2</v>
      </c>
      <c r="K302" s="37">
        <v>2.2160870013347641E-4</v>
      </c>
      <c r="L302" s="38">
        <v>17.637894720000002</v>
      </c>
      <c r="M302" s="37">
        <v>1.5647708013959921E-7</v>
      </c>
      <c r="N302" s="42">
        <v>0</v>
      </c>
      <c r="O302" s="37">
        <v>0</v>
      </c>
      <c r="Q302">
        <f>VLOOKUP(Table3[[#This Row],[Census Tract]],'Population and Diversity Data'!$B$2:$K$823,10,FALSE)</f>
        <v>5</v>
      </c>
      <c r="R302" t="str">
        <f>VLOOKUP(Table3[[#This Row],[Census Tract]],'ES Energy Burden'!$B$2:$E$914,4,FALSE)</f>
        <v>Yes</v>
      </c>
    </row>
    <row r="303" spans="1:18" hidden="1" x14ac:dyDescent="0.25">
      <c r="A303" s="140">
        <v>9003502600</v>
      </c>
      <c r="B303" s="39" t="s">
        <v>979</v>
      </c>
      <c r="C303" s="39" t="s">
        <v>944</v>
      </c>
      <c r="D303" s="41">
        <v>36489.036245759999</v>
      </c>
      <c r="E303" s="37">
        <v>3.237176510850909E-4</v>
      </c>
      <c r="F303" s="41">
        <v>8703.0400000000009</v>
      </c>
      <c r="G303" s="37">
        <v>1.0647866647581049E-4</v>
      </c>
      <c r="H303" s="41">
        <v>36489.036245759999</v>
      </c>
      <c r="I303" s="37">
        <v>3.237176510850909E-4</v>
      </c>
      <c r="J303" s="42">
        <v>8703.0400000000009</v>
      </c>
      <c r="K303" s="37">
        <v>1.0647866647581049E-4</v>
      </c>
      <c r="L303" s="38">
        <v>0</v>
      </c>
      <c r="M303" s="37">
        <v>0</v>
      </c>
      <c r="N303" s="42">
        <v>0</v>
      </c>
      <c r="O303" s="37">
        <v>0</v>
      </c>
      <c r="Q303">
        <f>VLOOKUP(Table3[[#This Row],[Census Tract]],'Population and Diversity Data'!$B$2:$K$823,10,FALSE)</f>
        <v>5</v>
      </c>
      <c r="R303" t="str">
        <f>VLOOKUP(Table3[[#This Row],[Census Tract]],'ES Energy Burden'!$B$2:$E$914,4,FALSE)</f>
        <v>Yes</v>
      </c>
    </row>
    <row r="304" spans="1:18" hidden="1" x14ac:dyDescent="0.25">
      <c r="A304" s="140">
        <v>9003502700</v>
      </c>
      <c r="B304" s="39" t="s">
        <v>979</v>
      </c>
      <c r="C304" s="39" t="s">
        <v>944</v>
      </c>
      <c r="D304" s="41">
        <v>32741.750923200001</v>
      </c>
      <c r="E304" s="37">
        <v>2.9047307881427035E-4</v>
      </c>
      <c r="F304" s="41">
        <v>2431</v>
      </c>
      <c r="G304" s="37">
        <v>2.9742439216951235E-5</v>
      </c>
      <c r="H304" s="41">
        <v>32741.750923200001</v>
      </c>
      <c r="I304" s="37">
        <v>2.9047307881427035E-4</v>
      </c>
      <c r="J304" s="42">
        <v>2431</v>
      </c>
      <c r="K304" s="37">
        <v>2.9742439216951235E-5</v>
      </c>
      <c r="L304" s="38">
        <v>0</v>
      </c>
      <c r="M304" s="37">
        <v>0</v>
      </c>
      <c r="N304" s="42">
        <v>0</v>
      </c>
      <c r="O304" s="37">
        <v>0</v>
      </c>
      <c r="Q304">
        <f>VLOOKUP(Table3[[#This Row],[Census Tract]],'Population and Diversity Data'!$B$2:$K$823,10,FALSE)</f>
        <v>5</v>
      </c>
      <c r="R304" t="str">
        <f>VLOOKUP(Table3[[#This Row],[Census Tract]],'ES Energy Burden'!$B$2:$E$914,4,FALSE)</f>
        <v>Yes</v>
      </c>
    </row>
    <row r="305" spans="1:18" x14ac:dyDescent="0.25">
      <c r="A305" s="140">
        <v>9003502800</v>
      </c>
      <c r="B305" s="39" t="s">
        <v>979</v>
      </c>
      <c r="C305" s="39" t="s">
        <v>936</v>
      </c>
      <c r="D305" s="41">
        <v>34597.11747456</v>
      </c>
      <c r="E305" s="37">
        <v>3.0693322585303724E-4</v>
      </c>
      <c r="F305" s="41">
        <v>3386.56</v>
      </c>
      <c r="G305" s="37">
        <v>4.1433383362631992E-5</v>
      </c>
      <c r="H305" s="41">
        <v>34597.11747456</v>
      </c>
      <c r="I305" s="37">
        <v>3.0693322585303724E-4</v>
      </c>
      <c r="J305" s="42">
        <v>3386.56</v>
      </c>
      <c r="K305" s="37">
        <v>4.1433383362631992E-5</v>
      </c>
      <c r="L305" s="38">
        <v>0</v>
      </c>
      <c r="M305" s="37">
        <v>0</v>
      </c>
      <c r="N305" s="42">
        <v>0</v>
      </c>
      <c r="O305" s="37">
        <v>0</v>
      </c>
      <c r="Q305">
        <f>VLOOKUP(Table3[[#This Row],[Census Tract]],'Population and Diversity Data'!$B$2:$K$823,10,FALSE)</f>
        <v>5</v>
      </c>
      <c r="R305" t="e">
        <f>VLOOKUP(Table3[[#This Row],[Census Tract]],'ES Energy Burden'!$B$2:$E$914,4,FALSE)</f>
        <v>#N/A</v>
      </c>
    </row>
    <row r="306" spans="1:18" hidden="1" x14ac:dyDescent="0.25">
      <c r="A306" s="140">
        <v>9003502900</v>
      </c>
      <c r="B306" s="39" t="s">
        <v>979</v>
      </c>
      <c r="C306" s="39" t="s">
        <v>944</v>
      </c>
      <c r="D306" s="41">
        <v>21805.829562239996</v>
      </c>
      <c r="E306" s="37">
        <v>1.9345350417881784E-4</v>
      </c>
      <c r="F306" s="41">
        <v>534.38</v>
      </c>
      <c r="G306" s="37">
        <v>6.5379533808121765E-6</v>
      </c>
      <c r="H306" s="41">
        <v>21805.829562239996</v>
      </c>
      <c r="I306" s="37">
        <v>1.9345350417881784E-4</v>
      </c>
      <c r="J306" s="42">
        <v>534.38</v>
      </c>
      <c r="K306" s="37">
        <v>6.5379533808121765E-6</v>
      </c>
      <c r="L306" s="38">
        <v>0</v>
      </c>
      <c r="M306" s="37">
        <v>0</v>
      </c>
      <c r="N306" s="42">
        <v>0</v>
      </c>
      <c r="O306" s="37">
        <v>0</v>
      </c>
      <c r="Q306">
        <f>VLOOKUP(Table3[[#This Row],[Census Tract]],'Population and Diversity Data'!$B$2:$K$823,10,FALSE)</f>
        <v>5</v>
      </c>
      <c r="R306" t="str">
        <f>VLOOKUP(Table3[[#This Row],[Census Tract]],'ES Energy Burden'!$B$2:$E$914,4,FALSE)</f>
        <v>No</v>
      </c>
    </row>
    <row r="307" spans="1:18" x14ac:dyDescent="0.25">
      <c r="A307" s="140">
        <v>9003503000</v>
      </c>
      <c r="B307" s="39" t="s">
        <v>979</v>
      </c>
      <c r="C307" s="39" t="s">
        <v>936</v>
      </c>
      <c r="D307" s="41">
        <v>27613.769650560003</v>
      </c>
      <c r="E307" s="37">
        <v>2.4497946694667137E-4</v>
      </c>
      <c r="F307" s="41">
        <v>677.72</v>
      </c>
      <c r="G307" s="37">
        <v>8.2916684105767965E-6</v>
      </c>
      <c r="H307" s="41">
        <v>27613.769650560003</v>
      </c>
      <c r="I307" s="37">
        <v>2.4497946694667137E-4</v>
      </c>
      <c r="J307" s="42">
        <v>677.72</v>
      </c>
      <c r="K307" s="37">
        <v>8.2916684105767965E-6</v>
      </c>
      <c r="L307" s="38">
        <v>0</v>
      </c>
      <c r="M307" s="37">
        <v>0</v>
      </c>
      <c r="N307" s="42">
        <v>0</v>
      </c>
      <c r="O307" s="37">
        <v>0</v>
      </c>
      <c r="Q307">
        <f>VLOOKUP(Table3[[#This Row],[Census Tract]],'Population and Diversity Data'!$B$2:$K$823,10,FALSE)</f>
        <v>5</v>
      </c>
      <c r="R307" t="e">
        <f>VLOOKUP(Table3[[#This Row],[Census Tract]],'ES Energy Burden'!$B$2:$E$914,4,FALSE)</f>
        <v>#N/A</v>
      </c>
    </row>
    <row r="308" spans="1:18" hidden="1" x14ac:dyDescent="0.25">
      <c r="A308" s="140">
        <v>9003503100</v>
      </c>
      <c r="B308" s="39" t="s">
        <v>979</v>
      </c>
      <c r="C308" s="39" t="s">
        <v>944</v>
      </c>
      <c r="D308" s="41">
        <v>37160.74254816</v>
      </c>
      <c r="E308" s="37">
        <v>3.2967678864541074E-4</v>
      </c>
      <c r="F308" s="41">
        <v>78848.03</v>
      </c>
      <c r="G308" s="37">
        <v>9.6467821458303066E-4</v>
      </c>
      <c r="H308" s="41">
        <v>37160.74254816</v>
      </c>
      <c r="I308" s="37">
        <v>3.2967678864541074E-4</v>
      </c>
      <c r="J308" s="42">
        <v>78848.03</v>
      </c>
      <c r="K308" s="37">
        <v>9.6467821458303066E-4</v>
      </c>
      <c r="L308" s="38">
        <v>0</v>
      </c>
      <c r="M308" s="37">
        <v>0</v>
      </c>
      <c r="N308" s="42">
        <v>0</v>
      </c>
      <c r="O308" s="37">
        <v>0</v>
      </c>
      <c r="Q308">
        <f>VLOOKUP(Table3[[#This Row],[Census Tract]],'Population and Diversity Data'!$B$2:$K$823,10,FALSE)</f>
        <v>5</v>
      </c>
      <c r="R308" t="str">
        <f>VLOOKUP(Table3[[#This Row],[Census Tract]],'ES Energy Burden'!$B$2:$E$914,4,FALSE)</f>
        <v>No</v>
      </c>
    </row>
    <row r="309" spans="1:18" hidden="1" x14ac:dyDescent="0.25">
      <c r="A309" s="140">
        <v>9003503300</v>
      </c>
      <c r="B309" s="39" t="s">
        <v>979</v>
      </c>
      <c r="C309" s="39" t="s">
        <v>944</v>
      </c>
      <c r="D309" s="41">
        <v>24785.822180160001</v>
      </c>
      <c r="E309" s="37">
        <v>2.1989093058895137E-4</v>
      </c>
      <c r="F309" s="41">
        <v>61180.35</v>
      </c>
      <c r="G309" s="37">
        <v>7.4852029664615482E-4</v>
      </c>
      <c r="H309" s="41">
        <v>24785.822180160001</v>
      </c>
      <c r="I309" s="37">
        <v>2.1989093058895137E-4</v>
      </c>
      <c r="J309" s="42">
        <v>61180.35</v>
      </c>
      <c r="K309" s="37">
        <v>7.4852029664615482E-4</v>
      </c>
      <c r="L309" s="38">
        <v>0</v>
      </c>
      <c r="M309" s="37">
        <v>0</v>
      </c>
      <c r="N309" s="42">
        <v>0</v>
      </c>
      <c r="O309" s="37">
        <v>0</v>
      </c>
      <c r="Q309">
        <f>VLOOKUP(Table3[[#This Row],[Census Tract]],'Population and Diversity Data'!$B$2:$K$823,10,FALSE)</f>
        <v>5</v>
      </c>
      <c r="R309" t="str">
        <f>VLOOKUP(Table3[[#This Row],[Census Tract]],'ES Energy Burden'!$B$2:$E$914,4,FALSE)</f>
        <v>Yes</v>
      </c>
    </row>
    <row r="310" spans="1:18" hidden="1" x14ac:dyDescent="0.25">
      <c r="A310" s="140">
        <v>9003503500</v>
      </c>
      <c r="B310" s="39" t="s">
        <v>979</v>
      </c>
      <c r="C310" s="39" t="s">
        <v>944</v>
      </c>
      <c r="D310" s="41">
        <v>14693.71104</v>
      </c>
      <c r="E310" s="37">
        <v>1.3035733779196714E-4</v>
      </c>
      <c r="F310" s="41">
        <v>2186.64</v>
      </c>
      <c r="G310" s="37">
        <v>2.6752779633629883E-5</v>
      </c>
      <c r="H310" s="41">
        <v>14693.213203200001</v>
      </c>
      <c r="I310" s="37">
        <v>1.3035292116231339E-4</v>
      </c>
      <c r="J310" s="42">
        <v>2186.64</v>
      </c>
      <c r="K310" s="37">
        <v>2.6752779633629883E-5</v>
      </c>
      <c r="L310" s="38">
        <v>0.49783680000000002</v>
      </c>
      <c r="M310" s="37">
        <v>4.4166296537482467E-9</v>
      </c>
      <c r="N310" s="42">
        <v>0</v>
      </c>
      <c r="O310" s="37">
        <v>0</v>
      </c>
      <c r="Q310">
        <f>VLOOKUP(Table3[[#This Row],[Census Tract]],'Population and Diversity Data'!$B$2:$K$823,10,FALSE)</f>
        <v>4</v>
      </c>
      <c r="R310" t="str">
        <f>VLOOKUP(Table3[[#This Row],[Census Tract]],'ES Energy Burden'!$B$2:$E$914,4,FALSE)</f>
        <v>Yes</v>
      </c>
    </row>
    <row r="311" spans="1:18" hidden="1" x14ac:dyDescent="0.25">
      <c r="A311" s="140">
        <v>9003503700</v>
      </c>
      <c r="B311" s="39" t="s">
        <v>979</v>
      </c>
      <c r="C311" s="39" t="s">
        <v>944</v>
      </c>
      <c r="D311" s="41">
        <v>32750.498957759999</v>
      </c>
      <c r="E311" s="37">
        <v>2.9055068824139523E-4</v>
      </c>
      <c r="F311" s="41">
        <v>26309.74</v>
      </c>
      <c r="G311" s="37">
        <v>3.2189051532858522E-4</v>
      </c>
      <c r="H311" s="41">
        <v>32750.498957759999</v>
      </c>
      <c r="I311" s="37">
        <v>2.9055068824139523E-4</v>
      </c>
      <c r="J311" s="42">
        <v>26309.74</v>
      </c>
      <c r="K311" s="37">
        <v>3.2189051532858522E-4</v>
      </c>
      <c r="L311" s="38">
        <v>0</v>
      </c>
      <c r="M311" s="37">
        <v>0</v>
      </c>
      <c r="N311" s="42">
        <v>0</v>
      </c>
      <c r="O311" s="37">
        <v>0</v>
      </c>
      <c r="Q311">
        <f>VLOOKUP(Table3[[#This Row],[Census Tract]],'Population and Diversity Data'!$B$2:$K$823,10,FALSE)</f>
        <v>2</v>
      </c>
      <c r="R311" t="str">
        <f>VLOOKUP(Table3[[#This Row],[Census Tract]],'ES Energy Burden'!$B$2:$E$914,4,FALSE)</f>
        <v>Yes</v>
      </c>
    </row>
    <row r="312" spans="1:18" hidden="1" x14ac:dyDescent="0.25">
      <c r="A312" s="140">
        <v>9003503800</v>
      </c>
      <c r="B312" s="39" t="s">
        <v>979</v>
      </c>
      <c r="C312" s="39" t="s">
        <v>944</v>
      </c>
      <c r="D312" s="41">
        <v>5708.3524675200006</v>
      </c>
      <c r="E312" s="37">
        <v>5.0642457090548158E-5</v>
      </c>
      <c r="F312" s="41">
        <v>98479.72</v>
      </c>
      <c r="G312" s="37">
        <v>1.204865111560007E-3</v>
      </c>
      <c r="H312" s="41">
        <v>5708.3524675200006</v>
      </c>
      <c r="I312" s="37">
        <v>5.0642457090548158E-5</v>
      </c>
      <c r="J312" s="42">
        <v>98479.72</v>
      </c>
      <c r="K312" s="37">
        <v>1.204865111560007E-3</v>
      </c>
      <c r="L312" s="38">
        <v>0</v>
      </c>
      <c r="M312" s="37">
        <v>0</v>
      </c>
      <c r="N312" s="42">
        <v>0</v>
      </c>
      <c r="O312" s="37">
        <v>0</v>
      </c>
      <c r="Q312">
        <f>VLOOKUP(Table3[[#This Row],[Census Tract]],'Population and Diversity Data'!$B$2:$K$823,10,FALSE)</f>
        <v>4</v>
      </c>
      <c r="R312" t="str">
        <f>VLOOKUP(Table3[[#This Row],[Census Tract]],'ES Energy Burden'!$B$2:$E$914,4,FALSE)</f>
        <v>Yes</v>
      </c>
    </row>
    <row r="313" spans="1:18" hidden="1" x14ac:dyDescent="0.25">
      <c r="A313" s="140">
        <v>9003503900</v>
      </c>
      <c r="B313" s="39" t="s">
        <v>979</v>
      </c>
      <c r="C313" s="39" t="s">
        <v>944</v>
      </c>
      <c r="D313" s="41">
        <v>55706.715325440004</v>
      </c>
      <c r="E313" s="37">
        <v>4.9421001183369768E-4</v>
      </c>
      <c r="F313" s="41">
        <v>43874.208400000003</v>
      </c>
      <c r="G313" s="37">
        <v>5.3678567524839628E-4</v>
      </c>
      <c r="H313" s="41">
        <v>55706.715325440004</v>
      </c>
      <c r="I313" s="37">
        <v>4.9421001183369768E-4</v>
      </c>
      <c r="J313" s="42">
        <v>43874.208400000003</v>
      </c>
      <c r="K313" s="37">
        <v>5.3678567524839628E-4</v>
      </c>
      <c r="L313" s="38">
        <v>0</v>
      </c>
      <c r="M313" s="37">
        <v>0</v>
      </c>
      <c r="N313" s="42">
        <v>0</v>
      </c>
      <c r="O313" s="37">
        <v>0</v>
      </c>
      <c r="Q313">
        <f>VLOOKUP(Table3[[#This Row],[Census Tract]],'Population and Diversity Data'!$B$2:$K$823,10,FALSE)</f>
        <v>2</v>
      </c>
      <c r="R313" t="str">
        <f>VLOOKUP(Table3[[#This Row],[Census Tract]],'ES Energy Burden'!$B$2:$E$914,4,FALSE)</f>
        <v>No</v>
      </c>
    </row>
    <row r="314" spans="1:18" hidden="1" x14ac:dyDescent="0.25">
      <c r="A314" s="140">
        <v>9003504000</v>
      </c>
      <c r="B314" s="39" t="s">
        <v>979</v>
      </c>
      <c r="C314" s="39" t="s">
        <v>944</v>
      </c>
      <c r="D314" s="41">
        <v>32737.94073504</v>
      </c>
      <c r="E314" s="37">
        <v>2.9043927619057153E-4</v>
      </c>
      <c r="F314" s="41">
        <v>14980.31</v>
      </c>
      <c r="G314" s="37">
        <v>1.8327888096507063E-4</v>
      </c>
      <c r="H314" s="41">
        <v>32737.94073504</v>
      </c>
      <c r="I314" s="37">
        <v>2.9043927619057153E-4</v>
      </c>
      <c r="J314" s="42">
        <v>14980.31</v>
      </c>
      <c r="K314" s="37">
        <v>1.8327888096507063E-4</v>
      </c>
      <c r="L314" s="38">
        <v>0</v>
      </c>
      <c r="M314" s="37">
        <v>0</v>
      </c>
      <c r="N314" s="42">
        <v>0</v>
      </c>
      <c r="O314" s="37">
        <v>0</v>
      </c>
      <c r="Q314">
        <f>VLOOKUP(Table3[[#This Row],[Census Tract]],'Population and Diversity Data'!$B$2:$K$823,10,FALSE)</f>
        <v>1</v>
      </c>
      <c r="R314" t="str">
        <f>VLOOKUP(Table3[[#This Row],[Census Tract]],'ES Energy Burden'!$B$2:$E$914,4,FALSE)</f>
        <v>Yes</v>
      </c>
    </row>
    <row r="315" spans="1:18" hidden="1" x14ac:dyDescent="0.25">
      <c r="A315" s="140">
        <v>9003504100</v>
      </c>
      <c r="B315" s="39" t="s">
        <v>979</v>
      </c>
      <c r="C315" s="39" t="s">
        <v>944</v>
      </c>
      <c r="D315" s="41">
        <v>16383.093013440001</v>
      </c>
      <c r="E315" s="37">
        <v>1.453449291480156E-4</v>
      </c>
      <c r="F315" s="41">
        <v>14080.65</v>
      </c>
      <c r="G315" s="37">
        <v>1.7227185387090266E-4</v>
      </c>
      <c r="H315" s="41">
        <v>16383.093013440001</v>
      </c>
      <c r="I315" s="37">
        <v>1.453449291480156E-4</v>
      </c>
      <c r="J315" s="42">
        <v>14080.65</v>
      </c>
      <c r="K315" s="37">
        <v>1.7227185387090266E-4</v>
      </c>
      <c r="L315" s="38">
        <v>0</v>
      </c>
      <c r="M315" s="37">
        <v>0</v>
      </c>
      <c r="N315" s="42">
        <v>0</v>
      </c>
      <c r="O315" s="37">
        <v>0</v>
      </c>
      <c r="Q315">
        <f>VLOOKUP(Table3[[#This Row],[Census Tract]],'Population and Diversity Data'!$B$2:$K$823,10,FALSE)</f>
        <v>5</v>
      </c>
      <c r="R315" t="str">
        <f>VLOOKUP(Table3[[#This Row],[Census Tract]],'ES Energy Burden'!$B$2:$E$914,4,FALSE)</f>
        <v>Yes</v>
      </c>
    </row>
    <row r="316" spans="1:18" hidden="1" x14ac:dyDescent="0.25">
      <c r="A316" s="140">
        <v>9003504200</v>
      </c>
      <c r="B316" s="39" t="s">
        <v>979</v>
      </c>
      <c r="C316" s="39" t="s">
        <v>944</v>
      </c>
      <c r="D316" s="41">
        <v>54014.641560000004</v>
      </c>
      <c r="E316" s="37">
        <v>4.7919853986382375E-4</v>
      </c>
      <c r="F316" s="41">
        <v>3657.96</v>
      </c>
      <c r="G316" s="37">
        <v>4.4753867938313014E-5</v>
      </c>
      <c r="H316" s="41">
        <v>54014.641560000004</v>
      </c>
      <c r="I316" s="37">
        <v>4.7919853986382375E-4</v>
      </c>
      <c r="J316" s="42">
        <v>3657.96</v>
      </c>
      <c r="K316" s="37">
        <v>4.4753867938313014E-5</v>
      </c>
      <c r="L316" s="38">
        <v>0</v>
      </c>
      <c r="M316" s="37">
        <v>0</v>
      </c>
      <c r="N316" s="42">
        <v>0</v>
      </c>
      <c r="O316" s="37">
        <v>0</v>
      </c>
      <c r="Q316">
        <f>VLOOKUP(Table3[[#This Row],[Census Tract]],'Population and Diversity Data'!$B$2:$K$823,10,FALSE)</f>
        <v>5</v>
      </c>
      <c r="R316" t="str">
        <f>VLOOKUP(Table3[[#This Row],[Census Tract]],'ES Energy Burden'!$B$2:$E$914,4,FALSE)</f>
        <v>No</v>
      </c>
    </row>
    <row r="317" spans="1:18" hidden="1" x14ac:dyDescent="0.25">
      <c r="A317" s="140">
        <v>9003504300</v>
      </c>
      <c r="B317" s="39" t="s">
        <v>979</v>
      </c>
      <c r="C317" s="39" t="s">
        <v>944</v>
      </c>
      <c r="D317" s="41">
        <v>23985.625936320001</v>
      </c>
      <c r="E317" s="37">
        <v>2.1279187632184676E-4</v>
      </c>
      <c r="F317" s="41">
        <v>18422.213</v>
      </c>
      <c r="G317" s="37">
        <v>2.2538936667800447E-4</v>
      </c>
      <c r="H317" s="41">
        <v>23985.625936320001</v>
      </c>
      <c r="I317" s="37">
        <v>2.1279187632184676E-4</v>
      </c>
      <c r="J317" s="42">
        <v>18422.213</v>
      </c>
      <c r="K317" s="37">
        <v>2.2538936667800447E-4</v>
      </c>
      <c r="L317" s="38">
        <v>0</v>
      </c>
      <c r="M317" s="37">
        <v>0</v>
      </c>
      <c r="N317" s="42">
        <v>0</v>
      </c>
      <c r="O317" s="37">
        <v>0</v>
      </c>
      <c r="Q317">
        <f>VLOOKUP(Table3[[#This Row],[Census Tract]],'Population and Diversity Data'!$B$2:$K$823,10,FALSE)</f>
        <v>5</v>
      </c>
      <c r="R317" t="str">
        <f>VLOOKUP(Table3[[#This Row],[Census Tract]],'ES Energy Burden'!$B$2:$E$914,4,FALSE)</f>
        <v>Yes</v>
      </c>
    </row>
    <row r="318" spans="1:18" hidden="1" x14ac:dyDescent="0.25">
      <c r="A318" s="140">
        <v>9003504500</v>
      </c>
      <c r="B318" s="39" t="s">
        <v>979</v>
      </c>
      <c r="C318" s="39" t="s">
        <v>944</v>
      </c>
      <c r="D318" s="41">
        <v>37871.045095680005</v>
      </c>
      <c r="E318" s="37">
        <v>3.3597833825867716E-4</v>
      </c>
      <c r="F318" s="41">
        <v>81361.004799999995</v>
      </c>
      <c r="G318" s="37">
        <v>9.9542358695766243E-4</v>
      </c>
      <c r="H318" s="41">
        <v>37871.045095680005</v>
      </c>
      <c r="I318" s="37">
        <v>3.3597833825867716E-4</v>
      </c>
      <c r="J318" s="42">
        <v>81361.004799999995</v>
      </c>
      <c r="K318" s="37">
        <v>9.9542358695766243E-4</v>
      </c>
      <c r="L318" s="38">
        <v>0</v>
      </c>
      <c r="M318" s="37">
        <v>0</v>
      </c>
      <c r="N318" s="42">
        <v>0</v>
      </c>
      <c r="O318" s="37">
        <v>0</v>
      </c>
      <c r="Q318">
        <f>VLOOKUP(Table3[[#This Row],[Census Tract]],'Population and Diversity Data'!$B$2:$K$823,10,FALSE)</f>
        <v>5</v>
      </c>
      <c r="R318" t="str">
        <f>VLOOKUP(Table3[[#This Row],[Census Tract]],'ES Energy Burden'!$B$2:$E$914,4,FALSE)</f>
        <v>Yes</v>
      </c>
    </row>
    <row r="319" spans="1:18" hidden="1" x14ac:dyDescent="0.25">
      <c r="A319" s="140">
        <v>9003504800</v>
      </c>
      <c r="B319" s="39" t="s">
        <v>979</v>
      </c>
      <c r="C319" s="39" t="s">
        <v>944</v>
      </c>
      <c r="D319" s="41">
        <v>58254.756370559997</v>
      </c>
      <c r="E319" s="37">
        <v>5.1681531871106124E-4</v>
      </c>
      <c r="F319" s="41">
        <v>18063.281900000002</v>
      </c>
      <c r="G319" s="37">
        <v>2.2099796954726676E-4</v>
      </c>
      <c r="H319" s="41">
        <v>58254.756370559997</v>
      </c>
      <c r="I319" s="37">
        <v>5.1681531871106124E-4</v>
      </c>
      <c r="J319" s="42">
        <v>18063.281900000002</v>
      </c>
      <c r="K319" s="37">
        <v>2.2099796954726676E-4</v>
      </c>
      <c r="L319" s="38">
        <v>0</v>
      </c>
      <c r="M319" s="37">
        <v>0</v>
      </c>
      <c r="N319" s="42">
        <v>0</v>
      </c>
      <c r="O319" s="37">
        <v>0</v>
      </c>
      <c r="Q319">
        <f>VLOOKUP(Table3[[#This Row],[Census Tract]],'Population and Diversity Data'!$B$2:$K$823,10,FALSE)</f>
        <v>5</v>
      </c>
      <c r="R319" t="str">
        <f>VLOOKUP(Table3[[#This Row],[Census Tract]],'ES Energy Burden'!$B$2:$E$914,4,FALSE)</f>
        <v>Yes</v>
      </c>
    </row>
    <row r="320" spans="1:18" hidden="1" x14ac:dyDescent="0.25">
      <c r="A320" s="140">
        <v>9003504900</v>
      </c>
      <c r="B320" s="39" t="s">
        <v>979</v>
      </c>
      <c r="C320" s="39" t="s">
        <v>944</v>
      </c>
      <c r="D320" s="41">
        <v>42553.5758928</v>
      </c>
      <c r="E320" s="37">
        <v>3.7752007316688315E-4</v>
      </c>
      <c r="F320" s="41">
        <v>30501.02</v>
      </c>
      <c r="G320" s="37">
        <v>3.7316936791650099E-4</v>
      </c>
      <c r="H320" s="41">
        <v>42553.5758928</v>
      </c>
      <c r="I320" s="37">
        <v>3.7752007316688315E-4</v>
      </c>
      <c r="J320" s="42">
        <v>30501.02</v>
      </c>
      <c r="K320" s="37">
        <v>3.7316936791650099E-4</v>
      </c>
      <c r="L320" s="38">
        <v>0</v>
      </c>
      <c r="M320" s="37">
        <v>0</v>
      </c>
      <c r="N320" s="42">
        <v>0</v>
      </c>
      <c r="O320" s="37">
        <v>0</v>
      </c>
      <c r="Q320">
        <f>VLOOKUP(Table3[[#This Row],[Census Tract]],'Population and Diversity Data'!$B$2:$K$823,10,FALSE)</f>
        <v>5</v>
      </c>
      <c r="R320" t="str">
        <f>VLOOKUP(Table3[[#This Row],[Census Tract]],'ES Energy Burden'!$B$2:$E$914,4,FALSE)</f>
        <v>Yes</v>
      </c>
    </row>
    <row r="321" spans="1:18" hidden="1" x14ac:dyDescent="0.25">
      <c r="A321" s="140">
        <v>9003524400</v>
      </c>
      <c r="B321" s="39" t="s">
        <v>979</v>
      </c>
      <c r="C321" s="39" t="s">
        <v>944</v>
      </c>
      <c r="D321" s="41">
        <v>36222.419747520005</v>
      </c>
      <c r="E321" s="37">
        <v>3.2135232507402608E-4</v>
      </c>
      <c r="F321" s="41">
        <v>28619.973300000001</v>
      </c>
      <c r="G321" s="37">
        <v>3.5015541598766651E-4</v>
      </c>
      <c r="H321" s="41">
        <v>36222.419747520005</v>
      </c>
      <c r="I321" s="37">
        <v>3.2135232507402608E-4</v>
      </c>
      <c r="J321" s="42">
        <v>28619.973300000001</v>
      </c>
      <c r="K321" s="37">
        <v>3.5015541598766651E-4</v>
      </c>
      <c r="L321" s="38">
        <v>0</v>
      </c>
      <c r="M321" s="37">
        <v>0</v>
      </c>
      <c r="N321" s="42">
        <v>0</v>
      </c>
      <c r="O321" s="37">
        <v>0</v>
      </c>
      <c r="Q321">
        <f>VLOOKUP(Table3[[#This Row],[Census Tract]],'Population and Diversity Data'!$B$2:$K$823,10,FALSE)</f>
        <v>5</v>
      </c>
      <c r="R321" t="str">
        <f>VLOOKUP(Table3[[#This Row],[Census Tract]],'ES Energy Burden'!$B$2:$E$914,4,FALSE)</f>
        <v>Yes</v>
      </c>
    </row>
    <row r="322" spans="1:18" hidden="1" x14ac:dyDescent="0.25">
      <c r="A322" s="140">
        <v>9003524501</v>
      </c>
      <c r="B322" s="39" t="s">
        <v>979</v>
      </c>
      <c r="C322" s="39" t="s">
        <v>944</v>
      </c>
      <c r="D322" s="41">
        <v>26853.682265279996</v>
      </c>
      <c r="E322" s="37">
        <v>2.382362440967984E-4</v>
      </c>
      <c r="F322" s="41">
        <v>1003.633</v>
      </c>
      <c r="G322" s="37">
        <v>1.2279100575329666E-5</v>
      </c>
      <c r="H322" s="41">
        <v>26853.682265279996</v>
      </c>
      <c r="I322" s="37">
        <v>2.382362440967984E-4</v>
      </c>
      <c r="J322" s="42">
        <v>1003.633</v>
      </c>
      <c r="K322" s="37">
        <v>1.2279100575329666E-5</v>
      </c>
      <c r="L322" s="38">
        <v>0</v>
      </c>
      <c r="M322" s="37">
        <v>0</v>
      </c>
      <c r="N322" s="42">
        <v>0</v>
      </c>
      <c r="O322" s="37">
        <v>0</v>
      </c>
      <c r="Q322">
        <f>VLOOKUP(Table3[[#This Row],[Census Tract]],'Population and Diversity Data'!$B$2:$K$823,10,FALSE)</f>
        <v>5</v>
      </c>
      <c r="R322" t="str">
        <f>VLOOKUP(Table3[[#This Row],[Census Tract]],'ES Energy Burden'!$B$2:$E$914,4,FALSE)</f>
        <v>No</v>
      </c>
    </row>
    <row r="323" spans="1:18" hidden="1" x14ac:dyDescent="0.25">
      <c r="A323" s="140">
        <v>9003524502</v>
      </c>
      <c r="B323" s="39" t="s">
        <v>979</v>
      </c>
      <c r="C323" s="39" t="s">
        <v>944</v>
      </c>
      <c r="D323" s="41">
        <v>38598.850080000004</v>
      </c>
      <c r="E323" s="37">
        <v>3.4243516321796799E-4</v>
      </c>
      <c r="F323" s="41">
        <v>2487.0500000000002</v>
      </c>
      <c r="G323" s="37">
        <v>3.0428191466276665E-5</v>
      </c>
      <c r="H323" s="41">
        <v>38598.850080000004</v>
      </c>
      <c r="I323" s="37">
        <v>3.4243516321796799E-4</v>
      </c>
      <c r="J323" s="42">
        <v>2487.0500000000002</v>
      </c>
      <c r="K323" s="37">
        <v>3.0428191466276665E-5</v>
      </c>
      <c r="L323" s="38">
        <v>0</v>
      </c>
      <c r="M323" s="37">
        <v>0</v>
      </c>
      <c r="N323" s="42">
        <v>0</v>
      </c>
      <c r="O323" s="37">
        <v>0</v>
      </c>
      <c r="Q323">
        <f>VLOOKUP(Table3[[#This Row],[Census Tract]],'Population and Diversity Data'!$B$2:$K$823,10,FALSE)</f>
        <v>5</v>
      </c>
      <c r="R323" t="str">
        <f>VLOOKUP(Table3[[#This Row],[Census Tract]],'ES Energy Burden'!$B$2:$E$914,4,FALSE)</f>
        <v>No</v>
      </c>
    </row>
    <row r="324" spans="1:18" hidden="1" x14ac:dyDescent="0.25">
      <c r="A324" s="140">
        <v>9003524600</v>
      </c>
      <c r="B324" s="39" t="s">
        <v>979</v>
      </c>
      <c r="C324" s="39" t="s">
        <v>944</v>
      </c>
      <c r="D324" s="41">
        <v>29057.523577920001</v>
      </c>
      <c r="E324" s="37">
        <v>2.577879343164875E-4</v>
      </c>
      <c r="F324" s="41">
        <v>2328.62</v>
      </c>
      <c r="G324" s="37">
        <v>2.8489855536559844E-5</v>
      </c>
      <c r="H324" s="41">
        <v>29057.523577920001</v>
      </c>
      <c r="I324" s="37">
        <v>2.577879343164875E-4</v>
      </c>
      <c r="J324" s="42">
        <v>2328.62</v>
      </c>
      <c r="K324" s="37">
        <v>2.8489855536559844E-5</v>
      </c>
      <c r="L324" s="38">
        <v>0</v>
      </c>
      <c r="M324" s="37">
        <v>0</v>
      </c>
      <c r="N324" s="42">
        <v>0</v>
      </c>
      <c r="O324" s="37">
        <v>0</v>
      </c>
      <c r="Q324">
        <f>VLOOKUP(Table3[[#This Row],[Census Tract]],'Population and Diversity Data'!$B$2:$K$823,10,FALSE)</f>
        <v>5</v>
      </c>
      <c r="R324" t="str">
        <f>VLOOKUP(Table3[[#This Row],[Census Tract]],'ES Energy Burden'!$B$2:$E$914,4,FALSE)</f>
        <v>No</v>
      </c>
    </row>
    <row r="325" spans="1:18" hidden="1" x14ac:dyDescent="0.25">
      <c r="A325" s="140">
        <v>9003524700</v>
      </c>
      <c r="B325" s="39" t="s">
        <v>979</v>
      </c>
      <c r="C325" s="39" t="s">
        <v>944</v>
      </c>
      <c r="D325" s="41">
        <v>39743.093231999999</v>
      </c>
      <c r="E325" s="37">
        <v>3.5258647834015568E-4</v>
      </c>
      <c r="F325" s="41">
        <v>14436.07</v>
      </c>
      <c r="G325" s="37">
        <v>1.7662029391470719E-4</v>
      </c>
      <c r="H325" s="41">
        <v>39743.093231999999</v>
      </c>
      <c r="I325" s="37">
        <v>3.5258647834015568E-4</v>
      </c>
      <c r="J325" s="42">
        <v>14436.07</v>
      </c>
      <c r="K325" s="37">
        <v>1.7662029391470719E-4</v>
      </c>
      <c r="L325" s="38">
        <v>0</v>
      </c>
      <c r="M325" s="37">
        <v>0</v>
      </c>
      <c r="N325" s="42">
        <v>0</v>
      </c>
      <c r="O325" s="37">
        <v>0</v>
      </c>
      <c r="Q325">
        <f>VLOOKUP(Table3[[#This Row],[Census Tract]],'Population and Diversity Data'!$B$2:$K$823,10,FALSE)</f>
        <v>5</v>
      </c>
      <c r="R325" t="str">
        <f>VLOOKUP(Table3[[#This Row],[Census Tract]],'ES Energy Burden'!$B$2:$E$914,4,FALSE)</f>
        <v>No</v>
      </c>
    </row>
    <row r="326" spans="1:18" hidden="1" x14ac:dyDescent="0.25">
      <c r="A326" s="140">
        <v>9003330100</v>
      </c>
      <c r="B326" s="39" t="s">
        <v>2778</v>
      </c>
      <c r="C326" s="39" t="s">
        <v>944</v>
      </c>
      <c r="D326" s="41">
        <v>40778.266129920004</v>
      </c>
      <c r="E326" s="37">
        <v>3.61770161261366E-4</v>
      </c>
      <c r="F326" s="41">
        <v>12321.41</v>
      </c>
      <c r="G326" s="37">
        <v>1.5074816453810577E-4</v>
      </c>
      <c r="H326" s="41">
        <v>36984.536107200001</v>
      </c>
      <c r="I326" s="37">
        <v>3.2811354825754596E-4</v>
      </c>
      <c r="J326" s="42">
        <v>12321.41</v>
      </c>
      <c r="K326" s="37">
        <v>1.5074816453810577E-4</v>
      </c>
      <c r="L326" s="38">
        <v>3793.7300227200003</v>
      </c>
      <c r="M326" s="37">
        <v>3.3656613003820052E-5</v>
      </c>
      <c r="N326" s="42">
        <v>0</v>
      </c>
      <c r="O326" s="37">
        <v>0</v>
      </c>
      <c r="Q326">
        <f>VLOOKUP(Table3[[#This Row],[Census Tract]],'Population and Diversity Data'!$B$2:$K$823,10,FALSE)</f>
        <v>3</v>
      </c>
      <c r="R326" t="str">
        <f>VLOOKUP(Table3[[#This Row],[Census Tract]],'ES Energy Burden'!$B$2:$E$914,4,FALSE)</f>
        <v>No</v>
      </c>
    </row>
    <row r="327" spans="1:18" hidden="1" x14ac:dyDescent="0.25">
      <c r="A327" s="140">
        <v>9003468101</v>
      </c>
      <c r="B327" s="39" t="s">
        <v>2778</v>
      </c>
      <c r="C327" s="39" t="s">
        <v>944</v>
      </c>
      <c r="D327" s="41">
        <v>58.605811199999998</v>
      </c>
      <c r="E327" s="37">
        <v>5.1992975133194472E-7</v>
      </c>
      <c r="F327" s="41">
        <v>0</v>
      </c>
      <c r="G327" s="37">
        <v>0</v>
      </c>
      <c r="H327" s="41">
        <v>58.605811199999998</v>
      </c>
      <c r="I327" s="37">
        <v>5.1992975133194472E-7</v>
      </c>
      <c r="J327" s="42">
        <v>0</v>
      </c>
      <c r="K327" s="37">
        <v>0</v>
      </c>
      <c r="L327" s="38">
        <v>0</v>
      </c>
      <c r="M327" s="37">
        <v>0</v>
      </c>
      <c r="N327" s="42">
        <v>0</v>
      </c>
      <c r="O327" s="37">
        <v>0</v>
      </c>
      <c r="Q327">
        <f>VLOOKUP(Table3[[#This Row],[Census Tract]],'Population and Diversity Data'!$B$2:$K$823,10,FALSE)</f>
        <v>1</v>
      </c>
      <c r="R327" t="str">
        <f>VLOOKUP(Table3[[#This Row],[Census Tract]],'ES Energy Burden'!$B$2:$E$914,4,FALSE)</f>
        <v>No</v>
      </c>
    </row>
    <row r="328" spans="1:18" hidden="1" x14ac:dyDescent="0.25">
      <c r="A328" s="140">
        <v>9003410102</v>
      </c>
      <c r="B328" s="39" t="s">
        <v>2779</v>
      </c>
      <c r="C328" s="39" t="s">
        <v>944</v>
      </c>
      <c r="D328" s="41">
        <v>819.44516160000001</v>
      </c>
      <c r="E328" s="37">
        <v>7.2698237662283782E-6</v>
      </c>
      <c r="F328" s="41">
        <v>0</v>
      </c>
      <c r="G328" s="37">
        <v>0</v>
      </c>
      <c r="H328" s="41">
        <v>819.44516160000001</v>
      </c>
      <c r="I328" s="37">
        <v>7.2698237662283782E-6</v>
      </c>
      <c r="J328" s="42">
        <v>0</v>
      </c>
      <c r="K328" s="37">
        <v>0</v>
      </c>
      <c r="L328" s="38">
        <v>0</v>
      </c>
      <c r="M328" s="37">
        <v>0</v>
      </c>
      <c r="N328" s="42">
        <v>0</v>
      </c>
      <c r="O328" s="37">
        <v>0</v>
      </c>
      <c r="Q328">
        <f>VLOOKUP(Table3[[#This Row],[Census Tract]],'Population and Diversity Data'!$B$2:$K$823,10,FALSE)</f>
        <v>2</v>
      </c>
      <c r="R328" t="str">
        <f>VLOOKUP(Table3[[#This Row],[Census Tract]],'ES Energy Burden'!$B$2:$E$914,4,FALSE)</f>
        <v>No</v>
      </c>
    </row>
    <row r="329" spans="1:18" hidden="1" x14ac:dyDescent="0.25">
      <c r="A329" s="140">
        <v>9005298300</v>
      </c>
      <c r="B329" s="39" t="s">
        <v>2779</v>
      </c>
      <c r="C329" s="39" t="s">
        <v>944</v>
      </c>
      <c r="D329" s="41">
        <v>56629.998823680005</v>
      </c>
      <c r="E329" s="37">
        <v>5.0240105210461227E-4</v>
      </c>
      <c r="F329" s="41">
        <v>11448.81</v>
      </c>
      <c r="G329" s="37">
        <v>1.4007220712933914E-4</v>
      </c>
      <c r="H329" s="41">
        <v>56592.082183680002</v>
      </c>
      <c r="I329" s="37">
        <v>5.0206466926470462E-4</v>
      </c>
      <c r="J329" s="42">
        <v>11448.81</v>
      </c>
      <c r="K329" s="37">
        <v>1.4007220712933914E-4</v>
      </c>
      <c r="L329" s="38">
        <v>37.916640000000001</v>
      </c>
      <c r="M329" s="37">
        <v>3.3638283990756994E-7</v>
      </c>
      <c r="N329" s="42">
        <v>0</v>
      </c>
      <c r="O329" s="37">
        <v>0</v>
      </c>
      <c r="Q329">
        <f>VLOOKUP(Table3[[#This Row],[Census Tract]],'Population and Diversity Data'!$B$2:$K$823,10,FALSE)</f>
        <v>1</v>
      </c>
      <c r="R329" t="str">
        <f>VLOOKUP(Table3[[#This Row],[Census Tract]],'ES Energy Burden'!$B$2:$E$914,4,FALSE)</f>
        <v>No</v>
      </c>
    </row>
    <row r="330" spans="1:18" hidden="1" x14ac:dyDescent="0.25">
      <c r="A330" s="140">
        <v>9005298400</v>
      </c>
      <c r="B330" s="39" t="s">
        <v>2779</v>
      </c>
      <c r="C330" s="39" t="s">
        <v>944</v>
      </c>
      <c r="D330" s="41">
        <v>84260.560625280006</v>
      </c>
      <c r="E330" s="37">
        <v>7.4752949299662771E-4</v>
      </c>
      <c r="F330" s="41">
        <v>57299.408799999997</v>
      </c>
      <c r="G330" s="37">
        <v>7.010383313045004E-4</v>
      </c>
      <c r="H330" s="41">
        <v>67464.014728320006</v>
      </c>
      <c r="I330" s="37">
        <v>5.9851655805679002E-4</v>
      </c>
      <c r="J330" s="42">
        <v>51350.918799999999</v>
      </c>
      <c r="K330" s="37">
        <v>6.282606257275189E-4</v>
      </c>
      <c r="L330" s="38">
        <v>16796.54589696</v>
      </c>
      <c r="M330" s="37">
        <v>1.4901293493983767E-4</v>
      </c>
      <c r="N330" s="42">
        <v>5948.49</v>
      </c>
      <c r="O330" s="37">
        <v>7.2777705576981591E-5</v>
      </c>
      <c r="Q330">
        <f>VLOOKUP(Table3[[#This Row],[Census Tract]],'Population and Diversity Data'!$B$2:$K$823,10,FALSE)</f>
        <v>1</v>
      </c>
      <c r="R330" t="str">
        <f>VLOOKUP(Table3[[#This Row],[Census Tract]],'ES Energy Burden'!$B$2:$E$914,4,FALSE)</f>
        <v>No</v>
      </c>
    </row>
    <row r="331" spans="1:18" hidden="1" x14ac:dyDescent="0.25">
      <c r="A331" s="140">
        <v>9005310400</v>
      </c>
      <c r="B331" s="39" t="s">
        <v>2779</v>
      </c>
      <c r="C331" s="39" t="s">
        <v>944</v>
      </c>
      <c r="D331" s="41">
        <v>525.13099199999999</v>
      </c>
      <c r="E331" s="37">
        <v>4.6587739423229321E-6</v>
      </c>
      <c r="F331" s="41">
        <v>841.03</v>
      </c>
      <c r="G331" s="37">
        <v>1.0289709442465033E-5</v>
      </c>
      <c r="H331" s="41">
        <v>525.13099199999999</v>
      </c>
      <c r="I331" s="37">
        <v>4.6587739423229321E-6</v>
      </c>
      <c r="J331" s="42">
        <v>841.03</v>
      </c>
      <c r="K331" s="37">
        <v>1.0289709442465033E-5</v>
      </c>
      <c r="L331" s="38">
        <v>0</v>
      </c>
      <c r="M331" s="37">
        <v>0</v>
      </c>
      <c r="N331" s="42">
        <v>0</v>
      </c>
      <c r="O331" s="37">
        <v>0</v>
      </c>
      <c r="Q331">
        <f>VLOOKUP(Table3[[#This Row],[Census Tract]],'Population and Diversity Data'!$B$2:$K$823,10,FALSE)</f>
        <v>3</v>
      </c>
      <c r="R331" t="str">
        <f>VLOOKUP(Table3[[#This Row],[Census Tract]],'ES Energy Burden'!$B$2:$E$914,4,FALSE)</f>
        <v>No</v>
      </c>
    </row>
    <row r="332" spans="1:18" hidden="1" x14ac:dyDescent="0.25">
      <c r="A332" s="140">
        <v>9005349200</v>
      </c>
      <c r="B332" s="39" t="s">
        <v>2779</v>
      </c>
      <c r="C332" s="39" t="s">
        <v>944</v>
      </c>
      <c r="D332" s="41">
        <v>24.486623999999999</v>
      </c>
      <c r="E332" s="37">
        <v>2.1723655157389628E-7</v>
      </c>
      <c r="F332" s="41">
        <v>0</v>
      </c>
      <c r="G332" s="37">
        <v>0</v>
      </c>
      <c r="H332" s="41">
        <v>24.486623999999999</v>
      </c>
      <c r="I332" s="37">
        <v>2.1723655157389628E-7</v>
      </c>
      <c r="J332" s="42">
        <v>0</v>
      </c>
      <c r="K332" s="37">
        <v>0</v>
      </c>
      <c r="L332" s="38">
        <v>0</v>
      </c>
      <c r="M332" s="37">
        <v>0</v>
      </c>
      <c r="N332" s="42">
        <v>0</v>
      </c>
      <c r="O332" s="37">
        <v>0</v>
      </c>
      <c r="Q332">
        <f>VLOOKUP(Table3[[#This Row],[Census Tract]],'Population and Diversity Data'!$B$2:$K$823,10,FALSE)</f>
        <v>1</v>
      </c>
      <c r="R332" t="str">
        <f>VLOOKUP(Table3[[#This Row],[Census Tract]],'ES Energy Burden'!$B$2:$E$914,4,FALSE)</f>
        <v>No</v>
      </c>
    </row>
    <row r="333" spans="1:18" hidden="1" x14ac:dyDescent="0.25">
      <c r="A333" s="140">
        <v>9005425300</v>
      </c>
      <c r="B333" s="39" t="s">
        <v>2779</v>
      </c>
      <c r="C333" s="39" t="s">
        <v>944</v>
      </c>
      <c r="D333" s="41">
        <v>51.618729600000002</v>
      </c>
      <c r="E333" s="37">
        <v>4.5794286770317574E-7</v>
      </c>
      <c r="F333" s="41">
        <v>0</v>
      </c>
      <c r="G333" s="37">
        <v>0</v>
      </c>
      <c r="H333" s="41">
        <v>51.618729600000002</v>
      </c>
      <c r="I333" s="37">
        <v>4.5794286770317574E-7</v>
      </c>
      <c r="J333" s="42">
        <v>0</v>
      </c>
      <c r="K333" s="37">
        <v>0</v>
      </c>
      <c r="L333" s="38">
        <v>0</v>
      </c>
      <c r="M333" s="37">
        <v>0</v>
      </c>
      <c r="N333" s="42">
        <v>0</v>
      </c>
      <c r="O333" s="37">
        <v>0</v>
      </c>
      <c r="Q333">
        <f>VLOOKUP(Table3[[#This Row],[Census Tract]],'Population and Diversity Data'!$B$2:$K$823,10,FALSE)</f>
        <v>1</v>
      </c>
      <c r="R333" t="str">
        <f>VLOOKUP(Table3[[#This Row],[Census Tract]],'ES Energy Burden'!$B$2:$E$914,4,FALSE)</f>
        <v>No</v>
      </c>
    </row>
    <row r="334" spans="1:18" hidden="1" x14ac:dyDescent="0.25">
      <c r="A334" s="140">
        <v>9003520201</v>
      </c>
      <c r="B334" s="39" t="s">
        <v>2780</v>
      </c>
      <c r="C334" s="39" t="s">
        <v>944</v>
      </c>
      <c r="D334" s="41">
        <v>66.993782400000001</v>
      </c>
      <c r="E334" s="37">
        <v>5.9434482538172624E-7</v>
      </c>
      <c r="F334" s="41">
        <v>0</v>
      </c>
      <c r="G334" s="37">
        <v>0</v>
      </c>
      <c r="H334" s="41">
        <v>66.993782400000001</v>
      </c>
      <c r="I334" s="37">
        <v>5.9434482538172624E-7</v>
      </c>
      <c r="J334" s="42">
        <v>0</v>
      </c>
      <c r="K334" s="37">
        <v>0</v>
      </c>
      <c r="L334" s="38">
        <v>0</v>
      </c>
      <c r="M334" s="37">
        <v>0</v>
      </c>
      <c r="N334" s="42">
        <v>0</v>
      </c>
      <c r="O334" s="37">
        <v>0</v>
      </c>
      <c r="Q334">
        <f>VLOOKUP(Table3[[#This Row],[Census Tract]],'Population and Diversity Data'!$B$2:$K$823,10,FALSE)</f>
        <v>4</v>
      </c>
      <c r="R334" t="str">
        <f>VLOOKUP(Table3[[#This Row],[Census Tract]],'ES Energy Burden'!$B$2:$E$914,4,FALSE)</f>
        <v>No</v>
      </c>
    </row>
    <row r="335" spans="1:18" hidden="1" x14ac:dyDescent="0.25">
      <c r="A335" s="140">
        <v>9011714104</v>
      </c>
      <c r="B335" s="39" t="s">
        <v>2780</v>
      </c>
      <c r="C335" s="39" t="s">
        <v>944</v>
      </c>
      <c r="D335" s="41">
        <v>991.81825920000006</v>
      </c>
      <c r="E335" s="37">
        <v>8.7990561057593257E-6</v>
      </c>
      <c r="F335" s="41">
        <v>0</v>
      </c>
      <c r="G335" s="37">
        <v>0</v>
      </c>
      <c r="H335" s="41">
        <v>991.81825920000006</v>
      </c>
      <c r="I335" s="37">
        <v>8.7990561057593257E-6</v>
      </c>
      <c r="J335" s="42">
        <v>0</v>
      </c>
      <c r="K335" s="37">
        <v>0</v>
      </c>
      <c r="L335" s="38">
        <v>0</v>
      </c>
      <c r="M335" s="37">
        <v>0</v>
      </c>
      <c r="N335" s="42">
        <v>0</v>
      </c>
      <c r="O335" s="37">
        <v>0</v>
      </c>
      <c r="Q335">
        <f>VLOOKUP(Table3[[#This Row],[Census Tract]],'Population and Diversity Data'!$B$2:$K$823,10,FALSE)</f>
        <v>1</v>
      </c>
      <c r="R335" t="str">
        <f>VLOOKUP(Table3[[#This Row],[Census Tract]],'ES Energy Burden'!$B$2:$E$914,4,FALSE)</f>
        <v>No</v>
      </c>
    </row>
    <row r="336" spans="1:18" hidden="1" x14ac:dyDescent="0.25">
      <c r="A336" s="140">
        <v>9013526101</v>
      </c>
      <c r="B336" s="39" t="s">
        <v>2780</v>
      </c>
      <c r="C336" s="39" t="s">
        <v>944</v>
      </c>
      <c r="D336" s="41">
        <v>49109.467147199997</v>
      </c>
      <c r="E336" s="37">
        <v>4.3568159059775976E-4</v>
      </c>
      <c r="F336" s="41">
        <v>6905.26</v>
      </c>
      <c r="G336" s="37">
        <v>8.4483453651684358E-5</v>
      </c>
      <c r="H336" s="41">
        <v>49109.467147199997</v>
      </c>
      <c r="I336" s="37">
        <v>4.3568159059775976E-4</v>
      </c>
      <c r="J336" s="42">
        <v>6905.26</v>
      </c>
      <c r="K336" s="37">
        <v>8.4483453651684358E-5</v>
      </c>
      <c r="L336" s="38">
        <v>0</v>
      </c>
      <c r="M336" s="37">
        <v>0</v>
      </c>
      <c r="N336" s="42">
        <v>0</v>
      </c>
      <c r="O336" s="37">
        <v>0</v>
      </c>
      <c r="Q336">
        <f>VLOOKUP(Table3[[#This Row],[Census Tract]],'Population and Diversity Data'!$B$2:$K$823,10,FALSE)</f>
        <v>2</v>
      </c>
      <c r="R336" t="str">
        <f>VLOOKUP(Table3[[#This Row],[Census Tract]],'ES Energy Burden'!$B$2:$E$914,4,FALSE)</f>
        <v>No</v>
      </c>
    </row>
    <row r="337" spans="1:18" hidden="1" x14ac:dyDescent="0.25">
      <c r="A337" s="140">
        <v>9013526102</v>
      </c>
      <c r="B337" s="39" t="s">
        <v>2780</v>
      </c>
      <c r="C337" s="39" t="s">
        <v>944</v>
      </c>
      <c r="D337" s="41">
        <v>166494.54109824001</v>
      </c>
      <c r="E337" s="37">
        <v>1.477079893253558E-3</v>
      </c>
      <c r="F337" s="41">
        <v>82230.272499999992</v>
      </c>
      <c r="G337" s="37">
        <v>1.0060587748352886E-3</v>
      </c>
      <c r="H337" s="41">
        <v>136065.06323711999</v>
      </c>
      <c r="I337" s="37">
        <v>1.2071204722756423E-3</v>
      </c>
      <c r="J337" s="44">
        <v>75257.462499999994</v>
      </c>
      <c r="K337" s="37">
        <v>9.2074887043530921E-4</v>
      </c>
      <c r="L337" s="38">
        <v>30429.477861120002</v>
      </c>
      <c r="M337" s="37">
        <v>2.6995942097791557E-4</v>
      </c>
      <c r="N337" s="42">
        <v>6972.81</v>
      </c>
      <c r="O337" s="37">
        <v>8.5309904399979324E-5</v>
      </c>
      <c r="Q337">
        <f>VLOOKUP(Table3[[#This Row],[Census Tract]],'Population and Diversity Data'!$B$2:$K$823,10,FALSE)</f>
        <v>1</v>
      </c>
      <c r="R337" t="str">
        <f>VLOOKUP(Table3[[#This Row],[Census Tract]],'ES Energy Burden'!$B$2:$E$914,4,FALSE)</f>
        <v>No</v>
      </c>
    </row>
    <row r="338" spans="1:18" hidden="1" x14ac:dyDescent="0.25">
      <c r="A338" s="140">
        <v>9013860100</v>
      </c>
      <c r="B338" s="39" t="s">
        <v>2780</v>
      </c>
      <c r="C338" s="39" t="s">
        <v>944</v>
      </c>
      <c r="D338" s="41">
        <v>234.27273600000001</v>
      </c>
      <c r="E338" s="37">
        <v>2.0783837451999016E-6</v>
      </c>
      <c r="F338" s="41">
        <v>0</v>
      </c>
      <c r="G338" s="37">
        <v>0</v>
      </c>
      <c r="H338" s="41">
        <v>234.27273600000001</v>
      </c>
      <c r="I338" s="37">
        <v>2.0783837451999016E-6</v>
      </c>
      <c r="J338" s="42">
        <v>0</v>
      </c>
      <c r="K338" s="37">
        <v>0</v>
      </c>
      <c r="L338" s="38">
        <v>0</v>
      </c>
      <c r="M338" s="37">
        <v>0</v>
      </c>
      <c r="N338" s="42">
        <v>0</v>
      </c>
      <c r="O338" s="37">
        <v>0</v>
      </c>
      <c r="Q338">
        <f>VLOOKUP(Table3[[#This Row],[Census Tract]],'Population and Diversity Data'!$B$2:$K$823,10,FALSE)</f>
        <v>1</v>
      </c>
      <c r="R338" t="str">
        <f>VLOOKUP(Table3[[#This Row],[Census Tract]],'ES Energy Burden'!$B$2:$E$914,4,FALSE)</f>
        <v>No</v>
      </c>
    </row>
    <row r="339" spans="1:18" hidden="1" x14ac:dyDescent="0.25">
      <c r="A339" s="140">
        <v>9005253500</v>
      </c>
      <c r="B339" s="39" t="s">
        <v>2781</v>
      </c>
      <c r="C339" s="39" t="s">
        <v>944</v>
      </c>
      <c r="D339" s="41">
        <v>135.63158400000003</v>
      </c>
      <c r="E339" s="37">
        <v>1.2032747998525748E-6</v>
      </c>
      <c r="F339" s="41">
        <v>0</v>
      </c>
      <c r="G339" s="37">
        <v>0</v>
      </c>
      <c r="H339" s="41">
        <v>135.63158400000003</v>
      </c>
      <c r="I339" s="37">
        <v>1.2032747998525748E-6</v>
      </c>
      <c r="J339" s="42">
        <v>0</v>
      </c>
      <c r="K339" s="37">
        <v>0</v>
      </c>
      <c r="L339" s="38">
        <v>0</v>
      </c>
      <c r="M339" s="37">
        <v>0</v>
      </c>
      <c r="N339" s="42">
        <v>0</v>
      </c>
      <c r="O339" s="37">
        <v>0</v>
      </c>
      <c r="Q339">
        <f>VLOOKUP(Table3[[#This Row],[Census Tract]],'Population and Diversity Data'!$B$2:$K$823,10,FALSE)</f>
        <v>4</v>
      </c>
      <c r="R339" t="str">
        <f>VLOOKUP(Table3[[#This Row],[Census Tract]],'ES Energy Burden'!$B$2:$E$914,4,FALSE)</f>
        <v>No</v>
      </c>
    </row>
    <row r="340" spans="1:18" hidden="1" x14ac:dyDescent="0.25">
      <c r="A340" s="140">
        <v>9005265100</v>
      </c>
      <c r="B340" s="39" t="s">
        <v>2781</v>
      </c>
      <c r="C340" s="39" t="s">
        <v>944</v>
      </c>
      <c r="D340" s="41">
        <v>75.347020799999996</v>
      </c>
      <c r="E340" s="37">
        <v>6.6845176247892055E-7</v>
      </c>
      <c r="F340" s="41">
        <v>0</v>
      </c>
      <c r="G340" s="37">
        <v>0</v>
      </c>
      <c r="H340" s="41">
        <v>75.347020799999996</v>
      </c>
      <c r="I340" s="37">
        <v>6.6845176247892055E-7</v>
      </c>
      <c r="J340" s="42">
        <v>0</v>
      </c>
      <c r="K340" s="37">
        <v>0</v>
      </c>
      <c r="L340" s="38">
        <v>0</v>
      </c>
      <c r="M340" s="37">
        <v>0</v>
      </c>
      <c r="N340" s="42">
        <v>0</v>
      </c>
      <c r="O340" s="37">
        <v>0</v>
      </c>
      <c r="Q340">
        <f>VLOOKUP(Table3[[#This Row],[Census Tract]],'Population and Diversity Data'!$B$2:$K$823,10,FALSE)</f>
        <v>1</v>
      </c>
      <c r="R340" t="str">
        <f>VLOOKUP(Table3[[#This Row],[Census Tract]],'ES Energy Burden'!$B$2:$E$914,4,FALSE)</f>
        <v>No</v>
      </c>
    </row>
    <row r="341" spans="1:18" hidden="1" x14ac:dyDescent="0.25">
      <c r="A341" s="140">
        <v>9005266100</v>
      </c>
      <c r="B341" s="39" t="s">
        <v>2781</v>
      </c>
      <c r="C341" s="39" t="s">
        <v>944</v>
      </c>
      <c r="D341" s="41">
        <v>153538.50220128</v>
      </c>
      <c r="E341" s="37">
        <v>1.3621385598940529E-3</v>
      </c>
      <c r="F341" s="41">
        <v>30652.258000000002</v>
      </c>
      <c r="G341" s="37">
        <v>3.7501971222842753E-4</v>
      </c>
      <c r="H341" s="41">
        <v>107590.69931904001</v>
      </c>
      <c r="I341" s="37">
        <v>9.5450612144378107E-4</v>
      </c>
      <c r="J341" s="42">
        <v>25083.518</v>
      </c>
      <c r="K341" s="37">
        <v>3.0688811578046161E-4</v>
      </c>
      <c r="L341" s="38">
        <v>45947.802882239994</v>
      </c>
      <c r="M341" s="37">
        <v>4.0763243845027186E-4</v>
      </c>
      <c r="N341" s="42">
        <v>5568.74</v>
      </c>
      <c r="O341" s="37">
        <v>6.8131596447965862E-5</v>
      </c>
      <c r="Q341">
        <f>VLOOKUP(Table3[[#This Row],[Census Tract]],'Population and Diversity Data'!$B$2:$K$823,10,FALSE)</f>
        <v>2</v>
      </c>
      <c r="R341" t="str">
        <f>VLOOKUP(Table3[[#This Row],[Census Tract]],'ES Energy Burden'!$B$2:$E$914,4,FALSE)</f>
        <v>No</v>
      </c>
    </row>
    <row r="342" spans="1:18" hidden="1" x14ac:dyDescent="0.25">
      <c r="A342" s="140">
        <v>9015904100</v>
      </c>
      <c r="B342" s="39" t="s">
        <v>2782</v>
      </c>
      <c r="C342" s="39" t="s">
        <v>944</v>
      </c>
      <c r="D342" s="41">
        <v>259469.20060127997</v>
      </c>
      <c r="E342" s="37">
        <v>2.3019177481655943E-3</v>
      </c>
      <c r="F342" s="41">
        <v>230692.6937</v>
      </c>
      <c r="G342" s="37">
        <v>2.8224448458111884E-3</v>
      </c>
      <c r="H342" s="41">
        <v>154442.43547775998</v>
      </c>
      <c r="I342" s="37">
        <v>1.3701579319330651E-3</v>
      </c>
      <c r="J342" s="42">
        <v>226131.45370000001</v>
      </c>
      <c r="K342" s="37">
        <v>2.7666396613381622E-3</v>
      </c>
      <c r="L342" s="38">
        <v>105026.76512351999</v>
      </c>
      <c r="M342" s="37">
        <v>9.3175981623252937E-4</v>
      </c>
      <c r="N342" s="42">
        <v>4561.24</v>
      </c>
      <c r="O342" s="37">
        <v>5.5805184473026181E-5</v>
      </c>
      <c r="Q342">
        <f>VLOOKUP(Table3[[#This Row],[Census Tract]],'Population and Diversity Data'!$B$2:$K$823,10,FALSE)</f>
        <v>2</v>
      </c>
      <c r="R342" t="str">
        <f>VLOOKUP(Table3[[#This Row],[Census Tract]],'ES Energy Burden'!$B$2:$E$914,4,FALSE)</f>
        <v>No</v>
      </c>
    </row>
    <row r="343" spans="1:18" hidden="1" x14ac:dyDescent="0.25">
      <c r="A343" s="140">
        <v>9015904400</v>
      </c>
      <c r="B343" s="39" t="s">
        <v>2782</v>
      </c>
      <c r="C343" s="39" t="s">
        <v>944</v>
      </c>
      <c r="D343" s="41">
        <v>60618.712996800001</v>
      </c>
      <c r="E343" s="37">
        <v>5.3778749460409734E-4</v>
      </c>
      <c r="F343" s="41">
        <v>12798.2778</v>
      </c>
      <c r="G343" s="37">
        <v>1.5658247616131483E-4</v>
      </c>
      <c r="H343" s="41">
        <v>60618.712996800001</v>
      </c>
      <c r="I343" s="37">
        <v>5.3778749460409734E-4</v>
      </c>
      <c r="J343" s="42">
        <v>12798.2778</v>
      </c>
      <c r="K343" s="37">
        <v>1.5658247616131483E-4</v>
      </c>
      <c r="L343" s="38">
        <v>0</v>
      </c>
      <c r="M343" s="37">
        <v>0</v>
      </c>
      <c r="N343" s="42">
        <v>0</v>
      </c>
      <c r="O343" s="37">
        <v>0</v>
      </c>
      <c r="Q343">
        <f>VLOOKUP(Table3[[#This Row],[Census Tract]],'Population and Diversity Data'!$B$2:$K$823,10,FALSE)</f>
        <v>3</v>
      </c>
      <c r="R343" t="str">
        <f>VLOOKUP(Table3[[#This Row],[Census Tract]],'ES Energy Burden'!$B$2:$E$914,4,FALSE)</f>
        <v>No</v>
      </c>
    </row>
    <row r="344" spans="1:18" hidden="1" x14ac:dyDescent="0.25">
      <c r="A344" s="140">
        <v>9015904500</v>
      </c>
      <c r="B344" s="39" t="s">
        <v>2782</v>
      </c>
      <c r="C344" s="39" t="s">
        <v>944</v>
      </c>
      <c r="D344" s="41">
        <v>103701.58665984</v>
      </c>
      <c r="E344" s="37">
        <v>9.2000330787638212E-4</v>
      </c>
      <c r="F344" s="41">
        <v>41168.17</v>
      </c>
      <c r="G344" s="37">
        <v>5.0367823689762047E-4</v>
      </c>
      <c r="H344" s="41">
        <v>103701.58665984</v>
      </c>
      <c r="I344" s="37">
        <v>9.2000330787638212E-4</v>
      </c>
      <c r="J344" s="42">
        <v>41168.17</v>
      </c>
      <c r="K344" s="37">
        <v>5.0367823689762047E-4</v>
      </c>
      <c r="L344" s="38">
        <v>0</v>
      </c>
      <c r="M344" s="37">
        <v>0</v>
      </c>
      <c r="N344" s="42">
        <v>0</v>
      </c>
      <c r="O344" s="37">
        <v>0</v>
      </c>
      <c r="Q344">
        <f>VLOOKUP(Table3[[#This Row],[Census Tract]],'Population and Diversity Data'!$B$2:$K$823,10,FALSE)</f>
        <v>5</v>
      </c>
      <c r="R344" t="str">
        <f>VLOOKUP(Table3[[#This Row],[Census Tract]],'ES Energy Burden'!$B$2:$E$914,4,FALSE)</f>
        <v>No</v>
      </c>
    </row>
    <row r="345" spans="1:18" hidden="1" x14ac:dyDescent="0.25">
      <c r="A345" s="140">
        <v>9015907100</v>
      </c>
      <c r="B345" s="39" t="s">
        <v>2782</v>
      </c>
      <c r="C345" s="39" t="s">
        <v>944</v>
      </c>
      <c r="D345" s="41">
        <v>1382.5854144</v>
      </c>
      <c r="E345" s="37">
        <v>1.2265802246999111E-5</v>
      </c>
      <c r="F345" s="41">
        <v>0</v>
      </c>
      <c r="G345" s="37">
        <v>0</v>
      </c>
      <c r="H345" s="41">
        <v>1382.5854144</v>
      </c>
      <c r="I345" s="37">
        <v>1.2265802246999111E-5</v>
      </c>
      <c r="J345" s="42">
        <v>0</v>
      </c>
      <c r="K345" s="37">
        <v>0</v>
      </c>
      <c r="L345" s="38">
        <v>0</v>
      </c>
      <c r="M345" s="37">
        <v>0</v>
      </c>
      <c r="N345" s="42">
        <v>0</v>
      </c>
      <c r="O345" s="37">
        <v>0</v>
      </c>
      <c r="Q345">
        <f>VLOOKUP(Table3[[#This Row],[Census Tract]],'Population and Diversity Data'!$B$2:$K$823,10,FALSE)</f>
        <v>4</v>
      </c>
      <c r="R345" t="str">
        <f>VLOOKUP(Table3[[#This Row],[Census Tract]],'ES Energy Burden'!$B$2:$E$914,4,FALSE)</f>
        <v>No</v>
      </c>
    </row>
    <row r="346" spans="1:18" hidden="1" x14ac:dyDescent="0.25">
      <c r="A346" s="140">
        <v>9015907200</v>
      </c>
      <c r="B346" s="39" t="s">
        <v>2782</v>
      </c>
      <c r="C346" s="39" t="s">
        <v>944</v>
      </c>
      <c r="D346" s="41">
        <v>306.37802879999998</v>
      </c>
      <c r="E346" s="37">
        <v>2.7180760587706937E-6</v>
      </c>
      <c r="F346" s="41">
        <v>0</v>
      </c>
      <c r="G346" s="37">
        <v>0</v>
      </c>
      <c r="H346" s="41">
        <v>306.37802879999998</v>
      </c>
      <c r="I346" s="37">
        <v>2.7180760587706937E-6</v>
      </c>
      <c r="J346" s="42">
        <v>0</v>
      </c>
      <c r="K346" s="37">
        <v>0</v>
      </c>
      <c r="L346" s="38">
        <v>0</v>
      </c>
      <c r="M346" s="37">
        <v>0</v>
      </c>
      <c r="N346" s="42">
        <v>0</v>
      </c>
      <c r="O346" s="37">
        <v>0</v>
      </c>
      <c r="Q346">
        <f>VLOOKUP(Table3[[#This Row],[Census Tract]],'Population and Diversity Data'!$B$2:$K$823,10,FALSE)</f>
        <v>3</v>
      </c>
      <c r="R346" t="str">
        <f>VLOOKUP(Table3[[#This Row],[Census Tract]],'ES Energy Burden'!$B$2:$E$914,4,FALSE)</f>
        <v>No</v>
      </c>
    </row>
    <row r="347" spans="1:18" hidden="1" x14ac:dyDescent="0.25">
      <c r="A347" s="140">
        <v>9015908100</v>
      </c>
      <c r="B347" s="39" t="s">
        <v>2782</v>
      </c>
      <c r="C347" s="39" t="s">
        <v>944</v>
      </c>
      <c r="D347" s="41">
        <v>141.2640864</v>
      </c>
      <c r="E347" s="37">
        <v>1.2532443423304471E-6</v>
      </c>
      <c r="F347" s="41">
        <v>0</v>
      </c>
      <c r="G347" s="37">
        <v>0</v>
      </c>
      <c r="H347" s="41">
        <v>141.2640864</v>
      </c>
      <c r="I347" s="37">
        <v>1.2532443423304471E-6</v>
      </c>
      <c r="J347" s="42">
        <v>0</v>
      </c>
      <c r="K347" s="37">
        <v>0</v>
      </c>
      <c r="L347" s="38">
        <v>0</v>
      </c>
      <c r="M347" s="37">
        <v>0</v>
      </c>
      <c r="N347" s="42">
        <v>0</v>
      </c>
      <c r="O347" s="37">
        <v>0</v>
      </c>
      <c r="Q347" t="e">
        <f>VLOOKUP(Table3[[#This Row],[Census Tract]],'Population and Diversity Data'!$B$2:$K$823,10,FALSE)</f>
        <v>#N/A</v>
      </c>
      <c r="R347" t="e">
        <f>VLOOKUP(Table3[[#This Row],[Census Tract]],'ES Energy Burden'!$B$2:$E$914,4,FALSE)</f>
        <v>#N/A</v>
      </c>
    </row>
    <row r="348" spans="1:18" hidden="1" x14ac:dyDescent="0.25">
      <c r="A348" s="140">
        <v>9007590100</v>
      </c>
      <c r="B348" s="39" t="s">
        <v>2783</v>
      </c>
      <c r="C348" s="39" t="s">
        <v>944</v>
      </c>
      <c r="D348" s="41">
        <v>798.21763200000009</v>
      </c>
      <c r="E348" s="37">
        <v>7.0815007320389038E-6</v>
      </c>
      <c r="F348" s="41">
        <v>0</v>
      </c>
      <c r="G348" s="37">
        <v>0</v>
      </c>
      <c r="H348" s="41">
        <v>798.21763200000009</v>
      </c>
      <c r="I348" s="37">
        <v>7.0815007320389038E-6</v>
      </c>
      <c r="J348" s="42">
        <v>0</v>
      </c>
      <c r="K348" s="37">
        <v>0</v>
      </c>
      <c r="L348" s="38">
        <v>0</v>
      </c>
      <c r="M348" s="37">
        <v>0</v>
      </c>
      <c r="N348" s="42">
        <v>0</v>
      </c>
      <c r="O348" s="37">
        <v>0</v>
      </c>
      <c r="Q348">
        <f>VLOOKUP(Table3[[#This Row],[Census Tract]],'Population and Diversity Data'!$B$2:$K$823,10,FALSE)</f>
        <v>1</v>
      </c>
      <c r="R348" t="str">
        <f>VLOOKUP(Table3[[#This Row],[Census Tract]],'ES Energy Burden'!$B$2:$E$914,4,FALSE)</f>
        <v>No</v>
      </c>
    </row>
    <row r="349" spans="1:18" hidden="1" x14ac:dyDescent="0.25">
      <c r="A349" s="140">
        <v>9007640100</v>
      </c>
      <c r="B349" s="39" t="s">
        <v>2783</v>
      </c>
      <c r="C349" s="39" t="s">
        <v>944</v>
      </c>
      <c r="D349" s="41">
        <v>171906.27661151998</v>
      </c>
      <c r="E349" s="37">
        <v>1.5250908710402438E-3</v>
      </c>
      <c r="F349" s="41">
        <v>77881.463700000008</v>
      </c>
      <c r="G349" s="37">
        <v>9.5285261218611443E-4</v>
      </c>
      <c r="H349" s="41">
        <v>152083.24419167999</v>
      </c>
      <c r="I349" s="37">
        <v>1.3492280324299238E-3</v>
      </c>
      <c r="J349" s="42">
        <v>67481.353700000007</v>
      </c>
      <c r="K349" s="37">
        <v>8.2561088469758847E-4</v>
      </c>
      <c r="L349" s="38">
        <v>19823.032419839998</v>
      </c>
      <c r="M349" s="37">
        <v>1.7586283861032007E-4</v>
      </c>
      <c r="N349" s="42">
        <v>10400.11</v>
      </c>
      <c r="O349" s="37">
        <v>1.2724172748852601E-4</v>
      </c>
      <c r="Q349">
        <f>VLOOKUP(Table3[[#This Row],[Census Tract]],'Population and Diversity Data'!$B$2:$K$823,10,FALSE)</f>
        <v>1</v>
      </c>
      <c r="R349" t="str">
        <f>VLOOKUP(Table3[[#This Row],[Census Tract]],'ES Energy Burden'!$B$2:$E$914,4,FALSE)</f>
        <v>No</v>
      </c>
    </row>
    <row r="350" spans="1:18" hidden="1" x14ac:dyDescent="0.25">
      <c r="A350" s="140">
        <v>9011714104</v>
      </c>
      <c r="B350" s="39" t="s">
        <v>2784</v>
      </c>
      <c r="C350" s="39" t="s">
        <v>944</v>
      </c>
      <c r="D350" s="41">
        <v>49.528972799999998</v>
      </c>
      <c r="E350" s="37">
        <v>4.3940329438918598E-7</v>
      </c>
      <c r="F350" s="41">
        <v>0</v>
      </c>
      <c r="G350" s="37">
        <v>0</v>
      </c>
      <c r="H350" s="41">
        <v>49.528972799999998</v>
      </c>
      <c r="I350" s="37">
        <v>4.3940329438918598E-7</v>
      </c>
      <c r="J350" s="42">
        <v>0</v>
      </c>
      <c r="K350" s="37">
        <v>0</v>
      </c>
      <c r="L350" s="38">
        <v>0</v>
      </c>
      <c r="M350" s="37">
        <v>0</v>
      </c>
      <c r="N350" s="42">
        <v>0</v>
      </c>
      <c r="O350" s="37">
        <v>0</v>
      </c>
      <c r="Q350">
        <f>VLOOKUP(Table3[[#This Row],[Census Tract]],'Population and Diversity Data'!$B$2:$K$823,10,FALSE)</f>
        <v>1</v>
      </c>
      <c r="R350" t="str">
        <f>VLOOKUP(Table3[[#This Row],[Census Tract]],'ES Energy Burden'!$B$2:$E$914,4,FALSE)</f>
        <v>No</v>
      </c>
    </row>
    <row r="351" spans="1:18" hidden="1" x14ac:dyDescent="0.25">
      <c r="A351" s="140">
        <v>9011870100</v>
      </c>
      <c r="B351" s="39" t="s">
        <v>2784</v>
      </c>
      <c r="C351" s="39" t="s">
        <v>944</v>
      </c>
      <c r="D351" s="41">
        <v>105876.06717888001</v>
      </c>
      <c r="E351" s="37">
        <v>9.3929451965881763E-4</v>
      </c>
      <c r="F351" s="41">
        <v>66859.39</v>
      </c>
      <c r="G351" s="37">
        <v>8.1800137521901987E-4</v>
      </c>
      <c r="H351" s="41">
        <v>93097.006948800001</v>
      </c>
      <c r="I351" s="37">
        <v>8.2592327759875648E-4</v>
      </c>
      <c r="J351" s="42">
        <v>66859.39</v>
      </c>
      <c r="K351" s="37">
        <v>8.1800137521901987E-4</v>
      </c>
      <c r="L351" s="38">
        <v>12779.060230080002</v>
      </c>
      <c r="M351" s="37">
        <v>1.1337124206006109E-4</v>
      </c>
      <c r="N351" s="42">
        <v>0</v>
      </c>
      <c r="O351" s="37">
        <v>0</v>
      </c>
      <c r="Q351">
        <f>VLOOKUP(Table3[[#This Row],[Census Tract]],'Population and Diversity Data'!$B$2:$K$823,10,FALSE)</f>
        <v>1</v>
      </c>
      <c r="R351" t="str">
        <f>VLOOKUP(Table3[[#This Row],[Census Tract]],'ES Energy Burden'!$B$2:$E$914,4,FALSE)</f>
        <v>No</v>
      </c>
    </row>
    <row r="352" spans="1:18" hidden="1" x14ac:dyDescent="0.25">
      <c r="A352" s="140">
        <v>9011701100</v>
      </c>
      <c r="B352" s="39" t="s">
        <v>2785</v>
      </c>
      <c r="C352" s="39" t="s">
        <v>944</v>
      </c>
      <c r="D352" s="41">
        <v>233295.33706271998</v>
      </c>
      <c r="E352" s="37">
        <v>2.0697126121500082E-3</v>
      </c>
      <c r="F352" s="41">
        <v>103588.01820000009</v>
      </c>
      <c r="G352" s="37">
        <v>1.2673633627799017E-3</v>
      </c>
      <c r="H352" s="41">
        <v>174690.90243935998</v>
      </c>
      <c r="I352" s="37">
        <v>1.549795073312618E-3</v>
      </c>
      <c r="J352" s="42">
        <v>90400.118200000099</v>
      </c>
      <c r="K352" s="37">
        <v>1.1060139945572645E-3</v>
      </c>
      <c r="L352" s="38">
        <v>58604.434623360001</v>
      </c>
      <c r="M352" s="37">
        <v>5.1991753883739045E-4</v>
      </c>
      <c r="N352" s="42">
        <v>13187.9</v>
      </c>
      <c r="O352" s="37">
        <v>1.6134936822263725E-4</v>
      </c>
      <c r="Q352">
        <f>VLOOKUP(Table3[[#This Row],[Census Tract]],'Population and Diversity Data'!$B$2:$K$823,10,FALSE)</f>
        <v>4</v>
      </c>
      <c r="R352" t="str">
        <f>VLOOKUP(Table3[[#This Row],[Census Tract]],'ES Energy Burden'!$B$2:$E$914,4,FALSE)</f>
        <v>No</v>
      </c>
    </row>
    <row r="353" spans="1:18" hidden="1" x14ac:dyDescent="0.25">
      <c r="A353" s="140">
        <v>9011701200</v>
      </c>
      <c r="B353" s="39" t="s">
        <v>2785</v>
      </c>
      <c r="C353" s="39" t="s">
        <v>944</v>
      </c>
      <c r="D353" s="41">
        <v>138641.1926976</v>
      </c>
      <c r="E353" s="37">
        <v>1.2299749695065631E-3</v>
      </c>
      <c r="F353" s="41">
        <v>35876.579899999997</v>
      </c>
      <c r="G353" s="37">
        <v>4.3893747305135512E-4</v>
      </c>
      <c r="H353" s="41">
        <v>138641.1926976</v>
      </c>
      <c r="I353" s="37">
        <v>1.2299749695065631E-3</v>
      </c>
      <c r="J353" s="42">
        <v>35876.579899999997</v>
      </c>
      <c r="K353" s="37">
        <v>4.3893747305135512E-4</v>
      </c>
      <c r="L353" s="38">
        <v>0</v>
      </c>
      <c r="M353" s="37">
        <v>0</v>
      </c>
      <c r="N353" s="42">
        <v>0</v>
      </c>
      <c r="O353" s="37">
        <v>0</v>
      </c>
      <c r="Q353">
        <f>VLOOKUP(Table3[[#This Row],[Census Tract]],'Population and Diversity Data'!$B$2:$K$823,10,FALSE)</f>
        <v>3</v>
      </c>
      <c r="R353" t="str">
        <f>VLOOKUP(Table3[[#This Row],[Census Tract]],'ES Energy Burden'!$B$2:$E$914,4,FALSE)</f>
        <v>No</v>
      </c>
    </row>
    <row r="354" spans="1:18" hidden="1" x14ac:dyDescent="0.25">
      <c r="A354" s="140">
        <v>9011980000</v>
      </c>
      <c r="B354" s="39" t="s">
        <v>2785</v>
      </c>
      <c r="C354" s="39" t="s">
        <v>944</v>
      </c>
      <c r="D354" s="41">
        <v>64.956124800000012</v>
      </c>
      <c r="E354" s="37">
        <v>5.7626745749661721E-7</v>
      </c>
      <c r="F354" s="41">
        <v>0</v>
      </c>
      <c r="G354" s="37">
        <v>0</v>
      </c>
      <c r="H354" s="41">
        <v>64.956124800000012</v>
      </c>
      <c r="I354" s="37">
        <v>5.7626745749661721E-7</v>
      </c>
      <c r="J354" s="42">
        <v>0</v>
      </c>
      <c r="K354" s="37">
        <v>0</v>
      </c>
      <c r="L354" s="38">
        <v>0</v>
      </c>
      <c r="M354" s="37">
        <v>0</v>
      </c>
      <c r="N354" s="42">
        <v>0</v>
      </c>
      <c r="O354" s="37">
        <v>0</v>
      </c>
      <c r="Q354" t="e">
        <f>VLOOKUP(Table3[[#This Row],[Census Tract]],'Population and Diversity Data'!$B$2:$K$823,10,FALSE)</f>
        <v>#N/A</v>
      </c>
      <c r="R354" t="e">
        <f>VLOOKUP(Table3[[#This Row],[Census Tract]],'ES Energy Burden'!$B$2:$E$914,4,FALSE)</f>
        <v>#N/A</v>
      </c>
    </row>
    <row r="355" spans="1:18" hidden="1" x14ac:dyDescent="0.25">
      <c r="A355" s="140">
        <v>9000016000</v>
      </c>
      <c r="B355" s="39" t="s">
        <v>2786</v>
      </c>
      <c r="C355" s="39" t="s">
        <v>944</v>
      </c>
      <c r="D355" s="41">
        <v>84.533846399999987</v>
      </c>
      <c r="E355" s="37">
        <v>7.4995398643820495E-7</v>
      </c>
      <c r="F355" s="41">
        <v>0</v>
      </c>
      <c r="G355" s="37">
        <v>0</v>
      </c>
      <c r="H355" s="41">
        <v>84.533846399999987</v>
      </c>
      <c r="I355" s="37">
        <v>7.4995398643820495E-7</v>
      </c>
      <c r="J355" s="42">
        <v>0</v>
      </c>
      <c r="K355" s="37">
        <v>0</v>
      </c>
      <c r="L355" s="38">
        <v>0</v>
      </c>
      <c r="M355" s="37">
        <v>0</v>
      </c>
      <c r="N355" s="42">
        <v>0</v>
      </c>
      <c r="O355" s="37">
        <v>0</v>
      </c>
      <c r="Q355" t="e">
        <f>VLOOKUP(Table3[[#This Row],[Census Tract]],'Population and Diversity Data'!$B$2:$K$823,10,FALSE)</f>
        <v>#N/A</v>
      </c>
      <c r="R355" t="e">
        <f>VLOOKUP(Table3[[#This Row],[Census Tract]],'ES Energy Burden'!$B$2:$E$914,4,FALSE)</f>
        <v>#N/A</v>
      </c>
    </row>
    <row r="356" spans="1:18" hidden="1" x14ac:dyDescent="0.25">
      <c r="A356" s="140">
        <v>9003496200</v>
      </c>
      <c r="B356" s="39" t="s">
        <v>2786</v>
      </c>
      <c r="C356" s="39" t="s">
        <v>944</v>
      </c>
      <c r="D356" s="41">
        <v>13291.498120319999</v>
      </c>
      <c r="E356" s="37">
        <v>1.1791740735306105E-4</v>
      </c>
      <c r="F356" s="41">
        <v>0</v>
      </c>
      <c r="G356" s="37">
        <v>0</v>
      </c>
      <c r="H356" s="41">
        <v>511.48679040000002</v>
      </c>
      <c r="I356" s="37">
        <v>4.5377274761149711E-6</v>
      </c>
      <c r="J356" s="42">
        <v>0</v>
      </c>
      <c r="K356" s="37">
        <v>0</v>
      </c>
      <c r="L356" s="38">
        <v>12780.011329919998</v>
      </c>
      <c r="M356" s="37">
        <v>1.1337967987694607E-4</v>
      </c>
      <c r="N356" s="42">
        <v>0</v>
      </c>
      <c r="O356" s="37">
        <v>0</v>
      </c>
      <c r="Q356">
        <f>VLOOKUP(Table3[[#This Row],[Census Tract]],'Population and Diversity Data'!$B$2:$K$823,10,FALSE)</f>
        <v>5</v>
      </c>
      <c r="R356" t="str">
        <f>VLOOKUP(Table3[[#This Row],[Census Tract]],'ES Energy Burden'!$B$2:$E$914,4,FALSE)</f>
        <v>No</v>
      </c>
    </row>
    <row r="357" spans="1:18" hidden="1" x14ac:dyDescent="0.25">
      <c r="A357" s="140">
        <v>9011693400</v>
      </c>
      <c r="B357" s="39" t="s">
        <v>2786</v>
      </c>
      <c r="C357" s="39" t="s">
        <v>944</v>
      </c>
      <c r="D357" s="41">
        <v>44.7532128</v>
      </c>
      <c r="E357" s="37">
        <v>3.9703446340846151E-7</v>
      </c>
      <c r="F357" s="41">
        <v>0</v>
      </c>
      <c r="G357" s="37">
        <v>0</v>
      </c>
      <c r="H357" s="41">
        <v>44.7532128</v>
      </c>
      <c r="I357" s="37">
        <v>3.9703446340846151E-7</v>
      </c>
      <c r="J357" s="42">
        <v>0</v>
      </c>
      <c r="K357" s="37">
        <v>0</v>
      </c>
      <c r="L357" s="38">
        <v>0</v>
      </c>
      <c r="M357" s="37">
        <v>0</v>
      </c>
      <c r="N357" s="42">
        <v>0</v>
      </c>
      <c r="O357" s="37">
        <v>0</v>
      </c>
      <c r="Q357">
        <f>VLOOKUP(Table3[[#This Row],[Census Tract]],'Population and Diversity Data'!$B$2:$K$823,10,FALSE)</f>
        <v>3</v>
      </c>
      <c r="R357" t="str">
        <f>VLOOKUP(Table3[[#This Row],[Census Tract]],'ES Energy Burden'!$B$2:$E$914,4,FALSE)</f>
        <v>No</v>
      </c>
    </row>
    <row r="358" spans="1:18" hidden="1" x14ac:dyDescent="0.25">
      <c r="A358" s="140">
        <v>9011709100</v>
      </c>
      <c r="B358" s="39" t="s">
        <v>2786</v>
      </c>
      <c r="C358" s="39" t="s">
        <v>944</v>
      </c>
      <c r="D358" s="41">
        <v>1041.2546112</v>
      </c>
      <c r="E358" s="37">
        <v>9.2376377016082786E-6</v>
      </c>
      <c r="F358" s="41">
        <v>0</v>
      </c>
      <c r="G358" s="37">
        <v>0</v>
      </c>
      <c r="H358" s="41">
        <v>1041.2546112</v>
      </c>
      <c r="I358" s="37">
        <v>9.2376377016082786E-6</v>
      </c>
      <c r="J358" s="42">
        <v>0</v>
      </c>
      <c r="K358" s="37">
        <v>0</v>
      </c>
      <c r="L358" s="38">
        <v>0</v>
      </c>
      <c r="M358" s="37">
        <v>0</v>
      </c>
      <c r="N358" s="42">
        <v>0</v>
      </c>
      <c r="O358" s="37">
        <v>0</v>
      </c>
      <c r="Q358">
        <f>VLOOKUP(Table3[[#This Row],[Census Tract]],'Population and Diversity Data'!$B$2:$K$823,10,FALSE)</f>
        <v>3</v>
      </c>
      <c r="R358" t="str">
        <f>VLOOKUP(Table3[[#This Row],[Census Tract]],'ES Energy Burden'!$B$2:$E$914,4,FALSE)</f>
        <v>No</v>
      </c>
    </row>
    <row r="359" spans="1:18" hidden="1" x14ac:dyDescent="0.25">
      <c r="A359" s="140">
        <v>9011709200</v>
      </c>
      <c r="B359" s="39" t="s">
        <v>2786</v>
      </c>
      <c r="C359" s="39" t="s">
        <v>944</v>
      </c>
      <c r="D359" s="41">
        <v>14.0899392</v>
      </c>
      <c r="E359" s="37">
        <v>1.2500089043282827E-7</v>
      </c>
      <c r="F359" s="41">
        <v>0</v>
      </c>
      <c r="G359" s="37">
        <v>0</v>
      </c>
      <c r="H359" s="41">
        <v>14.0899392</v>
      </c>
      <c r="I359" s="37">
        <v>1.2500089043282827E-7</v>
      </c>
      <c r="J359" s="42">
        <v>0</v>
      </c>
      <c r="K359" s="37">
        <v>0</v>
      </c>
      <c r="L359" s="38">
        <v>0</v>
      </c>
      <c r="M359" s="37">
        <v>0</v>
      </c>
      <c r="N359" s="42">
        <v>0</v>
      </c>
      <c r="O359" s="37">
        <v>0</v>
      </c>
      <c r="Q359">
        <f>VLOOKUP(Table3[[#This Row],[Census Tract]],'Population and Diversity Data'!$B$2:$K$823,10,FALSE)</f>
        <v>5</v>
      </c>
      <c r="R359" t="str">
        <f>VLOOKUP(Table3[[#This Row],[Census Tract]],'ES Energy Burden'!$B$2:$E$914,4,FALSE)</f>
        <v>No</v>
      </c>
    </row>
    <row r="360" spans="1:18" hidden="1" x14ac:dyDescent="0.25">
      <c r="A360" s="140">
        <v>9011710100</v>
      </c>
      <c r="B360" s="39" t="s">
        <v>2786</v>
      </c>
      <c r="C360" s="39" t="s">
        <v>944</v>
      </c>
      <c r="D360" s="41">
        <v>93374.923184639993</v>
      </c>
      <c r="E360" s="37">
        <v>8.2838885083172961E-4</v>
      </c>
      <c r="F360" s="41">
        <v>184063.5822</v>
      </c>
      <c r="G360" s="37">
        <v>2.2519538896083125E-3</v>
      </c>
      <c r="H360" s="41">
        <v>81352.816283519991</v>
      </c>
      <c r="I360" s="37">
        <v>7.2173302739718631E-4</v>
      </c>
      <c r="J360" s="42">
        <v>178185.68220000001</v>
      </c>
      <c r="K360" s="37">
        <v>2.180039828121962E-3</v>
      </c>
      <c r="L360" s="38">
        <v>12022.106901119998</v>
      </c>
      <c r="M360" s="37">
        <v>1.0665582343454324E-4</v>
      </c>
      <c r="N360" s="42">
        <v>5877.9</v>
      </c>
      <c r="O360" s="37">
        <v>7.191406148635033E-5</v>
      </c>
      <c r="Q360">
        <f>VLOOKUP(Table3[[#This Row],[Census Tract]],'Population and Diversity Data'!$B$2:$K$823,10,FALSE)</f>
        <v>3</v>
      </c>
      <c r="R360" t="str">
        <f>VLOOKUP(Table3[[#This Row],[Census Tract]],'ES Energy Burden'!$B$2:$E$914,4,FALSE)</f>
        <v>No</v>
      </c>
    </row>
    <row r="361" spans="1:18" hidden="1" x14ac:dyDescent="0.25">
      <c r="A361" s="140">
        <v>9011716102</v>
      </c>
      <c r="B361" s="39" t="s">
        <v>2786</v>
      </c>
      <c r="C361" s="39" t="s">
        <v>944</v>
      </c>
      <c r="D361" s="41">
        <v>67.653705599999995</v>
      </c>
      <c r="E361" s="37">
        <v>6.0019942748088085E-7</v>
      </c>
      <c r="F361" s="41">
        <v>0</v>
      </c>
      <c r="G361" s="37">
        <v>0</v>
      </c>
      <c r="H361" s="41">
        <v>67.653705599999995</v>
      </c>
      <c r="I361" s="37">
        <v>6.0019942748088085E-7</v>
      </c>
      <c r="J361" s="42">
        <v>0</v>
      </c>
      <c r="K361" s="37">
        <v>0</v>
      </c>
      <c r="L361" s="38">
        <v>0</v>
      </c>
      <c r="M361" s="37">
        <v>0</v>
      </c>
      <c r="N361" s="42">
        <v>0</v>
      </c>
      <c r="O361" s="37">
        <v>0</v>
      </c>
      <c r="Q361">
        <f>VLOOKUP(Table3[[#This Row],[Census Tract]],'Population and Diversity Data'!$B$2:$K$823,10,FALSE)</f>
        <v>4</v>
      </c>
      <c r="R361" t="str">
        <f>VLOOKUP(Table3[[#This Row],[Census Tract]],'ES Energy Burden'!$B$2:$E$914,4,FALSE)</f>
        <v>No</v>
      </c>
    </row>
    <row r="362" spans="1:18" hidden="1" x14ac:dyDescent="0.25">
      <c r="A362" s="140">
        <v>9015905100</v>
      </c>
      <c r="B362" s="39" t="s">
        <v>2786</v>
      </c>
      <c r="C362" s="39" t="s">
        <v>944</v>
      </c>
      <c r="D362" s="41">
        <v>45.320515200000003</v>
      </c>
      <c r="E362" s="37">
        <v>4.0206736696738397E-7</v>
      </c>
      <c r="F362" s="41">
        <v>0</v>
      </c>
      <c r="G362" s="37">
        <v>0</v>
      </c>
      <c r="H362" s="41">
        <v>45.320515200000003</v>
      </c>
      <c r="I362" s="37">
        <v>4.0206736696738397E-7</v>
      </c>
      <c r="J362" s="42">
        <v>0</v>
      </c>
      <c r="K362" s="37">
        <v>0</v>
      </c>
      <c r="L362" s="38">
        <v>0</v>
      </c>
      <c r="M362" s="37">
        <v>0</v>
      </c>
      <c r="N362" s="42">
        <v>0</v>
      </c>
      <c r="O362" s="37">
        <v>0</v>
      </c>
      <c r="Q362">
        <f>VLOOKUP(Table3[[#This Row],[Census Tract]],'Population and Diversity Data'!$B$2:$K$823,10,FALSE)</f>
        <v>4</v>
      </c>
      <c r="R362" t="str">
        <f>VLOOKUP(Table3[[#This Row],[Census Tract]],'ES Energy Burden'!$B$2:$E$914,4,FALSE)</f>
        <v>No</v>
      </c>
    </row>
    <row r="363" spans="1:18" hidden="1" x14ac:dyDescent="0.25">
      <c r="A363" s="140">
        <v>9005296100</v>
      </c>
      <c r="B363" s="39" t="s">
        <v>2787</v>
      </c>
      <c r="C363" s="39" t="s">
        <v>944</v>
      </c>
      <c r="D363" s="41">
        <v>509.46071040000004</v>
      </c>
      <c r="E363" s="37">
        <v>4.5197528205473915E-6</v>
      </c>
      <c r="F363" s="41">
        <v>0</v>
      </c>
      <c r="G363" s="37">
        <v>0</v>
      </c>
      <c r="H363" s="41">
        <v>509.46071040000004</v>
      </c>
      <c r="I363" s="37">
        <v>4.5197528205473915E-6</v>
      </c>
      <c r="J363" s="42">
        <v>0</v>
      </c>
      <c r="K363" s="37">
        <v>0</v>
      </c>
      <c r="L363" s="38">
        <v>0</v>
      </c>
      <c r="M363" s="37">
        <v>0</v>
      </c>
      <c r="N363" s="42">
        <v>0</v>
      </c>
      <c r="O363" s="37">
        <v>0</v>
      </c>
      <c r="Q363">
        <f>VLOOKUP(Table3[[#This Row],[Census Tract]],'Population and Diversity Data'!$B$2:$K$823,10,FALSE)</f>
        <v>3</v>
      </c>
      <c r="R363" t="str">
        <f>VLOOKUP(Table3[[#This Row],[Census Tract]],'ES Energy Burden'!$B$2:$E$914,4,FALSE)</f>
        <v>No</v>
      </c>
    </row>
    <row r="364" spans="1:18" hidden="1" x14ac:dyDescent="0.25">
      <c r="A364" s="140">
        <v>9005300100</v>
      </c>
      <c r="B364" s="39" t="s">
        <v>2787</v>
      </c>
      <c r="C364" s="39" t="s">
        <v>944</v>
      </c>
      <c r="D364" s="41">
        <v>69544.787889600004</v>
      </c>
      <c r="E364" s="37">
        <v>6.1697643174799313E-4</v>
      </c>
      <c r="F364" s="41">
        <v>74664.482900000003</v>
      </c>
      <c r="G364" s="37">
        <v>9.1349397133621754E-4</v>
      </c>
      <c r="H364" s="41">
        <v>68888.674877760001</v>
      </c>
      <c r="I364" s="37">
        <v>6.1115563227253722E-4</v>
      </c>
      <c r="J364" s="42">
        <v>74664.482900000003</v>
      </c>
      <c r="K364" s="37">
        <v>9.1349397133621754E-4</v>
      </c>
      <c r="L364" s="38">
        <v>656.1130118399999</v>
      </c>
      <c r="M364" s="37">
        <v>5.8207994754558479E-6</v>
      </c>
      <c r="N364" s="42">
        <v>0</v>
      </c>
      <c r="O364" s="37">
        <v>0</v>
      </c>
      <c r="Q364">
        <f>VLOOKUP(Table3[[#This Row],[Census Tract]],'Population and Diversity Data'!$B$2:$K$823,10,FALSE)</f>
        <v>1</v>
      </c>
      <c r="R364" t="str">
        <f>VLOOKUP(Table3[[#This Row],[Census Tract]],'ES Energy Burden'!$B$2:$E$914,4,FALSE)</f>
        <v>No</v>
      </c>
    </row>
    <row r="365" spans="1:18" hidden="1" x14ac:dyDescent="0.25">
      <c r="A365" s="140">
        <v>9005300400</v>
      </c>
      <c r="B365" s="39" t="s">
        <v>2787</v>
      </c>
      <c r="C365" s="39" t="s">
        <v>944</v>
      </c>
      <c r="D365" s="41">
        <v>46661.577552000002</v>
      </c>
      <c r="E365" s="37">
        <v>4.1396479148756522E-4</v>
      </c>
      <c r="F365" s="41">
        <v>11260.856400000001</v>
      </c>
      <c r="G365" s="37">
        <v>1.3777266022534608E-4</v>
      </c>
      <c r="H365" s="41">
        <v>46661.577552000002</v>
      </c>
      <c r="I365" s="37">
        <v>4.1396479148756522E-4</v>
      </c>
      <c r="J365" s="42">
        <v>11260.856400000001</v>
      </c>
      <c r="K365" s="37">
        <v>1.3777266022534608E-4</v>
      </c>
      <c r="L365" s="38">
        <v>0</v>
      </c>
      <c r="M365" s="37">
        <v>0</v>
      </c>
      <c r="N365" s="42">
        <v>0</v>
      </c>
      <c r="O365" s="37">
        <v>0</v>
      </c>
      <c r="Q365">
        <f>VLOOKUP(Table3[[#This Row],[Census Tract]],'Population and Diversity Data'!$B$2:$K$823,10,FALSE)</f>
        <v>2</v>
      </c>
      <c r="R365" t="str">
        <f>VLOOKUP(Table3[[#This Row],[Census Tract]],'ES Energy Burden'!$B$2:$E$914,4,FALSE)</f>
        <v>No</v>
      </c>
    </row>
    <row r="366" spans="1:18" hidden="1" x14ac:dyDescent="0.25">
      <c r="A366" s="140">
        <v>9005300500</v>
      </c>
      <c r="B366" s="39" t="s">
        <v>2787</v>
      </c>
      <c r="C366" s="39" t="s">
        <v>944</v>
      </c>
      <c r="D366" s="41">
        <v>184605.2111664</v>
      </c>
      <c r="E366" s="37">
        <v>1.6377512668287661E-3</v>
      </c>
      <c r="F366" s="41">
        <v>100008.2558</v>
      </c>
      <c r="G366" s="37">
        <v>1.2235662152714154E-3</v>
      </c>
      <c r="H366" s="41">
        <v>108012.43597536</v>
      </c>
      <c r="I366" s="37">
        <v>9.5824761789879503E-4</v>
      </c>
      <c r="J366" s="42">
        <v>85264.085800000001</v>
      </c>
      <c r="K366" s="37">
        <v>1.0431764250495332E-3</v>
      </c>
      <c r="L366" s="38">
        <v>76592.775191040011</v>
      </c>
      <c r="M366" s="37">
        <v>6.795036489299712E-4</v>
      </c>
      <c r="N366" s="42">
        <v>14744.17</v>
      </c>
      <c r="O366" s="37">
        <v>1.803897902218823E-4</v>
      </c>
      <c r="Q366">
        <f>VLOOKUP(Table3[[#This Row],[Census Tract]],'Population and Diversity Data'!$B$2:$K$823,10,FALSE)</f>
        <v>1</v>
      </c>
      <c r="R366" t="str">
        <f>VLOOKUP(Table3[[#This Row],[Census Tract]],'ES Energy Burden'!$B$2:$E$914,4,FALSE)</f>
        <v>No</v>
      </c>
    </row>
    <row r="367" spans="1:18" hidden="1" x14ac:dyDescent="0.25">
      <c r="A367" s="140">
        <v>9005303100</v>
      </c>
      <c r="B367" s="39" t="s">
        <v>2787</v>
      </c>
      <c r="C367" s="39" t="s">
        <v>944</v>
      </c>
      <c r="D367" s="41">
        <v>538.43944320000003</v>
      </c>
      <c r="E367" s="37">
        <v>4.7768417513225511E-6</v>
      </c>
      <c r="F367" s="41">
        <v>1069.8900000000001</v>
      </c>
      <c r="G367" s="37">
        <v>1.3089731918479622E-5</v>
      </c>
      <c r="H367" s="41">
        <v>538.43944320000003</v>
      </c>
      <c r="I367" s="37">
        <v>4.7768417513225511E-6</v>
      </c>
      <c r="J367" s="42">
        <v>1069.8900000000001</v>
      </c>
      <c r="K367" s="37">
        <v>1.3089731918479622E-5</v>
      </c>
      <c r="L367" s="38">
        <v>0</v>
      </c>
      <c r="M367" s="37">
        <v>0</v>
      </c>
      <c r="N367" s="42">
        <v>0</v>
      </c>
      <c r="O367" s="37">
        <v>0</v>
      </c>
      <c r="Q367">
        <f>VLOOKUP(Table3[[#This Row],[Census Tract]],'Population and Diversity Data'!$B$2:$K$823,10,FALSE)</f>
        <v>1</v>
      </c>
      <c r="R367" t="str">
        <f>VLOOKUP(Table3[[#This Row],[Census Tract]],'ES Energy Burden'!$B$2:$E$914,4,FALSE)</f>
        <v>No</v>
      </c>
    </row>
    <row r="368" spans="1:18" hidden="1" x14ac:dyDescent="0.25">
      <c r="A368" s="140">
        <v>9005349100</v>
      </c>
      <c r="B368" s="39" t="s">
        <v>2787</v>
      </c>
      <c r="C368" s="39" t="s">
        <v>944</v>
      </c>
      <c r="D368" s="41">
        <v>278.03027520000001</v>
      </c>
      <c r="E368" s="37">
        <v>2.4665849493008667E-6</v>
      </c>
      <c r="F368" s="41">
        <v>0</v>
      </c>
      <c r="G368" s="37">
        <v>0</v>
      </c>
      <c r="H368" s="41">
        <v>278.03027520000001</v>
      </c>
      <c r="I368" s="37">
        <v>2.4665849493008667E-6</v>
      </c>
      <c r="J368" s="42">
        <v>0</v>
      </c>
      <c r="K368" s="37">
        <v>0</v>
      </c>
      <c r="L368" s="38">
        <v>0</v>
      </c>
      <c r="M368" s="37">
        <v>0</v>
      </c>
      <c r="N368" s="42">
        <v>0</v>
      </c>
      <c r="O368" s="37">
        <v>0</v>
      </c>
      <c r="Q368">
        <f>VLOOKUP(Table3[[#This Row],[Census Tract]],'Population and Diversity Data'!$B$2:$K$823,10,FALSE)</f>
        <v>1</v>
      </c>
      <c r="R368" t="str">
        <f>VLOOKUP(Table3[[#This Row],[Census Tract]],'ES Energy Burden'!$B$2:$E$914,4,FALSE)</f>
        <v>No</v>
      </c>
    </row>
    <row r="369" spans="1:18" hidden="1" x14ac:dyDescent="0.25">
      <c r="A369" s="140">
        <v>9011650100</v>
      </c>
      <c r="B369" s="39" t="s">
        <v>2788</v>
      </c>
      <c r="C369" s="39" t="s">
        <v>944</v>
      </c>
      <c r="D369" s="41">
        <v>84478.104887040012</v>
      </c>
      <c r="E369" s="37">
        <v>7.4945946771422993E-4</v>
      </c>
      <c r="F369" s="41">
        <v>36851.571000000004</v>
      </c>
      <c r="G369" s="37">
        <v>4.5086614994515136E-4</v>
      </c>
      <c r="H369" s="41">
        <v>79093.234615680005</v>
      </c>
      <c r="I369" s="37">
        <v>7.0168682872475394E-4</v>
      </c>
      <c r="J369" s="42">
        <v>36851.571000000004</v>
      </c>
      <c r="K369" s="37">
        <v>4.5086614994515136E-4</v>
      </c>
      <c r="L369" s="38">
        <v>5384.8702713599996</v>
      </c>
      <c r="M369" s="37">
        <v>4.7772638989475945E-5</v>
      </c>
      <c r="N369" s="42">
        <v>0</v>
      </c>
      <c r="O369" s="37">
        <v>0</v>
      </c>
      <c r="Q369">
        <f>VLOOKUP(Table3[[#This Row],[Census Tract]],'Population and Diversity Data'!$B$2:$K$823,10,FALSE)</f>
        <v>1</v>
      </c>
      <c r="R369" t="str">
        <f>VLOOKUP(Table3[[#This Row],[Census Tract]],'ES Energy Burden'!$B$2:$E$914,4,FALSE)</f>
        <v>No</v>
      </c>
    </row>
    <row r="370" spans="1:18" hidden="1" x14ac:dyDescent="0.25">
      <c r="A370" s="140">
        <v>9009190301</v>
      </c>
      <c r="B370" s="39" t="s">
        <v>2789</v>
      </c>
      <c r="C370" s="39" t="s">
        <v>944</v>
      </c>
      <c r="D370" s="41">
        <v>1231.9318943999999</v>
      </c>
      <c r="E370" s="37">
        <v>1.0929258215152622E-5</v>
      </c>
      <c r="F370" s="41">
        <v>957.25</v>
      </c>
      <c r="G370" s="37">
        <v>1.1711620707703237E-5</v>
      </c>
      <c r="H370" s="41">
        <v>1231.9318943999999</v>
      </c>
      <c r="I370" s="37">
        <v>1.0929258215152622E-5</v>
      </c>
      <c r="J370" s="42">
        <v>957.25</v>
      </c>
      <c r="K370" s="37">
        <v>1.1711620707703237E-5</v>
      </c>
      <c r="L370" s="38">
        <v>0</v>
      </c>
      <c r="M370" s="37">
        <v>0</v>
      </c>
      <c r="N370" s="42">
        <v>0</v>
      </c>
      <c r="O370" s="37">
        <v>0</v>
      </c>
      <c r="Q370">
        <f>VLOOKUP(Table3[[#This Row],[Census Tract]],'Population and Diversity Data'!$B$2:$K$823,10,FALSE)</f>
        <v>3</v>
      </c>
      <c r="R370" t="str">
        <f>VLOOKUP(Table3[[#This Row],[Census Tract]],'ES Energy Burden'!$B$2:$E$914,4,FALSE)</f>
        <v>No</v>
      </c>
    </row>
    <row r="371" spans="1:18" hidden="1" x14ac:dyDescent="0.25">
      <c r="A371" s="140">
        <v>9009194100</v>
      </c>
      <c r="B371" s="39" t="s">
        <v>2789</v>
      </c>
      <c r="C371" s="39" t="s">
        <v>944</v>
      </c>
      <c r="D371" s="41">
        <v>147742.19007552002</v>
      </c>
      <c r="E371" s="37">
        <v>1.3107157562423099E-3</v>
      </c>
      <c r="F371" s="41">
        <v>34658.589500000002</v>
      </c>
      <c r="G371" s="37">
        <v>4.240357842653288E-4</v>
      </c>
      <c r="H371" s="41">
        <v>147620.49213312002</v>
      </c>
      <c r="I371" s="37">
        <v>1.3096360957166034E-3</v>
      </c>
      <c r="J371" s="42">
        <v>34658.589500000002</v>
      </c>
      <c r="K371" s="37">
        <v>4.240357842653288E-4</v>
      </c>
      <c r="L371" s="38">
        <v>121.6979424</v>
      </c>
      <c r="M371" s="37">
        <v>1.0796605257063881E-6</v>
      </c>
      <c r="N371" s="42">
        <v>0</v>
      </c>
      <c r="O371" s="37">
        <v>0</v>
      </c>
      <c r="Q371">
        <f>VLOOKUP(Table3[[#This Row],[Census Tract]],'Population and Diversity Data'!$B$2:$K$823,10,FALSE)</f>
        <v>1</v>
      </c>
      <c r="R371" t="str">
        <f>VLOOKUP(Table3[[#This Row],[Census Tract]],'ES Energy Burden'!$B$2:$E$914,4,FALSE)</f>
        <v>No</v>
      </c>
    </row>
    <row r="372" spans="1:18" hidden="1" x14ac:dyDescent="0.25">
      <c r="A372" s="140">
        <v>9009194201</v>
      </c>
      <c r="B372" s="39" t="s">
        <v>2789</v>
      </c>
      <c r="C372" s="39" t="s">
        <v>944</v>
      </c>
      <c r="D372" s="41">
        <v>291931.58114208002</v>
      </c>
      <c r="E372" s="37">
        <v>2.5899123530798104E-3</v>
      </c>
      <c r="F372" s="41">
        <v>188699.47329999998</v>
      </c>
      <c r="G372" s="37">
        <v>2.308672404317549E-3</v>
      </c>
      <c r="H372" s="41">
        <v>189577.17501696001</v>
      </c>
      <c r="I372" s="37">
        <v>1.6818607480478076E-3</v>
      </c>
      <c r="J372" s="42">
        <v>170986.45329999999</v>
      </c>
      <c r="K372" s="37">
        <v>2.0919597672551709E-3</v>
      </c>
      <c r="L372" s="38">
        <v>102354.40612512</v>
      </c>
      <c r="M372" s="37">
        <v>9.0805160503200269E-4</v>
      </c>
      <c r="N372" s="42">
        <v>17713.02</v>
      </c>
      <c r="O372" s="37">
        <v>2.1671263706237825E-4</v>
      </c>
      <c r="Q372">
        <f>VLOOKUP(Table3[[#This Row],[Census Tract]],'Population and Diversity Data'!$B$2:$K$823,10,FALSE)</f>
        <v>3</v>
      </c>
      <c r="R372" t="str">
        <f>VLOOKUP(Table3[[#This Row],[Census Tract]],'ES Energy Burden'!$B$2:$E$914,4,FALSE)</f>
        <v>No</v>
      </c>
    </row>
    <row r="373" spans="1:18" hidden="1" x14ac:dyDescent="0.25">
      <c r="A373" s="140">
        <v>9009194202</v>
      </c>
      <c r="B373" s="39" t="s">
        <v>2789</v>
      </c>
      <c r="C373" s="39" t="s">
        <v>944</v>
      </c>
      <c r="D373" s="41">
        <v>130404.20613695998</v>
      </c>
      <c r="E373" s="37">
        <v>1.1568993770609093E-3</v>
      </c>
      <c r="F373" s="41">
        <v>29098.8796</v>
      </c>
      <c r="G373" s="37">
        <v>3.5601466794914942E-4</v>
      </c>
      <c r="H373" s="41">
        <v>130324.01967935999</v>
      </c>
      <c r="I373" s="37">
        <v>1.1561879915497034E-3</v>
      </c>
      <c r="J373" s="42">
        <v>29098.8796</v>
      </c>
      <c r="K373" s="37">
        <v>3.5601466794914942E-4</v>
      </c>
      <c r="L373" s="38">
        <v>80.186457599999997</v>
      </c>
      <c r="M373" s="37">
        <v>7.1138551120605468E-7</v>
      </c>
      <c r="N373" s="42">
        <v>0</v>
      </c>
      <c r="O373" s="37">
        <v>0</v>
      </c>
      <c r="Q373">
        <f>VLOOKUP(Table3[[#This Row],[Census Tract]],'Population and Diversity Data'!$B$2:$K$823,10,FALSE)</f>
        <v>3</v>
      </c>
      <c r="R373" t="str">
        <f>VLOOKUP(Table3[[#This Row],[Census Tract]],'ES Energy Burden'!$B$2:$E$914,4,FALSE)</f>
        <v>No</v>
      </c>
    </row>
    <row r="374" spans="1:18" hidden="1" x14ac:dyDescent="0.25">
      <c r="A374" s="140">
        <v>9003487201</v>
      </c>
      <c r="B374" s="39" t="s">
        <v>2790</v>
      </c>
      <c r="C374" s="39" t="s">
        <v>944</v>
      </c>
      <c r="D374" s="41">
        <v>744.42231360000005</v>
      </c>
      <c r="E374" s="37">
        <v>6.6042479486402706E-6</v>
      </c>
      <c r="F374" s="41">
        <v>0</v>
      </c>
      <c r="G374" s="37">
        <v>0</v>
      </c>
      <c r="H374" s="41">
        <v>744.42231360000005</v>
      </c>
      <c r="I374" s="37">
        <v>6.6042479486402706E-6</v>
      </c>
      <c r="J374" s="42">
        <v>0</v>
      </c>
      <c r="K374" s="37">
        <v>0</v>
      </c>
      <c r="L374" s="38">
        <v>0</v>
      </c>
      <c r="M374" s="37">
        <v>0</v>
      </c>
      <c r="N374" s="42">
        <v>0</v>
      </c>
      <c r="O374" s="37">
        <v>0</v>
      </c>
      <c r="Q374">
        <f>VLOOKUP(Table3[[#This Row],[Census Tract]],'Population and Diversity Data'!$B$2:$K$823,10,FALSE)</f>
        <v>4</v>
      </c>
      <c r="R374" t="str">
        <f>VLOOKUP(Table3[[#This Row],[Census Tract]],'ES Energy Burden'!$B$2:$E$914,4,FALSE)</f>
        <v>No</v>
      </c>
    </row>
    <row r="375" spans="1:18" hidden="1" x14ac:dyDescent="0.25">
      <c r="A375" s="140">
        <v>9003487500</v>
      </c>
      <c r="B375" s="39" t="s">
        <v>2790</v>
      </c>
      <c r="C375" s="39" t="s">
        <v>944</v>
      </c>
      <c r="D375" s="41">
        <v>1016.2990943999999</v>
      </c>
      <c r="E375" s="37">
        <v>9.0162413011744574E-6</v>
      </c>
      <c r="F375" s="41">
        <v>304.04000000000002</v>
      </c>
      <c r="G375" s="37">
        <v>3.7198236197128152E-6</v>
      </c>
      <c r="H375" s="41">
        <v>1016.2990943999999</v>
      </c>
      <c r="I375" s="37">
        <v>9.0162413011744574E-6</v>
      </c>
      <c r="J375" s="42">
        <v>304.04000000000002</v>
      </c>
      <c r="K375" s="37">
        <v>3.7198236197128152E-6</v>
      </c>
      <c r="L375" s="38">
        <v>0</v>
      </c>
      <c r="M375" s="37">
        <v>0</v>
      </c>
      <c r="N375" s="42">
        <v>0</v>
      </c>
      <c r="O375" s="37">
        <v>0</v>
      </c>
      <c r="Q375">
        <f>VLOOKUP(Table3[[#This Row],[Census Tract]],'Population and Diversity Data'!$B$2:$K$823,10,FALSE)</f>
        <v>5</v>
      </c>
      <c r="R375" t="str">
        <f>VLOOKUP(Table3[[#This Row],[Census Tract]],'ES Energy Burden'!$B$2:$E$914,4,FALSE)</f>
        <v>No</v>
      </c>
    </row>
    <row r="376" spans="1:18" hidden="1" x14ac:dyDescent="0.25">
      <c r="A376" s="140">
        <v>9003514101</v>
      </c>
      <c r="B376" s="39" t="s">
        <v>2790</v>
      </c>
      <c r="C376" s="39" t="s">
        <v>944</v>
      </c>
      <c r="D376" s="41">
        <v>53717.175388800002</v>
      </c>
      <c r="E376" s="37">
        <v>4.76559526611471E-4</v>
      </c>
      <c r="F376" s="41">
        <v>17130.2068</v>
      </c>
      <c r="G376" s="37">
        <v>2.095821203302364E-4</v>
      </c>
      <c r="H376" s="41">
        <v>53717.175388800002</v>
      </c>
      <c r="I376" s="37">
        <v>4.76559526611471E-4</v>
      </c>
      <c r="J376" s="42">
        <v>17130.2068</v>
      </c>
      <c r="K376" s="37">
        <v>2.095821203302364E-4</v>
      </c>
      <c r="L376" s="38">
        <v>0</v>
      </c>
      <c r="M376" s="37">
        <v>0</v>
      </c>
      <c r="N376" s="42">
        <v>0</v>
      </c>
      <c r="O376" s="37">
        <v>0</v>
      </c>
      <c r="Q376">
        <f>VLOOKUP(Table3[[#This Row],[Census Tract]],'Population and Diversity Data'!$B$2:$K$823,10,FALSE)</f>
        <v>3</v>
      </c>
      <c r="R376" t="str">
        <f>VLOOKUP(Table3[[#This Row],[Census Tract]],'ES Energy Burden'!$B$2:$E$914,4,FALSE)</f>
        <v>No</v>
      </c>
    </row>
    <row r="377" spans="1:18" hidden="1" x14ac:dyDescent="0.25">
      <c r="A377" s="140">
        <v>9003514102</v>
      </c>
      <c r="B377" s="39" t="s">
        <v>2790</v>
      </c>
      <c r="C377" s="39" t="s">
        <v>944</v>
      </c>
      <c r="D377" s="41">
        <v>631648.48832064006</v>
      </c>
      <c r="E377" s="37">
        <v>5.6037589914248835E-3</v>
      </c>
      <c r="F377" s="41">
        <v>943389.83539999998</v>
      </c>
      <c r="G377" s="37">
        <v>1.1542046415991004E-2</v>
      </c>
      <c r="H377" s="41">
        <v>132904.43400960002</v>
      </c>
      <c r="I377" s="37">
        <v>1.1790805026093418E-3</v>
      </c>
      <c r="J377" s="42">
        <v>734509.85600000003</v>
      </c>
      <c r="K377" s="37">
        <v>8.9864725406547125E-3</v>
      </c>
      <c r="L377" s="38">
        <v>498744.05431103997</v>
      </c>
      <c r="M377" s="37">
        <v>4.4246784888155415E-3</v>
      </c>
      <c r="N377" s="42">
        <v>208879.97940000001</v>
      </c>
      <c r="O377" s="37">
        <v>2.5555738753362924E-3</v>
      </c>
      <c r="Q377">
        <f>VLOOKUP(Table3[[#This Row],[Census Tract]],'Population and Diversity Data'!$B$2:$K$823,10,FALSE)</f>
        <v>5</v>
      </c>
      <c r="R377" t="str">
        <f>VLOOKUP(Table3[[#This Row],[Census Tract]],'ES Energy Burden'!$B$2:$E$914,4,FALSE)</f>
        <v>No</v>
      </c>
    </row>
    <row r="378" spans="1:18" hidden="1" x14ac:dyDescent="0.25">
      <c r="A378" s="140">
        <v>9003514200</v>
      </c>
      <c r="B378" s="39" t="s">
        <v>2790</v>
      </c>
      <c r="C378" s="39" t="s">
        <v>944</v>
      </c>
      <c r="D378" s="41">
        <v>43657.98804864</v>
      </c>
      <c r="E378" s="37">
        <v>3.8731802196745991E-4</v>
      </c>
      <c r="F378" s="41">
        <v>17546.2</v>
      </c>
      <c r="G378" s="37">
        <v>2.1467165240167413E-4</v>
      </c>
      <c r="H378" s="41">
        <v>43657.86648384</v>
      </c>
      <c r="I378" s="37">
        <v>3.8731694348812586E-4</v>
      </c>
      <c r="J378" s="42">
        <v>17546.2</v>
      </c>
      <c r="K378" s="37">
        <v>2.1467165240167413E-4</v>
      </c>
      <c r="L378" s="38">
        <v>0.1215648</v>
      </c>
      <c r="M378" s="37">
        <v>1.0784793340548043E-9</v>
      </c>
      <c r="N378" s="42">
        <v>0</v>
      </c>
      <c r="O378" s="37">
        <v>0</v>
      </c>
      <c r="Q378">
        <f>VLOOKUP(Table3[[#This Row],[Census Tract]],'Population and Diversity Data'!$B$2:$K$823,10,FALSE)</f>
        <v>5</v>
      </c>
      <c r="R378" t="str">
        <f>VLOOKUP(Table3[[#This Row],[Census Tract]],'ES Energy Burden'!$B$2:$E$914,4,FALSE)</f>
        <v>No</v>
      </c>
    </row>
    <row r="379" spans="1:18" hidden="1" x14ac:dyDescent="0.25">
      <c r="A379" s="140">
        <v>9003514300</v>
      </c>
      <c r="B379" s="39" t="s">
        <v>2790</v>
      </c>
      <c r="C379" s="39" t="s">
        <v>944</v>
      </c>
      <c r="D379" s="41">
        <v>59959.54349856</v>
      </c>
      <c r="E379" s="37">
        <v>5.3193957907681389E-4</v>
      </c>
      <c r="F379" s="41">
        <v>23289.680899999999</v>
      </c>
      <c r="G379" s="37">
        <v>2.8494114296603873E-4</v>
      </c>
      <c r="H379" s="41">
        <v>59959.54349856</v>
      </c>
      <c r="I379" s="37">
        <v>5.3193957907681389E-4</v>
      </c>
      <c r="J379" s="42">
        <v>23289.680899999999</v>
      </c>
      <c r="K379" s="37">
        <v>2.8494114296603873E-4</v>
      </c>
      <c r="L379" s="38">
        <v>0</v>
      </c>
      <c r="M379" s="37">
        <v>0</v>
      </c>
      <c r="N379" s="42">
        <v>0</v>
      </c>
      <c r="O379" s="37">
        <v>0</v>
      </c>
      <c r="Q379">
        <f>VLOOKUP(Table3[[#This Row],[Census Tract]],'Population and Diversity Data'!$B$2:$K$823,10,FALSE)</f>
        <v>3</v>
      </c>
      <c r="R379" t="str">
        <f>VLOOKUP(Table3[[#This Row],[Census Tract]],'ES Energy Burden'!$B$2:$E$914,4,FALSE)</f>
        <v>No</v>
      </c>
    </row>
    <row r="380" spans="1:18" hidden="1" x14ac:dyDescent="0.25">
      <c r="A380" s="140">
        <v>9003514400</v>
      </c>
      <c r="B380" s="39" t="s">
        <v>2790</v>
      </c>
      <c r="C380" s="39" t="s">
        <v>944</v>
      </c>
      <c r="D380" s="41">
        <v>56814.210017279998</v>
      </c>
      <c r="E380" s="37">
        <v>5.0403530778881658E-4</v>
      </c>
      <c r="F380" s="41">
        <v>19789.490000000002</v>
      </c>
      <c r="G380" s="37">
        <v>2.4211752507588002E-4</v>
      </c>
      <c r="H380" s="41">
        <v>56749.340724479996</v>
      </c>
      <c r="I380" s="37">
        <v>5.0345981067370139E-4</v>
      </c>
      <c r="J380" s="42">
        <v>19789.490000000002</v>
      </c>
      <c r="K380" s="37">
        <v>2.4211752507588002E-4</v>
      </c>
      <c r="L380" s="38">
        <v>64.869292800000011</v>
      </c>
      <c r="M380" s="37">
        <v>5.7549711511514953E-7</v>
      </c>
      <c r="N380" s="42">
        <v>0</v>
      </c>
      <c r="O380" s="37">
        <v>0</v>
      </c>
      <c r="Q380">
        <f>VLOOKUP(Table3[[#This Row],[Census Tract]],'Population and Diversity Data'!$B$2:$K$823,10,FALSE)</f>
        <v>4</v>
      </c>
      <c r="R380" t="str">
        <f>VLOOKUP(Table3[[#This Row],[Census Tract]],'ES Energy Burden'!$B$2:$E$914,4,FALSE)</f>
        <v>No</v>
      </c>
    </row>
    <row r="381" spans="1:18" hidden="1" x14ac:dyDescent="0.25">
      <c r="A381" s="140">
        <v>9003514500</v>
      </c>
      <c r="B381" s="39" t="s">
        <v>2790</v>
      </c>
      <c r="C381" s="39" t="s">
        <v>944</v>
      </c>
      <c r="D381" s="41">
        <v>54927.830548799997</v>
      </c>
      <c r="E381" s="37">
        <v>4.8730002526508459E-4</v>
      </c>
      <c r="F381" s="41">
        <v>25536.752199999999</v>
      </c>
      <c r="G381" s="37">
        <v>3.1243327853017097E-4</v>
      </c>
      <c r="H381" s="41">
        <v>54927.830548799997</v>
      </c>
      <c r="I381" s="37">
        <v>4.8730002526508459E-4</v>
      </c>
      <c r="J381" s="42">
        <v>25536.752199999999</v>
      </c>
      <c r="K381" s="37">
        <v>3.1243327853017097E-4</v>
      </c>
      <c r="L381" s="38">
        <v>0</v>
      </c>
      <c r="M381" s="37">
        <v>0</v>
      </c>
      <c r="N381" s="42">
        <v>0</v>
      </c>
      <c r="O381" s="37">
        <v>0</v>
      </c>
      <c r="Q381">
        <f>VLOOKUP(Table3[[#This Row],[Census Tract]],'Population and Diversity Data'!$B$2:$K$823,10,FALSE)</f>
        <v>5</v>
      </c>
      <c r="R381" t="str">
        <f>VLOOKUP(Table3[[#This Row],[Census Tract]],'ES Energy Burden'!$B$2:$E$914,4,FALSE)</f>
        <v>No</v>
      </c>
    </row>
    <row r="382" spans="1:18" hidden="1" x14ac:dyDescent="0.25">
      <c r="A382" s="140">
        <v>9003514600</v>
      </c>
      <c r="B382" s="39" t="s">
        <v>2790</v>
      </c>
      <c r="C382" s="39" t="s">
        <v>944</v>
      </c>
      <c r="D382" s="41">
        <v>65624.928019200001</v>
      </c>
      <c r="E382" s="37">
        <v>5.8220083994331656E-4</v>
      </c>
      <c r="F382" s="41">
        <v>48251.67</v>
      </c>
      <c r="G382" s="37">
        <v>5.9034239493681176E-4</v>
      </c>
      <c r="H382" s="41">
        <v>65624.928019200001</v>
      </c>
      <c r="I382" s="37">
        <v>5.8220083994331656E-4</v>
      </c>
      <c r="J382" s="42">
        <v>48251.67</v>
      </c>
      <c r="K382" s="37">
        <v>5.9034239493681176E-4</v>
      </c>
      <c r="L382" s="38">
        <v>0</v>
      </c>
      <c r="M382" s="37">
        <v>0</v>
      </c>
      <c r="N382" s="42">
        <v>0</v>
      </c>
      <c r="O382" s="37">
        <v>0</v>
      </c>
      <c r="Q382">
        <f>VLOOKUP(Table3[[#This Row],[Census Tract]],'Population and Diversity Data'!$B$2:$K$823,10,FALSE)</f>
        <v>5</v>
      </c>
      <c r="R382" t="str">
        <f>VLOOKUP(Table3[[#This Row],[Census Tract]],'ES Energy Burden'!$B$2:$E$914,4,FALSE)</f>
        <v>No</v>
      </c>
    </row>
    <row r="383" spans="1:18" hidden="1" x14ac:dyDescent="0.25">
      <c r="A383" s="140">
        <v>9003514700</v>
      </c>
      <c r="B383" s="39" t="s">
        <v>2790</v>
      </c>
      <c r="C383" s="39" t="s">
        <v>944</v>
      </c>
      <c r="D383" s="41">
        <v>61058.657744640004</v>
      </c>
      <c r="E383" s="37">
        <v>5.416905267208894E-4</v>
      </c>
      <c r="F383" s="41">
        <v>8211.23</v>
      </c>
      <c r="G383" s="37">
        <v>1.0046154223422726E-4</v>
      </c>
      <c r="H383" s="41">
        <v>61058.657744640004</v>
      </c>
      <c r="I383" s="37">
        <v>5.416905267208894E-4</v>
      </c>
      <c r="J383" s="42">
        <v>8211.23</v>
      </c>
      <c r="K383" s="37">
        <v>1.0046154223422726E-4</v>
      </c>
      <c r="L383" s="38">
        <v>0</v>
      </c>
      <c r="M383" s="37">
        <v>0</v>
      </c>
      <c r="N383" s="42">
        <v>0</v>
      </c>
      <c r="O383" s="37">
        <v>0</v>
      </c>
      <c r="Q383">
        <f>VLOOKUP(Table3[[#This Row],[Census Tract]],'Population and Diversity Data'!$B$2:$K$823,10,FALSE)</f>
        <v>5</v>
      </c>
      <c r="R383" t="str">
        <f>VLOOKUP(Table3[[#This Row],[Census Tract]],'ES Energy Burden'!$B$2:$E$914,4,FALSE)</f>
        <v>No</v>
      </c>
    </row>
    <row r="384" spans="1:18" hidden="1" x14ac:dyDescent="0.25">
      <c r="A384" s="140">
        <v>9003514800</v>
      </c>
      <c r="B384" s="39" t="s">
        <v>2790</v>
      </c>
      <c r="C384" s="39" t="s">
        <v>944</v>
      </c>
      <c r="D384" s="41">
        <v>42600.301349760004</v>
      </c>
      <c r="E384" s="37">
        <v>3.7793460467358271E-4</v>
      </c>
      <c r="F384" s="41">
        <v>8567.1447000000007</v>
      </c>
      <c r="G384" s="37">
        <v>1.0481603476041791E-4</v>
      </c>
      <c r="H384" s="41">
        <v>42600.301349760004</v>
      </c>
      <c r="I384" s="37">
        <v>3.7793460467358271E-4</v>
      </c>
      <c r="J384" s="42">
        <v>8567.1447000000007</v>
      </c>
      <c r="K384" s="37">
        <v>1.0481603476041791E-4</v>
      </c>
      <c r="L384" s="38">
        <v>0</v>
      </c>
      <c r="M384" s="37">
        <v>0</v>
      </c>
      <c r="N384" s="42">
        <v>0</v>
      </c>
      <c r="O384" s="37">
        <v>0</v>
      </c>
      <c r="Q384">
        <f>VLOOKUP(Table3[[#This Row],[Census Tract]],'Population and Diversity Data'!$B$2:$K$823,10,FALSE)</f>
        <v>5</v>
      </c>
      <c r="R384" t="str">
        <f>VLOOKUP(Table3[[#This Row],[Census Tract]],'ES Energy Burden'!$B$2:$E$914,4,FALSE)</f>
        <v>Yes</v>
      </c>
    </row>
    <row r="385" spans="1:18" hidden="1" x14ac:dyDescent="0.25">
      <c r="A385" s="140">
        <v>9003514900</v>
      </c>
      <c r="B385" s="39" t="s">
        <v>2790</v>
      </c>
      <c r="C385" s="39" t="s">
        <v>944</v>
      </c>
      <c r="D385" s="41">
        <v>46407.520434240003</v>
      </c>
      <c r="E385" s="37">
        <v>4.1171088779855584E-4</v>
      </c>
      <c r="F385" s="41">
        <v>37234.143300000003</v>
      </c>
      <c r="G385" s="37">
        <v>4.5554678893274463E-4</v>
      </c>
      <c r="H385" s="41">
        <v>46407.520434240003</v>
      </c>
      <c r="I385" s="37">
        <v>4.1171088779855584E-4</v>
      </c>
      <c r="J385" s="42">
        <v>37234.143300000003</v>
      </c>
      <c r="K385" s="37">
        <v>4.5554678893274463E-4</v>
      </c>
      <c r="L385" s="38">
        <v>0</v>
      </c>
      <c r="M385" s="37">
        <v>0</v>
      </c>
      <c r="N385" s="42">
        <v>0</v>
      </c>
      <c r="O385" s="37">
        <v>0</v>
      </c>
      <c r="Q385">
        <f>VLOOKUP(Table3[[#This Row],[Census Tract]],'Population and Diversity Data'!$B$2:$K$823,10,FALSE)</f>
        <v>3</v>
      </c>
      <c r="R385" t="str">
        <f>VLOOKUP(Table3[[#This Row],[Census Tract]],'ES Energy Burden'!$B$2:$E$914,4,FALSE)</f>
        <v>No</v>
      </c>
    </row>
    <row r="386" spans="1:18" hidden="1" x14ac:dyDescent="0.25">
      <c r="A386" s="140">
        <v>9003515000</v>
      </c>
      <c r="B386" s="39" t="s">
        <v>2790</v>
      </c>
      <c r="C386" s="39" t="s">
        <v>944</v>
      </c>
      <c r="D386" s="41">
        <v>54351.689230079995</v>
      </c>
      <c r="E386" s="37">
        <v>4.8218870598734463E-4</v>
      </c>
      <c r="F386" s="41">
        <v>14280.3079</v>
      </c>
      <c r="G386" s="37">
        <v>1.7471459881328611E-4</v>
      </c>
      <c r="H386" s="41">
        <v>54351.689230079995</v>
      </c>
      <c r="I386" s="37">
        <v>4.8218870598734463E-4</v>
      </c>
      <c r="J386" s="42">
        <v>14280.3079</v>
      </c>
      <c r="K386" s="37">
        <v>1.7471459881328611E-4</v>
      </c>
      <c r="L386" s="38">
        <v>0</v>
      </c>
      <c r="M386" s="37">
        <v>0</v>
      </c>
      <c r="N386" s="42">
        <v>0</v>
      </c>
      <c r="O386" s="37">
        <v>0</v>
      </c>
      <c r="Q386">
        <f>VLOOKUP(Table3[[#This Row],[Census Tract]],'Population and Diversity Data'!$B$2:$K$823,10,FALSE)</f>
        <v>4</v>
      </c>
      <c r="R386" t="str">
        <f>VLOOKUP(Table3[[#This Row],[Census Tract]],'ES Energy Burden'!$B$2:$E$914,4,FALSE)</f>
        <v>No</v>
      </c>
    </row>
    <row r="387" spans="1:18" hidden="1" x14ac:dyDescent="0.25">
      <c r="A387" s="140">
        <v>9003515101</v>
      </c>
      <c r="B387" s="39" t="s">
        <v>2790</v>
      </c>
      <c r="C387" s="39" t="s">
        <v>944</v>
      </c>
      <c r="D387" s="41">
        <v>38263.875379200006</v>
      </c>
      <c r="E387" s="37">
        <v>3.3946338773490058E-4</v>
      </c>
      <c r="F387" s="41">
        <v>5126.2425000000003</v>
      </c>
      <c r="G387" s="37">
        <v>6.2717793487290064E-5</v>
      </c>
      <c r="H387" s="41">
        <v>38263.875379200006</v>
      </c>
      <c r="I387" s="37">
        <v>3.3946338773490058E-4</v>
      </c>
      <c r="J387" s="42">
        <v>5126.2425000000003</v>
      </c>
      <c r="K387" s="37">
        <v>6.2717793487290064E-5</v>
      </c>
      <c r="L387" s="38">
        <v>0</v>
      </c>
      <c r="M387" s="37">
        <v>0</v>
      </c>
      <c r="N387" s="42">
        <v>0</v>
      </c>
      <c r="O387" s="37">
        <v>0</v>
      </c>
      <c r="Q387">
        <f>VLOOKUP(Table3[[#This Row],[Census Tract]],'Population and Diversity Data'!$B$2:$K$823,10,FALSE)</f>
        <v>3</v>
      </c>
      <c r="R387" t="str">
        <f>VLOOKUP(Table3[[#This Row],[Census Tract]],'ES Energy Burden'!$B$2:$E$914,4,FALSE)</f>
        <v>No</v>
      </c>
    </row>
    <row r="388" spans="1:18" hidden="1" x14ac:dyDescent="0.25">
      <c r="A388" s="140">
        <v>9003515102</v>
      </c>
      <c r="B388" s="39" t="s">
        <v>2790</v>
      </c>
      <c r="C388" s="39" t="s">
        <v>944</v>
      </c>
      <c r="D388" s="41">
        <v>77689.852358400007</v>
      </c>
      <c r="E388" s="37">
        <v>6.8923652434177743E-4</v>
      </c>
      <c r="F388" s="41">
        <v>17970.6512</v>
      </c>
      <c r="G388" s="37">
        <v>2.1986466516044087E-4</v>
      </c>
      <c r="H388" s="41">
        <v>77689.852358400007</v>
      </c>
      <c r="I388" s="37">
        <v>6.8923652434177743E-4</v>
      </c>
      <c r="J388" s="42">
        <v>17970.6512</v>
      </c>
      <c r="K388" s="37">
        <v>2.1986466516044087E-4</v>
      </c>
      <c r="L388" s="38">
        <v>0</v>
      </c>
      <c r="M388" s="37">
        <v>0</v>
      </c>
      <c r="N388" s="42">
        <v>0</v>
      </c>
      <c r="O388" s="37">
        <v>0</v>
      </c>
      <c r="Q388">
        <f>VLOOKUP(Table3[[#This Row],[Census Tract]],'Population and Diversity Data'!$B$2:$K$823,10,FALSE)</f>
        <v>5</v>
      </c>
      <c r="R388" t="str">
        <f>VLOOKUP(Table3[[#This Row],[Census Tract]],'ES Energy Burden'!$B$2:$E$914,4,FALSE)</f>
        <v>No</v>
      </c>
    </row>
    <row r="389" spans="1:18" hidden="1" x14ac:dyDescent="0.25">
      <c r="A389" s="140">
        <v>9003515200</v>
      </c>
      <c r="B389" s="39" t="s">
        <v>2790</v>
      </c>
      <c r="C389" s="39" t="s">
        <v>944</v>
      </c>
      <c r="D389" s="41">
        <v>65201.310581760001</v>
      </c>
      <c r="E389" s="37">
        <v>5.7844265787231986E-4</v>
      </c>
      <c r="F389" s="41">
        <v>11137.36</v>
      </c>
      <c r="G389" s="37">
        <v>1.3626172473768161E-4</v>
      </c>
      <c r="H389" s="41">
        <v>65201.310581760001</v>
      </c>
      <c r="I389" s="37">
        <v>5.7844265787231986E-4</v>
      </c>
      <c r="J389" s="42">
        <v>11137.36</v>
      </c>
      <c r="K389" s="37">
        <v>1.3626172473768161E-4</v>
      </c>
      <c r="L389" s="38">
        <v>0</v>
      </c>
      <c r="M389" s="37">
        <v>0</v>
      </c>
      <c r="N389" s="42">
        <v>0</v>
      </c>
      <c r="O389" s="37">
        <v>0</v>
      </c>
      <c r="Q389">
        <f>VLOOKUP(Table3[[#This Row],[Census Tract]],'Population and Diversity Data'!$B$2:$K$823,10,FALSE)</f>
        <v>4</v>
      </c>
      <c r="R389" t="str">
        <f>VLOOKUP(Table3[[#This Row],[Census Tract]],'ES Energy Burden'!$B$2:$E$914,4,FALSE)</f>
        <v>No</v>
      </c>
    </row>
    <row r="390" spans="1:18" hidden="1" x14ac:dyDescent="0.25">
      <c r="A390" s="140">
        <v>9003520100</v>
      </c>
      <c r="B390" s="39" t="s">
        <v>2790</v>
      </c>
      <c r="C390" s="39" t="s">
        <v>944</v>
      </c>
      <c r="D390" s="41">
        <v>138.59544959999999</v>
      </c>
      <c r="E390" s="37">
        <v>1.2295691531400059E-6</v>
      </c>
      <c r="F390" s="41">
        <v>0</v>
      </c>
      <c r="G390" s="37">
        <v>0</v>
      </c>
      <c r="H390" s="41">
        <v>138.59544959999999</v>
      </c>
      <c r="I390" s="37">
        <v>1.2295691531400059E-6</v>
      </c>
      <c r="J390" s="42">
        <v>0</v>
      </c>
      <c r="K390" s="37">
        <v>0</v>
      </c>
      <c r="L390" s="38">
        <v>0</v>
      </c>
      <c r="M390" s="37">
        <v>0</v>
      </c>
      <c r="N390" s="42">
        <v>0</v>
      </c>
      <c r="O390" s="37">
        <v>0</v>
      </c>
      <c r="Q390">
        <f>VLOOKUP(Table3[[#This Row],[Census Tract]],'Population and Diversity Data'!$B$2:$K$823,10,FALSE)</f>
        <v>4</v>
      </c>
      <c r="R390" t="str">
        <f>VLOOKUP(Table3[[#This Row],[Census Tract]],'ES Energy Burden'!$B$2:$E$914,4,FALSE)</f>
        <v>No</v>
      </c>
    </row>
    <row r="391" spans="1:18" hidden="1" x14ac:dyDescent="0.25">
      <c r="A391" s="140">
        <v>9013530500</v>
      </c>
      <c r="B391" s="39" t="s">
        <v>2790</v>
      </c>
      <c r="C391" s="39" t="s">
        <v>944</v>
      </c>
      <c r="D391" s="41">
        <v>26.200108799999999</v>
      </c>
      <c r="E391" s="37">
        <v>2.3243797456819258E-7</v>
      </c>
      <c r="F391" s="41">
        <v>0</v>
      </c>
      <c r="G391" s="37">
        <v>0</v>
      </c>
      <c r="H391" s="41">
        <v>26.200108799999999</v>
      </c>
      <c r="I391" s="37">
        <v>2.3243797456819258E-7</v>
      </c>
      <c r="J391" s="42">
        <v>0</v>
      </c>
      <c r="K391" s="37">
        <v>0</v>
      </c>
      <c r="L391" s="38">
        <v>0</v>
      </c>
      <c r="M391" s="37">
        <v>0</v>
      </c>
      <c r="N391" s="42">
        <v>0</v>
      </c>
      <c r="O391" s="37">
        <v>0</v>
      </c>
      <c r="Q391">
        <f>VLOOKUP(Table3[[#This Row],[Census Tract]],'Population and Diversity Data'!$B$2:$K$823,10,FALSE)</f>
        <v>4</v>
      </c>
      <c r="R391" t="str">
        <f>VLOOKUP(Table3[[#This Row],[Census Tract]],'ES Energy Burden'!$B$2:$E$914,4,FALSE)</f>
        <v>No</v>
      </c>
    </row>
    <row r="392" spans="1:18" hidden="1" x14ac:dyDescent="0.25">
      <c r="A392" s="140">
        <v>9013840100</v>
      </c>
      <c r="B392" s="39" t="s">
        <v>2791</v>
      </c>
      <c r="C392" s="39" t="s">
        <v>944</v>
      </c>
      <c r="D392" s="41">
        <v>135.83419199999997</v>
      </c>
      <c r="E392" s="37">
        <v>1.2050722654093323E-6</v>
      </c>
      <c r="F392" s="41">
        <v>0</v>
      </c>
      <c r="G392" s="37">
        <v>0</v>
      </c>
      <c r="H392" s="41">
        <v>135.83419199999997</v>
      </c>
      <c r="I392" s="37">
        <v>1.2050722654093323E-6</v>
      </c>
      <c r="J392" s="42">
        <v>0</v>
      </c>
      <c r="K392" s="37">
        <v>0</v>
      </c>
      <c r="L392" s="38">
        <v>0</v>
      </c>
      <c r="M392" s="37">
        <v>0</v>
      </c>
      <c r="N392" s="42">
        <v>0</v>
      </c>
      <c r="O392" s="37">
        <v>0</v>
      </c>
      <c r="Q392">
        <f>VLOOKUP(Table3[[#This Row],[Census Tract]],'Population and Diversity Data'!$B$2:$K$823,10,FALSE)</f>
        <v>4</v>
      </c>
      <c r="R392" t="str">
        <f>VLOOKUP(Table3[[#This Row],[Census Tract]],'ES Energy Burden'!$B$2:$E$914,4,FALSE)</f>
        <v>No</v>
      </c>
    </row>
    <row r="393" spans="1:18" hidden="1" x14ac:dyDescent="0.25">
      <c r="A393" s="140">
        <v>9013881100</v>
      </c>
      <c r="B393" s="39" t="s">
        <v>2791</v>
      </c>
      <c r="C393" s="39" t="s">
        <v>944</v>
      </c>
      <c r="D393" s="41">
        <v>88638.925294079992</v>
      </c>
      <c r="E393" s="37">
        <v>7.8637277503432689E-4</v>
      </c>
      <c r="F393" s="41">
        <v>31198.000400000001</v>
      </c>
      <c r="G393" s="37">
        <v>3.8169668062008243E-4</v>
      </c>
      <c r="H393" s="41">
        <v>88594.930414079994</v>
      </c>
      <c r="I393" s="37">
        <v>7.8598246822771654E-4</v>
      </c>
      <c r="J393" s="42">
        <v>31198.000400000001</v>
      </c>
      <c r="K393" s="37">
        <v>3.8169668062008243E-4</v>
      </c>
      <c r="L393" s="38">
        <v>43.994880000000002</v>
      </c>
      <c r="M393" s="37">
        <v>3.9030680661031012E-7</v>
      </c>
      <c r="N393" s="42">
        <v>0</v>
      </c>
      <c r="O393" s="37">
        <v>0</v>
      </c>
      <c r="Q393">
        <f>VLOOKUP(Table3[[#This Row],[Census Tract]],'Population and Diversity Data'!$B$2:$K$823,10,FALSE)</f>
        <v>4</v>
      </c>
      <c r="R393" t="str">
        <f>VLOOKUP(Table3[[#This Row],[Census Tract]],'ES Energy Burden'!$B$2:$E$914,4,FALSE)</f>
        <v>No</v>
      </c>
    </row>
    <row r="394" spans="1:18" hidden="1" x14ac:dyDescent="0.25">
      <c r="A394" s="140">
        <v>9013881200</v>
      </c>
      <c r="B394" s="39" t="s">
        <v>2791</v>
      </c>
      <c r="C394" s="39" t="s">
        <v>944</v>
      </c>
      <c r="D394" s="41">
        <v>5767.4219616000009</v>
      </c>
      <c r="E394" s="37">
        <v>5.1166500470197149E-5</v>
      </c>
      <c r="F394" s="41">
        <v>154</v>
      </c>
      <c r="G394" s="37">
        <v>1.8841364209833361E-6</v>
      </c>
      <c r="H394" s="41">
        <v>5767.4219616000009</v>
      </c>
      <c r="I394" s="37">
        <v>5.1166500470197149E-5</v>
      </c>
      <c r="J394" s="42">
        <v>154</v>
      </c>
      <c r="K394" s="37">
        <v>1.8841364209833361E-6</v>
      </c>
      <c r="L394" s="38">
        <v>0</v>
      </c>
      <c r="M394" s="37">
        <v>0</v>
      </c>
      <c r="N394" s="42">
        <v>0</v>
      </c>
      <c r="O394" s="37">
        <v>0</v>
      </c>
      <c r="Q394">
        <f>VLOOKUP(Table3[[#This Row],[Census Tract]],'Population and Diversity Data'!$B$2:$K$823,10,FALSE)</f>
        <v>5</v>
      </c>
      <c r="R394" t="str">
        <f>VLOOKUP(Table3[[#This Row],[Census Tract]],'ES Energy Burden'!$B$2:$E$914,4,FALSE)</f>
        <v>No</v>
      </c>
    </row>
    <row r="395" spans="1:18" hidden="1" x14ac:dyDescent="0.25">
      <c r="A395" s="140">
        <v>9013881300</v>
      </c>
      <c r="B395" s="39" t="s">
        <v>2791</v>
      </c>
      <c r="C395" s="39" t="s">
        <v>944</v>
      </c>
      <c r="D395" s="41">
        <v>61596.592404479998</v>
      </c>
      <c r="E395" s="37">
        <v>5.4646289021516759E-4</v>
      </c>
      <c r="F395" s="41">
        <v>16521.36</v>
      </c>
      <c r="G395" s="37">
        <v>2.0213309155959255E-4</v>
      </c>
      <c r="H395" s="41">
        <v>61596.592404479998</v>
      </c>
      <c r="I395" s="37">
        <v>5.4646289021516759E-4</v>
      </c>
      <c r="J395" s="42">
        <v>16521.36</v>
      </c>
      <c r="K395" s="37">
        <v>2.0213309155959255E-4</v>
      </c>
      <c r="L395" s="38">
        <v>0</v>
      </c>
      <c r="M395" s="37">
        <v>0</v>
      </c>
      <c r="N395" s="42">
        <v>0</v>
      </c>
      <c r="O395" s="37">
        <v>0</v>
      </c>
      <c r="Q395">
        <f>VLOOKUP(Table3[[#This Row],[Census Tract]],'Population and Diversity Data'!$B$2:$K$823,10,FALSE)</f>
        <v>4</v>
      </c>
      <c r="R395" t="str">
        <f>VLOOKUP(Table3[[#This Row],[Census Tract]],'ES Energy Burden'!$B$2:$E$914,4,FALSE)</f>
        <v>No</v>
      </c>
    </row>
    <row r="396" spans="1:18" hidden="1" x14ac:dyDescent="0.25">
      <c r="A396" s="140">
        <v>9013881500</v>
      </c>
      <c r="B396" s="39" t="s">
        <v>2791</v>
      </c>
      <c r="C396" s="39" t="s">
        <v>944</v>
      </c>
      <c r="D396" s="41">
        <v>206961.85025856001</v>
      </c>
      <c r="E396" s="37">
        <v>1.8360913557345705E-3</v>
      </c>
      <c r="F396" s="41">
        <v>189906.91070000012</v>
      </c>
      <c r="G396" s="37">
        <v>2.3234449808201313E-3</v>
      </c>
      <c r="H396" s="41">
        <v>102936.9654864</v>
      </c>
      <c r="I396" s="37">
        <v>9.132198628829649E-4</v>
      </c>
      <c r="J396" s="42">
        <v>73029.014800000106</v>
      </c>
      <c r="K396" s="37">
        <v>8.9348458813773562E-4</v>
      </c>
      <c r="L396" s="38">
        <v>104024.88477216</v>
      </c>
      <c r="M396" s="37">
        <v>9.2287149285160569E-4</v>
      </c>
      <c r="N396" s="42">
        <v>116877.8959</v>
      </c>
      <c r="O396" s="37">
        <v>1.4299603926823958E-3</v>
      </c>
      <c r="Q396">
        <f>VLOOKUP(Table3[[#This Row],[Census Tract]],'Population and Diversity Data'!$B$2:$K$823,10,FALSE)</f>
        <v>4</v>
      </c>
      <c r="R396" t="str">
        <f>VLOOKUP(Table3[[#This Row],[Census Tract]],'ES Energy Burden'!$B$2:$E$914,4,FALSE)</f>
        <v>No</v>
      </c>
    </row>
    <row r="397" spans="1:18" hidden="1" x14ac:dyDescent="0.25">
      <c r="A397" s="140">
        <v>9015815000</v>
      </c>
      <c r="B397" s="39" t="s">
        <v>2791</v>
      </c>
      <c r="C397" s="39" t="s">
        <v>944</v>
      </c>
      <c r="D397" s="41">
        <v>297.9263808</v>
      </c>
      <c r="E397" s="37">
        <v>2.643096066974503E-6</v>
      </c>
      <c r="F397" s="41">
        <v>0</v>
      </c>
      <c r="G397" s="37">
        <v>0</v>
      </c>
      <c r="H397" s="41">
        <v>297.9263808</v>
      </c>
      <c r="I397" s="37">
        <v>2.643096066974503E-6</v>
      </c>
      <c r="J397" s="42">
        <v>0</v>
      </c>
      <c r="K397" s="37">
        <v>0</v>
      </c>
      <c r="L397" s="38">
        <v>0</v>
      </c>
      <c r="M397" s="37">
        <v>0</v>
      </c>
      <c r="N397" s="42">
        <v>0</v>
      </c>
      <c r="O397" s="37">
        <v>0</v>
      </c>
      <c r="Q397">
        <f>VLOOKUP(Table3[[#This Row],[Census Tract]],'Population and Diversity Data'!$B$2:$K$823,10,FALSE)</f>
        <v>5</v>
      </c>
      <c r="R397" t="str">
        <f>VLOOKUP(Table3[[#This Row],[Census Tract]],'ES Energy Burden'!$B$2:$E$914,4,FALSE)</f>
        <v>No</v>
      </c>
    </row>
    <row r="398" spans="1:18" hidden="1" x14ac:dyDescent="0.25">
      <c r="A398" s="140">
        <v>9003524100</v>
      </c>
      <c r="B398" s="39" t="s">
        <v>2792</v>
      </c>
      <c r="C398" s="39" t="s">
        <v>944</v>
      </c>
      <c r="D398" s="41">
        <v>159114.29809535999</v>
      </c>
      <c r="E398" s="37">
        <v>1.4116050225762842E-3</v>
      </c>
      <c r="F398" s="41">
        <v>48667.315399999999</v>
      </c>
      <c r="G398" s="37">
        <v>5.9542767179625452E-4</v>
      </c>
      <c r="H398" s="41">
        <v>136171.01564351999</v>
      </c>
      <c r="I398" s="37">
        <v>1.2080604440495091E-3</v>
      </c>
      <c r="J398" s="42">
        <v>32944.274400000002</v>
      </c>
      <c r="K398" s="37">
        <v>4.0306173545395422E-4</v>
      </c>
      <c r="L398" s="38">
        <v>22943.282451840001</v>
      </c>
      <c r="M398" s="37">
        <v>2.0354457852677488E-4</v>
      </c>
      <c r="N398" s="42">
        <v>15723.040999999999</v>
      </c>
      <c r="O398" s="37">
        <v>1.9236593634230033E-4</v>
      </c>
      <c r="Q398">
        <f>VLOOKUP(Table3[[#This Row],[Census Tract]],'Population and Diversity Data'!$B$2:$K$823,10,FALSE)</f>
        <v>1</v>
      </c>
      <c r="R398" t="str">
        <f>VLOOKUP(Table3[[#This Row],[Census Tract]],'ES Energy Burden'!$B$2:$E$914,4,FALSE)</f>
        <v>No</v>
      </c>
    </row>
    <row r="399" spans="1:18" hidden="1" x14ac:dyDescent="0.25">
      <c r="A399" s="140">
        <v>9013526101</v>
      </c>
      <c r="B399" s="39" t="s">
        <v>2792</v>
      </c>
      <c r="C399" s="39" t="s">
        <v>944</v>
      </c>
      <c r="D399" s="41">
        <v>514.10911680000004</v>
      </c>
      <c r="E399" s="37">
        <v>4.5609918160352967E-6</v>
      </c>
      <c r="F399" s="41">
        <v>0</v>
      </c>
      <c r="G399" s="37">
        <v>0</v>
      </c>
      <c r="H399" s="41">
        <v>514.10911680000004</v>
      </c>
      <c r="I399" s="37">
        <v>4.5609918160352967E-6</v>
      </c>
      <c r="J399" s="42">
        <v>0</v>
      </c>
      <c r="K399" s="37">
        <v>0</v>
      </c>
      <c r="L399" s="38">
        <v>0</v>
      </c>
      <c r="M399" s="37">
        <v>0</v>
      </c>
      <c r="N399" s="42">
        <v>0</v>
      </c>
      <c r="O399" s="37">
        <v>0</v>
      </c>
      <c r="Q399">
        <f>VLOOKUP(Table3[[#This Row],[Census Tract]],'Population and Diversity Data'!$B$2:$K$823,10,FALSE)</f>
        <v>2</v>
      </c>
      <c r="R399" t="str">
        <f>VLOOKUP(Table3[[#This Row],[Census Tract]],'ES Energy Burden'!$B$2:$E$914,4,FALSE)</f>
        <v>No</v>
      </c>
    </row>
    <row r="400" spans="1:18" hidden="1" x14ac:dyDescent="0.25">
      <c r="A400" s="140">
        <v>9013526102</v>
      </c>
      <c r="B400" s="39" t="s">
        <v>2792</v>
      </c>
      <c r="C400" s="39" t="s">
        <v>944</v>
      </c>
      <c r="D400" s="41">
        <v>656.1315360000001</v>
      </c>
      <c r="E400" s="37">
        <v>5.8209638151638962E-6</v>
      </c>
      <c r="F400" s="41">
        <v>0</v>
      </c>
      <c r="G400" s="37">
        <v>0</v>
      </c>
      <c r="H400" s="41">
        <v>656.1315360000001</v>
      </c>
      <c r="I400" s="37">
        <v>5.8209638151638962E-6</v>
      </c>
      <c r="J400" s="42">
        <v>0</v>
      </c>
      <c r="K400" s="37">
        <v>0</v>
      </c>
      <c r="L400" s="38">
        <v>0</v>
      </c>
      <c r="M400" s="37">
        <v>0</v>
      </c>
      <c r="N400" s="42">
        <v>0</v>
      </c>
      <c r="O400" s="37">
        <v>0</v>
      </c>
      <c r="Q400">
        <f>VLOOKUP(Table3[[#This Row],[Census Tract]],'Population and Diversity Data'!$B$2:$K$823,10,FALSE)</f>
        <v>1</v>
      </c>
      <c r="R400" t="str">
        <f>VLOOKUP(Table3[[#This Row],[Census Tract]],'ES Energy Burden'!$B$2:$E$914,4,FALSE)</f>
        <v>No</v>
      </c>
    </row>
    <row r="401" spans="1:18" hidden="1" x14ac:dyDescent="0.25">
      <c r="A401" s="140">
        <v>9003430301</v>
      </c>
      <c r="B401" s="39" t="s">
        <v>989</v>
      </c>
      <c r="C401" s="39" t="s">
        <v>944</v>
      </c>
      <c r="D401" s="41">
        <v>2211.6110400000002</v>
      </c>
      <c r="E401" s="37">
        <v>1.9620620455982763E-5</v>
      </c>
      <c r="F401" s="41">
        <v>176.8</v>
      </c>
      <c r="G401" s="37">
        <v>2.1630864885055446E-6</v>
      </c>
      <c r="H401" s="41">
        <v>2211.6110400000002</v>
      </c>
      <c r="I401" s="37">
        <v>1.9620620455982763E-5</v>
      </c>
      <c r="J401" s="42">
        <v>176.8</v>
      </c>
      <c r="K401" s="37">
        <v>2.1630864885055446E-6</v>
      </c>
      <c r="L401" s="38">
        <v>0</v>
      </c>
      <c r="M401" s="37">
        <v>0</v>
      </c>
      <c r="N401" s="42">
        <v>0</v>
      </c>
      <c r="O401" s="37">
        <v>0</v>
      </c>
      <c r="Q401">
        <f>VLOOKUP(Table3[[#This Row],[Census Tract]],'Population and Diversity Data'!$B$2:$K$823,10,FALSE)</f>
        <v>1</v>
      </c>
      <c r="R401" t="str">
        <f>VLOOKUP(Table3[[#This Row],[Census Tract]],'ES Energy Burden'!$B$2:$E$914,4,FALSE)</f>
        <v>No</v>
      </c>
    </row>
    <row r="402" spans="1:18" x14ac:dyDescent="0.25">
      <c r="A402" s="140">
        <v>9009170100</v>
      </c>
      <c r="B402" s="39" t="s">
        <v>989</v>
      </c>
      <c r="C402" s="39" t="s">
        <v>936</v>
      </c>
      <c r="D402" s="41">
        <v>15409.842909120001</v>
      </c>
      <c r="E402" s="37">
        <v>1.3671060305710936E-4</v>
      </c>
      <c r="F402" s="41">
        <v>24.64</v>
      </c>
      <c r="G402" s="37">
        <v>3.0146182735733378E-7</v>
      </c>
      <c r="H402" s="41">
        <v>15409.842909120001</v>
      </c>
      <c r="I402" s="37">
        <v>1.3671060305710936E-4</v>
      </c>
      <c r="J402" s="42">
        <v>24.64</v>
      </c>
      <c r="K402" s="37">
        <v>3.0146182735733378E-7</v>
      </c>
      <c r="L402" s="38">
        <v>0</v>
      </c>
      <c r="M402" s="37">
        <v>0</v>
      </c>
      <c r="N402" s="42">
        <v>0</v>
      </c>
      <c r="O402" s="37">
        <v>0</v>
      </c>
      <c r="Q402">
        <f>VLOOKUP(Table3[[#This Row],[Census Tract]],'Population and Diversity Data'!$B$2:$K$823,10,FALSE)</f>
        <v>5</v>
      </c>
      <c r="R402" t="e">
        <f>VLOOKUP(Table3[[#This Row],[Census Tract]],'ES Energy Burden'!$B$2:$E$914,4,FALSE)</f>
        <v>#N/A</v>
      </c>
    </row>
    <row r="403" spans="1:18" hidden="1" x14ac:dyDescent="0.25">
      <c r="A403" s="140">
        <v>9009170200</v>
      </c>
      <c r="B403" s="39" t="s">
        <v>989</v>
      </c>
      <c r="C403" s="39" t="s">
        <v>944</v>
      </c>
      <c r="D403" s="41">
        <v>27634.187327039999</v>
      </c>
      <c r="E403" s="37">
        <v>2.4516060525424968E-4</v>
      </c>
      <c r="F403" s="41">
        <v>10720.27</v>
      </c>
      <c r="G403" s="37">
        <v>1.3115877369983785E-4</v>
      </c>
      <c r="H403" s="41">
        <v>27634.187327039999</v>
      </c>
      <c r="I403" s="37">
        <v>2.4516060525424968E-4</v>
      </c>
      <c r="J403" s="42">
        <v>10720.27</v>
      </c>
      <c r="K403" s="37">
        <v>1.3115877369983785E-4</v>
      </c>
      <c r="L403" s="38">
        <v>0</v>
      </c>
      <c r="M403" s="37">
        <v>0</v>
      </c>
      <c r="N403" s="42">
        <v>0</v>
      </c>
      <c r="O403" s="37">
        <v>0</v>
      </c>
      <c r="Q403">
        <f>VLOOKUP(Table3[[#This Row],[Census Tract]],'Population and Diversity Data'!$B$2:$K$823,10,FALSE)</f>
        <v>5</v>
      </c>
      <c r="R403" t="str">
        <f>VLOOKUP(Table3[[#This Row],[Census Tract]],'ES Energy Burden'!$B$2:$E$914,4,FALSE)</f>
        <v>No</v>
      </c>
    </row>
    <row r="404" spans="1:18" hidden="1" x14ac:dyDescent="0.25">
      <c r="A404" s="140">
        <v>9009170300</v>
      </c>
      <c r="B404" s="39" t="s">
        <v>989</v>
      </c>
      <c r="C404" s="39" t="s">
        <v>944</v>
      </c>
      <c r="D404" s="41">
        <v>26998.412106239997</v>
      </c>
      <c r="E404" s="37">
        <v>2.3952023537138117E-4</v>
      </c>
      <c r="F404" s="41">
        <v>10029.17</v>
      </c>
      <c r="G404" s="37">
        <v>1.2270340564437301E-4</v>
      </c>
      <c r="H404" s="41">
        <v>26998.412106239997</v>
      </c>
      <c r="I404" s="37">
        <v>2.3952023537138117E-4</v>
      </c>
      <c r="J404" s="42">
        <v>10029.17</v>
      </c>
      <c r="K404" s="37">
        <v>1.2270340564437301E-4</v>
      </c>
      <c r="L404" s="38">
        <v>0</v>
      </c>
      <c r="M404" s="37">
        <v>0</v>
      </c>
      <c r="N404" s="42">
        <v>0</v>
      </c>
      <c r="O404" s="37">
        <v>0</v>
      </c>
      <c r="Q404">
        <f>VLOOKUP(Table3[[#This Row],[Census Tract]],'Population and Diversity Data'!$B$2:$K$823,10,FALSE)</f>
        <v>4</v>
      </c>
      <c r="R404" t="str">
        <f>VLOOKUP(Table3[[#This Row],[Census Tract]],'ES Energy Burden'!$B$2:$E$914,4,FALSE)</f>
        <v>No</v>
      </c>
    </row>
    <row r="405" spans="1:18" hidden="1" x14ac:dyDescent="0.25">
      <c r="A405" s="140">
        <v>9009170400</v>
      </c>
      <c r="B405" s="39" t="s">
        <v>989</v>
      </c>
      <c r="C405" s="39" t="s">
        <v>944</v>
      </c>
      <c r="D405" s="41">
        <v>25467.548316479999</v>
      </c>
      <c r="E405" s="37">
        <v>2.2593896052447668E-4</v>
      </c>
      <c r="F405" s="41">
        <v>90980.7</v>
      </c>
      <c r="G405" s="37">
        <v>1.1131172108867441E-3</v>
      </c>
      <c r="H405" s="41">
        <v>25467.548316479999</v>
      </c>
      <c r="I405" s="37">
        <v>2.2593896052447668E-4</v>
      </c>
      <c r="J405" s="42">
        <v>90980.7</v>
      </c>
      <c r="K405" s="37">
        <v>1.1131172108867441E-3</v>
      </c>
      <c r="L405" s="38">
        <v>0</v>
      </c>
      <c r="M405" s="37">
        <v>0</v>
      </c>
      <c r="N405" s="42">
        <v>0</v>
      </c>
      <c r="O405" s="37">
        <v>0</v>
      </c>
      <c r="Q405">
        <f>VLOOKUP(Table3[[#This Row],[Census Tract]],'Population and Diversity Data'!$B$2:$K$823,10,FALSE)</f>
        <v>5</v>
      </c>
      <c r="R405" t="str">
        <f>VLOOKUP(Table3[[#This Row],[Census Tract]],'ES Energy Burden'!$B$2:$E$914,4,FALSE)</f>
        <v>No</v>
      </c>
    </row>
    <row r="406" spans="1:18" hidden="1" x14ac:dyDescent="0.25">
      <c r="A406" s="140">
        <v>9009170500</v>
      </c>
      <c r="B406" s="39" t="s">
        <v>989</v>
      </c>
      <c r="C406" s="39" t="s">
        <v>944</v>
      </c>
      <c r="D406" s="41">
        <v>96969.884918399999</v>
      </c>
      <c r="E406" s="37">
        <v>8.6028206281890023E-4</v>
      </c>
      <c r="F406" s="41">
        <v>50845.675799999997</v>
      </c>
      <c r="G406" s="37">
        <v>6.2207915340448713E-4</v>
      </c>
      <c r="H406" s="41">
        <v>96969.884918399999</v>
      </c>
      <c r="I406" s="37">
        <v>8.6028206281890023E-4</v>
      </c>
      <c r="J406" s="42">
        <v>50845.675799999997</v>
      </c>
      <c r="K406" s="37">
        <v>6.2207915340448713E-4</v>
      </c>
      <c r="L406" s="38">
        <v>0</v>
      </c>
      <c r="M406" s="37">
        <v>0</v>
      </c>
      <c r="N406" s="42">
        <v>0</v>
      </c>
      <c r="O406" s="37">
        <v>0</v>
      </c>
      <c r="Q406">
        <f>VLOOKUP(Table3[[#This Row],[Census Tract]],'Population and Diversity Data'!$B$2:$K$823,10,FALSE)</f>
        <v>4</v>
      </c>
      <c r="R406" t="str">
        <f>VLOOKUP(Table3[[#This Row],[Census Tract]],'ES Energy Burden'!$B$2:$E$914,4,FALSE)</f>
        <v>No</v>
      </c>
    </row>
    <row r="407" spans="1:18" hidden="1" x14ac:dyDescent="0.25">
      <c r="A407" s="140">
        <v>9009170600</v>
      </c>
      <c r="B407" s="39" t="s">
        <v>989</v>
      </c>
      <c r="C407" s="39" t="s">
        <v>944</v>
      </c>
      <c r="D407" s="41">
        <v>38795.349159359997</v>
      </c>
      <c r="E407" s="37">
        <v>3.4417843262038174E-4</v>
      </c>
      <c r="F407" s="41">
        <v>5765.8999000000003</v>
      </c>
      <c r="G407" s="37">
        <v>7.0543779229442709E-5</v>
      </c>
      <c r="H407" s="41">
        <v>38795.349159359997</v>
      </c>
      <c r="I407" s="37">
        <v>3.4417843262038174E-4</v>
      </c>
      <c r="J407" s="42">
        <v>5765.8999000000003</v>
      </c>
      <c r="K407" s="37">
        <v>7.0543779229442709E-5</v>
      </c>
      <c r="L407" s="38">
        <v>0</v>
      </c>
      <c r="M407" s="37">
        <v>0</v>
      </c>
      <c r="N407" s="42">
        <v>0</v>
      </c>
      <c r="O407" s="37">
        <v>0</v>
      </c>
      <c r="Q407">
        <f>VLOOKUP(Table3[[#This Row],[Census Tract]],'Population and Diversity Data'!$B$2:$K$823,10,FALSE)</f>
        <v>3</v>
      </c>
      <c r="R407" t="str">
        <f>VLOOKUP(Table3[[#This Row],[Census Tract]],'ES Energy Burden'!$B$2:$E$914,4,FALSE)</f>
        <v>No</v>
      </c>
    </row>
    <row r="408" spans="1:18" hidden="1" x14ac:dyDescent="0.25">
      <c r="A408" s="140">
        <v>9009170700</v>
      </c>
      <c r="B408" s="39" t="s">
        <v>989</v>
      </c>
      <c r="C408" s="39" t="s">
        <v>944</v>
      </c>
      <c r="D408" s="41">
        <v>41239.000774079999</v>
      </c>
      <c r="E408" s="37">
        <v>3.6585763388674483E-4</v>
      </c>
      <c r="F408" s="41">
        <v>16580.21</v>
      </c>
      <c r="G408" s="37">
        <v>2.02853100834754E-4</v>
      </c>
      <c r="H408" s="41">
        <v>41239.000774079999</v>
      </c>
      <c r="I408" s="37">
        <v>3.6585763388674483E-4</v>
      </c>
      <c r="J408" s="42">
        <v>16580.21</v>
      </c>
      <c r="K408" s="37">
        <v>2.02853100834754E-4</v>
      </c>
      <c r="L408" s="38">
        <v>0</v>
      </c>
      <c r="M408" s="37">
        <v>0</v>
      </c>
      <c r="N408" s="42">
        <v>0</v>
      </c>
      <c r="O408" s="37">
        <v>0</v>
      </c>
      <c r="Q408">
        <f>VLOOKUP(Table3[[#This Row],[Census Tract]],'Population and Diversity Data'!$B$2:$K$823,10,FALSE)</f>
        <v>4</v>
      </c>
      <c r="R408" t="str">
        <f>VLOOKUP(Table3[[#This Row],[Census Tract]],'ES Energy Burden'!$B$2:$E$914,4,FALSE)</f>
        <v>No</v>
      </c>
    </row>
    <row r="409" spans="1:18" hidden="1" x14ac:dyDescent="0.25">
      <c r="A409" s="140">
        <v>9009170800</v>
      </c>
      <c r="B409" s="39" t="s">
        <v>989</v>
      </c>
      <c r="C409" s="39" t="s">
        <v>944</v>
      </c>
      <c r="D409" s="41">
        <v>78850.006606080002</v>
      </c>
      <c r="E409" s="37">
        <v>6.9952899700194535E-4</v>
      </c>
      <c r="F409" s="41">
        <v>25700.38</v>
      </c>
      <c r="G409" s="37">
        <v>3.1443520773449167E-4</v>
      </c>
      <c r="H409" s="41">
        <v>78850.006606080002</v>
      </c>
      <c r="I409" s="37">
        <v>6.9952899700194535E-4</v>
      </c>
      <c r="J409" s="42">
        <v>25700.38</v>
      </c>
      <c r="K409" s="37">
        <v>3.1443520773449167E-4</v>
      </c>
      <c r="L409" s="38">
        <v>0</v>
      </c>
      <c r="M409" s="37">
        <v>0</v>
      </c>
      <c r="N409" s="42">
        <v>0</v>
      </c>
      <c r="O409" s="37">
        <v>0</v>
      </c>
      <c r="Q409">
        <f>VLOOKUP(Table3[[#This Row],[Census Tract]],'Population and Diversity Data'!$B$2:$K$823,10,FALSE)</f>
        <v>3</v>
      </c>
      <c r="R409" t="str">
        <f>VLOOKUP(Table3[[#This Row],[Census Tract]],'ES Energy Burden'!$B$2:$E$914,4,FALSE)</f>
        <v>No</v>
      </c>
    </row>
    <row r="410" spans="1:18" hidden="1" x14ac:dyDescent="0.25">
      <c r="A410" s="140">
        <v>9009170900</v>
      </c>
      <c r="B410" s="39" t="s">
        <v>989</v>
      </c>
      <c r="C410" s="39" t="s">
        <v>944</v>
      </c>
      <c r="D410" s="41">
        <v>25729.242598079996</v>
      </c>
      <c r="E410" s="37">
        <v>2.2826061839374405E-4</v>
      </c>
      <c r="F410" s="41">
        <v>4202.71</v>
      </c>
      <c r="G410" s="37">
        <v>5.1418694661239462E-5</v>
      </c>
      <c r="H410" s="41">
        <v>25729.242598079996</v>
      </c>
      <c r="I410" s="37">
        <v>2.2826061839374405E-4</v>
      </c>
      <c r="J410" s="42">
        <v>4202.71</v>
      </c>
      <c r="K410" s="37">
        <v>5.1418694661239462E-5</v>
      </c>
      <c r="L410" s="38">
        <v>0</v>
      </c>
      <c r="M410" s="37">
        <v>0</v>
      </c>
      <c r="N410" s="42">
        <v>0</v>
      </c>
      <c r="O410" s="37">
        <v>0</v>
      </c>
      <c r="Q410">
        <f>VLOOKUP(Table3[[#This Row],[Census Tract]],'Population and Diversity Data'!$B$2:$K$823,10,FALSE)</f>
        <v>4</v>
      </c>
      <c r="R410" t="str">
        <f>VLOOKUP(Table3[[#This Row],[Census Tract]],'ES Energy Burden'!$B$2:$E$914,4,FALSE)</f>
        <v>No</v>
      </c>
    </row>
    <row r="411" spans="1:18" hidden="1" x14ac:dyDescent="0.25">
      <c r="A411" s="140">
        <v>9009171000</v>
      </c>
      <c r="B411" s="39" t="s">
        <v>989</v>
      </c>
      <c r="C411" s="39" t="s">
        <v>944</v>
      </c>
      <c r="D411" s="41">
        <v>21095.331353280002</v>
      </c>
      <c r="E411" s="37">
        <v>1.8715021872738532E-4</v>
      </c>
      <c r="F411" s="41">
        <v>11921.13</v>
      </c>
      <c r="G411" s="37">
        <v>1.4585087800179919E-4</v>
      </c>
      <c r="H411" s="41">
        <v>21095.331353280002</v>
      </c>
      <c r="I411" s="37">
        <v>1.8715021872738532E-4</v>
      </c>
      <c r="J411" s="42">
        <v>11921.13</v>
      </c>
      <c r="K411" s="37">
        <v>1.4585087800179919E-4</v>
      </c>
      <c r="L411" s="38">
        <v>0</v>
      </c>
      <c r="M411" s="37">
        <v>0</v>
      </c>
      <c r="N411" s="42">
        <v>0</v>
      </c>
      <c r="O411" s="37">
        <v>0</v>
      </c>
      <c r="Q411">
        <f>VLOOKUP(Table3[[#This Row],[Census Tract]],'Population and Diversity Data'!$B$2:$K$823,10,FALSE)</f>
        <v>5</v>
      </c>
      <c r="R411" t="str">
        <f>VLOOKUP(Table3[[#This Row],[Census Tract]],'ES Energy Burden'!$B$2:$E$914,4,FALSE)</f>
        <v>No</v>
      </c>
    </row>
    <row r="412" spans="1:18" hidden="1" x14ac:dyDescent="0.25">
      <c r="A412" s="140">
        <v>9009171100</v>
      </c>
      <c r="B412" s="39" t="s">
        <v>989</v>
      </c>
      <c r="C412" s="39" t="s">
        <v>944</v>
      </c>
      <c r="D412" s="41">
        <v>86641.140948479995</v>
      </c>
      <c r="E412" s="37">
        <v>7.6864914837078782E-4</v>
      </c>
      <c r="F412" s="41">
        <v>71986.295199999993</v>
      </c>
      <c r="G412" s="37">
        <v>8.8072727661024609E-4</v>
      </c>
      <c r="H412" s="41">
        <v>86641.140948479995</v>
      </c>
      <c r="I412" s="37">
        <v>7.6864914837078782E-4</v>
      </c>
      <c r="J412" s="42">
        <v>71986.295199999993</v>
      </c>
      <c r="K412" s="37">
        <v>8.8072727661024609E-4</v>
      </c>
      <c r="L412" s="38">
        <v>0</v>
      </c>
      <c r="M412" s="37">
        <v>0</v>
      </c>
      <c r="N412" s="42">
        <v>0</v>
      </c>
      <c r="O412" s="37">
        <v>0</v>
      </c>
      <c r="Q412">
        <f>VLOOKUP(Table3[[#This Row],[Census Tract]],'Population and Diversity Data'!$B$2:$K$823,10,FALSE)</f>
        <v>3</v>
      </c>
      <c r="R412" t="str">
        <f>VLOOKUP(Table3[[#This Row],[Census Tract]],'ES Energy Burden'!$B$2:$E$914,4,FALSE)</f>
        <v>No</v>
      </c>
    </row>
    <row r="413" spans="1:18" hidden="1" x14ac:dyDescent="0.25">
      <c r="A413" s="140">
        <v>9009171200</v>
      </c>
      <c r="B413" s="39" t="s">
        <v>989</v>
      </c>
      <c r="C413" s="39" t="s">
        <v>944</v>
      </c>
      <c r="D413" s="41">
        <v>506628.12262752</v>
      </c>
      <c r="E413" s="37">
        <v>4.4946231170928056E-3</v>
      </c>
      <c r="F413" s="41">
        <v>578343.46900000004</v>
      </c>
      <c r="G413" s="37">
        <v>7.0758311284464092E-3</v>
      </c>
      <c r="H413" s="41">
        <v>174906.90572255998</v>
      </c>
      <c r="I413" s="37">
        <v>1.5517113770207572E-3</v>
      </c>
      <c r="J413" s="42">
        <v>483872.49900000001</v>
      </c>
      <c r="K413" s="37">
        <v>5.9200116784293693E-3</v>
      </c>
      <c r="L413" s="38">
        <v>331721.21690495999</v>
      </c>
      <c r="M413" s="37">
        <v>2.9429117400720482E-3</v>
      </c>
      <c r="N413" s="42">
        <v>94470.97</v>
      </c>
      <c r="O413" s="37">
        <v>1.1558194500170397E-3</v>
      </c>
      <c r="Q413">
        <f>VLOOKUP(Table3[[#This Row],[Census Tract]],'Population and Diversity Data'!$B$2:$K$823,10,FALSE)</f>
        <v>3</v>
      </c>
      <c r="R413" t="str">
        <f>VLOOKUP(Table3[[#This Row],[Census Tract]],'ES Energy Burden'!$B$2:$E$914,4,FALSE)</f>
        <v>No</v>
      </c>
    </row>
    <row r="414" spans="1:18" hidden="1" x14ac:dyDescent="0.25">
      <c r="A414" s="140">
        <v>9009171300</v>
      </c>
      <c r="B414" s="39" t="s">
        <v>989</v>
      </c>
      <c r="C414" s="39" t="s">
        <v>944</v>
      </c>
      <c r="D414" s="41">
        <v>72013.899225600006</v>
      </c>
      <c r="E414" s="37">
        <v>6.3888150253621837E-4</v>
      </c>
      <c r="F414" s="41">
        <v>39596.46</v>
      </c>
      <c r="G414" s="37">
        <v>4.8444891187019367E-4</v>
      </c>
      <c r="H414" s="41">
        <v>72013.899225600006</v>
      </c>
      <c r="I414" s="37">
        <v>6.3888150253621837E-4</v>
      </c>
      <c r="J414" s="42">
        <v>39596.46</v>
      </c>
      <c r="K414" s="37">
        <v>4.8444891187019367E-4</v>
      </c>
      <c r="L414" s="38">
        <v>0</v>
      </c>
      <c r="M414" s="37">
        <v>0</v>
      </c>
      <c r="N414" s="42">
        <v>0</v>
      </c>
      <c r="O414" s="37">
        <v>0</v>
      </c>
      <c r="Q414">
        <f>VLOOKUP(Table3[[#This Row],[Census Tract]],'Population and Diversity Data'!$B$2:$K$823,10,FALSE)</f>
        <v>2</v>
      </c>
      <c r="R414" t="str">
        <f>VLOOKUP(Table3[[#This Row],[Census Tract]],'ES Energy Burden'!$B$2:$E$914,4,FALSE)</f>
        <v>No</v>
      </c>
    </row>
    <row r="415" spans="1:18" hidden="1" x14ac:dyDescent="0.25">
      <c r="A415" s="140">
        <v>9009171400</v>
      </c>
      <c r="B415" s="39" t="s">
        <v>989</v>
      </c>
      <c r="C415" s="39" t="s">
        <v>944</v>
      </c>
      <c r="D415" s="41">
        <v>25513.065071999998</v>
      </c>
      <c r="E415" s="37">
        <v>2.2634276886522616E-4</v>
      </c>
      <c r="F415" s="41">
        <v>677.99</v>
      </c>
      <c r="G415" s="37">
        <v>8.2949717666395595E-6</v>
      </c>
      <c r="H415" s="41">
        <v>25513.065071999998</v>
      </c>
      <c r="I415" s="37">
        <v>2.2634276886522616E-4</v>
      </c>
      <c r="J415" s="42">
        <v>677.99</v>
      </c>
      <c r="K415" s="37">
        <v>8.2949717666395595E-6</v>
      </c>
      <c r="L415" s="38">
        <v>0</v>
      </c>
      <c r="M415" s="37">
        <v>0</v>
      </c>
      <c r="N415" s="42">
        <v>0</v>
      </c>
      <c r="O415" s="37">
        <v>0</v>
      </c>
      <c r="Q415">
        <f>VLOOKUP(Table3[[#This Row],[Census Tract]],'Population and Diversity Data'!$B$2:$K$823,10,FALSE)</f>
        <v>5</v>
      </c>
      <c r="R415" t="str">
        <f>VLOOKUP(Table3[[#This Row],[Census Tract]],'ES Energy Burden'!$B$2:$E$914,4,FALSE)</f>
        <v>No</v>
      </c>
    </row>
    <row r="416" spans="1:18" hidden="1" x14ac:dyDescent="0.25">
      <c r="A416" s="140">
        <v>9009171500</v>
      </c>
      <c r="B416" s="39" t="s">
        <v>989</v>
      </c>
      <c r="C416" s="39" t="s">
        <v>944</v>
      </c>
      <c r="D416" s="41">
        <v>39338.779705920009</v>
      </c>
      <c r="E416" s="37">
        <v>3.4899955365179114E-4</v>
      </c>
      <c r="F416" s="41">
        <v>134145.59239999999</v>
      </c>
      <c r="G416" s="37">
        <v>1.6412246516573079E-3</v>
      </c>
      <c r="H416" s="41">
        <v>39338.779705920009</v>
      </c>
      <c r="I416" s="37">
        <v>3.4899955365179114E-4</v>
      </c>
      <c r="J416" s="42">
        <v>134145.59239999999</v>
      </c>
      <c r="K416" s="37">
        <v>1.6412246516573079E-3</v>
      </c>
      <c r="L416" s="38">
        <v>0</v>
      </c>
      <c r="M416" s="37">
        <v>0</v>
      </c>
      <c r="N416" s="42">
        <v>0</v>
      </c>
      <c r="O416" s="37">
        <v>0</v>
      </c>
      <c r="Q416">
        <f>VLOOKUP(Table3[[#This Row],[Census Tract]],'Population and Diversity Data'!$B$2:$K$823,10,FALSE)</f>
        <v>5</v>
      </c>
      <c r="R416" t="str">
        <f>VLOOKUP(Table3[[#This Row],[Census Tract]],'ES Energy Burden'!$B$2:$E$914,4,FALSE)</f>
        <v>No</v>
      </c>
    </row>
    <row r="417" spans="1:18" hidden="1" x14ac:dyDescent="0.25">
      <c r="A417" s="140">
        <v>9009171600</v>
      </c>
      <c r="B417" s="39" t="s">
        <v>989</v>
      </c>
      <c r="C417" s="39" t="s">
        <v>944</v>
      </c>
      <c r="D417" s="41">
        <v>74736.719772479992</v>
      </c>
      <c r="E417" s="37">
        <v>6.6303739050831113E-4</v>
      </c>
      <c r="F417" s="41">
        <v>22467.59</v>
      </c>
      <c r="G417" s="37">
        <v>2.7488314682286362E-4</v>
      </c>
      <c r="H417" s="41">
        <v>74736.719772479992</v>
      </c>
      <c r="I417" s="37">
        <v>6.6303739050831113E-4</v>
      </c>
      <c r="J417" s="42">
        <v>22467.59</v>
      </c>
      <c r="K417" s="37">
        <v>2.7488314682286362E-4</v>
      </c>
      <c r="L417" s="38">
        <v>0</v>
      </c>
      <c r="M417" s="37">
        <v>0</v>
      </c>
      <c r="N417" s="42">
        <v>0</v>
      </c>
      <c r="O417" s="37">
        <v>0</v>
      </c>
      <c r="Q417">
        <f>VLOOKUP(Table3[[#This Row],[Census Tract]],'Population and Diversity Data'!$B$2:$K$823,10,FALSE)</f>
        <v>3</v>
      </c>
      <c r="R417" t="str">
        <f>VLOOKUP(Table3[[#This Row],[Census Tract]],'ES Energy Burden'!$B$2:$E$914,4,FALSE)</f>
        <v>No</v>
      </c>
    </row>
    <row r="418" spans="1:18" hidden="1" x14ac:dyDescent="0.25">
      <c r="A418" s="140">
        <v>9009171700</v>
      </c>
      <c r="B418" s="39" t="s">
        <v>989</v>
      </c>
      <c r="C418" s="39" t="s">
        <v>944</v>
      </c>
      <c r="D418" s="41">
        <v>71849.104246079994</v>
      </c>
      <c r="E418" s="37">
        <v>6.3741950054412597E-4</v>
      </c>
      <c r="F418" s="41">
        <v>40708.639999999999</v>
      </c>
      <c r="G418" s="37">
        <v>4.9805604722531868E-4</v>
      </c>
      <c r="H418" s="41">
        <v>71849.104246079994</v>
      </c>
      <c r="I418" s="37">
        <v>6.3741950054412597E-4</v>
      </c>
      <c r="J418" s="42">
        <v>40708.639999999999</v>
      </c>
      <c r="K418" s="37">
        <v>4.9805604722531868E-4</v>
      </c>
      <c r="L418" s="38">
        <v>0</v>
      </c>
      <c r="M418" s="37">
        <v>0</v>
      </c>
      <c r="N418" s="42">
        <v>0</v>
      </c>
      <c r="O418" s="37">
        <v>0</v>
      </c>
      <c r="Q418">
        <f>VLOOKUP(Table3[[#This Row],[Census Tract]],'Population and Diversity Data'!$B$2:$K$823,10,FALSE)</f>
        <v>2</v>
      </c>
      <c r="R418" t="str">
        <f>VLOOKUP(Table3[[#This Row],[Census Tract]],'ES Energy Burden'!$B$2:$E$914,4,FALSE)</f>
        <v>No</v>
      </c>
    </row>
    <row r="419" spans="1:18" hidden="1" x14ac:dyDescent="0.25">
      <c r="A419" s="140">
        <v>9009175400</v>
      </c>
      <c r="B419" s="39" t="s">
        <v>989</v>
      </c>
      <c r="C419" s="39" t="s">
        <v>944</v>
      </c>
      <c r="D419" s="41">
        <v>95.069462399999992</v>
      </c>
      <c r="E419" s="37">
        <v>8.4342219538962138E-7</v>
      </c>
      <c r="F419" s="41">
        <v>0</v>
      </c>
      <c r="G419" s="37">
        <v>0</v>
      </c>
      <c r="H419" s="41">
        <v>95.069462399999992</v>
      </c>
      <c r="I419" s="37">
        <v>8.4342219538962138E-7</v>
      </c>
      <c r="J419" s="42">
        <v>0</v>
      </c>
      <c r="K419" s="37">
        <v>0</v>
      </c>
      <c r="L419" s="38">
        <v>0</v>
      </c>
      <c r="M419" s="37">
        <v>0</v>
      </c>
      <c r="N419" s="42">
        <v>0</v>
      </c>
      <c r="O419" s="37">
        <v>0</v>
      </c>
      <c r="Q419">
        <f>VLOOKUP(Table3[[#This Row],[Census Tract]],'Population and Diversity Data'!$B$2:$K$823,10,FALSE)</f>
        <v>4</v>
      </c>
      <c r="R419" t="str">
        <f>VLOOKUP(Table3[[#This Row],[Census Tract]],'ES Energy Burden'!$B$2:$E$914,4,FALSE)</f>
        <v>No</v>
      </c>
    </row>
    <row r="420" spans="1:18" hidden="1" x14ac:dyDescent="0.25">
      <c r="A420" s="140">
        <v>9009175700</v>
      </c>
      <c r="B420" s="39" t="s">
        <v>989</v>
      </c>
      <c r="C420" s="39" t="s">
        <v>944</v>
      </c>
      <c r="D420" s="41">
        <v>292.10284799999999</v>
      </c>
      <c r="E420" s="37">
        <v>2.5914317712574011E-6</v>
      </c>
      <c r="F420" s="41">
        <v>264.70999999999998</v>
      </c>
      <c r="G420" s="37">
        <v>3.2386347532370057E-6</v>
      </c>
      <c r="H420" s="41">
        <v>292.10284799999999</v>
      </c>
      <c r="I420" s="37">
        <v>2.5914317712574011E-6</v>
      </c>
      <c r="J420" s="42">
        <v>264.70999999999998</v>
      </c>
      <c r="K420" s="37">
        <v>3.2386347532370057E-6</v>
      </c>
      <c r="L420" s="38">
        <v>0</v>
      </c>
      <c r="M420" s="37">
        <v>0</v>
      </c>
      <c r="N420" s="42">
        <v>0</v>
      </c>
      <c r="O420" s="37">
        <v>0</v>
      </c>
      <c r="Q420">
        <f>VLOOKUP(Table3[[#This Row],[Census Tract]],'Population and Diversity Data'!$B$2:$K$823,10,FALSE)</f>
        <v>2</v>
      </c>
      <c r="R420" t="str">
        <f>VLOOKUP(Table3[[#This Row],[Census Tract]],'ES Energy Burden'!$B$2:$E$914,4,FALSE)</f>
        <v>No</v>
      </c>
    </row>
    <row r="421" spans="1:18" hidden="1" x14ac:dyDescent="0.25">
      <c r="A421" s="140">
        <v>9009343101</v>
      </c>
      <c r="B421" s="39" t="s">
        <v>989</v>
      </c>
      <c r="C421" s="39" t="s">
        <v>944</v>
      </c>
      <c r="D421" s="41">
        <v>718.03117440000005</v>
      </c>
      <c r="E421" s="37">
        <v>6.3701152208328485E-6</v>
      </c>
      <c r="F421" s="41">
        <v>0</v>
      </c>
      <c r="G421" s="37">
        <v>0</v>
      </c>
      <c r="H421" s="41">
        <v>718.03117440000005</v>
      </c>
      <c r="I421" s="37">
        <v>6.3701152208328485E-6</v>
      </c>
      <c r="J421" s="42">
        <v>0</v>
      </c>
      <c r="K421" s="37">
        <v>0</v>
      </c>
      <c r="L421" s="38">
        <v>0</v>
      </c>
      <c r="M421" s="37">
        <v>0</v>
      </c>
      <c r="N421" s="42">
        <v>0</v>
      </c>
      <c r="O421" s="37">
        <v>0</v>
      </c>
      <c r="Q421">
        <f>VLOOKUP(Table3[[#This Row],[Census Tract]],'Population and Diversity Data'!$B$2:$K$823,10,FALSE)</f>
        <v>4</v>
      </c>
      <c r="R421" t="str">
        <f>VLOOKUP(Table3[[#This Row],[Census Tract]],'ES Energy Burden'!$B$2:$E$914,4,FALSE)</f>
        <v>No</v>
      </c>
    </row>
    <row r="422" spans="1:18" hidden="1" x14ac:dyDescent="0.25">
      <c r="A422" s="140">
        <v>9009344100</v>
      </c>
      <c r="B422" s="39" t="s">
        <v>2793</v>
      </c>
      <c r="C422" s="39" t="s">
        <v>944</v>
      </c>
      <c r="D422" s="41">
        <v>166541.10562656002</v>
      </c>
      <c r="E422" s="37">
        <v>1.477492997059044E-3</v>
      </c>
      <c r="F422" s="41">
        <v>51741.262999999999</v>
      </c>
      <c r="G422" s="37">
        <v>6.3303635120764621E-4</v>
      </c>
      <c r="H422" s="41">
        <v>107042.58100224001</v>
      </c>
      <c r="I422" s="37">
        <v>9.4964341219500427E-4</v>
      </c>
      <c r="J422" s="42">
        <v>48404.012999999999</v>
      </c>
      <c r="K422" s="37">
        <v>5.9220625853929139E-4</v>
      </c>
      <c r="L422" s="38">
        <v>59498.524624320002</v>
      </c>
      <c r="M422" s="37">
        <v>5.2784958486403963E-4</v>
      </c>
      <c r="N422" s="42">
        <v>3337.25</v>
      </c>
      <c r="O422" s="37">
        <v>4.0830092668354795E-5</v>
      </c>
      <c r="Q422">
        <f>VLOOKUP(Table3[[#This Row],[Census Tract]],'Population and Diversity Data'!$B$2:$K$823,10,FALSE)</f>
        <v>2</v>
      </c>
      <c r="R422" t="str">
        <f>VLOOKUP(Table3[[#This Row],[Census Tract]],'ES Energy Burden'!$B$2:$E$914,4,FALSE)</f>
        <v>No</v>
      </c>
    </row>
    <row r="423" spans="1:18" hidden="1" x14ac:dyDescent="0.25">
      <c r="A423" s="140">
        <v>9009344200</v>
      </c>
      <c r="B423" s="39" t="s">
        <v>2793</v>
      </c>
      <c r="C423" s="39" t="s">
        <v>944</v>
      </c>
      <c r="D423" s="41">
        <v>66473.724133440017</v>
      </c>
      <c r="E423" s="37">
        <v>5.8973105484132877E-4</v>
      </c>
      <c r="F423" s="41">
        <v>18638.996200000001</v>
      </c>
      <c r="G423" s="37">
        <v>2.2804163370772731E-4</v>
      </c>
      <c r="H423" s="41">
        <v>66473.724133440017</v>
      </c>
      <c r="I423" s="37">
        <v>5.8973105484132877E-4</v>
      </c>
      <c r="J423" s="42">
        <v>18638.996200000001</v>
      </c>
      <c r="K423" s="37">
        <v>2.2804163370772731E-4</v>
      </c>
      <c r="L423" s="38">
        <v>0</v>
      </c>
      <c r="M423" s="37">
        <v>0</v>
      </c>
      <c r="N423" s="42">
        <v>0</v>
      </c>
      <c r="O423" s="37">
        <v>0</v>
      </c>
      <c r="Q423">
        <f>VLOOKUP(Table3[[#This Row],[Census Tract]],'Population and Diversity Data'!$B$2:$K$823,10,FALSE)</f>
        <v>3</v>
      </c>
      <c r="R423" t="str">
        <f>VLOOKUP(Table3[[#This Row],[Census Tract]],'ES Energy Burden'!$B$2:$E$914,4,FALSE)</f>
        <v>No</v>
      </c>
    </row>
    <row r="424" spans="1:18" hidden="1" x14ac:dyDescent="0.25">
      <c r="A424" s="140">
        <v>9009345400</v>
      </c>
      <c r="B424" s="39" t="s">
        <v>2793</v>
      </c>
      <c r="C424" s="39" t="s">
        <v>944</v>
      </c>
      <c r="D424" s="41">
        <v>381.09985920000003</v>
      </c>
      <c r="E424" s="37">
        <v>3.3809813561030471E-6</v>
      </c>
      <c r="F424" s="41">
        <v>0</v>
      </c>
      <c r="G424" s="37">
        <v>0</v>
      </c>
      <c r="H424" s="41">
        <v>381.09985920000003</v>
      </c>
      <c r="I424" s="37">
        <v>3.3809813561030471E-6</v>
      </c>
      <c r="J424" s="42">
        <v>0</v>
      </c>
      <c r="K424" s="37">
        <v>0</v>
      </c>
      <c r="L424" s="38">
        <v>0</v>
      </c>
      <c r="M424" s="37">
        <v>0</v>
      </c>
      <c r="N424" s="42">
        <v>0</v>
      </c>
      <c r="O424" s="37">
        <v>0</v>
      </c>
      <c r="Q424">
        <f>VLOOKUP(Table3[[#This Row],[Census Tract]],'Population and Diversity Data'!$B$2:$K$823,10,FALSE)</f>
        <v>4</v>
      </c>
      <c r="R424" t="str">
        <f>VLOOKUP(Table3[[#This Row],[Census Tract]],'ES Energy Burden'!$B$2:$E$914,4,FALSE)</f>
        <v>No</v>
      </c>
    </row>
    <row r="425" spans="1:18" hidden="1" x14ac:dyDescent="0.25">
      <c r="A425" s="140">
        <v>9007580100</v>
      </c>
      <c r="B425" s="39" t="s">
        <v>2794</v>
      </c>
      <c r="C425" s="39" t="s">
        <v>944</v>
      </c>
      <c r="D425" s="41">
        <v>124991.71460640003</v>
      </c>
      <c r="E425" s="37">
        <v>1.1088816921598888E-3</v>
      </c>
      <c r="F425" s="41">
        <v>131187.26260000002</v>
      </c>
      <c r="G425" s="37">
        <v>1.6050305158036694E-3</v>
      </c>
      <c r="H425" s="41">
        <v>98224.217153280013</v>
      </c>
      <c r="I425" s="37">
        <v>8.714100488260081E-4</v>
      </c>
      <c r="J425" s="42">
        <v>53267.192600000002</v>
      </c>
      <c r="K425" s="37">
        <v>6.5170556896879258E-4</v>
      </c>
      <c r="L425" s="38">
        <v>26767.497453120006</v>
      </c>
      <c r="M425" s="37">
        <v>2.3747164333388064E-4</v>
      </c>
      <c r="N425" s="42">
        <v>77920.070000000007</v>
      </c>
      <c r="O425" s="37">
        <v>9.5332494683487686E-4</v>
      </c>
      <c r="Q425">
        <f>VLOOKUP(Table3[[#This Row],[Census Tract]],'Population and Diversity Data'!$B$2:$K$823,10,FALSE)</f>
        <v>1</v>
      </c>
      <c r="R425" t="str">
        <f>VLOOKUP(Table3[[#This Row],[Census Tract]],'ES Energy Burden'!$B$2:$E$914,4,FALSE)</f>
        <v>No</v>
      </c>
    </row>
    <row r="426" spans="1:18" hidden="1" x14ac:dyDescent="0.25">
      <c r="A426" s="140">
        <v>9007585100</v>
      </c>
      <c r="B426" s="39" t="s">
        <v>2794</v>
      </c>
      <c r="C426" s="39" t="s">
        <v>944</v>
      </c>
      <c r="D426" s="41">
        <v>395.59501440000003</v>
      </c>
      <c r="E426" s="37">
        <v>3.5095771776493913E-6</v>
      </c>
      <c r="F426" s="41">
        <v>0</v>
      </c>
      <c r="G426" s="37">
        <v>0</v>
      </c>
      <c r="H426" s="41">
        <v>395.59501440000003</v>
      </c>
      <c r="I426" s="37">
        <v>3.5095771776493913E-6</v>
      </c>
      <c r="J426" s="42">
        <v>0</v>
      </c>
      <c r="K426" s="37">
        <v>0</v>
      </c>
      <c r="L426" s="38">
        <v>0</v>
      </c>
      <c r="M426" s="37">
        <v>0</v>
      </c>
      <c r="N426" s="42">
        <v>0</v>
      </c>
      <c r="O426" s="37">
        <v>0</v>
      </c>
      <c r="Q426">
        <f>VLOOKUP(Table3[[#This Row],[Census Tract]],'Population and Diversity Data'!$B$2:$K$823,10,FALSE)</f>
        <v>1</v>
      </c>
      <c r="R426" t="str">
        <f>VLOOKUP(Table3[[#This Row],[Census Tract]],'ES Energy Burden'!$B$2:$E$914,4,FALSE)</f>
        <v>No</v>
      </c>
    </row>
    <row r="427" spans="1:18" hidden="1" x14ac:dyDescent="0.25">
      <c r="A427" s="140">
        <v>9007541100</v>
      </c>
      <c r="B427" s="39" t="s">
        <v>2795</v>
      </c>
      <c r="C427" s="39" t="s">
        <v>944</v>
      </c>
      <c r="D427" s="41">
        <v>32800.354997759998</v>
      </c>
      <c r="E427" s="37">
        <v>2.9099299315875463E-4</v>
      </c>
      <c r="F427" s="41">
        <v>3801.79</v>
      </c>
      <c r="G427" s="37">
        <v>4.6513577947598945E-5</v>
      </c>
      <c r="H427" s="41">
        <v>32734.81420416</v>
      </c>
      <c r="I427" s="37">
        <v>2.9041153872922282E-4</v>
      </c>
      <c r="J427" s="42">
        <v>3801.79</v>
      </c>
      <c r="K427" s="37">
        <v>4.6513577947598945E-5</v>
      </c>
      <c r="L427" s="38">
        <v>65.540793600000001</v>
      </c>
      <c r="M427" s="37">
        <v>5.8145442953183307E-7</v>
      </c>
      <c r="N427" s="42">
        <v>0</v>
      </c>
      <c r="O427" s="37">
        <v>0</v>
      </c>
      <c r="Q427">
        <f>VLOOKUP(Table3[[#This Row],[Census Tract]],'Population and Diversity Data'!$B$2:$K$823,10,FALSE)</f>
        <v>4</v>
      </c>
      <c r="R427" t="str">
        <f>VLOOKUP(Table3[[#This Row],[Census Tract]],'ES Energy Burden'!$B$2:$E$914,4,FALSE)</f>
        <v>Yes</v>
      </c>
    </row>
    <row r="428" spans="1:18" hidden="1" x14ac:dyDescent="0.25">
      <c r="A428" s="140">
        <v>9007541200</v>
      </c>
      <c r="B428" s="39" t="s">
        <v>2795</v>
      </c>
      <c r="C428" s="39" t="s">
        <v>944</v>
      </c>
      <c r="D428" s="41">
        <v>93768.011069760003</v>
      </c>
      <c r="E428" s="37">
        <v>8.3187618565701824E-4</v>
      </c>
      <c r="F428" s="41">
        <v>34895.177799999998</v>
      </c>
      <c r="G428" s="37">
        <v>4.2693035980304652E-4</v>
      </c>
      <c r="H428" s="41">
        <v>93768.011069760003</v>
      </c>
      <c r="I428" s="37">
        <v>8.3187618565701824E-4</v>
      </c>
      <c r="J428" s="42">
        <v>34895.177799999998</v>
      </c>
      <c r="K428" s="37">
        <v>4.2693035980304652E-4</v>
      </c>
      <c r="L428" s="38">
        <v>0</v>
      </c>
      <c r="M428" s="37">
        <v>0</v>
      </c>
      <c r="N428" s="42">
        <v>0</v>
      </c>
      <c r="O428" s="37">
        <v>0</v>
      </c>
      <c r="Q428">
        <f>VLOOKUP(Table3[[#This Row],[Census Tract]],'Population and Diversity Data'!$B$2:$K$823,10,FALSE)</f>
        <v>4</v>
      </c>
      <c r="R428" t="str">
        <f>VLOOKUP(Table3[[#This Row],[Census Tract]],'ES Energy Burden'!$B$2:$E$914,4,FALSE)</f>
        <v>No</v>
      </c>
    </row>
    <row r="429" spans="1:18" hidden="1" x14ac:dyDescent="0.25">
      <c r="A429" s="140">
        <v>9007541300</v>
      </c>
      <c r="B429" s="39" t="s">
        <v>2795</v>
      </c>
      <c r="C429" s="39" t="s">
        <v>944</v>
      </c>
      <c r="D429" s="41">
        <v>500137.82079263998</v>
      </c>
      <c r="E429" s="37">
        <v>4.4370434854831943E-3</v>
      </c>
      <c r="F429" s="41">
        <v>452025.68660000002</v>
      </c>
      <c r="G429" s="37">
        <v>5.5303770087211639E-3</v>
      </c>
      <c r="H429" s="41">
        <v>160261.96821695997</v>
      </c>
      <c r="I429" s="37">
        <v>1.4217867405444601E-3</v>
      </c>
      <c r="J429" s="42">
        <v>356256.52659999998</v>
      </c>
      <c r="K429" s="37">
        <v>4.3586746557147966E-3</v>
      </c>
      <c r="L429" s="38">
        <v>339875.85257568001</v>
      </c>
      <c r="M429" s="37">
        <v>3.015256744938734E-3</v>
      </c>
      <c r="N429" s="42">
        <v>95769.16</v>
      </c>
      <c r="O429" s="37">
        <v>1.1717023530063667E-3</v>
      </c>
      <c r="Q429">
        <f>VLOOKUP(Table3[[#This Row],[Census Tract]],'Population and Diversity Data'!$B$2:$K$823,10,FALSE)</f>
        <v>4</v>
      </c>
      <c r="R429" t="str">
        <f>VLOOKUP(Table3[[#This Row],[Census Tract]],'ES Energy Burden'!$B$2:$E$914,4,FALSE)</f>
        <v>No</v>
      </c>
    </row>
    <row r="430" spans="1:18" hidden="1" x14ac:dyDescent="0.25">
      <c r="A430" s="140">
        <v>9007541401</v>
      </c>
      <c r="B430" s="39" t="s">
        <v>2795</v>
      </c>
      <c r="C430" s="39" t="s">
        <v>944</v>
      </c>
      <c r="D430" s="41">
        <v>69125.694399359985</v>
      </c>
      <c r="E430" s="37">
        <v>6.1325838451507071E-4</v>
      </c>
      <c r="F430" s="41">
        <v>17537.349699999999</v>
      </c>
      <c r="G430" s="37">
        <v>2.1456337206033236E-4</v>
      </c>
      <c r="H430" s="41">
        <v>69095.818402559991</v>
      </c>
      <c r="I430" s="37">
        <v>6.1299333537968717E-4</v>
      </c>
      <c r="J430" s="42">
        <v>17537.349699999999</v>
      </c>
      <c r="K430" s="37">
        <v>2.1456337206033236E-4</v>
      </c>
      <c r="L430" s="38">
        <v>29.875996800000003</v>
      </c>
      <c r="M430" s="37">
        <v>2.6504913538365933E-7</v>
      </c>
      <c r="N430" s="42">
        <v>0</v>
      </c>
      <c r="O430" s="37">
        <v>0</v>
      </c>
      <c r="Q430">
        <f>VLOOKUP(Table3[[#This Row],[Census Tract]],'Population and Diversity Data'!$B$2:$K$823,10,FALSE)</f>
        <v>2</v>
      </c>
      <c r="R430" t="str">
        <f>VLOOKUP(Table3[[#This Row],[Census Tract]],'ES Energy Burden'!$B$2:$E$914,4,FALSE)</f>
        <v>No</v>
      </c>
    </row>
    <row r="431" spans="1:18" hidden="1" x14ac:dyDescent="0.25">
      <c r="A431" s="140">
        <v>9007541402</v>
      </c>
      <c r="B431" s="39" t="s">
        <v>2795</v>
      </c>
      <c r="C431" s="39" t="s">
        <v>944</v>
      </c>
      <c r="D431" s="41">
        <v>112928.96280384</v>
      </c>
      <c r="E431" s="37">
        <v>1.0018652817278121E-3</v>
      </c>
      <c r="F431" s="41">
        <v>285103.42810000002</v>
      </c>
      <c r="G431" s="37">
        <v>3.4881412508468439E-3</v>
      </c>
      <c r="H431" s="41">
        <v>112928.96280384</v>
      </c>
      <c r="I431" s="37">
        <v>1.0018652817278121E-3</v>
      </c>
      <c r="J431" s="42">
        <v>285103.42810000002</v>
      </c>
      <c r="K431" s="37">
        <v>3.4881412508468439E-3</v>
      </c>
      <c r="L431" s="38">
        <v>0</v>
      </c>
      <c r="M431" s="37">
        <v>0</v>
      </c>
      <c r="N431" s="42">
        <v>0</v>
      </c>
      <c r="O431" s="37">
        <v>0</v>
      </c>
      <c r="Q431">
        <f>VLOOKUP(Table3[[#This Row],[Census Tract]],'Population and Diversity Data'!$B$2:$K$823,10,FALSE)</f>
        <v>2</v>
      </c>
      <c r="R431" t="str">
        <f>VLOOKUP(Table3[[#This Row],[Census Tract]],'ES Energy Burden'!$B$2:$E$914,4,FALSE)</f>
        <v>No</v>
      </c>
    </row>
    <row r="432" spans="1:18" hidden="1" x14ac:dyDescent="0.25">
      <c r="A432" s="140">
        <v>9007541500</v>
      </c>
      <c r="B432" s="39" t="s">
        <v>2795</v>
      </c>
      <c r="C432" s="39" t="s">
        <v>944</v>
      </c>
      <c r="D432" s="41">
        <v>21092.82943392</v>
      </c>
      <c r="E432" s="37">
        <v>1.8712802259556726E-4</v>
      </c>
      <c r="F432" s="41">
        <v>7092.3125</v>
      </c>
      <c r="G432" s="37">
        <v>8.6771975910684268E-5</v>
      </c>
      <c r="H432" s="41">
        <v>21092.82943392</v>
      </c>
      <c r="I432" s="37">
        <v>1.8712802259556726E-4</v>
      </c>
      <c r="J432" s="42">
        <v>7092.3125</v>
      </c>
      <c r="K432" s="37">
        <v>8.6771975910684268E-5</v>
      </c>
      <c r="L432" s="38">
        <v>0</v>
      </c>
      <c r="M432" s="37">
        <v>0</v>
      </c>
      <c r="N432" s="42">
        <v>0</v>
      </c>
      <c r="O432" s="37">
        <v>0</v>
      </c>
      <c r="Q432">
        <f>VLOOKUP(Table3[[#This Row],[Census Tract]],'Population and Diversity Data'!$B$2:$K$823,10,FALSE)</f>
        <v>5</v>
      </c>
      <c r="R432" t="str">
        <f>VLOOKUP(Table3[[#This Row],[Census Tract]],'ES Energy Burden'!$B$2:$E$914,4,FALSE)</f>
        <v>No</v>
      </c>
    </row>
    <row r="433" spans="1:18" hidden="1" x14ac:dyDescent="0.25">
      <c r="A433" s="140">
        <v>9007541600</v>
      </c>
      <c r="B433" s="39" t="s">
        <v>2795</v>
      </c>
      <c r="C433" s="39" t="s">
        <v>944</v>
      </c>
      <c r="D433" s="41">
        <v>15013.82183904</v>
      </c>
      <c r="E433" s="37">
        <v>1.3319724606617489E-4</v>
      </c>
      <c r="F433" s="41">
        <v>37706.81</v>
      </c>
      <c r="G433" s="37">
        <v>4.6132970155908222E-4</v>
      </c>
      <c r="H433" s="41">
        <v>15013.82183904</v>
      </c>
      <c r="I433" s="37">
        <v>1.3319724606617489E-4</v>
      </c>
      <c r="J433" s="42">
        <v>37706.81</v>
      </c>
      <c r="K433" s="37">
        <v>4.6132970155908222E-4</v>
      </c>
      <c r="L433" s="38">
        <v>0</v>
      </c>
      <c r="M433" s="37">
        <v>0</v>
      </c>
      <c r="N433" s="42">
        <v>0</v>
      </c>
      <c r="O433" s="37">
        <v>0</v>
      </c>
      <c r="Q433">
        <f>VLOOKUP(Table3[[#This Row],[Census Tract]],'Population and Diversity Data'!$B$2:$K$823,10,FALSE)</f>
        <v>5</v>
      </c>
      <c r="R433" t="str">
        <f>VLOOKUP(Table3[[#This Row],[Census Tract]],'ES Energy Burden'!$B$2:$E$914,4,FALSE)</f>
        <v>Yes</v>
      </c>
    </row>
    <row r="434" spans="1:18" hidden="1" x14ac:dyDescent="0.25">
      <c r="A434" s="140">
        <v>9007541700</v>
      </c>
      <c r="B434" s="39" t="s">
        <v>2795</v>
      </c>
      <c r="C434" s="39" t="s">
        <v>944</v>
      </c>
      <c r="D434" s="41">
        <v>36521.771909760006</v>
      </c>
      <c r="E434" s="37">
        <v>3.2400807016290433E-4</v>
      </c>
      <c r="F434" s="41">
        <v>4608.43</v>
      </c>
      <c r="G434" s="37">
        <v>5.6382537704884649E-5</v>
      </c>
      <c r="H434" s="41">
        <v>36521.771909760006</v>
      </c>
      <c r="I434" s="37">
        <v>3.2400807016290433E-4</v>
      </c>
      <c r="J434" s="42">
        <v>4608.43</v>
      </c>
      <c r="K434" s="37">
        <v>5.6382537704884649E-5</v>
      </c>
      <c r="L434" s="38">
        <v>0</v>
      </c>
      <c r="M434" s="37">
        <v>0</v>
      </c>
      <c r="N434" s="42">
        <v>0</v>
      </c>
      <c r="O434" s="37">
        <v>0</v>
      </c>
      <c r="Q434">
        <f>VLOOKUP(Table3[[#This Row],[Census Tract]],'Population and Diversity Data'!$B$2:$K$823,10,FALSE)</f>
        <v>4</v>
      </c>
      <c r="R434" t="str">
        <f>VLOOKUP(Table3[[#This Row],[Census Tract]],'ES Energy Burden'!$B$2:$E$914,4,FALSE)</f>
        <v>Yes</v>
      </c>
    </row>
    <row r="435" spans="1:18" hidden="1" x14ac:dyDescent="0.25">
      <c r="A435" s="140">
        <v>9007542000</v>
      </c>
      <c r="B435" s="39" t="s">
        <v>2795</v>
      </c>
      <c r="C435" s="39" t="s">
        <v>944</v>
      </c>
      <c r="D435" s="41">
        <v>71103.73662144001</v>
      </c>
      <c r="E435" s="37">
        <v>6.3080686613475954E-4</v>
      </c>
      <c r="F435" s="41">
        <v>22533.360000000001</v>
      </c>
      <c r="G435" s="37">
        <v>2.7568781989044849E-4</v>
      </c>
      <c r="H435" s="41">
        <v>71103.73662144001</v>
      </c>
      <c r="I435" s="37">
        <v>6.3080686613475954E-4</v>
      </c>
      <c r="J435" s="42">
        <v>22533.360000000001</v>
      </c>
      <c r="K435" s="37">
        <v>2.7568781989044849E-4</v>
      </c>
      <c r="L435" s="38">
        <v>0</v>
      </c>
      <c r="M435" s="37">
        <v>0</v>
      </c>
      <c r="N435" s="42">
        <v>0</v>
      </c>
      <c r="O435" s="37">
        <v>0</v>
      </c>
      <c r="Q435">
        <f>VLOOKUP(Table3[[#This Row],[Census Tract]],'Population and Diversity Data'!$B$2:$K$823,10,FALSE)</f>
        <v>2</v>
      </c>
      <c r="R435" t="str">
        <f>VLOOKUP(Table3[[#This Row],[Census Tract]],'ES Energy Burden'!$B$2:$E$914,4,FALSE)</f>
        <v>No</v>
      </c>
    </row>
    <row r="436" spans="1:18" hidden="1" x14ac:dyDescent="0.25">
      <c r="A436" s="140">
        <v>9007542100</v>
      </c>
      <c r="B436" s="39" t="s">
        <v>2795</v>
      </c>
      <c r="C436" s="39" t="s">
        <v>944</v>
      </c>
      <c r="D436" s="41">
        <v>59097.286108800006</v>
      </c>
      <c r="E436" s="37">
        <v>5.2428994056721075E-4</v>
      </c>
      <c r="F436" s="41">
        <v>30046.16</v>
      </c>
      <c r="G436" s="37">
        <v>3.6760431406943295E-4</v>
      </c>
      <c r="H436" s="41">
        <v>59097.286108800006</v>
      </c>
      <c r="I436" s="37">
        <v>5.2428994056721075E-4</v>
      </c>
      <c r="J436" s="42">
        <v>30046.16</v>
      </c>
      <c r="K436" s="37">
        <v>3.6760431406943295E-4</v>
      </c>
      <c r="L436" s="38">
        <v>0</v>
      </c>
      <c r="M436" s="37">
        <v>0</v>
      </c>
      <c r="N436" s="42">
        <v>0</v>
      </c>
      <c r="O436" s="37">
        <v>0</v>
      </c>
      <c r="Q436">
        <f>VLOOKUP(Table3[[#This Row],[Census Tract]],'Population and Diversity Data'!$B$2:$K$823,10,FALSE)</f>
        <v>4</v>
      </c>
      <c r="R436" t="str">
        <f>VLOOKUP(Table3[[#This Row],[Census Tract]],'ES Energy Burden'!$B$2:$E$914,4,FALSE)</f>
        <v>No</v>
      </c>
    </row>
    <row r="437" spans="1:18" hidden="1" x14ac:dyDescent="0.25">
      <c r="A437" s="140">
        <v>9007542200</v>
      </c>
      <c r="B437" s="39" t="s">
        <v>2795</v>
      </c>
      <c r="C437" s="39" t="s">
        <v>944</v>
      </c>
      <c r="D437" s="41">
        <v>46529.618961600005</v>
      </c>
      <c r="E437" s="37">
        <v>4.1279410217044877E-4</v>
      </c>
      <c r="F437" s="41">
        <v>11053.972100000001</v>
      </c>
      <c r="G437" s="37">
        <v>1.3524150279314062E-4</v>
      </c>
      <c r="H437" s="41">
        <v>46529.618961600005</v>
      </c>
      <c r="I437" s="37">
        <v>4.1279410217044877E-4</v>
      </c>
      <c r="J437" s="42">
        <v>11053.972100000001</v>
      </c>
      <c r="K437" s="37">
        <v>1.3524150279314062E-4</v>
      </c>
      <c r="L437" s="38">
        <v>0</v>
      </c>
      <c r="M437" s="37">
        <v>0</v>
      </c>
      <c r="N437" s="42">
        <v>0</v>
      </c>
      <c r="O437" s="37">
        <v>0</v>
      </c>
      <c r="Q437">
        <f>VLOOKUP(Table3[[#This Row],[Census Tract]],'Population and Diversity Data'!$B$2:$K$823,10,FALSE)</f>
        <v>3</v>
      </c>
      <c r="R437" t="str">
        <f>VLOOKUP(Table3[[#This Row],[Census Tract]],'ES Energy Burden'!$B$2:$E$914,4,FALSE)</f>
        <v>No</v>
      </c>
    </row>
    <row r="438" spans="1:18" hidden="1" x14ac:dyDescent="0.25">
      <c r="A438" s="140">
        <v>9007580100</v>
      </c>
      <c r="B438" s="39" t="s">
        <v>2795</v>
      </c>
      <c r="C438" s="39" t="s">
        <v>944</v>
      </c>
      <c r="D438" s="41">
        <v>289.41684480000004</v>
      </c>
      <c r="E438" s="37">
        <v>2.5676025135906669E-6</v>
      </c>
      <c r="F438" s="41">
        <v>0</v>
      </c>
      <c r="G438" s="37">
        <v>0</v>
      </c>
      <c r="H438" s="41">
        <v>289.41684480000004</v>
      </c>
      <c r="I438" s="37">
        <v>2.5676025135906669E-6</v>
      </c>
      <c r="J438" s="42">
        <v>0</v>
      </c>
      <c r="K438" s="37">
        <v>0</v>
      </c>
      <c r="L438" s="38">
        <v>0</v>
      </c>
      <c r="M438" s="37">
        <v>0</v>
      </c>
      <c r="N438" s="42">
        <v>0</v>
      </c>
      <c r="O438" s="37">
        <v>0</v>
      </c>
      <c r="Q438">
        <f>VLOOKUP(Table3[[#This Row],[Census Tract]],'Population and Diversity Data'!$B$2:$K$823,10,FALSE)</f>
        <v>1</v>
      </c>
      <c r="R438" t="str">
        <f>VLOOKUP(Table3[[#This Row],[Census Tract]],'ES Energy Burden'!$B$2:$E$914,4,FALSE)</f>
        <v>No</v>
      </c>
    </row>
    <row r="439" spans="1:18" hidden="1" x14ac:dyDescent="0.25">
      <c r="A439" s="140">
        <v>9007590100</v>
      </c>
      <c r="B439" s="39" t="s">
        <v>2795</v>
      </c>
      <c r="C439" s="39" t="s">
        <v>944</v>
      </c>
      <c r="D439" s="41">
        <v>599.83545600000002</v>
      </c>
      <c r="E439" s="37">
        <v>5.3215251711789913E-6</v>
      </c>
      <c r="F439" s="41">
        <v>0</v>
      </c>
      <c r="G439" s="37">
        <v>0</v>
      </c>
      <c r="H439" s="41">
        <v>599.83545600000002</v>
      </c>
      <c r="I439" s="37">
        <v>5.3215251711789913E-6</v>
      </c>
      <c r="J439" s="42">
        <v>0</v>
      </c>
      <c r="K439" s="37">
        <v>0</v>
      </c>
      <c r="L439" s="38">
        <v>0</v>
      </c>
      <c r="M439" s="37">
        <v>0</v>
      </c>
      <c r="N439" s="42">
        <v>0</v>
      </c>
      <c r="O439" s="37">
        <v>0</v>
      </c>
      <c r="Q439">
        <f>VLOOKUP(Table3[[#This Row],[Census Tract]],'Population and Diversity Data'!$B$2:$K$823,10,FALSE)</f>
        <v>1</v>
      </c>
      <c r="R439" t="str">
        <f>VLOOKUP(Table3[[#This Row],[Census Tract]],'ES Energy Burden'!$B$2:$E$914,4,FALSE)</f>
        <v>No</v>
      </c>
    </row>
    <row r="440" spans="1:18" hidden="1" x14ac:dyDescent="0.25">
      <c r="A440" s="140">
        <v>9007680200</v>
      </c>
      <c r="B440" s="39" t="s">
        <v>2795</v>
      </c>
      <c r="C440" s="39" t="s">
        <v>944</v>
      </c>
      <c r="D440" s="41">
        <v>109151.62550496</v>
      </c>
      <c r="E440" s="37">
        <v>9.683540990943814E-4</v>
      </c>
      <c r="F440" s="41">
        <v>359384.16</v>
      </c>
      <c r="G440" s="37">
        <v>4.3969401622110556E-3</v>
      </c>
      <c r="H440" s="41">
        <v>109151.62550496</v>
      </c>
      <c r="I440" s="37">
        <v>9.683540990943814E-4</v>
      </c>
      <c r="J440" s="42">
        <v>359384.16</v>
      </c>
      <c r="K440" s="37">
        <v>4.3969401622110556E-3</v>
      </c>
      <c r="L440" s="38">
        <v>0</v>
      </c>
      <c r="M440" s="37">
        <v>0</v>
      </c>
      <c r="N440" s="42">
        <v>0</v>
      </c>
      <c r="O440" s="37">
        <v>0</v>
      </c>
      <c r="Q440">
        <f>VLOOKUP(Table3[[#This Row],[Census Tract]],'Population and Diversity Data'!$B$2:$K$823,10,FALSE)</f>
        <v>2</v>
      </c>
      <c r="R440" t="str">
        <f>VLOOKUP(Table3[[#This Row],[Census Tract]],'ES Energy Burden'!$B$2:$E$914,4,FALSE)</f>
        <v>No</v>
      </c>
    </row>
    <row r="441" spans="1:18" hidden="1" x14ac:dyDescent="0.25">
      <c r="A441" s="140">
        <v>9001100100</v>
      </c>
      <c r="B441" s="39" t="s">
        <v>2796</v>
      </c>
      <c r="C441" s="39" t="s">
        <v>944</v>
      </c>
      <c r="D441" s="41">
        <v>100563.03417888001</v>
      </c>
      <c r="E441" s="37">
        <v>8.921591951927617E-4</v>
      </c>
      <c r="F441" s="41">
        <v>20403.166799999999</v>
      </c>
      <c r="G441" s="37">
        <v>2.4962564721609106E-4</v>
      </c>
      <c r="H441" s="41">
        <v>100563.03417888001</v>
      </c>
      <c r="I441" s="37">
        <v>8.921591951927617E-4</v>
      </c>
      <c r="J441" s="42">
        <v>20403.166799999999</v>
      </c>
      <c r="K441" s="37">
        <v>2.4962564721609106E-4</v>
      </c>
      <c r="L441" s="38">
        <v>0</v>
      </c>
      <c r="M441" s="37">
        <v>0</v>
      </c>
      <c r="N441" s="42">
        <v>0</v>
      </c>
      <c r="O441" s="37">
        <v>0</v>
      </c>
      <c r="Q441">
        <f>VLOOKUP(Table3[[#This Row],[Census Tract]],'Population and Diversity Data'!$B$2:$K$823,10,FALSE)</f>
        <v>3</v>
      </c>
      <c r="R441" t="str">
        <f>VLOOKUP(Table3[[#This Row],[Census Tract]],'ES Energy Burden'!$B$2:$E$914,4,FALSE)</f>
        <v>No</v>
      </c>
    </row>
    <row r="442" spans="1:18" hidden="1" x14ac:dyDescent="0.25">
      <c r="A442" s="140">
        <v>9001100200</v>
      </c>
      <c r="B442" s="39" t="s">
        <v>2796</v>
      </c>
      <c r="C442" s="39" t="s">
        <v>944</v>
      </c>
      <c r="D442" s="41">
        <v>133580.15600255999</v>
      </c>
      <c r="E442" s="37">
        <v>1.1850752659369962E-3</v>
      </c>
      <c r="F442" s="41">
        <v>32119.5658</v>
      </c>
      <c r="G442" s="37">
        <v>3.9297171266201798E-4</v>
      </c>
      <c r="H442" s="41">
        <v>133580.15600255999</v>
      </c>
      <c r="I442" s="37">
        <v>1.1850752659369962E-3</v>
      </c>
      <c r="J442" s="42">
        <v>32119.5658</v>
      </c>
      <c r="K442" s="37">
        <v>3.9297171266201798E-4</v>
      </c>
      <c r="L442" s="38">
        <v>0</v>
      </c>
      <c r="M442" s="37">
        <v>0</v>
      </c>
      <c r="N442" s="42">
        <v>0</v>
      </c>
      <c r="O442" s="37">
        <v>0</v>
      </c>
      <c r="Q442">
        <f>VLOOKUP(Table3[[#This Row],[Census Tract]],'Population and Diversity Data'!$B$2:$K$823,10,FALSE)</f>
        <v>4</v>
      </c>
      <c r="R442" t="str">
        <f>VLOOKUP(Table3[[#This Row],[Census Tract]],'ES Energy Burden'!$B$2:$E$914,4,FALSE)</f>
        <v>No</v>
      </c>
    </row>
    <row r="443" spans="1:18" hidden="1" x14ac:dyDescent="0.25">
      <c r="A443" s="140">
        <v>9001100300</v>
      </c>
      <c r="B443" s="39" t="s">
        <v>2796</v>
      </c>
      <c r="C443" s="39" t="s">
        <v>944</v>
      </c>
      <c r="D443" s="41">
        <v>256326.97744223999</v>
      </c>
      <c r="E443" s="37">
        <v>2.2740410705417015E-3</v>
      </c>
      <c r="F443" s="41">
        <v>156101.05499999999</v>
      </c>
      <c r="G443" s="37">
        <v>1.9098420979183305E-3</v>
      </c>
      <c r="H443" s="41">
        <v>139355.86578912</v>
      </c>
      <c r="I443" s="37">
        <v>1.2363152930196966E-3</v>
      </c>
      <c r="J443" s="42">
        <v>96915.585000000006</v>
      </c>
      <c r="K443" s="37">
        <v>1.1857284640221189E-3</v>
      </c>
      <c r="L443" s="38">
        <v>116971.11165312</v>
      </c>
      <c r="M443" s="37">
        <v>1.0377257775220049E-3</v>
      </c>
      <c r="N443" s="42">
        <v>59185.47</v>
      </c>
      <c r="O443" s="37">
        <v>7.2411363389621175E-4</v>
      </c>
      <c r="Q443">
        <f>VLOOKUP(Table3[[#This Row],[Census Tract]],'Population and Diversity Data'!$B$2:$K$823,10,FALSE)</f>
        <v>2</v>
      </c>
      <c r="R443" t="str">
        <f>VLOOKUP(Table3[[#This Row],[Census Tract]],'ES Energy Burden'!$B$2:$E$914,4,FALSE)</f>
        <v>No</v>
      </c>
    </row>
    <row r="444" spans="1:18" hidden="1" x14ac:dyDescent="0.25">
      <c r="A444" s="140">
        <v>9001105200</v>
      </c>
      <c r="B444" s="39" t="s">
        <v>2796</v>
      </c>
      <c r="C444" s="39" t="s">
        <v>944</v>
      </c>
      <c r="D444" s="41">
        <v>279.45432000000005</v>
      </c>
      <c r="E444" s="37">
        <v>2.4792185643569375E-6</v>
      </c>
      <c r="F444" s="41">
        <v>0</v>
      </c>
      <c r="G444" s="37">
        <v>0</v>
      </c>
      <c r="H444" s="41">
        <v>279.45432000000005</v>
      </c>
      <c r="I444" s="37">
        <v>2.4792185643569375E-6</v>
      </c>
      <c r="J444" s="42">
        <v>0</v>
      </c>
      <c r="K444" s="37">
        <v>0</v>
      </c>
      <c r="L444" s="38">
        <v>0</v>
      </c>
      <c r="M444" s="37">
        <v>0</v>
      </c>
      <c r="N444" s="42">
        <v>0</v>
      </c>
      <c r="O444" s="37">
        <v>0</v>
      </c>
      <c r="Q444">
        <f>VLOOKUP(Table3[[#This Row],[Census Tract]],'Population and Diversity Data'!$B$2:$K$823,10,FALSE)</f>
        <v>3</v>
      </c>
      <c r="R444" t="str">
        <f>VLOOKUP(Table3[[#This Row],[Census Tract]],'ES Energy Burden'!$B$2:$E$914,4,FALSE)</f>
        <v>No</v>
      </c>
    </row>
    <row r="445" spans="1:18" hidden="1" x14ac:dyDescent="0.25">
      <c r="A445" s="140">
        <v>9001110500</v>
      </c>
      <c r="B445" s="39" t="s">
        <v>2796</v>
      </c>
      <c r="C445" s="39" t="s">
        <v>944</v>
      </c>
      <c r="D445" s="41">
        <v>763.01015040000004</v>
      </c>
      <c r="E445" s="37">
        <v>6.7691525744331265E-6</v>
      </c>
      <c r="F445" s="41">
        <v>0</v>
      </c>
      <c r="G445" s="37">
        <v>0</v>
      </c>
      <c r="H445" s="41">
        <v>763.01015040000004</v>
      </c>
      <c r="I445" s="37">
        <v>6.7691525744331265E-6</v>
      </c>
      <c r="J445" s="42">
        <v>0</v>
      </c>
      <c r="K445" s="37">
        <v>0</v>
      </c>
      <c r="L445" s="38">
        <v>0</v>
      </c>
      <c r="M445" s="37">
        <v>0</v>
      </c>
      <c r="N445" s="42">
        <v>0</v>
      </c>
      <c r="O445" s="37">
        <v>0</v>
      </c>
      <c r="Q445">
        <f>VLOOKUP(Table3[[#This Row],[Census Tract]],'Population and Diversity Data'!$B$2:$K$823,10,FALSE)</f>
        <v>1</v>
      </c>
      <c r="R445" t="str">
        <f>VLOOKUP(Table3[[#This Row],[Census Tract]],'ES Energy Burden'!$B$2:$E$914,4,FALSE)</f>
        <v>No</v>
      </c>
    </row>
    <row r="446" spans="1:18" hidden="1" x14ac:dyDescent="0.25">
      <c r="A446" s="140">
        <v>9001230400</v>
      </c>
      <c r="B446" s="39" t="s">
        <v>2796</v>
      </c>
      <c r="C446" s="39" t="s">
        <v>944</v>
      </c>
      <c r="D446" s="41">
        <v>408.54455999999999</v>
      </c>
      <c r="E446" s="37">
        <v>3.6244609048056099E-6</v>
      </c>
      <c r="F446" s="41">
        <v>1374.16</v>
      </c>
      <c r="G446" s="37">
        <v>1.6812369508171827E-5</v>
      </c>
      <c r="H446" s="41">
        <v>408.54455999999999</v>
      </c>
      <c r="I446" s="37">
        <v>3.6244609048056099E-6</v>
      </c>
      <c r="J446" s="42">
        <v>1374.16</v>
      </c>
      <c r="K446" s="37">
        <v>1.6812369508171827E-5</v>
      </c>
      <c r="L446" s="38">
        <v>0</v>
      </c>
      <c r="M446" s="37">
        <v>0</v>
      </c>
      <c r="N446" s="42">
        <v>0</v>
      </c>
      <c r="O446" s="37">
        <v>0</v>
      </c>
      <c r="Q446">
        <f>VLOOKUP(Table3[[#This Row],[Census Tract]],'Population and Diversity Data'!$B$2:$K$823,10,FALSE)</f>
        <v>2</v>
      </c>
      <c r="R446" t="str">
        <f>VLOOKUP(Table3[[#This Row],[Census Tract]],'ES Energy Burden'!$B$2:$E$914,4,FALSE)</f>
        <v>No</v>
      </c>
    </row>
    <row r="447" spans="1:18" hidden="1" x14ac:dyDescent="0.25">
      <c r="A447" s="140">
        <v>9011693600</v>
      </c>
      <c r="B447" s="39" t="s">
        <v>2797</v>
      </c>
      <c r="C447" s="39" t="s">
        <v>944</v>
      </c>
      <c r="D447" s="41">
        <v>386.32135679999999</v>
      </c>
      <c r="E447" s="37">
        <v>3.427304611308639E-6</v>
      </c>
      <c r="F447" s="41">
        <v>467.33</v>
      </c>
      <c r="G447" s="37">
        <v>5.7176199585593669E-6</v>
      </c>
      <c r="H447" s="41">
        <v>386.32135679999999</v>
      </c>
      <c r="I447" s="37">
        <v>3.427304611308639E-6</v>
      </c>
      <c r="J447" s="42">
        <v>467.33</v>
      </c>
      <c r="K447" s="37">
        <v>5.7176199585593669E-6</v>
      </c>
      <c r="L447" s="38">
        <v>0</v>
      </c>
      <c r="M447" s="37">
        <v>0</v>
      </c>
      <c r="N447" s="42">
        <v>0</v>
      </c>
      <c r="O447" s="37">
        <v>0</v>
      </c>
      <c r="Q447">
        <f>VLOOKUP(Table3[[#This Row],[Census Tract]],'Population and Diversity Data'!$B$2:$K$823,10,FALSE)</f>
        <v>2</v>
      </c>
      <c r="R447" t="str">
        <f>VLOOKUP(Table3[[#This Row],[Census Tract]],'ES Energy Burden'!$B$2:$E$914,4,FALSE)</f>
        <v>No</v>
      </c>
    </row>
    <row r="448" spans="1:18" hidden="1" x14ac:dyDescent="0.25">
      <c r="A448" s="140">
        <v>9011695201</v>
      </c>
      <c r="B448" s="39" t="s">
        <v>2797</v>
      </c>
      <c r="C448" s="39" t="s">
        <v>944</v>
      </c>
      <c r="D448" s="41">
        <v>192522.74222016</v>
      </c>
      <c r="E448" s="37">
        <v>1.7079927645173843E-3</v>
      </c>
      <c r="F448" s="41">
        <v>190334.15599999999</v>
      </c>
      <c r="G448" s="37">
        <v>2.3286721784202854E-3</v>
      </c>
      <c r="H448" s="41">
        <v>106350.08769791998</v>
      </c>
      <c r="I448" s="37">
        <v>9.4349985980417663E-4</v>
      </c>
      <c r="J448" s="42">
        <v>162569.386</v>
      </c>
      <c r="K448" s="37">
        <v>1.9889798772694707E-3</v>
      </c>
      <c r="L448" s="38">
        <v>86172.654522240016</v>
      </c>
      <c r="M448" s="37">
        <v>7.6449290471320753E-4</v>
      </c>
      <c r="N448" s="42">
        <v>27764.77</v>
      </c>
      <c r="O448" s="37">
        <v>3.3969230115081495E-4</v>
      </c>
      <c r="Q448">
        <f>VLOOKUP(Table3[[#This Row],[Census Tract]],'Population and Diversity Data'!$B$2:$K$823,10,FALSE)</f>
        <v>3</v>
      </c>
      <c r="R448" t="str">
        <f>VLOOKUP(Table3[[#This Row],[Census Tract]],'ES Energy Burden'!$B$2:$E$914,4,FALSE)</f>
        <v>No</v>
      </c>
    </row>
    <row r="449" spans="1:18" hidden="1" x14ac:dyDescent="0.25">
      <c r="A449" s="140">
        <v>9011695202</v>
      </c>
      <c r="B449" s="39" t="s">
        <v>2797</v>
      </c>
      <c r="C449" s="39" t="s">
        <v>944</v>
      </c>
      <c r="D449" s="41">
        <v>99676.927511999995</v>
      </c>
      <c r="E449" s="37">
        <v>8.8429797444466453E-4</v>
      </c>
      <c r="F449" s="41">
        <v>14638.392099999999</v>
      </c>
      <c r="G449" s="37">
        <v>1.7909563441717363E-4</v>
      </c>
      <c r="H449" s="41">
        <v>99676.927511999995</v>
      </c>
      <c r="I449" s="37">
        <v>8.8429797444466453E-4</v>
      </c>
      <c r="J449" s="42">
        <v>14638.392099999999</v>
      </c>
      <c r="K449" s="37">
        <v>1.7909563441717363E-4</v>
      </c>
      <c r="L449" s="38">
        <v>0</v>
      </c>
      <c r="M449" s="37">
        <v>0</v>
      </c>
      <c r="N449" s="42">
        <v>0</v>
      </c>
      <c r="O449" s="37">
        <v>0</v>
      </c>
      <c r="Q449">
        <f>VLOOKUP(Table3[[#This Row],[Census Tract]],'Population and Diversity Data'!$B$2:$K$823,10,FALSE)</f>
        <v>3</v>
      </c>
      <c r="R449" t="str">
        <f>VLOOKUP(Table3[[#This Row],[Census Tract]],'ES Energy Burden'!$B$2:$E$914,4,FALSE)</f>
        <v>No</v>
      </c>
    </row>
    <row r="450" spans="1:18" hidden="1" x14ac:dyDescent="0.25">
      <c r="A450" s="140">
        <v>9011715100</v>
      </c>
      <c r="B450" s="39" t="s">
        <v>2797</v>
      </c>
      <c r="C450" s="39" t="s">
        <v>944</v>
      </c>
      <c r="D450" s="41">
        <v>663.31543680000004</v>
      </c>
      <c r="E450" s="37">
        <v>5.8846968081906578E-6</v>
      </c>
      <c r="F450" s="41">
        <v>0</v>
      </c>
      <c r="G450" s="37">
        <v>0</v>
      </c>
      <c r="H450" s="41">
        <v>663.31543680000004</v>
      </c>
      <c r="I450" s="37">
        <v>5.8846968081906578E-6</v>
      </c>
      <c r="J450" s="42">
        <v>0</v>
      </c>
      <c r="K450" s="37">
        <v>0</v>
      </c>
      <c r="L450" s="38">
        <v>0</v>
      </c>
      <c r="M450" s="37">
        <v>0</v>
      </c>
      <c r="N450" s="42">
        <v>0</v>
      </c>
      <c r="O450" s="37">
        <v>0</v>
      </c>
      <c r="Q450">
        <f>VLOOKUP(Table3[[#This Row],[Census Tract]],'Population and Diversity Data'!$B$2:$K$823,10,FALSE)</f>
        <v>3</v>
      </c>
      <c r="R450" t="str">
        <f>VLOOKUP(Table3[[#This Row],[Census Tract]],'ES Energy Burden'!$B$2:$E$914,4,FALSE)</f>
        <v>No</v>
      </c>
    </row>
    <row r="451" spans="1:18" hidden="1" x14ac:dyDescent="0.25">
      <c r="A451" s="140">
        <v>9011716102</v>
      </c>
      <c r="B451" s="39" t="s">
        <v>2797</v>
      </c>
      <c r="C451" s="39" t="s">
        <v>944</v>
      </c>
      <c r="D451" s="41">
        <v>658.65545280000003</v>
      </c>
      <c r="E451" s="37">
        <v>5.8433551003852238E-6</v>
      </c>
      <c r="F451" s="41">
        <v>0</v>
      </c>
      <c r="G451" s="37">
        <v>0</v>
      </c>
      <c r="H451" s="41">
        <v>658.65545280000003</v>
      </c>
      <c r="I451" s="37">
        <v>5.8433551003852238E-6</v>
      </c>
      <c r="J451" s="42">
        <v>0</v>
      </c>
      <c r="K451" s="37">
        <v>0</v>
      </c>
      <c r="L451" s="38">
        <v>0</v>
      </c>
      <c r="M451" s="37">
        <v>0</v>
      </c>
      <c r="N451" s="42">
        <v>0</v>
      </c>
      <c r="O451" s="37">
        <v>0</v>
      </c>
      <c r="Q451">
        <f>VLOOKUP(Table3[[#This Row],[Census Tract]],'Population and Diversity Data'!$B$2:$K$823,10,FALSE)</f>
        <v>4</v>
      </c>
      <c r="R451" t="str">
        <f>VLOOKUP(Table3[[#This Row],[Census Tract]],'ES Energy Burden'!$B$2:$E$914,4,FALSE)</f>
        <v>No</v>
      </c>
    </row>
    <row r="452" spans="1:18" hidden="1" x14ac:dyDescent="0.25">
      <c r="A452" s="140">
        <v>9011870501</v>
      </c>
      <c r="B452" s="39" t="s">
        <v>2797</v>
      </c>
      <c r="C452" s="39" t="s">
        <v>944</v>
      </c>
      <c r="D452" s="41">
        <v>80574.145113599996</v>
      </c>
      <c r="E452" s="37">
        <v>7.1482493587083176E-4</v>
      </c>
      <c r="F452" s="41">
        <v>31425.54</v>
      </c>
      <c r="G452" s="37">
        <v>3.8448054846148487E-4</v>
      </c>
      <c r="H452" s="41">
        <v>80574.145113599996</v>
      </c>
      <c r="I452" s="37">
        <v>7.1482493587083176E-4</v>
      </c>
      <c r="J452" s="42">
        <v>31425.54</v>
      </c>
      <c r="K452" s="37">
        <v>3.8448054846148487E-4</v>
      </c>
      <c r="L452" s="38">
        <v>0</v>
      </c>
      <c r="M452" s="37">
        <v>0</v>
      </c>
      <c r="N452" s="42">
        <v>0</v>
      </c>
      <c r="O452" s="37">
        <v>0</v>
      </c>
      <c r="Q452">
        <f>VLOOKUP(Table3[[#This Row],[Census Tract]],'Population and Diversity Data'!$B$2:$K$823,10,FALSE)</f>
        <v>5</v>
      </c>
      <c r="R452" t="str">
        <f>VLOOKUP(Table3[[#This Row],[Census Tract]],'ES Energy Burden'!$B$2:$E$914,4,FALSE)</f>
        <v>No</v>
      </c>
    </row>
    <row r="453" spans="1:18" hidden="1" x14ac:dyDescent="0.25">
      <c r="A453" s="140">
        <v>9011870502</v>
      </c>
      <c r="B453" s="39" t="s">
        <v>2797</v>
      </c>
      <c r="C453" s="39" t="s">
        <v>944</v>
      </c>
      <c r="D453" s="41">
        <v>40248.384848640002</v>
      </c>
      <c r="E453" s="37">
        <v>3.5706924445516093E-4</v>
      </c>
      <c r="F453" s="41">
        <v>10395.2546</v>
      </c>
      <c r="G453" s="37">
        <v>1.2718232335879587E-4</v>
      </c>
      <c r="H453" s="41">
        <v>40248.384848640002</v>
      </c>
      <c r="I453" s="37">
        <v>3.5706924445516093E-4</v>
      </c>
      <c r="J453" s="42">
        <v>10395.2546</v>
      </c>
      <c r="K453" s="37">
        <v>1.2718232335879587E-4</v>
      </c>
      <c r="L453" s="38">
        <v>0</v>
      </c>
      <c r="M453" s="37">
        <v>0</v>
      </c>
      <c r="N453" s="42">
        <v>0</v>
      </c>
      <c r="O453" s="37">
        <v>0</v>
      </c>
      <c r="Q453">
        <f>VLOOKUP(Table3[[#This Row],[Census Tract]],'Population and Diversity Data'!$B$2:$K$823,10,FALSE)</f>
        <v>5</v>
      </c>
      <c r="R453" t="str">
        <f>VLOOKUP(Table3[[#This Row],[Census Tract]],'ES Energy Burden'!$B$2:$E$914,4,FALSE)</f>
        <v>No</v>
      </c>
    </row>
    <row r="454" spans="1:18" hidden="1" x14ac:dyDescent="0.25">
      <c r="A454" s="140">
        <v>9005300100</v>
      </c>
      <c r="B454" s="39" t="s">
        <v>2798</v>
      </c>
      <c r="C454" s="39" t="s">
        <v>944</v>
      </c>
      <c r="D454" s="41">
        <v>536.4886176</v>
      </c>
      <c r="E454" s="37">
        <v>4.7595347258189093E-6</v>
      </c>
      <c r="F454" s="41">
        <v>0</v>
      </c>
      <c r="G454" s="37">
        <v>0</v>
      </c>
      <c r="H454" s="41">
        <v>536.4886176</v>
      </c>
      <c r="I454" s="37">
        <v>4.7595347258189093E-6</v>
      </c>
      <c r="J454" s="42">
        <v>0</v>
      </c>
      <c r="K454" s="37">
        <v>0</v>
      </c>
      <c r="L454" s="38">
        <v>0</v>
      </c>
      <c r="M454" s="37">
        <v>0</v>
      </c>
      <c r="N454" s="42">
        <v>0</v>
      </c>
      <c r="O454" s="37">
        <v>0</v>
      </c>
      <c r="Q454">
        <f>VLOOKUP(Table3[[#This Row],[Census Tract]],'Population and Diversity Data'!$B$2:$K$823,10,FALSE)</f>
        <v>1</v>
      </c>
      <c r="R454" t="str">
        <f>VLOOKUP(Table3[[#This Row],[Census Tract]],'ES Energy Burden'!$B$2:$E$914,4,FALSE)</f>
        <v>No</v>
      </c>
    </row>
    <row r="455" spans="1:18" hidden="1" x14ac:dyDescent="0.25">
      <c r="A455" s="140">
        <v>9005303100</v>
      </c>
      <c r="B455" s="39" t="s">
        <v>2798</v>
      </c>
      <c r="C455" s="39" t="s">
        <v>944</v>
      </c>
      <c r="D455" s="41">
        <v>70145.255482560009</v>
      </c>
      <c r="E455" s="37">
        <v>6.2230356501170923E-4</v>
      </c>
      <c r="F455" s="41">
        <v>31889.019799999998</v>
      </c>
      <c r="G455" s="37">
        <v>3.9015106256258921E-4</v>
      </c>
      <c r="H455" s="41">
        <v>58713.956403840006</v>
      </c>
      <c r="I455" s="37">
        <v>5.2088917681875166E-4</v>
      </c>
      <c r="J455" s="42">
        <v>31889.019799999998</v>
      </c>
      <c r="K455" s="37">
        <v>3.9015106256258921E-4</v>
      </c>
      <c r="L455" s="38">
        <v>11431.29907872</v>
      </c>
      <c r="M455" s="37">
        <v>1.0141438819295753E-4</v>
      </c>
      <c r="N455" s="42">
        <v>0</v>
      </c>
      <c r="O455" s="37">
        <v>0</v>
      </c>
      <c r="Q455">
        <f>VLOOKUP(Table3[[#This Row],[Census Tract]],'Population and Diversity Data'!$B$2:$K$823,10,FALSE)</f>
        <v>1</v>
      </c>
      <c r="R455" t="str">
        <f>VLOOKUP(Table3[[#This Row],[Census Tract]],'ES Energy Burden'!$B$2:$E$914,4,FALSE)</f>
        <v>No</v>
      </c>
    </row>
    <row r="456" spans="1:18" hidden="1" x14ac:dyDescent="0.25">
      <c r="A456" s="140">
        <v>9009344100</v>
      </c>
      <c r="B456" s="39" t="s">
        <v>2799</v>
      </c>
      <c r="C456" s="39" t="s">
        <v>944</v>
      </c>
      <c r="D456" s="41">
        <v>231.36675839999998</v>
      </c>
      <c r="E456" s="37">
        <v>2.052602953500115E-6</v>
      </c>
      <c r="F456" s="41">
        <v>0</v>
      </c>
      <c r="G456" s="37">
        <v>0</v>
      </c>
      <c r="H456" s="41">
        <v>231.36675839999998</v>
      </c>
      <c r="I456" s="37">
        <v>2.052602953500115E-6</v>
      </c>
      <c r="J456" s="42">
        <v>0</v>
      </c>
      <c r="K456" s="37">
        <v>0</v>
      </c>
      <c r="L456" s="38">
        <v>0</v>
      </c>
      <c r="M456" s="37">
        <v>0</v>
      </c>
      <c r="N456" s="42">
        <v>0</v>
      </c>
      <c r="O456" s="37">
        <v>0</v>
      </c>
      <c r="Q456">
        <f>VLOOKUP(Table3[[#This Row],[Census Tract]],'Population and Diversity Data'!$B$2:$K$823,10,FALSE)</f>
        <v>2</v>
      </c>
      <c r="R456" t="str">
        <f>VLOOKUP(Table3[[#This Row],[Census Tract]],'ES Energy Burden'!$B$2:$E$914,4,FALSE)</f>
        <v>No</v>
      </c>
    </row>
    <row r="457" spans="1:18" hidden="1" x14ac:dyDescent="0.25">
      <c r="A457" s="140">
        <v>9009345100</v>
      </c>
      <c r="B457" s="39" t="s">
        <v>2799</v>
      </c>
      <c r="C457" s="39" t="s">
        <v>944</v>
      </c>
      <c r="D457" s="41">
        <v>115370.42856768001</v>
      </c>
      <c r="E457" s="37">
        <v>1.0235250909086256E-3</v>
      </c>
      <c r="F457" s="41">
        <v>53359.099099999999</v>
      </c>
      <c r="G457" s="37">
        <v>6.5283001302057894E-4</v>
      </c>
      <c r="H457" s="41">
        <v>115340.70307968001</v>
      </c>
      <c r="I457" s="37">
        <v>1.0232613770333699E-3</v>
      </c>
      <c r="J457" s="42">
        <v>53359.099099999999</v>
      </c>
      <c r="K457" s="37">
        <v>6.5283001302057894E-4</v>
      </c>
      <c r="L457" s="38">
        <v>29.725488000000002</v>
      </c>
      <c r="M457" s="37">
        <v>2.6371387525578193E-7</v>
      </c>
      <c r="N457" s="42">
        <v>0</v>
      </c>
      <c r="O457" s="37">
        <v>0</v>
      </c>
      <c r="Q457">
        <f>VLOOKUP(Table3[[#This Row],[Census Tract]],'Population and Diversity Data'!$B$2:$K$823,10,FALSE)</f>
        <v>2</v>
      </c>
      <c r="R457" t="str">
        <f>VLOOKUP(Table3[[#This Row],[Census Tract]],'ES Energy Burden'!$B$2:$E$914,4,FALSE)</f>
        <v>No</v>
      </c>
    </row>
    <row r="458" spans="1:18" hidden="1" x14ac:dyDescent="0.25">
      <c r="A458" s="140">
        <v>9009345201</v>
      </c>
      <c r="B458" s="39" t="s">
        <v>2799</v>
      </c>
      <c r="C458" s="39" t="s">
        <v>944</v>
      </c>
      <c r="D458" s="41">
        <v>120469.52720159998</v>
      </c>
      <c r="E458" s="37">
        <v>1.0687624663576847E-3</v>
      </c>
      <c r="F458" s="41">
        <v>55301.3724</v>
      </c>
      <c r="G458" s="37">
        <v>6.7659305109871843E-4</v>
      </c>
      <c r="H458" s="41">
        <v>120430.25714015999</v>
      </c>
      <c r="I458" s="37">
        <v>1.0684140764478582E-3</v>
      </c>
      <c r="J458" s="42">
        <v>55301.3724</v>
      </c>
      <c r="K458" s="37">
        <v>6.7659305109871843E-4</v>
      </c>
      <c r="L458" s="38">
        <v>39.270061440000006</v>
      </c>
      <c r="M458" s="37">
        <v>3.4838990982671347E-7</v>
      </c>
      <c r="N458" s="42">
        <v>0</v>
      </c>
      <c r="O458" s="37">
        <v>0</v>
      </c>
      <c r="Q458">
        <f>VLOOKUP(Table3[[#This Row],[Census Tract]],'Population and Diversity Data'!$B$2:$K$823,10,FALSE)</f>
        <v>4</v>
      </c>
      <c r="R458" t="str">
        <f>VLOOKUP(Table3[[#This Row],[Census Tract]],'ES Energy Burden'!$B$2:$E$914,4,FALSE)</f>
        <v>No</v>
      </c>
    </row>
    <row r="459" spans="1:18" hidden="1" x14ac:dyDescent="0.25">
      <c r="A459" s="140">
        <v>9009345202</v>
      </c>
      <c r="B459" s="39" t="s">
        <v>2799</v>
      </c>
      <c r="C459" s="39" t="s">
        <v>944</v>
      </c>
      <c r="D459" s="41">
        <v>76552.852731840016</v>
      </c>
      <c r="E459" s="37">
        <v>6.7914947118105184E-4</v>
      </c>
      <c r="F459" s="41">
        <v>51535.862300000001</v>
      </c>
      <c r="G459" s="37">
        <v>6.3052334510527305E-4</v>
      </c>
      <c r="H459" s="41">
        <v>76552.852731840016</v>
      </c>
      <c r="I459" s="37">
        <v>6.7914947118105184E-4</v>
      </c>
      <c r="J459" s="42">
        <v>51535.862300000001</v>
      </c>
      <c r="K459" s="37">
        <v>6.3052334510527305E-4</v>
      </c>
      <c r="L459" s="38">
        <v>0</v>
      </c>
      <c r="M459" s="37">
        <v>0</v>
      </c>
      <c r="N459" s="42">
        <v>0</v>
      </c>
      <c r="O459" s="37">
        <v>0</v>
      </c>
      <c r="Q459">
        <f>VLOOKUP(Table3[[#This Row],[Census Tract]],'Population and Diversity Data'!$B$2:$K$823,10,FALSE)</f>
        <v>3</v>
      </c>
      <c r="R459" t="str">
        <f>VLOOKUP(Table3[[#This Row],[Census Tract]],'ES Energy Burden'!$B$2:$E$914,4,FALSE)</f>
        <v>No</v>
      </c>
    </row>
    <row r="460" spans="1:18" hidden="1" x14ac:dyDescent="0.25">
      <c r="A460" s="140">
        <v>9009345300</v>
      </c>
      <c r="B460" s="39" t="s">
        <v>2799</v>
      </c>
      <c r="C460" s="39" t="s">
        <v>944</v>
      </c>
      <c r="D460" s="41">
        <v>93780.901569599999</v>
      </c>
      <c r="E460" s="37">
        <v>8.3199054555135497E-4</v>
      </c>
      <c r="F460" s="41">
        <v>25594.8802</v>
      </c>
      <c r="G460" s="37">
        <v>3.131444543865276E-4</v>
      </c>
      <c r="H460" s="41">
        <v>93771.541079999995</v>
      </c>
      <c r="I460" s="37">
        <v>8.319075026426327E-4</v>
      </c>
      <c r="J460" s="42">
        <v>25594.8802</v>
      </c>
      <c r="K460" s="37">
        <v>3.131444543865276E-4</v>
      </c>
      <c r="L460" s="38">
        <v>9.3604896000000011</v>
      </c>
      <c r="M460" s="37">
        <v>8.3042908722219938E-8</v>
      </c>
      <c r="N460" s="42">
        <v>0</v>
      </c>
      <c r="O460" s="37">
        <v>0</v>
      </c>
      <c r="Q460">
        <f>VLOOKUP(Table3[[#This Row],[Census Tract]],'Population and Diversity Data'!$B$2:$K$823,10,FALSE)</f>
        <v>4</v>
      </c>
      <c r="R460" t="str">
        <f>VLOOKUP(Table3[[#This Row],[Census Tract]],'ES Energy Burden'!$B$2:$E$914,4,FALSE)</f>
        <v>No</v>
      </c>
    </row>
    <row r="461" spans="1:18" hidden="1" x14ac:dyDescent="0.25">
      <c r="A461" s="140">
        <v>9009345400</v>
      </c>
      <c r="B461" s="39" t="s">
        <v>2799</v>
      </c>
      <c r="C461" s="39" t="s">
        <v>944</v>
      </c>
      <c r="D461" s="41">
        <v>283435.20482112002</v>
      </c>
      <c r="E461" s="37">
        <v>2.5145355476516936E-3</v>
      </c>
      <c r="F461" s="41">
        <v>1161160.6663000002</v>
      </c>
      <c r="G461" s="37">
        <v>1.4206396766163041E-2</v>
      </c>
      <c r="H461" s="41">
        <v>141079.33048031997</v>
      </c>
      <c r="I461" s="37">
        <v>1.2516052540317028E-3</v>
      </c>
      <c r="J461" s="42">
        <v>1079229.5663000001</v>
      </c>
      <c r="K461" s="37">
        <v>1.3203998262778443E-2</v>
      </c>
      <c r="L461" s="38">
        <v>142355.87434080002</v>
      </c>
      <c r="M461" s="37">
        <v>1.2629302936199903E-3</v>
      </c>
      <c r="N461" s="42">
        <v>81931.100000000006</v>
      </c>
      <c r="O461" s="37">
        <v>1.0023985033845962E-3</v>
      </c>
      <c r="Q461">
        <f>VLOOKUP(Table3[[#This Row],[Census Tract]],'Population and Diversity Data'!$B$2:$K$823,10,FALSE)</f>
        <v>4</v>
      </c>
      <c r="R461" t="str">
        <f>VLOOKUP(Table3[[#This Row],[Census Tract]],'ES Energy Burden'!$B$2:$E$914,4,FALSE)</f>
        <v>No</v>
      </c>
    </row>
    <row r="462" spans="1:18" hidden="1" x14ac:dyDescent="0.25">
      <c r="A462" s="140">
        <v>9009346102</v>
      </c>
      <c r="B462" s="39" t="s">
        <v>2799</v>
      </c>
      <c r="C462" s="39" t="s">
        <v>944</v>
      </c>
      <c r="D462" s="41">
        <v>364.28918399999998</v>
      </c>
      <c r="E462" s="37">
        <v>3.2318430710508967E-6</v>
      </c>
      <c r="F462" s="41">
        <v>0</v>
      </c>
      <c r="G462" s="37">
        <v>0</v>
      </c>
      <c r="H462" s="41">
        <v>364.28918399999998</v>
      </c>
      <c r="I462" s="37">
        <v>3.2318430710508967E-6</v>
      </c>
      <c r="J462" s="42">
        <v>0</v>
      </c>
      <c r="K462" s="37">
        <v>0</v>
      </c>
      <c r="L462" s="38">
        <v>0</v>
      </c>
      <c r="M462" s="37">
        <v>0</v>
      </c>
      <c r="N462" s="42">
        <v>0</v>
      </c>
      <c r="O462" s="37">
        <v>0</v>
      </c>
      <c r="Q462">
        <f>VLOOKUP(Table3[[#This Row],[Census Tract]],'Population and Diversity Data'!$B$2:$K$823,10,FALSE)</f>
        <v>2</v>
      </c>
      <c r="R462" t="str">
        <f>VLOOKUP(Table3[[#This Row],[Census Tract]],'ES Energy Burden'!$B$2:$E$914,4,FALSE)</f>
        <v>No</v>
      </c>
    </row>
    <row r="463" spans="1:18" hidden="1" x14ac:dyDescent="0.25">
      <c r="A463" s="140">
        <v>9009347200</v>
      </c>
      <c r="B463" s="39" t="s">
        <v>2799</v>
      </c>
      <c r="C463" s="39" t="s">
        <v>944</v>
      </c>
      <c r="D463" s="41">
        <v>782.27527680000003</v>
      </c>
      <c r="E463" s="37">
        <v>6.9400658708014303E-6</v>
      </c>
      <c r="F463" s="41">
        <v>0</v>
      </c>
      <c r="G463" s="37">
        <v>0</v>
      </c>
      <c r="H463" s="41">
        <v>782.27527680000003</v>
      </c>
      <c r="I463" s="37">
        <v>6.9400658708014303E-6</v>
      </c>
      <c r="J463" s="42">
        <v>0</v>
      </c>
      <c r="K463" s="37">
        <v>0</v>
      </c>
      <c r="L463" s="38">
        <v>0</v>
      </c>
      <c r="M463" s="37">
        <v>0</v>
      </c>
      <c r="N463" s="42">
        <v>0</v>
      </c>
      <c r="O463" s="37">
        <v>0</v>
      </c>
      <c r="Q463">
        <f>VLOOKUP(Table3[[#This Row],[Census Tract]],'Population and Diversity Data'!$B$2:$K$823,10,FALSE)</f>
        <v>2</v>
      </c>
      <c r="R463" t="str">
        <f>VLOOKUP(Table3[[#This Row],[Census Tract]],'ES Energy Burden'!$B$2:$E$914,4,FALSE)</f>
        <v>No</v>
      </c>
    </row>
    <row r="464" spans="1:18" hidden="1" x14ac:dyDescent="0.25">
      <c r="A464" s="140">
        <v>9009351900</v>
      </c>
      <c r="B464" s="39" t="s">
        <v>2799</v>
      </c>
      <c r="C464" s="39" t="s">
        <v>944</v>
      </c>
      <c r="D464" s="41">
        <v>679.60511999999994</v>
      </c>
      <c r="E464" s="37">
        <v>6.0292130389540004E-6</v>
      </c>
      <c r="F464" s="41">
        <v>0</v>
      </c>
      <c r="G464" s="37">
        <v>0</v>
      </c>
      <c r="H464" s="41">
        <v>679.60511999999994</v>
      </c>
      <c r="I464" s="37">
        <v>6.0292130389540004E-6</v>
      </c>
      <c r="J464" s="42">
        <v>0</v>
      </c>
      <c r="K464" s="37">
        <v>0</v>
      </c>
      <c r="L464" s="38">
        <v>0</v>
      </c>
      <c r="M464" s="37">
        <v>0</v>
      </c>
      <c r="N464" s="42">
        <v>0</v>
      </c>
      <c r="O464" s="37">
        <v>0</v>
      </c>
      <c r="Q464">
        <f>VLOOKUP(Table3[[#This Row],[Census Tract]],'Population and Diversity Data'!$B$2:$K$823,10,FALSE)</f>
        <v>4</v>
      </c>
      <c r="R464" t="str">
        <f>VLOOKUP(Table3[[#This Row],[Census Tract]],'ES Energy Burden'!$B$2:$E$914,4,FALSE)</f>
        <v>No</v>
      </c>
    </row>
    <row r="465" spans="1:18" hidden="1" x14ac:dyDescent="0.25">
      <c r="A465" s="140">
        <v>9003400300</v>
      </c>
      <c r="B465" s="39" t="s">
        <v>983</v>
      </c>
      <c r="C465" s="39" t="s">
        <v>944</v>
      </c>
      <c r="D465" s="41">
        <v>617.43919679999999</v>
      </c>
      <c r="E465" s="37">
        <v>5.47769924998188E-6</v>
      </c>
      <c r="F465" s="41">
        <v>436.28</v>
      </c>
      <c r="G465" s="37">
        <v>5.3377340113416223E-6</v>
      </c>
      <c r="H465" s="41">
        <v>617.43919679999999</v>
      </c>
      <c r="I465" s="37">
        <v>5.47769924998188E-6</v>
      </c>
      <c r="J465" s="42">
        <v>436.28</v>
      </c>
      <c r="K465" s="37">
        <v>5.3377340113416223E-6</v>
      </c>
      <c r="L465" s="38">
        <v>0</v>
      </c>
      <c r="M465" s="37">
        <v>0</v>
      </c>
      <c r="N465" s="42">
        <v>0</v>
      </c>
      <c r="O465" s="37">
        <v>0</v>
      </c>
      <c r="Q465">
        <f>VLOOKUP(Table3[[#This Row],[Census Tract]],'Population and Diversity Data'!$B$2:$K$823,10,FALSE)</f>
        <v>2</v>
      </c>
      <c r="R465" t="str">
        <f>VLOOKUP(Table3[[#This Row],[Census Tract]],'ES Energy Burden'!$B$2:$E$914,4,FALSE)</f>
        <v>No</v>
      </c>
    </row>
    <row r="466" spans="1:18" hidden="1" x14ac:dyDescent="0.25">
      <c r="A466" s="140">
        <v>9003415300</v>
      </c>
      <c r="B466" s="39" t="s">
        <v>983</v>
      </c>
      <c r="C466" s="39" t="s">
        <v>944</v>
      </c>
      <c r="D466" s="41">
        <v>61846.119786240008</v>
      </c>
      <c r="E466" s="37">
        <v>5.4867660770994379E-4</v>
      </c>
      <c r="F466" s="41">
        <v>907.27</v>
      </c>
      <c r="G466" s="37">
        <v>1.1100132796529555E-5</v>
      </c>
      <c r="H466" s="41">
        <v>61846.119786240008</v>
      </c>
      <c r="I466" s="37">
        <v>5.4867660770994379E-4</v>
      </c>
      <c r="J466" s="42">
        <v>907.27</v>
      </c>
      <c r="K466" s="37">
        <v>1.1100132796529555E-5</v>
      </c>
      <c r="L466" s="38">
        <v>0</v>
      </c>
      <c r="M466" s="37">
        <v>0</v>
      </c>
      <c r="N466" s="42">
        <v>0</v>
      </c>
      <c r="O466" s="37">
        <v>0</v>
      </c>
      <c r="Q466">
        <f>VLOOKUP(Table3[[#This Row],[Census Tract]],'Population and Diversity Data'!$B$2:$K$823,10,FALSE)</f>
        <v>5</v>
      </c>
      <c r="R466" t="str">
        <f>VLOOKUP(Table3[[#This Row],[Census Tract]],'ES Energy Burden'!$B$2:$E$914,4,FALSE)</f>
        <v>Yes</v>
      </c>
    </row>
    <row r="467" spans="1:18" hidden="1" x14ac:dyDescent="0.25">
      <c r="A467" s="140">
        <v>9003415400</v>
      </c>
      <c r="B467" s="39" t="s">
        <v>983</v>
      </c>
      <c r="C467" s="39" t="s">
        <v>944</v>
      </c>
      <c r="D467" s="41">
        <v>60029.682335999998</v>
      </c>
      <c r="E467" s="37">
        <v>5.3256182570325227E-4</v>
      </c>
      <c r="F467" s="41">
        <v>7314.39</v>
      </c>
      <c r="G467" s="37">
        <v>8.948901685893704E-5</v>
      </c>
      <c r="H467" s="41">
        <v>60029.682335999998</v>
      </c>
      <c r="I467" s="37">
        <v>5.3256182570325227E-4</v>
      </c>
      <c r="J467" s="42">
        <v>7314.39</v>
      </c>
      <c r="K467" s="37">
        <v>8.948901685893704E-5</v>
      </c>
      <c r="L467" s="38">
        <v>0</v>
      </c>
      <c r="M467" s="37">
        <v>0</v>
      </c>
      <c r="N467" s="42">
        <v>0</v>
      </c>
      <c r="O467" s="37">
        <v>0</v>
      </c>
      <c r="Q467">
        <f>VLOOKUP(Table3[[#This Row],[Census Tract]],'Population and Diversity Data'!$B$2:$K$823,10,FALSE)</f>
        <v>3</v>
      </c>
      <c r="R467" t="str">
        <f>VLOOKUP(Table3[[#This Row],[Census Tract]],'ES Energy Burden'!$B$2:$E$914,4,FALSE)</f>
        <v>Yes</v>
      </c>
    </row>
    <row r="468" spans="1:18" hidden="1" x14ac:dyDescent="0.25">
      <c r="A468" s="140">
        <v>9003415500</v>
      </c>
      <c r="B468" s="39" t="s">
        <v>983</v>
      </c>
      <c r="C468" s="39" t="s">
        <v>944</v>
      </c>
      <c r="D468" s="41">
        <v>30047.905635839998</v>
      </c>
      <c r="E468" s="37">
        <v>2.6657424895925729E-4</v>
      </c>
      <c r="F468" s="41">
        <v>2366.27</v>
      </c>
      <c r="G468" s="37">
        <v>2.8950490187534019E-5</v>
      </c>
      <c r="H468" s="41">
        <v>30047.905635839998</v>
      </c>
      <c r="I468" s="37">
        <v>2.6657424895925729E-4</v>
      </c>
      <c r="J468" s="42">
        <v>2366.27</v>
      </c>
      <c r="K468" s="37">
        <v>2.8950490187534019E-5</v>
      </c>
      <c r="L468" s="38">
        <v>0</v>
      </c>
      <c r="M468" s="37">
        <v>0</v>
      </c>
      <c r="N468" s="42">
        <v>0</v>
      </c>
      <c r="O468" s="37">
        <v>0</v>
      </c>
      <c r="Q468">
        <f>VLOOKUP(Table3[[#This Row],[Census Tract]],'Population and Diversity Data'!$B$2:$K$823,10,FALSE)</f>
        <v>4</v>
      </c>
      <c r="R468" t="str">
        <f>VLOOKUP(Table3[[#This Row],[Census Tract]],'ES Energy Burden'!$B$2:$E$914,4,FALSE)</f>
        <v>Yes</v>
      </c>
    </row>
    <row r="469" spans="1:18" hidden="1" x14ac:dyDescent="0.25">
      <c r="A469" s="140">
        <v>9003415600</v>
      </c>
      <c r="B469" s="39" t="s">
        <v>983</v>
      </c>
      <c r="C469" s="39" t="s">
        <v>944</v>
      </c>
      <c r="D469" s="41">
        <v>37752.075993600003</v>
      </c>
      <c r="E469" s="37">
        <v>3.3492288702621233E-4</v>
      </c>
      <c r="F469" s="41">
        <v>1307.4318000000001</v>
      </c>
      <c r="G469" s="37">
        <v>1.5995973196959748E-5</v>
      </c>
      <c r="H469" s="41">
        <v>37751.387126400004</v>
      </c>
      <c r="I469" s="37">
        <v>3.3491677564331937E-4</v>
      </c>
      <c r="J469" s="42">
        <v>1307.4318000000001</v>
      </c>
      <c r="K469" s="37">
        <v>1.5995973196959748E-5</v>
      </c>
      <c r="L469" s="38">
        <v>0.68886720000000001</v>
      </c>
      <c r="M469" s="37">
        <v>6.1113828929772247E-9</v>
      </c>
      <c r="N469" s="42">
        <v>0</v>
      </c>
      <c r="O469" s="37">
        <v>0</v>
      </c>
      <c r="Q469">
        <f>VLOOKUP(Table3[[#This Row],[Census Tract]],'Population and Diversity Data'!$B$2:$K$823,10,FALSE)</f>
        <v>5</v>
      </c>
      <c r="R469" t="str">
        <f>VLOOKUP(Table3[[#This Row],[Census Tract]],'ES Energy Burden'!$B$2:$E$914,4,FALSE)</f>
        <v>No</v>
      </c>
    </row>
    <row r="470" spans="1:18" hidden="1" x14ac:dyDescent="0.25">
      <c r="A470" s="140">
        <v>9003415700</v>
      </c>
      <c r="B470" s="39" t="s">
        <v>983</v>
      </c>
      <c r="C470" s="39" t="s">
        <v>944</v>
      </c>
      <c r="D470" s="41">
        <v>35649.427536000003</v>
      </c>
      <c r="E470" s="37">
        <v>3.1626894354665403E-4</v>
      </c>
      <c r="F470" s="41">
        <v>7072.64</v>
      </c>
      <c r="G470" s="37">
        <v>8.6531289717555734E-5</v>
      </c>
      <c r="H470" s="41">
        <v>35649.427536000003</v>
      </c>
      <c r="I470" s="37">
        <v>3.1626894354665403E-4</v>
      </c>
      <c r="J470" s="42">
        <v>7072.64</v>
      </c>
      <c r="K470" s="37">
        <v>8.6531289717555734E-5</v>
      </c>
      <c r="L470" s="38">
        <v>0</v>
      </c>
      <c r="M470" s="37">
        <v>0</v>
      </c>
      <c r="N470" s="42">
        <v>0</v>
      </c>
      <c r="O470" s="37">
        <v>0</v>
      </c>
      <c r="Q470">
        <f>VLOOKUP(Table3[[#This Row],[Census Tract]],'Population and Diversity Data'!$B$2:$K$823,10,FALSE)</f>
        <v>4</v>
      </c>
      <c r="R470" t="str">
        <f>VLOOKUP(Table3[[#This Row],[Census Tract]],'ES Energy Burden'!$B$2:$E$914,4,FALSE)</f>
        <v>No</v>
      </c>
    </row>
    <row r="471" spans="1:18" hidden="1" x14ac:dyDescent="0.25">
      <c r="A471" s="140">
        <v>9003415800</v>
      </c>
      <c r="B471" s="39" t="s">
        <v>983</v>
      </c>
      <c r="C471" s="39" t="s">
        <v>944</v>
      </c>
      <c r="D471" s="41">
        <v>33526.781089920005</v>
      </c>
      <c r="E471" s="37">
        <v>2.9743758508102785E-4</v>
      </c>
      <c r="F471" s="41">
        <v>4495.78</v>
      </c>
      <c r="G471" s="37">
        <v>5.5004304147587416E-5</v>
      </c>
      <c r="H471" s="41">
        <v>33526.124061120005</v>
      </c>
      <c r="I471" s="37">
        <v>2.9743175615700807E-4</v>
      </c>
      <c r="J471" s="42">
        <v>4495.78</v>
      </c>
      <c r="K471" s="37">
        <v>5.5004304147587416E-5</v>
      </c>
      <c r="L471" s="38">
        <v>0.65702879999999997</v>
      </c>
      <c r="M471" s="37">
        <v>5.8289240197723945E-9</v>
      </c>
      <c r="N471" s="42">
        <v>0</v>
      </c>
      <c r="O471" s="37">
        <v>0</v>
      </c>
      <c r="Q471">
        <f>VLOOKUP(Table3[[#This Row],[Census Tract]],'Population and Diversity Data'!$B$2:$K$823,10,FALSE)</f>
        <v>3</v>
      </c>
      <c r="R471" t="str">
        <f>VLOOKUP(Table3[[#This Row],[Census Tract]],'ES Energy Burden'!$B$2:$E$914,4,FALSE)</f>
        <v>No</v>
      </c>
    </row>
    <row r="472" spans="1:18" x14ac:dyDescent="0.25">
      <c r="A472" s="140">
        <v>9003417100</v>
      </c>
      <c r="B472" s="39" t="s">
        <v>983</v>
      </c>
      <c r="C472" s="39" t="s">
        <v>936</v>
      </c>
      <c r="D472" s="41">
        <v>13994.03441376</v>
      </c>
      <c r="E472" s="37">
        <v>1.2415005754372893E-4</v>
      </c>
      <c r="F472" s="41">
        <v>1500.57</v>
      </c>
      <c r="G472" s="37">
        <v>1.835895187814912E-5</v>
      </c>
      <c r="H472" s="41">
        <v>13994.03441376</v>
      </c>
      <c r="I472" s="37">
        <v>1.2415005754372893E-4</v>
      </c>
      <c r="J472" s="42">
        <v>1500.57</v>
      </c>
      <c r="K472" s="37">
        <v>1.835895187814912E-5</v>
      </c>
      <c r="L472" s="38">
        <v>0</v>
      </c>
      <c r="M472" s="37">
        <v>0</v>
      </c>
      <c r="N472" s="42">
        <v>0</v>
      </c>
      <c r="O472" s="37">
        <v>0</v>
      </c>
      <c r="Q472">
        <f>VLOOKUP(Table3[[#This Row],[Census Tract]],'Population and Diversity Data'!$B$2:$K$823,10,FALSE)</f>
        <v>4</v>
      </c>
      <c r="R472" t="e">
        <f>VLOOKUP(Table3[[#This Row],[Census Tract]],'ES Energy Burden'!$B$2:$E$914,4,FALSE)</f>
        <v>#N/A</v>
      </c>
    </row>
    <row r="473" spans="1:18" hidden="1" x14ac:dyDescent="0.25">
      <c r="A473" s="140">
        <v>9003416000</v>
      </c>
      <c r="B473" s="39" t="s">
        <v>983</v>
      </c>
      <c r="C473" s="39" t="s">
        <v>944</v>
      </c>
      <c r="D473" s="41">
        <v>53175.932429759996</v>
      </c>
      <c r="E473" s="37">
        <v>4.7175781307245876E-4</v>
      </c>
      <c r="F473" s="41">
        <v>772.94</v>
      </c>
      <c r="G473" s="37">
        <v>9.4566519820445456E-6</v>
      </c>
      <c r="H473" s="41">
        <v>53175.932429759996</v>
      </c>
      <c r="I473" s="37">
        <v>4.7175781307245876E-4</v>
      </c>
      <c r="J473" s="42">
        <v>772.94</v>
      </c>
      <c r="K473" s="37">
        <v>9.4566519820445456E-6</v>
      </c>
      <c r="L473" s="38">
        <v>0</v>
      </c>
      <c r="M473" s="37">
        <v>0</v>
      </c>
      <c r="N473" s="42">
        <v>0</v>
      </c>
      <c r="O473" s="37">
        <v>0</v>
      </c>
      <c r="Q473">
        <f>VLOOKUP(Table3[[#This Row],[Census Tract]],'Population and Diversity Data'!$B$2:$K$823,10,FALSE)</f>
        <v>3</v>
      </c>
      <c r="R473" t="str">
        <f>VLOOKUP(Table3[[#This Row],[Census Tract]],'ES Energy Burden'!$B$2:$E$914,4,FALSE)</f>
        <v>Yes</v>
      </c>
    </row>
    <row r="474" spans="1:18" hidden="1" x14ac:dyDescent="0.25">
      <c r="A474" s="140">
        <v>9003416100</v>
      </c>
      <c r="B474" s="39" t="s">
        <v>983</v>
      </c>
      <c r="C474" s="39" t="s">
        <v>944</v>
      </c>
      <c r="D474" s="41">
        <v>45937.126019520001</v>
      </c>
      <c r="E474" s="37">
        <v>4.0753771715104663E-4</v>
      </c>
      <c r="F474" s="41">
        <v>2835.0911999999998</v>
      </c>
      <c r="G474" s="37">
        <v>3.4686354459281499E-5</v>
      </c>
      <c r="H474" s="41">
        <v>45937.126019520001</v>
      </c>
      <c r="I474" s="37">
        <v>4.0753771715104663E-4</v>
      </c>
      <c r="J474" s="42">
        <v>2835.0911999999998</v>
      </c>
      <c r="K474" s="37">
        <v>3.4686354459281499E-5</v>
      </c>
      <c r="L474" s="38">
        <v>0</v>
      </c>
      <c r="M474" s="37">
        <v>0</v>
      </c>
      <c r="N474" s="42">
        <v>0</v>
      </c>
      <c r="O474" s="37">
        <v>0</v>
      </c>
      <c r="Q474">
        <f>VLOOKUP(Table3[[#This Row],[Census Tract]],'Population and Diversity Data'!$B$2:$K$823,10,FALSE)</f>
        <v>5</v>
      </c>
      <c r="R474" t="str">
        <f>VLOOKUP(Table3[[#This Row],[Census Tract]],'ES Energy Burden'!$B$2:$E$914,4,FALSE)</f>
        <v>Yes</v>
      </c>
    </row>
    <row r="475" spans="1:18" hidden="1" x14ac:dyDescent="0.25">
      <c r="A475" s="140">
        <v>9003416200</v>
      </c>
      <c r="B475" s="39" t="s">
        <v>983</v>
      </c>
      <c r="C475" s="39" t="s">
        <v>944</v>
      </c>
      <c r="D475" s="41">
        <v>25037.862480000003</v>
      </c>
      <c r="E475" s="37">
        <v>2.2212694179224722E-4</v>
      </c>
      <c r="F475" s="41">
        <v>31916.26</v>
      </c>
      <c r="G475" s="37">
        <v>3.9048433693229616E-4</v>
      </c>
      <c r="H475" s="41">
        <v>25037.862480000003</v>
      </c>
      <c r="I475" s="37">
        <v>2.2212694179224722E-4</v>
      </c>
      <c r="J475" s="42">
        <v>31916.26</v>
      </c>
      <c r="K475" s="37">
        <v>3.9048433693229616E-4</v>
      </c>
      <c r="L475" s="38">
        <v>0</v>
      </c>
      <c r="M475" s="37">
        <v>0</v>
      </c>
      <c r="N475" s="42">
        <v>0</v>
      </c>
      <c r="O475" s="37">
        <v>0</v>
      </c>
      <c r="Q475">
        <f>VLOOKUP(Table3[[#This Row],[Census Tract]],'Population and Diversity Data'!$B$2:$K$823,10,FALSE)</f>
        <v>4</v>
      </c>
      <c r="R475" t="str">
        <f>VLOOKUP(Table3[[#This Row],[Census Tract]],'ES Energy Burden'!$B$2:$E$914,4,FALSE)</f>
        <v>Yes</v>
      </c>
    </row>
    <row r="476" spans="1:18" hidden="1" x14ac:dyDescent="0.25">
      <c r="A476" s="140">
        <v>9003416300</v>
      </c>
      <c r="B476" s="39" t="s">
        <v>983</v>
      </c>
      <c r="C476" s="39" t="s">
        <v>944</v>
      </c>
      <c r="D476" s="41">
        <v>46612.013846400005</v>
      </c>
      <c r="E476" s="37">
        <v>4.1352508005622346E-4</v>
      </c>
      <c r="F476" s="41">
        <v>7464.55</v>
      </c>
      <c r="G476" s="37">
        <v>9.132617221591663E-5</v>
      </c>
      <c r="H476" s="41">
        <v>46612.013846400005</v>
      </c>
      <c r="I476" s="37">
        <v>4.1352508005622346E-4</v>
      </c>
      <c r="J476" s="42">
        <v>7464.55</v>
      </c>
      <c r="K476" s="37">
        <v>9.132617221591663E-5</v>
      </c>
      <c r="L476" s="38">
        <v>0</v>
      </c>
      <c r="M476" s="37">
        <v>0</v>
      </c>
      <c r="N476" s="42">
        <v>0</v>
      </c>
      <c r="O476" s="37">
        <v>0</v>
      </c>
      <c r="Q476">
        <f>VLOOKUP(Table3[[#This Row],[Census Tract]],'Population and Diversity Data'!$B$2:$K$823,10,FALSE)</f>
        <v>4</v>
      </c>
      <c r="R476" t="str">
        <f>VLOOKUP(Table3[[#This Row],[Census Tract]],'ES Energy Burden'!$B$2:$E$914,4,FALSE)</f>
        <v>Yes</v>
      </c>
    </row>
    <row r="477" spans="1:18" hidden="1" x14ac:dyDescent="0.25">
      <c r="A477" s="140">
        <v>9003416400</v>
      </c>
      <c r="B477" s="39" t="s">
        <v>983</v>
      </c>
      <c r="C477" s="39" t="s">
        <v>944</v>
      </c>
      <c r="D477" s="41">
        <v>55528.130845440013</v>
      </c>
      <c r="E477" s="37">
        <v>4.9262567433581257E-4</v>
      </c>
      <c r="F477" s="41">
        <v>6996.7744000000002</v>
      </c>
      <c r="G477" s="37">
        <v>8.5603100496388501E-5</v>
      </c>
      <c r="H477" s="41">
        <v>55528.130845440013</v>
      </c>
      <c r="I477" s="37">
        <v>4.9262567433581257E-4</v>
      </c>
      <c r="J477" s="42">
        <v>6996.7744000000002</v>
      </c>
      <c r="K477" s="37">
        <v>8.5603100496388501E-5</v>
      </c>
      <c r="L477" s="38">
        <v>0</v>
      </c>
      <c r="M477" s="37">
        <v>0</v>
      </c>
      <c r="N477" s="42">
        <v>0</v>
      </c>
      <c r="O477" s="37">
        <v>0</v>
      </c>
      <c r="Q477">
        <f>VLOOKUP(Table3[[#This Row],[Census Tract]],'Population and Diversity Data'!$B$2:$K$823,10,FALSE)</f>
        <v>3</v>
      </c>
      <c r="R477" t="str">
        <f>VLOOKUP(Table3[[#This Row],[Census Tract]],'ES Energy Burden'!$B$2:$E$914,4,FALSE)</f>
        <v>No</v>
      </c>
    </row>
    <row r="478" spans="1:18" hidden="1" x14ac:dyDescent="0.25">
      <c r="A478" s="140">
        <v>9003416500</v>
      </c>
      <c r="B478" s="39" t="s">
        <v>983</v>
      </c>
      <c r="C478" s="39" t="s">
        <v>944</v>
      </c>
      <c r="D478" s="41">
        <v>58912.03814112</v>
      </c>
      <c r="E478" s="37">
        <v>5.2264648699497168E-4</v>
      </c>
      <c r="F478" s="41">
        <v>9258.3799999999992</v>
      </c>
      <c r="G478" s="37">
        <v>1.1327305816430972E-4</v>
      </c>
      <c r="H478" s="41">
        <v>58902.579241920001</v>
      </c>
      <c r="I478" s="37">
        <v>5.2256257103155046E-4</v>
      </c>
      <c r="J478" s="42">
        <v>9258.3799999999992</v>
      </c>
      <c r="K478" s="37">
        <v>1.1327305816430972E-4</v>
      </c>
      <c r="L478" s="38">
        <v>9.4588992000000012</v>
      </c>
      <c r="M478" s="37">
        <v>8.3915963421216693E-8</v>
      </c>
      <c r="N478" s="42">
        <v>0</v>
      </c>
      <c r="O478" s="37">
        <v>0</v>
      </c>
      <c r="Q478">
        <f>VLOOKUP(Table3[[#This Row],[Census Tract]],'Population and Diversity Data'!$B$2:$K$823,10,FALSE)</f>
        <v>3</v>
      </c>
      <c r="R478" t="str">
        <f>VLOOKUP(Table3[[#This Row],[Census Tract]],'ES Energy Burden'!$B$2:$E$914,4,FALSE)</f>
        <v>No</v>
      </c>
    </row>
    <row r="479" spans="1:18" hidden="1" x14ac:dyDescent="0.25">
      <c r="A479" s="140">
        <v>9003416600</v>
      </c>
      <c r="B479" s="39" t="s">
        <v>983</v>
      </c>
      <c r="C479" s="39" t="s">
        <v>944</v>
      </c>
      <c r="D479" s="41">
        <v>21919.58064</v>
      </c>
      <c r="E479" s="37">
        <v>1.9446266296977235E-4</v>
      </c>
      <c r="F479" s="41">
        <v>3646.41</v>
      </c>
      <c r="G479" s="37">
        <v>4.4612557706739262E-5</v>
      </c>
      <c r="H479" s="41">
        <v>21919.58064</v>
      </c>
      <c r="I479" s="37">
        <v>1.9446266296977235E-4</v>
      </c>
      <c r="J479" s="42">
        <v>3646.41</v>
      </c>
      <c r="K479" s="37">
        <v>4.4612557706739262E-5</v>
      </c>
      <c r="L479" s="38">
        <v>0</v>
      </c>
      <c r="M479" s="37">
        <v>0</v>
      </c>
      <c r="N479" s="42">
        <v>0</v>
      </c>
      <c r="O479" s="37">
        <v>0</v>
      </c>
      <c r="Q479">
        <f>VLOOKUP(Table3[[#This Row],[Census Tract]],'Population and Diversity Data'!$B$2:$K$823,10,FALSE)</f>
        <v>4</v>
      </c>
      <c r="R479" t="str">
        <f>VLOOKUP(Table3[[#This Row],[Census Tract]],'ES Energy Burden'!$B$2:$E$914,4,FALSE)</f>
        <v>Yes</v>
      </c>
    </row>
    <row r="480" spans="1:18" hidden="1" x14ac:dyDescent="0.25">
      <c r="A480" s="140">
        <v>9003416700</v>
      </c>
      <c r="B480" s="39" t="s">
        <v>983</v>
      </c>
      <c r="C480" s="39" t="s">
        <v>944</v>
      </c>
      <c r="D480" s="41">
        <v>490335.53576543997</v>
      </c>
      <c r="E480" s="37">
        <v>4.3500811260802257E-3</v>
      </c>
      <c r="F480" s="41">
        <v>674060.61529999995</v>
      </c>
      <c r="G480" s="37">
        <v>8.2468971119296578E-3</v>
      </c>
      <c r="H480" s="41">
        <v>134497.10365920002</v>
      </c>
      <c r="I480" s="37">
        <v>1.1932100968921433E-3</v>
      </c>
      <c r="J480" s="42">
        <v>572786.77769999998</v>
      </c>
      <c r="K480" s="37">
        <v>7.0078469436510114E-3</v>
      </c>
      <c r="L480" s="38">
        <v>355838.43210623995</v>
      </c>
      <c r="M480" s="37">
        <v>3.156871029188082E-3</v>
      </c>
      <c r="N480" s="42">
        <v>101273.8376</v>
      </c>
      <c r="O480" s="37">
        <v>1.2390501682786469E-3</v>
      </c>
      <c r="Q480">
        <f>VLOOKUP(Table3[[#This Row],[Census Tract]],'Population and Diversity Data'!$B$2:$K$823,10,FALSE)</f>
        <v>5</v>
      </c>
      <c r="R480" t="str">
        <f>VLOOKUP(Table3[[#This Row],[Census Tract]],'ES Energy Burden'!$B$2:$E$914,4,FALSE)</f>
        <v>No</v>
      </c>
    </row>
    <row r="481" spans="1:18" hidden="1" x14ac:dyDescent="0.25">
      <c r="A481" s="140">
        <v>9003416800</v>
      </c>
      <c r="B481" s="39" t="s">
        <v>983</v>
      </c>
      <c r="C481" s="39" t="s">
        <v>944</v>
      </c>
      <c r="D481" s="41">
        <v>37524.223036800002</v>
      </c>
      <c r="E481" s="37">
        <v>3.3290145726108227E-4</v>
      </c>
      <c r="F481" s="41">
        <v>42090.9902</v>
      </c>
      <c r="G481" s="37">
        <v>5.1496862098099143E-4</v>
      </c>
      <c r="H481" s="41">
        <v>37524.223036800002</v>
      </c>
      <c r="I481" s="37">
        <v>3.3290145726108227E-4</v>
      </c>
      <c r="J481" s="42">
        <v>42090.9902</v>
      </c>
      <c r="K481" s="37">
        <v>5.1496862098099143E-4</v>
      </c>
      <c r="L481" s="38">
        <v>0</v>
      </c>
      <c r="M481" s="37">
        <v>0</v>
      </c>
      <c r="N481" s="42">
        <v>0</v>
      </c>
      <c r="O481" s="37">
        <v>0</v>
      </c>
      <c r="Q481">
        <f>VLOOKUP(Table3[[#This Row],[Census Tract]],'Population and Diversity Data'!$B$2:$K$823,10,FALSE)</f>
        <v>5</v>
      </c>
      <c r="R481" t="str">
        <f>VLOOKUP(Table3[[#This Row],[Census Tract]],'ES Energy Burden'!$B$2:$E$914,4,FALSE)</f>
        <v>No</v>
      </c>
    </row>
    <row r="482" spans="1:18" x14ac:dyDescent="0.25">
      <c r="A482" s="140">
        <v>9003417100</v>
      </c>
      <c r="B482" s="39" t="s">
        <v>983</v>
      </c>
      <c r="C482" s="39" t="s">
        <v>936</v>
      </c>
      <c r="D482" s="41">
        <v>18956.984523840001</v>
      </c>
      <c r="E482" s="37">
        <v>1.68179572087958E-4</v>
      </c>
      <c r="F482" s="41">
        <v>1649.1361999999999</v>
      </c>
      <c r="G482" s="37">
        <v>2.0176607646636748E-5</v>
      </c>
      <c r="H482" s="41">
        <v>18956.984523840001</v>
      </c>
      <c r="I482" s="37">
        <v>1.68179572087958E-4</v>
      </c>
      <c r="J482" s="42">
        <v>1649.1361999999999</v>
      </c>
      <c r="K482" s="37">
        <v>2.0176607646636748E-5</v>
      </c>
      <c r="L482" s="38">
        <v>0</v>
      </c>
      <c r="M482" s="37">
        <v>0</v>
      </c>
      <c r="N482" s="42">
        <v>0</v>
      </c>
      <c r="O482" s="37">
        <v>0</v>
      </c>
      <c r="Q482">
        <f>VLOOKUP(Table3[[#This Row],[Census Tract]],'Population and Diversity Data'!$B$2:$K$823,10,FALSE)</f>
        <v>4</v>
      </c>
      <c r="R482" t="e">
        <f>VLOOKUP(Table3[[#This Row],[Census Tract]],'ES Energy Burden'!$B$2:$E$914,4,FALSE)</f>
        <v>#N/A</v>
      </c>
    </row>
    <row r="483" spans="1:18" hidden="1" x14ac:dyDescent="0.25">
      <c r="A483" s="140">
        <v>9001020100</v>
      </c>
      <c r="B483" s="39" t="s">
        <v>983</v>
      </c>
      <c r="C483" s="39" t="s">
        <v>944</v>
      </c>
      <c r="D483" s="41">
        <v>25307.12677536</v>
      </c>
      <c r="E483" s="37">
        <v>2.2451575811033094E-4</v>
      </c>
      <c r="F483" s="41">
        <v>29318.762900000002</v>
      </c>
      <c r="G483" s="37">
        <v>3.5870486362379883E-4</v>
      </c>
      <c r="H483" s="41">
        <v>25307.12677536</v>
      </c>
      <c r="I483" s="37">
        <v>2.2451575811033094E-4</v>
      </c>
      <c r="J483" s="42">
        <v>29318.762900000002</v>
      </c>
      <c r="K483" s="37">
        <v>3.5870486362379883E-4</v>
      </c>
      <c r="L483" s="38">
        <v>0</v>
      </c>
      <c r="M483" s="37">
        <v>0</v>
      </c>
      <c r="N483" s="42">
        <v>0</v>
      </c>
      <c r="O483" s="37">
        <v>0</v>
      </c>
      <c r="Q483">
        <f>VLOOKUP(Table3[[#This Row],[Census Tract]],'Population and Diversity Data'!$B$2:$K$823,10,FALSE)</f>
        <v>4</v>
      </c>
      <c r="R483" t="str">
        <f>VLOOKUP(Table3[[#This Row],[Census Tract]],'ES Energy Burden'!$B$2:$E$914,4,FALSE)</f>
        <v>No</v>
      </c>
    </row>
    <row r="484" spans="1:18" x14ac:dyDescent="0.25">
      <c r="A484" s="140">
        <v>9003417300</v>
      </c>
      <c r="B484" s="39" t="s">
        <v>983</v>
      </c>
      <c r="C484" s="39" t="s">
        <v>936</v>
      </c>
      <c r="D484" s="41">
        <v>1344.3822288000001</v>
      </c>
      <c r="E484" s="37">
        <v>1.1926877277232699E-5</v>
      </c>
      <c r="F484" s="41">
        <v>0</v>
      </c>
      <c r="G484" s="37">
        <v>0</v>
      </c>
      <c r="H484" s="41">
        <v>1344.3822288000001</v>
      </c>
      <c r="I484" s="37">
        <v>1.1926877277232699E-5</v>
      </c>
      <c r="J484" s="42">
        <v>0</v>
      </c>
      <c r="K484" s="37">
        <v>0</v>
      </c>
      <c r="L484" s="38">
        <v>0</v>
      </c>
      <c r="M484" s="37">
        <v>0</v>
      </c>
      <c r="N484" s="42">
        <v>0</v>
      </c>
      <c r="O484" s="37">
        <v>0</v>
      </c>
      <c r="Q484" t="e">
        <f>VLOOKUP(Table3[[#This Row],[Census Tract]],'Population and Diversity Data'!$B$2:$K$823,10,FALSE)</f>
        <v>#N/A</v>
      </c>
      <c r="R484" t="e">
        <f>VLOOKUP(Table3[[#This Row],[Census Tract]],'ES Energy Burden'!$B$2:$E$914,4,FALSE)</f>
        <v>#N/A</v>
      </c>
    </row>
    <row r="485" spans="1:18" hidden="1" x14ac:dyDescent="0.25">
      <c r="A485" s="140">
        <v>9003417400</v>
      </c>
      <c r="B485" s="39" t="s">
        <v>983</v>
      </c>
      <c r="C485" s="39" t="s">
        <v>944</v>
      </c>
      <c r="D485" s="41">
        <v>42183.385027200005</v>
      </c>
      <c r="E485" s="37">
        <v>3.742358724919719E-4</v>
      </c>
      <c r="F485" s="41">
        <v>6750.4196000000002</v>
      </c>
      <c r="G485" s="37">
        <v>8.2589035229089372E-5</v>
      </c>
      <c r="H485" s="41">
        <v>42183.385027200005</v>
      </c>
      <c r="I485" s="37">
        <v>3.742358724919719E-4</v>
      </c>
      <c r="J485" s="42">
        <v>6750.4196000000002</v>
      </c>
      <c r="K485" s="37">
        <v>8.2589035229089372E-5</v>
      </c>
      <c r="L485" s="38">
        <v>0</v>
      </c>
      <c r="M485" s="37">
        <v>0</v>
      </c>
      <c r="N485" s="42">
        <v>0</v>
      </c>
      <c r="O485" s="37">
        <v>0</v>
      </c>
      <c r="Q485">
        <f>VLOOKUP(Table3[[#This Row],[Census Tract]],'Population and Diversity Data'!$B$2:$K$823,10,FALSE)</f>
        <v>4</v>
      </c>
      <c r="R485" t="str">
        <f>VLOOKUP(Table3[[#This Row],[Census Tract]],'ES Energy Burden'!$B$2:$E$914,4,FALSE)</f>
        <v>No</v>
      </c>
    </row>
    <row r="486" spans="1:18" hidden="1" x14ac:dyDescent="0.25">
      <c r="A486" s="140">
        <v>9003417500</v>
      </c>
      <c r="B486" s="39" t="s">
        <v>983</v>
      </c>
      <c r="C486" s="39" t="s">
        <v>944</v>
      </c>
      <c r="D486" s="41">
        <v>60109.840428480005</v>
      </c>
      <c r="E486" s="37">
        <v>5.3327295956928048E-4</v>
      </c>
      <c r="F486" s="41">
        <v>6313.4265999999998</v>
      </c>
      <c r="G486" s="37">
        <v>7.724257791081163E-5</v>
      </c>
      <c r="H486" s="41">
        <v>60109.840428480005</v>
      </c>
      <c r="I486" s="37">
        <v>5.3327295956928048E-4</v>
      </c>
      <c r="J486" s="42">
        <v>6313.4265999999998</v>
      </c>
      <c r="K486" s="37">
        <v>7.724257791081163E-5</v>
      </c>
      <c r="L486" s="38">
        <v>0</v>
      </c>
      <c r="M486" s="37">
        <v>0</v>
      </c>
      <c r="N486" s="42">
        <v>0</v>
      </c>
      <c r="O486" s="37">
        <v>0</v>
      </c>
      <c r="Q486">
        <f>VLOOKUP(Table3[[#This Row],[Census Tract]],'Population and Diversity Data'!$B$2:$K$823,10,FALSE)</f>
        <v>4</v>
      </c>
      <c r="R486" t="str">
        <f>VLOOKUP(Table3[[#This Row],[Census Tract]],'ES Energy Burden'!$B$2:$E$914,4,FALSE)</f>
        <v>No</v>
      </c>
    </row>
    <row r="487" spans="1:18" hidden="1" x14ac:dyDescent="0.25">
      <c r="A487" s="140">
        <v>9003460100</v>
      </c>
      <c r="B487" s="39" t="s">
        <v>983</v>
      </c>
      <c r="C487" s="39" t="s">
        <v>944</v>
      </c>
      <c r="D487" s="41">
        <v>481.512384</v>
      </c>
      <c r="E487" s="37">
        <v>4.2718052860323154E-6</v>
      </c>
      <c r="F487" s="41">
        <v>0</v>
      </c>
      <c r="G487" s="37">
        <v>0</v>
      </c>
      <c r="H487" s="41">
        <v>481.512384</v>
      </c>
      <c r="I487" s="37">
        <v>4.2718052860323154E-6</v>
      </c>
      <c r="J487" s="42">
        <v>0</v>
      </c>
      <c r="K487" s="37">
        <v>0</v>
      </c>
      <c r="L487" s="38">
        <v>0</v>
      </c>
      <c r="M487" s="37">
        <v>0</v>
      </c>
      <c r="N487" s="42">
        <v>0</v>
      </c>
      <c r="O487" s="37">
        <v>0</v>
      </c>
      <c r="Q487">
        <f>VLOOKUP(Table3[[#This Row],[Census Tract]],'Population and Diversity Data'!$B$2:$K$823,10,FALSE)</f>
        <v>3</v>
      </c>
      <c r="R487" t="str">
        <f>VLOOKUP(Table3[[#This Row],[Census Tract]],'ES Energy Burden'!$B$2:$E$914,4,FALSE)</f>
        <v>No</v>
      </c>
    </row>
    <row r="488" spans="1:18" hidden="1" x14ac:dyDescent="0.25">
      <c r="A488" s="140">
        <v>9003460202</v>
      </c>
      <c r="B488" s="39" t="s">
        <v>983</v>
      </c>
      <c r="C488" s="39" t="s">
        <v>944</v>
      </c>
      <c r="D488" s="41">
        <v>647.01417600000002</v>
      </c>
      <c r="E488" s="37">
        <v>5.7400778651097848E-6</v>
      </c>
      <c r="F488" s="41">
        <v>5360.46</v>
      </c>
      <c r="G488" s="37">
        <v>6.5583363111846322E-5</v>
      </c>
      <c r="H488" s="41">
        <v>647.01417600000002</v>
      </c>
      <c r="I488" s="37">
        <v>5.7400778651097848E-6</v>
      </c>
      <c r="J488" s="42">
        <v>5360.46</v>
      </c>
      <c r="K488" s="37">
        <v>6.5583363111846322E-5</v>
      </c>
      <c r="L488" s="38">
        <v>0</v>
      </c>
      <c r="M488" s="37">
        <v>0</v>
      </c>
      <c r="N488" s="42">
        <v>0</v>
      </c>
      <c r="O488" s="37">
        <v>0</v>
      </c>
      <c r="Q488">
        <f>VLOOKUP(Table3[[#This Row],[Census Tract]],'Population and Diversity Data'!$B$2:$K$823,10,FALSE)</f>
        <v>4</v>
      </c>
      <c r="R488" t="str">
        <f>VLOOKUP(Table3[[#This Row],[Census Tract]],'ES Energy Burden'!$B$2:$E$914,4,FALSE)</f>
        <v>No</v>
      </c>
    </row>
    <row r="489" spans="1:18" hidden="1" x14ac:dyDescent="0.25">
      <c r="A489" s="140">
        <v>9003494300</v>
      </c>
      <c r="B489" s="39" t="s">
        <v>983</v>
      </c>
      <c r="C489" s="39" t="s">
        <v>944</v>
      </c>
      <c r="D489" s="41">
        <v>144.546336</v>
      </c>
      <c r="E489" s="37">
        <v>1.2823632843499269E-6</v>
      </c>
      <c r="F489" s="41">
        <v>0</v>
      </c>
      <c r="G489" s="37">
        <v>0</v>
      </c>
      <c r="H489" s="41">
        <v>144.546336</v>
      </c>
      <c r="I489" s="37">
        <v>1.2823632843499269E-6</v>
      </c>
      <c r="J489" s="42">
        <v>0</v>
      </c>
      <c r="K489" s="37">
        <v>0</v>
      </c>
      <c r="L489" s="38">
        <v>0</v>
      </c>
      <c r="M489" s="37">
        <v>0</v>
      </c>
      <c r="N489" s="42">
        <v>0</v>
      </c>
      <c r="O489" s="37">
        <v>0</v>
      </c>
      <c r="Q489">
        <f>VLOOKUP(Table3[[#This Row],[Census Tract]],'Population and Diversity Data'!$B$2:$K$823,10,FALSE)</f>
        <v>3</v>
      </c>
      <c r="R489" t="str">
        <f>VLOOKUP(Table3[[#This Row],[Census Tract]],'ES Energy Burden'!$B$2:$E$914,4,FALSE)</f>
        <v>No</v>
      </c>
    </row>
    <row r="490" spans="1:18" hidden="1" x14ac:dyDescent="0.25">
      <c r="A490" s="140">
        <v>9001035100</v>
      </c>
      <c r="B490" s="39" t="s">
        <v>2800</v>
      </c>
      <c r="C490" s="39" t="s">
        <v>944</v>
      </c>
      <c r="D490" s="41">
        <v>371354.68936800002</v>
      </c>
      <c r="E490" s="37">
        <v>3.2945257022405283E-3</v>
      </c>
      <c r="F490" s="41">
        <v>173505.5471</v>
      </c>
      <c r="G490" s="37">
        <v>2.1227800034659067E-3</v>
      </c>
      <c r="H490" s="41">
        <v>247121.76777120001</v>
      </c>
      <c r="I490" s="37">
        <v>2.1923757496934127E-3</v>
      </c>
      <c r="J490" s="42">
        <v>87927.7071</v>
      </c>
      <c r="K490" s="37">
        <v>1.0757649049393835E-3</v>
      </c>
      <c r="L490" s="38">
        <v>124232.92159680001</v>
      </c>
      <c r="M490" s="37">
        <v>1.1021499525471156E-3</v>
      </c>
      <c r="N490" s="42">
        <v>85577.84</v>
      </c>
      <c r="O490" s="37">
        <v>1.0470150985265232E-3</v>
      </c>
      <c r="Q490">
        <f>VLOOKUP(Table3[[#This Row],[Census Tract]],'Population and Diversity Data'!$B$2:$K$823,10,FALSE)</f>
        <v>2</v>
      </c>
      <c r="R490" t="str">
        <f>VLOOKUP(Table3[[#This Row],[Census Tract]],'ES Energy Burden'!$B$2:$E$914,4,FALSE)</f>
        <v>No</v>
      </c>
    </row>
    <row r="491" spans="1:18" hidden="1" x14ac:dyDescent="0.25">
      <c r="A491" s="140">
        <v>9001035200</v>
      </c>
      <c r="B491" s="39" t="s">
        <v>2800</v>
      </c>
      <c r="C491" s="39" t="s">
        <v>944</v>
      </c>
      <c r="D491" s="41">
        <v>168416.02037664002</v>
      </c>
      <c r="E491" s="37">
        <v>1.4941265687103428E-3</v>
      </c>
      <c r="F491" s="41">
        <v>16177.38</v>
      </c>
      <c r="G491" s="37">
        <v>1.9792461593563248E-4</v>
      </c>
      <c r="H491" s="41">
        <v>168416.02037664002</v>
      </c>
      <c r="I491" s="37">
        <v>1.4941265687103428E-3</v>
      </c>
      <c r="J491" s="42">
        <v>16177.38</v>
      </c>
      <c r="K491" s="37">
        <v>1.9792461593563248E-4</v>
      </c>
      <c r="L491" s="38">
        <v>0</v>
      </c>
      <c r="M491" s="37">
        <v>0</v>
      </c>
      <c r="N491" s="42">
        <v>0</v>
      </c>
      <c r="O491" s="37">
        <v>0</v>
      </c>
      <c r="Q491">
        <f>VLOOKUP(Table3[[#This Row],[Census Tract]],'Population and Diversity Data'!$B$2:$K$823,10,FALSE)</f>
        <v>2</v>
      </c>
      <c r="R491" t="str">
        <f>VLOOKUP(Table3[[#This Row],[Census Tract]],'ES Energy Burden'!$B$2:$E$914,4,FALSE)</f>
        <v>No</v>
      </c>
    </row>
    <row r="492" spans="1:18" hidden="1" x14ac:dyDescent="0.25">
      <c r="A492" s="140">
        <v>9001035300</v>
      </c>
      <c r="B492" s="39" t="s">
        <v>2800</v>
      </c>
      <c r="C492" s="39" t="s">
        <v>944</v>
      </c>
      <c r="D492" s="41">
        <v>138509.7232608</v>
      </c>
      <c r="E492" s="37">
        <v>1.2288086197848622E-3</v>
      </c>
      <c r="F492" s="41">
        <v>18915.32</v>
      </c>
      <c r="G492" s="37">
        <v>2.3142235926334101E-4</v>
      </c>
      <c r="H492" s="41">
        <v>138484.17728639999</v>
      </c>
      <c r="I492" s="37">
        <v>1.2285819850562344E-3</v>
      </c>
      <c r="J492" s="42">
        <v>18915.32</v>
      </c>
      <c r="K492" s="37">
        <v>2.3142235926334101E-4</v>
      </c>
      <c r="L492" s="38">
        <v>25.545974400000002</v>
      </c>
      <c r="M492" s="37">
        <v>2.2663472862780246E-7</v>
      </c>
      <c r="N492" s="42">
        <v>0</v>
      </c>
      <c r="O492" s="37">
        <v>0</v>
      </c>
      <c r="Q492">
        <f>VLOOKUP(Table3[[#This Row],[Census Tract]],'Population and Diversity Data'!$B$2:$K$823,10,FALSE)</f>
        <v>3</v>
      </c>
      <c r="R492" t="str">
        <f>VLOOKUP(Table3[[#This Row],[Census Tract]],'ES Energy Burden'!$B$2:$E$914,4,FALSE)</f>
        <v>No</v>
      </c>
    </row>
    <row r="493" spans="1:18" hidden="1" x14ac:dyDescent="0.25">
      <c r="A493" s="140">
        <v>9001035400</v>
      </c>
      <c r="B493" s="39" t="s">
        <v>2800</v>
      </c>
      <c r="C493" s="39" t="s">
        <v>944</v>
      </c>
      <c r="D493" s="41">
        <v>198378.27666432</v>
      </c>
      <c r="E493" s="37">
        <v>1.7599409673513678E-3</v>
      </c>
      <c r="F493" s="41">
        <v>65011.672400000003</v>
      </c>
      <c r="G493" s="37">
        <v>7.9539519323296843E-4</v>
      </c>
      <c r="H493" s="41">
        <v>198378.27666432</v>
      </c>
      <c r="I493" s="37">
        <v>1.7599409673513678E-3</v>
      </c>
      <c r="J493" s="42">
        <v>65011.672400000003</v>
      </c>
      <c r="K493" s="37">
        <v>7.9539519323296843E-4</v>
      </c>
      <c r="L493" s="38">
        <v>0</v>
      </c>
      <c r="M493" s="37">
        <v>0</v>
      </c>
      <c r="N493" s="42">
        <v>0</v>
      </c>
      <c r="O493" s="37">
        <v>0</v>
      </c>
      <c r="Q493">
        <f>VLOOKUP(Table3[[#This Row],[Census Tract]],'Population and Diversity Data'!$B$2:$K$823,10,FALSE)</f>
        <v>2</v>
      </c>
      <c r="R493" t="str">
        <f>VLOOKUP(Table3[[#This Row],[Census Tract]],'ES Energy Burden'!$B$2:$E$914,4,FALSE)</f>
        <v>No</v>
      </c>
    </row>
    <row r="494" spans="1:18" hidden="1" x14ac:dyDescent="0.25">
      <c r="A494" s="140">
        <v>9001210900</v>
      </c>
      <c r="B494" s="39" t="s">
        <v>2801</v>
      </c>
      <c r="C494" s="39" t="s">
        <v>944</v>
      </c>
      <c r="D494" s="41">
        <v>1348.85928672</v>
      </c>
      <c r="E494" s="37">
        <v>1.1966596130421174E-5</v>
      </c>
      <c r="F494" s="41">
        <v>0</v>
      </c>
      <c r="G494" s="37">
        <v>0</v>
      </c>
      <c r="H494" s="41">
        <v>1348.85928672</v>
      </c>
      <c r="I494" s="37">
        <v>1.1966596130421174E-5</v>
      </c>
      <c r="J494" s="42">
        <v>0</v>
      </c>
      <c r="K494" s="37">
        <v>0</v>
      </c>
      <c r="L494" s="38">
        <v>0</v>
      </c>
      <c r="M494" s="37">
        <v>0</v>
      </c>
      <c r="N494" s="42">
        <v>0</v>
      </c>
      <c r="O494" s="37">
        <v>0</v>
      </c>
      <c r="Q494">
        <f>VLOOKUP(Table3[[#This Row],[Census Tract]],'Population and Diversity Data'!$B$2:$K$823,10,FALSE)</f>
        <v>4</v>
      </c>
      <c r="R494" t="str">
        <f>VLOOKUP(Table3[[#This Row],[Census Tract]],'ES Energy Burden'!$B$2:$E$914,4,FALSE)</f>
        <v>No</v>
      </c>
    </row>
    <row r="495" spans="1:18" hidden="1" x14ac:dyDescent="0.25">
      <c r="A495" s="140">
        <v>9001211000</v>
      </c>
      <c r="B495" s="39" t="s">
        <v>2801</v>
      </c>
      <c r="C495" s="39" t="s">
        <v>944</v>
      </c>
      <c r="D495" s="41">
        <v>2135.6677728000004</v>
      </c>
      <c r="E495" s="37">
        <v>1.8946879009151099E-5</v>
      </c>
      <c r="F495" s="41">
        <v>0</v>
      </c>
      <c r="G495" s="37">
        <v>0</v>
      </c>
      <c r="H495" s="41">
        <v>2135.6677728000004</v>
      </c>
      <c r="I495" s="37">
        <v>1.8946879009151099E-5</v>
      </c>
      <c r="J495" s="42">
        <v>0</v>
      </c>
      <c r="K495" s="37">
        <v>0</v>
      </c>
      <c r="L495" s="38">
        <v>0</v>
      </c>
      <c r="M495" s="37">
        <v>0</v>
      </c>
      <c r="N495" s="42">
        <v>0</v>
      </c>
      <c r="O495" s="37">
        <v>0</v>
      </c>
      <c r="Q495">
        <f>VLOOKUP(Table3[[#This Row],[Census Tract]],'Population and Diversity Data'!$B$2:$K$823,10,FALSE)</f>
        <v>5</v>
      </c>
      <c r="R495" t="str">
        <f>VLOOKUP(Table3[[#This Row],[Census Tract]],'ES Energy Burden'!$B$2:$E$914,4,FALSE)</f>
        <v>No</v>
      </c>
    </row>
    <row r="496" spans="1:18" hidden="1" x14ac:dyDescent="0.25">
      <c r="A496" s="140">
        <v>9001220100</v>
      </c>
      <c r="B496" s="39" t="s">
        <v>2801</v>
      </c>
      <c r="C496" s="39" t="s">
        <v>944</v>
      </c>
      <c r="D496" s="41">
        <v>108677.484</v>
      </c>
      <c r="E496" s="37">
        <v>9.6414768560530392E-4</v>
      </c>
      <c r="F496" s="41">
        <v>12699.62</v>
      </c>
      <c r="G496" s="37">
        <v>1.5537543230291167E-4</v>
      </c>
      <c r="H496" s="41">
        <v>108677.484</v>
      </c>
      <c r="I496" s="37">
        <v>9.6414768560530392E-4</v>
      </c>
      <c r="J496" s="42">
        <v>12699.62</v>
      </c>
      <c r="K496" s="37">
        <v>1.5537543230291167E-4</v>
      </c>
      <c r="L496" s="38">
        <v>0</v>
      </c>
      <c r="M496" s="37">
        <v>0</v>
      </c>
      <c r="N496" s="42">
        <v>0</v>
      </c>
      <c r="O496" s="37">
        <v>0</v>
      </c>
      <c r="Q496">
        <f>VLOOKUP(Table3[[#This Row],[Census Tract]],'Population and Diversity Data'!$B$2:$K$823,10,FALSE)</f>
        <v>2</v>
      </c>
      <c r="R496" t="str">
        <f>VLOOKUP(Table3[[#This Row],[Census Tract]],'ES Energy Burden'!$B$2:$E$914,4,FALSE)</f>
        <v>No</v>
      </c>
    </row>
    <row r="497" spans="1:18" hidden="1" x14ac:dyDescent="0.25">
      <c r="A497" s="140">
        <v>9001220200</v>
      </c>
      <c r="B497" s="39" t="s">
        <v>2801</v>
      </c>
      <c r="C497" s="39" t="s">
        <v>944</v>
      </c>
      <c r="D497" s="41">
        <v>163374.38195040001</v>
      </c>
      <c r="E497" s="37">
        <v>1.4493989596287959E-3</v>
      </c>
      <c r="F497" s="41">
        <v>41482.424299999999</v>
      </c>
      <c r="G497" s="37">
        <v>5.0752302892411794E-4</v>
      </c>
      <c r="H497" s="41">
        <v>129933.76020192</v>
      </c>
      <c r="I497" s="37">
        <v>1.1527257493435872E-3</v>
      </c>
      <c r="J497" s="42">
        <v>41482.424299999999</v>
      </c>
      <c r="K497" s="37">
        <v>5.0752302892411794E-4</v>
      </c>
      <c r="L497" s="38">
        <v>33440.62174848</v>
      </c>
      <c r="M497" s="37">
        <v>2.9667321028520853E-4</v>
      </c>
      <c r="N497" s="42">
        <v>0</v>
      </c>
      <c r="O497" s="37">
        <v>0</v>
      </c>
      <c r="Q497">
        <f>VLOOKUP(Table3[[#This Row],[Census Tract]],'Population and Diversity Data'!$B$2:$K$823,10,FALSE)</f>
        <v>3</v>
      </c>
      <c r="R497" t="str">
        <f>VLOOKUP(Table3[[#This Row],[Census Tract]],'ES Energy Burden'!$B$2:$E$914,4,FALSE)</f>
        <v>No</v>
      </c>
    </row>
    <row r="498" spans="1:18" hidden="1" x14ac:dyDescent="0.25">
      <c r="A498" s="140">
        <v>9001220300</v>
      </c>
      <c r="B498" s="39" t="s">
        <v>2801</v>
      </c>
      <c r="C498" s="39" t="s">
        <v>944</v>
      </c>
      <c r="D498" s="41">
        <v>102730.65265440001</v>
      </c>
      <c r="E498" s="37">
        <v>9.1138952938459765E-4</v>
      </c>
      <c r="F498" s="41">
        <v>5080.6705000000002</v>
      </c>
      <c r="G498" s="37">
        <v>6.2160235922504014E-5</v>
      </c>
      <c r="H498" s="41">
        <v>102730.65265440001</v>
      </c>
      <c r="I498" s="37">
        <v>9.1138952938459765E-4</v>
      </c>
      <c r="J498" s="42">
        <v>5080.6705000000002</v>
      </c>
      <c r="K498" s="37">
        <v>6.2160235922504014E-5</v>
      </c>
      <c r="L498" s="38">
        <v>0</v>
      </c>
      <c r="M498" s="37">
        <v>0</v>
      </c>
      <c r="N498" s="42">
        <v>0</v>
      </c>
      <c r="O498" s="37">
        <v>0</v>
      </c>
      <c r="Q498">
        <f>VLOOKUP(Table3[[#This Row],[Census Tract]],'Population and Diversity Data'!$B$2:$K$823,10,FALSE)</f>
        <v>2</v>
      </c>
      <c r="R498" t="str">
        <f>VLOOKUP(Table3[[#This Row],[Census Tract]],'ES Energy Burden'!$B$2:$E$914,4,FALSE)</f>
        <v>No</v>
      </c>
    </row>
    <row r="499" spans="1:18" hidden="1" x14ac:dyDescent="0.25">
      <c r="A499" s="140">
        <v>9001257100</v>
      </c>
      <c r="B499" s="39" t="s">
        <v>2801</v>
      </c>
      <c r="C499" s="39" t="s">
        <v>944</v>
      </c>
      <c r="D499" s="41">
        <v>2100.1940064</v>
      </c>
      <c r="E499" s="37">
        <v>1.8632168468242151E-5</v>
      </c>
      <c r="F499" s="41">
        <v>0</v>
      </c>
      <c r="G499" s="37">
        <v>0</v>
      </c>
      <c r="H499" s="41">
        <v>2100.1940064</v>
      </c>
      <c r="I499" s="37">
        <v>1.8632168468242151E-5</v>
      </c>
      <c r="J499" s="42">
        <v>0</v>
      </c>
      <c r="K499" s="37">
        <v>0</v>
      </c>
      <c r="L499" s="38">
        <v>0</v>
      </c>
      <c r="M499" s="37">
        <v>0</v>
      </c>
      <c r="N499" s="42">
        <v>0</v>
      </c>
      <c r="O499" s="37">
        <v>0</v>
      </c>
      <c r="Q499">
        <f>VLOOKUP(Table3[[#This Row],[Census Tract]],'Population and Diversity Data'!$B$2:$K$823,10,FALSE)</f>
        <v>1</v>
      </c>
      <c r="R499" t="str">
        <f>VLOOKUP(Table3[[#This Row],[Census Tract]],'ES Energy Burden'!$B$2:$E$914,4,FALSE)</f>
        <v>No</v>
      </c>
    </row>
    <row r="500" spans="1:18" hidden="1" x14ac:dyDescent="0.25">
      <c r="A500" s="140">
        <v>9005290100</v>
      </c>
      <c r="B500" s="39" t="s">
        <v>2802</v>
      </c>
      <c r="C500" s="39" t="s">
        <v>944</v>
      </c>
      <c r="D500" s="41">
        <v>265.45121280000001</v>
      </c>
      <c r="E500" s="37">
        <v>2.3549880163055765E-6</v>
      </c>
      <c r="F500" s="41">
        <v>0</v>
      </c>
      <c r="G500" s="37">
        <v>0</v>
      </c>
      <c r="H500" s="41">
        <v>265.45121280000001</v>
      </c>
      <c r="I500" s="37">
        <v>2.3549880163055765E-6</v>
      </c>
      <c r="J500" s="42">
        <v>0</v>
      </c>
      <c r="K500" s="37">
        <v>0</v>
      </c>
      <c r="L500" s="38">
        <v>0</v>
      </c>
      <c r="M500" s="37">
        <v>0</v>
      </c>
      <c r="N500" s="42">
        <v>0</v>
      </c>
      <c r="O500" s="37">
        <v>0</v>
      </c>
      <c r="Q500">
        <f>VLOOKUP(Table3[[#This Row],[Census Tract]],'Population and Diversity Data'!$B$2:$K$823,10,FALSE)</f>
        <v>2</v>
      </c>
      <c r="R500" t="str">
        <f>VLOOKUP(Table3[[#This Row],[Census Tract]],'ES Energy Burden'!$B$2:$E$914,4,FALSE)</f>
        <v>No</v>
      </c>
    </row>
    <row r="501" spans="1:18" hidden="1" x14ac:dyDescent="0.25">
      <c r="A501" s="140">
        <v>9005306100</v>
      </c>
      <c r="B501" s="39" t="s">
        <v>2802</v>
      </c>
      <c r="C501" s="39" t="s">
        <v>944</v>
      </c>
      <c r="D501" s="41">
        <v>173563.23320064001</v>
      </c>
      <c r="E501" s="37">
        <v>1.5397907960085892E-3</v>
      </c>
      <c r="F501" s="41">
        <v>201562.2647</v>
      </c>
      <c r="G501" s="37">
        <v>2.4660441819295705E-3</v>
      </c>
      <c r="H501" s="41">
        <v>143068.34479392</v>
      </c>
      <c r="I501" s="37">
        <v>1.2692510761147138E-3</v>
      </c>
      <c r="J501" s="42">
        <v>178001.4547</v>
      </c>
      <c r="K501" s="37">
        <v>2.1777858687551002E-3</v>
      </c>
      <c r="L501" s="38">
        <v>30494.888406720002</v>
      </c>
      <c r="M501" s="37">
        <v>2.7053971989387518E-4</v>
      </c>
      <c r="N501" s="42">
        <v>23560.81</v>
      </c>
      <c r="O501" s="37">
        <v>2.8825831317447014E-4</v>
      </c>
      <c r="Q501">
        <f>VLOOKUP(Table3[[#This Row],[Census Tract]],'Population and Diversity Data'!$B$2:$K$823,10,FALSE)</f>
        <v>1</v>
      </c>
      <c r="R501" t="str">
        <f>VLOOKUP(Table3[[#This Row],[Census Tract]],'ES Energy Burden'!$B$2:$E$914,4,FALSE)</f>
        <v>No</v>
      </c>
    </row>
    <row r="502" spans="1:18" hidden="1" x14ac:dyDescent="0.25">
      <c r="A502" s="140">
        <v>9011690300</v>
      </c>
      <c r="B502" s="39" t="s">
        <v>2803</v>
      </c>
      <c r="C502" s="39" t="s">
        <v>944</v>
      </c>
      <c r="D502" s="41">
        <v>79342.157646720007</v>
      </c>
      <c r="E502" s="37">
        <v>7.0389518463655513E-4</v>
      </c>
      <c r="F502" s="41">
        <v>20285.972600000001</v>
      </c>
      <c r="G502" s="37">
        <v>2.4819181695279234E-4</v>
      </c>
      <c r="H502" s="41">
        <v>79342.157646720007</v>
      </c>
      <c r="I502" s="37">
        <v>7.0389518463655513E-4</v>
      </c>
      <c r="J502" s="42">
        <v>20285.972600000001</v>
      </c>
      <c r="K502" s="37">
        <v>2.4819181695279234E-4</v>
      </c>
      <c r="L502" s="38">
        <v>0</v>
      </c>
      <c r="M502" s="37">
        <v>0</v>
      </c>
      <c r="N502" s="42">
        <v>0</v>
      </c>
      <c r="O502" s="37">
        <v>0</v>
      </c>
      <c r="Q502">
        <f>VLOOKUP(Table3[[#This Row],[Census Tract]],'Population and Diversity Data'!$B$2:$K$823,10,FALSE)</f>
        <v>5</v>
      </c>
      <c r="R502" t="str">
        <f>VLOOKUP(Table3[[#This Row],[Census Tract]],'ES Energy Burden'!$B$2:$E$914,4,FALSE)</f>
        <v>No</v>
      </c>
    </row>
    <row r="503" spans="1:18" hidden="1" x14ac:dyDescent="0.25">
      <c r="A503" s="140">
        <v>9011690400</v>
      </c>
      <c r="B503" s="39" t="s">
        <v>2803</v>
      </c>
      <c r="C503" s="39" t="s">
        <v>944</v>
      </c>
      <c r="D503" s="41">
        <v>39959.697971520007</v>
      </c>
      <c r="E503" s="37">
        <v>3.5450811795319047E-4</v>
      </c>
      <c r="F503" s="41">
        <v>4461.97</v>
      </c>
      <c r="G503" s="37">
        <v>5.4590650560616992E-5</v>
      </c>
      <c r="H503" s="41">
        <v>39959.697971520007</v>
      </c>
      <c r="I503" s="37">
        <v>3.5450811795319047E-4</v>
      </c>
      <c r="J503" s="42">
        <v>4461.97</v>
      </c>
      <c r="K503" s="37">
        <v>5.4590650560616992E-5</v>
      </c>
      <c r="L503" s="38">
        <v>0</v>
      </c>
      <c r="M503" s="37">
        <v>0</v>
      </c>
      <c r="N503" s="42">
        <v>0</v>
      </c>
      <c r="O503" s="37">
        <v>0</v>
      </c>
      <c r="Q503">
        <f>VLOOKUP(Table3[[#This Row],[Census Tract]],'Population and Diversity Data'!$B$2:$K$823,10,FALSE)</f>
        <v>5</v>
      </c>
      <c r="R503" t="str">
        <f>VLOOKUP(Table3[[#This Row],[Census Tract]],'ES Energy Burden'!$B$2:$E$914,4,FALSE)</f>
        <v>No</v>
      </c>
    </row>
    <row r="504" spans="1:18" hidden="1" x14ac:dyDescent="0.25">
      <c r="A504" s="140">
        <v>9011690500</v>
      </c>
      <c r="B504" s="39" t="s">
        <v>2803</v>
      </c>
      <c r="C504" s="39" t="s">
        <v>944</v>
      </c>
      <c r="D504" s="41">
        <v>41927.549011199997</v>
      </c>
      <c r="E504" s="37">
        <v>3.7196618705537412E-4</v>
      </c>
      <c r="F504" s="41">
        <v>16842.5</v>
      </c>
      <c r="G504" s="37">
        <v>2.06062127729947E-4</v>
      </c>
      <c r="H504" s="41">
        <v>41927.549011199997</v>
      </c>
      <c r="I504" s="37">
        <v>3.7196618705537412E-4</v>
      </c>
      <c r="J504" s="42">
        <v>16842.5</v>
      </c>
      <c r="K504" s="37">
        <v>2.06062127729947E-4</v>
      </c>
      <c r="L504" s="38">
        <v>0</v>
      </c>
      <c r="M504" s="37">
        <v>0</v>
      </c>
      <c r="N504" s="42">
        <v>0</v>
      </c>
      <c r="O504" s="37">
        <v>0</v>
      </c>
      <c r="Q504">
        <f>VLOOKUP(Table3[[#This Row],[Census Tract]],'Population and Diversity Data'!$B$2:$K$823,10,FALSE)</f>
        <v>5</v>
      </c>
      <c r="R504" t="str">
        <f>VLOOKUP(Table3[[#This Row],[Census Tract]],'ES Energy Burden'!$B$2:$E$914,4,FALSE)</f>
        <v>No</v>
      </c>
    </row>
    <row r="505" spans="1:18" hidden="1" x14ac:dyDescent="0.25">
      <c r="A505" s="140">
        <v>9011690700</v>
      </c>
      <c r="B505" s="39" t="s">
        <v>2803</v>
      </c>
      <c r="C505" s="39" t="s">
        <v>944</v>
      </c>
      <c r="D505" s="41">
        <v>14865.608877119999</v>
      </c>
      <c r="E505" s="37">
        <v>1.3188235379086352E-4</v>
      </c>
      <c r="F505" s="41">
        <v>4541.3999999999996</v>
      </c>
      <c r="G505" s="37">
        <v>5.5562448975673521E-5</v>
      </c>
      <c r="H505" s="41">
        <v>14847.8146848</v>
      </c>
      <c r="I505" s="37">
        <v>1.3172449009443726E-4</v>
      </c>
      <c r="J505" s="42">
        <v>4541.3999999999996</v>
      </c>
      <c r="K505" s="37">
        <v>5.5562448975673521E-5</v>
      </c>
      <c r="L505" s="38">
        <v>17.794192320000001</v>
      </c>
      <c r="M505" s="37">
        <v>1.5786369642624109E-7</v>
      </c>
      <c r="N505" s="42">
        <v>0</v>
      </c>
      <c r="O505" s="37">
        <v>0</v>
      </c>
      <c r="Q505">
        <f>VLOOKUP(Table3[[#This Row],[Census Tract]],'Population and Diversity Data'!$B$2:$K$823,10,FALSE)</f>
        <v>5</v>
      </c>
      <c r="R505" t="str">
        <f>VLOOKUP(Table3[[#This Row],[Census Tract]],'ES Energy Burden'!$B$2:$E$914,4,FALSE)</f>
        <v>No</v>
      </c>
    </row>
    <row r="506" spans="1:18" hidden="1" x14ac:dyDescent="0.25">
      <c r="A506" s="140">
        <v>9011690800</v>
      </c>
      <c r="B506" s="39" t="s">
        <v>2803</v>
      </c>
      <c r="C506" s="39" t="s">
        <v>944</v>
      </c>
      <c r="D506" s="41">
        <v>43011.512809920001</v>
      </c>
      <c r="E506" s="37">
        <v>3.8158272536073111E-4</v>
      </c>
      <c r="F506" s="41">
        <v>11641.346100000001</v>
      </c>
      <c r="G506" s="37">
        <v>1.4242781932650856E-4</v>
      </c>
      <c r="H506" s="41">
        <v>43011.512809920001</v>
      </c>
      <c r="I506" s="37">
        <v>3.8158272536073111E-4</v>
      </c>
      <c r="J506" s="42">
        <v>11641.346100000001</v>
      </c>
      <c r="K506" s="37">
        <v>1.4242781932650856E-4</v>
      </c>
      <c r="L506" s="38">
        <v>0</v>
      </c>
      <c r="M506" s="37">
        <v>0</v>
      </c>
      <c r="N506" s="42">
        <v>0</v>
      </c>
      <c r="O506" s="37">
        <v>0</v>
      </c>
      <c r="Q506">
        <f>VLOOKUP(Table3[[#This Row],[Census Tract]],'Population and Diversity Data'!$B$2:$K$823,10,FALSE)</f>
        <v>5</v>
      </c>
      <c r="R506" t="str">
        <f>VLOOKUP(Table3[[#This Row],[Census Tract]],'ES Energy Burden'!$B$2:$E$914,4,FALSE)</f>
        <v>Yes</v>
      </c>
    </row>
    <row r="507" spans="1:18" hidden="1" x14ac:dyDescent="0.25">
      <c r="A507" s="140">
        <v>9011690900</v>
      </c>
      <c r="B507" s="39" t="s">
        <v>2803</v>
      </c>
      <c r="C507" s="39" t="s">
        <v>944</v>
      </c>
      <c r="D507" s="41">
        <v>314079.29086463997</v>
      </c>
      <c r="E507" s="37">
        <v>2.7863988955034854E-3</v>
      </c>
      <c r="F507" s="41">
        <v>226740.76459999999</v>
      </c>
      <c r="G507" s="37">
        <v>2.7740943682108385E-3</v>
      </c>
      <c r="H507" s="41">
        <v>104774.0469552</v>
      </c>
      <c r="I507" s="37">
        <v>9.2951779122304231E-4</v>
      </c>
      <c r="J507" s="42">
        <v>113608.8646</v>
      </c>
      <c r="K507" s="37">
        <v>1.3899649320741846E-3</v>
      </c>
      <c r="L507" s="38">
        <v>209305.24390943997</v>
      </c>
      <c r="M507" s="37">
        <v>1.8568811042804431E-3</v>
      </c>
      <c r="N507" s="42">
        <v>113131.9</v>
      </c>
      <c r="O507" s="37">
        <v>1.3841294361366537E-3</v>
      </c>
      <c r="Q507">
        <f>VLOOKUP(Table3[[#This Row],[Census Tract]],'Population and Diversity Data'!$B$2:$K$823,10,FALSE)</f>
        <v>5</v>
      </c>
      <c r="R507" t="str">
        <f>VLOOKUP(Table3[[#This Row],[Census Tract]],'ES Energy Burden'!$B$2:$E$914,4,FALSE)</f>
        <v>No</v>
      </c>
    </row>
    <row r="508" spans="1:18" hidden="1" x14ac:dyDescent="0.25">
      <c r="A508" s="140">
        <v>9011693400</v>
      </c>
      <c r="B508" s="39" t="s">
        <v>2803</v>
      </c>
      <c r="C508" s="39" t="s">
        <v>944</v>
      </c>
      <c r="D508" s="41">
        <v>472.06506239999999</v>
      </c>
      <c r="E508" s="37">
        <v>4.1879920349286277E-6</v>
      </c>
      <c r="F508" s="41">
        <v>0</v>
      </c>
      <c r="G508" s="37">
        <v>0</v>
      </c>
      <c r="H508" s="41">
        <v>472.06506239999999</v>
      </c>
      <c r="I508" s="37">
        <v>4.1879920349286277E-6</v>
      </c>
      <c r="J508" s="42">
        <v>0</v>
      </c>
      <c r="K508" s="37">
        <v>0</v>
      </c>
      <c r="L508" s="38">
        <v>0</v>
      </c>
      <c r="M508" s="37">
        <v>0</v>
      </c>
      <c r="N508" s="42">
        <v>0</v>
      </c>
      <c r="O508" s="37">
        <v>0</v>
      </c>
      <c r="Q508">
        <f>VLOOKUP(Table3[[#This Row],[Census Tract]],'Population and Diversity Data'!$B$2:$K$823,10,FALSE)</f>
        <v>3</v>
      </c>
      <c r="R508" t="str">
        <f>VLOOKUP(Table3[[#This Row],[Census Tract]],'ES Energy Burden'!$B$2:$E$914,4,FALSE)</f>
        <v>No</v>
      </c>
    </row>
    <row r="509" spans="1:18" hidden="1" x14ac:dyDescent="0.25">
      <c r="A509" s="140">
        <v>9011693600</v>
      </c>
      <c r="B509" s="39" t="s">
        <v>2803</v>
      </c>
      <c r="C509" s="39" t="s">
        <v>944</v>
      </c>
      <c r="D509" s="41">
        <v>117.425808</v>
      </c>
      <c r="E509" s="37">
        <v>1.0417596805381766E-6</v>
      </c>
      <c r="F509" s="41">
        <v>0</v>
      </c>
      <c r="G509" s="37">
        <v>0</v>
      </c>
      <c r="H509" s="41">
        <v>117.425808</v>
      </c>
      <c r="I509" s="37">
        <v>1.0417596805381766E-6</v>
      </c>
      <c r="J509" s="42">
        <v>0</v>
      </c>
      <c r="K509" s="37">
        <v>0</v>
      </c>
      <c r="L509" s="38">
        <v>0</v>
      </c>
      <c r="M509" s="37">
        <v>0</v>
      </c>
      <c r="N509" s="42">
        <v>0</v>
      </c>
      <c r="O509" s="37">
        <v>0</v>
      </c>
      <c r="Q509">
        <f>VLOOKUP(Table3[[#This Row],[Census Tract]],'Population and Diversity Data'!$B$2:$K$823,10,FALSE)</f>
        <v>2</v>
      </c>
      <c r="R509" t="str">
        <f>VLOOKUP(Table3[[#This Row],[Census Tract]],'ES Energy Burden'!$B$2:$E$914,4,FALSE)</f>
        <v>No</v>
      </c>
    </row>
    <row r="510" spans="1:18" hidden="1" x14ac:dyDescent="0.25">
      <c r="A510" s="140">
        <v>9011870300</v>
      </c>
      <c r="B510" s="39" t="s">
        <v>2803</v>
      </c>
      <c r="C510" s="39" t="s">
        <v>944</v>
      </c>
      <c r="D510" s="41">
        <v>41310.163071360003</v>
      </c>
      <c r="E510" s="37">
        <v>3.6648896028205292E-4</v>
      </c>
      <c r="F510" s="41">
        <v>21513.050299999999</v>
      </c>
      <c r="G510" s="37">
        <v>2.6320468569270445E-4</v>
      </c>
      <c r="H510" s="41">
        <v>41310.163071360003</v>
      </c>
      <c r="I510" s="37">
        <v>3.6648896028205292E-4</v>
      </c>
      <c r="J510" s="42">
        <v>21513.050299999999</v>
      </c>
      <c r="K510" s="37">
        <v>2.6320468569270445E-4</v>
      </c>
      <c r="L510" s="38">
        <v>0</v>
      </c>
      <c r="M510" s="37">
        <v>0</v>
      </c>
      <c r="N510" s="42">
        <v>0</v>
      </c>
      <c r="O510" s="37">
        <v>0</v>
      </c>
      <c r="Q510">
        <f>VLOOKUP(Table3[[#This Row],[Census Tract]],'Population and Diversity Data'!$B$2:$K$823,10,FALSE)</f>
        <v>5</v>
      </c>
      <c r="R510" t="str">
        <f>VLOOKUP(Table3[[#This Row],[Census Tract]],'ES Energy Burden'!$B$2:$E$914,4,FALSE)</f>
        <v>No</v>
      </c>
    </row>
    <row r="511" spans="1:18" hidden="1" x14ac:dyDescent="0.25">
      <c r="A511" s="140">
        <v>9005253100</v>
      </c>
      <c r="B511" s="39" t="s">
        <v>2804</v>
      </c>
      <c r="C511" s="39" t="s">
        <v>944</v>
      </c>
      <c r="D511" s="41">
        <v>96741.50344416</v>
      </c>
      <c r="E511" s="37">
        <v>8.5825594423647497E-4</v>
      </c>
      <c r="F511" s="41">
        <v>48216.78</v>
      </c>
      <c r="G511" s="37">
        <v>5.8991552792559028E-4</v>
      </c>
      <c r="H511" s="41">
        <v>96741.50344416</v>
      </c>
      <c r="I511" s="37">
        <v>8.5825594423647497E-4</v>
      </c>
      <c r="J511" s="42">
        <v>48216.78</v>
      </c>
      <c r="K511" s="37">
        <v>5.8991552792559028E-4</v>
      </c>
      <c r="L511" s="38">
        <v>0</v>
      </c>
      <c r="M511" s="37">
        <v>0</v>
      </c>
      <c r="N511" s="42">
        <v>0</v>
      </c>
      <c r="O511" s="37">
        <v>0</v>
      </c>
      <c r="Q511">
        <f>VLOOKUP(Table3[[#This Row],[Census Tract]],'Population and Diversity Data'!$B$2:$K$823,10,FALSE)</f>
        <v>4</v>
      </c>
      <c r="R511" t="str">
        <f>VLOOKUP(Table3[[#This Row],[Census Tract]],'ES Energy Burden'!$B$2:$E$914,4,FALSE)</f>
        <v>No</v>
      </c>
    </row>
    <row r="512" spans="1:18" hidden="1" x14ac:dyDescent="0.25">
      <c r="A512" s="140">
        <v>9005253200</v>
      </c>
      <c r="B512" s="39" t="s">
        <v>2804</v>
      </c>
      <c r="C512" s="39" t="s">
        <v>944</v>
      </c>
      <c r="D512" s="41">
        <v>373255.31217888003</v>
      </c>
      <c r="E512" s="37">
        <v>3.3113873465929005E-3</v>
      </c>
      <c r="F512" s="41">
        <v>435948.83130000002</v>
      </c>
      <c r="G512" s="37">
        <v>5.3336822775159106E-3</v>
      </c>
      <c r="H512" s="41">
        <v>182694.09673440002</v>
      </c>
      <c r="I512" s="37">
        <v>1.6207965445742495E-3</v>
      </c>
      <c r="J512" s="42">
        <v>376294.26130000001</v>
      </c>
      <c r="K512" s="37">
        <v>4.6038293683269499E-3</v>
      </c>
      <c r="L512" s="38">
        <v>190561.21544448001</v>
      </c>
      <c r="M512" s="37">
        <v>1.6905908020186508E-3</v>
      </c>
      <c r="N512" s="42">
        <v>59654.57</v>
      </c>
      <c r="O512" s="37">
        <v>7.2985290918896036E-4</v>
      </c>
      <c r="Q512">
        <f>VLOOKUP(Table3[[#This Row],[Census Tract]],'Population and Diversity Data'!$B$2:$K$823,10,FALSE)</f>
        <v>4</v>
      </c>
      <c r="R512" t="str">
        <f>VLOOKUP(Table3[[#This Row],[Census Tract]],'ES Energy Burden'!$B$2:$E$914,4,FALSE)</f>
        <v>No</v>
      </c>
    </row>
    <row r="513" spans="1:18" hidden="1" x14ac:dyDescent="0.25">
      <c r="A513" s="140">
        <v>9005253300</v>
      </c>
      <c r="B513" s="39" t="s">
        <v>2804</v>
      </c>
      <c r="C513" s="39" t="s">
        <v>944</v>
      </c>
      <c r="D513" s="41">
        <v>51696.375353280004</v>
      </c>
      <c r="E513" s="37">
        <v>4.5863171299630006E-4</v>
      </c>
      <c r="F513" s="41">
        <v>13320.82</v>
      </c>
      <c r="G513" s="37">
        <v>1.629755981776834E-4</v>
      </c>
      <c r="H513" s="41">
        <v>51696.375353280004</v>
      </c>
      <c r="I513" s="37">
        <v>4.5863171299630006E-4</v>
      </c>
      <c r="J513" s="42">
        <v>13320.82</v>
      </c>
      <c r="K513" s="37">
        <v>1.629755981776834E-4</v>
      </c>
      <c r="L513" s="38">
        <v>0</v>
      </c>
      <c r="M513" s="37">
        <v>0</v>
      </c>
      <c r="N513" s="42">
        <v>0</v>
      </c>
      <c r="O513" s="37">
        <v>0</v>
      </c>
      <c r="Q513">
        <f>VLOOKUP(Table3[[#This Row],[Census Tract]],'Population and Diversity Data'!$B$2:$K$823,10,FALSE)</f>
        <v>3</v>
      </c>
      <c r="R513" t="str">
        <f>VLOOKUP(Table3[[#This Row],[Census Tract]],'ES Energy Burden'!$B$2:$E$914,4,FALSE)</f>
        <v>No</v>
      </c>
    </row>
    <row r="514" spans="1:18" hidden="1" x14ac:dyDescent="0.25">
      <c r="A514" s="140">
        <v>9005253400</v>
      </c>
      <c r="B514" s="39" t="s">
        <v>2804</v>
      </c>
      <c r="C514" s="39" t="s">
        <v>944</v>
      </c>
      <c r="D514" s="41">
        <v>154072.5097392</v>
      </c>
      <c r="E514" s="37">
        <v>1.3668760833702254E-3</v>
      </c>
      <c r="F514" s="41">
        <v>19810.52</v>
      </c>
      <c r="G514" s="37">
        <v>2.4237481980921298E-4</v>
      </c>
      <c r="H514" s="41">
        <v>154010.8821744</v>
      </c>
      <c r="I514" s="37">
        <v>1.3663293457040183E-3</v>
      </c>
      <c r="J514" s="42">
        <v>19810.52</v>
      </c>
      <c r="K514" s="37">
        <v>2.4237481980921298E-4</v>
      </c>
      <c r="L514" s="38">
        <v>61.627564800000002</v>
      </c>
      <c r="M514" s="37">
        <v>5.4673766620702125E-7</v>
      </c>
      <c r="N514" s="42">
        <v>0</v>
      </c>
      <c r="O514" s="37">
        <v>0</v>
      </c>
      <c r="Q514">
        <f>VLOOKUP(Table3[[#This Row],[Census Tract]],'Population and Diversity Data'!$B$2:$K$823,10,FALSE)</f>
        <v>2</v>
      </c>
      <c r="R514" t="str">
        <f>VLOOKUP(Table3[[#This Row],[Census Tract]],'ES Energy Burden'!$B$2:$E$914,4,FALSE)</f>
        <v>No</v>
      </c>
    </row>
    <row r="515" spans="1:18" hidden="1" x14ac:dyDescent="0.25">
      <c r="A515" s="140">
        <v>9005253500</v>
      </c>
      <c r="B515" s="39" t="s">
        <v>2804</v>
      </c>
      <c r="C515" s="39" t="s">
        <v>944</v>
      </c>
      <c r="D515" s="41">
        <v>147618.1887696</v>
      </c>
      <c r="E515" s="37">
        <v>1.309615661101031E-3</v>
      </c>
      <c r="F515" s="41">
        <v>29305.079600000001</v>
      </c>
      <c r="G515" s="37">
        <v>3.5853745320893362E-4</v>
      </c>
      <c r="H515" s="41">
        <v>147618.1887696</v>
      </c>
      <c r="I515" s="37">
        <v>1.309615661101031E-3</v>
      </c>
      <c r="J515" s="42">
        <v>29305.079600000001</v>
      </c>
      <c r="K515" s="37">
        <v>3.5853745320893362E-4</v>
      </c>
      <c r="L515" s="38">
        <v>0</v>
      </c>
      <c r="M515" s="37">
        <v>0</v>
      </c>
      <c r="N515" s="42">
        <v>0</v>
      </c>
      <c r="O515" s="37">
        <v>0</v>
      </c>
      <c r="Q515">
        <f>VLOOKUP(Table3[[#This Row],[Census Tract]],'Population and Diversity Data'!$B$2:$K$823,10,FALSE)</f>
        <v>4</v>
      </c>
      <c r="R515" t="str">
        <f>VLOOKUP(Table3[[#This Row],[Census Tract]],'ES Energy Burden'!$B$2:$E$914,4,FALSE)</f>
        <v>No</v>
      </c>
    </row>
    <row r="516" spans="1:18" hidden="1" x14ac:dyDescent="0.25">
      <c r="A516" s="140">
        <v>9005253600</v>
      </c>
      <c r="B516" s="39" t="s">
        <v>2804</v>
      </c>
      <c r="C516" s="39" t="s">
        <v>944</v>
      </c>
      <c r="D516" s="41">
        <v>49566.037328640006</v>
      </c>
      <c r="E516" s="37">
        <v>4.3973211760252345E-4</v>
      </c>
      <c r="F516" s="41">
        <v>7377.73</v>
      </c>
      <c r="G516" s="37">
        <v>9.0263959721957057E-5</v>
      </c>
      <c r="H516" s="41">
        <v>49566.037328640006</v>
      </c>
      <c r="I516" s="37">
        <v>4.3973211760252345E-4</v>
      </c>
      <c r="J516" s="42">
        <v>7377.73</v>
      </c>
      <c r="K516" s="37">
        <v>9.0263959721957057E-5</v>
      </c>
      <c r="L516" s="38">
        <v>0</v>
      </c>
      <c r="M516" s="37">
        <v>0</v>
      </c>
      <c r="N516" s="42">
        <v>0</v>
      </c>
      <c r="O516" s="37">
        <v>0</v>
      </c>
      <c r="Q516">
        <f>VLOOKUP(Table3[[#This Row],[Census Tract]],'Population and Diversity Data'!$B$2:$K$823,10,FALSE)</f>
        <v>4</v>
      </c>
      <c r="R516" t="str">
        <f>VLOOKUP(Table3[[#This Row],[Census Tract]],'ES Energy Burden'!$B$2:$E$914,4,FALSE)</f>
        <v>No</v>
      </c>
    </row>
    <row r="517" spans="1:18" hidden="1" x14ac:dyDescent="0.25">
      <c r="A517" s="140">
        <v>9005266100</v>
      </c>
      <c r="B517" s="39" t="s">
        <v>2804</v>
      </c>
      <c r="C517" s="39" t="s">
        <v>944</v>
      </c>
      <c r="D517" s="41">
        <v>101.72079360000001</v>
      </c>
      <c r="E517" s="37">
        <v>9.0243042181004869E-7</v>
      </c>
      <c r="F517" s="41">
        <v>0</v>
      </c>
      <c r="G517" s="37">
        <v>0</v>
      </c>
      <c r="H517" s="41">
        <v>101.72079360000001</v>
      </c>
      <c r="I517" s="37">
        <v>9.0243042181004869E-7</v>
      </c>
      <c r="J517" s="42">
        <v>0</v>
      </c>
      <c r="K517" s="37">
        <v>0</v>
      </c>
      <c r="L517" s="38">
        <v>0</v>
      </c>
      <c r="M517" s="37">
        <v>0</v>
      </c>
      <c r="N517" s="42">
        <v>0</v>
      </c>
      <c r="O517" s="37">
        <v>0</v>
      </c>
      <c r="Q517">
        <f>VLOOKUP(Table3[[#This Row],[Census Tract]],'Population and Diversity Data'!$B$2:$K$823,10,FALSE)</f>
        <v>2</v>
      </c>
      <c r="R517" t="str">
        <f>VLOOKUP(Table3[[#This Row],[Census Tract]],'ES Energy Burden'!$B$2:$E$914,4,FALSE)</f>
        <v>No</v>
      </c>
    </row>
    <row r="518" spans="1:18" hidden="1" x14ac:dyDescent="0.25">
      <c r="A518" s="140">
        <v>9005267100</v>
      </c>
      <c r="B518" s="39" t="s">
        <v>2804</v>
      </c>
      <c r="C518" s="39" t="s">
        <v>944</v>
      </c>
      <c r="D518" s="41">
        <v>644.94757440000012</v>
      </c>
      <c r="E518" s="37">
        <v>5.7217437164308539E-6</v>
      </c>
      <c r="F518" s="41">
        <v>0</v>
      </c>
      <c r="G518" s="37">
        <v>0</v>
      </c>
      <c r="H518" s="41">
        <v>644.94757440000012</v>
      </c>
      <c r="I518" s="37">
        <v>5.7217437164308539E-6</v>
      </c>
      <c r="J518" s="42">
        <v>0</v>
      </c>
      <c r="K518" s="37">
        <v>0</v>
      </c>
      <c r="L518" s="38">
        <v>0</v>
      </c>
      <c r="M518" s="37">
        <v>0</v>
      </c>
      <c r="N518" s="42">
        <v>0</v>
      </c>
      <c r="O518" s="37">
        <v>0</v>
      </c>
      <c r="Q518">
        <f>VLOOKUP(Table3[[#This Row],[Census Tract]],'Population and Diversity Data'!$B$2:$K$823,10,FALSE)</f>
        <v>3</v>
      </c>
      <c r="R518" t="str">
        <f>VLOOKUP(Table3[[#This Row],[Census Tract]],'ES Energy Burden'!$B$2:$E$914,4,FALSE)</f>
        <v>No</v>
      </c>
    </row>
    <row r="519" spans="1:18" hidden="1" x14ac:dyDescent="0.25">
      <c r="A519" s="140">
        <v>9005268100</v>
      </c>
      <c r="B519" s="39" t="s">
        <v>2804</v>
      </c>
      <c r="C519" s="39" t="s">
        <v>944</v>
      </c>
      <c r="D519" s="41">
        <v>82.426723199999998</v>
      </c>
      <c r="E519" s="37">
        <v>7.3126034464792179E-7</v>
      </c>
      <c r="F519" s="41">
        <v>0</v>
      </c>
      <c r="G519" s="37">
        <v>0</v>
      </c>
      <c r="H519" s="41">
        <v>82.426723199999998</v>
      </c>
      <c r="I519" s="37">
        <v>7.3126034464792179E-7</v>
      </c>
      <c r="J519" s="42">
        <v>0</v>
      </c>
      <c r="K519" s="37">
        <v>0</v>
      </c>
      <c r="L519" s="38">
        <v>0</v>
      </c>
      <c r="M519" s="37">
        <v>0</v>
      </c>
      <c r="N519" s="42">
        <v>0</v>
      </c>
      <c r="O519" s="37">
        <v>0</v>
      </c>
      <c r="Q519">
        <f>VLOOKUP(Table3[[#This Row],[Census Tract]],'Population and Diversity Data'!$B$2:$K$823,10,FALSE)</f>
        <v>1</v>
      </c>
      <c r="R519" t="str">
        <f>VLOOKUP(Table3[[#This Row],[Census Tract]],'ES Energy Burden'!$B$2:$E$914,4,FALSE)</f>
        <v>No</v>
      </c>
    </row>
    <row r="520" spans="1:18" hidden="1" x14ac:dyDescent="0.25">
      <c r="A520" s="140">
        <v>9003400100</v>
      </c>
      <c r="B520" s="39" t="s">
        <v>2805</v>
      </c>
      <c r="C520" s="39" t="s">
        <v>944</v>
      </c>
      <c r="D520" s="41">
        <v>585.9944352</v>
      </c>
      <c r="E520" s="37">
        <v>5.1987325955730369E-6</v>
      </c>
      <c r="F520" s="41">
        <v>0</v>
      </c>
      <c r="G520" s="37">
        <v>0</v>
      </c>
      <c r="H520" s="41">
        <v>585.9944352</v>
      </c>
      <c r="I520" s="37">
        <v>5.1987325955730369E-6</v>
      </c>
      <c r="J520" s="42">
        <v>0</v>
      </c>
      <c r="K520" s="37">
        <v>0</v>
      </c>
      <c r="L520" s="38">
        <v>0</v>
      </c>
      <c r="M520" s="37">
        <v>0</v>
      </c>
      <c r="N520" s="42">
        <v>0</v>
      </c>
      <c r="O520" s="37">
        <v>0</v>
      </c>
      <c r="Q520">
        <f>VLOOKUP(Table3[[#This Row],[Census Tract]],'Population and Diversity Data'!$B$2:$K$823,10,FALSE)</f>
        <v>2</v>
      </c>
      <c r="R520" t="str">
        <f>VLOOKUP(Table3[[#This Row],[Census Tract]],'ES Energy Burden'!$B$2:$E$914,4,FALSE)</f>
        <v>No</v>
      </c>
    </row>
    <row r="521" spans="1:18" hidden="1" x14ac:dyDescent="0.25">
      <c r="A521" s="140">
        <v>9003416300</v>
      </c>
      <c r="B521" s="39" t="s">
        <v>2805</v>
      </c>
      <c r="C521" s="39" t="s">
        <v>944</v>
      </c>
      <c r="D521" s="41">
        <v>152.5175136</v>
      </c>
      <c r="E521" s="37">
        <v>1.3530807149686632E-6</v>
      </c>
      <c r="F521" s="41">
        <v>0</v>
      </c>
      <c r="G521" s="37">
        <v>0</v>
      </c>
      <c r="H521" s="41">
        <v>152.5175136</v>
      </c>
      <c r="I521" s="37">
        <v>1.3530807149686632E-6</v>
      </c>
      <c r="J521" s="42">
        <v>0</v>
      </c>
      <c r="K521" s="37">
        <v>0</v>
      </c>
      <c r="L521" s="38">
        <v>0</v>
      </c>
      <c r="M521" s="37">
        <v>0</v>
      </c>
      <c r="N521" s="42">
        <v>0</v>
      </c>
      <c r="O521" s="37">
        <v>0</v>
      </c>
      <c r="Q521">
        <f>VLOOKUP(Table3[[#This Row],[Census Tract]],'Population and Diversity Data'!$B$2:$K$823,10,FALSE)</f>
        <v>4</v>
      </c>
      <c r="R521" t="str">
        <f>VLOOKUP(Table3[[#This Row],[Census Tract]],'ES Energy Burden'!$B$2:$E$914,4,FALSE)</f>
        <v>Yes</v>
      </c>
    </row>
    <row r="522" spans="1:18" hidden="1" x14ac:dyDescent="0.25">
      <c r="A522" s="140">
        <v>9003492600</v>
      </c>
      <c r="B522" s="39" t="s">
        <v>2805</v>
      </c>
      <c r="C522" s="39" t="s">
        <v>944</v>
      </c>
      <c r="D522" s="41">
        <v>234.1974816</v>
      </c>
      <c r="E522" s="37">
        <v>2.0777161151359629E-6</v>
      </c>
      <c r="F522" s="41">
        <v>0</v>
      </c>
      <c r="G522" s="37">
        <v>0</v>
      </c>
      <c r="H522" s="41">
        <v>234.1974816</v>
      </c>
      <c r="I522" s="37">
        <v>2.0777161151359629E-6</v>
      </c>
      <c r="J522" s="42">
        <v>0</v>
      </c>
      <c r="K522" s="37">
        <v>0</v>
      </c>
      <c r="L522" s="38">
        <v>0</v>
      </c>
      <c r="M522" s="37">
        <v>0</v>
      </c>
      <c r="N522" s="42">
        <v>0</v>
      </c>
      <c r="O522" s="37">
        <v>0</v>
      </c>
      <c r="Q522">
        <f>VLOOKUP(Table3[[#This Row],[Census Tract]],'Population and Diversity Data'!$B$2:$K$823,10,FALSE)</f>
        <v>1</v>
      </c>
      <c r="R522" t="str">
        <f>VLOOKUP(Table3[[#This Row],[Census Tract]],'ES Energy Burden'!$B$2:$E$914,4,FALSE)</f>
        <v>No</v>
      </c>
    </row>
    <row r="523" spans="1:18" hidden="1" x14ac:dyDescent="0.25">
      <c r="A523" s="140">
        <v>9003494100</v>
      </c>
      <c r="B523" s="39" t="s">
        <v>2805</v>
      </c>
      <c r="C523" s="39" t="s">
        <v>944</v>
      </c>
      <c r="D523" s="41">
        <v>339493.02707520005</v>
      </c>
      <c r="E523" s="37">
        <v>3.0118604543117036E-3</v>
      </c>
      <c r="F523" s="41">
        <v>315843.81949999998</v>
      </c>
      <c r="G523" s="37">
        <v>3.8642392445612777E-3</v>
      </c>
      <c r="H523" s="41">
        <v>100798.62502464</v>
      </c>
      <c r="I523" s="37">
        <v>8.9424927273531215E-4</v>
      </c>
      <c r="J523" s="42">
        <v>230400.13449999999</v>
      </c>
      <c r="K523" s="37">
        <v>2.8188654857851251E-3</v>
      </c>
      <c r="L523" s="38">
        <v>238694.40205056005</v>
      </c>
      <c r="M523" s="37">
        <v>2.1176111815763917E-3</v>
      </c>
      <c r="N523" s="42">
        <v>85443.684999999998</v>
      </c>
      <c r="O523" s="37">
        <v>1.0453737587761531E-3</v>
      </c>
      <c r="Q523">
        <f>VLOOKUP(Table3[[#This Row],[Census Tract]],'Population and Diversity Data'!$B$2:$K$823,10,FALSE)</f>
        <v>4</v>
      </c>
      <c r="R523" t="str">
        <f>VLOOKUP(Table3[[#This Row],[Census Tract]],'ES Energy Burden'!$B$2:$E$914,4,FALSE)</f>
        <v>No</v>
      </c>
    </row>
    <row r="524" spans="1:18" hidden="1" x14ac:dyDescent="0.25">
      <c r="A524" s="140">
        <v>9003494201</v>
      </c>
      <c r="B524" s="39" t="s">
        <v>2805</v>
      </c>
      <c r="C524" s="39" t="s">
        <v>944</v>
      </c>
      <c r="D524" s="41">
        <v>75521.807827200013</v>
      </c>
      <c r="E524" s="37">
        <v>6.7000241033665653E-4</v>
      </c>
      <c r="F524" s="41">
        <v>9254.0817000000006</v>
      </c>
      <c r="G524" s="37">
        <v>1.1322046995925577E-4</v>
      </c>
      <c r="H524" s="41">
        <v>75520.036454400019</v>
      </c>
      <c r="I524" s="37">
        <v>6.6998669535207455E-4</v>
      </c>
      <c r="J524" s="42">
        <v>9254.0817000000006</v>
      </c>
      <c r="K524" s="37">
        <v>1.1322046995925577E-4</v>
      </c>
      <c r="L524" s="38">
        <v>1.7713728</v>
      </c>
      <c r="M524" s="37">
        <v>1.5714984581941433E-8</v>
      </c>
      <c r="N524" s="42">
        <v>0</v>
      </c>
      <c r="O524" s="37">
        <v>0</v>
      </c>
      <c r="Q524">
        <f>VLOOKUP(Table3[[#This Row],[Census Tract]],'Population and Diversity Data'!$B$2:$K$823,10,FALSE)</f>
        <v>4</v>
      </c>
      <c r="R524" t="str">
        <f>VLOOKUP(Table3[[#This Row],[Census Tract]],'ES Energy Burden'!$B$2:$E$914,4,FALSE)</f>
        <v>No</v>
      </c>
    </row>
    <row r="525" spans="1:18" hidden="1" x14ac:dyDescent="0.25">
      <c r="A525" s="140">
        <v>9003494202</v>
      </c>
      <c r="B525" s="39" t="s">
        <v>2805</v>
      </c>
      <c r="C525" s="39" t="s">
        <v>944</v>
      </c>
      <c r="D525" s="41">
        <v>49848.942931199999</v>
      </c>
      <c r="E525" s="37">
        <v>4.4224195470873574E-4</v>
      </c>
      <c r="F525" s="41">
        <v>7119.7650000000003</v>
      </c>
      <c r="G525" s="37">
        <v>8.710784769702872E-5</v>
      </c>
      <c r="H525" s="41">
        <v>49848.942931199999</v>
      </c>
      <c r="I525" s="37">
        <v>4.4224195470873574E-4</v>
      </c>
      <c r="J525" s="42">
        <v>7119.7650000000003</v>
      </c>
      <c r="K525" s="37">
        <v>8.710784769702872E-5</v>
      </c>
      <c r="L525" s="38">
        <v>0</v>
      </c>
      <c r="M525" s="37">
        <v>0</v>
      </c>
      <c r="N525" s="42">
        <v>0</v>
      </c>
      <c r="O525" s="37">
        <v>0</v>
      </c>
      <c r="Q525">
        <f>VLOOKUP(Table3[[#This Row],[Census Tract]],'Population and Diversity Data'!$B$2:$K$823,10,FALSE)</f>
        <v>4</v>
      </c>
      <c r="R525" t="str">
        <f>VLOOKUP(Table3[[#This Row],[Census Tract]],'ES Energy Burden'!$B$2:$E$914,4,FALSE)</f>
        <v>No</v>
      </c>
    </row>
    <row r="526" spans="1:18" hidden="1" x14ac:dyDescent="0.25">
      <c r="A526" s="140">
        <v>9003494300</v>
      </c>
      <c r="B526" s="39" t="s">
        <v>2805</v>
      </c>
      <c r="C526" s="39" t="s">
        <v>944</v>
      </c>
      <c r="D526" s="41">
        <v>64243.089359999998</v>
      </c>
      <c r="E526" s="37">
        <v>5.6994166264079805E-4</v>
      </c>
      <c r="F526" s="41">
        <v>12201.13</v>
      </c>
      <c r="G526" s="37">
        <v>1.4927658058540527E-4</v>
      </c>
      <c r="H526" s="41">
        <v>64243.089359999998</v>
      </c>
      <c r="I526" s="37">
        <v>5.6994166264079805E-4</v>
      </c>
      <c r="J526" s="42">
        <v>12201.13</v>
      </c>
      <c r="K526" s="37">
        <v>1.4927658058540527E-4</v>
      </c>
      <c r="L526" s="38">
        <v>0</v>
      </c>
      <c r="M526" s="37">
        <v>0</v>
      </c>
      <c r="N526" s="42">
        <v>0</v>
      </c>
      <c r="O526" s="37">
        <v>0</v>
      </c>
      <c r="Q526">
        <f>VLOOKUP(Table3[[#This Row],[Census Tract]],'Population and Diversity Data'!$B$2:$K$823,10,FALSE)</f>
        <v>3</v>
      </c>
      <c r="R526" t="str">
        <f>VLOOKUP(Table3[[#This Row],[Census Tract]],'ES Energy Burden'!$B$2:$E$914,4,FALSE)</f>
        <v>No</v>
      </c>
    </row>
    <row r="527" spans="1:18" hidden="1" x14ac:dyDescent="0.25">
      <c r="A527" s="140">
        <v>9003494400</v>
      </c>
      <c r="B527" s="39" t="s">
        <v>2805</v>
      </c>
      <c r="C527" s="39" t="s">
        <v>944</v>
      </c>
      <c r="D527" s="41">
        <v>83430.791717760003</v>
      </c>
      <c r="E527" s="37">
        <v>7.4016808065685861E-4</v>
      </c>
      <c r="F527" s="41">
        <v>52850.414900000003</v>
      </c>
      <c r="G527" s="37">
        <v>6.4660643881279468E-4</v>
      </c>
      <c r="H527" s="41">
        <v>83406.999749759998</v>
      </c>
      <c r="I527" s="37">
        <v>7.3995700684433648E-4</v>
      </c>
      <c r="J527" s="42">
        <v>52850.414900000003</v>
      </c>
      <c r="K527" s="37">
        <v>6.4660643881279468E-4</v>
      </c>
      <c r="L527" s="38">
        <v>23.791968000000001</v>
      </c>
      <c r="M527" s="37">
        <v>2.1107381252215455E-7</v>
      </c>
      <c r="N527" s="42">
        <v>0</v>
      </c>
      <c r="O527" s="37">
        <v>0</v>
      </c>
      <c r="Q527">
        <f>VLOOKUP(Table3[[#This Row],[Census Tract]],'Population and Diversity Data'!$B$2:$K$823,10,FALSE)</f>
        <v>4</v>
      </c>
      <c r="R527" t="str">
        <f>VLOOKUP(Table3[[#This Row],[Census Tract]],'ES Energy Burden'!$B$2:$E$914,4,FALSE)</f>
        <v>No</v>
      </c>
    </row>
    <row r="528" spans="1:18" hidden="1" x14ac:dyDescent="0.25">
      <c r="A528" s="140">
        <v>9003494500</v>
      </c>
      <c r="B528" s="39" t="s">
        <v>2805</v>
      </c>
      <c r="C528" s="39" t="s">
        <v>944</v>
      </c>
      <c r="D528" s="41">
        <v>67984.732339200011</v>
      </c>
      <c r="E528" s="37">
        <v>6.031361780636709E-4</v>
      </c>
      <c r="F528" s="41">
        <v>18676.55</v>
      </c>
      <c r="G528" s="37">
        <v>2.2850109138517093E-4</v>
      </c>
      <c r="H528" s="41">
        <v>67984.732339200011</v>
      </c>
      <c r="I528" s="37">
        <v>6.031361780636709E-4</v>
      </c>
      <c r="J528" s="42">
        <v>18676.55</v>
      </c>
      <c r="K528" s="37">
        <v>2.2850109138517093E-4</v>
      </c>
      <c r="L528" s="38">
        <v>0</v>
      </c>
      <c r="M528" s="37">
        <v>0</v>
      </c>
      <c r="N528" s="42">
        <v>0</v>
      </c>
      <c r="O528" s="37">
        <v>0</v>
      </c>
      <c r="Q528">
        <f>VLOOKUP(Table3[[#This Row],[Census Tract]],'Population and Diversity Data'!$B$2:$K$823,10,FALSE)</f>
        <v>4</v>
      </c>
      <c r="R528" t="str">
        <f>VLOOKUP(Table3[[#This Row],[Census Tract]],'ES Energy Burden'!$B$2:$E$914,4,FALSE)</f>
        <v>No</v>
      </c>
    </row>
    <row r="529" spans="1:18" hidden="1" x14ac:dyDescent="0.25">
      <c r="A529" s="140">
        <v>9003494600</v>
      </c>
      <c r="B529" s="39" t="s">
        <v>2805</v>
      </c>
      <c r="C529" s="39" t="s">
        <v>944</v>
      </c>
      <c r="D529" s="41">
        <v>56666.718339840008</v>
      </c>
      <c r="E529" s="37">
        <v>5.0272681449088728E-4</v>
      </c>
      <c r="F529" s="41">
        <v>14589.277</v>
      </c>
      <c r="G529" s="37">
        <v>1.7849472825658767E-4</v>
      </c>
      <c r="H529" s="41">
        <v>56666.718339840008</v>
      </c>
      <c r="I529" s="37">
        <v>5.0272681449088728E-4</v>
      </c>
      <c r="J529" s="42">
        <v>14589.277</v>
      </c>
      <c r="K529" s="37">
        <v>1.7849472825658767E-4</v>
      </c>
      <c r="L529" s="38">
        <v>0</v>
      </c>
      <c r="M529" s="37">
        <v>0</v>
      </c>
      <c r="N529" s="42">
        <v>0</v>
      </c>
      <c r="O529" s="37">
        <v>0</v>
      </c>
      <c r="Q529">
        <f>VLOOKUP(Table3[[#This Row],[Census Tract]],'Population and Diversity Data'!$B$2:$K$823,10,FALSE)</f>
        <v>3</v>
      </c>
      <c r="R529" t="str">
        <f>VLOOKUP(Table3[[#This Row],[Census Tract]],'ES Energy Burden'!$B$2:$E$914,4,FALSE)</f>
        <v>No</v>
      </c>
    </row>
    <row r="530" spans="1:18" hidden="1" x14ac:dyDescent="0.25">
      <c r="A530" s="140">
        <v>9001100100</v>
      </c>
      <c r="B530" s="39" t="s">
        <v>2806</v>
      </c>
      <c r="C530" s="39" t="s">
        <v>944</v>
      </c>
      <c r="D530" s="41">
        <v>355.06762559999999</v>
      </c>
      <c r="E530" s="37">
        <v>3.150032710139025E-6</v>
      </c>
      <c r="F530" s="41">
        <v>0</v>
      </c>
      <c r="G530" s="37">
        <v>0</v>
      </c>
      <c r="H530" s="41">
        <v>355.06762559999999</v>
      </c>
      <c r="I530" s="37">
        <v>3.150032710139025E-6</v>
      </c>
      <c r="J530" s="42">
        <v>0</v>
      </c>
      <c r="K530" s="37">
        <v>0</v>
      </c>
      <c r="L530" s="38">
        <v>0</v>
      </c>
      <c r="M530" s="37">
        <v>0</v>
      </c>
      <c r="N530" s="42">
        <v>0</v>
      </c>
      <c r="O530" s="37">
        <v>0</v>
      </c>
      <c r="Q530">
        <f>VLOOKUP(Table3[[#This Row],[Census Tract]],'Population and Diversity Data'!$B$2:$K$823,10,FALSE)</f>
        <v>3</v>
      </c>
      <c r="R530" t="str">
        <f>VLOOKUP(Table3[[#This Row],[Census Tract]],'ES Energy Burden'!$B$2:$E$914,4,FALSE)</f>
        <v>No</v>
      </c>
    </row>
    <row r="531" spans="1:18" hidden="1" x14ac:dyDescent="0.25">
      <c r="A531" s="140">
        <v>9001100300</v>
      </c>
      <c r="B531" s="39" t="s">
        <v>2806</v>
      </c>
      <c r="C531" s="39" t="s">
        <v>944</v>
      </c>
      <c r="D531" s="41">
        <v>1648.5344640000001</v>
      </c>
      <c r="E531" s="37">
        <v>1.4625206892958437E-5</v>
      </c>
      <c r="F531" s="41">
        <v>0</v>
      </c>
      <c r="G531" s="37">
        <v>0</v>
      </c>
      <c r="H531" s="41">
        <v>1648.5344640000001</v>
      </c>
      <c r="I531" s="37">
        <v>1.4625206892958437E-5</v>
      </c>
      <c r="J531" s="42">
        <v>0</v>
      </c>
      <c r="K531" s="37">
        <v>0</v>
      </c>
      <c r="L531" s="38">
        <v>0</v>
      </c>
      <c r="M531" s="37">
        <v>0</v>
      </c>
      <c r="N531" s="42">
        <v>0</v>
      </c>
      <c r="O531" s="37">
        <v>0</v>
      </c>
      <c r="Q531">
        <f>VLOOKUP(Table3[[#This Row],[Census Tract]],'Population and Diversity Data'!$B$2:$K$823,10,FALSE)</f>
        <v>2</v>
      </c>
      <c r="R531" t="str">
        <f>VLOOKUP(Table3[[#This Row],[Census Tract]],'ES Energy Burden'!$B$2:$E$914,4,FALSE)</f>
        <v>No</v>
      </c>
    </row>
    <row r="532" spans="1:18" hidden="1" x14ac:dyDescent="0.25">
      <c r="A532" s="140">
        <v>9001200302</v>
      </c>
      <c r="B532" s="39" t="s">
        <v>2806</v>
      </c>
      <c r="C532" s="39" t="s">
        <v>944</v>
      </c>
      <c r="D532" s="41">
        <v>293.72371199999998</v>
      </c>
      <c r="E532" s="37">
        <v>2.6058114957114649E-6</v>
      </c>
      <c r="F532" s="41">
        <v>0</v>
      </c>
      <c r="G532" s="37">
        <v>0</v>
      </c>
      <c r="H532" s="41">
        <v>293.72371199999998</v>
      </c>
      <c r="I532" s="37">
        <v>2.6058114957114649E-6</v>
      </c>
      <c r="J532" s="42">
        <v>0</v>
      </c>
      <c r="K532" s="37">
        <v>0</v>
      </c>
      <c r="L532" s="38">
        <v>0</v>
      </c>
      <c r="M532" s="37">
        <v>0</v>
      </c>
      <c r="N532" s="42">
        <v>0</v>
      </c>
      <c r="O532" s="37">
        <v>0</v>
      </c>
      <c r="Q532">
        <f>VLOOKUP(Table3[[#This Row],[Census Tract]],'Population and Diversity Data'!$B$2:$K$823,10,FALSE)</f>
        <v>1</v>
      </c>
      <c r="R532" t="str">
        <f>VLOOKUP(Table3[[#This Row],[Census Tract]],'ES Energy Burden'!$B$2:$E$914,4,FALSE)</f>
        <v>No</v>
      </c>
    </row>
    <row r="533" spans="1:18" hidden="1" x14ac:dyDescent="0.25">
      <c r="A533" s="140">
        <v>9001205200</v>
      </c>
      <c r="B533" s="39" t="s">
        <v>2806</v>
      </c>
      <c r="C533" s="39" t="s">
        <v>944</v>
      </c>
      <c r="D533" s="41">
        <v>816.99071040000001</v>
      </c>
      <c r="E533" s="37">
        <v>7.2480487549122235E-6</v>
      </c>
      <c r="F533" s="41">
        <v>0</v>
      </c>
      <c r="G533" s="37">
        <v>0</v>
      </c>
      <c r="H533" s="41">
        <v>816.99071040000001</v>
      </c>
      <c r="I533" s="37">
        <v>7.2480487549122235E-6</v>
      </c>
      <c r="J533" s="42">
        <v>0</v>
      </c>
      <c r="K533" s="37">
        <v>0</v>
      </c>
      <c r="L533" s="38">
        <v>0</v>
      </c>
      <c r="M533" s="37">
        <v>0</v>
      </c>
      <c r="N533" s="42">
        <v>0</v>
      </c>
      <c r="O533" s="37">
        <v>0</v>
      </c>
      <c r="Q533">
        <f>VLOOKUP(Table3[[#This Row],[Census Tract]],'Population and Diversity Data'!$B$2:$K$823,10,FALSE)</f>
        <v>1</v>
      </c>
      <c r="R533" t="str">
        <f>VLOOKUP(Table3[[#This Row],[Census Tract]],'ES Energy Burden'!$B$2:$E$914,4,FALSE)</f>
        <v>No</v>
      </c>
    </row>
    <row r="534" spans="1:18" hidden="1" x14ac:dyDescent="0.25">
      <c r="A534" s="140">
        <v>9001205300</v>
      </c>
      <c r="B534" s="39" t="s">
        <v>2806</v>
      </c>
      <c r="C534" s="39" t="s">
        <v>944</v>
      </c>
      <c r="D534" s="41">
        <v>755.54259840000009</v>
      </c>
      <c r="E534" s="37">
        <v>6.7029031296269031E-6</v>
      </c>
      <c r="F534" s="41">
        <v>0</v>
      </c>
      <c r="G534" s="37">
        <v>0</v>
      </c>
      <c r="H534" s="41">
        <v>755.54259840000009</v>
      </c>
      <c r="I534" s="37">
        <v>6.7029031296269031E-6</v>
      </c>
      <c r="J534" s="42">
        <v>0</v>
      </c>
      <c r="K534" s="37">
        <v>0</v>
      </c>
      <c r="L534" s="38">
        <v>0</v>
      </c>
      <c r="M534" s="37">
        <v>0</v>
      </c>
      <c r="N534" s="42">
        <v>0</v>
      </c>
      <c r="O534" s="37">
        <v>0</v>
      </c>
      <c r="Q534">
        <f>VLOOKUP(Table3[[#This Row],[Census Tract]],'Population and Diversity Data'!$B$2:$K$823,10,FALSE)</f>
        <v>4</v>
      </c>
      <c r="R534" t="str">
        <f>VLOOKUP(Table3[[#This Row],[Census Tract]],'ES Energy Burden'!$B$2:$E$914,4,FALSE)</f>
        <v>No</v>
      </c>
    </row>
    <row r="535" spans="1:18" hidden="1" x14ac:dyDescent="0.25">
      <c r="A535" s="140">
        <v>9001230100</v>
      </c>
      <c r="B535" s="39" t="s">
        <v>2806</v>
      </c>
      <c r="C535" s="39" t="s">
        <v>944</v>
      </c>
      <c r="D535" s="41">
        <v>301855.53053664003</v>
      </c>
      <c r="E535" s="37">
        <v>2.677954075142765E-3</v>
      </c>
      <c r="F535" s="41">
        <v>142597.049</v>
      </c>
      <c r="G535" s="37">
        <v>1.7446252827639313E-3</v>
      </c>
      <c r="H535" s="41">
        <v>176786.60665248003</v>
      </c>
      <c r="I535" s="37">
        <v>1.5683874099441228E-3</v>
      </c>
      <c r="J535" s="42">
        <v>93877.471000000005</v>
      </c>
      <c r="K535" s="37">
        <v>1.1485581962396554E-3</v>
      </c>
      <c r="L535" s="38">
        <v>125068.92388416</v>
      </c>
      <c r="M535" s="37">
        <v>1.109566665198642E-3</v>
      </c>
      <c r="N535" s="42">
        <v>48719.578000000001</v>
      </c>
      <c r="O535" s="37">
        <v>5.9606708652427585E-4</v>
      </c>
      <c r="Q535">
        <f>VLOOKUP(Table3[[#This Row],[Census Tract]],'Population and Diversity Data'!$B$2:$K$823,10,FALSE)</f>
        <v>2</v>
      </c>
      <c r="R535" t="str">
        <f>VLOOKUP(Table3[[#This Row],[Census Tract]],'ES Energy Burden'!$B$2:$E$914,4,FALSE)</f>
        <v>No</v>
      </c>
    </row>
    <row r="536" spans="1:18" hidden="1" x14ac:dyDescent="0.25">
      <c r="A536" s="140">
        <v>9001230200</v>
      </c>
      <c r="B536" s="39" t="s">
        <v>2806</v>
      </c>
      <c r="C536" s="39" t="s">
        <v>944</v>
      </c>
      <c r="D536" s="41">
        <v>46300.658607359997</v>
      </c>
      <c r="E536" s="37">
        <v>4.1076284797214699E-4</v>
      </c>
      <c r="F536" s="41">
        <v>12190.543</v>
      </c>
      <c r="G536" s="37">
        <v>1.4914705232378869E-4</v>
      </c>
      <c r="H536" s="41">
        <v>46297.806465599999</v>
      </c>
      <c r="I536" s="37">
        <v>4.1073754479272373E-4</v>
      </c>
      <c r="J536" s="42">
        <v>12190.543</v>
      </c>
      <c r="K536" s="37">
        <v>1.4914705232378869E-4</v>
      </c>
      <c r="L536" s="38">
        <v>2.8521417599999999</v>
      </c>
      <c r="M536" s="37">
        <v>2.5303179423276289E-8</v>
      </c>
      <c r="N536" s="42">
        <v>0</v>
      </c>
      <c r="O536" s="37">
        <v>0</v>
      </c>
      <c r="Q536">
        <f>VLOOKUP(Table3[[#This Row],[Census Tract]],'Population and Diversity Data'!$B$2:$K$823,10,FALSE)</f>
        <v>2</v>
      </c>
      <c r="R536" t="str">
        <f>VLOOKUP(Table3[[#This Row],[Census Tract]],'ES Energy Burden'!$B$2:$E$914,4,FALSE)</f>
        <v>No</v>
      </c>
    </row>
    <row r="537" spans="1:18" hidden="1" x14ac:dyDescent="0.25">
      <c r="A537" s="140">
        <v>9001230300</v>
      </c>
      <c r="B537" s="39" t="s">
        <v>2806</v>
      </c>
      <c r="C537" s="39" t="s">
        <v>944</v>
      </c>
      <c r="D537" s="41">
        <v>78817.512913920014</v>
      </c>
      <c r="E537" s="37">
        <v>6.992407246115684E-4</v>
      </c>
      <c r="F537" s="41">
        <v>22507.883300000001</v>
      </c>
      <c r="G537" s="37">
        <v>2.7537612132969225E-4</v>
      </c>
      <c r="H537" s="41">
        <v>78817.512913920014</v>
      </c>
      <c r="I537" s="37">
        <v>6.992407246115684E-4</v>
      </c>
      <c r="J537" s="42">
        <v>22507.883300000001</v>
      </c>
      <c r="K537" s="37">
        <v>2.7537612132969225E-4</v>
      </c>
      <c r="L537" s="38">
        <v>0</v>
      </c>
      <c r="M537" s="37">
        <v>0</v>
      </c>
      <c r="N537" s="42">
        <v>0</v>
      </c>
      <c r="O537" s="37">
        <v>0</v>
      </c>
      <c r="Q537">
        <f>VLOOKUP(Table3[[#This Row],[Census Tract]],'Population and Diversity Data'!$B$2:$K$823,10,FALSE)</f>
        <v>1</v>
      </c>
      <c r="R537" t="str">
        <f>VLOOKUP(Table3[[#This Row],[Census Tract]],'ES Energy Burden'!$B$2:$E$914,4,FALSE)</f>
        <v>No</v>
      </c>
    </row>
    <row r="538" spans="1:18" hidden="1" x14ac:dyDescent="0.25">
      <c r="A538" s="140">
        <v>9001230400</v>
      </c>
      <c r="B538" s="39" t="s">
        <v>2806</v>
      </c>
      <c r="C538" s="39" t="s">
        <v>944</v>
      </c>
      <c r="D538" s="41">
        <v>125089.12448064002</v>
      </c>
      <c r="E538" s="37">
        <v>1.109745877650267E-3</v>
      </c>
      <c r="F538" s="41">
        <v>19995.774300000001</v>
      </c>
      <c r="G538" s="37">
        <v>2.4464134171683493E-4</v>
      </c>
      <c r="H538" s="41">
        <v>125089.12448064002</v>
      </c>
      <c r="I538" s="37">
        <v>1.109745877650267E-3</v>
      </c>
      <c r="J538" s="42">
        <v>19995.774300000001</v>
      </c>
      <c r="K538" s="37">
        <v>2.4464134171683493E-4</v>
      </c>
      <c r="L538" s="38">
        <v>0</v>
      </c>
      <c r="M538" s="37">
        <v>0</v>
      </c>
      <c r="N538" s="42">
        <v>0</v>
      </c>
      <c r="O538" s="37">
        <v>0</v>
      </c>
      <c r="Q538">
        <f>VLOOKUP(Table3[[#This Row],[Census Tract]],'Population and Diversity Data'!$B$2:$K$823,10,FALSE)</f>
        <v>2</v>
      </c>
      <c r="R538" t="str">
        <f>VLOOKUP(Table3[[#This Row],[Census Tract]],'ES Energy Burden'!$B$2:$E$914,4,FALSE)</f>
        <v>No</v>
      </c>
    </row>
    <row r="539" spans="1:18" hidden="1" x14ac:dyDescent="0.25">
      <c r="A539" s="140">
        <v>9001230501</v>
      </c>
      <c r="B539" s="39" t="s">
        <v>2806</v>
      </c>
      <c r="C539" s="39" t="s">
        <v>944</v>
      </c>
      <c r="D539" s="41">
        <v>88437.196612800006</v>
      </c>
      <c r="E539" s="37">
        <v>7.8458311047808528E-4</v>
      </c>
      <c r="F539" s="41">
        <v>18717.475399999999</v>
      </c>
      <c r="G539" s="37">
        <v>2.2900179941558204E-4</v>
      </c>
      <c r="H539" s="41">
        <v>88437.196612800006</v>
      </c>
      <c r="I539" s="37">
        <v>7.8458311047808528E-4</v>
      </c>
      <c r="J539" s="42">
        <v>18717.475399999999</v>
      </c>
      <c r="K539" s="37">
        <v>2.2900179941558204E-4</v>
      </c>
      <c r="L539" s="38">
        <v>0</v>
      </c>
      <c r="M539" s="37">
        <v>0</v>
      </c>
      <c r="N539" s="42">
        <v>0</v>
      </c>
      <c r="O539" s="37">
        <v>0</v>
      </c>
      <c r="Q539">
        <f>VLOOKUP(Table3[[#This Row],[Census Tract]],'Population and Diversity Data'!$B$2:$K$823,10,FALSE)</f>
        <v>2</v>
      </c>
      <c r="R539" t="str">
        <f>VLOOKUP(Table3[[#This Row],[Census Tract]],'ES Energy Burden'!$B$2:$E$914,4,FALSE)</f>
        <v>No</v>
      </c>
    </row>
    <row r="540" spans="1:18" hidden="1" x14ac:dyDescent="0.25">
      <c r="A540" s="140">
        <v>9001230502</v>
      </c>
      <c r="B540" s="39" t="s">
        <v>2806</v>
      </c>
      <c r="C540" s="39" t="s">
        <v>944</v>
      </c>
      <c r="D540" s="41">
        <v>84605.596839359991</v>
      </c>
      <c r="E540" s="37">
        <v>7.5059053061924351E-4</v>
      </c>
      <c r="F540" s="41">
        <v>9151.4843000000001</v>
      </c>
      <c r="G540" s="37">
        <v>1.1196522646550125E-4</v>
      </c>
      <c r="H540" s="41">
        <v>84605.596839359991</v>
      </c>
      <c r="I540" s="37">
        <v>7.5059053061924351E-4</v>
      </c>
      <c r="J540" s="42">
        <v>9151.4843000000001</v>
      </c>
      <c r="K540" s="37">
        <v>1.1196522646550125E-4</v>
      </c>
      <c r="L540" s="38">
        <v>0</v>
      </c>
      <c r="M540" s="37">
        <v>0</v>
      </c>
      <c r="N540" s="42">
        <v>0</v>
      </c>
      <c r="O540" s="37">
        <v>0</v>
      </c>
      <c r="Q540">
        <f>VLOOKUP(Table3[[#This Row],[Census Tract]],'Population and Diversity Data'!$B$2:$K$823,10,FALSE)</f>
        <v>2</v>
      </c>
      <c r="R540" t="str">
        <f>VLOOKUP(Table3[[#This Row],[Census Tract]],'ES Energy Burden'!$B$2:$E$914,4,FALSE)</f>
        <v>No</v>
      </c>
    </row>
    <row r="541" spans="1:18" hidden="1" x14ac:dyDescent="0.25">
      <c r="A541" s="140">
        <v>9005296100</v>
      </c>
      <c r="B541" s="39" t="s">
        <v>2807</v>
      </c>
      <c r="C541" s="39" t="s">
        <v>944</v>
      </c>
      <c r="D541" s="41">
        <v>153.95313599999997</v>
      </c>
      <c r="E541" s="37">
        <v>1.3658170423422626E-6</v>
      </c>
      <c r="F541" s="41">
        <v>0</v>
      </c>
      <c r="G541" s="37">
        <v>0</v>
      </c>
      <c r="H541" s="41">
        <v>153.95313599999997</v>
      </c>
      <c r="I541" s="37">
        <v>1.3658170423422626E-6</v>
      </c>
      <c r="J541" s="42">
        <v>0</v>
      </c>
      <c r="K541" s="37">
        <v>0</v>
      </c>
      <c r="L541" s="38">
        <v>0</v>
      </c>
      <c r="M541" s="37">
        <v>0</v>
      </c>
      <c r="N541" s="42">
        <v>0</v>
      </c>
      <c r="O541" s="37">
        <v>0</v>
      </c>
      <c r="Q541">
        <f>VLOOKUP(Table3[[#This Row],[Census Tract]],'Population and Diversity Data'!$B$2:$K$823,10,FALSE)</f>
        <v>3</v>
      </c>
      <c r="R541" t="str">
        <f>VLOOKUP(Table3[[#This Row],[Census Tract]],'ES Energy Burden'!$B$2:$E$914,4,FALSE)</f>
        <v>No</v>
      </c>
    </row>
    <row r="542" spans="1:18" hidden="1" x14ac:dyDescent="0.25">
      <c r="A542" s="140">
        <v>9005425600</v>
      </c>
      <c r="B542" s="39" t="s">
        <v>2807</v>
      </c>
      <c r="C542" s="39" t="s">
        <v>944</v>
      </c>
      <c r="D542" s="41">
        <v>54512.674021440005</v>
      </c>
      <c r="E542" s="37">
        <v>4.8361690535573821E-4</v>
      </c>
      <c r="F542" s="41">
        <v>13119.833199999999</v>
      </c>
      <c r="G542" s="37">
        <v>1.6051659460614512E-4</v>
      </c>
      <c r="H542" s="41">
        <v>40182.115245120003</v>
      </c>
      <c r="I542" s="37">
        <v>3.5648132428524066E-4</v>
      </c>
      <c r="J542" s="42">
        <v>13119.833199999999</v>
      </c>
      <c r="K542" s="37">
        <v>1.6051659460614512E-4</v>
      </c>
      <c r="L542" s="38">
        <v>14330.55877632</v>
      </c>
      <c r="M542" s="37">
        <v>1.2713558107049758E-4</v>
      </c>
      <c r="N542" s="42">
        <v>0</v>
      </c>
      <c r="O542" s="37">
        <v>0</v>
      </c>
      <c r="Q542">
        <f>VLOOKUP(Table3[[#This Row],[Census Tract]],'Population and Diversity Data'!$B$2:$K$823,10,FALSE)</f>
        <v>1</v>
      </c>
      <c r="R542" t="str">
        <f>VLOOKUP(Table3[[#This Row],[Census Tract]],'ES Energy Burden'!$B$2:$E$914,4,FALSE)</f>
        <v>No</v>
      </c>
    </row>
    <row r="543" spans="1:18" hidden="1" x14ac:dyDescent="0.25">
      <c r="A543" s="140">
        <v>9005260200</v>
      </c>
      <c r="B543" s="39" t="s">
        <v>2808</v>
      </c>
      <c r="C543" s="39" t="s">
        <v>944</v>
      </c>
      <c r="D543" s="41">
        <v>81507.38129568001</v>
      </c>
      <c r="E543" s="37">
        <v>7.2310427278551024E-4</v>
      </c>
      <c r="F543" s="41">
        <v>21234.362000000001</v>
      </c>
      <c r="G543" s="37">
        <v>2.5979503130223739E-4</v>
      </c>
      <c r="H543" s="41">
        <v>49637.050853759996</v>
      </c>
      <c r="I543" s="37">
        <v>4.4036212414455116E-4</v>
      </c>
      <c r="J543" s="42">
        <v>18834.362000000001</v>
      </c>
      <c r="K543" s="37">
        <v>2.3043186629989967E-4</v>
      </c>
      <c r="L543" s="38">
        <v>31870.330441920007</v>
      </c>
      <c r="M543" s="37">
        <v>2.8274214864095897E-4</v>
      </c>
      <c r="N543" s="42">
        <v>2400</v>
      </c>
      <c r="O543" s="37">
        <v>2.9363165002337707E-5</v>
      </c>
      <c r="Q543">
        <f>VLOOKUP(Table3[[#This Row],[Census Tract]],'Population and Diversity Data'!$B$2:$K$823,10,FALSE)</f>
        <v>1</v>
      </c>
      <c r="R543" t="str">
        <f>VLOOKUP(Table3[[#This Row],[Census Tract]],'ES Energy Burden'!$B$2:$E$914,4,FALSE)</f>
        <v>No</v>
      </c>
    </row>
    <row r="544" spans="1:18" hidden="1" x14ac:dyDescent="0.25">
      <c r="A544" s="140">
        <v>9011707100</v>
      </c>
      <c r="B544" s="39" t="s">
        <v>2809</v>
      </c>
      <c r="C544" s="39" t="s">
        <v>944</v>
      </c>
      <c r="D544" s="41">
        <v>149000.57273376</v>
      </c>
      <c r="E544" s="37">
        <v>1.3218796761537051E-3</v>
      </c>
      <c r="F544" s="41">
        <v>51278.805999999997</v>
      </c>
      <c r="G544" s="37">
        <v>6.2737835070869358E-4</v>
      </c>
      <c r="H544" s="41">
        <v>113517.05510016001</v>
      </c>
      <c r="I544" s="37">
        <v>1.0070826257953215E-3</v>
      </c>
      <c r="J544" s="42">
        <v>51278.805999999997</v>
      </c>
      <c r="K544" s="37">
        <v>6.2737835070869358E-4</v>
      </c>
      <c r="L544" s="38">
        <v>35483.5176336</v>
      </c>
      <c r="M544" s="37">
        <v>3.147970503583836E-4</v>
      </c>
      <c r="N544" s="42">
        <v>0</v>
      </c>
      <c r="O544" s="37">
        <v>0</v>
      </c>
      <c r="Q544">
        <f>VLOOKUP(Table3[[#This Row],[Census Tract]],'Population and Diversity Data'!$B$2:$K$823,10,FALSE)</f>
        <v>3</v>
      </c>
      <c r="R544" t="str">
        <f>VLOOKUP(Table3[[#This Row],[Census Tract]],'ES Energy Burden'!$B$2:$E$914,4,FALSE)</f>
        <v>No</v>
      </c>
    </row>
    <row r="545" spans="1:18" hidden="1" x14ac:dyDescent="0.25">
      <c r="A545" s="140">
        <v>9011708100</v>
      </c>
      <c r="B545" s="39" t="s">
        <v>2809</v>
      </c>
      <c r="C545" s="39" t="s">
        <v>944</v>
      </c>
      <c r="D545" s="41">
        <v>176.22264960000001</v>
      </c>
      <c r="E545" s="37">
        <v>1.5633841851093503E-6</v>
      </c>
      <c r="F545" s="41">
        <v>0</v>
      </c>
      <c r="G545" s="37">
        <v>0</v>
      </c>
      <c r="H545" s="41">
        <v>176.22264960000001</v>
      </c>
      <c r="I545" s="37">
        <v>1.5633841851093503E-6</v>
      </c>
      <c r="J545" s="42">
        <v>0</v>
      </c>
      <c r="K545" s="37">
        <v>0</v>
      </c>
      <c r="L545" s="38">
        <v>0</v>
      </c>
      <c r="M545" s="37">
        <v>0</v>
      </c>
      <c r="N545" s="42">
        <v>0</v>
      </c>
      <c r="O545" s="37">
        <v>0</v>
      </c>
      <c r="Q545">
        <f>VLOOKUP(Table3[[#This Row],[Census Tract]],'Population and Diversity Data'!$B$2:$K$823,10,FALSE)</f>
        <v>2</v>
      </c>
      <c r="R545" t="str">
        <f>VLOOKUP(Table3[[#This Row],[Census Tract]],'ES Energy Burden'!$B$2:$E$914,4,FALSE)</f>
        <v>No</v>
      </c>
    </row>
    <row r="546" spans="1:18" hidden="1" x14ac:dyDescent="0.25">
      <c r="A546" s="140">
        <v>9001035300</v>
      </c>
      <c r="B546" s="39" t="s">
        <v>2810</v>
      </c>
      <c r="C546" s="39" t="s">
        <v>944</v>
      </c>
      <c r="D546" s="41">
        <v>1061.2722816</v>
      </c>
      <c r="E546" s="37">
        <v>9.4152272986159715E-6</v>
      </c>
      <c r="F546" s="41">
        <v>0</v>
      </c>
      <c r="G546" s="37">
        <v>0</v>
      </c>
      <c r="H546" s="41">
        <v>1061.2722816</v>
      </c>
      <c r="I546" s="37">
        <v>9.4152272986159715E-6</v>
      </c>
      <c r="J546" s="42">
        <v>0</v>
      </c>
      <c r="K546" s="37">
        <v>0</v>
      </c>
      <c r="L546" s="38">
        <v>0</v>
      </c>
      <c r="M546" s="37">
        <v>0</v>
      </c>
      <c r="N546" s="42">
        <v>0</v>
      </c>
      <c r="O546" s="37">
        <v>0</v>
      </c>
      <c r="Q546">
        <f>VLOOKUP(Table3[[#This Row],[Census Tract]],'Population and Diversity Data'!$B$2:$K$823,10,FALSE)</f>
        <v>3</v>
      </c>
      <c r="R546" t="str">
        <f>VLOOKUP(Table3[[#This Row],[Census Tract]],'ES Energy Burden'!$B$2:$E$914,4,FALSE)</f>
        <v>No</v>
      </c>
    </row>
    <row r="547" spans="1:18" hidden="1" x14ac:dyDescent="0.25">
      <c r="A547" s="140">
        <v>9001035400</v>
      </c>
      <c r="B547" s="39" t="s">
        <v>2810</v>
      </c>
      <c r="C547" s="39" t="s">
        <v>944</v>
      </c>
      <c r="D547" s="41">
        <v>3028.5282326400002</v>
      </c>
      <c r="E547" s="37">
        <v>2.6868016987678677E-5</v>
      </c>
      <c r="F547" s="41">
        <v>0</v>
      </c>
      <c r="G547" s="37">
        <v>0</v>
      </c>
      <c r="H547" s="41">
        <v>3028.5282326400002</v>
      </c>
      <c r="I547" s="37">
        <v>2.6868016987678677E-5</v>
      </c>
      <c r="J547" s="42">
        <v>0</v>
      </c>
      <c r="K547" s="37">
        <v>0</v>
      </c>
      <c r="L547" s="38">
        <v>0</v>
      </c>
      <c r="M547" s="37">
        <v>0</v>
      </c>
      <c r="N547" s="42">
        <v>0</v>
      </c>
      <c r="O547" s="37">
        <v>0</v>
      </c>
      <c r="Q547">
        <f>VLOOKUP(Table3[[#This Row],[Census Tract]],'Population and Diversity Data'!$B$2:$K$823,10,FALSE)</f>
        <v>2</v>
      </c>
      <c r="R547" t="str">
        <f>VLOOKUP(Table3[[#This Row],[Census Tract]],'ES Energy Burden'!$B$2:$E$914,4,FALSE)</f>
        <v>No</v>
      </c>
    </row>
    <row r="548" spans="1:18" hidden="1" x14ac:dyDescent="0.25">
      <c r="A548" s="140">
        <v>9001042500</v>
      </c>
      <c r="B548" s="39" t="s">
        <v>2810</v>
      </c>
      <c r="C548" s="39" t="s">
        <v>944</v>
      </c>
      <c r="D548" s="41">
        <v>83103.254467200008</v>
      </c>
      <c r="E548" s="37">
        <v>7.3726228756657193E-4</v>
      </c>
      <c r="F548" s="41">
        <v>25488.235000000001</v>
      </c>
      <c r="G548" s="37">
        <v>3.1183968746806626E-4</v>
      </c>
      <c r="H548" s="41">
        <v>83103.254467200008</v>
      </c>
      <c r="I548" s="37">
        <v>7.3726228756657193E-4</v>
      </c>
      <c r="J548" s="42">
        <v>25488.235000000001</v>
      </c>
      <c r="K548" s="37">
        <v>3.1183968746806626E-4</v>
      </c>
      <c r="L548" s="38">
        <v>0</v>
      </c>
      <c r="M548" s="37">
        <v>0</v>
      </c>
      <c r="N548" s="42">
        <v>0</v>
      </c>
      <c r="O548" s="37">
        <v>0</v>
      </c>
      <c r="Q548">
        <f>VLOOKUP(Table3[[#This Row],[Census Tract]],'Population and Diversity Data'!$B$2:$K$823,10,FALSE)</f>
        <v>1</v>
      </c>
      <c r="R548" t="str">
        <f>VLOOKUP(Table3[[#This Row],[Census Tract]],'ES Energy Burden'!$B$2:$E$914,4,FALSE)</f>
        <v>No</v>
      </c>
    </row>
    <row r="549" spans="1:18" hidden="1" x14ac:dyDescent="0.25">
      <c r="A549" s="140">
        <v>9001042600</v>
      </c>
      <c r="B549" s="39" t="s">
        <v>2810</v>
      </c>
      <c r="C549" s="39" t="s">
        <v>944</v>
      </c>
      <c r="D549" s="41">
        <v>81284.181955200009</v>
      </c>
      <c r="E549" s="37">
        <v>7.2112412823641093E-4</v>
      </c>
      <c r="F549" s="41">
        <v>15735.29</v>
      </c>
      <c r="G549" s="37">
        <v>1.9251579859568105E-4</v>
      </c>
      <c r="H549" s="41">
        <v>81284.181955200009</v>
      </c>
      <c r="I549" s="37">
        <v>7.2112412823641093E-4</v>
      </c>
      <c r="J549" s="42">
        <v>15735.29</v>
      </c>
      <c r="K549" s="37">
        <v>1.9251579859568105E-4</v>
      </c>
      <c r="L549" s="38">
        <v>0</v>
      </c>
      <c r="M549" s="37">
        <v>0</v>
      </c>
      <c r="N549" s="42">
        <v>0</v>
      </c>
      <c r="O549" s="37">
        <v>0</v>
      </c>
      <c r="Q549">
        <f>VLOOKUP(Table3[[#This Row],[Census Tract]],'Population and Diversity Data'!$B$2:$K$823,10,FALSE)</f>
        <v>3</v>
      </c>
      <c r="R549" t="str">
        <f>VLOOKUP(Table3[[#This Row],[Census Tract]],'ES Energy Burden'!$B$2:$E$914,4,FALSE)</f>
        <v>No</v>
      </c>
    </row>
    <row r="550" spans="1:18" hidden="1" x14ac:dyDescent="0.25">
      <c r="A550" s="140">
        <v>9001042700</v>
      </c>
      <c r="B550" s="39" t="s">
        <v>2810</v>
      </c>
      <c r="C550" s="39" t="s">
        <v>944</v>
      </c>
      <c r="D550" s="41">
        <v>85645.313366399991</v>
      </c>
      <c r="E550" s="37">
        <v>7.5981452298946807E-4</v>
      </c>
      <c r="F550" s="41">
        <v>11611.1448</v>
      </c>
      <c r="G550" s="37">
        <v>1.4205831692851476E-4</v>
      </c>
      <c r="H550" s="41">
        <v>85645.313366399991</v>
      </c>
      <c r="I550" s="37">
        <v>7.5981452298946807E-4</v>
      </c>
      <c r="J550" s="42">
        <v>11611.1448</v>
      </c>
      <c r="K550" s="37">
        <v>1.4205831692851476E-4</v>
      </c>
      <c r="L550" s="38">
        <v>0</v>
      </c>
      <c r="M550" s="37">
        <v>0</v>
      </c>
      <c r="N550" s="42">
        <v>0</v>
      </c>
      <c r="O550" s="37">
        <v>0</v>
      </c>
      <c r="Q550">
        <f>VLOOKUP(Table3[[#This Row],[Census Tract]],'Population and Diversity Data'!$B$2:$K$823,10,FALSE)</f>
        <v>4</v>
      </c>
      <c r="R550" t="str">
        <f>VLOOKUP(Table3[[#This Row],[Census Tract]],'ES Energy Burden'!$B$2:$E$914,4,FALSE)</f>
        <v>No</v>
      </c>
    </row>
    <row r="551" spans="1:18" hidden="1" x14ac:dyDescent="0.25">
      <c r="A551" s="140">
        <v>9001042800</v>
      </c>
      <c r="B551" s="39" t="s">
        <v>2810</v>
      </c>
      <c r="C551" s="39" t="s">
        <v>944</v>
      </c>
      <c r="D551" s="41">
        <v>115974.89911584</v>
      </c>
      <c r="E551" s="37">
        <v>1.0288877369561274E-3</v>
      </c>
      <c r="F551" s="41">
        <v>22248.071899999999</v>
      </c>
      <c r="G551" s="37">
        <v>2.7219741924315539E-4</v>
      </c>
      <c r="H551" s="41">
        <v>115974.89911584</v>
      </c>
      <c r="I551" s="37">
        <v>1.0288877369561274E-3</v>
      </c>
      <c r="J551" s="42">
        <v>22248.071899999999</v>
      </c>
      <c r="K551" s="37">
        <v>2.7219741924315539E-4</v>
      </c>
      <c r="L551" s="38">
        <v>0</v>
      </c>
      <c r="M551" s="37">
        <v>0</v>
      </c>
      <c r="N551" s="42">
        <v>0</v>
      </c>
      <c r="O551" s="37">
        <v>0</v>
      </c>
      <c r="Q551">
        <f>VLOOKUP(Table3[[#This Row],[Census Tract]],'Population and Diversity Data'!$B$2:$K$823,10,FALSE)</f>
        <v>3</v>
      </c>
      <c r="R551" t="str">
        <f>VLOOKUP(Table3[[#This Row],[Census Tract]],'ES Energy Burden'!$B$2:$E$914,4,FALSE)</f>
        <v>No</v>
      </c>
    </row>
    <row r="552" spans="1:18" hidden="1" x14ac:dyDescent="0.25">
      <c r="A552" s="140">
        <v>9001042900</v>
      </c>
      <c r="B552" s="39" t="s">
        <v>2810</v>
      </c>
      <c r="C552" s="39" t="s">
        <v>944</v>
      </c>
      <c r="D552" s="41">
        <v>41161.070211839993</v>
      </c>
      <c r="E552" s="37">
        <v>3.6516626187060923E-4</v>
      </c>
      <c r="F552" s="41">
        <v>22228.298200000001</v>
      </c>
      <c r="G552" s="37">
        <v>2.7195549490323595E-4</v>
      </c>
      <c r="H552" s="41">
        <v>41161.070211839993</v>
      </c>
      <c r="I552" s="37">
        <v>3.6516626187060923E-4</v>
      </c>
      <c r="J552" s="42">
        <v>22228.298200000001</v>
      </c>
      <c r="K552" s="37">
        <v>2.7195549490323595E-4</v>
      </c>
      <c r="L552" s="38">
        <v>0</v>
      </c>
      <c r="M552" s="37">
        <v>0</v>
      </c>
      <c r="N552" s="42">
        <v>0</v>
      </c>
      <c r="O552" s="37">
        <v>0</v>
      </c>
      <c r="Q552">
        <f>VLOOKUP(Table3[[#This Row],[Census Tract]],'Population and Diversity Data'!$B$2:$K$823,10,FALSE)</f>
        <v>1</v>
      </c>
      <c r="R552" t="str">
        <f>VLOOKUP(Table3[[#This Row],[Census Tract]],'ES Energy Burden'!$B$2:$E$914,4,FALSE)</f>
        <v>No</v>
      </c>
    </row>
    <row r="553" spans="1:18" hidden="1" x14ac:dyDescent="0.25">
      <c r="A553" s="140">
        <v>9001043000</v>
      </c>
      <c r="B553" s="39" t="s">
        <v>2810</v>
      </c>
      <c r="C553" s="39" t="s">
        <v>944</v>
      </c>
      <c r="D553" s="41">
        <v>63115.726927679993</v>
      </c>
      <c r="E553" s="37">
        <v>5.5994010721318341E-4</v>
      </c>
      <c r="F553" s="41">
        <v>13700.7127</v>
      </c>
      <c r="G553" s="37">
        <v>1.6762345319155155E-4</v>
      </c>
      <c r="H553" s="41">
        <v>63115.726927679993</v>
      </c>
      <c r="I553" s="37">
        <v>5.5994010721318341E-4</v>
      </c>
      <c r="J553" s="42">
        <v>13700.7127</v>
      </c>
      <c r="K553" s="37">
        <v>1.6762345319155155E-4</v>
      </c>
      <c r="L553" s="38">
        <v>0</v>
      </c>
      <c r="M553" s="37">
        <v>0</v>
      </c>
      <c r="N553" s="42">
        <v>0</v>
      </c>
      <c r="O553" s="37">
        <v>0</v>
      </c>
      <c r="Q553">
        <f>VLOOKUP(Table3[[#This Row],[Census Tract]],'Population and Diversity Data'!$B$2:$K$823,10,FALSE)</f>
        <v>3</v>
      </c>
      <c r="R553" t="str">
        <f>VLOOKUP(Table3[[#This Row],[Census Tract]],'ES Energy Burden'!$B$2:$E$914,4,FALSE)</f>
        <v>No</v>
      </c>
    </row>
    <row r="554" spans="1:18" hidden="1" x14ac:dyDescent="0.25">
      <c r="A554" s="140">
        <v>9001043100</v>
      </c>
      <c r="B554" s="39" t="s">
        <v>2810</v>
      </c>
      <c r="C554" s="39" t="s">
        <v>944</v>
      </c>
      <c r="D554" s="41">
        <v>104499.4986432</v>
      </c>
      <c r="E554" s="37">
        <v>9.2708209700323831E-4</v>
      </c>
      <c r="F554" s="41">
        <v>28444.488799999999</v>
      </c>
      <c r="G554" s="37">
        <v>3.4800842418397784E-4</v>
      </c>
      <c r="H554" s="41">
        <v>104499.4986432</v>
      </c>
      <c r="I554" s="37">
        <v>9.2708209700323831E-4</v>
      </c>
      <c r="J554" s="42">
        <v>28444.488799999999</v>
      </c>
      <c r="K554" s="37">
        <v>3.4800842418397784E-4</v>
      </c>
      <c r="L554" s="38">
        <v>0</v>
      </c>
      <c r="M554" s="37">
        <v>0</v>
      </c>
      <c r="N554" s="42">
        <v>0</v>
      </c>
      <c r="O554" s="37">
        <v>0</v>
      </c>
      <c r="Q554">
        <f>VLOOKUP(Table3[[#This Row],[Census Tract]],'Population and Diversity Data'!$B$2:$K$823,10,FALSE)</f>
        <v>5</v>
      </c>
      <c r="R554" t="str">
        <f>VLOOKUP(Table3[[#This Row],[Census Tract]],'ES Energy Burden'!$B$2:$E$914,4,FALSE)</f>
        <v>No</v>
      </c>
    </row>
    <row r="555" spans="1:18" hidden="1" x14ac:dyDescent="0.25">
      <c r="A555" s="140">
        <v>9001043200</v>
      </c>
      <c r="B555" s="39" t="s">
        <v>2810</v>
      </c>
      <c r="C555" s="39" t="s">
        <v>944</v>
      </c>
      <c r="D555" s="41">
        <v>59452.694694720005</v>
      </c>
      <c r="E555" s="37">
        <v>5.2744299815510104E-4</v>
      </c>
      <c r="F555" s="41">
        <v>4285.76</v>
      </c>
      <c r="G555" s="37">
        <v>5.2434782516841187E-5</v>
      </c>
      <c r="H555" s="41">
        <v>59452.694694720005</v>
      </c>
      <c r="I555" s="37">
        <v>5.2744299815510104E-4</v>
      </c>
      <c r="J555" s="42">
        <v>4285.76</v>
      </c>
      <c r="K555" s="37">
        <v>5.2434782516841187E-5</v>
      </c>
      <c r="L555" s="38">
        <v>0</v>
      </c>
      <c r="M555" s="37">
        <v>0</v>
      </c>
      <c r="N555" s="42">
        <v>0</v>
      </c>
      <c r="O555" s="37">
        <v>0</v>
      </c>
      <c r="Q555">
        <f>VLOOKUP(Table3[[#This Row],[Census Tract]],'Population and Diversity Data'!$B$2:$K$823,10,FALSE)</f>
        <v>3</v>
      </c>
      <c r="R555" t="str">
        <f>VLOOKUP(Table3[[#This Row],[Census Tract]],'ES Energy Burden'!$B$2:$E$914,4,FALSE)</f>
        <v>No</v>
      </c>
    </row>
    <row r="556" spans="1:18" hidden="1" x14ac:dyDescent="0.25">
      <c r="A556" s="140">
        <v>9001043300</v>
      </c>
      <c r="B556" s="39" t="s">
        <v>2810</v>
      </c>
      <c r="C556" s="39" t="s">
        <v>944</v>
      </c>
      <c r="D556" s="41">
        <v>64142.895072960004</v>
      </c>
      <c r="E556" s="37">
        <v>5.6905277483805419E-4</v>
      </c>
      <c r="F556" s="41">
        <v>25985.81</v>
      </c>
      <c r="G556" s="37">
        <v>3.1792734447891552E-4</v>
      </c>
      <c r="H556" s="41">
        <v>64142.895072960004</v>
      </c>
      <c r="I556" s="37">
        <v>5.6905277483805419E-4</v>
      </c>
      <c r="J556" s="42">
        <v>25985.81</v>
      </c>
      <c r="K556" s="37">
        <v>3.1792734447891552E-4</v>
      </c>
      <c r="L556" s="38">
        <v>0</v>
      </c>
      <c r="M556" s="37">
        <v>0</v>
      </c>
      <c r="N556" s="42">
        <v>0</v>
      </c>
      <c r="O556" s="37">
        <v>0</v>
      </c>
      <c r="Q556">
        <f>VLOOKUP(Table3[[#This Row],[Census Tract]],'Population and Diversity Data'!$B$2:$K$823,10,FALSE)</f>
        <v>4</v>
      </c>
      <c r="R556" t="str">
        <f>VLOOKUP(Table3[[#This Row],[Census Tract]],'ES Energy Burden'!$B$2:$E$914,4,FALSE)</f>
        <v>No</v>
      </c>
    </row>
    <row r="557" spans="1:18" hidden="1" x14ac:dyDescent="0.25">
      <c r="A557" s="140">
        <v>9001043400</v>
      </c>
      <c r="B557" s="39" t="s">
        <v>2810</v>
      </c>
      <c r="C557" s="39" t="s">
        <v>944</v>
      </c>
      <c r="D557" s="41">
        <v>65534.864711040005</v>
      </c>
      <c r="E557" s="37">
        <v>5.8140183055402654E-4</v>
      </c>
      <c r="F557" s="41">
        <v>6121.5024000000003</v>
      </c>
      <c r="G557" s="37">
        <v>7.4894452097252611E-5</v>
      </c>
      <c r="H557" s="41">
        <v>65534.864711040005</v>
      </c>
      <c r="I557" s="37">
        <v>5.8140183055402654E-4</v>
      </c>
      <c r="J557" s="42">
        <v>6121.5024000000003</v>
      </c>
      <c r="K557" s="37">
        <v>7.4894452097252611E-5</v>
      </c>
      <c r="L557" s="38">
        <v>0</v>
      </c>
      <c r="M557" s="37">
        <v>0</v>
      </c>
      <c r="N557" s="42">
        <v>0</v>
      </c>
      <c r="O557" s="37">
        <v>0</v>
      </c>
      <c r="Q557">
        <f>VLOOKUP(Table3[[#This Row],[Census Tract]],'Population and Diversity Data'!$B$2:$K$823,10,FALSE)</f>
        <v>5</v>
      </c>
      <c r="R557" t="str">
        <f>VLOOKUP(Table3[[#This Row],[Census Tract]],'ES Energy Burden'!$B$2:$E$914,4,FALSE)</f>
        <v>No</v>
      </c>
    </row>
    <row r="558" spans="1:18" hidden="1" x14ac:dyDescent="0.25">
      <c r="A558" s="140">
        <v>9001043500</v>
      </c>
      <c r="B558" s="39" t="s">
        <v>2810</v>
      </c>
      <c r="C558" s="39" t="s">
        <v>944</v>
      </c>
      <c r="D558" s="41">
        <v>43101.77930496</v>
      </c>
      <c r="E558" s="37">
        <v>3.8238353735119384E-4</v>
      </c>
      <c r="F558" s="41">
        <v>5348.7452000000003</v>
      </c>
      <c r="G558" s="37">
        <v>6.5440036609609086E-5</v>
      </c>
      <c r="H558" s="41">
        <v>43101.77930496</v>
      </c>
      <c r="I558" s="37">
        <v>3.8238353735119384E-4</v>
      </c>
      <c r="J558" s="42">
        <v>5348.7452000000003</v>
      </c>
      <c r="K558" s="37">
        <v>6.5440036609609086E-5</v>
      </c>
      <c r="L558" s="38">
        <v>0</v>
      </c>
      <c r="M558" s="37">
        <v>0</v>
      </c>
      <c r="N558" s="42">
        <v>0</v>
      </c>
      <c r="O558" s="37">
        <v>0</v>
      </c>
      <c r="Q558">
        <f>VLOOKUP(Table3[[#This Row],[Census Tract]],'Population and Diversity Data'!$B$2:$K$823,10,FALSE)</f>
        <v>1</v>
      </c>
      <c r="R558" t="str">
        <f>VLOOKUP(Table3[[#This Row],[Census Tract]],'ES Energy Burden'!$B$2:$E$914,4,FALSE)</f>
        <v>No</v>
      </c>
    </row>
    <row r="559" spans="1:18" hidden="1" x14ac:dyDescent="0.25">
      <c r="A559" s="140">
        <v>9001043600</v>
      </c>
      <c r="B559" s="39" t="s">
        <v>2810</v>
      </c>
      <c r="C559" s="39" t="s">
        <v>944</v>
      </c>
      <c r="D559" s="41">
        <v>52708.824316800004</v>
      </c>
      <c r="E559" s="37">
        <v>4.6761379731628024E-4</v>
      </c>
      <c r="F559" s="41">
        <v>17760.28</v>
      </c>
      <c r="G559" s="37">
        <v>2.172908467198826E-4</v>
      </c>
      <c r="H559" s="41">
        <v>52708.824316800004</v>
      </c>
      <c r="I559" s="37">
        <v>4.6761379731628024E-4</v>
      </c>
      <c r="J559" s="42">
        <v>17760.28</v>
      </c>
      <c r="K559" s="37">
        <v>2.172908467198826E-4</v>
      </c>
      <c r="L559" s="38">
        <v>0</v>
      </c>
      <c r="M559" s="37">
        <v>0</v>
      </c>
      <c r="N559" s="42">
        <v>0</v>
      </c>
      <c r="O559" s="37">
        <v>0</v>
      </c>
      <c r="Q559">
        <f>VLOOKUP(Table3[[#This Row],[Census Tract]],'Population and Diversity Data'!$B$2:$K$823,10,FALSE)</f>
        <v>4</v>
      </c>
      <c r="R559" t="str">
        <f>VLOOKUP(Table3[[#This Row],[Census Tract]],'ES Energy Burden'!$B$2:$E$914,4,FALSE)</f>
        <v>No</v>
      </c>
    </row>
    <row r="560" spans="1:18" hidden="1" x14ac:dyDescent="0.25">
      <c r="A560" s="140">
        <v>9001043700</v>
      </c>
      <c r="B560" s="39" t="s">
        <v>2810</v>
      </c>
      <c r="C560" s="39" t="s">
        <v>944</v>
      </c>
      <c r="D560" s="41">
        <v>48043.2251808</v>
      </c>
      <c r="E560" s="37">
        <v>4.2622227403684446E-4</v>
      </c>
      <c r="F560" s="41">
        <v>204.88</v>
      </c>
      <c r="G560" s="37">
        <v>2.5066355190328954E-6</v>
      </c>
      <c r="H560" s="41">
        <v>48043.2251808</v>
      </c>
      <c r="I560" s="37">
        <v>4.2622227403684446E-4</v>
      </c>
      <c r="J560" s="42">
        <v>204.88</v>
      </c>
      <c r="K560" s="37">
        <v>2.5066355190328954E-6</v>
      </c>
      <c r="L560" s="38">
        <v>0</v>
      </c>
      <c r="M560" s="37">
        <v>0</v>
      </c>
      <c r="N560" s="42">
        <v>0</v>
      </c>
      <c r="O560" s="37">
        <v>0</v>
      </c>
      <c r="Q560">
        <f>VLOOKUP(Table3[[#This Row],[Census Tract]],'Population and Diversity Data'!$B$2:$K$823,10,FALSE)</f>
        <v>4</v>
      </c>
      <c r="R560" t="str">
        <f>VLOOKUP(Table3[[#This Row],[Census Tract]],'ES Energy Burden'!$B$2:$E$914,4,FALSE)</f>
        <v>No</v>
      </c>
    </row>
    <row r="561" spans="1:18" hidden="1" x14ac:dyDescent="0.25">
      <c r="A561" s="140">
        <v>9001043800</v>
      </c>
      <c r="B561" s="39" t="s">
        <v>2810</v>
      </c>
      <c r="C561" s="39" t="s">
        <v>944</v>
      </c>
      <c r="D561" s="41">
        <v>111989.26689984</v>
      </c>
      <c r="E561" s="37">
        <v>9.9352863647556846E-4</v>
      </c>
      <c r="F561" s="41">
        <v>20916.12</v>
      </c>
      <c r="G561" s="37">
        <v>2.559014511536232E-4</v>
      </c>
      <c r="H561" s="41">
        <v>111989.26689984</v>
      </c>
      <c r="I561" s="37">
        <v>9.9352863647556846E-4</v>
      </c>
      <c r="J561" s="42">
        <v>20916.12</v>
      </c>
      <c r="K561" s="37">
        <v>2.559014511536232E-4</v>
      </c>
      <c r="L561" s="38">
        <v>0</v>
      </c>
      <c r="M561" s="37">
        <v>0</v>
      </c>
      <c r="N561" s="42">
        <v>0</v>
      </c>
      <c r="O561" s="37">
        <v>0</v>
      </c>
      <c r="Q561">
        <f>VLOOKUP(Table3[[#This Row],[Census Tract]],'Population and Diversity Data'!$B$2:$K$823,10,FALSE)</f>
        <v>4</v>
      </c>
      <c r="R561" t="str">
        <f>VLOOKUP(Table3[[#This Row],[Census Tract]],'ES Energy Burden'!$B$2:$E$914,4,FALSE)</f>
        <v>No</v>
      </c>
    </row>
    <row r="562" spans="1:18" hidden="1" x14ac:dyDescent="0.25">
      <c r="A562" s="140">
        <v>9001043900</v>
      </c>
      <c r="B562" s="39" t="s">
        <v>2810</v>
      </c>
      <c r="C562" s="39" t="s">
        <v>944</v>
      </c>
      <c r="D562" s="41">
        <v>84960.330451200018</v>
      </c>
      <c r="E562" s="37">
        <v>7.5373760007902205E-4</v>
      </c>
      <c r="F562" s="41">
        <v>29575.041700000002</v>
      </c>
      <c r="G562" s="37">
        <v>3.6184034557838263E-4</v>
      </c>
      <c r="H562" s="41">
        <v>84960.330451200018</v>
      </c>
      <c r="I562" s="37">
        <v>7.5373760007902205E-4</v>
      </c>
      <c r="J562" s="42">
        <v>29575.041700000002</v>
      </c>
      <c r="K562" s="37">
        <v>3.6184034557838263E-4</v>
      </c>
      <c r="L562" s="38">
        <v>0</v>
      </c>
      <c r="M562" s="37">
        <v>0</v>
      </c>
      <c r="N562" s="42">
        <v>0</v>
      </c>
      <c r="O562" s="37">
        <v>0</v>
      </c>
      <c r="Q562">
        <f>VLOOKUP(Table3[[#This Row],[Census Tract]],'Population and Diversity Data'!$B$2:$K$823,10,FALSE)</f>
        <v>5</v>
      </c>
      <c r="R562" t="str">
        <f>VLOOKUP(Table3[[#This Row],[Census Tract]],'ES Energy Burden'!$B$2:$E$914,4,FALSE)</f>
        <v>No</v>
      </c>
    </row>
    <row r="563" spans="1:18" hidden="1" x14ac:dyDescent="0.25">
      <c r="A563" s="140">
        <v>9001044000</v>
      </c>
      <c r="B563" s="39" t="s">
        <v>2810</v>
      </c>
      <c r="C563" s="39" t="s">
        <v>944</v>
      </c>
      <c r="D563" s="41">
        <v>9493.4351807999992</v>
      </c>
      <c r="E563" s="37">
        <v>8.4222354264405769E-5</v>
      </c>
      <c r="F563" s="41">
        <v>1151.32</v>
      </c>
      <c r="G563" s="37">
        <v>1.4085999637704769E-5</v>
      </c>
      <c r="H563" s="41">
        <v>9493.4351807999992</v>
      </c>
      <c r="I563" s="37">
        <v>8.4222354264405769E-5</v>
      </c>
      <c r="J563" s="42">
        <v>1151.32</v>
      </c>
      <c r="K563" s="37">
        <v>1.4085999637704769E-5</v>
      </c>
      <c r="L563" s="38">
        <v>0</v>
      </c>
      <c r="M563" s="37">
        <v>0</v>
      </c>
      <c r="N563" s="42">
        <v>0</v>
      </c>
      <c r="O563" s="37">
        <v>0</v>
      </c>
      <c r="Q563">
        <f>VLOOKUP(Table3[[#This Row],[Census Tract]],'Population and Diversity Data'!$B$2:$K$823,10,FALSE)</f>
        <v>4</v>
      </c>
      <c r="R563" t="str">
        <f>VLOOKUP(Table3[[#This Row],[Census Tract]],'ES Energy Burden'!$B$2:$E$914,4,FALSE)</f>
        <v>No</v>
      </c>
    </row>
    <row r="564" spans="1:18" hidden="1" x14ac:dyDescent="0.25">
      <c r="A564" s="140">
        <v>9001044200</v>
      </c>
      <c r="B564" s="39" t="s">
        <v>2810</v>
      </c>
      <c r="C564" s="39" t="s">
        <v>944</v>
      </c>
      <c r="D564" s="41">
        <v>1613.0028096000001</v>
      </c>
      <c r="E564" s="37">
        <v>1.4309982790461847E-5</v>
      </c>
      <c r="F564" s="41">
        <v>0</v>
      </c>
      <c r="G564" s="37">
        <v>0</v>
      </c>
      <c r="H564" s="41">
        <v>1613.0028096000001</v>
      </c>
      <c r="I564" s="37">
        <v>1.4309982790461847E-5</v>
      </c>
      <c r="J564" s="42">
        <v>0</v>
      </c>
      <c r="K564" s="37">
        <v>0</v>
      </c>
      <c r="L564" s="38">
        <v>0</v>
      </c>
      <c r="M564" s="37">
        <v>0</v>
      </c>
      <c r="N564" s="42">
        <v>0</v>
      </c>
      <c r="O564" s="37">
        <v>0</v>
      </c>
      <c r="Q564">
        <f>VLOOKUP(Table3[[#This Row],[Census Tract]],'Population and Diversity Data'!$B$2:$K$823,10,FALSE)</f>
        <v>4</v>
      </c>
      <c r="R564" t="str">
        <f>VLOOKUP(Table3[[#This Row],[Census Tract]],'ES Energy Burden'!$B$2:$E$914,4,FALSE)</f>
        <v>No</v>
      </c>
    </row>
    <row r="565" spans="1:18" hidden="1" x14ac:dyDescent="0.25">
      <c r="A565" s="140">
        <v>9001044300</v>
      </c>
      <c r="B565" s="39" t="s">
        <v>2810</v>
      </c>
      <c r="C565" s="39" t="s">
        <v>944</v>
      </c>
      <c r="D565" s="41">
        <v>5216.0098175999992</v>
      </c>
      <c r="E565" s="37">
        <v>4.6274569567083301E-5</v>
      </c>
      <c r="F565" s="41">
        <v>0</v>
      </c>
      <c r="G565" s="37">
        <v>0</v>
      </c>
      <c r="H565" s="41">
        <v>5216.0098175999992</v>
      </c>
      <c r="I565" s="37">
        <v>4.6274569567083301E-5</v>
      </c>
      <c r="J565" s="42">
        <v>0</v>
      </c>
      <c r="K565" s="37">
        <v>0</v>
      </c>
      <c r="L565" s="38">
        <v>0</v>
      </c>
      <c r="M565" s="37">
        <v>0</v>
      </c>
      <c r="N565" s="42">
        <v>0</v>
      </c>
      <c r="O565" s="37">
        <v>0</v>
      </c>
      <c r="Q565">
        <f>VLOOKUP(Table3[[#This Row],[Census Tract]],'Population and Diversity Data'!$B$2:$K$823,10,FALSE)</f>
        <v>3</v>
      </c>
      <c r="R565" t="str">
        <f>VLOOKUP(Table3[[#This Row],[Census Tract]],'ES Energy Burden'!$B$2:$E$914,4,FALSE)</f>
        <v>No</v>
      </c>
    </row>
    <row r="566" spans="1:18" hidden="1" x14ac:dyDescent="0.25">
      <c r="A566" s="140">
        <v>9001044400</v>
      </c>
      <c r="B566" s="39" t="s">
        <v>2810</v>
      </c>
      <c r="C566" s="39" t="s">
        <v>944</v>
      </c>
      <c r="D566" s="41">
        <v>12491.628364799999</v>
      </c>
      <c r="E566" s="37">
        <v>1.1082124957331075E-4</v>
      </c>
      <c r="F566" s="41">
        <v>297.27</v>
      </c>
      <c r="G566" s="37">
        <v>3.6369950251020541E-6</v>
      </c>
      <c r="H566" s="41">
        <v>12491.628364799999</v>
      </c>
      <c r="I566" s="37">
        <v>1.1082124957331075E-4</v>
      </c>
      <c r="J566" s="42">
        <v>297.27</v>
      </c>
      <c r="K566" s="37">
        <v>3.6369950251020541E-6</v>
      </c>
      <c r="L566" s="38">
        <v>0</v>
      </c>
      <c r="M566" s="37">
        <v>0</v>
      </c>
      <c r="N566" s="42">
        <v>0</v>
      </c>
      <c r="O566" s="37">
        <v>0</v>
      </c>
      <c r="Q566">
        <f>VLOOKUP(Table3[[#This Row],[Census Tract]],'Population and Diversity Data'!$B$2:$K$823,10,FALSE)</f>
        <v>2</v>
      </c>
      <c r="R566" t="str">
        <f>VLOOKUP(Table3[[#This Row],[Census Tract]],'ES Energy Burden'!$B$2:$E$914,4,FALSE)</f>
        <v>No</v>
      </c>
    </row>
    <row r="567" spans="1:18" hidden="1" x14ac:dyDescent="0.25">
      <c r="A567" s="140">
        <v>9001044500</v>
      </c>
      <c r="B567" s="39" t="s">
        <v>2810</v>
      </c>
      <c r="C567" s="39" t="s">
        <v>944</v>
      </c>
      <c r="D567" s="41">
        <v>22822.7260608</v>
      </c>
      <c r="E567" s="37">
        <v>2.0247504543557683E-4</v>
      </c>
      <c r="F567" s="41">
        <v>1502.88</v>
      </c>
      <c r="G567" s="37">
        <v>1.8387213924463873E-5</v>
      </c>
      <c r="H567" s="41">
        <v>22822.7260608</v>
      </c>
      <c r="I567" s="37">
        <v>2.0247504543557683E-4</v>
      </c>
      <c r="J567" s="42">
        <v>1502.88</v>
      </c>
      <c r="K567" s="37">
        <v>1.8387213924463873E-5</v>
      </c>
      <c r="L567" s="38">
        <v>0</v>
      </c>
      <c r="M567" s="37">
        <v>0</v>
      </c>
      <c r="N567" s="42">
        <v>0</v>
      </c>
      <c r="O567" s="37">
        <v>0</v>
      </c>
      <c r="Q567">
        <f>VLOOKUP(Table3[[#This Row],[Census Tract]],'Population and Diversity Data'!$B$2:$K$823,10,FALSE)</f>
        <v>3</v>
      </c>
      <c r="R567" t="str">
        <f>VLOOKUP(Table3[[#This Row],[Census Tract]],'ES Energy Burden'!$B$2:$E$914,4,FALSE)</f>
        <v>No</v>
      </c>
    </row>
    <row r="568" spans="1:18" hidden="1" x14ac:dyDescent="0.25">
      <c r="A568" s="140">
        <v>9001044600</v>
      </c>
      <c r="B568" s="39" t="s">
        <v>2810</v>
      </c>
      <c r="C568" s="39" t="s">
        <v>944</v>
      </c>
      <c r="D568" s="41">
        <v>641725.94221919996</v>
      </c>
      <c r="E568" s="37">
        <v>5.6931625504278759E-3</v>
      </c>
      <c r="F568" s="41">
        <v>1222150.5935999991</v>
      </c>
      <c r="G568" s="37">
        <v>1.4952587307325727E-2</v>
      </c>
      <c r="H568" s="41">
        <v>156777.56966879999</v>
      </c>
      <c r="I568" s="37">
        <v>1.3908744055116126E-3</v>
      </c>
      <c r="J568" s="42">
        <v>950399.07779999904</v>
      </c>
      <c r="K568" s="37">
        <v>1.1627802058129568E-2</v>
      </c>
      <c r="L568" s="38">
        <v>484948.37255039997</v>
      </c>
      <c r="M568" s="37">
        <v>4.3022881449162626E-3</v>
      </c>
      <c r="N568" s="42">
        <v>271751.51579999999</v>
      </c>
      <c r="O568" s="37">
        <v>3.3247852491961592E-3</v>
      </c>
      <c r="Q568">
        <f>VLOOKUP(Table3[[#This Row],[Census Tract]],'Population and Diversity Data'!$B$2:$K$823,10,FALSE)</f>
        <v>1</v>
      </c>
      <c r="R568" t="str">
        <f>VLOOKUP(Table3[[#This Row],[Census Tract]],'ES Energy Burden'!$B$2:$E$914,4,FALSE)</f>
        <v>No</v>
      </c>
    </row>
    <row r="569" spans="1:18" hidden="1" x14ac:dyDescent="0.25">
      <c r="A569" s="140">
        <v>9001045300</v>
      </c>
      <c r="B569" s="39" t="s">
        <v>2810</v>
      </c>
      <c r="C569" s="39" t="s">
        <v>944</v>
      </c>
      <c r="D569" s="41">
        <v>471.47460479999995</v>
      </c>
      <c r="E569" s="37">
        <v>4.1827537067346465E-6</v>
      </c>
      <c r="F569" s="41">
        <v>0</v>
      </c>
      <c r="G569" s="37">
        <v>0</v>
      </c>
      <c r="H569" s="41">
        <v>471.47460479999995</v>
      </c>
      <c r="I569" s="37">
        <v>4.1827537067346465E-6</v>
      </c>
      <c r="J569" s="42">
        <v>0</v>
      </c>
      <c r="K569" s="37">
        <v>0</v>
      </c>
      <c r="L569" s="38">
        <v>0</v>
      </c>
      <c r="M569" s="37">
        <v>0</v>
      </c>
      <c r="N569" s="42">
        <v>0</v>
      </c>
      <c r="O569" s="37">
        <v>0</v>
      </c>
      <c r="Q569">
        <f>VLOOKUP(Table3[[#This Row],[Census Tract]],'Population and Diversity Data'!$B$2:$K$823,10,FALSE)</f>
        <v>4</v>
      </c>
      <c r="R569" t="str">
        <f>VLOOKUP(Table3[[#This Row],[Census Tract]],'ES Energy Burden'!$B$2:$E$914,4,FALSE)</f>
        <v>No</v>
      </c>
    </row>
    <row r="570" spans="1:18" hidden="1" x14ac:dyDescent="0.25">
      <c r="A570" s="140">
        <v>9001045400</v>
      </c>
      <c r="B570" s="39" t="s">
        <v>2810</v>
      </c>
      <c r="C570" s="39" t="s">
        <v>944</v>
      </c>
      <c r="D570" s="41">
        <v>3578.4509184000003</v>
      </c>
      <c r="E570" s="37">
        <v>3.1746733951142399E-5</v>
      </c>
      <c r="F570" s="41">
        <v>0</v>
      </c>
      <c r="G570" s="37">
        <v>0</v>
      </c>
      <c r="H570" s="41">
        <v>3578.4509184000003</v>
      </c>
      <c r="I570" s="37">
        <v>3.1746733951142399E-5</v>
      </c>
      <c r="J570" s="42">
        <v>0</v>
      </c>
      <c r="K570" s="37">
        <v>0</v>
      </c>
      <c r="L570" s="38">
        <v>0</v>
      </c>
      <c r="M570" s="37">
        <v>0</v>
      </c>
      <c r="N570" s="42">
        <v>0</v>
      </c>
      <c r="O570" s="37">
        <v>0</v>
      </c>
      <c r="Q570">
        <f>VLOOKUP(Table3[[#This Row],[Census Tract]],'Population and Diversity Data'!$B$2:$K$823,10,FALSE)</f>
        <v>4</v>
      </c>
      <c r="R570" t="str">
        <f>VLOOKUP(Table3[[#This Row],[Census Tract]],'ES Energy Burden'!$B$2:$E$914,4,FALSE)</f>
        <v>No</v>
      </c>
    </row>
    <row r="571" spans="1:18" hidden="1" x14ac:dyDescent="0.25">
      <c r="A571" s="140">
        <v>9001050400</v>
      </c>
      <c r="B571" s="39" t="s">
        <v>2810</v>
      </c>
      <c r="C571" s="39" t="s">
        <v>944</v>
      </c>
      <c r="D571" s="41">
        <v>42.460847999999999</v>
      </c>
      <c r="E571" s="37">
        <v>3.7669742453771378E-7</v>
      </c>
      <c r="F571" s="41">
        <v>0</v>
      </c>
      <c r="G571" s="37">
        <v>0</v>
      </c>
      <c r="H571" s="41">
        <v>42.460847999999999</v>
      </c>
      <c r="I571" s="37">
        <v>3.7669742453771378E-7</v>
      </c>
      <c r="J571" s="42">
        <v>0</v>
      </c>
      <c r="K571" s="37">
        <v>0</v>
      </c>
      <c r="L571" s="38">
        <v>0</v>
      </c>
      <c r="M571" s="37">
        <v>0</v>
      </c>
      <c r="N571" s="42">
        <v>0</v>
      </c>
      <c r="O571" s="37">
        <v>0</v>
      </c>
      <c r="Q571">
        <f>VLOOKUP(Table3[[#This Row],[Census Tract]],'Population and Diversity Data'!$B$2:$K$823,10,FALSE)</f>
        <v>3</v>
      </c>
      <c r="R571" t="str">
        <f>VLOOKUP(Table3[[#This Row],[Census Tract]],'ES Energy Burden'!$B$2:$E$914,4,FALSE)</f>
        <v>No</v>
      </c>
    </row>
    <row r="572" spans="1:18" hidden="1" x14ac:dyDescent="0.25">
      <c r="A572" s="140">
        <v>9011650100</v>
      </c>
      <c r="B572" s="39" t="s">
        <v>2811</v>
      </c>
      <c r="C572" s="39" t="s">
        <v>944</v>
      </c>
      <c r="D572" s="41">
        <v>4295.9437343999998</v>
      </c>
      <c r="E572" s="37">
        <v>3.8112073049210138E-5</v>
      </c>
      <c r="F572" s="41">
        <v>4218.2299999999996</v>
      </c>
      <c r="G572" s="37">
        <v>5.1608576461587901E-5</v>
      </c>
      <c r="H572" s="41">
        <v>4295.9437343999998</v>
      </c>
      <c r="I572" s="37">
        <v>3.8112073049210138E-5</v>
      </c>
      <c r="J572" s="42">
        <v>4218.2299999999996</v>
      </c>
      <c r="K572" s="37">
        <v>5.1608576461587901E-5</v>
      </c>
      <c r="L572" s="38">
        <v>0</v>
      </c>
      <c r="M572" s="37">
        <v>0</v>
      </c>
      <c r="N572" s="42">
        <v>0</v>
      </c>
      <c r="O572" s="37">
        <v>0</v>
      </c>
      <c r="Q572">
        <f>VLOOKUP(Table3[[#This Row],[Census Tract]],'Population and Diversity Data'!$B$2:$K$823,10,FALSE)</f>
        <v>1</v>
      </c>
      <c r="R572" t="str">
        <f>VLOOKUP(Table3[[#This Row],[Census Tract]],'ES Energy Burden'!$B$2:$E$914,4,FALSE)</f>
        <v>No</v>
      </c>
    </row>
    <row r="573" spans="1:18" hidden="1" x14ac:dyDescent="0.25">
      <c r="A573" s="140">
        <v>9011660101</v>
      </c>
      <c r="B573" s="39" t="s">
        <v>2811</v>
      </c>
      <c r="C573" s="39" t="s">
        <v>944</v>
      </c>
      <c r="D573" s="41">
        <v>111903.93362015999</v>
      </c>
      <c r="E573" s="37">
        <v>9.9277159020360489E-4</v>
      </c>
      <c r="F573" s="41">
        <v>24522.071</v>
      </c>
      <c r="G573" s="37">
        <v>3.0001900707168352E-4</v>
      </c>
      <c r="H573" s="41">
        <v>111864.65082335999</v>
      </c>
      <c r="I573" s="37">
        <v>9.924230873102288E-4</v>
      </c>
      <c r="J573" s="42">
        <v>24522.071</v>
      </c>
      <c r="K573" s="37">
        <v>3.0001900707168352E-4</v>
      </c>
      <c r="L573" s="38">
        <v>39.2827968</v>
      </c>
      <c r="M573" s="37">
        <v>3.4850289337599532E-7</v>
      </c>
      <c r="N573" s="42">
        <v>0</v>
      </c>
      <c r="O573" s="37">
        <v>0</v>
      </c>
      <c r="Q573">
        <f>VLOOKUP(Table3[[#This Row],[Census Tract]],'Population and Diversity Data'!$B$2:$K$823,10,FALSE)</f>
        <v>2</v>
      </c>
      <c r="R573" t="str">
        <f>VLOOKUP(Table3[[#This Row],[Census Tract]],'ES Energy Burden'!$B$2:$E$914,4,FALSE)</f>
        <v>No</v>
      </c>
    </row>
    <row r="574" spans="1:18" hidden="1" x14ac:dyDescent="0.25">
      <c r="A574" s="140">
        <v>9011660102</v>
      </c>
      <c r="B574" s="39" t="s">
        <v>2811</v>
      </c>
      <c r="C574" s="39" t="s">
        <v>944</v>
      </c>
      <c r="D574" s="41">
        <v>168222.66808896</v>
      </c>
      <c r="E574" s="37">
        <v>1.4924112165158332E-3</v>
      </c>
      <c r="F574" s="41">
        <v>132131.85570000001</v>
      </c>
      <c r="G574" s="37">
        <v>1.6165872837434069E-3</v>
      </c>
      <c r="H574" s="41">
        <v>118541.5152624</v>
      </c>
      <c r="I574" s="37">
        <v>1.0516578354757345E-3</v>
      </c>
      <c r="J574" s="42">
        <v>90947.921300000002</v>
      </c>
      <c r="K574" s="37">
        <v>1.1127161748964683E-3</v>
      </c>
      <c r="L574" s="38">
        <v>49681.152826559999</v>
      </c>
      <c r="M574" s="37">
        <v>4.4075338104009867E-4</v>
      </c>
      <c r="N574" s="42">
        <v>41183.934399999998</v>
      </c>
      <c r="O574" s="37">
        <v>5.0387110884693833E-4</v>
      </c>
      <c r="Q574">
        <f>VLOOKUP(Table3[[#This Row],[Census Tract]],'Population and Diversity Data'!$B$2:$K$823,10,FALSE)</f>
        <v>1</v>
      </c>
      <c r="R574" t="str">
        <f>VLOOKUP(Table3[[#This Row],[Census Tract]],'ES Energy Burden'!$B$2:$E$914,4,FALSE)</f>
        <v>No</v>
      </c>
    </row>
    <row r="575" spans="1:18" hidden="1" x14ac:dyDescent="0.25">
      <c r="A575" s="140">
        <v>9007670100</v>
      </c>
      <c r="B575" s="39" t="s">
        <v>2812</v>
      </c>
      <c r="C575" s="39" t="s">
        <v>944</v>
      </c>
      <c r="D575" s="41">
        <v>123009.35741279999</v>
      </c>
      <c r="E575" s="37">
        <v>1.0912949296594569E-3</v>
      </c>
      <c r="F575" s="41">
        <v>22006.809000000001</v>
      </c>
      <c r="G575" s="37">
        <v>2.6924565160080439E-4</v>
      </c>
      <c r="H575" s="41">
        <v>123009.35741279999</v>
      </c>
      <c r="I575" s="37">
        <v>1.0912949296594569E-3</v>
      </c>
      <c r="J575" s="42">
        <v>22006.809000000001</v>
      </c>
      <c r="K575" s="37">
        <v>2.6924565160080439E-4</v>
      </c>
      <c r="L575" s="38">
        <v>0</v>
      </c>
      <c r="M575" s="37">
        <v>0</v>
      </c>
      <c r="N575" s="42">
        <v>0</v>
      </c>
      <c r="O575" s="37">
        <v>0</v>
      </c>
      <c r="Q575">
        <f>VLOOKUP(Table3[[#This Row],[Census Tract]],'Population and Diversity Data'!$B$2:$K$823,10,FALSE)</f>
        <v>2</v>
      </c>
      <c r="R575" t="str">
        <f>VLOOKUP(Table3[[#This Row],[Census Tract]],'ES Energy Burden'!$B$2:$E$914,4,FALSE)</f>
        <v>No</v>
      </c>
    </row>
    <row r="576" spans="1:18" hidden="1" x14ac:dyDescent="0.25">
      <c r="A576" s="140">
        <v>9007670200</v>
      </c>
      <c r="B576" s="39" t="s">
        <v>2812</v>
      </c>
      <c r="C576" s="39" t="s">
        <v>944</v>
      </c>
      <c r="D576" s="41">
        <v>309636.59236703999</v>
      </c>
      <c r="E576" s="37">
        <v>2.7469848667953569E-3</v>
      </c>
      <c r="F576" s="41">
        <v>207640.47029999999</v>
      </c>
      <c r="G576" s="37">
        <v>2.5404089127424589E-3</v>
      </c>
      <c r="H576" s="41">
        <v>157721.84856576001</v>
      </c>
      <c r="I576" s="37">
        <v>1.3992517094347503E-3</v>
      </c>
      <c r="J576" s="42">
        <v>155264.5803</v>
      </c>
      <c r="K576" s="37">
        <v>1.8996081209865052E-3</v>
      </c>
      <c r="L576" s="38">
        <v>151914.74380128001</v>
      </c>
      <c r="M576" s="37">
        <v>1.3477331573606066E-3</v>
      </c>
      <c r="N576" s="42">
        <v>52375.89</v>
      </c>
      <c r="O576" s="37">
        <v>6.4080079175595395E-4</v>
      </c>
      <c r="Q576">
        <f>VLOOKUP(Table3[[#This Row],[Census Tract]],'Population and Diversity Data'!$B$2:$K$823,10,FALSE)</f>
        <v>1</v>
      </c>
      <c r="R576" t="str">
        <f>VLOOKUP(Table3[[#This Row],[Census Tract]],'ES Energy Burden'!$B$2:$E$914,4,FALSE)</f>
        <v>No</v>
      </c>
    </row>
    <row r="577" spans="1:18" hidden="1" x14ac:dyDescent="0.25">
      <c r="A577" s="140">
        <v>9009344200</v>
      </c>
      <c r="B577" s="39" t="s">
        <v>2813</v>
      </c>
      <c r="C577" s="39" t="s">
        <v>944</v>
      </c>
      <c r="D577" s="41">
        <v>587.51688960000001</v>
      </c>
      <c r="E577" s="37">
        <v>5.2122392653281044E-6</v>
      </c>
      <c r="F577" s="41">
        <v>0</v>
      </c>
      <c r="G577" s="37">
        <v>0</v>
      </c>
      <c r="H577" s="41">
        <v>587.51688960000001</v>
      </c>
      <c r="I577" s="37">
        <v>5.2122392653281044E-6</v>
      </c>
      <c r="J577" s="42">
        <v>0</v>
      </c>
      <c r="K577" s="37">
        <v>0</v>
      </c>
      <c r="L577" s="38">
        <v>0</v>
      </c>
      <c r="M577" s="37">
        <v>0</v>
      </c>
      <c r="N577" s="42">
        <v>0</v>
      </c>
      <c r="O577" s="37">
        <v>0</v>
      </c>
      <c r="Q577">
        <f>VLOOKUP(Table3[[#This Row],[Census Tract]],'Population and Diversity Data'!$B$2:$K$823,10,FALSE)</f>
        <v>3</v>
      </c>
      <c r="R577" t="str">
        <f>VLOOKUP(Table3[[#This Row],[Census Tract]],'ES Energy Burden'!$B$2:$E$914,4,FALSE)</f>
        <v>No</v>
      </c>
    </row>
    <row r="578" spans="1:18" hidden="1" x14ac:dyDescent="0.25">
      <c r="A578" s="140">
        <v>9009345300</v>
      </c>
      <c r="B578" s="39" t="s">
        <v>2813</v>
      </c>
      <c r="C578" s="39" t="s">
        <v>944</v>
      </c>
      <c r="D578" s="41">
        <v>114.8034816</v>
      </c>
      <c r="E578" s="37">
        <v>1.0184953406178514E-6</v>
      </c>
      <c r="F578" s="41">
        <v>0</v>
      </c>
      <c r="G578" s="37">
        <v>0</v>
      </c>
      <c r="H578" s="41">
        <v>114.8034816</v>
      </c>
      <c r="I578" s="37">
        <v>1.0184953406178514E-6</v>
      </c>
      <c r="J578" s="42">
        <v>0</v>
      </c>
      <c r="K578" s="37">
        <v>0</v>
      </c>
      <c r="L578" s="38">
        <v>0</v>
      </c>
      <c r="M578" s="37">
        <v>0</v>
      </c>
      <c r="N578" s="42">
        <v>0</v>
      </c>
      <c r="O578" s="37">
        <v>0</v>
      </c>
      <c r="Q578">
        <f>VLOOKUP(Table3[[#This Row],[Census Tract]],'Population and Diversity Data'!$B$2:$K$823,10,FALSE)</f>
        <v>4</v>
      </c>
      <c r="R578" t="str">
        <f>VLOOKUP(Table3[[#This Row],[Census Tract]],'ES Energy Burden'!$B$2:$E$914,4,FALSE)</f>
        <v>No</v>
      </c>
    </row>
    <row r="579" spans="1:18" hidden="1" x14ac:dyDescent="0.25">
      <c r="A579" s="140">
        <v>9009346101</v>
      </c>
      <c r="B579" s="39" t="s">
        <v>2813</v>
      </c>
      <c r="C579" s="39" t="s">
        <v>944</v>
      </c>
      <c r="D579" s="41">
        <v>219250.79363231998</v>
      </c>
      <c r="E579" s="37">
        <v>1.9451144567142115E-3</v>
      </c>
      <c r="F579" s="41">
        <v>135049.008</v>
      </c>
      <c r="G579" s="37">
        <v>1.6522776272108438E-3</v>
      </c>
      <c r="H579" s="41">
        <v>140941.94373216</v>
      </c>
      <c r="I579" s="37">
        <v>1.2503864080445129E-3</v>
      </c>
      <c r="J579" s="42">
        <v>109352.74800000001</v>
      </c>
      <c r="K579" s="37">
        <v>1.3378928262429395E-3</v>
      </c>
      <c r="L579" s="38">
        <v>78308.849900159985</v>
      </c>
      <c r="M579" s="37">
        <v>6.9472804866969851E-4</v>
      </c>
      <c r="N579" s="42">
        <v>25696.26</v>
      </c>
      <c r="O579" s="37">
        <v>3.1438480096790427E-4</v>
      </c>
      <c r="Q579">
        <f>VLOOKUP(Table3[[#This Row],[Census Tract]],'Population and Diversity Data'!$B$2:$K$823,10,FALSE)</f>
        <v>1</v>
      </c>
      <c r="R579" t="str">
        <f>VLOOKUP(Table3[[#This Row],[Census Tract]],'ES Energy Burden'!$B$2:$E$914,4,FALSE)</f>
        <v>No</v>
      </c>
    </row>
    <row r="580" spans="1:18" hidden="1" x14ac:dyDescent="0.25">
      <c r="A580" s="140">
        <v>9009346102</v>
      </c>
      <c r="B580" s="39" t="s">
        <v>2813</v>
      </c>
      <c r="C580" s="39" t="s">
        <v>944</v>
      </c>
      <c r="D580" s="41">
        <v>131528.46519360002</v>
      </c>
      <c r="E580" s="37">
        <v>1.1668734004518105E-3</v>
      </c>
      <c r="F580" s="41">
        <v>33188.762199999997</v>
      </c>
      <c r="G580" s="37">
        <v>4.0605295862581188E-4</v>
      </c>
      <c r="H580" s="41">
        <v>131498.69918400003</v>
      </c>
      <c r="I580" s="37">
        <v>1.1666093270834435E-3</v>
      </c>
      <c r="J580" s="42">
        <v>33188.762199999997</v>
      </c>
      <c r="K580" s="37">
        <v>4.0605295862581188E-4</v>
      </c>
      <c r="L580" s="38">
        <v>29.7660096</v>
      </c>
      <c r="M580" s="37">
        <v>2.6407336836713351E-7</v>
      </c>
      <c r="N580" s="42">
        <v>0</v>
      </c>
      <c r="O580" s="37">
        <v>0</v>
      </c>
      <c r="Q580">
        <f>VLOOKUP(Table3[[#This Row],[Census Tract]],'Population and Diversity Data'!$B$2:$K$823,10,FALSE)</f>
        <v>2</v>
      </c>
      <c r="R580" t="str">
        <f>VLOOKUP(Table3[[#This Row],[Census Tract]],'ES Energy Burden'!$B$2:$E$914,4,FALSE)</f>
        <v>No</v>
      </c>
    </row>
    <row r="581" spans="1:18" hidden="1" x14ac:dyDescent="0.25">
      <c r="A581" s="140">
        <v>9011709100</v>
      </c>
      <c r="B581" s="39" t="s">
        <v>2814</v>
      </c>
      <c r="C581" s="39" t="s">
        <v>944</v>
      </c>
      <c r="D581" s="41">
        <v>651.14737919999993</v>
      </c>
      <c r="E581" s="37">
        <v>5.7767461624676474E-6</v>
      </c>
      <c r="F581" s="41">
        <v>0</v>
      </c>
      <c r="G581" s="37">
        <v>0</v>
      </c>
      <c r="H581" s="41">
        <v>651.14737919999993</v>
      </c>
      <c r="I581" s="37">
        <v>5.7767461624676474E-6</v>
      </c>
      <c r="J581" s="42">
        <v>0</v>
      </c>
      <c r="K581" s="37">
        <v>0</v>
      </c>
      <c r="L581" s="38">
        <v>0</v>
      </c>
      <c r="M581" s="37">
        <v>0</v>
      </c>
      <c r="N581" s="42">
        <v>0</v>
      </c>
      <c r="O581" s="37">
        <v>0</v>
      </c>
      <c r="Q581">
        <f>VLOOKUP(Table3[[#This Row],[Census Tract]],'Population and Diversity Data'!$B$2:$K$823,10,FALSE)</f>
        <v>3</v>
      </c>
      <c r="R581" t="str">
        <f>VLOOKUP(Table3[[#This Row],[Census Tract]],'ES Energy Burden'!$B$2:$E$914,4,FALSE)</f>
        <v>No</v>
      </c>
    </row>
    <row r="582" spans="1:18" hidden="1" x14ac:dyDescent="0.25">
      <c r="A582" s="140">
        <v>9015906100</v>
      </c>
      <c r="B582" s="39" t="s">
        <v>2814</v>
      </c>
      <c r="C582" s="39" t="s">
        <v>944</v>
      </c>
      <c r="D582" s="41">
        <v>366.52944960000002</v>
      </c>
      <c r="E582" s="37">
        <v>3.2517179044927642E-6</v>
      </c>
      <c r="F582" s="41">
        <v>0</v>
      </c>
      <c r="G582" s="37">
        <v>0</v>
      </c>
      <c r="H582" s="41">
        <v>366.52944960000002</v>
      </c>
      <c r="I582" s="37">
        <v>3.2517179044927642E-6</v>
      </c>
      <c r="J582" s="42">
        <v>0</v>
      </c>
      <c r="K582" s="37">
        <v>0</v>
      </c>
      <c r="L582" s="38">
        <v>0</v>
      </c>
      <c r="M582" s="37">
        <v>0</v>
      </c>
      <c r="N582" s="42">
        <v>0</v>
      </c>
      <c r="O582" s="37">
        <v>0</v>
      </c>
      <c r="Q582">
        <f>VLOOKUP(Table3[[#This Row],[Census Tract]],'Population and Diversity Data'!$B$2:$K$823,10,FALSE)</f>
        <v>1</v>
      </c>
      <c r="R582" t="str">
        <f>VLOOKUP(Table3[[#This Row],[Census Tract]],'ES Energy Burden'!$B$2:$E$914,4,FALSE)</f>
        <v>No</v>
      </c>
    </row>
    <row r="583" spans="1:18" hidden="1" x14ac:dyDescent="0.25">
      <c r="A583" s="140">
        <v>9015907100</v>
      </c>
      <c r="B583" s="39" t="s">
        <v>2814</v>
      </c>
      <c r="C583" s="39" t="s">
        <v>944</v>
      </c>
      <c r="D583" s="41">
        <v>72711.842685120006</v>
      </c>
      <c r="E583" s="37">
        <v>6.450734067505225E-4</v>
      </c>
      <c r="F583" s="41">
        <v>10386.07</v>
      </c>
      <c r="G583" s="37">
        <v>1.2706995297326231E-4</v>
      </c>
      <c r="H583" s="41">
        <v>72711.842685120006</v>
      </c>
      <c r="I583" s="37">
        <v>6.450734067505225E-4</v>
      </c>
      <c r="J583" s="42">
        <v>10386.07</v>
      </c>
      <c r="K583" s="37">
        <v>1.2706995297326231E-4</v>
      </c>
      <c r="L583" s="38">
        <v>0</v>
      </c>
      <c r="M583" s="37">
        <v>0</v>
      </c>
      <c r="N583" s="42">
        <v>0</v>
      </c>
      <c r="O583" s="37">
        <v>0</v>
      </c>
      <c r="Q583">
        <f>VLOOKUP(Table3[[#This Row],[Census Tract]],'Population and Diversity Data'!$B$2:$K$823,10,FALSE)</f>
        <v>4</v>
      </c>
      <c r="R583" t="str">
        <f>VLOOKUP(Table3[[#This Row],[Census Tract]],'ES Energy Burden'!$B$2:$E$914,4,FALSE)</f>
        <v>No</v>
      </c>
    </row>
    <row r="584" spans="1:18" hidden="1" x14ac:dyDescent="0.25">
      <c r="A584" s="140">
        <v>9015907200</v>
      </c>
      <c r="B584" s="39" t="s">
        <v>2814</v>
      </c>
      <c r="C584" s="39" t="s">
        <v>944</v>
      </c>
      <c r="D584" s="41">
        <v>94817.697647040011</v>
      </c>
      <c r="E584" s="37">
        <v>8.4118862873948299E-4</v>
      </c>
      <c r="F584" s="41">
        <v>24022.759900000001</v>
      </c>
      <c r="G584" s="37">
        <v>2.9391010948135067E-4</v>
      </c>
      <c r="H584" s="41">
        <v>94817.697647040011</v>
      </c>
      <c r="I584" s="37">
        <v>8.4118862873948299E-4</v>
      </c>
      <c r="J584" s="42">
        <v>24022.759900000001</v>
      </c>
      <c r="K584" s="37">
        <v>2.9391010948135067E-4</v>
      </c>
      <c r="L584" s="38">
        <v>0</v>
      </c>
      <c r="M584" s="37">
        <v>0</v>
      </c>
      <c r="N584" s="42">
        <v>0</v>
      </c>
      <c r="O584" s="37">
        <v>0</v>
      </c>
      <c r="Q584">
        <f>VLOOKUP(Table3[[#This Row],[Census Tract]],'Population and Diversity Data'!$B$2:$K$823,10,FALSE)</f>
        <v>3</v>
      </c>
      <c r="R584" t="str">
        <f>VLOOKUP(Table3[[#This Row],[Census Tract]],'ES Energy Burden'!$B$2:$E$914,4,FALSE)</f>
        <v>No</v>
      </c>
    </row>
    <row r="585" spans="1:18" hidden="1" x14ac:dyDescent="0.25">
      <c r="A585" s="140">
        <v>9015907300</v>
      </c>
      <c r="B585" s="39" t="s">
        <v>2814</v>
      </c>
      <c r="C585" s="39" t="s">
        <v>944</v>
      </c>
      <c r="D585" s="41">
        <v>207982.41048864002</v>
      </c>
      <c r="E585" s="37">
        <v>1.8451454003042117E-3</v>
      </c>
      <c r="F585" s="41">
        <v>197372.1023</v>
      </c>
      <c r="G585" s="37">
        <v>2.414779002788824E-3</v>
      </c>
      <c r="H585" s="41">
        <v>111292.48756800001</v>
      </c>
      <c r="I585" s="37">
        <v>9.8734705998479205E-4</v>
      </c>
      <c r="J585" s="42">
        <v>140557.81229999999</v>
      </c>
      <c r="K585" s="37">
        <v>1.7196759312218799E-3</v>
      </c>
      <c r="L585" s="38">
        <v>96689.922920640005</v>
      </c>
      <c r="M585" s="37">
        <v>8.5779834031941967E-4</v>
      </c>
      <c r="N585" s="42">
        <v>56814.29</v>
      </c>
      <c r="O585" s="37">
        <v>6.9510307156694375E-4</v>
      </c>
      <c r="Q585">
        <f>VLOOKUP(Table3[[#This Row],[Census Tract]],'Population and Diversity Data'!$B$2:$K$823,10,FALSE)</f>
        <v>5</v>
      </c>
      <c r="R585" t="str">
        <f>VLOOKUP(Table3[[#This Row],[Census Tract]],'ES Energy Burden'!$B$2:$E$914,4,FALSE)</f>
        <v>No</v>
      </c>
    </row>
    <row r="586" spans="1:18" hidden="1" x14ac:dyDescent="0.25">
      <c r="A586" s="140">
        <v>9015908100</v>
      </c>
      <c r="B586" s="39" t="s">
        <v>2814</v>
      </c>
      <c r="C586" s="39" t="s">
        <v>944</v>
      </c>
      <c r="D586" s="41">
        <v>115.2897408</v>
      </c>
      <c r="E586" s="37">
        <v>1.0228092579540706E-6</v>
      </c>
      <c r="F586" s="41">
        <v>0</v>
      </c>
      <c r="G586" s="37">
        <v>0</v>
      </c>
      <c r="H586" s="41">
        <v>115.2897408</v>
      </c>
      <c r="I586" s="37">
        <v>1.0228092579540706E-6</v>
      </c>
      <c r="J586" s="42">
        <v>0</v>
      </c>
      <c r="K586" s="37">
        <v>0</v>
      </c>
      <c r="L586" s="38">
        <v>0</v>
      </c>
      <c r="M586" s="37">
        <v>0</v>
      </c>
      <c r="N586" s="42">
        <v>0</v>
      </c>
      <c r="O586" s="37">
        <v>0</v>
      </c>
      <c r="Q586" t="e">
        <f>VLOOKUP(Table3[[#This Row],[Census Tract]],'Population and Diversity Data'!$B$2:$K$823,10,FALSE)</f>
        <v>#N/A</v>
      </c>
      <c r="R586" t="e">
        <f>VLOOKUP(Table3[[#This Row],[Census Tract]],'ES Energy Burden'!$B$2:$E$914,4,FALSE)</f>
        <v>#N/A</v>
      </c>
    </row>
    <row r="587" spans="1:18" hidden="1" x14ac:dyDescent="0.25">
      <c r="A587" s="140">
        <v>9003405401</v>
      </c>
      <c r="B587" s="39" t="s">
        <v>2815</v>
      </c>
      <c r="C587" s="39" t="s">
        <v>944</v>
      </c>
      <c r="D587" s="41">
        <v>1739.9048831999999</v>
      </c>
      <c r="E587" s="37">
        <v>1.5435812502897533E-5</v>
      </c>
      <c r="F587" s="41">
        <v>0</v>
      </c>
      <c r="G587" s="37">
        <v>0</v>
      </c>
      <c r="H587" s="41">
        <v>1739.9048831999999</v>
      </c>
      <c r="I587" s="37">
        <v>1.5435812502897533E-5</v>
      </c>
      <c r="J587" s="42">
        <v>0</v>
      </c>
      <c r="K587" s="37">
        <v>0</v>
      </c>
      <c r="L587" s="38">
        <v>0</v>
      </c>
      <c r="M587" s="37">
        <v>0</v>
      </c>
      <c r="N587" s="42">
        <v>0</v>
      </c>
      <c r="O587" s="37">
        <v>0</v>
      </c>
      <c r="Q587">
        <f>VLOOKUP(Table3[[#This Row],[Census Tract]],'Population and Diversity Data'!$B$2:$K$823,10,FALSE)</f>
        <v>4</v>
      </c>
      <c r="R587" t="str">
        <f>VLOOKUP(Table3[[#This Row],[Census Tract]],'ES Energy Burden'!$B$2:$E$914,4,FALSE)</f>
        <v>No</v>
      </c>
    </row>
    <row r="588" spans="1:18" hidden="1" x14ac:dyDescent="0.25">
      <c r="A588" s="140">
        <v>9003420400</v>
      </c>
      <c r="B588" s="39" t="s">
        <v>2815</v>
      </c>
      <c r="C588" s="39" t="s">
        <v>944</v>
      </c>
      <c r="D588" s="41">
        <v>59279.313767040003</v>
      </c>
      <c r="E588" s="37">
        <v>5.2590482470832919E-4</v>
      </c>
      <c r="F588" s="41">
        <v>16805.87</v>
      </c>
      <c r="G588" s="37">
        <v>2.0561397242409882E-4</v>
      </c>
      <c r="H588" s="41">
        <v>59279.313767040003</v>
      </c>
      <c r="I588" s="37">
        <v>5.2590482470832919E-4</v>
      </c>
      <c r="J588" s="42">
        <v>16805.87</v>
      </c>
      <c r="K588" s="37">
        <v>2.0561397242409882E-4</v>
      </c>
      <c r="L588" s="38">
        <v>0</v>
      </c>
      <c r="M588" s="37">
        <v>0</v>
      </c>
      <c r="N588" s="42">
        <v>0</v>
      </c>
      <c r="O588" s="37">
        <v>0</v>
      </c>
      <c r="Q588">
        <f>VLOOKUP(Table3[[#This Row],[Census Tract]],'Population and Diversity Data'!$B$2:$K$823,10,FALSE)</f>
        <v>4</v>
      </c>
      <c r="R588" t="str">
        <f>VLOOKUP(Table3[[#This Row],[Census Tract]],'ES Energy Burden'!$B$2:$E$914,4,FALSE)</f>
        <v>No</v>
      </c>
    </row>
    <row r="589" spans="1:18" hidden="1" x14ac:dyDescent="0.25">
      <c r="A589" s="140">
        <v>9003420500</v>
      </c>
      <c r="B589" s="39" t="s">
        <v>2815</v>
      </c>
      <c r="C589" s="39" t="s">
        <v>944</v>
      </c>
      <c r="D589" s="41">
        <v>98484.200844479987</v>
      </c>
      <c r="E589" s="37">
        <v>8.7371653095036036E-4</v>
      </c>
      <c r="F589" s="41">
        <v>15583.0162</v>
      </c>
      <c r="G589" s="37">
        <v>1.9065278163112563E-4</v>
      </c>
      <c r="H589" s="41">
        <v>98461.290510719991</v>
      </c>
      <c r="I589" s="37">
        <v>8.7351327868081814E-4</v>
      </c>
      <c r="J589" s="42">
        <v>15583.0162</v>
      </c>
      <c r="K589" s="37">
        <v>1.9065278163112563E-4</v>
      </c>
      <c r="L589" s="38">
        <v>22.91033376</v>
      </c>
      <c r="M589" s="37">
        <v>2.0325226954231901E-7</v>
      </c>
      <c r="N589" s="42">
        <v>0</v>
      </c>
      <c r="O589" s="37">
        <v>0</v>
      </c>
      <c r="Q589">
        <f>VLOOKUP(Table3[[#This Row],[Census Tract]],'Population and Diversity Data'!$B$2:$K$823,10,FALSE)</f>
        <v>4</v>
      </c>
      <c r="R589" t="str">
        <f>VLOOKUP(Table3[[#This Row],[Census Tract]],'ES Energy Burden'!$B$2:$E$914,4,FALSE)</f>
        <v>No</v>
      </c>
    </row>
    <row r="590" spans="1:18" hidden="1" x14ac:dyDescent="0.25">
      <c r="A590" s="140">
        <v>9003420600</v>
      </c>
      <c r="B590" s="39" t="s">
        <v>2815</v>
      </c>
      <c r="C590" s="39" t="s">
        <v>944</v>
      </c>
      <c r="D590" s="41">
        <v>270313.44936768</v>
      </c>
      <c r="E590" s="37">
        <v>2.3981240363996205E-3</v>
      </c>
      <c r="F590" s="41">
        <v>190483.17229999998</v>
      </c>
      <c r="G590" s="37">
        <v>2.3304953410056761E-3</v>
      </c>
      <c r="H590" s="41">
        <v>112485.94246655999</v>
      </c>
      <c r="I590" s="37">
        <v>9.9793496408386853E-4</v>
      </c>
      <c r="J590" s="42">
        <v>169878.43229999999</v>
      </c>
      <c r="K590" s="37">
        <v>2.0784035158180644E-3</v>
      </c>
      <c r="L590" s="38">
        <v>157827.50690112001</v>
      </c>
      <c r="M590" s="37">
        <v>1.4001890723157522E-3</v>
      </c>
      <c r="N590" s="42">
        <v>20604.740000000002</v>
      </c>
      <c r="O590" s="37">
        <v>2.5209182518761162E-4</v>
      </c>
      <c r="Q590">
        <f>VLOOKUP(Table3[[#This Row],[Census Tract]],'Population and Diversity Data'!$B$2:$K$823,10,FALSE)</f>
        <v>3</v>
      </c>
      <c r="R590" t="str">
        <f>VLOOKUP(Table3[[#This Row],[Census Tract]],'ES Energy Burden'!$B$2:$E$914,4,FALSE)</f>
        <v>No</v>
      </c>
    </row>
    <row r="591" spans="1:18" hidden="1" x14ac:dyDescent="0.25">
      <c r="A591" s="140">
        <v>9003420700</v>
      </c>
      <c r="B591" s="39" t="s">
        <v>2815</v>
      </c>
      <c r="C591" s="39" t="s">
        <v>944</v>
      </c>
      <c r="D591" s="41">
        <v>69727.892843520007</v>
      </c>
      <c r="E591" s="37">
        <v>6.1860087327025761E-4</v>
      </c>
      <c r="F591" s="41">
        <v>8228.0300000000007</v>
      </c>
      <c r="G591" s="37">
        <v>1.0066708438924364E-4</v>
      </c>
      <c r="H591" s="41">
        <v>69727.892843520007</v>
      </c>
      <c r="I591" s="37">
        <v>6.1860087327025761E-4</v>
      </c>
      <c r="J591" s="42">
        <v>8228.0300000000007</v>
      </c>
      <c r="K591" s="37">
        <v>1.0066708438924364E-4</v>
      </c>
      <c r="L591" s="38">
        <v>0</v>
      </c>
      <c r="M591" s="37">
        <v>0</v>
      </c>
      <c r="N591" s="42">
        <v>0</v>
      </c>
      <c r="O591" s="37">
        <v>0</v>
      </c>
      <c r="Q591">
        <f>VLOOKUP(Table3[[#This Row],[Census Tract]],'Population and Diversity Data'!$B$2:$K$823,10,FALSE)</f>
        <v>1</v>
      </c>
      <c r="R591" t="str">
        <f>VLOOKUP(Table3[[#This Row],[Census Tract]],'ES Energy Burden'!$B$2:$E$914,4,FALSE)</f>
        <v>No</v>
      </c>
    </row>
    <row r="592" spans="1:18" hidden="1" x14ac:dyDescent="0.25">
      <c r="A592" s="140">
        <v>9005349100</v>
      </c>
      <c r="B592" s="39" t="s">
        <v>2816</v>
      </c>
      <c r="C592" s="39" t="s">
        <v>944</v>
      </c>
      <c r="D592" s="41">
        <v>116.615376</v>
      </c>
      <c r="E592" s="37">
        <v>1.0345698183111444E-6</v>
      </c>
      <c r="F592" s="41">
        <v>0</v>
      </c>
      <c r="G592" s="37">
        <v>0</v>
      </c>
      <c r="H592" s="41">
        <v>116.615376</v>
      </c>
      <c r="I592" s="37">
        <v>1.0345698183111444E-6</v>
      </c>
      <c r="J592" s="42">
        <v>0</v>
      </c>
      <c r="K592" s="37">
        <v>0</v>
      </c>
      <c r="L592" s="38">
        <v>0</v>
      </c>
      <c r="M592" s="37">
        <v>0</v>
      </c>
      <c r="N592" s="42">
        <v>0</v>
      </c>
      <c r="O592" s="37">
        <v>0</v>
      </c>
      <c r="Q592">
        <f>VLOOKUP(Table3[[#This Row],[Census Tract]],'Population and Diversity Data'!$B$2:$K$823,10,FALSE)</f>
        <v>1</v>
      </c>
      <c r="R592" t="str">
        <f>VLOOKUP(Table3[[#This Row],[Census Tract]],'ES Energy Burden'!$B$2:$E$914,4,FALSE)</f>
        <v>No</v>
      </c>
    </row>
    <row r="593" spans="1:18" hidden="1" x14ac:dyDescent="0.25">
      <c r="A593" s="140">
        <v>9005349200</v>
      </c>
      <c r="B593" s="39" t="s">
        <v>2816</v>
      </c>
      <c r="C593" s="39" t="s">
        <v>944</v>
      </c>
      <c r="D593" s="41">
        <v>69.610320000000002</v>
      </c>
      <c r="E593" s="37">
        <v>6.1755780914328671E-7</v>
      </c>
      <c r="F593" s="41">
        <v>0</v>
      </c>
      <c r="G593" s="37">
        <v>0</v>
      </c>
      <c r="H593" s="41">
        <v>69.610320000000002</v>
      </c>
      <c r="I593" s="37">
        <v>6.1755780914328671E-7</v>
      </c>
      <c r="J593" s="42">
        <v>0</v>
      </c>
      <c r="K593" s="37">
        <v>0</v>
      </c>
      <c r="L593" s="38">
        <v>0</v>
      </c>
      <c r="M593" s="37">
        <v>0</v>
      </c>
      <c r="N593" s="42">
        <v>0</v>
      </c>
      <c r="O593" s="37">
        <v>0</v>
      </c>
      <c r="Q593">
        <f>VLOOKUP(Table3[[#This Row],[Census Tract]],'Population and Diversity Data'!$B$2:$K$823,10,FALSE)</f>
        <v>1</v>
      </c>
      <c r="R593" t="str">
        <f>VLOOKUP(Table3[[#This Row],[Census Tract]],'ES Energy Burden'!$B$2:$E$914,4,FALSE)</f>
        <v>No</v>
      </c>
    </row>
    <row r="594" spans="1:18" hidden="1" x14ac:dyDescent="0.25">
      <c r="A594" s="140">
        <v>9005425300</v>
      </c>
      <c r="B594" s="39" t="s">
        <v>2816</v>
      </c>
      <c r="C594" s="39" t="s">
        <v>944</v>
      </c>
      <c r="D594" s="41">
        <v>75679.634828159993</v>
      </c>
      <c r="E594" s="37">
        <v>6.7140259492044373E-4</v>
      </c>
      <c r="F594" s="41">
        <v>12089.58</v>
      </c>
      <c r="G594" s="37">
        <v>1.4791180514540079E-4</v>
      </c>
      <c r="H594" s="41">
        <v>75679.634828159993</v>
      </c>
      <c r="I594" s="37">
        <v>6.7140259492044373E-4</v>
      </c>
      <c r="J594" s="42">
        <v>12089.58</v>
      </c>
      <c r="K594" s="37">
        <v>1.4791180514540079E-4</v>
      </c>
      <c r="L594" s="38">
        <v>0</v>
      </c>
      <c r="M594" s="37">
        <v>0</v>
      </c>
      <c r="N594" s="42">
        <v>0</v>
      </c>
      <c r="O594" s="37">
        <v>0</v>
      </c>
      <c r="Q594">
        <f>VLOOKUP(Table3[[#This Row],[Census Tract]],'Population and Diversity Data'!$B$2:$K$823,10,FALSE)</f>
        <v>1</v>
      </c>
      <c r="R594" t="str">
        <f>VLOOKUP(Table3[[#This Row],[Census Tract]],'ES Energy Burden'!$B$2:$E$914,4,FALSE)</f>
        <v>No</v>
      </c>
    </row>
    <row r="595" spans="1:18" hidden="1" x14ac:dyDescent="0.25">
      <c r="A595" s="140">
        <v>9005425400</v>
      </c>
      <c r="B595" s="39" t="s">
        <v>2816</v>
      </c>
      <c r="C595" s="39" t="s">
        <v>944</v>
      </c>
      <c r="D595" s="41">
        <v>172710.58232448</v>
      </c>
      <c r="E595" s="37">
        <v>1.5322263830444556E-3</v>
      </c>
      <c r="F595" s="41">
        <v>239097.30319999999</v>
      </c>
      <c r="G595" s="37">
        <v>2.9252723189481531E-3</v>
      </c>
      <c r="H595" s="41">
        <v>109175.17723776001</v>
      </c>
      <c r="I595" s="37">
        <v>9.6856304162631489E-4</v>
      </c>
      <c r="J595" s="42">
        <v>88599.410600000003</v>
      </c>
      <c r="K595" s="37">
        <v>1.0839829635656952E-3</v>
      </c>
      <c r="L595" s="38">
        <v>63535.405086719999</v>
      </c>
      <c r="M595" s="37">
        <v>5.6366334141814088E-4</v>
      </c>
      <c r="N595" s="42">
        <v>150497.89259999999</v>
      </c>
      <c r="O595" s="37">
        <v>1.8412893553824577E-3</v>
      </c>
      <c r="Q595">
        <f>VLOOKUP(Table3[[#This Row],[Census Tract]],'Population and Diversity Data'!$B$2:$K$823,10,FALSE)</f>
        <v>2</v>
      </c>
      <c r="R595" t="str">
        <f>VLOOKUP(Table3[[#This Row],[Census Tract]],'ES Energy Burden'!$B$2:$E$914,4,FALSE)</f>
        <v>No</v>
      </c>
    </row>
    <row r="596" spans="1:18" hidden="1" x14ac:dyDescent="0.25">
      <c r="A596" s="140">
        <v>9005425500</v>
      </c>
      <c r="B596" s="39" t="s">
        <v>2816</v>
      </c>
      <c r="C596" s="39" t="s">
        <v>944</v>
      </c>
      <c r="D596" s="41">
        <v>59404.700332799999</v>
      </c>
      <c r="E596" s="37">
        <v>5.2701720937840032E-4</v>
      </c>
      <c r="F596" s="41">
        <v>14947.95</v>
      </c>
      <c r="G596" s="37">
        <v>1.8288296762362246E-4</v>
      </c>
      <c r="H596" s="41">
        <v>59404.700332799999</v>
      </c>
      <c r="I596" s="37">
        <v>5.2701720937840032E-4</v>
      </c>
      <c r="J596" s="42">
        <v>14947.95</v>
      </c>
      <c r="K596" s="37">
        <v>1.8288296762362246E-4</v>
      </c>
      <c r="L596" s="38">
        <v>0</v>
      </c>
      <c r="M596" s="37">
        <v>0</v>
      </c>
      <c r="N596" s="42">
        <v>0</v>
      </c>
      <c r="O596" s="37">
        <v>0</v>
      </c>
      <c r="Q596">
        <f>VLOOKUP(Table3[[#This Row],[Census Tract]],'Population and Diversity Data'!$B$2:$K$823,10,FALSE)</f>
        <v>3</v>
      </c>
      <c r="R596" t="str">
        <f>VLOOKUP(Table3[[#This Row],[Census Tract]],'ES Energy Burden'!$B$2:$E$914,4,FALSE)</f>
        <v>No</v>
      </c>
    </row>
    <row r="597" spans="1:18" hidden="1" x14ac:dyDescent="0.25">
      <c r="A597" s="140">
        <v>9015901100</v>
      </c>
      <c r="B597" s="39" t="s">
        <v>2817</v>
      </c>
      <c r="C597" s="39" t="s">
        <v>944</v>
      </c>
      <c r="D597" s="41">
        <v>83.202422399999989</v>
      </c>
      <c r="E597" s="37">
        <v>7.3814206992236669E-7</v>
      </c>
      <c r="F597" s="41">
        <v>0</v>
      </c>
      <c r="G597" s="37">
        <v>0</v>
      </c>
      <c r="H597" s="41">
        <v>83.202422399999989</v>
      </c>
      <c r="I597" s="37">
        <v>7.3814206992236669E-7</v>
      </c>
      <c r="J597" s="42">
        <v>0</v>
      </c>
      <c r="K597" s="37">
        <v>0</v>
      </c>
      <c r="L597" s="38">
        <v>0</v>
      </c>
      <c r="M597" s="37">
        <v>0</v>
      </c>
      <c r="N597" s="42">
        <v>0</v>
      </c>
      <c r="O597" s="37">
        <v>0</v>
      </c>
      <c r="Q597">
        <f>VLOOKUP(Table3[[#This Row],[Census Tract]],'Population and Diversity Data'!$B$2:$K$823,10,FALSE)</f>
        <v>1</v>
      </c>
      <c r="R597" t="str">
        <f>VLOOKUP(Table3[[#This Row],[Census Tract]],'ES Energy Burden'!$B$2:$E$914,4,FALSE)</f>
        <v>No</v>
      </c>
    </row>
    <row r="598" spans="1:18" hidden="1" x14ac:dyDescent="0.25">
      <c r="A598" s="140">
        <v>9015902200</v>
      </c>
      <c r="B598" s="39" t="s">
        <v>2817</v>
      </c>
      <c r="C598" s="39" t="s">
        <v>944</v>
      </c>
      <c r="D598" s="41">
        <v>150.11516160000002</v>
      </c>
      <c r="E598" s="37">
        <v>1.33176790908139E-6</v>
      </c>
      <c r="F598" s="41">
        <v>0</v>
      </c>
      <c r="G598" s="37">
        <v>0</v>
      </c>
      <c r="H598" s="41">
        <v>150.11516160000002</v>
      </c>
      <c r="I598" s="37">
        <v>1.33176790908139E-6</v>
      </c>
      <c r="J598" s="42">
        <v>0</v>
      </c>
      <c r="K598" s="37">
        <v>0</v>
      </c>
      <c r="L598" s="38">
        <v>0</v>
      </c>
      <c r="M598" s="37">
        <v>0</v>
      </c>
      <c r="N598" s="42">
        <v>0</v>
      </c>
      <c r="O598" s="37">
        <v>0</v>
      </c>
      <c r="Q598">
        <f>VLOOKUP(Table3[[#This Row],[Census Tract]],'Population and Diversity Data'!$B$2:$K$823,10,FALSE)</f>
        <v>2</v>
      </c>
      <c r="R598" t="str">
        <f>VLOOKUP(Table3[[#This Row],[Census Tract]],'ES Energy Burden'!$B$2:$E$914,4,FALSE)</f>
        <v>No</v>
      </c>
    </row>
    <row r="599" spans="1:18" hidden="1" x14ac:dyDescent="0.25">
      <c r="A599" s="140">
        <v>9015902500</v>
      </c>
      <c r="B599" s="39" t="s">
        <v>2817</v>
      </c>
      <c r="C599" s="39" t="s">
        <v>944</v>
      </c>
      <c r="D599" s="41">
        <v>102560.03529984</v>
      </c>
      <c r="E599" s="37">
        <v>9.0987587336801993E-4</v>
      </c>
      <c r="F599" s="41">
        <v>64726.646700000005</v>
      </c>
      <c r="G599" s="37">
        <v>7.9190800295838226E-4</v>
      </c>
      <c r="H599" s="41">
        <v>79728.11720352</v>
      </c>
      <c r="I599" s="37">
        <v>7.0731927948794091E-4</v>
      </c>
      <c r="J599" s="42">
        <v>49916.504200000003</v>
      </c>
      <c r="K599" s="37">
        <v>6.1071106215186796E-4</v>
      </c>
      <c r="L599" s="38">
        <v>22831.918096319998</v>
      </c>
      <c r="M599" s="37">
        <v>2.0255659388007899E-4</v>
      </c>
      <c r="N599" s="42">
        <v>14810.1425</v>
      </c>
      <c r="O599" s="37">
        <v>1.8119694080651427E-4</v>
      </c>
      <c r="Q599">
        <f>VLOOKUP(Table3[[#This Row],[Census Tract]],'Population and Diversity Data'!$B$2:$K$823,10,FALSE)</f>
        <v>2</v>
      </c>
      <c r="R599" t="str">
        <f>VLOOKUP(Table3[[#This Row],[Census Tract]],'ES Energy Burden'!$B$2:$E$914,4,FALSE)</f>
        <v>No</v>
      </c>
    </row>
    <row r="600" spans="1:18" hidden="1" x14ac:dyDescent="0.25">
      <c r="A600" s="140">
        <v>9015905100</v>
      </c>
      <c r="B600" s="39" t="s">
        <v>2817</v>
      </c>
      <c r="C600" s="39" t="s">
        <v>944</v>
      </c>
      <c r="D600" s="41">
        <v>917.38586880000003</v>
      </c>
      <c r="E600" s="37">
        <v>8.1387186163651994E-6</v>
      </c>
      <c r="F600" s="41">
        <v>0</v>
      </c>
      <c r="G600" s="37">
        <v>0</v>
      </c>
      <c r="H600" s="41">
        <v>917.38586880000003</v>
      </c>
      <c r="I600" s="37">
        <v>8.1387186163651994E-6</v>
      </c>
      <c r="J600" s="42">
        <v>0</v>
      </c>
      <c r="K600" s="37">
        <v>0</v>
      </c>
      <c r="L600" s="38">
        <v>0</v>
      </c>
      <c r="M600" s="37">
        <v>0</v>
      </c>
      <c r="N600" s="42">
        <v>0</v>
      </c>
      <c r="O600" s="37">
        <v>0</v>
      </c>
      <c r="Q600">
        <f>VLOOKUP(Table3[[#This Row],[Census Tract]],'Population and Diversity Data'!$B$2:$K$823,10,FALSE)</f>
        <v>4</v>
      </c>
      <c r="R600" t="str">
        <f>VLOOKUP(Table3[[#This Row],[Census Tract]],'ES Energy Burden'!$B$2:$E$914,4,FALSE)</f>
        <v>No</v>
      </c>
    </row>
    <row r="601" spans="1:18" hidden="1" x14ac:dyDescent="0.25">
      <c r="A601" s="140">
        <v>9007560100</v>
      </c>
      <c r="B601" s="39" t="s">
        <v>2818</v>
      </c>
      <c r="C601" s="39" t="s">
        <v>944</v>
      </c>
      <c r="D601" s="41">
        <v>192776.68356191998</v>
      </c>
      <c r="E601" s="37">
        <v>1.7102456410832182E-3</v>
      </c>
      <c r="F601" s="41">
        <v>93783.939599999998</v>
      </c>
      <c r="G601" s="37">
        <v>1.1474138721016972E-3</v>
      </c>
      <c r="H601" s="41">
        <v>125121.51976319999</v>
      </c>
      <c r="I601" s="37">
        <v>1.1100332769859447E-3</v>
      </c>
      <c r="J601" s="42">
        <v>80210.659599999999</v>
      </c>
      <c r="K601" s="37">
        <v>9.8134951365880956E-4</v>
      </c>
      <c r="L601" s="38">
        <v>67655.163798719994</v>
      </c>
      <c r="M601" s="37">
        <v>6.0021236409727352E-4</v>
      </c>
      <c r="N601" s="42">
        <v>13573.28</v>
      </c>
      <c r="O601" s="37">
        <v>1.6606435844288765E-4</v>
      </c>
      <c r="Q601">
        <f>VLOOKUP(Table3[[#This Row],[Census Tract]],'Population and Diversity Data'!$B$2:$K$823,10,FALSE)</f>
        <v>1</v>
      </c>
      <c r="R601" t="str">
        <f>VLOOKUP(Table3[[#This Row],[Census Tract]],'ES Energy Burden'!$B$2:$E$914,4,FALSE)</f>
        <v>No</v>
      </c>
    </row>
    <row r="602" spans="1:18" hidden="1" x14ac:dyDescent="0.25">
      <c r="A602" s="140">
        <v>9007560200</v>
      </c>
      <c r="B602" s="39" t="s">
        <v>2818</v>
      </c>
      <c r="C602" s="39" t="s">
        <v>944</v>
      </c>
      <c r="D602" s="41">
        <v>60508.24069536</v>
      </c>
      <c r="E602" s="37">
        <v>5.3680742394146715E-4</v>
      </c>
      <c r="F602" s="41">
        <v>31057.98</v>
      </c>
      <c r="G602" s="37">
        <v>3.7998357974137684E-4</v>
      </c>
      <c r="H602" s="41">
        <v>60508.24069536</v>
      </c>
      <c r="I602" s="37">
        <v>5.3680742394146715E-4</v>
      </c>
      <c r="J602" s="42">
        <v>31057.98</v>
      </c>
      <c r="K602" s="37">
        <v>3.7998357974137684E-4</v>
      </c>
      <c r="L602" s="38">
        <v>0</v>
      </c>
      <c r="M602" s="37">
        <v>0</v>
      </c>
      <c r="N602" s="42">
        <v>0</v>
      </c>
      <c r="O602" s="37">
        <v>0</v>
      </c>
      <c r="Q602">
        <f>VLOOKUP(Table3[[#This Row],[Census Tract]],'Population and Diversity Data'!$B$2:$K$823,10,FALSE)</f>
        <v>1</v>
      </c>
      <c r="R602" t="str">
        <f>VLOOKUP(Table3[[#This Row],[Census Tract]],'ES Energy Burden'!$B$2:$E$914,4,FALSE)</f>
        <v>No</v>
      </c>
    </row>
    <row r="603" spans="1:18" hidden="1" x14ac:dyDescent="0.25">
      <c r="A603" s="140">
        <v>9011697000</v>
      </c>
      <c r="B603" s="39" t="s">
        <v>2819</v>
      </c>
      <c r="C603" s="39" t="s">
        <v>944</v>
      </c>
      <c r="D603" s="41">
        <v>68.452560000000005</v>
      </c>
      <c r="E603" s="37">
        <v>6.0728657739038394E-7</v>
      </c>
      <c r="F603" s="41">
        <v>0</v>
      </c>
      <c r="G603" s="37">
        <v>0</v>
      </c>
      <c r="H603" s="41">
        <v>68.452560000000005</v>
      </c>
      <c r="I603" s="37">
        <v>6.0728657739038394E-7</v>
      </c>
      <c r="J603" s="42">
        <v>0</v>
      </c>
      <c r="K603" s="37">
        <v>0</v>
      </c>
      <c r="L603" s="38">
        <v>0</v>
      </c>
      <c r="M603" s="37">
        <v>0</v>
      </c>
      <c r="N603" s="42">
        <v>0</v>
      </c>
      <c r="O603" s="37">
        <v>0</v>
      </c>
      <c r="Q603">
        <f>VLOOKUP(Table3[[#This Row],[Census Tract]],'Population and Diversity Data'!$B$2:$K$823,10,FALSE)</f>
        <v>5</v>
      </c>
      <c r="R603" t="str">
        <f>VLOOKUP(Table3[[#This Row],[Census Tract]],'ES Energy Burden'!$B$2:$E$914,4,FALSE)</f>
        <v>Yes</v>
      </c>
    </row>
    <row r="604" spans="1:18" hidden="1" x14ac:dyDescent="0.25">
      <c r="A604" s="140">
        <v>9011700100</v>
      </c>
      <c r="B604" s="39" t="s">
        <v>2819</v>
      </c>
      <c r="C604" s="39" t="s">
        <v>944</v>
      </c>
      <c r="D604" s="41">
        <v>130427.25598079999</v>
      </c>
      <c r="E604" s="37">
        <v>1.1571038670138778E-3</v>
      </c>
      <c r="F604" s="41">
        <v>75747.447100000005</v>
      </c>
      <c r="G604" s="37">
        <v>9.267436615429779E-4</v>
      </c>
      <c r="H604" s="41">
        <v>106676.39367071999</v>
      </c>
      <c r="I604" s="37">
        <v>9.463947294394943E-4</v>
      </c>
      <c r="J604" s="42">
        <v>57765.007100000003</v>
      </c>
      <c r="K604" s="37">
        <v>7.0673476451604551E-4</v>
      </c>
      <c r="L604" s="38">
        <v>23750.86231008</v>
      </c>
      <c r="M604" s="37">
        <v>2.1070913757438361E-4</v>
      </c>
      <c r="N604" s="42">
        <v>17982.439999999999</v>
      </c>
      <c r="O604" s="37">
        <v>2.2000889702693233E-4</v>
      </c>
      <c r="Q604">
        <f>VLOOKUP(Table3[[#This Row],[Census Tract]],'Population and Diversity Data'!$B$2:$K$823,10,FALSE)</f>
        <v>4</v>
      </c>
      <c r="R604" t="str">
        <f>VLOOKUP(Table3[[#This Row],[Census Tract]],'ES Energy Burden'!$B$2:$E$914,4,FALSE)</f>
        <v>No</v>
      </c>
    </row>
    <row r="605" spans="1:18" hidden="1" x14ac:dyDescent="0.25">
      <c r="A605" s="140">
        <v>9011707100</v>
      </c>
      <c r="B605" s="39" t="s">
        <v>2819</v>
      </c>
      <c r="C605" s="39" t="s">
        <v>944</v>
      </c>
      <c r="D605" s="41">
        <v>751.86671039999999</v>
      </c>
      <c r="E605" s="37">
        <v>6.6702919688114355E-6</v>
      </c>
      <c r="F605" s="41">
        <v>0</v>
      </c>
      <c r="G605" s="37">
        <v>0</v>
      </c>
      <c r="H605" s="41">
        <v>751.86671039999999</v>
      </c>
      <c r="I605" s="37">
        <v>6.6702919688114355E-6</v>
      </c>
      <c r="J605" s="42">
        <v>0</v>
      </c>
      <c r="K605" s="37">
        <v>0</v>
      </c>
      <c r="L605" s="38">
        <v>0</v>
      </c>
      <c r="M605" s="37">
        <v>0</v>
      </c>
      <c r="N605" s="42">
        <v>0</v>
      </c>
      <c r="O605" s="37">
        <v>0</v>
      </c>
      <c r="Q605">
        <f>VLOOKUP(Table3[[#This Row],[Census Tract]],'Population and Diversity Data'!$B$2:$K$823,10,FALSE)</f>
        <v>3</v>
      </c>
      <c r="R605" t="str">
        <f>VLOOKUP(Table3[[#This Row],[Census Tract]],'ES Energy Burden'!$B$2:$E$914,4,FALSE)</f>
        <v>No</v>
      </c>
    </row>
    <row r="606" spans="1:18" hidden="1" x14ac:dyDescent="0.25">
      <c r="A606" s="140">
        <v>9009347100</v>
      </c>
      <c r="B606" s="39" t="s">
        <v>2820</v>
      </c>
      <c r="C606" s="39" t="s">
        <v>944</v>
      </c>
      <c r="D606" s="41">
        <v>166091.78765376</v>
      </c>
      <c r="E606" s="37">
        <v>1.4735068090499803E-3</v>
      </c>
      <c r="F606" s="41">
        <v>114759.0438</v>
      </c>
      <c r="G606" s="37">
        <v>1.4040369744207917E-3</v>
      </c>
      <c r="H606" s="41">
        <v>122291.37139104001</v>
      </c>
      <c r="I606" s="37">
        <v>1.0849252150166625E-3</v>
      </c>
      <c r="J606" s="42">
        <v>100895.8768</v>
      </c>
      <c r="K606" s="37">
        <v>1.2344259493891404E-3</v>
      </c>
      <c r="L606" s="38">
        <v>43800.416262719998</v>
      </c>
      <c r="M606" s="37">
        <v>3.8858159403331791E-4</v>
      </c>
      <c r="N606" s="42">
        <v>13863.166999999999</v>
      </c>
      <c r="O606" s="37">
        <v>1.6961102503165124E-4</v>
      </c>
      <c r="Q606">
        <f>VLOOKUP(Table3[[#This Row],[Census Tract]],'Population and Diversity Data'!$B$2:$K$823,10,FALSE)</f>
        <v>1</v>
      </c>
      <c r="R606" t="str">
        <f>VLOOKUP(Table3[[#This Row],[Census Tract]],'ES Energy Burden'!$B$2:$E$914,4,FALSE)</f>
        <v>No</v>
      </c>
    </row>
    <row r="607" spans="1:18" hidden="1" x14ac:dyDescent="0.25">
      <c r="A607" s="140">
        <v>9009347200</v>
      </c>
      <c r="B607" s="39" t="s">
        <v>2820</v>
      </c>
      <c r="C607" s="39" t="s">
        <v>944</v>
      </c>
      <c r="D607" s="41">
        <v>69831.277917119995</v>
      </c>
      <c r="E607" s="37">
        <v>6.1951806858771233E-4</v>
      </c>
      <c r="F607" s="41">
        <v>19924.240000000002</v>
      </c>
      <c r="G607" s="37">
        <v>2.4376614444424045E-4</v>
      </c>
      <c r="H607" s="41">
        <v>69819.393510719994</v>
      </c>
      <c r="I607" s="37">
        <v>6.1941263439376881E-4</v>
      </c>
      <c r="J607" s="42">
        <v>19924.240000000002</v>
      </c>
      <c r="K607" s="37">
        <v>2.4376614444424045E-4</v>
      </c>
      <c r="L607" s="38">
        <v>11.8844064</v>
      </c>
      <c r="M607" s="37">
        <v>1.0543419394354825E-7</v>
      </c>
      <c r="N607" s="42">
        <v>0</v>
      </c>
      <c r="O607" s="37">
        <v>0</v>
      </c>
      <c r="Q607">
        <f>VLOOKUP(Table3[[#This Row],[Census Tract]],'Population and Diversity Data'!$B$2:$K$823,10,FALSE)</f>
        <v>2</v>
      </c>
      <c r="R607" t="str">
        <f>VLOOKUP(Table3[[#This Row],[Census Tract]],'ES Energy Burden'!$B$2:$E$914,4,FALSE)</f>
        <v>No</v>
      </c>
    </row>
    <row r="608" spans="1:18" hidden="1" x14ac:dyDescent="0.25">
      <c r="A608" s="140">
        <v>9009352800</v>
      </c>
      <c r="B608" s="39" t="s">
        <v>2820</v>
      </c>
      <c r="C608" s="39" t="s">
        <v>944</v>
      </c>
      <c r="D608" s="41">
        <v>1536.5559168</v>
      </c>
      <c r="E608" s="37">
        <v>1.3631773357817667E-5</v>
      </c>
      <c r="F608" s="41">
        <v>0</v>
      </c>
      <c r="G608" s="37">
        <v>0</v>
      </c>
      <c r="H608" s="41">
        <v>1536.5559168</v>
      </c>
      <c r="I608" s="37">
        <v>1.3631773357817667E-5</v>
      </c>
      <c r="J608" s="42">
        <v>0</v>
      </c>
      <c r="K608" s="37">
        <v>0</v>
      </c>
      <c r="L608" s="38">
        <v>0</v>
      </c>
      <c r="M608" s="37">
        <v>0</v>
      </c>
      <c r="N608" s="42">
        <v>0</v>
      </c>
      <c r="O608" s="37">
        <v>0</v>
      </c>
      <c r="Q608">
        <f>VLOOKUP(Table3[[#This Row],[Census Tract]],'Population and Diversity Data'!$B$2:$K$823,10,FALSE)</f>
        <v>5</v>
      </c>
      <c r="R608" t="str">
        <f>VLOOKUP(Table3[[#This Row],[Census Tract]],'ES Energy Burden'!$B$2:$E$914,4,FALSE)</f>
        <v>No</v>
      </c>
    </row>
    <row r="609" spans="1:18" hidden="1" x14ac:dyDescent="0.25">
      <c r="A609" s="140">
        <v>9015901100</v>
      </c>
      <c r="B609" s="39" t="s">
        <v>2821</v>
      </c>
      <c r="C609" s="39" t="s">
        <v>944</v>
      </c>
      <c r="D609" s="41">
        <v>253.86203520000004</v>
      </c>
      <c r="E609" s="37">
        <v>2.2521729864590189E-6</v>
      </c>
      <c r="F609" s="41">
        <v>0</v>
      </c>
      <c r="G609" s="37">
        <v>0</v>
      </c>
      <c r="H609" s="41">
        <v>253.86203520000004</v>
      </c>
      <c r="I609" s="37">
        <v>2.2521729864590189E-6</v>
      </c>
      <c r="J609" s="42">
        <v>0</v>
      </c>
      <c r="K609" s="37">
        <v>0</v>
      </c>
      <c r="L609" s="38">
        <v>0</v>
      </c>
      <c r="M609" s="37">
        <v>0</v>
      </c>
      <c r="N609" s="42">
        <v>0</v>
      </c>
      <c r="O609" s="37">
        <v>0</v>
      </c>
      <c r="Q609">
        <f>VLOOKUP(Table3[[#This Row],[Census Tract]],'Population and Diversity Data'!$B$2:$K$823,10,FALSE)</f>
        <v>1</v>
      </c>
      <c r="R609" t="str">
        <f>VLOOKUP(Table3[[#This Row],[Census Tract]],'ES Energy Burden'!$B$2:$E$914,4,FALSE)</f>
        <v>No</v>
      </c>
    </row>
    <row r="610" spans="1:18" hidden="1" x14ac:dyDescent="0.25">
      <c r="A610" s="140">
        <v>9015902500</v>
      </c>
      <c r="B610" s="39" t="s">
        <v>2821</v>
      </c>
      <c r="C610" s="39" t="s">
        <v>944</v>
      </c>
      <c r="D610" s="41">
        <v>328.95955872000002</v>
      </c>
      <c r="E610" s="37">
        <v>2.9184112984951886E-6</v>
      </c>
      <c r="F610" s="41">
        <v>0</v>
      </c>
      <c r="G610" s="37">
        <v>0</v>
      </c>
      <c r="H610" s="41">
        <v>328.95955872000002</v>
      </c>
      <c r="I610" s="37">
        <v>2.9184112984951886E-6</v>
      </c>
      <c r="J610" s="42">
        <v>0</v>
      </c>
      <c r="K610" s="37">
        <v>0</v>
      </c>
      <c r="L610" s="38">
        <v>0</v>
      </c>
      <c r="M610" s="37">
        <v>0</v>
      </c>
      <c r="N610" s="42">
        <v>0</v>
      </c>
      <c r="O610" s="37">
        <v>0</v>
      </c>
      <c r="Q610">
        <f>VLOOKUP(Table3[[#This Row],[Census Tract]],'Population and Diversity Data'!$B$2:$K$823,10,FALSE)</f>
        <v>2</v>
      </c>
      <c r="R610" t="str">
        <f>VLOOKUP(Table3[[#This Row],[Census Tract]],'ES Energy Burden'!$B$2:$E$914,4,FALSE)</f>
        <v>No</v>
      </c>
    </row>
    <row r="611" spans="1:18" hidden="1" x14ac:dyDescent="0.25">
      <c r="A611" s="140">
        <v>9015903100</v>
      </c>
      <c r="B611" s="39" t="s">
        <v>2821</v>
      </c>
      <c r="C611" s="39" t="s">
        <v>944</v>
      </c>
      <c r="D611" s="41">
        <v>224139.23609759999</v>
      </c>
      <c r="E611" s="37">
        <v>1.9884829661389828E-3</v>
      </c>
      <c r="F611" s="41">
        <v>277851.3052</v>
      </c>
      <c r="G611" s="37">
        <v>3.3994140502927052E-3</v>
      </c>
      <c r="H611" s="41">
        <v>126091.598184</v>
      </c>
      <c r="I611" s="37">
        <v>1.1186394650374639E-3</v>
      </c>
      <c r="J611" s="42">
        <v>270102.65519999998</v>
      </c>
      <c r="K611" s="37">
        <v>3.3046120134196367E-3</v>
      </c>
      <c r="L611" s="38">
        <v>98047.637913599989</v>
      </c>
      <c r="M611" s="37">
        <v>8.698435011015187E-4</v>
      </c>
      <c r="N611" s="42">
        <v>7748.65</v>
      </c>
      <c r="O611" s="37">
        <v>9.4802036873068351E-5</v>
      </c>
      <c r="Q611">
        <f>VLOOKUP(Table3[[#This Row],[Census Tract]],'Population and Diversity Data'!$B$2:$K$823,10,FALSE)</f>
        <v>2</v>
      </c>
      <c r="R611" t="str">
        <f>VLOOKUP(Table3[[#This Row],[Census Tract]],'ES Energy Burden'!$B$2:$E$914,4,FALSE)</f>
        <v>No</v>
      </c>
    </row>
    <row r="612" spans="1:18" hidden="1" x14ac:dyDescent="0.25">
      <c r="A612" s="140">
        <v>9015903200</v>
      </c>
      <c r="B612" s="39" t="s">
        <v>2821</v>
      </c>
      <c r="C612" s="39" t="s">
        <v>944</v>
      </c>
      <c r="D612" s="41">
        <v>45609.665760000004</v>
      </c>
      <c r="E612" s="37">
        <v>4.0463260709767149E-4</v>
      </c>
      <c r="F612" s="41">
        <v>4946.6899999999996</v>
      </c>
      <c r="G612" s="37">
        <v>6.0521031118922454E-5</v>
      </c>
      <c r="H612" s="41">
        <v>45609.665760000004</v>
      </c>
      <c r="I612" s="37">
        <v>4.0463260709767149E-4</v>
      </c>
      <c r="J612" s="42">
        <v>4946.6899999999996</v>
      </c>
      <c r="K612" s="37">
        <v>6.0521031118922454E-5</v>
      </c>
      <c r="L612" s="38">
        <v>0</v>
      </c>
      <c r="M612" s="37">
        <v>0</v>
      </c>
      <c r="N612" s="42">
        <v>0</v>
      </c>
      <c r="O612" s="37">
        <v>0</v>
      </c>
      <c r="Q612">
        <f>VLOOKUP(Table3[[#This Row],[Census Tract]],'Population and Diversity Data'!$B$2:$K$823,10,FALSE)</f>
        <v>3</v>
      </c>
      <c r="R612" t="str">
        <f>VLOOKUP(Table3[[#This Row],[Census Tract]],'ES Energy Burden'!$B$2:$E$914,4,FALSE)</f>
        <v>No</v>
      </c>
    </row>
    <row r="613" spans="1:18" hidden="1" x14ac:dyDescent="0.25">
      <c r="A613" s="140">
        <v>9015904100</v>
      </c>
      <c r="B613" s="39" t="s">
        <v>2821</v>
      </c>
      <c r="C613" s="39" t="s">
        <v>944</v>
      </c>
      <c r="D613" s="41">
        <v>306.71377919999998</v>
      </c>
      <c r="E613" s="37">
        <v>2.7210547159790357E-6</v>
      </c>
      <c r="F613" s="41">
        <v>0</v>
      </c>
      <c r="G613" s="37">
        <v>0</v>
      </c>
      <c r="H613" s="41">
        <v>306.71377919999998</v>
      </c>
      <c r="I613" s="37">
        <v>2.7210547159790357E-6</v>
      </c>
      <c r="J613" s="42">
        <v>0</v>
      </c>
      <c r="K613" s="37">
        <v>0</v>
      </c>
      <c r="L613" s="38">
        <v>0</v>
      </c>
      <c r="M613" s="37">
        <v>0</v>
      </c>
      <c r="N613" s="42">
        <v>0</v>
      </c>
      <c r="O613" s="37">
        <v>0</v>
      </c>
      <c r="Q613">
        <f>VLOOKUP(Table3[[#This Row],[Census Tract]],'Population and Diversity Data'!$B$2:$K$823,10,FALSE)</f>
        <v>2</v>
      </c>
      <c r="R613" t="str">
        <f>VLOOKUP(Table3[[#This Row],[Census Tract]],'ES Energy Burden'!$B$2:$E$914,4,FALSE)</f>
        <v>No</v>
      </c>
    </row>
    <row r="614" spans="1:18" hidden="1" x14ac:dyDescent="0.25">
      <c r="A614" s="140">
        <v>9001055100</v>
      </c>
      <c r="B614" s="39" t="s">
        <v>2822</v>
      </c>
      <c r="C614" s="39" t="s">
        <v>944</v>
      </c>
      <c r="D614" s="41">
        <v>6580.5052319999995</v>
      </c>
      <c r="E614" s="37">
        <v>5.8379883817943308E-5</v>
      </c>
      <c r="F614" s="41">
        <v>3388.5</v>
      </c>
      <c r="G614" s="37">
        <v>4.1457118587675547E-5</v>
      </c>
      <c r="H614" s="41">
        <v>6580.5052319999995</v>
      </c>
      <c r="I614" s="37">
        <v>5.8379883817943308E-5</v>
      </c>
      <c r="J614" s="42">
        <v>3388.5</v>
      </c>
      <c r="K614" s="37">
        <v>4.1457118587675547E-5</v>
      </c>
      <c r="L614" s="38">
        <v>0</v>
      </c>
      <c r="M614" s="37">
        <v>0</v>
      </c>
      <c r="N614" s="42">
        <v>0</v>
      </c>
      <c r="O614" s="37">
        <v>0</v>
      </c>
      <c r="Q614">
        <f>VLOOKUP(Table3[[#This Row],[Census Tract]],'Population and Diversity Data'!$B$2:$K$823,10,FALSE)</f>
        <v>4</v>
      </c>
      <c r="R614" t="str">
        <f>VLOOKUP(Table3[[#This Row],[Census Tract]],'ES Energy Burden'!$B$2:$E$914,4,FALSE)</f>
        <v>No</v>
      </c>
    </row>
    <row r="615" spans="1:18" hidden="1" x14ac:dyDescent="0.25">
      <c r="A615" s="140">
        <v>9001240100</v>
      </c>
      <c r="B615" s="39" t="s">
        <v>2822</v>
      </c>
      <c r="C615" s="39" t="s">
        <v>944</v>
      </c>
      <c r="D615" s="41">
        <v>105997.58451071999</v>
      </c>
      <c r="E615" s="37">
        <v>9.4037257787237037E-4</v>
      </c>
      <c r="F615" s="41">
        <v>23180.573899999999</v>
      </c>
      <c r="G615" s="37">
        <v>2.8360625678107616E-4</v>
      </c>
      <c r="H615" s="41">
        <v>105989.61333311998</v>
      </c>
      <c r="I615" s="37">
        <v>9.4030186044175164E-4</v>
      </c>
      <c r="J615" s="42">
        <v>23180.573899999999</v>
      </c>
      <c r="K615" s="37">
        <v>2.8360625678107616E-4</v>
      </c>
      <c r="L615" s="38">
        <v>7.9711776000000008</v>
      </c>
      <c r="M615" s="37">
        <v>7.0717430618736454E-8</v>
      </c>
      <c r="N615" s="42">
        <v>0</v>
      </c>
      <c r="O615" s="37">
        <v>0</v>
      </c>
      <c r="Q615">
        <f>VLOOKUP(Table3[[#This Row],[Census Tract]],'Population and Diversity Data'!$B$2:$K$823,10,FALSE)</f>
        <v>1</v>
      </c>
      <c r="R615" t="str">
        <f>VLOOKUP(Table3[[#This Row],[Census Tract]],'ES Energy Burden'!$B$2:$E$914,4,FALSE)</f>
        <v>No</v>
      </c>
    </row>
    <row r="616" spans="1:18" hidden="1" x14ac:dyDescent="0.25">
      <c r="A616" s="140">
        <v>9001240200</v>
      </c>
      <c r="B616" s="39" t="s">
        <v>2822</v>
      </c>
      <c r="C616" s="39" t="s">
        <v>944</v>
      </c>
      <c r="D616" s="41">
        <v>169993.67156351998</v>
      </c>
      <c r="E616" s="37">
        <v>1.5081229245748453E-3</v>
      </c>
      <c r="F616" s="41">
        <v>66021.557700000005</v>
      </c>
      <c r="G616" s="37">
        <v>8.0775078852352489E-4</v>
      </c>
      <c r="H616" s="41">
        <v>135659.58847776</v>
      </c>
      <c r="I616" s="37">
        <v>1.2035232455418297E-3</v>
      </c>
      <c r="J616" s="42">
        <v>62433.157700000003</v>
      </c>
      <c r="K616" s="37">
        <v>7.6384796298419619E-4</v>
      </c>
      <c r="L616" s="38">
        <v>34334.083085759994</v>
      </c>
      <c r="M616" s="37">
        <v>3.0459967903301581E-4</v>
      </c>
      <c r="N616" s="42">
        <v>3588.4</v>
      </c>
      <c r="O616" s="37">
        <v>4.3902825539328596E-5</v>
      </c>
      <c r="Q616">
        <f>VLOOKUP(Table3[[#This Row],[Census Tract]],'Population and Diversity Data'!$B$2:$K$823,10,FALSE)</f>
        <v>2</v>
      </c>
      <c r="R616" t="str">
        <f>VLOOKUP(Table3[[#This Row],[Census Tract]],'ES Energy Burden'!$B$2:$E$914,4,FALSE)</f>
        <v>No</v>
      </c>
    </row>
    <row r="617" spans="1:18" hidden="1" x14ac:dyDescent="0.25">
      <c r="A617" s="140">
        <v>9001245200</v>
      </c>
      <c r="B617" s="39" t="s">
        <v>2822</v>
      </c>
      <c r="C617" s="39" t="s">
        <v>944</v>
      </c>
      <c r="D617" s="41">
        <v>324.96586560000003</v>
      </c>
      <c r="E617" s="37">
        <v>2.8829806845635501E-6</v>
      </c>
      <c r="F617" s="41">
        <v>0</v>
      </c>
      <c r="G617" s="37">
        <v>0</v>
      </c>
      <c r="H617" s="41">
        <v>324.96586560000003</v>
      </c>
      <c r="I617" s="37">
        <v>2.8829806845635501E-6</v>
      </c>
      <c r="J617" s="42">
        <v>0</v>
      </c>
      <c r="K617" s="37">
        <v>0</v>
      </c>
      <c r="L617" s="38">
        <v>0</v>
      </c>
      <c r="M617" s="37">
        <v>0</v>
      </c>
      <c r="N617" s="42">
        <v>0</v>
      </c>
      <c r="O617" s="37">
        <v>0</v>
      </c>
      <c r="Q617">
        <f>VLOOKUP(Table3[[#This Row],[Census Tract]],'Population and Diversity Data'!$B$2:$K$823,10,FALSE)</f>
        <v>3</v>
      </c>
      <c r="R617" t="str">
        <f>VLOOKUP(Table3[[#This Row],[Census Tract]],'ES Energy Burden'!$B$2:$E$914,4,FALSE)</f>
        <v>No</v>
      </c>
    </row>
    <row r="618" spans="1:18" hidden="1" x14ac:dyDescent="0.25">
      <c r="A618" s="140">
        <v>9001045102</v>
      </c>
      <c r="B618" s="39" t="s">
        <v>2823</v>
      </c>
      <c r="C618" s="39" t="s">
        <v>944</v>
      </c>
      <c r="D618" s="41">
        <v>226.29576959999997</v>
      </c>
      <c r="E618" s="37">
        <v>2.0076149584224004E-6</v>
      </c>
      <c r="F618" s="41">
        <v>0</v>
      </c>
      <c r="G618" s="37">
        <v>0</v>
      </c>
      <c r="H618" s="41">
        <v>226.29576959999997</v>
      </c>
      <c r="I618" s="37">
        <v>2.0076149584224004E-6</v>
      </c>
      <c r="J618" s="42">
        <v>0</v>
      </c>
      <c r="K618" s="37">
        <v>0</v>
      </c>
      <c r="L618" s="38">
        <v>0</v>
      </c>
      <c r="M618" s="37">
        <v>0</v>
      </c>
      <c r="N618" s="42">
        <v>0</v>
      </c>
      <c r="O618" s="37">
        <v>0</v>
      </c>
      <c r="Q618">
        <f>VLOOKUP(Table3[[#This Row],[Census Tract]],'Population and Diversity Data'!$B$2:$K$823,10,FALSE)</f>
        <v>3</v>
      </c>
      <c r="R618" t="str">
        <f>VLOOKUP(Table3[[#This Row],[Census Tract]],'ES Energy Burden'!$B$2:$E$914,4,FALSE)</f>
        <v>No</v>
      </c>
    </row>
    <row r="619" spans="1:18" hidden="1" x14ac:dyDescent="0.25">
      <c r="A619" s="140">
        <v>9001210500</v>
      </c>
      <c r="B619" s="39" t="s">
        <v>2823</v>
      </c>
      <c r="C619" s="39" t="s">
        <v>944</v>
      </c>
      <c r="D619" s="41">
        <v>1074.8122848</v>
      </c>
      <c r="E619" s="37">
        <v>9.5353493539661704E-6</v>
      </c>
      <c r="F619" s="41">
        <v>0</v>
      </c>
      <c r="G619" s="37">
        <v>0</v>
      </c>
      <c r="H619" s="41">
        <v>1074.8122848</v>
      </c>
      <c r="I619" s="37">
        <v>9.5353493539661704E-6</v>
      </c>
      <c r="J619" s="42">
        <v>0</v>
      </c>
      <c r="K619" s="37">
        <v>0</v>
      </c>
      <c r="L619" s="38">
        <v>0</v>
      </c>
      <c r="M619" s="37">
        <v>0</v>
      </c>
      <c r="N619" s="42">
        <v>0</v>
      </c>
      <c r="O619" s="37">
        <v>0</v>
      </c>
      <c r="Q619">
        <f>VLOOKUP(Table3[[#This Row],[Census Tract]],'Population and Diversity Data'!$B$2:$K$823,10,FALSE)</f>
        <v>4</v>
      </c>
      <c r="R619" t="str">
        <f>VLOOKUP(Table3[[#This Row],[Census Tract]],'ES Energy Burden'!$B$2:$E$914,4,FALSE)</f>
        <v>No</v>
      </c>
    </row>
    <row r="620" spans="1:18" hidden="1" x14ac:dyDescent="0.25">
      <c r="A620" s="140">
        <v>9001240100</v>
      </c>
      <c r="B620" s="39" t="s">
        <v>2823</v>
      </c>
      <c r="C620" s="39" t="s">
        <v>944</v>
      </c>
      <c r="D620" s="41">
        <v>1081.2262751999999</v>
      </c>
      <c r="E620" s="37">
        <v>9.5922519778772511E-6</v>
      </c>
      <c r="F620" s="41">
        <v>0</v>
      </c>
      <c r="G620" s="37">
        <v>0</v>
      </c>
      <c r="H620" s="41">
        <v>1081.2262751999999</v>
      </c>
      <c r="I620" s="37">
        <v>9.5922519778772511E-6</v>
      </c>
      <c r="J620" s="42">
        <v>0</v>
      </c>
      <c r="K620" s="37">
        <v>0</v>
      </c>
      <c r="L620" s="38">
        <v>0</v>
      </c>
      <c r="M620" s="37">
        <v>0</v>
      </c>
      <c r="N620" s="42">
        <v>0</v>
      </c>
      <c r="O620" s="37">
        <v>0</v>
      </c>
      <c r="Q620">
        <f>VLOOKUP(Table3[[#This Row],[Census Tract]],'Population and Diversity Data'!$B$2:$K$823,10,FALSE)</f>
        <v>1</v>
      </c>
      <c r="R620" t="str">
        <f>VLOOKUP(Table3[[#This Row],[Census Tract]],'ES Energy Burden'!$B$2:$E$914,4,FALSE)</f>
        <v>No</v>
      </c>
    </row>
    <row r="621" spans="1:18" hidden="1" x14ac:dyDescent="0.25">
      <c r="A621" s="140">
        <v>9001245100</v>
      </c>
      <c r="B621" s="39" t="s">
        <v>2823</v>
      </c>
      <c r="C621" s="39" t="s">
        <v>944</v>
      </c>
      <c r="D621" s="41">
        <v>57530.246371200003</v>
      </c>
      <c r="E621" s="37">
        <v>5.1038772567733913E-4</v>
      </c>
      <c r="F621" s="41">
        <v>11748.259099999999</v>
      </c>
      <c r="G621" s="37">
        <v>1.4373586268479811E-4</v>
      </c>
      <c r="H621" s="41">
        <v>57530.246371200003</v>
      </c>
      <c r="I621" s="37">
        <v>5.1038772567733913E-4</v>
      </c>
      <c r="J621" s="42">
        <v>11748.259099999999</v>
      </c>
      <c r="K621" s="37">
        <v>1.4373586268479811E-4</v>
      </c>
      <c r="L621" s="38">
        <v>0</v>
      </c>
      <c r="M621" s="37">
        <v>0</v>
      </c>
      <c r="N621" s="42">
        <v>0</v>
      </c>
      <c r="O621" s="37">
        <v>0</v>
      </c>
      <c r="Q621">
        <f>VLOOKUP(Table3[[#This Row],[Census Tract]],'Population and Diversity Data'!$B$2:$K$823,10,FALSE)</f>
        <v>1</v>
      </c>
      <c r="R621" t="str">
        <f>VLOOKUP(Table3[[#This Row],[Census Tract]],'ES Energy Burden'!$B$2:$E$914,4,FALSE)</f>
        <v>No</v>
      </c>
    </row>
    <row r="622" spans="1:18" hidden="1" x14ac:dyDescent="0.25">
      <c r="A622" s="140">
        <v>9001245200</v>
      </c>
      <c r="B622" s="39" t="s">
        <v>2823</v>
      </c>
      <c r="C622" s="39" t="s">
        <v>944</v>
      </c>
      <c r="D622" s="41">
        <v>98395.787923199998</v>
      </c>
      <c r="E622" s="37">
        <v>8.7293216320193415E-4</v>
      </c>
      <c r="F622" s="41">
        <v>10773.143099999999</v>
      </c>
      <c r="G622" s="37">
        <v>1.3180565768295663E-4</v>
      </c>
      <c r="H622" s="41">
        <v>98395.787923199998</v>
      </c>
      <c r="I622" s="37">
        <v>8.7293216320193415E-4</v>
      </c>
      <c r="J622" s="42">
        <v>10773.143099999999</v>
      </c>
      <c r="K622" s="37">
        <v>1.3180565768295663E-4</v>
      </c>
      <c r="L622" s="38">
        <v>0</v>
      </c>
      <c r="M622" s="37">
        <v>0</v>
      </c>
      <c r="N622" s="42">
        <v>0</v>
      </c>
      <c r="O622" s="37">
        <v>0</v>
      </c>
      <c r="Q622">
        <f>VLOOKUP(Table3[[#This Row],[Census Tract]],'Population and Diversity Data'!$B$2:$K$823,10,FALSE)</f>
        <v>3</v>
      </c>
      <c r="R622" t="str">
        <f>VLOOKUP(Table3[[#This Row],[Census Tract]],'ES Energy Burden'!$B$2:$E$914,4,FALSE)</f>
        <v>No</v>
      </c>
    </row>
    <row r="623" spans="1:18" hidden="1" x14ac:dyDescent="0.25">
      <c r="A623" s="140">
        <v>9001245300</v>
      </c>
      <c r="B623" s="39" t="s">
        <v>2823</v>
      </c>
      <c r="C623" s="39" t="s">
        <v>944</v>
      </c>
      <c r="D623" s="41">
        <v>134335.73796479998</v>
      </c>
      <c r="E623" s="37">
        <v>1.1917785182885027E-3</v>
      </c>
      <c r="F623" s="41">
        <v>64446.402699999999</v>
      </c>
      <c r="G623" s="37">
        <v>7.8847931511966758E-4</v>
      </c>
      <c r="H623" s="41">
        <v>134043.68142719998</v>
      </c>
      <c r="I623" s="37">
        <v>1.1891874973665153E-3</v>
      </c>
      <c r="J623" s="42">
        <v>64446.402699999999</v>
      </c>
      <c r="K623" s="37">
        <v>7.8847931511966758E-4</v>
      </c>
      <c r="L623" s="38">
        <v>292.05653759999996</v>
      </c>
      <c r="M623" s="37">
        <v>2.5910209219872845E-6</v>
      </c>
      <c r="N623" s="42">
        <v>0</v>
      </c>
      <c r="O623" s="37">
        <v>0</v>
      </c>
      <c r="Q623">
        <f>VLOOKUP(Table3[[#This Row],[Census Tract]],'Population and Diversity Data'!$B$2:$K$823,10,FALSE)</f>
        <v>2</v>
      </c>
      <c r="R623" t="str">
        <f>VLOOKUP(Table3[[#This Row],[Census Tract]],'ES Energy Burden'!$B$2:$E$914,4,FALSE)</f>
        <v>No</v>
      </c>
    </row>
    <row r="624" spans="1:18" hidden="1" x14ac:dyDescent="0.25">
      <c r="A624" s="140">
        <v>9001245400</v>
      </c>
      <c r="B624" s="39" t="s">
        <v>2823</v>
      </c>
      <c r="C624" s="39" t="s">
        <v>944</v>
      </c>
      <c r="D624" s="41">
        <v>92011.664257919998</v>
      </c>
      <c r="E624" s="37">
        <v>8.1629450625638172E-4</v>
      </c>
      <c r="F624" s="41">
        <v>15050.615299999999</v>
      </c>
      <c r="G624" s="37">
        <v>1.8413904185025351E-4</v>
      </c>
      <c r="H624" s="41">
        <v>92011.664257919998</v>
      </c>
      <c r="I624" s="37">
        <v>8.1629450625638172E-4</v>
      </c>
      <c r="J624" s="42">
        <v>15050.615299999999</v>
      </c>
      <c r="K624" s="37">
        <v>1.8413904185025351E-4</v>
      </c>
      <c r="L624" s="38">
        <v>0</v>
      </c>
      <c r="M624" s="37">
        <v>0</v>
      </c>
      <c r="N624" s="42">
        <v>0</v>
      </c>
      <c r="O624" s="37">
        <v>0</v>
      </c>
      <c r="Q624">
        <f>VLOOKUP(Table3[[#This Row],[Census Tract]],'Population and Diversity Data'!$B$2:$K$823,10,FALSE)</f>
        <v>1</v>
      </c>
      <c r="R624" t="str">
        <f>VLOOKUP(Table3[[#This Row],[Census Tract]],'ES Energy Burden'!$B$2:$E$914,4,FALSE)</f>
        <v>No</v>
      </c>
    </row>
    <row r="625" spans="1:18" hidden="1" x14ac:dyDescent="0.25">
      <c r="A625" s="140">
        <v>9001245500</v>
      </c>
      <c r="B625" s="39" t="s">
        <v>2823</v>
      </c>
      <c r="C625" s="39" t="s">
        <v>944</v>
      </c>
      <c r="D625" s="41">
        <v>81971.845084799992</v>
      </c>
      <c r="E625" s="37">
        <v>7.2722482904836495E-4</v>
      </c>
      <c r="F625" s="41">
        <v>16745.104599999999</v>
      </c>
      <c r="G625" s="37">
        <v>2.0487052889633505E-4</v>
      </c>
      <c r="H625" s="41">
        <v>81970.654328639997</v>
      </c>
      <c r="I625" s="37">
        <v>7.2721426508650711E-4</v>
      </c>
      <c r="J625" s="42">
        <v>16745.104599999999</v>
      </c>
      <c r="K625" s="37">
        <v>2.0487052889633505E-4</v>
      </c>
      <c r="L625" s="38">
        <v>1.1907561599999998</v>
      </c>
      <c r="M625" s="37">
        <v>1.0563961857860629E-8</v>
      </c>
      <c r="N625" s="42">
        <v>0</v>
      </c>
      <c r="O625" s="37">
        <v>0</v>
      </c>
      <c r="Q625">
        <f>VLOOKUP(Table3[[#This Row],[Census Tract]],'Population and Diversity Data'!$B$2:$K$823,10,FALSE)</f>
        <v>3</v>
      </c>
      <c r="R625" t="str">
        <f>VLOOKUP(Table3[[#This Row],[Census Tract]],'ES Energy Burden'!$B$2:$E$914,4,FALSE)</f>
        <v>No</v>
      </c>
    </row>
    <row r="626" spans="1:18" hidden="1" x14ac:dyDescent="0.25">
      <c r="A626" s="140">
        <v>9001245600</v>
      </c>
      <c r="B626" s="39" t="s">
        <v>2823</v>
      </c>
      <c r="C626" s="39" t="s">
        <v>944</v>
      </c>
      <c r="D626" s="41">
        <v>325127.62261727999</v>
      </c>
      <c r="E626" s="37">
        <v>2.8844157348435224E-3</v>
      </c>
      <c r="F626" s="41">
        <v>244622.0661</v>
      </c>
      <c r="G626" s="37">
        <v>2.9928658708779422E-3</v>
      </c>
      <c r="H626" s="41">
        <v>166942.71057311998</v>
      </c>
      <c r="I626" s="37">
        <v>1.4810558922007224E-3</v>
      </c>
      <c r="J626" s="42">
        <v>112930.68610000001</v>
      </c>
      <c r="K626" s="37">
        <v>1.3816676540756273E-3</v>
      </c>
      <c r="L626" s="38">
        <v>158184.91204416001</v>
      </c>
      <c r="M626" s="37">
        <v>1.4033598426428002E-3</v>
      </c>
      <c r="N626" s="42">
        <v>131691.38</v>
      </c>
      <c r="O626" s="37">
        <v>1.6111982168023149E-3</v>
      </c>
      <c r="Q626">
        <f>VLOOKUP(Table3[[#This Row],[Census Tract]],'Population and Diversity Data'!$B$2:$K$823,10,FALSE)</f>
        <v>3</v>
      </c>
      <c r="R626" t="str">
        <f>VLOOKUP(Table3[[#This Row],[Census Tract]],'ES Energy Burden'!$B$2:$E$914,4,FALSE)</f>
        <v>No</v>
      </c>
    </row>
    <row r="627" spans="1:18" hidden="1" x14ac:dyDescent="0.25">
      <c r="A627" s="140">
        <v>9003490100</v>
      </c>
      <c r="B627" s="39" t="s">
        <v>2824</v>
      </c>
      <c r="C627" s="39" t="s">
        <v>944</v>
      </c>
      <c r="D627" s="41">
        <v>76843.239779519994</v>
      </c>
      <c r="E627" s="37">
        <v>6.8172568098685122E-4</v>
      </c>
      <c r="F627" s="41">
        <v>22526.2637</v>
      </c>
      <c r="G627" s="37">
        <v>2.7560099912886263E-4</v>
      </c>
      <c r="H627" s="41">
        <v>76843.239779519994</v>
      </c>
      <c r="I627" s="37">
        <v>6.8172568098685122E-4</v>
      </c>
      <c r="J627" s="42">
        <v>22526.2637</v>
      </c>
      <c r="K627" s="37">
        <v>2.7560099912886263E-4</v>
      </c>
      <c r="L627" s="38">
        <v>0</v>
      </c>
      <c r="M627" s="37">
        <v>0</v>
      </c>
      <c r="N627" s="42">
        <v>0</v>
      </c>
      <c r="O627" s="37">
        <v>0</v>
      </c>
      <c r="Q627">
        <f>VLOOKUP(Table3[[#This Row],[Census Tract]],'Population and Diversity Data'!$B$2:$K$823,10,FALSE)</f>
        <v>4</v>
      </c>
      <c r="R627" t="str">
        <f>VLOOKUP(Table3[[#This Row],[Census Tract]],'ES Energy Burden'!$B$2:$E$914,4,FALSE)</f>
        <v>No</v>
      </c>
    </row>
    <row r="628" spans="1:18" hidden="1" x14ac:dyDescent="0.25">
      <c r="A628" s="140">
        <v>9003490302</v>
      </c>
      <c r="B628" s="39" t="s">
        <v>2824</v>
      </c>
      <c r="C628" s="39" t="s">
        <v>944</v>
      </c>
      <c r="D628" s="41">
        <v>320308.27468992001</v>
      </c>
      <c r="E628" s="37">
        <v>2.8416602073941494E-3</v>
      </c>
      <c r="F628" s="41">
        <v>161859.7885</v>
      </c>
      <c r="G628" s="37">
        <v>1.9802981987370764E-3</v>
      </c>
      <c r="H628" s="41">
        <v>159160.72948128002</v>
      </c>
      <c r="I628" s="37">
        <v>1.4120169451901188E-3</v>
      </c>
      <c r="J628" s="42">
        <v>98905.718500000003</v>
      </c>
      <c r="K628" s="37">
        <v>1.2100770549959437E-3</v>
      </c>
      <c r="L628" s="38">
        <v>161147.54520863999</v>
      </c>
      <c r="M628" s="37">
        <v>1.4296432622040304E-3</v>
      </c>
      <c r="N628" s="42">
        <v>62954.07</v>
      </c>
      <c r="O628" s="37">
        <v>7.7022114374113257E-4</v>
      </c>
      <c r="Q628">
        <f>VLOOKUP(Table3[[#This Row],[Census Tract]],'Population and Diversity Data'!$B$2:$K$823,10,FALSE)</f>
        <v>5</v>
      </c>
      <c r="R628" t="str">
        <f>VLOOKUP(Table3[[#This Row],[Census Tract]],'ES Energy Burden'!$B$2:$E$914,4,FALSE)</f>
        <v>No</v>
      </c>
    </row>
    <row r="629" spans="1:18" hidden="1" x14ac:dyDescent="0.25">
      <c r="A629" s="140">
        <v>9003492600</v>
      </c>
      <c r="B629" s="39" t="s">
        <v>2824</v>
      </c>
      <c r="C629" s="39" t="s">
        <v>944</v>
      </c>
      <c r="D629" s="41">
        <v>64.359878399999999</v>
      </c>
      <c r="E629" s="37">
        <v>5.7097777314387211E-7</v>
      </c>
      <c r="F629" s="41">
        <v>0</v>
      </c>
      <c r="G629" s="37">
        <v>0</v>
      </c>
      <c r="H629" s="41">
        <v>64.359878399999999</v>
      </c>
      <c r="I629" s="37">
        <v>5.7097777314387211E-7</v>
      </c>
      <c r="J629" s="42">
        <v>0</v>
      </c>
      <c r="K629" s="37">
        <v>0</v>
      </c>
      <c r="L629" s="38">
        <v>0</v>
      </c>
      <c r="M629" s="37">
        <v>0</v>
      </c>
      <c r="N629" s="42">
        <v>0</v>
      </c>
      <c r="O629" s="37">
        <v>0</v>
      </c>
      <c r="Q629">
        <f>VLOOKUP(Table3[[#This Row],[Census Tract]],'Population and Diversity Data'!$B$2:$K$823,10,FALSE)</f>
        <v>1</v>
      </c>
      <c r="R629" t="str">
        <f>VLOOKUP(Table3[[#This Row],[Census Tract]],'ES Energy Burden'!$B$2:$E$914,4,FALSE)</f>
        <v>No</v>
      </c>
    </row>
    <row r="630" spans="1:18" hidden="1" x14ac:dyDescent="0.25">
      <c r="A630" s="140">
        <v>9003524200</v>
      </c>
      <c r="B630" s="39" t="s">
        <v>2824</v>
      </c>
      <c r="C630" s="39" t="s">
        <v>944</v>
      </c>
      <c r="D630" s="41">
        <v>97311.370861440024</v>
      </c>
      <c r="E630" s="37">
        <v>8.6331160370934615E-4</v>
      </c>
      <c r="F630" s="41">
        <v>24959.3027</v>
      </c>
      <c r="G630" s="37">
        <v>3.0536838480141375E-4</v>
      </c>
      <c r="H630" s="41">
        <v>97311.370861440024</v>
      </c>
      <c r="I630" s="37">
        <v>8.6331160370934615E-4</v>
      </c>
      <c r="J630" s="42">
        <v>24959.3027</v>
      </c>
      <c r="K630" s="37">
        <v>3.0536838480141375E-4</v>
      </c>
      <c r="L630" s="38">
        <v>0</v>
      </c>
      <c r="M630" s="37">
        <v>0</v>
      </c>
      <c r="N630" s="42">
        <v>0</v>
      </c>
      <c r="O630" s="37">
        <v>0</v>
      </c>
      <c r="Q630">
        <f>VLOOKUP(Table3[[#This Row],[Census Tract]],'Population and Diversity Data'!$B$2:$K$823,10,FALSE)</f>
        <v>4</v>
      </c>
      <c r="R630" t="str">
        <f>VLOOKUP(Table3[[#This Row],[Census Tract]],'ES Energy Burden'!$B$2:$E$914,4,FALSE)</f>
        <v>No</v>
      </c>
    </row>
    <row r="631" spans="1:18" hidden="1" x14ac:dyDescent="0.25">
      <c r="A631" s="140">
        <v>9005268100</v>
      </c>
      <c r="B631" s="39" t="s">
        <v>2825</v>
      </c>
      <c r="C631" s="39" t="s">
        <v>944</v>
      </c>
      <c r="D631" s="41">
        <v>95294.749181760009</v>
      </c>
      <c r="E631" s="37">
        <v>8.454208589695713E-4</v>
      </c>
      <c r="F631" s="41">
        <v>17705.96</v>
      </c>
      <c r="G631" s="37">
        <v>2.1662626041866304E-4</v>
      </c>
      <c r="H631" s="41">
        <v>89712.105716160004</v>
      </c>
      <c r="I631" s="37">
        <v>7.9589364708713744E-4</v>
      </c>
      <c r="J631" s="42">
        <v>17705.96</v>
      </c>
      <c r="K631" s="37">
        <v>2.1662626041866304E-4</v>
      </c>
      <c r="L631" s="38">
        <v>5582.6434656000001</v>
      </c>
      <c r="M631" s="37">
        <v>4.9527211882433835E-5</v>
      </c>
      <c r="N631" s="42">
        <v>0</v>
      </c>
      <c r="O631" s="37">
        <v>0</v>
      </c>
      <c r="Q631">
        <f>VLOOKUP(Table3[[#This Row],[Census Tract]],'Population and Diversity Data'!$B$2:$K$823,10,FALSE)</f>
        <v>1</v>
      </c>
      <c r="R631" t="str">
        <f>VLOOKUP(Table3[[#This Row],[Census Tract]],'ES Energy Burden'!$B$2:$E$914,4,FALSE)</f>
        <v>No</v>
      </c>
    </row>
    <row r="632" spans="1:18" hidden="1" x14ac:dyDescent="0.25">
      <c r="A632" s="140">
        <v>9007595101</v>
      </c>
      <c r="B632" s="39" t="s">
        <v>2826</v>
      </c>
      <c r="C632" s="39" t="s">
        <v>944</v>
      </c>
      <c r="D632" s="41">
        <v>784.89181440000004</v>
      </c>
      <c r="E632" s="37">
        <v>6.9632788545629911E-6</v>
      </c>
      <c r="F632" s="41">
        <v>0</v>
      </c>
      <c r="G632" s="37">
        <v>0</v>
      </c>
      <c r="H632" s="41">
        <v>784.89181440000004</v>
      </c>
      <c r="I632" s="37">
        <v>6.9632788545629911E-6</v>
      </c>
      <c r="J632" s="42">
        <v>0</v>
      </c>
      <c r="K632" s="37">
        <v>0</v>
      </c>
      <c r="L632" s="38">
        <v>0</v>
      </c>
      <c r="M632" s="37">
        <v>0</v>
      </c>
      <c r="N632" s="42">
        <v>0</v>
      </c>
      <c r="O632" s="37">
        <v>0</v>
      </c>
      <c r="Q632">
        <f>VLOOKUP(Table3[[#This Row],[Census Tract]],'Population and Diversity Data'!$B$2:$K$823,10,FALSE)</f>
        <v>1</v>
      </c>
      <c r="R632" t="str">
        <f>VLOOKUP(Table3[[#This Row],[Census Tract]],'ES Energy Burden'!$B$2:$E$914,4,FALSE)</f>
        <v>No</v>
      </c>
    </row>
    <row r="633" spans="1:18" hidden="1" x14ac:dyDescent="0.25">
      <c r="A633" s="140">
        <v>9011715100</v>
      </c>
      <c r="B633" s="39" t="s">
        <v>2826</v>
      </c>
      <c r="C633" s="39" t="s">
        <v>944</v>
      </c>
      <c r="D633" s="41">
        <v>113690.19405600001</v>
      </c>
      <c r="E633" s="37">
        <v>1.008618652554657E-3</v>
      </c>
      <c r="F633" s="41">
        <v>55249.99</v>
      </c>
      <c r="G633" s="37">
        <v>6.7596440531146173E-4</v>
      </c>
      <c r="H633" s="41">
        <v>97402.728545280013</v>
      </c>
      <c r="I633" s="37">
        <v>8.6412209633573587E-4</v>
      </c>
      <c r="J633" s="42">
        <v>47537.07</v>
      </c>
      <c r="K633" s="37">
        <v>5.8159951255736572E-4</v>
      </c>
      <c r="L633" s="38">
        <v>16287.465510719998</v>
      </c>
      <c r="M633" s="37">
        <v>1.4449655621892108E-4</v>
      </c>
      <c r="N633" s="42">
        <v>7712.92</v>
      </c>
      <c r="O633" s="37">
        <v>9.4364892754096052E-5</v>
      </c>
      <c r="Q633">
        <f>VLOOKUP(Table3[[#This Row],[Census Tract]],'Population and Diversity Data'!$B$2:$K$823,10,FALSE)</f>
        <v>3</v>
      </c>
      <c r="R633" t="str">
        <f>VLOOKUP(Table3[[#This Row],[Census Tract]],'ES Energy Burden'!$B$2:$E$914,4,FALSE)</f>
        <v>No</v>
      </c>
    </row>
    <row r="634" spans="1:18" hidden="1" x14ac:dyDescent="0.25">
      <c r="A634" s="140">
        <v>9005261100</v>
      </c>
      <c r="B634" s="39" t="s">
        <v>2827</v>
      </c>
      <c r="C634" s="39" t="s">
        <v>944</v>
      </c>
      <c r="D634" s="41">
        <v>173975.28172128001</v>
      </c>
      <c r="E634" s="37">
        <v>1.543446342796295E-3</v>
      </c>
      <c r="F634" s="41">
        <v>274061.99890000001</v>
      </c>
      <c r="G634" s="37">
        <v>3.3530532060713314E-3</v>
      </c>
      <c r="H634" s="41">
        <v>133901.08475904001</v>
      </c>
      <c r="I634" s="37">
        <v>1.1879224308364376E-3</v>
      </c>
      <c r="J634" s="42">
        <v>71965.126900000003</v>
      </c>
      <c r="K634" s="37">
        <v>8.8046828982452996E-4</v>
      </c>
      <c r="L634" s="38">
        <v>40074.196962240007</v>
      </c>
      <c r="M634" s="37">
        <v>3.555239119598573E-4</v>
      </c>
      <c r="N634" s="42">
        <v>202096.872</v>
      </c>
      <c r="O634" s="37">
        <v>2.4725849162468014E-3</v>
      </c>
      <c r="Q634">
        <f>VLOOKUP(Table3[[#This Row],[Census Tract]],'Population and Diversity Data'!$B$2:$K$823,10,FALSE)</f>
        <v>1</v>
      </c>
      <c r="R634" t="str">
        <f>VLOOKUP(Table3[[#This Row],[Census Tract]],'ES Energy Burden'!$B$2:$E$914,4,FALSE)</f>
        <v>No</v>
      </c>
    </row>
    <row r="635" spans="1:18" hidden="1" x14ac:dyDescent="0.25">
      <c r="A635" s="140">
        <v>9005262100</v>
      </c>
      <c r="B635" s="39" t="s">
        <v>2827</v>
      </c>
      <c r="C635" s="39" t="s">
        <v>944</v>
      </c>
      <c r="D635" s="41">
        <v>870.51974399999995</v>
      </c>
      <c r="E635" s="37">
        <v>7.7229391550076886E-6</v>
      </c>
      <c r="F635" s="41">
        <v>254.5</v>
      </c>
      <c r="G635" s="37">
        <v>3.1137189554562274E-6</v>
      </c>
      <c r="H635" s="41">
        <v>870.51974399999995</v>
      </c>
      <c r="I635" s="37">
        <v>7.7229391550076886E-6</v>
      </c>
      <c r="J635" s="42">
        <v>254.5</v>
      </c>
      <c r="K635" s="37">
        <v>3.1137189554562274E-6</v>
      </c>
      <c r="L635" s="38">
        <v>0</v>
      </c>
      <c r="M635" s="37">
        <v>0</v>
      </c>
      <c r="N635" s="42">
        <v>0</v>
      </c>
      <c r="O635" s="37">
        <v>0</v>
      </c>
      <c r="Q635">
        <f>VLOOKUP(Table3[[#This Row],[Census Tract]],'Population and Diversity Data'!$B$2:$K$823,10,FALSE)</f>
        <v>1</v>
      </c>
      <c r="R635" t="str">
        <f>VLOOKUP(Table3[[#This Row],[Census Tract]],'ES Energy Burden'!$B$2:$E$914,4,FALSE)</f>
        <v>No</v>
      </c>
    </row>
    <row r="636" spans="1:18" hidden="1" x14ac:dyDescent="0.25">
      <c r="A636" s="140">
        <v>9015825000</v>
      </c>
      <c r="B636" s="39" t="s">
        <v>2828</v>
      </c>
      <c r="C636" s="39" t="s">
        <v>944</v>
      </c>
      <c r="D636" s="41">
        <v>33417.828348479998</v>
      </c>
      <c r="E636" s="37">
        <v>2.9647099541007323E-4</v>
      </c>
      <c r="F636" s="41">
        <v>14083.63</v>
      </c>
      <c r="G636" s="37">
        <v>1.7230831313411391E-4</v>
      </c>
      <c r="H636" s="41">
        <v>30727.571538239998</v>
      </c>
      <c r="I636" s="37">
        <v>2.7260400123787831E-4</v>
      </c>
      <c r="J636" s="42">
        <v>14083.63</v>
      </c>
      <c r="K636" s="37">
        <v>1.7230831313411391E-4</v>
      </c>
      <c r="L636" s="38">
        <v>2690.25681024</v>
      </c>
      <c r="M636" s="37">
        <v>2.386699417219489E-5</v>
      </c>
      <c r="N636" s="42">
        <v>0</v>
      </c>
      <c r="O636" s="37">
        <v>0</v>
      </c>
      <c r="Q636">
        <f>VLOOKUP(Table3[[#This Row],[Census Tract]],'Population and Diversity Data'!$B$2:$K$823,10,FALSE)</f>
        <v>2</v>
      </c>
      <c r="R636" t="str">
        <f>VLOOKUP(Table3[[#This Row],[Census Tract]],'ES Energy Burden'!$B$2:$E$914,4,FALSE)</f>
        <v>No</v>
      </c>
    </row>
    <row r="637" spans="1:18" hidden="1" x14ac:dyDescent="0.25">
      <c r="A637" s="140">
        <v>9009120200</v>
      </c>
      <c r="B637" s="39" t="s">
        <v>2829</v>
      </c>
      <c r="C637" s="39" t="s">
        <v>944</v>
      </c>
      <c r="D637" s="41">
        <v>167.08792319999998</v>
      </c>
      <c r="E637" s="37">
        <v>1.4823441665789461E-6</v>
      </c>
      <c r="F637" s="41">
        <v>0</v>
      </c>
      <c r="G637" s="37">
        <v>0</v>
      </c>
      <c r="H637" s="41">
        <v>167.08792319999998</v>
      </c>
      <c r="I637" s="37">
        <v>1.4823441665789461E-6</v>
      </c>
      <c r="J637" s="42">
        <v>0</v>
      </c>
      <c r="K637" s="37">
        <v>0</v>
      </c>
      <c r="L637" s="38">
        <v>0</v>
      </c>
      <c r="M637" s="37">
        <v>0</v>
      </c>
      <c r="N637" s="42">
        <v>0</v>
      </c>
      <c r="O637" s="37">
        <v>0</v>
      </c>
      <c r="Q637">
        <f>VLOOKUP(Table3[[#This Row],[Census Tract]],'Population and Diversity Data'!$B$2:$K$823,10,FALSE)</f>
        <v>4</v>
      </c>
      <c r="R637" t="str">
        <f>VLOOKUP(Table3[[#This Row],[Census Tract]],'ES Energy Burden'!$B$2:$E$914,4,FALSE)</f>
        <v>Yes</v>
      </c>
    </row>
    <row r="638" spans="1:18" hidden="1" x14ac:dyDescent="0.25">
      <c r="A638" s="140">
        <v>9009125300</v>
      </c>
      <c r="B638" s="39" t="s">
        <v>2829</v>
      </c>
      <c r="C638" s="39" t="s">
        <v>944</v>
      </c>
      <c r="D638" s="41">
        <v>41.106268800000002</v>
      </c>
      <c r="E638" s="37">
        <v>3.6468008338681744E-7</v>
      </c>
      <c r="F638" s="41">
        <v>0</v>
      </c>
      <c r="G638" s="37">
        <v>0</v>
      </c>
      <c r="H638" s="41">
        <v>41.106268800000002</v>
      </c>
      <c r="I638" s="37">
        <v>3.6468008338681744E-7</v>
      </c>
      <c r="J638" s="42">
        <v>0</v>
      </c>
      <c r="K638" s="37">
        <v>0</v>
      </c>
      <c r="L638" s="38">
        <v>0</v>
      </c>
      <c r="M638" s="37">
        <v>0</v>
      </c>
      <c r="N638" s="42">
        <v>0</v>
      </c>
      <c r="O638" s="37">
        <v>0</v>
      </c>
      <c r="Q638">
        <f>VLOOKUP(Table3[[#This Row],[Census Tract]],'Population and Diversity Data'!$B$2:$K$823,10,FALSE)</f>
        <v>5</v>
      </c>
      <c r="R638" t="str">
        <f>VLOOKUP(Table3[[#This Row],[Census Tract]],'ES Energy Burden'!$B$2:$E$914,4,FALSE)</f>
        <v>No</v>
      </c>
    </row>
    <row r="639" spans="1:18" hidden="1" x14ac:dyDescent="0.25">
      <c r="A639" s="140">
        <v>9009125400</v>
      </c>
      <c r="B639" s="39" t="s">
        <v>2829</v>
      </c>
      <c r="C639" s="39" t="s">
        <v>944</v>
      </c>
      <c r="D639" s="41">
        <v>876.93952319999994</v>
      </c>
      <c r="E639" s="37">
        <v>7.7798931350775357E-6</v>
      </c>
      <c r="F639" s="41">
        <v>0</v>
      </c>
      <c r="G639" s="37">
        <v>0</v>
      </c>
      <c r="H639" s="41">
        <v>876.93952319999994</v>
      </c>
      <c r="I639" s="37">
        <v>7.7798931350775357E-6</v>
      </c>
      <c r="J639" s="42">
        <v>0</v>
      </c>
      <c r="K639" s="37">
        <v>0</v>
      </c>
      <c r="L639" s="38">
        <v>0</v>
      </c>
      <c r="M639" s="37">
        <v>0</v>
      </c>
      <c r="N639" s="42">
        <v>0</v>
      </c>
      <c r="O639" s="37">
        <v>0</v>
      </c>
      <c r="Q639">
        <f>VLOOKUP(Table3[[#This Row],[Census Tract]],'Population and Diversity Data'!$B$2:$K$823,10,FALSE)</f>
        <v>3</v>
      </c>
      <c r="R639" t="str">
        <f>VLOOKUP(Table3[[#This Row],[Census Tract]],'ES Energy Burden'!$B$2:$E$914,4,FALSE)</f>
        <v>No</v>
      </c>
    </row>
    <row r="640" spans="1:18" hidden="1" x14ac:dyDescent="0.25">
      <c r="A640" s="140">
        <v>9009130101</v>
      </c>
      <c r="B640" s="39" t="s">
        <v>2829</v>
      </c>
      <c r="C640" s="39" t="s">
        <v>944</v>
      </c>
      <c r="D640" s="41">
        <v>89614.184112000003</v>
      </c>
      <c r="E640" s="37">
        <v>7.9502492171232449E-4</v>
      </c>
      <c r="F640" s="41">
        <v>38284.129999999997</v>
      </c>
      <c r="G640" s="37">
        <v>4.6839301090039457E-4</v>
      </c>
      <c r="H640" s="41">
        <v>89614.184112000003</v>
      </c>
      <c r="I640" s="37">
        <v>7.9502492171232449E-4</v>
      </c>
      <c r="J640" s="42">
        <v>38284.129999999997</v>
      </c>
      <c r="K640" s="37">
        <v>4.6839301090039457E-4</v>
      </c>
      <c r="L640" s="38">
        <v>0</v>
      </c>
      <c r="M640" s="37">
        <v>0</v>
      </c>
      <c r="N640" s="42">
        <v>0</v>
      </c>
      <c r="O640" s="37">
        <v>0</v>
      </c>
      <c r="Q640">
        <f>VLOOKUP(Table3[[#This Row],[Census Tract]],'Population and Diversity Data'!$B$2:$K$823,10,FALSE)</f>
        <v>2</v>
      </c>
      <c r="R640" t="str">
        <f>VLOOKUP(Table3[[#This Row],[Census Tract]],'ES Energy Burden'!$B$2:$E$914,4,FALSE)</f>
        <v>No</v>
      </c>
    </row>
    <row r="641" spans="1:18" hidden="1" x14ac:dyDescent="0.25">
      <c r="A641" s="140">
        <v>9009130102</v>
      </c>
      <c r="B641" s="39" t="s">
        <v>2829</v>
      </c>
      <c r="C641" s="39" t="s">
        <v>944</v>
      </c>
      <c r="D641" s="41">
        <v>53976.907267200004</v>
      </c>
      <c r="E641" s="37">
        <v>4.7886377474291723E-4</v>
      </c>
      <c r="F641" s="41">
        <v>13351.72</v>
      </c>
      <c r="G641" s="37">
        <v>1.6335364892708848E-4</v>
      </c>
      <c r="H641" s="41">
        <v>53976.907267200004</v>
      </c>
      <c r="I641" s="37">
        <v>4.7886377474291723E-4</v>
      </c>
      <c r="J641" s="42">
        <v>13351.72</v>
      </c>
      <c r="K641" s="37">
        <v>1.6335364892708848E-4</v>
      </c>
      <c r="L641" s="38">
        <v>0</v>
      </c>
      <c r="M641" s="37">
        <v>0</v>
      </c>
      <c r="N641" s="42">
        <v>0</v>
      </c>
      <c r="O641" s="37">
        <v>0</v>
      </c>
      <c r="Q641">
        <f>VLOOKUP(Table3[[#This Row],[Census Tract]],'Population and Diversity Data'!$B$2:$K$823,10,FALSE)</f>
        <v>2</v>
      </c>
      <c r="R641" t="str">
        <f>VLOOKUP(Table3[[#This Row],[Census Tract]],'ES Energy Burden'!$B$2:$E$914,4,FALSE)</f>
        <v>No</v>
      </c>
    </row>
    <row r="642" spans="1:18" hidden="1" x14ac:dyDescent="0.25">
      <c r="A642" s="140">
        <v>9009130200</v>
      </c>
      <c r="B642" s="39" t="s">
        <v>2829</v>
      </c>
      <c r="C642" s="39" t="s">
        <v>944</v>
      </c>
      <c r="D642" s="41">
        <v>243716.62715712</v>
      </c>
      <c r="E642" s="37">
        <v>2.1621665626439051E-3</v>
      </c>
      <c r="F642" s="41">
        <v>300973.51299999998</v>
      </c>
      <c r="G642" s="37">
        <v>3.6823062181467634E-3</v>
      </c>
      <c r="H642" s="41">
        <v>167933.75602751999</v>
      </c>
      <c r="I642" s="37">
        <v>1.4898480922592868E-3</v>
      </c>
      <c r="J642" s="42">
        <v>113997.1498</v>
      </c>
      <c r="K642" s="37">
        <v>1.3947154664056703E-3</v>
      </c>
      <c r="L642" s="38">
        <v>75782.871129600011</v>
      </c>
      <c r="M642" s="37">
        <v>6.723184703846185E-4</v>
      </c>
      <c r="N642" s="42">
        <v>186976.36319999999</v>
      </c>
      <c r="O642" s="37">
        <v>2.2875907517410929E-3</v>
      </c>
      <c r="Q642">
        <f>VLOOKUP(Table3[[#This Row],[Census Tract]],'Population and Diversity Data'!$B$2:$K$823,10,FALSE)</f>
        <v>3</v>
      </c>
      <c r="R642" t="str">
        <f>VLOOKUP(Table3[[#This Row],[Census Tract]],'ES Energy Burden'!$B$2:$E$914,4,FALSE)</f>
        <v>No</v>
      </c>
    </row>
    <row r="643" spans="1:18" hidden="1" x14ac:dyDescent="0.25">
      <c r="A643" s="140">
        <v>9005262100</v>
      </c>
      <c r="B643" s="39" t="s">
        <v>2830</v>
      </c>
      <c r="C643" s="39" t="s">
        <v>944</v>
      </c>
      <c r="D643" s="41">
        <v>113265.31408128</v>
      </c>
      <c r="E643" s="37">
        <v>1.0048492697054337E-3</v>
      </c>
      <c r="F643" s="41">
        <v>25351.057799999999</v>
      </c>
      <c r="G643" s="37">
        <v>3.1016137215216676E-4</v>
      </c>
      <c r="H643" s="41">
        <v>96003.921755520001</v>
      </c>
      <c r="I643" s="37">
        <v>8.5171238386064674E-4</v>
      </c>
      <c r="J643" s="42">
        <v>24987.0278</v>
      </c>
      <c r="K643" s="37">
        <v>3.0570759175391638E-4</v>
      </c>
      <c r="L643" s="38">
        <v>17261.392325760004</v>
      </c>
      <c r="M643" s="37">
        <v>1.5313688584478696E-4</v>
      </c>
      <c r="N643" s="42">
        <v>364.03</v>
      </c>
      <c r="O643" s="37">
        <v>4.4537803982504141E-6</v>
      </c>
      <c r="Q643">
        <f>VLOOKUP(Table3[[#This Row],[Census Tract]],'Population and Diversity Data'!$B$2:$K$823,10,FALSE)</f>
        <v>1</v>
      </c>
      <c r="R643" t="str">
        <f>VLOOKUP(Table3[[#This Row],[Census Tract]],'ES Energy Burden'!$B$2:$E$914,4,FALSE)</f>
        <v>No</v>
      </c>
    </row>
    <row r="644" spans="1:18" hidden="1" x14ac:dyDescent="0.25">
      <c r="A644" s="140">
        <v>9005266100</v>
      </c>
      <c r="B644" s="39" t="s">
        <v>2830</v>
      </c>
      <c r="C644" s="39" t="s">
        <v>944</v>
      </c>
      <c r="D644" s="41">
        <v>572.91174720000004</v>
      </c>
      <c r="E644" s="37">
        <v>5.0826676767652347E-6</v>
      </c>
      <c r="F644" s="41">
        <v>0</v>
      </c>
      <c r="G644" s="37">
        <v>0</v>
      </c>
      <c r="H644" s="41">
        <v>572.91174720000004</v>
      </c>
      <c r="I644" s="37">
        <v>5.0826676767652347E-6</v>
      </c>
      <c r="J644" s="42">
        <v>0</v>
      </c>
      <c r="K644" s="37">
        <v>0</v>
      </c>
      <c r="L644" s="38">
        <v>0</v>
      </c>
      <c r="M644" s="37">
        <v>0</v>
      </c>
      <c r="N644" s="42">
        <v>0</v>
      </c>
      <c r="O644" s="37">
        <v>0</v>
      </c>
      <c r="Q644">
        <f>VLOOKUP(Table3[[#This Row],[Census Tract]],'Population and Diversity Data'!$B$2:$K$823,10,FALSE)</f>
        <v>2</v>
      </c>
      <c r="R644" t="str">
        <f>VLOOKUP(Table3[[#This Row],[Census Tract]],'ES Energy Burden'!$B$2:$E$914,4,FALSE)</f>
        <v>No</v>
      </c>
    </row>
    <row r="645" spans="1:18" hidden="1" x14ac:dyDescent="0.25">
      <c r="A645" s="140">
        <v>9001220200</v>
      </c>
      <c r="B645" s="39" t="s">
        <v>2831</v>
      </c>
      <c r="C645" s="39" t="s">
        <v>944</v>
      </c>
      <c r="D645" s="41">
        <v>419.00492159999999</v>
      </c>
      <c r="E645" s="37">
        <v>3.7172614836930878E-6</v>
      </c>
      <c r="F645" s="41">
        <v>0</v>
      </c>
      <c r="G645" s="37">
        <v>0</v>
      </c>
      <c r="H645" s="41">
        <v>419.00492159999999</v>
      </c>
      <c r="I645" s="37">
        <v>3.7172614836930878E-6</v>
      </c>
      <c r="J645" s="42">
        <v>0</v>
      </c>
      <c r="K645" s="37">
        <v>0</v>
      </c>
      <c r="L645" s="38">
        <v>0</v>
      </c>
      <c r="M645" s="37">
        <v>0</v>
      </c>
      <c r="N645" s="42">
        <v>0</v>
      </c>
      <c r="O645" s="37">
        <v>0</v>
      </c>
      <c r="Q645">
        <f>VLOOKUP(Table3[[#This Row],[Census Tract]],'Population and Diversity Data'!$B$2:$K$823,10,FALSE)</f>
        <v>3</v>
      </c>
      <c r="R645" t="str">
        <f>VLOOKUP(Table3[[#This Row],[Census Tract]],'ES Energy Burden'!$B$2:$E$914,4,FALSE)</f>
        <v>No</v>
      </c>
    </row>
    <row r="646" spans="1:18" hidden="1" x14ac:dyDescent="0.25">
      <c r="A646" s="140">
        <v>9001220300</v>
      </c>
      <c r="B646" s="39" t="s">
        <v>2831</v>
      </c>
      <c r="C646" s="39" t="s">
        <v>944</v>
      </c>
      <c r="D646" s="41">
        <v>1016.0791200000001</v>
      </c>
      <c r="E646" s="37">
        <v>9.0142897671414071E-6</v>
      </c>
      <c r="F646" s="41">
        <v>0</v>
      </c>
      <c r="G646" s="37">
        <v>0</v>
      </c>
      <c r="H646" s="41">
        <v>1016.0791200000001</v>
      </c>
      <c r="I646" s="37">
        <v>9.0142897671414071E-6</v>
      </c>
      <c r="J646" s="42">
        <v>0</v>
      </c>
      <c r="K646" s="37">
        <v>0</v>
      </c>
      <c r="L646" s="38">
        <v>0</v>
      </c>
      <c r="M646" s="37">
        <v>0</v>
      </c>
      <c r="N646" s="42">
        <v>0</v>
      </c>
      <c r="O646" s="37">
        <v>0</v>
      </c>
      <c r="Q646">
        <f>VLOOKUP(Table3[[#This Row],[Census Tract]],'Population and Diversity Data'!$B$2:$K$823,10,FALSE)</f>
        <v>2</v>
      </c>
      <c r="R646" t="str">
        <f>VLOOKUP(Table3[[#This Row],[Census Tract]],'ES Energy Burden'!$B$2:$E$914,4,FALSE)</f>
        <v>No</v>
      </c>
    </row>
    <row r="647" spans="1:18" hidden="1" x14ac:dyDescent="0.25">
      <c r="A647" s="140">
        <v>9001257100</v>
      </c>
      <c r="B647" s="39" t="s">
        <v>2831</v>
      </c>
      <c r="C647" s="39" t="s">
        <v>944</v>
      </c>
      <c r="D647" s="41">
        <v>123593.69393568001</v>
      </c>
      <c r="E647" s="37">
        <v>1.0964789538511599E-3</v>
      </c>
      <c r="F647" s="41">
        <v>34462.43</v>
      </c>
      <c r="G647" s="37">
        <v>4.2163584102979709E-4</v>
      </c>
      <c r="H647" s="41">
        <v>114117.20257248002</v>
      </c>
      <c r="I647" s="37">
        <v>1.0124069190634579E-3</v>
      </c>
      <c r="J647" s="42">
        <v>34462.43</v>
      </c>
      <c r="K647" s="37">
        <v>4.2163584102979709E-4</v>
      </c>
      <c r="L647" s="38">
        <v>9476.4913632000007</v>
      </c>
      <c r="M647" s="37">
        <v>8.4072034787702047E-5</v>
      </c>
      <c r="N647" s="42">
        <v>0</v>
      </c>
      <c r="O647" s="37">
        <v>0</v>
      </c>
      <c r="Q647">
        <f>VLOOKUP(Table3[[#This Row],[Census Tract]],'Population and Diversity Data'!$B$2:$K$823,10,FALSE)</f>
        <v>1</v>
      </c>
      <c r="R647" t="str">
        <f>VLOOKUP(Table3[[#This Row],[Census Tract]],'ES Energy Burden'!$B$2:$E$914,4,FALSE)</f>
        <v>No</v>
      </c>
    </row>
    <row r="648" spans="1:18" hidden="1" x14ac:dyDescent="0.25">
      <c r="A648" s="140">
        <v>9005253400</v>
      </c>
      <c r="B648" s="39" t="s">
        <v>2831</v>
      </c>
      <c r="C648" s="39" t="s">
        <v>944</v>
      </c>
      <c r="D648" s="41">
        <v>1058.5747007999998</v>
      </c>
      <c r="E648" s="37">
        <v>9.3912953286317047E-6</v>
      </c>
      <c r="F648" s="41">
        <v>0</v>
      </c>
      <c r="G648" s="37">
        <v>0</v>
      </c>
      <c r="H648" s="41">
        <v>1058.5747007999998</v>
      </c>
      <c r="I648" s="37">
        <v>9.3912953286317047E-6</v>
      </c>
      <c r="J648" s="42">
        <v>0</v>
      </c>
      <c r="K648" s="37">
        <v>0</v>
      </c>
      <c r="L648" s="38">
        <v>0</v>
      </c>
      <c r="M648" s="37">
        <v>0</v>
      </c>
      <c r="N648" s="42">
        <v>0</v>
      </c>
      <c r="O648" s="37">
        <v>0</v>
      </c>
      <c r="Q648">
        <f>VLOOKUP(Table3[[#This Row],[Census Tract]],'Population and Diversity Data'!$B$2:$K$823,10,FALSE)</f>
        <v>2</v>
      </c>
      <c r="R648" t="str">
        <f>VLOOKUP(Table3[[#This Row],[Census Tract]],'ES Energy Burden'!$B$2:$E$914,4,FALSE)</f>
        <v>No</v>
      </c>
    </row>
    <row r="649" spans="1:18" hidden="1" x14ac:dyDescent="0.25">
      <c r="A649" s="140">
        <v>9003464101</v>
      </c>
      <c r="B649" s="39" t="s">
        <v>2832</v>
      </c>
      <c r="C649" s="39" t="s">
        <v>944</v>
      </c>
      <c r="D649" s="41">
        <v>1219.9722336</v>
      </c>
      <c r="E649" s="37">
        <v>1.0823156391145136E-5</v>
      </c>
      <c r="F649" s="41">
        <v>0</v>
      </c>
      <c r="G649" s="37">
        <v>0</v>
      </c>
      <c r="H649" s="41">
        <v>1219.9722336</v>
      </c>
      <c r="I649" s="37">
        <v>1.0823156391145136E-5</v>
      </c>
      <c r="J649" s="42">
        <v>0</v>
      </c>
      <c r="K649" s="37">
        <v>0</v>
      </c>
      <c r="L649" s="38">
        <v>0</v>
      </c>
      <c r="M649" s="37">
        <v>0</v>
      </c>
      <c r="N649" s="42">
        <v>0</v>
      </c>
      <c r="O649" s="37">
        <v>0</v>
      </c>
      <c r="Q649">
        <f>VLOOKUP(Table3[[#This Row],[Census Tract]],'Population and Diversity Data'!$B$2:$K$823,10,FALSE)</f>
        <v>1</v>
      </c>
      <c r="R649" t="str">
        <f>VLOOKUP(Table3[[#This Row],[Census Tract]],'ES Energy Burden'!$B$2:$E$914,4,FALSE)</f>
        <v>No</v>
      </c>
    </row>
    <row r="650" spans="1:18" hidden="1" x14ac:dyDescent="0.25">
      <c r="A650" s="140">
        <v>9003466101</v>
      </c>
      <c r="B650" s="39" t="s">
        <v>2832</v>
      </c>
      <c r="C650" s="39" t="s">
        <v>944</v>
      </c>
      <c r="D650" s="41">
        <v>89359.129584000009</v>
      </c>
      <c r="E650" s="37">
        <v>7.9276216935716005E-4</v>
      </c>
      <c r="F650" s="41">
        <v>9945.31</v>
      </c>
      <c r="G650" s="37">
        <v>1.21677407720583E-4</v>
      </c>
      <c r="H650" s="41">
        <v>89359.129584000009</v>
      </c>
      <c r="I650" s="37">
        <v>7.9276216935716005E-4</v>
      </c>
      <c r="J650" s="42">
        <v>9945.31</v>
      </c>
      <c r="K650" s="37">
        <v>1.21677407720583E-4</v>
      </c>
      <c r="L650" s="38">
        <v>0</v>
      </c>
      <c r="M650" s="37">
        <v>0</v>
      </c>
      <c r="N650" s="42">
        <v>0</v>
      </c>
      <c r="O650" s="37">
        <v>0</v>
      </c>
      <c r="Q650">
        <f>VLOOKUP(Table3[[#This Row],[Census Tract]],'Population and Diversity Data'!$B$2:$K$823,10,FALSE)</f>
        <v>1</v>
      </c>
      <c r="R650" t="str">
        <f>VLOOKUP(Table3[[#This Row],[Census Tract]],'ES Energy Burden'!$B$2:$E$914,4,FALSE)</f>
        <v>No</v>
      </c>
    </row>
    <row r="651" spans="1:18" hidden="1" x14ac:dyDescent="0.25">
      <c r="A651" s="140">
        <v>9003466102</v>
      </c>
      <c r="B651" s="39" t="s">
        <v>2832</v>
      </c>
      <c r="C651" s="39" t="s">
        <v>944</v>
      </c>
      <c r="D651" s="41">
        <v>260268.55631136001</v>
      </c>
      <c r="E651" s="37">
        <v>2.3090093455184466E-3</v>
      </c>
      <c r="F651" s="41">
        <v>314302.68479999999</v>
      </c>
      <c r="G651" s="37">
        <v>3.8453839976917243E-3</v>
      </c>
      <c r="H651" s="41">
        <v>115211.62615391999</v>
      </c>
      <c r="I651" s="37">
        <v>1.0221162528120864E-3</v>
      </c>
      <c r="J651" s="42">
        <v>225976.02679999999</v>
      </c>
      <c r="K651" s="37">
        <v>2.7647380672921199E-3</v>
      </c>
      <c r="L651" s="38">
        <v>145056.93015744002</v>
      </c>
      <c r="M651" s="37">
        <v>1.2868930927063605E-3</v>
      </c>
      <c r="N651" s="42">
        <v>88326.657999999996</v>
      </c>
      <c r="O651" s="37">
        <v>1.0806459303996049E-3</v>
      </c>
      <c r="Q651">
        <f>VLOOKUP(Table3[[#This Row],[Census Tract]],'Population and Diversity Data'!$B$2:$K$823,10,FALSE)</f>
        <v>2</v>
      </c>
      <c r="R651" t="str">
        <f>VLOOKUP(Table3[[#This Row],[Census Tract]],'ES Energy Burden'!$B$2:$E$914,4,FALSE)</f>
        <v>No</v>
      </c>
    </row>
    <row r="652" spans="1:18" hidden="1" x14ac:dyDescent="0.25">
      <c r="A652" s="140">
        <v>9003466201</v>
      </c>
      <c r="B652" s="39" t="s">
        <v>2832</v>
      </c>
      <c r="C652" s="39" t="s">
        <v>944</v>
      </c>
      <c r="D652" s="41">
        <v>49398.020303040008</v>
      </c>
      <c r="E652" s="37">
        <v>4.3824153077246284E-4</v>
      </c>
      <c r="F652" s="41">
        <v>14239.196</v>
      </c>
      <c r="G652" s="37">
        <v>1.7421160902026127E-4</v>
      </c>
      <c r="H652" s="41">
        <v>49398.020303040008</v>
      </c>
      <c r="I652" s="37">
        <v>4.3824153077246284E-4</v>
      </c>
      <c r="J652" s="42">
        <v>14239.196</v>
      </c>
      <c r="K652" s="37">
        <v>1.7421160902026127E-4</v>
      </c>
      <c r="L652" s="38">
        <v>0</v>
      </c>
      <c r="M652" s="37">
        <v>0</v>
      </c>
      <c r="N652" s="42">
        <v>0</v>
      </c>
      <c r="O652" s="37">
        <v>0</v>
      </c>
      <c r="Q652">
        <f>VLOOKUP(Table3[[#This Row],[Census Tract]],'Population and Diversity Data'!$B$2:$K$823,10,FALSE)</f>
        <v>3</v>
      </c>
      <c r="R652" t="str">
        <f>VLOOKUP(Table3[[#This Row],[Census Tract]],'ES Energy Burden'!$B$2:$E$914,4,FALSE)</f>
        <v>No</v>
      </c>
    </row>
    <row r="653" spans="1:18" hidden="1" x14ac:dyDescent="0.25">
      <c r="A653" s="140">
        <v>9003466202</v>
      </c>
      <c r="B653" s="39" t="s">
        <v>2832</v>
      </c>
      <c r="C653" s="39" t="s">
        <v>944</v>
      </c>
      <c r="D653" s="41">
        <v>99425.036563200003</v>
      </c>
      <c r="E653" s="37">
        <v>8.8206328823026495E-4</v>
      </c>
      <c r="F653" s="41">
        <v>14061.6337</v>
      </c>
      <c r="G653" s="37">
        <v>1.7203919605647186E-4</v>
      </c>
      <c r="H653" s="41">
        <v>99425.036563200003</v>
      </c>
      <c r="I653" s="37">
        <v>8.8206328823026495E-4</v>
      </c>
      <c r="J653" s="42">
        <v>14061.6337</v>
      </c>
      <c r="K653" s="37">
        <v>1.7203919605647186E-4</v>
      </c>
      <c r="L653" s="38">
        <v>0</v>
      </c>
      <c r="M653" s="37">
        <v>0</v>
      </c>
      <c r="N653" s="42">
        <v>0</v>
      </c>
      <c r="O653" s="37">
        <v>0</v>
      </c>
      <c r="Q653">
        <f>VLOOKUP(Table3[[#This Row],[Census Tract]],'Population and Diversity Data'!$B$2:$K$823,10,FALSE)</f>
        <v>2</v>
      </c>
      <c r="R653" t="str">
        <f>VLOOKUP(Table3[[#This Row],[Census Tract]],'ES Energy Burden'!$B$2:$E$914,4,FALSE)</f>
        <v>No</v>
      </c>
    </row>
    <row r="654" spans="1:18" hidden="1" x14ac:dyDescent="0.25">
      <c r="A654" s="140">
        <v>9003466300</v>
      </c>
      <c r="B654" s="39" t="s">
        <v>2832</v>
      </c>
      <c r="C654" s="39" t="s">
        <v>944</v>
      </c>
      <c r="D654" s="41">
        <v>101449.18831391999</v>
      </c>
      <c r="E654" s="37">
        <v>9.000208370613604E-4</v>
      </c>
      <c r="F654" s="41">
        <v>41323.4208</v>
      </c>
      <c r="G654" s="37">
        <v>5.055776764214308E-4</v>
      </c>
      <c r="H654" s="41">
        <v>101449.18831391999</v>
      </c>
      <c r="I654" s="37">
        <v>9.000208370613604E-4</v>
      </c>
      <c r="J654" s="42">
        <v>41323.4208</v>
      </c>
      <c r="K654" s="37">
        <v>5.055776764214308E-4</v>
      </c>
      <c r="L654" s="38">
        <v>0</v>
      </c>
      <c r="M654" s="37">
        <v>0</v>
      </c>
      <c r="N654" s="42">
        <v>0</v>
      </c>
      <c r="O654" s="37">
        <v>0</v>
      </c>
      <c r="Q654">
        <f>VLOOKUP(Table3[[#This Row],[Census Tract]],'Population and Diversity Data'!$B$2:$K$823,10,FALSE)</f>
        <v>2</v>
      </c>
      <c r="R654" t="str">
        <f>VLOOKUP(Table3[[#This Row],[Census Tract]],'ES Energy Burden'!$B$2:$E$914,4,FALSE)</f>
        <v>No</v>
      </c>
    </row>
    <row r="655" spans="1:18" hidden="1" x14ac:dyDescent="0.25">
      <c r="A655" s="140">
        <v>9003466400</v>
      </c>
      <c r="B655" s="39" t="s">
        <v>2832</v>
      </c>
      <c r="C655" s="39" t="s">
        <v>944</v>
      </c>
      <c r="D655" s="41">
        <v>58695.277104000008</v>
      </c>
      <c r="E655" s="37">
        <v>5.2072346076565031E-4</v>
      </c>
      <c r="F655" s="41">
        <v>6847.7622000000001</v>
      </c>
      <c r="G655" s="37">
        <v>8.3779988073071277E-5</v>
      </c>
      <c r="H655" s="41">
        <v>58695.277104000008</v>
      </c>
      <c r="I655" s="37">
        <v>5.2072346076565031E-4</v>
      </c>
      <c r="J655" s="42">
        <v>6847.7622000000001</v>
      </c>
      <c r="K655" s="37">
        <v>8.3779988073071277E-5</v>
      </c>
      <c r="L655" s="38">
        <v>0</v>
      </c>
      <c r="M655" s="37">
        <v>0</v>
      </c>
      <c r="N655" s="42">
        <v>0</v>
      </c>
      <c r="O655" s="37">
        <v>0</v>
      </c>
      <c r="Q655">
        <f>VLOOKUP(Table3[[#This Row],[Census Tract]],'Population and Diversity Data'!$B$2:$K$823,10,FALSE)</f>
        <v>3</v>
      </c>
      <c r="R655" t="str">
        <f>VLOOKUP(Table3[[#This Row],[Census Tract]],'ES Energy Burden'!$B$2:$E$914,4,FALSE)</f>
        <v>No</v>
      </c>
    </row>
    <row r="656" spans="1:18" hidden="1" x14ac:dyDescent="0.25">
      <c r="A656" s="140">
        <v>9013538201</v>
      </c>
      <c r="B656" s="39" t="s">
        <v>2833</v>
      </c>
      <c r="C656" s="39" t="s">
        <v>944</v>
      </c>
      <c r="D656" s="41">
        <v>148145.13802368002</v>
      </c>
      <c r="E656" s="37">
        <v>1.314290566012822E-3</v>
      </c>
      <c r="F656" s="41">
        <v>83172.125400000004</v>
      </c>
      <c r="G656" s="37">
        <v>1.0175820173813847E-3</v>
      </c>
      <c r="H656" s="41">
        <v>114821.10560160001</v>
      </c>
      <c r="I656" s="37">
        <v>1.0186516944432099E-3</v>
      </c>
      <c r="J656" s="42">
        <v>69334.025399999999</v>
      </c>
      <c r="K656" s="37">
        <v>8.4827767837353067E-4</v>
      </c>
      <c r="L656" s="38">
        <v>33324.032422080003</v>
      </c>
      <c r="M656" s="37">
        <v>2.9563887156961182E-4</v>
      </c>
      <c r="N656" s="42">
        <v>13838.1</v>
      </c>
      <c r="O656" s="37">
        <v>1.6930433900785391E-4</v>
      </c>
      <c r="Q656">
        <f>VLOOKUP(Table3[[#This Row],[Census Tract]],'Population and Diversity Data'!$B$2:$K$823,10,FALSE)</f>
        <v>3</v>
      </c>
      <c r="R656" t="str">
        <f>VLOOKUP(Table3[[#This Row],[Census Tract]],'ES Energy Burden'!$B$2:$E$914,4,FALSE)</f>
        <v>No</v>
      </c>
    </row>
    <row r="657" spans="1:18" hidden="1" x14ac:dyDescent="0.25">
      <c r="A657" s="140">
        <v>9013538202</v>
      </c>
      <c r="B657" s="39" t="s">
        <v>2833</v>
      </c>
      <c r="C657" s="39" t="s">
        <v>944</v>
      </c>
      <c r="D657" s="41">
        <v>88279.68047040001</v>
      </c>
      <c r="E657" s="37">
        <v>7.8318568372002357E-4</v>
      </c>
      <c r="F657" s="41">
        <v>22506.682400000002</v>
      </c>
      <c r="G657" s="37">
        <v>2.7536142873600417E-4</v>
      </c>
      <c r="H657" s="41">
        <v>88279.68047040001</v>
      </c>
      <c r="I657" s="37">
        <v>7.8318568372002357E-4</v>
      </c>
      <c r="J657" s="42">
        <v>22506.682400000002</v>
      </c>
      <c r="K657" s="37">
        <v>2.7536142873600417E-4</v>
      </c>
      <c r="L657" s="38">
        <v>0</v>
      </c>
      <c r="M657" s="37">
        <v>0</v>
      </c>
      <c r="N657" s="42">
        <v>0</v>
      </c>
      <c r="O657" s="37">
        <v>0</v>
      </c>
      <c r="Q657">
        <f>VLOOKUP(Table3[[#This Row],[Census Tract]],'Population and Diversity Data'!$B$2:$K$823,10,FALSE)</f>
        <v>1</v>
      </c>
      <c r="R657" t="str">
        <f>VLOOKUP(Table3[[#This Row],[Census Tract]],'ES Energy Burden'!$B$2:$E$914,4,FALSE)</f>
        <v>No</v>
      </c>
    </row>
    <row r="658" spans="1:18" hidden="1" x14ac:dyDescent="0.25">
      <c r="A658" s="140">
        <v>9013890202</v>
      </c>
      <c r="B658" s="39" t="s">
        <v>2833</v>
      </c>
      <c r="C658" s="39" t="s">
        <v>944</v>
      </c>
      <c r="D658" s="41">
        <v>1114.67743488</v>
      </c>
      <c r="E658" s="37">
        <v>9.8890186769138749E-6</v>
      </c>
      <c r="F658" s="41">
        <v>0</v>
      </c>
      <c r="G658" s="37">
        <v>0</v>
      </c>
      <c r="H658" s="41">
        <v>1114.67743488</v>
      </c>
      <c r="I658" s="37">
        <v>9.8890186769138749E-6</v>
      </c>
      <c r="J658" s="42">
        <v>0</v>
      </c>
      <c r="K658" s="37">
        <v>0</v>
      </c>
      <c r="L658" s="38">
        <v>0</v>
      </c>
      <c r="M658" s="37">
        <v>0</v>
      </c>
      <c r="N658" s="42">
        <v>0</v>
      </c>
      <c r="O658" s="37">
        <v>0</v>
      </c>
      <c r="Q658">
        <f>VLOOKUP(Table3[[#This Row],[Census Tract]],'Population and Diversity Data'!$B$2:$K$823,10,FALSE)</f>
        <v>4</v>
      </c>
      <c r="R658" t="str">
        <f>VLOOKUP(Table3[[#This Row],[Census Tract]],'ES Energy Burden'!$B$2:$E$914,4,FALSE)</f>
        <v>No</v>
      </c>
    </row>
    <row r="659" spans="1:18" hidden="1" x14ac:dyDescent="0.25">
      <c r="A659" s="140">
        <v>9003484200</v>
      </c>
      <c r="B659" s="39" t="s">
        <v>2834</v>
      </c>
      <c r="C659" s="39" t="s">
        <v>944</v>
      </c>
      <c r="D659" s="41">
        <v>324.70536960000004</v>
      </c>
      <c r="E659" s="37">
        <v>2.8806696574191472E-6</v>
      </c>
      <c r="F659" s="41">
        <v>0</v>
      </c>
      <c r="G659" s="37">
        <v>0</v>
      </c>
      <c r="H659" s="41">
        <v>324.70536960000004</v>
      </c>
      <c r="I659" s="37">
        <v>2.8806696574191472E-6</v>
      </c>
      <c r="J659" s="42">
        <v>0</v>
      </c>
      <c r="K659" s="37">
        <v>0</v>
      </c>
      <c r="L659" s="38">
        <v>0</v>
      </c>
      <c r="M659" s="37">
        <v>0</v>
      </c>
      <c r="N659" s="42">
        <v>0</v>
      </c>
      <c r="O659" s="37">
        <v>0</v>
      </c>
      <c r="Q659">
        <f>VLOOKUP(Table3[[#This Row],[Census Tract]],'Population and Diversity Data'!$B$2:$K$823,10,FALSE)</f>
        <v>3</v>
      </c>
      <c r="R659" t="str">
        <f>VLOOKUP(Table3[[#This Row],[Census Tract]],'ES Energy Burden'!$B$2:$E$914,4,FALSE)</f>
        <v>No</v>
      </c>
    </row>
    <row r="660" spans="1:18" hidden="1" x14ac:dyDescent="0.25">
      <c r="A660" s="140">
        <v>9003487100</v>
      </c>
      <c r="B660" s="39" t="s">
        <v>2834</v>
      </c>
      <c r="C660" s="39" t="s">
        <v>944</v>
      </c>
      <c r="D660" s="41">
        <v>120748.35112128001</v>
      </c>
      <c r="E660" s="37">
        <v>1.0712360922363526E-3</v>
      </c>
      <c r="F660" s="41">
        <v>22797.2932</v>
      </c>
      <c r="G660" s="37">
        <v>2.7891695076594643E-4</v>
      </c>
      <c r="H660" s="41">
        <v>120748.35112128001</v>
      </c>
      <c r="I660" s="37">
        <v>1.0712360922363526E-3</v>
      </c>
      <c r="J660" s="42">
        <v>22797.2932</v>
      </c>
      <c r="K660" s="37">
        <v>2.7891695076594643E-4</v>
      </c>
      <c r="L660" s="38">
        <v>0</v>
      </c>
      <c r="M660" s="37">
        <v>0</v>
      </c>
      <c r="N660" s="42">
        <v>0</v>
      </c>
      <c r="O660" s="37">
        <v>0</v>
      </c>
      <c r="Q660">
        <f>VLOOKUP(Table3[[#This Row],[Census Tract]],'Population and Diversity Data'!$B$2:$K$823,10,FALSE)</f>
        <v>3</v>
      </c>
      <c r="R660" t="str">
        <f>VLOOKUP(Table3[[#This Row],[Census Tract]],'ES Energy Burden'!$B$2:$E$914,4,FALSE)</f>
        <v>No</v>
      </c>
    </row>
    <row r="661" spans="1:18" hidden="1" x14ac:dyDescent="0.25">
      <c r="A661" s="140">
        <v>9003487201</v>
      </c>
      <c r="B661" s="39" t="s">
        <v>2834</v>
      </c>
      <c r="C661" s="39" t="s">
        <v>944</v>
      </c>
      <c r="D661" s="41">
        <v>79853.237484479992</v>
      </c>
      <c r="E661" s="37">
        <v>7.0842930177470874E-4</v>
      </c>
      <c r="F661" s="41">
        <v>21358.700199999999</v>
      </c>
      <c r="G661" s="37">
        <v>2.6131626592002639E-4</v>
      </c>
      <c r="H661" s="41">
        <v>79853.237484479992</v>
      </c>
      <c r="I661" s="37">
        <v>7.0842930177470874E-4</v>
      </c>
      <c r="J661" s="42">
        <v>21358.700199999999</v>
      </c>
      <c r="K661" s="37">
        <v>2.6131626592002639E-4</v>
      </c>
      <c r="L661" s="38">
        <v>0</v>
      </c>
      <c r="M661" s="37">
        <v>0</v>
      </c>
      <c r="N661" s="42">
        <v>0</v>
      </c>
      <c r="O661" s="37">
        <v>0</v>
      </c>
      <c r="Q661">
        <f>VLOOKUP(Table3[[#This Row],[Census Tract]],'Population and Diversity Data'!$B$2:$K$823,10,FALSE)</f>
        <v>4</v>
      </c>
      <c r="R661" t="str">
        <f>VLOOKUP(Table3[[#This Row],[Census Tract]],'ES Energy Burden'!$B$2:$E$914,4,FALSE)</f>
        <v>No</v>
      </c>
    </row>
    <row r="662" spans="1:18" hidden="1" x14ac:dyDescent="0.25">
      <c r="A662" s="140">
        <v>9003487202</v>
      </c>
      <c r="B662" s="39" t="s">
        <v>2834</v>
      </c>
      <c r="C662" s="39" t="s">
        <v>944</v>
      </c>
      <c r="D662" s="41">
        <v>60291.457660800006</v>
      </c>
      <c r="E662" s="37">
        <v>5.3488420255874247E-4</v>
      </c>
      <c r="F662" s="41">
        <v>11518.674999999999</v>
      </c>
      <c r="G662" s="37">
        <v>1.4092698109720926E-4</v>
      </c>
      <c r="H662" s="41">
        <v>60291.457660800006</v>
      </c>
      <c r="I662" s="37">
        <v>5.3488420255874247E-4</v>
      </c>
      <c r="J662" s="42">
        <v>11518.674999999999</v>
      </c>
      <c r="K662" s="37">
        <v>1.4092698109720926E-4</v>
      </c>
      <c r="L662" s="38">
        <v>0</v>
      </c>
      <c r="M662" s="37">
        <v>0</v>
      </c>
      <c r="N662" s="42">
        <v>0</v>
      </c>
      <c r="O662" s="37">
        <v>0</v>
      </c>
      <c r="Q662">
        <f>VLOOKUP(Table3[[#This Row],[Census Tract]],'Population and Diversity Data'!$B$2:$K$823,10,FALSE)</f>
        <v>4</v>
      </c>
      <c r="R662" t="str">
        <f>VLOOKUP(Table3[[#This Row],[Census Tract]],'ES Energy Burden'!$B$2:$E$914,4,FALSE)</f>
        <v>No</v>
      </c>
    </row>
    <row r="663" spans="1:18" hidden="1" x14ac:dyDescent="0.25">
      <c r="A663" s="140">
        <v>9003487300</v>
      </c>
      <c r="B663" s="39" t="s">
        <v>2834</v>
      </c>
      <c r="C663" s="39" t="s">
        <v>944</v>
      </c>
      <c r="D663" s="41">
        <v>30797.602703999997</v>
      </c>
      <c r="E663" s="37">
        <v>2.7322529263976381E-4</v>
      </c>
      <c r="F663" s="41">
        <v>14270.43</v>
      </c>
      <c r="G663" s="37">
        <v>1.7459374614346254E-4</v>
      </c>
      <c r="H663" s="41">
        <v>30797.602703999997</v>
      </c>
      <c r="I663" s="37">
        <v>2.7322529263976381E-4</v>
      </c>
      <c r="J663" s="42">
        <v>14270.43</v>
      </c>
      <c r="K663" s="37">
        <v>1.7459374614346254E-4</v>
      </c>
      <c r="L663" s="38">
        <v>0</v>
      </c>
      <c r="M663" s="37">
        <v>0</v>
      </c>
      <c r="N663" s="42">
        <v>0</v>
      </c>
      <c r="O663" s="37">
        <v>0</v>
      </c>
      <c r="Q663">
        <f>VLOOKUP(Table3[[#This Row],[Census Tract]],'Population and Diversity Data'!$B$2:$K$823,10,FALSE)</f>
        <v>3</v>
      </c>
      <c r="R663" t="str">
        <f>VLOOKUP(Table3[[#This Row],[Census Tract]],'ES Energy Burden'!$B$2:$E$914,4,FALSE)</f>
        <v>No</v>
      </c>
    </row>
    <row r="664" spans="1:18" hidden="1" x14ac:dyDescent="0.25">
      <c r="A664" s="140">
        <v>9003487400</v>
      </c>
      <c r="B664" s="39" t="s">
        <v>2834</v>
      </c>
      <c r="C664" s="39" t="s">
        <v>944</v>
      </c>
      <c r="D664" s="41">
        <v>34129.392854400001</v>
      </c>
      <c r="E664" s="37">
        <v>3.0278374066595027E-4</v>
      </c>
      <c r="F664" s="41">
        <v>5484.4790000000003</v>
      </c>
      <c r="G664" s="37">
        <v>6.7100692428690047E-5</v>
      </c>
      <c r="H664" s="41">
        <v>34129.392854400001</v>
      </c>
      <c r="I664" s="37">
        <v>3.0278374066595027E-4</v>
      </c>
      <c r="J664" s="42">
        <v>5484.4790000000003</v>
      </c>
      <c r="K664" s="37">
        <v>6.7100692428690047E-5</v>
      </c>
      <c r="L664" s="38">
        <v>0</v>
      </c>
      <c r="M664" s="37">
        <v>0</v>
      </c>
      <c r="N664" s="42">
        <v>0</v>
      </c>
      <c r="O664" s="37">
        <v>0</v>
      </c>
      <c r="Q664">
        <f>VLOOKUP(Table3[[#This Row],[Census Tract]],'Population and Diversity Data'!$B$2:$K$823,10,FALSE)</f>
        <v>3</v>
      </c>
      <c r="R664" t="str">
        <f>VLOOKUP(Table3[[#This Row],[Census Tract]],'ES Energy Burden'!$B$2:$E$914,4,FALSE)</f>
        <v>No</v>
      </c>
    </row>
    <row r="665" spans="1:18" hidden="1" x14ac:dyDescent="0.25">
      <c r="A665" s="140">
        <v>9003487500</v>
      </c>
      <c r="B665" s="39" t="s">
        <v>2834</v>
      </c>
      <c r="C665" s="39" t="s">
        <v>944</v>
      </c>
      <c r="D665" s="41">
        <v>353530.29572063999</v>
      </c>
      <c r="E665" s="37">
        <v>3.1363940704627808E-3</v>
      </c>
      <c r="F665" s="41">
        <v>314002.65950000001</v>
      </c>
      <c r="G665" s="37">
        <v>3.8417132925297349E-3</v>
      </c>
      <c r="H665" s="41">
        <v>141313.93954559998</v>
      </c>
      <c r="I665" s="37">
        <v>1.2536866215697268E-3</v>
      </c>
      <c r="J665" s="42">
        <v>233869.0295</v>
      </c>
      <c r="K665" s="37">
        <v>2.8613062092271188E-3</v>
      </c>
      <c r="L665" s="38">
        <v>212216.35617504001</v>
      </c>
      <c r="M665" s="37">
        <v>1.8827074488930538E-3</v>
      </c>
      <c r="N665" s="42">
        <v>80133.63</v>
      </c>
      <c r="O665" s="37">
        <v>9.804070833026163E-4</v>
      </c>
      <c r="Q665">
        <f>VLOOKUP(Table3[[#This Row],[Census Tract]],'Population and Diversity Data'!$B$2:$K$823,10,FALSE)</f>
        <v>5</v>
      </c>
      <c r="R665" t="str">
        <f>VLOOKUP(Table3[[#This Row],[Census Tract]],'ES Energy Burden'!$B$2:$E$914,4,FALSE)</f>
        <v>No</v>
      </c>
    </row>
    <row r="666" spans="1:18" hidden="1" x14ac:dyDescent="0.25">
      <c r="A666" s="140">
        <v>9003514102</v>
      </c>
      <c r="B666" s="39" t="s">
        <v>2834</v>
      </c>
      <c r="C666" s="39" t="s">
        <v>944</v>
      </c>
      <c r="D666" s="41">
        <v>361.9910304</v>
      </c>
      <c r="E666" s="37">
        <v>3.2114546760213846E-6</v>
      </c>
      <c r="F666" s="41">
        <v>0</v>
      </c>
      <c r="G666" s="37">
        <v>0</v>
      </c>
      <c r="H666" s="41">
        <v>361.9910304</v>
      </c>
      <c r="I666" s="37">
        <v>3.2114546760213846E-6</v>
      </c>
      <c r="J666" s="42">
        <v>0</v>
      </c>
      <c r="K666" s="37">
        <v>0</v>
      </c>
      <c r="L666" s="38">
        <v>0</v>
      </c>
      <c r="M666" s="37">
        <v>0</v>
      </c>
      <c r="N666" s="42">
        <v>0</v>
      </c>
      <c r="O666" s="37">
        <v>0</v>
      </c>
      <c r="Q666">
        <f>VLOOKUP(Table3[[#This Row],[Census Tract]],'Population and Diversity Data'!$B$2:$K$823,10,FALSE)</f>
        <v>5</v>
      </c>
      <c r="R666" t="str">
        <f>VLOOKUP(Table3[[#This Row],[Census Tract]],'ES Energy Burden'!$B$2:$E$914,4,FALSE)</f>
        <v>No</v>
      </c>
    </row>
    <row r="667" spans="1:18" hidden="1" x14ac:dyDescent="0.25">
      <c r="A667" s="140">
        <v>9013530301</v>
      </c>
      <c r="B667" s="39" t="s">
        <v>2834</v>
      </c>
      <c r="C667" s="39" t="s">
        <v>944</v>
      </c>
      <c r="D667" s="41">
        <v>170.42227200000002</v>
      </c>
      <c r="E667" s="37">
        <v>1.5119253140273069E-6</v>
      </c>
      <c r="F667" s="41">
        <v>0</v>
      </c>
      <c r="G667" s="37">
        <v>0</v>
      </c>
      <c r="H667" s="41">
        <v>170.42227200000002</v>
      </c>
      <c r="I667" s="37">
        <v>1.5119253140273069E-6</v>
      </c>
      <c r="J667" s="42">
        <v>0</v>
      </c>
      <c r="K667" s="37">
        <v>0</v>
      </c>
      <c r="L667" s="38">
        <v>0</v>
      </c>
      <c r="M667" s="37">
        <v>0</v>
      </c>
      <c r="N667" s="42">
        <v>0</v>
      </c>
      <c r="O667" s="37">
        <v>0</v>
      </c>
      <c r="Q667">
        <f>VLOOKUP(Table3[[#This Row],[Census Tract]],'Population and Diversity Data'!$B$2:$K$823,10,FALSE)</f>
        <v>2</v>
      </c>
      <c r="R667" t="str">
        <f>VLOOKUP(Table3[[#This Row],[Census Tract]],'ES Energy Burden'!$B$2:$E$914,4,FALSE)</f>
        <v>No</v>
      </c>
    </row>
    <row r="668" spans="1:18" hidden="1" x14ac:dyDescent="0.25">
      <c r="A668" s="140">
        <v>9009346102</v>
      </c>
      <c r="B668" s="39" t="s">
        <v>2835</v>
      </c>
      <c r="C668" s="39" t="s">
        <v>944</v>
      </c>
      <c r="D668" s="41">
        <v>418.067136</v>
      </c>
      <c r="E668" s="37">
        <v>3.7089417859732367E-6</v>
      </c>
      <c r="F668" s="41">
        <v>3108.15</v>
      </c>
      <c r="G668" s="37">
        <v>3.802713387583998E-5</v>
      </c>
      <c r="H668" s="41">
        <v>418.067136</v>
      </c>
      <c r="I668" s="37">
        <v>3.7089417859732367E-6</v>
      </c>
      <c r="J668" s="42">
        <v>3108.15</v>
      </c>
      <c r="K668" s="37">
        <v>3.802713387583998E-5</v>
      </c>
      <c r="L668" s="38">
        <v>0</v>
      </c>
      <c r="M668" s="37">
        <v>0</v>
      </c>
      <c r="N668" s="42">
        <v>0</v>
      </c>
      <c r="O668" s="37">
        <v>0</v>
      </c>
      <c r="Q668">
        <f>VLOOKUP(Table3[[#This Row],[Census Tract]],'Population and Diversity Data'!$B$2:$K$823,10,FALSE)</f>
        <v>2</v>
      </c>
      <c r="R668" t="str">
        <f>VLOOKUP(Table3[[#This Row],[Census Tract]],'ES Energy Burden'!$B$2:$E$914,4,FALSE)</f>
        <v>No</v>
      </c>
    </row>
    <row r="669" spans="1:18" hidden="1" x14ac:dyDescent="0.25">
      <c r="A669" s="140">
        <v>9009348111</v>
      </c>
      <c r="B669" s="39" t="s">
        <v>2835</v>
      </c>
      <c r="C669" s="39" t="s">
        <v>944</v>
      </c>
      <c r="D669" s="41">
        <v>50319.654572159998</v>
      </c>
      <c r="E669" s="37">
        <v>4.4641793967374523E-4</v>
      </c>
      <c r="F669" s="41">
        <v>14313.4704</v>
      </c>
      <c r="G669" s="37">
        <v>1.7512033046303196E-4</v>
      </c>
      <c r="H669" s="41">
        <v>50315.399804159999</v>
      </c>
      <c r="I669" s="37">
        <v>4.4638019289705333E-4</v>
      </c>
      <c r="J669" s="42">
        <v>14313.4704</v>
      </c>
      <c r="K669" s="37">
        <v>1.7512033046303196E-4</v>
      </c>
      <c r="L669" s="38">
        <v>4.2547680000000003</v>
      </c>
      <c r="M669" s="37">
        <v>3.7746776691918155E-8</v>
      </c>
      <c r="N669" s="42">
        <v>0</v>
      </c>
      <c r="O669" s="37">
        <v>0</v>
      </c>
      <c r="Q669">
        <f>VLOOKUP(Table3[[#This Row],[Census Tract]],'Population and Diversity Data'!$B$2:$K$823,10,FALSE)</f>
        <v>2</v>
      </c>
      <c r="R669" t="str">
        <f>VLOOKUP(Table3[[#This Row],[Census Tract]],'ES Energy Burden'!$B$2:$E$914,4,FALSE)</f>
        <v>No</v>
      </c>
    </row>
    <row r="670" spans="1:18" hidden="1" x14ac:dyDescent="0.25">
      <c r="A670" s="140">
        <v>9009348122</v>
      </c>
      <c r="B670" s="39" t="s">
        <v>2835</v>
      </c>
      <c r="C670" s="39" t="s">
        <v>944</v>
      </c>
      <c r="D670" s="41">
        <v>93121.412529599998</v>
      </c>
      <c r="E670" s="37">
        <v>8.2613979516410767E-4</v>
      </c>
      <c r="F670" s="41">
        <v>28005.930799999998</v>
      </c>
      <c r="G670" s="37">
        <v>3.4264281963518816E-4</v>
      </c>
      <c r="H670" s="41">
        <v>93121.412529599998</v>
      </c>
      <c r="I670" s="37">
        <v>8.2613979516410767E-4</v>
      </c>
      <c r="J670" s="42">
        <v>28005.930799999998</v>
      </c>
      <c r="K670" s="37">
        <v>3.4264281963518816E-4</v>
      </c>
      <c r="L670" s="38">
        <v>0</v>
      </c>
      <c r="M670" s="37">
        <v>0</v>
      </c>
      <c r="N670" s="42">
        <v>0</v>
      </c>
      <c r="O670" s="37">
        <v>0</v>
      </c>
      <c r="Q670">
        <f>VLOOKUP(Table3[[#This Row],[Census Tract]],'Population and Diversity Data'!$B$2:$K$823,10,FALSE)</f>
        <v>1</v>
      </c>
      <c r="R670" t="str">
        <f>VLOOKUP(Table3[[#This Row],[Census Tract]],'ES Energy Burden'!$B$2:$E$914,4,FALSE)</f>
        <v>No</v>
      </c>
    </row>
    <row r="671" spans="1:18" hidden="1" x14ac:dyDescent="0.25">
      <c r="A671" s="140">
        <v>9009348123</v>
      </c>
      <c r="B671" s="39" t="s">
        <v>2835</v>
      </c>
      <c r="C671" s="39" t="s">
        <v>944</v>
      </c>
      <c r="D671" s="41">
        <v>126459.8903232</v>
      </c>
      <c r="E671" s="37">
        <v>1.1219068208923005E-3</v>
      </c>
      <c r="F671" s="41">
        <v>17211.9856</v>
      </c>
      <c r="G671" s="37">
        <v>2.1058265549610858E-4</v>
      </c>
      <c r="H671" s="41">
        <v>126415.91280960001</v>
      </c>
      <c r="I671" s="37">
        <v>1.1215166681541665E-3</v>
      </c>
      <c r="J671" s="42">
        <v>17211.9856</v>
      </c>
      <c r="K671" s="37">
        <v>2.1058265549610858E-4</v>
      </c>
      <c r="L671" s="38">
        <v>43.977513600000002</v>
      </c>
      <c r="M671" s="37">
        <v>3.9015273813401662E-7</v>
      </c>
      <c r="N671" s="42">
        <v>0</v>
      </c>
      <c r="O671" s="37">
        <v>0</v>
      </c>
      <c r="Q671">
        <f>VLOOKUP(Table3[[#This Row],[Census Tract]],'Population and Diversity Data'!$B$2:$K$823,10,FALSE)</f>
        <v>3</v>
      </c>
      <c r="R671" t="str">
        <f>VLOOKUP(Table3[[#This Row],[Census Tract]],'ES Energy Burden'!$B$2:$E$914,4,FALSE)</f>
        <v>No</v>
      </c>
    </row>
    <row r="672" spans="1:18" hidden="1" x14ac:dyDescent="0.25">
      <c r="A672" s="140">
        <v>9009348124</v>
      </c>
      <c r="B672" s="39" t="s">
        <v>2835</v>
      </c>
      <c r="C672" s="39" t="s">
        <v>944</v>
      </c>
      <c r="D672" s="41">
        <v>139376.27825568002</v>
      </c>
      <c r="E672" s="37">
        <v>1.2364963851067322E-3</v>
      </c>
      <c r="F672" s="41">
        <v>20548.512500000001</v>
      </c>
      <c r="G672" s="37">
        <v>2.5140390128754121E-4</v>
      </c>
      <c r="H672" s="41">
        <v>139376.27825568002</v>
      </c>
      <c r="I672" s="37">
        <v>1.2364963851067322E-3</v>
      </c>
      <c r="J672" s="42">
        <v>20548.512500000001</v>
      </c>
      <c r="K672" s="37">
        <v>2.5140390128754121E-4</v>
      </c>
      <c r="L672" s="38">
        <v>0</v>
      </c>
      <c r="M672" s="37">
        <v>0</v>
      </c>
      <c r="N672" s="42">
        <v>0</v>
      </c>
      <c r="O672" s="37">
        <v>0</v>
      </c>
      <c r="Q672">
        <f>VLOOKUP(Table3[[#This Row],[Census Tract]],'Population and Diversity Data'!$B$2:$K$823,10,FALSE)</f>
        <v>2</v>
      </c>
      <c r="R672" t="str">
        <f>VLOOKUP(Table3[[#This Row],[Census Tract]],'ES Energy Burden'!$B$2:$E$914,4,FALSE)</f>
        <v>No</v>
      </c>
    </row>
    <row r="673" spans="1:18" hidden="1" x14ac:dyDescent="0.25">
      <c r="A673" s="140">
        <v>9009348125</v>
      </c>
      <c r="B673" s="39" t="s">
        <v>2835</v>
      </c>
      <c r="C673" s="39" t="s">
        <v>944</v>
      </c>
      <c r="D673" s="41">
        <v>292580.02630944003</v>
      </c>
      <c r="E673" s="37">
        <v>2.5956651261873666E-3</v>
      </c>
      <c r="F673" s="41">
        <v>232556.77870000002</v>
      </c>
      <c r="G673" s="37">
        <v>2.8452512772417647E-3</v>
      </c>
      <c r="H673" s="41">
        <v>157866.03368063999</v>
      </c>
      <c r="I673" s="37">
        <v>1.4005308680947932E-3</v>
      </c>
      <c r="J673" s="42">
        <v>162406.00870000001</v>
      </c>
      <c r="K673" s="37">
        <v>1.9869810128454973E-3</v>
      </c>
      <c r="L673" s="38">
        <v>134713.99262880001</v>
      </c>
      <c r="M673" s="37">
        <v>1.1951342580925734E-3</v>
      </c>
      <c r="N673" s="42">
        <v>70150.77</v>
      </c>
      <c r="O673" s="37">
        <v>8.5827026439626753E-4</v>
      </c>
      <c r="Q673">
        <f>VLOOKUP(Table3[[#This Row],[Census Tract]],'Population and Diversity Data'!$B$2:$K$823,10,FALSE)</f>
        <v>1</v>
      </c>
      <c r="R673" t="str">
        <f>VLOOKUP(Table3[[#This Row],[Census Tract]],'ES Energy Burden'!$B$2:$E$914,4,FALSE)</f>
        <v>No</v>
      </c>
    </row>
    <row r="674" spans="1:18" hidden="1" x14ac:dyDescent="0.25">
      <c r="A674" s="140">
        <v>9003430100</v>
      </c>
      <c r="B674" s="39" t="s">
        <v>2836</v>
      </c>
      <c r="C674" s="39" t="s">
        <v>944</v>
      </c>
      <c r="D674" s="41">
        <v>65457.047030400005</v>
      </c>
      <c r="E674" s="37">
        <v>5.8071145998298684E-4</v>
      </c>
      <c r="F674" s="41">
        <v>15117.22</v>
      </c>
      <c r="G674" s="37">
        <v>1.8495392718193316E-4</v>
      </c>
      <c r="H674" s="41">
        <v>65457.047030400005</v>
      </c>
      <c r="I674" s="37">
        <v>5.8071145998298684E-4</v>
      </c>
      <c r="J674" s="42">
        <v>15117.22</v>
      </c>
      <c r="K674" s="37">
        <v>1.8495392718193316E-4</v>
      </c>
      <c r="L674" s="38">
        <v>0</v>
      </c>
      <c r="M674" s="37">
        <v>0</v>
      </c>
      <c r="N674" s="42">
        <v>0</v>
      </c>
      <c r="O674" s="37">
        <v>0</v>
      </c>
      <c r="Q674">
        <f>VLOOKUP(Table3[[#This Row],[Census Tract]],'Population and Diversity Data'!$B$2:$K$823,10,FALSE)</f>
        <v>3</v>
      </c>
      <c r="R674" t="str">
        <f>VLOOKUP(Table3[[#This Row],[Census Tract]],'ES Energy Burden'!$B$2:$E$914,4,FALSE)</f>
        <v>No</v>
      </c>
    </row>
    <row r="675" spans="1:18" hidden="1" x14ac:dyDescent="0.25">
      <c r="A675" s="140">
        <v>9003430201</v>
      </c>
      <c r="B675" s="39" t="s">
        <v>2836</v>
      </c>
      <c r="C675" s="39" t="s">
        <v>944</v>
      </c>
      <c r="D675" s="41">
        <v>64134.59972256</v>
      </c>
      <c r="E675" s="37">
        <v>5.6897918146254459E-4</v>
      </c>
      <c r="F675" s="41">
        <v>15521.53</v>
      </c>
      <c r="G675" s="37">
        <v>1.8990051936613949E-4</v>
      </c>
      <c r="H675" s="41">
        <v>64134.59972256</v>
      </c>
      <c r="I675" s="37">
        <v>5.6897918146254459E-4</v>
      </c>
      <c r="J675" s="42">
        <v>15521.53</v>
      </c>
      <c r="K675" s="37">
        <v>1.8990051936613949E-4</v>
      </c>
      <c r="L675" s="38">
        <v>0</v>
      </c>
      <c r="M675" s="37">
        <v>0</v>
      </c>
      <c r="N675" s="42">
        <v>0</v>
      </c>
      <c r="O675" s="37">
        <v>0</v>
      </c>
      <c r="Q675">
        <f>VLOOKUP(Table3[[#This Row],[Census Tract]],'Population and Diversity Data'!$B$2:$K$823,10,FALSE)</f>
        <v>2</v>
      </c>
      <c r="R675" t="str">
        <f>VLOOKUP(Table3[[#This Row],[Census Tract]],'ES Energy Burden'!$B$2:$E$914,4,FALSE)</f>
        <v>No</v>
      </c>
    </row>
    <row r="676" spans="1:18" hidden="1" x14ac:dyDescent="0.25">
      <c r="A676" s="140">
        <v>9003430202</v>
      </c>
      <c r="B676" s="39" t="s">
        <v>2836</v>
      </c>
      <c r="C676" s="39" t="s">
        <v>944</v>
      </c>
      <c r="D676" s="41">
        <v>98483.855832000001</v>
      </c>
      <c r="E676" s="37">
        <v>8.7371347012329818E-4</v>
      </c>
      <c r="F676" s="41">
        <v>11144.9805</v>
      </c>
      <c r="G676" s="37">
        <v>1.3635495890389006E-4</v>
      </c>
      <c r="H676" s="41">
        <v>98483.855832000001</v>
      </c>
      <c r="I676" s="37">
        <v>8.7371347012329818E-4</v>
      </c>
      <c r="J676" s="42">
        <v>11144.9805</v>
      </c>
      <c r="K676" s="37">
        <v>1.3635495890389006E-4</v>
      </c>
      <c r="L676" s="38">
        <v>0</v>
      </c>
      <c r="M676" s="37">
        <v>0</v>
      </c>
      <c r="N676" s="42">
        <v>0</v>
      </c>
      <c r="O676" s="37">
        <v>0</v>
      </c>
      <c r="Q676">
        <f>VLOOKUP(Table3[[#This Row],[Census Tract]],'Population and Diversity Data'!$B$2:$K$823,10,FALSE)</f>
        <v>2</v>
      </c>
      <c r="R676" t="str">
        <f>VLOOKUP(Table3[[#This Row],[Census Tract]],'ES Energy Burden'!$B$2:$E$914,4,FALSE)</f>
        <v>No</v>
      </c>
    </row>
    <row r="677" spans="1:18" hidden="1" x14ac:dyDescent="0.25">
      <c r="A677" s="140">
        <v>9003430203</v>
      </c>
      <c r="B677" s="39" t="s">
        <v>2836</v>
      </c>
      <c r="C677" s="39" t="s">
        <v>944</v>
      </c>
      <c r="D677" s="41">
        <v>75692.323877759991</v>
      </c>
      <c r="E677" s="37">
        <v>6.7151516762045552E-4</v>
      </c>
      <c r="F677" s="41">
        <v>10154.0301</v>
      </c>
      <c r="G677" s="37">
        <v>1.2423102552708485E-4</v>
      </c>
      <c r="H677" s="41">
        <v>75692.323877759991</v>
      </c>
      <c r="I677" s="37">
        <v>6.7151516762045552E-4</v>
      </c>
      <c r="J677" s="42">
        <v>10154.0301</v>
      </c>
      <c r="K677" s="37">
        <v>1.2423102552708485E-4</v>
      </c>
      <c r="L677" s="38">
        <v>0</v>
      </c>
      <c r="M677" s="37">
        <v>0</v>
      </c>
      <c r="N677" s="42">
        <v>0</v>
      </c>
      <c r="O677" s="37">
        <v>0</v>
      </c>
      <c r="Q677">
        <f>VLOOKUP(Table3[[#This Row],[Census Tract]],'Population and Diversity Data'!$B$2:$K$823,10,FALSE)</f>
        <v>2</v>
      </c>
      <c r="R677" t="str">
        <f>VLOOKUP(Table3[[#This Row],[Census Tract]],'ES Energy Burden'!$B$2:$E$914,4,FALSE)</f>
        <v>No</v>
      </c>
    </row>
    <row r="678" spans="1:18" hidden="1" x14ac:dyDescent="0.25">
      <c r="A678" s="140">
        <v>9003430301</v>
      </c>
      <c r="B678" s="39" t="s">
        <v>2836</v>
      </c>
      <c r="C678" s="39" t="s">
        <v>944</v>
      </c>
      <c r="D678" s="41">
        <v>75158.816492159996</v>
      </c>
      <c r="E678" s="37">
        <v>6.6678208131640043E-4</v>
      </c>
      <c r="F678" s="41">
        <v>47875.1031</v>
      </c>
      <c r="G678" s="37">
        <v>5.8573522992884559E-4</v>
      </c>
      <c r="H678" s="41">
        <v>75158.816492159996</v>
      </c>
      <c r="I678" s="37">
        <v>6.6678208131640043E-4</v>
      </c>
      <c r="J678" s="42">
        <v>47875.1031</v>
      </c>
      <c r="K678" s="37">
        <v>5.8573522992884559E-4</v>
      </c>
      <c r="L678" s="38">
        <v>0</v>
      </c>
      <c r="M678" s="37">
        <v>0</v>
      </c>
      <c r="N678" s="42">
        <v>0</v>
      </c>
      <c r="O678" s="37">
        <v>0</v>
      </c>
      <c r="Q678">
        <f>VLOOKUP(Table3[[#This Row],[Census Tract]],'Population and Diversity Data'!$B$2:$K$823,10,FALSE)</f>
        <v>1</v>
      </c>
      <c r="R678" t="str">
        <f>VLOOKUP(Table3[[#This Row],[Census Tract]],'ES Energy Burden'!$B$2:$E$914,4,FALSE)</f>
        <v>No</v>
      </c>
    </row>
    <row r="679" spans="1:18" hidden="1" x14ac:dyDescent="0.25">
      <c r="A679" s="140">
        <v>9003430302</v>
      </c>
      <c r="B679" s="39" t="s">
        <v>2836</v>
      </c>
      <c r="C679" s="39" t="s">
        <v>944</v>
      </c>
      <c r="D679" s="41">
        <v>52046.875036800004</v>
      </c>
      <c r="E679" s="37">
        <v>4.61741220561558E-4</v>
      </c>
      <c r="F679" s="41">
        <v>11547.05</v>
      </c>
      <c r="G679" s="37">
        <v>1.4127413935010149E-4</v>
      </c>
      <c r="H679" s="41">
        <v>52046.875036800004</v>
      </c>
      <c r="I679" s="37">
        <v>4.61741220561558E-4</v>
      </c>
      <c r="J679" s="42">
        <v>11547.05</v>
      </c>
      <c r="K679" s="37">
        <v>1.4127413935010149E-4</v>
      </c>
      <c r="L679" s="38">
        <v>0</v>
      </c>
      <c r="M679" s="37">
        <v>0</v>
      </c>
      <c r="N679" s="42">
        <v>0</v>
      </c>
      <c r="O679" s="37">
        <v>0</v>
      </c>
      <c r="Q679">
        <f>VLOOKUP(Table3[[#This Row],[Census Tract]],'Population and Diversity Data'!$B$2:$K$823,10,FALSE)</f>
        <v>1</v>
      </c>
      <c r="R679" t="str">
        <f>VLOOKUP(Table3[[#This Row],[Census Tract]],'ES Energy Burden'!$B$2:$E$914,4,FALSE)</f>
        <v>No</v>
      </c>
    </row>
    <row r="680" spans="1:18" hidden="1" x14ac:dyDescent="0.25">
      <c r="A680" s="140">
        <v>9003430400</v>
      </c>
      <c r="B680" s="39" t="s">
        <v>2836</v>
      </c>
      <c r="C680" s="39" t="s">
        <v>944</v>
      </c>
      <c r="D680" s="41">
        <v>88148.191930559988</v>
      </c>
      <c r="E680" s="37">
        <v>7.8201916452299853E-4</v>
      </c>
      <c r="F680" s="41">
        <v>81530.634699999995</v>
      </c>
      <c r="G680" s="37">
        <v>9.9749894976725842E-4</v>
      </c>
      <c r="H680" s="41">
        <v>88148.191930559988</v>
      </c>
      <c r="I680" s="37">
        <v>7.8201916452299853E-4</v>
      </c>
      <c r="J680" s="42">
        <v>81530.634699999995</v>
      </c>
      <c r="K680" s="37">
        <v>9.9749894976725842E-4</v>
      </c>
      <c r="L680" s="38">
        <v>0</v>
      </c>
      <c r="M680" s="37">
        <v>0</v>
      </c>
      <c r="N680" s="42">
        <v>0</v>
      </c>
      <c r="O680" s="37">
        <v>0</v>
      </c>
      <c r="Q680">
        <f>VLOOKUP(Table3[[#This Row],[Census Tract]],'Population and Diversity Data'!$B$2:$K$823,10,FALSE)</f>
        <v>1</v>
      </c>
      <c r="R680" t="str">
        <f>VLOOKUP(Table3[[#This Row],[Census Tract]],'ES Energy Burden'!$B$2:$E$914,4,FALSE)</f>
        <v>No</v>
      </c>
    </row>
    <row r="681" spans="1:18" hidden="1" x14ac:dyDescent="0.25">
      <c r="A681" s="140">
        <v>9003430500</v>
      </c>
      <c r="B681" s="39" t="s">
        <v>2836</v>
      </c>
      <c r="C681" s="39" t="s">
        <v>944</v>
      </c>
      <c r="D681" s="41">
        <v>449466.82252992003</v>
      </c>
      <c r="E681" s="37">
        <v>3.9875085505162436E-3</v>
      </c>
      <c r="F681" s="41">
        <v>751695.51569999999</v>
      </c>
      <c r="G681" s="37">
        <v>9.1967331079235142E-3</v>
      </c>
      <c r="H681" s="41">
        <v>135829.38787488002</v>
      </c>
      <c r="I681" s="37">
        <v>1.205029644933174E-3</v>
      </c>
      <c r="J681" s="42">
        <v>621202.5257</v>
      </c>
      <c r="K681" s="37">
        <v>7.600196775832512E-3</v>
      </c>
      <c r="L681" s="38">
        <v>313637.43465504004</v>
      </c>
      <c r="M681" s="37">
        <v>2.78247890558307E-3</v>
      </c>
      <c r="N681" s="42">
        <v>130492.99</v>
      </c>
      <c r="O681" s="37">
        <v>1.5965363320910018E-3</v>
      </c>
      <c r="Q681">
        <f>VLOOKUP(Table3[[#This Row],[Census Tract]],'Population and Diversity Data'!$B$2:$K$823,10,FALSE)</f>
        <v>1</v>
      </c>
      <c r="R681" t="str">
        <f>VLOOKUP(Table3[[#This Row],[Census Tract]],'ES Energy Burden'!$B$2:$E$914,4,FALSE)</f>
        <v>No</v>
      </c>
    </row>
    <row r="682" spans="1:18" hidden="1" x14ac:dyDescent="0.25">
      <c r="A682" s="140">
        <v>9003430601</v>
      </c>
      <c r="B682" s="39" t="s">
        <v>2836</v>
      </c>
      <c r="C682" s="39" t="s">
        <v>944</v>
      </c>
      <c r="D682" s="41">
        <v>116361.36461376</v>
      </c>
      <c r="E682" s="37">
        <v>1.0323163203357893E-3</v>
      </c>
      <c r="F682" s="41">
        <v>22448.91</v>
      </c>
      <c r="G682" s="37">
        <v>2.7465460352192871E-4</v>
      </c>
      <c r="H682" s="41">
        <v>116361.36461376</v>
      </c>
      <c r="I682" s="37">
        <v>1.0323163203357893E-3</v>
      </c>
      <c r="J682" s="42">
        <v>22448.91</v>
      </c>
      <c r="K682" s="37">
        <v>2.7465460352192871E-4</v>
      </c>
      <c r="L682" s="38">
        <v>0</v>
      </c>
      <c r="M682" s="37">
        <v>0</v>
      </c>
      <c r="N682" s="42">
        <v>0</v>
      </c>
      <c r="O682" s="37">
        <v>0</v>
      </c>
      <c r="Q682">
        <f>VLOOKUP(Table3[[#This Row],[Census Tract]],'Population and Diversity Data'!$B$2:$K$823,10,FALSE)</f>
        <v>2</v>
      </c>
      <c r="R682" t="str">
        <f>VLOOKUP(Table3[[#This Row],[Census Tract]],'ES Energy Burden'!$B$2:$E$914,4,FALSE)</f>
        <v>No</v>
      </c>
    </row>
    <row r="683" spans="1:18" hidden="1" x14ac:dyDescent="0.25">
      <c r="A683" s="140">
        <v>9003430602</v>
      </c>
      <c r="B683" s="39" t="s">
        <v>2836</v>
      </c>
      <c r="C683" s="39" t="s">
        <v>944</v>
      </c>
      <c r="D683" s="41">
        <v>67101.176217600005</v>
      </c>
      <c r="E683" s="37">
        <v>5.9529758483912554E-4</v>
      </c>
      <c r="F683" s="41">
        <v>15712.5005</v>
      </c>
      <c r="G683" s="37">
        <v>1.9223697699200572E-4</v>
      </c>
      <c r="H683" s="41">
        <v>67101.176217600005</v>
      </c>
      <c r="I683" s="37">
        <v>5.9529758483912554E-4</v>
      </c>
      <c r="J683" s="42">
        <v>15712.5005</v>
      </c>
      <c r="K683" s="37">
        <v>1.9223697699200572E-4</v>
      </c>
      <c r="L683" s="38">
        <v>0</v>
      </c>
      <c r="M683" s="37">
        <v>0</v>
      </c>
      <c r="N683" s="42">
        <v>0</v>
      </c>
      <c r="O683" s="37">
        <v>0</v>
      </c>
      <c r="Q683">
        <f>VLOOKUP(Table3[[#This Row],[Census Tract]],'Population and Diversity Data'!$B$2:$K$823,10,FALSE)</f>
        <v>2</v>
      </c>
      <c r="R683" t="str">
        <f>VLOOKUP(Table3[[#This Row],[Census Tract]],'ES Energy Burden'!$B$2:$E$914,4,FALSE)</f>
        <v>No</v>
      </c>
    </row>
    <row r="684" spans="1:18" hidden="1" x14ac:dyDescent="0.25">
      <c r="A684" s="140">
        <v>9009343101</v>
      </c>
      <c r="B684" s="39" t="s">
        <v>2836</v>
      </c>
      <c r="C684" s="39" t="s">
        <v>944</v>
      </c>
      <c r="D684" s="41">
        <v>670.55143679999992</v>
      </c>
      <c r="E684" s="37">
        <v>5.9488920066462996E-6</v>
      </c>
      <c r="F684" s="41">
        <v>2495.44</v>
      </c>
      <c r="G684" s="37">
        <v>3.0530840197264004E-5</v>
      </c>
      <c r="H684" s="41">
        <v>670.55143679999992</v>
      </c>
      <c r="I684" s="37">
        <v>5.9488920066462996E-6</v>
      </c>
      <c r="J684" s="42">
        <v>2495.44</v>
      </c>
      <c r="K684" s="37">
        <v>3.0530840197264004E-5</v>
      </c>
      <c r="L684" s="38">
        <v>0</v>
      </c>
      <c r="M684" s="37">
        <v>0</v>
      </c>
      <c r="N684" s="42">
        <v>0</v>
      </c>
      <c r="O684" s="37">
        <v>0</v>
      </c>
      <c r="Q684">
        <f>VLOOKUP(Table3[[#This Row],[Census Tract]],'Population and Diversity Data'!$B$2:$K$823,10,FALSE)</f>
        <v>4</v>
      </c>
      <c r="R684" t="str">
        <f>VLOOKUP(Table3[[#This Row],[Census Tract]],'ES Energy Burden'!$B$2:$E$914,4,FALSE)</f>
        <v>No</v>
      </c>
    </row>
    <row r="685" spans="1:18" hidden="1" x14ac:dyDescent="0.25">
      <c r="A685" s="140">
        <v>9011711100</v>
      </c>
      <c r="B685" s="39" t="s">
        <v>2837</v>
      </c>
      <c r="C685" s="39" t="s">
        <v>944</v>
      </c>
      <c r="D685" s="41">
        <v>70585.506457920012</v>
      </c>
      <c r="E685" s="37">
        <v>6.2620931386929988E-4</v>
      </c>
      <c r="F685" s="41">
        <v>40892.65</v>
      </c>
      <c r="G685" s="37">
        <v>5.0030734555535209E-4</v>
      </c>
      <c r="H685" s="41">
        <v>56322.814993920008</v>
      </c>
      <c r="I685" s="37">
        <v>4.9967582726854153E-4</v>
      </c>
      <c r="J685" s="42">
        <v>15629.35</v>
      </c>
      <c r="K685" s="37">
        <v>1.9121965955386951E-4</v>
      </c>
      <c r="L685" s="38">
        <v>14262.691464</v>
      </c>
      <c r="M685" s="37">
        <v>1.2653348660075829E-4</v>
      </c>
      <c r="N685" s="42">
        <v>25263.3</v>
      </c>
      <c r="O685" s="37">
        <v>3.0908768600148255E-4</v>
      </c>
      <c r="Q685">
        <f>VLOOKUP(Table3[[#This Row],[Census Tract]],'Population and Diversity Data'!$B$2:$K$823,10,FALSE)</f>
        <v>4</v>
      </c>
      <c r="R685" t="str">
        <f>VLOOKUP(Table3[[#This Row],[Census Tract]],'ES Energy Burden'!$B$2:$E$914,4,FALSE)</f>
        <v>No</v>
      </c>
    </row>
    <row r="686" spans="1:18" hidden="1" x14ac:dyDescent="0.25">
      <c r="A686" s="140">
        <v>9011712100</v>
      </c>
      <c r="B686" s="39" t="s">
        <v>2837</v>
      </c>
      <c r="C686" s="39" t="s">
        <v>944</v>
      </c>
      <c r="D686" s="41">
        <v>349.02411840000002</v>
      </c>
      <c r="E686" s="37">
        <v>3.0964168803888723E-6</v>
      </c>
      <c r="F686" s="41">
        <v>0</v>
      </c>
      <c r="G686" s="37">
        <v>0</v>
      </c>
      <c r="H686" s="41">
        <v>349.02411840000002</v>
      </c>
      <c r="I686" s="37">
        <v>3.0964168803888723E-6</v>
      </c>
      <c r="J686" s="42">
        <v>0</v>
      </c>
      <c r="K686" s="37">
        <v>0</v>
      </c>
      <c r="L686" s="38">
        <v>0</v>
      </c>
      <c r="M686" s="37">
        <v>0</v>
      </c>
      <c r="N686" s="42">
        <v>0</v>
      </c>
      <c r="O686" s="37">
        <v>0</v>
      </c>
      <c r="Q686">
        <f>VLOOKUP(Table3[[#This Row],[Census Tract]],'Population and Diversity Data'!$B$2:$K$823,10,FALSE)</f>
        <v>1</v>
      </c>
      <c r="R686" t="str">
        <f>VLOOKUP(Table3[[#This Row],[Census Tract]],'ES Energy Burden'!$B$2:$E$914,4,FALSE)</f>
        <v>No</v>
      </c>
    </row>
    <row r="687" spans="1:18" hidden="1" x14ac:dyDescent="0.25">
      <c r="A687" s="140">
        <v>9015825000</v>
      </c>
      <c r="B687" s="39" t="s">
        <v>2837</v>
      </c>
      <c r="C687" s="39" t="s">
        <v>944</v>
      </c>
      <c r="D687" s="41">
        <v>631.76068800000007</v>
      </c>
      <c r="E687" s="37">
        <v>5.6047543867652896E-6</v>
      </c>
      <c r="F687" s="41">
        <v>0</v>
      </c>
      <c r="G687" s="37">
        <v>0</v>
      </c>
      <c r="H687" s="41">
        <v>631.76068800000007</v>
      </c>
      <c r="I687" s="37">
        <v>5.6047543867652896E-6</v>
      </c>
      <c r="J687" s="42">
        <v>0</v>
      </c>
      <c r="K687" s="37">
        <v>0</v>
      </c>
      <c r="L687" s="38">
        <v>0</v>
      </c>
      <c r="M687" s="37">
        <v>0</v>
      </c>
      <c r="N687" s="42">
        <v>0</v>
      </c>
      <c r="O687" s="37">
        <v>0</v>
      </c>
      <c r="Q687">
        <f>VLOOKUP(Table3[[#This Row],[Census Tract]],'Population and Diversity Data'!$B$2:$K$823,10,FALSE)</f>
        <v>2</v>
      </c>
      <c r="R687" t="str">
        <f>VLOOKUP(Table3[[#This Row],[Census Tract]],'ES Energy Burden'!$B$2:$E$914,4,FALSE)</f>
        <v>No</v>
      </c>
    </row>
    <row r="688" spans="1:18" hidden="1" x14ac:dyDescent="0.25">
      <c r="A688" s="140">
        <v>9013535200</v>
      </c>
      <c r="B688" s="39" t="s">
        <v>2838</v>
      </c>
      <c r="C688" s="39" t="s">
        <v>944</v>
      </c>
      <c r="D688" s="41">
        <v>356.42799360000004</v>
      </c>
      <c r="E688" s="37">
        <v>3.1621014074486864E-6</v>
      </c>
      <c r="F688" s="41">
        <v>0</v>
      </c>
      <c r="G688" s="37">
        <v>0</v>
      </c>
      <c r="H688" s="41">
        <v>356.42799360000004</v>
      </c>
      <c r="I688" s="37">
        <v>3.1621014074486864E-6</v>
      </c>
      <c r="J688" s="42">
        <v>0</v>
      </c>
      <c r="K688" s="37">
        <v>0</v>
      </c>
      <c r="L688" s="38">
        <v>0</v>
      </c>
      <c r="M688" s="37">
        <v>0</v>
      </c>
      <c r="N688" s="42">
        <v>0</v>
      </c>
      <c r="O688" s="37">
        <v>0</v>
      </c>
      <c r="Q688">
        <f>VLOOKUP(Table3[[#This Row],[Census Tract]],'Population and Diversity Data'!$B$2:$K$823,10,FALSE)</f>
        <v>5</v>
      </c>
      <c r="R688" t="str">
        <f>VLOOKUP(Table3[[#This Row],[Census Tract]],'ES Energy Burden'!$B$2:$E$914,4,FALSE)</f>
        <v>No</v>
      </c>
    </row>
    <row r="689" spans="1:18" hidden="1" x14ac:dyDescent="0.25">
      <c r="A689" s="140">
        <v>9013840100</v>
      </c>
      <c r="B689" s="39" t="s">
        <v>2838</v>
      </c>
      <c r="C689" s="39" t="s">
        <v>944</v>
      </c>
      <c r="D689" s="41">
        <v>363.05616960000003</v>
      </c>
      <c r="E689" s="37">
        <v>3.2209042092340554E-6</v>
      </c>
      <c r="F689" s="41">
        <v>0</v>
      </c>
      <c r="G689" s="37">
        <v>0</v>
      </c>
      <c r="H689" s="41">
        <v>363.05616960000003</v>
      </c>
      <c r="I689" s="37">
        <v>3.2209042092340554E-6</v>
      </c>
      <c r="J689" s="42">
        <v>0</v>
      </c>
      <c r="K689" s="37">
        <v>0</v>
      </c>
      <c r="L689" s="38">
        <v>0</v>
      </c>
      <c r="M689" s="37">
        <v>0</v>
      </c>
      <c r="N689" s="42">
        <v>0</v>
      </c>
      <c r="O689" s="37">
        <v>0</v>
      </c>
      <c r="Q689">
        <f>VLOOKUP(Table3[[#This Row],[Census Tract]],'Population and Diversity Data'!$B$2:$K$823,10,FALSE)</f>
        <v>4</v>
      </c>
      <c r="R689" t="str">
        <f>VLOOKUP(Table3[[#This Row],[Census Tract]],'ES Energy Burden'!$B$2:$E$914,4,FALSE)</f>
        <v>No</v>
      </c>
    </row>
    <row r="690" spans="1:18" hidden="1" x14ac:dyDescent="0.25">
      <c r="A690" s="140">
        <v>9013890100</v>
      </c>
      <c r="B690" s="39" t="s">
        <v>2838</v>
      </c>
      <c r="C690" s="39" t="s">
        <v>944</v>
      </c>
      <c r="D690" s="41">
        <v>78029.483569920005</v>
      </c>
      <c r="E690" s="37">
        <v>6.9224961071895504E-4</v>
      </c>
      <c r="F690" s="41">
        <v>10995.81</v>
      </c>
      <c r="G690" s="37">
        <v>1.345299097351479E-4</v>
      </c>
      <c r="H690" s="41">
        <v>78029.483569920005</v>
      </c>
      <c r="I690" s="37">
        <v>6.9224961071895504E-4</v>
      </c>
      <c r="J690" s="42">
        <v>10995.81</v>
      </c>
      <c r="K690" s="37">
        <v>1.345299097351479E-4</v>
      </c>
      <c r="L690" s="38">
        <v>0</v>
      </c>
      <c r="M690" s="37">
        <v>0</v>
      </c>
      <c r="N690" s="42">
        <v>0</v>
      </c>
      <c r="O690" s="37">
        <v>0</v>
      </c>
      <c r="Q690">
        <f>VLOOKUP(Table3[[#This Row],[Census Tract]],'Population and Diversity Data'!$B$2:$K$823,10,FALSE)</f>
        <v>2</v>
      </c>
      <c r="R690" t="str">
        <f>VLOOKUP(Table3[[#This Row],[Census Tract]],'ES Energy Burden'!$B$2:$E$914,4,FALSE)</f>
        <v>No</v>
      </c>
    </row>
    <row r="691" spans="1:18" hidden="1" x14ac:dyDescent="0.25">
      <c r="A691" s="140">
        <v>9013890201</v>
      </c>
      <c r="B691" s="39" t="s">
        <v>2838</v>
      </c>
      <c r="C691" s="39" t="s">
        <v>944</v>
      </c>
      <c r="D691" s="41">
        <v>55163.823716159997</v>
      </c>
      <c r="E691" s="37">
        <v>4.8939367206066934E-4</v>
      </c>
      <c r="F691" s="41">
        <v>10087.122799999999</v>
      </c>
      <c r="G691" s="37">
        <v>1.2341243798968447E-4</v>
      </c>
      <c r="H691" s="41">
        <v>55163.823716159997</v>
      </c>
      <c r="I691" s="37">
        <v>4.8939367206066934E-4</v>
      </c>
      <c r="J691" s="42">
        <v>10087.122799999999</v>
      </c>
      <c r="K691" s="37">
        <v>1.2341243798968447E-4</v>
      </c>
      <c r="L691" s="38">
        <v>0</v>
      </c>
      <c r="M691" s="37">
        <v>0</v>
      </c>
      <c r="N691" s="42">
        <v>0</v>
      </c>
      <c r="O691" s="37">
        <v>0</v>
      </c>
      <c r="Q691">
        <f>VLOOKUP(Table3[[#This Row],[Census Tract]],'Population and Diversity Data'!$B$2:$K$823,10,FALSE)</f>
        <v>4</v>
      </c>
      <c r="R691" t="str">
        <f>VLOOKUP(Table3[[#This Row],[Census Tract]],'ES Energy Burden'!$B$2:$E$914,4,FALSE)</f>
        <v>No</v>
      </c>
    </row>
    <row r="692" spans="1:18" hidden="1" x14ac:dyDescent="0.25">
      <c r="A692" s="140">
        <v>9013890202</v>
      </c>
      <c r="B692" s="39" t="s">
        <v>2838</v>
      </c>
      <c r="C692" s="39" t="s">
        <v>944</v>
      </c>
      <c r="D692" s="41">
        <v>206471.81676096001</v>
      </c>
      <c r="E692" s="37">
        <v>1.831743954182837E-3</v>
      </c>
      <c r="F692" s="41">
        <v>94722.85</v>
      </c>
      <c r="G692" s="37">
        <v>1.1589011141840352E-3</v>
      </c>
      <c r="H692" s="41">
        <v>99367.682869440003</v>
      </c>
      <c r="I692" s="37">
        <v>8.8155446681607375E-4</v>
      </c>
      <c r="J692" s="42">
        <v>72712.240000000005</v>
      </c>
      <c r="K692" s="37">
        <v>8.8960895867065833E-4</v>
      </c>
      <c r="L692" s="38">
        <v>107104.13389152</v>
      </c>
      <c r="M692" s="37">
        <v>9.501894873667631E-4</v>
      </c>
      <c r="N692" s="42">
        <v>22010.61</v>
      </c>
      <c r="O692" s="37">
        <v>2.6929215551337683E-4</v>
      </c>
      <c r="Q692">
        <f>VLOOKUP(Table3[[#This Row],[Census Tract]],'Population and Diversity Data'!$B$2:$K$823,10,FALSE)</f>
        <v>4</v>
      </c>
      <c r="R692" t="str">
        <f>VLOOKUP(Table3[[#This Row],[Census Tract]],'ES Energy Burden'!$B$2:$E$914,4,FALSE)</f>
        <v>No</v>
      </c>
    </row>
    <row r="693" spans="1:18" hidden="1" x14ac:dyDescent="0.25">
      <c r="A693" s="140">
        <v>9001010202</v>
      </c>
      <c r="B693" s="39" t="s">
        <v>986</v>
      </c>
      <c r="C693" s="39" t="s">
        <v>944</v>
      </c>
      <c r="D693" s="41">
        <v>1173.3781824000002</v>
      </c>
      <c r="E693" s="37">
        <v>1.040979066924956E-5</v>
      </c>
      <c r="F693" s="41">
        <v>0</v>
      </c>
      <c r="G693" s="37">
        <v>0</v>
      </c>
      <c r="H693" s="41">
        <v>1173.3781824000002</v>
      </c>
      <c r="I693" s="37">
        <v>1.040979066924956E-5</v>
      </c>
      <c r="J693" s="42">
        <v>0</v>
      </c>
      <c r="K693" s="37">
        <v>0</v>
      </c>
      <c r="L693" s="38">
        <v>0</v>
      </c>
      <c r="M693" s="37">
        <v>0</v>
      </c>
      <c r="N693" s="42">
        <v>0</v>
      </c>
      <c r="O693" s="37">
        <v>0</v>
      </c>
      <c r="Q693">
        <f>VLOOKUP(Table3[[#This Row],[Census Tract]],'Population and Diversity Data'!$B$2:$K$823,10,FALSE)</f>
        <v>4</v>
      </c>
      <c r="R693" t="str">
        <f>VLOOKUP(Table3[[#This Row],[Census Tract]],'ES Energy Burden'!$B$2:$E$914,4,FALSE)</f>
        <v>No</v>
      </c>
    </row>
    <row r="694" spans="1:18" x14ac:dyDescent="0.25">
      <c r="A694" s="140">
        <v>9001020100</v>
      </c>
      <c r="B694" s="39" t="s">
        <v>986</v>
      </c>
      <c r="C694" s="39" t="s">
        <v>936</v>
      </c>
      <c r="D694" s="41">
        <v>150857.61861599999</v>
      </c>
      <c r="E694" s="37">
        <v>1.3383547216141295E-3</v>
      </c>
      <c r="F694" s="41">
        <v>883.96</v>
      </c>
      <c r="G694" s="37">
        <v>1.0814943056444349E-5</v>
      </c>
      <c r="H694" s="41">
        <v>150821.6672736</v>
      </c>
      <c r="I694" s="37">
        <v>1.3380357741901224E-3</v>
      </c>
      <c r="J694" s="42">
        <v>883.96</v>
      </c>
      <c r="K694" s="37">
        <v>1.0814943056444349E-5</v>
      </c>
      <c r="L694" s="38">
        <v>35.951342400000001</v>
      </c>
      <c r="M694" s="37">
        <v>3.1894742400701725E-7</v>
      </c>
      <c r="N694" s="42">
        <v>0</v>
      </c>
      <c r="O694" s="37">
        <v>0</v>
      </c>
      <c r="Q694">
        <f>VLOOKUP(Table3[[#This Row],[Census Tract]],'Population and Diversity Data'!$B$2:$K$823,10,FALSE)</f>
        <v>4</v>
      </c>
      <c r="R694" t="str">
        <f>VLOOKUP(Table3[[#This Row],[Census Tract]],'ES Energy Burden'!$B$2:$E$914,4,FALSE)</f>
        <v>No</v>
      </c>
    </row>
    <row r="695" spans="1:18" hidden="1" x14ac:dyDescent="0.25">
      <c r="A695" s="140">
        <v>9001020200</v>
      </c>
      <c r="B695" s="39" t="s">
        <v>986</v>
      </c>
      <c r="C695" s="39" t="s">
        <v>944</v>
      </c>
      <c r="D695" s="41">
        <v>117205.36007616</v>
      </c>
      <c r="E695" s="37">
        <v>1.039803945571338E-3</v>
      </c>
      <c r="F695" s="41">
        <v>29147.88</v>
      </c>
      <c r="G695" s="37">
        <v>3.5661417079514132E-4</v>
      </c>
      <c r="H695" s="41">
        <v>117012.98667456</v>
      </c>
      <c r="I695" s="37">
        <v>1.0380972777032757E-3</v>
      </c>
      <c r="J695" s="42">
        <v>29147.88</v>
      </c>
      <c r="K695" s="37">
        <v>3.5661417079514132E-4</v>
      </c>
      <c r="L695" s="38">
        <v>192.37340159999999</v>
      </c>
      <c r="M695" s="37">
        <v>1.7066678680623455E-6</v>
      </c>
      <c r="N695" s="42">
        <v>0</v>
      </c>
      <c r="O695" s="37">
        <v>0</v>
      </c>
      <c r="Q695">
        <f>VLOOKUP(Table3[[#This Row],[Census Tract]],'Population and Diversity Data'!$B$2:$K$823,10,FALSE)</f>
        <v>4</v>
      </c>
      <c r="R695" t="str">
        <f>VLOOKUP(Table3[[#This Row],[Census Tract]],'ES Energy Burden'!$B$2:$E$914,4,FALSE)</f>
        <v>No</v>
      </c>
    </row>
    <row r="696" spans="1:18" hidden="1" x14ac:dyDescent="0.25">
      <c r="A696" s="140">
        <v>9001020300</v>
      </c>
      <c r="B696" s="39" t="s">
        <v>986</v>
      </c>
      <c r="C696" s="39" t="s">
        <v>944</v>
      </c>
      <c r="D696" s="41">
        <v>1185603.40382112</v>
      </c>
      <c r="E696" s="37">
        <v>1.0518248451904752E-2</v>
      </c>
      <c r="F696" s="41">
        <v>1034688.0803</v>
      </c>
      <c r="G696" s="37">
        <v>1.2659048678250394E-2</v>
      </c>
      <c r="H696" s="41">
        <v>317290.93215551996</v>
      </c>
      <c r="I696" s="37">
        <v>2.8148914259120508E-3</v>
      </c>
      <c r="J696" s="42">
        <v>847186.2023</v>
      </c>
      <c r="K696" s="37">
        <v>1.0365028435766147E-2</v>
      </c>
      <c r="L696" s="38">
        <v>868312.47166560008</v>
      </c>
      <c r="M696" s="37">
        <v>7.7033570259927011E-3</v>
      </c>
      <c r="N696" s="42">
        <v>187501.878</v>
      </c>
      <c r="O696" s="37">
        <v>2.2940202424842474E-3</v>
      </c>
      <c r="Q696">
        <f>VLOOKUP(Table3[[#This Row],[Census Tract]],'Population and Diversity Data'!$B$2:$K$823,10,FALSE)</f>
        <v>3</v>
      </c>
      <c r="R696" t="str">
        <f>VLOOKUP(Table3[[#This Row],[Census Tract]],'ES Energy Burden'!$B$2:$E$914,4,FALSE)</f>
        <v>No</v>
      </c>
    </row>
    <row r="697" spans="1:18" hidden="1" x14ac:dyDescent="0.25">
      <c r="A697" s="140">
        <v>9001020400</v>
      </c>
      <c r="B697" s="39" t="s">
        <v>986</v>
      </c>
      <c r="C697" s="39" t="s">
        <v>944</v>
      </c>
      <c r="D697" s="41">
        <v>98807.302137599996</v>
      </c>
      <c r="E697" s="37">
        <v>8.7658296981618601E-4</v>
      </c>
      <c r="F697" s="41">
        <v>11006.608099999999</v>
      </c>
      <c r="G697" s="37">
        <v>1.3466202073181947E-4</v>
      </c>
      <c r="H697" s="41">
        <v>98807.302137599996</v>
      </c>
      <c r="I697" s="37">
        <v>8.7658296981618601E-4</v>
      </c>
      <c r="J697" s="42">
        <v>11006.608099999999</v>
      </c>
      <c r="K697" s="37">
        <v>1.3466202073181947E-4</v>
      </c>
      <c r="L697" s="38">
        <v>0</v>
      </c>
      <c r="M697" s="37">
        <v>0</v>
      </c>
      <c r="N697" s="42">
        <v>0</v>
      </c>
      <c r="O697" s="37">
        <v>0</v>
      </c>
      <c r="Q697">
        <f>VLOOKUP(Table3[[#This Row],[Census Tract]],'Population and Diversity Data'!$B$2:$K$823,10,FALSE)</f>
        <v>4</v>
      </c>
      <c r="R697" t="str">
        <f>VLOOKUP(Table3[[#This Row],[Census Tract]],'ES Energy Burden'!$B$2:$E$914,4,FALSE)</f>
        <v>No</v>
      </c>
    </row>
    <row r="698" spans="1:18" hidden="1" x14ac:dyDescent="0.25">
      <c r="A698" s="140">
        <v>9001020500</v>
      </c>
      <c r="B698" s="39" t="s">
        <v>986</v>
      </c>
      <c r="C698" s="39" t="s">
        <v>944</v>
      </c>
      <c r="D698" s="41">
        <v>134841.29239295999</v>
      </c>
      <c r="E698" s="37">
        <v>1.196263615973116E-3</v>
      </c>
      <c r="F698" s="41">
        <v>23276.3524</v>
      </c>
      <c r="G698" s="37">
        <v>2.8477807340573301E-4</v>
      </c>
      <c r="H698" s="41">
        <v>134841.29239295999</v>
      </c>
      <c r="I698" s="37">
        <v>1.196263615973116E-3</v>
      </c>
      <c r="J698" s="42">
        <v>23276.3524</v>
      </c>
      <c r="K698" s="37">
        <v>2.8477807340573301E-4</v>
      </c>
      <c r="L698" s="38">
        <v>0</v>
      </c>
      <c r="M698" s="37">
        <v>0</v>
      </c>
      <c r="N698" s="42">
        <v>0</v>
      </c>
      <c r="O698" s="37">
        <v>0</v>
      </c>
      <c r="Q698">
        <f>VLOOKUP(Table3[[#This Row],[Census Tract]],'Population and Diversity Data'!$B$2:$K$823,10,FALSE)</f>
        <v>3</v>
      </c>
      <c r="R698" t="str">
        <f>VLOOKUP(Table3[[#This Row],[Census Tract]],'ES Energy Burden'!$B$2:$E$914,4,FALSE)</f>
        <v>No</v>
      </c>
    </row>
    <row r="699" spans="1:18" hidden="1" x14ac:dyDescent="0.25">
      <c r="A699" s="140">
        <v>9001020600</v>
      </c>
      <c r="B699" s="39" t="s">
        <v>986</v>
      </c>
      <c r="C699" s="39" t="s">
        <v>944</v>
      </c>
      <c r="D699" s="41">
        <v>109788.85834560001</v>
      </c>
      <c r="E699" s="37">
        <v>9.7400740045802681E-4</v>
      </c>
      <c r="F699" s="41">
        <v>9380.7999999999993</v>
      </c>
      <c r="G699" s="37">
        <v>1.1477082427247063E-4</v>
      </c>
      <c r="H699" s="41">
        <v>109788.85834560001</v>
      </c>
      <c r="I699" s="37">
        <v>9.7400740045802681E-4</v>
      </c>
      <c r="J699" s="42">
        <v>9380.7999999999993</v>
      </c>
      <c r="K699" s="37">
        <v>1.1477082427247063E-4</v>
      </c>
      <c r="L699" s="38">
        <v>0</v>
      </c>
      <c r="M699" s="37">
        <v>0</v>
      </c>
      <c r="N699" s="42">
        <v>0</v>
      </c>
      <c r="O699" s="37">
        <v>0</v>
      </c>
      <c r="Q699">
        <f>VLOOKUP(Table3[[#This Row],[Census Tract]],'Population and Diversity Data'!$B$2:$K$823,10,FALSE)</f>
        <v>4</v>
      </c>
      <c r="R699" t="str">
        <f>VLOOKUP(Table3[[#This Row],[Census Tract]],'ES Energy Burden'!$B$2:$E$914,4,FALSE)</f>
        <v>No</v>
      </c>
    </row>
    <row r="700" spans="1:18" hidden="1" x14ac:dyDescent="0.25">
      <c r="A700" s="140">
        <v>9001020700</v>
      </c>
      <c r="B700" s="39" t="s">
        <v>986</v>
      </c>
      <c r="C700" s="39" t="s">
        <v>944</v>
      </c>
      <c r="D700" s="41">
        <v>93484.321084800002</v>
      </c>
      <c r="E700" s="37">
        <v>8.2935938979129321E-4</v>
      </c>
      <c r="F700" s="41">
        <v>7756.2</v>
      </c>
      <c r="G700" s="37">
        <v>9.4894408496304874E-5</v>
      </c>
      <c r="H700" s="41">
        <v>93484.321084800002</v>
      </c>
      <c r="I700" s="37">
        <v>8.2935938979129321E-4</v>
      </c>
      <c r="J700" s="42">
        <v>7756.2</v>
      </c>
      <c r="K700" s="37">
        <v>9.4894408496304874E-5</v>
      </c>
      <c r="L700" s="38">
        <v>0</v>
      </c>
      <c r="M700" s="37">
        <v>0</v>
      </c>
      <c r="N700" s="42">
        <v>0</v>
      </c>
      <c r="O700" s="37">
        <v>0</v>
      </c>
      <c r="Q700">
        <f>VLOOKUP(Table3[[#This Row],[Census Tract]],'Population and Diversity Data'!$B$2:$K$823,10,FALSE)</f>
        <v>3</v>
      </c>
      <c r="R700" t="str">
        <f>VLOOKUP(Table3[[#This Row],[Census Tract]],'ES Energy Burden'!$B$2:$E$914,4,FALSE)</f>
        <v>No</v>
      </c>
    </row>
    <row r="701" spans="1:18" hidden="1" x14ac:dyDescent="0.25">
      <c r="A701" s="140">
        <v>9001020800</v>
      </c>
      <c r="B701" s="39" t="s">
        <v>986</v>
      </c>
      <c r="C701" s="39" t="s">
        <v>944</v>
      </c>
      <c r="D701" s="41">
        <v>60746.351405759997</v>
      </c>
      <c r="E701" s="37">
        <v>5.3891985681992784E-4</v>
      </c>
      <c r="F701" s="41">
        <v>12748.1304</v>
      </c>
      <c r="G701" s="37">
        <v>1.5596894016938224E-4</v>
      </c>
      <c r="H701" s="41">
        <v>60746.351405759997</v>
      </c>
      <c r="I701" s="37">
        <v>5.3891985681992784E-4</v>
      </c>
      <c r="J701" s="42">
        <v>12748.1304</v>
      </c>
      <c r="K701" s="37">
        <v>1.5596894016938224E-4</v>
      </c>
      <c r="L701" s="38">
        <v>0</v>
      </c>
      <c r="M701" s="37">
        <v>0</v>
      </c>
      <c r="N701" s="42">
        <v>0</v>
      </c>
      <c r="O701" s="37">
        <v>0</v>
      </c>
      <c r="Q701">
        <f>VLOOKUP(Table3[[#This Row],[Census Tract]],'Population and Diversity Data'!$B$2:$K$823,10,FALSE)</f>
        <v>4</v>
      </c>
      <c r="R701" t="str">
        <f>VLOOKUP(Table3[[#This Row],[Census Tract]],'ES Energy Burden'!$B$2:$E$914,4,FALSE)</f>
        <v>No</v>
      </c>
    </row>
    <row r="702" spans="1:18" hidden="1" x14ac:dyDescent="0.25">
      <c r="A702" s="140">
        <v>9001020900</v>
      </c>
      <c r="B702" s="39" t="s">
        <v>986</v>
      </c>
      <c r="C702" s="39" t="s">
        <v>944</v>
      </c>
      <c r="D702" s="41">
        <v>109799.58904416001</v>
      </c>
      <c r="E702" s="37">
        <v>9.7410259936952864E-4</v>
      </c>
      <c r="F702" s="41">
        <v>8620.5794999999998</v>
      </c>
      <c r="G702" s="37">
        <v>1.0546979094761245E-4</v>
      </c>
      <c r="H702" s="41">
        <v>109799.58904416001</v>
      </c>
      <c r="I702" s="37">
        <v>9.7410259936952864E-4</v>
      </c>
      <c r="J702" s="42">
        <v>8620.5794999999998</v>
      </c>
      <c r="K702" s="37">
        <v>1.0546979094761245E-4</v>
      </c>
      <c r="L702" s="38">
        <v>0</v>
      </c>
      <c r="M702" s="37">
        <v>0</v>
      </c>
      <c r="N702" s="42">
        <v>0</v>
      </c>
      <c r="O702" s="37">
        <v>0</v>
      </c>
      <c r="Q702">
        <f>VLOOKUP(Table3[[#This Row],[Census Tract]],'Population and Diversity Data'!$B$2:$K$823,10,FALSE)</f>
        <v>4</v>
      </c>
      <c r="R702" t="str">
        <f>VLOOKUP(Table3[[#This Row],[Census Tract]],'ES Energy Burden'!$B$2:$E$914,4,FALSE)</f>
        <v>No</v>
      </c>
    </row>
    <row r="703" spans="1:18" hidden="1" x14ac:dyDescent="0.25">
      <c r="A703" s="140">
        <v>9001021000</v>
      </c>
      <c r="B703" s="39" t="s">
        <v>986</v>
      </c>
      <c r="C703" s="39" t="s">
        <v>944</v>
      </c>
      <c r="D703" s="41">
        <v>70717.539144959999</v>
      </c>
      <c r="E703" s="37">
        <v>6.2738066054524846E-4</v>
      </c>
      <c r="F703" s="41">
        <v>2774.1374000000001</v>
      </c>
      <c r="G703" s="37">
        <v>3.3940605923065049E-5</v>
      </c>
      <c r="H703" s="41">
        <v>70717.539144959999</v>
      </c>
      <c r="I703" s="37">
        <v>6.2738066054524846E-4</v>
      </c>
      <c r="J703" s="42">
        <v>2774.1374000000001</v>
      </c>
      <c r="K703" s="37">
        <v>3.3940605923065049E-5</v>
      </c>
      <c r="L703" s="38">
        <v>0</v>
      </c>
      <c r="M703" s="37">
        <v>0</v>
      </c>
      <c r="N703" s="42">
        <v>0</v>
      </c>
      <c r="O703" s="37">
        <v>0</v>
      </c>
      <c r="Q703">
        <f>VLOOKUP(Table3[[#This Row],[Census Tract]],'Population and Diversity Data'!$B$2:$K$823,10,FALSE)</f>
        <v>4</v>
      </c>
      <c r="R703" t="str">
        <f>VLOOKUP(Table3[[#This Row],[Census Tract]],'ES Energy Burden'!$B$2:$E$914,4,FALSE)</f>
        <v>No</v>
      </c>
    </row>
    <row r="704" spans="1:18" hidden="1" x14ac:dyDescent="0.25">
      <c r="A704" s="140">
        <v>9001021100</v>
      </c>
      <c r="B704" s="39" t="s">
        <v>986</v>
      </c>
      <c r="C704" s="39" t="s">
        <v>944</v>
      </c>
      <c r="D704" s="41">
        <v>115220.04017471999</v>
      </c>
      <c r="E704" s="37">
        <v>1.0221908989888505E-3</v>
      </c>
      <c r="F704" s="41">
        <v>8369.6</v>
      </c>
      <c r="G704" s="37">
        <v>1.0239914408481903E-4</v>
      </c>
      <c r="H704" s="41">
        <v>115220.04017471999</v>
      </c>
      <c r="I704" s="37">
        <v>1.0221908989888505E-3</v>
      </c>
      <c r="J704" s="42">
        <v>8369.6</v>
      </c>
      <c r="K704" s="37">
        <v>1.0239914408481903E-4</v>
      </c>
      <c r="L704" s="38">
        <v>0</v>
      </c>
      <c r="M704" s="37">
        <v>0</v>
      </c>
      <c r="N704" s="42">
        <v>0</v>
      </c>
      <c r="O704" s="37">
        <v>0</v>
      </c>
      <c r="Q704">
        <f>VLOOKUP(Table3[[#This Row],[Census Tract]],'Population and Diversity Data'!$B$2:$K$823,10,FALSE)</f>
        <v>4</v>
      </c>
      <c r="R704" t="str">
        <f>VLOOKUP(Table3[[#This Row],[Census Tract]],'ES Energy Burden'!$B$2:$E$914,4,FALSE)</f>
        <v>No</v>
      </c>
    </row>
    <row r="705" spans="1:18" hidden="1" x14ac:dyDescent="0.25">
      <c r="A705" s="140">
        <v>9001021200</v>
      </c>
      <c r="B705" s="39" t="s">
        <v>986</v>
      </c>
      <c r="C705" s="39" t="s">
        <v>944</v>
      </c>
      <c r="D705" s="41">
        <v>111285.65852063999</v>
      </c>
      <c r="E705" s="37">
        <v>9.8728647512429731E-4</v>
      </c>
      <c r="F705" s="41">
        <v>23460</v>
      </c>
      <c r="G705" s="37">
        <v>2.8702493789785105E-4</v>
      </c>
      <c r="H705" s="41">
        <v>111285.65852063999</v>
      </c>
      <c r="I705" s="37">
        <v>9.8728647512429731E-4</v>
      </c>
      <c r="J705" s="42">
        <v>23460</v>
      </c>
      <c r="K705" s="37">
        <v>2.8702493789785105E-4</v>
      </c>
      <c r="L705" s="38">
        <v>0</v>
      </c>
      <c r="M705" s="37">
        <v>0</v>
      </c>
      <c r="N705" s="42">
        <v>0</v>
      </c>
      <c r="O705" s="37">
        <v>0</v>
      </c>
      <c r="Q705">
        <f>VLOOKUP(Table3[[#This Row],[Census Tract]],'Population and Diversity Data'!$B$2:$K$823,10,FALSE)</f>
        <v>4</v>
      </c>
      <c r="R705" t="str">
        <f>VLOOKUP(Table3[[#This Row],[Census Tract]],'ES Energy Burden'!$B$2:$E$914,4,FALSE)</f>
        <v>No</v>
      </c>
    </row>
    <row r="706" spans="1:18" hidden="1" x14ac:dyDescent="0.25">
      <c r="A706" s="140">
        <v>9001021300</v>
      </c>
      <c r="B706" s="39" t="s">
        <v>986</v>
      </c>
      <c r="C706" s="39" t="s">
        <v>944</v>
      </c>
      <c r="D706" s="41">
        <v>74577.157868159993</v>
      </c>
      <c r="E706" s="37">
        <v>6.6162181448374199E-4</v>
      </c>
      <c r="F706" s="41">
        <v>8945.08</v>
      </c>
      <c r="G706" s="37">
        <v>1.0943994166629623E-4</v>
      </c>
      <c r="H706" s="41">
        <v>74577.157868159993</v>
      </c>
      <c r="I706" s="37">
        <v>6.6162181448374199E-4</v>
      </c>
      <c r="J706" s="42">
        <v>8945.08</v>
      </c>
      <c r="K706" s="37">
        <v>1.0943994166629623E-4</v>
      </c>
      <c r="L706" s="38">
        <v>0</v>
      </c>
      <c r="M706" s="37">
        <v>0</v>
      </c>
      <c r="N706" s="42">
        <v>0</v>
      </c>
      <c r="O706" s="37">
        <v>0</v>
      </c>
      <c r="Q706">
        <f>VLOOKUP(Table3[[#This Row],[Census Tract]],'Population and Diversity Data'!$B$2:$K$823,10,FALSE)</f>
        <v>4</v>
      </c>
      <c r="R706" t="str">
        <f>VLOOKUP(Table3[[#This Row],[Census Tract]],'ES Energy Burden'!$B$2:$E$914,4,FALSE)</f>
        <v>No</v>
      </c>
    </row>
    <row r="707" spans="1:18" hidden="1" x14ac:dyDescent="0.25">
      <c r="A707" s="140">
        <v>9001021400</v>
      </c>
      <c r="B707" s="39" t="s">
        <v>986</v>
      </c>
      <c r="C707" s="39" t="s">
        <v>944</v>
      </c>
      <c r="D707" s="41">
        <v>89294.912110079997</v>
      </c>
      <c r="E707" s="37">
        <v>7.9219245494552173E-4</v>
      </c>
      <c r="F707" s="41">
        <v>4610.05</v>
      </c>
      <c r="G707" s="37">
        <v>5.6402357841261227E-5</v>
      </c>
      <c r="H707" s="41">
        <v>89294.912110079997</v>
      </c>
      <c r="I707" s="37">
        <v>7.9219245494552173E-4</v>
      </c>
      <c r="J707" s="42">
        <v>4610.05</v>
      </c>
      <c r="K707" s="37">
        <v>5.6402357841261227E-5</v>
      </c>
      <c r="L707" s="38">
        <v>0</v>
      </c>
      <c r="M707" s="37">
        <v>0</v>
      </c>
      <c r="N707" s="42">
        <v>0</v>
      </c>
      <c r="O707" s="37">
        <v>0</v>
      </c>
      <c r="Q707">
        <f>VLOOKUP(Table3[[#This Row],[Census Tract]],'Population and Diversity Data'!$B$2:$K$823,10,FALSE)</f>
        <v>4</v>
      </c>
      <c r="R707" t="str">
        <f>VLOOKUP(Table3[[#This Row],[Census Tract]],'ES Energy Burden'!$B$2:$E$914,4,FALSE)</f>
        <v>No</v>
      </c>
    </row>
    <row r="708" spans="1:18" hidden="1" x14ac:dyDescent="0.25">
      <c r="A708" s="140">
        <v>9001021500</v>
      </c>
      <c r="B708" s="39" t="s">
        <v>986</v>
      </c>
      <c r="C708" s="39" t="s">
        <v>944</v>
      </c>
      <c r="D708" s="41">
        <v>65226.474495360002</v>
      </c>
      <c r="E708" s="37">
        <v>5.7866590309446923E-4</v>
      </c>
      <c r="F708" s="41">
        <v>403</v>
      </c>
      <c r="G708" s="37">
        <v>4.9305647899758734E-6</v>
      </c>
      <c r="H708" s="41">
        <v>65225.455666560003</v>
      </c>
      <c r="I708" s="37">
        <v>5.7865686441052665E-4</v>
      </c>
      <c r="J708" s="42">
        <v>403</v>
      </c>
      <c r="K708" s="37">
        <v>4.9305647899758734E-6</v>
      </c>
      <c r="L708" s="38">
        <v>1.0188288000000001</v>
      </c>
      <c r="M708" s="37">
        <v>9.0386839425545507E-9</v>
      </c>
      <c r="N708" s="42">
        <v>0</v>
      </c>
      <c r="O708" s="37">
        <v>0</v>
      </c>
      <c r="Q708">
        <f>VLOOKUP(Table3[[#This Row],[Census Tract]],'Population and Diversity Data'!$B$2:$K$823,10,FALSE)</f>
        <v>5</v>
      </c>
      <c r="R708" t="str">
        <f>VLOOKUP(Table3[[#This Row],[Census Tract]],'ES Energy Burden'!$B$2:$E$914,4,FALSE)</f>
        <v>No</v>
      </c>
    </row>
    <row r="709" spans="1:18" hidden="1" x14ac:dyDescent="0.25">
      <c r="A709" s="140">
        <v>9001021600</v>
      </c>
      <c r="B709" s="39" t="s">
        <v>986</v>
      </c>
      <c r="C709" s="39" t="s">
        <v>944</v>
      </c>
      <c r="D709" s="41">
        <v>103228.87383072</v>
      </c>
      <c r="E709" s="37">
        <v>9.1580956908728778E-4</v>
      </c>
      <c r="F709" s="41">
        <v>6524.6980000000003</v>
      </c>
      <c r="G709" s="37">
        <v>7.9827409985176186E-5</v>
      </c>
      <c r="H709" s="41">
        <v>103216.67104032</v>
      </c>
      <c r="I709" s="37">
        <v>9.1570131030461219E-4</v>
      </c>
      <c r="J709" s="42">
        <v>6524.6980000000003</v>
      </c>
      <c r="K709" s="37">
        <v>7.9827409985176186E-5</v>
      </c>
      <c r="L709" s="38">
        <v>12.2027904</v>
      </c>
      <c r="M709" s="37">
        <v>1.0825878267559654E-7</v>
      </c>
      <c r="N709" s="42">
        <v>0</v>
      </c>
      <c r="O709" s="37">
        <v>0</v>
      </c>
      <c r="Q709">
        <f>VLOOKUP(Table3[[#This Row],[Census Tract]],'Population and Diversity Data'!$B$2:$K$823,10,FALSE)</f>
        <v>5</v>
      </c>
      <c r="R709" t="str">
        <f>VLOOKUP(Table3[[#This Row],[Census Tract]],'ES Energy Burden'!$B$2:$E$914,4,FALSE)</f>
        <v>No</v>
      </c>
    </row>
    <row r="710" spans="1:18" hidden="1" x14ac:dyDescent="0.25">
      <c r="A710" s="140">
        <v>9001021700</v>
      </c>
      <c r="B710" s="39" t="s">
        <v>986</v>
      </c>
      <c r="C710" s="39" t="s">
        <v>944</v>
      </c>
      <c r="D710" s="41">
        <v>111040.17635231998</v>
      </c>
      <c r="E710" s="37">
        <v>9.8510864531326566E-4</v>
      </c>
      <c r="F710" s="41">
        <v>10284.4203</v>
      </c>
      <c r="G710" s="37">
        <v>1.2582630425928809E-4</v>
      </c>
      <c r="H710" s="41">
        <v>111040.17635231998</v>
      </c>
      <c r="I710" s="37">
        <v>9.8510864531326566E-4</v>
      </c>
      <c r="J710" s="42">
        <v>10284.4203</v>
      </c>
      <c r="K710" s="37">
        <v>1.2582630425928809E-4</v>
      </c>
      <c r="L710" s="38">
        <v>0</v>
      </c>
      <c r="M710" s="37">
        <v>0</v>
      </c>
      <c r="N710" s="42">
        <v>0</v>
      </c>
      <c r="O710" s="37">
        <v>0</v>
      </c>
      <c r="Q710">
        <f>VLOOKUP(Table3[[#This Row],[Census Tract]],'Population and Diversity Data'!$B$2:$K$823,10,FALSE)</f>
        <v>5</v>
      </c>
      <c r="R710" t="str">
        <f>VLOOKUP(Table3[[#This Row],[Census Tract]],'ES Energy Burden'!$B$2:$E$914,4,FALSE)</f>
        <v>No</v>
      </c>
    </row>
    <row r="711" spans="1:18" hidden="1" x14ac:dyDescent="0.25">
      <c r="A711" s="140">
        <v>9001021801</v>
      </c>
      <c r="B711" s="39" t="s">
        <v>986</v>
      </c>
      <c r="C711" s="39" t="s">
        <v>944</v>
      </c>
      <c r="D711" s="41">
        <v>63583.488017279997</v>
      </c>
      <c r="E711" s="37">
        <v>5.6408991594407063E-4</v>
      </c>
      <c r="F711" s="41">
        <v>9221.6200000000008</v>
      </c>
      <c r="G711" s="37">
        <v>1.128233123536906E-4</v>
      </c>
      <c r="H711" s="41">
        <v>63583.488017279997</v>
      </c>
      <c r="I711" s="37">
        <v>5.6408991594407063E-4</v>
      </c>
      <c r="J711" s="42">
        <v>9221.6200000000008</v>
      </c>
      <c r="K711" s="37">
        <v>1.128233123536906E-4</v>
      </c>
      <c r="L711" s="38">
        <v>0</v>
      </c>
      <c r="M711" s="37">
        <v>0</v>
      </c>
      <c r="N711" s="42">
        <v>0</v>
      </c>
      <c r="O711" s="37">
        <v>0</v>
      </c>
      <c r="Q711">
        <f>VLOOKUP(Table3[[#This Row],[Census Tract]],'Population and Diversity Data'!$B$2:$K$823,10,FALSE)</f>
        <v>5</v>
      </c>
      <c r="R711" t="str">
        <f>VLOOKUP(Table3[[#This Row],[Census Tract]],'ES Energy Burden'!$B$2:$E$914,4,FALSE)</f>
        <v>No</v>
      </c>
    </row>
    <row r="712" spans="1:18" hidden="1" x14ac:dyDescent="0.25">
      <c r="A712" s="140">
        <v>9001021802</v>
      </c>
      <c r="B712" s="39" t="s">
        <v>986</v>
      </c>
      <c r="C712" s="39" t="s">
        <v>944</v>
      </c>
      <c r="D712" s="41">
        <v>76084.431719040003</v>
      </c>
      <c r="E712" s="37">
        <v>6.7499380784806528E-4</v>
      </c>
      <c r="F712" s="41">
        <v>9793.5617999999995</v>
      </c>
      <c r="G712" s="37">
        <v>1.198208212891631E-4</v>
      </c>
      <c r="H712" s="41">
        <v>76084.431719040003</v>
      </c>
      <c r="I712" s="37">
        <v>6.7499380784806528E-4</v>
      </c>
      <c r="J712" s="42">
        <v>9793.5617999999995</v>
      </c>
      <c r="K712" s="37">
        <v>1.198208212891631E-4</v>
      </c>
      <c r="L712" s="38">
        <v>0</v>
      </c>
      <c r="M712" s="37">
        <v>0</v>
      </c>
      <c r="N712" s="42">
        <v>0</v>
      </c>
      <c r="O712" s="37">
        <v>0</v>
      </c>
      <c r="Q712">
        <f>VLOOKUP(Table3[[#This Row],[Census Tract]],'Population and Diversity Data'!$B$2:$K$823,10,FALSE)</f>
        <v>5</v>
      </c>
      <c r="R712" t="str">
        <f>VLOOKUP(Table3[[#This Row],[Census Tract]],'ES Energy Burden'!$B$2:$E$914,4,FALSE)</f>
        <v>No</v>
      </c>
    </row>
    <row r="713" spans="1:18" hidden="1" x14ac:dyDescent="0.25">
      <c r="A713" s="140">
        <v>9001021900</v>
      </c>
      <c r="B713" s="39" t="s">
        <v>986</v>
      </c>
      <c r="C713" s="39" t="s">
        <v>944</v>
      </c>
      <c r="D713" s="41">
        <v>117333.27924191998</v>
      </c>
      <c r="E713" s="37">
        <v>1.0409387985608684E-3</v>
      </c>
      <c r="F713" s="41">
        <v>10290.35</v>
      </c>
      <c r="G713" s="37">
        <v>1.2589885207575242E-4</v>
      </c>
      <c r="H713" s="41">
        <v>117333.27924191998</v>
      </c>
      <c r="I713" s="37">
        <v>1.0409387985608684E-3</v>
      </c>
      <c r="J713" s="42">
        <v>10290.35</v>
      </c>
      <c r="K713" s="37">
        <v>1.2589885207575242E-4</v>
      </c>
      <c r="L713" s="38">
        <v>0</v>
      </c>
      <c r="M713" s="37">
        <v>0</v>
      </c>
      <c r="N713" s="42">
        <v>0</v>
      </c>
      <c r="O713" s="37">
        <v>0</v>
      </c>
      <c r="Q713">
        <f>VLOOKUP(Table3[[#This Row],[Census Tract]],'Population and Diversity Data'!$B$2:$K$823,10,FALSE)</f>
        <v>4</v>
      </c>
      <c r="R713" t="str">
        <f>VLOOKUP(Table3[[#This Row],[Census Tract]],'ES Energy Burden'!$B$2:$E$914,4,FALSE)</f>
        <v>No</v>
      </c>
    </row>
    <row r="714" spans="1:18" hidden="1" x14ac:dyDescent="0.25">
      <c r="A714" s="140">
        <v>9001022000</v>
      </c>
      <c r="B714" s="39" t="s">
        <v>986</v>
      </c>
      <c r="C714" s="39" t="s">
        <v>944</v>
      </c>
      <c r="D714" s="41">
        <v>37835.245998719998</v>
      </c>
      <c r="E714" s="37">
        <v>3.3566074150164556E-4</v>
      </c>
      <c r="F714" s="41">
        <v>6324.97</v>
      </c>
      <c r="G714" s="37">
        <v>7.738380739368163E-5</v>
      </c>
      <c r="H714" s="41">
        <v>37835.245998719998</v>
      </c>
      <c r="I714" s="37">
        <v>3.3566074150164556E-4</v>
      </c>
      <c r="J714" s="42">
        <v>6324.97</v>
      </c>
      <c r="K714" s="37">
        <v>7.738380739368163E-5</v>
      </c>
      <c r="L714" s="38">
        <v>0</v>
      </c>
      <c r="M714" s="37">
        <v>0</v>
      </c>
      <c r="N714" s="42">
        <v>0</v>
      </c>
      <c r="O714" s="37">
        <v>0</v>
      </c>
      <c r="Q714">
        <f>VLOOKUP(Table3[[#This Row],[Census Tract]],'Population and Diversity Data'!$B$2:$K$823,10,FALSE)</f>
        <v>4</v>
      </c>
      <c r="R714" t="str">
        <f>VLOOKUP(Table3[[#This Row],[Census Tract]],'ES Energy Burden'!$B$2:$E$914,4,FALSE)</f>
        <v>No</v>
      </c>
    </row>
    <row r="715" spans="1:18" hidden="1" x14ac:dyDescent="0.25">
      <c r="A715" s="140">
        <v>9001022100</v>
      </c>
      <c r="B715" s="39" t="s">
        <v>986</v>
      </c>
      <c r="C715" s="39" t="s">
        <v>944</v>
      </c>
      <c r="D715" s="41">
        <v>92737.622036159999</v>
      </c>
      <c r="E715" s="37">
        <v>8.2273494346541093E-4</v>
      </c>
      <c r="F715" s="41">
        <v>5543.82</v>
      </c>
      <c r="G715" s="37">
        <v>6.7826708918024921E-5</v>
      </c>
      <c r="H715" s="41">
        <v>92737.622036159999</v>
      </c>
      <c r="I715" s="37">
        <v>8.2273494346541093E-4</v>
      </c>
      <c r="J715" s="42">
        <v>5543.82</v>
      </c>
      <c r="K715" s="37">
        <v>6.7826708918024921E-5</v>
      </c>
      <c r="L715" s="38">
        <v>0</v>
      </c>
      <c r="M715" s="37">
        <v>0</v>
      </c>
      <c r="N715" s="42">
        <v>0</v>
      </c>
      <c r="O715" s="37">
        <v>0</v>
      </c>
      <c r="Q715">
        <f>VLOOKUP(Table3[[#This Row],[Census Tract]],'Population and Diversity Data'!$B$2:$K$823,10,FALSE)</f>
        <v>5</v>
      </c>
      <c r="R715" t="str">
        <f>VLOOKUP(Table3[[#This Row],[Census Tract]],'ES Energy Burden'!$B$2:$E$914,4,FALSE)</f>
        <v>No</v>
      </c>
    </row>
    <row r="716" spans="1:18" hidden="1" x14ac:dyDescent="0.25">
      <c r="A716" s="140">
        <v>9001022200</v>
      </c>
      <c r="B716" s="39" t="s">
        <v>986</v>
      </c>
      <c r="C716" s="39" t="s">
        <v>944</v>
      </c>
      <c r="D716" s="41">
        <v>81861.026613120019</v>
      </c>
      <c r="E716" s="37">
        <v>7.262416872874408E-4</v>
      </c>
      <c r="F716" s="41">
        <v>0</v>
      </c>
      <c r="G716" s="37">
        <v>0</v>
      </c>
      <c r="H716" s="41">
        <v>81861.026613120019</v>
      </c>
      <c r="I716" s="37">
        <v>7.262416872874408E-4</v>
      </c>
      <c r="J716" s="42">
        <v>0</v>
      </c>
      <c r="K716" s="37">
        <v>0</v>
      </c>
      <c r="L716" s="38">
        <v>0</v>
      </c>
      <c r="M716" s="37">
        <v>0</v>
      </c>
      <c r="N716" s="42">
        <v>0</v>
      </c>
      <c r="O716" s="37">
        <v>0</v>
      </c>
      <c r="Q716">
        <f>VLOOKUP(Table3[[#This Row],[Census Tract]],'Population and Diversity Data'!$B$2:$K$823,10,FALSE)</f>
        <v>5</v>
      </c>
      <c r="R716" t="str">
        <f>VLOOKUP(Table3[[#This Row],[Census Tract]],'ES Energy Burden'!$B$2:$E$914,4,FALSE)</f>
        <v>No</v>
      </c>
    </row>
    <row r="717" spans="1:18" hidden="1" x14ac:dyDescent="0.25">
      <c r="A717" s="140">
        <v>9001022300</v>
      </c>
      <c r="B717" s="39" t="s">
        <v>986</v>
      </c>
      <c r="C717" s="39" t="s">
        <v>944</v>
      </c>
      <c r="D717" s="41">
        <v>88271.146042559994</v>
      </c>
      <c r="E717" s="37">
        <v>7.8310996933515689E-4</v>
      </c>
      <c r="F717" s="41">
        <v>49293.5962</v>
      </c>
      <c r="G717" s="37">
        <v>6.0308999949133617E-4</v>
      </c>
      <c r="H717" s="41">
        <v>88271.146042559994</v>
      </c>
      <c r="I717" s="37">
        <v>7.8310996933515689E-4</v>
      </c>
      <c r="J717" s="42">
        <v>49293.5962</v>
      </c>
      <c r="K717" s="37">
        <v>6.0308999949133617E-4</v>
      </c>
      <c r="L717" s="38">
        <v>0</v>
      </c>
      <c r="M717" s="37">
        <v>0</v>
      </c>
      <c r="N717" s="42">
        <v>0</v>
      </c>
      <c r="O717" s="37">
        <v>0</v>
      </c>
      <c r="Q717">
        <f>VLOOKUP(Table3[[#This Row],[Census Tract]],'Population and Diversity Data'!$B$2:$K$823,10,FALSE)</f>
        <v>5</v>
      </c>
      <c r="R717" t="str">
        <f>VLOOKUP(Table3[[#This Row],[Census Tract]],'ES Energy Burden'!$B$2:$E$914,4,FALSE)</f>
        <v>No</v>
      </c>
    </row>
    <row r="718" spans="1:18" hidden="1" x14ac:dyDescent="0.25">
      <c r="A718" s="140">
        <v>9001022400</v>
      </c>
      <c r="B718" s="39" t="s">
        <v>986</v>
      </c>
      <c r="C718" s="39" t="s">
        <v>944</v>
      </c>
      <c r="D718" s="41">
        <v>65418.021835199994</v>
      </c>
      <c r="E718" s="37">
        <v>5.803652424386758E-4</v>
      </c>
      <c r="F718" s="41">
        <v>3895.87</v>
      </c>
      <c r="G718" s="37">
        <v>4.7664614015690583E-5</v>
      </c>
      <c r="H718" s="41">
        <v>65418.021835199994</v>
      </c>
      <c r="I718" s="37">
        <v>5.803652424386758E-4</v>
      </c>
      <c r="J718" s="42">
        <v>3895.87</v>
      </c>
      <c r="K718" s="37">
        <v>4.7664614015690583E-5</v>
      </c>
      <c r="L718" s="38">
        <v>0</v>
      </c>
      <c r="M718" s="37">
        <v>0</v>
      </c>
      <c r="N718" s="42">
        <v>0</v>
      </c>
      <c r="O718" s="37">
        <v>0</v>
      </c>
      <c r="Q718">
        <f>VLOOKUP(Table3[[#This Row],[Census Tract]],'Population and Diversity Data'!$B$2:$K$823,10,FALSE)</f>
        <v>2</v>
      </c>
      <c r="R718" t="str">
        <f>VLOOKUP(Table3[[#This Row],[Census Tract]],'ES Energy Burden'!$B$2:$E$914,4,FALSE)</f>
        <v>No</v>
      </c>
    </row>
    <row r="719" spans="1:18" hidden="1" x14ac:dyDescent="0.25">
      <c r="A719" s="140">
        <v>9015907200</v>
      </c>
      <c r="B719" s="39" t="s">
        <v>2839</v>
      </c>
      <c r="C719" s="39" t="s">
        <v>944</v>
      </c>
      <c r="D719" s="41">
        <v>532.01387520000003</v>
      </c>
      <c r="E719" s="37">
        <v>4.7198364150939399E-6</v>
      </c>
      <c r="F719" s="41">
        <v>0</v>
      </c>
      <c r="G719" s="37">
        <v>0</v>
      </c>
      <c r="H719" s="41">
        <v>532.01387520000003</v>
      </c>
      <c r="I719" s="37">
        <v>4.7198364150939399E-6</v>
      </c>
      <c r="J719" s="42">
        <v>0</v>
      </c>
      <c r="K719" s="37">
        <v>0</v>
      </c>
      <c r="L719" s="38">
        <v>0</v>
      </c>
      <c r="M719" s="37">
        <v>0</v>
      </c>
      <c r="N719" s="42">
        <v>0</v>
      </c>
      <c r="O719" s="37">
        <v>0</v>
      </c>
      <c r="Q719">
        <f>VLOOKUP(Table3[[#This Row],[Census Tract]],'Population and Diversity Data'!$B$2:$K$823,10,FALSE)</f>
        <v>3</v>
      </c>
      <c r="R719" t="str">
        <f>VLOOKUP(Table3[[#This Row],[Census Tract]],'ES Energy Burden'!$B$2:$E$914,4,FALSE)</f>
        <v>No</v>
      </c>
    </row>
    <row r="720" spans="1:18" hidden="1" x14ac:dyDescent="0.25">
      <c r="A720" s="140">
        <v>9015908100</v>
      </c>
      <c r="B720" s="39" t="s">
        <v>2839</v>
      </c>
      <c r="C720" s="39" t="s">
        <v>944</v>
      </c>
      <c r="D720" s="41">
        <v>85744.234117440006</v>
      </c>
      <c r="E720" s="37">
        <v>7.6069211243728386E-4</v>
      </c>
      <c r="F720" s="41">
        <v>33246.379999999997</v>
      </c>
      <c r="G720" s="37">
        <v>4.0675789236267507E-4</v>
      </c>
      <c r="H720" s="41">
        <v>74480.158419840009</v>
      </c>
      <c r="I720" s="37">
        <v>6.6076127014502045E-4</v>
      </c>
      <c r="J720" s="42">
        <v>33246.379999999997</v>
      </c>
      <c r="K720" s="37">
        <v>4.0675789236267507E-4</v>
      </c>
      <c r="L720" s="38">
        <v>11264.075697600001</v>
      </c>
      <c r="M720" s="37">
        <v>9.9930842292263498E-5</v>
      </c>
      <c r="N720" s="42">
        <v>0</v>
      </c>
      <c r="O720" s="37">
        <v>0</v>
      </c>
      <c r="Q720" t="e">
        <f>VLOOKUP(Table3[[#This Row],[Census Tract]],'Population and Diversity Data'!$B$2:$K$823,10,FALSE)</f>
        <v>#N/A</v>
      </c>
      <c r="R720" t="e">
        <f>VLOOKUP(Table3[[#This Row],[Census Tract]],'ES Energy Burden'!$B$2:$E$914,4,FALSE)</f>
        <v>#N/A</v>
      </c>
    </row>
    <row r="721" spans="1:18" hidden="1" x14ac:dyDescent="0.25">
      <c r="A721" s="140">
        <v>9011702100</v>
      </c>
      <c r="B721" s="39" t="s">
        <v>2840</v>
      </c>
      <c r="C721" s="39" t="s">
        <v>944</v>
      </c>
      <c r="D721" s="41">
        <v>69336.15201215999</v>
      </c>
      <c r="E721" s="37">
        <v>6.1512548902311346E-4</v>
      </c>
      <c r="F721" s="41">
        <v>20803.311399999999</v>
      </c>
      <c r="G721" s="37">
        <v>2.5452127718050539E-4</v>
      </c>
      <c r="H721" s="41">
        <v>69336.15201215999</v>
      </c>
      <c r="I721" s="37">
        <v>6.1512548902311346E-4</v>
      </c>
      <c r="J721" s="42">
        <v>20803.311399999999</v>
      </c>
      <c r="K721" s="37">
        <v>2.5452127718050539E-4</v>
      </c>
      <c r="L721" s="38">
        <v>0</v>
      </c>
      <c r="M721" s="37">
        <v>0</v>
      </c>
      <c r="N721" s="42">
        <v>0</v>
      </c>
      <c r="O721" s="37">
        <v>0</v>
      </c>
      <c r="Q721">
        <f>VLOOKUP(Table3[[#This Row],[Census Tract]],'Population and Diversity Data'!$B$2:$K$823,10,FALSE)</f>
        <v>4</v>
      </c>
      <c r="R721" t="str">
        <f>VLOOKUP(Table3[[#This Row],[Census Tract]],'ES Energy Burden'!$B$2:$E$914,4,FALSE)</f>
        <v>No</v>
      </c>
    </row>
    <row r="722" spans="1:18" hidden="1" x14ac:dyDescent="0.25">
      <c r="A722" s="140">
        <v>9011702800</v>
      </c>
      <c r="B722" s="39" t="s">
        <v>2840</v>
      </c>
      <c r="C722" s="39" t="s">
        <v>944</v>
      </c>
      <c r="D722" s="41">
        <v>23357.275430400001</v>
      </c>
      <c r="E722" s="37">
        <v>2.0721737584820964E-4</v>
      </c>
      <c r="F722" s="41">
        <v>8097.3274000000001</v>
      </c>
      <c r="G722" s="37">
        <v>9.9067983551729243E-5</v>
      </c>
      <c r="H722" s="41">
        <v>23357.275430400001</v>
      </c>
      <c r="I722" s="37">
        <v>2.0721737584820964E-4</v>
      </c>
      <c r="J722" s="42">
        <v>8097.3274000000001</v>
      </c>
      <c r="K722" s="37">
        <v>9.9067983551729243E-5</v>
      </c>
      <c r="L722" s="38">
        <v>0</v>
      </c>
      <c r="M722" s="37">
        <v>0</v>
      </c>
      <c r="N722" s="42">
        <v>0</v>
      </c>
      <c r="O722" s="37">
        <v>0</v>
      </c>
      <c r="Q722">
        <f>VLOOKUP(Table3[[#This Row],[Census Tract]],'Population and Diversity Data'!$B$2:$K$823,10,FALSE)</f>
        <v>5</v>
      </c>
      <c r="R722" t="str">
        <f>VLOOKUP(Table3[[#This Row],[Census Tract]],'ES Energy Burden'!$B$2:$E$914,4,FALSE)</f>
        <v>No</v>
      </c>
    </row>
    <row r="723" spans="1:18" hidden="1" x14ac:dyDescent="0.25">
      <c r="A723" s="140">
        <v>9011702900</v>
      </c>
      <c r="B723" s="39" t="s">
        <v>2840</v>
      </c>
      <c r="C723" s="39" t="s">
        <v>944</v>
      </c>
      <c r="D723" s="41">
        <v>2033.2870560000001</v>
      </c>
      <c r="E723" s="37">
        <v>1.8038593985241895E-5</v>
      </c>
      <c r="F723" s="41">
        <v>0</v>
      </c>
      <c r="G723" s="37">
        <v>0</v>
      </c>
      <c r="H723" s="41">
        <v>2033.2870560000001</v>
      </c>
      <c r="I723" s="37">
        <v>1.8038593985241895E-5</v>
      </c>
      <c r="J723" s="42">
        <v>0</v>
      </c>
      <c r="K723" s="37">
        <v>0</v>
      </c>
      <c r="L723" s="38">
        <v>0</v>
      </c>
      <c r="M723" s="37">
        <v>0</v>
      </c>
      <c r="N723" s="42">
        <v>0</v>
      </c>
      <c r="O723" s="37">
        <v>0</v>
      </c>
      <c r="Q723">
        <f>VLOOKUP(Table3[[#This Row],[Census Tract]],'Population and Diversity Data'!$B$2:$K$823,10,FALSE)</f>
        <v>2</v>
      </c>
      <c r="R723" t="str">
        <f>VLOOKUP(Table3[[#This Row],[Census Tract]],'ES Energy Burden'!$B$2:$E$914,4,FALSE)</f>
        <v>No</v>
      </c>
    </row>
    <row r="724" spans="1:18" hidden="1" x14ac:dyDescent="0.25">
      <c r="A724" s="140">
        <v>9011703000</v>
      </c>
      <c r="B724" s="39" t="s">
        <v>2840</v>
      </c>
      <c r="C724" s="39" t="s">
        <v>944</v>
      </c>
      <c r="D724" s="41">
        <v>88393.719830400005</v>
      </c>
      <c r="E724" s="37">
        <v>7.8419740004768436E-4</v>
      </c>
      <c r="F724" s="41">
        <v>26386.0635</v>
      </c>
      <c r="G724" s="37">
        <v>3.2282430679694184E-4</v>
      </c>
      <c r="H724" s="41">
        <v>88393.719830400005</v>
      </c>
      <c r="I724" s="37">
        <v>7.8419740004768436E-4</v>
      </c>
      <c r="J724" s="42">
        <v>26386.0635</v>
      </c>
      <c r="K724" s="37">
        <v>3.2282430679694184E-4</v>
      </c>
      <c r="L724" s="38">
        <v>0</v>
      </c>
      <c r="M724" s="37">
        <v>0</v>
      </c>
      <c r="N724" s="42">
        <v>0</v>
      </c>
      <c r="O724" s="37">
        <v>0</v>
      </c>
      <c r="Q724">
        <f>VLOOKUP(Table3[[#This Row],[Census Tract]],'Population and Diversity Data'!$B$2:$K$823,10,FALSE)</f>
        <v>2</v>
      </c>
      <c r="R724" t="str">
        <f>VLOOKUP(Table3[[#This Row],[Census Tract]],'ES Energy Burden'!$B$2:$E$914,4,FALSE)</f>
        <v>No</v>
      </c>
    </row>
    <row r="725" spans="1:18" hidden="1" x14ac:dyDescent="0.25">
      <c r="A725" s="140">
        <v>9011705101</v>
      </c>
      <c r="B725" s="39" t="s">
        <v>2840</v>
      </c>
      <c r="C725" s="39" t="s">
        <v>944</v>
      </c>
      <c r="D725" s="41">
        <v>81245.80684224001</v>
      </c>
      <c r="E725" s="37">
        <v>7.2078367798872919E-4</v>
      </c>
      <c r="F725" s="41">
        <v>51276.364600000001</v>
      </c>
      <c r="G725" s="37">
        <v>6.2734848102909504E-4</v>
      </c>
      <c r="H725" s="41">
        <v>81245.80684224001</v>
      </c>
      <c r="I725" s="37">
        <v>7.2078367798872919E-4</v>
      </c>
      <c r="J725" s="42">
        <v>51276.364600000001</v>
      </c>
      <c r="K725" s="37">
        <v>6.2734848102909504E-4</v>
      </c>
      <c r="L725" s="38">
        <v>0</v>
      </c>
      <c r="M725" s="37">
        <v>0</v>
      </c>
      <c r="N725" s="42">
        <v>0</v>
      </c>
      <c r="O725" s="37">
        <v>0</v>
      </c>
      <c r="Q725">
        <f>VLOOKUP(Table3[[#This Row],[Census Tract]],'Population and Diversity Data'!$B$2:$K$823,10,FALSE)</f>
        <v>1</v>
      </c>
      <c r="R725" t="str">
        <f>VLOOKUP(Table3[[#This Row],[Census Tract]],'ES Energy Burden'!$B$2:$E$914,4,FALSE)</f>
        <v>No</v>
      </c>
    </row>
    <row r="726" spans="1:18" hidden="1" x14ac:dyDescent="0.25">
      <c r="A726" s="140">
        <v>9011705102</v>
      </c>
      <c r="B726" s="39" t="s">
        <v>2840</v>
      </c>
      <c r="C726" s="39" t="s">
        <v>944</v>
      </c>
      <c r="D726" s="41">
        <v>70169.614752960013</v>
      </c>
      <c r="E726" s="37">
        <v>6.2251967172779034E-4</v>
      </c>
      <c r="F726" s="41">
        <v>12001.766100000001</v>
      </c>
      <c r="G726" s="37">
        <v>1.4683743263073463E-4</v>
      </c>
      <c r="H726" s="41">
        <v>70168.092877440009</v>
      </c>
      <c r="I726" s="37">
        <v>6.2250617019365116E-4</v>
      </c>
      <c r="J726" s="42">
        <v>12001.766100000001</v>
      </c>
      <c r="K726" s="37">
        <v>1.4683743263073463E-4</v>
      </c>
      <c r="L726" s="38">
        <v>1.52187552</v>
      </c>
      <c r="M726" s="37">
        <v>1.3501534139190861E-8</v>
      </c>
      <c r="N726" s="42">
        <v>0</v>
      </c>
      <c r="O726" s="37">
        <v>0</v>
      </c>
      <c r="Q726">
        <f>VLOOKUP(Table3[[#This Row],[Census Tract]],'Population and Diversity Data'!$B$2:$K$823,10,FALSE)</f>
        <v>4</v>
      </c>
      <c r="R726" t="str">
        <f>VLOOKUP(Table3[[#This Row],[Census Tract]],'ES Energy Burden'!$B$2:$E$914,4,FALSE)</f>
        <v>No</v>
      </c>
    </row>
    <row r="727" spans="1:18" hidden="1" x14ac:dyDescent="0.25">
      <c r="A727" s="140">
        <v>9011705200</v>
      </c>
      <c r="B727" s="39" t="s">
        <v>2840</v>
      </c>
      <c r="C727" s="39" t="s">
        <v>944</v>
      </c>
      <c r="D727" s="41">
        <v>323531.31702239998</v>
      </c>
      <c r="E727" s="37">
        <v>2.8702538837574012E-3</v>
      </c>
      <c r="F727" s="41">
        <v>271299.88939999999</v>
      </c>
      <c r="G727" s="37">
        <v>3.319259757320071E-3</v>
      </c>
      <c r="H727" s="41">
        <v>112087.26838944</v>
      </c>
      <c r="I727" s="37">
        <v>9.9439807056537219E-4</v>
      </c>
      <c r="J727" s="42">
        <v>191467.23939999999</v>
      </c>
      <c r="K727" s="37">
        <v>2.3425350596017894E-3</v>
      </c>
      <c r="L727" s="38">
        <v>211444.04863296001</v>
      </c>
      <c r="M727" s="37">
        <v>1.875855813192029E-3</v>
      </c>
      <c r="N727" s="42">
        <v>79832.649999999994</v>
      </c>
      <c r="O727" s="37">
        <v>9.7672469771828137E-4</v>
      </c>
      <c r="Q727">
        <f>VLOOKUP(Table3[[#This Row],[Census Tract]],'Population and Diversity Data'!$B$2:$K$823,10,FALSE)</f>
        <v>2</v>
      </c>
      <c r="R727" t="str">
        <f>VLOOKUP(Table3[[#This Row],[Census Tract]],'ES Energy Burden'!$B$2:$E$914,4,FALSE)</f>
        <v>No</v>
      </c>
    </row>
    <row r="728" spans="1:18" hidden="1" x14ac:dyDescent="0.25">
      <c r="A728" s="140">
        <v>9011705300</v>
      </c>
      <c r="B728" s="39" t="s">
        <v>2840</v>
      </c>
      <c r="C728" s="39" t="s">
        <v>944</v>
      </c>
      <c r="D728" s="41">
        <v>81742.746957120005</v>
      </c>
      <c r="E728" s="37">
        <v>7.2519235257348478E-4</v>
      </c>
      <c r="F728" s="41">
        <v>22836.517100000001</v>
      </c>
      <c r="G728" s="37">
        <v>2.7939684153583609E-4</v>
      </c>
      <c r="H728" s="41">
        <v>81740.860966079999</v>
      </c>
      <c r="I728" s="37">
        <v>7.2517562073695922E-4</v>
      </c>
      <c r="J728" s="42">
        <v>22836.517100000001</v>
      </c>
      <c r="K728" s="37">
        <v>2.7939684153583609E-4</v>
      </c>
      <c r="L728" s="38">
        <v>1.88599104</v>
      </c>
      <c r="M728" s="37">
        <v>1.673183652547882E-8</v>
      </c>
      <c r="N728" s="42">
        <v>0</v>
      </c>
      <c r="O728" s="37">
        <v>0</v>
      </c>
      <c r="Q728">
        <f>VLOOKUP(Table3[[#This Row],[Census Tract]],'Population and Diversity Data'!$B$2:$K$823,10,FALSE)</f>
        <v>3</v>
      </c>
      <c r="R728" t="str">
        <f>VLOOKUP(Table3[[#This Row],[Census Tract]],'ES Energy Burden'!$B$2:$E$914,4,FALSE)</f>
        <v>No</v>
      </c>
    </row>
    <row r="729" spans="1:18" hidden="1" x14ac:dyDescent="0.25">
      <c r="A729" s="140">
        <v>9011705400</v>
      </c>
      <c r="B729" s="39" t="s">
        <v>2840</v>
      </c>
      <c r="C729" s="39" t="s">
        <v>944</v>
      </c>
      <c r="D729" s="41">
        <v>64517.608149120002</v>
      </c>
      <c r="E729" s="37">
        <v>5.7237709494419237E-4</v>
      </c>
      <c r="F729" s="41">
        <v>23641.341400000001</v>
      </c>
      <c r="G729" s="37">
        <v>2.8924358683533229E-4</v>
      </c>
      <c r="H729" s="41">
        <v>64517.608149120002</v>
      </c>
      <c r="I729" s="37">
        <v>5.7237709494419237E-4</v>
      </c>
      <c r="J729" s="42">
        <v>23641.341400000001</v>
      </c>
      <c r="K729" s="37">
        <v>2.8924358683533229E-4</v>
      </c>
      <c r="L729" s="38">
        <v>0</v>
      </c>
      <c r="M729" s="37">
        <v>0</v>
      </c>
      <c r="N729" s="42">
        <v>0</v>
      </c>
      <c r="O729" s="37">
        <v>0</v>
      </c>
      <c r="Q729">
        <f>VLOOKUP(Table3[[#This Row],[Census Tract]],'Population and Diversity Data'!$B$2:$K$823,10,FALSE)</f>
        <v>1</v>
      </c>
      <c r="R729" t="str">
        <f>VLOOKUP(Table3[[#This Row],[Census Tract]],'ES Energy Burden'!$B$2:$E$914,4,FALSE)</f>
        <v>No</v>
      </c>
    </row>
    <row r="730" spans="1:18" hidden="1" x14ac:dyDescent="0.25">
      <c r="A730" s="140">
        <v>9003470100</v>
      </c>
      <c r="B730" s="39" t="s">
        <v>2841</v>
      </c>
      <c r="C730" s="39" t="s">
        <v>944</v>
      </c>
      <c r="D730" s="41">
        <v>152.5522464</v>
      </c>
      <c r="E730" s="37">
        <v>1.3533888519212503E-6</v>
      </c>
      <c r="F730" s="41">
        <v>0</v>
      </c>
      <c r="G730" s="37">
        <v>0</v>
      </c>
      <c r="H730" s="41">
        <v>152.5522464</v>
      </c>
      <c r="I730" s="37">
        <v>1.3533888519212503E-6</v>
      </c>
      <c r="J730" s="42">
        <v>0</v>
      </c>
      <c r="K730" s="37">
        <v>0</v>
      </c>
      <c r="L730" s="38">
        <v>0</v>
      </c>
      <c r="M730" s="37">
        <v>0</v>
      </c>
      <c r="N730" s="42">
        <v>0</v>
      </c>
      <c r="O730" s="37">
        <v>0</v>
      </c>
      <c r="Q730">
        <f>VLOOKUP(Table3[[#This Row],[Census Tract]],'Population and Diversity Data'!$B$2:$K$823,10,FALSE)</f>
        <v>3</v>
      </c>
      <c r="R730" t="str">
        <f>VLOOKUP(Table3[[#This Row],[Census Tract]],'ES Energy Burden'!$B$2:$E$914,4,FALSE)</f>
        <v>No</v>
      </c>
    </row>
    <row r="731" spans="1:18" hidden="1" x14ac:dyDescent="0.25">
      <c r="A731" s="140">
        <v>9003477101</v>
      </c>
      <c r="B731" s="39" t="s">
        <v>2841</v>
      </c>
      <c r="C731" s="39" t="s">
        <v>944</v>
      </c>
      <c r="D731" s="41">
        <v>94801.637200320009</v>
      </c>
      <c r="E731" s="37">
        <v>8.4104614621260661E-4</v>
      </c>
      <c r="F731" s="41">
        <v>24103.85</v>
      </c>
      <c r="G731" s="37">
        <v>2.9490221864233236E-4</v>
      </c>
      <c r="H731" s="41">
        <v>94801.637200320009</v>
      </c>
      <c r="I731" s="37">
        <v>8.4104614621260661E-4</v>
      </c>
      <c r="J731" s="42">
        <v>24103.85</v>
      </c>
      <c r="K731" s="37">
        <v>2.9490221864233236E-4</v>
      </c>
      <c r="L731" s="38">
        <v>0</v>
      </c>
      <c r="M731" s="37">
        <v>0</v>
      </c>
      <c r="N731" s="42">
        <v>0</v>
      </c>
      <c r="O731" s="37">
        <v>0</v>
      </c>
      <c r="Q731">
        <f>VLOOKUP(Table3[[#This Row],[Census Tract]],'Population and Diversity Data'!$B$2:$K$823,10,FALSE)</f>
        <v>1</v>
      </c>
      <c r="R731" t="str">
        <f>VLOOKUP(Table3[[#This Row],[Census Tract]],'ES Energy Burden'!$B$2:$E$914,4,FALSE)</f>
        <v>No</v>
      </c>
    </row>
    <row r="732" spans="1:18" hidden="1" x14ac:dyDescent="0.25">
      <c r="A732" s="140">
        <v>9003477102</v>
      </c>
      <c r="B732" s="39" t="s">
        <v>2841</v>
      </c>
      <c r="C732" s="39" t="s">
        <v>944</v>
      </c>
      <c r="D732" s="41">
        <v>655629.93763775995</v>
      </c>
      <c r="E732" s="37">
        <v>5.8165138142781811E-3</v>
      </c>
      <c r="F732" s="41">
        <v>130820.77500000001</v>
      </c>
      <c r="G732" s="37">
        <v>1.6005466675244565E-3</v>
      </c>
      <c r="H732" s="41">
        <v>136802.6842896</v>
      </c>
      <c r="I732" s="37">
        <v>1.2136643818733501E-3</v>
      </c>
      <c r="J732" s="42">
        <v>120601.675</v>
      </c>
      <c r="K732" s="37">
        <v>1.4755195344097109E-3</v>
      </c>
      <c r="L732" s="38">
        <v>518827.25334815995</v>
      </c>
      <c r="M732" s="37">
        <v>4.6028494324048307E-3</v>
      </c>
      <c r="N732" s="42">
        <v>10219.1</v>
      </c>
      <c r="O732" s="37">
        <v>1.2502713311474551E-4</v>
      </c>
      <c r="Q732">
        <f>VLOOKUP(Table3[[#This Row],[Census Tract]],'Population and Diversity Data'!$B$2:$K$823,10,FALSE)</f>
        <v>4</v>
      </c>
      <c r="R732" t="str">
        <f>VLOOKUP(Table3[[#This Row],[Census Tract]],'ES Energy Burden'!$B$2:$E$914,4,FALSE)</f>
        <v>No</v>
      </c>
    </row>
    <row r="733" spans="1:18" hidden="1" x14ac:dyDescent="0.25">
      <c r="A733" s="140">
        <v>9003477200</v>
      </c>
      <c r="B733" s="39" t="s">
        <v>2841</v>
      </c>
      <c r="C733" s="39" t="s">
        <v>944</v>
      </c>
      <c r="D733" s="41">
        <v>64815.635833919994</v>
      </c>
      <c r="E733" s="37">
        <v>5.7502108974394513E-4</v>
      </c>
      <c r="F733" s="41">
        <v>12768.789500000001</v>
      </c>
      <c r="G733" s="37">
        <v>1.5622169707025716E-4</v>
      </c>
      <c r="H733" s="41">
        <v>64815.635833919994</v>
      </c>
      <c r="I733" s="37">
        <v>5.7502108974394513E-4</v>
      </c>
      <c r="J733" s="42">
        <v>12768.789500000001</v>
      </c>
      <c r="K733" s="37">
        <v>1.5622169707025716E-4</v>
      </c>
      <c r="L733" s="38">
        <v>0</v>
      </c>
      <c r="M733" s="37">
        <v>0</v>
      </c>
      <c r="N733" s="42">
        <v>0</v>
      </c>
      <c r="O733" s="37">
        <v>0</v>
      </c>
      <c r="Q733">
        <f>VLOOKUP(Table3[[#This Row],[Census Tract]],'Population and Diversity Data'!$B$2:$K$823,10,FALSE)</f>
        <v>1</v>
      </c>
      <c r="R733" t="str">
        <f>VLOOKUP(Table3[[#This Row],[Census Tract]],'ES Energy Burden'!$B$2:$E$914,4,FALSE)</f>
        <v>No</v>
      </c>
    </row>
    <row r="734" spans="1:18" hidden="1" x14ac:dyDescent="0.25">
      <c r="A734" s="140">
        <v>9005300500</v>
      </c>
      <c r="B734" s="39" t="s">
        <v>2842</v>
      </c>
      <c r="C734" s="39" t="s">
        <v>944</v>
      </c>
      <c r="D734" s="41">
        <v>2560.0510684800001</v>
      </c>
      <c r="E734" s="37">
        <v>2.2711855499952295E-5</v>
      </c>
      <c r="F734" s="41">
        <v>933.36</v>
      </c>
      <c r="G734" s="37">
        <v>1.1419334869409134E-5</v>
      </c>
      <c r="H734" s="41">
        <v>2560.0510684800001</v>
      </c>
      <c r="I734" s="37">
        <v>2.2711855499952295E-5</v>
      </c>
      <c r="J734" s="42">
        <v>933.36</v>
      </c>
      <c r="K734" s="37">
        <v>1.1419334869409134E-5</v>
      </c>
      <c r="L734" s="38">
        <v>0</v>
      </c>
      <c r="M734" s="37">
        <v>0</v>
      </c>
      <c r="N734" s="42">
        <v>0</v>
      </c>
      <c r="O734" s="37">
        <v>0</v>
      </c>
      <c r="Q734">
        <f>VLOOKUP(Table3[[#This Row],[Census Tract]],'Population and Diversity Data'!$B$2:$K$823,10,FALSE)</f>
        <v>1</v>
      </c>
      <c r="R734" t="str">
        <f>VLOOKUP(Table3[[#This Row],[Census Tract]],'ES Energy Burden'!$B$2:$E$914,4,FALSE)</f>
        <v>No</v>
      </c>
    </row>
    <row r="735" spans="1:18" hidden="1" x14ac:dyDescent="0.25">
      <c r="A735" s="140">
        <v>9005349100</v>
      </c>
      <c r="B735" s="39" t="s">
        <v>2842</v>
      </c>
      <c r="C735" s="39" t="s">
        <v>944</v>
      </c>
      <c r="D735" s="41">
        <v>172920.63703680001</v>
      </c>
      <c r="E735" s="37">
        <v>1.5340899131638483E-3</v>
      </c>
      <c r="F735" s="41">
        <v>101751.56359999999</v>
      </c>
      <c r="G735" s="37">
        <v>1.2448949796802747E-3</v>
      </c>
      <c r="H735" s="41">
        <v>106189.790616</v>
      </c>
      <c r="I735" s="37">
        <v>9.420777615474445E-4</v>
      </c>
      <c r="J735" s="42">
        <v>90896.353600000002</v>
      </c>
      <c r="K735" s="37">
        <v>1.1120852620281805E-3</v>
      </c>
      <c r="L735" s="38">
        <v>66730.846420800008</v>
      </c>
      <c r="M735" s="37">
        <v>5.9201215161640384E-4</v>
      </c>
      <c r="N735" s="42">
        <v>10855.21</v>
      </c>
      <c r="O735" s="37">
        <v>1.3280971765209428E-4</v>
      </c>
      <c r="Q735">
        <f>VLOOKUP(Table3[[#This Row],[Census Tract]],'Population and Diversity Data'!$B$2:$K$823,10,FALSE)</f>
        <v>1</v>
      </c>
      <c r="R735" t="str">
        <f>VLOOKUP(Table3[[#This Row],[Census Tract]],'ES Energy Burden'!$B$2:$E$914,4,FALSE)</f>
        <v>No</v>
      </c>
    </row>
    <row r="736" spans="1:18" hidden="1" x14ac:dyDescent="0.25">
      <c r="A736" s="140">
        <v>9005349200</v>
      </c>
      <c r="B736" s="39" t="s">
        <v>2842</v>
      </c>
      <c r="C736" s="39" t="s">
        <v>944</v>
      </c>
      <c r="D736" s="41">
        <v>51583.641946560005</v>
      </c>
      <c r="E736" s="37">
        <v>4.576315826180564E-4</v>
      </c>
      <c r="F736" s="41">
        <v>34946.99</v>
      </c>
      <c r="G736" s="37">
        <v>4.2756426404376907E-4</v>
      </c>
      <c r="H736" s="41">
        <v>51583.641946560005</v>
      </c>
      <c r="I736" s="37">
        <v>4.576315826180564E-4</v>
      </c>
      <c r="J736" s="42">
        <v>34946.99</v>
      </c>
      <c r="K736" s="37">
        <v>4.2756426404376907E-4</v>
      </c>
      <c r="L736" s="38">
        <v>0</v>
      </c>
      <c r="M736" s="37">
        <v>0</v>
      </c>
      <c r="N736" s="42">
        <v>0</v>
      </c>
      <c r="O736" s="37">
        <v>0</v>
      </c>
      <c r="Q736">
        <f>VLOOKUP(Table3[[#This Row],[Census Tract]],'Population and Diversity Data'!$B$2:$K$823,10,FALSE)</f>
        <v>1</v>
      </c>
      <c r="R736" t="str">
        <f>VLOOKUP(Table3[[#This Row],[Census Tract]],'ES Energy Burden'!$B$2:$E$914,4,FALSE)</f>
        <v>No</v>
      </c>
    </row>
    <row r="737" spans="1:18" hidden="1" x14ac:dyDescent="0.25">
      <c r="A737" s="140">
        <v>9005425300</v>
      </c>
      <c r="B737" s="39" t="s">
        <v>2842</v>
      </c>
      <c r="C737" s="39" t="s">
        <v>944</v>
      </c>
      <c r="D737" s="41">
        <v>125.9121888</v>
      </c>
      <c r="E737" s="37">
        <v>1.1170478092869546E-6</v>
      </c>
      <c r="F737" s="41">
        <v>0</v>
      </c>
      <c r="G737" s="37">
        <v>0</v>
      </c>
      <c r="H737" s="41">
        <v>125.9121888</v>
      </c>
      <c r="I737" s="37">
        <v>1.1170478092869546E-6</v>
      </c>
      <c r="J737" s="42">
        <v>0</v>
      </c>
      <c r="K737" s="37">
        <v>0</v>
      </c>
      <c r="L737" s="38">
        <v>0</v>
      </c>
      <c r="M737" s="37">
        <v>0</v>
      </c>
      <c r="N737" s="42">
        <v>0</v>
      </c>
      <c r="O737" s="37">
        <v>0</v>
      </c>
      <c r="Q737">
        <f>VLOOKUP(Table3[[#This Row],[Census Tract]],'Population and Diversity Data'!$B$2:$K$823,10,FALSE)</f>
        <v>1</v>
      </c>
      <c r="R737" t="str">
        <f>VLOOKUP(Table3[[#This Row],[Census Tract]],'ES Energy Burden'!$B$2:$E$914,4,FALSE)</f>
        <v>No</v>
      </c>
    </row>
    <row r="738" spans="1:18" hidden="1" x14ac:dyDescent="0.25">
      <c r="A738" s="140">
        <v>9015900100</v>
      </c>
      <c r="B738" s="39" t="s">
        <v>2843</v>
      </c>
      <c r="C738" s="39" t="s">
        <v>944</v>
      </c>
      <c r="D738" s="41">
        <v>131978.84541119999</v>
      </c>
      <c r="E738" s="37">
        <v>1.1708690123160071E-3</v>
      </c>
      <c r="F738" s="41">
        <v>55611.319199999998</v>
      </c>
      <c r="G738" s="37">
        <v>6.8038514236136286E-4</v>
      </c>
      <c r="H738" s="41">
        <v>114098.2118352</v>
      </c>
      <c r="I738" s="37">
        <v>1.012238440049015E-3</v>
      </c>
      <c r="J738" s="42">
        <v>45721.439200000001</v>
      </c>
      <c r="K738" s="37">
        <v>5.5938590140581308E-4</v>
      </c>
      <c r="L738" s="38">
        <v>17880.633576</v>
      </c>
      <c r="M738" s="37">
        <v>1.5863057226699219E-4</v>
      </c>
      <c r="N738" s="42">
        <v>9889.8799999999992</v>
      </c>
      <c r="O738" s="37">
        <v>1.2099924095554984E-4</v>
      </c>
      <c r="Q738">
        <f>VLOOKUP(Table3[[#This Row],[Census Tract]],'Population and Diversity Data'!$B$2:$K$823,10,FALSE)</f>
        <v>2</v>
      </c>
      <c r="R738" t="str">
        <f>VLOOKUP(Table3[[#This Row],[Census Tract]],'ES Energy Burden'!$B$2:$E$914,4,FALSE)</f>
        <v>No</v>
      </c>
    </row>
    <row r="739" spans="1:18" hidden="1" x14ac:dyDescent="0.25">
      <c r="A739" s="140">
        <v>9015900200</v>
      </c>
      <c r="B739" s="39" t="s">
        <v>2843</v>
      </c>
      <c r="C739" s="39" t="s">
        <v>944</v>
      </c>
      <c r="D739" s="41">
        <v>78065.277456960001</v>
      </c>
      <c r="E739" s="37">
        <v>6.9256716125544362E-4</v>
      </c>
      <c r="F739" s="41">
        <v>10634.31</v>
      </c>
      <c r="G739" s="37">
        <v>1.3010708300667078E-4</v>
      </c>
      <c r="H739" s="41">
        <v>78065.277456960001</v>
      </c>
      <c r="I739" s="37">
        <v>6.9256716125544362E-4</v>
      </c>
      <c r="J739" s="42">
        <v>10634.31</v>
      </c>
      <c r="K739" s="37">
        <v>1.3010708300667078E-4</v>
      </c>
      <c r="L739" s="38">
        <v>0</v>
      </c>
      <c r="M739" s="37">
        <v>0</v>
      </c>
      <c r="N739" s="42">
        <v>0</v>
      </c>
      <c r="O739" s="37">
        <v>0</v>
      </c>
      <c r="Q739">
        <f>VLOOKUP(Table3[[#This Row],[Census Tract]],'Population and Diversity Data'!$B$2:$K$823,10,FALSE)</f>
        <v>2</v>
      </c>
      <c r="R739" t="str">
        <f>VLOOKUP(Table3[[#This Row],[Census Tract]],'ES Energy Burden'!$B$2:$E$914,4,FALSE)</f>
        <v>No</v>
      </c>
    </row>
    <row r="740" spans="1:18" hidden="1" x14ac:dyDescent="0.25">
      <c r="A740" s="140">
        <v>9015901100</v>
      </c>
      <c r="B740" s="39" t="s">
        <v>2843</v>
      </c>
      <c r="C740" s="39" t="s">
        <v>944</v>
      </c>
      <c r="D740" s="41">
        <v>378.51805440000004</v>
      </c>
      <c r="E740" s="37">
        <v>3.3580765092940736E-6</v>
      </c>
      <c r="F740" s="41">
        <v>0</v>
      </c>
      <c r="G740" s="37">
        <v>0</v>
      </c>
      <c r="H740" s="41">
        <v>378.51805440000004</v>
      </c>
      <c r="I740" s="37">
        <v>3.3580765092940736E-6</v>
      </c>
      <c r="J740" s="42">
        <v>0</v>
      </c>
      <c r="K740" s="37">
        <v>0</v>
      </c>
      <c r="L740" s="38">
        <v>0</v>
      </c>
      <c r="M740" s="37">
        <v>0</v>
      </c>
      <c r="N740" s="42">
        <v>0</v>
      </c>
      <c r="O740" s="37">
        <v>0</v>
      </c>
      <c r="Q740">
        <f>VLOOKUP(Table3[[#This Row],[Census Tract]],'Population and Diversity Data'!$B$2:$K$823,10,FALSE)</f>
        <v>1</v>
      </c>
      <c r="R740" t="str">
        <f>VLOOKUP(Table3[[#This Row],[Census Tract]],'ES Energy Burden'!$B$2:$E$914,4,FALSE)</f>
        <v>No</v>
      </c>
    </row>
    <row r="741" spans="1:18" hidden="1" x14ac:dyDescent="0.25">
      <c r="A741" s="140">
        <v>9015903200</v>
      </c>
      <c r="B741" s="39" t="s">
        <v>2843</v>
      </c>
      <c r="C741" s="39" t="s">
        <v>944</v>
      </c>
      <c r="D741" s="41">
        <v>114.18408000000001</v>
      </c>
      <c r="E741" s="37">
        <v>1.0130002316300485E-6</v>
      </c>
      <c r="F741" s="41">
        <v>0</v>
      </c>
      <c r="G741" s="37">
        <v>0</v>
      </c>
      <c r="H741" s="41">
        <v>114.18408000000001</v>
      </c>
      <c r="I741" s="37">
        <v>1.0130002316300485E-6</v>
      </c>
      <c r="J741" s="42">
        <v>0</v>
      </c>
      <c r="K741" s="37">
        <v>0</v>
      </c>
      <c r="L741" s="38">
        <v>0</v>
      </c>
      <c r="M741" s="37">
        <v>0</v>
      </c>
      <c r="N741" s="42">
        <v>0</v>
      </c>
      <c r="O741" s="37">
        <v>0</v>
      </c>
      <c r="Q741">
        <f>VLOOKUP(Table3[[#This Row],[Census Tract]],'Population and Diversity Data'!$B$2:$K$823,10,FALSE)</f>
        <v>3</v>
      </c>
      <c r="R741" t="str">
        <f>VLOOKUP(Table3[[#This Row],[Census Tract]],'ES Energy Burden'!$B$2:$E$914,4,FALSE)</f>
        <v>No</v>
      </c>
    </row>
    <row r="742" spans="1:18" hidden="1" x14ac:dyDescent="0.25">
      <c r="A742" s="140">
        <v>9013530600</v>
      </c>
      <c r="B742" s="39" t="s">
        <v>2844</v>
      </c>
      <c r="C742" s="39" t="s">
        <v>944</v>
      </c>
      <c r="D742" s="41">
        <v>546.76373760000001</v>
      </c>
      <c r="E742" s="37">
        <v>4.850691907625923E-6</v>
      </c>
      <c r="F742" s="41">
        <v>0</v>
      </c>
      <c r="G742" s="37">
        <v>0</v>
      </c>
      <c r="H742" s="41">
        <v>546.76373760000001</v>
      </c>
      <c r="I742" s="37">
        <v>4.850691907625923E-6</v>
      </c>
      <c r="J742" s="42">
        <v>0</v>
      </c>
      <c r="K742" s="37">
        <v>0</v>
      </c>
      <c r="L742" s="38">
        <v>0</v>
      </c>
      <c r="M742" s="37">
        <v>0</v>
      </c>
      <c r="N742" s="42">
        <v>0</v>
      </c>
      <c r="O742" s="37">
        <v>0</v>
      </c>
      <c r="Q742">
        <f>VLOOKUP(Table3[[#This Row],[Census Tract]],'Population and Diversity Data'!$B$2:$K$823,10,FALSE)</f>
        <v>4</v>
      </c>
      <c r="R742" t="str">
        <f>VLOOKUP(Table3[[#This Row],[Census Tract]],'ES Energy Burden'!$B$2:$E$914,4,FALSE)</f>
        <v>No</v>
      </c>
    </row>
    <row r="743" spans="1:18" hidden="1" x14ac:dyDescent="0.25">
      <c r="A743" s="140">
        <v>9013533101</v>
      </c>
      <c r="B743" s="39" t="s">
        <v>2844</v>
      </c>
      <c r="C743" s="39" t="s">
        <v>944</v>
      </c>
      <c r="D743" s="41">
        <v>211485.03391584003</v>
      </c>
      <c r="E743" s="37">
        <v>1.8762194199316979E-3</v>
      </c>
      <c r="F743" s="41">
        <v>124145.8175</v>
      </c>
      <c r="G743" s="37">
        <v>1.5188808848344184E-3</v>
      </c>
      <c r="H743" s="41">
        <v>172674.64892736002</v>
      </c>
      <c r="I743" s="37">
        <v>1.5319075948245411E-3</v>
      </c>
      <c r="J743" s="42">
        <v>109420.7975</v>
      </c>
      <c r="K743" s="37">
        <v>1.3387253881999505E-3</v>
      </c>
      <c r="L743" s="38">
        <v>38810.38498848</v>
      </c>
      <c r="M743" s="37">
        <v>3.4431182510715673E-4</v>
      </c>
      <c r="N743" s="42">
        <v>14725.02</v>
      </c>
      <c r="O743" s="37">
        <v>1.8015549663446783E-4</v>
      </c>
      <c r="Q743">
        <f>VLOOKUP(Table3[[#This Row],[Census Tract]],'Population and Diversity Data'!$B$2:$K$823,10,FALSE)</f>
        <v>2</v>
      </c>
      <c r="R743" t="str">
        <f>VLOOKUP(Table3[[#This Row],[Census Tract]],'ES Energy Burden'!$B$2:$E$914,4,FALSE)</f>
        <v>No</v>
      </c>
    </row>
    <row r="744" spans="1:18" hidden="1" x14ac:dyDescent="0.25">
      <c r="A744" s="140">
        <v>9013533102</v>
      </c>
      <c r="B744" s="39" t="s">
        <v>2844</v>
      </c>
      <c r="C744" s="39" t="s">
        <v>944</v>
      </c>
      <c r="D744" s="41">
        <v>102545.04115008</v>
      </c>
      <c r="E744" s="37">
        <v>9.0974285064558799E-4</v>
      </c>
      <c r="F744" s="41">
        <v>28463.101999999999</v>
      </c>
      <c r="G744" s="37">
        <v>3.4823615021015348E-4</v>
      </c>
      <c r="H744" s="41">
        <v>102538.85292288</v>
      </c>
      <c r="I744" s="37">
        <v>9.0968795091186884E-4</v>
      </c>
      <c r="J744" s="42">
        <v>28463.101999999999</v>
      </c>
      <c r="K744" s="37">
        <v>3.4823615021015348E-4</v>
      </c>
      <c r="L744" s="38">
        <v>6.1882272</v>
      </c>
      <c r="M744" s="37">
        <v>5.4899733719265987E-8</v>
      </c>
      <c r="N744" s="42">
        <v>0</v>
      </c>
      <c r="O744" s="37">
        <v>0</v>
      </c>
      <c r="Q744">
        <f>VLOOKUP(Table3[[#This Row],[Census Tract]],'Population and Diversity Data'!$B$2:$K$823,10,FALSE)</f>
        <v>4</v>
      </c>
      <c r="R744" t="str">
        <f>VLOOKUP(Table3[[#This Row],[Census Tract]],'ES Energy Burden'!$B$2:$E$914,4,FALSE)</f>
        <v>No</v>
      </c>
    </row>
    <row r="745" spans="1:18" hidden="1" x14ac:dyDescent="0.25">
      <c r="A745" s="140">
        <v>9013535200</v>
      </c>
      <c r="B745" s="39" t="s">
        <v>2844</v>
      </c>
      <c r="C745" s="39" t="s">
        <v>944</v>
      </c>
      <c r="D745" s="41">
        <v>145.7156736</v>
      </c>
      <c r="E745" s="37">
        <v>1.2927372284203588E-6</v>
      </c>
      <c r="F745" s="41">
        <v>0</v>
      </c>
      <c r="G745" s="37">
        <v>0</v>
      </c>
      <c r="H745" s="41">
        <v>145.7156736</v>
      </c>
      <c r="I745" s="37">
        <v>1.2927372284203588E-6</v>
      </c>
      <c r="J745" s="42">
        <v>0</v>
      </c>
      <c r="K745" s="37">
        <v>0</v>
      </c>
      <c r="L745" s="38">
        <v>0</v>
      </c>
      <c r="M745" s="37">
        <v>0</v>
      </c>
      <c r="N745" s="42">
        <v>0</v>
      </c>
      <c r="O745" s="37">
        <v>0</v>
      </c>
      <c r="Q745">
        <f>VLOOKUP(Table3[[#This Row],[Census Tract]],'Population and Diversity Data'!$B$2:$K$823,10,FALSE)</f>
        <v>5</v>
      </c>
      <c r="R745" t="str">
        <f>VLOOKUP(Table3[[#This Row],[Census Tract]],'ES Energy Burden'!$B$2:$E$914,4,FALSE)</f>
        <v>No</v>
      </c>
    </row>
    <row r="746" spans="1:18" hidden="1" x14ac:dyDescent="0.25">
      <c r="A746" s="140">
        <v>9005300400</v>
      </c>
      <c r="B746" s="39" t="s">
        <v>2845</v>
      </c>
      <c r="C746" s="39" t="s">
        <v>944</v>
      </c>
      <c r="D746" s="41">
        <v>82.918771200000009</v>
      </c>
      <c r="E746" s="37">
        <v>7.3562561814290564E-7</v>
      </c>
      <c r="F746" s="41">
        <v>0</v>
      </c>
      <c r="G746" s="37">
        <v>0</v>
      </c>
      <c r="H746" s="41">
        <v>82.918771200000009</v>
      </c>
      <c r="I746" s="37">
        <v>7.3562561814290564E-7</v>
      </c>
      <c r="J746" s="42">
        <v>0</v>
      </c>
      <c r="K746" s="37">
        <v>0</v>
      </c>
      <c r="L746" s="38">
        <v>0</v>
      </c>
      <c r="M746" s="37">
        <v>0</v>
      </c>
      <c r="N746" s="42">
        <v>0</v>
      </c>
      <c r="O746" s="37">
        <v>0</v>
      </c>
      <c r="Q746">
        <f>VLOOKUP(Table3[[#This Row],[Census Tract]],'Population and Diversity Data'!$B$2:$K$823,10,FALSE)</f>
        <v>2</v>
      </c>
      <c r="R746" t="str">
        <f>VLOOKUP(Table3[[#This Row],[Census Tract]],'ES Energy Burden'!$B$2:$E$914,4,FALSE)</f>
        <v>No</v>
      </c>
    </row>
    <row r="747" spans="1:18" hidden="1" x14ac:dyDescent="0.25">
      <c r="A747" s="140">
        <v>9005306100</v>
      </c>
      <c r="B747" s="39" t="s">
        <v>2845</v>
      </c>
      <c r="C747" s="39" t="s">
        <v>944</v>
      </c>
      <c r="D747" s="41">
        <v>575.92192320000004</v>
      </c>
      <c r="E747" s="37">
        <v>5.1093728793227824E-6</v>
      </c>
      <c r="F747" s="41">
        <v>0</v>
      </c>
      <c r="G747" s="37">
        <v>0</v>
      </c>
      <c r="H747" s="41">
        <v>575.92192320000004</v>
      </c>
      <c r="I747" s="37">
        <v>5.1093728793227824E-6</v>
      </c>
      <c r="J747" s="42">
        <v>0</v>
      </c>
      <c r="K747" s="37">
        <v>0</v>
      </c>
      <c r="L747" s="38">
        <v>0</v>
      </c>
      <c r="M747" s="37">
        <v>0</v>
      </c>
      <c r="N747" s="42">
        <v>0</v>
      </c>
      <c r="O747" s="37">
        <v>0</v>
      </c>
      <c r="Q747">
        <f>VLOOKUP(Table3[[#This Row],[Census Tract]],'Population and Diversity Data'!$B$2:$K$823,10,FALSE)</f>
        <v>1</v>
      </c>
      <c r="R747" t="str">
        <f>VLOOKUP(Table3[[#This Row],[Census Tract]],'ES Energy Burden'!$B$2:$E$914,4,FALSE)</f>
        <v>No</v>
      </c>
    </row>
    <row r="748" spans="1:18" hidden="1" x14ac:dyDescent="0.25">
      <c r="A748" s="140">
        <v>9005310100</v>
      </c>
      <c r="B748" s="39" t="s">
        <v>2845</v>
      </c>
      <c r="C748" s="39" t="s">
        <v>944</v>
      </c>
      <c r="D748" s="41">
        <v>76307.070124799997</v>
      </c>
      <c r="E748" s="37">
        <v>6.769689759853802E-4</v>
      </c>
      <c r="F748" s="41">
        <v>20088.7081</v>
      </c>
      <c r="G748" s="37">
        <v>2.4577835442670748E-4</v>
      </c>
      <c r="H748" s="41">
        <v>76307.070124799997</v>
      </c>
      <c r="I748" s="37">
        <v>6.769689759853802E-4</v>
      </c>
      <c r="J748" s="42">
        <v>20088.7081</v>
      </c>
      <c r="K748" s="37">
        <v>2.4577835442670748E-4</v>
      </c>
      <c r="L748" s="38">
        <v>0</v>
      </c>
      <c r="M748" s="37">
        <v>0</v>
      </c>
      <c r="N748" s="42">
        <v>0</v>
      </c>
      <c r="O748" s="37">
        <v>0</v>
      </c>
      <c r="Q748">
        <f>VLOOKUP(Table3[[#This Row],[Census Tract]],'Population and Diversity Data'!$B$2:$K$823,10,FALSE)</f>
        <v>3</v>
      </c>
      <c r="R748" t="str">
        <f>VLOOKUP(Table3[[#This Row],[Census Tract]],'ES Energy Burden'!$B$2:$E$914,4,FALSE)</f>
        <v>No</v>
      </c>
    </row>
    <row r="749" spans="1:18" hidden="1" x14ac:dyDescent="0.25">
      <c r="A749" s="140">
        <v>9005310200</v>
      </c>
      <c r="B749" s="39" t="s">
        <v>2845</v>
      </c>
      <c r="C749" s="39" t="s">
        <v>944</v>
      </c>
      <c r="D749" s="41">
        <v>34487.976597120003</v>
      </c>
      <c r="E749" s="37">
        <v>3.0596496710692285E-4</v>
      </c>
      <c r="F749" s="41">
        <v>23654.6</v>
      </c>
      <c r="G749" s="37">
        <v>2.8940580119345729E-4</v>
      </c>
      <c r="H749" s="41">
        <v>34487.976597120003</v>
      </c>
      <c r="I749" s="37">
        <v>3.0596496710692285E-4</v>
      </c>
      <c r="J749" s="42">
        <v>23654.6</v>
      </c>
      <c r="K749" s="37">
        <v>2.8940580119345729E-4</v>
      </c>
      <c r="L749" s="38">
        <v>0</v>
      </c>
      <c r="M749" s="37">
        <v>0</v>
      </c>
      <c r="N749" s="42">
        <v>0</v>
      </c>
      <c r="O749" s="37">
        <v>0</v>
      </c>
      <c r="Q749">
        <f>VLOOKUP(Table3[[#This Row],[Census Tract]],'Population and Diversity Data'!$B$2:$K$823,10,FALSE)</f>
        <v>2</v>
      </c>
      <c r="R749" t="str">
        <f>VLOOKUP(Table3[[#This Row],[Census Tract]],'ES Energy Burden'!$B$2:$E$914,4,FALSE)</f>
        <v>No</v>
      </c>
    </row>
    <row r="750" spans="1:18" hidden="1" x14ac:dyDescent="0.25">
      <c r="A750" s="140">
        <v>9005310300</v>
      </c>
      <c r="B750" s="39" t="s">
        <v>2845</v>
      </c>
      <c r="C750" s="39" t="s">
        <v>944</v>
      </c>
      <c r="D750" s="41">
        <v>26950.979836799997</v>
      </c>
      <c r="E750" s="37">
        <v>2.3909943327769651E-4</v>
      </c>
      <c r="F750" s="41">
        <v>18765.400000000001</v>
      </c>
      <c r="G750" s="37">
        <v>2.2958814022286167E-4</v>
      </c>
      <c r="H750" s="41">
        <v>26950.979836799997</v>
      </c>
      <c r="I750" s="37">
        <v>2.3909943327769651E-4</v>
      </c>
      <c r="J750" s="42">
        <v>18765.400000000001</v>
      </c>
      <c r="K750" s="37">
        <v>2.2958814022286167E-4</v>
      </c>
      <c r="L750" s="38">
        <v>0</v>
      </c>
      <c r="M750" s="37">
        <v>0</v>
      </c>
      <c r="N750" s="42">
        <v>0</v>
      </c>
      <c r="O750" s="37">
        <v>0</v>
      </c>
      <c r="Q750">
        <f>VLOOKUP(Table3[[#This Row],[Census Tract]],'Population and Diversity Data'!$B$2:$K$823,10,FALSE)</f>
        <v>2</v>
      </c>
      <c r="R750" t="str">
        <f>VLOOKUP(Table3[[#This Row],[Census Tract]],'ES Energy Burden'!$B$2:$E$914,4,FALSE)</f>
        <v>Yes</v>
      </c>
    </row>
    <row r="751" spans="1:18" hidden="1" x14ac:dyDescent="0.25">
      <c r="A751" s="140">
        <v>9005310400</v>
      </c>
      <c r="B751" s="39" t="s">
        <v>2845</v>
      </c>
      <c r="C751" s="39" t="s">
        <v>944</v>
      </c>
      <c r="D751" s="41">
        <v>48205.948348799997</v>
      </c>
      <c r="E751" s="37">
        <v>4.2766589565971494E-4</v>
      </c>
      <c r="F751" s="41">
        <v>16981.6783</v>
      </c>
      <c r="G751" s="37">
        <v>2.0776492580813234E-4</v>
      </c>
      <c r="H751" s="41">
        <v>48205.948348799997</v>
      </c>
      <c r="I751" s="37">
        <v>4.2766589565971494E-4</v>
      </c>
      <c r="J751" s="42">
        <v>16981.6783</v>
      </c>
      <c r="K751" s="37">
        <v>2.0776492580813234E-4</v>
      </c>
      <c r="L751" s="38">
        <v>0</v>
      </c>
      <c r="M751" s="37">
        <v>0</v>
      </c>
      <c r="N751" s="42">
        <v>0</v>
      </c>
      <c r="O751" s="37">
        <v>0</v>
      </c>
      <c r="Q751">
        <f>VLOOKUP(Table3[[#This Row],[Census Tract]],'Population and Diversity Data'!$B$2:$K$823,10,FALSE)</f>
        <v>3</v>
      </c>
      <c r="R751" t="str">
        <f>VLOOKUP(Table3[[#This Row],[Census Tract]],'ES Energy Burden'!$B$2:$E$914,4,FALSE)</f>
        <v>No</v>
      </c>
    </row>
    <row r="752" spans="1:18" hidden="1" x14ac:dyDescent="0.25">
      <c r="A752" s="140">
        <v>9005310500</v>
      </c>
      <c r="B752" s="39" t="s">
        <v>2845</v>
      </c>
      <c r="C752" s="39" t="s">
        <v>944</v>
      </c>
      <c r="D752" s="41">
        <v>34178.324423040001</v>
      </c>
      <c r="E752" s="37">
        <v>3.0321784400475497E-4</v>
      </c>
      <c r="F752" s="41">
        <v>28920.17</v>
      </c>
      <c r="G752" s="37">
        <v>3.5382821816902369E-4</v>
      </c>
      <c r="H752" s="41">
        <v>34178.324423040001</v>
      </c>
      <c r="I752" s="37">
        <v>3.0321784400475497E-4</v>
      </c>
      <c r="J752" s="42">
        <v>28920.17</v>
      </c>
      <c r="K752" s="37">
        <v>3.5382821816902369E-4</v>
      </c>
      <c r="L752" s="38">
        <v>0</v>
      </c>
      <c r="M752" s="37">
        <v>0</v>
      </c>
      <c r="N752" s="42">
        <v>0</v>
      </c>
      <c r="O752" s="37">
        <v>0</v>
      </c>
      <c r="Q752">
        <f>VLOOKUP(Table3[[#This Row],[Census Tract]],'Population and Diversity Data'!$B$2:$K$823,10,FALSE)</f>
        <v>1</v>
      </c>
      <c r="R752" t="str">
        <f>VLOOKUP(Table3[[#This Row],[Census Tract]],'ES Energy Burden'!$B$2:$E$914,4,FALSE)</f>
        <v>No</v>
      </c>
    </row>
    <row r="753" spans="1:18" hidden="1" x14ac:dyDescent="0.25">
      <c r="A753" s="140">
        <v>9005310601</v>
      </c>
      <c r="B753" s="39" t="s">
        <v>2845</v>
      </c>
      <c r="C753" s="39" t="s">
        <v>944</v>
      </c>
      <c r="D753" s="41">
        <v>62090.761420800001</v>
      </c>
      <c r="E753" s="37">
        <v>5.5084698060672269E-4</v>
      </c>
      <c r="F753" s="41">
        <v>13849.6288</v>
      </c>
      <c r="G753" s="37">
        <v>1.694453898648035E-4</v>
      </c>
      <c r="H753" s="41">
        <v>62090.761420800001</v>
      </c>
      <c r="I753" s="37">
        <v>5.5084698060672269E-4</v>
      </c>
      <c r="J753" s="42">
        <v>13849.6288</v>
      </c>
      <c r="K753" s="37">
        <v>1.694453898648035E-4</v>
      </c>
      <c r="L753" s="38">
        <v>0</v>
      </c>
      <c r="M753" s="37">
        <v>0</v>
      </c>
      <c r="N753" s="42">
        <v>0</v>
      </c>
      <c r="O753" s="37">
        <v>0</v>
      </c>
      <c r="Q753">
        <f>VLOOKUP(Table3[[#This Row],[Census Tract]],'Population and Diversity Data'!$B$2:$K$823,10,FALSE)</f>
        <v>3</v>
      </c>
      <c r="R753" t="str">
        <f>VLOOKUP(Table3[[#This Row],[Census Tract]],'ES Energy Burden'!$B$2:$E$914,4,FALSE)</f>
        <v>No</v>
      </c>
    </row>
    <row r="754" spans="1:18" hidden="1" x14ac:dyDescent="0.25">
      <c r="A754" s="140">
        <v>9005310602</v>
      </c>
      <c r="B754" s="39" t="s">
        <v>2845</v>
      </c>
      <c r="C754" s="39" t="s">
        <v>944</v>
      </c>
      <c r="D754" s="41">
        <v>72546.218170559994</v>
      </c>
      <c r="E754" s="37">
        <v>6.4360404542087907E-4</v>
      </c>
      <c r="F754" s="41">
        <v>39940.89</v>
      </c>
      <c r="G754" s="37">
        <v>4.8866289308759168E-4</v>
      </c>
      <c r="H754" s="41">
        <v>72546.218170559994</v>
      </c>
      <c r="I754" s="37">
        <v>6.4360404542087907E-4</v>
      </c>
      <c r="J754" s="42">
        <v>39940.89</v>
      </c>
      <c r="K754" s="37">
        <v>4.8866289308759168E-4</v>
      </c>
      <c r="L754" s="38">
        <v>0</v>
      </c>
      <c r="M754" s="37">
        <v>0</v>
      </c>
      <c r="N754" s="42">
        <v>0</v>
      </c>
      <c r="O754" s="37">
        <v>0</v>
      </c>
      <c r="Q754">
        <f>VLOOKUP(Table3[[#This Row],[Census Tract]],'Population and Diversity Data'!$B$2:$K$823,10,FALSE)</f>
        <v>1</v>
      </c>
      <c r="R754" t="str">
        <f>VLOOKUP(Table3[[#This Row],[Census Tract]],'ES Energy Burden'!$B$2:$E$914,4,FALSE)</f>
        <v>No</v>
      </c>
    </row>
    <row r="755" spans="1:18" hidden="1" x14ac:dyDescent="0.25">
      <c r="A755" s="140">
        <v>9005310700</v>
      </c>
      <c r="B755" s="39" t="s">
        <v>2845</v>
      </c>
      <c r="C755" s="39" t="s">
        <v>944</v>
      </c>
      <c r="D755" s="41">
        <v>373023.51183936</v>
      </c>
      <c r="E755" s="37">
        <v>3.3093308970631083E-3</v>
      </c>
      <c r="F755" s="41">
        <v>358572.60279999999</v>
      </c>
      <c r="G755" s="37">
        <v>4.3870110422225411E-3</v>
      </c>
      <c r="H755" s="41">
        <v>144404.28637344</v>
      </c>
      <c r="I755" s="37">
        <v>1.281103070976852E-3</v>
      </c>
      <c r="J755" s="42">
        <v>197409.5528</v>
      </c>
      <c r="K755" s="37">
        <v>2.4152371966267073E-3</v>
      </c>
      <c r="L755" s="38">
        <v>228619.22546592</v>
      </c>
      <c r="M755" s="37">
        <v>2.0282278260862563E-3</v>
      </c>
      <c r="N755" s="42">
        <v>161163.04999999999</v>
      </c>
      <c r="O755" s="37">
        <v>1.9717738455958338E-3</v>
      </c>
      <c r="Q755">
        <f>VLOOKUP(Table3[[#This Row],[Census Tract]],'Population and Diversity Data'!$B$2:$K$823,10,FALSE)</f>
        <v>1</v>
      </c>
      <c r="R755" t="str">
        <f>VLOOKUP(Table3[[#This Row],[Census Tract]],'ES Energy Burden'!$B$2:$E$914,4,FALSE)</f>
        <v>No</v>
      </c>
    </row>
    <row r="756" spans="1:18" hidden="1" x14ac:dyDescent="0.25">
      <c r="A756" s="140">
        <v>9005310801</v>
      </c>
      <c r="B756" s="39" t="s">
        <v>2845</v>
      </c>
      <c r="C756" s="39" t="s">
        <v>944</v>
      </c>
      <c r="D756" s="41">
        <v>36919.849161600003</v>
      </c>
      <c r="E756" s="37">
        <v>3.2753966886143191E-4</v>
      </c>
      <c r="F756" s="41">
        <v>3462.34</v>
      </c>
      <c r="G756" s="37">
        <v>4.2360525297580805E-5</v>
      </c>
      <c r="H756" s="41">
        <v>36919.849161600003</v>
      </c>
      <c r="I756" s="37">
        <v>3.2753966886143191E-4</v>
      </c>
      <c r="J756" s="42">
        <v>3462.34</v>
      </c>
      <c r="K756" s="37">
        <v>4.2360525297580805E-5</v>
      </c>
      <c r="L756" s="38">
        <v>0</v>
      </c>
      <c r="M756" s="37">
        <v>0</v>
      </c>
      <c r="N756" s="42">
        <v>0</v>
      </c>
      <c r="O756" s="37">
        <v>0</v>
      </c>
      <c r="Q756">
        <f>VLOOKUP(Table3[[#This Row],[Census Tract]],'Population and Diversity Data'!$B$2:$K$823,10,FALSE)</f>
        <v>3</v>
      </c>
      <c r="R756" t="str">
        <f>VLOOKUP(Table3[[#This Row],[Census Tract]],'ES Energy Burden'!$B$2:$E$914,4,FALSE)</f>
        <v>No</v>
      </c>
    </row>
    <row r="757" spans="1:18" hidden="1" x14ac:dyDescent="0.25">
      <c r="A757" s="140">
        <v>9005310803</v>
      </c>
      <c r="B757" s="39" t="s">
        <v>2845</v>
      </c>
      <c r="C757" s="39" t="s">
        <v>944</v>
      </c>
      <c r="D757" s="41">
        <v>72946.220777279988</v>
      </c>
      <c r="E757" s="37">
        <v>6.471527251778118E-4</v>
      </c>
      <c r="F757" s="41">
        <v>28410.995900000002</v>
      </c>
      <c r="G757" s="37">
        <v>3.4759865020518338E-4</v>
      </c>
      <c r="H757" s="41">
        <v>72946.220777279988</v>
      </c>
      <c r="I757" s="37">
        <v>6.471527251778118E-4</v>
      </c>
      <c r="J757" s="42">
        <v>28410.995900000002</v>
      </c>
      <c r="K757" s="37">
        <v>3.4759865020518338E-4</v>
      </c>
      <c r="L757" s="38">
        <v>0</v>
      </c>
      <c r="M757" s="37">
        <v>0</v>
      </c>
      <c r="N757" s="42">
        <v>0</v>
      </c>
      <c r="O757" s="37">
        <v>0</v>
      </c>
      <c r="Q757">
        <f>VLOOKUP(Table3[[#This Row],[Census Tract]],'Population and Diversity Data'!$B$2:$K$823,10,FALSE)</f>
        <v>4</v>
      </c>
      <c r="R757" t="str">
        <f>VLOOKUP(Table3[[#This Row],[Census Tract]],'ES Energy Burden'!$B$2:$E$914,4,FALSE)</f>
        <v>Yes</v>
      </c>
    </row>
    <row r="758" spans="1:18" hidden="1" x14ac:dyDescent="0.25">
      <c r="A758" s="140">
        <v>9005310804</v>
      </c>
      <c r="B758" s="39" t="s">
        <v>2845</v>
      </c>
      <c r="C758" s="39" t="s">
        <v>944</v>
      </c>
      <c r="D758" s="41">
        <v>41928.608361600003</v>
      </c>
      <c r="E758" s="37">
        <v>3.7197558523242809E-4</v>
      </c>
      <c r="F758" s="41">
        <v>3042.1</v>
      </c>
      <c r="G758" s="37">
        <v>3.7219035105671473E-5</v>
      </c>
      <c r="H758" s="41">
        <v>41928.608361600003</v>
      </c>
      <c r="I758" s="37">
        <v>3.7197558523242809E-4</v>
      </c>
      <c r="J758" s="42">
        <v>3042.1</v>
      </c>
      <c r="K758" s="37">
        <v>3.7219035105671473E-5</v>
      </c>
      <c r="L758" s="38">
        <v>0</v>
      </c>
      <c r="M758" s="37">
        <v>0</v>
      </c>
      <c r="N758" s="42">
        <v>0</v>
      </c>
      <c r="O758" s="37">
        <v>0</v>
      </c>
      <c r="Q758">
        <f>VLOOKUP(Table3[[#This Row],[Census Tract]],'Population and Diversity Data'!$B$2:$K$823,10,FALSE)</f>
        <v>2</v>
      </c>
      <c r="R758" t="str">
        <f>VLOOKUP(Table3[[#This Row],[Census Tract]],'ES Energy Burden'!$B$2:$E$914,4,FALSE)</f>
        <v>No</v>
      </c>
    </row>
    <row r="759" spans="1:18" hidden="1" x14ac:dyDescent="0.25">
      <c r="A759" s="140">
        <v>9005320200</v>
      </c>
      <c r="B759" s="39" t="s">
        <v>2845</v>
      </c>
      <c r="C759" s="39" t="s">
        <v>944</v>
      </c>
      <c r="D759" s="41">
        <v>447.89103360000001</v>
      </c>
      <c r="E759" s="37">
        <v>3.9735287159280155E-6</v>
      </c>
      <c r="F759" s="41">
        <v>0</v>
      </c>
      <c r="G759" s="37">
        <v>0</v>
      </c>
      <c r="H759" s="41">
        <v>447.89103360000001</v>
      </c>
      <c r="I759" s="37">
        <v>3.9735287159280155E-6</v>
      </c>
      <c r="J759" s="42">
        <v>0</v>
      </c>
      <c r="K759" s="37">
        <v>0</v>
      </c>
      <c r="L759" s="38">
        <v>0</v>
      </c>
      <c r="M759" s="37">
        <v>0</v>
      </c>
      <c r="N759" s="42">
        <v>0</v>
      </c>
      <c r="O759" s="37">
        <v>0</v>
      </c>
      <c r="Q759">
        <f>VLOOKUP(Table3[[#This Row],[Census Tract]],'Population and Diversity Data'!$B$2:$K$823,10,FALSE)</f>
        <v>3</v>
      </c>
      <c r="R759" t="str">
        <f>VLOOKUP(Table3[[#This Row],[Census Tract]],'ES Energy Burden'!$B$2:$E$914,4,FALSE)</f>
        <v>No</v>
      </c>
    </row>
    <row r="760" spans="1:18" hidden="1" x14ac:dyDescent="0.25">
      <c r="A760" s="140">
        <v>9003496200</v>
      </c>
      <c r="B760" s="39" t="s">
        <v>2846</v>
      </c>
      <c r="C760" s="39" t="s">
        <v>944</v>
      </c>
      <c r="D760" s="41">
        <v>2415.7854892799996</v>
      </c>
      <c r="E760" s="37">
        <v>2.1431982989302442E-5</v>
      </c>
      <c r="F760" s="41">
        <v>0</v>
      </c>
      <c r="G760" s="37">
        <v>0</v>
      </c>
      <c r="H760" s="41">
        <v>54.552493439999999</v>
      </c>
      <c r="I760" s="37">
        <v>4.8397016896503166E-7</v>
      </c>
      <c r="J760" s="42">
        <v>0</v>
      </c>
      <c r="K760" s="37">
        <v>0</v>
      </c>
      <c r="L760" s="38">
        <v>2361.2329958399996</v>
      </c>
      <c r="M760" s="37">
        <v>2.0948012820337409E-5</v>
      </c>
      <c r="N760" s="42">
        <v>0</v>
      </c>
      <c r="O760" s="37">
        <v>0</v>
      </c>
      <c r="Q760">
        <f>VLOOKUP(Table3[[#This Row],[Census Tract]],'Population and Diversity Data'!$B$2:$K$823,10,FALSE)</f>
        <v>5</v>
      </c>
      <c r="R760" t="str">
        <f>VLOOKUP(Table3[[#This Row],[Census Tract]],'ES Energy Burden'!$B$2:$E$914,4,FALSE)</f>
        <v>No</v>
      </c>
    </row>
    <row r="761" spans="1:18" hidden="1" x14ac:dyDescent="0.25">
      <c r="A761" s="140">
        <v>9013530302</v>
      </c>
      <c r="B761" s="39" t="s">
        <v>2846</v>
      </c>
      <c r="C761" s="39" t="s">
        <v>944</v>
      </c>
      <c r="D761" s="41">
        <v>7.6933152000000007</v>
      </c>
      <c r="E761" s="37">
        <v>6.825233499803976E-8</v>
      </c>
      <c r="F761" s="41">
        <v>0</v>
      </c>
      <c r="G761" s="37">
        <v>0</v>
      </c>
      <c r="H761" s="41">
        <v>7.6933152000000007</v>
      </c>
      <c r="I761" s="37">
        <v>6.825233499803976E-8</v>
      </c>
      <c r="J761" s="42">
        <v>0</v>
      </c>
      <c r="K761" s="37">
        <v>0</v>
      </c>
      <c r="L761" s="38">
        <v>0</v>
      </c>
      <c r="M761" s="37">
        <v>0</v>
      </c>
      <c r="N761" s="42">
        <v>0</v>
      </c>
      <c r="O761" s="37">
        <v>0</v>
      </c>
      <c r="Q761">
        <f>VLOOKUP(Table3[[#This Row],[Census Tract]],'Population and Diversity Data'!$B$2:$K$823,10,FALSE)</f>
        <v>5</v>
      </c>
      <c r="R761" t="str">
        <f>VLOOKUP(Table3[[#This Row],[Census Tract]],'ES Energy Burden'!$B$2:$E$914,4,FALSE)</f>
        <v>No</v>
      </c>
    </row>
    <row r="762" spans="1:18" hidden="1" x14ac:dyDescent="0.25">
      <c r="A762" s="140">
        <v>9013850200</v>
      </c>
      <c r="B762" s="39" t="s">
        <v>2846</v>
      </c>
      <c r="C762" s="39" t="s">
        <v>944</v>
      </c>
      <c r="D762" s="41">
        <v>65.558160000000001</v>
      </c>
      <c r="E762" s="37">
        <v>5.8160849800812663E-7</v>
      </c>
      <c r="F762" s="41">
        <v>0</v>
      </c>
      <c r="G762" s="37">
        <v>0</v>
      </c>
      <c r="H762" s="41">
        <v>65.558160000000001</v>
      </c>
      <c r="I762" s="37">
        <v>5.8160849800812663E-7</v>
      </c>
      <c r="J762" s="42">
        <v>0</v>
      </c>
      <c r="K762" s="37">
        <v>0</v>
      </c>
      <c r="L762" s="38">
        <v>0</v>
      </c>
      <c r="M762" s="37">
        <v>0</v>
      </c>
      <c r="N762" s="42">
        <v>0</v>
      </c>
      <c r="O762" s="37">
        <v>0</v>
      </c>
      <c r="Q762">
        <f>VLOOKUP(Table3[[#This Row],[Census Tract]],'Population and Diversity Data'!$B$2:$K$823,10,FALSE)</f>
        <v>1</v>
      </c>
      <c r="R762" t="str">
        <f>VLOOKUP(Table3[[#This Row],[Census Tract]],'ES Energy Burden'!$B$2:$E$914,4,FALSE)</f>
        <v>No</v>
      </c>
    </row>
    <row r="763" spans="1:18" hidden="1" x14ac:dyDescent="0.25">
      <c r="A763" s="140">
        <v>9013890100</v>
      </c>
      <c r="B763" s="39" t="s">
        <v>2846</v>
      </c>
      <c r="C763" s="39" t="s">
        <v>944</v>
      </c>
      <c r="D763" s="41">
        <v>2220.5066889600002</v>
      </c>
      <c r="E763" s="37">
        <v>1.9699539465156193E-5</v>
      </c>
      <c r="F763" s="41">
        <v>0</v>
      </c>
      <c r="G763" s="37">
        <v>0</v>
      </c>
      <c r="H763" s="41">
        <v>2220.5066889600002</v>
      </c>
      <c r="I763" s="37">
        <v>1.9699539465156193E-5</v>
      </c>
      <c r="J763" s="42">
        <v>0</v>
      </c>
      <c r="K763" s="37">
        <v>0</v>
      </c>
      <c r="L763" s="38">
        <v>0</v>
      </c>
      <c r="M763" s="37">
        <v>0</v>
      </c>
      <c r="N763" s="42">
        <v>0</v>
      </c>
      <c r="O763" s="37">
        <v>0</v>
      </c>
      <c r="Q763">
        <f>VLOOKUP(Table3[[#This Row],[Census Tract]],'Population and Diversity Data'!$B$2:$K$823,10,FALSE)</f>
        <v>2</v>
      </c>
      <c r="R763" t="str">
        <f>VLOOKUP(Table3[[#This Row],[Census Tract]],'ES Energy Burden'!$B$2:$E$914,4,FALSE)</f>
        <v>No</v>
      </c>
    </row>
    <row r="764" spans="1:18" hidden="1" x14ac:dyDescent="0.25">
      <c r="A764" s="140">
        <v>9013890201</v>
      </c>
      <c r="B764" s="39" t="s">
        <v>2846</v>
      </c>
      <c r="C764" s="39" t="s">
        <v>944</v>
      </c>
      <c r="D764" s="41">
        <v>18433.834459199999</v>
      </c>
      <c r="E764" s="37">
        <v>1.6353837222316426E-4</v>
      </c>
      <c r="F764" s="41">
        <v>5573.38</v>
      </c>
      <c r="G764" s="37">
        <v>6.8188365233637054E-5</v>
      </c>
      <c r="H764" s="41">
        <v>15848.872447679998</v>
      </c>
      <c r="I764" s="37">
        <v>1.4060551576520062E-4</v>
      </c>
      <c r="J764" s="42">
        <v>3865.75</v>
      </c>
      <c r="K764" s="37">
        <v>4.7296106294911244E-5</v>
      </c>
      <c r="L764" s="38">
        <v>2584.9620115200005</v>
      </c>
      <c r="M764" s="37">
        <v>2.2932856457963635E-5</v>
      </c>
      <c r="N764" s="42">
        <v>1707.63</v>
      </c>
      <c r="O764" s="37">
        <v>2.0892258938725807E-5</v>
      </c>
      <c r="Q764">
        <f>VLOOKUP(Table3[[#This Row],[Census Tract]],'Population and Diversity Data'!$B$2:$K$823,10,FALSE)</f>
        <v>4</v>
      </c>
      <c r="R764" t="str">
        <f>VLOOKUP(Table3[[#This Row],[Census Tract]],'ES Energy Burden'!$B$2:$E$914,4,FALSE)</f>
        <v>No</v>
      </c>
    </row>
    <row r="765" spans="1:18" hidden="1" x14ac:dyDescent="0.25">
      <c r="A765" s="140">
        <v>9013890202</v>
      </c>
      <c r="B765" s="39" t="s">
        <v>2846</v>
      </c>
      <c r="C765" s="39" t="s">
        <v>944</v>
      </c>
      <c r="D765" s="41">
        <v>36.006336000000005</v>
      </c>
      <c r="E765" s="37">
        <v>3.1943530751528019E-7</v>
      </c>
      <c r="F765" s="41">
        <v>0</v>
      </c>
      <c r="G765" s="37">
        <v>0</v>
      </c>
      <c r="H765" s="41">
        <v>36.006336000000005</v>
      </c>
      <c r="I765" s="37">
        <v>3.1943530751528019E-7</v>
      </c>
      <c r="J765" s="42">
        <v>0</v>
      </c>
      <c r="K765" s="37">
        <v>0</v>
      </c>
      <c r="L765" s="38">
        <v>0</v>
      </c>
      <c r="M765" s="37">
        <v>0</v>
      </c>
      <c r="N765" s="42">
        <v>0</v>
      </c>
      <c r="O765" s="37">
        <v>0</v>
      </c>
      <c r="Q765">
        <f>VLOOKUP(Table3[[#This Row],[Census Tract]],'Population and Diversity Data'!$B$2:$K$823,10,FALSE)</f>
        <v>4</v>
      </c>
      <c r="R765" t="str">
        <f>VLOOKUP(Table3[[#This Row],[Census Tract]],'ES Energy Burden'!$B$2:$E$914,4,FALSE)</f>
        <v>No</v>
      </c>
    </row>
    <row r="766" spans="1:18" hidden="1" x14ac:dyDescent="0.25">
      <c r="A766" s="140">
        <v>9003487202</v>
      </c>
      <c r="B766" s="39" t="s">
        <v>2847</v>
      </c>
      <c r="C766" s="39" t="s">
        <v>944</v>
      </c>
      <c r="D766" s="41">
        <v>343.50160319999998</v>
      </c>
      <c r="E766" s="37">
        <v>3.047423104927525E-6</v>
      </c>
      <c r="F766" s="41">
        <v>628.35299999999995</v>
      </c>
      <c r="G766" s="37">
        <v>7.6876803411307927E-6</v>
      </c>
      <c r="H766" s="41">
        <v>343.50160319999998</v>
      </c>
      <c r="I766" s="37">
        <v>3.047423104927525E-6</v>
      </c>
      <c r="J766" s="42">
        <v>628.35299999999995</v>
      </c>
      <c r="K766" s="37">
        <v>7.6876803411307927E-6</v>
      </c>
      <c r="L766" s="38">
        <v>0</v>
      </c>
      <c r="M766" s="37">
        <v>0</v>
      </c>
      <c r="N766" s="42">
        <v>0</v>
      </c>
      <c r="O766" s="37">
        <v>0</v>
      </c>
      <c r="Q766">
        <f>VLOOKUP(Table3[[#This Row],[Census Tract]],'Population and Diversity Data'!$B$2:$K$823,10,FALSE)</f>
        <v>4</v>
      </c>
      <c r="R766" t="str">
        <f>VLOOKUP(Table3[[#This Row],[Census Tract]],'ES Energy Burden'!$B$2:$E$914,4,FALSE)</f>
        <v>No</v>
      </c>
    </row>
    <row r="767" spans="1:18" hidden="1" x14ac:dyDescent="0.25">
      <c r="A767" s="140">
        <v>9003514101</v>
      </c>
      <c r="B767" s="39" t="s">
        <v>2847</v>
      </c>
      <c r="C767" s="39" t="s">
        <v>944</v>
      </c>
      <c r="D767" s="41">
        <v>411.98310720000001</v>
      </c>
      <c r="E767" s="37">
        <v>3.6549664631117318E-6</v>
      </c>
      <c r="F767" s="41">
        <v>0</v>
      </c>
      <c r="G767" s="37">
        <v>0</v>
      </c>
      <c r="H767" s="41">
        <v>411.98310720000001</v>
      </c>
      <c r="I767" s="37">
        <v>3.6549664631117318E-6</v>
      </c>
      <c r="J767" s="42">
        <v>0</v>
      </c>
      <c r="K767" s="37">
        <v>0</v>
      </c>
      <c r="L767" s="38">
        <v>0</v>
      </c>
      <c r="M767" s="37">
        <v>0</v>
      </c>
      <c r="N767" s="42">
        <v>0</v>
      </c>
      <c r="O767" s="37">
        <v>0</v>
      </c>
      <c r="Q767">
        <f>VLOOKUP(Table3[[#This Row],[Census Tract]],'Population and Diversity Data'!$B$2:$K$823,10,FALSE)</f>
        <v>3</v>
      </c>
      <c r="R767" t="str">
        <f>VLOOKUP(Table3[[#This Row],[Census Tract]],'ES Energy Burden'!$B$2:$E$914,4,FALSE)</f>
        <v>No</v>
      </c>
    </row>
    <row r="768" spans="1:18" hidden="1" x14ac:dyDescent="0.25">
      <c r="A768" s="140">
        <v>9013530100</v>
      </c>
      <c r="B768" s="39" t="s">
        <v>2847</v>
      </c>
      <c r="C768" s="39" t="s">
        <v>944</v>
      </c>
      <c r="D768" s="41">
        <v>34070.83161696</v>
      </c>
      <c r="E768" s="37">
        <v>3.0226420635704078E-4</v>
      </c>
      <c r="F768" s="41">
        <v>8725.9500000000007</v>
      </c>
      <c r="G768" s="37">
        <v>1.0675896235506197E-4</v>
      </c>
      <c r="H768" s="41">
        <v>34070.83161696</v>
      </c>
      <c r="I768" s="37">
        <v>3.0226420635704078E-4</v>
      </c>
      <c r="J768" s="42">
        <v>8725.9500000000007</v>
      </c>
      <c r="K768" s="37">
        <v>1.0675896235506197E-4</v>
      </c>
      <c r="L768" s="38">
        <v>0</v>
      </c>
      <c r="M768" s="37">
        <v>0</v>
      </c>
      <c r="N768" s="42">
        <v>0</v>
      </c>
      <c r="O768" s="37">
        <v>0</v>
      </c>
      <c r="Q768">
        <f>VLOOKUP(Table3[[#This Row],[Census Tract]],'Population and Diversity Data'!$B$2:$K$823,10,FALSE)</f>
        <v>5</v>
      </c>
      <c r="R768" t="str">
        <f>VLOOKUP(Table3[[#This Row],[Census Tract]],'ES Energy Burden'!$B$2:$E$914,4,FALSE)</f>
        <v>No</v>
      </c>
    </row>
    <row r="769" spans="1:18" hidden="1" x14ac:dyDescent="0.25">
      <c r="A769" s="140">
        <v>9013530200</v>
      </c>
      <c r="B769" s="39" t="s">
        <v>2847</v>
      </c>
      <c r="C769" s="39" t="s">
        <v>944</v>
      </c>
      <c r="D769" s="41">
        <v>78604.228051200014</v>
      </c>
      <c r="E769" s="37">
        <v>6.9734853775558516E-4</v>
      </c>
      <c r="F769" s="41">
        <v>29090.1</v>
      </c>
      <c r="G769" s="37">
        <v>3.5590725259771003E-4</v>
      </c>
      <c r="H769" s="41">
        <v>78604.228051200014</v>
      </c>
      <c r="I769" s="37">
        <v>6.9734853775558516E-4</v>
      </c>
      <c r="J769" s="42">
        <v>29090.1</v>
      </c>
      <c r="K769" s="37">
        <v>3.5590725259771003E-4</v>
      </c>
      <c r="L769" s="38">
        <v>0</v>
      </c>
      <c r="M769" s="37">
        <v>0</v>
      </c>
      <c r="N769" s="42">
        <v>0</v>
      </c>
      <c r="O769" s="37">
        <v>0</v>
      </c>
      <c r="Q769">
        <f>VLOOKUP(Table3[[#This Row],[Census Tract]],'Population and Diversity Data'!$B$2:$K$823,10,FALSE)</f>
        <v>4</v>
      </c>
      <c r="R769" t="str">
        <f>VLOOKUP(Table3[[#This Row],[Census Tract]],'ES Energy Burden'!$B$2:$E$914,4,FALSE)</f>
        <v>No</v>
      </c>
    </row>
    <row r="770" spans="1:18" hidden="1" x14ac:dyDescent="0.25">
      <c r="A770" s="140">
        <v>9013530301</v>
      </c>
      <c r="B770" s="39" t="s">
        <v>2847</v>
      </c>
      <c r="C770" s="39" t="s">
        <v>944</v>
      </c>
      <c r="D770" s="41">
        <v>74512.329096959991</v>
      </c>
      <c r="E770" s="37">
        <v>6.6104667686173819E-4</v>
      </c>
      <c r="F770" s="41">
        <v>23277.45</v>
      </c>
      <c r="G770" s="37">
        <v>2.8479150215986079E-4</v>
      </c>
      <c r="H770" s="41">
        <v>74448.189192959995</v>
      </c>
      <c r="I770" s="37">
        <v>6.6047765062262741E-4</v>
      </c>
      <c r="J770" s="42">
        <v>23277.45</v>
      </c>
      <c r="K770" s="37">
        <v>2.8479150215986079E-4</v>
      </c>
      <c r="L770" s="38">
        <v>64.139904000000001</v>
      </c>
      <c r="M770" s="37">
        <v>5.6902623911082057E-7</v>
      </c>
      <c r="N770" s="42">
        <v>0</v>
      </c>
      <c r="O770" s="37">
        <v>0</v>
      </c>
      <c r="Q770">
        <f>VLOOKUP(Table3[[#This Row],[Census Tract]],'Population and Diversity Data'!$B$2:$K$823,10,FALSE)</f>
        <v>2</v>
      </c>
      <c r="R770" t="str">
        <f>VLOOKUP(Table3[[#This Row],[Census Tract]],'ES Energy Burden'!$B$2:$E$914,4,FALSE)</f>
        <v>No</v>
      </c>
    </row>
    <row r="771" spans="1:18" hidden="1" x14ac:dyDescent="0.25">
      <c r="A771" s="140">
        <v>9013530302</v>
      </c>
      <c r="B771" s="39" t="s">
        <v>2847</v>
      </c>
      <c r="C771" s="39" t="s">
        <v>944</v>
      </c>
      <c r="D771" s="41">
        <v>311439.87997920002</v>
      </c>
      <c r="E771" s="37">
        <v>2.7629829881517989E-3</v>
      </c>
      <c r="F771" s="41">
        <v>217918.8671</v>
      </c>
      <c r="G771" s="37">
        <v>2.6661615215749176E-3</v>
      </c>
      <c r="H771" s="41">
        <v>124042.64026751998</v>
      </c>
      <c r="I771" s="37">
        <v>1.1004618447948305E-3</v>
      </c>
      <c r="J771" s="42">
        <v>142414.7691</v>
      </c>
      <c r="K771" s="37">
        <v>1.7423951516054689E-3</v>
      </c>
      <c r="L771" s="38">
        <v>187397.23971168004</v>
      </c>
      <c r="M771" s="37">
        <v>1.6625211433569686E-3</v>
      </c>
      <c r="N771" s="42">
        <v>75504.097999999998</v>
      </c>
      <c r="O771" s="37">
        <v>9.2376636996944843E-4</v>
      </c>
      <c r="Q771">
        <f>VLOOKUP(Table3[[#This Row],[Census Tract]],'Population and Diversity Data'!$B$2:$K$823,10,FALSE)</f>
        <v>5</v>
      </c>
      <c r="R771" t="str">
        <f>VLOOKUP(Table3[[#This Row],[Census Tract]],'ES Energy Burden'!$B$2:$E$914,4,FALSE)</f>
        <v>No</v>
      </c>
    </row>
    <row r="772" spans="1:18" hidden="1" x14ac:dyDescent="0.25">
      <c r="A772" s="140">
        <v>9013530400</v>
      </c>
      <c r="B772" s="39" t="s">
        <v>2847</v>
      </c>
      <c r="C772" s="39" t="s">
        <v>944</v>
      </c>
      <c r="D772" s="41">
        <v>65216.719788479997</v>
      </c>
      <c r="E772" s="37">
        <v>5.7857936283133514E-4</v>
      </c>
      <c r="F772" s="41">
        <v>10887.23</v>
      </c>
      <c r="G772" s="37">
        <v>1.3320147121183379E-4</v>
      </c>
      <c r="H772" s="41">
        <v>65216.719788479997</v>
      </c>
      <c r="I772" s="37">
        <v>5.7857936283133514E-4</v>
      </c>
      <c r="J772" s="42">
        <v>10887.23</v>
      </c>
      <c r="K772" s="37">
        <v>1.3320147121183379E-4</v>
      </c>
      <c r="L772" s="38">
        <v>0</v>
      </c>
      <c r="M772" s="37">
        <v>0</v>
      </c>
      <c r="N772" s="42">
        <v>0</v>
      </c>
      <c r="O772" s="37">
        <v>0</v>
      </c>
      <c r="Q772">
        <f>VLOOKUP(Table3[[#This Row],[Census Tract]],'Population and Diversity Data'!$B$2:$K$823,10,FALSE)</f>
        <v>5</v>
      </c>
      <c r="R772" t="str">
        <f>VLOOKUP(Table3[[#This Row],[Census Tract]],'ES Energy Burden'!$B$2:$E$914,4,FALSE)</f>
        <v>No</v>
      </c>
    </row>
    <row r="773" spans="1:18" hidden="1" x14ac:dyDescent="0.25">
      <c r="A773" s="140">
        <v>9013530500</v>
      </c>
      <c r="B773" s="39" t="s">
        <v>2847</v>
      </c>
      <c r="C773" s="39" t="s">
        <v>944</v>
      </c>
      <c r="D773" s="41">
        <v>59253.694274879992</v>
      </c>
      <c r="E773" s="37">
        <v>5.2567753775648496E-4</v>
      </c>
      <c r="F773" s="41">
        <v>19884.302</v>
      </c>
      <c r="G773" s="37">
        <v>2.4327751690929734E-4</v>
      </c>
      <c r="H773" s="41">
        <v>59253.694274879992</v>
      </c>
      <c r="I773" s="37">
        <v>5.2567753775648496E-4</v>
      </c>
      <c r="J773" s="42">
        <v>19884.302</v>
      </c>
      <c r="K773" s="37">
        <v>2.4327751690929734E-4</v>
      </c>
      <c r="L773" s="38">
        <v>0</v>
      </c>
      <c r="M773" s="37">
        <v>0</v>
      </c>
      <c r="N773" s="42">
        <v>0</v>
      </c>
      <c r="O773" s="37">
        <v>0</v>
      </c>
      <c r="Q773">
        <f>VLOOKUP(Table3[[#This Row],[Census Tract]],'Population and Diversity Data'!$B$2:$K$823,10,FALSE)</f>
        <v>4</v>
      </c>
      <c r="R773" t="str">
        <f>VLOOKUP(Table3[[#This Row],[Census Tract]],'ES Energy Burden'!$B$2:$E$914,4,FALSE)</f>
        <v>No</v>
      </c>
    </row>
    <row r="774" spans="1:18" hidden="1" x14ac:dyDescent="0.25">
      <c r="A774" s="140">
        <v>9013530600</v>
      </c>
      <c r="B774" s="39" t="s">
        <v>2847</v>
      </c>
      <c r="C774" s="39" t="s">
        <v>944</v>
      </c>
      <c r="D774" s="41">
        <v>52920.689765759998</v>
      </c>
      <c r="E774" s="37">
        <v>4.6949339164213439E-4</v>
      </c>
      <c r="F774" s="41">
        <v>19791.499500000002</v>
      </c>
      <c r="G774" s="37">
        <v>2.4214211060924343E-4</v>
      </c>
      <c r="H774" s="41">
        <v>52920.689765759998</v>
      </c>
      <c r="I774" s="37">
        <v>4.6949339164213439E-4</v>
      </c>
      <c r="J774" s="42">
        <v>19791.499500000002</v>
      </c>
      <c r="K774" s="37">
        <v>2.4214211060924343E-4</v>
      </c>
      <c r="L774" s="38">
        <v>0</v>
      </c>
      <c r="M774" s="37">
        <v>0</v>
      </c>
      <c r="N774" s="42">
        <v>0</v>
      </c>
      <c r="O774" s="37">
        <v>0</v>
      </c>
      <c r="Q774">
        <f>VLOOKUP(Table3[[#This Row],[Census Tract]],'Population and Diversity Data'!$B$2:$K$823,10,FALSE)</f>
        <v>4</v>
      </c>
      <c r="R774" t="str">
        <f>VLOOKUP(Table3[[#This Row],[Census Tract]],'ES Energy Burden'!$B$2:$E$914,4,FALSE)</f>
        <v>No</v>
      </c>
    </row>
    <row r="775" spans="1:18" hidden="1" x14ac:dyDescent="0.25">
      <c r="A775" s="140">
        <v>9013535100</v>
      </c>
      <c r="B775" s="39" t="s">
        <v>2847</v>
      </c>
      <c r="C775" s="39" t="s">
        <v>944</v>
      </c>
      <c r="D775" s="41">
        <v>1230.0100127999999</v>
      </c>
      <c r="E775" s="37">
        <v>1.0912207970442803E-5</v>
      </c>
      <c r="F775" s="41">
        <v>164.09</v>
      </c>
      <c r="G775" s="37">
        <v>2.0075840605139976E-6</v>
      </c>
      <c r="H775" s="41">
        <v>1230.0100127999999</v>
      </c>
      <c r="I775" s="37">
        <v>1.0912207970442803E-5</v>
      </c>
      <c r="J775" s="42">
        <v>164.09</v>
      </c>
      <c r="K775" s="37">
        <v>2.0075840605139976E-6</v>
      </c>
      <c r="L775" s="38">
        <v>0</v>
      </c>
      <c r="M775" s="37">
        <v>0</v>
      </c>
      <c r="N775" s="42">
        <v>0</v>
      </c>
      <c r="O775" s="37">
        <v>0</v>
      </c>
      <c r="Q775">
        <f>VLOOKUP(Table3[[#This Row],[Census Tract]],'Population and Diversity Data'!$B$2:$K$823,10,FALSE)</f>
        <v>4</v>
      </c>
      <c r="R775" t="str">
        <f>VLOOKUP(Table3[[#This Row],[Census Tract]],'ES Energy Burden'!$B$2:$E$914,4,FALSE)</f>
        <v>No</v>
      </c>
    </row>
    <row r="776" spans="1:18" hidden="1" x14ac:dyDescent="0.25">
      <c r="A776" s="140">
        <v>9011708100</v>
      </c>
      <c r="B776" s="39" t="s">
        <v>2848</v>
      </c>
      <c r="C776" s="39" t="s">
        <v>944</v>
      </c>
      <c r="D776" s="41">
        <v>70807.896524159994</v>
      </c>
      <c r="E776" s="37">
        <v>6.2818227882740368E-4</v>
      </c>
      <c r="F776" s="41">
        <v>36101.566500000001</v>
      </c>
      <c r="G776" s="37">
        <v>4.4169010582598638E-4</v>
      </c>
      <c r="H776" s="41">
        <v>57747.690486719999</v>
      </c>
      <c r="I776" s="37">
        <v>5.1231681193339472E-4</v>
      </c>
      <c r="J776" s="42">
        <v>21450.676500000001</v>
      </c>
      <c r="K776" s="37">
        <v>2.6244156395052829E-4</v>
      </c>
      <c r="L776" s="38">
        <v>13060.206037439999</v>
      </c>
      <c r="M776" s="37">
        <v>1.15865466894009E-4</v>
      </c>
      <c r="N776" s="42">
        <v>14650.89</v>
      </c>
      <c r="O776" s="37">
        <v>1.7924854187545809E-4</v>
      </c>
      <c r="Q776">
        <f>VLOOKUP(Table3[[#This Row],[Census Tract]],'Population and Diversity Data'!$B$2:$K$823,10,FALSE)</f>
        <v>2</v>
      </c>
      <c r="R776" t="str">
        <f>VLOOKUP(Table3[[#This Row],[Census Tract]],'ES Energy Burden'!$B$2:$E$914,4,FALSE)</f>
        <v>No</v>
      </c>
    </row>
    <row r="777" spans="1:18" hidden="1" x14ac:dyDescent="0.25">
      <c r="A777" s="140">
        <v>9011709100</v>
      </c>
      <c r="B777" s="39" t="s">
        <v>2848</v>
      </c>
      <c r="C777" s="39" t="s">
        <v>944</v>
      </c>
      <c r="D777" s="41">
        <v>95.121561600000007</v>
      </c>
      <c r="E777" s="37">
        <v>8.4388440081850216E-7</v>
      </c>
      <c r="F777" s="41">
        <v>0</v>
      </c>
      <c r="G777" s="37">
        <v>0</v>
      </c>
      <c r="H777" s="41">
        <v>95.121561600000007</v>
      </c>
      <c r="I777" s="37">
        <v>8.4388440081850216E-7</v>
      </c>
      <c r="J777" s="42">
        <v>0</v>
      </c>
      <c r="K777" s="37">
        <v>0</v>
      </c>
      <c r="L777" s="38">
        <v>0</v>
      </c>
      <c r="M777" s="37">
        <v>0</v>
      </c>
      <c r="N777" s="42">
        <v>0</v>
      </c>
      <c r="O777" s="37">
        <v>0</v>
      </c>
      <c r="Q777">
        <f>VLOOKUP(Table3[[#This Row],[Census Tract]],'Population and Diversity Data'!$B$2:$K$823,10,FALSE)</f>
        <v>3</v>
      </c>
      <c r="R777" t="str">
        <f>VLOOKUP(Table3[[#This Row],[Census Tract]],'ES Energy Burden'!$B$2:$E$914,4,FALSE)</f>
        <v>No</v>
      </c>
    </row>
    <row r="778" spans="1:18" hidden="1" x14ac:dyDescent="0.25">
      <c r="A778" s="140">
        <v>9015908100</v>
      </c>
      <c r="B778" s="39" t="s">
        <v>2848</v>
      </c>
      <c r="C778" s="39" t="s">
        <v>944</v>
      </c>
      <c r="D778" s="41">
        <v>48.087561600000001</v>
      </c>
      <c r="E778" s="37">
        <v>4.266156108568219E-7</v>
      </c>
      <c r="F778" s="41">
        <v>0</v>
      </c>
      <c r="G778" s="37">
        <v>0</v>
      </c>
      <c r="H778" s="41">
        <v>48.087561600000001</v>
      </c>
      <c r="I778" s="37">
        <v>4.266156108568219E-7</v>
      </c>
      <c r="J778" s="42">
        <v>0</v>
      </c>
      <c r="K778" s="37">
        <v>0</v>
      </c>
      <c r="L778" s="38">
        <v>0</v>
      </c>
      <c r="M778" s="37">
        <v>0</v>
      </c>
      <c r="N778" s="42">
        <v>0</v>
      </c>
      <c r="O778" s="37">
        <v>0</v>
      </c>
      <c r="Q778" t="e">
        <f>VLOOKUP(Table3[[#This Row],[Census Tract]],'Population and Diversity Data'!$B$2:$K$823,10,FALSE)</f>
        <v>#N/A</v>
      </c>
      <c r="R778" t="e">
        <f>VLOOKUP(Table3[[#This Row],[Census Tract]],'ES Energy Burden'!$B$2:$E$914,4,FALSE)</f>
        <v>#N/A</v>
      </c>
    </row>
    <row r="779" spans="1:18" hidden="1" x14ac:dyDescent="0.25">
      <c r="A779" s="140">
        <v>9001035100</v>
      </c>
      <c r="B779" s="39" t="s">
        <v>2849</v>
      </c>
      <c r="C779" s="39" t="s">
        <v>944</v>
      </c>
      <c r="D779" s="41">
        <v>46.987689599999996</v>
      </c>
      <c r="E779" s="37">
        <v>4.1685794069156411E-7</v>
      </c>
      <c r="F779" s="41">
        <v>0</v>
      </c>
      <c r="G779" s="37">
        <v>0</v>
      </c>
      <c r="H779" s="41">
        <v>46.987689599999996</v>
      </c>
      <c r="I779" s="37">
        <v>4.1685794069156411E-7</v>
      </c>
      <c r="J779" s="42">
        <v>0</v>
      </c>
      <c r="K779" s="37">
        <v>0</v>
      </c>
      <c r="L779" s="38">
        <v>0</v>
      </c>
      <c r="M779" s="37">
        <v>0</v>
      </c>
      <c r="N779" s="42">
        <v>0</v>
      </c>
      <c r="O779" s="37">
        <v>0</v>
      </c>
      <c r="Q779">
        <f>VLOOKUP(Table3[[#This Row],[Census Tract]],'Population and Diversity Data'!$B$2:$K$823,10,FALSE)</f>
        <v>2</v>
      </c>
      <c r="R779" t="str">
        <f>VLOOKUP(Table3[[#This Row],[Census Tract]],'ES Energy Burden'!$B$2:$E$914,4,FALSE)</f>
        <v>No</v>
      </c>
    </row>
    <row r="780" spans="1:18" hidden="1" x14ac:dyDescent="0.25">
      <c r="A780" s="140">
        <v>9003496200</v>
      </c>
      <c r="B780" s="39" t="s">
        <v>2849</v>
      </c>
      <c r="C780" s="39" t="s">
        <v>944</v>
      </c>
      <c r="D780" s="41">
        <v>3678.0715353599999</v>
      </c>
      <c r="E780" s="37">
        <v>3.2630532358552678E-5</v>
      </c>
      <c r="F780" s="41">
        <v>0</v>
      </c>
      <c r="G780" s="37">
        <v>0</v>
      </c>
      <c r="H780" s="41">
        <v>24.110352000000002</v>
      </c>
      <c r="I780" s="37">
        <v>2.1389840125420287E-7</v>
      </c>
      <c r="J780" s="42">
        <v>0</v>
      </c>
      <c r="K780" s="37">
        <v>0</v>
      </c>
      <c r="L780" s="38">
        <v>3653.9611833599997</v>
      </c>
      <c r="M780" s="37">
        <v>3.2416633957298471E-5</v>
      </c>
      <c r="N780" s="42">
        <v>0</v>
      </c>
      <c r="O780" s="37">
        <v>0</v>
      </c>
      <c r="Q780">
        <f>VLOOKUP(Table3[[#This Row],[Census Tract]],'Population and Diversity Data'!$B$2:$K$823,10,FALSE)</f>
        <v>5</v>
      </c>
      <c r="R780" t="str">
        <f>VLOOKUP(Table3[[#This Row],[Census Tract]],'ES Energy Burden'!$B$2:$E$914,4,FALSE)</f>
        <v>No</v>
      </c>
    </row>
    <row r="781" spans="1:18" hidden="1" x14ac:dyDescent="0.25">
      <c r="A781" s="140">
        <v>9005263200</v>
      </c>
      <c r="B781" s="39" t="s">
        <v>2849</v>
      </c>
      <c r="C781" s="39" t="s">
        <v>944</v>
      </c>
      <c r="D781" s="41">
        <v>1081.73337408</v>
      </c>
      <c r="E781" s="37">
        <v>9.5967507773850237E-6</v>
      </c>
      <c r="F781" s="41">
        <v>0</v>
      </c>
      <c r="G781" s="37">
        <v>0</v>
      </c>
      <c r="H781" s="41">
        <v>1081.73337408</v>
      </c>
      <c r="I781" s="37">
        <v>9.5967507773850237E-6</v>
      </c>
      <c r="J781" s="42">
        <v>0</v>
      </c>
      <c r="K781" s="37">
        <v>0</v>
      </c>
      <c r="L781" s="38">
        <v>0</v>
      </c>
      <c r="M781" s="37">
        <v>0</v>
      </c>
      <c r="N781" s="42">
        <v>0</v>
      </c>
      <c r="O781" s="37">
        <v>0</v>
      </c>
      <c r="Q781">
        <f>VLOOKUP(Table3[[#This Row],[Census Tract]],'Population and Diversity Data'!$B$2:$K$823,10,FALSE)</f>
        <v>3</v>
      </c>
      <c r="R781" t="str">
        <f>VLOOKUP(Table3[[#This Row],[Census Tract]],'ES Energy Burden'!$B$2:$E$914,4,FALSE)</f>
        <v>No</v>
      </c>
    </row>
    <row r="782" spans="1:18" hidden="1" x14ac:dyDescent="0.25">
      <c r="A782" s="140">
        <v>9005265100</v>
      </c>
      <c r="B782" s="39" t="s">
        <v>2849</v>
      </c>
      <c r="C782" s="39" t="s">
        <v>944</v>
      </c>
      <c r="D782" s="41">
        <v>41666.761255679994</v>
      </c>
      <c r="E782" s="37">
        <v>3.6965257156056921E-4</v>
      </c>
      <c r="F782" s="41">
        <v>40234.6829</v>
      </c>
      <c r="G782" s="37">
        <v>4.9225734700393141E-4</v>
      </c>
      <c r="H782" s="41">
        <v>41431.092839999998</v>
      </c>
      <c r="I782" s="37">
        <v>3.6756180584549122E-4</v>
      </c>
      <c r="J782" s="42">
        <v>39393.502899999999</v>
      </c>
      <c r="K782" s="37">
        <v>4.8196580236365371E-4</v>
      </c>
      <c r="L782" s="38">
        <v>235.66841567999998</v>
      </c>
      <c r="M782" s="37">
        <v>2.0907657150780255E-6</v>
      </c>
      <c r="N782" s="42">
        <v>841.18</v>
      </c>
      <c r="O782" s="37">
        <v>1.0291544640277678E-5</v>
      </c>
      <c r="Q782">
        <f>VLOOKUP(Table3[[#This Row],[Census Tract]],'Population and Diversity Data'!$B$2:$K$823,10,FALSE)</f>
        <v>1</v>
      </c>
      <c r="R782" t="str">
        <f>VLOOKUP(Table3[[#This Row],[Census Tract]],'ES Energy Burden'!$B$2:$E$914,4,FALSE)</f>
        <v>No</v>
      </c>
    </row>
    <row r="783" spans="1:18" hidden="1" x14ac:dyDescent="0.25">
      <c r="A783" s="140">
        <v>9005266100</v>
      </c>
      <c r="B783" s="39" t="s">
        <v>2849</v>
      </c>
      <c r="C783" s="39" t="s">
        <v>944</v>
      </c>
      <c r="D783" s="41">
        <v>107.6601024</v>
      </c>
      <c r="E783" s="37">
        <v>9.551218407024404E-7</v>
      </c>
      <c r="F783" s="41">
        <v>0</v>
      </c>
      <c r="G783" s="37">
        <v>0</v>
      </c>
      <c r="H783" s="41">
        <v>107.6601024</v>
      </c>
      <c r="I783" s="37">
        <v>9.551218407024404E-7</v>
      </c>
      <c r="J783" s="42">
        <v>0</v>
      </c>
      <c r="K783" s="37">
        <v>0</v>
      </c>
      <c r="L783" s="38">
        <v>0</v>
      </c>
      <c r="M783" s="37">
        <v>0</v>
      </c>
      <c r="N783" s="42">
        <v>0</v>
      </c>
      <c r="O783" s="37">
        <v>0</v>
      </c>
      <c r="Q783">
        <f>VLOOKUP(Table3[[#This Row],[Census Tract]],'Population and Diversity Data'!$B$2:$K$823,10,FALSE)</f>
        <v>2</v>
      </c>
      <c r="R783" t="str">
        <f>VLOOKUP(Table3[[#This Row],[Census Tract]],'ES Energy Burden'!$B$2:$E$914,4,FALSE)</f>
        <v>No</v>
      </c>
    </row>
    <row r="784" spans="1:18" hidden="1" x14ac:dyDescent="0.25">
      <c r="A784" s="140">
        <v>9005267100</v>
      </c>
      <c r="B784" s="39" t="s">
        <v>2849</v>
      </c>
      <c r="C784" s="39" t="s">
        <v>944</v>
      </c>
      <c r="D784" s="41">
        <v>1739.6270208000001</v>
      </c>
      <c r="E784" s="37">
        <v>1.5433347407276838E-5</v>
      </c>
      <c r="F784" s="41">
        <v>0</v>
      </c>
      <c r="G784" s="37">
        <v>0</v>
      </c>
      <c r="H784" s="41">
        <v>1739.6270208000001</v>
      </c>
      <c r="I784" s="37">
        <v>1.5433347407276838E-5</v>
      </c>
      <c r="J784" s="42">
        <v>0</v>
      </c>
      <c r="K784" s="37">
        <v>0</v>
      </c>
      <c r="L784" s="38">
        <v>0</v>
      </c>
      <c r="M784" s="37">
        <v>0</v>
      </c>
      <c r="N784" s="42">
        <v>0</v>
      </c>
      <c r="O784" s="37">
        <v>0</v>
      </c>
      <c r="Q784">
        <f>VLOOKUP(Table3[[#This Row],[Census Tract]],'Population and Diversity Data'!$B$2:$K$823,10,FALSE)</f>
        <v>3</v>
      </c>
      <c r="R784" t="str">
        <f>VLOOKUP(Table3[[#This Row],[Census Tract]],'ES Energy Burden'!$B$2:$E$914,4,FALSE)</f>
        <v>No</v>
      </c>
    </row>
    <row r="785" spans="1:18" hidden="1" x14ac:dyDescent="0.25">
      <c r="A785" s="140">
        <v>9005306100</v>
      </c>
      <c r="B785" s="39" t="s">
        <v>2849</v>
      </c>
      <c r="C785" s="39" t="s">
        <v>944</v>
      </c>
      <c r="D785" s="41">
        <v>34.269696000000003</v>
      </c>
      <c r="E785" s="37">
        <v>3.0402845988592581E-7</v>
      </c>
      <c r="F785" s="41">
        <v>0</v>
      </c>
      <c r="G785" s="37">
        <v>0</v>
      </c>
      <c r="H785" s="41">
        <v>34.269696000000003</v>
      </c>
      <c r="I785" s="37">
        <v>3.0402845988592581E-7</v>
      </c>
      <c r="J785" s="42">
        <v>0</v>
      </c>
      <c r="K785" s="37">
        <v>0</v>
      </c>
      <c r="L785" s="38">
        <v>0</v>
      </c>
      <c r="M785" s="37">
        <v>0</v>
      </c>
      <c r="N785" s="42">
        <v>0</v>
      </c>
      <c r="O785" s="37">
        <v>0</v>
      </c>
      <c r="Q785">
        <f>VLOOKUP(Table3[[#This Row],[Census Tract]],'Population and Diversity Data'!$B$2:$K$823,10,FALSE)</f>
        <v>1</v>
      </c>
      <c r="R785" t="str">
        <f>VLOOKUP(Table3[[#This Row],[Census Tract]],'ES Energy Burden'!$B$2:$E$914,4,FALSE)</f>
        <v>No</v>
      </c>
    </row>
    <row r="786" spans="1:18" hidden="1" x14ac:dyDescent="0.25">
      <c r="A786" s="140">
        <v>9005253500</v>
      </c>
      <c r="B786" s="39" t="s">
        <v>2850</v>
      </c>
      <c r="C786" s="39" t="s">
        <v>944</v>
      </c>
      <c r="D786" s="41">
        <v>105.3330048</v>
      </c>
      <c r="E786" s="37">
        <v>9.3447666487910559E-7</v>
      </c>
      <c r="F786" s="41">
        <v>0</v>
      </c>
      <c r="G786" s="37">
        <v>0</v>
      </c>
      <c r="H786" s="41">
        <v>105.3330048</v>
      </c>
      <c r="I786" s="37">
        <v>9.3447666487910559E-7</v>
      </c>
      <c r="J786" s="42">
        <v>0</v>
      </c>
      <c r="K786" s="37">
        <v>0</v>
      </c>
      <c r="L786" s="38">
        <v>0</v>
      </c>
      <c r="M786" s="37">
        <v>0</v>
      </c>
      <c r="N786" s="42">
        <v>0</v>
      </c>
      <c r="O786" s="37">
        <v>0</v>
      </c>
      <c r="Q786">
        <f>VLOOKUP(Table3[[#This Row],[Census Tract]],'Population and Diversity Data'!$B$2:$K$823,10,FALSE)</f>
        <v>4</v>
      </c>
      <c r="R786" t="str">
        <f>VLOOKUP(Table3[[#This Row],[Census Tract]],'ES Energy Burden'!$B$2:$E$914,4,FALSE)</f>
        <v>No</v>
      </c>
    </row>
    <row r="787" spans="1:18" hidden="1" x14ac:dyDescent="0.25">
      <c r="A787" s="140">
        <v>9005265100</v>
      </c>
      <c r="B787" s="39" t="s">
        <v>2850</v>
      </c>
      <c r="C787" s="39" t="s">
        <v>944</v>
      </c>
      <c r="D787" s="41">
        <v>2562.3306979200006</v>
      </c>
      <c r="E787" s="37">
        <v>2.2732079555273765E-5</v>
      </c>
      <c r="F787" s="41">
        <v>1202.22</v>
      </c>
      <c r="G787" s="37">
        <v>1.4708743428796016E-5</v>
      </c>
      <c r="H787" s="41">
        <v>2562.3306979200006</v>
      </c>
      <c r="I787" s="37">
        <v>2.2732079555273765E-5</v>
      </c>
      <c r="J787" s="42">
        <v>1202.22</v>
      </c>
      <c r="K787" s="37">
        <v>1.4708743428796016E-5</v>
      </c>
      <c r="L787" s="38">
        <v>0</v>
      </c>
      <c r="M787" s="37">
        <v>0</v>
      </c>
      <c r="N787" s="42">
        <v>0</v>
      </c>
      <c r="O787" s="37">
        <v>0</v>
      </c>
      <c r="Q787">
        <f>VLOOKUP(Table3[[#This Row],[Census Tract]],'Population and Diversity Data'!$B$2:$K$823,10,FALSE)</f>
        <v>1</v>
      </c>
      <c r="R787" t="str">
        <f>VLOOKUP(Table3[[#This Row],[Census Tract]],'ES Energy Burden'!$B$2:$E$914,4,FALSE)</f>
        <v>No</v>
      </c>
    </row>
    <row r="788" spans="1:18" hidden="1" x14ac:dyDescent="0.25">
      <c r="A788" s="140">
        <v>9005267100</v>
      </c>
      <c r="B788" s="39" t="s">
        <v>2850</v>
      </c>
      <c r="C788" s="39" t="s">
        <v>944</v>
      </c>
      <c r="D788" s="41">
        <v>181406.20740479999</v>
      </c>
      <c r="E788" s="37">
        <v>1.6093708520503996E-3</v>
      </c>
      <c r="F788" s="41">
        <v>49884.353299999995</v>
      </c>
      <c r="G788" s="37">
        <v>6.103177070761706E-4</v>
      </c>
      <c r="H788" s="41">
        <v>146825.70668064</v>
      </c>
      <c r="I788" s="37">
        <v>1.3025850440510959E-3</v>
      </c>
      <c r="J788" s="42">
        <v>46420.828399999999</v>
      </c>
      <c r="K788" s="37">
        <v>5.6794268493933506E-4</v>
      </c>
      <c r="L788" s="38">
        <v>34580.500724160003</v>
      </c>
      <c r="M788" s="37">
        <v>3.0678580799930371E-4</v>
      </c>
      <c r="N788" s="42">
        <v>3463.5248999999999</v>
      </c>
      <c r="O788" s="37">
        <v>4.2375022136835496E-5</v>
      </c>
      <c r="Q788">
        <f>VLOOKUP(Table3[[#This Row],[Census Tract]],'Population and Diversity Data'!$B$2:$K$823,10,FALSE)</f>
        <v>3</v>
      </c>
      <c r="R788" t="str">
        <f>VLOOKUP(Table3[[#This Row],[Census Tract]],'ES Energy Burden'!$B$2:$E$914,4,FALSE)</f>
        <v>No</v>
      </c>
    </row>
    <row r="789" spans="1:18" hidden="1" x14ac:dyDescent="0.25">
      <c r="A789" s="140">
        <v>9005362102</v>
      </c>
      <c r="B789" s="39" t="s">
        <v>2850</v>
      </c>
      <c r="C789" s="39" t="s">
        <v>944</v>
      </c>
      <c r="D789" s="41">
        <v>952.21128959999999</v>
      </c>
      <c r="E789" s="37">
        <v>8.4476772674925177E-6</v>
      </c>
      <c r="F789" s="41">
        <v>0</v>
      </c>
      <c r="G789" s="37">
        <v>0</v>
      </c>
      <c r="H789" s="41">
        <v>952.21128959999999</v>
      </c>
      <c r="I789" s="37">
        <v>8.4476772674925177E-6</v>
      </c>
      <c r="J789" s="42">
        <v>0</v>
      </c>
      <c r="K789" s="37">
        <v>0</v>
      </c>
      <c r="L789" s="38">
        <v>0</v>
      </c>
      <c r="M789" s="37">
        <v>0</v>
      </c>
      <c r="N789" s="42">
        <v>0</v>
      </c>
      <c r="O789" s="37">
        <v>0</v>
      </c>
      <c r="Q789">
        <f>VLOOKUP(Table3[[#This Row],[Census Tract]],'Population and Diversity Data'!$B$2:$K$823,10,FALSE)</f>
        <v>1</v>
      </c>
      <c r="R789" t="str">
        <f>VLOOKUP(Table3[[#This Row],[Census Tract]],'ES Energy Burden'!$B$2:$E$914,4,FALSE)</f>
        <v>No</v>
      </c>
    </row>
    <row r="790" spans="1:18" hidden="1" x14ac:dyDescent="0.25">
      <c r="A790" s="140">
        <v>9009345100</v>
      </c>
      <c r="B790" s="39" t="s">
        <v>981</v>
      </c>
      <c r="C790" s="39" t="s">
        <v>944</v>
      </c>
      <c r="D790" s="41">
        <v>1723.8467519999999</v>
      </c>
      <c r="E790" s="37">
        <v>1.5293350518484769E-5</v>
      </c>
      <c r="F790" s="41">
        <v>22.2</v>
      </c>
      <c r="G790" s="37">
        <v>2.7160927627162378E-7</v>
      </c>
      <c r="H790" s="41">
        <v>1723.8467519999999</v>
      </c>
      <c r="I790" s="37">
        <v>1.5293350518484769E-5</v>
      </c>
      <c r="J790" s="42">
        <v>22.2</v>
      </c>
      <c r="K790" s="37">
        <v>2.7160927627162378E-7</v>
      </c>
      <c r="L790" s="38">
        <v>0</v>
      </c>
      <c r="M790" s="37">
        <v>0</v>
      </c>
      <c r="N790" s="42">
        <v>0</v>
      </c>
      <c r="O790" s="37">
        <v>0</v>
      </c>
      <c r="Q790">
        <f>VLOOKUP(Table3[[#This Row],[Census Tract]],'Population and Diversity Data'!$B$2:$K$823,10,FALSE)</f>
        <v>2</v>
      </c>
      <c r="R790" t="str">
        <f>VLOOKUP(Table3[[#This Row],[Census Tract]],'ES Energy Burden'!$B$2:$E$914,4,FALSE)</f>
        <v>No</v>
      </c>
    </row>
    <row r="791" spans="1:18" hidden="1" x14ac:dyDescent="0.25">
      <c r="A791" s="140">
        <v>9009347100</v>
      </c>
      <c r="B791" s="39" t="s">
        <v>981</v>
      </c>
      <c r="C791" s="39" t="s">
        <v>944</v>
      </c>
      <c r="D791" s="41">
        <v>796.48099200000001</v>
      </c>
      <c r="E791" s="37">
        <v>7.0660938844095492E-6</v>
      </c>
      <c r="F791" s="41">
        <v>0</v>
      </c>
      <c r="G791" s="37">
        <v>0</v>
      </c>
      <c r="H791" s="41">
        <v>796.48099200000001</v>
      </c>
      <c r="I791" s="37">
        <v>7.0660938844095492E-6</v>
      </c>
      <c r="J791" s="42">
        <v>0</v>
      </c>
      <c r="K791" s="37">
        <v>0</v>
      </c>
      <c r="L791" s="38">
        <v>0</v>
      </c>
      <c r="M791" s="37">
        <v>0</v>
      </c>
      <c r="N791" s="42">
        <v>0</v>
      </c>
      <c r="O791" s="37">
        <v>0</v>
      </c>
      <c r="Q791">
        <f>VLOOKUP(Table3[[#This Row],[Census Tract]],'Population and Diversity Data'!$B$2:$K$823,10,FALSE)</f>
        <v>1</v>
      </c>
      <c r="R791" t="str">
        <f>VLOOKUP(Table3[[#This Row],[Census Tract]],'ES Energy Burden'!$B$2:$E$914,4,FALSE)</f>
        <v>No</v>
      </c>
    </row>
    <row r="792" spans="1:18" x14ac:dyDescent="0.25">
      <c r="A792" s="140">
        <v>9009350100</v>
      </c>
      <c r="B792" s="39" t="s">
        <v>981</v>
      </c>
      <c r="C792" s="39" t="s">
        <v>936</v>
      </c>
      <c r="D792" s="41">
        <v>38315.271240000002</v>
      </c>
      <c r="E792" s="37">
        <v>3.3991935339049129E-4</v>
      </c>
      <c r="F792" s="41">
        <v>12377.77</v>
      </c>
      <c r="G792" s="37">
        <v>1.5143770952957732E-4</v>
      </c>
      <c r="H792" s="41">
        <v>38315.271240000002</v>
      </c>
      <c r="I792" s="37">
        <v>3.3991935339049129E-4</v>
      </c>
      <c r="J792" s="42">
        <v>12377.77</v>
      </c>
      <c r="K792" s="37">
        <v>1.5143770952957732E-4</v>
      </c>
      <c r="L792" s="38">
        <v>0</v>
      </c>
      <c r="M792" s="37">
        <v>0</v>
      </c>
      <c r="N792" s="42">
        <v>0</v>
      </c>
      <c r="O792" s="37">
        <v>0</v>
      </c>
      <c r="Q792">
        <f>VLOOKUP(Table3[[#This Row],[Census Tract]],'Population and Diversity Data'!$B$2:$K$823,10,FALSE)</f>
        <v>5</v>
      </c>
      <c r="R792" t="e">
        <f>VLOOKUP(Table3[[#This Row],[Census Tract]],'ES Energy Burden'!$B$2:$E$914,4,FALSE)</f>
        <v>#N/A</v>
      </c>
    </row>
    <row r="793" spans="1:18" x14ac:dyDescent="0.25">
      <c r="A793" s="140">
        <v>9009350200</v>
      </c>
      <c r="B793" s="39" t="s">
        <v>981</v>
      </c>
      <c r="C793" s="39" t="s">
        <v>936</v>
      </c>
      <c r="D793" s="41">
        <v>44886.648113279996</v>
      </c>
      <c r="E793" s="37">
        <v>3.9821825368167879E-4</v>
      </c>
      <c r="F793" s="41">
        <v>14823.31</v>
      </c>
      <c r="G793" s="37">
        <v>1.813580405878344E-4</v>
      </c>
      <c r="H793" s="41">
        <v>44886.648113279996</v>
      </c>
      <c r="I793" s="37">
        <v>3.9821825368167879E-4</v>
      </c>
      <c r="J793" s="42">
        <v>14823.31</v>
      </c>
      <c r="K793" s="37">
        <v>1.813580405878344E-4</v>
      </c>
      <c r="L793" s="38">
        <v>0</v>
      </c>
      <c r="M793" s="37">
        <v>0</v>
      </c>
      <c r="N793" s="42">
        <v>0</v>
      </c>
      <c r="O793" s="37">
        <v>0</v>
      </c>
      <c r="Q793">
        <f>VLOOKUP(Table3[[#This Row],[Census Tract]],'Population and Diversity Data'!$B$2:$K$823,10,FALSE)</f>
        <v>4</v>
      </c>
      <c r="R793" t="e">
        <f>VLOOKUP(Table3[[#This Row],[Census Tract]],'ES Energy Burden'!$B$2:$E$914,4,FALSE)</f>
        <v>#N/A</v>
      </c>
    </row>
    <row r="794" spans="1:18" hidden="1" x14ac:dyDescent="0.25">
      <c r="A794" s="140">
        <v>9009350300</v>
      </c>
      <c r="B794" s="39" t="s">
        <v>981</v>
      </c>
      <c r="C794" s="39" t="s">
        <v>944</v>
      </c>
      <c r="D794" s="41">
        <v>26865.736862400001</v>
      </c>
      <c r="E794" s="37">
        <v>2.3834318816180967E-4</v>
      </c>
      <c r="F794" s="41">
        <v>7264.46</v>
      </c>
      <c r="G794" s="37">
        <v>8.8878140680367568E-5</v>
      </c>
      <c r="H794" s="41">
        <v>26865.736862400001</v>
      </c>
      <c r="I794" s="37">
        <v>2.3834318816180967E-4</v>
      </c>
      <c r="J794" s="42">
        <v>7264.46</v>
      </c>
      <c r="K794" s="37">
        <v>8.8878140680367568E-5</v>
      </c>
      <c r="L794" s="38">
        <v>0</v>
      </c>
      <c r="M794" s="37">
        <v>0</v>
      </c>
      <c r="N794" s="42">
        <v>0</v>
      </c>
      <c r="O794" s="37">
        <v>0</v>
      </c>
      <c r="Q794">
        <f>VLOOKUP(Table3[[#This Row],[Census Tract]],'Population and Diversity Data'!$B$2:$K$823,10,FALSE)</f>
        <v>5</v>
      </c>
      <c r="R794" t="str">
        <f>VLOOKUP(Table3[[#This Row],[Census Tract]],'ES Energy Burden'!$B$2:$E$914,4,FALSE)</f>
        <v>Yes</v>
      </c>
    </row>
    <row r="795" spans="1:18" hidden="1" x14ac:dyDescent="0.25">
      <c r="A795" s="140">
        <v>9009350400</v>
      </c>
      <c r="B795" s="39" t="s">
        <v>981</v>
      </c>
      <c r="C795" s="39" t="s">
        <v>944</v>
      </c>
      <c r="D795" s="41">
        <v>37398.924460800001</v>
      </c>
      <c r="E795" s="37">
        <v>3.3178985320462433E-4</v>
      </c>
      <c r="F795" s="41">
        <v>1172.21</v>
      </c>
      <c r="G795" s="37">
        <v>1.4341581519745952E-5</v>
      </c>
      <c r="H795" s="41">
        <v>37398.924460800001</v>
      </c>
      <c r="I795" s="37">
        <v>3.3178985320462433E-4</v>
      </c>
      <c r="J795" s="42">
        <v>1172.21</v>
      </c>
      <c r="K795" s="37">
        <v>1.4341581519745952E-5</v>
      </c>
      <c r="L795" s="38">
        <v>0</v>
      </c>
      <c r="M795" s="37">
        <v>0</v>
      </c>
      <c r="N795" s="42">
        <v>0</v>
      </c>
      <c r="O795" s="37">
        <v>0</v>
      </c>
      <c r="Q795">
        <f>VLOOKUP(Table3[[#This Row],[Census Tract]],'Population and Diversity Data'!$B$2:$K$823,10,FALSE)</f>
        <v>5</v>
      </c>
      <c r="R795" t="str">
        <f>VLOOKUP(Table3[[#This Row],[Census Tract]],'ES Energy Burden'!$B$2:$E$914,4,FALSE)</f>
        <v>Yes</v>
      </c>
    </row>
    <row r="796" spans="1:18" hidden="1" x14ac:dyDescent="0.25">
      <c r="A796" s="140">
        <v>9009350500</v>
      </c>
      <c r="B796" s="39" t="s">
        <v>981</v>
      </c>
      <c r="C796" s="39" t="s">
        <v>944</v>
      </c>
      <c r="D796" s="41">
        <v>30786.989518080001</v>
      </c>
      <c r="E796" s="37">
        <v>2.7313113625828495E-4</v>
      </c>
      <c r="F796" s="41">
        <v>5469.22</v>
      </c>
      <c r="G796" s="37">
        <v>6.6914003872535596E-5</v>
      </c>
      <c r="H796" s="41">
        <v>30786.702393600001</v>
      </c>
      <c r="I796" s="37">
        <v>2.7312858899281023E-4</v>
      </c>
      <c r="J796" s="42">
        <v>5469.22</v>
      </c>
      <c r="K796" s="37">
        <v>6.6914003872535596E-5</v>
      </c>
      <c r="L796" s="38">
        <v>0.28712448000000002</v>
      </c>
      <c r="M796" s="37">
        <v>2.547265474719919E-9</v>
      </c>
      <c r="N796" s="42">
        <v>0</v>
      </c>
      <c r="O796" s="37">
        <v>0</v>
      </c>
      <c r="Q796">
        <f>VLOOKUP(Table3[[#This Row],[Census Tract]],'Population and Diversity Data'!$B$2:$K$823,10,FALSE)</f>
        <v>5</v>
      </c>
      <c r="R796" t="str">
        <f>VLOOKUP(Table3[[#This Row],[Census Tract]],'ES Energy Burden'!$B$2:$E$914,4,FALSE)</f>
        <v>Yes</v>
      </c>
    </row>
    <row r="797" spans="1:18" hidden="1" x14ac:dyDescent="0.25">
      <c r="A797" s="140">
        <v>9009350800</v>
      </c>
      <c r="B797" s="39" t="s">
        <v>981</v>
      </c>
      <c r="C797" s="39" t="s">
        <v>944</v>
      </c>
      <c r="D797" s="41">
        <v>75308.789249280017</v>
      </c>
      <c r="E797" s="37">
        <v>6.6811258586397637E-4</v>
      </c>
      <c r="F797" s="41">
        <v>26025.75</v>
      </c>
      <c r="G797" s="37">
        <v>3.184159964831627E-4</v>
      </c>
      <c r="H797" s="41">
        <v>75305.171249280014</v>
      </c>
      <c r="I797" s="37">
        <v>6.6808048826474855E-4</v>
      </c>
      <c r="J797" s="42">
        <v>26025.75</v>
      </c>
      <c r="K797" s="37">
        <v>3.184159964831627E-4</v>
      </c>
      <c r="L797" s="38">
        <v>3.6179999999999999</v>
      </c>
      <c r="M797" s="37">
        <v>3.2097599227821557E-8</v>
      </c>
      <c r="N797" s="42">
        <v>0</v>
      </c>
      <c r="O797" s="37">
        <v>0</v>
      </c>
      <c r="Q797">
        <f>VLOOKUP(Table3[[#This Row],[Census Tract]],'Population and Diversity Data'!$B$2:$K$823,10,FALSE)</f>
        <v>3</v>
      </c>
      <c r="R797" t="str">
        <f>VLOOKUP(Table3[[#This Row],[Census Tract]],'ES Energy Burden'!$B$2:$E$914,4,FALSE)</f>
        <v>Yes</v>
      </c>
    </row>
    <row r="798" spans="1:18" hidden="1" x14ac:dyDescent="0.25">
      <c r="A798" s="140">
        <v>9009350900</v>
      </c>
      <c r="B798" s="39" t="s">
        <v>981</v>
      </c>
      <c r="C798" s="39" t="s">
        <v>944</v>
      </c>
      <c r="D798" s="41">
        <v>30064.937443199997</v>
      </c>
      <c r="E798" s="37">
        <v>2.6672534904957423E-4</v>
      </c>
      <c r="F798" s="41">
        <v>35858.410000000003</v>
      </c>
      <c r="G798" s="37">
        <v>4.3871517064644853E-4</v>
      </c>
      <c r="H798" s="41">
        <v>30064.937443199997</v>
      </c>
      <c r="I798" s="37">
        <v>2.6672534904957423E-4</v>
      </c>
      <c r="J798" s="44">
        <v>35858.410000000003</v>
      </c>
      <c r="K798" s="37">
        <v>4.3871517064644853E-4</v>
      </c>
      <c r="L798" s="38">
        <v>0</v>
      </c>
      <c r="M798" s="37">
        <v>0</v>
      </c>
      <c r="N798" s="42">
        <v>0</v>
      </c>
      <c r="O798" s="37">
        <v>0</v>
      </c>
      <c r="Q798">
        <f>VLOOKUP(Table3[[#This Row],[Census Tract]],'Population and Diversity Data'!$B$2:$K$823,10,FALSE)</f>
        <v>3</v>
      </c>
      <c r="R798" t="str">
        <f>VLOOKUP(Table3[[#This Row],[Census Tract]],'ES Energy Burden'!$B$2:$E$914,4,FALSE)</f>
        <v>No</v>
      </c>
    </row>
    <row r="799" spans="1:18" hidden="1" x14ac:dyDescent="0.25">
      <c r="A799" s="140">
        <v>9009351000</v>
      </c>
      <c r="B799" s="39" t="s">
        <v>981</v>
      </c>
      <c r="C799" s="39" t="s">
        <v>944</v>
      </c>
      <c r="D799" s="41">
        <v>60298.793807040005</v>
      </c>
      <c r="E799" s="37">
        <v>5.3494928621874473E-4</v>
      </c>
      <c r="F799" s="41">
        <v>118554.3701</v>
      </c>
      <c r="G799" s="37">
        <v>1.4504714712477132E-3</v>
      </c>
      <c r="H799" s="41">
        <v>60298.793807040005</v>
      </c>
      <c r="I799" s="37">
        <v>5.3494928621874473E-4</v>
      </c>
      <c r="J799" s="42">
        <v>118554.3701</v>
      </c>
      <c r="K799" s="37">
        <v>1.4504714712477132E-3</v>
      </c>
      <c r="L799" s="38">
        <v>0</v>
      </c>
      <c r="M799" s="37">
        <v>0</v>
      </c>
      <c r="N799" s="42">
        <v>0</v>
      </c>
      <c r="O799" s="37">
        <v>0</v>
      </c>
      <c r="Q799">
        <f>VLOOKUP(Table3[[#This Row],[Census Tract]],'Population and Diversity Data'!$B$2:$K$823,10,FALSE)</f>
        <v>4</v>
      </c>
      <c r="R799" t="str">
        <f>VLOOKUP(Table3[[#This Row],[Census Tract]],'ES Energy Burden'!$B$2:$E$914,4,FALSE)</f>
        <v>No</v>
      </c>
    </row>
    <row r="800" spans="1:18" hidden="1" x14ac:dyDescent="0.25">
      <c r="A800" s="140">
        <v>9009351100</v>
      </c>
      <c r="B800" s="39" t="s">
        <v>981</v>
      </c>
      <c r="C800" s="39" t="s">
        <v>944</v>
      </c>
      <c r="D800" s="41">
        <v>82675.970403840009</v>
      </c>
      <c r="E800" s="37">
        <v>7.3347157650461388E-4</v>
      </c>
      <c r="F800" s="41">
        <v>57259.17</v>
      </c>
      <c r="G800" s="37">
        <v>7.0054602358621048E-4</v>
      </c>
      <c r="H800" s="41">
        <v>82675.970403840009</v>
      </c>
      <c r="I800" s="37">
        <v>7.3347157650461388E-4</v>
      </c>
      <c r="J800" s="42">
        <v>57259.17</v>
      </c>
      <c r="K800" s="37">
        <v>7.0054602358621048E-4</v>
      </c>
      <c r="L800" s="38">
        <v>0</v>
      </c>
      <c r="M800" s="37">
        <v>0</v>
      </c>
      <c r="N800" s="42">
        <v>0</v>
      </c>
      <c r="O800" s="37">
        <v>0</v>
      </c>
      <c r="Q800">
        <f>VLOOKUP(Table3[[#This Row],[Census Tract]],'Population and Diversity Data'!$B$2:$K$823,10,FALSE)</f>
        <v>5</v>
      </c>
      <c r="R800" t="str">
        <f>VLOOKUP(Table3[[#This Row],[Census Tract]],'ES Energy Burden'!$B$2:$E$914,4,FALSE)</f>
        <v>Yes</v>
      </c>
    </row>
    <row r="801" spans="1:18" hidden="1" x14ac:dyDescent="0.25">
      <c r="A801" s="140">
        <v>9009351200</v>
      </c>
      <c r="B801" s="39" t="s">
        <v>981</v>
      </c>
      <c r="C801" s="39" t="s">
        <v>944</v>
      </c>
      <c r="D801" s="41">
        <v>54356.397840000005</v>
      </c>
      <c r="E801" s="37">
        <v>4.8223047908688377E-4</v>
      </c>
      <c r="F801" s="41">
        <v>7114.2227999999996</v>
      </c>
      <c r="G801" s="37">
        <v>8.7040040808247061E-5</v>
      </c>
      <c r="H801" s="41">
        <v>54356.397840000005</v>
      </c>
      <c r="I801" s="37">
        <v>4.8223047908688377E-4</v>
      </c>
      <c r="J801" s="42">
        <v>7114.2227999999996</v>
      </c>
      <c r="K801" s="37">
        <v>8.7040040808247061E-5</v>
      </c>
      <c r="L801" s="38">
        <v>0</v>
      </c>
      <c r="M801" s="37">
        <v>0</v>
      </c>
      <c r="N801" s="42">
        <v>0</v>
      </c>
      <c r="O801" s="37">
        <v>0</v>
      </c>
      <c r="Q801">
        <f>VLOOKUP(Table3[[#This Row],[Census Tract]],'Population and Diversity Data'!$B$2:$K$823,10,FALSE)</f>
        <v>5</v>
      </c>
      <c r="R801" t="str">
        <f>VLOOKUP(Table3[[#This Row],[Census Tract]],'ES Energy Burden'!$B$2:$E$914,4,FALSE)</f>
        <v>Yes</v>
      </c>
    </row>
    <row r="802" spans="1:18" hidden="1" x14ac:dyDescent="0.25">
      <c r="A802" s="140">
        <v>9009351300</v>
      </c>
      <c r="B802" s="39" t="s">
        <v>981</v>
      </c>
      <c r="C802" s="39" t="s">
        <v>944</v>
      </c>
      <c r="D802" s="41">
        <v>73467.303661440004</v>
      </c>
      <c r="E802" s="37">
        <v>6.5177558575831083E-4</v>
      </c>
      <c r="F802" s="41">
        <v>32921.589999999997</v>
      </c>
      <c r="G802" s="37">
        <v>4.0278419971221286E-4</v>
      </c>
      <c r="H802" s="41">
        <v>73465.479031680006</v>
      </c>
      <c r="I802" s="37">
        <v>6.517593982970682E-4</v>
      </c>
      <c r="J802" s="42">
        <v>32921.589999999997</v>
      </c>
      <c r="K802" s="37">
        <v>4.0278419971221286E-4</v>
      </c>
      <c r="L802" s="38">
        <v>1.8246297600000001</v>
      </c>
      <c r="M802" s="37">
        <v>1.6187461242574969E-8</v>
      </c>
      <c r="N802" s="42">
        <v>0</v>
      </c>
      <c r="O802" s="37">
        <v>0</v>
      </c>
      <c r="Q802">
        <f>VLOOKUP(Table3[[#This Row],[Census Tract]],'Population and Diversity Data'!$B$2:$K$823,10,FALSE)</f>
        <v>5</v>
      </c>
      <c r="R802" t="str">
        <f>VLOOKUP(Table3[[#This Row],[Census Tract]],'ES Energy Burden'!$B$2:$E$914,4,FALSE)</f>
        <v>Yes</v>
      </c>
    </row>
    <row r="803" spans="1:18" hidden="1" x14ac:dyDescent="0.25">
      <c r="A803" s="140">
        <v>9009351400</v>
      </c>
      <c r="B803" s="39" t="s">
        <v>981</v>
      </c>
      <c r="C803" s="39" t="s">
        <v>944</v>
      </c>
      <c r="D803" s="41">
        <v>53848.322968320004</v>
      </c>
      <c r="E803" s="37">
        <v>4.777230209307446E-4</v>
      </c>
      <c r="F803" s="41">
        <v>3381.01</v>
      </c>
      <c r="G803" s="37">
        <v>4.1365481043564087E-5</v>
      </c>
      <c r="H803" s="41">
        <v>53848.322968320004</v>
      </c>
      <c r="I803" s="37">
        <v>4.777230209307446E-4</v>
      </c>
      <c r="J803" s="42">
        <v>3381.01</v>
      </c>
      <c r="K803" s="37">
        <v>4.1365481043564087E-5</v>
      </c>
      <c r="L803" s="38">
        <v>0</v>
      </c>
      <c r="M803" s="37">
        <v>0</v>
      </c>
      <c r="N803" s="42">
        <v>0</v>
      </c>
      <c r="O803" s="37">
        <v>0</v>
      </c>
      <c r="Q803">
        <f>VLOOKUP(Table3[[#This Row],[Census Tract]],'Population and Diversity Data'!$B$2:$K$823,10,FALSE)</f>
        <v>5</v>
      </c>
      <c r="R803" t="str">
        <f>VLOOKUP(Table3[[#This Row],[Census Tract]],'ES Energy Burden'!$B$2:$E$914,4,FALSE)</f>
        <v>Yes</v>
      </c>
    </row>
    <row r="804" spans="1:18" hidden="1" x14ac:dyDescent="0.25">
      <c r="A804" s="140">
        <v>9009351500</v>
      </c>
      <c r="B804" s="39" t="s">
        <v>981</v>
      </c>
      <c r="C804" s="39" t="s">
        <v>944</v>
      </c>
      <c r="D804" s="41">
        <v>73375.150596480002</v>
      </c>
      <c r="E804" s="37">
        <v>6.5095803679570676E-4</v>
      </c>
      <c r="F804" s="41">
        <v>79377.770300000004</v>
      </c>
      <c r="G804" s="37">
        <v>9.7115940284856731E-4</v>
      </c>
      <c r="H804" s="41">
        <v>73375.150596480002</v>
      </c>
      <c r="I804" s="37">
        <v>6.5095803679570676E-4</v>
      </c>
      <c r="J804" s="42">
        <v>79377.770300000004</v>
      </c>
      <c r="K804" s="37">
        <v>9.7115940284856731E-4</v>
      </c>
      <c r="L804" s="38">
        <v>0</v>
      </c>
      <c r="M804" s="37">
        <v>0</v>
      </c>
      <c r="N804" s="42">
        <v>0</v>
      </c>
      <c r="O804" s="37">
        <v>0</v>
      </c>
      <c r="Q804">
        <f>VLOOKUP(Table3[[#This Row],[Census Tract]],'Population and Diversity Data'!$B$2:$K$823,10,FALSE)</f>
        <v>5</v>
      </c>
      <c r="R804" t="str">
        <f>VLOOKUP(Table3[[#This Row],[Census Tract]],'ES Energy Burden'!$B$2:$E$914,4,FALSE)</f>
        <v>No</v>
      </c>
    </row>
    <row r="805" spans="1:18" hidden="1" x14ac:dyDescent="0.25">
      <c r="A805" s="140">
        <v>9009351601</v>
      </c>
      <c r="B805" s="39" t="s">
        <v>981</v>
      </c>
      <c r="C805" s="39" t="s">
        <v>944</v>
      </c>
      <c r="D805" s="41">
        <v>54795.537365759999</v>
      </c>
      <c r="E805" s="37">
        <v>4.8612636756199156E-4</v>
      </c>
      <c r="F805" s="41">
        <v>22097.49</v>
      </c>
      <c r="G805" s="37">
        <v>2.7035510208646147E-4</v>
      </c>
      <c r="H805" s="41">
        <v>54795.537365759999</v>
      </c>
      <c r="I805" s="37">
        <v>4.8612636756199156E-4</v>
      </c>
      <c r="J805" s="42">
        <v>22097.49</v>
      </c>
      <c r="K805" s="37">
        <v>2.7035510208646147E-4</v>
      </c>
      <c r="L805" s="38">
        <v>0</v>
      </c>
      <c r="M805" s="37">
        <v>0</v>
      </c>
      <c r="N805" s="42">
        <v>0</v>
      </c>
      <c r="O805" s="37">
        <v>0</v>
      </c>
      <c r="Q805">
        <f>VLOOKUP(Table3[[#This Row],[Census Tract]],'Population and Diversity Data'!$B$2:$K$823,10,FALSE)</f>
        <v>3</v>
      </c>
      <c r="R805" t="str">
        <f>VLOOKUP(Table3[[#This Row],[Census Tract]],'ES Energy Burden'!$B$2:$E$914,4,FALSE)</f>
        <v>Yes</v>
      </c>
    </row>
    <row r="806" spans="1:18" hidden="1" x14ac:dyDescent="0.25">
      <c r="A806" s="140">
        <v>9009351602</v>
      </c>
      <c r="B806" s="39" t="s">
        <v>981</v>
      </c>
      <c r="C806" s="39" t="s">
        <v>944</v>
      </c>
      <c r="D806" s="41">
        <v>928086.51075263997</v>
      </c>
      <c r="E806" s="37">
        <v>8.2336508764194408E-3</v>
      </c>
      <c r="F806" s="41">
        <v>1583684.9359000002</v>
      </c>
      <c r="G806" s="37">
        <v>1.9375834201895131E-2</v>
      </c>
      <c r="H806" s="41">
        <v>223993.94705856004</v>
      </c>
      <c r="I806" s="37">
        <v>1.9871940138594638E-3</v>
      </c>
      <c r="J806" s="42">
        <v>1331999.4979000001</v>
      </c>
      <c r="K806" s="37">
        <v>1.6296550433278618E-2</v>
      </c>
      <c r="L806" s="38">
        <v>704092.56369407987</v>
      </c>
      <c r="M806" s="37">
        <v>6.2464568625599775E-3</v>
      </c>
      <c r="N806" s="42">
        <v>251685.43799999999</v>
      </c>
      <c r="O806" s="37">
        <v>3.079283768616515E-3</v>
      </c>
      <c r="Q806">
        <f>VLOOKUP(Table3[[#This Row],[Census Tract]],'Population and Diversity Data'!$B$2:$K$823,10,FALSE)</f>
        <v>1</v>
      </c>
      <c r="R806" t="str">
        <f>VLOOKUP(Table3[[#This Row],[Census Tract]],'ES Energy Burden'!$B$2:$E$914,4,FALSE)</f>
        <v>No</v>
      </c>
    </row>
    <row r="807" spans="1:18" hidden="1" x14ac:dyDescent="0.25">
      <c r="A807" s="140">
        <v>9009351700</v>
      </c>
      <c r="B807" s="39" t="s">
        <v>981</v>
      </c>
      <c r="C807" s="39" t="s">
        <v>944</v>
      </c>
      <c r="D807" s="41">
        <v>40955.166647999999</v>
      </c>
      <c r="E807" s="37">
        <v>3.6333955925266665E-4</v>
      </c>
      <c r="F807" s="41">
        <v>9409.7900000000009</v>
      </c>
      <c r="G807" s="37">
        <v>1.1512550683639473E-4</v>
      </c>
      <c r="H807" s="41">
        <v>40955.166647999999</v>
      </c>
      <c r="I807" s="37">
        <v>3.6333955925266665E-4</v>
      </c>
      <c r="J807" s="42">
        <v>9409.7900000000009</v>
      </c>
      <c r="K807" s="37">
        <v>1.1512550683639473E-4</v>
      </c>
      <c r="L807" s="38">
        <v>0</v>
      </c>
      <c r="M807" s="37">
        <v>0</v>
      </c>
      <c r="N807" s="42">
        <v>0</v>
      </c>
      <c r="O807" s="37">
        <v>0</v>
      </c>
      <c r="Q807">
        <f>VLOOKUP(Table3[[#This Row],[Census Tract]],'Population and Diversity Data'!$B$2:$K$823,10,FALSE)</f>
        <v>3</v>
      </c>
      <c r="R807" t="str">
        <f>VLOOKUP(Table3[[#This Row],[Census Tract]],'ES Energy Burden'!$B$2:$E$914,4,FALSE)</f>
        <v>Yes</v>
      </c>
    </row>
    <row r="808" spans="1:18" hidden="1" x14ac:dyDescent="0.25">
      <c r="A808" s="140">
        <v>9009351800</v>
      </c>
      <c r="B808" s="39" t="s">
        <v>981</v>
      </c>
      <c r="C808" s="39" t="s">
        <v>944</v>
      </c>
      <c r="D808" s="41">
        <v>78965.426015999998</v>
      </c>
      <c r="E808" s="37">
        <v>7.0055295663785564E-4</v>
      </c>
      <c r="F808" s="41">
        <v>32630.14</v>
      </c>
      <c r="G808" s="37">
        <v>3.9921841036224154E-4</v>
      </c>
      <c r="H808" s="41">
        <v>78963.979973759997</v>
      </c>
      <c r="I808" s="37">
        <v>7.0054012786939632E-4</v>
      </c>
      <c r="J808" s="42">
        <v>32630.14</v>
      </c>
      <c r="K808" s="37">
        <v>3.9921841036224154E-4</v>
      </c>
      <c r="L808" s="38">
        <v>1.4460422400000001</v>
      </c>
      <c r="M808" s="37">
        <v>1.2828768459375722E-8</v>
      </c>
      <c r="N808" s="42">
        <v>0</v>
      </c>
      <c r="O808" s="37">
        <v>0</v>
      </c>
      <c r="Q808">
        <f>VLOOKUP(Table3[[#This Row],[Census Tract]],'Population and Diversity Data'!$B$2:$K$823,10,FALSE)</f>
        <v>3</v>
      </c>
      <c r="R808" t="str">
        <f>VLOOKUP(Table3[[#This Row],[Census Tract]],'ES Energy Burden'!$B$2:$E$914,4,FALSE)</f>
        <v>No</v>
      </c>
    </row>
    <row r="809" spans="1:18" hidden="1" x14ac:dyDescent="0.25">
      <c r="A809" s="140">
        <v>9009351900</v>
      </c>
      <c r="B809" s="39" t="s">
        <v>981</v>
      </c>
      <c r="C809" s="39" t="s">
        <v>944</v>
      </c>
      <c r="D809" s="41">
        <v>46036.982819519995</v>
      </c>
      <c r="E809" s="37">
        <v>4.0842361088973446E-4</v>
      </c>
      <c r="F809" s="41">
        <v>33038.6175</v>
      </c>
      <c r="G809" s="37">
        <v>4.0421599045900922E-4</v>
      </c>
      <c r="H809" s="41">
        <v>46036.982819519995</v>
      </c>
      <c r="I809" s="37">
        <v>4.0842361088973446E-4</v>
      </c>
      <c r="J809" s="42">
        <v>33038.6175</v>
      </c>
      <c r="K809" s="37">
        <v>4.0421599045900922E-4</v>
      </c>
      <c r="L809" s="38">
        <v>0</v>
      </c>
      <c r="M809" s="37">
        <v>0</v>
      </c>
      <c r="N809" s="42">
        <v>0</v>
      </c>
      <c r="O809" s="37">
        <v>0</v>
      </c>
      <c r="Q809">
        <f>VLOOKUP(Table3[[#This Row],[Census Tract]],'Population and Diversity Data'!$B$2:$K$823,10,FALSE)</f>
        <v>4</v>
      </c>
      <c r="R809" t="str">
        <f>VLOOKUP(Table3[[#This Row],[Census Tract]],'ES Energy Burden'!$B$2:$E$914,4,FALSE)</f>
        <v>No</v>
      </c>
    </row>
    <row r="810" spans="1:18" hidden="1" x14ac:dyDescent="0.25">
      <c r="A810" s="140">
        <v>9009352000</v>
      </c>
      <c r="B810" s="39" t="s">
        <v>981</v>
      </c>
      <c r="C810" s="39" t="s">
        <v>944</v>
      </c>
      <c r="D810" s="41">
        <v>86934.247574400011</v>
      </c>
      <c r="E810" s="37">
        <v>7.7124948529997512E-4</v>
      </c>
      <c r="F810" s="41">
        <v>43374.961799999997</v>
      </c>
      <c r="G810" s="37">
        <v>5.3067756679312287E-4</v>
      </c>
      <c r="H810" s="41">
        <v>86934.247574400011</v>
      </c>
      <c r="I810" s="37">
        <v>7.7124948529997512E-4</v>
      </c>
      <c r="J810" s="42">
        <v>43374.961799999997</v>
      </c>
      <c r="K810" s="37">
        <v>5.3067756679312287E-4</v>
      </c>
      <c r="L810" s="38">
        <v>0</v>
      </c>
      <c r="M810" s="37">
        <v>0</v>
      </c>
      <c r="N810" s="42">
        <v>0</v>
      </c>
      <c r="O810" s="37">
        <v>0</v>
      </c>
      <c r="Q810">
        <f>VLOOKUP(Table3[[#This Row],[Census Tract]],'Population and Diversity Data'!$B$2:$K$823,10,FALSE)</f>
        <v>4</v>
      </c>
      <c r="R810" t="str">
        <f>VLOOKUP(Table3[[#This Row],[Census Tract]],'ES Energy Burden'!$B$2:$E$914,4,FALSE)</f>
        <v>No</v>
      </c>
    </row>
    <row r="811" spans="1:18" hidden="1" x14ac:dyDescent="0.25">
      <c r="A811" s="140">
        <v>9009352100</v>
      </c>
      <c r="B811" s="39" t="s">
        <v>981</v>
      </c>
      <c r="C811" s="39" t="s">
        <v>944</v>
      </c>
      <c r="D811" s="41">
        <v>66312.099100799998</v>
      </c>
      <c r="E811" s="37">
        <v>5.882971754817757E-4</v>
      </c>
      <c r="F811" s="41">
        <v>16926.25</v>
      </c>
      <c r="G811" s="37">
        <v>2.0708677984200774E-4</v>
      </c>
      <c r="H811" s="41">
        <v>66312.099100799998</v>
      </c>
      <c r="I811" s="37">
        <v>5.882971754817757E-4</v>
      </c>
      <c r="J811" s="42">
        <v>16926.25</v>
      </c>
      <c r="K811" s="37">
        <v>2.0708677984200774E-4</v>
      </c>
      <c r="L811" s="38">
        <v>0</v>
      </c>
      <c r="M811" s="37">
        <v>0</v>
      </c>
      <c r="N811" s="42">
        <v>0</v>
      </c>
      <c r="O811" s="37">
        <v>0</v>
      </c>
      <c r="Q811">
        <f>VLOOKUP(Table3[[#This Row],[Census Tract]],'Population and Diversity Data'!$B$2:$K$823,10,FALSE)</f>
        <v>2</v>
      </c>
      <c r="R811" t="str">
        <f>VLOOKUP(Table3[[#This Row],[Census Tract]],'ES Energy Burden'!$B$2:$E$914,4,FALSE)</f>
        <v>No</v>
      </c>
    </row>
    <row r="812" spans="1:18" hidden="1" x14ac:dyDescent="0.25">
      <c r="A812" s="140">
        <v>9009352200</v>
      </c>
      <c r="B812" s="39" t="s">
        <v>981</v>
      </c>
      <c r="C812" s="39" t="s">
        <v>944</v>
      </c>
      <c r="D812" s="41">
        <v>30857.74312608</v>
      </c>
      <c r="E812" s="37">
        <v>2.7375883690878422E-4</v>
      </c>
      <c r="F812" s="41">
        <v>3404.86</v>
      </c>
      <c r="G812" s="37">
        <v>4.1657277495774817E-5</v>
      </c>
      <c r="H812" s="41">
        <v>30857.74312608</v>
      </c>
      <c r="I812" s="37">
        <v>2.7375883690878422E-4</v>
      </c>
      <c r="J812" s="42">
        <v>3404.86</v>
      </c>
      <c r="K812" s="37">
        <v>4.1657277495774817E-5</v>
      </c>
      <c r="L812" s="38">
        <v>0</v>
      </c>
      <c r="M812" s="37">
        <v>0</v>
      </c>
      <c r="N812" s="42">
        <v>0</v>
      </c>
      <c r="O812" s="37">
        <v>0</v>
      </c>
      <c r="Q812">
        <f>VLOOKUP(Table3[[#This Row],[Census Tract]],'Population and Diversity Data'!$B$2:$K$823,10,FALSE)</f>
        <v>4</v>
      </c>
      <c r="R812" t="str">
        <f>VLOOKUP(Table3[[#This Row],[Census Tract]],'ES Energy Burden'!$B$2:$E$914,4,FALSE)</f>
        <v>Yes</v>
      </c>
    </row>
    <row r="813" spans="1:18" hidden="1" x14ac:dyDescent="0.25">
      <c r="A813" s="140">
        <v>9009352300</v>
      </c>
      <c r="B813" s="39" t="s">
        <v>981</v>
      </c>
      <c r="C813" s="39" t="s">
        <v>944</v>
      </c>
      <c r="D813" s="41">
        <v>41957.293023359998</v>
      </c>
      <c r="E813" s="37">
        <v>3.7223006527033794E-4</v>
      </c>
      <c r="F813" s="41">
        <v>70837.55</v>
      </c>
      <c r="G813" s="37">
        <v>8.666727787547281E-4</v>
      </c>
      <c r="H813" s="41">
        <v>41957.293023359998</v>
      </c>
      <c r="I813" s="37">
        <v>3.7223006527033794E-4</v>
      </c>
      <c r="J813" s="42">
        <v>70837.55</v>
      </c>
      <c r="K813" s="37">
        <v>8.666727787547281E-4</v>
      </c>
      <c r="L813" s="38">
        <v>0</v>
      </c>
      <c r="M813" s="37">
        <v>0</v>
      </c>
      <c r="N813" s="42">
        <v>0</v>
      </c>
      <c r="O813" s="37">
        <v>0</v>
      </c>
      <c r="Q813">
        <f>VLOOKUP(Table3[[#This Row],[Census Tract]],'Population and Diversity Data'!$B$2:$K$823,10,FALSE)</f>
        <v>2</v>
      </c>
      <c r="R813" t="str">
        <f>VLOOKUP(Table3[[#This Row],[Census Tract]],'ES Energy Burden'!$B$2:$E$914,4,FALSE)</f>
        <v>Yes</v>
      </c>
    </row>
    <row r="814" spans="1:18" hidden="1" x14ac:dyDescent="0.25">
      <c r="A814" s="140">
        <v>9009352400</v>
      </c>
      <c r="B814" s="39" t="s">
        <v>981</v>
      </c>
      <c r="C814" s="39" t="s">
        <v>944</v>
      </c>
      <c r="D814" s="41">
        <v>67570.252522559997</v>
      </c>
      <c r="E814" s="37">
        <v>5.9945906168928399E-4</v>
      </c>
      <c r="F814" s="41">
        <v>18995.95</v>
      </c>
      <c r="G814" s="37">
        <v>2.3240883926089873E-4</v>
      </c>
      <c r="H814" s="41">
        <v>67567.224980159997</v>
      </c>
      <c r="I814" s="37">
        <v>5.9943220241825013E-4</v>
      </c>
      <c r="J814" s="42">
        <v>18995.95</v>
      </c>
      <c r="K814" s="37">
        <v>2.3240883926089873E-4</v>
      </c>
      <c r="L814" s="38">
        <v>3.0275423999999997</v>
      </c>
      <c r="M814" s="37">
        <v>2.6859271033841077E-8</v>
      </c>
      <c r="N814" s="42">
        <v>0</v>
      </c>
      <c r="O814" s="37">
        <v>0</v>
      </c>
      <c r="Q814">
        <f>VLOOKUP(Table3[[#This Row],[Census Tract]],'Population and Diversity Data'!$B$2:$K$823,10,FALSE)</f>
        <v>4</v>
      </c>
      <c r="R814" t="str">
        <f>VLOOKUP(Table3[[#This Row],[Census Tract]],'ES Energy Burden'!$B$2:$E$914,4,FALSE)</f>
        <v>Yes</v>
      </c>
    </row>
    <row r="815" spans="1:18" hidden="1" x14ac:dyDescent="0.25">
      <c r="A815" s="140">
        <v>9009352500</v>
      </c>
      <c r="B815" s="39" t="s">
        <v>981</v>
      </c>
      <c r="C815" s="39" t="s">
        <v>944</v>
      </c>
      <c r="D815" s="41">
        <v>68249.952578880009</v>
      </c>
      <c r="E815" s="37">
        <v>6.0548911696924176E-4</v>
      </c>
      <c r="F815" s="41">
        <v>82131.960000000006</v>
      </c>
      <c r="G815" s="37">
        <v>1.0048559556022501E-3</v>
      </c>
      <c r="H815" s="41">
        <v>68249.952578880009</v>
      </c>
      <c r="I815" s="37">
        <v>6.0548911696924176E-4</v>
      </c>
      <c r="J815" s="42">
        <v>82131.960000000006</v>
      </c>
      <c r="K815" s="37">
        <v>1.0048559556022501E-3</v>
      </c>
      <c r="L815" s="38">
        <v>0</v>
      </c>
      <c r="M815" s="37">
        <v>0</v>
      </c>
      <c r="N815" s="42">
        <v>0</v>
      </c>
      <c r="O815" s="37">
        <v>0</v>
      </c>
      <c r="Q815">
        <f>VLOOKUP(Table3[[#This Row],[Census Tract]],'Population and Diversity Data'!$B$2:$K$823,10,FALSE)</f>
        <v>3</v>
      </c>
      <c r="R815" t="str">
        <f>VLOOKUP(Table3[[#This Row],[Census Tract]],'ES Energy Burden'!$B$2:$E$914,4,FALSE)</f>
        <v>No</v>
      </c>
    </row>
    <row r="816" spans="1:18" hidden="1" x14ac:dyDescent="0.25">
      <c r="A816" s="140">
        <v>9009352600</v>
      </c>
      <c r="B816" s="39" t="s">
        <v>981</v>
      </c>
      <c r="C816" s="39" t="s">
        <v>944</v>
      </c>
      <c r="D816" s="41">
        <v>102977.93166624001</v>
      </c>
      <c r="E816" s="37">
        <v>9.1358330014730961E-4</v>
      </c>
      <c r="F816" s="41">
        <v>126038.12</v>
      </c>
      <c r="G816" s="37">
        <v>1.5420325475601832E-3</v>
      </c>
      <c r="H816" s="41">
        <v>102977.93166624001</v>
      </c>
      <c r="I816" s="37">
        <v>9.1358330014730961E-4</v>
      </c>
      <c r="J816" s="42">
        <v>126038.12</v>
      </c>
      <c r="K816" s="37">
        <v>1.5420325475601832E-3</v>
      </c>
      <c r="L816" s="38">
        <v>0</v>
      </c>
      <c r="M816" s="37">
        <v>0</v>
      </c>
      <c r="N816" s="42">
        <v>0</v>
      </c>
      <c r="O816" s="37">
        <v>0</v>
      </c>
      <c r="Q816">
        <f>VLOOKUP(Table3[[#This Row],[Census Tract]],'Population and Diversity Data'!$B$2:$K$823,10,FALSE)</f>
        <v>3</v>
      </c>
      <c r="R816" t="str">
        <f>VLOOKUP(Table3[[#This Row],[Census Tract]],'ES Energy Burden'!$B$2:$E$914,4,FALSE)</f>
        <v>Yes</v>
      </c>
    </row>
    <row r="817" spans="1:18" hidden="1" x14ac:dyDescent="0.25">
      <c r="A817" s="140">
        <v>9009352701</v>
      </c>
      <c r="B817" s="39" t="s">
        <v>981</v>
      </c>
      <c r="C817" s="39" t="s">
        <v>944</v>
      </c>
      <c r="D817" s="41">
        <v>41794.131643200002</v>
      </c>
      <c r="E817" s="37">
        <v>3.7078255598624901E-4</v>
      </c>
      <c r="F817" s="41">
        <v>5658.59</v>
      </c>
      <c r="G817" s="37">
        <v>6.923087993774089E-5</v>
      </c>
      <c r="H817" s="41">
        <v>41794.131643200002</v>
      </c>
      <c r="I817" s="37">
        <v>3.7078255598624901E-4</v>
      </c>
      <c r="J817" s="42">
        <v>5658.59</v>
      </c>
      <c r="K817" s="37">
        <v>6.923087993774089E-5</v>
      </c>
      <c r="L817" s="38">
        <v>0</v>
      </c>
      <c r="M817" s="37">
        <v>0</v>
      </c>
      <c r="N817" s="42">
        <v>0</v>
      </c>
      <c r="O817" s="37">
        <v>0</v>
      </c>
      <c r="Q817">
        <f>VLOOKUP(Table3[[#This Row],[Census Tract]],'Population and Diversity Data'!$B$2:$K$823,10,FALSE)</f>
        <v>4</v>
      </c>
      <c r="R817" t="str">
        <f>VLOOKUP(Table3[[#This Row],[Census Tract]],'ES Energy Burden'!$B$2:$E$914,4,FALSE)</f>
        <v>Yes</v>
      </c>
    </row>
    <row r="818" spans="1:18" hidden="1" x14ac:dyDescent="0.25">
      <c r="A818" s="140">
        <v>9009352702</v>
      </c>
      <c r="B818" s="39" t="s">
        <v>981</v>
      </c>
      <c r="C818" s="39" t="s">
        <v>944</v>
      </c>
      <c r="D818" s="41">
        <v>111415.61708064002</v>
      </c>
      <c r="E818" s="37">
        <v>9.8843942088856079E-4</v>
      </c>
      <c r="F818" s="41">
        <v>168967.71100000001</v>
      </c>
      <c r="G818" s="37">
        <v>2.0672611575667968E-3</v>
      </c>
      <c r="H818" s="41">
        <v>111415.61708064002</v>
      </c>
      <c r="I818" s="37">
        <v>9.8843942088856079E-4</v>
      </c>
      <c r="J818" s="42">
        <v>168967.71100000001</v>
      </c>
      <c r="K818" s="37">
        <v>2.0672611575667968E-3</v>
      </c>
      <c r="L818" s="38">
        <v>0</v>
      </c>
      <c r="M818" s="37">
        <v>0</v>
      </c>
      <c r="N818" s="42">
        <v>0</v>
      </c>
      <c r="O818" s="37">
        <v>0</v>
      </c>
      <c r="Q818">
        <f>VLOOKUP(Table3[[#This Row],[Census Tract]],'Population and Diversity Data'!$B$2:$K$823,10,FALSE)</f>
        <v>4</v>
      </c>
      <c r="R818" t="str">
        <f>VLOOKUP(Table3[[#This Row],[Census Tract]],'ES Energy Burden'!$B$2:$E$914,4,FALSE)</f>
        <v>No</v>
      </c>
    </row>
    <row r="819" spans="1:18" hidden="1" x14ac:dyDescent="0.25">
      <c r="A819" s="140">
        <v>9009352800</v>
      </c>
      <c r="B819" s="39" t="s">
        <v>981</v>
      </c>
      <c r="C819" s="39" t="s">
        <v>944</v>
      </c>
      <c r="D819" s="41">
        <v>97466.550065279996</v>
      </c>
      <c r="E819" s="37">
        <v>8.6468829798611447E-4</v>
      </c>
      <c r="F819" s="41">
        <v>57930.291700000002</v>
      </c>
      <c r="G819" s="37">
        <v>7.0875696409193937E-4</v>
      </c>
      <c r="H819" s="41">
        <v>97466.550065279996</v>
      </c>
      <c r="I819" s="37">
        <v>8.6468829798611447E-4</v>
      </c>
      <c r="J819" s="42">
        <v>57930.291700000002</v>
      </c>
      <c r="K819" s="37">
        <v>7.0875696409193937E-4</v>
      </c>
      <c r="L819" s="38">
        <v>0</v>
      </c>
      <c r="M819" s="37">
        <v>0</v>
      </c>
      <c r="N819" s="42">
        <v>0</v>
      </c>
      <c r="O819" s="37">
        <v>0</v>
      </c>
      <c r="Q819">
        <f>VLOOKUP(Table3[[#This Row],[Census Tract]],'Population and Diversity Data'!$B$2:$K$823,10,FALSE)</f>
        <v>5</v>
      </c>
      <c r="R819" t="str">
        <f>VLOOKUP(Table3[[#This Row],[Census Tract]],'ES Energy Burden'!$B$2:$E$914,4,FALSE)</f>
        <v>No</v>
      </c>
    </row>
    <row r="820" spans="1:18" hidden="1" x14ac:dyDescent="0.25">
      <c r="A820" s="140">
        <v>9009361100</v>
      </c>
      <c r="B820" s="39" t="s">
        <v>981</v>
      </c>
      <c r="C820" s="39" t="s">
        <v>944</v>
      </c>
      <c r="D820" s="41">
        <v>944.42535360000011</v>
      </c>
      <c r="E820" s="37">
        <v>8.3786032339542469E-6</v>
      </c>
      <c r="F820" s="41">
        <v>0</v>
      </c>
      <c r="G820" s="37">
        <v>0</v>
      </c>
      <c r="H820" s="41">
        <v>944.42535360000011</v>
      </c>
      <c r="I820" s="37">
        <v>8.3786032339542469E-6</v>
      </c>
      <c r="J820" s="42">
        <v>0</v>
      </c>
      <c r="K820" s="37">
        <v>0</v>
      </c>
      <c r="L820" s="38">
        <v>0</v>
      </c>
      <c r="M820" s="37">
        <v>0</v>
      </c>
      <c r="N820" s="42">
        <v>0</v>
      </c>
      <c r="O820" s="37">
        <v>0</v>
      </c>
      <c r="Q820">
        <f>VLOOKUP(Table3[[#This Row],[Census Tract]],'Population and Diversity Data'!$B$2:$K$823,10,FALSE)</f>
        <v>2</v>
      </c>
      <c r="R820" t="str">
        <f>VLOOKUP(Table3[[#This Row],[Census Tract]],'ES Energy Burden'!$B$2:$E$914,4,FALSE)</f>
        <v>No</v>
      </c>
    </row>
    <row r="821" spans="1:18" hidden="1" x14ac:dyDescent="0.25">
      <c r="A821" s="140">
        <v>9011690300</v>
      </c>
      <c r="B821" s="39" t="s">
        <v>2851</v>
      </c>
      <c r="C821" s="39" t="s">
        <v>944</v>
      </c>
      <c r="D821" s="41">
        <v>129.32179199999999</v>
      </c>
      <c r="E821" s="37">
        <v>1.1472965867992536E-6</v>
      </c>
      <c r="F821" s="41">
        <v>0</v>
      </c>
      <c r="G821" s="37">
        <v>0</v>
      </c>
      <c r="H821" s="41">
        <v>129.32179199999999</v>
      </c>
      <c r="I821" s="37">
        <v>1.1472965867992536E-6</v>
      </c>
      <c r="J821" s="42">
        <v>0</v>
      </c>
      <c r="K821" s="37">
        <v>0</v>
      </c>
      <c r="L821" s="38">
        <v>0</v>
      </c>
      <c r="M821" s="37">
        <v>0</v>
      </c>
      <c r="N821" s="42">
        <v>0</v>
      </c>
      <c r="O821" s="37">
        <v>0</v>
      </c>
      <c r="Q821">
        <f>VLOOKUP(Table3[[#This Row],[Census Tract]],'Population and Diversity Data'!$B$2:$K$823,10,FALSE)</f>
        <v>5</v>
      </c>
      <c r="R821" t="str">
        <f>VLOOKUP(Table3[[#This Row],[Census Tract]],'ES Energy Burden'!$B$2:$E$914,4,FALSE)</f>
        <v>No</v>
      </c>
    </row>
    <row r="822" spans="1:18" hidden="1" x14ac:dyDescent="0.25">
      <c r="A822" s="140">
        <v>9011693300</v>
      </c>
      <c r="B822" s="39" t="s">
        <v>2851</v>
      </c>
      <c r="C822" s="39" t="s">
        <v>944</v>
      </c>
      <c r="D822" s="41">
        <v>298229.70639455999</v>
      </c>
      <c r="E822" s="37">
        <v>2.6457870629307567E-3</v>
      </c>
      <c r="F822" s="41">
        <v>526570.05579999997</v>
      </c>
      <c r="G822" s="37">
        <v>6.4424014307273214E-3</v>
      </c>
      <c r="H822" s="41">
        <v>136900.22556960001</v>
      </c>
      <c r="I822" s="37">
        <v>1.2145297331485323E-3</v>
      </c>
      <c r="J822" s="42">
        <v>454674.54180000001</v>
      </c>
      <c r="K822" s="37">
        <v>5.5627848305148716E-3</v>
      </c>
      <c r="L822" s="38">
        <v>161329.48082495999</v>
      </c>
      <c r="M822" s="37">
        <v>1.4312573297822245E-3</v>
      </c>
      <c r="N822" s="42">
        <v>71895.513999999996</v>
      </c>
      <c r="O822" s="37">
        <v>8.7961660021245022E-4</v>
      </c>
      <c r="Q822">
        <f>VLOOKUP(Table3[[#This Row],[Census Tract]],'Population and Diversity Data'!$B$2:$K$823,10,FALSE)</f>
        <v>4</v>
      </c>
      <c r="R822" t="str">
        <f>VLOOKUP(Table3[[#This Row],[Census Tract]],'ES Energy Burden'!$B$2:$E$914,4,FALSE)</f>
        <v>No</v>
      </c>
    </row>
    <row r="823" spans="1:18" hidden="1" x14ac:dyDescent="0.25">
      <c r="A823" s="140">
        <v>9011693400</v>
      </c>
      <c r="B823" s="39" t="s">
        <v>2851</v>
      </c>
      <c r="C823" s="39" t="s">
        <v>944</v>
      </c>
      <c r="D823" s="41">
        <v>81427.319297280003</v>
      </c>
      <c r="E823" s="37">
        <v>7.2239399143171753E-4</v>
      </c>
      <c r="F823" s="41">
        <v>20885.86</v>
      </c>
      <c r="G823" s="37">
        <v>2.5553123058155209E-4</v>
      </c>
      <c r="H823" s="41">
        <v>81427.319297280003</v>
      </c>
      <c r="I823" s="37">
        <v>7.2239399143171753E-4</v>
      </c>
      <c r="J823" s="42">
        <v>20885.86</v>
      </c>
      <c r="K823" s="37">
        <v>2.5553123058155209E-4</v>
      </c>
      <c r="L823" s="38">
        <v>0</v>
      </c>
      <c r="M823" s="37">
        <v>0</v>
      </c>
      <c r="N823" s="42">
        <v>0</v>
      </c>
      <c r="O823" s="37">
        <v>0</v>
      </c>
      <c r="Q823">
        <f>VLOOKUP(Table3[[#This Row],[Census Tract]],'Population and Diversity Data'!$B$2:$K$823,10,FALSE)</f>
        <v>3</v>
      </c>
      <c r="R823" t="str">
        <f>VLOOKUP(Table3[[#This Row],[Census Tract]],'ES Energy Burden'!$B$2:$E$914,4,FALSE)</f>
        <v>No</v>
      </c>
    </row>
    <row r="824" spans="1:18" hidden="1" x14ac:dyDescent="0.25">
      <c r="A824" s="140">
        <v>9011693500</v>
      </c>
      <c r="B824" s="39" t="s">
        <v>2851</v>
      </c>
      <c r="C824" s="39" t="s">
        <v>944</v>
      </c>
      <c r="D824" s="41">
        <v>82657.042764479993</v>
      </c>
      <c r="E824" s="37">
        <v>7.333036572723014E-4</v>
      </c>
      <c r="F824" s="41">
        <v>39929.422500000001</v>
      </c>
      <c r="G824" s="37">
        <v>4.8852259221481486E-4</v>
      </c>
      <c r="H824" s="41">
        <v>82657.042764479993</v>
      </c>
      <c r="I824" s="37">
        <v>7.333036572723014E-4</v>
      </c>
      <c r="J824" s="42">
        <v>39929.422500000001</v>
      </c>
      <c r="K824" s="37">
        <v>4.8852259221481486E-4</v>
      </c>
      <c r="L824" s="38">
        <v>0</v>
      </c>
      <c r="M824" s="37">
        <v>0</v>
      </c>
      <c r="N824" s="42">
        <v>0</v>
      </c>
      <c r="O824" s="37">
        <v>0</v>
      </c>
      <c r="Q824">
        <f>VLOOKUP(Table3[[#This Row],[Census Tract]],'Population and Diversity Data'!$B$2:$K$823,10,FALSE)</f>
        <v>1</v>
      </c>
      <c r="R824" t="str">
        <f>VLOOKUP(Table3[[#This Row],[Census Tract]],'ES Energy Burden'!$B$2:$E$914,4,FALSE)</f>
        <v>No</v>
      </c>
    </row>
    <row r="825" spans="1:18" hidden="1" x14ac:dyDescent="0.25">
      <c r="A825" s="140">
        <v>9011693600</v>
      </c>
      <c r="B825" s="39" t="s">
        <v>2851</v>
      </c>
      <c r="C825" s="39" t="s">
        <v>944</v>
      </c>
      <c r="D825" s="41">
        <v>53180.512528320003</v>
      </c>
      <c r="E825" s="37">
        <v>4.7179844606527326E-4</v>
      </c>
      <c r="F825" s="41">
        <v>17703.873200000002</v>
      </c>
      <c r="G825" s="37">
        <v>2.1660072914669355E-4</v>
      </c>
      <c r="H825" s="41">
        <v>53180.512528320003</v>
      </c>
      <c r="I825" s="37">
        <v>4.7179844606527326E-4</v>
      </c>
      <c r="J825" s="42">
        <v>17703.873200000002</v>
      </c>
      <c r="K825" s="37">
        <v>2.1660072914669355E-4</v>
      </c>
      <c r="L825" s="38">
        <v>0</v>
      </c>
      <c r="M825" s="37">
        <v>0</v>
      </c>
      <c r="N825" s="42">
        <v>0</v>
      </c>
      <c r="O825" s="37">
        <v>0</v>
      </c>
      <c r="Q825">
        <f>VLOOKUP(Table3[[#This Row],[Census Tract]],'Population and Diversity Data'!$B$2:$K$823,10,FALSE)</f>
        <v>2</v>
      </c>
      <c r="R825" t="str">
        <f>VLOOKUP(Table3[[#This Row],[Census Tract]],'ES Energy Burden'!$B$2:$E$914,4,FALSE)</f>
        <v>No</v>
      </c>
    </row>
    <row r="826" spans="1:18" hidden="1" x14ac:dyDescent="0.25">
      <c r="A826" s="140">
        <v>9011693700</v>
      </c>
      <c r="B826" s="39" t="s">
        <v>2851</v>
      </c>
      <c r="C826" s="39" t="s">
        <v>944</v>
      </c>
      <c r="D826" s="41">
        <v>68545.761995520006</v>
      </c>
      <c r="E826" s="37">
        <v>6.0811343208895606E-4</v>
      </c>
      <c r="F826" s="41">
        <v>23494.13</v>
      </c>
      <c r="G826" s="37">
        <v>2.8744250657348851E-4</v>
      </c>
      <c r="H826" s="41">
        <v>68545.761995520006</v>
      </c>
      <c r="I826" s="37">
        <v>6.0811343208895606E-4</v>
      </c>
      <c r="J826" s="42">
        <v>23494.13</v>
      </c>
      <c r="K826" s="37">
        <v>2.8744250657348851E-4</v>
      </c>
      <c r="L826" s="38">
        <v>0</v>
      </c>
      <c r="M826" s="37">
        <v>0</v>
      </c>
      <c r="N826" s="42">
        <v>0</v>
      </c>
      <c r="O826" s="37">
        <v>0</v>
      </c>
      <c r="Q826">
        <f>VLOOKUP(Table3[[#This Row],[Census Tract]],'Population and Diversity Data'!$B$2:$K$823,10,FALSE)</f>
        <v>4</v>
      </c>
      <c r="R826" t="str">
        <f>VLOOKUP(Table3[[#This Row],[Census Tract]],'ES Energy Burden'!$B$2:$E$914,4,FALSE)</f>
        <v>No</v>
      </c>
    </row>
    <row r="827" spans="1:18" hidden="1" x14ac:dyDescent="0.25">
      <c r="A827" s="140">
        <v>9011695201</v>
      </c>
      <c r="B827" s="39" t="s">
        <v>2851</v>
      </c>
      <c r="C827" s="39" t="s">
        <v>944</v>
      </c>
      <c r="D827" s="41">
        <v>70.744924800000007</v>
      </c>
      <c r="E827" s="37">
        <v>6.2762361626113162E-7</v>
      </c>
      <c r="F827" s="41">
        <v>0</v>
      </c>
      <c r="G827" s="37">
        <v>0</v>
      </c>
      <c r="H827" s="41">
        <v>70.744924800000007</v>
      </c>
      <c r="I827" s="37">
        <v>6.2762361626113162E-7</v>
      </c>
      <c r="J827" s="42">
        <v>0</v>
      </c>
      <c r="K827" s="37">
        <v>0</v>
      </c>
      <c r="L827" s="38">
        <v>0</v>
      </c>
      <c r="M827" s="37">
        <v>0</v>
      </c>
      <c r="N827" s="42">
        <v>0</v>
      </c>
      <c r="O827" s="37">
        <v>0</v>
      </c>
      <c r="Q827">
        <f>VLOOKUP(Table3[[#This Row],[Census Tract]],'Population and Diversity Data'!$B$2:$K$823,10,FALSE)</f>
        <v>3</v>
      </c>
      <c r="R827" t="str">
        <f>VLOOKUP(Table3[[#This Row],[Census Tract]],'ES Energy Burden'!$B$2:$E$914,4,FALSE)</f>
        <v>No</v>
      </c>
    </row>
    <row r="828" spans="1:18" hidden="1" x14ac:dyDescent="0.25">
      <c r="A828" s="140">
        <v>9011870300</v>
      </c>
      <c r="B828" s="39" t="s">
        <v>2851</v>
      </c>
      <c r="C828" s="39" t="s">
        <v>944</v>
      </c>
      <c r="D828" s="41">
        <v>26.3506176</v>
      </c>
      <c r="E828" s="37">
        <v>2.3377323469606996E-7</v>
      </c>
      <c r="F828" s="41">
        <v>0</v>
      </c>
      <c r="G828" s="37">
        <v>0</v>
      </c>
      <c r="H828" s="41">
        <v>26.3506176</v>
      </c>
      <c r="I828" s="37">
        <v>2.3377323469606996E-7</v>
      </c>
      <c r="J828" s="42">
        <v>0</v>
      </c>
      <c r="K828" s="37">
        <v>0</v>
      </c>
      <c r="L828" s="38">
        <v>0</v>
      </c>
      <c r="M828" s="37">
        <v>0</v>
      </c>
      <c r="N828" s="42">
        <v>0</v>
      </c>
      <c r="O828" s="37">
        <v>0</v>
      </c>
      <c r="Q828">
        <f>VLOOKUP(Table3[[#This Row],[Census Tract]],'Population and Diversity Data'!$B$2:$K$823,10,FALSE)</f>
        <v>5</v>
      </c>
      <c r="R828" t="str">
        <f>VLOOKUP(Table3[[#This Row],[Census Tract]],'ES Energy Burden'!$B$2:$E$914,4,FALSE)</f>
        <v>No</v>
      </c>
    </row>
    <row r="829" spans="1:18" hidden="1" x14ac:dyDescent="0.25">
      <c r="A829" s="140">
        <v>9011870502</v>
      </c>
      <c r="B829" s="39" t="s">
        <v>2851</v>
      </c>
      <c r="C829" s="39" t="s">
        <v>944</v>
      </c>
      <c r="D829" s="41">
        <v>48.816950399999996</v>
      </c>
      <c r="E829" s="37">
        <v>4.3308648686115064E-7</v>
      </c>
      <c r="F829" s="41">
        <v>0</v>
      </c>
      <c r="G829" s="37">
        <v>0</v>
      </c>
      <c r="H829" s="41">
        <v>48.816950399999996</v>
      </c>
      <c r="I829" s="37">
        <v>4.3308648686115064E-7</v>
      </c>
      <c r="J829" s="42">
        <v>0</v>
      </c>
      <c r="K829" s="37">
        <v>0</v>
      </c>
      <c r="L829" s="38">
        <v>0</v>
      </c>
      <c r="M829" s="37">
        <v>0</v>
      </c>
      <c r="N829" s="42">
        <v>0</v>
      </c>
      <c r="O829" s="37">
        <v>0</v>
      </c>
      <c r="Q829">
        <f>VLOOKUP(Table3[[#This Row],[Census Tract]],'Population and Diversity Data'!$B$2:$K$823,10,FALSE)</f>
        <v>5</v>
      </c>
      <c r="R829" t="str">
        <f>VLOOKUP(Table3[[#This Row],[Census Tract]],'ES Energy Burden'!$B$2:$E$914,4,FALSE)</f>
        <v>No</v>
      </c>
    </row>
    <row r="830" spans="1:18" hidden="1" x14ac:dyDescent="0.25">
      <c r="A830" s="140">
        <v>9005342100</v>
      </c>
      <c r="B830" s="39" t="s">
        <v>2852</v>
      </c>
      <c r="C830" s="39" t="s">
        <v>944</v>
      </c>
      <c r="D830" s="41">
        <v>335.5998912</v>
      </c>
      <c r="E830" s="37">
        <v>2.9773219482139629E-6</v>
      </c>
      <c r="F830" s="41">
        <v>0</v>
      </c>
      <c r="G830" s="37">
        <v>0</v>
      </c>
      <c r="H830" s="41">
        <v>335.5998912</v>
      </c>
      <c r="I830" s="37">
        <v>2.9773219482139629E-6</v>
      </c>
      <c r="J830" s="44">
        <v>0</v>
      </c>
      <c r="K830" s="37">
        <v>0</v>
      </c>
      <c r="L830" s="38">
        <v>0</v>
      </c>
      <c r="M830" s="37">
        <v>0</v>
      </c>
      <c r="N830" s="42">
        <v>0</v>
      </c>
      <c r="O830" s="37">
        <v>0</v>
      </c>
      <c r="Q830">
        <f>VLOOKUP(Table3[[#This Row],[Census Tract]],'Population and Diversity Data'!$B$2:$K$823,10,FALSE)</f>
        <v>2</v>
      </c>
      <c r="R830" t="str">
        <f>VLOOKUP(Table3[[#This Row],[Census Tract]],'ES Energy Burden'!$B$2:$E$914,4,FALSE)</f>
        <v>No</v>
      </c>
    </row>
    <row r="831" spans="1:18" hidden="1" x14ac:dyDescent="0.25">
      <c r="A831" s="140">
        <v>9005360100</v>
      </c>
      <c r="B831" s="39" t="s">
        <v>2852</v>
      </c>
      <c r="C831" s="39" t="s">
        <v>944</v>
      </c>
      <c r="D831" s="41">
        <v>105586.70416991999</v>
      </c>
      <c r="E831" s="37">
        <v>9.3672739475750332E-4</v>
      </c>
      <c r="F831" s="41">
        <v>30575.06</v>
      </c>
      <c r="G831" s="37">
        <v>3.7407522155682315E-4</v>
      </c>
      <c r="H831" s="41">
        <v>105586.70416991999</v>
      </c>
      <c r="I831" s="37">
        <v>9.3672739475750332E-4</v>
      </c>
      <c r="J831" s="42">
        <v>30575.06</v>
      </c>
      <c r="K831" s="37">
        <v>3.7407522155682315E-4</v>
      </c>
      <c r="L831" s="38">
        <v>0</v>
      </c>
      <c r="M831" s="37">
        <v>0</v>
      </c>
      <c r="N831" s="42">
        <v>0</v>
      </c>
      <c r="O831" s="37">
        <v>0</v>
      </c>
      <c r="Q831">
        <f>VLOOKUP(Table3[[#This Row],[Census Tract]],'Population and Diversity Data'!$B$2:$K$823,10,FALSE)</f>
        <v>3</v>
      </c>
      <c r="R831" t="str">
        <f>VLOOKUP(Table3[[#This Row],[Census Tract]],'ES Energy Burden'!$B$2:$E$914,4,FALSE)</f>
        <v>No</v>
      </c>
    </row>
    <row r="832" spans="1:18" hidden="1" x14ac:dyDescent="0.25">
      <c r="A832" s="140">
        <v>9005360200</v>
      </c>
      <c r="B832" s="39" t="s">
        <v>2852</v>
      </c>
      <c r="C832" s="39" t="s">
        <v>944</v>
      </c>
      <c r="D832" s="41">
        <v>331283.27392415993</v>
      </c>
      <c r="E832" s="37">
        <v>2.9390264669149567E-3</v>
      </c>
      <c r="F832" s="41">
        <v>190649.19930000001</v>
      </c>
      <c r="G832" s="37">
        <v>2.3325266235872779E-3</v>
      </c>
      <c r="H832" s="41">
        <v>179501.00507423998</v>
      </c>
      <c r="I832" s="37">
        <v>1.5924685798408287E-3</v>
      </c>
      <c r="J832" s="42">
        <v>167458.0411</v>
      </c>
      <c r="K832" s="37">
        <v>2.0487908715781456E-3</v>
      </c>
      <c r="L832" s="38">
        <v>151782.26884991999</v>
      </c>
      <c r="M832" s="37">
        <v>1.3465578870741281E-3</v>
      </c>
      <c r="N832" s="42">
        <v>23191.158200000002</v>
      </c>
      <c r="O832" s="37">
        <v>2.8373575200913212E-4</v>
      </c>
      <c r="Q832">
        <f>VLOOKUP(Table3[[#This Row],[Census Tract]],'Population and Diversity Data'!$B$2:$K$823,10,FALSE)</f>
        <v>2</v>
      </c>
      <c r="R832" t="str">
        <f>VLOOKUP(Table3[[#This Row],[Census Tract]],'ES Energy Burden'!$B$2:$E$914,4,FALSE)</f>
        <v>No</v>
      </c>
    </row>
    <row r="833" spans="1:18" hidden="1" x14ac:dyDescent="0.25">
      <c r="A833" s="140">
        <v>9005360300</v>
      </c>
      <c r="B833" s="39" t="s">
        <v>2852</v>
      </c>
      <c r="C833" s="39" t="s">
        <v>944</v>
      </c>
      <c r="D833" s="41">
        <v>58545.817234560003</v>
      </c>
      <c r="E833" s="37">
        <v>5.1939750637374101E-4</v>
      </c>
      <c r="F833" s="41">
        <v>61008.1924</v>
      </c>
      <c r="G833" s="37">
        <v>7.4641400830648553E-4</v>
      </c>
      <c r="H833" s="41">
        <v>58545.817234560003</v>
      </c>
      <c r="I833" s="37">
        <v>5.1939750637374101E-4</v>
      </c>
      <c r="J833" s="42">
        <v>61008.1924</v>
      </c>
      <c r="K833" s="37">
        <v>7.4641400830648553E-4</v>
      </c>
      <c r="L833" s="38">
        <v>0</v>
      </c>
      <c r="M833" s="37">
        <v>0</v>
      </c>
      <c r="N833" s="42">
        <v>0</v>
      </c>
      <c r="O833" s="37">
        <v>0</v>
      </c>
      <c r="Q833">
        <f>VLOOKUP(Table3[[#This Row],[Census Tract]],'Population and Diversity Data'!$B$2:$K$823,10,FALSE)</f>
        <v>2</v>
      </c>
      <c r="R833" t="str">
        <f>VLOOKUP(Table3[[#This Row],[Census Tract]],'ES Energy Burden'!$B$2:$E$914,4,FALSE)</f>
        <v>No</v>
      </c>
    </row>
    <row r="834" spans="1:18" hidden="1" x14ac:dyDescent="0.25">
      <c r="A834" s="140">
        <v>9005360400</v>
      </c>
      <c r="B834" s="39" t="s">
        <v>2852</v>
      </c>
      <c r="C834" s="39" t="s">
        <v>944</v>
      </c>
      <c r="D834" s="41">
        <v>107974.49965344</v>
      </c>
      <c r="E834" s="37">
        <v>9.5791106044794763E-4</v>
      </c>
      <c r="F834" s="41">
        <v>39579.555399999997</v>
      </c>
      <c r="G834" s="37">
        <v>4.8424208997056926E-4</v>
      </c>
      <c r="H834" s="41">
        <v>107974.49965344</v>
      </c>
      <c r="I834" s="37">
        <v>9.5791106044794763E-4</v>
      </c>
      <c r="J834" s="42">
        <v>39579.555399999997</v>
      </c>
      <c r="K834" s="37">
        <v>4.8424208997056926E-4</v>
      </c>
      <c r="L834" s="38">
        <v>0</v>
      </c>
      <c r="M834" s="37">
        <v>0</v>
      </c>
      <c r="N834" s="42">
        <v>0</v>
      </c>
      <c r="O834" s="37">
        <v>0</v>
      </c>
      <c r="Q834">
        <f>VLOOKUP(Table3[[#This Row],[Census Tract]],'Population and Diversity Data'!$B$2:$K$823,10,FALSE)</f>
        <v>4</v>
      </c>
      <c r="R834" t="str">
        <f>VLOOKUP(Table3[[#This Row],[Census Tract]],'ES Energy Burden'!$B$2:$E$914,4,FALSE)</f>
        <v>No</v>
      </c>
    </row>
    <row r="835" spans="1:18" hidden="1" x14ac:dyDescent="0.25">
      <c r="A835" s="140">
        <v>9005362102</v>
      </c>
      <c r="B835" s="39" t="s">
        <v>2852</v>
      </c>
      <c r="C835" s="39" t="s">
        <v>944</v>
      </c>
      <c r="D835" s="41">
        <v>35.062761600000002</v>
      </c>
      <c r="E835" s="37">
        <v>3.1106425363666427E-7</v>
      </c>
      <c r="F835" s="41">
        <v>0</v>
      </c>
      <c r="G835" s="37">
        <v>0</v>
      </c>
      <c r="H835" s="41">
        <v>35.062761600000002</v>
      </c>
      <c r="I835" s="37">
        <v>3.1106425363666427E-7</v>
      </c>
      <c r="J835" s="42">
        <v>0</v>
      </c>
      <c r="K835" s="37">
        <v>0</v>
      </c>
      <c r="L835" s="38">
        <v>0</v>
      </c>
      <c r="M835" s="37">
        <v>0</v>
      </c>
      <c r="N835" s="42">
        <v>0</v>
      </c>
      <c r="O835" s="37">
        <v>0</v>
      </c>
      <c r="Q835">
        <f>VLOOKUP(Table3[[#This Row],[Census Tract]],'Population and Diversity Data'!$B$2:$K$823,10,FALSE)</f>
        <v>1</v>
      </c>
      <c r="R835" t="str">
        <f>VLOOKUP(Table3[[#This Row],[Census Tract]],'ES Energy Burden'!$B$2:$E$914,4,FALSE)</f>
        <v>No</v>
      </c>
    </row>
    <row r="836" spans="1:18" hidden="1" x14ac:dyDescent="0.25">
      <c r="A836" s="140">
        <v>9009352100</v>
      </c>
      <c r="B836" s="39" t="s">
        <v>2852</v>
      </c>
      <c r="C836" s="39" t="s">
        <v>944</v>
      </c>
      <c r="D836" s="41">
        <v>96.198278399999992</v>
      </c>
      <c r="E836" s="37">
        <v>8.5343664634870177E-7</v>
      </c>
      <c r="F836" s="41">
        <v>0</v>
      </c>
      <c r="G836" s="37">
        <v>0</v>
      </c>
      <c r="H836" s="41">
        <v>96.198278399999992</v>
      </c>
      <c r="I836" s="37">
        <v>8.5343664634870177E-7</v>
      </c>
      <c r="J836" s="42">
        <v>0</v>
      </c>
      <c r="K836" s="37">
        <v>0</v>
      </c>
      <c r="L836" s="38">
        <v>0</v>
      </c>
      <c r="M836" s="37">
        <v>0</v>
      </c>
      <c r="N836" s="42">
        <v>0</v>
      </c>
      <c r="O836" s="37">
        <v>0</v>
      </c>
      <c r="Q836">
        <f>VLOOKUP(Table3[[#This Row],[Census Tract]],'Population and Diversity Data'!$B$2:$K$823,10,FALSE)</f>
        <v>2</v>
      </c>
      <c r="R836" t="str">
        <f>VLOOKUP(Table3[[#This Row],[Census Tract]],'ES Energy Burden'!$B$2:$E$914,4,FALSE)</f>
        <v>No</v>
      </c>
    </row>
    <row r="837" spans="1:18" hidden="1" x14ac:dyDescent="0.25">
      <c r="A837" s="140">
        <v>9003460100</v>
      </c>
      <c r="B837" s="39" t="s">
        <v>2853</v>
      </c>
      <c r="C837" s="39" t="s">
        <v>944</v>
      </c>
      <c r="D837" s="41">
        <v>625.74612479999996</v>
      </c>
      <c r="E837" s="37">
        <v>5.5513953378089582E-6</v>
      </c>
      <c r="F837" s="41">
        <v>1300.4000000000001</v>
      </c>
      <c r="G837" s="37">
        <v>1.5909941570433316E-5</v>
      </c>
      <c r="H837" s="41">
        <v>625.74612479999996</v>
      </c>
      <c r="I837" s="37">
        <v>5.5513953378089582E-6</v>
      </c>
      <c r="J837" s="42">
        <v>1300.4000000000001</v>
      </c>
      <c r="K837" s="37">
        <v>1.5909941570433316E-5</v>
      </c>
      <c r="L837" s="38">
        <v>0</v>
      </c>
      <c r="M837" s="37">
        <v>0</v>
      </c>
      <c r="N837" s="42">
        <v>0</v>
      </c>
      <c r="O837" s="37">
        <v>0</v>
      </c>
      <c r="Q837">
        <f>VLOOKUP(Table3[[#This Row],[Census Tract]],'Population and Diversity Data'!$B$2:$K$823,10,FALSE)</f>
        <v>3</v>
      </c>
      <c r="R837" t="str">
        <f>VLOOKUP(Table3[[#This Row],[Census Tract]],'ES Energy Burden'!$B$2:$E$914,4,FALSE)</f>
        <v>No</v>
      </c>
    </row>
    <row r="838" spans="1:18" hidden="1" x14ac:dyDescent="0.25">
      <c r="A838" s="140">
        <v>9003471400</v>
      </c>
      <c r="B838" s="39" t="s">
        <v>2853</v>
      </c>
      <c r="C838" s="39" t="s">
        <v>944</v>
      </c>
      <c r="D838" s="41">
        <v>1128.0287232000001</v>
      </c>
      <c r="E838" s="37">
        <v>1.0007466521488352E-5</v>
      </c>
      <c r="F838" s="41">
        <v>0</v>
      </c>
      <c r="G838" s="37">
        <v>0</v>
      </c>
      <c r="H838" s="41">
        <v>1128.0287232000001</v>
      </c>
      <c r="I838" s="37">
        <v>1.0007466521488352E-5</v>
      </c>
      <c r="J838" s="42">
        <v>0</v>
      </c>
      <c r="K838" s="37">
        <v>0</v>
      </c>
      <c r="L838" s="38">
        <v>0</v>
      </c>
      <c r="M838" s="37">
        <v>0</v>
      </c>
      <c r="N838" s="42">
        <v>0</v>
      </c>
      <c r="O838" s="37">
        <v>0</v>
      </c>
      <c r="Q838">
        <f>VLOOKUP(Table3[[#This Row],[Census Tract]],'Population and Diversity Data'!$B$2:$K$823,10,FALSE)</f>
        <v>2</v>
      </c>
      <c r="R838" t="str">
        <f>VLOOKUP(Table3[[#This Row],[Census Tract]],'ES Energy Burden'!$B$2:$E$914,4,FALSE)</f>
        <v>No</v>
      </c>
    </row>
    <row r="839" spans="1:18" hidden="1" x14ac:dyDescent="0.25">
      <c r="A839" s="140">
        <v>9003496100</v>
      </c>
      <c r="B839" s="39" t="s">
        <v>2853</v>
      </c>
      <c r="C839" s="39" t="s">
        <v>944</v>
      </c>
      <c r="D839" s="41">
        <v>28610.9587584</v>
      </c>
      <c r="E839" s="37">
        <v>2.5382617129653242E-4</v>
      </c>
      <c r="F839" s="41">
        <v>2101.48</v>
      </c>
      <c r="G839" s="37">
        <v>2.5710876662130269E-5</v>
      </c>
      <c r="H839" s="41">
        <v>28610.9587584</v>
      </c>
      <c r="I839" s="37">
        <v>2.5382617129653242E-4</v>
      </c>
      <c r="J839" s="42">
        <v>2101.48</v>
      </c>
      <c r="K839" s="37">
        <v>2.5710876662130269E-5</v>
      </c>
      <c r="L839" s="38">
        <v>0</v>
      </c>
      <c r="M839" s="37">
        <v>0</v>
      </c>
      <c r="N839" s="42">
        <v>0</v>
      </c>
      <c r="O839" s="37">
        <v>0</v>
      </c>
      <c r="Q839">
        <f>VLOOKUP(Table3[[#This Row],[Census Tract]],'Population and Diversity Data'!$B$2:$K$823,10,FALSE)</f>
        <v>5</v>
      </c>
      <c r="R839" t="str">
        <f>VLOOKUP(Table3[[#This Row],[Census Tract]],'ES Energy Burden'!$B$2:$E$914,4,FALSE)</f>
        <v>No</v>
      </c>
    </row>
    <row r="840" spans="1:18" hidden="1" x14ac:dyDescent="0.25">
      <c r="A840" s="140">
        <v>9003496200</v>
      </c>
      <c r="B840" s="39" t="s">
        <v>2853</v>
      </c>
      <c r="C840" s="39" t="s">
        <v>944</v>
      </c>
      <c r="D840" s="41">
        <v>377930.25849023997</v>
      </c>
      <c r="E840" s="37">
        <v>3.3528617946618927E-3</v>
      </c>
      <c r="F840" s="41">
        <v>9423.9668000000001</v>
      </c>
      <c r="G840" s="37">
        <v>1.1529895505206352E-4</v>
      </c>
      <c r="H840" s="41">
        <v>82021.309801919997</v>
      </c>
      <c r="I840" s="37">
        <v>7.2766366228939187E-4</v>
      </c>
      <c r="J840" s="42">
        <v>9423.9668000000001</v>
      </c>
      <c r="K840" s="37">
        <v>1.1529895505206352E-4</v>
      </c>
      <c r="L840" s="38">
        <v>295908.94868832</v>
      </c>
      <c r="M840" s="37">
        <v>2.625198132372501E-3</v>
      </c>
      <c r="N840" s="42">
        <v>0</v>
      </c>
      <c r="O840" s="37">
        <v>0</v>
      </c>
      <c r="Q840">
        <f>VLOOKUP(Table3[[#This Row],[Census Tract]],'Population and Diversity Data'!$B$2:$K$823,10,FALSE)</f>
        <v>5</v>
      </c>
      <c r="R840" t="str">
        <f>VLOOKUP(Table3[[#This Row],[Census Tract]],'ES Energy Burden'!$B$2:$E$914,4,FALSE)</f>
        <v>No</v>
      </c>
    </row>
    <row r="841" spans="1:18" hidden="1" x14ac:dyDescent="0.25">
      <c r="A841" s="140">
        <v>9003496300</v>
      </c>
      <c r="B841" s="39" t="s">
        <v>2853</v>
      </c>
      <c r="C841" s="39" t="s">
        <v>944</v>
      </c>
      <c r="D841" s="41">
        <v>55727.230832640002</v>
      </c>
      <c r="E841" s="37">
        <v>4.9439201806035916E-4</v>
      </c>
      <c r="F841" s="41">
        <v>8621.5300000000007</v>
      </c>
      <c r="G841" s="37">
        <v>1.054814199844186E-4</v>
      </c>
      <c r="H841" s="41">
        <v>55727.230832640002</v>
      </c>
      <c r="I841" s="37">
        <v>4.9439201806035916E-4</v>
      </c>
      <c r="J841" s="42">
        <v>8621.5300000000007</v>
      </c>
      <c r="K841" s="37">
        <v>1.054814199844186E-4</v>
      </c>
      <c r="L841" s="38">
        <v>0</v>
      </c>
      <c r="M841" s="37">
        <v>0</v>
      </c>
      <c r="N841" s="42">
        <v>0</v>
      </c>
      <c r="O841" s="37">
        <v>0</v>
      </c>
      <c r="Q841">
        <f>VLOOKUP(Table3[[#This Row],[Census Tract]],'Population and Diversity Data'!$B$2:$K$823,10,FALSE)</f>
        <v>3</v>
      </c>
      <c r="R841" t="str">
        <f>VLOOKUP(Table3[[#This Row],[Census Tract]],'ES Energy Burden'!$B$2:$E$914,4,FALSE)</f>
        <v>No</v>
      </c>
    </row>
    <row r="842" spans="1:18" hidden="1" x14ac:dyDescent="0.25">
      <c r="A842" s="140">
        <v>9003496400</v>
      </c>
      <c r="B842" s="39" t="s">
        <v>2853</v>
      </c>
      <c r="C842" s="39" t="s">
        <v>944</v>
      </c>
      <c r="D842" s="41">
        <v>48185.508096000005</v>
      </c>
      <c r="E842" s="37">
        <v>4.2748455706311748E-4</v>
      </c>
      <c r="F842" s="41">
        <v>6747.1818000000003</v>
      </c>
      <c r="G842" s="37">
        <v>8.2549421872570811E-5</v>
      </c>
      <c r="H842" s="41">
        <v>48185.508096000005</v>
      </c>
      <c r="I842" s="37">
        <v>4.2748455706311748E-4</v>
      </c>
      <c r="J842" s="42">
        <v>6747.1818000000003</v>
      </c>
      <c r="K842" s="37">
        <v>8.2549421872570811E-5</v>
      </c>
      <c r="L842" s="38">
        <v>0</v>
      </c>
      <c r="M842" s="37">
        <v>0</v>
      </c>
      <c r="N842" s="42">
        <v>0</v>
      </c>
      <c r="O842" s="37">
        <v>0</v>
      </c>
      <c r="Q842">
        <f>VLOOKUP(Table3[[#This Row],[Census Tract]],'Population and Diversity Data'!$B$2:$K$823,10,FALSE)</f>
        <v>2</v>
      </c>
      <c r="R842" t="str">
        <f>VLOOKUP(Table3[[#This Row],[Census Tract]],'ES Energy Burden'!$B$2:$E$914,4,FALSE)</f>
        <v>No</v>
      </c>
    </row>
    <row r="843" spans="1:18" hidden="1" x14ac:dyDescent="0.25">
      <c r="A843" s="140">
        <v>9003496500</v>
      </c>
      <c r="B843" s="39" t="s">
        <v>2853</v>
      </c>
      <c r="C843" s="39" t="s">
        <v>944</v>
      </c>
      <c r="D843" s="41">
        <v>43302.135461760001</v>
      </c>
      <c r="E843" s="37">
        <v>3.8416102536219243E-4</v>
      </c>
      <c r="F843" s="41">
        <v>18052.32</v>
      </c>
      <c r="G843" s="37">
        <v>2.2086385451458376E-4</v>
      </c>
      <c r="H843" s="41">
        <v>43302.135461760001</v>
      </c>
      <c r="I843" s="37">
        <v>3.8416102536219243E-4</v>
      </c>
      <c r="J843" s="42">
        <v>18052.32</v>
      </c>
      <c r="K843" s="37">
        <v>2.2086385451458376E-4</v>
      </c>
      <c r="L843" s="38">
        <v>0</v>
      </c>
      <c r="M843" s="37">
        <v>0</v>
      </c>
      <c r="N843" s="42">
        <v>0</v>
      </c>
      <c r="O843" s="37">
        <v>0</v>
      </c>
      <c r="Q843">
        <f>VLOOKUP(Table3[[#This Row],[Census Tract]],'Population and Diversity Data'!$B$2:$K$823,10,FALSE)</f>
        <v>3</v>
      </c>
      <c r="R843" t="str">
        <f>VLOOKUP(Table3[[#This Row],[Census Tract]],'ES Energy Burden'!$B$2:$E$914,4,FALSE)</f>
        <v>No</v>
      </c>
    </row>
    <row r="844" spans="1:18" hidden="1" x14ac:dyDescent="0.25">
      <c r="A844" s="140">
        <v>9003496600</v>
      </c>
      <c r="B844" s="39" t="s">
        <v>2853</v>
      </c>
      <c r="C844" s="39" t="s">
        <v>944</v>
      </c>
      <c r="D844" s="41">
        <v>55092.762144000008</v>
      </c>
      <c r="E844" s="37">
        <v>4.8876323926252388E-4</v>
      </c>
      <c r="F844" s="41">
        <v>28113.459900000002</v>
      </c>
      <c r="G844" s="37">
        <v>3.4395840076262692E-4</v>
      </c>
      <c r="H844" s="41">
        <v>55057.849891200007</v>
      </c>
      <c r="I844" s="37">
        <v>4.884535102690151E-4</v>
      </c>
      <c r="J844" s="42">
        <v>28113.459900000002</v>
      </c>
      <c r="K844" s="37">
        <v>3.4395840076262692E-4</v>
      </c>
      <c r="L844" s="38">
        <v>34.912252800000005</v>
      </c>
      <c r="M844" s="37">
        <v>3.0972899350878692E-7</v>
      </c>
      <c r="N844" s="42">
        <v>0</v>
      </c>
      <c r="O844" s="37">
        <v>0</v>
      </c>
      <c r="Q844">
        <f>VLOOKUP(Table3[[#This Row],[Census Tract]],'Population and Diversity Data'!$B$2:$K$823,10,FALSE)</f>
        <v>4</v>
      </c>
      <c r="R844" t="str">
        <f>VLOOKUP(Table3[[#This Row],[Census Tract]],'ES Energy Burden'!$B$2:$E$914,4,FALSE)</f>
        <v>No</v>
      </c>
    </row>
    <row r="845" spans="1:18" hidden="1" x14ac:dyDescent="0.25">
      <c r="A845" s="140">
        <v>9003496700</v>
      </c>
      <c r="B845" s="39" t="s">
        <v>2853</v>
      </c>
      <c r="C845" s="39" t="s">
        <v>944</v>
      </c>
      <c r="D845" s="41">
        <v>46883.065144320004</v>
      </c>
      <c r="E845" s="37">
        <v>4.159297500205178E-4</v>
      </c>
      <c r="F845" s="41">
        <v>6747.4892</v>
      </c>
      <c r="G845" s="37">
        <v>8.2553182804621518E-5</v>
      </c>
      <c r="H845" s="41">
        <v>46883.065144320004</v>
      </c>
      <c r="I845" s="37">
        <v>4.159297500205178E-4</v>
      </c>
      <c r="J845" s="42">
        <v>6747.4892</v>
      </c>
      <c r="K845" s="37">
        <v>8.2553182804621518E-5</v>
      </c>
      <c r="L845" s="38">
        <v>0</v>
      </c>
      <c r="M845" s="37">
        <v>0</v>
      </c>
      <c r="N845" s="42">
        <v>0</v>
      </c>
      <c r="O845" s="37">
        <v>0</v>
      </c>
      <c r="Q845">
        <f>VLOOKUP(Table3[[#This Row],[Census Tract]],'Population and Diversity Data'!$B$2:$K$823,10,FALSE)</f>
        <v>5</v>
      </c>
      <c r="R845" t="str">
        <f>VLOOKUP(Table3[[#This Row],[Census Tract]],'ES Energy Burden'!$B$2:$E$914,4,FALSE)</f>
        <v>No</v>
      </c>
    </row>
    <row r="846" spans="1:18" hidden="1" x14ac:dyDescent="0.25">
      <c r="A846" s="140">
        <v>9003496800</v>
      </c>
      <c r="B846" s="39" t="s">
        <v>2853</v>
      </c>
      <c r="C846" s="39" t="s">
        <v>944</v>
      </c>
      <c r="D846" s="41">
        <v>43290.247003199998</v>
      </c>
      <c r="E846" s="37">
        <v>3.8405555521893773E-4</v>
      </c>
      <c r="F846" s="41">
        <v>4929.1130000000003</v>
      </c>
      <c r="G846" s="37">
        <v>6.0305982639236594E-5</v>
      </c>
      <c r="H846" s="41">
        <v>43290.247003199998</v>
      </c>
      <c r="I846" s="37">
        <v>3.8405555521893773E-4</v>
      </c>
      <c r="J846" s="42">
        <v>4929.1130000000003</v>
      </c>
      <c r="K846" s="37">
        <v>6.0305982639236594E-5</v>
      </c>
      <c r="L846" s="38">
        <v>0</v>
      </c>
      <c r="M846" s="37">
        <v>0</v>
      </c>
      <c r="N846" s="42">
        <v>0</v>
      </c>
      <c r="O846" s="37">
        <v>0</v>
      </c>
      <c r="Q846">
        <f>VLOOKUP(Table3[[#This Row],[Census Tract]],'Population and Diversity Data'!$B$2:$K$823,10,FALSE)</f>
        <v>5</v>
      </c>
      <c r="R846" t="str">
        <f>VLOOKUP(Table3[[#This Row],[Census Tract]],'ES Energy Burden'!$B$2:$E$914,4,FALSE)</f>
        <v>No</v>
      </c>
    </row>
    <row r="847" spans="1:18" hidden="1" x14ac:dyDescent="0.25">
      <c r="A847" s="140">
        <v>9003496900</v>
      </c>
      <c r="B847" s="39" t="s">
        <v>2853</v>
      </c>
      <c r="C847" s="39" t="s">
        <v>944</v>
      </c>
      <c r="D847" s="41">
        <v>76690.901718720008</v>
      </c>
      <c r="E847" s="37">
        <v>6.8037419231280433E-4</v>
      </c>
      <c r="F847" s="41">
        <v>8861.1478999999999</v>
      </c>
      <c r="G847" s="37">
        <v>1.0841306162409094E-4</v>
      </c>
      <c r="H847" s="41">
        <v>76690.901718720008</v>
      </c>
      <c r="I847" s="37">
        <v>6.8037419231280433E-4</v>
      </c>
      <c r="J847" s="42">
        <v>8861.1478999999999</v>
      </c>
      <c r="K847" s="37">
        <v>1.0841306162409094E-4</v>
      </c>
      <c r="L847" s="38">
        <v>0</v>
      </c>
      <c r="M847" s="37">
        <v>0</v>
      </c>
      <c r="N847" s="42">
        <v>0</v>
      </c>
      <c r="O847" s="37">
        <v>0</v>
      </c>
      <c r="Q847">
        <f>VLOOKUP(Table3[[#This Row],[Census Tract]],'Population and Diversity Data'!$B$2:$K$823,10,FALSE)</f>
        <v>3</v>
      </c>
      <c r="R847" t="str">
        <f>VLOOKUP(Table3[[#This Row],[Census Tract]],'ES Energy Burden'!$B$2:$E$914,4,FALSE)</f>
        <v>No</v>
      </c>
    </row>
    <row r="848" spans="1:18" hidden="1" x14ac:dyDescent="0.25">
      <c r="A848" s="140">
        <v>9003497000</v>
      </c>
      <c r="B848" s="39" t="s">
        <v>2853</v>
      </c>
      <c r="C848" s="39" t="s">
        <v>944</v>
      </c>
      <c r="D848" s="41">
        <v>74511.301584960005</v>
      </c>
      <c r="E848" s="37">
        <v>6.6103756114355757E-4</v>
      </c>
      <c r="F848" s="41">
        <v>10418.5515</v>
      </c>
      <c r="G848" s="37">
        <v>1.2746735282493876E-4</v>
      </c>
      <c r="H848" s="41">
        <v>74474.39798496</v>
      </c>
      <c r="I848" s="37">
        <v>6.6071016563143382E-4</v>
      </c>
      <c r="J848" s="42">
        <v>10418.5515</v>
      </c>
      <c r="K848" s="37">
        <v>1.2746735282493876E-4</v>
      </c>
      <c r="L848" s="38">
        <v>36.903599999999997</v>
      </c>
      <c r="M848" s="37">
        <v>3.2739551212377984E-7</v>
      </c>
      <c r="N848" s="42">
        <v>0</v>
      </c>
      <c r="O848" s="37">
        <v>0</v>
      </c>
      <c r="Q848">
        <f>VLOOKUP(Table3[[#This Row],[Census Tract]],'Population and Diversity Data'!$B$2:$K$823,10,FALSE)</f>
        <v>2</v>
      </c>
      <c r="R848" t="str">
        <f>VLOOKUP(Table3[[#This Row],[Census Tract]],'ES Energy Burden'!$B$2:$E$914,4,FALSE)</f>
        <v>No</v>
      </c>
    </row>
    <row r="849" spans="1:18" hidden="1" x14ac:dyDescent="0.25">
      <c r="A849" s="140">
        <v>9003497100</v>
      </c>
      <c r="B849" s="39" t="s">
        <v>2853</v>
      </c>
      <c r="C849" s="39" t="s">
        <v>944</v>
      </c>
      <c r="D849" s="41">
        <v>49008.924374399998</v>
      </c>
      <c r="E849" s="37">
        <v>4.3478961115425826E-4</v>
      </c>
      <c r="F849" s="41">
        <v>4881.03</v>
      </c>
      <c r="G849" s="37">
        <v>5.9717703863066834E-5</v>
      </c>
      <c r="H849" s="41">
        <v>49008.924374399998</v>
      </c>
      <c r="I849" s="37">
        <v>4.3478961115425826E-4</v>
      </c>
      <c r="J849" s="42">
        <v>4881.03</v>
      </c>
      <c r="K849" s="37">
        <v>5.9717703863066834E-5</v>
      </c>
      <c r="L849" s="38">
        <v>0</v>
      </c>
      <c r="M849" s="37">
        <v>0</v>
      </c>
      <c r="N849" s="42">
        <v>0</v>
      </c>
      <c r="O849" s="37">
        <v>0</v>
      </c>
      <c r="Q849">
        <f>VLOOKUP(Table3[[#This Row],[Census Tract]],'Population and Diversity Data'!$B$2:$K$823,10,FALSE)</f>
        <v>2</v>
      </c>
      <c r="R849" t="str">
        <f>VLOOKUP(Table3[[#This Row],[Census Tract]],'ES Energy Burden'!$B$2:$E$914,4,FALSE)</f>
        <v>No</v>
      </c>
    </row>
    <row r="850" spans="1:18" hidden="1" x14ac:dyDescent="0.25">
      <c r="A850" s="140">
        <v>9003497200</v>
      </c>
      <c r="B850" s="39" t="s">
        <v>2853</v>
      </c>
      <c r="C850" s="39" t="s">
        <v>944</v>
      </c>
      <c r="D850" s="41">
        <v>32413.523068800001</v>
      </c>
      <c r="E850" s="37">
        <v>2.8756115893424297E-4</v>
      </c>
      <c r="F850" s="41">
        <v>16865.05</v>
      </c>
      <c r="G850" s="37">
        <v>2.0633801913444812E-4</v>
      </c>
      <c r="H850" s="41">
        <v>32413.523068800001</v>
      </c>
      <c r="I850" s="37">
        <v>2.8756115893424297E-4</v>
      </c>
      <c r="J850" s="42">
        <v>16865.05</v>
      </c>
      <c r="K850" s="37">
        <v>2.0633801913444812E-4</v>
      </c>
      <c r="L850" s="38">
        <v>0</v>
      </c>
      <c r="M850" s="37">
        <v>0</v>
      </c>
      <c r="N850" s="42">
        <v>0</v>
      </c>
      <c r="O850" s="37">
        <v>0</v>
      </c>
      <c r="Q850">
        <f>VLOOKUP(Table3[[#This Row],[Census Tract]],'Population and Diversity Data'!$B$2:$K$823,10,FALSE)</f>
        <v>2</v>
      </c>
      <c r="R850" t="str">
        <f>VLOOKUP(Table3[[#This Row],[Census Tract]],'ES Energy Burden'!$B$2:$E$914,4,FALSE)</f>
        <v>No</v>
      </c>
    </row>
    <row r="851" spans="1:18" hidden="1" x14ac:dyDescent="0.25">
      <c r="A851" s="140">
        <v>9003497300</v>
      </c>
      <c r="B851" s="39" t="s">
        <v>2853</v>
      </c>
      <c r="C851" s="39" t="s">
        <v>944</v>
      </c>
      <c r="D851" s="41">
        <v>80343.415123200015</v>
      </c>
      <c r="E851" s="37">
        <v>7.1277798209479595E-4</v>
      </c>
      <c r="F851" s="41">
        <v>18040.036100000001</v>
      </c>
      <c r="G851" s="37">
        <v>2.2071356527184535E-4</v>
      </c>
      <c r="H851" s="41">
        <v>80343.415123200015</v>
      </c>
      <c r="I851" s="37">
        <v>7.1277798209479595E-4</v>
      </c>
      <c r="J851" s="42">
        <v>18040.036100000001</v>
      </c>
      <c r="K851" s="37">
        <v>2.2071356527184535E-4</v>
      </c>
      <c r="L851" s="38">
        <v>0</v>
      </c>
      <c r="M851" s="37">
        <v>0</v>
      </c>
      <c r="N851" s="42">
        <v>0</v>
      </c>
      <c r="O851" s="37">
        <v>0</v>
      </c>
      <c r="Q851">
        <f>VLOOKUP(Table3[[#This Row],[Census Tract]],'Population and Diversity Data'!$B$2:$K$823,10,FALSE)</f>
        <v>4</v>
      </c>
      <c r="R851" t="str">
        <f>VLOOKUP(Table3[[#This Row],[Census Tract]],'ES Energy Burden'!$B$2:$E$914,4,FALSE)</f>
        <v>No</v>
      </c>
    </row>
    <row r="852" spans="1:18" hidden="1" x14ac:dyDescent="0.25">
      <c r="A852" s="140">
        <v>9003497400</v>
      </c>
      <c r="B852" s="39" t="s">
        <v>2853</v>
      </c>
      <c r="C852" s="39" t="s">
        <v>944</v>
      </c>
      <c r="D852" s="41">
        <v>76001.059105919994</v>
      </c>
      <c r="E852" s="37">
        <v>6.7425415590707523E-4</v>
      </c>
      <c r="F852" s="41">
        <v>13016.7014</v>
      </c>
      <c r="G852" s="37">
        <v>1.5925481291431676E-4</v>
      </c>
      <c r="H852" s="41">
        <v>76001.059105919994</v>
      </c>
      <c r="I852" s="37">
        <v>6.7425415590707523E-4</v>
      </c>
      <c r="J852" s="42">
        <v>13016.7014</v>
      </c>
      <c r="K852" s="37">
        <v>1.5925481291431676E-4</v>
      </c>
      <c r="L852" s="38">
        <v>0</v>
      </c>
      <c r="M852" s="37">
        <v>0</v>
      </c>
      <c r="N852" s="42">
        <v>0</v>
      </c>
      <c r="O852" s="37">
        <v>0</v>
      </c>
      <c r="Q852">
        <f>VLOOKUP(Table3[[#This Row],[Census Tract]],'Population and Diversity Data'!$B$2:$K$823,10,FALSE)</f>
        <v>2</v>
      </c>
      <c r="R852" t="str">
        <f>VLOOKUP(Table3[[#This Row],[Census Tract]],'ES Energy Burden'!$B$2:$E$914,4,FALSE)</f>
        <v>No</v>
      </c>
    </row>
    <row r="853" spans="1:18" hidden="1" x14ac:dyDescent="0.25">
      <c r="A853" s="140">
        <v>9003497500</v>
      </c>
      <c r="B853" s="39" t="s">
        <v>2853</v>
      </c>
      <c r="C853" s="39" t="s">
        <v>944</v>
      </c>
      <c r="D853" s="41">
        <v>74873.673518400014</v>
      </c>
      <c r="E853" s="37">
        <v>6.6425239505482571E-4</v>
      </c>
      <c r="F853" s="41">
        <v>52438</v>
      </c>
      <c r="G853" s="37">
        <v>6.4156068599691021E-4</v>
      </c>
      <c r="H853" s="41">
        <v>74846.761387200007</v>
      </c>
      <c r="I853" s="37">
        <v>6.6401364027272945E-4</v>
      </c>
      <c r="J853" s="42">
        <v>52438</v>
      </c>
      <c r="K853" s="37">
        <v>6.4156068599691021E-4</v>
      </c>
      <c r="L853" s="38">
        <v>26.912131200000001</v>
      </c>
      <c r="M853" s="37">
        <v>2.3875478209622789E-7</v>
      </c>
      <c r="N853" s="42">
        <v>0</v>
      </c>
      <c r="O853" s="37">
        <v>0</v>
      </c>
      <c r="Q853">
        <f>VLOOKUP(Table3[[#This Row],[Census Tract]],'Population and Diversity Data'!$B$2:$K$823,10,FALSE)</f>
        <v>5</v>
      </c>
      <c r="R853" t="str">
        <f>VLOOKUP(Table3[[#This Row],[Census Tract]],'ES Energy Burden'!$B$2:$E$914,4,FALSE)</f>
        <v>No</v>
      </c>
    </row>
    <row r="854" spans="1:18" hidden="1" x14ac:dyDescent="0.25">
      <c r="A854" s="140">
        <v>9003497600</v>
      </c>
      <c r="B854" s="39" t="s">
        <v>2853</v>
      </c>
      <c r="C854" s="39" t="s">
        <v>944</v>
      </c>
      <c r="D854" s="41">
        <v>35446.190293439999</v>
      </c>
      <c r="E854" s="37">
        <v>3.1446589557543829E-4</v>
      </c>
      <c r="F854" s="41">
        <v>2038.99</v>
      </c>
      <c r="G854" s="37">
        <v>2.4946333253381899E-5</v>
      </c>
      <c r="H854" s="41">
        <v>35446.190293439999</v>
      </c>
      <c r="I854" s="37">
        <v>3.1446589557543829E-4</v>
      </c>
      <c r="J854" s="42">
        <v>2038.99</v>
      </c>
      <c r="K854" s="37">
        <v>2.4946333253381899E-5</v>
      </c>
      <c r="L854" s="38">
        <v>0</v>
      </c>
      <c r="M854" s="37">
        <v>0</v>
      </c>
      <c r="N854" s="42">
        <v>0</v>
      </c>
      <c r="O854" s="37">
        <v>0</v>
      </c>
      <c r="Q854">
        <f>VLOOKUP(Table3[[#This Row],[Census Tract]],'Population and Diversity Data'!$B$2:$K$823,10,FALSE)</f>
        <v>3</v>
      </c>
      <c r="R854" t="str">
        <f>VLOOKUP(Table3[[#This Row],[Census Tract]],'ES Energy Burden'!$B$2:$E$914,4,FALSE)</f>
        <v>No</v>
      </c>
    </row>
    <row r="855" spans="1:18" hidden="1" x14ac:dyDescent="0.25">
      <c r="A855" s="140">
        <v>9003497700</v>
      </c>
      <c r="B855" s="39" t="s">
        <v>2853</v>
      </c>
      <c r="C855" s="39" t="s">
        <v>944</v>
      </c>
      <c r="D855" s="41">
        <v>253494.14654016</v>
      </c>
      <c r="E855" s="37">
        <v>2.248909210128448E-3</v>
      </c>
      <c r="F855" s="41">
        <v>457020.29220000003</v>
      </c>
      <c r="G855" s="37">
        <v>5.5914842705354966E-3</v>
      </c>
      <c r="H855" s="41">
        <v>140466.29598143999</v>
      </c>
      <c r="I855" s="37">
        <v>1.2461666316829249E-3</v>
      </c>
      <c r="J855" s="42">
        <v>408944.72220000002</v>
      </c>
      <c r="K855" s="37">
        <v>5.0032963978307319E-3</v>
      </c>
      <c r="L855" s="38">
        <v>113027.85055872001</v>
      </c>
      <c r="M855" s="37">
        <v>1.0027425784455229E-3</v>
      </c>
      <c r="N855" s="42">
        <v>48075.57</v>
      </c>
      <c r="O855" s="37">
        <v>5.8818787270476522E-4</v>
      </c>
      <c r="Q855">
        <f>VLOOKUP(Table3[[#This Row],[Census Tract]],'Population and Diversity Data'!$B$2:$K$823,10,FALSE)</f>
        <v>3</v>
      </c>
      <c r="R855" t="str">
        <f>VLOOKUP(Table3[[#This Row],[Census Tract]],'ES Energy Burden'!$B$2:$E$914,4,FALSE)</f>
        <v>No</v>
      </c>
    </row>
    <row r="856" spans="1:18" hidden="1" x14ac:dyDescent="0.25">
      <c r="A856" s="140">
        <v>9007620100</v>
      </c>
      <c r="B856" s="39" t="s">
        <v>2854</v>
      </c>
      <c r="C856" s="39" t="s">
        <v>944</v>
      </c>
      <c r="D856" s="41">
        <v>98.137526400000013</v>
      </c>
      <c r="E856" s="37">
        <v>8.7064095953481428E-7</v>
      </c>
      <c r="F856" s="41">
        <v>0</v>
      </c>
      <c r="G856" s="37">
        <v>0</v>
      </c>
      <c r="H856" s="41">
        <v>98.137526400000013</v>
      </c>
      <c r="I856" s="37">
        <v>8.7064095953481428E-7</v>
      </c>
      <c r="J856" s="42">
        <v>0</v>
      </c>
      <c r="K856" s="37">
        <v>0</v>
      </c>
      <c r="L856" s="38">
        <v>0</v>
      </c>
      <c r="M856" s="37">
        <v>0</v>
      </c>
      <c r="N856" s="42">
        <v>0</v>
      </c>
      <c r="O856" s="37">
        <v>0</v>
      </c>
      <c r="Q856">
        <f>VLOOKUP(Table3[[#This Row],[Census Tract]],'Population and Diversity Data'!$B$2:$K$823,10,FALSE)</f>
        <v>1</v>
      </c>
      <c r="R856" t="str">
        <f>VLOOKUP(Table3[[#This Row],[Census Tract]],'ES Energy Burden'!$B$2:$E$914,4,FALSE)</f>
        <v>No</v>
      </c>
    </row>
    <row r="857" spans="1:18" hidden="1" x14ac:dyDescent="0.25">
      <c r="A857" s="140">
        <v>9007680100</v>
      </c>
      <c r="B857" s="39" t="s">
        <v>2854</v>
      </c>
      <c r="C857" s="39" t="s">
        <v>944</v>
      </c>
      <c r="D857" s="41">
        <v>254015.70005376</v>
      </c>
      <c r="E857" s="37">
        <v>2.253536245964654E-3</v>
      </c>
      <c r="F857" s="41">
        <v>98737.813800000004</v>
      </c>
      <c r="G857" s="37">
        <v>1.2080227994081237E-3</v>
      </c>
      <c r="H857" s="41">
        <v>182266.88039999999</v>
      </c>
      <c r="I857" s="37">
        <v>1.6170064343793487E-3</v>
      </c>
      <c r="J857" s="42">
        <v>75057.263800000001</v>
      </c>
      <c r="K857" s="37">
        <v>9.1829950899307872E-4</v>
      </c>
      <c r="L857" s="38">
        <v>71748.819653760002</v>
      </c>
      <c r="M857" s="37">
        <v>6.3652981158530541E-4</v>
      </c>
      <c r="N857" s="42">
        <v>23680.55</v>
      </c>
      <c r="O857" s="37">
        <v>2.8972329041504507E-4</v>
      </c>
      <c r="Q857">
        <f>VLOOKUP(Table3[[#This Row],[Census Tract]],'Population and Diversity Data'!$B$2:$K$823,10,FALSE)</f>
        <v>2</v>
      </c>
      <c r="R857" t="str">
        <f>VLOOKUP(Table3[[#This Row],[Census Tract]],'ES Energy Burden'!$B$2:$E$914,4,FALSE)</f>
        <v>No</v>
      </c>
    </row>
    <row r="858" spans="1:18" hidden="1" x14ac:dyDescent="0.25">
      <c r="A858" s="140">
        <v>9001050100</v>
      </c>
      <c r="B858" s="39" t="s">
        <v>2855</v>
      </c>
      <c r="C858" s="39" t="s">
        <v>944</v>
      </c>
      <c r="D858" s="41">
        <v>538.72309440000004</v>
      </c>
      <c r="E858" s="37">
        <v>4.779358203102012E-6</v>
      </c>
      <c r="F858" s="41">
        <v>0</v>
      </c>
      <c r="G858" s="37">
        <v>0</v>
      </c>
      <c r="H858" s="41">
        <v>538.72309440000004</v>
      </c>
      <c r="I858" s="37">
        <v>4.779358203102012E-6</v>
      </c>
      <c r="J858" s="42">
        <v>0</v>
      </c>
      <c r="K858" s="37">
        <v>0</v>
      </c>
      <c r="L858" s="38">
        <v>0</v>
      </c>
      <c r="M858" s="37">
        <v>0</v>
      </c>
      <c r="N858" s="42">
        <v>0</v>
      </c>
      <c r="O858" s="37">
        <v>0</v>
      </c>
      <c r="Q858">
        <f>VLOOKUP(Table3[[#This Row],[Census Tract]],'Population and Diversity Data'!$B$2:$K$823,10,FALSE)</f>
        <v>2</v>
      </c>
      <c r="R858" t="str">
        <f>VLOOKUP(Table3[[#This Row],[Census Tract]],'ES Energy Burden'!$B$2:$E$914,4,FALSE)</f>
        <v>No</v>
      </c>
    </row>
    <row r="859" spans="1:18" hidden="1" x14ac:dyDescent="0.25">
      <c r="A859" s="140">
        <v>9001050300</v>
      </c>
      <c r="B859" s="39" t="s">
        <v>2855</v>
      </c>
      <c r="C859" s="39" t="s">
        <v>944</v>
      </c>
      <c r="D859" s="41">
        <v>413.52292799999998</v>
      </c>
      <c r="E859" s="37">
        <v>3.6686272013430926E-6</v>
      </c>
      <c r="F859" s="41">
        <v>0</v>
      </c>
      <c r="G859" s="37">
        <v>0</v>
      </c>
      <c r="H859" s="41">
        <v>413.52292799999998</v>
      </c>
      <c r="I859" s="37">
        <v>3.6686272013430926E-6</v>
      </c>
      <c r="J859" s="42">
        <v>0</v>
      </c>
      <c r="K859" s="37">
        <v>0</v>
      </c>
      <c r="L859" s="38">
        <v>0</v>
      </c>
      <c r="M859" s="37">
        <v>0</v>
      </c>
      <c r="N859" s="42">
        <v>0</v>
      </c>
      <c r="O859" s="37">
        <v>0</v>
      </c>
      <c r="Q859">
        <f>VLOOKUP(Table3[[#This Row],[Census Tract]],'Population and Diversity Data'!$B$2:$K$823,10,FALSE)</f>
        <v>3</v>
      </c>
      <c r="R859" t="str">
        <f>VLOOKUP(Table3[[#This Row],[Census Tract]],'ES Energy Burden'!$B$2:$E$914,4,FALSE)</f>
        <v>No</v>
      </c>
    </row>
    <row r="860" spans="1:18" hidden="1" x14ac:dyDescent="0.25">
      <c r="A860" s="140">
        <v>9001055100</v>
      </c>
      <c r="B860" s="39" t="s">
        <v>2855</v>
      </c>
      <c r="C860" s="39" t="s">
        <v>944</v>
      </c>
      <c r="D860" s="41">
        <v>208785.52544544</v>
      </c>
      <c r="E860" s="37">
        <v>1.8522703483465652E-3</v>
      </c>
      <c r="F860" s="41">
        <v>77275.853000000003</v>
      </c>
      <c r="G860" s="37">
        <v>9.4544317597308053E-4</v>
      </c>
      <c r="H860" s="41">
        <v>193190.98392576</v>
      </c>
      <c r="I860" s="37">
        <v>1.7139211654166834E-3</v>
      </c>
      <c r="J860" s="42">
        <v>77275.853000000003</v>
      </c>
      <c r="K860" s="37">
        <v>9.4544317597308053E-4</v>
      </c>
      <c r="L860" s="38">
        <v>15594.54151968</v>
      </c>
      <c r="M860" s="37">
        <v>1.383491829298817E-4</v>
      </c>
      <c r="N860" s="42">
        <v>0</v>
      </c>
      <c r="O860" s="37">
        <v>0</v>
      </c>
      <c r="Q860">
        <f>VLOOKUP(Table3[[#This Row],[Census Tract]],'Population and Diversity Data'!$B$2:$K$823,10,FALSE)</f>
        <v>4</v>
      </c>
      <c r="R860" t="str">
        <f>VLOOKUP(Table3[[#This Row],[Census Tract]],'ES Energy Burden'!$B$2:$E$914,4,FALSE)</f>
        <v>No</v>
      </c>
    </row>
    <row r="861" spans="1:18" hidden="1" x14ac:dyDescent="0.25">
      <c r="A861" s="140">
        <v>9001055200</v>
      </c>
      <c r="B861" s="39" t="s">
        <v>2855</v>
      </c>
      <c r="C861" s="39" t="s">
        <v>944</v>
      </c>
      <c r="D861" s="41">
        <v>153141.29732160002</v>
      </c>
      <c r="E861" s="37">
        <v>1.3586147005686512E-3</v>
      </c>
      <c r="F861" s="41">
        <v>30830.174299999999</v>
      </c>
      <c r="G861" s="37">
        <v>3.7719645625905473E-4</v>
      </c>
      <c r="H861" s="41">
        <v>153141.29732160002</v>
      </c>
      <c r="I861" s="37">
        <v>1.3586147005686512E-3</v>
      </c>
      <c r="J861" s="42">
        <v>30830.174299999999</v>
      </c>
      <c r="K861" s="37">
        <v>3.7719645625905473E-4</v>
      </c>
      <c r="L861" s="38">
        <v>0</v>
      </c>
      <c r="M861" s="37">
        <v>0</v>
      </c>
      <c r="N861" s="42">
        <v>0</v>
      </c>
      <c r="O861" s="37">
        <v>0</v>
      </c>
      <c r="Q861">
        <f>VLOOKUP(Table3[[#This Row],[Census Tract]],'Population and Diversity Data'!$B$2:$K$823,10,FALSE)</f>
        <v>1</v>
      </c>
      <c r="R861" t="str">
        <f>VLOOKUP(Table3[[#This Row],[Census Tract]],'ES Energy Burden'!$B$2:$E$914,4,FALSE)</f>
        <v>No</v>
      </c>
    </row>
    <row r="862" spans="1:18" hidden="1" x14ac:dyDescent="0.25">
      <c r="A862" s="140">
        <v>9001105100</v>
      </c>
      <c r="B862" s="39" t="s">
        <v>2855</v>
      </c>
      <c r="C862" s="39" t="s">
        <v>944</v>
      </c>
      <c r="D862" s="41">
        <v>932.56989120000003</v>
      </c>
      <c r="E862" s="37">
        <v>8.2734258208045207E-6</v>
      </c>
      <c r="F862" s="41">
        <v>0</v>
      </c>
      <c r="G862" s="37">
        <v>0</v>
      </c>
      <c r="H862" s="41">
        <v>932.56989120000003</v>
      </c>
      <c r="I862" s="37">
        <v>8.2734258208045207E-6</v>
      </c>
      <c r="J862" s="42">
        <v>0</v>
      </c>
      <c r="K862" s="37">
        <v>0</v>
      </c>
      <c r="L862" s="38">
        <v>0</v>
      </c>
      <c r="M862" s="37">
        <v>0</v>
      </c>
      <c r="N862" s="42">
        <v>0</v>
      </c>
      <c r="O862" s="37">
        <v>0</v>
      </c>
      <c r="Q862">
        <f>VLOOKUP(Table3[[#This Row],[Census Tract]],'Population and Diversity Data'!$B$2:$K$823,10,FALSE)</f>
        <v>1</v>
      </c>
      <c r="R862" t="str">
        <f>VLOOKUP(Table3[[#This Row],[Census Tract]],'ES Energy Burden'!$B$2:$E$914,4,FALSE)</f>
        <v>No</v>
      </c>
    </row>
    <row r="863" spans="1:18" hidden="1" x14ac:dyDescent="0.25">
      <c r="A863" s="140">
        <v>9001042500</v>
      </c>
      <c r="B863" s="39" t="s">
        <v>2856</v>
      </c>
      <c r="C863" s="39" t="s">
        <v>944</v>
      </c>
      <c r="D863" s="41">
        <v>74.606054400000005</v>
      </c>
      <c r="E863" s="37">
        <v>6.6187817415706277E-7</v>
      </c>
      <c r="F863" s="41">
        <v>0</v>
      </c>
      <c r="G863" s="37">
        <v>0</v>
      </c>
      <c r="H863" s="41">
        <v>74.606054400000005</v>
      </c>
      <c r="I863" s="37">
        <v>6.6187817415706277E-7</v>
      </c>
      <c r="J863" s="42">
        <v>0</v>
      </c>
      <c r="K863" s="37">
        <v>0</v>
      </c>
      <c r="L863" s="38">
        <v>0</v>
      </c>
      <c r="M863" s="37">
        <v>0</v>
      </c>
      <c r="N863" s="42">
        <v>0</v>
      </c>
      <c r="O863" s="37">
        <v>0</v>
      </c>
      <c r="Q863">
        <f>VLOOKUP(Table3[[#This Row],[Census Tract]],'Population and Diversity Data'!$B$2:$K$823,10,FALSE)</f>
        <v>1</v>
      </c>
      <c r="R863" t="str">
        <f>VLOOKUP(Table3[[#This Row],[Census Tract]],'ES Energy Burden'!$B$2:$E$914,4,FALSE)</f>
        <v>No</v>
      </c>
    </row>
    <row r="864" spans="1:18" hidden="1" x14ac:dyDescent="0.25">
      <c r="A864" s="140">
        <v>9001042600</v>
      </c>
      <c r="B864" s="39" t="s">
        <v>2856</v>
      </c>
      <c r="C864" s="39" t="s">
        <v>944</v>
      </c>
      <c r="D864" s="41">
        <v>1610.4267936000001</v>
      </c>
      <c r="E864" s="37">
        <v>1.4287129299811638E-5</v>
      </c>
      <c r="F864" s="41">
        <v>0</v>
      </c>
      <c r="G864" s="37">
        <v>0</v>
      </c>
      <c r="H864" s="41">
        <v>1610.4267936000001</v>
      </c>
      <c r="I864" s="37">
        <v>1.4287129299811638E-5</v>
      </c>
      <c r="J864" s="42">
        <v>0</v>
      </c>
      <c r="K864" s="37">
        <v>0</v>
      </c>
      <c r="L864" s="38">
        <v>0</v>
      </c>
      <c r="M864" s="37">
        <v>0</v>
      </c>
      <c r="N864" s="42">
        <v>0</v>
      </c>
      <c r="O864" s="37">
        <v>0</v>
      </c>
      <c r="Q864">
        <f>VLOOKUP(Table3[[#This Row],[Census Tract]],'Population and Diversity Data'!$B$2:$K$823,10,FALSE)</f>
        <v>3</v>
      </c>
      <c r="R864" t="str">
        <f>VLOOKUP(Table3[[#This Row],[Census Tract]],'ES Energy Burden'!$B$2:$E$914,4,FALSE)</f>
        <v>No</v>
      </c>
    </row>
    <row r="865" spans="1:18" hidden="1" x14ac:dyDescent="0.25">
      <c r="A865" s="140">
        <v>9001043500</v>
      </c>
      <c r="B865" s="39" t="s">
        <v>2856</v>
      </c>
      <c r="C865" s="39" t="s">
        <v>944</v>
      </c>
      <c r="D865" s="41">
        <v>1005.7692671999999</v>
      </c>
      <c r="E865" s="37">
        <v>8.9228244483818044E-6</v>
      </c>
      <c r="F865" s="41">
        <v>1424.72</v>
      </c>
      <c r="G865" s="37">
        <v>1.7430953517554408E-5</v>
      </c>
      <c r="H865" s="41">
        <v>1005.7692671999999</v>
      </c>
      <c r="I865" s="37">
        <v>8.9228244483818044E-6</v>
      </c>
      <c r="J865" s="42">
        <v>1424.72</v>
      </c>
      <c r="K865" s="37">
        <v>1.7430953517554408E-5</v>
      </c>
      <c r="L865" s="38">
        <v>0</v>
      </c>
      <c r="M865" s="37">
        <v>0</v>
      </c>
      <c r="N865" s="42">
        <v>0</v>
      </c>
      <c r="O865" s="37">
        <v>0</v>
      </c>
      <c r="Q865">
        <f>VLOOKUP(Table3[[#This Row],[Census Tract]],'Population and Diversity Data'!$B$2:$K$823,10,FALSE)</f>
        <v>1</v>
      </c>
      <c r="R865" t="str">
        <f>VLOOKUP(Table3[[#This Row],[Census Tract]],'ES Energy Burden'!$B$2:$E$914,4,FALSE)</f>
        <v>No</v>
      </c>
    </row>
    <row r="866" spans="1:18" hidden="1" x14ac:dyDescent="0.25">
      <c r="A866" s="140">
        <v>9001044300</v>
      </c>
      <c r="B866" s="39" t="s">
        <v>2856</v>
      </c>
      <c r="C866" s="39" t="s">
        <v>944</v>
      </c>
      <c r="D866" s="41">
        <v>2160.7506432</v>
      </c>
      <c r="E866" s="37">
        <v>1.9169405245077738E-5</v>
      </c>
      <c r="F866" s="41">
        <v>1007.24</v>
      </c>
      <c r="G866" s="37">
        <v>1.2323230965397763E-5</v>
      </c>
      <c r="H866" s="41">
        <v>2160.7506432</v>
      </c>
      <c r="I866" s="37">
        <v>1.9169405245077738E-5</v>
      </c>
      <c r="J866" s="42">
        <v>1007.24</v>
      </c>
      <c r="K866" s="37">
        <v>1.2323230965397763E-5</v>
      </c>
      <c r="L866" s="38">
        <v>0</v>
      </c>
      <c r="M866" s="37">
        <v>0</v>
      </c>
      <c r="N866" s="42">
        <v>0</v>
      </c>
      <c r="O866" s="37">
        <v>0</v>
      </c>
      <c r="Q866">
        <f>VLOOKUP(Table3[[#This Row],[Census Tract]],'Population and Diversity Data'!$B$2:$K$823,10,FALSE)</f>
        <v>3</v>
      </c>
      <c r="R866" t="str">
        <f>VLOOKUP(Table3[[#This Row],[Census Tract]],'ES Energy Burden'!$B$2:$E$914,4,FALSE)</f>
        <v>No</v>
      </c>
    </row>
    <row r="867" spans="1:18" hidden="1" x14ac:dyDescent="0.25">
      <c r="A867" s="140">
        <v>9001045400</v>
      </c>
      <c r="B867" s="39" t="s">
        <v>2856</v>
      </c>
      <c r="C867" s="39" t="s">
        <v>944</v>
      </c>
      <c r="D867" s="41">
        <v>668.84374079999998</v>
      </c>
      <c r="E867" s="37">
        <v>5.9337419398107683E-6</v>
      </c>
      <c r="F867" s="41">
        <v>0</v>
      </c>
      <c r="G867" s="37">
        <v>0</v>
      </c>
      <c r="H867" s="41">
        <v>668.84374079999998</v>
      </c>
      <c r="I867" s="37">
        <v>5.9337419398107683E-6</v>
      </c>
      <c r="J867" s="42">
        <v>0</v>
      </c>
      <c r="K867" s="37">
        <v>0</v>
      </c>
      <c r="L867" s="38">
        <v>0</v>
      </c>
      <c r="M867" s="37">
        <v>0</v>
      </c>
      <c r="N867" s="42">
        <v>0</v>
      </c>
      <c r="O867" s="37">
        <v>0</v>
      </c>
      <c r="Q867">
        <f>VLOOKUP(Table3[[#This Row],[Census Tract]],'Population and Diversity Data'!$B$2:$K$823,10,FALSE)</f>
        <v>4</v>
      </c>
      <c r="R867" t="str">
        <f>VLOOKUP(Table3[[#This Row],[Census Tract]],'ES Energy Burden'!$B$2:$E$914,4,FALSE)</f>
        <v>No</v>
      </c>
    </row>
    <row r="868" spans="1:18" hidden="1" x14ac:dyDescent="0.25">
      <c r="A868" s="140">
        <v>9001050100</v>
      </c>
      <c r="B868" s="39" t="s">
        <v>2856</v>
      </c>
      <c r="C868" s="39" t="s">
        <v>944</v>
      </c>
      <c r="D868" s="41">
        <v>130976.70803711998</v>
      </c>
      <c r="E868" s="37">
        <v>1.1619784087216339E-3</v>
      </c>
      <c r="F868" s="41">
        <v>20756.725299999998</v>
      </c>
      <c r="G868" s="37">
        <v>2.5395131245504066E-4</v>
      </c>
      <c r="H868" s="41">
        <v>130976.70803711998</v>
      </c>
      <c r="I868" s="37">
        <v>1.1619784087216339E-3</v>
      </c>
      <c r="J868" s="42">
        <v>20756.725299999998</v>
      </c>
      <c r="K868" s="37">
        <v>2.5395131245504066E-4</v>
      </c>
      <c r="L868" s="38">
        <v>0</v>
      </c>
      <c r="M868" s="37">
        <v>0</v>
      </c>
      <c r="N868" s="42">
        <v>0</v>
      </c>
      <c r="O868" s="37">
        <v>0</v>
      </c>
      <c r="Q868">
        <f>VLOOKUP(Table3[[#This Row],[Census Tract]],'Population and Diversity Data'!$B$2:$K$823,10,FALSE)</f>
        <v>2</v>
      </c>
      <c r="R868" t="str">
        <f>VLOOKUP(Table3[[#This Row],[Census Tract]],'ES Energy Burden'!$B$2:$E$914,4,FALSE)</f>
        <v>No</v>
      </c>
    </row>
    <row r="869" spans="1:18" hidden="1" x14ac:dyDescent="0.25">
      <c r="A869" s="140">
        <v>9001050200</v>
      </c>
      <c r="B869" s="39" t="s">
        <v>2856</v>
      </c>
      <c r="C869" s="39" t="s">
        <v>944</v>
      </c>
      <c r="D869" s="41">
        <v>121173.53558688</v>
      </c>
      <c r="E869" s="37">
        <v>1.0750081764195267E-3</v>
      </c>
      <c r="F869" s="41">
        <v>21742.54</v>
      </c>
      <c r="G869" s="37">
        <v>2.6601241232913653E-4</v>
      </c>
      <c r="H869" s="41">
        <v>121173.53558688</v>
      </c>
      <c r="I869" s="37">
        <v>1.0750081764195267E-3</v>
      </c>
      <c r="J869" s="42">
        <v>21742.54</v>
      </c>
      <c r="K869" s="37">
        <v>2.6601241232913653E-4</v>
      </c>
      <c r="L869" s="38">
        <v>0</v>
      </c>
      <c r="M869" s="37">
        <v>0</v>
      </c>
      <c r="N869" s="42">
        <v>0</v>
      </c>
      <c r="O869" s="37">
        <v>0</v>
      </c>
      <c r="Q869">
        <f>VLOOKUP(Table3[[#This Row],[Census Tract]],'Population and Diversity Data'!$B$2:$K$823,10,FALSE)</f>
        <v>4</v>
      </c>
      <c r="R869" t="str">
        <f>VLOOKUP(Table3[[#This Row],[Census Tract]],'ES Energy Burden'!$B$2:$E$914,4,FALSE)</f>
        <v>No</v>
      </c>
    </row>
    <row r="870" spans="1:18" hidden="1" x14ac:dyDescent="0.25">
      <c r="A870" s="140">
        <v>9001050300</v>
      </c>
      <c r="B870" s="39" t="s">
        <v>2856</v>
      </c>
      <c r="C870" s="39" t="s">
        <v>944</v>
      </c>
      <c r="D870" s="41">
        <v>563836.21070112009</v>
      </c>
      <c r="E870" s="37">
        <v>5.0021527698225826E-3</v>
      </c>
      <c r="F870" s="41">
        <v>203794.64620000002</v>
      </c>
      <c r="G870" s="37">
        <v>2.4933565929015147E-3</v>
      </c>
      <c r="H870" s="41">
        <v>279717.85917216004</v>
      </c>
      <c r="I870" s="37">
        <v>2.4815565894340031E-3</v>
      </c>
      <c r="J870" s="42">
        <v>126459.8762</v>
      </c>
      <c r="K870" s="37">
        <v>1.5471925879315829E-3</v>
      </c>
      <c r="L870" s="38">
        <v>284118.35152896005</v>
      </c>
      <c r="M870" s="37">
        <v>2.5205961803885799E-3</v>
      </c>
      <c r="N870" s="42">
        <v>77334.77</v>
      </c>
      <c r="O870" s="37">
        <v>9.4616400496993168E-4</v>
      </c>
      <c r="Q870">
        <f>VLOOKUP(Table3[[#This Row],[Census Tract]],'Population and Diversity Data'!$B$2:$K$823,10,FALSE)</f>
        <v>3</v>
      </c>
      <c r="R870" t="str">
        <f>VLOOKUP(Table3[[#This Row],[Census Tract]],'ES Energy Burden'!$B$2:$E$914,4,FALSE)</f>
        <v>No</v>
      </c>
    </row>
    <row r="871" spans="1:18" hidden="1" x14ac:dyDescent="0.25">
      <c r="A871" s="140">
        <v>9001050400</v>
      </c>
      <c r="B871" s="39" t="s">
        <v>2856</v>
      </c>
      <c r="C871" s="39" t="s">
        <v>944</v>
      </c>
      <c r="D871" s="41">
        <v>74558.667283200004</v>
      </c>
      <c r="E871" s="37">
        <v>6.6145777264141651E-4</v>
      </c>
      <c r="F871" s="41">
        <v>7135.08</v>
      </c>
      <c r="G871" s="37">
        <v>8.7295221393699879E-5</v>
      </c>
      <c r="H871" s="41">
        <v>74558.667283200004</v>
      </c>
      <c r="I871" s="37">
        <v>6.6145777264141651E-4</v>
      </c>
      <c r="J871" s="42">
        <v>7135.08</v>
      </c>
      <c r="K871" s="37">
        <v>8.7295221393699879E-5</v>
      </c>
      <c r="L871" s="38">
        <v>0</v>
      </c>
      <c r="M871" s="37">
        <v>0</v>
      </c>
      <c r="N871" s="42">
        <v>0</v>
      </c>
      <c r="O871" s="37">
        <v>0</v>
      </c>
      <c r="Q871">
        <f>VLOOKUP(Table3[[#This Row],[Census Tract]],'Population and Diversity Data'!$B$2:$K$823,10,FALSE)</f>
        <v>3</v>
      </c>
      <c r="R871" t="str">
        <f>VLOOKUP(Table3[[#This Row],[Census Tract]],'ES Energy Burden'!$B$2:$E$914,4,FALSE)</f>
        <v>No</v>
      </c>
    </row>
    <row r="872" spans="1:18" hidden="1" x14ac:dyDescent="0.25">
      <c r="A872" s="140">
        <v>9001050500</v>
      </c>
      <c r="B872" s="39" t="s">
        <v>2856</v>
      </c>
      <c r="C872" s="39" t="s">
        <v>944</v>
      </c>
      <c r="D872" s="41">
        <v>146978.52289631998</v>
      </c>
      <c r="E872" s="37">
        <v>1.3039407747438565E-3</v>
      </c>
      <c r="F872" s="41">
        <v>32140.67</v>
      </c>
      <c r="G872" s="37">
        <v>3.932299152065356E-4</v>
      </c>
      <c r="H872" s="41">
        <v>146823.64934111998</v>
      </c>
      <c r="I872" s="37">
        <v>1.3025667920722708E-3</v>
      </c>
      <c r="J872" s="42">
        <v>32140.67</v>
      </c>
      <c r="K872" s="37">
        <v>3.932299152065356E-4</v>
      </c>
      <c r="L872" s="38">
        <v>154.8735552</v>
      </c>
      <c r="M872" s="37">
        <v>1.3739826715858207E-6</v>
      </c>
      <c r="N872" s="42">
        <v>0</v>
      </c>
      <c r="O872" s="37">
        <v>0</v>
      </c>
      <c r="Q872">
        <f>VLOOKUP(Table3[[#This Row],[Census Tract]],'Population and Diversity Data'!$B$2:$K$823,10,FALSE)</f>
        <v>1</v>
      </c>
      <c r="R872" t="str">
        <f>VLOOKUP(Table3[[#This Row],[Census Tract]],'ES Energy Burden'!$B$2:$E$914,4,FALSE)</f>
        <v>No</v>
      </c>
    </row>
    <row r="873" spans="1:18" hidden="1" x14ac:dyDescent="0.25">
      <c r="A873" s="140">
        <v>9001050600</v>
      </c>
      <c r="B873" s="39" t="s">
        <v>2856</v>
      </c>
      <c r="C873" s="39" t="s">
        <v>944</v>
      </c>
      <c r="D873" s="41">
        <v>125849.61476639999</v>
      </c>
      <c r="E873" s="37">
        <v>1.1164926748887896E-3</v>
      </c>
      <c r="F873" s="41">
        <v>10952.81</v>
      </c>
      <c r="G873" s="37">
        <v>1.3400381969552269E-4</v>
      </c>
      <c r="H873" s="41">
        <v>125849.61476639999</v>
      </c>
      <c r="I873" s="37">
        <v>1.1164926748887896E-3</v>
      </c>
      <c r="J873" s="44">
        <v>10952.81</v>
      </c>
      <c r="K873" s="37">
        <v>1.3400381969552269E-4</v>
      </c>
      <c r="L873" s="38">
        <v>0</v>
      </c>
      <c r="M873" s="37">
        <v>0</v>
      </c>
      <c r="N873" s="42">
        <v>0</v>
      </c>
      <c r="O873" s="37">
        <v>0</v>
      </c>
      <c r="Q873">
        <f>VLOOKUP(Table3[[#This Row],[Census Tract]],'Population and Diversity Data'!$B$2:$K$823,10,FALSE)</f>
        <v>3</v>
      </c>
      <c r="R873" t="str">
        <f>VLOOKUP(Table3[[#This Row],[Census Tract]],'ES Energy Burden'!$B$2:$E$914,4,FALSE)</f>
        <v>No</v>
      </c>
    </row>
    <row r="874" spans="1:18" hidden="1" x14ac:dyDescent="0.25">
      <c r="A874" s="140">
        <v>9001055200</v>
      </c>
      <c r="B874" s="39" t="s">
        <v>2856</v>
      </c>
      <c r="C874" s="39" t="s">
        <v>944</v>
      </c>
      <c r="D874" s="41">
        <v>5646.9512448000005</v>
      </c>
      <c r="E874" s="37">
        <v>5.009772745014883E-5</v>
      </c>
      <c r="F874" s="41">
        <v>0</v>
      </c>
      <c r="G874" s="37">
        <v>0</v>
      </c>
      <c r="H874" s="41">
        <v>5646.9512448000005</v>
      </c>
      <c r="I874" s="37">
        <v>5.009772745014883E-5</v>
      </c>
      <c r="J874" s="42">
        <v>0</v>
      </c>
      <c r="K874" s="37">
        <v>0</v>
      </c>
      <c r="L874" s="38">
        <v>0</v>
      </c>
      <c r="M874" s="37">
        <v>0</v>
      </c>
      <c r="N874" s="42">
        <v>0</v>
      </c>
      <c r="O874" s="37">
        <v>0</v>
      </c>
      <c r="Q874">
        <f>VLOOKUP(Table3[[#This Row],[Census Tract]],'Population and Diversity Data'!$B$2:$K$823,10,FALSE)</f>
        <v>1</v>
      </c>
      <c r="R874" t="str">
        <f>VLOOKUP(Table3[[#This Row],[Census Tract]],'ES Energy Burden'!$B$2:$E$914,4,FALSE)</f>
        <v>No</v>
      </c>
    </row>
    <row r="875" spans="1:18" hidden="1" x14ac:dyDescent="0.25">
      <c r="A875" s="140">
        <v>9001060400</v>
      </c>
      <c r="B875" s="39" t="s">
        <v>2856</v>
      </c>
      <c r="C875" s="39" t="s">
        <v>944</v>
      </c>
      <c r="D875" s="41">
        <v>4359.446870400001</v>
      </c>
      <c r="E875" s="37">
        <v>3.8675450110856876E-5</v>
      </c>
      <c r="F875" s="41">
        <v>1373.72</v>
      </c>
      <c r="G875" s="37">
        <v>1.6806986261254731E-5</v>
      </c>
      <c r="H875" s="41">
        <v>4359.446870400001</v>
      </c>
      <c r="I875" s="37">
        <v>3.8675450110856876E-5</v>
      </c>
      <c r="J875" s="42">
        <v>1373.72</v>
      </c>
      <c r="K875" s="37">
        <v>1.6806986261254731E-5</v>
      </c>
      <c r="L875" s="38">
        <v>0</v>
      </c>
      <c r="M875" s="37">
        <v>0</v>
      </c>
      <c r="N875" s="42">
        <v>0</v>
      </c>
      <c r="O875" s="37">
        <v>0</v>
      </c>
      <c r="Q875">
        <f>VLOOKUP(Table3[[#This Row],[Census Tract]],'Population and Diversity Data'!$B$2:$K$823,10,FALSE)</f>
        <v>1</v>
      </c>
      <c r="R875" t="str">
        <f>VLOOKUP(Table3[[#This Row],[Census Tract]],'ES Energy Burden'!$B$2:$E$914,4,FALSE)</f>
        <v>No</v>
      </c>
    </row>
    <row r="876" spans="1:18" hidden="1" x14ac:dyDescent="0.25">
      <c r="A876" s="140">
        <v>9003492100</v>
      </c>
      <c r="B876" s="39" t="s">
        <v>2857</v>
      </c>
      <c r="C876" s="39" t="s">
        <v>944</v>
      </c>
      <c r="D876" s="41">
        <v>57899.365729919999</v>
      </c>
      <c r="E876" s="37">
        <v>5.1366242032726314E-4</v>
      </c>
      <c r="F876" s="41">
        <v>7088.3504999999996</v>
      </c>
      <c r="G876" s="37">
        <v>8.6723502219126234E-5</v>
      </c>
      <c r="H876" s="41">
        <v>57897.0131616</v>
      </c>
      <c r="I876" s="37">
        <v>5.1364154918434124E-4</v>
      </c>
      <c r="J876" s="42">
        <v>7088.3504999999996</v>
      </c>
      <c r="K876" s="37">
        <v>8.6723502219126234E-5</v>
      </c>
      <c r="L876" s="38">
        <v>2.35256832</v>
      </c>
      <c r="M876" s="37">
        <v>2.087114292189869E-8</v>
      </c>
      <c r="N876" s="42">
        <v>0</v>
      </c>
      <c r="O876" s="37">
        <v>0</v>
      </c>
      <c r="Q876">
        <f>VLOOKUP(Table3[[#This Row],[Census Tract]],'Population and Diversity Data'!$B$2:$K$823,10,FALSE)</f>
        <v>1</v>
      </c>
      <c r="R876" t="str">
        <f>VLOOKUP(Table3[[#This Row],[Census Tract]],'ES Energy Burden'!$B$2:$E$914,4,FALSE)</f>
        <v>No</v>
      </c>
    </row>
    <row r="877" spans="1:18" hidden="1" x14ac:dyDescent="0.25">
      <c r="A877" s="140">
        <v>9003492200</v>
      </c>
      <c r="B877" s="39" t="s">
        <v>2857</v>
      </c>
      <c r="C877" s="39" t="s">
        <v>944</v>
      </c>
      <c r="D877" s="41">
        <v>60830.6149152</v>
      </c>
      <c r="E877" s="37">
        <v>5.3966741247375174E-4</v>
      </c>
      <c r="F877" s="41">
        <v>12981.8608</v>
      </c>
      <c r="G877" s="37">
        <v>1.5882855029490824E-4</v>
      </c>
      <c r="H877" s="41">
        <v>60830.6149152</v>
      </c>
      <c r="I877" s="37">
        <v>5.3966741247375174E-4</v>
      </c>
      <c r="J877" s="42">
        <v>12981.8608</v>
      </c>
      <c r="K877" s="37">
        <v>1.5882855029490824E-4</v>
      </c>
      <c r="L877" s="38">
        <v>0</v>
      </c>
      <c r="M877" s="37">
        <v>0</v>
      </c>
      <c r="N877" s="42">
        <v>0</v>
      </c>
      <c r="O877" s="37">
        <v>0</v>
      </c>
      <c r="Q877">
        <f>VLOOKUP(Table3[[#This Row],[Census Tract]],'Population and Diversity Data'!$B$2:$K$823,10,FALSE)</f>
        <v>3</v>
      </c>
      <c r="R877" t="str">
        <f>VLOOKUP(Table3[[#This Row],[Census Tract]],'ES Energy Burden'!$B$2:$E$914,4,FALSE)</f>
        <v>No</v>
      </c>
    </row>
    <row r="878" spans="1:18" hidden="1" x14ac:dyDescent="0.25">
      <c r="A878" s="140">
        <v>9003492300</v>
      </c>
      <c r="B878" s="39" t="s">
        <v>2857</v>
      </c>
      <c r="C878" s="39" t="s">
        <v>944</v>
      </c>
      <c r="D878" s="41">
        <v>86123.850307199988</v>
      </c>
      <c r="E878" s="37">
        <v>7.6405993120989542E-4</v>
      </c>
      <c r="F878" s="41">
        <v>9848.5290999999997</v>
      </c>
      <c r="G878" s="37">
        <v>1.2049332708067686E-4</v>
      </c>
      <c r="H878" s="41">
        <v>86123.850307199988</v>
      </c>
      <c r="I878" s="37">
        <v>7.6405993120989542E-4</v>
      </c>
      <c r="J878" s="42">
        <v>9848.5290999999997</v>
      </c>
      <c r="K878" s="37">
        <v>1.2049332708067686E-4</v>
      </c>
      <c r="L878" s="38">
        <v>0</v>
      </c>
      <c r="M878" s="37">
        <v>0</v>
      </c>
      <c r="N878" s="42">
        <v>0</v>
      </c>
      <c r="O878" s="37">
        <v>0</v>
      </c>
      <c r="Q878">
        <f>VLOOKUP(Table3[[#This Row],[Census Tract]],'Population and Diversity Data'!$B$2:$K$823,10,FALSE)</f>
        <v>5</v>
      </c>
      <c r="R878" t="str">
        <f>VLOOKUP(Table3[[#This Row],[Census Tract]],'ES Energy Burden'!$B$2:$E$914,4,FALSE)</f>
        <v>No</v>
      </c>
    </row>
    <row r="879" spans="1:18" hidden="1" x14ac:dyDescent="0.25">
      <c r="A879" s="140">
        <v>9003492400</v>
      </c>
      <c r="B879" s="39" t="s">
        <v>2857</v>
      </c>
      <c r="C879" s="39" t="s">
        <v>944</v>
      </c>
      <c r="D879" s="41">
        <v>49411.587513600003</v>
      </c>
      <c r="E879" s="37">
        <v>4.383618942017592E-4</v>
      </c>
      <c r="F879" s="41">
        <v>6725.7366000000002</v>
      </c>
      <c r="G879" s="37">
        <v>8.2287047311692412E-5</v>
      </c>
      <c r="H879" s="41">
        <v>49411.587513600003</v>
      </c>
      <c r="I879" s="37">
        <v>4.383618942017592E-4</v>
      </c>
      <c r="J879" s="42">
        <v>6725.7366000000002</v>
      </c>
      <c r="K879" s="37">
        <v>8.2287047311692412E-5</v>
      </c>
      <c r="L879" s="38">
        <v>0</v>
      </c>
      <c r="M879" s="37">
        <v>0</v>
      </c>
      <c r="N879" s="42">
        <v>0</v>
      </c>
      <c r="O879" s="37">
        <v>0</v>
      </c>
      <c r="Q879">
        <f>VLOOKUP(Table3[[#This Row],[Census Tract]],'Population and Diversity Data'!$B$2:$K$823,10,FALSE)</f>
        <v>4</v>
      </c>
      <c r="R879" t="str">
        <f>VLOOKUP(Table3[[#This Row],[Census Tract]],'ES Energy Burden'!$B$2:$E$914,4,FALSE)</f>
        <v>No</v>
      </c>
    </row>
    <row r="880" spans="1:18" hidden="1" x14ac:dyDescent="0.25">
      <c r="A880" s="140">
        <v>9003492500</v>
      </c>
      <c r="B880" s="39" t="s">
        <v>2857</v>
      </c>
      <c r="C880" s="39" t="s">
        <v>944</v>
      </c>
      <c r="D880" s="41">
        <v>59729.9845824</v>
      </c>
      <c r="E880" s="37">
        <v>5.2990301465169584E-4</v>
      </c>
      <c r="F880" s="41">
        <v>10869.7922</v>
      </c>
      <c r="G880" s="37">
        <v>1.3298812579571806E-4</v>
      </c>
      <c r="H880" s="41">
        <v>59729.9845824</v>
      </c>
      <c r="I880" s="37">
        <v>5.2990301465169584E-4</v>
      </c>
      <c r="J880" s="42">
        <v>10869.7922</v>
      </c>
      <c r="K880" s="37">
        <v>1.3298812579571806E-4</v>
      </c>
      <c r="L880" s="38">
        <v>0</v>
      </c>
      <c r="M880" s="37">
        <v>0</v>
      </c>
      <c r="N880" s="42">
        <v>0</v>
      </c>
      <c r="O880" s="37">
        <v>0</v>
      </c>
      <c r="Q880">
        <f>VLOOKUP(Table3[[#This Row],[Census Tract]],'Population and Diversity Data'!$B$2:$K$823,10,FALSE)</f>
        <v>2</v>
      </c>
      <c r="R880" t="str">
        <f>VLOOKUP(Table3[[#This Row],[Census Tract]],'ES Energy Burden'!$B$2:$E$914,4,FALSE)</f>
        <v>No</v>
      </c>
    </row>
    <row r="881" spans="1:18" hidden="1" x14ac:dyDescent="0.25">
      <c r="A881" s="140">
        <v>9003492600</v>
      </c>
      <c r="B881" s="39" t="s">
        <v>2857</v>
      </c>
      <c r="C881" s="39" t="s">
        <v>944</v>
      </c>
      <c r="D881" s="41">
        <v>289574.33547167998</v>
      </c>
      <c r="E881" s="37">
        <v>2.5689997143816296E-3</v>
      </c>
      <c r="F881" s="41">
        <v>121493.1286</v>
      </c>
      <c r="G881" s="37">
        <v>1.4864261590550143E-3</v>
      </c>
      <c r="H881" s="41">
        <v>142356.53831615997</v>
      </c>
      <c r="I881" s="37">
        <v>1.2629361841714002E-3</v>
      </c>
      <c r="J881" s="42">
        <v>85449.179099999994</v>
      </c>
      <c r="K881" s="37">
        <v>1.0454409771781692E-3</v>
      </c>
      <c r="L881" s="38">
        <v>147217.79715552001</v>
      </c>
      <c r="M881" s="37">
        <v>1.3060635302102293E-3</v>
      </c>
      <c r="N881" s="42">
        <v>36043.949500000002</v>
      </c>
      <c r="O881" s="37">
        <v>4.4098518187684488E-4</v>
      </c>
      <c r="Q881">
        <f>VLOOKUP(Table3[[#This Row],[Census Tract]],'Population and Diversity Data'!$B$2:$K$823,10,FALSE)</f>
        <v>1</v>
      </c>
      <c r="R881" t="str">
        <f>VLOOKUP(Table3[[#This Row],[Census Tract]],'ES Energy Burden'!$B$2:$E$914,4,FALSE)</f>
        <v>No</v>
      </c>
    </row>
    <row r="882" spans="1:18" hidden="1" x14ac:dyDescent="0.25">
      <c r="A882" s="140">
        <v>9003494100</v>
      </c>
      <c r="B882" s="39" t="s">
        <v>2857</v>
      </c>
      <c r="C882" s="39" t="s">
        <v>944</v>
      </c>
      <c r="D882" s="41">
        <v>1420.2241919999999</v>
      </c>
      <c r="E882" s="37">
        <v>1.2599719991285985E-5</v>
      </c>
      <c r="F882" s="41">
        <v>0</v>
      </c>
      <c r="G882" s="37">
        <v>0</v>
      </c>
      <c r="H882" s="41">
        <v>1420.2241919999999</v>
      </c>
      <c r="I882" s="37">
        <v>1.2599719991285985E-5</v>
      </c>
      <c r="J882" s="42">
        <v>0</v>
      </c>
      <c r="K882" s="37">
        <v>0</v>
      </c>
      <c r="L882" s="38">
        <v>0</v>
      </c>
      <c r="M882" s="37">
        <v>0</v>
      </c>
      <c r="N882" s="42">
        <v>0</v>
      </c>
      <c r="O882" s="37">
        <v>0</v>
      </c>
      <c r="Q882">
        <f>VLOOKUP(Table3[[#This Row],[Census Tract]],'Population and Diversity Data'!$B$2:$K$823,10,FALSE)</f>
        <v>4</v>
      </c>
      <c r="R882" t="str">
        <f>VLOOKUP(Table3[[#This Row],[Census Tract]],'ES Energy Burden'!$B$2:$E$914,4,FALSE)</f>
        <v>No</v>
      </c>
    </row>
    <row r="883" spans="1:18" hidden="1" x14ac:dyDescent="0.25">
      <c r="A883" s="140">
        <v>9013840100</v>
      </c>
      <c r="B883" s="39" t="s">
        <v>2858</v>
      </c>
      <c r="C883" s="39" t="s">
        <v>944</v>
      </c>
      <c r="D883" s="41">
        <v>138559.72344192001</v>
      </c>
      <c r="E883" s="37">
        <v>1.2292522034705749E-3</v>
      </c>
      <c r="F883" s="41">
        <v>60554.824200000003</v>
      </c>
      <c r="G883" s="37">
        <v>7.4086720611339684E-4</v>
      </c>
      <c r="H883" s="41">
        <v>112402.66594752</v>
      </c>
      <c r="I883" s="37">
        <v>9.9719616465511387E-4</v>
      </c>
      <c r="J883" s="42">
        <v>38610.5</v>
      </c>
      <c r="K883" s="37">
        <v>4.7238603430115001E-4</v>
      </c>
      <c r="L883" s="38">
        <v>26157.0574944</v>
      </c>
      <c r="M883" s="37">
        <v>2.320560388154609E-4</v>
      </c>
      <c r="N883" s="42">
        <v>21944.324199999999</v>
      </c>
      <c r="O883" s="37">
        <v>2.6848117181224682E-4</v>
      </c>
      <c r="Q883">
        <f>VLOOKUP(Table3[[#This Row],[Census Tract]],'Population and Diversity Data'!$B$2:$K$823,10,FALSE)</f>
        <v>4</v>
      </c>
      <c r="R883" t="str">
        <f>VLOOKUP(Table3[[#This Row],[Census Tract]],'ES Energy Burden'!$B$2:$E$914,4,FALSE)</f>
        <v>No</v>
      </c>
    </row>
    <row r="884" spans="1:18" hidden="1" x14ac:dyDescent="0.25">
      <c r="A884" s="140">
        <v>9013890201</v>
      </c>
      <c r="B884" s="39" t="s">
        <v>2858</v>
      </c>
      <c r="C884" s="39" t="s">
        <v>944</v>
      </c>
      <c r="D884" s="41">
        <v>219.38394240000002</v>
      </c>
      <c r="E884" s="37">
        <v>1.9462957048575704E-6</v>
      </c>
      <c r="F884" s="41">
        <v>0</v>
      </c>
      <c r="G884" s="37">
        <v>0</v>
      </c>
      <c r="H884" s="41">
        <v>219.38394240000002</v>
      </c>
      <c r="I884" s="37">
        <v>1.9462957048575704E-6</v>
      </c>
      <c r="J884" s="42">
        <v>0</v>
      </c>
      <c r="K884" s="37">
        <v>0</v>
      </c>
      <c r="L884" s="38">
        <v>0</v>
      </c>
      <c r="M884" s="37">
        <v>0</v>
      </c>
      <c r="N884" s="42">
        <v>0</v>
      </c>
      <c r="O884" s="37">
        <v>0</v>
      </c>
      <c r="Q884">
        <f>VLOOKUP(Table3[[#This Row],[Census Tract]],'Population and Diversity Data'!$B$2:$K$823,10,FALSE)</f>
        <v>4</v>
      </c>
      <c r="R884" t="str">
        <f>VLOOKUP(Table3[[#This Row],[Census Tract]],'ES Energy Burden'!$B$2:$E$914,4,FALSE)</f>
        <v>No</v>
      </c>
    </row>
    <row r="885" spans="1:18" hidden="1" x14ac:dyDescent="0.25">
      <c r="A885" s="140">
        <v>9015830100</v>
      </c>
      <c r="B885" s="39" t="s">
        <v>2858</v>
      </c>
      <c r="C885" s="39" t="s">
        <v>944</v>
      </c>
      <c r="D885" s="41">
        <v>663.49488960000008</v>
      </c>
      <c r="E885" s="37">
        <v>5.8862888491123576E-6</v>
      </c>
      <c r="F885" s="41">
        <v>0</v>
      </c>
      <c r="G885" s="37">
        <v>0</v>
      </c>
      <c r="H885" s="41">
        <v>663.49488960000008</v>
      </c>
      <c r="I885" s="37">
        <v>5.8862888491123576E-6</v>
      </c>
      <c r="J885" s="42">
        <v>0</v>
      </c>
      <c r="K885" s="37">
        <v>0</v>
      </c>
      <c r="L885" s="38">
        <v>0</v>
      </c>
      <c r="M885" s="37">
        <v>0</v>
      </c>
      <c r="N885" s="42">
        <v>0</v>
      </c>
      <c r="O885" s="37">
        <v>0</v>
      </c>
      <c r="Q885">
        <f>VLOOKUP(Table3[[#This Row],[Census Tract]],'Population and Diversity Data'!$B$2:$K$823,10,FALSE)</f>
        <v>4</v>
      </c>
      <c r="R885" t="str">
        <f>VLOOKUP(Table3[[#This Row],[Census Tract]],'ES Energy Burden'!$B$2:$E$914,4,FALSE)</f>
        <v>No</v>
      </c>
    </row>
    <row r="886" spans="1:18" hidden="1" x14ac:dyDescent="0.25">
      <c r="A886" s="140">
        <v>9001035400</v>
      </c>
      <c r="B886" s="39" t="s">
        <v>2859</v>
      </c>
      <c r="C886" s="39" t="s">
        <v>944</v>
      </c>
      <c r="D886" s="41">
        <v>213.86721600000001</v>
      </c>
      <c r="E886" s="37">
        <v>1.8973532855549879E-6</v>
      </c>
      <c r="F886" s="41">
        <v>0</v>
      </c>
      <c r="G886" s="37">
        <v>0</v>
      </c>
      <c r="H886" s="41">
        <v>213.86721600000001</v>
      </c>
      <c r="I886" s="37">
        <v>1.8973532855549879E-6</v>
      </c>
      <c r="J886" s="42">
        <v>0</v>
      </c>
      <c r="K886" s="37">
        <v>0</v>
      </c>
      <c r="L886" s="38">
        <v>0</v>
      </c>
      <c r="M886" s="37">
        <v>0</v>
      </c>
      <c r="N886" s="42">
        <v>0</v>
      </c>
      <c r="O886" s="37">
        <v>0</v>
      </c>
      <c r="Q886">
        <f>VLOOKUP(Table3[[#This Row],[Census Tract]],'Population and Diversity Data'!$B$2:$K$823,10,FALSE)</f>
        <v>2</v>
      </c>
      <c r="R886" t="str">
        <f>VLOOKUP(Table3[[#This Row],[Census Tract]],'ES Energy Burden'!$B$2:$E$914,4,FALSE)</f>
        <v>No</v>
      </c>
    </row>
    <row r="887" spans="1:18" hidden="1" x14ac:dyDescent="0.25">
      <c r="A887" s="140">
        <v>9001042900</v>
      </c>
      <c r="B887" s="39" t="s">
        <v>2859</v>
      </c>
      <c r="C887" s="39" t="s">
        <v>944</v>
      </c>
      <c r="D887" s="41">
        <v>355.58282880000002</v>
      </c>
      <c r="E887" s="37">
        <v>3.1546034082690671E-6</v>
      </c>
      <c r="F887" s="41">
        <v>0</v>
      </c>
      <c r="G887" s="37">
        <v>0</v>
      </c>
      <c r="H887" s="41">
        <v>355.58282880000002</v>
      </c>
      <c r="I887" s="37">
        <v>3.1546034082690671E-6</v>
      </c>
      <c r="J887" s="42">
        <v>0</v>
      </c>
      <c r="K887" s="37">
        <v>0</v>
      </c>
      <c r="L887" s="38">
        <v>0</v>
      </c>
      <c r="M887" s="37">
        <v>0</v>
      </c>
      <c r="N887" s="42">
        <v>0</v>
      </c>
      <c r="O887" s="37">
        <v>0</v>
      </c>
      <c r="Q887">
        <f>VLOOKUP(Table3[[#This Row],[Census Tract]],'Population and Diversity Data'!$B$2:$K$823,10,FALSE)</f>
        <v>1</v>
      </c>
      <c r="R887" t="str">
        <f>VLOOKUP(Table3[[#This Row],[Census Tract]],'ES Energy Burden'!$B$2:$E$914,4,FALSE)</f>
        <v>No</v>
      </c>
    </row>
    <row r="888" spans="1:18" hidden="1" x14ac:dyDescent="0.25">
      <c r="A888" s="140">
        <v>9001045101</v>
      </c>
      <c r="B888" s="39" t="s">
        <v>2859</v>
      </c>
      <c r="C888" s="39" t="s">
        <v>944</v>
      </c>
      <c r="D888" s="41">
        <v>121792.58059679999</v>
      </c>
      <c r="E888" s="37">
        <v>1.0805001218679496E-3</v>
      </c>
      <c r="F888" s="41">
        <v>26942.549299999999</v>
      </c>
      <c r="G888" s="37">
        <v>3.2963271694979928E-4</v>
      </c>
      <c r="H888" s="41">
        <v>121792.58059679999</v>
      </c>
      <c r="I888" s="37">
        <v>1.0805001218679496E-3</v>
      </c>
      <c r="J888" s="42">
        <v>26942.549299999999</v>
      </c>
      <c r="K888" s="37">
        <v>3.2963271694979928E-4</v>
      </c>
      <c r="L888" s="38">
        <v>0</v>
      </c>
      <c r="M888" s="37">
        <v>0</v>
      </c>
      <c r="N888" s="42">
        <v>0</v>
      </c>
      <c r="O888" s="37">
        <v>0</v>
      </c>
      <c r="Q888">
        <f>VLOOKUP(Table3[[#This Row],[Census Tract]],'Population and Diversity Data'!$B$2:$K$823,10,FALSE)</f>
        <v>3</v>
      </c>
      <c r="R888" t="str">
        <f>VLOOKUP(Table3[[#This Row],[Census Tract]],'ES Energy Burden'!$B$2:$E$914,4,FALSE)</f>
        <v>No</v>
      </c>
    </row>
    <row r="889" spans="1:18" hidden="1" x14ac:dyDescent="0.25">
      <c r="A889" s="140">
        <v>9001045102</v>
      </c>
      <c r="B889" s="39" t="s">
        <v>2859</v>
      </c>
      <c r="C889" s="39" t="s">
        <v>944</v>
      </c>
      <c r="D889" s="41">
        <v>280850.70244032005</v>
      </c>
      <c r="E889" s="37">
        <v>2.4916067688727358E-3</v>
      </c>
      <c r="F889" s="41">
        <v>98164.801600000108</v>
      </c>
      <c r="G889" s="37">
        <v>1.2010121945010615E-3</v>
      </c>
      <c r="H889" s="41">
        <v>164794.82669568001</v>
      </c>
      <c r="I889" s="37">
        <v>1.4620006362897307E-3</v>
      </c>
      <c r="J889" s="42">
        <v>80385.501600000105</v>
      </c>
      <c r="K889" s="37">
        <v>9.8348864469853525E-4</v>
      </c>
      <c r="L889" s="38">
        <v>116055.87574464001</v>
      </c>
      <c r="M889" s="37">
        <v>1.0296061325830049E-3</v>
      </c>
      <c r="N889" s="42">
        <v>17779.3</v>
      </c>
      <c r="O889" s="37">
        <v>2.1752354980252614E-4</v>
      </c>
      <c r="Q889">
        <f>VLOOKUP(Table3[[#This Row],[Census Tract]],'Population and Diversity Data'!$B$2:$K$823,10,FALSE)</f>
        <v>3</v>
      </c>
      <c r="R889" t="str">
        <f>VLOOKUP(Table3[[#This Row],[Census Tract]],'ES Energy Burden'!$B$2:$E$914,4,FALSE)</f>
        <v>No</v>
      </c>
    </row>
    <row r="890" spans="1:18" hidden="1" x14ac:dyDescent="0.25">
      <c r="A890" s="140">
        <v>9001045200</v>
      </c>
      <c r="B890" s="39" t="s">
        <v>2859</v>
      </c>
      <c r="C890" s="39" t="s">
        <v>944</v>
      </c>
      <c r="D890" s="41">
        <v>79552.867651200009</v>
      </c>
      <c r="E890" s="37">
        <v>7.0576452827311991E-4</v>
      </c>
      <c r="F890" s="41">
        <v>17456.605100000001</v>
      </c>
      <c r="G890" s="37">
        <v>2.135754899716458E-4</v>
      </c>
      <c r="H890" s="41">
        <v>79552.867651200009</v>
      </c>
      <c r="I890" s="37">
        <v>7.0576452827311991E-4</v>
      </c>
      <c r="J890" s="42">
        <v>17456.605100000001</v>
      </c>
      <c r="K890" s="37">
        <v>2.135754899716458E-4</v>
      </c>
      <c r="L890" s="38">
        <v>0</v>
      </c>
      <c r="M890" s="37">
        <v>0</v>
      </c>
      <c r="N890" s="42">
        <v>0</v>
      </c>
      <c r="O890" s="37">
        <v>0</v>
      </c>
      <c r="Q890">
        <f>VLOOKUP(Table3[[#This Row],[Census Tract]],'Population and Diversity Data'!$B$2:$K$823,10,FALSE)</f>
        <v>3</v>
      </c>
      <c r="R890" t="str">
        <f>VLOOKUP(Table3[[#This Row],[Census Tract]],'ES Energy Burden'!$B$2:$E$914,4,FALSE)</f>
        <v>No</v>
      </c>
    </row>
    <row r="891" spans="1:18" hidden="1" x14ac:dyDescent="0.25">
      <c r="A891" s="140">
        <v>9001045300</v>
      </c>
      <c r="B891" s="39" t="s">
        <v>2859</v>
      </c>
      <c r="C891" s="39" t="s">
        <v>944</v>
      </c>
      <c r="D891" s="41">
        <v>59936.719996799999</v>
      </c>
      <c r="E891" s="37">
        <v>5.3173709714965302E-4</v>
      </c>
      <c r="F891" s="41">
        <v>10246.200000000001</v>
      </c>
      <c r="G891" s="37">
        <v>1.2535869218623026E-4</v>
      </c>
      <c r="H891" s="41">
        <v>59936.719996799999</v>
      </c>
      <c r="I891" s="37">
        <v>5.3173709714965302E-4</v>
      </c>
      <c r="J891" s="42">
        <v>10246.200000000001</v>
      </c>
      <c r="K891" s="37">
        <v>1.2535869218623026E-4</v>
      </c>
      <c r="L891" s="38">
        <v>0</v>
      </c>
      <c r="M891" s="37">
        <v>0</v>
      </c>
      <c r="N891" s="42">
        <v>0</v>
      </c>
      <c r="O891" s="37">
        <v>0</v>
      </c>
      <c r="Q891">
        <f>VLOOKUP(Table3[[#This Row],[Census Tract]],'Population and Diversity Data'!$B$2:$K$823,10,FALSE)</f>
        <v>4</v>
      </c>
      <c r="R891" t="str">
        <f>VLOOKUP(Table3[[#This Row],[Census Tract]],'ES Energy Burden'!$B$2:$E$914,4,FALSE)</f>
        <v>No</v>
      </c>
    </row>
    <row r="892" spans="1:18" hidden="1" x14ac:dyDescent="0.25">
      <c r="A892" s="140">
        <v>9001045400</v>
      </c>
      <c r="B892" s="39" t="s">
        <v>2859</v>
      </c>
      <c r="C892" s="39" t="s">
        <v>944</v>
      </c>
      <c r="D892" s="41">
        <v>84004.02648</v>
      </c>
      <c r="E892" s="37">
        <v>7.4525361400728293E-4</v>
      </c>
      <c r="F892" s="41">
        <v>24622.080000000002</v>
      </c>
      <c r="G892" s="37">
        <v>3.0124258239198301E-4</v>
      </c>
      <c r="H892" s="41">
        <v>84004.02648</v>
      </c>
      <c r="I892" s="37">
        <v>7.4525361400728293E-4</v>
      </c>
      <c r="J892" s="42">
        <v>24622.080000000002</v>
      </c>
      <c r="K892" s="37">
        <v>3.0124258239198301E-4</v>
      </c>
      <c r="L892" s="38">
        <v>0</v>
      </c>
      <c r="M892" s="37">
        <v>0</v>
      </c>
      <c r="N892" s="42">
        <v>0</v>
      </c>
      <c r="O892" s="37">
        <v>0</v>
      </c>
      <c r="Q892">
        <f>VLOOKUP(Table3[[#This Row],[Census Tract]],'Population and Diversity Data'!$B$2:$K$823,10,FALSE)</f>
        <v>4</v>
      </c>
      <c r="R892" t="str">
        <f>VLOOKUP(Table3[[#This Row],[Census Tract]],'ES Energy Burden'!$B$2:$E$914,4,FALSE)</f>
        <v>No</v>
      </c>
    </row>
    <row r="893" spans="1:18" hidden="1" x14ac:dyDescent="0.25">
      <c r="A893" s="140">
        <v>9001055100</v>
      </c>
      <c r="B893" s="39" t="s">
        <v>2859</v>
      </c>
      <c r="C893" s="39" t="s">
        <v>944</v>
      </c>
      <c r="D893" s="41">
        <v>581.2128864</v>
      </c>
      <c r="E893" s="37">
        <v>5.1563124084335481E-6</v>
      </c>
      <c r="F893" s="41">
        <v>0</v>
      </c>
      <c r="G893" s="37">
        <v>0</v>
      </c>
      <c r="H893" s="41">
        <v>581.2128864</v>
      </c>
      <c r="I893" s="37">
        <v>5.1563124084335481E-6</v>
      </c>
      <c r="J893" s="42">
        <v>0</v>
      </c>
      <c r="K893" s="37">
        <v>0</v>
      </c>
      <c r="L893" s="38">
        <v>0</v>
      </c>
      <c r="M893" s="37">
        <v>0</v>
      </c>
      <c r="N893" s="42">
        <v>0</v>
      </c>
      <c r="O893" s="37">
        <v>0</v>
      </c>
      <c r="Q893">
        <f>VLOOKUP(Table3[[#This Row],[Census Tract]],'Population and Diversity Data'!$B$2:$K$823,10,FALSE)</f>
        <v>4</v>
      </c>
      <c r="R893" t="str">
        <f>VLOOKUP(Table3[[#This Row],[Census Tract]],'ES Energy Burden'!$B$2:$E$914,4,FALSE)</f>
        <v>No</v>
      </c>
    </row>
    <row r="894" spans="1:18" hidden="1" x14ac:dyDescent="0.25">
      <c r="A894" s="140">
        <v>9001240100</v>
      </c>
      <c r="B894" s="39" t="s">
        <v>2859</v>
      </c>
      <c r="C894" s="39" t="s">
        <v>944</v>
      </c>
      <c r="D894" s="41">
        <v>504.25079040000003</v>
      </c>
      <c r="E894" s="37">
        <v>4.4735322776593284E-6</v>
      </c>
      <c r="F894" s="41">
        <v>0</v>
      </c>
      <c r="G894" s="37">
        <v>0</v>
      </c>
      <c r="H894" s="41">
        <v>504.25079040000003</v>
      </c>
      <c r="I894" s="37">
        <v>4.4735322776593284E-6</v>
      </c>
      <c r="J894" s="44">
        <v>0</v>
      </c>
      <c r="K894" s="37">
        <v>0</v>
      </c>
      <c r="L894" s="38">
        <v>0</v>
      </c>
      <c r="M894" s="37">
        <v>0</v>
      </c>
      <c r="N894" s="42">
        <v>0</v>
      </c>
      <c r="O894" s="37">
        <v>0</v>
      </c>
      <c r="Q894">
        <f>VLOOKUP(Table3[[#This Row],[Census Tract]],'Population and Diversity Data'!$B$2:$K$823,10,FALSE)</f>
        <v>1</v>
      </c>
      <c r="R894" t="str">
        <f>VLOOKUP(Table3[[#This Row],[Census Tract]],'ES Energy Burden'!$B$2:$E$914,4,FALSE)</f>
        <v>No</v>
      </c>
    </row>
    <row r="895" spans="1:18" hidden="1" x14ac:dyDescent="0.25">
      <c r="A895" s="140">
        <v>9001245400</v>
      </c>
      <c r="B895" s="39" t="s">
        <v>2859</v>
      </c>
      <c r="C895" s="39" t="s">
        <v>944</v>
      </c>
      <c r="D895" s="41">
        <v>431.873424</v>
      </c>
      <c r="E895" s="37">
        <v>3.8314262246266033E-6</v>
      </c>
      <c r="F895" s="41">
        <v>0</v>
      </c>
      <c r="G895" s="37">
        <v>0</v>
      </c>
      <c r="H895" s="41">
        <v>431.873424</v>
      </c>
      <c r="I895" s="37">
        <v>3.8314262246266033E-6</v>
      </c>
      <c r="J895" s="42">
        <v>0</v>
      </c>
      <c r="K895" s="37">
        <v>0</v>
      </c>
      <c r="L895" s="38">
        <v>0</v>
      </c>
      <c r="M895" s="37">
        <v>0</v>
      </c>
      <c r="N895" s="42">
        <v>0</v>
      </c>
      <c r="O895" s="37">
        <v>0</v>
      </c>
      <c r="Q895">
        <f>VLOOKUP(Table3[[#This Row],[Census Tract]],'Population and Diversity Data'!$B$2:$K$823,10,FALSE)</f>
        <v>1</v>
      </c>
      <c r="R895" t="str">
        <f>VLOOKUP(Table3[[#This Row],[Census Tract]],'ES Energy Burden'!$B$2:$E$914,4,FALSE)</f>
        <v>No</v>
      </c>
    </row>
    <row r="896" spans="1:18" hidden="1" x14ac:dyDescent="0.25">
      <c r="A896" s="140">
        <v>9005290100</v>
      </c>
      <c r="B896" s="39" t="s">
        <v>2860</v>
      </c>
      <c r="C896" s="39" t="s">
        <v>944</v>
      </c>
      <c r="D896" s="41">
        <v>2422.8848736</v>
      </c>
      <c r="E896" s="37">
        <v>2.1494966182411246E-5</v>
      </c>
      <c r="F896" s="41">
        <v>0</v>
      </c>
      <c r="G896" s="37">
        <v>0</v>
      </c>
      <c r="H896" s="41">
        <v>2422.8848736</v>
      </c>
      <c r="I896" s="37">
        <v>2.1494966182411246E-5</v>
      </c>
      <c r="J896" s="42">
        <v>0</v>
      </c>
      <c r="K896" s="37">
        <v>0</v>
      </c>
      <c r="L896" s="38">
        <v>0</v>
      </c>
      <c r="M896" s="37">
        <v>0</v>
      </c>
      <c r="N896" s="42">
        <v>0</v>
      </c>
      <c r="O896" s="37">
        <v>0</v>
      </c>
      <c r="Q896">
        <f>VLOOKUP(Table3[[#This Row],[Census Tract]],'Population and Diversity Data'!$B$2:$K$823,10,FALSE)</f>
        <v>2</v>
      </c>
      <c r="R896" t="str">
        <f>VLOOKUP(Table3[[#This Row],[Census Tract]],'ES Energy Burden'!$B$2:$E$914,4,FALSE)</f>
        <v>No</v>
      </c>
    </row>
    <row r="897" spans="1:18" hidden="1" x14ac:dyDescent="0.25">
      <c r="A897" s="140">
        <v>9005293100</v>
      </c>
      <c r="B897" s="39" t="s">
        <v>2860</v>
      </c>
      <c r="C897" s="39" t="s">
        <v>944</v>
      </c>
      <c r="D897" s="41">
        <v>6067.4323103999996</v>
      </c>
      <c r="E897" s="37">
        <v>5.3828084754326862E-5</v>
      </c>
      <c r="F897" s="41">
        <v>1576.65</v>
      </c>
      <c r="G897" s="37">
        <v>1.9289764208723227E-5</v>
      </c>
      <c r="H897" s="41">
        <v>6067.4323103999996</v>
      </c>
      <c r="I897" s="37">
        <v>5.3828084754326862E-5</v>
      </c>
      <c r="J897" s="42">
        <v>1576.65</v>
      </c>
      <c r="K897" s="37">
        <v>1.9289764208723227E-5</v>
      </c>
      <c r="L897" s="38">
        <v>0</v>
      </c>
      <c r="M897" s="37">
        <v>0</v>
      </c>
      <c r="N897" s="42">
        <v>0</v>
      </c>
      <c r="O897" s="37">
        <v>0</v>
      </c>
      <c r="Q897">
        <f>VLOOKUP(Table3[[#This Row],[Census Tract]],'Population and Diversity Data'!$B$2:$K$823,10,FALSE)</f>
        <v>1</v>
      </c>
      <c r="R897" t="str">
        <f>VLOOKUP(Table3[[#This Row],[Census Tract]],'ES Energy Burden'!$B$2:$E$914,4,FALSE)</f>
        <v>No</v>
      </c>
    </row>
    <row r="898" spans="1:18" hidden="1" x14ac:dyDescent="0.25">
      <c r="A898" s="140">
        <v>9005310700</v>
      </c>
      <c r="B898" s="39" t="s">
        <v>2860</v>
      </c>
      <c r="C898" s="39" t="s">
        <v>944</v>
      </c>
      <c r="D898" s="41">
        <v>515.61999360000004</v>
      </c>
      <c r="E898" s="37">
        <v>4.5743957734728354E-6</v>
      </c>
      <c r="F898" s="41">
        <v>0</v>
      </c>
      <c r="G898" s="37">
        <v>0</v>
      </c>
      <c r="H898" s="41">
        <v>515.61999360000004</v>
      </c>
      <c r="I898" s="37">
        <v>4.5743957734728354E-6</v>
      </c>
      <c r="J898" s="42">
        <v>0</v>
      </c>
      <c r="K898" s="37">
        <v>0</v>
      </c>
      <c r="L898" s="38">
        <v>0</v>
      </c>
      <c r="M898" s="37">
        <v>0</v>
      </c>
      <c r="N898" s="42">
        <v>0</v>
      </c>
      <c r="O898" s="37">
        <v>0</v>
      </c>
      <c r="Q898">
        <f>VLOOKUP(Table3[[#This Row],[Census Tract]],'Population and Diversity Data'!$B$2:$K$823,10,FALSE)</f>
        <v>1</v>
      </c>
      <c r="R898" t="str">
        <f>VLOOKUP(Table3[[#This Row],[Census Tract]],'ES Energy Burden'!$B$2:$E$914,4,FALSE)</f>
        <v>No</v>
      </c>
    </row>
    <row r="899" spans="1:18" hidden="1" x14ac:dyDescent="0.25">
      <c r="A899" s="140">
        <v>9005320100</v>
      </c>
      <c r="B899" s="39" t="s">
        <v>2860</v>
      </c>
      <c r="C899" s="39" t="s">
        <v>944</v>
      </c>
      <c r="D899" s="41">
        <v>180682.43084640004</v>
      </c>
      <c r="E899" s="37">
        <v>1.6029497658419933E-3</v>
      </c>
      <c r="F899" s="41">
        <v>114368.24100000001</v>
      </c>
      <c r="G899" s="37">
        <v>1.3992556381292186E-3</v>
      </c>
      <c r="H899" s="41">
        <v>112367.13834528001</v>
      </c>
      <c r="I899" s="37">
        <v>9.9688097650192848E-4</v>
      </c>
      <c r="J899" s="42">
        <v>28255.501</v>
      </c>
      <c r="K899" s="37">
        <v>3.4569622420279917E-4</v>
      </c>
      <c r="L899" s="38">
        <v>68315.292501120013</v>
      </c>
      <c r="M899" s="37">
        <v>6.0606878934006453E-4</v>
      </c>
      <c r="N899" s="42">
        <v>86112.74</v>
      </c>
      <c r="O899" s="37">
        <v>1.0535594139264193E-3</v>
      </c>
      <c r="Q899">
        <f>VLOOKUP(Table3[[#This Row],[Census Tract]],'Population and Diversity Data'!$B$2:$K$823,10,FALSE)</f>
        <v>1</v>
      </c>
      <c r="R899" t="str">
        <f>VLOOKUP(Table3[[#This Row],[Census Tract]],'ES Energy Burden'!$B$2:$E$914,4,FALSE)</f>
        <v>No</v>
      </c>
    </row>
    <row r="900" spans="1:18" hidden="1" x14ac:dyDescent="0.25">
      <c r="A900" s="140">
        <v>9005320200</v>
      </c>
      <c r="B900" s="39" t="s">
        <v>2860</v>
      </c>
      <c r="C900" s="39" t="s">
        <v>944</v>
      </c>
      <c r="D900" s="41">
        <v>83128.746026879991</v>
      </c>
      <c r="E900" s="37">
        <v>7.374884395473072E-4</v>
      </c>
      <c r="F900" s="41">
        <v>13461.21</v>
      </c>
      <c r="G900" s="37">
        <v>1.6469322098379931E-4</v>
      </c>
      <c r="H900" s="41">
        <v>83128.746026879991</v>
      </c>
      <c r="I900" s="37">
        <v>7.374884395473072E-4</v>
      </c>
      <c r="J900" s="42">
        <v>13461.21</v>
      </c>
      <c r="K900" s="37">
        <v>1.6469322098379931E-4</v>
      </c>
      <c r="L900" s="38">
        <v>0</v>
      </c>
      <c r="M900" s="37">
        <v>0</v>
      </c>
      <c r="N900" s="42">
        <v>0</v>
      </c>
      <c r="O900" s="37">
        <v>0</v>
      </c>
      <c r="Q900">
        <f>VLOOKUP(Table3[[#This Row],[Census Tract]],'Population and Diversity Data'!$B$2:$K$823,10,FALSE)</f>
        <v>3</v>
      </c>
      <c r="R900" t="str">
        <f>VLOOKUP(Table3[[#This Row],[Census Tract]],'ES Energy Burden'!$B$2:$E$914,4,FALSE)</f>
        <v>No</v>
      </c>
    </row>
    <row r="901" spans="1:18" hidden="1" x14ac:dyDescent="0.25">
      <c r="A901" s="140">
        <v>9013881500</v>
      </c>
      <c r="B901" s="39" t="s">
        <v>2861</v>
      </c>
      <c r="C901" s="39" t="s">
        <v>944</v>
      </c>
      <c r="D901" s="41">
        <v>3206.7462816000002</v>
      </c>
      <c r="E901" s="37">
        <v>2.8449103640714156E-5</v>
      </c>
      <c r="F901" s="41">
        <v>0</v>
      </c>
      <c r="G901" s="37">
        <v>0</v>
      </c>
      <c r="H901" s="41">
        <v>3206.7462816000002</v>
      </c>
      <c r="I901" s="37">
        <v>2.8449103640714156E-5</v>
      </c>
      <c r="J901" s="42">
        <v>0</v>
      </c>
      <c r="K901" s="37">
        <v>0</v>
      </c>
      <c r="L901" s="38">
        <v>0</v>
      </c>
      <c r="M901" s="37">
        <v>0</v>
      </c>
      <c r="N901" s="42">
        <v>0</v>
      </c>
      <c r="O901" s="37">
        <v>0</v>
      </c>
      <c r="Q901">
        <f>VLOOKUP(Table3[[#This Row],[Census Tract]],'Population and Diversity Data'!$B$2:$K$823,10,FALSE)</f>
        <v>4</v>
      </c>
      <c r="R901" t="str">
        <f>VLOOKUP(Table3[[#This Row],[Census Tract]],'ES Energy Burden'!$B$2:$E$914,4,FALSE)</f>
        <v>No</v>
      </c>
    </row>
    <row r="902" spans="1:18" hidden="1" x14ac:dyDescent="0.25">
      <c r="A902" s="140">
        <v>9015800300</v>
      </c>
      <c r="B902" s="39" t="s">
        <v>2861</v>
      </c>
      <c r="C902" s="39" t="s">
        <v>944</v>
      </c>
      <c r="D902" s="41">
        <v>46300.286966400003</v>
      </c>
      <c r="E902" s="37">
        <v>4.1075955090675437E-4</v>
      </c>
      <c r="F902" s="41">
        <v>43359.29</v>
      </c>
      <c r="G902" s="37">
        <v>5.3048582777258802E-4</v>
      </c>
      <c r="H902" s="41">
        <v>46300.286966400003</v>
      </c>
      <c r="I902" s="37">
        <v>4.1075955090675437E-4</v>
      </c>
      <c r="J902" s="42">
        <v>43359.29</v>
      </c>
      <c r="K902" s="37">
        <v>5.3048582777258802E-4</v>
      </c>
      <c r="L902" s="38">
        <v>0</v>
      </c>
      <c r="M902" s="37">
        <v>0</v>
      </c>
      <c r="N902" s="42">
        <v>0</v>
      </c>
      <c r="O902" s="37">
        <v>0</v>
      </c>
      <c r="Q902">
        <f>VLOOKUP(Table3[[#This Row],[Census Tract]],'Population and Diversity Data'!$B$2:$K$823,10,FALSE)</f>
        <v>5</v>
      </c>
      <c r="R902" t="str">
        <f>VLOOKUP(Table3[[#This Row],[Census Tract]],'ES Energy Burden'!$B$2:$E$914,4,FALSE)</f>
        <v>Yes</v>
      </c>
    </row>
    <row r="903" spans="1:18" hidden="1" x14ac:dyDescent="0.25">
      <c r="A903" s="140">
        <v>9015800400</v>
      </c>
      <c r="B903" s="39" t="s">
        <v>2861</v>
      </c>
      <c r="C903" s="39" t="s">
        <v>944</v>
      </c>
      <c r="D903" s="41">
        <v>60159.073014720001</v>
      </c>
      <c r="E903" s="37">
        <v>5.337097334283409E-4</v>
      </c>
      <c r="F903" s="41">
        <v>17243.333500000001</v>
      </c>
      <c r="G903" s="37">
        <v>2.1096618614618222E-4</v>
      </c>
      <c r="H903" s="41">
        <v>60159.073014720001</v>
      </c>
      <c r="I903" s="37">
        <v>5.337097334283409E-4</v>
      </c>
      <c r="J903" s="42">
        <v>17243.333500000001</v>
      </c>
      <c r="K903" s="37">
        <v>2.1096618614618222E-4</v>
      </c>
      <c r="L903" s="38">
        <v>0</v>
      </c>
      <c r="M903" s="37">
        <v>0</v>
      </c>
      <c r="N903" s="42">
        <v>0</v>
      </c>
      <c r="O903" s="37">
        <v>0</v>
      </c>
      <c r="Q903">
        <f>VLOOKUP(Table3[[#This Row],[Census Tract]],'Population and Diversity Data'!$B$2:$K$823,10,FALSE)</f>
        <v>5</v>
      </c>
      <c r="R903" t="str">
        <f>VLOOKUP(Table3[[#This Row],[Census Tract]],'ES Energy Burden'!$B$2:$E$914,4,FALSE)</f>
        <v>No</v>
      </c>
    </row>
    <row r="904" spans="1:18" hidden="1" x14ac:dyDescent="0.25">
      <c r="A904" s="140">
        <v>9015800500</v>
      </c>
      <c r="B904" s="39" t="s">
        <v>2861</v>
      </c>
      <c r="C904" s="39" t="s">
        <v>944</v>
      </c>
      <c r="D904" s="41">
        <v>292503.24829727999</v>
      </c>
      <c r="E904" s="37">
        <v>2.5949839791824408E-3</v>
      </c>
      <c r="F904" s="41">
        <v>489387.0355</v>
      </c>
      <c r="G904" s="37">
        <v>5.9874801139130837E-3</v>
      </c>
      <c r="H904" s="41">
        <v>129961.80809568001</v>
      </c>
      <c r="I904" s="37">
        <v>1.1529745802040332E-3</v>
      </c>
      <c r="J904" s="42">
        <v>408720.65419999999</v>
      </c>
      <c r="K904" s="37">
        <v>5.0005550038075049E-3</v>
      </c>
      <c r="L904" s="38">
        <v>162541.44020159999</v>
      </c>
      <c r="M904" s="37">
        <v>1.4420093989784078E-3</v>
      </c>
      <c r="N904" s="42">
        <v>80666.381299999994</v>
      </c>
      <c r="O904" s="37">
        <v>9.8692511010557856E-4</v>
      </c>
      <c r="Q904">
        <f>VLOOKUP(Table3[[#This Row],[Census Tract]],'Population and Diversity Data'!$B$2:$K$823,10,FALSE)</f>
        <v>5</v>
      </c>
      <c r="R904" t="str">
        <f>VLOOKUP(Table3[[#This Row],[Census Tract]],'ES Energy Burden'!$B$2:$E$914,4,FALSE)</f>
        <v>No</v>
      </c>
    </row>
    <row r="905" spans="1:18" hidden="1" x14ac:dyDescent="0.25">
      <c r="A905" s="140">
        <v>9015800600</v>
      </c>
      <c r="B905" s="39" t="s">
        <v>2861</v>
      </c>
      <c r="C905" s="39" t="s">
        <v>944</v>
      </c>
      <c r="D905" s="41">
        <v>64791.193204800002</v>
      </c>
      <c r="E905" s="37">
        <v>5.748042434991779E-4</v>
      </c>
      <c r="F905" s="41">
        <v>890.52359999999999</v>
      </c>
      <c r="G905" s="37">
        <v>1.0895246418864909E-5</v>
      </c>
      <c r="H905" s="41">
        <v>64791.193204800002</v>
      </c>
      <c r="I905" s="37">
        <v>5.748042434991779E-4</v>
      </c>
      <c r="J905" s="42">
        <v>890.52359999999999</v>
      </c>
      <c r="K905" s="37">
        <v>1.0895246418864909E-5</v>
      </c>
      <c r="L905" s="38">
        <v>0</v>
      </c>
      <c r="M905" s="37">
        <v>0</v>
      </c>
      <c r="N905" s="42">
        <v>0</v>
      </c>
      <c r="O905" s="37">
        <v>0</v>
      </c>
      <c r="Q905">
        <f>VLOOKUP(Table3[[#This Row],[Census Tract]],'Population and Diversity Data'!$B$2:$K$823,10,FALSE)</f>
        <v>5</v>
      </c>
      <c r="R905" t="str">
        <f>VLOOKUP(Table3[[#This Row],[Census Tract]],'ES Energy Burden'!$B$2:$E$914,4,FALSE)</f>
        <v>Yes</v>
      </c>
    </row>
    <row r="906" spans="1:18" hidden="1" x14ac:dyDescent="0.25">
      <c r="A906" s="140">
        <v>9015800700</v>
      </c>
      <c r="B906" s="39" t="s">
        <v>2861</v>
      </c>
      <c r="C906" s="39" t="s">
        <v>944</v>
      </c>
      <c r="D906" s="41">
        <v>41272.490139839996</v>
      </c>
      <c r="E906" s="37">
        <v>3.6615473953642927E-4</v>
      </c>
      <c r="F906" s="41">
        <v>41619.35</v>
      </c>
      <c r="G906" s="37">
        <v>5.0919826722501825E-4</v>
      </c>
      <c r="H906" s="41">
        <v>41272.490139839996</v>
      </c>
      <c r="I906" s="37">
        <v>3.6615473953642927E-4</v>
      </c>
      <c r="J906" s="42">
        <v>41619.35</v>
      </c>
      <c r="K906" s="37">
        <v>5.0919826722501825E-4</v>
      </c>
      <c r="L906" s="38">
        <v>0</v>
      </c>
      <c r="M906" s="37">
        <v>0</v>
      </c>
      <c r="N906" s="42">
        <v>0</v>
      </c>
      <c r="O906" s="37">
        <v>0</v>
      </c>
      <c r="Q906">
        <f>VLOOKUP(Table3[[#This Row],[Census Tract]],'Population and Diversity Data'!$B$2:$K$823,10,FALSE)</f>
        <v>5</v>
      </c>
      <c r="R906" t="str">
        <f>VLOOKUP(Table3[[#This Row],[Census Tract]],'ES Energy Burden'!$B$2:$E$914,4,FALSE)</f>
        <v>Yes</v>
      </c>
    </row>
    <row r="907" spans="1:18" hidden="1" x14ac:dyDescent="0.25">
      <c r="A907" s="140">
        <v>9015815000</v>
      </c>
      <c r="B907" s="39" t="s">
        <v>2861</v>
      </c>
      <c r="C907" s="39" t="s">
        <v>944</v>
      </c>
      <c r="D907" s="41">
        <v>265.50331199999999</v>
      </c>
      <c r="E907" s="37">
        <v>2.3554502217344571E-6</v>
      </c>
      <c r="F907" s="41">
        <v>0</v>
      </c>
      <c r="G907" s="37">
        <v>0</v>
      </c>
      <c r="H907" s="41">
        <v>265.50331199999999</v>
      </c>
      <c r="I907" s="37">
        <v>2.3554502217344571E-6</v>
      </c>
      <c r="J907" s="42">
        <v>0</v>
      </c>
      <c r="K907" s="37">
        <v>0</v>
      </c>
      <c r="L907" s="38">
        <v>0</v>
      </c>
      <c r="M907" s="37">
        <v>0</v>
      </c>
      <c r="N907" s="42">
        <v>0</v>
      </c>
      <c r="O907" s="37">
        <v>0</v>
      </c>
      <c r="Q907">
        <f>VLOOKUP(Table3[[#This Row],[Census Tract]],'Population and Diversity Data'!$B$2:$K$823,10,FALSE)</f>
        <v>5</v>
      </c>
      <c r="R907" t="str">
        <f>VLOOKUP(Table3[[#This Row],[Census Tract]],'ES Energy Burden'!$B$2:$E$914,4,FALSE)</f>
        <v>No</v>
      </c>
    </row>
    <row r="908" spans="1:18" hidden="1" x14ac:dyDescent="0.25">
      <c r="A908" s="140">
        <v>9015825000</v>
      </c>
      <c r="B908" s="39" t="s">
        <v>2861</v>
      </c>
      <c r="C908" s="39" t="s">
        <v>944</v>
      </c>
      <c r="D908" s="41">
        <v>399.06829440000001</v>
      </c>
      <c r="E908" s="37">
        <v>3.5403908729081002E-6</v>
      </c>
      <c r="F908" s="41">
        <v>0</v>
      </c>
      <c r="G908" s="37">
        <v>0</v>
      </c>
      <c r="H908" s="41">
        <v>399.06829440000001</v>
      </c>
      <c r="I908" s="37">
        <v>3.5403908729081002E-6</v>
      </c>
      <c r="J908" s="42">
        <v>0</v>
      </c>
      <c r="K908" s="37">
        <v>0</v>
      </c>
      <c r="L908" s="38">
        <v>0</v>
      </c>
      <c r="M908" s="37">
        <v>0</v>
      </c>
      <c r="N908" s="42">
        <v>0</v>
      </c>
      <c r="O908" s="37">
        <v>0</v>
      </c>
      <c r="Q908">
        <f>VLOOKUP(Table3[[#This Row],[Census Tract]],'Population and Diversity Data'!$B$2:$K$823,10,FALSE)</f>
        <v>2</v>
      </c>
      <c r="R908" t="str">
        <f>VLOOKUP(Table3[[#This Row],[Census Tract]],'ES Energy Burden'!$B$2:$E$914,4,FALSE)</f>
        <v>No</v>
      </c>
    </row>
    <row r="909" spans="1:18" hidden="1" x14ac:dyDescent="0.25">
      <c r="A909" s="140">
        <v>9003470100</v>
      </c>
      <c r="B909" s="39" t="s">
        <v>2862</v>
      </c>
      <c r="C909" s="39" t="s">
        <v>944</v>
      </c>
      <c r="D909" s="41">
        <v>284.12588160000001</v>
      </c>
      <c r="E909" s="37">
        <v>2.5206629844799003E-6</v>
      </c>
      <c r="F909" s="41">
        <v>0</v>
      </c>
      <c r="G909" s="37">
        <v>0</v>
      </c>
      <c r="H909" s="41">
        <v>284.12588160000001</v>
      </c>
      <c r="I909" s="37">
        <v>2.5206629844799003E-6</v>
      </c>
      <c r="J909" s="42">
        <v>0</v>
      </c>
      <c r="K909" s="37">
        <v>0</v>
      </c>
      <c r="L909" s="38">
        <v>0</v>
      </c>
      <c r="M909" s="37">
        <v>0</v>
      </c>
      <c r="N909" s="42">
        <v>0</v>
      </c>
      <c r="O909" s="37">
        <v>0</v>
      </c>
      <c r="Q909">
        <f>VLOOKUP(Table3[[#This Row],[Census Tract]],'Population and Diversity Data'!$B$2:$K$823,10,FALSE)</f>
        <v>3</v>
      </c>
      <c r="R909" t="str">
        <f>VLOOKUP(Table3[[#This Row],[Census Tract]],'ES Energy Burden'!$B$2:$E$914,4,FALSE)</f>
        <v>No</v>
      </c>
    </row>
    <row r="910" spans="1:18" hidden="1" x14ac:dyDescent="0.25">
      <c r="A910" s="140">
        <v>9003471400</v>
      </c>
      <c r="B910" s="39" t="s">
        <v>2862</v>
      </c>
      <c r="C910" s="39" t="s">
        <v>944</v>
      </c>
      <c r="D910" s="41">
        <v>152.0659872</v>
      </c>
      <c r="E910" s="37">
        <v>1.3490749345850311E-6</v>
      </c>
      <c r="F910" s="41">
        <v>0</v>
      </c>
      <c r="G910" s="37">
        <v>0</v>
      </c>
      <c r="H910" s="41">
        <v>152.0659872</v>
      </c>
      <c r="I910" s="37">
        <v>1.3490749345850311E-6</v>
      </c>
      <c r="J910" s="42">
        <v>0</v>
      </c>
      <c r="K910" s="37">
        <v>0</v>
      </c>
      <c r="L910" s="38">
        <v>0</v>
      </c>
      <c r="M910" s="37">
        <v>0</v>
      </c>
      <c r="N910" s="42">
        <v>0</v>
      </c>
      <c r="O910" s="37">
        <v>0</v>
      </c>
      <c r="Q910">
        <f>VLOOKUP(Table3[[#This Row],[Census Tract]],'Population and Diversity Data'!$B$2:$K$823,10,FALSE)</f>
        <v>2</v>
      </c>
      <c r="R910" t="str">
        <f>VLOOKUP(Table3[[#This Row],[Census Tract]],'ES Energy Burden'!$B$2:$E$914,4,FALSE)</f>
        <v>No</v>
      </c>
    </row>
    <row r="911" spans="1:18" hidden="1" x14ac:dyDescent="0.25">
      <c r="A911" s="140">
        <v>9003473100</v>
      </c>
      <c r="B911" s="39" t="s">
        <v>2862</v>
      </c>
      <c r="C911" s="39" t="s">
        <v>944</v>
      </c>
      <c r="D911" s="41">
        <v>324073.84451615997</v>
      </c>
      <c r="E911" s="37">
        <v>2.8750669932280431E-3</v>
      </c>
      <c r="F911" s="41">
        <v>305315.0306</v>
      </c>
      <c r="G911" s="37">
        <v>3.7354231755006607E-3</v>
      </c>
      <c r="H911" s="41">
        <v>118829.27187935999</v>
      </c>
      <c r="I911" s="37">
        <v>1.0542107090429915E-3</v>
      </c>
      <c r="J911" s="42">
        <v>227525.2506</v>
      </c>
      <c r="K911" s="37">
        <v>2.7836922814858485E-3</v>
      </c>
      <c r="L911" s="38">
        <v>205244.5726368</v>
      </c>
      <c r="M911" s="37">
        <v>1.8208562841850518E-3</v>
      </c>
      <c r="N911" s="42">
        <v>77789.78</v>
      </c>
      <c r="O911" s="37">
        <v>9.5173089401481229E-4</v>
      </c>
      <c r="Q911">
        <f>VLOOKUP(Table3[[#This Row],[Census Tract]],'Population and Diversity Data'!$B$2:$K$823,10,FALSE)</f>
        <v>1</v>
      </c>
      <c r="R911" t="str">
        <f>VLOOKUP(Table3[[#This Row],[Census Tract]],'ES Energy Burden'!$B$2:$E$914,4,FALSE)</f>
        <v>No</v>
      </c>
    </row>
    <row r="912" spans="1:18" hidden="1" x14ac:dyDescent="0.25">
      <c r="A912" s="140">
        <v>9003473400</v>
      </c>
      <c r="B912" s="39" t="s">
        <v>2862</v>
      </c>
      <c r="C912" s="39" t="s">
        <v>944</v>
      </c>
      <c r="D912" s="41">
        <v>31967.588649600002</v>
      </c>
      <c r="E912" s="37">
        <v>2.836049885999774E-4</v>
      </c>
      <c r="F912" s="41">
        <v>52940.47</v>
      </c>
      <c r="G912" s="37">
        <v>6.4770823162971225E-4</v>
      </c>
      <c r="H912" s="41">
        <v>31967.588649600002</v>
      </c>
      <c r="I912" s="37">
        <v>2.836049885999774E-4</v>
      </c>
      <c r="J912" s="42">
        <v>52940.47</v>
      </c>
      <c r="K912" s="37">
        <v>6.4770823162971225E-4</v>
      </c>
      <c r="L912" s="38">
        <v>0</v>
      </c>
      <c r="M912" s="37">
        <v>0</v>
      </c>
      <c r="N912" s="42">
        <v>0</v>
      </c>
      <c r="O912" s="37">
        <v>0</v>
      </c>
      <c r="Q912">
        <f>VLOOKUP(Table3[[#This Row],[Census Tract]],'Population and Diversity Data'!$B$2:$K$823,10,FALSE)</f>
        <v>2</v>
      </c>
      <c r="R912" t="str">
        <f>VLOOKUP(Table3[[#This Row],[Census Tract]],'ES Energy Burden'!$B$2:$E$914,4,FALSE)</f>
        <v>No</v>
      </c>
    </row>
    <row r="913" spans="1:18" hidden="1" x14ac:dyDescent="0.25">
      <c r="A913" s="140">
        <v>9003473501</v>
      </c>
      <c r="B913" s="39" t="s">
        <v>2862</v>
      </c>
      <c r="C913" s="39" t="s">
        <v>944</v>
      </c>
      <c r="D913" s="41">
        <v>82433.349060479988</v>
      </c>
      <c r="E913" s="37">
        <v>7.3131912690724363E-4</v>
      </c>
      <c r="F913" s="41">
        <v>20406.150000000001</v>
      </c>
      <c r="G913" s="37">
        <v>2.49662145630189E-4</v>
      </c>
      <c r="H913" s="41">
        <v>82414.184659199993</v>
      </c>
      <c r="I913" s="37">
        <v>7.3114910720803786E-4</v>
      </c>
      <c r="J913" s="42">
        <v>20406.150000000001</v>
      </c>
      <c r="K913" s="37">
        <v>2.49662145630189E-4</v>
      </c>
      <c r="L913" s="38">
        <v>19.16440128</v>
      </c>
      <c r="M913" s="37">
        <v>1.7001969920580167E-7</v>
      </c>
      <c r="N913" s="42">
        <v>0</v>
      </c>
      <c r="O913" s="37">
        <v>0</v>
      </c>
      <c r="Q913">
        <f>VLOOKUP(Table3[[#This Row],[Census Tract]],'Population and Diversity Data'!$B$2:$K$823,10,FALSE)</f>
        <v>3</v>
      </c>
      <c r="R913" t="str">
        <f>VLOOKUP(Table3[[#This Row],[Census Tract]],'ES Energy Burden'!$B$2:$E$914,4,FALSE)</f>
        <v>No</v>
      </c>
    </row>
    <row r="914" spans="1:18" hidden="1" x14ac:dyDescent="0.25">
      <c r="A914" s="140">
        <v>9003473502</v>
      </c>
      <c r="B914" s="39" t="s">
        <v>2862</v>
      </c>
      <c r="C914" s="39" t="s">
        <v>944</v>
      </c>
      <c r="D914" s="41">
        <v>54612.039352320004</v>
      </c>
      <c r="E914" s="37">
        <v>4.8449843895654698E-4</v>
      </c>
      <c r="F914" s="41">
        <v>15242.11</v>
      </c>
      <c r="G914" s="37">
        <v>1.8648191288074233E-4</v>
      </c>
      <c r="H914" s="41">
        <v>54612.039352320004</v>
      </c>
      <c r="I914" s="37">
        <v>4.8449843895654698E-4</v>
      </c>
      <c r="J914" s="42">
        <v>15242.11</v>
      </c>
      <c r="K914" s="37">
        <v>1.8648191288074233E-4</v>
      </c>
      <c r="L914" s="38">
        <v>0</v>
      </c>
      <c r="M914" s="37">
        <v>0</v>
      </c>
      <c r="N914" s="42">
        <v>0</v>
      </c>
      <c r="O914" s="37">
        <v>0</v>
      </c>
      <c r="Q914">
        <f>VLOOKUP(Table3[[#This Row],[Census Tract]],'Population and Diversity Data'!$B$2:$K$823,10,FALSE)</f>
        <v>2</v>
      </c>
      <c r="R914" t="str">
        <f>VLOOKUP(Table3[[#This Row],[Census Tract]],'ES Energy Burden'!$B$2:$E$914,4,FALSE)</f>
        <v>No</v>
      </c>
    </row>
    <row r="915" spans="1:18" hidden="1" x14ac:dyDescent="0.25">
      <c r="A915" s="140">
        <v>9003473601</v>
      </c>
      <c r="B915" s="39" t="s">
        <v>2862</v>
      </c>
      <c r="C915" s="39" t="s">
        <v>944</v>
      </c>
      <c r="D915" s="41">
        <v>56273.828431679998</v>
      </c>
      <c r="E915" s="37">
        <v>4.9924123604622845E-4</v>
      </c>
      <c r="F915" s="41">
        <v>30001.8174</v>
      </c>
      <c r="G915" s="37">
        <v>3.6706179778591932E-4</v>
      </c>
      <c r="H915" s="41">
        <v>56273.828431679998</v>
      </c>
      <c r="I915" s="37">
        <v>4.9924123604622845E-4</v>
      </c>
      <c r="J915" s="42">
        <v>30001.8174</v>
      </c>
      <c r="K915" s="37">
        <v>3.6706179778591932E-4</v>
      </c>
      <c r="L915" s="38">
        <v>0</v>
      </c>
      <c r="M915" s="37">
        <v>0</v>
      </c>
      <c r="N915" s="42">
        <v>0</v>
      </c>
      <c r="O915" s="37">
        <v>0</v>
      </c>
      <c r="Q915">
        <f>VLOOKUP(Table3[[#This Row],[Census Tract]],'Population and Diversity Data'!$B$2:$K$823,10,FALSE)</f>
        <v>3</v>
      </c>
      <c r="R915" t="str">
        <f>VLOOKUP(Table3[[#This Row],[Census Tract]],'ES Energy Burden'!$B$2:$E$914,4,FALSE)</f>
        <v>No</v>
      </c>
    </row>
    <row r="916" spans="1:18" hidden="1" x14ac:dyDescent="0.25">
      <c r="A916" s="140">
        <v>9003473602</v>
      </c>
      <c r="B916" s="39" t="s">
        <v>2862</v>
      </c>
      <c r="C916" s="39" t="s">
        <v>944</v>
      </c>
      <c r="D916" s="41">
        <v>40136.663324160007</v>
      </c>
      <c r="E916" s="37">
        <v>3.5607809113346933E-4</v>
      </c>
      <c r="F916" s="41">
        <v>7232.82</v>
      </c>
      <c r="G916" s="37">
        <v>8.8491036288420081E-5</v>
      </c>
      <c r="H916" s="41">
        <v>40136.663324160007</v>
      </c>
      <c r="I916" s="37">
        <v>3.5607809113346933E-4</v>
      </c>
      <c r="J916" s="42">
        <v>7232.82</v>
      </c>
      <c r="K916" s="37">
        <v>8.8491036288420081E-5</v>
      </c>
      <c r="L916" s="38">
        <v>0</v>
      </c>
      <c r="M916" s="37">
        <v>0</v>
      </c>
      <c r="N916" s="42">
        <v>0</v>
      </c>
      <c r="O916" s="37">
        <v>0</v>
      </c>
      <c r="Q916">
        <f>VLOOKUP(Table3[[#This Row],[Census Tract]],'Population and Diversity Data'!$B$2:$K$823,10,FALSE)</f>
        <v>5</v>
      </c>
      <c r="R916" t="str">
        <f>VLOOKUP(Table3[[#This Row],[Census Tract]],'ES Energy Burden'!$B$2:$E$914,4,FALSE)</f>
        <v>No</v>
      </c>
    </row>
    <row r="917" spans="1:18" hidden="1" x14ac:dyDescent="0.25">
      <c r="A917" s="140">
        <v>9003473700</v>
      </c>
      <c r="B917" s="39" t="s">
        <v>2862</v>
      </c>
      <c r="C917" s="39" t="s">
        <v>944</v>
      </c>
      <c r="D917" s="41">
        <v>82475.239132800009</v>
      </c>
      <c r="E917" s="37">
        <v>7.3169076061452732E-4</v>
      </c>
      <c r="F917" s="41">
        <v>115028.0877</v>
      </c>
      <c r="G917" s="37">
        <v>1.4073286329326969E-3</v>
      </c>
      <c r="H917" s="41">
        <v>82475.239132800009</v>
      </c>
      <c r="I917" s="37">
        <v>7.3169076061452732E-4</v>
      </c>
      <c r="J917" s="42">
        <v>115028.0877</v>
      </c>
      <c r="K917" s="37">
        <v>1.4073286329326969E-3</v>
      </c>
      <c r="L917" s="38">
        <v>0</v>
      </c>
      <c r="M917" s="37">
        <v>0</v>
      </c>
      <c r="N917" s="42">
        <v>0</v>
      </c>
      <c r="O917" s="37">
        <v>0</v>
      </c>
      <c r="Q917">
        <f>VLOOKUP(Table3[[#This Row],[Census Tract]],'Population and Diversity Data'!$B$2:$K$823,10,FALSE)</f>
        <v>3</v>
      </c>
      <c r="R917" t="str">
        <f>VLOOKUP(Table3[[#This Row],[Census Tract]],'ES Energy Burden'!$B$2:$E$914,4,FALSE)</f>
        <v>No</v>
      </c>
    </row>
    <row r="918" spans="1:18" hidden="1" x14ac:dyDescent="0.25">
      <c r="A918" s="140">
        <v>9003473800</v>
      </c>
      <c r="B918" s="39" t="s">
        <v>2862</v>
      </c>
      <c r="C918" s="39" t="s">
        <v>944</v>
      </c>
      <c r="D918" s="41">
        <v>25234.275885120005</v>
      </c>
      <c r="E918" s="37">
        <v>2.2386945112351134E-4</v>
      </c>
      <c r="F918" s="41">
        <v>23928.34</v>
      </c>
      <c r="G918" s="37">
        <v>2.9275491485501558E-4</v>
      </c>
      <c r="H918" s="41">
        <v>25234.275885120005</v>
      </c>
      <c r="I918" s="37">
        <v>2.2386945112351134E-4</v>
      </c>
      <c r="J918" s="42">
        <v>23928.34</v>
      </c>
      <c r="K918" s="37">
        <v>2.9275491485501558E-4</v>
      </c>
      <c r="L918" s="38">
        <v>0</v>
      </c>
      <c r="M918" s="37">
        <v>0</v>
      </c>
      <c r="N918" s="42">
        <v>0</v>
      </c>
      <c r="O918" s="37">
        <v>0</v>
      </c>
      <c r="Q918">
        <f>VLOOKUP(Table3[[#This Row],[Census Tract]],'Population and Diversity Data'!$B$2:$K$823,10,FALSE)</f>
        <v>5</v>
      </c>
      <c r="R918" t="str">
        <f>VLOOKUP(Table3[[#This Row],[Census Tract]],'ES Energy Burden'!$B$2:$E$914,4,FALSE)</f>
        <v>No</v>
      </c>
    </row>
    <row r="919" spans="1:18" hidden="1" x14ac:dyDescent="0.25">
      <c r="A919" s="140">
        <v>9003524400</v>
      </c>
      <c r="B919" s="39" t="s">
        <v>2862</v>
      </c>
      <c r="C919" s="39" t="s">
        <v>944</v>
      </c>
      <c r="D919" s="41">
        <v>500.29877664000003</v>
      </c>
      <c r="E919" s="37">
        <v>4.4384714280707942E-6</v>
      </c>
      <c r="F919" s="41">
        <v>0</v>
      </c>
      <c r="G919" s="37">
        <v>0</v>
      </c>
      <c r="H919" s="41">
        <v>500.29877664000003</v>
      </c>
      <c r="I919" s="37">
        <v>4.4384714280707942E-6</v>
      </c>
      <c r="J919" s="42">
        <v>0</v>
      </c>
      <c r="K919" s="37">
        <v>0</v>
      </c>
      <c r="L919" s="38">
        <v>0</v>
      </c>
      <c r="M919" s="37">
        <v>0</v>
      </c>
      <c r="N919" s="42">
        <v>0</v>
      </c>
      <c r="O919" s="37">
        <v>0</v>
      </c>
      <c r="Q919">
        <f>VLOOKUP(Table3[[#This Row],[Census Tract]],'Population and Diversity Data'!$B$2:$K$823,10,FALSE)</f>
        <v>5</v>
      </c>
      <c r="R919" t="str">
        <f>VLOOKUP(Table3[[#This Row],[Census Tract]],'ES Energy Burden'!$B$2:$E$914,4,FALSE)</f>
        <v>Yes</v>
      </c>
    </row>
    <row r="920" spans="1:18" hidden="1" x14ac:dyDescent="0.25">
      <c r="A920" s="140">
        <v>9003476100</v>
      </c>
      <c r="B920" s="39" t="s">
        <v>2863</v>
      </c>
      <c r="C920" s="39" t="s">
        <v>944</v>
      </c>
      <c r="D920" s="41">
        <v>70373.131015680003</v>
      </c>
      <c r="E920" s="37">
        <v>6.2432519506585844E-4</v>
      </c>
      <c r="F920" s="41">
        <v>22750.9817</v>
      </c>
      <c r="G920" s="37">
        <v>2.7835034567594399E-4</v>
      </c>
      <c r="H920" s="43">
        <v>70373.131015680003</v>
      </c>
      <c r="I920" s="37">
        <v>6.2432519506585844E-4</v>
      </c>
      <c r="J920" s="42">
        <v>22750.9817</v>
      </c>
      <c r="K920" s="37">
        <v>2.7835034567594399E-4</v>
      </c>
      <c r="L920" s="38">
        <v>0</v>
      </c>
      <c r="M920" s="37">
        <v>0</v>
      </c>
      <c r="N920" s="42">
        <v>0</v>
      </c>
      <c r="O920" s="37">
        <v>0</v>
      </c>
      <c r="Q920">
        <f>VLOOKUP(Table3[[#This Row],[Census Tract]],'Population and Diversity Data'!$B$2:$K$823,10,FALSE)</f>
        <v>2</v>
      </c>
      <c r="R920" t="str">
        <f>VLOOKUP(Table3[[#This Row],[Census Tract]],'ES Energy Burden'!$B$2:$E$914,4,FALSE)</f>
        <v>No</v>
      </c>
    </row>
    <row r="921" spans="1:18" hidden="1" x14ac:dyDescent="0.25">
      <c r="A921" s="140">
        <v>9003476200</v>
      </c>
      <c r="B921" s="39" t="s">
        <v>2863</v>
      </c>
      <c r="C921" s="39" t="s">
        <v>944</v>
      </c>
      <c r="D921" s="41">
        <v>41918.246409600004</v>
      </c>
      <c r="E921" s="37">
        <v>3.7188365770823959E-4</v>
      </c>
      <c r="F921" s="41">
        <v>14140.3282</v>
      </c>
      <c r="G921" s="37">
        <v>1.7300199588492039E-4</v>
      </c>
      <c r="H921" s="41">
        <v>41918.246409600004</v>
      </c>
      <c r="I921" s="37">
        <v>3.7188365770823959E-4</v>
      </c>
      <c r="J921" s="42">
        <v>14140.3282</v>
      </c>
      <c r="K921" s="37">
        <v>1.7300199588492039E-4</v>
      </c>
      <c r="L921" s="38">
        <v>0</v>
      </c>
      <c r="M921" s="37">
        <v>0</v>
      </c>
      <c r="N921" s="42">
        <v>0</v>
      </c>
      <c r="O921" s="40">
        <v>0</v>
      </c>
      <c r="Q921">
        <f>VLOOKUP(Table3[[#This Row],[Census Tract]],'Population and Diversity Data'!$B$2:$K$823,10,FALSE)</f>
        <v>2</v>
      </c>
      <c r="R921" t="str">
        <f>VLOOKUP(Table3[[#This Row],[Census Tract]],'ES Energy Burden'!$B$2:$E$914,4,FALSE)</f>
        <v>No</v>
      </c>
    </row>
    <row r="922" spans="1:18" hidden="1" x14ac:dyDescent="0.25">
      <c r="A922" s="140">
        <v>9003476300</v>
      </c>
      <c r="B922" s="39" t="s">
        <v>2863</v>
      </c>
      <c r="C922" s="39" t="s">
        <v>944</v>
      </c>
      <c r="D922" s="41">
        <v>217921.13174303999</v>
      </c>
      <c r="E922" s="37">
        <v>1.9333181730131013E-3</v>
      </c>
      <c r="F922" s="41">
        <v>395528.42539999995</v>
      </c>
      <c r="G922" s="37">
        <v>4.8391526742229242E-3</v>
      </c>
      <c r="H922" s="41">
        <v>94845.801692159992</v>
      </c>
      <c r="I922" s="37">
        <v>8.4143795775466865E-4</v>
      </c>
      <c r="J922" s="42">
        <v>363957.26539999997</v>
      </c>
      <c r="K922" s="37">
        <v>4.452890515724923E-3</v>
      </c>
      <c r="L922" s="38">
        <v>123075.33005088002</v>
      </c>
      <c r="M922" s="37">
        <v>1.0918802152584328E-3</v>
      </c>
      <c r="N922" s="42">
        <v>31571.16</v>
      </c>
      <c r="O922" s="40">
        <v>3.8626215849800168E-4</v>
      </c>
      <c r="Q922">
        <f>VLOOKUP(Table3[[#This Row],[Census Tract]],'Population and Diversity Data'!$B$2:$K$823,10,FALSE)</f>
        <v>4</v>
      </c>
      <c r="R922" t="str">
        <f>VLOOKUP(Table3[[#This Row],[Census Tract]],'ES Energy Burden'!$B$2:$E$914,4,FALSE)</f>
        <v>No</v>
      </c>
    </row>
    <row r="923" spans="1:18" hidden="1" x14ac:dyDescent="0.25">
      <c r="A923" s="140">
        <v>9009352600</v>
      </c>
      <c r="B923" s="39" t="s">
        <v>2864</v>
      </c>
      <c r="C923" s="39" t="s">
        <v>944</v>
      </c>
      <c r="D923" s="136">
        <v>260.68703039999997</v>
      </c>
      <c r="E923" s="137">
        <v>2.3127218976423809E-6</v>
      </c>
      <c r="F923" s="136">
        <v>0</v>
      </c>
      <c r="G923" s="137">
        <v>0</v>
      </c>
      <c r="H923" s="136">
        <v>260.68703039999997</v>
      </c>
      <c r="I923" s="137">
        <v>2.3127218976423809E-6</v>
      </c>
      <c r="J923" s="138">
        <v>0</v>
      </c>
      <c r="K923" s="137">
        <v>0</v>
      </c>
      <c r="L923" s="138">
        <v>0</v>
      </c>
      <c r="M923" s="137">
        <v>0</v>
      </c>
      <c r="N923" s="138">
        <v>0</v>
      </c>
      <c r="O923" s="139">
        <v>0</v>
      </c>
      <c r="Q923">
        <f>VLOOKUP(Table3[[#This Row],[Census Tract]],'Population and Diversity Data'!$B$2:$K$823,10,FALSE)</f>
        <v>3</v>
      </c>
      <c r="R923" t="str">
        <f>VLOOKUP(Table3[[#This Row],[Census Tract]],'ES Energy Burden'!$B$2:$E$914,4,FALSE)</f>
        <v>Yes</v>
      </c>
    </row>
    <row r="924" spans="1:18" hidden="1" x14ac:dyDescent="0.25">
      <c r="A924" s="140">
        <v>9009352701</v>
      </c>
      <c r="B924" s="39" t="s">
        <v>2864</v>
      </c>
      <c r="C924" s="39" t="s">
        <v>944</v>
      </c>
      <c r="D924" s="136">
        <v>82.195171200000004</v>
      </c>
      <c r="E924" s="137">
        <v>7.2920609829734132E-7</v>
      </c>
      <c r="F924" s="136">
        <v>0</v>
      </c>
      <c r="G924" s="137">
        <v>0</v>
      </c>
      <c r="H924" s="136">
        <v>82.195171200000004</v>
      </c>
      <c r="I924" s="137">
        <v>7.2920609829734132E-7</v>
      </c>
      <c r="J924" s="138">
        <v>0</v>
      </c>
      <c r="K924" s="137">
        <v>0</v>
      </c>
      <c r="L924" s="138">
        <v>0</v>
      </c>
      <c r="M924" s="137">
        <v>0</v>
      </c>
      <c r="N924" s="138">
        <v>0</v>
      </c>
      <c r="O924" s="139">
        <v>0</v>
      </c>
      <c r="Q924">
        <f>VLOOKUP(Table3[[#This Row],[Census Tract]],'Population and Diversity Data'!$B$2:$K$823,10,FALSE)</f>
        <v>4</v>
      </c>
      <c r="R924" t="str">
        <f>VLOOKUP(Table3[[#This Row],[Census Tract]],'ES Energy Burden'!$B$2:$E$914,4,FALSE)</f>
        <v>Yes</v>
      </c>
    </row>
    <row r="925" spans="1:18" hidden="1" x14ac:dyDescent="0.25">
      <c r="A925" s="140">
        <v>9009352800</v>
      </c>
      <c r="B925" s="39" t="s">
        <v>2864</v>
      </c>
      <c r="C925" s="39" t="s">
        <v>944</v>
      </c>
      <c r="D925" s="136">
        <v>1097.1107423999999</v>
      </c>
      <c r="E925" s="137">
        <v>9.7331732775270787E-6</v>
      </c>
      <c r="F925" s="136">
        <v>213.16</v>
      </c>
      <c r="G925" s="137">
        <v>2.6079384382909604E-6</v>
      </c>
      <c r="H925" s="136">
        <v>1097.1107423999999</v>
      </c>
      <c r="I925" s="137">
        <v>9.7331732775270787E-6</v>
      </c>
      <c r="J925" s="138">
        <v>213.16</v>
      </c>
      <c r="K925" s="137">
        <v>2.6079384382909604E-6</v>
      </c>
      <c r="L925" s="138">
        <v>0</v>
      </c>
      <c r="M925" s="137">
        <v>0</v>
      </c>
      <c r="N925" s="138">
        <v>0</v>
      </c>
      <c r="O925" s="139">
        <v>0</v>
      </c>
      <c r="Q925">
        <f>VLOOKUP(Table3[[#This Row],[Census Tract]],'Population and Diversity Data'!$B$2:$K$823,10,FALSE)</f>
        <v>5</v>
      </c>
      <c r="R925" t="str">
        <f>VLOOKUP(Table3[[#This Row],[Census Tract]],'ES Energy Burden'!$B$2:$E$914,4,FALSE)</f>
        <v>No</v>
      </c>
    </row>
    <row r="926" spans="1:18" hidden="1" x14ac:dyDescent="0.25">
      <c r="A926" s="140">
        <v>9009361100</v>
      </c>
      <c r="B926" s="39" t="s">
        <v>2864</v>
      </c>
      <c r="C926" s="39" t="s">
        <v>944</v>
      </c>
      <c r="D926" s="136">
        <v>219378.10555295998</v>
      </c>
      <c r="E926" s="137">
        <v>1.9462439224426878E-3</v>
      </c>
      <c r="F926" s="136">
        <v>257118.53869999998</v>
      </c>
      <c r="G926" s="137">
        <v>3.1457558654200217E-3</v>
      </c>
      <c r="H926" s="136">
        <v>148173.57724031998</v>
      </c>
      <c r="I926" s="137">
        <v>1.3145428685495998E-3</v>
      </c>
      <c r="J926" s="138">
        <v>252065.73869999999</v>
      </c>
      <c r="K926" s="137">
        <v>3.0839366153684335E-3</v>
      </c>
      <c r="L926" s="138">
        <v>71204.528312640003</v>
      </c>
      <c r="M926" s="137">
        <v>6.3170105389308783E-4</v>
      </c>
      <c r="N926" s="138">
        <v>5052.8</v>
      </c>
      <c r="O926" s="139">
        <v>6.1819250051588321E-5</v>
      </c>
      <c r="Q926">
        <f>VLOOKUP(Table3[[#This Row],[Census Tract]],'Population and Diversity Data'!$B$2:$K$823,10,FALSE)</f>
        <v>2</v>
      </c>
      <c r="R926" t="str">
        <f>VLOOKUP(Table3[[#This Row],[Census Tract]],'ES Energy Burden'!$B$2:$E$914,4,FALSE)</f>
        <v>No</v>
      </c>
    </row>
    <row r="927" spans="1:18" hidden="1" x14ac:dyDescent="0.25">
      <c r="A927" s="140">
        <v>9009361200</v>
      </c>
      <c r="B927" s="39" t="s">
        <v>2864</v>
      </c>
      <c r="C927" s="39" t="s">
        <v>944</v>
      </c>
      <c r="D927" s="136">
        <v>114930.85025088002</v>
      </c>
      <c r="E927" s="137">
        <v>1.0196253096366836E-3</v>
      </c>
      <c r="F927" s="136">
        <v>58843.71</v>
      </c>
      <c r="G927" s="137">
        <v>7.1993231919987883E-4</v>
      </c>
      <c r="H927" s="136">
        <v>114930.85025088002</v>
      </c>
      <c r="I927" s="137">
        <v>1.0196253096366836E-3</v>
      </c>
      <c r="J927" s="138">
        <v>58843.71</v>
      </c>
      <c r="K927" s="137">
        <v>7.1993231919987883E-4</v>
      </c>
      <c r="L927" s="138">
        <v>0</v>
      </c>
      <c r="M927" s="137">
        <v>0</v>
      </c>
      <c r="N927" s="138">
        <v>0</v>
      </c>
      <c r="O927" s="139">
        <v>0</v>
      </c>
      <c r="Q927">
        <f>VLOOKUP(Table3[[#This Row],[Census Tract]],'Population and Diversity Data'!$B$2:$K$823,10,FALSE)</f>
        <v>2</v>
      </c>
      <c r="R927" t="str">
        <f>VLOOKUP(Table3[[#This Row],[Census Tract]],'ES Energy Burden'!$B$2:$E$914,4,FALSE)</f>
        <v>No</v>
      </c>
    </row>
    <row r="928" spans="1:18" hidden="1" x14ac:dyDescent="0.25">
      <c r="A928" s="140">
        <v>9009361300</v>
      </c>
      <c r="B928" s="39" t="s">
        <v>2864</v>
      </c>
      <c r="C928" s="39" t="s">
        <v>944</v>
      </c>
      <c r="D928" s="136">
        <v>84377.259360000011</v>
      </c>
      <c r="E928" s="137">
        <v>7.4856480234362509E-4</v>
      </c>
      <c r="F928" s="136">
        <v>68011.649999999994</v>
      </c>
      <c r="G928" s="137">
        <v>8.320988754296838E-4</v>
      </c>
      <c r="H928" s="136">
        <v>84091.987296000007</v>
      </c>
      <c r="I928" s="137">
        <v>7.4603397083970974E-4</v>
      </c>
      <c r="J928" s="138">
        <v>68011.649999999994</v>
      </c>
      <c r="K928" s="137">
        <v>8.320988754296838E-4</v>
      </c>
      <c r="L928" s="138">
        <v>285.272064</v>
      </c>
      <c r="M928" s="137">
        <v>2.5308315039152742E-6</v>
      </c>
      <c r="N928" s="138">
        <v>0</v>
      </c>
      <c r="O928" s="139">
        <v>0</v>
      </c>
      <c r="Q928">
        <f>VLOOKUP(Table3[[#This Row],[Census Tract]],'Population and Diversity Data'!$B$2:$K$823,10,FALSE)</f>
        <v>1</v>
      </c>
      <c r="R928" t="str">
        <f>VLOOKUP(Table3[[#This Row],[Census Tract]],'ES Energy Burden'!$B$2:$E$914,4,FALSE)</f>
        <v>No</v>
      </c>
    </row>
    <row r="929" spans="1:18" hidden="1" x14ac:dyDescent="0.25">
      <c r="A929" s="140">
        <v>9005342100</v>
      </c>
      <c r="B929" s="39" t="s">
        <v>2865</v>
      </c>
      <c r="C929" s="39" t="s">
        <v>944</v>
      </c>
      <c r="D929" s="136">
        <v>65.123999999999995</v>
      </c>
      <c r="E929" s="137">
        <v>5.7775678610078797E-7</v>
      </c>
      <c r="F929" s="136">
        <v>0</v>
      </c>
      <c r="G929" s="137">
        <v>0</v>
      </c>
      <c r="H929" s="136">
        <v>65.123999999999995</v>
      </c>
      <c r="I929" s="137">
        <v>5.7775678610078797E-7</v>
      </c>
      <c r="J929" s="138">
        <v>0</v>
      </c>
      <c r="K929" s="137">
        <v>0</v>
      </c>
      <c r="L929" s="138">
        <v>0</v>
      </c>
      <c r="M929" s="137">
        <v>0</v>
      </c>
      <c r="N929" s="138">
        <v>0</v>
      </c>
      <c r="O929" s="139">
        <v>0</v>
      </c>
      <c r="Q929">
        <f>VLOOKUP(Table3[[#This Row],[Census Tract]],'Population and Diversity Data'!$B$2:$K$823,10,FALSE)</f>
        <v>2</v>
      </c>
      <c r="R929" t="str">
        <f>VLOOKUP(Table3[[#This Row],[Census Tract]],'ES Energy Burden'!$B$2:$E$914,4,FALSE)</f>
        <v>No</v>
      </c>
    </row>
    <row r="930" spans="1:18" hidden="1" x14ac:dyDescent="0.25">
      <c r="A930" s="140">
        <v>9005360200</v>
      </c>
      <c r="B930" s="39" t="s">
        <v>2865</v>
      </c>
      <c r="C930" s="39" t="s">
        <v>944</v>
      </c>
      <c r="D930" s="136">
        <v>58.432147200000003</v>
      </c>
      <c r="E930" s="137">
        <v>5.1838906656900934E-7</v>
      </c>
      <c r="F930" s="136">
        <v>0</v>
      </c>
      <c r="G930" s="137">
        <v>0</v>
      </c>
      <c r="H930" s="136">
        <v>58.432147200000003</v>
      </c>
      <c r="I930" s="137">
        <v>5.1838906656900934E-7</v>
      </c>
      <c r="J930" s="138">
        <v>0</v>
      </c>
      <c r="K930" s="137">
        <v>0</v>
      </c>
      <c r="L930" s="138">
        <v>0</v>
      </c>
      <c r="M930" s="137">
        <v>0</v>
      </c>
      <c r="N930" s="138">
        <v>0</v>
      </c>
      <c r="O930" s="139">
        <v>0</v>
      </c>
      <c r="Q930">
        <f>VLOOKUP(Table3[[#This Row],[Census Tract]],'Population and Diversity Data'!$B$2:$K$823,10,FALSE)</f>
        <v>2</v>
      </c>
      <c r="R930" t="str">
        <f>VLOOKUP(Table3[[#This Row],[Census Tract]],'ES Energy Burden'!$B$2:$E$914,4,FALSE)</f>
        <v>No</v>
      </c>
    </row>
    <row r="931" spans="1:18" hidden="1" x14ac:dyDescent="0.25">
      <c r="A931" s="140">
        <v>9005362101</v>
      </c>
      <c r="B931" s="39" t="s">
        <v>2865</v>
      </c>
      <c r="C931" s="39" t="s">
        <v>944</v>
      </c>
      <c r="D931" s="136">
        <v>121304.12917823999</v>
      </c>
      <c r="E931" s="137">
        <v>1.0761667559544064E-3</v>
      </c>
      <c r="F931" s="136">
        <v>26145.79</v>
      </c>
      <c r="G931" s="137">
        <v>3.1988464411936298E-4</v>
      </c>
      <c r="H931" s="136">
        <v>121303.913256</v>
      </c>
      <c r="I931" s="137">
        <v>1.0761648403696845E-3</v>
      </c>
      <c r="J931" s="138">
        <v>26145.79</v>
      </c>
      <c r="K931" s="137">
        <v>3.1988464411936298E-4</v>
      </c>
      <c r="L931" s="138">
        <v>0.21592223999999999</v>
      </c>
      <c r="M931" s="137">
        <v>1.9155847219163902E-9</v>
      </c>
      <c r="N931" s="138">
        <v>0</v>
      </c>
      <c r="O931" s="139">
        <v>0</v>
      </c>
      <c r="Q931">
        <f>VLOOKUP(Table3[[#This Row],[Census Tract]],'Population and Diversity Data'!$B$2:$K$823,10,FALSE)</f>
        <v>2</v>
      </c>
      <c r="R931" t="str">
        <f>VLOOKUP(Table3[[#This Row],[Census Tract]],'ES Energy Burden'!$B$2:$E$914,4,FALSE)</f>
        <v>No</v>
      </c>
    </row>
    <row r="932" spans="1:18" hidden="1" x14ac:dyDescent="0.25">
      <c r="A932" s="140">
        <v>9005362102</v>
      </c>
      <c r="B932" s="39" t="s">
        <v>2865</v>
      </c>
      <c r="C932" s="39" t="s">
        <v>944</v>
      </c>
      <c r="D932" s="136">
        <v>200979.21518495999</v>
      </c>
      <c r="E932" s="137">
        <v>1.7830155616719056E-3</v>
      </c>
      <c r="F932" s="136">
        <v>151431.49799999999</v>
      </c>
      <c r="G932" s="137">
        <v>1.8527116926354884E-3</v>
      </c>
      <c r="H932" s="136">
        <v>148869.85294655999</v>
      </c>
      <c r="I932" s="137">
        <v>1.3207199770545639E-3</v>
      </c>
      <c r="J932" s="138">
        <v>147193.30799999999</v>
      </c>
      <c r="K932" s="137">
        <v>1.8008589125182977E-3</v>
      </c>
      <c r="L932" s="138">
        <v>52109.362238400005</v>
      </c>
      <c r="M932" s="137">
        <v>4.6229558461734156E-4</v>
      </c>
      <c r="N932" s="138">
        <v>4238.1899999999996</v>
      </c>
      <c r="O932" s="139">
        <v>5.1852780117190679E-5</v>
      </c>
      <c r="Q932">
        <f>VLOOKUP(Table3[[#This Row],[Census Tract]],'Population and Diversity Data'!$B$2:$K$823,10,FALSE)</f>
        <v>1</v>
      </c>
      <c r="R932" t="str">
        <f>VLOOKUP(Table3[[#This Row],[Census Tract]],'ES Energy Burden'!$B$2:$E$914,4,FALSE)</f>
        <v>No</v>
      </c>
    </row>
    <row r="933" spans="1:18" hidden="1" x14ac:dyDescent="0.25">
      <c r="A933" s="140">
        <v>9015900200</v>
      </c>
      <c r="B933" s="39" t="s">
        <v>2866</v>
      </c>
      <c r="C933" s="39" t="s">
        <v>944</v>
      </c>
      <c r="D933" s="136">
        <v>326.09468160000006</v>
      </c>
      <c r="E933" s="137">
        <v>2.8929951355226307E-6</v>
      </c>
      <c r="F933" s="136">
        <v>0</v>
      </c>
      <c r="G933" s="137">
        <v>0</v>
      </c>
      <c r="H933" s="136">
        <v>326.09468160000006</v>
      </c>
      <c r="I933" s="137">
        <v>2.8929951355226307E-6</v>
      </c>
      <c r="J933" s="138">
        <v>0</v>
      </c>
      <c r="K933" s="137">
        <v>0</v>
      </c>
      <c r="L933" s="138">
        <v>0</v>
      </c>
      <c r="M933" s="137">
        <v>0</v>
      </c>
      <c r="N933" s="138">
        <v>0</v>
      </c>
      <c r="O933" s="139">
        <v>0</v>
      </c>
      <c r="Q933">
        <f>VLOOKUP(Table3[[#This Row],[Census Tract]],'Population and Diversity Data'!$B$2:$K$823,10,FALSE)</f>
        <v>2</v>
      </c>
      <c r="R933" t="str">
        <f>VLOOKUP(Table3[[#This Row],[Census Tract]],'ES Energy Burden'!$B$2:$E$914,4,FALSE)</f>
        <v>No</v>
      </c>
    </row>
    <row r="934" spans="1:18" hidden="1" x14ac:dyDescent="0.25">
      <c r="A934" s="140">
        <v>9015901100</v>
      </c>
      <c r="B934" s="39" t="s">
        <v>2866</v>
      </c>
      <c r="C934" s="39" t="s">
        <v>944</v>
      </c>
      <c r="D934" s="136">
        <v>212848.39530432</v>
      </c>
      <c r="E934" s="137">
        <v>1.8883146735110556E-3</v>
      </c>
      <c r="F934" s="136">
        <v>106399.69559999999</v>
      </c>
      <c r="G934" s="137">
        <v>1.3017632575422105E-3</v>
      </c>
      <c r="H934" s="136">
        <v>184113.15969311999</v>
      </c>
      <c r="I934" s="137">
        <v>1.6333859625200871E-3</v>
      </c>
      <c r="J934" s="138">
        <v>95417.545599999998</v>
      </c>
      <c r="K934" s="137">
        <v>1.1674004731545343E-3</v>
      </c>
      <c r="L934" s="138">
        <v>28735.235611200002</v>
      </c>
      <c r="M934" s="137">
        <v>2.5492871099096838E-4</v>
      </c>
      <c r="N934" s="138">
        <v>10982.15</v>
      </c>
      <c r="O934" s="139">
        <v>1.3436278438767627E-4</v>
      </c>
      <c r="Q934">
        <f>VLOOKUP(Table3[[#This Row],[Census Tract]],'Population and Diversity Data'!$B$2:$K$823,10,FALSE)</f>
        <v>1</v>
      </c>
      <c r="R934" t="str">
        <f>VLOOKUP(Table3[[#This Row],[Census Tract]],'ES Energy Burden'!$B$2:$E$914,4,FALSE)</f>
        <v>No</v>
      </c>
    </row>
    <row r="935" spans="1:18" hidden="1" x14ac:dyDescent="0.25">
      <c r="A935" s="140">
        <v>9015902200</v>
      </c>
      <c r="B935" s="39" t="s">
        <v>2866</v>
      </c>
      <c r="C935" s="39" t="s">
        <v>944</v>
      </c>
      <c r="D935" s="136">
        <v>989.16698880000013</v>
      </c>
      <c r="E935" s="137">
        <v>8.7755349850451793E-6</v>
      </c>
      <c r="F935" s="136">
        <v>107.52</v>
      </c>
      <c r="G935" s="137">
        <v>1.3154697921047291E-6</v>
      </c>
      <c r="H935" s="136">
        <v>989.16698880000013</v>
      </c>
      <c r="I935" s="137">
        <v>8.7755349850451793E-6</v>
      </c>
      <c r="J935" s="138">
        <v>107.52</v>
      </c>
      <c r="K935" s="137">
        <v>1.3154697921047291E-6</v>
      </c>
      <c r="L935" s="138">
        <v>0</v>
      </c>
      <c r="M935" s="137">
        <v>0</v>
      </c>
      <c r="N935" s="138">
        <v>0</v>
      </c>
      <c r="O935" s="139">
        <v>0</v>
      </c>
      <c r="Q935">
        <f>VLOOKUP(Table3[[#This Row],[Census Tract]],'Population and Diversity Data'!$B$2:$K$823,10,FALSE)</f>
        <v>2</v>
      </c>
      <c r="R935" t="str">
        <f>VLOOKUP(Table3[[#This Row],[Census Tract]],'ES Energy Burden'!$B$2:$E$914,4,FALSE)</f>
        <v>No</v>
      </c>
    </row>
    <row r="936" spans="1:18" hidden="1" x14ac:dyDescent="0.25">
      <c r="A936" s="140">
        <v>9015902500</v>
      </c>
      <c r="B936" s="39" t="s">
        <v>2866</v>
      </c>
      <c r="C936" s="39" t="s">
        <v>944</v>
      </c>
      <c r="D936" s="136">
        <v>2271.4498656000001</v>
      </c>
      <c r="E936" s="137">
        <v>2.0151489069131548E-5</v>
      </c>
      <c r="F936" s="136">
        <v>121.98</v>
      </c>
      <c r="G936" s="137">
        <v>1.4923828612438139E-6</v>
      </c>
      <c r="H936" s="136">
        <v>2271.4498656000001</v>
      </c>
      <c r="I936" s="137">
        <v>2.0151489069131548E-5</v>
      </c>
      <c r="J936" s="138">
        <v>121.98</v>
      </c>
      <c r="K936" s="137">
        <v>1.4923828612438139E-6</v>
      </c>
      <c r="L936" s="138">
        <v>0</v>
      </c>
      <c r="M936" s="137">
        <v>0</v>
      </c>
      <c r="N936" s="138">
        <v>0</v>
      </c>
      <c r="O936" s="139">
        <v>0</v>
      </c>
      <c r="Q936">
        <f>VLOOKUP(Table3[[#This Row],[Census Tract]],'Population and Diversity Data'!$B$2:$K$823,10,FALSE)</f>
        <v>2</v>
      </c>
      <c r="R936" t="str">
        <f>VLOOKUP(Table3[[#This Row],[Census Tract]],'ES Energy Burden'!$B$2:$E$914,4,FALSE)</f>
        <v>No</v>
      </c>
    </row>
    <row r="937" spans="1:18" hidden="1" x14ac:dyDescent="0.25">
      <c r="A937" s="220"/>
      <c r="B937" s="221"/>
      <c r="C937" s="222" t="s">
        <v>2687</v>
      </c>
      <c r="D937" s="141">
        <v>70659148.926617205</v>
      </c>
      <c r="E937" s="142">
        <v>0.62686264345647225</v>
      </c>
      <c r="F937" s="141">
        <v>44405301.081499971</v>
      </c>
      <c r="G937" s="142">
        <v>0.54328340943107023</v>
      </c>
      <c r="H937" s="141">
        <v>52629786.815592907</v>
      </c>
      <c r="I937" s="142">
        <v>0.4669126049343803</v>
      </c>
      <c r="J937" s="143">
        <v>36999853.3169</v>
      </c>
      <c r="K937" s="142">
        <v>0.45268033250267781</v>
      </c>
      <c r="L937" s="143">
        <v>18029362.111024335</v>
      </c>
      <c r="M937" s="142">
        <v>0.1599500385220923</v>
      </c>
      <c r="N937" s="143">
        <v>7405447.7646000003</v>
      </c>
      <c r="O937" s="144">
        <v>9.0603076928392798E-2</v>
      </c>
      <c r="Q937" t="e">
        <f>VLOOKUP(Table3[[#This Row],[Census Tract]],'Population and Diversity Data'!$B$2:$K$823,10,FALSE)</f>
        <v>#N/A</v>
      </c>
      <c r="R937" t="e">
        <f>VLOOKUP(Table3[[#This Row],[Census Tract]],'ES Energy Burden'!$B$2:$E$914,4,FALSE)</f>
        <v>#N/A</v>
      </c>
    </row>
    <row r="939" spans="1:18" s="31" customFormat="1" x14ac:dyDescent="0.25">
      <c r="A939" s="30" t="s">
        <v>2698</v>
      </c>
      <c r="C939" s="32"/>
      <c r="D939" s="32"/>
      <c r="E939" s="33"/>
      <c r="F939" s="33"/>
      <c r="G939" s="33"/>
      <c r="H939" s="33"/>
      <c r="I939" s="33"/>
      <c r="J939" s="33"/>
      <c r="K939" s="33"/>
      <c r="L939" s="33"/>
      <c r="M939" s="33"/>
      <c r="N939" s="33"/>
      <c r="O939" s="33"/>
      <c r="P939" s="33"/>
    </row>
    <row r="940" spans="1:18" s="31" customFormat="1" x14ac:dyDescent="0.25">
      <c r="A940" s="30" t="s">
        <v>2699</v>
      </c>
      <c r="C940" s="32"/>
      <c r="D940" s="32"/>
      <c r="E940" s="33"/>
      <c r="F940" s="33"/>
      <c r="G940" s="33"/>
      <c r="H940" s="33">
        <f>SUM(H68:H937)</f>
        <v>101747512.79744247</v>
      </c>
      <c r="I940" s="33"/>
      <c r="J940" s="33"/>
      <c r="K940" s="33"/>
      <c r="L940" s="33"/>
      <c r="M940" s="33"/>
      <c r="N940" s="33"/>
      <c r="O940" s="33"/>
      <c r="P940" s="33"/>
    </row>
  </sheetData>
  <mergeCells count="7">
    <mergeCell ref="D3:O3"/>
    <mergeCell ref="A1:O2"/>
    <mergeCell ref="L4:O4"/>
    <mergeCell ref="D4:G4"/>
    <mergeCell ref="H4:K4"/>
    <mergeCell ref="A3:C3"/>
    <mergeCell ref="A4:C4"/>
  </mergeCells>
  <pageMargins left="0.7" right="0.7" top="0.75" bottom="0.75" header="0.3" footer="0.3"/>
  <pageSetup paperSize="5" scale="52" fitToHeight="25" orientation="landscape"/>
  <rowBreaks count="1" manualBreakCount="1">
    <brk id="78" max="16383" man="1"/>
  </rowBreaks>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AB5E-18FC-4419-AA06-7DFEE85EA076}">
  <sheetPr>
    <tabColor theme="6" tint="0.59999389629810485"/>
    <pageSetUpPr fitToPage="1"/>
  </sheetPr>
  <dimension ref="A1:Q236"/>
  <sheetViews>
    <sheetView zoomScale="80" zoomScaleNormal="80" workbookViewId="0">
      <pane ySplit="5" topLeftCell="A216" activePane="bottomLeft" state="frozen"/>
      <selection pane="bottomLeft" activeCell="Q6" sqref="Q6"/>
    </sheetView>
  </sheetViews>
  <sheetFormatPr defaultColWidth="8.7109375" defaultRowHeight="15" x14ac:dyDescent="0.25"/>
  <cols>
    <col min="1" max="1" width="15.7109375" customWidth="1"/>
    <col min="2" max="2" width="21.140625" customWidth="1"/>
    <col min="3" max="3" width="20" customWidth="1"/>
    <col min="4" max="4" width="20.7109375" style="52" customWidth="1"/>
    <col min="5" max="5" width="20.7109375" style="51" customWidth="1"/>
    <col min="6" max="6" width="20.7109375" style="52" customWidth="1"/>
    <col min="7" max="7" width="20.7109375" style="51" customWidth="1"/>
    <col min="8" max="8" width="20.7109375" style="36" customWidth="1"/>
    <col min="9" max="9" width="20.7109375" style="51" customWidth="1"/>
    <col min="10" max="10" width="20.7109375" style="36" customWidth="1"/>
    <col min="11" max="11" width="20.7109375" style="51" customWidth="1"/>
    <col min="12" max="12" width="20.7109375" style="36" customWidth="1"/>
    <col min="13" max="13" width="20.7109375" style="51" customWidth="1"/>
    <col min="14" max="14" width="20.7109375" style="36" customWidth="1"/>
    <col min="15" max="15" width="20.7109375" style="51" customWidth="1"/>
    <col min="16" max="16" width="20.5703125" customWidth="1"/>
    <col min="17" max="17" width="14.140625" customWidth="1"/>
    <col min="18" max="18" width="20.5703125" customWidth="1"/>
    <col min="19" max="19" width="14.140625" customWidth="1"/>
  </cols>
  <sheetData>
    <row r="1" spans="1:17" ht="18.75" customHeight="1" x14ac:dyDescent="0.25">
      <c r="A1" s="305" t="s">
        <v>2703</v>
      </c>
      <c r="B1" s="306"/>
      <c r="C1" s="306"/>
      <c r="D1" s="306"/>
      <c r="E1" s="306"/>
      <c r="F1" s="306"/>
      <c r="G1" s="306"/>
      <c r="H1" s="306"/>
      <c r="I1" s="306"/>
      <c r="J1" s="306"/>
      <c r="K1" s="306"/>
      <c r="L1" s="306"/>
      <c r="M1" s="306"/>
      <c r="N1" s="306"/>
      <c r="O1" s="307"/>
    </row>
    <row r="2" spans="1:17" ht="15.75" customHeight="1" thickBot="1" x14ac:dyDescent="0.3">
      <c r="A2" s="308"/>
      <c r="B2" s="309"/>
      <c r="C2" s="309"/>
      <c r="D2" s="309"/>
      <c r="E2" s="309"/>
      <c r="F2" s="309"/>
      <c r="G2" s="309"/>
      <c r="H2" s="309"/>
      <c r="I2" s="309"/>
      <c r="J2" s="309"/>
      <c r="K2" s="309"/>
      <c r="L2" s="309"/>
      <c r="M2" s="309"/>
      <c r="N2" s="309"/>
      <c r="O2" s="310"/>
    </row>
    <row r="3" spans="1:17" ht="16.5" thickBot="1" x14ac:dyDescent="0.3">
      <c r="A3" s="318" t="s">
        <v>2686</v>
      </c>
      <c r="B3" s="319"/>
      <c r="C3" s="319"/>
      <c r="D3" s="302" t="s">
        <v>2867</v>
      </c>
      <c r="E3" s="303"/>
      <c r="F3" s="303"/>
      <c r="G3" s="303"/>
      <c r="H3" s="323"/>
      <c r="I3" s="323"/>
      <c r="J3" s="323"/>
      <c r="K3" s="323"/>
      <c r="L3" s="303"/>
      <c r="M3" s="303"/>
      <c r="N3" s="303"/>
      <c r="O3" s="304"/>
    </row>
    <row r="4" spans="1:17" x14ac:dyDescent="0.25">
      <c r="A4" s="320"/>
      <c r="B4" s="321"/>
      <c r="C4" s="321"/>
      <c r="D4" s="314" t="s">
        <v>2691</v>
      </c>
      <c r="E4" s="315"/>
      <c r="F4" s="315"/>
      <c r="G4" s="315"/>
      <c r="H4" s="324" t="s">
        <v>2692</v>
      </c>
      <c r="I4" s="325"/>
      <c r="J4" s="325"/>
      <c r="K4" s="326"/>
      <c r="L4" s="312" t="s">
        <v>2693</v>
      </c>
      <c r="M4" s="312"/>
      <c r="N4" s="312"/>
      <c r="O4" s="313"/>
    </row>
    <row r="5" spans="1:17" ht="74.25" customHeight="1" x14ac:dyDescent="0.25">
      <c r="A5" s="67" t="s">
        <v>2704</v>
      </c>
      <c r="B5" s="66" t="s">
        <v>2705</v>
      </c>
      <c r="C5" s="65" t="s">
        <v>2706</v>
      </c>
      <c r="D5" s="64" t="s">
        <v>2707</v>
      </c>
      <c r="E5" s="63" t="s">
        <v>2708</v>
      </c>
      <c r="F5" s="64" t="s">
        <v>2709</v>
      </c>
      <c r="G5" s="63" t="s">
        <v>2710</v>
      </c>
      <c r="H5" s="61" t="s">
        <v>2711</v>
      </c>
      <c r="I5" s="62" t="s">
        <v>2712</v>
      </c>
      <c r="J5" s="61" t="s">
        <v>2713</v>
      </c>
      <c r="K5" s="62" t="s">
        <v>2714</v>
      </c>
      <c r="L5" s="61" t="s">
        <v>2715</v>
      </c>
      <c r="M5" s="62" t="s">
        <v>2716</v>
      </c>
      <c r="N5" s="61" t="s">
        <v>2717</v>
      </c>
      <c r="O5" s="60" t="s">
        <v>2718</v>
      </c>
      <c r="P5" s="172" t="s">
        <v>2720</v>
      </c>
      <c r="Q5" s="172" t="s">
        <v>2721</v>
      </c>
    </row>
    <row r="6" spans="1:17" x14ac:dyDescent="0.25">
      <c r="A6" s="140">
        <v>9013528100</v>
      </c>
      <c r="B6" s="39" t="s">
        <v>2723</v>
      </c>
      <c r="C6" s="39" t="s">
        <v>944</v>
      </c>
      <c r="D6" s="41">
        <v>1108.9806767999999</v>
      </c>
      <c r="E6" s="37">
        <v>9.8384790810737162E-6</v>
      </c>
      <c r="F6" s="38">
        <v>1290</v>
      </c>
      <c r="G6" s="37">
        <v>1.5782701188756518E-5</v>
      </c>
      <c r="H6" s="38">
        <v>0</v>
      </c>
      <c r="I6" s="37">
        <v>0</v>
      </c>
      <c r="J6" s="42">
        <v>0</v>
      </c>
      <c r="K6" s="37">
        <v>0</v>
      </c>
      <c r="L6" s="38">
        <v>1108.9806767999999</v>
      </c>
      <c r="M6" s="37">
        <v>9.8384790810737162E-6</v>
      </c>
      <c r="N6" s="42">
        <v>1290</v>
      </c>
      <c r="O6" s="40">
        <v>1.5782701188756518E-5</v>
      </c>
      <c r="P6">
        <f>VLOOKUP(Table32[[#This Row],[Census Tract]],'Population and Diversity Data'!$B$2:$K$823,10,FALSE)</f>
        <v>1</v>
      </c>
      <c r="Q6" t="str">
        <f>VLOOKUP(Table32[[#This Row],[Census Tract]],'ES Energy Burden'!$B$2:$E$914,4,FALSE)</f>
        <v>No</v>
      </c>
    </row>
    <row r="7" spans="1:17" x14ac:dyDescent="0.25">
      <c r="A7" s="140">
        <v>9015830100</v>
      </c>
      <c r="B7" s="39" t="s">
        <v>2724</v>
      </c>
      <c r="C7" s="39" t="s">
        <v>944</v>
      </c>
      <c r="D7" s="41">
        <v>8610.1401340800003</v>
      </c>
      <c r="E7" s="37">
        <v>7.6386077202620677E-5</v>
      </c>
      <c r="F7" s="38">
        <v>680</v>
      </c>
      <c r="G7" s="37">
        <v>8.3195634173290161E-6</v>
      </c>
      <c r="H7" s="38">
        <v>0</v>
      </c>
      <c r="I7" s="37">
        <v>0</v>
      </c>
      <c r="J7" s="42">
        <v>0</v>
      </c>
      <c r="K7" s="37">
        <v>0</v>
      </c>
      <c r="L7" s="38">
        <v>8610.1401340800003</v>
      </c>
      <c r="M7" s="37">
        <v>7.6386077202620677E-5</v>
      </c>
      <c r="N7" s="42">
        <v>680</v>
      </c>
      <c r="O7" s="40">
        <v>8.3195634173290161E-6</v>
      </c>
      <c r="P7">
        <f>VLOOKUP(Table32[[#This Row],[Census Tract]],'Population and Diversity Data'!$B$2:$K$823,10,FALSE)</f>
        <v>4</v>
      </c>
      <c r="Q7" t="str">
        <f>VLOOKUP(Table32[[#This Row],[Census Tract]],'ES Energy Burden'!$B$2:$E$914,4,FALSE)</f>
        <v>No</v>
      </c>
    </row>
    <row r="8" spans="1:17" x14ac:dyDescent="0.25">
      <c r="A8" s="140">
        <v>9003462101</v>
      </c>
      <c r="B8" s="39" t="s">
        <v>2725</v>
      </c>
      <c r="C8" s="39" t="s">
        <v>944</v>
      </c>
      <c r="D8" s="41">
        <v>260717.89338720002</v>
      </c>
      <c r="E8" s="37">
        <v>2.3129957030028343E-3</v>
      </c>
      <c r="F8" s="38">
        <v>315628.03419999999</v>
      </c>
      <c r="G8" s="37">
        <v>3.8615991864908703E-3</v>
      </c>
      <c r="H8" s="38">
        <v>0</v>
      </c>
      <c r="I8" s="37">
        <v>0</v>
      </c>
      <c r="J8" s="42">
        <v>0</v>
      </c>
      <c r="K8" s="37">
        <v>0</v>
      </c>
      <c r="L8" s="38">
        <v>260717.89338720002</v>
      </c>
      <c r="M8" s="37">
        <v>2.3129957030028343E-3</v>
      </c>
      <c r="N8" s="42">
        <v>315628.03419999999</v>
      </c>
      <c r="O8" s="40">
        <v>3.8615991864908703E-3</v>
      </c>
      <c r="P8">
        <f>VLOOKUP(Table32[[#This Row],[Census Tract]],'Population and Diversity Data'!$B$2:$K$823,10,FALSE)</f>
        <v>4</v>
      </c>
      <c r="Q8" t="str">
        <f>VLOOKUP(Table32[[#This Row],[Census Tract]],'ES Energy Burden'!$B$2:$E$914,4,FALSE)</f>
        <v>No</v>
      </c>
    </row>
    <row r="9" spans="1:17" x14ac:dyDescent="0.25">
      <c r="A9" s="140">
        <v>9003462201</v>
      </c>
      <c r="B9" s="39" t="s">
        <v>2725</v>
      </c>
      <c r="C9" s="39" t="s">
        <v>944</v>
      </c>
      <c r="D9" s="41">
        <v>1401.1182576000001</v>
      </c>
      <c r="E9" s="37">
        <v>1.2430218989283705E-5</v>
      </c>
      <c r="F9" s="38">
        <v>0</v>
      </c>
      <c r="G9" s="37">
        <v>0</v>
      </c>
      <c r="H9" s="38">
        <v>0</v>
      </c>
      <c r="I9" s="37">
        <v>0</v>
      </c>
      <c r="J9" s="42">
        <v>0</v>
      </c>
      <c r="K9" s="37">
        <v>0</v>
      </c>
      <c r="L9" s="38">
        <v>1401.1182576000001</v>
      </c>
      <c r="M9" s="37">
        <v>1.2430218989283705E-5</v>
      </c>
      <c r="N9" s="42">
        <v>0</v>
      </c>
      <c r="O9" s="40">
        <v>0</v>
      </c>
      <c r="P9">
        <f>VLOOKUP(Table32[[#This Row],[Census Tract]],'Population and Diversity Data'!$B$2:$K$823,10,FALSE)</f>
        <v>4</v>
      </c>
      <c r="Q9" t="str">
        <f>VLOOKUP(Table32[[#This Row],[Census Tract]],'ES Energy Burden'!$B$2:$E$914,4,FALSE)</f>
        <v>No</v>
      </c>
    </row>
    <row r="10" spans="1:17" x14ac:dyDescent="0.25">
      <c r="A10" s="140">
        <v>9005290100</v>
      </c>
      <c r="B10" s="39" t="s">
        <v>2726</v>
      </c>
      <c r="C10" s="39" t="s">
        <v>944</v>
      </c>
      <c r="D10" s="41">
        <v>9463.3490505599984</v>
      </c>
      <c r="E10" s="37">
        <v>8.3955440900458943E-5</v>
      </c>
      <c r="F10" s="38">
        <v>400</v>
      </c>
      <c r="G10" s="37">
        <v>4.8938608337229506E-6</v>
      </c>
      <c r="H10" s="38">
        <v>0</v>
      </c>
      <c r="I10" s="37">
        <v>0</v>
      </c>
      <c r="J10" s="42">
        <v>0</v>
      </c>
      <c r="K10" s="37">
        <v>0</v>
      </c>
      <c r="L10" s="38">
        <v>9463.3490505599984</v>
      </c>
      <c r="M10" s="37">
        <v>8.3955440900458943E-5</v>
      </c>
      <c r="N10" s="42">
        <v>400</v>
      </c>
      <c r="O10" s="40">
        <v>4.8938608337229506E-6</v>
      </c>
      <c r="P10">
        <f>VLOOKUP(Table32[[#This Row],[Census Tract]],'Population and Diversity Data'!$B$2:$K$823,10,FALSE)</f>
        <v>2</v>
      </c>
      <c r="Q10" t="str">
        <f>VLOOKUP(Table32[[#This Row],[Census Tract]],'ES Energy Burden'!$B$2:$E$914,4,FALSE)</f>
        <v>No</v>
      </c>
    </row>
    <row r="11" spans="1:17" x14ac:dyDescent="0.25">
      <c r="A11" s="140">
        <v>9009341100</v>
      </c>
      <c r="B11" s="39" t="s">
        <v>2727</v>
      </c>
      <c r="C11" s="39" t="s">
        <v>944</v>
      </c>
      <c r="D11" s="41">
        <v>30078.827089920003</v>
      </c>
      <c r="E11" s="37">
        <v>2.668485730169139E-4</v>
      </c>
      <c r="F11" s="38">
        <v>4464.3900000000003</v>
      </c>
      <c r="G11" s="37">
        <v>5.4620258418661018E-5</v>
      </c>
      <c r="H11" s="38">
        <v>0</v>
      </c>
      <c r="I11" s="37">
        <v>0</v>
      </c>
      <c r="J11" s="42">
        <v>0</v>
      </c>
      <c r="K11" s="37">
        <v>0</v>
      </c>
      <c r="L11" s="38">
        <v>30078.827089920003</v>
      </c>
      <c r="M11" s="37">
        <v>2.668485730169139E-4</v>
      </c>
      <c r="N11" s="42">
        <v>4464.3900000000003</v>
      </c>
      <c r="O11" s="40">
        <v>5.4620258418661018E-5</v>
      </c>
      <c r="P11">
        <f>VLOOKUP(Table32[[#This Row],[Census Tract]],'Population and Diversity Data'!$B$2:$K$823,10,FALSE)</f>
        <v>1</v>
      </c>
      <c r="Q11" t="str">
        <f>VLOOKUP(Table32[[#This Row],[Census Tract]],'ES Energy Burden'!$B$2:$E$914,4,FALSE)</f>
        <v>No</v>
      </c>
    </row>
    <row r="12" spans="1:17" x14ac:dyDescent="0.25">
      <c r="A12" s="140">
        <v>9003400100</v>
      </c>
      <c r="B12" s="39" t="s">
        <v>2728</v>
      </c>
      <c r="C12" s="39" t="s">
        <v>944</v>
      </c>
      <c r="D12" s="41">
        <v>393727.33680767997</v>
      </c>
      <c r="E12" s="37">
        <v>3.4930078114677795E-3</v>
      </c>
      <c r="F12" s="38">
        <v>5336484.5404000003</v>
      </c>
      <c r="G12" s="37">
        <v>6.5290031705078966E-2</v>
      </c>
      <c r="H12" s="38">
        <v>0</v>
      </c>
      <c r="I12" s="37">
        <v>0</v>
      </c>
      <c r="J12" s="42">
        <v>0</v>
      </c>
      <c r="K12" s="37">
        <v>0</v>
      </c>
      <c r="L12" s="38">
        <v>393727.33680767997</v>
      </c>
      <c r="M12" s="37">
        <v>3.4930078114677795E-3</v>
      </c>
      <c r="N12" s="42">
        <v>5336484.5404000003</v>
      </c>
      <c r="O12" s="40">
        <v>6.5290031705078966E-2</v>
      </c>
      <c r="P12">
        <f>VLOOKUP(Table32[[#This Row],[Census Tract]],'Population and Diversity Data'!$B$2:$K$823,10,FALSE)</f>
        <v>2</v>
      </c>
      <c r="Q12" t="str">
        <f>VLOOKUP(Table32[[#This Row],[Census Tract]],'ES Energy Burden'!$B$2:$E$914,4,FALSE)</f>
        <v>No</v>
      </c>
    </row>
    <row r="13" spans="1:17" x14ac:dyDescent="0.25">
      <c r="A13" s="140">
        <v>9003400300</v>
      </c>
      <c r="B13" s="39" t="s">
        <v>2728</v>
      </c>
      <c r="C13" s="39" t="s">
        <v>944</v>
      </c>
      <c r="D13" s="41">
        <v>16.029766079999998</v>
      </c>
      <c r="E13" s="37">
        <v>1.4221033923481705E-7</v>
      </c>
      <c r="F13" s="38">
        <v>0</v>
      </c>
      <c r="G13" s="37">
        <v>0</v>
      </c>
      <c r="H13" s="38">
        <v>0</v>
      </c>
      <c r="I13" s="37">
        <v>0</v>
      </c>
      <c r="J13" s="42">
        <v>0</v>
      </c>
      <c r="K13" s="37">
        <v>0</v>
      </c>
      <c r="L13" s="38">
        <v>16.029766079999998</v>
      </c>
      <c r="M13" s="37">
        <v>1.4221033923481705E-7</v>
      </c>
      <c r="N13" s="42">
        <v>0</v>
      </c>
      <c r="O13" s="40">
        <v>0</v>
      </c>
      <c r="P13">
        <f>VLOOKUP(Table32[[#This Row],[Census Tract]],'Population and Diversity Data'!$B$2:$K$823,10,FALSE)</f>
        <v>2</v>
      </c>
      <c r="Q13" t="str">
        <f>VLOOKUP(Table32[[#This Row],[Census Tract]],'ES Energy Burden'!$B$2:$E$914,4,FALSE)</f>
        <v>No</v>
      </c>
    </row>
    <row r="14" spans="1:17" x14ac:dyDescent="0.25">
      <c r="A14" s="140">
        <v>9009161100</v>
      </c>
      <c r="B14" s="39" t="s">
        <v>2729</v>
      </c>
      <c r="C14" s="39" t="s">
        <v>944</v>
      </c>
      <c r="D14" s="41">
        <v>25574.598858239999</v>
      </c>
      <c r="E14" s="37">
        <v>2.2688867456166121E-4</v>
      </c>
      <c r="F14" s="38">
        <v>100</v>
      </c>
      <c r="G14" s="37">
        <v>1.2234652084307377E-6</v>
      </c>
      <c r="H14" s="38">
        <v>0</v>
      </c>
      <c r="I14" s="37">
        <v>0</v>
      </c>
      <c r="J14" s="42">
        <v>0</v>
      </c>
      <c r="K14" s="37">
        <v>0</v>
      </c>
      <c r="L14" s="38">
        <v>25574.598858239999</v>
      </c>
      <c r="M14" s="37">
        <v>2.2688867456166121E-4</v>
      </c>
      <c r="N14" s="42">
        <v>100</v>
      </c>
      <c r="O14" s="40">
        <v>1.2234652084307377E-6</v>
      </c>
      <c r="P14">
        <f>VLOOKUP(Table32[[#This Row],[Census Tract]],'Population and Diversity Data'!$B$2:$K$823,10,FALSE)</f>
        <v>4</v>
      </c>
      <c r="Q14" t="str">
        <f>VLOOKUP(Table32[[#This Row],[Census Tract]],'ES Energy Burden'!$B$2:$E$914,4,FALSE)</f>
        <v>No</v>
      </c>
    </row>
    <row r="15" spans="1:17" x14ac:dyDescent="0.25">
      <c r="A15" s="140">
        <v>9001200200</v>
      </c>
      <c r="B15" s="39" t="s">
        <v>2730</v>
      </c>
      <c r="C15" s="39" t="s">
        <v>944</v>
      </c>
      <c r="D15" s="41">
        <v>232602.22088352</v>
      </c>
      <c r="E15" s="37">
        <v>2.063563533836498E-3</v>
      </c>
      <c r="F15" s="38">
        <v>17057.148000000001</v>
      </c>
      <c r="G15" s="37">
        <v>2.0868827133053942E-4</v>
      </c>
      <c r="H15" s="38">
        <v>0</v>
      </c>
      <c r="I15" s="37">
        <v>0</v>
      </c>
      <c r="J15" s="42">
        <v>0</v>
      </c>
      <c r="K15" s="37">
        <v>0</v>
      </c>
      <c r="L15" s="38">
        <v>232602.22088352</v>
      </c>
      <c r="M15" s="37">
        <v>2.063563533836498E-3</v>
      </c>
      <c r="N15" s="42">
        <v>17057.148000000001</v>
      </c>
      <c r="O15" s="40">
        <v>2.0868827133053942E-4</v>
      </c>
      <c r="P15">
        <f>VLOOKUP(Table32[[#This Row],[Census Tract]],'Population and Diversity Data'!$B$2:$K$823,10,FALSE)</f>
        <v>4</v>
      </c>
      <c r="Q15" t="str">
        <f>VLOOKUP(Table32[[#This Row],[Census Tract]],'ES Energy Burden'!$B$2:$E$914,4,FALSE)</f>
        <v>No</v>
      </c>
    </row>
    <row r="16" spans="1:17" x14ac:dyDescent="0.25">
      <c r="A16" s="140">
        <v>9005342100</v>
      </c>
      <c r="B16" s="39" t="s">
        <v>2731</v>
      </c>
      <c r="C16" s="39" t="s">
        <v>944</v>
      </c>
      <c r="D16" s="41">
        <v>1534.8291177600001</v>
      </c>
      <c r="E16" s="37">
        <v>1.3616453815658216E-5</v>
      </c>
      <c r="F16" s="38">
        <v>1450</v>
      </c>
      <c r="G16" s="37">
        <v>1.7740245522245699E-5</v>
      </c>
      <c r="H16" s="38">
        <v>0</v>
      </c>
      <c r="I16" s="37">
        <v>0</v>
      </c>
      <c r="J16" s="42">
        <v>0</v>
      </c>
      <c r="K16" s="37">
        <v>0</v>
      </c>
      <c r="L16" s="38">
        <v>1534.8291177600001</v>
      </c>
      <c r="M16" s="37">
        <v>1.3616453815658216E-5</v>
      </c>
      <c r="N16" s="42">
        <v>1450</v>
      </c>
      <c r="O16" s="40">
        <v>1.7740245522245699E-5</v>
      </c>
      <c r="P16">
        <f>VLOOKUP(Table32[[#This Row],[Census Tract]],'Population and Diversity Data'!$B$2:$K$823,10,FALSE)</f>
        <v>2</v>
      </c>
      <c r="Q16" t="str">
        <f>VLOOKUP(Table32[[#This Row],[Census Tract]],'ES Energy Burden'!$B$2:$E$914,4,FALSE)</f>
        <v>No</v>
      </c>
    </row>
    <row r="17" spans="1:17" x14ac:dyDescent="0.25">
      <c r="A17" s="140">
        <v>9003471300</v>
      </c>
      <c r="B17" s="39" t="s">
        <v>2732</v>
      </c>
      <c r="C17" s="39" t="s">
        <v>944</v>
      </c>
      <c r="D17" s="41">
        <v>37.731977280000002</v>
      </c>
      <c r="E17" s="37">
        <v>3.347445784429819E-7</v>
      </c>
      <c r="F17" s="38">
        <v>0</v>
      </c>
      <c r="G17" s="37">
        <v>0</v>
      </c>
      <c r="H17" s="38">
        <v>0</v>
      </c>
      <c r="I17" s="37">
        <v>0</v>
      </c>
      <c r="J17" s="42">
        <v>0</v>
      </c>
      <c r="K17" s="37">
        <v>0</v>
      </c>
      <c r="L17" s="38">
        <v>37.731977280000002</v>
      </c>
      <c r="M17" s="37">
        <v>3.347445784429819E-7</v>
      </c>
      <c r="N17" s="42">
        <v>0</v>
      </c>
      <c r="O17" s="40">
        <v>0</v>
      </c>
      <c r="P17">
        <f>VLOOKUP(Table32[[#This Row],[Census Tract]],'Population and Diversity Data'!$B$2:$K$823,10,FALSE)</f>
        <v>1</v>
      </c>
      <c r="Q17" t="str">
        <f>VLOOKUP(Table32[[#This Row],[Census Tract]],'ES Energy Burden'!$B$2:$E$914,4,FALSE)</f>
        <v>No</v>
      </c>
    </row>
    <row r="18" spans="1:17" x14ac:dyDescent="0.25">
      <c r="A18" s="140">
        <v>9003471400</v>
      </c>
      <c r="B18" s="39" t="s">
        <v>2732</v>
      </c>
      <c r="C18" s="39" t="s">
        <v>944</v>
      </c>
      <c r="D18" s="41">
        <v>947929.12726175995</v>
      </c>
      <c r="E18" s="37">
        <v>8.4096874580504768E-3</v>
      </c>
      <c r="F18" s="38">
        <v>451213.55450000003</v>
      </c>
      <c r="G18" s="37">
        <v>5.5204408550311654E-3</v>
      </c>
      <c r="H18" s="38">
        <v>0</v>
      </c>
      <c r="I18" s="37">
        <v>0</v>
      </c>
      <c r="J18" s="42">
        <v>0</v>
      </c>
      <c r="K18" s="37">
        <v>0</v>
      </c>
      <c r="L18" s="38">
        <v>947929.12726175995</v>
      </c>
      <c r="M18" s="37">
        <v>8.4096874580504768E-3</v>
      </c>
      <c r="N18" s="42">
        <v>451213.55450000003</v>
      </c>
      <c r="O18" s="40">
        <v>5.5204408550311654E-3</v>
      </c>
      <c r="P18">
        <f>VLOOKUP(Table32[[#This Row],[Census Tract]],'Population and Diversity Data'!$B$2:$K$823,10,FALSE)</f>
        <v>2</v>
      </c>
      <c r="Q18" t="str">
        <f>VLOOKUP(Table32[[#This Row],[Census Tract]],'ES Energy Burden'!$B$2:$E$914,4,FALSE)</f>
        <v>No</v>
      </c>
    </row>
    <row r="19" spans="1:17" x14ac:dyDescent="0.25">
      <c r="A19" s="140">
        <v>9013529100</v>
      </c>
      <c r="B19" s="39" t="s">
        <v>2733</v>
      </c>
      <c r="C19" s="39" t="s">
        <v>944</v>
      </c>
      <c r="D19" s="41">
        <v>23433.011458560002</v>
      </c>
      <c r="E19" s="37">
        <v>2.0788927874455755E-4</v>
      </c>
      <c r="F19" s="38">
        <v>0</v>
      </c>
      <c r="G19" s="37">
        <v>0</v>
      </c>
      <c r="H19" s="38">
        <v>0</v>
      </c>
      <c r="I19" s="37">
        <v>0</v>
      </c>
      <c r="J19" s="42">
        <v>0</v>
      </c>
      <c r="K19" s="37">
        <v>0</v>
      </c>
      <c r="L19" s="38">
        <v>23433.011458560002</v>
      </c>
      <c r="M19" s="37">
        <v>2.0788927874455755E-4</v>
      </c>
      <c r="N19" s="42">
        <v>0</v>
      </c>
      <c r="O19" s="40">
        <v>0</v>
      </c>
      <c r="P19">
        <f>VLOOKUP(Table32[[#This Row],[Census Tract]],'Population and Diversity Data'!$B$2:$K$823,10,FALSE)</f>
        <v>2</v>
      </c>
      <c r="Q19" t="str">
        <f>VLOOKUP(Table32[[#This Row],[Census Tract]],'ES Energy Burden'!$B$2:$E$914,4,FALSE)</f>
        <v>No</v>
      </c>
    </row>
    <row r="20" spans="1:17" x14ac:dyDescent="0.25">
      <c r="A20" s="140">
        <v>9009184200</v>
      </c>
      <c r="B20" s="39" t="s">
        <v>2734</v>
      </c>
      <c r="C20" s="39" t="s">
        <v>944</v>
      </c>
      <c r="D20" s="41">
        <v>1.8472060800000001</v>
      </c>
      <c r="E20" s="37">
        <v>1.6387750261756574E-8</v>
      </c>
      <c r="F20" s="38">
        <v>0</v>
      </c>
      <c r="G20" s="37">
        <v>0</v>
      </c>
      <c r="H20" s="38">
        <v>0</v>
      </c>
      <c r="I20" s="37">
        <v>0</v>
      </c>
      <c r="J20" s="42">
        <v>0</v>
      </c>
      <c r="K20" s="37">
        <v>0</v>
      </c>
      <c r="L20" s="38">
        <v>1.8472060800000001</v>
      </c>
      <c r="M20" s="37">
        <v>1.6387750261756574E-8</v>
      </c>
      <c r="N20" s="42">
        <v>0</v>
      </c>
      <c r="O20" s="40">
        <v>0</v>
      </c>
      <c r="P20">
        <f>VLOOKUP(Table32[[#This Row],[Census Tract]],'Population and Diversity Data'!$B$2:$K$823,10,FALSE)</f>
        <v>5</v>
      </c>
      <c r="Q20" t="str">
        <f>VLOOKUP(Table32[[#This Row],[Census Tract]],'ES Energy Burden'!$B$2:$E$914,4,FALSE)</f>
        <v>No</v>
      </c>
    </row>
    <row r="21" spans="1:17" x14ac:dyDescent="0.25">
      <c r="A21" s="140">
        <v>9009184300</v>
      </c>
      <c r="B21" s="39" t="s">
        <v>2734</v>
      </c>
      <c r="C21" s="39" t="s">
        <v>944</v>
      </c>
      <c r="D21" s="41">
        <v>7.3506182400000002</v>
      </c>
      <c r="E21" s="37">
        <v>6.52120503991805E-8</v>
      </c>
      <c r="F21" s="38">
        <v>0</v>
      </c>
      <c r="G21" s="37">
        <v>0</v>
      </c>
      <c r="H21" s="38">
        <v>0</v>
      </c>
      <c r="I21" s="37">
        <v>0</v>
      </c>
      <c r="J21" s="42">
        <v>0</v>
      </c>
      <c r="K21" s="37">
        <v>0</v>
      </c>
      <c r="L21" s="38">
        <v>7.3506182400000002</v>
      </c>
      <c r="M21" s="37">
        <v>6.52120503991805E-8</v>
      </c>
      <c r="N21" s="42">
        <v>0</v>
      </c>
      <c r="O21" s="40">
        <v>0</v>
      </c>
      <c r="P21">
        <f>VLOOKUP(Table32[[#This Row],[Census Tract]],'Population and Diversity Data'!$B$2:$K$823,10,FALSE)</f>
        <v>2</v>
      </c>
      <c r="Q21" t="str">
        <f>VLOOKUP(Table32[[#This Row],[Census Tract]],'ES Energy Burden'!$B$2:$E$914,4,FALSE)</f>
        <v>No</v>
      </c>
    </row>
    <row r="22" spans="1:17" x14ac:dyDescent="0.25">
      <c r="A22" s="140">
        <v>9009184700</v>
      </c>
      <c r="B22" s="39" t="s">
        <v>2734</v>
      </c>
      <c r="C22" s="39" t="s">
        <v>944</v>
      </c>
      <c r="D22" s="41">
        <v>445456.40151455998</v>
      </c>
      <c r="E22" s="37">
        <v>3.9519295326926225E-3</v>
      </c>
      <c r="F22" s="38">
        <v>360070.35019999999</v>
      </c>
      <c r="G22" s="37">
        <v>4.4053354605717169E-3</v>
      </c>
      <c r="H22" s="38">
        <v>0</v>
      </c>
      <c r="I22" s="37">
        <v>0</v>
      </c>
      <c r="J22" s="42">
        <v>0</v>
      </c>
      <c r="K22" s="37">
        <v>0</v>
      </c>
      <c r="L22" s="38">
        <v>445456.40151455998</v>
      </c>
      <c r="M22" s="37">
        <v>3.9519295326926225E-3</v>
      </c>
      <c r="N22" s="42">
        <v>360070.35019999999</v>
      </c>
      <c r="O22" s="40">
        <v>4.4053354605717169E-3</v>
      </c>
      <c r="P22">
        <f>VLOOKUP(Table32[[#This Row],[Census Tract]],'Population and Diversity Data'!$B$2:$K$823,10,FALSE)</f>
        <v>4</v>
      </c>
      <c r="Q22" t="str">
        <f>VLOOKUP(Table32[[#This Row],[Census Tract]],'ES Energy Burden'!$B$2:$E$914,4,FALSE)</f>
        <v>No</v>
      </c>
    </row>
    <row r="23" spans="1:17" x14ac:dyDescent="0.25">
      <c r="A23" s="140">
        <v>9005250100</v>
      </c>
      <c r="B23" s="39" t="s">
        <v>2735</v>
      </c>
      <c r="C23" s="39" t="s">
        <v>944</v>
      </c>
      <c r="D23" s="41">
        <v>307.45995551999999</v>
      </c>
      <c r="E23" s="37">
        <v>2.7276745248437817E-6</v>
      </c>
      <c r="F23" s="38">
        <v>0</v>
      </c>
      <c r="G23" s="37">
        <v>0</v>
      </c>
      <c r="H23" s="38">
        <v>0</v>
      </c>
      <c r="I23" s="37">
        <v>0</v>
      </c>
      <c r="J23" s="42">
        <v>0</v>
      </c>
      <c r="K23" s="37">
        <v>0</v>
      </c>
      <c r="L23" s="38">
        <v>307.45995551999999</v>
      </c>
      <c r="M23" s="37">
        <v>2.7276745248437817E-6</v>
      </c>
      <c r="N23" s="42">
        <v>0</v>
      </c>
      <c r="O23" s="40">
        <v>0</v>
      </c>
      <c r="P23">
        <f>VLOOKUP(Table32[[#This Row],[Census Tract]],'Population and Diversity Data'!$B$2:$K$823,10,FALSE)</f>
        <v>2</v>
      </c>
      <c r="Q23" t="str">
        <f>VLOOKUP(Table32[[#This Row],[Census Tract]],'ES Energy Burden'!$B$2:$E$914,4,FALSE)</f>
        <v>No</v>
      </c>
    </row>
    <row r="24" spans="1:17" x14ac:dyDescent="0.25">
      <c r="A24" s="140">
        <v>9003405402</v>
      </c>
      <c r="B24" s="39" t="s">
        <v>2736</v>
      </c>
      <c r="C24" s="39" t="s">
        <v>944</v>
      </c>
      <c r="D24" s="41">
        <v>3.6139478399999998</v>
      </c>
      <c r="E24" s="37">
        <v>3.2061649916686396E-8</v>
      </c>
      <c r="F24" s="38">
        <v>0</v>
      </c>
      <c r="G24" s="37">
        <v>0</v>
      </c>
      <c r="H24" s="38">
        <v>0</v>
      </c>
      <c r="I24" s="37">
        <v>0</v>
      </c>
      <c r="J24" s="42">
        <v>0</v>
      </c>
      <c r="K24" s="37">
        <v>0</v>
      </c>
      <c r="L24" s="38">
        <v>3.6139478399999998</v>
      </c>
      <c r="M24" s="37">
        <v>3.2061649916686396E-8</v>
      </c>
      <c r="N24" s="42">
        <v>0</v>
      </c>
      <c r="O24" s="40">
        <v>0</v>
      </c>
      <c r="P24">
        <f>VLOOKUP(Table32[[#This Row],[Census Tract]],'Population and Diversity Data'!$B$2:$K$823,10,FALSE)</f>
        <v>5</v>
      </c>
      <c r="Q24" t="str">
        <f>VLOOKUP(Table32[[#This Row],[Census Tract]],'ES Energy Burden'!$B$2:$E$914,4,FALSE)</f>
        <v>No</v>
      </c>
    </row>
    <row r="25" spans="1:17" x14ac:dyDescent="0.25">
      <c r="A25" s="140">
        <v>9003405800</v>
      </c>
      <c r="B25" s="39" t="s">
        <v>2736</v>
      </c>
      <c r="C25" s="39" t="s">
        <v>944</v>
      </c>
      <c r="D25" s="41">
        <v>1086518.5802438401</v>
      </c>
      <c r="E25" s="37">
        <v>9.6392034113456215E-3</v>
      </c>
      <c r="F25" s="38">
        <v>442381.23989999999</v>
      </c>
      <c r="G25" s="37">
        <v>5.4123805588010164E-3</v>
      </c>
      <c r="H25" s="38">
        <v>0</v>
      </c>
      <c r="I25" s="37">
        <v>0</v>
      </c>
      <c r="J25" s="42">
        <v>0</v>
      </c>
      <c r="K25" s="37">
        <v>0</v>
      </c>
      <c r="L25" s="38">
        <v>1086518.5802438401</v>
      </c>
      <c r="M25" s="37">
        <v>9.6392034113456215E-3</v>
      </c>
      <c r="N25" s="42">
        <v>442381.23989999999</v>
      </c>
      <c r="O25" s="40">
        <v>5.4123805588010164E-3</v>
      </c>
      <c r="P25">
        <f>VLOOKUP(Table32[[#This Row],[Census Tract]],'Population and Diversity Data'!$B$2:$K$823,10,FALSE)</f>
        <v>2</v>
      </c>
      <c r="Q25" t="str">
        <f>VLOOKUP(Table32[[#This Row],[Census Tract]],'ES Energy Burden'!$B$2:$E$914,4,FALSE)</f>
        <v>No</v>
      </c>
    </row>
    <row r="26" spans="1:17" x14ac:dyDescent="0.25">
      <c r="A26" s="140">
        <v>9001205200</v>
      </c>
      <c r="B26" s="39" t="s">
        <v>2737</v>
      </c>
      <c r="C26" s="39" t="s">
        <v>944</v>
      </c>
      <c r="D26" s="41">
        <v>182422.80751680001</v>
      </c>
      <c r="E26" s="37">
        <v>1.6183897638718297E-3</v>
      </c>
      <c r="F26" s="38">
        <v>253094.86</v>
      </c>
      <c r="G26" s="37">
        <v>3.0965275564264838E-3</v>
      </c>
      <c r="H26" s="38">
        <v>0</v>
      </c>
      <c r="I26" s="37">
        <v>0</v>
      </c>
      <c r="J26" s="42">
        <v>0</v>
      </c>
      <c r="K26" s="37">
        <v>0</v>
      </c>
      <c r="L26" s="38">
        <v>182422.80751680001</v>
      </c>
      <c r="M26" s="37">
        <v>1.6183897638718297E-3</v>
      </c>
      <c r="N26" s="42">
        <v>253094.86</v>
      </c>
      <c r="O26" s="40">
        <v>3.0965275564264838E-3</v>
      </c>
      <c r="P26">
        <f>VLOOKUP(Table32[[#This Row],[Census Tract]],'Population and Diversity Data'!$B$2:$K$823,10,FALSE)</f>
        <v>1</v>
      </c>
      <c r="Q26" t="str">
        <f>VLOOKUP(Table32[[#This Row],[Census Tract]],'ES Energy Burden'!$B$2:$E$914,4,FALSE)</f>
        <v>No</v>
      </c>
    </row>
    <row r="27" spans="1:17" x14ac:dyDescent="0.25">
      <c r="A27" s="140">
        <v>9005253400</v>
      </c>
      <c r="B27" s="39" t="s">
        <v>2737</v>
      </c>
      <c r="C27" s="39" t="s">
        <v>944</v>
      </c>
      <c r="D27" s="41">
        <v>23.6501424</v>
      </c>
      <c r="E27" s="37">
        <v>2.0981558663242395E-7</v>
      </c>
      <c r="F27" s="38">
        <v>0</v>
      </c>
      <c r="G27" s="37">
        <v>0</v>
      </c>
      <c r="H27" s="38">
        <v>0</v>
      </c>
      <c r="I27" s="37">
        <v>0</v>
      </c>
      <c r="J27" s="42">
        <v>0</v>
      </c>
      <c r="K27" s="37">
        <v>0</v>
      </c>
      <c r="L27" s="38">
        <v>23.6501424</v>
      </c>
      <c r="M27" s="37">
        <v>2.0981558663242395E-7</v>
      </c>
      <c r="N27" s="42">
        <v>0</v>
      </c>
      <c r="O27" s="40">
        <v>0</v>
      </c>
      <c r="P27">
        <f>VLOOKUP(Table32[[#This Row],[Census Tract]],'Population and Diversity Data'!$B$2:$K$823,10,FALSE)</f>
        <v>2</v>
      </c>
      <c r="Q27" t="str">
        <f>VLOOKUP(Table32[[#This Row],[Census Tract]],'ES Energy Burden'!$B$2:$E$914,4,FALSE)</f>
        <v>No</v>
      </c>
    </row>
    <row r="28" spans="1:17" x14ac:dyDescent="0.25">
      <c r="A28" s="140">
        <v>9015905100</v>
      </c>
      <c r="B28" s="39" t="s">
        <v>2738</v>
      </c>
      <c r="C28" s="39" t="s">
        <v>944</v>
      </c>
      <c r="D28" s="41">
        <v>39532.551681600002</v>
      </c>
      <c r="E28" s="37">
        <v>3.5071862916781092E-4</v>
      </c>
      <c r="F28" s="38">
        <v>98796.69</v>
      </c>
      <c r="G28" s="37">
        <v>1.2087431292311698E-3</v>
      </c>
      <c r="H28" s="38">
        <v>0</v>
      </c>
      <c r="I28" s="37">
        <v>0</v>
      </c>
      <c r="J28" s="42">
        <v>0</v>
      </c>
      <c r="K28" s="37">
        <v>0</v>
      </c>
      <c r="L28" s="38">
        <v>39532.551681600002</v>
      </c>
      <c r="M28" s="37">
        <v>3.5071862916781092E-4</v>
      </c>
      <c r="N28" s="42">
        <v>98796.69</v>
      </c>
      <c r="O28" s="40">
        <v>1.2087431292311698E-3</v>
      </c>
      <c r="P28">
        <f>VLOOKUP(Table32[[#This Row],[Census Tract]],'Population and Diversity Data'!$B$2:$K$823,10,FALSE)</f>
        <v>4</v>
      </c>
      <c r="Q28" t="str">
        <f>VLOOKUP(Table32[[#This Row],[Census Tract]],'ES Energy Burden'!$B$2:$E$914,4,FALSE)</f>
        <v>No</v>
      </c>
    </row>
    <row r="29" spans="1:17" x14ac:dyDescent="0.25">
      <c r="A29" s="140">
        <v>9003410101</v>
      </c>
      <c r="B29" s="39" t="s">
        <v>2739</v>
      </c>
      <c r="C29" s="39" t="s">
        <v>944</v>
      </c>
      <c r="D29" s="41">
        <v>16773.90069024</v>
      </c>
      <c r="E29" s="37">
        <v>1.4881203478236675E-4</v>
      </c>
      <c r="F29" s="38">
        <v>5950</v>
      </c>
      <c r="G29" s="37">
        <v>7.2796179901628898E-5</v>
      </c>
      <c r="H29" s="38">
        <v>0</v>
      </c>
      <c r="I29" s="37">
        <v>0</v>
      </c>
      <c r="J29" s="42">
        <v>0</v>
      </c>
      <c r="K29" s="37">
        <v>0</v>
      </c>
      <c r="L29" s="38">
        <v>16773.90069024</v>
      </c>
      <c r="M29" s="37">
        <v>1.4881203478236675E-4</v>
      </c>
      <c r="N29" s="42">
        <v>5950</v>
      </c>
      <c r="O29" s="40">
        <v>7.2796179901628898E-5</v>
      </c>
      <c r="P29">
        <f>VLOOKUP(Table32[[#This Row],[Census Tract]],'Population and Diversity Data'!$B$2:$K$823,10,FALSE)</f>
        <v>1</v>
      </c>
      <c r="Q29" t="str">
        <f>VLOOKUP(Table32[[#This Row],[Census Tract]],'ES Energy Burden'!$B$2:$E$914,4,FALSE)</f>
        <v>No</v>
      </c>
    </row>
    <row r="30" spans="1:17" x14ac:dyDescent="0.25">
      <c r="A30" s="140">
        <v>9005425600</v>
      </c>
      <c r="B30" s="39" t="s">
        <v>2740</v>
      </c>
      <c r="C30" s="39" t="s">
        <v>944</v>
      </c>
      <c r="D30" s="41">
        <v>28079.472821760002</v>
      </c>
      <c r="E30" s="37">
        <v>2.4911101856311783E-4</v>
      </c>
      <c r="F30" s="38">
        <v>50</v>
      </c>
      <c r="G30" s="37">
        <v>6.1173260421536883E-7</v>
      </c>
      <c r="H30" s="38">
        <v>0</v>
      </c>
      <c r="I30" s="37">
        <v>0</v>
      </c>
      <c r="J30" s="42">
        <v>0</v>
      </c>
      <c r="K30" s="37">
        <v>0</v>
      </c>
      <c r="L30" s="38">
        <v>28079.472821760002</v>
      </c>
      <c r="M30" s="37">
        <v>2.4911101856311783E-4</v>
      </c>
      <c r="N30" s="42">
        <v>50</v>
      </c>
      <c r="O30" s="40">
        <v>6.1173260421536883E-7</v>
      </c>
      <c r="P30">
        <f>VLOOKUP(Table32[[#This Row],[Census Tract]],'Population and Diversity Data'!$B$2:$K$823,10,FALSE)</f>
        <v>1</v>
      </c>
      <c r="Q30" t="str">
        <f>VLOOKUP(Table32[[#This Row],[Census Tract]],'ES Energy Burden'!$B$2:$E$914,4,FALSE)</f>
        <v>No</v>
      </c>
    </row>
    <row r="31" spans="1:17" x14ac:dyDescent="0.25">
      <c r="A31" s="140">
        <v>9015906100</v>
      </c>
      <c r="B31" s="39" t="s">
        <v>2741</v>
      </c>
      <c r="C31" s="39" t="s">
        <v>944</v>
      </c>
      <c r="D31" s="41">
        <v>5889.9019708800006</v>
      </c>
      <c r="E31" s="37">
        <v>5.2253099212952614E-5</v>
      </c>
      <c r="F31" s="38">
        <v>6525.37</v>
      </c>
      <c r="G31" s="37">
        <v>7.9835631671376823E-5</v>
      </c>
      <c r="H31" s="38">
        <v>0</v>
      </c>
      <c r="I31" s="37">
        <v>0</v>
      </c>
      <c r="J31" s="42">
        <v>0</v>
      </c>
      <c r="K31" s="37">
        <v>0</v>
      </c>
      <c r="L31" s="38">
        <v>5889.9019708800006</v>
      </c>
      <c r="M31" s="37">
        <v>5.2253099212952614E-5</v>
      </c>
      <c r="N31" s="42">
        <v>6525.37</v>
      </c>
      <c r="O31" s="40">
        <v>7.9835631671376823E-5</v>
      </c>
      <c r="P31">
        <f>VLOOKUP(Table32[[#This Row],[Census Tract]],'Population and Diversity Data'!$B$2:$K$823,10,FALSE)</f>
        <v>1</v>
      </c>
      <c r="Q31" t="str">
        <f>VLOOKUP(Table32[[#This Row],[Census Tract]],'ES Energy Burden'!$B$2:$E$914,4,FALSE)</f>
        <v>No</v>
      </c>
    </row>
    <row r="32" spans="1:17" x14ac:dyDescent="0.25">
      <c r="A32" s="140">
        <v>9003464101</v>
      </c>
      <c r="B32" s="39" t="s">
        <v>2742</v>
      </c>
      <c r="C32" s="39" t="s">
        <v>944</v>
      </c>
      <c r="D32" s="41">
        <v>44033.321105280003</v>
      </c>
      <c r="E32" s="37">
        <v>3.9064784231820178E-4</v>
      </c>
      <c r="F32" s="38">
        <v>169533.30660000001</v>
      </c>
      <c r="G32" s="37">
        <v>2.0741810229532118E-3</v>
      </c>
      <c r="H32" s="38">
        <v>0</v>
      </c>
      <c r="I32" s="37">
        <v>0</v>
      </c>
      <c r="J32" s="42">
        <v>0</v>
      </c>
      <c r="K32" s="37">
        <v>0</v>
      </c>
      <c r="L32" s="38">
        <v>44033.321105280003</v>
      </c>
      <c r="M32" s="37">
        <v>3.9064784231820178E-4</v>
      </c>
      <c r="N32" s="42">
        <v>169533.30660000001</v>
      </c>
      <c r="O32" s="40">
        <v>2.0741810229532118E-3</v>
      </c>
      <c r="P32">
        <f>VLOOKUP(Table32[[#This Row],[Census Tract]],'Population and Diversity Data'!$B$2:$K$823,10,FALSE)</f>
        <v>1</v>
      </c>
      <c r="Q32" t="str">
        <f>VLOOKUP(Table32[[#This Row],[Census Tract]],'ES Energy Burden'!$B$2:$E$914,4,FALSE)</f>
        <v>No</v>
      </c>
    </row>
    <row r="33" spans="1:17" x14ac:dyDescent="0.25">
      <c r="A33" s="140">
        <v>9015815000</v>
      </c>
      <c r="B33" s="39" t="s">
        <v>2743</v>
      </c>
      <c r="C33" s="39" t="s">
        <v>944</v>
      </c>
      <c r="D33" s="41">
        <v>8909.8975123199998</v>
      </c>
      <c r="E33" s="37">
        <v>7.9045417222612388E-5</v>
      </c>
      <c r="F33" s="38">
        <v>280</v>
      </c>
      <c r="G33" s="37">
        <v>3.4257025836060659E-6</v>
      </c>
      <c r="H33" s="38">
        <v>0</v>
      </c>
      <c r="I33" s="37">
        <v>0</v>
      </c>
      <c r="J33" s="42">
        <v>0</v>
      </c>
      <c r="K33" s="37">
        <v>0</v>
      </c>
      <c r="L33" s="38">
        <v>8909.8975123199998</v>
      </c>
      <c r="M33" s="37">
        <v>7.9045417222612388E-5</v>
      </c>
      <c r="N33" s="42">
        <v>280</v>
      </c>
      <c r="O33" s="40">
        <v>3.4257025836060659E-6</v>
      </c>
      <c r="P33">
        <f>VLOOKUP(Table32[[#This Row],[Census Tract]],'Population and Diversity Data'!$B$2:$K$823,10,FALSE)</f>
        <v>5</v>
      </c>
      <c r="Q33" t="str">
        <f>VLOOKUP(Table32[[#This Row],[Census Tract]],'ES Energy Burden'!$B$2:$E$914,4,FALSE)</f>
        <v>No</v>
      </c>
    </row>
    <row r="34" spans="1:17" x14ac:dyDescent="0.25">
      <c r="A34" s="140">
        <v>9009343400</v>
      </c>
      <c r="B34" s="39" t="s">
        <v>2744</v>
      </c>
      <c r="C34" s="39" t="s">
        <v>944</v>
      </c>
      <c r="D34" s="41">
        <v>561150.42747552006</v>
      </c>
      <c r="E34" s="37">
        <v>4.9783254636898812E-3</v>
      </c>
      <c r="F34" s="38">
        <v>700205.98950000003</v>
      </c>
      <c r="G34" s="37">
        <v>8.5667766688806851E-3</v>
      </c>
      <c r="H34" s="38">
        <v>0</v>
      </c>
      <c r="I34" s="37">
        <v>0</v>
      </c>
      <c r="J34" s="42">
        <v>0</v>
      </c>
      <c r="K34" s="37">
        <v>0</v>
      </c>
      <c r="L34" s="38">
        <v>561150.42747552006</v>
      </c>
      <c r="M34" s="37">
        <v>4.9783254636898812E-3</v>
      </c>
      <c r="N34" s="42">
        <v>700205.98950000003</v>
      </c>
      <c r="O34" s="40">
        <v>8.5667766688806851E-3</v>
      </c>
      <c r="P34">
        <f>VLOOKUP(Table32[[#This Row],[Census Tract]],'Population and Diversity Data'!$B$2:$K$823,10,FALSE)</f>
        <v>4</v>
      </c>
      <c r="Q34" t="str">
        <f>VLOOKUP(Table32[[#This Row],[Census Tract]],'ES Energy Burden'!$B$2:$E$914,4,FALSE)</f>
        <v>No</v>
      </c>
    </row>
    <row r="35" spans="1:17" x14ac:dyDescent="0.25">
      <c r="A35" s="140">
        <v>9007600100</v>
      </c>
      <c r="B35" s="39" t="s">
        <v>2745</v>
      </c>
      <c r="C35" s="39" t="s">
        <v>944</v>
      </c>
      <c r="D35" s="41">
        <v>54605.77992288</v>
      </c>
      <c r="E35" s="37">
        <v>4.8444290754207488E-4</v>
      </c>
      <c r="F35" s="38">
        <v>0</v>
      </c>
      <c r="G35" s="37">
        <v>0</v>
      </c>
      <c r="H35" s="38">
        <v>0</v>
      </c>
      <c r="I35" s="37">
        <v>0</v>
      </c>
      <c r="J35" s="42">
        <v>0</v>
      </c>
      <c r="K35" s="37">
        <v>0</v>
      </c>
      <c r="L35" s="38">
        <v>54605.77992288</v>
      </c>
      <c r="M35" s="37">
        <v>4.8444290754207488E-4</v>
      </c>
      <c r="N35" s="42">
        <v>0</v>
      </c>
      <c r="O35" s="40">
        <v>0</v>
      </c>
      <c r="P35">
        <f>VLOOKUP(Table32[[#This Row],[Census Tract]],'Population and Diversity Data'!$B$2:$K$823,10,FALSE)</f>
        <v>1</v>
      </c>
      <c r="Q35" t="str">
        <f>VLOOKUP(Table32[[#This Row],[Census Tract]],'ES Energy Burden'!$B$2:$E$914,4,FALSE)</f>
        <v>No</v>
      </c>
    </row>
    <row r="36" spans="1:17" x14ac:dyDescent="0.25">
      <c r="A36" s="140">
        <v>9007610100</v>
      </c>
      <c r="B36" s="39" t="s">
        <v>2746</v>
      </c>
      <c r="C36" s="39" t="s">
        <v>944</v>
      </c>
      <c r="D36" s="41">
        <v>34.610656319999997</v>
      </c>
      <c r="E36" s="37">
        <v>3.0705333763715567E-7</v>
      </c>
      <c r="F36" s="38">
        <v>0</v>
      </c>
      <c r="G36" s="37">
        <v>0</v>
      </c>
      <c r="H36" s="38">
        <v>0</v>
      </c>
      <c r="I36" s="37">
        <v>0</v>
      </c>
      <c r="J36" s="42">
        <v>0</v>
      </c>
      <c r="K36" s="37">
        <v>0</v>
      </c>
      <c r="L36" s="38">
        <v>34.610656319999997</v>
      </c>
      <c r="M36" s="37">
        <v>3.0705333763715567E-7</v>
      </c>
      <c r="N36" s="42">
        <v>0</v>
      </c>
      <c r="O36" s="40">
        <v>0</v>
      </c>
      <c r="P36">
        <f>VLOOKUP(Table32[[#This Row],[Census Tract]],'Population and Diversity Data'!$B$2:$K$823,10,FALSE)</f>
        <v>1</v>
      </c>
      <c r="Q36" t="str">
        <f>VLOOKUP(Table32[[#This Row],[Census Tract]],'ES Energy Burden'!$B$2:$E$914,4,FALSE)</f>
        <v>No</v>
      </c>
    </row>
    <row r="37" spans="1:17" x14ac:dyDescent="0.25">
      <c r="A37" s="140">
        <v>9007610300</v>
      </c>
      <c r="B37" s="39" t="s">
        <v>2746</v>
      </c>
      <c r="C37" s="39" t="s">
        <v>944</v>
      </c>
      <c r="D37" s="41">
        <v>60959.517019199993</v>
      </c>
      <c r="E37" s="37">
        <v>5.408109857390406E-4</v>
      </c>
      <c r="F37" s="38">
        <v>10768.68</v>
      </c>
      <c r="G37" s="37">
        <v>1.3175105320723917E-4</v>
      </c>
      <c r="H37" s="38">
        <v>0</v>
      </c>
      <c r="I37" s="37">
        <v>0</v>
      </c>
      <c r="J37" s="42">
        <v>0</v>
      </c>
      <c r="K37" s="37">
        <v>0</v>
      </c>
      <c r="L37" s="38">
        <v>60959.517019199993</v>
      </c>
      <c r="M37" s="37">
        <v>5.408109857390406E-4</v>
      </c>
      <c r="N37" s="42">
        <v>10768.68</v>
      </c>
      <c r="O37" s="40">
        <v>1.3175105320723917E-4</v>
      </c>
      <c r="P37">
        <f>VLOOKUP(Table32[[#This Row],[Census Tract]],'Population and Diversity Data'!$B$2:$K$823,10,FALSE)</f>
        <v>1</v>
      </c>
      <c r="Q37" t="str">
        <f>VLOOKUP(Table32[[#This Row],[Census Tract]],'ES Energy Burden'!$B$2:$E$914,4,FALSE)</f>
        <v>No</v>
      </c>
    </row>
    <row r="38" spans="1:17" x14ac:dyDescent="0.25">
      <c r="A38" s="140">
        <v>9007610400</v>
      </c>
      <c r="B38" s="39" t="s">
        <v>2746</v>
      </c>
      <c r="C38" s="39" t="s">
        <v>944</v>
      </c>
      <c r="D38" s="41">
        <v>1.8419961599999999</v>
      </c>
      <c r="E38" s="37">
        <v>1.6341529718868508E-8</v>
      </c>
      <c r="F38" s="38">
        <v>0</v>
      </c>
      <c r="G38" s="37">
        <v>0</v>
      </c>
      <c r="H38" s="38">
        <v>0</v>
      </c>
      <c r="I38" s="37">
        <v>0</v>
      </c>
      <c r="J38" s="42">
        <v>0</v>
      </c>
      <c r="K38" s="37">
        <v>0</v>
      </c>
      <c r="L38" s="38">
        <v>1.8419961599999999</v>
      </c>
      <c r="M38" s="37">
        <v>1.6341529718868508E-8</v>
      </c>
      <c r="N38" s="42">
        <v>0</v>
      </c>
      <c r="O38" s="40">
        <v>0</v>
      </c>
      <c r="P38">
        <f>VLOOKUP(Table32[[#This Row],[Census Tract]],'Population and Diversity Data'!$B$2:$K$823,10,FALSE)</f>
        <v>1</v>
      </c>
      <c r="Q38" t="str">
        <f>VLOOKUP(Table32[[#This Row],[Census Tract]],'ES Energy Burden'!$B$2:$E$914,4,FALSE)</f>
        <v>No</v>
      </c>
    </row>
    <row r="39" spans="1:17" x14ac:dyDescent="0.25">
      <c r="A39" s="140">
        <v>9011714103</v>
      </c>
      <c r="B39" s="39" t="s">
        <v>2747</v>
      </c>
      <c r="C39" s="39" t="s">
        <v>944</v>
      </c>
      <c r="D39" s="41">
        <v>68237.306366400007</v>
      </c>
      <c r="E39" s="37">
        <v>6.0537692430480481E-4</v>
      </c>
      <c r="F39" s="38">
        <v>140572.23989999999</v>
      </c>
      <c r="G39" s="37">
        <v>1.7198524478882916E-3</v>
      </c>
      <c r="H39" s="38">
        <v>0</v>
      </c>
      <c r="I39" s="37">
        <v>0</v>
      </c>
      <c r="J39" s="42">
        <v>0</v>
      </c>
      <c r="K39" s="37">
        <v>0</v>
      </c>
      <c r="L39" s="38">
        <v>68237.306366400007</v>
      </c>
      <c r="M39" s="37">
        <v>6.0537692430480481E-4</v>
      </c>
      <c r="N39" s="42">
        <v>140572.23989999999</v>
      </c>
      <c r="O39" s="40">
        <v>1.7198524478882916E-3</v>
      </c>
      <c r="P39">
        <f>VLOOKUP(Table32[[#This Row],[Census Tract]],'Population and Diversity Data'!$B$2:$K$823,10,FALSE)</f>
        <v>3</v>
      </c>
      <c r="Q39" t="str">
        <f>VLOOKUP(Table32[[#This Row],[Census Tract]],'ES Energy Burden'!$B$2:$E$914,4,FALSE)</f>
        <v>No</v>
      </c>
    </row>
    <row r="40" spans="1:17" x14ac:dyDescent="0.25">
      <c r="A40" s="140">
        <v>9011714104</v>
      </c>
      <c r="B40" s="39" t="s">
        <v>2747</v>
      </c>
      <c r="C40" s="39" t="s">
        <v>944</v>
      </c>
      <c r="D40" s="41">
        <v>684.42487488000006</v>
      </c>
      <c r="E40" s="37">
        <v>6.0719721767413363E-6</v>
      </c>
      <c r="F40" s="38">
        <v>0</v>
      </c>
      <c r="G40" s="37">
        <v>0</v>
      </c>
      <c r="H40" s="38">
        <v>0</v>
      </c>
      <c r="I40" s="37">
        <v>0</v>
      </c>
      <c r="J40" s="42">
        <v>0</v>
      </c>
      <c r="K40" s="37">
        <v>0</v>
      </c>
      <c r="L40" s="38">
        <v>684.42487488000006</v>
      </c>
      <c r="M40" s="37">
        <v>6.0719721767413363E-6</v>
      </c>
      <c r="N40" s="42">
        <v>0</v>
      </c>
      <c r="O40" s="40">
        <v>0</v>
      </c>
      <c r="P40">
        <f>VLOOKUP(Table32[[#This Row],[Census Tract]],'Population and Diversity Data'!$B$2:$K$823,10,FALSE)</f>
        <v>1</v>
      </c>
      <c r="Q40" t="str">
        <f>VLOOKUP(Table32[[#This Row],[Census Tract]],'ES Energy Burden'!$B$2:$E$914,4,FALSE)</f>
        <v>No</v>
      </c>
    </row>
    <row r="41" spans="1:17" x14ac:dyDescent="0.25">
      <c r="A41" s="140">
        <v>9005293100</v>
      </c>
      <c r="B41" s="39" t="s">
        <v>2748</v>
      </c>
      <c r="C41" s="39" t="s">
        <v>944</v>
      </c>
      <c r="D41" s="41">
        <v>3674.9490566400004</v>
      </c>
      <c r="E41" s="37">
        <v>3.2602830846515099E-5</v>
      </c>
      <c r="F41" s="38">
        <v>1858.7</v>
      </c>
      <c r="G41" s="37">
        <v>2.2740547829102122E-5</v>
      </c>
      <c r="H41" s="38">
        <v>0</v>
      </c>
      <c r="I41" s="37">
        <v>0</v>
      </c>
      <c r="J41" s="42">
        <v>0</v>
      </c>
      <c r="K41" s="37">
        <v>0</v>
      </c>
      <c r="L41" s="38">
        <v>3674.9490566400004</v>
      </c>
      <c r="M41" s="37">
        <v>3.2602830846515099E-5</v>
      </c>
      <c r="N41" s="42">
        <v>1858.7</v>
      </c>
      <c r="O41" s="40">
        <v>2.2740547829102122E-5</v>
      </c>
      <c r="P41">
        <f>VLOOKUP(Table32[[#This Row],[Census Tract]],'Population and Diversity Data'!$B$2:$K$823,10,FALSE)</f>
        <v>1</v>
      </c>
      <c r="Q41" t="str">
        <f>VLOOKUP(Table32[[#This Row],[Census Tract]],'ES Energy Burden'!$B$2:$E$914,4,FALSE)</f>
        <v>No</v>
      </c>
    </row>
    <row r="42" spans="1:17" x14ac:dyDescent="0.25">
      <c r="A42" s="140">
        <v>9013860100</v>
      </c>
      <c r="B42" s="39" t="s">
        <v>2749</v>
      </c>
      <c r="C42" s="39" t="s">
        <v>944</v>
      </c>
      <c r="D42" s="41">
        <v>19631.938921920002</v>
      </c>
      <c r="E42" s="37">
        <v>1.7416752558896059E-4</v>
      </c>
      <c r="F42" s="38">
        <v>23294.95</v>
      </c>
      <c r="G42" s="37">
        <v>2.8500560857133613E-4</v>
      </c>
      <c r="H42" s="38">
        <v>0</v>
      </c>
      <c r="I42" s="37">
        <v>0</v>
      </c>
      <c r="J42" s="42">
        <v>0</v>
      </c>
      <c r="K42" s="37">
        <v>0</v>
      </c>
      <c r="L42" s="38">
        <v>19631.938921920002</v>
      </c>
      <c r="M42" s="37">
        <v>1.7416752558896059E-4</v>
      </c>
      <c r="N42" s="42">
        <v>23294.95</v>
      </c>
      <c r="O42" s="40">
        <v>2.8500560857133613E-4</v>
      </c>
      <c r="P42">
        <f>VLOOKUP(Table32[[#This Row],[Census Tract]],'Population and Diversity Data'!$B$2:$K$823,10,FALSE)</f>
        <v>1</v>
      </c>
      <c r="Q42" t="str">
        <f>VLOOKUP(Table32[[#This Row],[Census Tract]],'ES Energy Burden'!$B$2:$E$914,4,FALSE)</f>
        <v>No</v>
      </c>
    </row>
    <row r="43" spans="1:17" x14ac:dyDescent="0.25">
      <c r="A43" s="140">
        <v>9005263200</v>
      </c>
      <c r="B43" s="39" t="s">
        <v>2750</v>
      </c>
      <c r="C43" s="39" t="s">
        <v>944</v>
      </c>
      <c r="D43" s="41">
        <v>6236.8855372800008</v>
      </c>
      <c r="E43" s="37">
        <v>5.5331413047376998E-5</v>
      </c>
      <c r="F43" s="38">
        <v>0</v>
      </c>
      <c r="G43" s="37">
        <v>0</v>
      </c>
      <c r="H43" s="38">
        <v>0</v>
      </c>
      <c r="I43" s="37">
        <v>0</v>
      </c>
      <c r="J43" s="42">
        <v>0</v>
      </c>
      <c r="K43" s="37">
        <v>0</v>
      </c>
      <c r="L43" s="38">
        <v>6236.8855372800008</v>
      </c>
      <c r="M43" s="37">
        <v>5.5331413047376998E-5</v>
      </c>
      <c r="N43" s="42">
        <v>0</v>
      </c>
      <c r="O43" s="40">
        <v>0</v>
      </c>
      <c r="P43">
        <f>VLOOKUP(Table32[[#This Row],[Census Tract]],'Population and Diversity Data'!$B$2:$K$823,10,FALSE)</f>
        <v>3</v>
      </c>
      <c r="Q43" t="str">
        <f>VLOOKUP(Table32[[#This Row],[Census Tract]],'ES Energy Burden'!$B$2:$E$914,4,FALSE)</f>
        <v>No</v>
      </c>
    </row>
    <row r="44" spans="1:17" x14ac:dyDescent="0.25">
      <c r="A44" s="140">
        <v>9013850200</v>
      </c>
      <c r="B44" s="39" t="s">
        <v>2751</v>
      </c>
      <c r="C44" s="39" t="s">
        <v>944</v>
      </c>
      <c r="D44" s="41">
        <v>13327.960613760002</v>
      </c>
      <c r="E44" s="37">
        <v>1.18240889525887E-4</v>
      </c>
      <c r="F44" s="38">
        <v>0</v>
      </c>
      <c r="G44" s="37">
        <v>0</v>
      </c>
      <c r="H44" s="38">
        <v>0</v>
      </c>
      <c r="I44" s="37">
        <v>0</v>
      </c>
      <c r="J44" s="42">
        <v>0</v>
      </c>
      <c r="K44" s="37">
        <v>0</v>
      </c>
      <c r="L44" s="38">
        <v>13327.960613760002</v>
      </c>
      <c r="M44" s="37">
        <v>1.18240889525887E-4</v>
      </c>
      <c r="N44" s="42">
        <v>0</v>
      </c>
      <c r="O44" s="40">
        <v>0</v>
      </c>
      <c r="P44">
        <f>VLOOKUP(Table32[[#This Row],[Census Tract]],'Population and Diversity Data'!$B$2:$K$823,10,FALSE)</f>
        <v>1</v>
      </c>
      <c r="Q44" t="str">
        <f>VLOOKUP(Table32[[#This Row],[Census Tract]],'ES Energy Burden'!$B$2:$E$914,4,FALSE)</f>
        <v>No</v>
      </c>
    </row>
    <row r="45" spans="1:17" x14ac:dyDescent="0.25">
      <c r="A45" s="140">
        <v>9007570300</v>
      </c>
      <c r="B45" s="39" t="s">
        <v>2752</v>
      </c>
      <c r="C45" s="39" t="s">
        <v>944</v>
      </c>
      <c r="D45" s="41">
        <v>281835.56314079999</v>
      </c>
      <c r="E45" s="37">
        <v>2.5003441000112756E-3</v>
      </c>
      <c r="F45" s="38">
        <v>160549.37280000001</v>
      </c>
      <c r="G45" s="37">
        <v>1.9642657185617624E-3</v>
      </c>
      <c r="H45" s="38">
        <v>0</v>
      </c>
      <c r="I45" s="37">
        <v>0</v>
      </c>
      <c r="J45" s="42">
        <v>0</v>
      </c>
      <c r="K45" s="37">
        <v>0</v>
      </c>
      <c r="L45" s="38">
        <v>281835.56314079999</v>
      </c>
      <c r="M45" s="37">
        <v>2.5003441000112756E-3</v>
      </c>
      <c r="N45" s="42">
        <v>160549.37280000001</v>
      </c>
      <c r="O45" s="40">
        <v>1.9642657185617624E-3</v>
      </c>
      <c r="P45">
        <f>VLOOKUP(Table32[[#This Row],[Census Tract]],'Population and Diversity Data'!$B$2:$K$823,10,FALSE)</f>
        <v>2</v>
      </c>
      <c r="Q45" t="str">
        <f>VLOOKUP(Table32[[#This Row],[Census Tract]],'ES Energy Burden'!$B$2:$E$914,4,FALSE)</f>
        <v>No</v>
      </c>
    </row>
    <row r="46" spans="1:17" x14ac:dyDescent="0.25">
      <c r="A46" s="140">
        <v>9001210500</v>
      </c>
      <c r="B46" s="39" t="s">
        <v>2753</v>
      </c>
      <c r="C46" s="39" t="s">
        <v>944</v>
      </c>
      <c r="D46" s="41">
        <v>1435371.3542160001</v>
      </c>
      <c r="E46" s="37">
        <v>1.2734100185384374E-2</v>
      </c>
      <c r="F46" s="38">
        <v>881799.21230000001</v>
      </c>
      <c r="G46" s="37">
        <v>1.0788506570706799E-2</v>
      </c>
      <c r="H46" s="38">
        <v>0</v>
      </c>
      <c r="I46" s="37">
        <v>0</v>
      </c>
      <c r="J46" s="42">
        <v>0</v>
      </c>
      <c r="K46" s="37">
        <v>0</v>
      </c>
      <c r="L46" s="38">
        <v>1435371.3542160001</v>
      </c>
      <c r="M46" s="37">
        <v>1.2734100185384374E-2</v>
      </c>
      <c r="N46" s="42">
        <v>881799.21230000001</v>
      </c>
      <c r="O46" s="40">
        <v>1.0788506570706799E-2</v>
      </c>
      <c r="P46">
        <f>VLOOKUP(Table32[[#This Row],[Census Tract]],'Population and Diversity Data'!$B$2:$K$823,10,FALSE)</f>
        <v>4</v>
      </c>
      <c r="Q46" t="str">
        <f>VLOOKUP(Table32[[#This Row],[Census Tract]],'ES Energy Burden'!$B$2:$E$914,4,FALSE)</f>
        <v>No</v>
      </c>
    </row>
    <row r="47" spans="1:17" x14ac:dyDescent="0.25">
      <c r="A47" s="140">
        <v>9001210701</v>
      </c>
      <c r="B47" s="39" t="s">
        <v>2753</v>
      </c>
      <c r="C47" s="39" t="s">
        <v>944</v>
      </c>
      <c r="D47" s="41">
        <v>151.93631808000001</v>
      </c>
      <c r="E47" s="37">
        <v>1.3479245566287062E-6</v>
      </c>
      <c r="F47" s="38">
        <v>0</v>
      </c>
      <c r="G47" s="37">
        <v>0</v>
      </c>
      <c r="H47" s="38">
        <v>0</v>
      </c>
      <c r="I47" s="37">
        <v>0</v>
      </c>
      <c r="J47" s="42">
        <v>0</v>
      </c>
      <c r="K47" s="37">
        <v>0</v>
      </c>
      <c r="L47" s="38">
        <v>151.93631808000001</v>
      </c>
      <c r="M47" s="37">
        <v>1.3479245566287062E-6</v>
      </c>
      <c r="N47" s="42">
        <v>0</v>
      </c>
      <c r="O47" s="40">
        <v>0</v>
      </c>
      <c r="P47">
        <f>VLOOKUP(Table32[[#This Row],[Census Tract]],'Population and Diversity Data'!$B$2:$K$823,10,FALSE)</f>
        <v>5</v>
      </c>
      <c r="Q47" t="str">
        <f>VLOOKUP(Table32[[#This Row],[Census Tract]],'ES Energy Burden'!$B$2:$E$914,4,FALSE)</f>
        <v>No</v>
      </c>
    </row>
    <row r="48" spans="1:17" x14ac:dyDescent="0.25">
      <c r="A48" s="140">
        <v>9001210800</v>
      </c>
      <c r="B48" s="39" t="s">
        <v>2753</v>
      </c>
      <c r="C48" s="39" t="s">
        <v>944</v>
      </c>
      <c r="D48" s="41">
        <v>6.8383094399999997</v>
      </c>
      <c r="E48" s="37">
        <v>6.066703034852097E-8</v>
      </c>
      <c r="F48" s="38">
        <v>0</v>
      </c>
      <c r="G48" s="37">
        <v>0</v>
      </c>
      <c r="H48" s="38">
        <v>0</v>
      </c>
      <c r="I48" s="37">
        <v>0</v>
      </c>
      <c r="J48" s="42">
        <v>0</v>
      </c>
      <c r="K48" s="37">
        <v>0</v>
      </c>
      <c r="L48" s="38">
        <v>6.8383094399999997</v>
      </c>
      <c r="M48" s="37">
        <v>6.066703034852097E-8</v>
      </c>
      <c r="N48" s="42">
        <v>0</v>
      </c>
      <c r="O48" s="40">
        <v>0</v>
      </c>
      <c r="P48">
        <f>VLOOKUP(Table32[[#This Row],[Census Tract]],'Population and Diversity Data'!$B$2:$K$823,10,FALSE)</f>
        <v>4</v>
      </c>
      <c r="Q48" t="str">
        <f>VLOOKUP(Table32[[#This Row],[Census Tract]],'ES Energy Burden'!$B$2:$E$914,4,FALSE)</f>
        <v>No</v>
      </c>
    </row>
    <row r="49" spans="1:17" x14ac:dyDescent="0.25">
      <c r="A49" s="140">
        <v>9001030300</v>
      </c>
      <c r="B49" s="39" t="s">
        <v>2754</v>
      </c>
      <c r="C49" s="39" t="s">
        <v>944</v>
      </c>
      <c r="D49" s="41">
        <v>183300.77976191998</v>
      </c>
      <c r="E49" s="37">
        <v>1.6261788189456308E-3</v>
      </c>
      <c r="F49" s="38">
        <v>290298.239</v>
      </c>
      <c r="G49" s="37">
        <v>3.5516979548521114E-3</v>
      </c>
      <c r="H49" s="38">
        <v>0</v>
      </c>
      <c r="I49" s="37">
        <v>0</v>
      </c>
      <c r="J49" s="42">
        <v>0</v>
      </c>
      <c r="K49" s="37">
        <v>0</v>
      </c>
      <c r="L49" s="38">
        <v>183300.77976191998</v>
      </c>
      <c r="M49" s="37">
        <v>1.6261788189456308E-3</v>
      </c>
      <c r="N49" s="42">
        <v>290298.239</v>
      </c>
      <c r="O49" s="40">
        <v>3.5516979548521114E-3</v>
      </c>
      <c r="P49">
        <f>VLOOKUP(Table32[[#This Row],[Census Tract]],'Population and Diversity Data'!$B$2:$K$823,10,FALSE)</f>
        <v>1</v>
      </c>
      <c r="Q49" t="str">
        <f>VLOOKUP(Table32[[#This Row],[Census Tract]],'ES Energy Burden'!$B$2:$E$914,4,FALSE)</f>
        <v>No</v>
      </c>
    </row>
    <row r="50" spans="1:17" x14ac:dyDescent="0.25">
      <c r="A50" s="140">
        <v>9007620100</v>
      </c>
      <c r="B50" s="39" t="s">
        <v>2755</v>
      </c>
      <c r="C50" s="39" t="s">
        <v>944</v>
      </c>
      <c r="D50" s="41">
        <v>77942.245196159987</v>
      </c>
      <c r="E50" s="37">
        <v>6.9147566313514184E-4</v>
      </c>
      <c r="F50" s="38">
        <v>44503.199999999997</v>
      </c>
      <c r="G50" s="37">
        <v>5.4448116863834806E-4</v>
      </c>
      <c r="H50" s="38">
        <v>0</v>
      </c>
      <c r="I50" s="37">
        <v>0</v>
      </c>
      <c r="J50" s="42">
        <v>0</v>
      </c>
      <c r="K50" s="37">
        <v>0</v>
      </c>
      <c r="L50" s="38">
        <v>77942.245196159987</v>
      </c>
      <c r="M50" s="37">
        <v>6.9147566313514184E-4</v>
      </c>
      <c r="N50" s="42">
        <v>44503.199999999997</v>
      </c>
      <c r="O50" s="40">
        <v>5.4448116863834806E-4</v>
      </c>
      <c r="P50">
        <f>VLOOKUP(Table32[[#This Row],[Census Tract]],'Population and Diversity Data'!$B$2:$K$823,10,FALSE)</f>
        <v>1</v>
      </c>
      <c r="Q50" t="str">
        <f>VLOOKUP(Table32[[#This Row],[Census Tract]],'ES Energy Burden'!$B$2:$E$914,4,FALSE)</f>
        <v>No</v>
      </c>
    </row>
    <row r="51" spans="1:17" x14ac:dyDescent="0.25">
      <c r="A51" s="140">
        <v>9007585100</v>
      </c>
      <c r="B51" s="39" t="s">
        <v>2756</v>
      </c>
      <c r="C51" s="39" t="s">
        <v>944</v>
      </c>
      <c r="D51" s="41">
        <v>58394.599885440002</v>
      </c>
      <c r="E51" s="37">
        <v>5.180559602520309E-4</v>
      </c>
      <c r="F51" s="38">
        <v>54684.714999999997</v>
      </c>
      <c r="G51" s="37">
        <v>6.6904846235450483E-4</v>
      </c>
      <c r="H51" s="38">
        <v>0</v>
      </c>
      <c r="I51" s="37">
        <v>0</v>
      </c>
      <c r="J51" s="42">
        <v>0</v>
      </c>
      <c r="K51" s="37">
        <v>0</v>
      </c>
      <c r="L51" s="38">
        <v>58394.599885440002</v>
      </c>
      <c r="M51" s="37">
        <v>5.180559602520309E-4</v>
      </c>
      <c r="N51" s="42">
        <v>54684.714999999997</v>
      </c>
      <c r="O51" s="40">
        <v>6.6904846235450483E-4</v>
      </c>
      <c r="P51">
        <f>VLOOKUP(Table32[[#This Row],[Census Tract]],'Population and Diversity Data'!$B$2:$K$823,10,FALSE)</f>
        <v>1</v>
      </c>
      <c r="Q51" t="str">
        <f>VLOOKUP(Table32[[#This Row],[Census Tract]],'ES Energy Burden'!$B$2:$E$914,4,FALSE)</f>
        <v>No</v>
      </c>
    </row>
    <row r="52" spans="1:17" x14ac:dyDescent="0.25">
      <c r="A52" s="140">
        <v>9003470100</v>
      </c>
      <c r="B52" s="39" t="s">
        <v>2757</v>
      </c>
      <c r="C52" s="39" t="s">
        <v>944</v>
      </c>
      <c r="D52" s="41">
        <v>263392.69178592</v>
      </c>
      <c r="E52" s="37">
        <v>2.3367255556886644E-3</v>
      </c>
      <c r="F52" s="38">
        <v>22299.75</v>
      </c>
      <c r="G52" s="37">
        <v>2.7282968281703342E-4</v>
      </c>
      <c r="H52" s="38">
        <v>0</v>
      </c>
      <c r="I52" s="37">
        <v>0</v>
      </c>
      <c r="J52" s="42">
        <v>0</v>
      </c>
      <c r="K52" s="37">
        <v>0</v>
      </c>
      <c r="L52" s="38">
        <v>263392.69178592</v>
      </c>
      <c r="M52" s="37">
        <v>2.3367255556886644E-3</v>
      </c>
      <c r="N52" s="42">
        <v>22299.75</v>
      </c>
      <c r="O52" s="40">
        <v>2.7282968281703342E-4</v>
      </c>
      <c r="P52">
        <f>VLOOKUP(Table32[[#This Row],[Census Tract]],'Population and Diversity Data'!$B$2:$K$823,10,FALSE)</f>
        <v>3</v>
      </c>
      <c r="Q52" t="str">
        <f>VLOOKUP(Table32[[#This Row],[Census Tract]],'ES Energy Burden'!$B$2:$E$914,4,FALSE)</f>
        <v>No</v>
      </c>
    </row>
    <row r="53" spans="1:17" x14ac:dyDescent="0.25">
      <c r="A53" s="140">
        <v>9007595102</v>
      </c>
      <c r="B53" s="39" t="s">
        <v>2758</v>
      </c>
      <c r="C53" s="39" t="s">
        <v>944</v>
      </c>
      <c r="D53" s="41">
        <v>12284.052416639999</v>
      </c>
      <c r="E53" s="37">
        <v>1.0897971016110104E-4</v>
      </c>
      <c r="F53" s="38">
        <v>9580</v>
      </c>
      <c r="G53" s="37">
        <v>1.1720796696766468E-4</v>
      </c>
      <c r="H53" s="38">
        <v>0</v>
      </c>
      <c r="I53" s="37">
        <v>0</v>
      </c>
      <c r="J53" s="42">
        <v>0</v>
      </c>
      <c r="K53" s="37">
        <v>0</v>
      </c>
      <c r="L53" s="38">
        <v>12284.052416639999</v>
      </c>
      <c r="M53" s="37">
        <v>1.0897971016110104E-4</v>
      </c>
      <c r="N53" s="42">
        <v>9580</v>
      </c>
      <c r="O53" s="40">
        <v>1.1720796696766468E-4</v>
      </c>
      <c r="P53">
        <f>VLOOKUP(Table32[[#This Row],[Census Tract]],'Population and Diversity Data'!$B$2:$K$823,10,FALSE)</f>
        <v>1</v>
      </c>
      <c r="Q53" t="str">
        <f>VLOOKUP(Table32[[#This Row],[Census Tract]],'ES Energy Burden'!$B$2:$E$914,4,FALSE)</f>
        <v>No</v>
      </c>
    </row>
    <row r="54" spans="1:17" x14ac:dyDescent="0.25">
      <c r="A54" s="140">
        <v>9007550100</v>
      </c>
      <c r="B54" s="39" t="s">
        <v>2759</v>
      </c>
      <c r="C54" s="39" t="s">
        <v>944</v>
      </c>
      <c r="D54" s="41">
        <v>43185.876096960004</v>
      </c>
      <c r="E54" s="37">
        <v>3.8312961394764534E-4</v>
      </c>
      <c r="F54" s="38">
        <v>4462.9402</v>
      </c>
      <c r="G54" s="37">
        <v>5.4602520620069181E-5</v>
      </c>
      <c r="H54" s="38">
        <v>0</v>
      </c>
      <c r="I54" s="37">
        <v>0</v>
      </c>
      <c r="J54" s="42">
        <v>0</v>
      </c>
      <c r="K54" s="37">
        <v>0</v>
      </c>
      <c r="L54" s="38">
        <v>43185.876096960004</v>
      </c>
      <c r="M54" s="37">
        <v>3.8312961394764534E-4</v>
      </c>
      <c r="N54" s="42">
        <v>4462.9402</v>
      </c>
      <c r="O54" s="40">
        <v>5.4602520620069181E-5</v>
      </c>
      <c r="P54">
        <f>VLOOKUP(Table32[[#This Row],[Census Tract]],'Population and Diversity Data'!$B$2:$K$823,10,FALSE)</f>
        <v>3</v>
      </c>
      <c r="Q54" t="str">
        <f>VLOOKUP(Table32[[#This Row],[Census Tract]],'ES Energy Burden'!$B$2:$E$914,4,FALSE)</f>
        <v>No</v>
      </c>
    </row>
    <row r="55" spans="1:17" x14ac:dyDescent="0.25">
      <c r="A55" s="140">
        <v>9003510200</v>
      </c>
      <c r="B55" s="39" t="s">
        <v>2760</v>
      </c>
      <c r="C55" s="39" t="s">
        <v>944</v>
      </c>
      <c r="D55" s="41">
        <v>25.598652480000002</v>
      </c>
      <c r="E55" s="37">
        <v>2.2710206967255954E-7</v>
      </c>
      <c r="F55" s="38">
        <v>0</v>
      </c>
      <c r="G55" s="37">
        <v>0</v>
      </c>
      <c r="H55" s="38">
        <v>0</v>
      </c>
      <c r="I55" s="37">
        <v>0</v>
      </c>
      <c r="J55" s="42">
        <v>0</v>
      </c>
      <c r="K55" s="37">
        <v>0</v>
      </c>
      <c r="L55" s="38">
        <v>25.598652480000002</v>
      </c>
      <c r="M55" s="37">
        <v>2.2710206967255954E-7</v>
      </c>
      <c r="N55" s="42">
        <v>0</v>
      </c>
      <c r="O55" s="40">
        <v>0</v>
      </c>
      <c r="P55">
        <f>VLOOKUP(Table32[[#This Row],[Census Tract]],'Population and Diversity Data'!$B$2:$K$823,10,FALSE)</f>
        <v>5</v>
      </c>
      <c r="Q55" t="str">
        <f>VLOOKUP(Table32[[#This Row],[Census Tract]],'ES Energy Burden'!$B$2:$E$914,4,FALSE)</f>
        <v>No</v>
      </c>
    </row>
    <row r="56" spans="1:17" x14ac:dyDescent="0.25">
      <c r="A56" s="140">
        <v>9003510400</v>
      </c>
      <c r="B56" s="39" t="s">
        <v>2760</v>
      </c>
      <c r="C56" s="39" t="s">
        <v>944</v>
      </c>
      <c r="D56" s="41">
        <v>9.93010752</v>
      </c>
      <c r="E56" s="37">
        <v>8.8096354744648155E-8</v>
      </c>
      <c r="F56" s="38">
        <v>0</v>
      </c>
      <c r="G56" s="37">
        <v>0</v>
      </c>
      <c r="H56" s="38">
        <v>0</v>
      </c>
      <c r="I56" s="37">
        <v>0</v>
      </c>
      <c r="J56" s="42">
        <v>0</v>
      </c>
      <c r="K56" s="37">
        <v>0</v>
      </c>
      <c r="L56" s="38">
        <v>9.93010752</v>
      </c>
      <c r="M56" s="37">
        <v>8.8096354744648155E-8</v>
      </c>
      <c r="N56" s="42">
        <v>0</v>
      </c>
      <c r="O56" s="40">
        <v>0</v>
      </c>
      <c r="P56">
        <f>VLOOKUP(Table32[[#This Row],[Census Tract]],'Population and Diversity Data'!$B$2:$K$823,10,FALSE)</f>
        <v>4</v>
      </c>
      <c r="Q56" t="str">
        <f>VLOOKUP(Table32[[#This Row],[Census Tract]],'ES Energy Burden'!$B$2:$E$914,4,FALSE)</f>
        <v>No</v>
      </c>
    </row>
    <row r="57" spans="1:17" x14ac:dyDescent="0.25">
      <c r="A57" s="140">
        <v>9003510600</v>
      </c>
      <c r="B57" s="39" t="s">
        <v>2760</v>
      </c>
      <c r="C57" s="39" t="s">
        <v>944</v>
      </c>
      <c r="D57" s="41">
        <v>4.7711289600000004</v>
      </c>
      <c r="E57" s="37">
        <v>4.2327746053712846E-8</v>
      </c>
      <c r="F57" s="38">
        <v>0</v>
      </c>
      <c r="G57" s="37">
        <v>0</v>
      </c>
      <c r="H57" s="38">
        <v>0</v>
      </c>
      <c r="I57" s="37">
        <v>0</v>
      </c>
      <c r="J57" s="42">
        <v>0</v>
      </c>
      <c r="K57" s="37">
        <v>0</v>
      </c>
      <c r="L57" s="38">
        <v>4.7711289600000004</v>
      </c>
      <c r="M57" s="37">
        <v>4.2327746053712846E-8</v>
      </c>
      <c r="N57" s="42">
        <v>0</v>
      </c>
      <c r="O57" s="40">
        <v>0</v>
      </c>
      <c r="P57">
        <f>VLOOKUP(Table32[[#This Row],[Census Tract]],'Population and Diversity Data'!$B$2:$K$823,10,FALSE)</f>
        <v>5</v>
      </c>
      <c r="Q57" t="str">
        <f>VLOOKUP(Table32[[#This Row],[Census Tract]],'ES Energy Burden'!$B$2:$E$914,4,FALSE)</f>
        <v>No</v>
      </c>
    </row>
    <row r="58" spans="1:17" x14ac:dyDescent="0.25">
      <c r="A58" s="140">
        <v>9003510700</v>
      </c>
      <c r="B58" s="39" t="s">
        <v>2760</v>
      </c>
      <c r="C58" s="39" t="s">
        <v>944</v>
      </c>
      <c r="D58" s="41">
        <v>772130.79901727999</v>
      </c>
      <c r="E58" s="37">
        <v>6.8500676999210305E-3</v>
      </c>
      <c r="F58" s="38">
        <v>353005.61440000002</v>
      </c>
      <c r="G58" s="37">
        <v>4.3189008759911664E-3</v>
      </c>
      <c r="H58" s="38">
        <v>0</v>
      </c>
      <c r="I58" s="37">
        <v>0</v>
      </c>
      <c r="J58" s="42">
        <v>0</v>
      </c>
      <c r="K58" s="37">
        <v>0</v>
      </c>
      <c r="L58" s="38">
        <v>772130.79901727999</v>
      </c>
      <c r="M58" s="37">
        <v>6.8500676999210305E-3</v>
      </c>
      <c r="N58" s="42">
        <v>353005.61440000002</v>
      </c>
      <c r="O58" s="40">
        <v>4.3189008759911664E-3</v>
      </c>
      <c r="P58">
        <f>VLOOKUP(Table32[[#This Row],[Census Tract]],'Population and Diversity Data'!$B$2:$K$823,10,FALSE)</f>
        <v>5</v>
      </c>
      <c r="Q58" t="str">
        <f>VLOOKUP(Table32[[#This Row],[Census Tract]],'ES Energy Burden'!$B$2:$E$914,4,FALSE)</f>
        <v>No</v>
      </c>
    </row>
    <row r="59" spans="1:17" x14ac:dyDescent="0.25">
      <c r="A59" s="140">
        <v>9011716102</v>
      </c>
      <c r="B59" s="39" t="s">
        <v>2761</v>
      </c>
      <c r="C59" s="39" t="s">
        <v>944</v>
      </c>
      <c r="D59" s="41">
        <v>148791.78171647998</v>
      </c>
      <c r="E59" s="37">
        <v>1.3200273570837704E-3</v>
      </c>
      <c r="F59" s="38">
        <v>310692.94199999998</v>
      </c>
      <c r="G59" s="37">
        <v>3.801220050419891E-3</v>
      </c>
      <c r="H59" s="38">
        <v>0</v>
      </c>
      <c r="I59" s="37">
        <v>0</v>
      </c>
      <c r="J59" s="42">
        <v>0</v>
      </c>
      <c r="K59" s="37">
        <v>0</v>
      </c>
      <c r="L59" s="38">
        <v>148791.78171647998</v>
      </c>
      <c r="M59" s="37">
        <v>1.3200273570837704E-3</v>
      </c>
      <c r="N59" s="42">
        <v>310692.94199999998</v>
      </c>
      <c r="O59" s="40">
        <v>3.801220050419891E-3</v>
      </c>
      <c r="P59">
        <f>VLOOKUP(Table32[[#This Row],[Census Tract]],'Population and Diversity Data'!$B$2:$K$823,10,FALSE)</f>
        <v>4</v>
      </c>
      <c r="Q59" t="str">
        <f>VLOOKUP(Table32[[#This Row],[Census Tract]],'ES Energy Burden'!$B$2:$E$914,4,FALSE)</f>
        <v>No</v>
      </c>
    </row>
    <row r="60" spans="1:17" x14ac:dyDescent="0.25">
      <c r="A60" s="140">
        <v>9003484100</v>
      </c>
      <c r="B60" s="39" t="s">
        <v>2762</v>
      </c>
      <c r="C60" s="39" t="s">
        <v>944</v>
      </c>
      <c r="D60" s="41">
        <v>217273.30887168</v>
      </c>
      <c r="E60" s="37">
        <v>1.927570920692612E-3</v>
      </c>
      <c r="F60" s="38">
        <v>52045.17</v>
      </c>
      <c r="G60" s="37">
        <v>6.3675454761863177E-4</v>
      </c>
      <c r="H60" s="38">
        <v>0</v>
      </c>
      <c r="I60" s="37">
        <v>0</v>
      </c>
      <c r="J60" s="42">
        <v>0</v>
      </c>
      <c r="K60" s="37">
        <v>0</v>
      </c>
      <c r="L60" s="38">
        <v>217273.30887168</v>
      </c>
      <c r="M60" s="37">
        <v>1.927570920692612E-3</v>
      </c>
      <c r="N60" s="42">
        <v>52045.17</v>
      </c>
      <c r="O60" s="40">
        <v>6.3675454761863177E-4</v>
      </c>
      <c r="P60">
        <f>VLOOKUP(Table32[[#This Row],[Census Tract]],'Population and Diversity Data'!$B$2:$K$823,10,FALSE)</f>
        <v>4</v>
      </c>
      <c r="Q60" t="str">
        <f>VLOOKUP(Table32[[#This Row],[Census Tract]],'ES Energy Burden'!$B$2:$E$914,4,FALSE)</f>
        <v>No</v>
      </c>
    </row>
    <row r="61" spans="1:17" x14ac:dyDescent="0.25">
      <c r="A61" s="140">
        <v>9015902200</v>
      </c>
      <c r="B61" s="39" t="s">
        <v>2763</v>
      </c>
      <c r="C61" s="39" t="s">
        <v>944</v>
      </c>
      <c r="D61" s="41">
        <v>40202.616280319999</v>
      </c>
      <c r="E61" s="37">
        <v>3.5666320212150514E-4</v>
      </c>
      <c r="F61" s="38">
        <v>32240</v>
      </c>
      <c r="G61" s="37">
        <v>3.9444518319806983E-4</v>
      </c>
      <c r="H61" s="38">
        <v>0</v>
      </c>
      <c r="I61" s="37">
        <v>0</v>
      </c>
      <c r="J61" s="42">
        <v>0</v>
      </c>
      <c r="K61" s="37">
        <v>0</v>
      </c>
      <c r="L61" s="38">
        <v>40202.616280319999</v>
      </c>
      <c r="M61" s="37">
        <v>3.5666320212150514E-4</v>
      </c>
      <c r="N61" s="42">
        <v>32240</v>
      </c>
      <c r="O61" s="40">
        <v>3.9444518319806983E-4</v>
      </c>
      <c r="P61">
        <f>VLOOKUP(Table32[[#This Row],[Census Tract]],'Population and Diversity Data'!$B$2:$K$823,10,FALSE)</f>
        <v>2</v>
      </c>
      <c r="Q61" t="str">
        <f>VLOOKUP(Table32[[#This Row],[Census Tract]],'ES Energy Burden'!$B$2:$E$914,4,FALSE)</f>
        <v>No</v>
      </c>
    </row>
    <row r="62" spans="1:17" x14ac:dyDescent="0.25">
      <c r="A62" s="140">
        <v>9013535100</v>
      </c>
      <c r="B62" s="39" t="s">
        <v>2764</v>
      </c>
      <c r="C62" s="39" t="s">
        <v>944</v>
      </c>
      <c r="D62" s="41">
        <v>145707.4303488</v>
      </c>
      <c r="E62" s="37">
        <v>1.2926640972502782E-3</v>
      </c>
      <c r="F62" s="38">
        <v>97005.352199999994</v>
      </c>
      <c r="G62" s="37">
        <v>1.1868267344827012E-3</v>
      </c>
      <c r="H62" s="38">
        <v>0</v>
      </c>
      <c r="I62" s="37">
        <v>0</v>
      </c>
      <c r="J62" s="42">
        <v>0</v>
      </c>
      <c r="K62" s="37">
        <v>0</v>
      </c>
      <c r="L62" s="38">
        <v>145707.4303488</v>
      </c>
      <c r="M62" s="37">
        <v>1.2926640972502782E-3</v>
      </c>
      <c r="N62" s="42">
        <v>97005.352199999994</v>
      </c>
      <c r="O62" s="40">
        <v>1.1868267344827012E-3</v>
      </c>
      <c r="P62">
        <f>VLOOKUP(Table32[[#This Row],[Census Tract]],'Population and Diversity Data'!$B$2:$K$823,10,FALSE)</f>
        <v>4</v>
      </c>
      <c r="Q62" t="str">
        <f>VLOOKUP(Table32[[#This Row],[Census Tract]],'ES Energy Burden'!$B$2:$E$914,4,FALSE)</f>
        <v>No</v>
      </c>
    </row>
    <row r="63" spans="1:17" x14ac:dyDescent="0.25">
      <c r="A63" s="140">
        <v>9013535200</v>
      </c>
      <c r="B63" s="39" t="s">
        <v>2764</v>
      </c>
      <c r="C63" s="39" t="s">
        <v>944</v>
      </c>
      <c r="D63" s="41">
        <v>1031.8449168</v>
      </c>
      <c r="E63" s="37">
        <v>9.1541582655365616E-6</v>
      </c>
      <c r="F63" s="38">
        <v>0</v>
      </c>
      <c r="G63" s="37">
        <v>0</v>
      </c>
      <c r="H63" s="38">
        <v>0</v>
      </c>
      <c r="I63" s="37">
        <v>0</v>
      </c>
      <c r="J63" s="42">
        <v>0</v>
      </c>
      <c r="K63" s="37">
        <v>0</v>
      </c>
      <c r="L63" s="38">
        <v>1031.8449168</v>
      </c>
      <c r="M63" s="37">
        <v>9.1541582655365616E-6</v>
      </c>
      <c r="N63" s="42">
        <v>0</v>
      </c>
      <c r="O63" s="40">
        <v>0</v>
      </c>
      <c r="P63">
        <f>VLOOKUP(Table32[[#This Row],[Census Tract]],'Population and Diversity Data'!$B$2:$K$823,10,FALSE)</f>
        <v>5</v>
      </c>
      <c r="Q63" t="str">
        <f>VLOOKUP(Table32[[#This Row],[Census Tract]],'ES Energy Burden'!$B$2:$E$914,4,FALSE)</f>
        <v>No</v>
      </c>
    </row>
    <row r="64" spans="1:17" x14ac:dyDescent="0.25">
      <c r="A64" s="140">
        <v>9003480600</v>
      </c>
      <c r="B64" s="39" t="s">
        <v>2765</v>
      </c>
      <c r="C64" s="39" t="s">
        <v>944</v>
      </c>
      <c r="D64" s="41">
        <v>14.697763200000001</v>
      </c>
      <c r="E64" s="37">
        <v>1.3039328710310231E-7</v>
      </c>
      <c r="F64" s="38">
        <v>0</v>
      </c>
      <c r="G64" s="37">
        <v>0</v>
      </c>
      <c r="H64" s="38">
        <v>0</v>
      </c>
      <c r="I64" s="37">
        <v>0</v>
      </c>
      <c r="J64" s="42">
        <v>0</v>
      </c>
      <c r="K64" s="37">
        <v>0</v>
      </c>
      <c r="L64" s="38">
        <v>14.697763200000001</v>
      </c>
      <c r="M64" s="37">
        <v>1.3039328710310231E-7</v>
      </c>
      <c r="N64" s="42">
        <v>0</v>
      </c>
      <c r="O64" s="40">
        <v>0</v>
      </c>
      <c r="P64">
        <f>VLOOKUP(Table32[[#This Row],[Census Tract]],'Population and Diversity Data'!$B$2:$K$823,10,FALSE)</f>
        <v>5</v>
      </c>
      <c r="Q64" t="str">
        <f>VLOOKUP(Table32[[#This Row],[Census Tract]],'ES Energy Burden'!$B$2:$E$914,4,FALSE)</f>
        <v>No</v>
      </c>
    </row>
    <row r="65" spans="1:17" x14ac:dyDescent="0.25">
      <c r="A65" s="140">
        <v>9003480800</v>
      </c>
      <c r="B65" s="39" t="s">
        <v>2765</v>
      </c>
      <c r="C65" s="39" t="s">
        <v>944</v>
      </c>
      <c r="D65" s="41">
        <v>575090.81244864</v>
      </c>
      <c r="E65" s="37">
        <v>5.1019995626254118E-3</v>
      </c>
      <c r="F65" s="38">
        <v>298041.04979999998</v>
      </c>
      <c r="G65" s="37">
        <v>3.6464285511447285E-3</v>
      </c>
      <c r="H65" s="38">
        <v>0</v>
      </c>
      <c r="I65" s="37">
        <v>0</v>
      </c>
      <c r="J65" s="42">
        <v>0</v>
      </c>
      <c r="K65" s="37">
        <v>0</v>
      </c>
      <c r="L65" s="38">
        <v>575090.81244864</v>
      </c>
      <c r="M65" s="37">
        <v>5.1019995626254118E-3</v>
      </c>
      <c r="N65" s="42">
        <v>298041.04979999998</v>
      </c>
      <c r="O65" s="40">
        <v>3.6464285511447285E-3</v>
      </c>
      <c r="P65">
        <f>VLOOKUP(Table32[[#This Row],[Census Tract]],'Population and Diversity Data'!$B$2:$K$823,10,FALSE)</f>
        <v>3</v>
      </c>
      <c r="Q65" t="str">
        <f>VLOOKUP(Table32[[#This Row],[Census Tract]],'ES Energy Burden'!$B$2:$E$914,4,FALSE)</f>
        <v>No</v>
      </c>
    </row>
    <row r="66" spans="1:17" x14ac:dyDescent="0.25">
      <c r="A66" s="140">
        <v>9007630100</v>
      </c>
      <c r="B66" s="39" t="s">
        <v>2766</v>
      </c>
      <c r="C66" s="39" t="s">
        <v>944</v>
      </c>
      <c r="D66" s="41">
        <v>68318.609483520006</v>
      </c>
      <c r="E66" s="37">
        <v>6.0609821641903656E-4</v>
      </c>
      <c r="F66" s="38">
        <v>28963.267</v>
      </c>
      <c r="G66" s="37">
        <v>3.543554949699011E-4</v>
      </c>
      <c r="H66" s="38">
        <v>0</v>
      </c>
      <c r="I66" s="37">
        <v>0</v>
      </c>
      <c r="J66" s="42">
        <v>0</v>
      </c>
      <c r="K66" s="37">
        <v>0</v>
      </c>
      <c r="L66" s="38">
        <v>68318.609483520006</v>
      </c>
      <c r="M66" s="37">
        <v>6.0609821641903656E-4</v>
      </c>
      <c r="N66" s="42">
        <v>28963.267</v>
      </c>
      <c r="O66" s="40">
        <v>3.543554949699011E-4</v>
      </c>
      <c r="P66">
        <f>VLOOKUP(Table32[[#This Row],[Census Tract]],'Population and Diversity Data'!$B$2:$K$823,10,FALSE)</f>
        <v>2</v>
      </c>
      <c r="Q66" t="str">
        <f>VLOOKUP(Table32[[#This Row],[Census Tract]],'ES Energy Burden'!$B$2:$E$914,4,FALSE)</f>
        <v>No</v>
      </c>
    </row>
    <row r="67" spans="1:17" x14ac:dyDescent="0.25">
      <c r="A67" s="140">
        <v>9003460204</v>
      </c>
      <c r="B67" s="39" t="s">
        <v>2767</v>
      </c>
      <c r="C67" s="39" t="s">
        <v>944</v>
      </c>
      <c r="D67" s="41">
        <v>477566.11562399997</v>
      </c>
      <c r="E67" s="37">
        <v>4.2367954074313549E-3</v>
      </c>
      <c r="F67" s="38">
        <v>820235.52520000003</v>
      </c>
      <c r="G67" s="37">
        <v>1.0035296278011138E-2</v>
      </c>
      <c r="H67" s="38">
        <v>0</v>
      </c>
      <c r="I67" s="37">
        <v>0</v>
      </c>
      <c r="J67" s="42">
        <v>0</v>
      </c>
      <c r="K67" s="37">
        <v>0</v>
      </c>
      <c r="L67" s="38">
        <v>477566.11562399997</v>
      </c>
      <c r="M67" s="37">
        <v>4.2367954074313549E-3</v>
      </c>
      <c r="N67" s="42">
        <v>820235.52520000003</v>
      </c>
      <c r="O67" s="40">
        <v>1.0035296278011138E-2</v>
      </c>
      <c r="P67">
        <f>VLOOKUP(Table32[[#This Row],[Census Tract]],'Population and Diversity Data'!$B$2:$K$823,10,FALSE)</f>
        <v>4</v>
      </c>
      <c r="Q67" t="str">
        <f>VLOOKUP(Table32[[#This Row],[Census Tract]],'ES Energy Burden'!$B$2:$E$914,4,FALSE)</f>
        <v>No</v>
      </c>
    </row>
    <row r="68" spans="1:17" x14ac:dyDescent="0.25">
      <c r="A68" s="140">
        <v>9003496200</v>
      </c>
      <c r="B68" s="39" t="s">
        <v>2767</v>
      </c>
      <c r="C68" s="39" t="s">
        <v>944</v>
      </c>
      <c r="D68" s="41">
        <v>556925.3484940799</v>
      </c>
      <c r="E68" s="37">
        <v>4.9408420773294172E-3</v>
      </c>
      <c r="F68" s="38">
        <v>0</v>
      </c>
      <c r="G68" s="37">
        <v>0</v>
      </c>
      <c r="H68" s="38">
        <v>0</v>
      </c>
      <c r="I68" s="37">
        <v>0</v>
      </c>
      <c r="J68" s="42">
        <v>0</v>
      </c>
      <c r="K68" s="37">
        <v>0</v>
      </c>
      <c r="L68" s="38">
        <v>556925.3484940799</v>
      </c>
      <c r="M68" s="37">
        <v>4.9408420773294172E-3</v>
      </c>
      <c r="N68" s="42">
        <v>0</v>
      </c>
      <c r="O68" s="40">
        <v>0</v>
      </c>
      <c r="P68">
        <f>VLOOKUP(Table32[[#This Row],[Census Tract]],'Population and Diversity Data'!$B$2:$K$823,10,FALSE)</f>
        <v>5</v>
      </c>
      <c r="Q68" t="str">
        <f>VLOOKUP(Table32[[#This Row],[Census Tract]],'ES Energy Burden'!$B$2:$E$914,4,FALSE)</f>
        <v>No</v>
      </c>
    </row>
    <row r="69" spans="1:17" x14ac:dyDescent="0.25">
      <c r="A69" s="140">
        <v>9011712100</v>
      </c>
      <c r="B69" s="39" t="s">
        <v>2768</v>
      </c>
      <c r="C69" s="39" t="s">
        <v>944</v>
      </c>
      <c r="D69" s="41">
        <v>8752.7854281600012</v>
      </c>
      <c r="E69" s="37">
        <v>7.7651575124432351E-5</v>
      </c>
      <c r="F69" s="38">
        <v>1672.8</v>
      </c>
      <c r="G69" s="37">
        <v>2.0466126006629379E-5</v>
      </c>
      <c r="H69" s="38">
        <v>0</v>
      </c>
      <c r="I69" s="37">
        <v>0</v>
      </c>
      <c r="J69" s="42">
        <v>0</v>
      </c>
      <c r="K69" s="37">
        <v>0</v>
      </c>
      <c r="L69" s="38">
        <v>8752.7854281600012</v>
      </c>
      <c r="M69" s="37">
        <v>7.7651575124432351E-5</v>
      </c>
      <c r="N69" s="42">
        <v>1672.8</v>
      </c>
      <c r="O69" s="40">
        <v>2.0466126006629379E-5</v>
      </c>
      <c r="P69">
        <f>VLOOKUP(Table32[[#This Row],[Census Tract]],'Population and Diversity Data'!$B$2:$K$823,10,FALSE)</f>
        <v>1</v>
      </c>
      <c r="Q69" t="str">
        <f>VLOOKUP(Table32[[#This Row],[Census Tract]],'ES Energy Burden'!$B$2:$E$914,4,FALSE)</f>
        <v>No</v>
      </c>
    </row>
    <row r="70" spans="1:17" x14ac:dyDescent="0.25">
      <c r="A70" s="140">
        <v>9003520201</v>
      </c>
      <c r="B70" s="39" t="s">
        <v>2769</v>
      </c>
      <c r="C70" s="39" t="s">
        <v>944</v>
      </c>
      <c r="D70" s="41">
        <v>5.7367007999999995</v>
      </c>
      <c r="E70" s="37">
        <v>5.0893953335633855E-8</v>
      </c>
      <c r="F70" s="38">
        <v>0</v>
      </c>
      <c r="G70" s="37">
        <v>0</v>
      </c>
      <c r="H70" s="38">
        <v>0</v>
      </c>
      <c r="I70" s="37">
        <v>0</v>
      </c>
      <c r="J70" s="42">
        <v>0</v>
      </c>
      <c r="K70" s="37">
        <v>0</v>
      </c>
      <c r="L70" s="38">
        <v>5.7367007999999995</v>
      </c>
      <c r="M70" s="37">
        <v>5.0893953335633855E-8</v>
      </c>
      <c r="N70" s="42">
        <v>0</v>
      </c>
      <c r="O70" s="40">
        <v>0</v>
      </c>
      <c r="P70">
        <f>VLOOKUP(Table32[[#This Row],[Census Tract]],'Population and Diversity Data'!$B$2:$K$823,10,FALSE)</f>
        <v>4</v>
      </c>
      <c r="Q70" t="str">
        <f>VLOOKUP(Table32[[#This Row],[Census Tract]],'ES Energy Burden'!$B$2:$E$914,4,FALSE)</f>
        <v>No</v>
      </c>
    </row>
    <row r="71" spans="1:17" x14ac:dyDescent="0.25">
      <c r="A71" s="140">
        <v>9003520301</v>
      </c>
      <c r="B71" s="39" t="s">
        <v>2769</v>
      </c>
      <c r="C71" s="39" t="s">
        <v>944</v>
      </c>
      <c r="D71" s="41">
        <v>79.242883199999994</v>
      </c>
      <c r="E71" s="37">
        <v>7.0301445732743881E-7</v>
      </c>
      <c r="F71" s="38">
        <v>0</v>
      </c>
      <c r="G71" s="37">
        <v>0</v>
      </c>
      <c r="H71" s="38">
        <v>0</v>
      </c>
      <c r="I71" s="37">
        <v>0</v>
      </c>
      <c r="J71" s="42">
        <v>0</v>
      </c>
      <c r="K71" s="37">
        <v>0</v>
      </c>
      <c r="L71" s="38">
        <v>79.242883199999994</v>
      </c>
      <c r="M71" s="37">
        <v>7.0301445732743881E-7</v>
      </c>
      <c r="N71" s="42">
        <v>0</v>
      </c>
      <c r="O71" s="40">
        <v>0</v>
      </c>
      <c r="P71">
        <f>VLOOKUP(Table32[[#This Row],[Census Tract]],'Population and Diversity Data'!$B$2:$K$823,10,FALSE)</f>
        <v>4</v>
      </c>
      <c r="Q71" t="str">
        <f>VLOOKUP(Table32[[#This Row],[Census Tract]],'ES Energy Burden'!$B$2:$E$914,4,FALSE)</f>
        <v>No</v>
      </c>
    </row>
    <row r="72" spans="1:17" x14ac:dyDescent="0.25">
      <c r="A72" s="140">
        <v>9003520400</v>
      </c>
      <c r="B72" s="39" t="s">
        <v>2769</v>
      </c>
      <c r="C72" s="39" t="s">
        <v>944</v>
      </c>
      <c r="D72" s="41">
        <v>327329.96231520001</v>
      </c>
      <c r="E72" s="37">
        <v>2.9039541032756283E-3</v>
      </c>
      <c r="F72" s="38">
        <v>320498.71610000002</v>
      </c>
      <c r="G72" s="37">
        <v>3.9211902849507034E-3</v>
      </c>
      <c r="H72" s="38">
        <v>0</v>
      </c>
      <c r="I72" s="37">
        <v>0</v>
      </c>
      <c r="J72" s="42">
        <v>0</v>
      </c>
      <c r="K72" s="37">
        <v>0</v>
      </c>
      <c r="L72" s="38">
        <v>327329.96231520001</v>
      </c>
      <c r="M72" s="37">
        <v>2.9039541032756283E-3</v>
      </c>
      <c r="N72" s="42">
        <v>320498.71610000002</v>
      </c>
      <c r="O72" s="40">
        <v>3.9211902849507034E-3</v>
      </c>
      <c r="P72">
        <f>VLOOKUP(Table32[[#This Row],[Census Tract]],'Population and Diversity Data'!$B$2:$K$823,10,FALSE)</f>
        <v>3</v>
      </c>
      <c r="Q72" t="str">
        <f>VLOOKUP(Table32[[#This Row],[Census Tract]],'ES Energy Burden'!$B$2:$E$914,4,FALSE)</f>
        <v>No</v>
      </c>
    </row>
    <row r="73" spans="1:17" x14ac:dyDescent="0.25">
      <c r="A73" s="140">
        <v>9005296100</v>
      </c>
      <c r="B73" s="39" t="s">
        <v>2770</v>
      </c>
      <c r="C73" s="39" t="s">
        <v>944</v>
      </c>
      <c r="D73" s="41">
        <v>1720.7572694400001</v>
      </c>
      <c r="E73" s="37">
        <v>1.5265941736552151E-5</v>
      </c>
      <c r="F73" s="38">
        <v>0</v>
      </c>
      <c r="G73" s="37">
        <v>0</v>
      </c>
      <c r="H73" s="38">
        <v>0</v>
      </c>
      <c r="I73" s="37">
        <v>0</v>
      </c>
      <c r="J73" s="42">
        <v>0</v>
      </c>
      <c r="K73" s="37">
        <v>0</v>
      </c>
      <c r="L73" s="38">
        <v>1720.7572694400001</v>
      </c>
      <c r="M73" s="37">
        <v>1.5265941736552151E-5</v>
      </c>
      <c r="N73" s="42">
        <v>0</v>
      </c>
      <c r="O73" s="40">
        <v>0</v>
      </c>
      <c r="P73">
        <f>VLOOKUP(Table32[[#This Row],[Census Tract]],'Population and Diversity Data'!$B$2:$K$823,10,FALSE)</f>
        <v>3</v>
      </c>
      <c r="Q73" t="str">
        <f>VLOOKUP(Table32[[#This Row],[Census Tract]],'ES Energy Burden'!$B$2:$E$914,4,FALSE)</f>
        <v>No</v>
      </c>
    </row>
    <row r="74" spans="1:17" x14ac:dyDescent="0.25">
      <c r="A74" s="140">
        <v>9003468101</v>
      </c>
      <c r="B74" s="39" t="s">
        <v>2771</v>
      </c>
      <c r="C74" s="39" t="s">
        <v>944</v>
      </c>
      <c r="D74" s="41">
        <v>51979.479511679994</v>
      </c>
      <c r="E74" s="37">
        <v>4.6114331161875794E-4</v>
      </c>
      <c r="F74" s="38">
        <v>6135.7402000000002</v>
      </c>
      <c r="G74" s="37">
        <v>7.5068646626698564E-5</v>
      </c>
      <c r="H74" s="38">
        <v>0</v>
      </c>
      <c r="I74" s="37">
        <v>0</v>
      </c>
      <c r="J74" s="42">
        <v>0</v>
      </c>
      <c r="K74" s="37">
        <v>0</v>
      </c>
      <c r="L74" s="38">
        <v>51979.479511679994</v>
      </c>
      <c r="M74" s="37">
        <v>4.6114331161875794E-4</v>
      </c>
      <c r="N74" s="42">
        <v>6135.7402000000002</v>
      </c>
      <c r="O74" s="40">
        <v>7.5068646626698564E-5</v>
      </c>
      <c r="P74">
        <f>VLOOKUP(Table32[[#This Row],[Census Tract]],'Population and Diversity Data'!$B$2:$K$823,10,FALSE)</f>
        <v>1</v>
      </c>
      <c r="Q74" t="str">
        <f>VLOOKUP(Table32[[#This Row],[Census Tract]],'ES Energy Burden'!$B$2:$E$914,4,FALSE)</f>
        <v>No</v>
      </c>
    </row>
    <row r="75" spans="1:17" x14ac:dyDescent="0.25">
      <c r="A75" s="140">
        <v>9001010102</v>
      </c>
      <c r="B75" s="39" t="s">
        <v>2772</v>
      </c>
      <c r="C75" s="39" t="s">
        <v>944</v>
      </c>
      <c r="D75" s="41">
        <v>1130232.5019936</v>
      </c>
      <c r="E75" s="37">
        <v>1.0027017657061526E-2</v>
      </c>
      <c r="F75" s="38">
        <v>1375074.5629</v>
      </c>
      <c r="G75" s="37">
        <v>1.6823558867062542E-2</v>
      </c>
      <c r="H75" s="38">
        <v>4234.0979318400005</v>
      </c>
      <c r="I75" s="37">
        <v>3.7563399255817703E-5</v>
      </c>
      <c r="J75" s="42">
        <v>0</v>
      </c>
      <c r="K75" s="37">
        <v>0</v>
      </c>
      <c r="L75" s="38">
        <v>1125998.4040617601</v>
      </c>
      <c r="M75" s="37">
        <v>9.9894542578057091E-3</v>
      </c>
      <c r="N75" s="42">
        <v>1375074.5629</v>
      </c>
      <c r="O75" s="40">
        <v>1.6823558867062542E-2</v>
      </c>
      <c r="P75">
        <f>VLOOKUP(Table32[[#This Row],[Census Tract]],'Population and Diversity Data'!$B$2:$K$823,10,FALSE)</f>
        <v>3</v>
      </c>
      <c r="Q75" t="str">
        <f>VLOOKUP(Table32[[#This Row],[Census Tract]],'ES Energy Burden'!$B$2:$E$914,4,FALSE)</f>
        <v>No</v>
      </c>
    </row>
    <row r="76" spans="1:17" x14ac:dyDescent="0.25">
      <c r="A76" s="140">
        <v>9001010300</v>
      </c>
      <c r="B76" s="39" t="s">
        <v>2772</v>
      </c>
      <c r="C76" s="39" t="s">
        <v>944</v>
      </c>
      <c r="D76" s="41">
        <v>5.4686793600000003</v>
      </c>
      <c r="E76" s="37">
        <v>4.8516163184836841E-8</v>
      </c>
      <c r="F76" s="38">
        <v>0</v>
      </c>
      <c r="G76" s="37">
        <v>0</v>
      </c>
      <c r="H76" s="38">
        <v>0</v>
      </c>
      <c r="I76" s="37">
        <v>0</v>
      </c>
      <c r="J76" s="42">
        <v>0</v>
      </c>
      <c r="K76" s="37">
        <v>0</v>
      </c>
      <c r="L76" s="38">
        <v>5.4686793600000003</v>
      </c>
      <c r="M76" s="37">
        <v>4.8516163184836841E-8</v>
      </c>
      <c r="N76" s="42">
        <v>0</v>
      </c>
      <c r="O76" s="40">
        <v>0</v>
      </c>
      <c r="P76">
        <f>VLOOKUP(Table32[[#This Row],[Census Tract]],'Population and Diversity Data'!$B$2:$K$823,10,FALSE)</f>
        <v>2</v>
      </c>
      <c r="Q76" t="str">
        <f>VLOOKUP(Table32[[#This Row],[Census Tract]],'ES Energy Burden'!$B$2:$E$914,4,FALSE)</f>
        <v>No</v>
      </c>
    </row>
    <row r="77" spans="1:17" x14ac:dyDescent="0.25">
      <c r="A77" s="140">
        <v>9001010500</v>
      </c>
      <c r="B77" s="39" t="s">
        <v>2772</v>
      </c>
      <c r="C77" s="39" t="s">
        <v>944</v>
      </c>
      <c r="D77" s="41">
        <v>31.89744576</v>
      </c>
      <c r="E77" s="37">
        <v>2.8298270602422777E-7</v>
      </c>
      <c r="F77" s="38">
        <v>0</v>
      </c>
      <c r="G77" s="37">
        <v>0</v>
      </c>
      <c r="H77" s="38">
        <v>0</v>
      </c>
      <c r="I77" s="37">
        <v>0</v>
      </c>
      <c r="J77" s="42">
        <v>0</v>
      </c>
      <c r="K77" s="37">
        <v>0</v>
      </c>
      <c r="L77" s="38">
        <v>31.89744576</v>
      </c>
      <c r="M77" s="37">
        <v>2.8298270602422777E-7</v>
      </c>
      <c r="N77" s="42">
        <v>0</v>
      </c>
      <c r="O77" s="40">
        <v>0</v>
      </c>
      <c r="P77">
        <f>VLOOKUP(Table32[[#This Row],[Census Tract]],'Population and Diversity Data'!$B$2:$K$823,10,FALSE)</f>
        <v>3</v>
      </c>
      <c r="Q77" t="str">
        <f>VLOOKUP(Table32[[#This Row],[Census Tract]],'ES Energy Burden'!$B$2:$E$914,4,FALSE)</f>
        <v>No</v>
      </c>
    </row>
    <row r="78" spans="1:17" x14ac:dyDescent="0.25">
      <c r="A78" s="140">
        <v>9001011000</v>
      </c>
      <c r="B78" s="39" t="s">
        <v>2772</v>
      </c>
      <c r="C78" s="39" t="s">
        <v>944</v>
      </c>
      <c r="D78" s="41">
        <v>2.1302783999999999</v>
      </c>
      <c r="E78" s="37">
        <v>1.8899066425341331E-8</v>
      </c>
      <c r="F78" s="38">
        <v>0</v>
      </c>
      <c r="G78" s="37">
        <v>0</v>
      </c>
      <c r="H78" s="38">
        <v>0</v>
      </c>
      <c r="I78" s="37">
        <v>0</v>
      </c>
      <c r="J78" s="42">
        <v>0</v>
      </c>
      <c r="K78" s="37">
        <v>0</v>
      </c>
      <c r="L78" s="38">
        <v>2.1302783999999999</v>
      </c>
      <c r="M78" s="37">
        <v>1.8899066425341331E-8</v>
      </c>
      <c r="N78" s="42">
        <v>0</v>
      </c>
      <c r="O78" s="40">
        <v>0</v>
      </c>
      <c r="P78">
        <f>VLOOKUP(Table32[[#This Row],[Census Tract]],'Population and Diversity Data'!$B$2:$K$823,10,FALSE)</f>
        <v>2</v>
      </c>
      <c r="Q78" t="str">
        <f>VLOOKUP(Table32[[#This Row],[Census Tract]],'ES Energy Burden'!$B$2:$E$914,4,FALSE)</f>
        <v>No</v>
      </c>
    </row>
    <row r="79" spans="1:17" x14ac:dyDescent="0.25">
      <c r="A79" s="140">
        <v>9001011200</v>
      </c>
      <c r="B79" s="39" t="s">
        <v>2772</v>
      </c>
      <c r="C79" s="39" t="s">
        <v>944</v>
      </c>
      <c r="D79" s="41">
        <v>4534.2700000000004</v>
      </c>
      <c r="E79" s="137">
        <v>4.0226418256145515E-5</v>
      </c>
      <c r="F79" s="38">
        <v>0</v>
      </c>
      <c r="G79" s="137">
        <v>0</v>
      </c>
      <c r="H79" s="138">
        <v>4534.2700000000004</v>
      </c>
      <c r="I79" s="137">
        <v>4.0226418256145515E-5</v>
      </c>
      <c r="J79" s="138">
        <v>0</v>
      </c>
      <c r="K79" s="137">
        <v>0</v>
      </c>
      <c r="L79" s="138">
        <v>0</v>
      </c>
      <c r="M79" s="137">
        <v>0</v>
      </c>
      <c r="N79" s="138">
        <v>0</v>
      </c>
      <c r="O79" s="40">
        <v>0</v>
      </c>
      <c r="P79">
        <f>VLOOKUP(Table32[[#This Row],[Census Tract]],'Population and Diversity Data'!$B$2:$K$823,10,FALSE)</f>
        <v>4</v>
      </c>
      <c r="Q79" t="str">
        <f>VLOOKUP(Table32[[#This Row],[Census Tract]],'ES Energy Burden'!$B$2:$E$914,4,FALSE)</f>
        <v>No</v>
      </c>
    </row>
    <row r="80" spans="1:17" x14ac:dyDescent="0.25">
      <c r="A80" s="140">
        <v>9011709100</v>
      </c>
      <c r="B80" s="39" t="s">
        <v>2773</v>
      </c>
      <c r="C80" s="39" t="s">
        <v>944</v>
      </c>
      <c r="D80" s="41">
        <v>9259.5578198399999</v>
      </c>
      <c r="E80" s="37">
        <v>8.214747814484949E-5</v>
      </c>
      <c r="F80" s="38">
        <v>8983.9599999999991</v>
      </c>
      <c r="G80" s="37">
        <v>1.0991562493933409E-4</v>
      </c>
      <c r="H80" s="38">
        <v>0</v>
      </c>
      <c r="I80" s="37">
        <v>0</v>
      </c>
      <c r="J80" s="42">
        <v>0</v>
      </c>
      <c r="K80" s="37">
        <v>0</v>
      </c>
      <c r="L80" s="38">
        <v>9259.5578198399999</v>
      </c>
      <c r="M80" s="37">
        <v>8.214747814484949E-5</v>
      </c>
      <c r="N80" s="42">
        <v>8983.9599999999991</v>
      </c>
      <c r="O80" s="40">
        <v>1.0991562493933409E-4</v>
      </c>
      <c r="P80">
        <f>VLOOKUP(Table32[[#This Row],[Census Tract]],'Population and Diversity Data'!$B$2:$K$823,10,FALSE)</f>
        <v>3</v>
      </c>
      <c r="Q80" t="str">
        <f>VLOOKUP(Table32[[#This Row],[Census Tract]],'ES Energy Burden'!$B$2:$E$914,4,FALSE)</f>
        <v>No</v>
      </c>
    </row>
    <row r="81" spans="1:17" x14ac:dyDescent="0.25">
      <c r="A81" s="140">
        <v>9011702900</v>
      </c>
      <c r="B81" s="39" t="s">
        <v>2774</v>
      </c>
      <c r="C81" s="39" t="s">
        <v>944</v>
      </c>
      <c r="D81" s="41">
        <v>18729.363697920002</v>
      </c>
      <c r="E81" s="37">
        <v>1.6616020170479441E-4</v>
      </c>
      <c r="F81" s="38">
        <v>0</v>
      </c>
      <c r="G81" s="37">
        <v>0</v>
      </c>
      <c r="H81" s="38">
        <v>0</v>
      </c>
      <c r="I81" s="37">
        <v>0</v>
      </c>
      <c r="J81" s="42">
        <v>0</v>
      </c>
      <c r="K81" s="37">
        <v>0</v>
      </c>
      <c r="L81" s="38">
        <v>18729.363697920002</v>
      </c>
      <c r="M81" s="37">
        <v>1.6616020170479441E-4</v>
      </c>
      <c r="N81" s="42">
        <v>0</v>
      </c>
      <c r="O81" s="40">
        <v>0</v>
      </c>
      <c r="P81">
        <f>VLOOKUP(Table32[[#This Row],[Census Tract]],'Population and Diversity Data'!$B$2:$K$823,10,FALSE)</f>
        <v>2</v>
      </c>
      <c r="Q81" t="str">
        <f>VLOOKUP(Table32[[#This Row],[Census Tract]],'ES Energy Burden'!$B$2:$E$914,4,FALSE)</f>
        <v>No</v>
      </c>
    </row>
    <row r="82" spans="1:17" x14ac:dyDescent="0.25">
      <c r="A82" s="140">
        <v>9009190301</v>
      </c>
      <c r="B82" s="39" t="s">
        <v>2775</v>
      </c>
      <c r="C82" s="39" t="s">
        <v>944</v>
      </c>
      <c r="D82" s="41">
        <v>151415.58194495999</v>
      </c>
      <c r="E82" s="37">
        <v>1.343304772282117E-3</v>
      </c>
      <c r="F82" s="38">
        <v>64877.385000000002</v>
      </c>
      <c r="G82" s="37">
        <v>7.9375223361466223E-4</v>
      </c>
      <c r="H82" s="38">
        <v>0</v>
      </c>
      <c r="I82" s="37">
        <v>0</v>
      </c>
      <c r="J82" s="42">
        <v>0</v>
      </c>
      <c r="K82" s="37">
        <v>0</v>
      </c>
      <c r="L82" s="38">
        <v>151415.58194495999</v>
      </c>
      <c r="M82" s="37">
        <v>1.343304772282117E-3</v>
      </c>
      <c r="N82" s="42">
        <v>64877.385000000002</v>
      </c>
      <c r="O82" s="40">
        <v>7.9375223361466223E-4</v>
      </c>
      <c r="P82">
        <f>VLOOKUP(Table32[[#This Row],[Census Tract]],'Population and Diversity Data'!$B$2:$K$823,10,FALSE)</f>
        <v>3</v>
      </c>
      <c r="Q82" t="str">
        <f>VLOOKUP(Table32[[#This Row],[Census Tract]],'ES Energy Burden'!$B$2:$E$914,4,FALSE)</f>
        <v>No</v>
      </c>
    </row>
    <row r="83" spans="1:17" x14ac:dyDescent="0.25">
      <c r="A83" s="140">
        <v>9007590100</v>
      </c>
      <c r="B83" s="39" t="s">
        <v>2776</v>
      </c>
      <c r="C83" s="39" t="s">
        <v>944</v>
      </c>
      <c r="D83" s="41">
        <v>26327.827094400003</v>
      </c>
      <c r="E83" s="37">
        <v>2.3357104549901411E-4</v>
      </c>
      <c r="F83" s="38">
        <v>11370</v>
      </c>
      <c r="G83" s="37">
        <v>1.3910799419857489E-4</v>
      </c>
      <c r="H83" s="38">
        <v>0</v>
      </c>
      <c r="I83" s="37">
        <v>0</v>
      </c>
      <c r="J83" s="42">
        <v>0</v>
      </c>
      <c r="K83" s="37">
        <v>0</v>
      </c>
      <c r="L83" s="38">
        <v>26327.827094400003</v>
      </c>
      <c r="M83" s="37">
        <v>2.3357104549901411E-4</v>
      </c>
      <c r="N83" s="42">
        <v>11370</v>
      </c>
      <c r="O83" s="40">
        <v>1.3910799419857489E-4</v>
      </c>
      <c r="P83">
        <f>VLOOKUP(Table32[[#This Row],[Census Tract]],'Population and Diversity Data'!$B$2:$K$823,10,FALSE)</f>
        <v>1</v>
      </c>
      <c r="Q83" t="str">
        <f>VLOOKUP(Table32[[#This Row],[Census Tract]],'ES Energy Burden'!$B$2:$E$914,4,FALSE)</f>
        <v>No</v>
      </c>
    </row>
    <row r="84" spans="1:17" x14ac:dyDescent="0.25">
      <c r="A84" s="140">
        <v>9015820000</v>
      </c>
      <c r="B84" s="39" t="s">
        <v>2777</v>
      </c>
      <c r="C84" s="39" t="s">
        <v>944</v>
      </c>
      <c r="D84" s="41">
        <v>1588.1323881600001</v>
      </c>
      <c r="E84" s="37">
        <v>1.4089341325561865E-5</v>
      </c>
      <c r="F84" s="38">
        <v>0</v>
      </c>
      <c r="G84" s="37">
        <v>0</v>
      </c>
      <c r="H84" s="38">
        <v>0</v>
      </c>
      <c r="I84" s="37">
        <v>0</v>
      </c>
      <c r="J84" s="42">
        <v>0</v>
      </c>
      <c r="K84" s="37">
        <v>0</v>
      </c>
      <c r="L84" s="38">
        <v>1588.1323881600001</v>
      </c>
      <c r="M84" s="37">
        <v>1.4089341325561865E-5</v>
      </c>
      <c r="N84" s="42">
        <v>0</v>
      </c>
      <c r="O84" s="40">
        <v>0</v>
      </c>
      <c r="P84">
        <f>VLOOKUP(Table32[[#This Row],[Census Tract]],'Population and Diversity Data'!$B$2:$K$823,10,FALSE)</f>
        <v>4</v>
      </c>
      <c r="Q84" t="str">
        <f>VLOOKUP(Table32[[#This Row],[Census Tract]],'ES Energy Burden'!$B$2:$E$914,4,FALSE)</f>
        <v>No</v>
      </c>
    </row>
    <row r="85" spans="1:17" x14ac:dyDescent="0.25">
      <c r="A85" s="140">
        <v>9003502400</v>
      </c>
      <c r="B85" s="39" t="s">
        <v>979</v>
      </c>
      <c r="C85" s="39" t="s">
        <v>944</v>
      </c>
      <c r="D85" s="41">
        <v>3472787.3019177597</v>
      </c>
      <c r="E85" s="37">
        <v>3.0809324217917079E-2</v>
      </c>
      <c r="F85" s="38">
        <v>2925875.7725999998</v>
      </c>
      <c r="G85" s="37">
        <v>3.5797072119665048E-2</v>
      </c>
      <c r="H85" s="38">
        <v>536.22406943999999</v>
      </c>
      <c r="I85" s="37">
        <v>4.7571877493633707E-6</v>
      </c>
      <c r="J85" s="42">
        <v>0</v>
      </c>
      <c r="K85" s="37">
        <v>0</v>
      </c>
      <c r="L85" s="38">
        <v>3472251.0778483199</v>
      </c>
      <c r="M85" s="37">
        <v>3.0804567030167717E-2</v>
      </c>
      <c r="N85" s="42">
        <v>2925875.7725999998</v>
      </c>
      <c r="O85" s="40">
        <v>3.5797072119665048E-2</v>
      </c>
      <c r="P85">
        <f>VLOOKUP(Table32[[#This Row],[Census Tract]],'Population and Diversity Data'!$B$2:$K$823,10,FALSE)</f>
        <v>5</v>
      </c>
      <c r="Q85" t="str">
        <f>VLOOKUP(Table32[[#This Row],[Census Tract]],'ES Energy Burden'!$B$2:$E$914,4,FALSE)</f>
        <v>Yes</v>
      </c>
    </row>
    <row r="86" spans="1:17" x14ac:dyDescent="0.25">
      <c r="A86" s="140">
        <v>9003503100</v>
      </c>
      <c r="B86" s="39" t="s">
        <v>979</v>
      </c>
      <c r="C86" s="39" t="s">
        <v>944</v>
      </c>
      <c r="D86" s="41">
        <v>13308.795054720002</v>
      </c>
      <c r="E86" s="37">
        <v>1.1807085955544944E-4</v>
      </c>
      <c r="F86" s="38">
        <v>0</v>
      </c>
      <c r="G86" s="37">
        <v>0</v>
      </c>
      <c r="H86" s="38">
        <v>13256.679646080001</v>
      </c>
      <c r="I86" s="37">
        <v>1.1760851032932427E-4</v>
      </c>
      <c r="J86" s="42">
        <v>0</v>
      </c>
      <c r="K86" s="37">
        <v>0</v>
      </c>
      <c r="L86" s="38">
        <v>52.115408639999998</v>
      </c>
      <c r="M86" s="37">
        <v>4.6234922612517104E-7</v>
      </c>
      <c r="N86" s="42">
        <v>0</v>
      </c>
      <c r="O86" s="40">
        <v>0</v>
      </c>
      <c r="P86">
        <f>VLOOKUP(Table32[[#This Row],[Census Tract]],'Population and Diversity Data'!$B$2:$K$823,10,FALSE)</f>
        <v>5</v>
      </c>
      <c r="Q86" t="str">
        <f>VLOOKUP(Table32[[#This Row],[Census Tract]],'ES Energy Burden'!$B$2:$E$914,4,FALSE)</f>
        <v>No</v>
      </c>
    </row>
    <row r="87" spans="1:17" x14ac:dyDescent="0.25">
      <c r="A87" s="140">
        <v>9003330100</v>
      </c>
      <c r="B87" s="39" t="s">
        <v>2778</v>
      </c>
      <c r="C87" s="39" t="s">
        <v>944</v>
      </c>
      <c r="D87" s="41">
        <v>573.96299328000009</v>
      </c>
      <c r="E87" s="37">
        <v>5.0919939551968715E-6</v>
      </c>
      <c r="F87" s="38">
        <v>0</v>
      </c>
      <c r="G87" s="37">
        <v>0</v>
      </c>
      <c r="H87" s="38">
        <v>0</v>
      </c>
      <c r="I87" s="37">
        <v>0</v>
      </c>
      <c r="J87" s="42">
        <v>0</v>
      </c>
      <c r="K87" s="37">
        <v>0</v>
      </c>
      <c r="L87" s="38">
        <v>573.96299328000009</v>
      </c>
      <c r="M87" s="37">
        <v>5.0919939551968715E-6</v>
      </c>
      <c r="N87" s="42">
        <v>0</v>
      </c>
      <c r="O87" s="40">
        <v>0</v>
      </c>
      <c r="P87">
        <f>VLOOKUP(Table32[[#This Row],[Census Tract]],'Population and Diversity Data'!$B$2:$K$823,10,FALSE)</f>
        <v>3</v>
      </c>
      <c r="Q87" t="str">
        <f>VLOOKUP(Table32[[#This Row],[Census Tract]],'ES Energy Burden'!$B$2:$E$914,4,FALSE)</f>
        <v>No</v>
      </c>
    </row>
    <row r="88" spans="1:17" x14ac:dyDescent="0.25">
      <c r="A88" s="140">
        <v>9005298400</v>
      </c>
      <c r="B88" s="39" t="s">
        <v>2779</v>
      </c>
      <c r="C88" s="39" t="s">
        <v>944</v>
      </c>
      <c r="D88" s="41">
        <v>22317.325614720001</v>
      </c>
      <c r="E88" s="37">
        <v>1.9799131382478689E-4</v>
      </c>
      <c r="F88" s="38">
        <v>16254.54</v>
      </c>
      <c r="G88" s="37">
        <v>1.9886864169045765E-4</v>
      </c>
      <c r="H88" s="38">
        <v>0</v>
      </c>
      <c r="I88" s="37">
        <v>0</v>
      </c>
      <c r="J88" s="42">
        <v>0</v>
      </c>
      <c r="K88" s="37">
        <v>0</v>
      </c>
      <c r="L88" s="38">
        <v>22317.325614720001</v>
      </c>
      <c r="M88" s="37">
        <v>1.9799131382478689E-4</v>
      </c>
      <c r="N88" s="42">
        <v>16254.54</v>
      </c>
      <c r="O88" s="40">
        <v>1.9886864169045765E-4</v>
      </c>
      <c r="P88">
        <f>VLOOKUP(Table32[[#This Row],[Census Tract]],'Population and Diversity Data'!$B$2:$K$823,10,FALSE)</f>
        <v>1</v>
      </c>
      <c r="Q88" t="str">
        <f>VLOOKUP(Table32[[#This Row],[Census Tract]],'ES Energy Burden'!$B$2:$E$914,4,FALSE)</f>
        <v>No</v>
      </c>
    </row>
    <row r="89" spans="1:17" x14ac:dyDescent="0.25">
      <c r="A89" s="140">
        <v>9013526102</v>
      </c>
      <c r="B89" s="39" t="s">
        <v>2780</v>
      </c>
      <c r="C89" s="39" t="s">
        <v>944</v>
      </c>
      <c r="D89" s="41">
        <v>27938.370242879999</v>
      </c>
      <c r="E89" s="37">
        <v>2.4785920705761683E-4</v>
      </c>
      <c r="F89" s="38">
        <v>1560</v>
      </c>
      <c r="G89" s="37">
        <v>1.9086057251519507E-5</v>
      </c>
      <c r="H89" s="38">
        <v>0</v>
      </c>
      <c r="I89" s="37">
        <v>0</v>
      </c>
      <c r="J89" s="42">
        <v>0</v>
      </c>
      <c r="K89" s="37">
        <v>0</v>
      </c>
      <c r="L89" s="38">
        <v>27938.370242879999</v>
      </c>
      <c r="M89" s="37">
        <v>2.4785920705761683E-4</v>
      </c>
      <c r="N89" s="42">
        <v>1560</v>
      </c>
      <c r="O89" s="40">
        <v>1.9086057251519507E-5</v>
      </c>
      <c r="P89">
        <f>VLOOKUP(Table32[[#This Row],[Census Tract]],'Population and Diversity Data'!$B$2:$K$823,10,FALSE)</f>
        <v>1</v>
      </c>
      <c r="Q89" t="str">
        <f>VLOOKUP(Table32[[#This Row],[Census Tract]],'ES Energy Burden'!$B$2:$E$914,4,FALSE)</f>
        <v>No</v>
      </c>
    </row>
    <row r="90" spans="1:17" x14ac:dyDescent="0.25">
      <c r="A90" s="140">
        <v>9005266100</v>
      </c>
      <c r="B90" s="39" t="s">
        <v>2781</v>
      </c>
      <c r="C90" s="39" t="s">
        <v>944</v>
      </c>
      <c r="D90" s="41">
        <v>16631.556992639998</v>
      </c>
      <c r="E90" s="37">
        <v>1.475492125164267E-4</v>
      </c>
      <c r="F90" s="38">
        <v>8086.52</v>
      </c>
      <c r="G90" s="37">
        <v>9.8935758772793295E-5</v>
      </c>
      <c r="H90" s="38">
        <v>0</v>
      </c>
      <c r="I90" s="37">
        <v>0</v>
      </c>
      <c r="J90" s="42">
        <v>0</v>
      </c>
      <c r="K90" s="37">
        <v>0</v>
      </c>
      <c r="L90" s="38">
        <v>16631.556992639998</v>
      </c>
      <c r="M90" s="37">
        <v>1.475492125164267E-4</v>
      </c>
      <c r="N90" s="42">
        <v>8086.52</v>
      </c>
      <c r="O90" s="40">
        <v>9.8935758772793295E-5</v>
      </c>
      <c r="P90">
        <f>VLOOKUP(Table32[[#This Row],[Census Tract]],'Population and Diversity Data'!$B$2:$K$823,10,FALSE)</f>
        <v>2</v>
      </c>
      <c r="Q90" t="str">
        <f>VLOOKUP(Table32[[#This Row],[Census Tract]],'ES Energy Burden'!$B$2:$E$914,4,FALSE)</f>
        <v>No</v>
      </c>
    </row>
    <row r="91" spans="1:17" x14ac:dyDescent="0.25">
      <c r="A91" s="140">
        <v>9015904100</v>
      </c>
      <c r="B91" s="39" t="s">
        <v>2782</v>
      </c>
      <c r="C91" s="39" t="s">
        <v>944</v>
      </c>
      <c r="D91" s="41">
        <v>462127.05953567999</v>
      </c>
      <c r="E91" s="37">
        <v>4.0998256355190407E-3</v>
      </c>
      <c r="F91" s="38">
        <v>263899.18160000001</v>
      </c>
      <c r="G91" s="37">
        <v>3.2287146722094514E-3</v>
      </c>
      <c r="H91" s="38">
        <v>0</v>
      </c>
      <c r="I91" s="37">
        <v>0</v>
      </c>
      <c r="J91" s="42">
        <v>0</v>
      </c>
      <c r="K91" s="37">
        <v>0</v>
      </c>
      <c r="L91" s="38">
        <v>462127.05953567999</v>
      </c>
      <c r="M91" s="37">
        <v>4.0998256355190407E-3</v>
      </c>
      <c r="N91" s="42">
        <v>263899.18160000001</v>
      </c>
      <c r="O91" s="40">
        <v>3.2287146722094514E-3</v>
      </c>
      <c r="P91">
        <f>VLOOKUP(Table32[[#This Row],[Census Tract]],'Population and Diversity Data'!$B$2:$K$823,10,FALSE)</f>
        <v>2</v>
      </c>
      <c r="Q91" t="str">
        <f>VLOOKUP(Table32[[#This Row],[Census Tract]],'ES Energy Burden'!$B$2:$E$914,4,FALSE)</f>
        <v>No</v>
      </c>
    </row>
    <row r="92" spans="1:17" x14ac:dyDescent="0.25">
      <c r="A92" s="140">
        <v>9015904500</v>
      </c>
      <c r="B92" s="39" t="s">
        <v>2782</v>
      </c>
      <c r="C92" s="39" t="s">
        <v>944</v>
      </c>
      <c r="D92" s="41">
        <v>3.4593868800000003</v>
      </c>
      <c r="E92" s="37">
        <v>3.0690440477673861E-8</v>
      </c>
      <c r="F92" s="38">
        <v>0</v>
      </c>
      <c r="G92" s="37">
        <v>0</v>
      </c>
      <c r="H92" s="38">
        <v>0</v>
      </c>
      <c r="I92" s="37">
        <v>0</v>
      </c>
      <c r="J92" s="42">
        <v>0</v>
      </c>
      <c r="K92" s="37">
        <v>0</v>
      </c>
      <c r="L92" s="38">
        <v>3.4593868800000003</v>
      </c>
      <c r="M92" s="37">
        <v>3.0690440477673861E-8</v>
      </c>
      <c r="N92" s="42">
        <v>0</v>
      </c>
      <c r="O92" s="40">
        <v>0</v>
      </c>
      <c r="P92">
        <f>VLOOKUP(Table32[[#This Row],[Census Tract]],'Population and Diversity Data'!$B$2:$K$823,10,FALSE)</f>
        <v>5</v>
      </c>
      <c r="Q92" t="str">
        <f>VLOOKUP(Table32[[#This Row],[Census Tract]],'ES Energy Burden'!$B$2:$E$914,4,FALSE)</f>
        <v>No</v>
      </c>
    </row>
    <row r="93" spans="1:17" x14ac:dyDescent="0.25">
      <c r="A93" s="140">
        <v>9007640100</v>
      </c>
      <c r="B93" s="39" t="s">
        <v>2783</v>
      </c>
      <c r="C93" s="39" t="s">
        <v>944</v>
      </c>
      <c r="D93" s="41">
        <v>8483.9992876800006</v>
      </c>
      <c r="E93" s="37">
        <v>7.5267000825062521E-5</v>
      </c>
      <c r="F93" s="38">
        <v>0</v>
      </c>
      <c r="G93" s="37">
        <v>0</v>
      </c>
      <c r="H93" s="38">
        <v>0</v>
      </c>
      <c r="I93" s="37">
        <v>0</v>
      </c>
      <c r="J93" s="42">
        <v>0</v>
      </c>
      <c r="K93" s="37">
        <v>0</v>
      </c>
      <c r="L93" s="38">
        <v>8483.9992876800006</v>
      </c>
      <c r="M93" s="37">
        <v>7.5267000825062521E-5</v>
      </c>
      <c r="N93" s="42">
        <v>0</v>
      </c>
      <c r="O93" s="40">
        <v>0</v>
      </c>
      <c r="P93">
        <f>VLOOKUP(Table32[[#This Row],[Census Tract]],'Population and Diversity Data'!$B$2:$K$823,10,FALSE)</f>
        <v>1</v>
      </c>
      <c r="Q93" t="str">
        <f>VLOOKUP(Table32[[#This Row],[Census Tract]],'ES Energy Burden'!$B$2:$E$914,4,FALSE)</f>
        <v>No</v>
      </c>
    </row>
    <row r="94" spans="1:17" x14ac:dyDescent="0.25">
      <c r="A94" s="140">
        <v>9011870100</v>
      </c>
      <c r="B94" s="39" t="s">
        <v>2784</v>
      </c>
      <c r="C94" s="39" t="s">
        <v>944</v>
      </c>
      <c r="D94" s="41">
        <v>49094.46720864001</v>
      </c>
      <c r="E94" s="37">
        <v>4.3554851651916924E-4</v>
      </c>
      <c r="F94" s="38">
        <v>53142</v>
      </c>
      <c r="G94" s="37">
        <v>6.5017388106426266E-4</v>
      </c>
      <c r="H94" s="38">
        <v>0</v>
      </c>
      <c r="I94" s="37">
        <v>0</v>
      </c>
      <c r="J94" s="42">
        <v>0</v>
      </c>
      <c r="K94" s="37">
        <v>0</v>
      </c>
      <c r="L94" s="38">
        <v>49094.46720864001</v>
      </c>
      <c r="M94" s="37">
        <v>4.3554851651916924E-4</v>
      </c>
      <c r="N94" s="42">
        <v>53142</v>
      </c>
      <c r="O94" s="40">
        <v>6.5017388106426266E-4</v>
      </c>
      <c r="P94">
        <f>VLOOKUP(Table32[[#This Row],[Census Tract]],'Population and Diversity Data'!$B$2:$K$823,10,FALSE)</f>
        <v>1</v>
      </c>
      <c r="Q94" t="str">
        <f>VLOOKUP(Table32[[#This Row],[Census Tract]],'ES Energy Burden'!$B$2:$E$914,4,FALSE)</f>
        <v>No</v>
      </c>
    </row>
    <row r="95" spans="1:17" x14ac:dyDescent="0.25">
      <c r="A95" s="140">
        <v>9011701100</v>
      </c>
      <c r="B95" s="39" t="s">
        <v>2785</v>
      </c>
      <c r="C95" s="39" t="s">
        <v>944</v>
      </c>
      <c r="D95" s="41">
        <v>1086552.1170777599</v>
      </c>
      <c r="E95" s="37">
        <v>9.639500938115806E-3</v>
      </c>
      <c r="F95" s="38">
        <v>381914.04639999999</v>
      </c>
      <c r="G95" s="37">
        <v>4.6725854838140244E-3</v>
      </c>
      <c r="H95" s="38">
        <v>0</v>
      </c>
      <c r="I95" s="37">
        <v>0</v>
      </c>
      <c r="J95" s="42">
        <v>0</v>
      </c>
      <c r="K95" s="37">
        <v>0</v>
      </c>
      <c r="L95" s="38">
        <v>1086552.1170777599</v>
      </c>
      <c r="M95" s="37">
        <v>9.639500938115806E-3</v>
      </c>
      <c r="N95" s="42">
        <v>381914.04639999999</v>
      </c>
      <c r="O95" s="40">
        <v>4.6725854838140244E-3</v>
      </c>
      <c r="P95">
        <f>VLOOKUP(Table32[[#This Row],[Census Tract]],'Population and Diversity Data'!$B$2:$K$823,10,FALSE)</f>
        <v>4</v>
      </c>
      <c r="Q95" t="str">
        <f>VLOOKUP(Table32[[#This Row],[Census Tract]],'ES Energy Burden'!$B$2:$E$914,4,FALSE)</f>
        <v>No</v>
      </c>
    </row>
    <row r="96" spans="1:17" x14ac:dyDescent="0.25">
      <c r="A96" s="140">
        <v>9003496200</v>
      </c>
      <c r="B96" s="39" t="s">
        <v>2786</v>
      </c>
      <c r="C96" s="39" t="s">
        <v>944</v>
      </c>
      <c r="D96" s="41">
        <v>25047.040622400003</v>
      </c>
      <c r="E96" s="37">
        <v>2.2220836698196836E-4</v>
      </c>
      <c r="F96" s="38">
        <v>0</v>
      </c>
      <c r="G96" s="37">
        <v>0</v>
      </c>
      <c r="H96" s="38">
        <v>0</v>
      </c>
      <c r="I96" s="37">
        <v>0</v>
      </c>
      <c r="J96" s="42">
        <v>0</v>
      </c>
      <c r="K96" s="37">
        <v>0</v>
      </c>
      <c r="L96" s="38">
        <v>25047.040622400003</v>
      </c>
      <c r="M96" s="37">
        <v>2.2220836698196836E-4</v>
      </c>
      <c r="N96" s="42">
        <v>0</v>
      </c>
      <c r="O96" s="40">
        <v>0</v>
      </c>
      <c r="P96">
        <f>VLOOKUP(Table32[[#This Row],[Census Tract]],'Population and Diversity Data'!$B$2:$K$823,10,FALSE)</f>
        <v>5</v>
      </c>
      <c r="Q96" t="str">
        <f>VLOOKUP(Table32[[#This Row],[Census Tract]],'ES Energy Burden'!$B$2:$E$914,4,FALSE)</f>
        <v>No</v>
      </c>
    </row>
    <row r="97" spans="1:17" x14ac:dyDescent="0.25">
      <c r="A97" s="140">
        <v>9011710100</v>
      </c>
      <c r="B97" s="39" t="s">
        <v>2786</v>
      </c>
      <c r="C97" s="39" t="s">
        <v>944</v>
      </c>
      <c r="D97" s="41">
        <v>44054.875702079997</v>
      </c>
      <c r="E97" s="37">
        <v>3.9083906697536138E-4</v>
      </c>
      <c r="F97" s="38">
        <v>187423.7506</v>
      </c>
      <c r="G97" s="37">
        <v>2.2930643809269961E-3</v>
      </c>
      <c r="H97" s="38">
        <v>0</v>
      </c>
      <c r="I97" s="37">
        <v>0</v>
      </c>
      <c r="J97" s="42">
        <v>0</v>
      </c>
      <c r="K97" s="37">
        <v>0</v>
      </c>
      <c r="L97" s="38">
        <v>44054.875702079997</v>
      </c>
      <c r="M97" s="37">
        <v>3.9083906697536138E-4</v>
      </c>
      <c r="N97" s="42">
        <v>187423.7506</v>
      </c>
      <c r="O97" s="40">
        <v>2.2930643809269961E-3</v>
      </c>
      <c r="P97">
        <f>VLOOKUP(Table32[[#This Row],[Census Tract]],'Population and Diversity Data'!$B$2:$K$823,10,FALSE)</f>
        <v>3</v>
      </c>
      <c r="Q97" t="str">
        <f>VLOOKUP(Table32[[#This Row],[Census Tract]],'ES Energy Burden'!$B$2:$E$914,4,FALSE)</f>
        <v>No</v>
      </c>
    </row>
    <row r="98" spans="1:17" x14ac:dyDescent="0.25">
      <c r="A98" s="140">
        <v>9005300400</v>
      </c>
      <c r="B98" s="39" t="s">
        <v>2787</v>
      </c>
      <c r="C98" s="39" t="s">
        <v>944</v>
      </c>
      <c r="D98" s="41">
        <v>2.7074217599999999</v>
      </c>
      <c r="E98" s="37">
        <v>2.4019275454163426E-8</v>
      </c>
      <c r="F98" s="38">
        <v>0</v>
      </c>
      <c r="G98" s="37">
        <v>0</v>
      </c>
      <c r="H98" s="38">
        <v>0</v>
      </c>
      <c r="I98" s="37">
        <v>0</v>
      </c>
      <c r="J98" s="42">
        <v>0</v>
      </c>
      <c r="K98" s="37">
        <v>0</v>
      </c>
      <c r="L98" s="38">
        <v>2.7074217599999999</v>
      </c>
      <c r="M98" s="37">
        <v>2.4019275454163426E-8</v>
      </c>
      <c r="N98" s="42">
        <v>0</v>
      </c>
      <c r="O98" s="40">
        <v>0</v>
      </c>
      <c r="P98">
        <f>VLOOKUP(Table32[[#This Row],[Census Tract]],'Population and Diversity Data'!$B$2:$K$823,10,FALSE)</f>
        <v>2</v>
      </c>
      <c r="Q98" t="str">
        <f>VLOOKUP(Table32[[#This Row],[Census Tract]],'ES Energy Burden'!$B$2:$E$914,4,FALSE)</f>
        <v>No</v>
      </c>
    </row>
    <row r="99" spans="1:17" x14ac:dyDescent="0.25">
      <c r="A99" s="140">
        <v>9005300500</v>
      </c>
      <c r="B99" s="39" t="s">
        <v>2787</v>
      </c>
      <c r="C99" s="39" t="s">
        <v>944</v>
      </c>
      <c r="D99" s="41">
        <v>47870.637897600005</v>
      </c>
      <c r="E99" s="37">
        <v>4.2469114151943928E-4</v>
      </c>
      <c r="F99" s="38">
        <v>18227.0638</v>
      </c>
      <c r="G99" s="37">
        <v>2.2300178411147355E-4</v>
      </c>
      <c r="H99" s="38">
        <v>0</v>
      </c>
      <c r="I99" s="37">
        <v>0</v>
      </c>
      <c r="J99" s="42">
        <v>0</v>
      </c>
      <c r="K99" s="37">
        <v>0</v>
      </c>
      <c r="L99" s="38">
        <v>47870.637897600005</v>
      </c>
      <c r="M99" s="37">
        <v>4.2469114151943928E-4</v>
      </c>
      <c r="N99" s="42">
        <v>18227.0638</v>
      </c>
      <c r="O99" s="40">
        <v>2.2300178411147355E-4</v>
      </c>
      <c r="P99">
        <f>VLOOKUP(Table32[[#This Row],[Census Tract]],'Population and Diversity Data'!$B$2:$K$823,10,FALSE)</f>
        <v>1</v>
      </c>
      <c r="Q99" t="str">
        <f>VLOOKUP(Table32[[#This Row],[Census Tract]],'ES Energy Burden'!$B$2:$E$914,4,FALSE)</f>
        <v>No</v>
      </c>
    </row>
    <row r="100" spans="1:17" x14ac:dyDescent="0.25">
      <c r="A100" s="140">
        <v>9011650100</v>
      </c>
      <c r="B100" s="39" t="s">
        <v>2788</v>
      </c>
      <c r="C100" s="39" t="s">
        <v>944</v>
      </c>
      <c r="D100" s="41">
        <v>711.01341216000003</v>
      </c>
      <c r="E100" s="37">
        <v>6.3078561495626275E-6</v>
      </c>
      <c r="F100" s="38">
        <v>0</v>
      </c>
      <c r="G100" s="37">
        <v>0</v>
      </c>
      <c r="H100" s="38">
        <v>0</v>
      </c>
      <c r="I100" s="37">
        <v>0</v>
      </c>
      <c r="J100" s="42">
        <v>0</v>
      </c>
      <c r="K100" s="37">
        <v>0</v>
      </c>
      <c r="L100" s="38">
        <v>711.01341216000003</v>
      </c>
      <c r="M100" s="37">
        <v>6.3078561495626275E-6</v>
      </c>
      <c r="N100" s="42">
        <v>0</v>
      </c>
      <c r="O100" s="40">
        <v>0</v>
      </c>
      <c r="P100">
        <f>VLOOKUP(Table32[[#This Row],[Census Tract]],'Population and Diversity Data'!$B$2:$K$823,10,FALSE)</f>
        <v>1</v>
      </c>
      <c r="Q100" t="str">
        <f>VLOOKUP(Table32[[#This Row],[Census Tract]],'ES Energy Burden'!$B$2:$E$914,4,FALSE)</f>
        <v>No</v>
      </c>
    </row>
    <row r="101" spans="1:17" x14ac:dyDescent="0.25">
      <c r="A101" s="140">
        <v>9009194201</v>
      </c>
      <c r="B101" s="39" t="s">
        <v>2789</v>
      </c>
      <c r="C101" s="39" t="s">
        <v>944</v>
      </c>
      <c r="D101" s="41">
        <v>59820.063520320007</v>
      </c>
      <c r="E101" s="37">
        <v>5.307021627026147E-4</v>
      </c>
      <c r="F101" s="38">
        <v>45275.3102</v>
      </c>
      <c r="G101" s="37">
        <v>5.5392766830609304E-4</v>
      </c>
      <c r="H101" s="38">
        <v>0</v>
      </c>
      <c r="I101" s="37">
        <v>0</v>
      </c>
      <c r="J101" s="42">
        <v>0</v>
      </c>
      <c r="K101" s="37">
        <v>0</v>
      </c>
      <c r="L101" s="38">
        <v>59820.063520320007</v>
      </c>
      <c r="M101" s="37">
        <v>5.307021627026147E-4</v>
      </c>
      <c r="N101" s="42">
        <v>45275.3102</v>
      </c>
      <c r="O101" s="40">
        <v>5.5392766830609304E-4</v>
      </c>
      <c r="P101">
        <f>VLOOKUP(Table32[[#This Row],[Census Tract]],'Population and Diversity Data'!$B$2:$K$823,10,FALSE)</f>
        <v>3</v>
      </c>
      <c r="Q101" t="str">
        <f>VLOOKUP(Table32[[#This Row],[Census Tract]],'ES Energy Burden'!$B$2:$E$914,4,FALSE)</f>
        <v>No</v>
      </c>
    </row>
    <row r="102" spans="1:17" x14ac:dyDescent="0.25">
      <c r="A102" s="140">
        <v>9003514102</v>
      </c>
      <c r="B102" s="39" t="s">
        <v>2790</v>
      </c>
      <c r="C102" s="39" t="s">
        <v>944</v>
      </c>
      <c r="D102" s="41">
        <v>1024813.19313216</v>
      </c>
      <c r="E102" s="37">
        <v>9.091775333482632E-3</v>
      </c>
      <c r="F102" s="38">
        <v>937033.15350000001</v>
      </c>
      <c r="G102" s="37">
        <v>1.146427462453389E-2</v>
      </c>
      <c r="H102" s="38">
        <v>0</v>
      </c>
      <c r="I102" s="37">
        <v>0</v>
      </c>
      <c r="J102" s="42">
        <v>0</v>
      </c>
      <c r="K102" s="37">
        <v>0</v>
      </c>
      <c r="L102" s="38">
        <v>1024813.19313216</v>
      </c>
      <c r="M102" s="37">
        <v>9.091775333482632E-3</v>
      </c>
      <c r="N102" s="42">
        <v>937033.15350000001</v>
      </c>
      <c r="O102" s="40">
        <v>1.146427462453389E-2</v>
      </c>
      <c r="P102">
        <f>VLOOKUP(Table32[[#This Row],[Census Tract]],'Population and Diversity Data'!$B$2:$K$823,10,FALSE)</f>
        <v>5</v>
      </c>
      <c r="Q102" t="str">
        <f>VLOOKUP(Table32[[#This Row],[Census Tract]],'ES Energy Burden'!$B$2:$E$914,4,FALSE)</f>
        <v>No</v>
      </c>
    </row>
    <row r="103" spans="1:17" x14ac:dyDescent="0.25">
      <c r="A103" s="140">
        <v>9003515101</v>
      </c>
      <c r="B103" s="39" t="s">
        <v>2790</v>
      </c>
      <c r="C103" s="39" t="s">
        <v>944</v>
      </c>
      <c r="D103" s="41">
        <v>4.9476873600000006</v>
      </c>
      <c r="E103" s="37">
        <v>4.3894108896030538E-8</v>
      </c>
      <c r="F103" s="38">
        <v>0</v>
      </c>
      <c r="G103" s="37">
        <v>0</v>
      </c>
      <c r="H103" s="38">
        <v>0</v>
      </c>
      <c r="I103" s="37">
        <v>0</v>
      </c>
      <c r="J103" s="42">
        <v>0</v>
      </c>
      <c r="K103" s="37">
        <v>0</v>
      </c>
      <c r="L103" s="38">
        <v>4.9476873600000006</v>
      </c>
      <c r="M103" s="37">
        <v>4.3894108896030538E-8</v>
      </c>
      <c r="N103" s="42">
        <v>0</v>
      </c>
      <c r="O103" s="40">
        <v>0</v>
      </c>
      <c r="P103">
        <f>VLOOKUP(Table32[[#This Row],[Census Tract]],'Population and Diversity Data'!$B$2:$K$823,10,FALSE)</f>
        <v>3</v>
      </c>
      <c r="Q103" t="str">
        <f>VLOOKUP(Table32[[#This Row],[Census Tract]],'ES Energy Burden'!$B$2:$E$914,4,FALSE)</f>
        <v>No</v>
      </c>
    </row>
    <row r="104" spans="1:17" x14ac:dyDescent="0.25">
      <c r="A104" s="140">
        <v>9013881300</v>
      </c>
      <c r="B104" s="39" t="s">
        <v>2791</v>
      </c>
      <c r="C104" s="39" t="s">
        <v>944</v>
      </c>
      <c r="D104" s="41">
        <v>265.23934272000002</v>
      </c>
      <c r="E104" s="37">
        <v>2.3531083808947953E-6</v>
      </c>
      <c r="F104" s="38">
        <v>0</v>
      </c>
      <c r="G104" s="37">
        <v>0</v>
      </c>
      <c r="H104" s="38">
        <v>0</v>
      </c>
      <c r="I104" s="37">
        <v>0</v>
      </c>
      <c r="J104" s="42">
        <v>0</v>
      </c>
      <c r="K104" s="37">
        <v>0</v>
      </c>
      <c r="L104" s="38">
        <v>265.23934272000002</v>
      </c>
      <c r="M104" s="37">
        <v>2.3531083808947953E-6</v>
      </c>
      <c r="N104" s="42">
        <v>0</v>
      </c>
      <c r="O104" s="40">
        <v>0</v>
      </c>
      <c r="P104">
        <f>VLOOKUP(Table32[[#This Row],[Census Tract]],'Population and Diversity Data'!$B$2:$K$823,10,FALSE)</f>
        <v>4</v>
      </c>
      <c r="Q104" t="str">
        <f>VLOOKUP(Table32[[#This Row],[Census Tract]],'ES Energy Burden'!$B$2:$E$914,4,FALSE)</f>
        <v>No</v>
      </c>
    </row>
    <row r="105" spans="1:17" x14ac:dyDescent="0.25">
      <c r="A105" s="140">
        <v>9013881500</v>
      </c>
      <c r="B105" s="39" t="s">
        <v>2791</v>
      </c>
      <c r="C105" s="39" t="s">
        <v>944</v>
      </c>
      <c r="D105" s="41">
        <v>99639.411456960006</v>
      </c>
      <c r="E105" s="37">
        <v>8.8396514545094362E-4</v>
      </c>
      <c r="F105" s="38">
        <v>858796.32059999998</v>
      </c>
      <c r="G105" s="37">
        <v>1.0507074193824297E-2</v>
      </c>
      <c r="H105" s="38">
        <v>0</v>
      </c>
      <c r="I105" s="37">
        <v>0</v>
      </c>
      <c r="J105" s="42">
        <v>0</v>
      </c>
      <c r="K105" s="37">
        <v>0</v>
      </c>
      <c r="L105" s="38">
        <v>99639.411456960006</v>
      </c>
      <c r="M105" s="37">
        <v>8.8396514545094362E-4</v>
      </c>
      <c r="N105" s="42">
        <v>858796.32059999998</v>
      </c>
      <c r="O105" s="40">
        <v>1.0507074193824297E-2</v>
      </c>
      <c r="P105">
        <f>VLOOKUP(Table32[[#This Row],[Census Tract]],'Population and Diversity Data'!$B$2:$K$823,10,FALSE)</f>
        <v>4</v>
      </c>
      <c r="Q105" t="str">
        <f>VLOOKUP(Table32[[#This Row],[Census Tract]],'ES Energy Burden'!$B$2:$E$914,4,FALSE)</f>
        <v>No</v>
      </c>
    </row>
    <row r="106" spans="1:17" x14ac:dyDescent="0.25">
      <c r="A106" s="140">
        <v>9003524100</v>
      </c>
      <c r="B106" s="39" t="s">
        <v>2792</v>
      </c>
      <c r="C106" s="39" t="s">
        <v>944</v>
      </c>
      <c r="D106" s="41">
        <v>29367.331470720004</v>
      </c>
      <c r="E106" s="37">
        <v>2.6053643889932619E-4</v>
      </c>
      <c r="F106" s="38">
        <v>800</v>
      </c>
      <c r="G106" s="37">
        <v>9.7877216674459013E-6</v>
      </c>
      <c r="H106" s="38">
        <v>0</v>
      </c>
      <c r="I106" s="37">
        <v>0</v>
      </c>
      <c r="J106" s="42">
        <v>0</v>
      </c>
      <c r="K106" s="37">
        <v>0</v>
      </c>
      <c r="L106" s="38">
        <v>29367.331470720004</v>
      </c>
      <c r="M106" s="37">
        <v>2.6053643889932619E-4</v>
      </c>
      <c r="N106" s="42">
        <v>800</v>
      </c>
      <c r="O106" s="40">
        <v>9.7877216674459013E-6</v>
      </c>
      <c r="P106">
        <f>VLOOKUP(Table32[[#This Row],[Census Tract]],'Population and Diversity Data'!$B$2:$K$823,10,FALSE)</f>
        <v>1</v>
      </c>
      <c r="Q106" t="str">
        <f>VLOOKUP(Table32[[#This Row],[Census Tract]],'ES Energy Burden'!$B$2:$E$914,4,FALSE)</f>
        <v>No</v>
      </c>
    </row>
    <row r="107" spans="1:17" x14ac:dyDescent="0.25">
      <c r="A107" s="140">
        <v>9009171200</v>
      </c>
      <c r="B107" s="39" t="s">
        <v>989</v>
      </c>
      <c r="C107" s="39" t="s">
        <v>944</v>
      </c>
      <c r="D107" s="41">
        <v>915321.75754175987</v>
      </c>
      <c r="E107" s="37">
        <v>8.1204065611057662E-3</v>
      </c>
      <c r="F107" s="38">
        <v>446006.51579999999</v>
      </c>
      <c r="G107" s="37">
        <v>5.4567345481471409E-3</v>
      </c>
      <c r="H107" s="38">
        <v>0</v>
      </c>
      <c r="I107" s="37">
        <v>0</v>
      </c>
      <c r="J107" s="42">
        <v>0</v>
      </c>
      <c r="K107" s="37">
        <v>0</v>
      </c>
      <c r="L107" s="38">
        <v>915321.75754175987</v>
      </c>
      <c r="M107" s="37">
        <v>8.1204065611057662E-3</v>
      </c>
      <c r="N107" s="42">
        <v>446006.51579999999</v>
      </c>
      <c r="O107" s="40">
        <v>5.4567345481471409E-3</v>
      </c>
      <c r="P107">
        <f>VLOOKUP(Table32[[#This Row],[Census Tract]],'Population and Diversity Data'!$B$2:$K$823,10,FALSE)</f>
        <v>3</v>
      </c>
      <c r="Q107" t="str">
        <f>VLOOKUP(Table32[[#This Row],[Census Tract]],'ES Energy Burden'!$B$2:$E$914,4,FALSE)</f>
        <v>No</v>
      </c>
    </row>
    <row r="108" spans="1:17" x14ac:dyDescent="0.25">
      <c r="A108" s="140">
        <v>9009171300</v>
      </c>
      <c r="B108" s="39" t="s">
        <v>989</v>
      </c>
      <c r="C108" s="39" t="s">
        <v>944</v>
      </c>
      <c r="D108" s="41">
        <v>5284.2626639999999</v>
      </c>
      <c r="E108" s="37">
        <v>4.6880084356996315E-5</v>
      </c>
      <c r="F108" s="38">
        <v>74012.543999999994</v>
      </c>
      <c r="G108" s="37">
        <v>9.0551772571449143E-4</v>
      </c>
      <c r="H108" s="38">
        <v>0</v>
      </c>
      <c r="I108" s="37">
        <v>0</v>
      </c>
      <c r="J108" s="42">
        <v>0</v>
      </c>
      <c r="K108" s="37">
        <v>0</v>
      </c>
      <c r="L108" s="38">
        <v>5284.2626639999999</v>
      </c>
      <c r="M108" s="37">
        <v>4.6880084356996315E-5</v>
      </c>
      <c r="N108" s="42">
        <v>74012.543999999994</v>
      </c>
      <c r="O108" s="40">
        <v>9.0551772571449143E-4</v>
      </c>
      <c r="P108">
        <f>VLOOKUP(Table32[[#This Row],[Census Tract]],'Population and Diversity Data'!$B$2:$K$823,10,FALSE)</f>
        <v>2</v>
      </c>
      <c r="Q108" t="str">
        <f>VLOOKUP(Table32[[#This Row],[Census Tract]],'ES Energy Burden'!$B$2:$E$914,4,FALSE)</f>
        <v>No</v>
      </c>
    </row>
    <row r="109" spans="1:17" x14ac:dyDescent="0.25">
      <c r="A109" s="140">
        <v>9009171700</v>
      </c>
      <c r="B109" s="39" t="s">
        <v>989</v>
      </c>
      <c r="C109" s="39" t="s">
        <v>944</v>
      </c>
      <c r="D109" s="41">
        <v>18.500425919999998</v>
      </c>
      <c r="E109" s="37">
        <v>1.6412914779551183E-7</v>
      </c>
      <c r="F109" s="38">
        <v>0</v>
      </c>
      <c r="G109" s="37">
        <v>0</v>
      </c>
      <c r="H109" s="38">
        <v>0</v>
      </c>
      <c r="I109" s="37">
        <v>0</v>
      </c>
      <c r="J109" s="42">
        <v>0</v>
      </c>
      <c r="K109" s="37">
        <v>0</v>
      </c>
      <c r="L109" s="38">
        <v>18.500425919999998</v>
      </c>
      <c r="M109" s="37">
        <v>1.6412914779551183E-7</v>
      </c>
      <c r="N109" s="42">
        <v>0</v>
      </c>
      <c r="O109" s="40">
        <v>0</v>
      </c>
      <c r="P109">
        <f>VLOOKUP(Table32[[#This Row],[Census Tract]],'Population and Diversity Data'!$B$2:$K$823,10,FALSE)</f>
        <v>2</v>
      </c>
      <c r="Q109" t="str">
        <f>VLOOKUP(Table32[[#This Row],[Census Tract]],'ES Energy Burden'!$B$2:$E$914,4,FALSE)</f>
        <v>No</v>
      </c>
    </row>
    <row r="110" spans="1:17" x14ac:dyDescent="0.25">
      <c r="A110" s="140">
        <v>9009344100</v>
      </c>
      <c r="B110" s="39" t="s">
        <v>2793</v>
      </c>
      <c r="C110" s="39" t="s">
        <v>944</v>
      </c>
      <c r="D110" s="41">
        <v>68058.342141120011</v>
      </c>
      <c r="E110" s="37">
        <v>6.0378921784290461E-4</v>
      </c>
      <c r="F110" s="38">
        <v>37848.43</v>
      </c>
      <c r="G110" s="37">
        <v>4.6306237298726188E-4</v>
      </c>
      <c r="H110" s="38">
        <v>0</v>
      </c>
      <c r="I110" s="37">
        <v>0</v>
      </c>
      <c r="J110" s="42">
        <v>0</v>
      </c>
      <c r="K110" s="37">
        <v>0</v>
      </c>
      <c r="L110" s="38">
        <v>68058.342141120011</v>
      </c>
      <c r="M110" s="37">
        <v>6.0378921784290461E-4</v>
      </c>
      <c r="N110" s="42">
        <v>37848.43</v>
      </c>
      <c r="O110" s="40">
        <v>4.6306237298726188E-4</v>
      </c>
      <c r="P110">
        <f>VLOOKUP(Table32[[#This Row],[Census Tract]],'Population and Diversity Data'!$B$2:$K$823,10,FALSE)</f>
        <v>2</v>
      </c>
      <c r="Q110" t="str">
        <f>VLOOKUP(Table32[[#This Row],[Census Tract]],'ES Energy Burden'!$B$2:$E$914,4,FALSE)</f>
        <v>No</v>
      </c>
    </row>
    <row r="111" spans="1:17" x14ac:dyDescent="0.25">
      <c r="A111" s="140">
        <v>9007580100</v>
      </c>
      <c r="B111" s="39" t="s">
        <v>2794</v>
      </c>
      <c r="C111" s="39" t="s">
        <v>944</v>
      </c>
      <c r="D111" s="41">
        <v>96305.562230400014</v>
      </c>
      <c r="E111" s="37">
        <v>8.5438843003908462E-4</v>
      </c>
      <c r="F111" s="38">
        <v>147031.02660000001</v>
      </c>
      <c r="G111" s="37">
        <v>1.7988734560495435E-3</v>
      </c>
      <c r="H111" s="38">
        <v>0</v>
      </c>
      <c r="I111" s="37">
        <v>0</v>
      </c>
      <c r="J111" s="42">
        <v>0</v>
      </c>
      <c r="K111" s="37">
        <v>0</v>
      </c>
      <c r="L111" s="38">
        <v>96305.562230400014</v>
      </c>
      <c r="M111" s="37">
        <v>8.5438843003908462E-4</v>
      </c>
      <c r="N111" s="42">
        <v>147031.02660000001</v>
      </c>
      <c r="O111" s="40">
        <v>1.7988734560495435E-3</v>
      </c>
      <c r="P111">
        <f>VLOOKUP(Table32[[#This Row],[Census Tract]],'Population and Diversity Data'!$B$2:$K$823,10,FALSE)</f>
        <v>1</v>
      </c>
      <c r="Q111" t="str">
        <f>VLOOKUP(Table32[[#This Row],[Census Tract]],'ES Energy Burden'!$B$2:$E$914,4,FALSE)</f>
        <v>No</v>
      </c>
    </row>
    <row r="112" spans="1:17" x14ac:dyDescent="0.25">
      <c r="A112" s="140">
        <v>9007541200</v>
      </c>
      <c r="B112" s="39" t="s">
        <v>2795</v>
      </c>
      <c r="C112" s="39" t="s">
        <v>944</v>
      </c>
      <c r="D112" s="41">
        <v>2.08917792</v>
      </c>
      <c r="E112" s="37">
        <v>1.8534437698113278E-8</v>
      </c>
      <c r="F112" s="38">
        <v>0</v>
      </c>
      <c r="G112" s="37">
        <v>0</v>
      </c>
      <c r="H112" s="38">
        <v>0</v>
      </c>
      <c r="I112" s="37">
        <v>0</v>
      </c>
      <c r="J112" s="42">
        <v>0</v>
      </c>
      <c r="K112" s="37">
        <v>0</v>
      </c>
      <c r="L112" s="38">
        <v>2.08917792</v>
      </c>
      <c r="M112" s="37">
        <v>1.8534437698113278E-8</v>
      </c>
      <c r="N112" s="42">
        <v>0</v>
      </c>
      <c r="O112" s="40">
        <v>0</v>
      </c>
      <c r="P112">
        <f>VLOOKUP(Table32[[#This Row],[Census Tract]],'Population and Diversity Data'!$B$2:$K$823,10,FALSE)</f>
        <v>4</v>
      </c>
      <c r="Q112" t="str">
        <f>VLOOKUP(Table32[[#This Row],[Census Tract]],'ES Energy Burden'!$B$2:$E$914,4,FALSE)</f>
        <v>No</v>
      </c>
    </row>
    <row r="113" spans="1:17" x14ac:dyDescent="0.25">
      <c r="A113" s="140">
        <v>9007541300</v>
      </c>
      <c r="B113" s="39" t="s">
        <v>2795</v>
      </c>
      <c r="C113" s="39" t="s">
        <v>944</v>
      </c>
      <c r="D113" s="41">
        <v>890452.79661600012</v>
      </c>
      <c r="E113" s="37">
        <v>7.8997780533646405E-3</v>
      </c>
      <c r="F113" s="38">
        <v>2538286.5921999998</v>
      </c>
      <c r="G113" s="37">
        <v>3.1055053345829198E-2</v>
      </c>
      <c r="H113" s="38">
        <v>0</v>
      </c>
      <c r="I113" s="37">
        <v>0</v>
      </c>
      <c r="J113" s="42">
        <v>0</v>
      </c>
      <c r="K113" s="37">
        <v>0</v>
      </c>
      <c r="L113" s="38">
        <v>890452.79661600012</v>
      </c>
      <c r="M113" s="37">
        <v>7.8997780533646405E-3</v>
      </c>
      <c r="N113" s="42">
        <v>2538286.5921999998</v>
      </c>
      <c r="O113" s="40">
        <v>3.1055053345829198E-2</v>
      </c>
      <c r="P113">
        <f>VLOOKUP(Table32[[#This Row],[Census Tract]],'Population and Diversity Data'!$B$2:$K$823,10,FALSE)</f>
        <v>4</v>
      </c>
      <c r="Q113" t="str">
        <f>VLOOKUP(Table32[[#This Row],[Census Tract]],'ES Energy Burden'!$B$2:$E$914,4,FALSE)</f>
        <v>No</v>
      </c>
    </row>
    <row r="114" spans="1:17" x14ac:dyDescent="0.25">
      <c r="A114" s="140">
        <v>9007541402</v>
      </c>
      <c r="B114" s="39" t="s">
        <v>2795</v>
      </c>
      <c r="C114" s="39" t="s">
        <v>944</v>
      </c>
      <c r="D114" s="41">
        <v>17574.062780159999</v>
      </c>
      <c r="E114" s="37">
        <v>1.5591078604813464E-4</v>
      </c>
      <c r="F114" s="38">
        <v>0</v>
      </c>
      <c r="G114" s="37">
        <v>0</v>
      </c>
      <c r="H114" s="38">
        <v>0</v>
      </c>
      <c r="I114" s="37">
        <v>0</v>
      </c>
      <c r="J114" s="42">
        <v>0</v>
      </c>
      <c r="K114" s="37">
        <v>0</v>
      </c>
      <c r="L114" s="38">
        <v>17574.062780159999</v>
      </c>
      <c r="M114" s="37">
        <v>1.5591078604813464E-4</v>
      </c>
      <c r="N114" s="42">
        <v>0</v>
      </c>
      <c r="O114" s="40">
        <v>0</v>
      </c>
      <c r="P114">
        <f>VLOOKUP(Table32[[#This Row],[Census Tract]],'Population and Diversity Data'!$B$2:$K$823,10,FALSE)</f>
        <v>2</v>
      </c>
      <c r="Q114" t="str">
        <f>VLOOKUP(Table32[[#This Row],[Census Tract]],'ES Energy Burden'!$B$2:$E$914,4,FALSE)</f>
        <v>No</v>
      </c>
    </row>
    <row r="115" spans="1:17" x14ac:dyDescent="0.25">
      <c r="A115" s="140">
        <v>9001100300</v>
      </c>
      <c r="B115" s="39" t="s">
        <v>2796</v>
      </c>
      <c r="C115" s="39" t="s">
        <v>944</v>
      </c>
      <c r="D115" s="41">
        <v>138587.41069344</v>
      </c>
      <c r="E115" s="37">
        <v>1.2294978348423298E-3</v>
      </c>
      <c r="F115" s="38">
        <v>27505.697700000001</v>
      </c>
      <c r="G115" s="37">
        <v>3.3652264169563366E-4</v>
      </c>
      <c r="H115" s="38">
        <v>0</v>
      </c>
      <c r="I115" s="37">
        <v>0</v>
      </c>
      <c r="J115" s="42">
        <v>0</v>
      </c>
      <c r="K115" s="37">
        <v>0</v>
      </c>
      <c r="L115" s="38">
        <v>138587.41069344</v>
      </c>
      <c r="M115" s="37">
        <v>1.2294978348423298E-3</v>
      </c>
      <c r="N115" s="42">
        <v>27505.697700000001</v>
      </c>
      <c r="O115" s="40">
        <v>3.3652264169563366E-4</v>
      </c>
      <c r="P115">
        <f>VLOOKUP(Table32[[#This Row],[Census Tract]],'Population and Diversity Data'!$B$2:$K$823,10,FALSE)</f>
        <v>2</v>
      </c>
      <c r="Q115" t="str">
        <f>VLOOKUP(Table32[[#This Row],[Census Tract]],'ES Energy Burden'!$B$2:$E$914,4,FALSE)</f>
        <v>No</v>
      </c>
    </row>
    <row r="116" spans="1:17" x14ac:dyDescent="0.25">
      <c r="A116" s="140">
        <v>9011695201</v>
      </c>
      <c r="B116" s="39" t="s">
        <v>2797</v>
      </c>
      <c r="C116" s="39" t="s">
        <v>944</v>
      </c>
      <c r="D116" s="41">
        <v>140997.76802496001</v>
      </c>
      <c r="E116" s="37">
        <v>1.2508816611615588E-3</v>
      </c>
      <c r="F116" s="38">
        <v>43157.768600000003</v>
      </c>
      <c r="G116" s="37">
        <v>5.2802028355604554E-4</v>
      </c>
      <c r="H116" s="38">
        <v>0</v>
      </c>
      <c r="I116" s="37">
        <v>0</v>
      </c>
      <c r="J116" s="42">
        <v>0</v>
      </c>
      <c r="K116" s="37">
        <v>0</v>
      </c>
      <c r="L116" s="38">
        <v>140997.76802496001</v>
      </c>
      <c r="M116" s="37">
        <v>1.2508816611615588E-3</v>
      </c>
      <c r="N116" s="42">
        <v>43157.768600000003</v>
      </c>
      <c r="O116" s="40">
        <v>5.2802028355604554E-4</v>
      </c>
      <c r="P116">
        <f>VLOOKUP(Table32[[#This Row],[Census Tract]],'Population and Diversity Data'!$B$2:$K$823,10,FALSE)</f>
        <v>3</v>
      </c>
      <c r="Q116" t="str">
        <f>VLOOKUP(Table32[[#This Row],[Census Tract]],'ES Energy Burden'!$B$2:$E$914,4,FALSE)</f>
        <v>No</v>
      </c>
    </row>
    <row r="117" spans="1:17" x14ac:dyDescent="0.25">
      <c r="A117" s="140">
        <v>9011695202</v>
      </c>
      <c r="B117" s="39" t="s">
        <v>2797</v>
      </c>
      <c r="C117" s="39" t="s">
        <v>944</v>
      </c>
      <c r="D117" s="41">
        <v>8.5471632</v>
      </c>
      <c r="E117" s="37">
        <v>7.5827368415805648E-8</v>
      </c>
      <c r="F117" s="38">
        <v>0</v>
      </c>
      <c r="G117" s="37">
        <v>0</v>
      </c>
      <c r="H117" s="38">
        <v>0</v>
      </c>
      <c r="I117" s="37">
        <v>0</v>
      </c>
      <c r="J117" s="42">
        <v>0</v>
      </c>
      <c r="K117" s="37">
        <v>0</v>
      </c>
      <c r="L117" s="38">
        <v>8.5471632</v>
      </c>
      <c r="M117" s="37">
        <v>7.5827368415805648E-8</v>
      </c>
      <c r="N117" s="42">
        <v>0</v>
      </c>
      <c r="O117" s="40">
        <v>0</v>
      </c>
      <c r="P117">
        <f>VLOOKUP(Table32[[#This Row],[Census Tract]],'Population and Diversity Data'!$B$2:$K$823,10,FALSE)</f>
        <v>3</v>
      </c>
      <c r="Q117" t="str">
        <f>VLOOKUP(Table32[[#This Row],[Census Tract]],'ES Energy Burden'!$B$2:$E$914,4,FALSE)</f>
        <v>No</v>
      </c>
    </row>
    <row r="118" spans="1:17" x14ac:dyDescent="0.25">
      <c r="A118" s="140">
        <v>9011870501</v>
      </c>
      <c r="B118" s="39" t="s">
        <v>2797</v>
      </c>
      <c r="C118" s="39" t="s">
        <v>944</v>
      </c>
      <c r="D118" s="41">
        <v>1833.5786659200003</v>
      </c>
      <c r="E118" s="37">
        <v>1.6266852728409033E-5</v>
      </c>
      <c r="F118" s="38">
        <v>0</v>
      </c>
      <c r="G118" s="37">
        <v>0</v>
      </c>
      <c r="H118" s="38">
        <v>0</v>
      </c>
      <c r="I118" s="37">
        <v>0</v>
      </c>
      <c r="J118" s="42">
        <v>0</v>
      </c>
      <c r="K118" s="37">
        <v>0</v>
      </c>
      <c r="L118" s="38">
        <v>1833.5786659200003</v>
      </c>
      <c r="M118" s="37">
        <v>1.6266852728409033E-5</v>
      </c>
      <c r="N118" s="42">
        <v>0</v>
      </c>
      <c r="O118" s="40">
        <v>0</v>
      </c>
      <c r="P118">
        <f>VLOOKUP(Table32[[#This Row],[Census Tract]],'Population and Diversity Data'!$B$2:$K$823,10,FALSE)</f>
        <v>5</v>
      </c>
      <c r="Q118" t="str">
        <f>VLOOKUP(Table32[[#This Row],[Census Tract]],'ES Energy Burden'!$B$2:$E$914,4,FALSE)</f>
        <v>No</v>
      </c>
    </row>
    <row r="119" spans="1:17" x14ac:dyDescent="0.25">
      <c r="A119" s="140">
        <v>9005303100</v>
      </c>
      <c r="B119" s="39" t="s">
        <v>2798</v>
      </c>
      <c r="C119" s="39" t="s">
        <v>944</v>
      </c>
      <c r="D119" s="41">
        <v>3854.3989622400004</v>
      </c>
      <c r="E119" s="37">
        <v>3.4194846090135669E-5</v>
      </c>
      <c r="F119" s="38">
        <v>0</v>
      </c>
      <c r="G119" s="37">
        <v>0</v>
      </c>
      <c r="H119" s="38">
        <v>0</v>
      </c>
      <c r="I119" s="37">
        <v>0</v>
      </c>
      <c r="J119" s="42">
        <v>0</v>
      </c>
      <c r="K119" s="37">
        <v>0</v>
      </c>
      <c r="L119" s="38">
        <v>3854.3989622400004</v>
      </c>
      <c r="M119" s="37">
        <v>3.4194846090135669E-5</v>
      </c>
      <c r="N119" s="42">
        <v>0</v>
      </c>
      <c r="O119" s="40">
        <v>0</v>
      </c>
      <c r="P119">
        <f>VLOOKUP(Table32[[#This Row],[Census Tract]],'Population and Diversity Data'!$B$2:$K$823,10,FALSE)</f>
        <v>1</v>
      </c>
      <c r="Q119" t="str">
        <f>VLOOKUP(Table32[[#This Row],[Census Tract]],'ES Energy Burden'!$B$2:$E$914,4,FALSE)</f>
        <v>No</v>
      </c>
    </row>
    <row r="120" spans="1:17" x14ac:dyDescent="0.25">
      <c r="A120" s="140">
        <v>9009345201</v>
      </c>
      <c r="B120" s="39" t="s">
        <v>2799</v>
      </c>
      <c r="C120" s="39" t="s">
        <v>944</v>
      </c>
      <c r="D120" s="41">
        <v>4.2015110399999998</v>
      </c>
      <c r="E120" s="37">
        <v>3.7274300031284616E-8</v>
      </c>
      <c r="F120" s="38">
        <v>0</v>
      </c>
      <c r="G120" s="37">
        <v>0</v>
      </c>
      <c r="H120" s="38">
        <v>0</v>
      </c>
      <c r="I120" s="37">
        <v>0</v>
      </c>
      <c r="J120" s="42">
        <v>0</v>
      </c>
      <c r="K120" s="37">
        <v>0</v>
      </c>
      <c r="L120" s="38">
        <v>4.2015110399999998</v>
      </c>
      <c r="M120" s="37">
        <v>3.7274300031284616E-8</v>
      </c>
      <c r="N120" s="42">
        <v>0</v>
      </c>
      <c r="O120" s="40">
        <v>0</v>
      </c>
      <c r="P120">
        <f>VLOOKUP(Table32[[#This Row],[Census Tract]],'Population and Diversity Data'!$B$2:$K$823,10,FALSE)</f>
        <v>4</v>
      </c>
      <c r="Q120" t="str">
        <f>VLOOKUP(Table32[[#This Row],[Census Tract]],'ES Energy Burden'!$B$2:$E$914,4,FALSE)</f>
        <v>No</v>
      </c>
    </row>
    <row r="121" spans="1:17" x14ac:dyDescent="0.25">
      <c r="A121" s="140">
        <v>9009345300</v>
      </c>
      <c r="B121" s="39" t="s">
        <v>2799</v>
      </c>
      <c r="C121" s="39" t="s">
        <v>944</v>
      </c>
      <c r="D121" s="41">
        <v>5.3245382399999999</v>
      </c>
      <c r="E121" s="37">
        <v>4.7237394831600425E-8</v>
      </c>
      <c r="F121" s="38">
        <v>0</v>
      </c>
      <c r="G121" s="37">
        <v>0</v>
      </c>
      <c r="H121" s="38">
        <v>0</v>
      </c>
      <c r="I121" s="37">
        <v>0</v>
      </c>
      <c r="J121" s="42">
        <v>0</v>
      </c>
      <c r="K121" s="37">
        <v>0</v>
      </c>
      <c r="L121" s="38">
        <v>5.3245382399999999</v>
      </c>
      <c r="M121" s="37">
        <v>4.7237394831600425E-8</v>
      </c>
      <c r="N121" s="42">
        <v>0</v>
      </c>
      <c r="O121" s="40">
        <v>0</v>
      </c>
      <c r="P121">
        <f>VLOOKUP(Table32[[#This Row],[Census Tract]],'Population and Diversity Data'!$B$2:$K$823,10,FALSE)</f>
        <v>4</v>
      </c>
      <c r="Q121" t="str">
        <f>VLOOKUP(Table32[[#This Row],[Census Tract]],'ES Energy Burden'!$B$2:$E$914,4,FALSE)</f>
        <v>No</v>
      </c>
    </row>
    <row r="122" spans="1:17" x14ac:dyDescent="0.25">
      <c r="A122" s="140">
        <v>9009345400</v>
      </c>
      <c r="B122" s="39" t="s">
        <v>2799</v>
      </c>
      <c r="C122" s="39" t="s">
        <v>944</v>
      </c>
      <c r="D122" s="41">
        <v>286458.57523295999</v>
      </c>
      <c r="E122" s="37">
        <v>2.5413578063019126E-3</v>
      </c>
      <c r="F122" s="38">
        <v>196744.7077</v>
      </c>
      <c r="G122" s="37">
        <v>2.4071030481382506E-3</v>
      </c>
      <c r="H122" s="38">
        <v>0</v>
      </c>
      <c r="I122" s="37">
        <v>0</v>
      </c>
      <c r="J122" s="42">
        <v>0</v>
      </c>
      <c r="K122" s="37">
        <v>0</v>
      </c>
      <c r="L122" s="38">
        <v>286458.57523295999</v>
      </c>
      <c r="M122" s="37">
        <v>2.5413578063019126E-3</v>
      </c>
      <c r="N122" s="42">
        <v>196744.7077</v>
      </c>
      <c r="O122" s="40">
        <v>2.4071030481382506E-3</v>
      </c>
      <c r="P122">
        <f>VLOOKUP(Table32[[#This Row],[Census Tract]],'Population and Diversity Data'!$B$2:$K$823,10,FALSE)</f>
        <v>4</v>
      </c>
      <c r="Q122" t="str">
        <f>VLOOKUP(Table32[[#This Row],[Census Tract]],'ES Energy Burden'!$B$2:$E$914,4,FALSE)</f>
        <v>No</v>
      </c>
    </row>
    <row r="123" spans="1:17" x14ac:dyDescent="0.25">
      <c r="A123" s="140">
        <v>9003415300</v>
      </c>
      <c r="B123" s="39" t="s">
        <v>983</v>
      </c>
      <c r="C123" s="39" t="s">
        <v>944</v>
      </c>
      <c r="D123" s="41">
        <v>44.097920639999998</v>
      </c>
      <c r="E123" s="37">
        <v>3.9122094623631846E-7</v>
      </c>
      <c r="F123" s="38">
        <v>0</v>
      </c>
      <c r="G123" s="37">
        <v>0</v>
      </c>
      <c r="H123" s="38">
        <v>0</v>
      </c>
      <c r="I123" s="37">
        <v>0</v>
      </c>
      <c r="J123" s="42">
        <v>0</v>
      </c>
      <c r="K123" s="37">
        <v>0</v>
      </c>
      <c r="L123" s="38">
        <v>44.097920639999998</v>
      </c>
      <c r="M123" s="37">
        <v>3.9122094623631846E-7</v>
      </c>
      <c r="N123" s="42">
        <v>0</v>
      </c>
      <c r="O123" s="40">
        <v>0</v>
      </c>
      <c r="P123">
        <f>VLOOKUP(Table32[[#This Row],[Census Tract]],'Population and Diversity Data'!$B$2:$K$823,10,FALSE)</f>
        <v>5</v>
      </c>
      <c r="Q123" t="str">
        <f>VLOOKUP(Table32[[#This Row],[Census Tract]],'ES Energy Burden'!$B$2:$E$914,4,FALSE)</f>
        <v>Yes</v>
      </c>
    </row>
    <row r="124" spans="1:17" x14ac:dyDescent="0.25">
      <c r="A124" s="140">
        <v>9003416100</v>
      </c>
      <c r="B124" s="39" t="s">
        <v>983</v>
      </c>
      <c r="C124" s="39" t="s">
        <v>944</v>
      </c>
      <c r="D124" s="41">
        <v>7.3506182400000002</v>
      </c>
      <c r="E124" s="37">
        <v>6.52120503991805E-8</v>
      </c>
      <c r="F124" s="38">
        <v>0</v>
      </c>
      <c r="G124" s="37">
        <v>0</v>
      </c>
      <c r="H124" s="38">
        <v>0</v>
      </c>
      <c r="I124" s="37">
        <v>0</v>
      </c>
      <c r="J124" s="42">
        <v>0</v>
      </c>
      <c r="K124" s="37">
        <v>0</v>
      </c>
      <c r="L124" s="38">
        <v>7.3506182400000002</v>
      </c>
      <c r="M124" s="37">
        <v>6.52120503991805E-8</v>
      </c>
      <c r="N124" s="42">
        <v>0</v>
      </c>
      <c r="O124" s="40">
        <v>0</v>
      </c>
      <c r="P124">
        <f>VLOOKUP(Table32[[#This Row],[Census Tract]],'Population and Diversity Data'!$B$2:$K$823,10,FALSE)</f>
        <v>5</v>
      </c>
      <c r="Q124" t="str">
        <f>VLOOKUP(Table32[[#This Row],[Census Tract]],'ES Energy Burden'!$B$2:$E$914,4,FALSE)</f>
        <v>Yes</v>
      </c>
    </row>
    <row r="125" spans="1:17" x14ac:dyDescent="0.25">
      <c r="A125" s="140">
        <v>9003416700</v>
      </c>
      <c r="B125" s="39" t="s">
        <v>983</v>
      </c>
      <c r="C125" s="39" t="s">
        <v>944</v>
      </c>
      <c r="D125" s="41">
        <v>954295.70391647995</v>
      </c>
      <c r="E125" s="37">
        <v>8.466169444207583E-3</v>
      </c>
      <c r="F125" s="38">
        <v>858475.93449999997</v>
      </c>
      <c r="G125" s="37">
        <v>1.0503154381358149E-2</v>
      </c>
      <c r="H125" s="38">
        <v>0</v>
      </c>
      <c r="I125" s="37">
        <v>0</v>
      </c>
      <c r="J125" s="42">
        <v>0</v>
      </c>
      <c r="K125" s="37">
        <v>0</v>
      </c>
      <c r="L125" s="38">
        <v>954295.70391647995</v>
      </c>
      <c r="M125" s="37">
        <v>8.466169444207583E-3</v>
      </c>
      <c r="N125" s="42">
        <v>858475.93449999997</v>
      </c>
      <c r="O125" s="40">
        <v>1.0503154381358149E-2</v>
      </c>
      <c r="P125">
        <f>VLOOKUP(Table32[[#This Row],[Census Tract]],'Population and Diversity Data'!$B$2:$K$823,10,FALSE)</f>
        <v>5</v>
      </c>
      <c r="Q125" t="str">
        <f>VLOOKUP(Table32[[#This Row],[Census Tract]],'ES Energy Burden'!$B$2:$E$914,4,FALSE)</f>
        <v>No</v>
      </c>
    </row>
    <row r="126" spans="1:17" x14ac:dyDescent="0.25">
      <c r="A126" s="140">
        <v>9001035100</v>
      </c>
      <c r="B126" s="39" t="s">
        <v>2800</v>
      </c>
      <c r="C126" s="39" t="s">
        <v>944</v>
      </c>
      <c r="D126" s="41">
        <v>142600.86619775998</v>
      </c>
      <c r="E126" s="37">
        <v>1.2651037735643743E-3</v>
      </c>
      <c r="F126" s="38">
        <v>5984.1714000000002</v>
      </c>
      <c r="G126" s="37">
        <v>7.3214255091862598E-5</v>
      </c>
      <c r="H126" s="38">
        <v>0</v>
      </c>
      <c r="I126" s="37">
        <v>0</v>
      </c>
      <c r="J126" s="42">
        <v>0</v>
      </c>
      <c r="K126" s="37">
        <v>0</v>
      </c>
      <c r="L126" s="38">
        <v>142600.86619775998</v>
      </c>
      <c r="M126" s="37">
        <v>1.2651037735643743E-3</v>
      </c>
      <c r="N126" s="42">
        <v>5984.1714000000002</v>
      </c>
      <c r="O126" s="40">
        <v>7.3214255091862598E-5</v>
      </c>
      <c r="P126">
        <f>VLOOKUP(Table32[[#This Row],[Census Tract]],'Population and Diversity Data'!$B$2:$K$823,10,FALSE)</f>
        <v>2</v>
      </c>
      <c r="Q126" t="str">
        <f>VLOOKUP(Table32[[#This Row],[Census Tract]],'ES Energy Burden'!$B$2:$E$914,4,FALSE)</f>
        <v>No</v>
      </c>
    </row>
    <row r="127" spans="1:17" x14ac:dyDescent="0.25">
      <c r="A127" s="140">
        <v>9001220200</v>
      </c>
      <c r="B127" s="39" t="s">
        <v>2801</v>
      </c>
      <c r="C127" s="39" t="s">
        <v>944</v>
      </c>
      <c r="D127" s="41">
        <v>26049.412442879999</v>
      </c>
      <c r="E127" s="37">
        <v>2.3110105050077123E-4</v>
      </c>
      <c r="F127" s="38">
        <v>2259.6999999999998</v>
      </c>
      <c r="G127" s="37">
        <v>2.7646643314909379E-5</v>
      </c>
      <c r="H127" s="38">
        <v>0</v>
      </c>
      <c r="I127" s="37">
        <v>0</v>
      </c>
      <c r="J127" s="42">
        <v>0</v>
      </c>
      <c r="K127" s="37">
        <v>0</v>
      </c>
      <c r="L127" s="38">
        <v>26049.412442879999</v>
      </c>
      <c r="M127" s="37">
        <v>2.3110105050077123E-4</v>
      </c>
      <c r="N127" s="42">
        <v>2259.6999999999998</v>
      </c>
      <c r="O127" s="40">
        <v>2.7646643314909379E-5</v>
      </c>
      <c r="P127">
        <f>VLOOKUP(Table32[[#This Row],[Census Tract]],'Population and Diversity Data'!$B$2:$K$823,10,FALSE)</f>
        <v>3</v>
      </c>
      <c r="Q127" t="str">
        <f>VLOOKUP(Table32[[#This Row],[Census Tract]],'ES Energy Burden'!$B$2:$E$914,4,FALSE)</f>
        <v>No</v>
      </c>
    </row>
    <row r="128" spans="1:17" x14ac:dyDescent="0.25">
      <c r="A128" s="140">
        <v>9001220300</v>
      </c>
      <c r="B128" s="39" t="s">
        <v>2801</v>
      </c>
      <c r="C128" s="39" t="s">
        <v>944</v>
      </c>
      <c r="D128" s="41">
        <v>2.7849916800000001</v>
      </c>
      <c r="E128" s="37">
        <v>2.4707447981607922E-8</v>
      </c>
      <c r="F128" s="38">
        <v>0</v>
      </c>
      <c r="G128" s="37">
        <v>0</v>
      </c>
      <c r="H128" s="38">
        <v>0</v>
      </c>
      <c r="I128" s="37">
        <v>0</v>
      </c>
      <c r="J128" s="42">
        <v>0</v>
      </c>
      <c r="K128" s="37">
        <v>0</v>
      </c>
      <c r="L128" s="38">
        <v>2.7849916800000001</v>
      </c>
      <c r="M128" s="37">
        <v>2.4707447981607922E-8</v>
      </c>
      <c r="N128" s="42">
        <v>0</v>
      </c>
      <c r="O128" s="40">
        <v>0</v>
      </c>
      <c r="P128">
        <f>VLOOKUP(Table32[[#This Row],[Census Tract]],'Population and Diversity Data'!$B$2:$K$823,10,FALSE)</f>
        <v>2</v>
      </c>
      <c r="Q128" t="str">
        <f>VLOOKUP(Table32[[#This Row],[Census Tract]],'ES Energy Burden'!$B$2:$E$914,4,FALSE)</f>
        <v>No</v>
      </c>
    </row>
    <row r="129" spans="1:17" x14ac:dyDescent="0.25">
      <c r="A129" s="140">
        <v>9005306100</v>
      </c>
      <c r="B129" s="39" t="s">
        <v>2802</v>
      </c>
      <c r="C129" s="39" t="s">
        <v>944</v>
      </c>
      <c r="D129" s="41">
        <v>52557.050663999995</v>
      </c>
      <c r="E129" s="37">
        <v>4.6626731586771271E-4</v>
      </c>
      <c r="F129" s="38">
        <v>0</v>
      </c>
      <c r="G129" s="37">
        <v>0</v>
      </c>
      <c r="H129" s="38">
        <v>0</v>
      </c>
      <c r="I129" s="37">
        <v>0</v>
      </c>
      <c r="J129" s="42">
        <v>0</v>
      </c>
      <c r="K129" s="37">
        <v>0</v>
      </c>
      <c r="L129" s="38">
        <v>52557.050663999995</v>
      </c>
      <c r="M129" s="37">
        <v>4.6626731586771271E-4</v>
      </c>
      <c r="N129" s="42">
        <v>0</v>
      </c>
      <c r="O129" s="40">
        <v>0</v>
      </c>
      <c r="P129">
        <f>VLOOKUP(Table32[[#This Row],[Census Tract]],'Population and Diversity Data'!$B$2:$K$823,10,FALSE)</f>
        <v>1</v>
      </c>
      <c r="Q129" t="str">
        <f>VLOOKUP(Table32[[#This Row],[Census Tract]],'ES Energy Burden'!$B$2:$E$914,4,FALSE)</f>
        <v>No</v>
      </c>
    </row>
    <row r="130" spans="1:17" x14ac:dyDescent="0.25">
      <c r="A130" s="140">
        <v>9011690500</v>
      </c>
      <c r="B130" s="39" t="s">
        <v>2803</v>
      </c>
      <c r="C130" s="39" t="s">
        <v>944</v>
      </c>
      <c r="D130" s="41">
        <v>29.694807359999999</v>
      </c>
      <c r="E130" s="37">
        <v>2.6344168761432998E-7</v>
      </c>
      <c r="F130" s="38">
        <v>0</v>
      </c>
      <c r="G130" s="37">
        <v>0</v>
      </c>
      <c r="H130" s="38">
        <v>0</v>
      </c>
      <c r="I130" s="37">
        <v>0</v>
      </c>
      <c r="J130" s="42">
        <v>0</v>
      </c>
      <c r="K130" s="37">
        <v>0</v>
      </c>
      <c r="L130" s="38">
        <v>29.694807359999999</v>
      </c>
      <c r="M130" s="37">
        <v>2.6344168761432998E-7</v>
      </c>
      <c r="N130" s="42">
        <v>0</v>
      </c>
      <c r="O130" s="40">
        <v>0</v>
      </c>
      <c r="P130">
        <f>VLOOKUP(Table32[[#This Row],[Census Tract]],'Population and Diversity Data'!$B$2:$K$823,10,FALSE)</f>
        <v>5</v>
      </c>
      <c r="Q130" t="str">
        <f>VLOOKUP(Table32[[#This Row],[Census Tract]],'ES Energy Burden'!$B$2:$E$914,4,FALSE)</f>
        <v>No</v>
      </c>
    </row>
    <row r="131" spans="1:17" x14ac:dyDescent="0.25">
      <c r="A131" s="140">
        <v>9011690900</v>
      </c>
      <c r="B131" s="39" t="s">
        <v>2803</v>
      </c>
      <c r="C131" s="39" t="s">
        <v>944</v>
      </c>
      <c r="D131" s="41">
        <v>569404.39258655999</v>
      </c>
      <c r="E131" s="37">
        <v>5.0515516837491906E-3</v>
      </c>
      <c r="F131" s="38">
        <v>818117.85970000003</v>
      </c>
      <c r="G131" s="37">
        <v>1.0009387377387696E-2</v>
      </c>
      <c r="H131" s="38">
        <v>0</v>
      </c>
      <c r="I131" s="37">
        <v>0</v>
      </c>
      <c r="J131" s="42">
        <v>0</v>
      </c>
      <c r="K131" s="37">
        <v>0</v>
      </c>
      <c r="L131" s="38">
        <v>569404.39258655999</v>
      </c>
      <c r="M131" s="37">
        <v>5.0515516837491906E-3</v>
      </c>
      <c r="N131" s="42">
        <v>818117.85970000003</v>
      </c>
      <c r="O131" s="40">
        <v>1.0009387377387696E-2</v>
      </c>
      <c r="P131">
        <f>VLOOKUP(Table32[[#This Row],[Census Tract]],'Population and Diversity Data'!$B$2:$K$823,10,FALSE)</f>
        <v>5</v>
      </c>
      <c r="Q131" t="str">
        <f>VLOOKUP(Table32[[#This Row],[Census Tract]],'ES Energy Burden'!$B$2:$E$914,4,FALSE)</f>
        <v>No</v>
      </c>
    </row>
    <row r="132" spans="1:17" x14ac:dyDescent="0.25">
      <c r="A132" s="140">
        <v>9005253100</v>
      </c>
      <c r="B132" s="39" t="s">
        <v>2804</v>
      </c>
      <c r="C132" s="39" t="s">
        <v>944</v>
      </c>
      <c r="D132" s="41">
        <v>1.6052342400000001</v>
      </c>
      <c r="E132" s="37">
        <v>1.424106282539987E-8</v>
      </c>
      <c r="F132" s="38">
        <v>0</v>
      </c>
      <c r="G132" s="37">
        <v>0</v>
      </c>
      <c r="H132" s="38">
        <v>0</v>
      </c>
      <c r="I132" s="37">
        <v>0</v>
      </c>
      <c r="J132" s="42">
        <v>0</v>
      </c>
      <c r="K132" s="37">
        <v>0</v>
      </c>
      <c r="L132" s="38">
        <v>1.6052342400000001</v>
      </c>
      <c r="M132" s="37">
        <v>1.424106282539987E-8</v>
      </c>
      <c r="N132" s="42">
        <v>0</v>
      </c>
      <c r="O132" s="40">
        <v>0</v>
      </c>
      <c r="P132">
        <f>VLOOKUP(Table32[[#This Row],[Census Tract]],'Population and Diversity Data'!$B$2:$K$823,10,FALSE)</f>
        <v>4</v>
      </c>
      <c r="Q132" t="str">
        <f>VLOOKUP(Table32[[#This Row],[Census Tract]],'ES Energy Burden'!$B$2:$E$914,4,FALSE)</f>
        <v>No</v>
      </c>
    </row>
    <row r="133" spans="1:17" x14ac:dyDescent="0.25">
      <c r="A133" s="140">
        <v>9005253200</v>
      </c>
      <c r="B133" s="39" t="s">
        <v>2804</v>
      </c>
      <c r="C133" s="39" t="s">
        <v>944</v>
      </c>
      <c r="D133" s="41">
        <v>203721.96425471999</v>
      </c>
      <c r="E133" s="37">
        <v>1.8073482483561612E-3</v>
      </c>
      <c r="F133" s="38">
        <v>166070.92069999999</v>
      </c>
      <c r="G133" s="37">
        <v>2.0318199360850999E-3</v>
      </c>
      <c r="H133" s="38">
        <v>0</v>
      </c>
      <c r="I133" s="37">
        <v>0</v>
      </c>
      <c r="J133" s="42">
        <v>0</v>
      </c>
      <c r="K133" s="37">
        <v>0</v>
      </c>
      <c r="L133" s="38">
        <v>203721.96425471999</v>
      </c>
      <c r="M133" s="37">
        <v>1.8073482483561612E-3</v>
      </c>
      <c r="N133" s="42">
        <v>166070.92069999999</v>
      </c>
      <c r="O133" s="40">
        <v>2.0318199360850999E-3</v>
      </c>
      <c r="P133">
        <f>VLOOKUP(Table32[[#This Row],[Census Tract]],'Population and Diversity Data'!$B$2:$K$823,10,FALSE)</f>
        <v>4</v>
      </c>
      <c r="Q133" t="str">
        <f>VLOOKUP(Table32[[#This Row],[Census Tract]],'ES Energy Burden'!$B$2:$E$914,4,FALSE)</f>
        <v>No</v>
      </c>
    </row>
    <row r="134" spans="1:17" x14ac:dyDescent="0.25">
      <c r="A134" s="140">
        <v>9005253400</v>
      </c>
      <c r="B134" s="39" t="s">
        <v>2804</v>
      </c>
      <c r="C134" s="39" t="s">
        <v>944</v>
      </c>
      <c r="D134" s="41">
        <v>6.3833097599999995</v>
      </c>
      <c r="E134" s="37">
        <v>5.6630436269630127E-8</v>
      </c>
      <c r="F134" s="38">
        <v>0</v>
      </c>
      <c r="G134" s="37">
        <v>0</v>
      </c>
      <c r="H134" s="38">
        <v>0</v>
      </c>
      <c r="I134" s="37">
        <v>0</v>
      </c>
      <c r="J134" s="42">
        <v>0</v>
      </c>
      <c r="K134" s="37">
        <v>0</v>
      </c>
      <c r="L134" s="38">
        <v>6.3833097599999995</v>
      </c>
      <c r="M134" s="37">
        <v>5.6630436269630127E-8</v>
      </c>
      <c r="N134" s="42">
        <v>0</v>
      </c>
      <c r="O134" s="40">
        <v>0</v>
      </c>
      <c r="P134">
        <f>VLOOKUP(Table32[[#This Row],[Census Tract]],'Population and Diversity Data'!$B$2:$K$823,10,FALSE)</f>
        <v>2</v>
      </c>
      <c r="Q134" t="str">
        <f>VLOOKUP(Table32[[#This Row],[Census Tract]],'ES Energy Burden'!$B$2:$E$914,4,FALSE)</f>
        <v>No</v>
      </c>
    </row>
    <row r="135" spans="1:17" x14ac:dyDescent="0.25">
      <c r="A135" s="140">
        <v>9005253500</v>
      </c>
      <c r="B135" s="39" t="s">
        <v>2804</v>
      </c>
      <c r="C135" s="39" t="s">
        <v>944</v>
      </c>
      <c r="D135" s="41">
        <v>8.0250134400000004</v>
      </c>
      <c r="E135" s="37">
        <v>7.1195042895246437E-8</v>
      </c>
      <c r="F135" s="38">
        <v>0</v>
      </c>
      <c r="G135" s="37">
        <v>0</v>
      </c>
      <c r="H135" s="38">
        <v>0</v>
      </c>
      <c r="I135" s="37">
        <v>0</v>
      </c>
      <c r="J135" s="42">
        <v>0</v>
      </c>
      <c r="K135" s="37">
        <v>0</v>
      </c>
      <c r="L135" s="38">
        <v>8.0250134400000004</v>
      </c>
      <c r="M135" s="37">
        <v>7.1195042895246437E-8</v>
      </c>
      <c r="N135" s="42">
        <v>0</v>
      </c>
      <c r="O135" s="40">
        <v>0</v>
      </c>
      <c r="P135">
        <f>VLOOKUP(Table32[[#This Row],[Census Tract]],'Population and Diversity Data'!$B$2:$K$823,10,FALSE)</f>
        <v>4</v>
      </c>
      <c r="Q135" t="str">
        <f>VLOOKUP(Table32[[#This Row],[Census Tract]],'ES Energy Burden'!$B$2:$E$914,4,FALSE)</f>
        <v>No</v>
      </c>
    </row>
    <row r="136" spans="1:17" x14ac:dyDescent="0.25">
      <c r="A136" s="140">
        <v>9003494100</v>
      </c>
      <c r="B136" s="39" t="s">
        <v>2805</v>
      </c>
      <c r="C136" s="39" t="s">
        <v>944</v>
      </c>
      <c r="D136" s="41">
        <v>715829.61213791999</v>
      </c>
      <c r="E136" s="37">
        <v>6.3505837495328645E-3</v>
      </c>
      <c r="F136" s="38">
        <v>385651.34590000001</v>
      </c>
      <c r="G136" s="37">
        <v>4.7183100429313805E-3</v>
      </c>
      <c r="H136" s="38">
        <v>0</v>
      </c>
      <c r="I136" s="37">
        <v>0</v>
      </c>
      <c r="J136" s="42">
        <v>0</v>
      </c>
      <c r="K136" s="37">
        <v>0</v>
      </c>
      <c r="L136" s="38">
        <v>715829.61213791999</v>
      </c>
      <c r="M136" s="37">
        <v>6.3505837495328645E-3</v>
      </c>
      <c r="N136" s="42">
        <v>385651.34590000001</v>
      </c>
      <c r="O136" s="40">
        <v>4.7183100429313805E-3</v>
      </c>
      <c r="P136">
        <f>VLOOKUP(Table32[[#This Row],[Census Tract]],'Population and Diversity Data'!$B$2:$K$823,10,FALSE)</f>
        <v>4</v>
      </c>
      <c r="Q136" t="str">
        <f>VLOOKUP(Table32[[#This Row],[Census Tract]],'ES Energy Burden'!$B$2:$E$914,4,FALSE)</f>
        <v>No</v>
      </c>
    </row>
    <row r="137" spans="1:17" x14ac:dyDescent="0.25">
      <c r="A137" s="140">
        <v>9003494400</v>
      </c>
      <c r="B137" s="39" t="s">
        <v>2805</v>
      </c>
      <c r="C137" s="39" t="s">
        <v>944</v>
      </c>
      <c r="D137" s="41">
        <v>2803.1441990399999</v>
      </c>
      <c r="E137" s="37">
        <v>2.4868490624261683E-5</v>
      </c>
      <c r="F137" s="38">
        <v>0</v>
      </c>
      <c r="G137" s="37">
        <v>0</v>
      </c>
      <c r="H137" s="38">
        <v>0</v>
      </c>
      <c r="I137" s="37">
        <v>0</v>
      </c>
      <c r="J137" s="42">
        <v>0</v>
      </c>
      <c r="K137" s="37">
        <v>0</v>
      </c>
      <c r="L137" s="38">
        <v>2803.1441990399999</v>
      </c>
      <c r="M137" s="37">
        <v>2.4868490624261683E-5</v>
      </c>
      <c r="N137" s="42">
        <v>0</v>
      </c>
      <c r="O137" s="40">
        <v>0</v>
      </c>
      <c r="P137">
        <f>VLOOKUP(Table32[[#This Row],[Census Tract]],'Population and Diversity Data'!$B$2:$K$823,10,FALSE)</f>
        <v>4</v>
      </c>
      <c r="Q137" t="str">
        <f>VLOOKUP(Table32[[#This Row],[Census Tract]],'ES Energy Burden'!$B$2:$E$914,4,FALSE)</f>
        <v>No</v>
      </c>
    </row>
    <row r="138" spans="1:17" x14ac:dyDescent="0.25">
      <c r="A138" s="140">
        <v>9001230100</v>
      </c>
      <c r="B138" s="39" t="s">
        <v>2806</v>
      </c>
      <c r="C138" s="39" t="s">
        <v>944</v>
      </c>
      <c r="D138" s="41">
        <v>255992.80680576002</v>
      </c>
      <c r="E138" s="37">
        <v>2.2710764284290868E-3</v>
      </c>
      <c r="F138" s="38">
        <v>328989.28240000003</v>
      </c>
      <c r="G138" s="37">
        <v>4.0250694096299489E-3</v>
      </c>
      <c r="H138" s="38">
        <v>0</v>
      </c>
      <c r="I138" s="37">
        <v>0</v>
      </c>
      <c r="J138" s="42">
        <v>0</v>
      </c>
      <c r="K138" s="37">
        <v>0</v>
      </c>
      <c r="L138" s="38">
        <v>255992.80680576002</v>
      </c>
      <c r="M138" s="37">
        <v>2.2710764284290868E-3</v>
      </c>
      <c r="N138" s="42">
        <v>328989.28240000003</v>
      </c>
      <c r="O138" s="40">
        <v>4.0250694096299489E-3</v>
      </c>
      <c r="P138">
        <f>VLOOKUP(Table32[[#This Row],[Census Tract]],'Population and Diversity Data'!$B$2:$K$823,10,FALSE)</f>
        <v>2</v>
      </c>
      <c r="Q138" t="str">
        <f>VLOOKUP(Table32[[#This Row],[Census Tract]],'ES Energy Burden'!$B$2:$E$914,4,FALSE)</f>
        <v>No</v>
      </c>
    </row>
    <row r="139" spans="1:17" x14ac:dyDescent="0.25">
      <c r="A139" s="140">
        <v>9001230200</v>
      </c>
      <c r="B139" s="39" t="s">
        <v>2806</v>
      </c>
      <c r="C139" s="39" t="s">
        <v>944</v>
      </c>
      <c r="D139" s="41">
        <v>23.53205088</v>
      </c>
      <c r="E139" s="37">
        <v>2.0876792099362786E-7</v>
      </c>
      <c r="F139" s="38">
        <v>0</v>
      </c>
      <c r="G139" s="37">
        <v>0</v>
      </c>
      <c r="H139" s="38">
        <v>0</v>
      </c>
      <c r="I139" s="37">
        <v>0</v>
      </c>
      <c r="J139" s="42">
        <v>0</v>
      </c>
      <c r="K139" s="37">
        <v>0</v>
      </c>
      <c r="L139" s="38">
        <v>23.53205088</v>
      </c>
      <c r="M139" s="37">
        <v>2.0876792099362786E-7</v>
      </c>
      <c r="N139" s="42">
        <v>0</v>
      </c>
      <c r="O139" s="40">
        <v>0</v>
      </c>
      <c r="P139">
        <f>VLOOKUP(Table32[[#This Row],[Census Tract]],'Population and Diversity Data'!$B$2:$K$823,10,FALSE)</f>
        <v>2</v>
      </c>
      <c r="Q139" t="str">
        <f>VLOOKUP(Table32[[#This Row],[Census Tract]],'ES Energy Burden'!$B$2:$E$914,4,FALSE)</f>
        <v>No</v>
      </c>
    </row>
    <row r="140" spans="1:17" x14ac:dyDescent="0.25">
      <c r="A140" s="140">
        <v>9005425600</v>
      </c>
      <c r="B140" s="39" t="s">
        <v>2807</v>
      </c>
      <c r="C140" s="39" t="s">
        <v>944</v>
      </c>
      <c r="D140" s="41">
        <v>921.00734207999994</v>
      </c>
      <c r="E140" s="37">
        <v>8.1708470292882783E-6</v>
      </c>
      <c r="F140" s="38">
        <v>250</v>
      </c>
      <c r="G140" s="37">
        <v>3.0586630210768441E-6</v>
      </c>
      <c r="H140" s="38">
        <v>0</v>
      </c>
      <c r="I140" s="37">
        <v>0</v>
      </c>
      <c r="J140" s="42">
        <v>0</v>
      </c>
      <c r="K140" s="37">
        <v>0</v>
      </c>
      <c r="L140" s="38">
        <v>921.00734207999994</v>
      </c>
      <c r="M140" s="37">
        <v>8.1708470292882783E-6</v>
      </c>
      <c r="N140" s="42">
        <v>250</v>
      </c>
      <c r="O140" s="40">
        <v>3.0586630210768441E-6</v>
      </c>
      <c r="P140">
        <f>VLOOKUP(Table32[[#This Row],[Census Tract]],'Population and Diversity Data'!$B$2:$K$823,10,FALSE)</f>
        <v>1</v>
      </c>
      <c r="Q140" t="str">
        <f>VLOOKUP(Table32[[#This Row],[Census Tract]],'ES Energy Burden'!$B$2:$E$914,4,FALSE)</f>
        <v>No</v>
      </c>
    </row>
    <row r="141" spans="1:17" x14ac:dyDescent="0.25">
      <c r="A141" s="140">
        <v>9005260200</v>
      </c>
      <c r="B141" s="39" t="s">
        <v>2808</v>
      </c>
      <c r="C141" s="39" t="s">
        <v>944</v>
      </c>
      <c r="D141" s="41">
        <v>343206.78598368005</v>
      </c>
      <c r="E141" s="37">
        <v>3.0448075922534239E-3</v>
      </c>
      <c r="F141" s="38">
        <v>129973.29730000001</v>
      </c>
      <c r="G141" s="37">
        <v>1.5901780727157475E-3</v>
      </c>
      <c r="H141" s="38">
        <v>4570.2807552000004</v>
      </c>
      <c r="I141" s="37">
        <v>4.0545892769219255E-5</v>
      </c>
      <c r="J141" s="42">
        <v>0</v>
      </c>
      <c r="K141" s="37">
        <v>0</v>
      </c>
      <c r="L141" s="38">
        <v>338636.50522848003</v>
      </c>
      <c r="M141" s="37">
        <v>3.0042616994842043E-3</v>
      </c>
      <c r="N141" s="42">
        <v>129973.29730000001</v>
      </c>
      <c r="O141" s="40">
        <v>1.5901780727157475E-3</v>
      </c>
      <c r="P141">
        <f>VLOOKUP(Table32[[#This Row],[Census Tract]],'Population and Diversity Data'!$B$2:$K$823,10,FALSE)</f>
        <v>1</v>
      </c>
      <c r="Q141" t="str">
        <f>VLOOKUP(Table32[[#This Row],[Census Tract]],'ES Energy Burden'!$B$2:$E$914,4,FALSE)</f>
        <v>No</v>
      </c>
    </row>
    <row r="142" spans="1:17" x14ac:dyDescent="0.25">
      <c r="A142" s="140">
        <v>9011707100</v>
      </c>
      <c r="B142" s="39" t="s">
        <v>2809</v>
      </c>
      <c r="C142" s="39" t="s">
        <v>944</v>
      </c>
      <c r="D142" s="41">
        <v>56102.820912000003</v>
      </c>
      <c r="E142" s="37">
        <v>4.9772411862455013E-4</v>
      </c>
      <c r="F142" s="38">
        <v>113808.5828</v>
      </c>
      <c r="G142" s="37">
        <v>1.3924084147660888E-3</v>
      </c>
      <c r="H142" s="38">
        <v>0</v>
      </c>
      <c r="I142" s="37">
        <v>0</v>
      </c>
      <c r="J142" s="42">
        <v>0</v>
      </c>
      <c r="K142" s="37">
        <v>0</v>
      </c>
      <c r="L142" s="38">
        <v>56102.820912000003</v>
      </c>
      <c r="M142" s="37">
        <v>4.9772411862455013E-4</v>
      </c>
      <c r="N142" s="42">
        <v>113808.5828</v>
      </c>
      <c r="O142" s="40">
        <v>1.3924084147660888E-3</v>
      </c>
      <c r="P142">
        <f>VLOOKUP(Table32[[#This Row],[Census Tract]],'Population and Diversity Data'!$B$2:$K$823,10,FALSE)</f>
        <v>3</v>
      </c>
      <c r="Q142" t="str">
        <f>VLOOKUP(Table32[[#This Row],[Census Tract]],'ES Energy Burden'!$B$2:$E$914,4,FALSE)</f>
        <v>No</v>
      </c>
    </row>
    <row r="143" spans="1:17" x14ac:dyDescent="0.25">
      <c r="A143" s="140">
        <v>9001044600</v>
      </c>
      <c r="B143" s="39" t="s">
        <v>2810</v>
      </c>
      <c r="C143" s="39" t="s">
        <v>944</v>
      </c>
      <c r="D143" s="41">
        <v>1072681.6573353601</v>
      </c>
      <c r="E143" s="37">
        <v>9.5164471907644554E-3</v>
      </c>
      <c r="F143" s="38">
        <v>582330.61540000001</v>
      </c>
      <c r="G143" s="37">
        <v>7.1246124774596081E-3</v>
      </c>
      <c r="H143" s="38">
        <v>0</v>
      </c>
      <c r="I143" s="37">
        <v>0</v>
      </c>
      <c r="J143" s="42">
        <v>0</v>
      </c>
      <c r="K143" s="37">
        <v>0</v>
      </c>
      <c r="L143" s="38">
        <v>1072681.6573353601</v>
      </c>
      <c r="M143" s="37">
        <v>9.5164471907644554E-3</v>
      </c>
      <c r="N143" s="42">
        <v>582330.61540000001</v>
      </c>
      <c r="O143" s="40">
        <v>7.1246124774596081E-3</v>
      </c>
      <c r="P143">
        <f>VLOOKUP(Table32[[#This Row],[Census Tract]],'Population and Diversity Data'!$B$2:$K$823,10,FALSE)</f>
        <v>1</v>
      </c>
      <c r="Q143" t="str">
        <f>VLOOKUP(Table32[[#This Row],[Census Tract]],'ES Energy Burden'!$B$2:$E$914,4,FALSE)</f>
        <v>No</v>
      </c>
    </row>
    <row r="144" spans="1:17" x14ac:dyDescent="0.25">
      <c r="A144" s="140">
        <v>9011660101</v>
      </c>
      <c r="B144" s="39" t="s">
        <v>2811</v>
      </c>
      <c r="C144" s="39" t="s">
        <v>944</v>
      </c>
      <c r="D144" s="41">
        <v>104.71418208</v>
      </c>
      <c r="E144" s="37">
        <v>9.2898669150717911E-7</v>
      </c>
      <c r="F144" s="38">
        <v>0</v>
      </c>
      <c r="G144" s="37">
        <v>0</v>
      </c>
      <c r="H144" s="38">
        <v>0</v>
      </c>
      <c r="I144" s="37">
        <v>0</v>
      </c>
      <c r="J144" s="42">
        <v>0</v>
      </c>
      <c r="K144" s="37">
        <v>0</v>
      </c>
      <c r="L144" s="38">
        <v>104.71418208</v>
      </c>
      <c r="M144" s="37">
        <v>9.2898669150717911E-7</v>
      </c>
      <c r="N144" s="42">
        <v>0</v>
      </c>
      <c r="O144" s="40">
        <v>0</v>
      </c>
      <c r="P144">
        <f>VLOOKUP(Table32[[#This Row],[Census Tract]],'Population and Diversity Data'!$B$2:$K$823,10,FALSE)</f>
        <v>2</v>
      </c>
      <c r="Q144" t="str">
        <f>VLOOKUP(Table32[[#This Row],[Census Tract]],'ES Energy Burden'!$B$2:$E$914,4,FALSE)</f>
        <v>No</v>
      </c>
    </row>
    <row r="145" spans="1:17" x14ac:dyDescent="0.25">
      <c r="A145" s="140">
        <v>9011660102</v>
      </c>
      <c r="B145" s="39" t="s">
        <v>2811</v>
      </c>
      <c r="C145" s="39" t="s">
        <v>944</v>
      </c>
      <c r="D145" s="41">
        <v>32927.099037120002</v>
      </c>
      <c r="E145" s="37">
        <v>2.9211742084805611E-4</v>
      </c>
      <c r="F145" s="38">
        <v>943</v>
      </c>
      <c r="G145" s="37">
        <v>1.1537276915501858E-5</v>
      </c>
      <c r="H145" s="38">
        <v>0</v>
      </c>
      <c r="I145" s="37">
        <v>0</v>
      </c>
      <c r="J145" s="42">
        <v>0</v>
      </c>
      <c r="K145" s="37">
        <v>0</v>
      </c>
      <c r="L145" s="38">
        <v>32927.099037120002</v>
      </c>
      <c r="M145" s="37">
        <v>2.9211742084805611E-4</v>
      </c>
      <c r="N145" s="42">
        <v>943</v>
      </c>
      <c r="O145" s="40">
        <v>1.1537276915501858E-5</v>
      </c>
      <c r="P145">
        <f>VLOOKUP(Table32[[#This Row],[Census Tract]],'Population and Diversity Data'!$B$2:$K$823,10,FALSE)</f>
        <v>1</v>
      </c>
      <c r="Q145" t="str">
        <f>VLOOKUP(Table32[[#This Row],[Census Tract]],'ES Energy Burden'!$B$2:$E$914,4,FALSE)</f>
        <v>No</v>
      </c>
    </row>
    <row r="146" spans="1:17" x14ac:dyDescent="0.25">
      <c r="A146" s="140">
        <v>9007670100</v>
      </c>
      <c r="B146" s="39" t="s">
        <v>2812</v>
      </c>
      <c r="C146" s="39" t="s">
        <v>944</v>
      </c>
      <c r="D146" s="41">
        <v>703.97017920000008</v>
      </c>
      <c r="E146" s="37">
        <v>6.2453711111938429E-6</v>
      </c>
      <c r="F146" s="38">
        <v>82901.959000000003</v>
      </c>
      <c r="G146" s="37">
        <v>1.0142766254725149E-3</v>
      </c>
      <c r="H146" s="38">
        <v>0</v>
      </c>
      <c r="I146" s="37">
        <v>0</v>
      </c>
      <c r="J146" s="42">
        <v>0</v>
      </c>
      <c r="K146" s="37">
        <v>0</v>
      </c>
      <c r="L146" s="38">
        <v>703.97017920000008</v>
      </c>
      <c r="M146" s="37">
        <v>6.2453711111938429E-6</v>
      </c>
      <c r="N146" s="42">
        <v>82901.959000000003</v>
      </c>
      <c r="O146" s="40">
        <v>1.0142766254725149E-3</v>
      </c>
      <c r="P146">
        <f>VLOOKUP(Table32[[#This Row],[Census Tract]],'Population and Diversity Data'!$B$2:$K$823,10,FALSE)</f>
        <v>2</v>
      </c>
      <c r="Q146" t="str">
        <f>VLOOKUP(Table32[[#This Row],[Census Tract]],'ES Energy Burden'!$B$2:$E$914,4,FALSE)</f>
        <v>No</v>
      </c>
    </row>
    <row r="147" spans="1:17" x14ac:dyDescent="0.25">
      <c r="A147" s="140">
        <v>9007670200</v>
      </c>
      <c r="B147" s="39" t="s">
        <v>2812</v>
      </c>
      <c r="C147" s="39" t="s">
        <v>944</v>
      </c>
      <c r="D147" s="41">
        <v>137961.97658496001</v>
      </c>
      <c r="E147" s="37">
        <v>1.2239492076014781E-3</v>
      </c>
      <c r="F147" s="38">
        <v>13245.88</v>
      </c>
      <c r="G147" s="37">
        <v>1.620587333504854E-4</v>
      </c>
      <c r="H147" s="38">
        <v>0</v>
      </c>
      <c r="I147" s="37">
        <v>0</v>
      </c>
      <c r="J147" s="42">
        <v>0</v>
      </c>
      <c r="K147" s="37">
        <v>0</v>
      </c>
      <c r="L147" s="38">
        <v>137961.97658496001</v>
      </c>
      <c r="M147" s="37">
        <v>1.2239492076014781E-3</v>
      </c>
      <c r="N147" s="42">
        <v>13245.88</v>
      </c>
      <c r="O147" s="40">
        <v>1.620587333504854E-4</v>
      </c>
      <c r="P147">
        <f>VLOOKUP(Table32[[#This Row],[Census Tract]],'Population and Diversity Data'!$B$2:$K$823,10,FALSE)</f>
        <v>1</v>
      </c>
      <c r="Q147" t="str">
        <f>VLOOKUP(Table32[[#This Row],[Census Tract]],'ES Energy Burden'!$B$2:$E$914,4,FALSE)</f>
        <v>No</v>
      </c>
    </row>
    <row r="148" spans="1:17" x14ac:dyDescent="0.25">
      <c r="A148" s="140">
        <v>9009346101</v>
      </c>
      <c r="B148" s="39" t="s">
        <v>2813</v>
      </c>
      <c r="C148" s="39" t="s">
        <v>944</v>
      </c>
      <c r="D148" s="41">
        <v>94745.623613759992</v>
      </c>
      <c r="E148" s="37">
        <v>8.405492137491693E-4</v>
      </c>
      <c r="F148" s="38">
        <v>45889.202499999999</v>
      </c>
      <c r="G148" s="37">
        <v>5.6143842701382831E-4</v>
      </c>
      <c r="H148" s="38">
        <v>0</v>
      </c>
      <c r="I148" s="37">
        <v>0</v>
      </c>
      <c r="J148" s="42">
        <v>0</v>
      </c>
      <c r="K148" s="37">
        <v>0</v>
      </c>
      <c r="L148" s="38">
        <v>94745.623613759992</v>
      </c>
      <c r="M148" s="37">
        <v>8.405492137491693E-4</v>
      </c>
      <c r="N148" s="42">
        <v>45889.202499999999</v>
      </c>
      <c r="O148" s="40">
        <v>5.6143842701382831E-4</v>
      </c>
      <c r="P148">
        <f>VLOOKUP(Table32[[#This Row],[Census Tract]],'Population and Diversity Data'!$B$2:$K$823,10,FALSE)</f>
        <v>1</v>
      </c>
      <c r="Q148" t="str">
        <f>VLOOKUP(Table32[[#This Row],[Census Tract]],'ES Energy Burden'!$B$2:$E$914,4,FALSE)</f>
        <v>No</v>
      </c>
    </row>
    <row r="149" spans="1:17" x14ac:dyDescent="0.25">
      <c r="A149" s="140">
        <v>9015907200</v>
      </c>
      <c r="B149" s="39" t="s">
        <v>2814</v>
      </c>
      <c r="C149" s="39" t="s">
        <v>944</v>
      </c>
      <c r="D149" s="41">
        <v>28.66555872</v>
      </c>
      <c r="E149" s="37">
        <v>2.5431056258599929E-7</v>
      </c>
      <c r="F149" s="38">
        <v>0</v>
      </c>
      <c r="G149" s="37">
        <v>0</v>
      </c>
      <c r="H149" s="38">
        <v>0</v>
      </c>
      <c r="I149" s="37">
        <v>0</v>
      </c>
      <c r="J149" s="42">
        <v>0</v>
      </c>
      <c r="K149" s="37">
        <v>0</v>
      </c>
      <c r="L149" s="38">
        <v>28.66555872</v>
      </c>
      <c r="M149" s="37">
        <v>2.5431056258599929E-7</v>
      </c>
      <c r="N149" s="42">
        <v>0</v>
      </c>
      <c r="O149" s="40">
        <v>0</v>
      </c>
      <c r="P149">
        <f>VLOOKUP(Table32[[#This Row],[Census Tract]],'Population and Diversity Data'!$B$2:$K$823,10,FALSE)</f>
        <v>3</v>
      </c>
      <c r="Q149" t="str">
        <f>VLOOKUP(Table32[[#This Row],[Census Tract]],'ES Energy Burden'!$B$2:$E$914,4,FALSE)</f>
        <v>No</v>
      </c>
    </row>
    <row r="150" spans="1:17" x14ac:dyDescent="0.25">
      <c r="A150" s="140">
        <v>9015907300</v>
      </c>
      <c r="B150" s="39" t="s">
        <v>2814</v>
      </c>
      <c r="C150" s="39" t="s">
        <v>944</v>
      </c>
      <c r="D150" s="41">
        <v>201090.73525920001</v>
      </c>
      <c r="E150" s="37">
        <v>1.7840049277992724E-3</v>
      </c>
      <c r="F150" s="38">
        <v>168159.66</v>
      </c>
      <c r="G150" s="37">
        <v>2.0573749347154199E-3</v>
      </c>
      <c r="H150" s="38">
        <v>0</v>
      </c>
      <c r="I150" s="37">
        <v>0</v>
      </c>
      <c r="J150" s="42">
        <v>0</v>
      </c>
      <c r="K150" s="37">
        <v>0</v>
      </c>
      <c r="L150" s="38">
        <v>201090.73525920001</v>
      </c>
      <c r="M150" s="37">
        <v>1.7840049277992724E-3</v>
      </c>
      <c r="N150" s="42">
        <v>168159.66</v>
      </c>
      <c r="O150" s="40">
        <v>2.0573749347154199E-3</v>
      </c>
      <c r="P150">
        <f>VLOOKUP(Table32[[#This Row],[Census Tract]],'Population and Diversity Data'!$B$2:$K$823,10,FALSE)</f>
        <v>5</v>
      </c>
      <c r="Q150" t="str">
        <f>VLOOKUP(Table32[[#This Row],[Census Tract]],'ES Energy Burden'!$B$2:$E$914,4,FALSE)</f>
        <v>No</v>
      </c>
    </row>
    <row r="151" spans="1:17" x14ac:dyDescent="0.25">
      <c r="A151" s="140">
        <v>9003420500</v>
      </c>
      <c r="B151" s="39" t="s">
        <v>2815</v>
      </c>
      <c r="C151" s="39" t="s">
        <v>944</v>
      </c>
      <c r="D151" s="41">
        <v>5.5439337599999998</v>
      </c>
      <c r="E151" s="37">
        <v>4.9183793248775525E-8</v>
      </c>
      <c r="F151" s="38">
        <v>0</v>
      </c>
      <c r="G151" s="37">
        <v>0</v>
      </c>
      <c r="H151" s="38">
        <v>0</v>
      </c>
      <c r="I151" s="37">
        <v>0</v>
      </c>
      <c r="J151" s="42">
        <v>0</v>
      </c>
      <c r="K151" s="37">
        <v>0</v>
      </c>
      <c r="L151" s="38">
        <v>5.5439337599999998</v>
      </c>
      <c r="M151" s="37">
        <v>4.9183793248775525E-8</v>
      </c>
      <c r="N151" s="42">
        <v>0</v>
      </c>
      <c r="O151" s="40">
        <v>0</v>
      </c>
      <c r="P151">
        <f>VLOOKUP(Table32[[#This Row],[Census Tract]],'Population and Diversity Data'!$B$2:$K$823,10,FALSE)</f>
        <v>4</v>
      </c>
      <c r="Q151" t="str">
        <f>VLOOKUP(Table32[[#This Row],[Census Tract]],'ES Energy Burden'!$B$2:$E$914,4,FALSE)</f>
        <v>No</v>
      </c>
    </row>
    <row r="152" spans="1:17" x14ac:dyDescent="0.25">
      <c r="A152" s="140">
        <v>9003420600</v>
      </c>
      <c r="B152" s="39" t="s">
        <v>2815</v>
      </c>
      <c r="C152" s="39" t="s">
        <v>944</v>
      </c>
      <c r="D152" s="41">
        <v>270962.72291231999</v>
      </c>
      <c r="E152" s="37">
        <v>2.4038841585734961E-3</v>
      </c>
      <c r="F152" s="38">
        <v>378502.59279999998</v>
      </c>
      <c r="G152" s="37">
        <v>4.6308475359162667E-3</v>
      </c>
      <c r="H152" s="38">
        <v>0</v>
      </c>
      <c r="I152" s="37">
        <v>0</v>
      </c>
      <c r="J152" s="42">
        <v>0</v>
      </c>
      <c r="K152" s="37">
        <v>0</v>
      </c>
      <c r="L152" s="38">
        <v>270962.72291231999</v>
      </c>
      <c r="M152" s="37">
        <v>2.4038841585734961E-3</v>
      </c>
      <c r="N152" s="42">
        <v>378502.59279999998</v>
      </c>
      <c r="O152" s="40">
        <v>4.6308475359162667E-3</v>
      </c>
      <c r="P152">
        <f>VLOOKUP(Table32[[#This Row],[Census Tract]],'Population and Diversity Data'!$B$2:$K$823,10,FALSE)</f>
        <v>3</v>
      </c>
      <c r="Q152" t="str">
        <f>VLOOKUP(Table32[[#This Row],[Census Tract]],'ES Energy Burden'!$B$2:$E$914,4,FALSE)</f>
        <v>No</v>
      </c>
    </row>
    <row r="153" spans="1:17" x14ac:dyDescent="0.25">
      <c r="A153" s="140">
        <v>9005425400</v>
      </c>
      <c r="B153" s="39" t="s">
        <v>2816</v>
      </c>
      <c r="C153" s="39" t="s">
        <v>944</v>
      </c>
      <c r="D153" s="41">
        <v>37331.74312128</v>
      </c>
      <c r="E153" s="37">
        <v>3.3119384443969864E-4</v>
      </c>
      <c r="F153" s="38">
        <v>19432.567999999999</v>
      </c>
      <c r="G153" s="37">
        <v>2.3775070858464482E-4</v>
      </c>
      <c r="H153" s="38">
        <v>0</v>
      </c>
      <c r="I153" s="37">
        <v>0</v>
      </c>
      <c r="J153" s="42">
        <v>0</v>
      </c>
      <c r="K153" s="37">
        <v>0</v>
      </c>
      <c r="L153" s="38">
        <v>37331.74312128</v>
      </c>
      <c r="M153" s="37">
        <v>3.3119384443969864E-4</v>
      </c>
      <c r="N153" s="42">
        <v>19432.567999999999</v>
      </c>
      <c r="O153" s="40">
        <v>2.3775070858464482E-4</v>
      </c>
      <c r="P153">
        <f>VLOOKUP(Table32[[#This Row],[Census Tract]],'Population and Diversity Data'!$B$2:$K$823,10,FALSE)</f>
        <v>2</v>
      </c>
      <c r="Q153" t="str">
        <f>VLOOKUP(Table32[[#This Row],[Census Tract]],'ES Energy Burden'!$B$2:$E$914,4,FALSE)</f>
        <v>No</v>
      </c>
    </row>
    <row r="154" spans="1:17" x14ac:dyDescent="0.25">
      <c r="A154" s="140">
        <v>9015902500</v>
      </c>
      <c r="B154" s="39" t="s">
        <v>2817</v>
      </c>
      <c r="C154" s="39" t="s">
        <v>944</v>
      </c>
      <c r="D154" s="41">
        <v>77285.890212480008</v>
      </c>
      <c r="E154" s="37">
        <v>6.8565271697224983E-4</v>
      </c>
      <c r="F154" s="38">
        <v>56577.283499999998</v>
      </c>
      <c r="G154" s="37">
        <v>6.9220337949772433E-4</v>
      </c>
      <c r="H154" s="38">
        <v>0</v>
      </c>
      <c r="I154" s="37">
        <v>0</v>
      </c>
      <c r="J154" s="42">
        <v>0</v>
      </c>
      <c r="K154" s="37">
        <v>0</v>
      </c>
      <c r="L154" s="38">
        <v>77285.890212480008</v>
      </c>
      <c r="M154" s="37">
        <v>6.8565271697224983E-4</v>
      </c>
      <c r="N154" s="42">
        <v>56577.283499999998</v>
      </c>
      <c r="O154" s="40">
        <v>6.9220337949772433E-4</v>
      </c>
      <c r="P154">
        <f>VLOOKUP(Table32[[#This Row],[Census Tract]],'Population and Diversity Data'!$B$2:$K$823,10,FALSE)</f>
        <v>2</v>
      </c>
      <c r="Q154" t="str">
        <f>VLOOKUP(Table32[[#This Row],[Census Tract]],'ES Energy Burden'!$B$2:$E$914,4,FALSE)</f>
        <v>No</v>
      </c>
    </row>
    <row r="155" spans="1:17" x14ac:dyDescent="0.25">
      <c r="A155" s="140">
        <v>9007560100</v>
      </c>
      <c r="B155" s="39" t="s">
        <v>2818</v>
      </c>
      <c r="C155" s="39" t="s">
        <v>944</v>
      </c>
      <c r="D155" s="41">
        <v>77772.743343359994</v>
      </c>
      <c r="E155" s="37">
        <v>6.899719034503582E-4</v>
      </c>
      <c r="F155" s="38">
        <v>2937.5</v>
      </c>
      <c r="G155" s="37">
        <v>3.593929049765292E-5</v>
      </c>
      <c r="H155" s="38">
        <v>0</v>
      </c>
      <c r="I155" s="37">
        <v>0</v>
      </c>
      <c r="J155" s="42">
        <v>0</v>
      </c>
      <c r="K155" s="37">
        <v>0</v>
      </c>
      <c r="L155" s="38">
        <v>77772.743343359994</v>
      </c>
      <c r="M155" s="37">
        <v>6.899719034503582E-4</v>
      </c>
      <c r="N155" s="42">
        <v>2937.5</v>
      </c>
      <c r="O155" s="40">
        <v>3.593929049765292E-5</v>
      </c>
      <c r="P155">
        <f>VLOOKUP(Table32[[#This Row],[Census Tract]],'Population and Diversity Data'!$B$2:$K$823,10,FALSE)</f>
        <v>1</v>
      </c>
      <c r="Q155" t="str">
        <f>VLOOKUP(Table32[[#This Row],[Census Tract]],'ES Energy Burden'!$B$2:$E$914,4,FALSE)</f>
        <v>No</v>
      </c>
    </row>
    <row r="156" spans="1:17" x14ac:dyDescent="0.25">
      <c r="A156" s="140">
        <v>9011700100</v>
      </c>
      <c r="B156" s="39" t="s">
        <v>2819</v>
      </c>
      <c r="C156" s="39" t="s">
        <v>944</v>
      </c>
      <c r="D156" s="41">
        <v>12412.190399039999</v>
      </c>
      <c r="E156" s="37">
        <v>1.1011650441343295E-4</v>
      </c>
      <c r="F156" s="38">
        <v>2410</v>
      </c>
      <c r="G156" s="37">
        <v>2.948551152318078E-5</v>
      </c>
      <c r="H156" s="38">
        <v>0</v>
      </c>
      <c r="I156" s="37">
        <v>0</v>
      </c>
      <c r="J156" s="42">
        <v>0</v>
      </c>
      <c r="K156" s="37">
        <v>0</v>
      </c>
      <c r="L156" s="38">
        <v>12412.190399039999</v>
      </c>
      <c r="M156" s="37">
        <v>1.1011650441343295E-4</v>
      </c>
      <c r="N156" s="42">
        <v>2410</v>
      </c>
      <c r="O156" s="40">
        <v>2.948551152318078E-5</v>
      </c>
      <c r="P156">
        <f>VLOOKUP(Table32[[#This Row],[Census Tract]],'Population and Diversity Data'!$B$2:$K$823,10,FALSE)</f>
        <v>4</v>
      </c>
      <c r="Q156" t="str">
        <f>VLOOKUP(Table32[[#This Row],[Census Tract]],'ES Energy Burden'!$B$2:$E$914,4,FALSE)</f>
        <v>No</v>
      </c>
    </row>
    <row r="157" spans="1:17" x14ac:dyDescent="0.25">
      <c r="A157" s="140">
        <v>9009347100</v>
      </c>
      <c r="B157" s="39" t="s">
        <v>2820</v>
      </c>
      <c r="C157" s="39" t="s">
        <v>944</v>
      </c>
      <c r="D157" s="41">
        <v>30821.149226879999</v>
      </c>
      <c r="E157" s="37">
        <v>2.7343418895115434E-4</v>
      </c>
      <c r="F157" s="38">
        <v>10630</v>
      </c>
      <c r="G157" s="37">
        <v>1.3005435165618743E-4</v>
      </c>
      <c r="H157" s="38">
        <v>0</v>
      </c>
      <c r="I157" s="37">
        <v>0</v>
      </c>
      <c r="J157" s="42">
        <v>0</v>
      </c>
      <c r="K157" s="37">
        <v>0</v>
      </c>
      <c r="L157" s="38">
        <v>30821.149226879999</v>
      </c>
      <c r="M157" s="37">
        <v>2.7343418895115434E-4</v>
      </c>
      <c r="N157" s="42">
        <v>10630</v>
      </c>
      <c r="O157" s="40">
        <v>1.3005435165618743E-4</v>
      </c>
      <c r="P157">
        <f>VLOOKUP(Table32[[#This Row],[Census Tract]],'Population and Diversity Data'!$B$2:$K$823,10,FALSE)</f>
        <v>1</v>
      </c>
      <c r="Q157" t="str">
        <f>VLOOKUP(Table32[[#This Row],[Census Tract]],'ES Energy Burden'!$B$2:$E$914,4,FALSE)</f>
        <v>No</v>
      </c>
    </row>
    <row r="158" spans="1:17" x14ac:dyDescent="0.25">
      <c r="A158" s="140">
        <v>9015903100</v>
      </c>
      <c r="B158" s="39" t="s">
        <v>2821</v>
      </c>
      <c r="C158" s="39" t="s">
        <v>944</v>
      </c>
      <c r="D158" s="41">
        <v>289427.07360960002</v>
      </c>
      <c r="E158" s="37">
        <v>2.5676932599232034E-3</v>
      </c>
      <c r="F158" s="38">
        <v>47692.290200000003</v>
      </c>
      <c r="G158" s="37">
        <v>5.834985777008223E-4</v>
      </c>
      <c r="H158" s="38">
        <v>0</v>
      </c>
      <c r="I158" s="37">
        <v>0</v>
      </c>
      <c r="J158" s="42">
        <v>0</v>
      </c>
      <c r="K158" s="37">
        <v>0</v>
      </c>
      <c r="L158" s="38">
        <v>289427.07360960002</v>
      </c>
      <c r="M158" s="37">
        <v>2.5676932599232034E-3</v>
      </c>
      <c r="N158" s="42">
        <v>47692.290200000003</v>
      </c>
      <c r="O158" s="40">
        <v>5.834985777008223E-4</v>
      </c>
      <c r="P158">
        <f>VLOOKUP(Table32[[#This Row],[Census Tract]],'Population and Diversity Data'!$B$2:$K$823,10,FALSE)</f>
        <v>2</v>
      </c>
      <c r="Q158" t="str">
        <f>VLOOKUP(Table32[[#This Row],[Census Tract]],'ES Energy Burden'!$B$2:$E$914,4,FALSE)</f>
        <v>No</v>
      </c>
    </row>
    <row r="159" spans="1:17" x14ac:dyDescent="0.25">
      <c r="A159" s="140">
        <v>9015903200</v>
      </c>
      <c r="B159" s="39" t="s">
        <v>2821</v>
      </c>
      <c r="C159" s="39" t="s">
        <v>944</v>
      </c>
      <c r="D159" s="41">
        <v>2.5829625599999999</v>
      </c>
      <c r="E159" s="37">
        <v>2.2915118040726365E-8</v>
      </c>
      <c r="F159" s="38">
        <v>0</v>
      </c>
      <c r="G159" s="37">
        <v>0</v>
      </c>
      <c r="H159" s="38">
        <v>0</v>
      </c>
      <c r="I159" s="37">
        <v>0</v>
      </c>
      <c r="J159" s="42">
        <v>0</v>
      </c>
      <c r="K159" s="37">
        <v>0</v>
      </c>
      <c r="L159" s="38">
        <v>2.5829625599999999</v>
      </c>
      <c r="M159" s="37">
        <v>2.2915118040726365E-8</v>
      </c>
      <c r="N159" s="42">
        <v>0</v>
      </c>
      <c r="O159" s="40">
        <v>0</v>
      </c>
      <c r="P159">
        <f>VLOOKUP(Table32[[#This Row],[Census Tract]],'Population and Diversity Data'!$B$2:$K$823,10,FALSE)</f>
        <v>3</v>
      </c>
      <c r="Q159" t="str">
        <f>VLOOKUP(Table32[[#This Row],[Census Tract]],'ES Energy Burden'!$B$2:$E$914,4,FALSE)</f>
        <v>No</v>
      </c>
    </row>
    <row r="160" spans="1:17" x14ac:dyDescent="0.25">
      <c r="A160" s="140">
        <v>9001240200</v>
      </c>
      <c r="B160" s="39" t="s">
        <v>2822</v>
      </c>
      <c r="C160" s="39" t="s">
        <v>944</v>
      </c>
      <c r="D160" s="41">
        <v>50952.629750399996</v>
      </c>
      <c r="E160" s="37">
        <v>4.5203346858261928E-4</v>
      </c>
      <c r="F160" s="38">
        <v>2370</v>
      </c>
      <c r="G160" s="37">
        <v>2.8996125439808485E-5</v>
      </c>
      <c r="H160" s="38">
        <v>0</v>
      </c>
      <c r="I160" s="37">
        <v>0</v>
      </c>
      <c r="J160" s="42">
        <v>0</v>
      </c>
      <c r="K160" s="37">
        <v>0</v>
      </c>
      <c r="L160" s="38">
        <v>50952.629750399996</v>
      </c>
      <c r="M160" s="37">
        <v>4.5203346858261928E-4</v>
      </c>
      <c r="N160" s="42">
        <v>2370</v>
      </c>
      <c r="O160" s="40">
        <v>2.8996125439808485E-5</v>
      </c>
      <c r="P160">
        <f>VLOOKUP(Table32[[#This Row],[Census Tract]],'Population and Diversity Data'!$B$2:$K$823,10,FALSE)</f>
        <v>2</v>
      </c>
      <c r="Q160" t="str">
        <f>VLOOKUP(Table32[[#This Row],[Census Tract]],'ES Energy Burden'!$B$2:$E$914,4,FALSE)</f>
        <v>No</v>
      </c>
    </row>
    <row r="161" spans="1:17" x14ac:dyDescent="0.25">
      <c r="A161" s="140">
        <v>9001245600</v>
      </c>
      <c r="B161" s="39" t="s">
        <v>2823</v>
      </c>
      <c r="C161" s="39" t="s">
        <v>944</v>
      </c>
      <c r="D161" s="41">
        <v>449471.78468927997</v>
      </c>
      <c r="E161" s="37">
        <v>3.9875525730155362E-3</v>
      </c>
      <c r="F161" s="38">
        <v>149727.1966</v>
      </c>
      <c r="G161" s="37">
        <v>1.8318601579596905E-3</v>
      </c>
      <c r="H161" s="38">
        <v>0</v>
      </c>
      <c r="I161" s="37">
        <v>0</v>
      </c>
      <c r="J161" s="42">
        <v>0</v>
      </c>
      <c r="K161" s="37">
        <v>0</v>
      </c>
      <c r="L161" s="38">
        <v>449471.78468927997</v>
      </c>
      <c r="M161" s="37">
        <v>3.9875525730155362E-3</v>
      </c>
      <c r="N161" s="42">
        <v>149727.1966</v>
      </c>
      <c r="O161" s="40">
        <v>1.8318601579596905E-3</v>
      </c>
      <c r="P161">
        <f>VLOOKUP(Table32[[#This Row],[Census Tract]],'Population and Diversity Data'!$B$2:$K$823,10,FALSE)</f>
        <v>3</v>
      </c>
      <c r="Q161" t="str">
        <f>VLOOKUP(Table32[[#This Row],[Census Tract]],'ES Energy Burden'!$B$2:$E$914,4,FALSE)</f>
        <v>No</v>
      </c>
    </row>
    <row r="162" spans="1:17" x14ac:dyDescent="0.25">
      <c r="A162" s="140">
        <v>9003490302</v>
      </c>
      <c r="B162" s="39" t="s">
        <v>2824</v>
      </c>
      <c r="C162" s="39" t="s">
        <v>944</v>
      </c>
      <c r="D162" s="41">
        <v>455482.61816544004</v>
      </c>
      <c r="E162" s="37">
        <v>4.0408785331987754E-3</v>
      </c>
      <c r="F162" s="38">
        <v>133258.31839999999</v>
      </c>
      <c r="G162" s="37">
        <v>1.630369162963856E-3</v>
      </c>
      <c r="H162" s="38">
        <v>0</v>
      </c>
      <c r="I162" s="37">
        <v>0</v>
      </c>
      <c r="J162" s="42">
        <v>0</v>
      </c>
      <c r="K162" s="37">
        <v>0</v>
      </c>
      <c r="L162" s="38">
        <v>455482.61816544004</v>
      </c>
      <c r="M162" s="37">
        <v>4.0408785331987754E-3</v>
      </c>
      <c r="N162" s="42">
        <v>133258.31839999999</v>
      </c>
      <c r="O162" s="40">
        <v>1.630369162963856E-3</v>
      </c>
      <c r="P162">
        <f>VLOOKUP(Table32[[#This Row],[Census Tract]],'Population and Diversity Data'!$B$2:$K$823,10,FALSE)</f>
        <v>5</v>
      </c>
      <c r="Q162" t="str">
        <f>VLOOKUP(Table32[[#This Row],[Census Tract]],'ES Energy Burden'!$B$2:$E$914,4,FALSE)</f>
        <v>No</v>
      </c>
    </row>
    <row r="163" spans="1:17" x14ac:dyDescent="0.25">
      <c r="A163" s="140">
        <v>9003524200</v>
      </c>
      <c r="B163" s="39" t="s">
        <v>2824</v>
      </c>
      <c r="C163" s="39" t="s">
        <v>944</v>
      </c>
      <c r="D163" s="41">
        <v>2177.0102246400002</v>
      </c>
      <c r="E163" s="37">
        <v>1.9313654423815505E-5</v>
      </c>
      <c r="F163" s="38">
        <v>0</v>
      </c>
      <c r="G163" s="37">
        <v>0</v>
      </c>
      <c r="H163" s="38">
        <v>0</v>
      </c>
      <c r="I163" s="37">
        <v>0</v>
      </c>
      <c r="J163" s="42">
        <v>0</v>
      </c>
      <c r="K163" s="37">
        <v>0</v>
      </c>
      <c r="L163" s="38">
        <v>2177.0102246400002</v>
      </c>
      <c r="M163" s="37">
        <v>1.9313654423815505E-5</v>
      </c>
      <c r="N163" s="42">
        <v>0</v>
      </c>
      <c r="O163" s="40">
        <v>0</v>
      </c>
      <c r="P163">
        <f>VLOOKUP(Table32[[#This Row],[Census Tract]],'Population and Diversity Data'!$B$2:$K$823,10,FALSE)</f>
        <v>4</v>
      </c>
      <c r="Q163" t="str">
        <f>VLOOKUP(Table32[[#This Row],[Census Tract]],'ES Energy Burden'!$B$2:$E$914,4,FALSE)</f>
        <v>No</v>
      </c>
    </row>
    <row r="164" spans="1:17" x14ac:dyDescent="0.25">
      <c r="A164" s="140">
        <v>9005268100</v>
      </c>
      <c r="B164" s="39" t="s">
        <v>2825</v>
      </c>
      <c r="C164" s="39" t="s">
        <v>944</v>
      </c>
      <c r="D164" s="41">
        <v>483.88405536000005</v>
      </c>
      <c r="E164" s="37">
        <v>4.2928459042781371E-6</v>
      </c>
      <c r="F164" s="38">
        <v>0</v>
      </c>
      <c r="G164" s="37">
        <v>0</v>
      </c>
      <c r="H164" s="38">
        <v>0</v>
      </c>
      <c r="I164" s="37">
        <v>0</v>
      </c>
      <c r="J164" s="42">
        <v>0</v>
      </c>
      <c r="K164" s="37">
        <v>0</v>
      </c>
      <c r="L164" s="38">
        <v>483.88405536000005</v>
      </c>
      <c r="M164" s="37">
        <v>4.2928459042781371E-6</v>
      </c>
      <c r="N164" s="42">
        <v>0</v>
      </c>
      <c r="O164" s="40">
        <v>0</v>
      </c>
      <c r="P164">
        <f>VLOOKUP(Table32[[#This Row],[Census Tract]],'Population and Diversity Data'!$B$2:$K$823,10,FALSE)</f>
        <v>1</v>
      </c>
      <c r="Q164" t="str">
        <f>VLOOKUP(Table32[[#This Row],[Census Tract]],'ES Energy Burden'!$B$2:$E$914,4,FALSE)</f>
        <v>No</v>
      </c>
    </row>
    <row r="165" spans="1:17" x14ac:dyDescent="0.25">
      <c r="A165" s="140">
        <v>9011715100</v>
      </c>
      <c r="B165" s="39" t="s">
        <v>2826</v>
      </c>
      <c r="C165" s="39" t="s">
        <v>944</v>
      </c>
      <c r="D165" s="41">
        <v>6473.2086662399997</v>
      </c>
      <c r="E165" s="37">
        <v>5.7427987144011286E-5</v>
      </c>
      <c r="F165" s="38">
        <v>250</v>
      </c>
      <c r="G165" s="37">
        <v>3.0586630210768441E-6</v>
      </c>
      <c r="H165" s="38">
        <v>0</v>
      </c>
      <c r="I165" s="37">
        <v>0</v>
      </c>
      <c r="J165" s="42">
        <v>0</v>
      </c>
      <c r="K165" s="37">
        <v>0</v>
      </c>
      <c r="L165" s="38">
        <v>6473.2086662399997</v>
      </c>
      <c r="M165" s="37">
        <v>5.7427987144011286E-5</v>
      </c>
      <c r="N165" s="42">
        <v>250</v>
      </c>
      <c r="O165" s="40">
        <v>3.0586630210768441E-6</v>
      </c>
      <c r="P165">
        <f>VLOOKUP(Table32[[#This Row],[Census Tract]],'Population and Diversity Data'!$B$2:$K$823,10,FALSE)</f>
        <v>3</v>
      </c>
      <c r="Q165" t="str">
        <f>VLOOKUP(Table32[[#This Row],[Census Tract]],'ES Energy Burden'!$B$2:$E$914,4,FALSE)</f>
        <v>No</v>
      </c>
    </row>
    <row r="166" spans="1:17" x14ac:dyDescent="0.25">
      <c r="A166" s="140">
        <v>9005261100</v>
      </c>
      <c r="B166" s="39" t="s">
        <v>2827</v>
      </c>
      <c r="C166" s="39" t="s">
        <v>944</v>
      </c>
      <c r="D166" s="41">
        <v>67915.366306559998</v>
      </c>
      <c r="E166" s="37">
        <v>6.0252078748442744E-4</v>
      </c>
      <c r="F166" s="38">
        <v>0</v>
      </c>
      <c r="G166" s="37">
        <v>0</v>
      </c>
      <c r="H166" s="38">
        <v>0</v>
      </c>
      <c r="I166" s="37">
        <v>0</v>
      </c>
      <c r="J166" s="42">
        <v>0</v>
      </c>
      <c r="K166" s="37">
        <v>0</v>
      </c>
      <c r="L166" s="38">
        <v>67915.366306559998</v>
      </c>
      <c r="M166" s="37">
        <v>6.0252078748442744E-4</v>
      </c>
      <c r="N166" s="42">
        <v>0</v>
      </c>
      <c r="O166" s="40">
        <v>0</v>
      </c>
      <c r="P166">
        <f>VLOOKUP(Table32[[#This Row],[Census Tract]],'Population and Diversity Data'!$B$2:$K$823,10,FALSE)</f>
        <v>1</v>
      </c>
      <c r="Q166" t="str">
        <f>VLOOKUP(Table32[[#This Row],[Census Tract]],'ES Energy Burden'!$B$2:$E$914,4,FALSE)</f>
        <v>No</v>
      </c>
    </row>
    <row r="167" spans="1:17" x14ac:dyDescent="0.25">
      <c r="A167" s="140">
        <v>9015825000</v>
      </c>
      <c r="B167" s="39" t="s">
        <v>2828</v>
      </c>
      <c r="C167" s="39" t="s">
        <v>944</v>
      </c>
      <c r="D167" s="41">
        <v>4962.2624006400001</v>
      </c>
      <c r="E167" s="37">
        <v>4.4023413432567832E-5</v>
      </c>
      <c r="F167" s="38">
        <v>0</v>
      </c>
      <c r="G167" s="37">
        <v>0</v>
      </c>
      <c r="H167" s="38">
        <v>0</v>
      </c>
      <c r="I167" s="37">
        <v>0</v>
      </c>
      <c r="J167" s="42">
        <v>0</v>
      </c>
      <c r="K167" s="37">
        <v>0</v>
      </c>
      <c r="L167" s="38">
        <v>4962.2624006400001</v>
      </c>
      <c r="M167" s="37">
        <v>4.4023413432567832E-5</v>
      </c>
      <c r="N167" s="42">
        <v>0</v>
      </c>
      <c r="O167" s="40">
        <v>0</v>
      </c>
      <c r="P167">
        <f>VLOOKUP(Table32[[#This Row],[Census Tract]],'Population and Diversity Data'!$B$2:$K$823,10,FALSE)</f>
        <v>2</v>
      </c>
      <c r="Q167" t="str">
        <f>VLOOKUP(Table32[[#This Row],[Census Tract]],'ES Energy Burden'!$B$2:$E$914,4,FALSE)</f>
        <v>No</v>
      </c>
    </row>
    <row r="168" spans="1:17" x14ac:dyDescent="0.25">
      <c r="A168" s="140">
        <v>9009130102</v>
      </c>
      <c r="B168" s="39" t="s">
        <v>2829</v>
      </c>
      <c r="C168" s="39" t="s">
        <v>944</v>
      </c>
      <c r="D168" s="41">
        <v>27.423282239999999</v>
      </c>
      <c r="E168" s="37">
        <v>2.4328953091513449E-7</v>
      </c>
      <c r="F168" s="38">
        <v>0</v>
      </c>
      <c r="G168" s="37">
        <v>0</v>
      </c>
      <c r="H168" s="38">
        <v>0</v>
      </c>
      <c r="I168" s="37">
        <v>0</v>
      </c>
      <c r="J168" s="42">
        <v>0</v>
      </c>
      <c r="K168" s="37">
        <v>0</v>
      </c>
      <c r="L168" s="38">
        <v>27.423282239999999</v>
      </c>
      <c r="M168" s="37">
        <v>2.4328953091513449E-7</v>
      </c>
      <c r="N168" s="42">
        <v>0</v>
      </c>
      <c r="O168" s="40">
        <v>0</v>
      </c>
      <c r="P168">
        <f>VLOOKUP(Table32[[#This Row],[Census Tract]],'Population and Diversity Data'!$B$2:$K$823,10,FALSE)</f>
        <v>2</v>
      </c>
      <c r="Q168" t="str">
        <f>VLOOKUP(Table32[[#This Row],[Census Tract]],'ES Energy Burden'!$B$2:$E$914,4,FALSE)</f>
        <v>No</v>
      </c>
    </row>
    <row r="169" spans="1:17" x14ac:dyDescent="0.25">
      <c r="A169" s="140">
        <v>9009130200</v>
      </c>
      <c r="B169" s="39" t="s">
        <v>2829</v>
      </c>
      <c r="C169" s="39" t="s">
        <v>944</v>
      </c>
      <c r="D169" s="41">
        <v>182985.24616704002</v>
      </c>
      <c r="E169" s="37">
        <v>1.6233795179861584E-3</v>
      </c>
      <c r="F169" s="38">
        <v>977435.72600000002</v>
      </c>
      <c r="G169" s="37">
        <v>1.1958586042382395E-2</v>
      </c>
      <c r="H169" s="38">
        <v>0</v>
      </c>
      <c r="I169" s="37">
        <v>0</v>
      </c>
      <c r="J169" s="42">
        <v>0</v>
      </c>
      <c r="K169" s="37">
        <v>0</v>
      </c>
      <c r="L169" s="38">
        <v>182985.24616704002</v>
      </c>
      <c r="M169" s="37">
        <v>1.6233795179861584E-3</v>
      </c>
      <c r="N169" s="42">
        <v>977435.72600000002</v>
      </c>
      <c r="O169" s="40">
        <v>1.1958586042382395E-2</v>
      </c>
      <c r="P169">
        <f>VLOOKUP(Table32[[#This Row],[Census Tract]],'Population and Diversity Data'!$B$2:$K$823,10,FALSE)</f>
        <v>3</v>
      </c>
      <c r="Q169" t="str">
        <f>VLOOKUP(Table32[[#This Row],[Census Tract]],'ES Energy Burden'!$B$2:$E$914,4,FALSE)</f>
        <v>No</v>
      </c>
    </row>
    <row r="170" spans="1:17" x14ac:dyDescent="0.25">
      <c r="A170" s="140">
        <v>9005262100</v>
      </c>
      <c r="B170" s="39" t="s">
        <v>2830</v>
      </c>
      <c r="C170" s="39" t="s">
        <v>944</v>
      </c>
      <c r="D170" s="41">
        <v>36097.601063039998</v>
      </c>
      <c r="E170" s="37">
        <v>3.2024497844312971E-4</v>
      </c>
      <c r="F170" s="38">
        <v>0</v>
      </c>
      <c r="G170" s="37">
        <v>0</v>
      </c>
      <c r="H170" s="38">
        <v>0</v>
      </c>
      <c r="I170" s="37">
        <v>0</v>
      </c>
      <c r="J170" s="42">
        <v>0</v>
      </c>
      <c r="K170" s="37">
        <v>0</v>
      </c>
      <c r="L170" s="38">
        <v>36097.601063039998</v>
      </c>
      <c r="M170" s="37">
        <v>3.2024497844312971E-4</v>
      </c>
      <c r="N170" s="42">
        <v>0</v>
      </c>
      <c r="O170" s="40">
        <v>0</v>
      </c>
      <c r="P170">
        <f>VLOOKUP(Table32[[#This Row],[Census Tract]],'Population and Diversity Data'!$B$2:$K$823,10,FALSE)</f>
        <v>1</v>
      </c>
      <c r="Q170" t="str">
        <f>VLOOKUP(Table32[[#This Row],[Census Tract]],'ES Energy Burden'!$B$2:$E$914,4,FALSE)</f>
        <v>No</v>
      </c>
    </row>
    <row r="171" spans="1:17" x14ac:dyDescent="0.25">
      <c r="A171" s="140">
        <v>9001257100</v>
      </c>
      <c r="B171" s="39" t="s">
        <v>2831</v>
      </c>
      <c r="C171" s="39" t="s">
        <v>944</v>
      </c>
      <c r="D171" s="41">
        <v>3238.8469142399999</v>
      </c>
      <c r="E171" s="37">
        <v>2.8733888947911014E-5</v>
      </c>
      <c r="F171" s="38">
        <v>0</v>
      </c>
      <c r="G171" s="37">
        <v>0</v>
      </c>
      <c r="H171" s="38">
        <v>0</v>
      </c>
      <c r="I171" s="37">
        <v>0</v>
      </c>
      <c r="J171" s="42">
        <v>0</v>
      </c>
      <c r="K171" s="37">
        <v>0</v>
      </c>
      <c r="L171" s="38">
        <v>3238.8469142399999</v>
      </c>
      <c r="M171" s="37">
        <v>2.8733888947911014E-5</v>
      </c>
      <c r="N171" s="42">
        <v>0</v>
      </c>
      <c r="O171" s="40">
        <v>0</v>
      </c>
      <c r="P171">
        <f>VLOOKUP(Table32[[#This Row],[Census Tract]],'Population and Diversity Data'!$B$2:$K$823,10,FALSE)</f>
        <v>1</v>
      </c>
      <c r="Q171" t="str">
        <f>VLOOKUP(Table32[[#This Row],[Census Tract]],'ES Energy Burden'!$B$2:$E$914,4,FALSE)</f>
        <v>No</v>
      </c>
    </row>
    <row r="172" spans="1:17" x14ac:dyDescent="0.25">
      <c r="A172" s="140">
        <v>9003466102</v>
      </c>
      <c r="B172" s="39" t="s">
        <v>2832</v>
      </c>
      <c r="C172" s="39" t="s">
        <v>944</v>
      </c>
      <c r="D172" s="41">
        <v>268148.18114495999</v>
      </c>
      <c r="E172" s="37">
        <v>2.378914552808243E-3</v>
      </c>
      <c r="F172" s="38">
        <v>322738.55099999998</v>
      </c>
      <c r="G172" s="37">
        <v>3.9485938856784926E-3</v>
      </c>
      <c r="H172" s="38">
        <v>0</v>
      </c>
      <c r="I172" s="37">
        <v>0</v>
      </c>
      <c r="J172" s="42">
        <v>0</v>
      </c>
      <c r="K172" s="37">
        <v>0</v>
      </c>
      <c r="L172" s="38">
        <v>268148.18114495999</v>
      </c>
      <c r="M172" s="37">
        <v>2.378914552808243E-3</v>
      </c>
      <c r="N172" s="42">
        <v>322738.55099999998</v>
      </c>
      <c r="O172" s="40">
        <v>3.9485938856784926E-3</v>
      </c>
      <c r="P172">
        <f>VLOOKUP(Table32[[#This Row],[Census Tract]],'Population and Diversity Data'!$B$2:$K$823,10,FALSE)</f>
        <v>2</v>
      </c>
      <c r="Q172" t="str">
        <f>VLOOKUP(Table32[[#This Row],[Census Tract]],'ES Energy Burden'!$B$2:$E$914,4,FALSE)</f>
        <v>No</v>
      </c>
    </row>
    <row r="173" spans="1:17" x14ac:dyDescent="0.25">
      <c r="A173" s="140">
        <v>9013538201</v>
      </c>
      <c r="B173" s="39" t="s">
        <v>2833</v>
      </c>
      <c r="C173" s="39" t="s">
        <v>944</v>
      </c>
      <c r="D173" s="41">
        <v>90490.580066880008</v>
      </c>
      <c r="E173" s="37">
        <v>8.0279999250409408E-4</v>
      </c>
      <c r="F173" s="38">
        <v>190013.86799999999</v>
      </c>
      <c r="G173" s="37">
        <v>2.3247535661735067E-3</v>
      </c>
      <c r="H173" s="38">
        <v>0</v>
      </c>
      <c r="I173" s="37">
        <v>0</v>
      </c>
      <c r="J173" s="42">
        <v>0</v>
      </c>
      <c r="K173" s="37">
        <v>0</v>
      </c>
      <c r="L173" s="38">
        <v>90490.580066880008</v>
      </c>
      <c r="M173" s="37">
        <v>8.0279999250409408E-4</v>
      </c>
      <c r="N173" s="42">
        <v>190013.86799999999</v>
      </c>
      <c r="O173" s="40">
        <v>2.3247535661735067E-3</v>
      </c>
      <c r="P173">
        <f>VLOOKUP(Table32[[#This Row],[Census Tract]],'Population and Diversity Data'!$B$2:$K$823,10,FALSE)</f>
        <v>3</v>
      </c>
      <c r="Q173" t="str">
        <f>VLOOKUP(Table32[[#This Row],[Census Tract]],'ES Energy Burden'!$B$2:$E$914,4,FALSE)</f>
        <v>No</v>
      </c>
    </row>
    <row r="174" spans="1:17" x14ac:dyDescent="0.25">
      <c r="A174" s="140">
        <v>9003487500</v>
      </c>
      <c r="B174" s="39" t="s">
        <v>2834</v>
      </c>
      <c r="C174" s="39" t="s">
        <v>944</v>
      </c>
      <c r="D174" s="41">
        <v>595224.04929407989</v>
      </c>
      <c r="E174" s="37">
        <v>5.280614423715445E-3</v>
      </c>
      <c r="F174" s="38">
        <v>689340.95860000001</v>
      </c>
      <c r="G174" s="37">
        <v>8.4338467959339351E-3</v>
      </c>
      <c r="H174" s="38">
        <v>0</v>
      </c>
      <c r="I174" s="37">
        <v>0</v>
      </c>
      <c r="J174" s="42">
        <v>0</v>
      </c>
      <c r="K174" s="37">
        <v>0</v>
      </c>
      <c r="L174" s="38">
        <v>595224.04929407989</v>
      </c>
      <c r="M174" s="37">
        <v>5.280614423715445E-3</v>
      </c>
      <c r="N174" s="42">
        <v>689340.95860000001</v>
      </c>
      <c r="O174" s="40">
        <v>8.4338467959339351E-3</v>
      </c>
      <c r="P174">
        <f>VLOOKUP(Table32[[#This Row],[Census Tract]],'Population and Diversity Data'!$B$2:$K$823,10,FALSE)</f>
        <v>5</v>
      </c>
      <c r="Q174" t="str">
        <f>VLOOKUP(Table32[[#This Row],[Census Tract]],'ES Energy Burden'!$B$2:$E$914,4,FALSE)</f>
        <v>No</v>
      </c>
    </row>
    <row r="175" spans="1:17" x14ac:dyDescent="0.25">
      <c r="A175" s="140">
        <v>9009348124</v>
      </c>
      <c r="B175" s="39" t="s">
        <v>2835</v>
      </c>
      <c r="C175" s="39" t="s">
        <v>944</v>
      </c>
      <c r="D175" s="41">
        <v>5.6093472000000002</v>
      </c>
      <c r="E175" s="37">
        <v>4.976411784281454E-8</v>
      </c>
      <c r="F175" s="38">
        <v>0</v>
      </c>
      <c r="G175" s="37">
        <v>0</v>
      </c>
      <c r="H175" s="38">
        <v>0</v>
      </c>
      <c r="I175" s="37">
        <v>0</v>
      </c>
      <c r="J175" s="42">
        <v>0</v>
      </c>
      <c r="K175" s="37">
        <v>0</v>
      </c>
      <c r="L175" s="38">
        <v>5.6093472000000002</v>
      </c>
      <c r="M175" s="37">
        <v>4.976411784281454E-8</v>
      </c>
      <c r="N175" s="42">
        <v>0</v>
      </c>
      <c r="O175" s="40">
        <v>0</v>
      </c>
      <c r="P175">
        <f>VLOOKUP(Table32[[#This Row],[Census Tract]],'Population and Diversity Data'!$B$2:$K$823,10,FALSE)</f>
        <v>2</v>
      </c>
      <c r="Q175" t="str">
        <f>VLOOKUP(Table32[[#This Row],[Census Tract]],'ES Energy Burden'!$B$2:$E$914,4,FALSE)</f>
        <v>No</v>
      </c>
    </row>
    <row r="176" spans="1:17" x14ac:dyDescent="0.25">
      <c r="A176" s="140">
        <v>9009348125</v>
      </c>
      <c r="B176" s="39" t="s">
        <v>2835</v>
      </c>
      <c r="C176" s="39" t="s">
        <v>944</v>
      </c>
      <c r="D176" s="41">
        <v>309731.64504192001</v>
      </c>
      <c r="E176" s="37">
        <v>2.7478281400578862E-3</v>
      </c>
      <c r="F176" s="38">
        <v>40841.460200000001</v>
      </c>
      <c r="G176" s="37">
        <v>4.9968105616208678E-4</v>
      </c>
      <c r="H176" s="38">
        <v>0</v>
      </c>
      <c r="I176" s="37">
        <v>0</v>
      </c>
      <c r="J176" s="42">
        <v>0</v>
      </c>
      <c r="K176" s="37">
        <v>0</v>
      </c>
      <c r="L176" s="38">
        <v>309731.64504192001</v>
      </c>
      <c r="M176" s="37">
        <v>2.7478281400578862E-3</v>
      </c>
      <c r="N176" s="42">
        <v>40841.460200000001</v>
      </c>
      <c r="O176" s="40">
        <v>4.9968105616208678E-4</v>
      </c>
      <c r="P176">
        <f>VLOOKUP(Table32[[#This Row],[Census Tract]],'Population and Diversity Data'!$B$2:$K$823,10,FALSE)</f>
        <v>1</v>
      </c>
      <c r="Q176" t="str">
        <f>VLOOKUP(Table32[[#This Row],[Census Tract]],'ES Energy Burden'!$B$2:$E$914,4,FALSE)</f>
        <v>No</v>
      </c>
    </row>
    <row r="177" spans="1:17" x14ac:dyDescent="0.25">
      <c r="A177" s="140">
        <v>9003430203</v>
      </c>
      <c r="B177" s="39" t="s">
        <v>2836</v>
      </c>
      <c r="C177" s="39" t="s">
        <v>944</v>
      </c>
      <c r="D177" s="41">
        <v>13.780238399999998</v>
      </c>
      <c r="E177" s="37">
        <v>1.2225333593892673E-7</v>
      </c>
      <c r="F177" s="38">
        <v>0</v>
      </c>
      <c r="G177" s="37">
        <v>0</v>
      </c>
      <c r="H177" s="38">
        <v>0</v>
      </c>
      <c r="I177" s="37">
        <v>0</v>
      </c>
      <c r="J177" s="42">
        <v>0</v>
      </c>
      <c r="K177" s="37">
        <v>0</v>
      </c>
      <c r="L177" s="38">
        <v>13.780238399999998</v>
      </c>
      <c r="M177" s="37">
        <v>1.2225333593892673E-7</v>
      </c>
      <c r="N177" s="42">
        <v>0</v>
      </c>
      <c r="O177" s="40">
        <v>0</v>
      </c>
      <c r="P177">
        <f>VLOOKUP(Table32[[#This Row],[Census Tract]],'Population and Diversity Data'!$B$2:$K$823,10,FALSE)</f>
        <v>2</v>
      </c>
      <c r="Q177" t="str">
        <f>VLOOKUP(Table32[[#This Row],[Census Tract]],'ES Energy Burden'!$B$2:$E$914,4,FALSE)</f>
        <v>No</v>
      </c>
    </row>
    <row r="178" spans="1:17" x14ac:dyDescent="0.25">
      <c r="A178" s="140">
        <v>9003430500</v>
      </c>
      <c r="B178" s="39" t="s">
        <v>2836</v>
      </c>
      <c r="C178" s="39" t="s">
        <v>944</v>
      </c>
      <c r="D178" s="41">
        <v>660779.74326528003</v>
      </c>
      <c r="E178" s="37">
        <v>5.8622010439999392E-3</v>
      </c>
      <c r="F178" s="38">
        <v>301487.09879999998</v>
      </c>
      <c r="G178" s="37">
        <v>3.6885897617252041E-3</v>
      </c>
      <c r="H178" s="38">
        <v>0</v>
      </c>
      <c r="I178" s="37">
        <v>0</v>
      </c>
      <c r="J178" s="42">
        <v>0</v>
      </c>
      <c r="K178" s="37">
        <v>0</v>
      </c>
      <c r="L178" s="38">
        <v>660779.74326528003</v>
      </c>
      <c r="M178" s="37">
        <v>5.8622010439999392E-3</v>
      </c>
      <c r="N178" s="42">
        <v>301487.09879999998</v>
      </c>
      <c r="O178" s="40">
        <v>3.6885897617252041E-3</v>
      </c>
      <c r="P178">
        <f>VLOOKUP(Table32[[#This Row],[Census Tract]],'Population and Diversity Data'!$B$2:$K$823,10,FALSE)</f>
        <v>1</v>
      </c>
      <c r="Q178" t="str">
        <f>VLOOKUP(Table32[[#This Row],[Census Tract]],'ES Energy Burden'!$B$2:$E$914,4,FALSE)</f>
        <v>No</v>
      </c>
    </row>
    <row r="179" spans="1:17" x14ac:dyDescent="0.25">
      <c r="A179" s="140">
        <v>9003430601</v>
      </c>
      <c r="B179" s="39" t="s">
        <v>2836</v>
      </c>
      <c r="C179" s="39" t="s">
        <v>944</v>
      </c>
      <c r="D179" s="41">
        <v>14.623087679999999</v>
      </c>
      <c r="E179" s="37">
        <v>1.2973079265504004E-7</v>
      </c>
      <c r="F179" s="38">
        <v>0</v>
      </c>
      <c r="G179" s="37">
        <v>0</v>
      </c>
      <c r="H179" s="38">
        <v>0</v>
      </c>
      <c r="I179" s="37">
        <v>0</v>
      </c>
      <c r="J179" s="42">
        <v>0</v>
      </c>
      <c r="K179" s="37">
        <v>0</v>
      </c>
      <c r="L179" s="38">
        <v>14.623087679999999</v>
      </c>
      <c r="M179" s="37">
        <v>1.2973079265504004E-7</v>
      </c>
      <c r="N179" s="42">
        <v>0</v>
      </c>
      <c r="O179" s="40">
        <v>0</v>
      </c>
      <c r="P179">
        <f>VLOOKUP(Table32[[#This Row],[Census Tract]],'Population and Diversity Data'!$B$2:$K$823,10,FALSE)</f>
        <v>2</v>
      </c>
      <c r="Q179" t="str">
        <f>VLOOKUP(Table32[[#This Row],[Census Tract]],'ES Energy Burden'!$B$2:$E$914,4,FALSE)</f>
        <v>No</v>
      </c>
    </row>
    <row r="180" spans="1:17" x14ac:dyDescent="0.25">
      <c r="A180" s="140">
        <v>9011711100</v>
      </c>
      <c r="B180" s="39" t="s">
        <v>2837</v>
      </c>
      <c r="C180" s="39" t="s">
        <v>944</v>
      </c>
      <c r="D180" s="41">
        <v>11427.039100800001</v>
      </c>
      <c r="E180" s="37">
        <v>1.0137659519572273E-4</v>
      </c>
      <c r="F180" s="38">
        <v>100</v>
      </c>
      <c r="G180" s="37">
        <v>1.2234652084307377E-6</v>
      </c>
      <c r="H180" s="38">
        <v>0</v>
      </c>
      <c r="I180" s="37">
        <v>0</v>
      </c>
      <c r="J180" s="42">
        <v>0</v>
      </c>
      <c r="K180" s="37">
        <v>0</v>
      </c>
      <c r="L180" s="38">
        <v>11427.039100800001</v>
      </c>
      <c r="M180" s="37">
        <v>1.0137659519572273E-4</v>
      </c>
      <c r="N180" s="42">
        <v>100</v>
      </c>
      <c r="O180" s="40">
        <v>1.2234652084307377E-6</v>
      </c>
      <c r="P180">
        <f>VLOOKUP(Table32[[#This Row],[Census Tract]],'Population and Diversity Data'!$B$2:$K$823,10,FALSE)</f>
        <v>4</v>
      </c>
      <c r="Q180" t="str">
        <f>VLOOKUP(Table32[[#This Row],[Census Tract]],'ES Energy Burden'!$B$2:$E$914,4,FALSE)</f>
        <v>No</v>
      </c>
    </row>
    <row r="181" spans="1:17" x14ac:dyDescent="0.25">
      <c r="A181" s="140">
        <v>9013890100</v>
      </c>
      <c r="B181" s="39" t="s">
        <v>2838</v>
      </c>
      <c r="C181" s="39" t="s">
        <v>944</v>
      </c>
      <c r="D181" s="41">
        <v>10.75095936</v>
      </c>
      <c r="E181" s="37">
        <v>9.537865805745631E-8</v>
      </c>
      <c r="F181" s="38">
        <v>0</v>
      </c>
      <c r="G181" s="37">
        <v>0</v>
      </c>
      <c r="H181" s="38">
        <v>0</v>
      </c>
      <c r="I181" s="37">
        <v>0</v>
      </c>
      <c r="J181" s="42">
        <v>0</v>
      </c>
      <c r="K181" s="37">
        <v>0</v>
      </c>
      <c r="L181" s="38">
        <v>10.75095936</v>
      </c>
      <c r="M181" s="37">
        <v>9.537865805745631E-8</v>
      </c>
      <c r="N181" s="42">
        <v>0</v>
      </c>
      <c r="O181" s="40">
        <v>0</v>
      </c>
      <c r="P181">
        <f>VLOOKUP(Table32[[#This Row],[Census Tract]],'Population and Diversity Data'!$B$2:$K$823,10,FALSE)</f>
        <v>2</v>
      </c>
      <c r="Q181" t="str">
        <f>VLOOKUP(Table32[[#This Row],[Census Tract]],'ES Energy Burden'!$B$2:$E$914,4,FALSE)</f>
        <v>No</v>
      </c>
    </row>
    <row r="182" spans="1:17" x14ac:dyDescent="0.25">
      <c r="A182" s="140">
        <v>9013890202</v>
      </c>
      <c r="B182" s="39" t="s">
        <v>2838</v>
      </c>
      <c r="C182" s="39" t="s">
        <v>944</v>
      </c>
      <c r="D182" s="41">
        <v>187853.59512864001</v>
      </c>
      <c r="E182" s="37">
        <v>1.6665697650482419E-3</v>
      </c>
      <c r="F182" s="38">
        <v>102797.24619999999</v>
      </c>
      <c r="G182" s="37">
        <v>1.2576885424818885E-3</v>
      </c>
      <c r="H182" s="38">
        <v>0</v>
      </c>
      <c r="I182" s="37">
        <v>0</v>
      </c>
      <c r="J182" s="42">
        <v>0</v>
      </c>
      <c r="K182" s="37">
        <v>0</v>
      </c>
      <c r="L182" s="38">
        <v>187853.59512864001</v>
      </c>
      <c r="M182" s="37">
        <v>1.6665697650482419E-3</v>
      </c>
      <c r="N182" s="42">
        <v>102797.24619999999</v>
      </c>
      <c r="O182" s="40">
        <v>1.2576885424818885E-3</v>
      </c>
      <c r="P182">
        <f>VLOOKUP(Table32[[#This Row],[Census Tract]],'Population and Diversity Data'!$B$2:$K$823,10,FALSE)</f>
        <v>4</v>
      </c>
      <c r="Q182" t="str">
        <f>VLOOKUP(Table32[[#This Row],[Census Tract]],'ES Energy Burden'!$B$2:$E$914,4,FALSE)</f>
        <v>No</v>
      </c>
    </row>
    <row r="183" spans="1:17" x14ac:dyDescent="0.25">
      <c r="A183" s="140">
        <v>9001020100</v>
      </c>
      <c r="B183" s="39" t="s">
        <v>986</v>
      </c>
      <c r="C183" s="39" t="s">
        <v>936</v>
      </c>
      <c r="D183" s="41">
        <v>83.611111680000008</v>
      </c>
      <c r="E183" s="37">
        <v>7.4176781473114154E-7</v>
      </c>
      <c r="F183" s="38">
        <v>0</v>
      </c>
      <c r="G183" s="37">
        <v>0</v>
      </c>
      <c r="H183" s="38">
        <v>0</v>
      </c>
      <c r="I183" s="37">
        <v>0</v>
      </c>
      <c r="J183" s="42">
        <v>0</v>
      </c>
      <c r="K183" s="37">
        <v>0</v>
      </c>
      <c r="L183" s="38">
        <v>83.611111680000008</v>
      </c>
      <c r="M183" s="37">
        <v>7.4176781473114154E-7</v>
      </c>
      <c r="N183" s="42">
        <v>0</v>
      </c>
      <c r="O183" s="40">
        <v>0</v>
      </c>
      <c r="P183">
        <f>VLOOKUP(Table32[[#This Row],[Census Tract]],'Population and Diversity Data'!$B$2:$K$823,10,FALSE)</f>
        <v>4</v>
      </c>
      <c r="Q183" t="str">
        <f>VLOOKUP(Table32[[#This Row],[Census Tract]],'ES Energy Burden'!$B$2:$E$914,4,FALSE)</f>
        <v>No</v>
      </c>
    </row>
    <row r="184" spans="1:17" x14ac:dyDescent="0.25">
      <c r="A184" s="140">
        <v>9001020300</v>
      </c>
      <c r="B184" s="39" t="s">
        <v>986</v>
      </c>
      <c r="C184" s="39" t="s">
        <v>944</v>
      </c>
      <c r="D184" s="41">
        <v>3448045.0682438398</v>
      </c>
      <c r="E184" s="37">
        <v>3.0589819988932392E-2</v>
      </c>
      <c r="F184" s="38">
        <v>1303373.4186</v>
      </c>
      <c r="G184" s="37">
        <v>1.594632031250532E-2</v>
      </c>
      <c r="H184" s="38">
        <v>0</v>
      </c>
      <c r="I184" s="37">
        <v>0</v>
      </c>
      <c r="J184" s="42">
        <v>0</v>
      </c>
      <c r="K184" s="37">
        <v>0</v>
      </c>
      <c r="L184" s="38">
        <v>3448045.0682438398</v>
      </c>
      <c r="M184" s="37">
        <v>3.0589819988932392E-2</v>
      </c>
      <c r="N184" s="42">
        <v>1303373.4186</v>
      </c>
      <c r="O184" s="40">
        <v>1.594632031250532E-2</v>
      </c>
      <c r="P184">
        <f>VLOOKUP(Table32[[#This Row],[Census Tract]],'Population and Diversity Data'!$B$2:$K$823,10,FALSE)</f>
        <v>3</v>
      </c>
      <c r="Q184" t="str">
        <f>VLOOKUP(Table32[[#This Row],[Census Tract]],'ES Energy Burden'!$B$2:$E$914,4,FALSE)</f>
        <v>No</v>
      </c>
    </row>
    <row r="185" spans="1:17" x14ac:dyDescent="0.25">
      <c r="A185" s="140">
        <v>9001021700</v>
      </c>
      <c r="B185" s="39" t="s">
        <v>986</v>
      </c>
      <c r="C185" s="39" t="s">
        <v>944</v>
      </c>
      <c r="D185" s="41">
        <v>11182.57</v>
      </c>
      <c r="E185" s="137">
        <v>9.9207752956622576E-5</v>
      </c>
      <c r="F185" s="38">
        <v>0</v>
      </c>
      <c r="G185" s="137">
        <v>0</v>
      </c>
      <c r="H185" s="138">
        <v>11182.57</v>
      </c>
      <c r="I185" s="137">
        <v>9.9207752956622576E-5</v>
      </c>
      <c r="J185" s="138">
        <v>0</v>
      </c>
      <c r="K185" s="137">
        <v>0</v>
      </c>
      <c r="L185" s="138">
        <v>0</v>
      </c>
      <c r="M185" s="137">
        <v>0</v>
      </c>
      <c r="N185" s="138">
        <v>0</v>
      </c>
      <c r="O185" s="40">
        <v>0</v>
      </c>
      <c r="P185">
        <f>VLOOKUP(Table32[[#This Row],[Census Tract]],'Population and Diversity Data'!$B$2:$K$823,10,FALSE)</f>
        <v>5</v>
      </c>
      <c r="Q185" t="str">
        <f>VLOOKUP(Table32[[#This Row],[Census Tract]],'ES Energy Burden'!$B$2:$E$914,4,FALSE)</f>
        <v>No</v>
      </c>
    </row>
    <row r="186" spans="1:17" x14ac:dyDescent="0.25">
      <c r="A186" s="140">
        <v>9015908100</v>
      </c>
      <c r="B186" s="39" t="s">
        <v>2839</v>
      </c>
      <c r="C186" s="39" t="s">
        <v>944</v>
      </c>
      <c r="D186" s="41">
        <v>4718.8242576000002</v>
      </c>
      <c r="E186" s="37">
        <v>4.1863717481196073E-5</v>
      </c>
      <c r="F186" s="38">
        <v>50</v>
      </c>
      <c r="G186" s="37">
        <v>6.1173260421536883E-7</v>
      </c>
      <c r="H186" s="38">
        <v>0</v>
      </c>
      <c r="I186" s="37">
        <v>0</v>
      </c>
      <c r="J186" s="42">
        <v>0</v>
      </c>
      <c r="K186" s="37">
        <v>0</v>
      </c>
      <c r="L186" s="38">
        <v>4718.8242576000002</v>
      </c>
      <c r="M186" s="37">
        <v>4.1863717481196073E-5</v>
      </c>
      <c r="N186" s="42">
        <v>50</v>
      </c>
      <c r="O186" s="40">
        <v>6.1173260421536883E-7</v>
      </c>
      <c r="P186" t="e">
        <f>VLOOKUP(Table32[[#This Row],[Census Tract]],'Population and Diversity Data'!$B$2:$K$823,10,FALSE)</f>
        <v>#N/A</v>
      </c>
      <c r="Q186" t="e">
        <f>VLOOKUP(Table32[[#This Row],[Census Tract]],'ES Energy Burden'!$B$2:$E$914,4,FALSE)</f>
        <v>#N/A</v>
      </c>
    </row>
    <row r="187" spans="1:17" x14ac:dyDescent="0.25">
      <c r="A187" s="140">
        <v>9011702800</v>
      </c>
      <c r="B187" s="39" t="s">
        <v>2840</v>
      </c>
      <c r="C187" s="39" t="s">
        <v>944</v>
      </c>
      <c r="D187" s="41">
        <v>4.9905244799999995</v>
      </c>
      <c r="E187" s="37">
        <v>4.4274144470887939E-8</v>
      </c>
      <c r="F187" s="38">
        <v>0</v>
      </c>
      <c r="G187" s="37">
        <v>0</v>
      </c>
      <c r="H187" s="38">
        <v>0</v>
      </c>
      <c r="I187" s="37">
        <v>0</v>
      </c>
      <c r="J187" s="42">
        <v>0</v>
      </c>
      <c r="K187" s="37">
        <v>0</v>
      </c>
      <c r="L187" s="38">
        <v>4.9905244799999995</v>
      </c>
      <c r="M187" s="37">
        <v>4.4274144470887939E-8</v>
      </c>
      <c r="N187" s="42">
        <v>0</v>
      </c>
      <c r="O187" s="40">
        <v>0</v>
      </c>
      <c r="P187">
        <f>VLOOKUP(Table32[[#This Row],[Census Tract]],'Population and Diversity Data'!$B$2:$K$823,10,FALSE)</f>
        <v>5</v>
      </c>
      <c r="Q187" t="str">
        <f>VLOOKUP(Table32[[#This Row],[Census Tract]],'ES Energy Burden'!$B$2:$E$914,4,FALSE)</f>
        <v>No</v>
      </c>
    </row>
    <row r="188" spans="1:17" x14ac:dyDescent="0.25">
      <c r="A188" s="140">
        <v>9011705200</v>
      </c>
      <c r="B188" s="39" t="s">
        <v>2840</v>
      </c>
      <c r="C188" s="39" t="s">
        <v>944</v>
      </c>
      <c r="D188" s="41">
        <v>320163.21893952001</v>
      </c>
      <c r="E188" s="37">
        <v>2.8403733247678279E-3</v>
      </c>
      <c r="F188" s="38">
        <v>108830.7934</v>
      </c>
      <c r="G188" s="37">
        <v>1.3315068933081355E-3</v>
      </c>
      <c r="H188" s="38">
        <v>0</v>
      </c>
      <c r="I188" s="37">
        <v>0</v>
      </c>
      <c r="J188" s="42">
        <v>0</v>
      </c>
      <c r="K188" s="37">
        <v>0</v>
      </c>
      <c r="L188" s="38">
        <v>320163.21893952001</v>
      </c>
      <c r="M188" s="37">
        <v>2.8403733247678279E-3</v>
      </c>
      <c r="N188" s="42">
        <v>108830.7934</v>
      </c>
      <c r="O188" s="40">
        <v>1.3315068933081355E-3</v>
      </c>
      <c r="P188">
        <f>VLOOKUP(Table32[[#This Row],[Census Tract]],'Population and Diversity Data'!$B$2:$K$823,10,FALSE)</f>
        <v>2</v>
      </c>
      <c r="Q188" t="str">
        <f>VLOOKUP(Table32[[#This Row],[Census Tract]],'ES Energy Burden'!$B$2:$E$914,4,FALSE)</f>
        <v>No</v>
      </c>
    </row>
    <row r="189" spans="1:17" x14ac:dyDescent="0.25">
      <c r="A189" s="140">
        <v>9003477102</v>
      </c>
      <c r="B189" s="39" t="s">
        <v>2841</v>
      </c>
      <c r="C189" s="39" t="s">
        <v>944</v>
      </c>
      <c r="D189" s="41">
        <v>294039.08582400001</v>
      </c>
      <c r="E189" s="37">
        <v>2.6086093792409559E-3</v>
      </c>
      <c r="F189" s="38">
        <v>254921.49</v>
      </c>
      <c r="G189" s="37">
        <v>3.1188757389632423E-3</v>
      </c>
      <c r="H189" s="38">
        <v>0</v>
      </c>
      <c r="I189" s="37">
        <v>0</v>
      </c>
      <c r="J189" s="42">
        <v>0</v>
      </c>
      <c r="K189" s="37">
        <v>0</v>
      </c>
      <c r="L189" s="38">
        <v>294039.08582400001</v>
      </c>
      <c r="M189" s="37">
        <v>2.6086093792409559E-3</v>
      </c>
      <c r="N189" s="42">
        <v>254921.49</v>
      </c>
      <c r="O189" s="40">
        <v>3.1188757389632423E-3</v>
      </c>
      <c r="P189">
        <f>VLOOKUP(Table32[[#This Row],[Census Tract]],'Population and Diversity Data'!$B$2:$K$823,10,FALSE)</f>
        <v>4</v>
      </c>
      <c r="Q189" t="str">
        <f>VLOOKUP(Table32[[#This Row],[Census Tract]],'ES Energy Burden'!$B$2:$E$914,4,FALSE)</f>
        <v>No</v>
      </c>
    </row>
    <row r="190" spans="1:17" x14ac:dyDescent="0.25">
      <c r="A190" s="140">
        <v>9005349100</v>
      </c>
      <c r="B190" s="39" t="s">
        <v>2842</v>
      </c>
      <c r="C190" s="39" t="s">
        <v>944</v>
      </c>
      <c r="D190" s="41">
        <v>153495.88331904</v>
      </c>
      <c r="E190" s="37">
        <v>1.3617604604463809E-3</v>
      </c>
      <c r="F190" s="38">
        <v>168947.7738</v>
      </c>
      <c r="G190" s="37">
        <v>2.0670172328612611E-3</v>
      </c>
      <c r="H190" s="38">
        <v>0</v>
      </c>
      <c r="I190" s="37">
        <v>0</v>
      </c>
      <c r="J190" s="42">
        <v>0</v>
      </c>
      <c r="K190" s="37">
        <v>0</v>
      </c>
      <c r="L190" s="38">
        <v>153495.88331904</v>
      </c>
      <c r="M190" s="37">
        <v>1.3617604604463809E-3</v>
      </c>
      <c r="N190" s="42">
        <v>168947.7738</v>
      </c>
      <c r="O190" s="40">
        <v>2.0670172328612611E-3</v>
      </c>
      <c r="P190">
        <f>VLOOKUP(Table32[[#This Row],[Census Tract]],'Population and Diversity Data'!$B$2:$K$823,10,FALSE)</f>
        <v>1</v>
      </c>
      <c r="Q190" t="str">
        <f>VLOOKUP(Table32[[#This Row],[Census Tract]],'ES Energy Burden'!$B$2:$E$914,4,FALSE)</f>
        <v>No</v>
      </c>
    </row>
    <row r="191" spans="1:17" x14ac:dyDescent="0.25">
      <c r="A191" s="140">
        <v>9015900100</v>
      </c>
      <c r="B191" s="39" t="s">
        <v>2843</v>
      </c>
      <c r="C191" s="39" t="s">
        <v>944</v>
      </c>
      <c r="D191" s="41">
        <v>23080.36991904</v>
      </c>
      <c r="E191" s="37">
        <v>2.0476076940055671E-4</v>
      </c>
      <c r="F191" s="38">
        <v>74984.634000000005</v>
      </c>
      <c r="G191" s="37">
        <v>9.1741090865912593E-4</v>
      </c>
      <c r="H191" s="38">
        <v>0</v>
      </c>
      <c r="I191" s="37">
        <v>0</v>
      </c>
      <c r="J191" s="42">
        <v>0</v>
      </c>
      <c r="K191" s="37">
        <v>0</v>
      </c>
      <c r="L191" s="38">
        <v>23080.36991904</v>
      </c>
      <c r="M191" s="37">
        <v>2.0476076940055671E-4</v>
      </c>
      <c r="N191" s="42">
        <v>74984.634000000005</v>
      </c>
      <c r="O191" s="40">
        <v>9.1741090865912593E-4</v>
      </c>
      <c r="P191">
        <f>VLOOKUP(Table32[[#This Row],[Census Tract]],'Population and Diversity Data'!$B$2:$K$823,10,FALSE)</f>
        <v>2</v>
      </c>
      <c r="Q191" t="str">
        <f>VLOOKUP(Table32[[#This Row],[Census Tract]],'ES Energy Burden'!$B$2:$E$914,4,FALSE)</f>
        <v>No</v>
      </c>
    </row>
    <row r="192" spans="1:17" x14ac:dyDescent="0.25">
      <c r="A192" s="140">
        <v>9013533101</v>
      </c>
      <c r="B192" s="39" t="s">
        <v>2844</v>
      </c>
      <c r="C192" s="39" t="s">
        <v>944</v>
      </c>
      <c r="D192" s="41">
        <v>73592.366054400016</v>
      </c>
      <c r="E192" s="37">
        <v>6.528850944834912E-4</v>
      </c>
      <c r="F192" s="38">
        <v>9342.7900000000009</v>
      </c>
      <c r="G192" s="37">
        <v>1.1430578514674613E-4</v>
      </c>
      <c r="H192" s="38">
        <v>0</v>
      </c>
      <c r="I192" s="37">
        <v>0</v>
      </c>
      <c r="J192" s="42">
        <v>0</v>
      </c>
      <c r="K192" s="37">
        <v>0</v>
      </c>
      <c r="L192" s="38">
        <v>73592.366054400016</v>
      </c>
      <c r="M192" s="37">
        <v>6.528850944834912E-4</v>
      </c>
      <c r="N192" s="42">
        <v>9342.7900000000009</v>
      </c>
      <c r="O192" s="40">
        <v>1.1430578514674613E-4</v>
      </c>
      <c r="P192">
        <f>VLOOKUP(Table32[[#This Row],[Census Tract]],'Population and Diversity Data'!$B$2:$K$823,10,FALSE)</f>
        <v>2</v>
      </c>
      <c r="Q192" t="str">
        <f>VLOOKUP(Table32[[#This Row],[Census Tract]],'ES Energy Burden'!$B$2:$E$914,4,FALSE)</f>
        <v>No</v>
      </c>
    </row>
    <row r="193" spans="1:17" x14ac:dyDescent="0.25">
      <c r="A193" s="140">
        <v>9005310100</v>
      </c>
      <c r="B193" s="39" t="s">
        <v>2845</v>
      </c>
      <c r="C193" s="39" t="s">
        <v>944</v>
      </c>
      <c r="D193" s="41">
        <v>40.324780799999999</v>
      </c>
      <c r="E193" s="37">
        <v>3.5774700195360791E-7</v>
      </c>
      <c r="F193" s="38">
        <v>0</v>
      </c>
      <c r="G193" s="37">
        <v>0</v>
      </c>
      <c r="H193" s="38">
        <v>0</v>
      </c>
      <c r="I193" s="37">
        <v>0</v>
      </c>
      <c r="J193" s="42">
        <v>0</v>
      </c>
      <c r="K193" s="37">
        <v>0</v>
      </c>
      <c r="L193" s="38">
        <v>40.324780799999999</v>
      </c>
      <c r="M193" s="37">
        <v>3.5774700195360791E-7</v>
      </c>
      <c r="N193" s="42">
        <v>0</v>
      </c>
      <c r="O193" s="40">
        <v>0</v>
      </c>
      <c r="P193">
        <f>VLOOKUP(Table32[[#This Row],[Census Tract]],'Population and Diversity Data'!$B$2:$K$823,10,FALSE)</f>
        <v>3</v>
      </c>
      <c r="Q193" t="str">
        <f>VLOOKUP(Table32[[#This Row],[Census Tract]],'ES Energy Burden'!$B$2:$E$914,4,FALSE)</f>
        <v>No</v>
      </c>
    </row>
    <row r="194" spans="1:17" x14ac:dyDescent="0.25">
      <c r="A194" s="140">
        <v>9005310700</v>
      </c>
      <c r="B194" s="39" t="s">
        <v>2845</v>
      </c>
      <c r="C194" s="39" t="s">
        <v>944</v>
      </c>
      <c r="D194" s="41">
        <v>457654.47230592003</v>
      </c>
      <c r="E194" s="37">
        <v>4.0601464446919791E-3</v>
      </c>
      <c r="F194" s="38">
        <v>246888.66260000001</v>
      </c>
      <c r="G194" s="37">
        <v>3.0205968904709508E-3</v>
      </c>
      <c r="H194" s="38">
        <v>0</v>
      </c>
      <c r="I194" s="37">
        <v>0</v>
      </c>
      <c r="J194" s="42">
        <v>0</v>
      </c>
      <c r="K194" s="37">
        <v>0</v>
      </c>
      <c r="L194" s="38">
        <v>457654.47230592003</v>
      </c>
      <c r="M194" s="37">
        <v>4.0601464446919791E-3</v>
      </c>
      <c r="N194" s="42">
        <v>246888.66260000001</v>
      </c>
      <c r="O194" s="40">
        <v>3.0205968904709508E-3</v>
      </c>
      <c r="P194">
        <f>VLOOKUP(Table32[[#This Row],[Census Tract]],'Population and Diversity Data'!$B$2:$K$823,10,FALSE)</f>
        <v>1</v>
      </c>
      <c r="Q194" t="str">
        <f>VLOOKUP(Table32[[#This Row],[Census Tract]],'ES Energy Burden'!$B$2:$E$914,4,FALSE)</f>
        <v>No</v>
      </c>
    </row>
    <row r="195" spans="1:17" x14ac:dyDescent="0.25">
      <c r="A195" s="140">
        <v>9005310803</v>
      </c>
      <c r="B195" s="39" t="s">
        <v>2845</v>
      </c>
      <c r="C195" s="39" t="s">
        <v>944</v>
      </c>
      <c r="D195" s="41">
        <v>10609.57</v>
      </c>
      <c r="E195" s="137">
        <v>9.4124302332647519E-5</v>
      </c>
      <c r="F195" s="38">
        <v>0</v>
      </c>
      <c r="G195" s="137">
        <v>0</v>
      </c>
      <c r="H195" s="138">
        <v>10609.57</v>
      </c>
      <c r="I195" s="137">
        <v>9.4124302332647519E-5</v>
      </c>
      <c r="J195" s="138">
        <v>0</v>
      </c>
      <c r="K195" s="137">
        <v>0</v>
      </c>
      <c r="L195" s="138">
        <v>0</v>
      </c>
      <c r="M195" s="137">
        <v>0</v>
      </c>
      <c r="N195" s="138">
        <v>0</v>
      </c>
      <c r="O195" s="40">
        <v>0</v>
      </c>
      <c r="P195">
        <f>VLOOKUP(Table32[[#This Row],[Census Tract]],'Population and Diversity Data'!$B$2:$K$823,10,FALSE)</f>
        <v>4</v>
      </c>
      <c r="Q195" t="str">
        <f>VLOOKUP(Table32[[#This Row],[Census Tract]],'ES Energy Burden'!$B$2:$E$914,4,FALSE)</f>
        <v>Yes</v>
      </c>
    </row>
    <row r="196" spans="1:17" x14ac:dyDescent="0.25">
      <c r="A196" s="140">
        <v>9003496200</v>
      </c>
      <c r="B196" s="39" t="s">
        <v>2846</v>
      </c>
      <c r="C196" s="39" t="s">
        <v>944</v>
      </c>
      <c r="D196" s="41">
        <v>80.999784000000005</v>
      </c>
      <c r="E196" s="37">
        <v>7.1860105151246901E-7</v>
      </c>
      <c r="F196" s="38">
        <v>0</v>
      </c>
      <c r="G196" s="37">
        <v>0</v>
      </c>
      <c r="H196" s="38">
        <v>0</v>
      </c>
      <c r="I196" s="37">
        <v>0</v>
      </c>
      <c r="J196" s="42">
        <v>0</v>
      </c>
      <c r="K196" s="37">
        <v>0</v>
      </c>
      <c r="L196" s="38">
        <v>80.999784000000005</v>
      </c>
      <c r="M196" s="37">
        <v>7.1860105151246901E-7</v>
      </c>
      <c r="N196" s="42">
        <v>0</v>
      </c>
      <c r="O196" s="40">
        <v>0</v>
      </c>
      <c r="P196">
        <f>VLOOKUP(Table32[[#This Row],[Census Tract]],'Population and Diversity Data'!$B$2:$K$823,10,FALSE)</f>
        <v>5</v>
      </c>
      <c r="Q196" t="str">
        <f>VLOOKUP(Table32[[#This Row],[Census Tract]],'ES Energy Burden'!$B$2:$E$914,4,FALSE)</f>
        <v>No</v>
      </c>
    </row>
    <row r="197" spans="1:17" x14ac:dyDescent="0.25">
      <c r="A197" s="140">
        <v>9013890201</v>
      </c>
      <c r="B197" s="39" t="s">
        <v>2846</v>
      </c>
      <c r="C197" s="39" t="s">
        <v>944</v>
      </c>
      <c r="D197" s="41">
        <v>789.63168384000005</v>
      </c>
      <c r="E197" s="37">
        <v>7.0053292773593756E-6</v>
      </c>
      <c r="F197" s="38">
        <v>50</v>
      </c>
      <c r="G197" s="37">
        <v>6.1173260421536883E-7</v>
      </c>
      <c r="H197" s="38">
        <v>0</v>
      </c>
      <c r="I197" s="37">
        <v>0</v>
      </c>
      <c r="J197" s="42">
        <v>0</v>
      </c>
      <c r="K197" s="37">
        <v>0</v>
      </c>
      <c r="L197" s="38">
        <v>789.63168384000005</v>
      </c>
      <c r="M197" s="37">
        <v>7.0053292773593756E-6</v>
      </c>
      <c r="N197" s="42">
        <v>50</v>
      </c>
      <c r="O197" s="40">
        <v>6.1173260421536883E-7</v>
      </c>
      <c r="P197">
        <f>VLOOKUP(Table32[[#This Row],[Census Tract]],'Population and Diversity Data'!$B$2:$K$823,10,FALSE)</f>
        <v>4</v>
      </c>
      <c r="Q197" t="str">
        <f>VLOOKUP(Table32[[#This Row],[Census Tract]],'ES Energy Burden'!$B$2:$E$914,4,FALSE)</f>
        <v>No</v>
      </c>
    </row>
    <row r="198" spans="1:17" x14ac:dyDescent="0.25">
      <c r="A198" s="140">
        <v>9013530200</v>
      </c>
      <c r="B198" s="39" t="s">
        <v>2847</v>
      </c>
      <c r="C198" s="39" t="s">
        <v>944</v>
      </c>
      <c r="D198" s="41">
        <v>1253.85813216</v>
      </c>
      <c r="E198" s="37">
        <v>1.1123779937704974E-5</v>
      </c>
      <c r="F198" s="38">
        <v>0</v>
      </c>
      <c r="G198" s="37">
        <v>0</v>
      </c>
      <c r="H198" s="38">
        <v>0</v>
      </c>
      <c r="I198" s="37">
        <v>0</v>
      </c>
      <c r="J198" s="42">
        <v>0</v>
      </c>
      <c r="K198" s="37">
        <v>0</v>
      </c>
      <c r="L198" s="38">
        <v>1253.85813216</v>
      </c>
      <c r="M198" s="37">
        <v>1.1123779937704974E-5</v>
      </c>
      <c r="N198" s="42">
        <v>0</v>
      </c>
      <c r="O198" s="40">
        <v>0</v>
      </c>
      <c r="P198">
        <f>VLOOKUP(Table32[[#This Row],[Census Tract]],'Population and Diversity Data'!$B$2:$K$823,10,FALSE)</f>
        <v>4</v>
      </c>
      <c r="Q198" t="str">
        <f>VLOOKUP(Table32[[#This Row],[Census Tract]],'ES Energy Burden'!$B$2:$E$914,4,FALSE)</f>
        <v>No</v>
      </c>
    </row>
    <row r="199" spans="1:17" x14ac:dyDescent="0.25">
      <c r="A199" s="140">
        <v>9013530302</v>
      </c>
      <c r="B199" s="39" t="s">
        <v>2847</v>
      </c>
      <c r="C199" s="39" t="s">
        <v>944</v>
      </c>
      <c r="D199" s="41">
        <v>200822.44579776001</v>
      </c>
      <c r="E199" s="37">
        <v>1.7816247598583246E-3</v>
      </c>
      <c r="F199" s="38">
        <v>11393.35</v>
      </c>
      <c r="G199" s="37">
        <v>1.3939367332474345E-4</v>
      </c>
      <c r="H199" s="38">
        <v>0</v>
      </c>
      <c r="I199" s="37">
        <v>0</v>
      </c>
      <c r="J199" s="42">
        <v>0</v>
      </c>
      <c r="K199" s="37">
        <v>0</v>
      </c>
      <c r="L199" s="38">
        <v>200822.44579776001</v>
      </c>
      <c r="M199" s="37">
        <v>1.7816247598583246E-3</v>
      </c>
      <c r="N199" s="42">
        <v>11393.35</v>
      </c>
      <c r="O199" s="40">
        <v>1.3939367332474345E-4</v>
      </c>
      <c r="P199">
        <f>VLOOKUP(Table32[[#This Row],[Census Tract]],'Population and Diversity Data'!$B$2:$K$823,10,FALSE)</f>
        <v>5</v>
      </c>
      <c r="Q199" t="str">
        <f>VLOOKUP(Table32[[#This Row],[Census Tract]],'ES Energy Burden'!$B$2:$E$914,4,FALSE)</f>
        <v>No</v>
      </c>
    </row>
    <row r="200" spans="1:17" x14ac:dyDescent="0.25">
      <c r="A200" s="140">
        <v>9013535100</v>
      </c>
      <c r="B200" s="39" t="s">
        <v>2847</v>
      </c>
      <c r="C200" s="39" t="s">
        <v>944</v>
      </c>
      <c r="D200" s="41">
        <v>0.57772223999999994</v>
      </c>
      <c r="E200" s="37">
        <v>5.1253446446985459E-9</v>
      </c>
      <c r="F200" s="38">
        <v>0</v>
      </c>
      <c r="G200" s="37">
        <v>0</v>
      </c>
      <c r="H200" s="38">
        <v>0</v>
      </c>
      <c r="I200" s="37">
        <v>0</v>
      </c>
      <c r="J200" s="42">
        <v>0</v>
      </c>
      <c r="K200" s="37">
        <v>0</v>
      </c>
      <c r="L200" s="38">
        <v>0.57772223999999994</v>
      </c>
      <c r="M200" s="37">
        <v>5.1253446446985459E-9</v>
      </c>
      <c r="N200" s="42">
        <v>0</v>
      </c>
      <c r="O200" s="40">
        <v>0</v>
      </c>
      <c r="P200">
        <f>VLOOKUP(Table32[[#This Row],[Census Tract]],'Population and Diversity Data'!$B$2:$K$823,10,FALSE)</f>
        <v>4</v>
      </c>
      <c r="Q200" t="str">
        <f>VLOOKUP(Table32[[#This Row],[Census Tract]],'ES Energy Burden'!$B$2:$E$914,4,FALSE)</f>
        <v>No</v>
      </c>
    </row>
    <row r="201" spans="1:17" x14ac:dyDescent="0.25">
      <c r="A201" s="140">
        <v>9011708100</v>
      </c>
      <c r="B201" s="39" t="s">
        <v>2848</v>
      </c>
      <c r="C201" s="39" t="s">
        <v>944</v>
      </c>
      <c r="D201" s="41">
        <v>1506.0333110400002</v>
      </c>
      <c r="E201" s="37">
        <v>1.3360987739500015E-5</v>
      </c>
      <c r="F201" s="38">
        <v>52362.8</v>
      </c>
      <c r="G201" s="37">
        <v>6.4064064016017036E-4</v>
      </c>
      <c r="H201" s="38">
        <v>0</v>
      </c>
      <c r="I201" s="37">
        <v>0</v>
      </c>
      <c r="J201" s="42">
        <v>0</v>
      </c>
      <c r="K201" s="37">
        <v>0</v>
      </c>
      <c r="L201" s="38">
        <v>1506.0333110400002</v>
      </c>
      <c r="M201" s="37">
        <v>1.3360987739500015E-5</v>
      </c>
      <c r="N201" s="42">
        <v>52362.8</v>
      </c>
      <c r="O201" s="40">
        <v>6.4064064016017036E-4</v>
      </c>
      <c r="P201">
        <f>VLOOKUP(Table32[[#This Row],[Census Tract]],'Population and Diversity Data'!$B$2:$K$823,10,FALSE)</f>
        <v>2</v>
      </c>
      <c r="Q201" t="str">
        <f>VLOOKUP(Table32[[#This Row],[Census Tract]],'ES Energy Burden'!$B$2:$E$914,4,FALSE)</f>
        <v>No</v>
      </c>
    </row>
    <row r="202" spans="1:17" x14ac:dyDescent="0.25">
      <c r="A202" s="140">
        <v>9003496200</v>
      </c>
      <c r="B202" s="39" t="s">
        <v>2849</v>
      </c>
      <c r="C202" s="39" t="s">
        <v>944</v>
      </c>
      <c r="D202" s="41">
        <v>145.21031136000002</v>
      </c>
      <c r="E202" s="37">
        <v>1.2882538357602169E-6</v>
      </c>
      <c r="F202" s="38">
        <v>0</v>
      </c>
      <c r="G202" s="37">
        <v>0</v>
      </c>
      <c r="H202" s="38">
        <v>0</v>
      </c>
      <c r="I202" s="37">
        <v>0</v>
      </c>
      <c r="J202" s="42">
        <v>0</v>
      </c>
      <c r="K202" s="37">
        <v>0</v>
      </c>
      <c r="L202" s="38">
        <v>145.21031136000002</v>
      </c>
      <c r="M202" s="37">
        <v>1.2882538357602169E-6</v>
      </c>
      <c r="N202" s="42">
        <v>0</v>
      </c>
      <c r="O202" s="40">
        <v>0</v>
      </c>
      <c r="P202">
        <f>VLOOKUP(Table32[[#This Row],[Census Tract]],'Population and Diversity Data'!$B$2:$K$823,10,FALSE)</f>
        <v>5</v>
      </c>
      <c r="Q202" t="str">
        <f>VLOOKUP(Table32[[#This Row],[Census Tract]],'ES Energy Burden'!$B$2:$E$914,4,FALSE)</f>
        <v>No</v>
      </c>
    </row>
    <row r="203" spans="1:17" x14ac:dyDescent="0.25">
      <c r="A203" s="140">
        <v>9005265100</v>
      </c>
      <c r="B203" s="39" t="s">
        <v>2849</v>
      </c>
      <c r="C203" s="39" t="s">
        <v>944</v>
      </c>
      <c r="D203" s="41">
        <v>41.616840959999998</v>
      </c>
      <c r="E203" s="37">
        <v>3.6920969658984756E-7</v>
      </c>
      <c r="F203" s="38">
        <v>0</v>
      </c>
      <c r="G203" s="37">
        <v>0</v>
      </c>
      <c r="H203" s="38">
        <v>0</v>
      </c>
      <c r="I203" s="37">
        <v>0</v>
      </c>
      <c r="J203" s="42">
        <v>0</v>
      </c>
      <c r="K203" s="37">
        <v>0</v>
      </c>
      <c r="L203" s="38">
        <v>41.616840959999998</v>
      </c>
      <c r="M203" s="37">
        <v>3.6920969658984756E-7</v>
      </c>
      <c r="N203" s="42">
        <v>0</v>
      </c>
      <c r="O203" s="40">
        <v>0</v>
      </c>
      <c r="P203">
        <f>VLOOKUP(Table32[[#This Row],[Census Tract]],'Population and Diversity Data'!$B$2:$K$823,10,FALSE)</f>
        <v>1</v>
      </c>
      <c r="Q203" t="str">
        <f>VLOOKUP(Table32[[#This Row],[Census Tract]],'ES Energy Burden'!$B$2:$E$914,4,FALSE)</f>
        <v>No</v>
      </c>
    </row>
    <row r="204" spans="1:17" x14ac:dyDescent="0.25">
      <c r="A204" s="140">
        <v>9005267100</v>
      </c>
      <c r="B204" s="39" t="s">
        <v>2850</v>
      </c>
      <c r="C204" s="39" t="s">
        <v>944</v>
      </c>
      <c r="D204" s="41">
        <v>20984.215916160003</v>
      </c>
      <c r="E204" s="37">
        <v>1.8616444239551635E-4</v>
      </c>
      <c r="F204" s="38">
        <v>6312.81</v>
      </c>
      <c r="G204" s="37">
        <v>7.7235034024336464E-5</v>
      </c>
      <c r="H204" s="38">
        <v>0</v>
      </c>
      <c r="I204" s="37">
        <v>0</v>
      </c>
      <c r="J204" s="42">
        <v>0</v>
      </c>
      <c r="K204" s="37">
        <v>0</v>
      </c>
      <c r="L204" s="38">
        <v>20984.215916160003</v>
      </c>
      <c r="M204" s="37">
        <v>1.8616444239551635E-4</v>
      </c>
      <c r="N204" s="42">
        <v>6312.81</v>
      </c>
      <c r="O204" s="40">
        <v>7.7235034024336464E-5</v>
      </c>
      <c r="P204">
        <f>VLOOKUP(Table32[[#This Row],[Census Tract]],'Population and Diversity Data'!$B$2:$K$823,10,FALSE)</f>
        <v>3</v>
      </c>
      <c r="Q204" t="str">
        <f>VLOOKUP(Table32[[#This Row],[Census Tract]],'ES Energy Burden'!$B$2:$E$914,4,FALSE)</f>
        <v>No</v>
      </c>
    </row>
    <row r="205" spans="1:17" x14ac:dyDescent="0.25">
      <c r="A205" s="140">
        <v>9009350100</v>
      </c>
      <c r="B205" s="39" t="s">
        <v>981</v>
      </c>
      <c r="C205" s="39" t="s">
        <v>936</v>
      </c>
      <c r="D205" s="41">
        <v>10.75732704</v>
      </c>
      <c r="E205" s="37">
        <v>9.5435149832097273E-8</v>
      </c>
      <c r="F205" s="38">
        <v>0</v>
      </c>
      <c r="G205" s="37">
        <v>0</v>
      </c>
      <c r="H205" s="38">
        <v>0</v>
      </c>
      <c r="I205" s="37">
        <v>0</v>
      </c>
      <c r="J205" s="42">
        <v>0</v>
      </c>
      <c r="K205" s="37">
        <v>0</v>
      </c>
      <c r="L205" s="38">
        <v>10.75732704</v>
      </c>
      <c r="M205" s="37">
        <v>9.5435149832097273E-8</v>
      </c>
      <c r="N205" s="42">
        <v>0</v>
      </c>
      <c r="O205" s="40">
        <v>0</v>
      </c>
      <c r="P205">
        <f>VLOOKUP(Table32[[#This Row],[Census Tract]],'Population and Diversity Data'!$B$2:$K$823,10,FALSE)</f>
        <v>5</v>
      </c>
      <c r="Q205" t="e">
        <f>VLOOKUP(Table32[[#This Row],[Census Tract]],'ES Energy Burden'!$B$2:$E$914,4,FALSE)</f>
        <v>#N/A</v>
      </c>
    </row>
    <row r="206" spans="1:17" x14ac:dyDescent="0.25">
      <c r="A206" s="140">
        <v>9009351000</v>
      </c>
      <c r="B206" s="39" t="s">
        <v>981</v>
      </c>
      <c r="C206" s="39" t="s">
        <v>944</v>
      </c>
      <c r="D206" s="41">
        <v>1.9861372800000003</v>
      </c>
      <c r="E206" s="37">
        <v>1.7620298072104924E-8</v>
      </c>
      <c r="F206" s="38">
        <v>0</v>
      </c>
      <c r="G206" s="37">
        <v>0</v>
      </c>
      <c r="H206" s="38">
        <v>0</v>
      </c>
      <c r="I206" s="37">
        <v>0</v>
      </c>
      <c r="J206" s="42">
        <v>0</v>
      </c>
      <c r="K206" s="37">
        <v>0</v>
      </c>
      <c r="L206" s="38">
        <v>1.9861372800000003</v>
      </c>
      <c r="M206" s="37">
        <v>1.7620298072104924E-8</v>
      </c>
      <c r="N206" s="42">
        <v>0</v>
      </c>
      <c r="O206" s="40">
        <v>0</v>
      </c>
      <c r="P206">
        <f>VLOOKUP(Table32[[#This Row],[Census Tract]],'Population and Diversity Data'!$B$2:$K$823,10,FALSE)</f>
        <v>4</v>
      </c>
      <c r="Q206" t="str">
        <f>VLOOKUP(Table32[[#This Row],[Census Tract]],'ES Energy Burden'!$B$2:$E$914,4,FALSE)</f>
        <v>No</v>
      </c>
    </row>
    <row r="207" spans="1:17" x14ac:dyDescent="0.25">
      <c r="A207" s="140">
        <v>9009351602</v>
      </c>
      <c r="B207" s="39" t="s">
        <v>981</v>
      </c>
      <c r="C207" s="39" t="s">
        <v>944</v>
      </c>
      <c r="D207" s="41">
        <v>1393691.6966716801</v>
      </c>
      <c r="E207" s="37">
        <v>1.2364333202573309E-2</v>
      </c>
      <c r="F207" s="38">
        <v>1450077.0042000001</v>
      </c>
      <c r="G207" s="37">
        <v>1.7741187641841728E-2</v>
      </c>
      <c r="H207" s="38">
        <v>0</v>
      </c>
      <c r="I207" s="37">
        <v>0</v>
      </c>
      <c r="J207" s="42">
        <v>0</v>
      </c>
      <c r="K207" s="37">
        <v>0</v>
      </c>
      <c r="L207" s="38">
        <v>1393691.6966716801</v>
      </c>
      <c r="M207" s="37">
        <v>1.2364333202573309E-2</v>
      </c>
      <c r="N207" s="42">
        <v>1450077.0042000001</v>
      </c>
      <c r="O207" s="40">
        <v>1.7741187641841728E-2</v>
      </c>
      <c r="P207">
        <f>VLOOKUP(Table32[[#This Row],[Census Tract]],'Population and Diversity Data'!$B$2:$K$823,10,FALSE)</f>
        <v>1</v>
      </c>
      <c r="Q207" t="str">
        <f>VLOOKUP(Table32[[#This Row],[Census Tract]],'ES Energy Burden'!$B$2:$E$914,4,FALSE)</f>
        <v>No</v>
      </c>
    </row>
    <row r="208" spans="1:17" x14ac:dyDescent="0.25">
      <c r="A208" s="140">
        <v>9009351700</v>
      </c>
      <c r="B208" s="39" t="s">
        <v>981</v>
      </c>
      <c r="C208" s="39" t="s">
        <v>944</v>
      </c>
      <c r="D208" s="41">
        <v>4.5835718399999994</v>
      </c>
      <c r="E208" s="37">
        <v>4.0663806509742565E-8</v>
      </c>
      <c r="F208" s="38">
        <v>0</v>
      </c>
      <c r="G208" s="37">
        <v>0</v>
      </c>
      <c r="H208" s="38">
        <v>0</v>
      </c>
      <c r="I208" s="37">
        <v>0</v>
      </c>
      <c r="J208" s="42">
        <v>0</v>
      </c>
      <c r="K208" s="37">
        <v>0</v>
      </c>
      <c r="L208" s="38">
        <v>4.5835718399999994</v>
      </c>
      <c r="M208" s="37">
        <v>4.0663806509742565E-8</v>
      </c>
      <c r="N208" s="42">
        <v>0</v>
      </c>
      <c r="O208" s="40">
        <v>0</v>
      </c>
      <c r="P208">
        <f>VLOOKUP(Table32[[#This Row],[Census Tract]],'Population and Diversity Data'!$B$2:$K$823,10,FALSE)</f>
        <v>3</v>
      </c>
      <c r="Q208" t="str">
        <f>VLOOKUP(Table32[[#This Row],[Census Tract]],'ES Energy Burden'!$B$2:$E$914,4,FALSE)</f>
        <v>Yes</v>
      </c>
    </row>
    <row r="209" spans="1:17" x14ac:dyDescent="0.25">
      <c r="A209" s="140">
        <v>9009352100</v>
      </c>
      <c r="B209" s="39" t="s">
        <v>981</v>
      </c>
      <c r="C209" s="39" t="s">
        <v>944</v>
      </c>
      <c r="D209" s="41">
        <v>2.28310272</v>
      </c>
      <c r="E209" s="37">
        <v>2.0254869016724516E-8</v>
      </c>
      <c r="F209" s="38">
        <v>0</v>
      </c>
      <c r="G209" s="37">
        <v>0</v>
      </c>
      <c r="H209" s="38">
        <v>0</v>
      </c>
      <c r="I209" s="37">
        <v>0</v>
      </c>
      <c r="J209" s="42">
        <v>0</v>
      </c>
      <c r="K209" s="37">
        <v>0</v>
      </c>
      <c r="L209" s="38">
        <v>2.28310272</v>
      </c>
      <c r="M209" s="37">
        <v>2.0254869016724516E-8</v>
      </c>
      <c r="N209" s="42">
        <v>0</v>
      </c>
      <c r="O209" s="40">
        <v>0</v>
      </c>
      <c r="P209">
        <f>VLOOKUP(Table32[[#This Row],[Census Tract]],'Population and Diversity Data'!$B$2:$K$823,10,FALSE)</f>
        <v>2</v>
      </c>
      <c r="Q209" t="str">
        <f>VLOOKUP(Table32[[#This Row],[Census Tract]],'ES Energy Burden'!$B$2:$E$914,4,FALSE)</f>
        <v>No</v>
      </c>
    </row>
    <row r="210" spans="1:17" x14ac:dyDescent="0.25">
      <c r="A210" s="140">
        <v>9009352702</v>
      </c>
      <c r="B210" s="39" t="s">
        <v>981</v>
      </c>
      <c r="C210" s="39" t="s">
        <v>944</v>
      </c>
      <c r="D210" s="41">
        <v>2.2877337600000001</v>
      </c>
      <c r="E210" s="37">
        <v>2.0295953943736128E-8</v>
      </c>
      <c r="F210" s="38">
        <v>0</v>
      </c>
      <c r="G210" s="37">
        <v>0</v>
      </c>
      <c r="H210" s="38">
        <v>0</v>
      </c>
      <c r="I210" s="37">
        <v>0</v>
      </c>
      <c r="J210" s="42">
        <v>0</v>
      </c>
      <c r="K210" s="37">
        <v>0</v>
      </c>
      <c r="L210" s="38">
        <v>2.2877337600000001</v>
      </c>
      <c r="M210" s="37">
        <v>2.0295953943736128E-8</v>
      </c>
      <c r="N210" s="42">
        <v>0</v>
      </c>
      <c r="O210" s="40">
        <v>0</v>
      </c>
      <c r="P210">
        <f>VLOOKUP(Table32[[#This Row],[Census Tract]],'Population and Diversity Data'!$B$2:$K$823,10,FALSE)</f>
        <v>4</v>
      </c>
      <c r="Q210" t="str">
        <f>VLOOKUP(Table32[[#This Row],[Census Tract]],'ES Energy Burden'!$B$2:$E$914,4,FALSE)</f>
        <v>No</v>
      </c>
    </row>
    <row r="211" spans="1:17" x14ac:dyDescent="0.25">
      <c r="A211" s="140">
        <v>9011693300</v>
      </c>
      <c r="B211" s="39" t="s">
        <v>2851</v>
      </c>
      <c r="C211" s="39" t="s">
        <v>944</v>
      </c>
      <c r="D211" s="41">
        <v>373265.05472928006</v>
      </c>
      <c r="E211" s="37">
        <v>3.3114737790081012E-3</v>
      </c>
      <c r="F211" s="38">
        <v>277036.25559999997</v>
      </c>
      <c r="G211" s="37">
        <v>3.389442202005251E-3</v>
      </c>
      <c r="H211" s="38">
        <v>0</v>
      </c>
      <c r="I211" s="37">
        <v>0</v>
      </c>
      <c r="J211" s="42">
        <v>0</v>
      </c>
      <c r="K211" s="37">
        <v>0</v>
      </c>
      <c r="L211" s="38">
        <v>373265.05472928006</v>
      </c>
      <c r="M211" s="37">
        <v>3.3114737790081012E-3</v>
      </c>
      <c r="N211" s="42">
        <v>277036.25559999997</v>
      </c>
      <c r="O211" s="40">
        <v>3.389442202005251E-3</v>
      </c>
      <c r="P211">
        <f>VLOOKUP(Table32[[#This Row],[Census Tract]],'Population and Diversity Data'!$B$2:$K$823,10,FALSE)</f>
        <v>4</v>
      </c>
      <c r="Q211" t="str">
        <f>VLOOKUP(Table32[[#This Row],[Census Tract]],'ES Energy Burden'!$B$2:$E$914,4,FALSE)</f>
        <v>No</v>
      </c>
    </row>
    <row r="212" spans="1:17" x14ac:dyDescent="0.25">
      <c r="A212" s="140">
        <v>9005360200</v>
      </c>
      <c r="B212" s="39" t="s">
        <v>2852</v>
      </c>
      <c r="C212" s="39" t="s">
        <v>944</v>
      </c>
      <c r="D212" s="41">
        <v>442554.78577536007</v>
      </c>
      <c r="E212" s="37">
        <v>3.9261874378584668E-3</v>
      </c>
      <c r="F212" s="38">
        <v>97957.106100000005</v>
      </c>
      <c r="G212" s="37">
        <v>1.1984711123190839E-3</v>
      </c>
      <c r="H212" s="38">
        <v>0</v>
      </c>
      <c r="I212" s="37">
        <v>0</v>
      </c>
      <c r="J212" s="42">
        <v>0</v>
      </c>
      <c r="K212" s="37">
        <v>0</v>
      </c>
      <c r="L212" s="38">
        <v>442554.78577536007</v>
      </c>
      <c r="M212" s="37">
        <v>3.9261874378584668E-3</v>
      </c>
      <c r="N212" s="42">
        <v>97957.106100000005</v>
      </c>
      <c r="O212" s="40">
        <v>1.1984711123190839E-3</v>
      </c>
      <c r="P212">
        <f>VLOOKUP(Table32[[#This Row],[Census Tract]],'Population and Diversity Data'!$B$2:$K$823,10,FALSE)</f>
        <v>2</v>
      </c>
      <c r="Q212" t="str">
        <f>VLOOKUP(Table32[[#This Row],[Census Tract]],'ES Energy Burden'!$B$2:$E$914,4,FALSE)</f>
        <v>No</v>
      </c>
    </row>
    <row r="213" spans="1:17" x14ac:dyDescent="0.25">
      <c r="A213" s="140">
        <v>9005360300</v>
      </c>
      <c r="B213" s="39" t="s">
        <v>2852</v>
      </c>
      <c r="C213" s="39" t="s">
        <v>944</v>
      </c>
      <c r="D213" s="41">
        <v>2.7849916800000001</v>
      </c>
      <c r="E213" s="37">
        <v>2.4707447981607922E-8</v>
      </c>
      <c r="F213" s="38">
        <v>0</v>
      </c>
      <c r="G213" s="37">
        <v>0</v>
      </c>
      <c r="H213" s="38">
        <v>0</v>
      </c>
      <c r="I213" s="37">
        <v>0</v>
      </c>
      <c r="J213" s="42">
        <v>0</v>
      </c>
      <c r="K213" s="37">
        <v>0</v>
      </c>
      <c r="L213" s="38">
        <v>2.7849916800000001</v>
      </c>
      <c r="M213" s="37">
        <v>2.4707447981607922E-8</v>
      </c>
      <c r="N213" s="42">
        <v>0</v>
      </c>
      <c r="O213" s="40">
        <v>0</v>
      </c>
      <c r="P213">
        <f>VLOOKUP(Table32[[#This Row],[Census Tract]],'Population and Diversity Data'!$B$2:$K$823,10,FALSE)</f>
        <v>2</v>
      </c>
      <c r="Q213" t="str">
        <f>VLOOKUP(Table32[[#This Row],[Census Tract]],'ES Energy Burden'!$B$2:$E$914,4,FALSE)</f>
        <v>No</v>
      </c>
    </row>
    <row r="214" spans="1:17" x14ac:dyDescent="0.25">
      <c r="A214" s="140">
        <v>9003496200</v>
      </c>
      <c r="B214" s="39" t="s">
        <v>2853</v>
      </c>
      <c r="C214" s="39" t="s">
        <v>944</v>
      </c>
      <c r="D214" s="41">
        <v>442975.54643999995</v>
      </c>
      <c r="E214" s="37">
        <v>3.9299202756651113E-3</v>
      </c>
      <c r="F214" s="38">
        <v>0</v>
      </c>
      <c r="G214" s="37">
        <v>0</v>
      </c>
      <c r="H214" s="38">
        <v>0</v>
      </c>
      <c r="I214" s="37">
        <v>0</v>
      </c>
      <c r="J214" s="42">
        <v>0</v>
      </c>
      <c r="K214" s="37">
        <v>0</v>
      </c>
      <c r="L214" s="38">
        <v>442975.54643999995</v>
      </c>
      <c r="M214" s="37">
        <v>3.9299202756651113E-3</v>
      </c>
      <c r="N214" s="42">
        <v>0</v>
      </c>
      <c r="O214" s="40">
        <v>0</v>
      </c>
      <c r="P214">
        <f>VLOOKUP(Table32[[#This Row],[Census Tract]],'Population and Diversity Data'!$B$2:$K$823,10,FALSE)</f>
        <v>5</v>
      </c>
      <c r="Q214" t="str">
        <f>VLOOKUP(Table32[[#This Row],[Census Tract]],'ES Energy Burden'!$B$2:$E$914,4,FALSE)</f>
        <v>No</v>
      </c>
    </row>
    <row r="215" spans="1:17" x14ac:dyDescent="0.25">
      <c r="A215" s="140">
        <v>9003497700</v>
      </c>
      <c r="B215" s="39" t="s">
        <v>2853</v>
      </c>
      <c r="C215" s="39" t="s">
        <v>944</v>
      </c>
      <c r="D215" s="41">
        <v>244790.50455072001</v>
      </c>
      <c r="E215" s="37">
        <v>2.1716936179782312E-3</v>
      </c>
      <c r="F215" s="38">
        <v>451336.68729999999</v>
      </c>
      <c r="G215" s="37">
        <v>5.5219473419993318E-3</v>
      </c>
      <c r="H215" s="38">
        <v>0</v>
      </c>
      <c r="I215" s="37">
        <v>0</v>
      </c>
      <c r="J215" s="42">
        <v>0</v>
      </c>
      <c r="K215" s="37">
        <v>0</v>
      </c>
      <c r="L215" s="38">
        <v>244790.50455072001</v>
      </c>
      <c r="M215" s="37">
        <v>2.1716936179782312E-3</v>
      </c>
      <c r="N215" s="42">
        <v>451336.68729999999</v>
      </c>
      <c r="O215" s="40">
        <v>5.5219473419993318E-3</v>
      </c>
      <c r="P215">
        <f>VLOOKUP(Table32[[#This Row],[Census Tract]],'Population and Diversity Data'!$B$2:$K$823,10,FALSE)</f>
        <v>3</v>
      </c>
      <c r="Q215" t="str">
        <f>VLOOKUP(Table32[[#This Row],[Census Tract]],'ES Energy Burden'!$B$2:$E$914,4,FALSE)</f>
        <v>No</v>
      </c>
    </row>
    <row r="216" spans="1:17" x14ac:dyDescent="0.25">
      <c r="A216" s="140">
        <v>9007680100</v>
      </c>
      <c r="B216" s="39" t="s">
        <v>2854</v>
      </c>
      <c r="C216" s="39" t="s">
        <v>944</v>
      </c>
      <c r="D216" s="41">
        <v>160285.18825151998</v>
      </c>
      <c r="E216" s="37">
        <v>1.4219927403684965E-3</v>
      </c>
      <c r="F216" s="38">
        <v>118236.8425</v>
      </c>
      <c r="G216" s="37">
        <v>1.4465866315345481E-3</v>
      </c>
      <c r="H216" s="38">
        <v>0</v>
      </c>
      <c r="I216" s="37">
        <v>0</v>
      </c>
      <c r="J216" s="42">
        <v>0</v>
      </c>
      <c r="K216" s="37">
        <v>0</v>
      </c>
      <c r="L216" s="38">
        <v>160285.18825151998</v>
      </c>
      <c r="M216" s="37">
        <v>1.4219927403684965E-3</v>
      </c>
      <c r="N216" s="42">
        <v>118236.8425</v>
      </c>
      <c r="O216" s="40">
        <v>1.4465866315345481E-3</v>
      </c>
      <c r="P216">
        <f>VLOOKUP(Table32[[#This Row],[Census Tract]],'Population and Diversity Data'!$B$2:$K$823,10,FALSE)</f>
        <v>2</v>
      </c>
      <c r="Q216" t="str">
        <f>VLOOKUP(Table32[[#This Row],[Census Tract]],'ES Energy Burden'!$B$2:$E$914,4,FALSE)</f>
        <v>No</v>
      </c>
    </row>
    <row r="217" spans="1:17" x14ac:dyDescent="0.25">
      <c r="A217" s="140">
        <v>9001055100</v>
      </c>
      <c r="B217" s="39" t="s">
        <v>2855</v>
      </c>
      <c r="C217" s="39" t="s">
        <v>944</v>
      </c>
      <c r="D217" s="41">
        <v>31027.42501056</v>
      </c>
      <c r="E217" s="37">
        <v>2.7526419377010554E-4</v>
      </c>
      <c r="F217" s="38">
        <v>0</v>
      </c>
      <c r="G217" s="37">
        <v>0</v>
      </c>
      <c r="H217" s="38">
        <v>0</v>
      </c>
      <c r="I217" s="37">
        <v>0</v>
      </c>
      <c r="J217" s="42">
        <v>0</v>
      </c>
      <c r="K217" s="37">
        <v>0</v>
      </c>
      <c r="L217" s="38">
        <v>31027.42501056</v>
      </c>
      <c r="M217" s="37">
        <v>2.7526419377010554E-4</v>
      </c>
      <c r="N217" s="42">
        <v>0</v>
      </c>
      <c r="O217" s="40">
        <v>0</v>
      </c>
      <c r="P217">
        <f>VLOOKUP(Table32[[#This Row],[Census Tract]],'Population and Diversity Data'!$B$2:$K$823,10,FALSE)</f>
        <v>4</v>
      </c>
      <c r="Q217" t="str">
        <f>VLOOKUP(Table32[[#This Row],[Census Tract]],'ES Energy Burden'!$B$2:$E$914,4,FALSE)</f>
        <v>No</v>
      </c>
    </row>
    <row r="218" spans="1:17" x14ac:dyDescent="0.25">
      <c r="A218" s="140">
        <v>9001050200</v>
      </c>
      <c r="B218" s="39" t="s">
        <v>2856</v>
      </c>
      <c r="C218" s="39" t="s">
        <v>944</v>
      </c>
      <c r="D218" s="41">
        <v>22.29787872</v>
      </c>
      <c r="E218" s="37">
        <v>1.9781878794503336E-7</v>
      </c>
      <c r="F218" s="38">
        <v>0</v>
      </c>
      <c r="G218" s="37">
        <v>0</v>
      </c>
      <c r="H218" s="38">
        <v>0</v>
      </c>
      <c r="I218" s="37">
        <v>0</v>
      </c>
      <c r="J218" s="42">
        <v>0</v>
      </c>
      <c r="K218" s="37">
        <v>0</v>
      </c>
      <c r="L218" s="38">
        <v>22.29787872</v>
      </c>
      <c r="M218" s="37">
        <v>1.9781878794503336E-7</v>
      </c>
      <c r="N218" s="42">
        <v>0</v>
      </c>
      <c r="O218" s="40">
        <v>0</v>
      </c>
      <c r="P218">
        <f>VLOOKUP(Table32[[#This Row],[Census Tract]],'Population and Diversity Data'!$B$2:$K$823,10,FALSE)</f>
        <v>4</v>
      </c>
      <c r="Q218" t="str">
        <f>VLOOKUP(Table32[[#This Row],[Census Tract]],'ES Energy Burden'!$B$2:$E$914,4,FALSE)</f>
        <v>No</v>
      </c>
    </row>
    <row r="219" spans="1:17" x14ac:dyDescent="0.25">
      <c r="A219" s="140">
        <v>9001050300</v>
      </c>
      <c r="B219" s="39" t="s">
        <v>2856</v>
      </c>
      <c r="C219" s="39" t="s">
        <v>944</v>
      </c>
      <c r="D219" s="41">
        <v>335490.99576768005</v>
      </c>
      <c r="E219" s="37">
        <v>2.976355866968981E-3</v>
      </c>
      <c r="F219" s="38">
        <v>52834.282299999999</v>
      </c>
      <c r="G219" s="37">
        <v>6.4640906206457941E-4</v>
      </c>
      <c r="H219" s="38">
        <v>3812.2721280000001</v>
      </c>
      <c r="I219" s="37">
        <v>3.3821111915958665E-5</v>
      </c>
      <c r="J219" s="42">
        <v>0</v>
      </c>
      <c r="K219" s="37">
        <v>0</v>
      </c>
      <c r="L219" s="38">
        <v>331678.72363968007</v>
      </c>
      <c r="M219" s="37">
        <v>2.9425347550530224E-3</v>
      </c>
      <c r="N219" s="42">
        <v>52834.282299999999</v>
      </c>
      <c r="O219" s="40">
        <v>6.4640906206457941E-4</v>
      </c>
      <c r="P219">
        <f>VLOOKUP(Table32[[#This Row],[Census Tract]],'Population and Diversity Data'!$B$2:$K$823,10,FALSE)</f>
        <v>3</v>
      </c>
      <c r="Q219" t="str">
        <f>VLOOKUP(Table32[[#This Row],[Census Tract]],'ES Energy Burden'!$B$2:$E$914,4,FALSE)</f>
        <v>No</v>
      </c>
    </row>
    <row r="220" spans="1:17" x14ac:dyDescent="0.25">
      <c r="A220" s="140">
        <v>9003492600</v>
      </c>
      <c r="B220" s="39" t="s">
        <v>2857</v>
      </c>
      <c r="C220" s="39" t="s">
        <v>944</v>
      </c>
      <c r="D220" s="41">
        <v>181696.36290048002</v>
      </c>
      <c r="E220" s="37">
        <v>1.6119450076098488E-3</v>
      </c>
      <c r="F220" s="38">
        <v>231768.41800000001</v>
      </c>
      <c r="G220" s="37">
        <v>2.8356059583603235E-3</v>
      </c>
      <c r="H220" s="38">
        <v>0</v>
      </c>
      <c r="I220" s="37">
        <v>0</v>
      </c>
      <c r="J220" s="42">
        <v>0</v>
      </c>
      <c r="K220" s="37">
        <v>0</v>
      </c>
      <c r="L220" s="38">
        <v>181696.36290048002</v>
      </c>
      <c r="M220" s="37">
        <v>1.6119450076098488E-3</v>
      </c>
      <c r="N220" s="42">
        <v>231768.41800000001</v>
      </c>
      <c r="O220" s="40">
        <v>2.8356059583603235E-3</v>
      </c>
      <c r="P220">
        <f>VLOOKUP(Table32[[#This Row],[Census Tract]],'Population and Diversity Data'!$B$2:$K$823,10,FALSE)</f>
        <v>1</v>
      </c>
      <c r="Q220" t="str">
        <f>VLOOKUP(Table32[[#This Row],[Census Tract]],'ES Energy Burden'!$B$2:$E$914,4,FALSE)</f>
        <v>No</v>
      </c>
    </row>
    <row r="221" spans="1:17" x14ac:dyDescent="0.25">
      <c r="A221" s="140">
        <v>9013840100</v>
      </c>
      <c r="B221" s="39" t="s">
        <v>2858</v>
      </c>
      <c r="C221" s="39" t="s">
        <v>944</v>
      </c>
      <c r="D221" s="41">
        <v>38797.500856320003</v>
      </c>
      <c r="E221" s="37">
        <v>3.4419752170459453E-4</v>
      </c>
      <c r="F221" s="38">
        <v>950</v>
      </c>
      <c r="G221" s="37">
        <v>1.1622919480092009E-5</v>
      </c>
      <c r="H221" s="38">
        <v>0</v>
      </c>
      <c r="I221" s="37">
        <v>0</v>
      </c>
      <c r="J221" s="42">
        <v>0</v>
      </c>
      <c r="K221" s="37">
        <v>0</v>
      </c>
      <c r="L221" s="38">
        <v>38797.500856320003</v>
      </c>
      <c r="M221" s="37">
        <v>3.4419752170459453E-4</v>
      </c>
      <c r="N221" s="42">
        <v>950</v>
      </c>
      <c r="O221" s="40">
        <v>1.1622919480092009E-5</v>
      </c>
      <c r="P221">
        <f>VLOOKUP(Table32[[#This Row],[Census Tract]],'Population and Diversity Data'!$B$2:$K$823,10,FALSE)</f>
        <v>4</v>
      </c>
      <c r="Q221" t="str">
        <f>VLOOKUP(Table32[[#This Row],[Census Tract]],'ES Energy Burden'!$B$2:$E$914,4,FALSE)</f>
        <v>No</v>
      </c>
    </row>
    <row r="222" spans="1:17" x14ac:dyDescent="0.25">
      <c r="A222" s="140">
        <v>9001045102</v>
      </c>
      <c r="B222" s="39" t="s">
        <v>2859</v>
      </c>
      <c r="C222" s="39" t="s">
        <v>944</v>
      </c>
      <c r="D222" s="41">
        <v>437759.3024624</v>
      </c>
      <c r="E222" s="37">
        <v>3.8836436287144373E-3</v>
      </c>
      <c r="F222" s="38">
        <v>143649.93919999999</v>
      </c>
      <c r="G222" s="37">
        <v>1.7575070280439079E-3</v>
      </c>
      <c r="H222" s="38">
        <v>0</v>
      </c>
      <c r="I222" s="37">
        <v>0</v>
      </c>
      <c r="J222" s="42">
        <v>0</v>
      </c>
      <c r="K222" s="37">
        <v>0</v>
      </c>
      <c r="L222" s="38">
        <v>437759.3024624</v>
      </c>
      <c r="M222" s="37">
        <v>3.8836436287144373E-3</v>
      </c>
      <c r="N222" s="42">
        <v>143649.93919999999</v>
      </c>
      <c r="O222" s="40">
        <v>1.7575070280439079E-3</v>
      </c>
      <c r="P222">
        <f>VLOOKUP(Table32[[#This Row],[Census Tract]],'Population and Diversity Data'!$B$2:$K$823,10,FALSE)</f>
        <v>3</v>
      </c>
      <c r="Q222" t="str">
        <f>VLOOKUP(Table32[[#This Row],[Census Tract]],'ES Energy Burden'!$B$2:$E$914,4,FALSE)</f>
        <v>No</v>
      </c>
    </row>
    <row r="223" spans="1:17" x14ac:dyDescent="0.25">
      <c r="A223" s="140">
        <v>9005320100</v>
      </c>
      <c r="B223" s="39" t="s">
        <v>2860</v>
      </c>
      <c r="C223" s="39" t="s">
        <v>944</v>
      </c>
      <c r="D223" s="41">
        <v>146276.36301504</v>
      </c>
      <c r="E223" s="37">
        <v>1.2977114639469579E-3</v>
      </c>
      <c r="F223" s="38">
        <v>489190.40850000002</v>
      </c>
      <c r="G223" s="37">
        <v>5.985074450977703E-3</v>
      </c>
      <c r="H223" s="38">
        <v>0</v>
      </c>
      <c r="I223" s="37">
        <v>0</v>
      </c>
      <c r="J223" s="42">
        <v>0</v>
      </c>
      <c r="K223" s="37">
        <v>0</v>
      </c>
      <c r="L223" s="38">
        <v>146276.36301504</v>
      </c>
      <c r="M223" s="37">
        <v>1.2977114639469579E-3</v>
      </c>
      <c r="N223" s="42">
        <v>489190.40850000002</v>
      </c>
      <c r="O223" s="40">
        <v>5.985074450977703E-3</v>
      </c>
      <c r="P223">
        <f>VLOOKUP(Table32[[#This Row],[Census Tract]],'Population and Diversity Data'!$B$2:$K$823,10,FALSE)</f>
        <v>1</v>
      </c>
      <c r="Q223" t="str">
        <f>VLOOKUP(Table32[[#This Row],[Census Tract]],'ES Energy Burden'!$B$2:$E$914,4,FALSE)</f>
        <v>No</v>
      </c>
    </row>
    <row r="224" spans="1:17" x14ac:dyDescent="0.25">
      <c r="A224" s="140">
        <v>9005320200</v>
      </c>
      <c r="B224" s="39" t="s">
        <v>2860</v>
      </c>
      <c r="C224" s="39" t="s">
        <v>944</v>
      </c>
      <c r="D224" s="41">
        <v>7.4177683200000004</v>
      </c>
      <c r="E224" s="37">
        <v>6.5807781840848868E-8</v>
      </c>
      <c r="F224" s="38">
        <v>0</v>
      </c>
      <c r="G224" s="37">
        <v>0</v>
      </c>
      <c r="H224" s="38">
        <v>0</v>
      </c>
      <c r="I224" s="37">
        <v>0</v>
      </c>
      <c r="J224" s="42">
        <v>0</v>
      </c>
      <c r="K224" s="37">
        <v>0</v>
      </c>
      <c r="L224" s="38">
        <v>7.4177683200000004</v>
      </c>
      <c r="M224" s="37">
        <v>6.5807781840848868E-8</v>
      </c>
      <c r="N224" s="42">
        <v>0</v>
      </c>
      <c r="O224" s="40">
        <v>0</v>
      </c>
      <c r="P224">
        <f>VLOOKUP(Table32[[#This Row],[Census Tract]],'Population and Diversity Data'!$B$2:$K$823,10,FALSE)</f>
        <v>3</v>
      </c>
      <c r="Q224" t="str">
        <f>VLOOKUP(Table32[[#This Row],[Census Tract]],'ES Energy Burden'!$B$2:$E$914,4,FALSE)</f>
        <v>No</v>
      </c>
    </row>
    <row r="225" spans="1:17" x14ac:dyDescent="0.25">
      <c r="A225" s="140">
        <v>9015800500</v>
      </c>
      <c r="B225" s="39" t="s">
        <v>2861</v>
      </c>
      <c r="C225" s="39" t="s">
        <v>944</v>
      </c>
      <c r="D225" s="41">
        <v>350363.89563839999</v>
      </c>
      <c r="E225" s="37">
        <v>3.1083029038418077E-3</v>
      </c>
      <c r="F225" s="38">
        <v>690303.40599999996</v>
      </c>
      <c r="G225" s="37">
        <v>8.4456220050223817E-3</v>
      </c>
      <c r="H225" s="38">
        <v>0</v>
      </c>
      <c r="I225" s="37">
        <v>0</v>
      </c>
      <c r="J225" s="42">
        <v>0</v>
      </c>
      <c r="K225" s="37">
        <v>0</v>
      </c>
      <c r="L225" s="38">
        <v>350363.89563839999</v>
      </c>
      <c r="M225" s="37">
        <v>3.1083029038418077E-3</v>
      </c>
      <c r="N225" s="42">
        <v>690303.40599999996</v>
      </c>
      <c r="O225" s="40">
        <v>8.4456220050223817E-3</v>
      </c>
      <c r="P225">
        <f>VLOOKUP(Table32[[#This Row],[Census Tract]],'Population and Diversity Data'!$B$2:$K$823,10,FALSE)</f>
        <v>5</v>
      </c>
      <c r="Q225" t="str">
        <f>VLOOKUP(Table32[[#This Row],[Census Tract]],'ES Energy Burden'!$B$2:$E$914,4,FALSE)</f>
        <v>No</v>
      </c>
    </row>
    <row r="226" spans="1:17" x14ac:dyDescent="0.25">
      <c r="A226" s="140">
        <v>9003473100</v>
      </c>
      <c r="B226" s="39" t="s">
        <v>2862</v>
      </c>
      <c r="C226" s="39" t="s">
        <v>944</v>
      </c>
      <c r="D226" s="41">
        <v>2186362.3667903999</v>
      </c>
      <c r="E226" s="37">
        <v>1.9396623276956786E-2</v>
      </c>
      <c r="F226" s="38">
        <v>445016.20199999999</v>
      </c>
      <c r="G226" s="37">
        <v>5.4446184033498527E-3</v>
      </c>
      <c r="H226" s="38">
        <v>0</v>
      </c>
      <c r="I226" s="37">
        <v>0</v>
      </c>
      <c r="J226" s="42">
        <v>0</v>
      </c>
      <c r="K226" s="37">
        <v>0</v>
      </c>
      <c r="L226" s="38">
        <v>2186362.3667903999</v>
      </c>
      <c r="M226" s="37">
        <v>1.9396623276956786E-2</v>
      </c>
      <c r="N226" s="42">
        <v>445016.20199999999</v>
      </c>
      <c r="O226" s="40">
        <v>5.4446184033498527E-3</v>
      </c>
      <c r="P226">
        <f>VLOOKUP(Table32[[#This Row],[Census Tract]],'Population and Diversity Data'!$B$2:$K$823,10,FALSE)</f>
        <v>1</v>
      </c>
      <c r="Q226" t="str">
        <f>VLOOKUP(Table32[[#This Row],[Census Tract]],'ES Energy Burden'!$B$2:$E$914,4,FALSE)</f>
        <v>No</v>
      </c>
    </row>
    <row r="227" spans="1:17" x14ac:dyDescent="0.25">
      <c r="A227" s="140">
        <v>9003473501</v>
      </c>
      <c r="B227" s="39" t="s">
        <v>2862</v>
      </c>
      <c r="C227" s="39" t="s">
        <v>944</v>
      </c>
      <c r="D227" s="41">
        <v>6.9506121600000004</v>
      </c>
      <c r="E227" s="37">
        <v>6.1663339828552554E-8</v>
      </c>
      <c r="F227" s="38">
        <v>0</v>
      </c>
      <c r="G227" s="37">
        <v>0</v>
      </c>
      <c r="H227" s="38">
        <v>0</v>
      </c>
      <c r="I227" s="37">
        <v>0</v>
      </c>
      <c r="J227" s="42">
        <v>0</v>
      </c>
      <c r="K227" s="37">
        <v>0</v>
      </c>
      <c r="L227" s="38">
        <v>6.9506121600000004</v>
      </c>
      <c r="M227" s="37">
        <v>6.1663339828552554E-8</v>
      </c>
      <c r="N227" s="42">
        <v>0</v>
      </c>
      <c r="O227" s="40">
        <v>0</v>
      </c>
      <c r="P227">
        <f>VLOOKUP(Table32[[#This Row],[Census Tract]],'Population and Diversity Data'!$B$2:$K$823,10,FALSE)</f>
        <v>3</v>
      </c>
      <c r="Q227" t="str">
        <f>VLOOKUP(Table32[[#This Row],[Census Tract]],'ES Energy Burden'!$B$2:$E$914,4,FALSE)</f>
        <v>No</v>
      </c>
    </row>
    <row r="228" spans="1:17" x14ac:dyDescent="0.25">
      <c r="A228" s="140">
        <v>9003476300</v>
      </c>
      <c r="B228" s="39" t="s">
        <v>2863</v>
      </c>
      <c r="C228" s="39" t="s">
        <v>944</v>
      </c>
      <c r="D228" s="41">
        <v>381746.91158208001</v>
      </c>
      <c r="E228" s="37">
        <v>3.3867217729188046E-3</v>
      </c>
      <c r="F228" s="38">
        <v>694090.22160000005</v>
      </c>
      <c r="G228" s="37">
        <v>8.4919523763958109E-3</v>
      </c>
      <c r="H228" s="38">
        <v>0</v>
      </c>
      <c r="I228" s="37">
        <v>0</v>
      </c>
      <c r="J228" s="42">
        <v>0</v>
      </c>
      <c r="K228" s="37">
        <v>0</v>
      </c>
      <c r="L228" s="38">
        <v>381746.91158208001</v>
      </c>
      <c r="M228" s="37">
        <v>3.3867217729188046E-3</v>
      </c>
      <c r="N228" s="42">
        <v>694090.22160000005</v>
      </c>
      <c r="O228" s="40">
        <v>8.4919523763958109E-3</v>
      </c>
      <c r="P228">
        <f>VLOOKUP(Table32[[#This Row],[Census Tract]],'Population and Diversity Data'!$B$2:$K$823,10,FALSE)</f>
        <v>4</v>
      </c>
      <c r="Q228" t="str">
        <f>VLOOKUP(Table32[[#This Row],[Census Tract]],'ES Energy Burden'!$B$2:$E$914,4,FALSE)</f>
        <v>No</v>
      </c>
    </row>
    <row r="229" spans="1:17" x14ac:dyDescent="0.25">
      <c r="A229" s="140">
        <v>9009361100</v>
      </c>
      <c r="B229" s="39" t="s">
        <v>2864</v>
      </c>
      <c r="C229" s="39" t="s">
        <v>944</v>
      </c>
      <c r="D229" s="41">
        <v>45604.595350079995</v>
      </c>
      <c r="E229" s="37">
        <v>4.0458762423820955E-4</v>
      </c>
      <c r="F229" s="38">
        <v>5417.29</v>
      </c>
      <c r="G229" s="37">
        <v>6.6278658389797506E-5</v>
      </c>
      <c r="H229" s="38">
        <v>0</v>
      </c>
      <c r="I229" s="37">
        <v>0</v>
      </c>
      <c r="J229" s="42">
        <v>0</v>
      </c>
      <c r="K229" s="37">
        <v>0</v>
      </c>
      <c r="L229" s="38">
        <v>45604.595350079995</v>
      </c>
      <c r="M229" s="37">
        <v>4.0458762423820955E-4</v>
      </c>
      <c r="N229" s="42">
        <v>5417.29</v>
      </c>
      <c r="O229" s="40">
        <v>6.6278658389797506E-5</v>
      </c>
      <c r="P229">
        <f>VLOOKUP(Table32[[#This Row],[Census Tract]],'Population and Diversity Data'!$B$2:$K$823,10,FALSE)</f>
        <v>2</v>
      </c>
      <c r="Q229" t="str">
        <f>VLOOKUP(Table32[[#This Row],[Census Tract]],'ES Energy Burden'!$B$2:$E$914,4,FALSE)</f>
        <v>No</v>
      </c>
    </row>
    <row r="230" spans="1:17" x14ac:dyDescent="0.25">
      <c r="A230" s="140">
        <v>9005362102</v>
      </c>
      <c r="B230" s="39" t="s">
        <v>2865</v>
      </c>
      <c r="C230" s="39" t="s">
        <v>944</v>
      </c>
      <c r="D230" s="41">
        <v>21664.331894719999</v>
      </c>
      <c r="E230" s="37">
        <v>1.9219818758851149E-4</v>
      </c>
      <c r="F230" s="38">
        <v>1897.64</v>
      </c>
      <c r="G230" s="37">
        <v>2.3216965181265053E-5</v>
      </c>
      <c r="H230" s="38">
        <v>0</v>
      </c>
      <c r="I230" s="37">
        <v>0</v>
      </c>
      <c r="J230" s="42">
        <v>0</v>
      </c>
      <c r="K230" s="37">
        <v>0</v>
      </c>
      <c r="L230" s="38">
        <v>21664.331894719999</v>
      </c>
      <c r="M230" s="37">
        <v>1.9219818758851149E-4</v>
      </c>
      <c r="N230" s="42">
        <v>1897.64</v>
      </c>
      <c r="O230" s="40">
        <v>2.3216965181265053E-5</v>
      </c>
      <c r="P230">
        <f>VLOOKUP(Table32[[#This Row],[Census Tract]],'Population and Diversity Data'!$B$2:$K$823,10,FALSE)</f>
        <v>1</v>
      </c>
      <c r="Q230" t="str">
        <f>VLOOKUP(Table32[[#This Row],[Census Tract]],'ES Energy Burden'!$B$2:$E$914,4,FALSE)</f>
        <v>No</v>
      </c>
    </row>
    <row r="231" spans="1:17" x14ac:dyDescent="0.25">
      <c r="A231" s="140">
        <v>9015901100</v>
      </c>
      <c r="B231" s="39" t="s">
        <v>2866</v>
      </c>
      <c r="C231" s="39" t="s">
        <v>944</v>
      </c>
      <c r="D231" s="41">
        <v>49092.056173440011</v>
      </c>
      <c r="E231" s="37">
        <v>4.3552712667904383E-4</v>
      </c>
      <c r="F231" s="38">
        <v>10892.31</v>
      </c>
      <c r="G231" s="37">
        <v>1.3326362324442208E-4</v>
      </c>
      <c r="H231" s="38">
        <v>0</v>
      </c>
      <c r="I231" s="37">
        <v>0</v>
      </c>
      <c r="J231" s="42">
        <v>0</v>
      </c>
      <c r="K231" s="37">
        <v>0</v>
      </c>
      <c r="L231" s="38">
        <v>49092.056173440011</v>
      </c>
      <c r="M231" s="37">
        <v>4.3552712667904383E-4</v>
      </c>
      <c r="N231" s="42">
        <v>10892.31</v>
      </c>
      <c r="O231" s="40">
        <v>1.3326362324442208E-4</v>
      </c>
      <c r="P231">
        <f>VLOOKUP(Table32[[#This Row],[Census Tract]],'Population and Diversity Data'!$B$2:$K$823,10,FALSE)</f>
        <v>1</v>
      </c>
      <c r="Q231" t="str">
        <f>VLOOKUP(Table32[[#This Row],[Census Tract]],'ES Energy Burden'!$B$2:$E$914,4,FALSE)</f>
        <v>No</v>
      </c>
    </row>
    <row r="232" spans="1:17" x14ac:dyDescent="0.25">
      <c r="A232" s="223"/>
      <c r="B232" s="224"/>
      <c r="C232" s="225"/>
      <c r="D232" s="145"/>
      <c r="E232" s="137">
        <v>0</v>
      </c>
      <c r="F232" s="138"/>
      <c r="G232" s="137">
        <v>0</v>
      </c>
      <c r="H232" s="138"/>
      <c r="I232" s="137">
        <v>0</v>
      </c>
      <c r="J232" s="138"/>
      <c r="K232" s="137">
        <v>0</v>
      </c>
      <c r="L232" s="138"/>
      <c r="M232" s="137">
        <v>0</v>
      </c>
      <c r="N232" s="138"/>
      <c r="O232" s="40">
        <v>0</v>
      </c>
      <c r="P232" t="e">
        <f>VLOOKUP(Table32[[#This Row],[Census Tract]],'Population and Diversity Data'!$B$2:$K$823,10,FALSE)</f>
        <v>#N/A</v>
      </c>
      <c r="Q232" t="e">
        <f>VLOOKUP(Table32[[#This Row],[Census Tract]],'ES Energy Burden'!$B$2:$E$914,4,FALSE)</f>
        <v>#N/A</v>
      </c>
    </row>
    <row r="233" spans="1:17" x14ac:dyDescent="0.25">
      <c r="A233" s="59"/>
      <c r="B233" s="58"/>
      <c r="C233" s="57" t="s">
        <v>2687</v>
      </c>
      <c r="D233" s="56">
        <f>SUBTOTAL(109,D6:D231)</f>
        <v>42059561.725860156</v>
      </c>
      <c r="E233" s="55">
        <v>0.37313735654352737</v>
      </c>
      <c r="F233" s="54">
        <f>SUBTOTAL(109,F6:F231)</f>
        <v>37329757.104799993</v>
      </c>
      <c r="G233" s="55">
        <v>0.45671659056892938</v>
      </c>
      <c r="H233" s="54">
        <f>SUBTOTAL(109,H6:H231)</f>
        <v>52735.964530559999</v>
      </c>
      <c r="I233" s="55">
        <v>4.6785457556509886E-4</v>
      </c>
      <c r="J233" s="54">
        <f>SUBTOTAL(109,J6:J231)</f>
        <v>0</v>
      </c>
      <c r="K233" s="55">
        <v>0</v>
      </c>
      <c r="L233" s="54">
        <f>SUBTOTAL(109,L6:L231)</f>
        <v>42006825.761329599</v>
      </c>
      <c r="M233" s="55">
        <v>0.37266950196796228</v>
      </c>
      <c r="N233" s="54">
        <f>SUBTOTAL(109,N6:N231)</f>
        <v>37329757.104799993</v>
      </c>
      <c r="O233" s="53">
        <v>0.45671659056892938</v>
      </c>
      <c r="P233" t="e">
        <f>VLOOKUP(Table32[[#This Row],[Census Tract]],'Population and Diversity Data'!$B$2:$K$823,10,FALSE)</f>
        <v>#N/A</v>
      </c>
      <c r="Q233" t="e">
        <f>VLOOKUP(Table32[[#This Row],[Census Tract]],'ES Energy Burden'!$B$2:$E$914,4,FALSE)</f>
        <v>#N/A</v>
      </c>
    </row>
    <row r="235" spans="1:17" s="31" customFormat="1" x14ac:dyDescent="0.25">
      <c r="A235" s="30" t="s">
        <v>2698</v>
      </c>
      <c r="C235" s="32"/>
      <c r="D235" s="32"/>
      <c r="E235" s="33"/>
      <c r="F235" s="33"/>
      <c r="G235" s="33"/>
      <c r="H235" s="33"/>
      <c r="I235" s="33"/>
      <c r="J235" s="33"/>
      <c r="K235" s="33"/>
      <c r="L235" s="33"/>
      <c r="M235" s="33"/>
      <c r="N235" s="33"/>
      <c r="O235" s="33"/>
      <c r="P235" s="33"/>
    </row>
    <row r="236" spans="1:17" s="31" customFormat="1" x14ac:dyDescent="0.25">
      <c r="A236" s="30" t="s">
        <v>2699</v>
      </c>
      <c r="C236" s="32"/>
      <c r="D236" s="32"/>
      <c r="E236" s="33"/>
      <c r="F236" s="33"/>
      <c r="G236" s="33"/>
      <c r="H236" s="33"/>
      <c r="I236" s="33"/>
      <c r="J236" s="33"/>
      <c r="K236" s="33"/>
      <c r="L236" s="33"/>
      <c r="M236" s="33"/>
      <c r="N236" s="33"/>
      <c r="O236" s="33"/>
      <c r="P236" s="33"/>
    </row>
  </sheetData>
  <mergeCells count="7">
    <mergeCell ref="A1:O2"/>
    <mergeCell ref="A3:C3"/>
    <mergeCell ref="D3:O3"/>
    <mergeCell ref="A4:C4"/>
    <mergeCell ref="D4:G4"/>
    <mergeCell ref="H4:K4"/>
    <mergeCell ref="L4:O4"/>
  </mergeCells>
  <pageMargins left="0.7" right="0.7" top="0.75" bottom="0.75" header="0.3" footer="0.3"/>
  <pageSetup paperSize="5" scale="52" fitToHeight="25"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AC7A-95B8-4913-A1D2-4F4E1448984A}">
  <sheetPr>
    <tabColor theme="6" tint="0.59999389629810485"/>
    <pageSetUpPr fitToPage="1"/>
  </sheetPr>
  <dimension ref="A1:V941"/>
  <sheetViews>
    <sheetView zoomScale="80" zoomScaleNormal="80" workbookViewId="0">
      <pane ySplit="5" topLeftCell="A6" activePane="bottomLeft" state="frozen"/>
      <selection pane="bottomLeft" activeCell="A289" sqref="A289:C793"/>
    </sheetView>
  </sheetViews>
  <sheetFormatPr defaultColWidth="8.7109375" defaultRowHeight="15" x14ac:dyDescent="0.25"/>
  <cols>
    <col min="1" max="1" width="15.7109375" customWidth="1"/>
    <col min="2" max="2" width="24" customWidth="1"/>
    <col min="3" max="3" width="15.7109375" customWidth="1"/>
    <col min="4" max="5" width="15.7109375" style="36" customWidth="1"/>
    <col min="6" max="16" width="15.7109375" customWidth="1"/>
    <col min="17" max="17" width="14.140625" customWidth="1"/>
    <col min="18" max="18" width="20.5703125" customWidth="1"/>
    <col min="19" max="19" width="14.140625" customWidth="1"/>
  </cols>
  <sheetData>
    <row r="1" spans="1:22" ht="18.75" customHeight="1" x14ac:dyDescent="0.25">
      <c r="A1" s="305" t="s">
        <v>2703</v>
      </c>
      <c r="B1" s="306"/>
      <c r="C1" s="306"/>
      <c r="D1" s="306"/>
      <c r="E1" s="306"/>
      <c r="F1" s="306"/>
      <c r="G1" s="306"/>
      <c r="H1" s="306"/>
      <c r="I1" s="306"/>
      <c r="J1" s="306"/>
      <c r="K1" s="306"/>
      <c r="L1" s="306"/>
      <c r="M1" s="306"/>
      <c r="N1" s="306"/>
      <c r="O1" s="307"/>
    </row>
    <row r="2" spans="1:22" ht="15.75" customHeight="1" thickBot="1" x14ac:dyDescent="0.3">
      <c r="A2" s="308"/>
      <c r="B2" s="309"/>
      <c r="C2" s="309"/>
      <c r="D2" s="309"/>
      <c r="E2" s="309"/>
      <c r="F2" s="309"/>
      <c r="G2" s="309"/>
      <c r="H2" s="309"/>
      <c r="I2" s="309"/>
      <c r="J2" s="309"/>
      <c r="K2" s="309"/>
      <c r="L2" s="309"/>
      <c r="M2" s="309"/>
      <c r="N2" s="309"/>
      <c r="O2" s="310"/>
    </row>
    <row r="3" spans="1:22" ht="16.5" thickBot="1" x14ac:dyDescent="0.3">
      <c r="A3" s="318" t="s">
        <v>2686</v>
      </c>
      <c r="B3" s="319"/>
      <c r="C3" s="319"/>
      <c r="D3" s="302"/>
      <c r="E3" s="303"/>
      <c r="F3" s="323"/>
      <c r="G3" s="323"/>
      <c r="H3" s="323"/>
      <c r="I3" s="323"/>
      <c r="J3" s="323"/>
      <c r="K3" s="303"/>
      <c r="L3" s="303"/>
      <c r="M3" s="303"/>
      <c r="N3" s="303"/>
      <c r="O3" s="304"/>
    </row>
    <row r="4" spans="1:22" ht="15.75" thickBot="1" x14ac:dyDescent="0.3">
      <c r="A4" s="327"/>
      <c r="B4" s="328"/>
      <c r="C4" s="328"/>
      <c r="D4" s="329" t="s">
        <v>2868</v>
      </c>
      <c r="E4" s="330"/>
      <c r="F4" s="333" t="s">
        <v>968</v>
      </c>
      <c r="G4" s="334"/>
      <c r="H4" s="334"/>
      <c r="I4" s="334"/>
      <c r="J4" s="335"/>
      <c r="K4" s="331" t="s">
        <v>969</v>
      </c>
      <c r="L4" s="331"/>
      <c r="M4" s="331"/>
      <c r="N4" s="331"/>
      <c r="O4" s="332"/>
    </row>
    <row r="5" spans="1:22" ht="34.5" thickBot="1" x14ac:dyDescent="0.3">
      <c r="A5" s="79" t="s">
        <v>2704</v>
      </c>
      <c r="B5" s="78" t="s">
        <v>2705</v>
      </c>
      <c r="C5" s="77" t="s">
        <v>2706</v>
      </c>
      <c r="D5" s="76" t="s">
        <v>2707</v>
      </c>
      <c r="E5" s="75" t="s">
        <v>2709</v>
      </c>
      <c r="F5" s="74" t="s">
        <v>970</v>
      </c>
      <c r="G5" s="71" t="s">
        <v>2869</v>
      </c>
      <c r="H5" s="72" t="s">
        <v>2870</v>
      </c>
      <c r="I5" s="72" t="s">
        <v>2871</v>
      </c>
      <c r="J5" s="73" t="s">
        <v>959</v>
      </c>
      <c r="K5" s="72" t="s">
        <v>2872</v>
      </c>
      <c r="L5" s="72" t="s">
        <v>2873</v>
      </c>
      <c r="M5" s="72" t="s">
        <v>2874</v>
      </c>
      <c r="N5" s="72" t="s">
        <v>2875</v>
      </c>
      <c r="O5" s="71" t="s">
        <v>2876</v>
      </c>
      <c r="P5" s="115" t="s">
        <v>2720</v>
      </c>
      <c r="Q5" s="115" t="s">
        <v>2721</v>
      </c>
      <c r="R5" s="170" t="s">
        <v>3904</v>
      </c>
      <c r="S5" s="170" t="s">
        <v>3905</v>
      </c>
    </row>
    <row r="6" spans="1:22" x14ac:dyDescent="0.25">
      <c r="A6" s="147">
        <v>9013528100</v>
      </c>
      <c r="B6" s="148" t="s">
        <v>2723</v>
      </c>
      <c r="C6" s="149" t="s">
        <v>944</v>
      </c>
      <c r="D6" s="70">
        <v>66033.272865599996</v>
      </c>
      <c r="E6" s="70">
        <v>14369.65</v>
      </c>
      <c r="F6" s="14">
        <v>9</v>
      </c>
      <c r="G6" s="14">
        <v>9</v>
      </c>
      <c r="H6" s="14">
        <v>0</v>
      </c>
      <c r="I6" s="14">
        <v>0</v>
      </c>
      <c r="J6" s="69">
        <v>7547.15</v>
      </c>
      <c r="K6">
        <f t="shared" ref="K6:K69" si="0">L6+M6+N6</f>
        <v>1</v>
      </c>
      <c r="L6" s="14">
        <v>1</v>
      </c>
      <c r="M6" s="14">
        <v>0</v>
      </c>
      <c r="N6" s="14">
        <v>0</v>
      </c>
      <c r="O6" s="69">
        <v>647.05999999999995</v>
      </c>
      <c r="P6" s="226">
        <f>VLOOKUP(Table323[[#This Row],[Census Tract]],'Population and Diversity Data'!$B$2:$K$823,10,FALSE)</f>
        <v>1</v>
      </c>
      <c r="Q6" s="226" t="str">
        <f>VLOOKUP(Table323[[#This Row],[Census Tract]],'ES Energy Burden'!$B$2:$E$914,4,FALSE)</f>
        <v>No</v>
      </c>
      <c r="R6" s="248">
        <f>VLOOKUP(Table323[[#This Row],[Census Tract]],'Income and Housing Data'!$B$2:$D$823,3,FALSE)</f>
        <v>105328</v>
      </c>
      <c r="S6" s="248" t="str">
        <f>IF($U$6&lt;=Table323[[#This Row],[Household income]],IF(Table323[[#This Row],[Household income]]&lt;=$U$7, "Yes","No"),"No")</f>
        <v>No</v>
      </c>
      <c r="U6">
        <v>47913</v>
      </c>
      <c r="V6" t="s">
        <v>3906</v>
      </c>
    </row>
    <row r="7" spans="1:22" x14ac:dyDescent="0.25">
      <c r="A7" s="147">
        <v>9013529100</v>
      </c>
      <c r="B7" s="148" t="s">
        <v>2723</v>
      </c>
      <c r="C7" s="150" t="s">
        <v>944</v>
      </c>
      <c r="D7" s="70">
        <v>992.09612159999995</v>
      </c>
      <c r="E7" s="70">
        <v>0</v>
      </c>
      <c r="F7" s="14">
        <v>0</v>
      </c>
      <c r="G7" s="14">
        <v>0</v>
      </c>
      <c r="H7" s="14">
        <v>0</v>
      </c>
      <c r="I7" s="14">
        <v>0</v>
      </c>
      <c r="J7" s="69">
        <v>0</v>
      </c>
      <c r="K7">
        <f t="shared" si="0"/>
        <v>0</v>
      </c>
      <c r="L7" s="14">
        <v>0</v>
      </c>
      <c r="M7" s="14">
        <v>0</v>
      </c>
      <c r="N7" s="14">
        <v>0</v>
      </c>
      <c r="O7" s="69">
        <v>0</v>
      </c>
      <c r="P7" s="226">
        <f>VLOOKUP(Table323[[#This Row],[Census Tract]],'Population and Diversity Data'!$B$2:$K$823,10,FALSE)</f>
        <v>2</v>
      </c>
      <c r="Q7" s="226" t="str">
        <f>VLOOKUP(Table323[[#This Row],[Census Tract]],'ES Energy Burden'!$B$2:$E$914,4,FALSE)</f>
        <v>No</v>
      </c>
      <c r="R7" s="248">
        <f>VLOOKUP(Table323[[#This Row],[Census Tract]],'Income and Housing Data'!$B$2:$D$823,3,FALSE)</f>
        <v>105772</v>
      </c>
      <c r="S7" s="248" t="str">
        <f>IF($U$6&lt;=Table323[[#This Row],[Household income]],IF(Table323[[#This Row],[Household income]]&lt;=$U$7, "Yes","No"),"No")</f>
        <v>No</v>
      </c>
      <c r="U7">
        <v>63884</v>
      </c>
      <c r="V7" t="s">
        <v>3907</v>
      </c>
    </row>
    <row r="8" spans="1:22" x14ac:dyDescent="0.25">
      <c r="A8" s="147">
        <v>9013850100</v>
      </c>
      <c r="B8" s="148" t="s">
        <v>2723</v>
      </c>
      <c r="C8" s="150" t="s">
        <v>944</v>
      </c>
      <c r="D8" s="70">
        <v>209.21302080000001</v>
      </c>
      <c r="E8" s="70">
        <v>0</v>
      </c>
      <c r="F8" s="14">
        <v>0</v>
      </c>
      <c r="G8" s="14">
        <v>0</v>
      </c>
      <c r="H8" s="14">
        <v>0</v>
      </c>
      <c r="I8" s="14">
        <v>0</v>
      </c>
      <c r="J8" s="69">
        <v>0</v>
      </c>
      <c r="K8">
        <f t="shared" si="0"/>
        <v>0</v>
      </c>
      <c r="L8" s="14">
        <v>0</v>
      </c>
      <c r="M8" s="14">
        <v>0</v>
      </c>
      <c r="N8" s="14">
        <v>0</v>
      </c>
      <c r="O8" s="69">
        <v>0</v>
      </c>
      <c r="P8" s="226">
        <f>VLOOKUP(Table323[[#This Row],[Census Tract]],'Population and Diversity Data'!$B$2:$K$823,10,FALSE)</f>
        <v>3</v>
      </c>
      <c r="Q8" s="226" t="str">
        <f>VLOOKUP(Table323[[#This Row],[Census Tract]],'ES Energy Burden'!$B$2:$E$914,4,FALSE)</f>
        <v>No</v>
      </c>
      <c r="R8" s="248">
        <f>VLOOKUP(Table323[[#This Row],[Census Tract]],'Income and Housing Data'!$B$2:$D$823,3,FALSE)</f>
        <v>103348</v>
      </c>
      <c r="S8" s="248" t="str">
        <f>IF($U$6&lt;=Table323[[#This Row],[Household income]],IF(Table323[[#This Row],[Household income]]&lt;=$U$7, "Yes","No"),"No")</f>
        <v>No</v>
      </c>
    </row>
    <row r="9" spans="1:22" x14ac:dyDescent="0.25">
      <c r="A9" s="147">
        <v>9015830100</v>
      </c>
      <c r="B9" s="148" t="s">
        <v>2724</v>
      </c>
      <c r="C9" s="150" t="s">
        <v>944</v>
      </c>
      <c r="D9" s="70">
        <v>88003.867884480002</v>
      </c>
      <c r="E9" s="70">
        <v>106590.4568</v>
      </c>
      <c r="F9" s="14">
        <v>10</v>
      </c>
      <c r="G9" s="14">
        <v>10</v>
      </c>
      <c r="H9" s="14">
        <v>0</v>
      </c>
      <c r="I9" s="14">
        <v>0</v>
      </c>
      <c r="J9" s="69">
        <v>6719.45</v>
      </c>
      <c r="K9">
        <f t="shared" si="0"/>
        <v>7</v>
      </c>
      <c r="L9" s="14">
        <v>7</v>
      </c>
      <c r="M9" s="14">
        <v>0</v>
      </c>
      <c r="N9" s="14">
        <v>0</v>
      </c>
      <c r="O9" s="151">
        <v>78390.7</v>
      </c>
      <c r="P9" s="226">
        <f>VLOOKUP(Table323[[#This Row],[Census Tract]],'Population and Diversity Data'!$B$2:$K$823,10,FALSE)</f>
        <v>4</v>
      </c>
      <c r="Q9" s="226" t="str">
        <f>VLOOKUP(Table323[[#This Row],[Census Tract]],'ES Energy Burden'!$B$2:$E$914,4,FALSE)</f>
        <v>No</v>
      </c>
      <c r="R9" s="248">
        <f>VLOOKUP(Table323[[#This Row],[Census Tract]],'Income and Housing Data'!$B$2:$D$823,3,FALSE)</f>
        <v>70952</v>
      </c>
      <c r="S9" s="248" t="str">
        <f>IF($U$6&lt;=Table323[[#This Row],[Household income]],IF(Table323[[#This Row],[Household income]]&lt;=$U$7, "Yes","No"),"No")</f>
        <v>No</v>
      </c>
    </row>
    <row r="10" spans="1:22" x14ac:dyDescent="0.25">
      <c r="A10" s="147">
        <v>9015902200</v>
      </c>
      <c r="B10" s="148" t="s">
        <v>2724</v>
      </c>
      <c r="C10" s="150" t="s">
        <v>944</v>
      </c>
      <c r="D10" s="70">
        <v>1561.7371968000002</v>
      </c>
      <c r="E10" s="70">
        <v>2802.3708999999999</v>
      </c>
      <c r="F10" s="14">
        <v>2</v>
      </c>
      <c r="G10" s="14">
        <v>2</v>
      </c>
      <c r="H10" s="14">
        <v>0</v>
      </c>
      <c r="I10" s="14">
        <v>0</v>
      </c>
      <c r="J10" s="69">
        <v>2801.6509000000001</v>
      </c>
      <c r="K10">
        <f t="shared" si="0"/>
        <v>0</v>
      </c>
      <c r="L10" s="14">
        <v>0</v>
      </c>
      <c r="M10" s="14">
        <v>0</v>
      </c>
      <c r="N10" s="14">
        <v>0</v>
      </c>
      <c r="O10" s="151">
        <v>0</v>
      </c>
      <c r="P10" s="226">
        <f>VLOOKUP(Table323[[#This Row],[Census Tract]],'Population and Diversity Data'!$B$2:$K$823,10,FALSE)</f>
        <v>2</v>
      </c>
      <c r="Q10" s="226" t="str">
        <f>VLOOKUP(Table323[[#This Row],[Census Tract]],'ES Energy Burden'!$B$2:$E$914,4,FALSE)</f>
        <v>No</v>
      </c>
      <c r="R10" s="248">
        <f>VLOOKUP(Table323[[#This Row],[Census Tract]],'Income and Housing Data'!$B$2:$D$823,3,FALSE)</f>
        <v>92813</v>
      </c>
      <c r="S10" s="248" t="str">
        <f>IF($U$6&lt;=Table323[[#This Row],[Household income]],IF(Table323[[#This Row],[Household income]]&lt;=$U$7, "Yes","No"),"No")</f>
        <v>No</v>
      </c>
    </row>
    <row r="11" spans="1:22" x14ac:dyDescent="0.25">
      <c r="A11" s="147">
        <v>9003460301</v>
      </c>
      <c r="B11" s="148" t="s">
        <v>2725</v>
      </c>
      <c r="C11" s="150" t="s">
        <v>944</v>
      </c>
      <c r="D11" s="70">
        <v>456.74789760000004</v>
      </c>
      <c r="E11" s="70">
        <v>0</v>
      </c>
      <c r="F11" s="14">
        <v>0</v>
      </c>
      <c r="G11" s="14">
        <v>0</v>
      </c>
      <c r="H11" s="14">
        <v>0</v>
      </c>
      <c r="I11" s="14">
        <v>0</v>
      </c>
      <c r="J11" s="69">
        <v>0</v>
      </c>
      <c r="K11">
        <f t="shared" si="0"/>
        <v>0</v>
      </c>
      <c r="L11" s="14">
        <v>0</v>
      </c>
      <c r="M11" s="14">
        <v>0</v>
      </c>
      <c r="N11" s="14">
        <v>0</v>
      </c>
      <c r="O11" s="151">
        <v>0</v>
      </c>
      <c r="P11" s="226">
        <f>VLOOKUP(Table323[[#This Row],[Census Tract]],'Population and Diversity Data'!$B$2:$K$823,10,FALSE)</f>
        <v>3</v>
      </c>
      <c r="Q11" s="226" t="str">
        <f>VLOOKUP(Table323[[#This Row],[Census Tract]],'ES Energy Burden'!$B$2:$E$914,4,FALSE)</f>
        <v>No</v>
      </c>
      <c r="R11" s="248">
        <f>VLOOKUP(Table323[[#This Row],[Census Tract]],'Income and Housing Data'!$B$2:$D$823,3,FALSE)</f>
        <v>106782</v>
      </c>
      <c r="S11" s="248" t="str">
        <f>IF($U$6&lt;=Table323[[#This Row],[Household income]],IF(Table323[[#This Row],[Household income]]&lt;=$U$7, "Yes","No"),"No")</f>
        <v>No</v>
      </c>
    </row>
    <row r="12" spans="1:22" x14ac:dyDescent="0.25">
      <c r="A12" s="147">
        <v>9003460302</v>
      </c>
      <c r="B12" s="148" t="s">
        <v>2725</v>
      </c>
      <c r="C12" s="150" t="s">
        <v>944</v>
      </c>
      <c r="D12" s="70">
        <v>1956.2149727999999</v>
      </c>
      <c r="E12" s="70">
        <v>0</v>
      </c>
      <c r="F12" s="14">
        <v>0</v>
      </c>
      <c r="G12" s="14">
        <v>0</v>
      </c>
      <c r="H12" s="14">
        <v>0</v>
      </c>
      <c r="I12" s="14">
        <v>0</v>
      </c>
      <c r="J12" s="69">
        <v>0</v>
      </c>
      <c r="K12">
        <f t="shared" si="0"/>
        <v>0</v>
      </c>
      <c r="L12" s="14">
        <v>0</v>
      </c>
      <c r="M12" s="14">
        <v>0</v>
      </c>
      <c r="N12" s="14">
        <v>0</v>
      </c>
      <c r="O12" s="151">
        <v>0</v>
      </c>
      <c r="P12" s="226">
        <f>VLOOKUP(Table323[[#This Row],[Census Tract]],'Population and Diversity Data'!$B$2:$K$823,10,FALSE)</f>
        <v>3</v>
      </c>
      <c r="Q12" s="226" t="str">
        <f>VLOOKUP(Table323[[#This Row],[Census Tract]],'ES Energy Burden'!$B$2:$E$914,4,FALSE)</f>
        <v>No</v>
      </c>
      <c r="R12" s="248">
        <f>VLOOKUP(Table323[[#This Row],[Census Tract]],'Income and Housing Data'!$B$2:$D$823,3,FALSE)</f>
        <v>90375</v>
      </c>
      <c r="S12" s="248" t="str">
        <f>IF($U$6&lt;=Table323[[#This Row],[Household income]],IF(Table323[[#This Row],[Household income]]&lt;=$U$7, "Yes","No"),"No")</f>
        <v>No</v>
      </c>
    </row>
    <row r="13" spans="1:22" x14ac:dyDescent="0.25">
      <c r="A13" s="147">
        <v>9003462101</v>
      </c>
      <c r="B13" s="148" t="s">
        <v>2725</v>
      </c>
      <c r="C13" s="150" t="s">
        <v>944</v>
      </c>
      <c r="D13" s="70">
        <v>138431.24449920002</v>
      </c>
      <c r="E13" s="70">
        <v>186175.93520000001</v>
      </c>
      <c r="F13" s="14">
        <v>211</v>
      </c>
      <c r="G13" s="14">
        <v>41</v>
      </c>
      <c r="H13" s="14">
        <v>1</v>
      </c>
      <c r="I13" s="14">
        <v>169</v>
      </c>
      <c r="J13" s="69">
        <v>85613.28</v>
      </c>
      <c r="K13">
        <f t="shared" si="0"/>
        <v>14</v>
      </c>
      <c r="L13" s="14">
        <v>14</v>
      </c>
      <c r="M13" s="14">
        <v>0</v>
      </c>
      <c r="N13" s="14">
        <v>0</v>
      </c>
      <c r="O13" s="69">
        <v>46831.199999999997</v>
      </c>
      <c r="P13" s="226">
        <f>VLOOKUP(Table323[[#This Row],[Census Tract]],'Population and Diversity Data'!$B$2:$K$823,10,FALSE)</f>
        <v>4</v>
      </c>
      <c r="Q13" s="226" t="str">
        <f>VLOOKUP(Table323[[#This Row],[Census Tract]],'ES Energy Burden'!$B$2:$E$914,4,FALSE)</f>
        <v>No</v>
      </c>
      <c r="R13" s="248">
        <f>VLOOKUP(Table323[[#This Row],[Census Tract]],'Income and Housing Data'!$B$2:$D$823,3,FALSE)</f>
        <v>128661</v>
      </c>
      <c r="S13" s="248" t="str">
        <f>IF($U$6&lt;=Table323[[#This Row],[Household income]],IF(Table323[[#This Row],[Household income]]&lt;=$U$7, "Yes","No"),"No")</f>
        <v>No</v>
      </c>
    </row>
    <row r="14" spans="1:22" x14ac:dyDescent="0.25">
      <c r="A14" s="147">
        <v>9003462102</v>
      </c>
      <c r="B14" s="148" t="s">
        <v>2725</v>
      </c>
      <c r="C14" s="150" t="s">
        <v>944</v>
      </c>
      <c r="D14" s="70">
        <v>95029.398115199991</v>
      </c>
      <c r="E14" s="70">
        <v>14426.35</v>
      </c>
      <c r="F14" s="14">
        <v>23</v>
      </c>
      <c r="G14" s="14">
        <v>23</v>
      </c>
      <c r="H14" s="14">
        <v>0</v>
      </c>
      <c r="I14" s="14">
        <v>0</v>
      </c>
      <c r="J14" s="69">
        <v>13603.22</v>
      </c>
      <c r="K14">
        <f t="shared" si="0"/>
        <v>0</v>
      </c>
      <c r="L14" s="14">
        <v>0</v>
      </c>
      <c r="M14" s="14">
        <v>0</v>
      </c>
      <c r="N14" s="14">
        <v>0</v>
      </c>
      <c r="O14" s="69">
        <v>0</v>
      </c>
      <c r="P14" s="226">
        <f>VLOOKUP(Table323[[#This Row],[Census Tract]],'Population and Diversity Data'!$B$2:$K$823,10,FALSE)</f>
        <v>4</v>
      </c>
      <c r="Q14" s="226" t="str">
        <f>VLOOKUP(Table323[[#This Row],[Census Tract]],'ES Energy Burden'!$B$2:$E$914,4,FALSE)</f>
        <v>No</v>
      </c>
      <c r="R14" s="248">
        <f>VLOOKUP(Table323[[#This Row],[Census Tract]],'Income and Housing Data'!$B$2:$D$823,3,FALSE)</f>
        <v>195357</v>
      </c>
      <c r="S14" s="248" t="str">
        <f>IF($U$6&lt;=Table323[[#This Row],[Household income]],IF(Table323[[#This Row],[Household income]]&lt;=$U$7, "Yes","No"),"No")</f>
        <v>No</v>
      </c>
    </row>
    <row r="15" spans="1:22" x14ac:dyDescent="0.25">
      <c r="A15" s="147">
        <v>9003462201</v>
      </c>
      <c r="B15" s="148" t="s">
        <v>2725</v>
      </c>
      <c r="C15" s="150" t="s">
        <v>944</v>
      </c>
      <c r="D15" s="70">
        <v>111899.55728735999</v>
      </c>
      <c r="E15" s="70">
        <v>68021.914199999999</v>
      </c>
      <c r="F15" s="14">
        <v>28</v>
      </c>
      <c r="G15" s="14">
        <v>28</v>
      </c>
      <c r="H15" s="14">
        <v>0</v>
      </c>
      <c r="I15" s="14">
        <v>0</v>
      </c>
      <c r="J15" s="69">
        <v>23212.9516</v>
      </c>
      <c r="K15">
        <f t="shared" si="0"/>
        <v>0</v>
      </c>
      <c r="L15" s="14">
        <v>0</v>
      </c>
      <c r="M15" s="14">
        <v>0</v>
      </c>
      <c r="N15" s="14">
        <v>0</v>
      </c>
      <c r="O15" s="69">
        <v>0</v>
      </c>
      <c r="P15" s="226">
        <f>VLOOKUP(Table323[[#This Row],[Census Tract]],'Population and Diversity Data'!$B$2:$K$823,10,FALSE)</f>
        <v>4</v>
      </c>
      <c r="Q15" s="226" t="str">
        <f>VLOOKUP(Table323[[#This Row],[Census Tract]],'ES Energy Burden'!$B$2:$E$914,4,FALSE)</f>
        <v>No</v>
      </c>
      <c r="R15" s="248">
        <f>VLOOKUP(Table323[[#This Row],[Census Tract]],'Income and Housing Data'!$B$2:$D$823,3,FALSE)</f>
        <v>102227</v>
      </c>
      <c r="S15" s="248" t="str">
        <f>IF($U$6&lt;=Table323[[#This Row],[Household income]],IF(Table323[[#This Row],[Household income]]&lt;=$U$7, "Yes","No"),"No")</f>
        <v>No</v>
      </c>
    </row>
    <row r="16" spans="1:22" x14ac:dyDescent="0.25">
      <c r="A16" s="147">
        <v>9003462202</v>
      </c>
      <c r="B16" s="148" t="s">
        <v>2725</v>
      </c>
      <c r="C16" s="150" t="s">
        <v>944</v>
      </c>
      <c r="D16" s="70">
        <v>83246.663882880006</v>
      </c>
      <c r="E16" s="70">
        <v>17796.78</v>
      </c>
      <c r="F16" s="14">
        <v>14</v>
      </c>
      <c r="G16" s="14">
        <v>14</v>
      </c>
      <c r="H16" s="14">
        <v>0</v>
      </c>
      <c r="I16" s="14">
        <v>0</v>
      </c>
      <c r="J16" s="69">
        <v>14517.45</v>
      </c>
      <c r="K16">
        <f t="shared" si="0"/>
        <v>0</v>
      </c>
      <c r="L16" s="14">
        <v>0</v>
      </c>
      <c r="M16" s="14">
        <v>0</v>
      </c>
      <c r="N16" s="14">
        <v>0</v>
      </c>
      <c r="O16" s="69">
        <v>0</v>
      </c>
      <c r="P16" s="226">
        <f>VLOOKUP(Table323[[#This Row],[Census Tract]],'Population and Diversity Data'!$B$2:$K$823,10,FALSE)</f>
        <v>5</v>
      </c>
      <c r="Q16" s="226" t="str">
        <f>VLOOKUP(Table323[[#This Row],[Census Tract]],'ES Energy Burden'!$B$2:$E$914,4,FALSE)</f>
        <v>No</v>
      </c>
      <c r="R16" s="248">
        <f>VLOOKUP(Table323[[#This Row],[Census Tract]],'Income and Housing Data'!$B$2:$D$823,3,FALSE)</f>
        <v>144886</v>
      </c>
      <c r="S16" s="248" t="str">
        <f>IF($U$6&lt;=Table323[[#This Row],[Household income]],IF(Table323[[#This Row],[Household income]]&lt;=$U$7, "Yes","No"),"No")</f>
        <v>No</v>
      </c>
    </row>
    <row r="17" spans="1:19" x14ac:dyDescent="0.25">
      <c r="A17" s="147">
        <v>9003330100</v>
      </c>
      <c r="B17" s="148" t="s">
        <v>2726</v>
      </c>
      <c r="C17" s="150" t="s">
        <v>944</v>
      </c>
      <c r="D17" s="70">
        <v>3140.5924540799997</v>
      </c>
      <c r="E17" s="70">
        <v>0</v>
      </c>
      <c r="F17" s="14">
        <v>0</v>
      </c>
      <c r="G17" s="14">
        <v>0</v>
      </c>
      <c r="H17" s="14">
        <v>0</v>
      </c>
      <c r="I17" s="14">
        <v>0</v>
      </c>
      <c r="J17" s="69">
        <v>0</v>
      </c>
      <c r="K17">
        <f t="shared" si="0"/>
        <v>0</v>
      </c>
      <c r="L17" s="14">
        <v>0</v>
      </c>
      <c r="M17" s="14">
        <v>0</v>
      </c>
      <c r="N17" s="14">
        <v>0</v>
      </c>
      <c r="O17" s="69">
        <v>0</v>
      </c>
      <c r="P17" s="226">
        <f>VLOOKUP(Table323[[#This Row],[Census Tract]],'Population and Diversity Data'!$B$2:$K$823,10,FALSE)</f>
        <v>3</v>
      </c>
      <c r="Q17" s="226" t="str">
        <f>VLOOKUP(Table323[[#This Row],[Census Tract]],'ES Energy Burden'!$B$2:$E$914,4,FALSE)</f>
        <v>No</v>
      </c>
      <c r="R17" s="248">
        <f>VLOOKUP(Table323[[#This Row],[Census Tract]],'Income and Housing Data'!$B$2:$D$823,3,FALSE)</f>
        <v>99722</v>
      </c>
      <c r="S17" s="248" t="str">
        <f>IF($U$6&lt;=Table323[[#This Row],[Household income]],IF(Table323[[#This Row],[Household income]]&lt;=$U$7, "Yes","No"),"No")</f>
        <v>No</v>
      </c>
    </row>
    <row r="18" spans="1:19" x14ac:dyDescent="0.25">
      <c r="A18" s="147">
        <v>9005290100</v>
      </c>
      <c r="B18" s="148" t="s">
        <v>2726</v>
      </c>
      <c r="C18" s="150" t="s">
        <v>944</v>
      </c>
      <c r="D18" s="70">
        <v>72807.389144640008</v>
      </c>
      <c r="E18" s="70">
        <v>47244.700100000002</v>
      </c>
      <c r="F18" s="14">
        <v>17</v>
      </c>
      <c r="G18" s="14">
        <v>17</v>
      </c>
      <c r="H18" s="14">
        <v>0</v>
      </c>
      <c r="I18" s="14">
        <v>0</v>
      </c>
      <c r="J18" s="69">
        <v>15483.91</v>
      </c>
      <c r="K18">
        <f t="shared" si="0"/>
        <v>23</v>
      </c>
      <c r="L18" s="14">
        <v>3</v>
      </c>
      <c r="M18" s="14">
        <v>0</v>
      </c>
      <c r="N18" s="14">
        <v>20</v>
      </c>
      <c r="O18" s="69">
        <v>11522.5</v>
      </c>
      <c r="P18" s="226">
        <f>VLOOKUP(Table323[[#This Row],[Census Tract]],'Population and Diversity Data'!$B$2:$K$823,10,FALSE)</f>
        <v>2</v>
      </c>
      <c r="Q18" s="226" t="str">
        <f>VLOOKUP(Table323[[#This Row],[Census Tract]],'ES Energy Burden'!$B$2:$E$914,4,FALSE)</f>
        <v>No</v>
      </c>
      <c r="R18" s="248">
        <f>VLOOKUP(Table323[[#This Row],[Census Tract]],'Income and Housing Data'!$B$2:$D$823,3,FALSE)</f>
        <v>109688</v>
      </c>
      <c r="S18" s="248" t="str">
        <f>IF($U$6&lt;=Table323[[#This Row],[Household income]],IF(Table323[[#This Row],[Household income]]&lt;=$U$7, "Yes","No"),"No")</f>
        <v>No</v>
      </c>
    </row>
    <row r="19" spans="1:19" x14ac:dyDescent="0.25">
      <c r="A19" s="147">
        <v>9005320100</v>
      </c>
      <c r="B19" s="148" t="s">
        <v>2726</v>
      </c>
      <c r="C19" s="150" t="s">
        <v>944</v>
      </c>
      <c r="D19" s="70">
        <v>168.22252800000001</v>
      </c>
      <c r="E19" s="70">
        <v>0</v>
      </c>
      <c r="F19" s="14">
        <v>0</v>
      </c>
      <c r="G19" s="14">
        <v>0</v>
      </c>
      <c r="H19" s="14">
        <v>0</v>
      </c>
      <c r="I19" s="14">
        <v>0</v>
      </c>
      <c r="J19" s="69">
        <v>0</v>
      </c>
      <c r="K19">
        <f t="shared" si="0"/>
        <v>0</v>
      </c>
      <c r="L19" s="14">
        <v>0</v>
      </c>
      <c r="M19" s="14">
        <v>0</v>
      </c>
      <c r="N19" s="14">
        <v>0</v>
      </c>
      <c r="O19" s="69">
        <v>0</v>
      </c>
      <c r="P19" s="226">
        <f>VLOOKUP(Table323[[#This Row],[Census Tract]],'Population and Diversity Data'!$B$2:$K$823,10,FALSE)</f>
        <v>1</v>
      </c>
      <c r="Q19" s="226" t="str">
        <f>VLOOKUP(Table323[[#This Row],[Census Tract]],'ES Energy Burden'!$B$2:$E$914,4,FALSE)</f>
        <v>No</v>
      </c>
      <c r="R19" s="248">
        <f>VLOOKUP(Table323[[#This Row],[Census Tract]],'Income and Housing Data'!$B$2:$D$823,3,FALSE)</f>
        <v>60160</v>
      </c>
      <c r="S19" s="248" t="str">
        <f>IF($U$6&lt;=Table323[[#This Row],[Household income]],IF(Table323[[#This Row],[Household income]]&lt;=$U$7, "Yes","No"),"No")</f>
        <v>Yes</v>
      </c>
    </row>
    <row r="20" spans="1:19" x14ac:dyDescent="0.25">
      <c r="A20" s="147">
        <v>9009130101</v>
      </c>
      <c r="B20" s="148" t="s">
        <v>2727</v>
      </c>
      <c r="C20" s="150" t="s">
        <v>944</v>
      </c>
      <c r="D20" s="70">
        <v>639.00826559999996</v>
      </c>
      <c r="E20" s="70">
        <v>0</v>
      </c>
      <c r="F20" s="14">
        <v>0</v>
      </c>
      <c r="G20" s="14">
        <v>0</v>
      </c>
      <c r="H20" s="14">
        <v>0</v>
      </c>
      <c r="I20" s="14">
        <v>0</v>
      </c>
      <c r="J20" s="69">
        <v>0</v>
      </c>
      <c r="K20">
        <f t="shared" si="0"/>
        <v>0</v>
      </c>
      <c r="L20" s="14">
        <v>0</v>
      </c>
      <c r="M20" s="14">
        <v>0</v>
      </c>
      <c r="N20" s="14">
        <v>0</v>
      </c>
      <c r="O20" s="69">
        <v>0</v>
      </c>
      <c r="P20" s="226">
        <f>VLOOKUP(Table323[[#This Row],[Census Tract]],'Population and Diversity Data'!$B$2:$K$823,10,FALSE)</f>
        <v>2</v>
      </c>
      <c r="Q20" s="226" t="str">
        <f>VLOOKUP(Table323[[#This Row],[Census Tract]],'ES Energy Burden'!$B$2:$E$914,4,FALSE)</f>
        <v>No</v>
      </c>
      <c r="R20" s="248">
        <f>VLOOKUP(Table323[[#This Row],[Census Tract]],'Income and Housing Data'!$B$2:$D$823,3,FALSE)</f>
        <v>67262</v>
      </c>
      <c r="S20" s="248" t="str">
        <f>IF($U$6&lt;=Table323[[#This Row],[Household income]],IF(Table323[[#This Row],[Household income]]&lt;=$U$7, "Yes","No"),"No")</f>
        <v>No</v>
      </c>
    </row>
    <row r="21" spans="1:19" x14ac:dyDescent="0.25">
      <c r="A21" s="147">
        <v>9009341100</v>
      </c>
      <c r="B21" s="148" t="s">
        <v>2727</v>
      </c>
      <c r="C21" s="150" t="s">
        <v>944</v>
      </c>
      <c r="D21" s="70">
        <v>113902.65690912001</v>
      </c>
      <c r="E21" s="70">
        <v>123113.15</v>
      </c>
      <c r="F21" s="14">
        <v>211</v>
      </c>
      <c r="G21" s="14">
        <v>25</v>
      </c>
      <c r="H21" s="14">
        <v>0</v>
      </c>
      <c r="I21" s="14">
        <v>186</v>
      </c>
      <c r="J21" s="69">
        <v>82008.5</v>
      </c>
      <c r="K21">
        <f t="shared" si="0"/>
        <v>11</v>
      </c>
      <c r="L21" s="14">
        <v>11</v>
      </c>
      <c r="M21" s="14">
        <v>0</v>
      </c>
      <c r="N21" s="14">
        <v>0</v>
      </c>
      <c r="O21" s="69">
        <v>19382.099999999999</v>
      </c>
      <c r="P21" s="226">
        <f>VLOOKUP(Table323[[#This Row],[Census Tract]],'Population and Diversity Data'!$B$2:$K$823,10,FALSE)</f>
        <v>1</v>
      </c>
      <c r="Q21" s="226" t="str">
        <f>VLOOKUP(Table323[[#This Row],[Census Tract]],'ES Energy Burden'!$B$2:$E$914,4,FALSE)</f>
        <v>No</v>
      </c>
      <c r="R21" s="248">
        <f>VLOOKUP(Table323[[#This Row],[Census Tract]],'Income and Housing Data'!$B$2:$D$823,3,FALSE)</f>
        <v>85024</v>
      </c>
      <c r="S21" s="248" t="str">
        <f>IF($U$6&lt;=Table323[[#This Row],[Household income]],IF(Table323[[#This Row],[Household income]]&lt;=$U$7, "Yes","No"),"No")</f>
        <v>No</v>
      </c>
    </row>
    <row r="22" spans="1:19" x14ac:dyDescent="0.25">
      <c r="A22" s="147">
        <v>9003400100</v>
      </c>
      <c r="B22" s="148" t="s">
        <v>2728</v>
      </c>
      <c r="C22" s="150" t="s">
        <v>944</v>
      </c>
      <c r="D22" s="70">
        <v>134773.82682336</v>
      </c>
      <c r="E22" s="70">
        <v>362603.68420000002</v>
      </c>
      <c r="F22" s="14">
        <v>68</v>
      </c>
      <c r="G22" s="14">
        <v>51</v>
      </c>
      <c r="H22" s="14">
        <v>2</v>
      </c>
      <c r="I22" s="14">
        <v>15</v>
      </c>
      <c r="J22" s="69">
        <v>154389.4319</v>
      </c>
      <c r="K22">
        <f t="shared" si="0"/>
        <v>19</v>
      </c>
      <c r="L22" s="14">
        <v>19</v>
      </c>
      <c r="M22" s="14">
        <v>0</v>
      </c>
      <c r="N22" s="14">
        <v>0</v>
      </c>
      <c r="O22" s="69">
        <v>12929.8</v>
      </c>
      <c r="P22" s="226">
        <f>VLOOKUP(Table323[[#This Row],[Census Tract]],'Population and Diversity Data'!$B$2:$K$823,10,FALSE)</f>
        <v>2</v>
      </c>
      <c r="Q22" s="226" t="str">
        <f>VLOOKUP(Table323[[#This Row],[Census Tract]],'ES Energy Burden'!$B$2:$E$914,4,FALSE)</f>
        <v>No</v>
      </c>
      <c r="R22" s="248">
        <f>VLOOKUP(Table323[[#This Row],[Census Tract]],'Income and Housing Data'!$B$2:$D$823,3,FALSE)</f>
        <v>80725</v>
      </c>
      <c r="S22" s="248" t="str">
        <f>IF($U$6&lt;=Table323[[#This Row],[Household income]],IF(Table323[[#This Row],[Household income]]&lt;=$U$7, "Yes","No"),"No")</f>
        <v>No</v>
      </c>
    </row>
    <row r="23" spans="1:19" x14ac:dyDescent="0.25">
      <c r="A23" s="147">
        <v>9003400200</v>
      </c>
      <c r="B23" s="148" t="s">
        <v>2728</v>
      </c>
      <c r="C23" s="150" t="s">
        <v>944</v>
      </c>
      <c r="D23" s="70">
        <v>119228.18040288001</v>
      </c>
      <c r="E23" s="70">
        <v>19579.490000000002</v>
      </c>
      <c r="F23" s="14">
        <v>31</v>
      </c>
      <c r="G23" s="14">
        <v>31</v>
      </c>
      <c r="H23" s="14">
        <v>0</v>
      </c>
      <c r="I23" s="14">
        <v>0</v>
      </c>
      <c r="J23" s="69">
        <v>19579.490000000002</v>
      </c>
      <c r="K23">
        <f t="shared" si="0"/>
        <v>0</v>
      </c>
      <c r="L23" s="14">
        <v>0</v>
      </c>
      <c r="M23" s="14">
        <v>0</v>
      </c>
      <c r="N23" s="14">
        <v>0</v>
      </c>
      <c r="O23" s="69">
        <v>0</v>
      </c>
      <c r="P23" s="226">
        <f>VLOOKUP(Table323[[#This Row],[Census Tract]],'Population and Diversity Data'!$B$2:$K$823,10,FALSE)</f>
        <v>2</v>
      </c>
      <c r="Q23" s="226" t="str">
        <f>VLOOKUP(Table323[[#This Row],[Census Tract]],'ES Energy Burden'!$B$2:$E$914,4,FALSE)</f>
        <v>No</v>
      </c>
      <c r="R23" s="248">
        <f>VLOOKUP(Table323[[#This Row],[Census Tract]],'Income and Housing Data'!$B$2:$D$823,3,FALSE)</f>
        <v>133417</v>
      </c>
      <c r="S23" s="248" t="str">
        <f>IF($U$6&lt;=Table323[[#This Row],[Household income]],IF(Table323[[#This Row],[Household income]]&lt;=$U$7, "Yes","No"),"No")</f>
        <v>No</v>
      </c>
    </row>
    <row r="24" spans="1:19" x14ac:dyDescent="0.25">
      <c r="A24" s="147">
        <v>9003400300</v>
      </c>
      <c r="B24" s="148" t="s">
        <v>2728</v>
      </c>
      <c r="C24" s="150" t="s">
        <v>944</v>
      </c>
      <c r="D24" s="70">
        <v>118629.3053088</v>
      </c>
      <c r="E24" s="70">
        <v>26337.480200000002</v>
      </c>
      <c r="F24" s="14">
        <v>34</v>
      </c>
      <c r="G24" s="14">
        <v>33</v>
      </c>
      <c r="H24" s="14">
        <v>1</v>
      </c>
      <c r="I24" s="14">
        <v>0</v>
      </c>
      <c r="J24" s="69">
        <v>20846.2402</v>
      </c>
      <c r="K24">
        <f t="shared" si="0"/>
        <v>0</v>
      </c>
      <c r="L24" s="14">
        <v>0</v>
      </c>
      <c r="M24" s="14">
        <v>0</v>
      </c>
      <c r="N24" s="14">
        <v>0</v>
      </c>
      <c r="O24" s="69">
        <v>0</v>
      </c>
      <c r="P24" s="226">
        <f>VLOOKUP(Table323[[#This Row],[Census Tract]],'Population and Diversity Data'!$B$2:$K$823,10,FALSE)</f>
        <v>2</v>
      </c>
      <c r="Q24" s="226" t="str">
        <f>VLOOKUP(Table323[[#This Row],[Census Tract]],'ES Energy Burden'!$B$2:$E$914,4,FALSE)</f>
        <v>No</v>
      </c>
      <c r="R24" s="248">
        <f>VLOOKUP(Table323[[#This Row],[Census Tract]],'Income and Housing Data'!$B$2:$D$823,3,FALSE)</f>
        <v>99743</v>
      </c>
      <c r="S24" s="248" t="str">
        <f>IF($U$6&lt;=Table323[[#This Row],[Household income]],IF(Table323[[#This Row],[Household income]]&lt;=$U$7, "Yes","No"),"No")</f>
        <v>No</v>
      </c>
    </row>
    <row r="25" spans="1:19" x14ac:dyDescent="0.25">
      <c r="A25" s="147">
        <v>9003490302</v>
      </c>
      <c r="B25" s="148" t="s">
        <v>2728</v>
      </c>
      <c r="C25" s="150" t="s">
        <v>944</v>
      </c>
      <c r="D25" s="70">
        <v>76.724755200000004</v>
      </c>
      <c r="E25" s="70">
        <v>0</v>
      </c>
      <c r="F25" s="14">
        <v>0</v>
      </c>
      <c r="G25" s="14">
        <v>0</v>
      </c>
      <c r="H25" s="14">
        <v>0</v>
      </c>
      <c r="I25" s="14">
        <v>0</v>
      </c>
      <c r="J25" s="69">
        <v>0</v>
      </c>
      <c r="K25">
        <f t="shared" si="0"/>
        <v>0</v>
      </c>
      <c r="L25" s="14">
        <v>0</v>
      </c>
      <c r="M25" s="14">
        <v>0</v>
      </c>
      <c r="N25" s="14">
        <v>0</v>
      </c>
      <c r="O25" s="69">
        <v>0</v>
      </c>
      <c r="P25" s="226">
        <f>VLOOKUP(Table323[[#This Row],[Census Tract]],'Population and Diversity Data'!$B$2:$K$823,10,FALSE)</f>
        <v>5</v>
      </c>
      <c r="Q25" s="226" t="str">
        <f>VLOOKUP(Table323[[#This Row],[Census Tract]],'ES Energy Burden'!$B$2:$E$914,4,FALSE)</f>
        <v>No</v>
      </c>
      <c r="R25" s="248">
        <f>VLOOKUP(Table323[[#This Row],[Census Tract]],'Income and Housing Data'!$B$2:$D$823,3,FALSE)</f>
        <v>89691</v>
      </c>
      <c r="S25" s="248" t="str">
        <f>IF($U$6&lt;=Table323[[#This Row],[Household income]],IF(Table323[[#This Row],[Household income]]&lt;=$U$7, "Yes","No"),"No")</f>
        <v>No</v>
      </c>
    </row>
    <row r="26" spans="1:19" x14ac:dyDescent="0.25">
      <c r="A26" s="147">
        <v>9009171600</v>
      </c>
      <c r="B26" s="148" t="s">
        <v>2728</v>
      </c>
      <c r="C26" s="150" t="s">
        <v>944</v>
      </c>
      <c r="D26" s="70">
        <v>154.1210112</v>
      </c>
      <c r="E26" s="70">
        <v>228.35</v>
      </c>
      <c r="F26" s="14">
        <v>1</v>
      </c>
      <c r="G26" s="14">
        <v>1</v>
      </c>
      <c r="H26" s="14">
        <v>0</v>
      </c>
      <c r="I26" s="14">
        <v>0</v>
      </c>
      <c r="J26" s="69">
        <v>227.08999999999997</v>
      </c>
      <c r="K26">
        <f t="shared" si="0"/>
        <v>0</v>
      </c>
      <c r="L26" s="14">
        <v>0</v>
      </c>
      <c r="M26" s="14">
        <v>0</v>
      </c>
      <c r="N26" s="14">
        <v>0</v>
      </c>
      <c r="O26" s="69">
        <v>0</v>
      </c>
      <c r="P26" s="226">
        <f>VLOOKUP(Table323[[#This Row],[Census Tract]],'Population and Diversity Data'!$B$2:$K$823,10,FALSE)</f>
        <v>3</v>
      </c>
      <c r="Q26" s="226" t="str">
        <f>VLOOKUP(Table323[[#This Row],[Census Tract]],'ES Energy Burden'!$B$2:$E$914,4,FALSE)</f>
        <v>No</v>
      </c>
      <c r="R26" s="248">
        <f>VLOOKUP(Table323[[#This Row],[Census Tract]],'Income and Housing Data'!$B$2:$D$823,3,FALSE)</f>
        <v>65521</v>
      </c>
      <c r="S26" s="248" t="str">
        <f>IF($U$6&lt;=Table323[[#This Row],[Household income]],IF(Table323[[#This Row],[Household income]]&lt;=$U$7, "Yes","No"),"No")</f>
        <v>No</v>
      </c>
    </row>
    <row r="27" spans="1:19" x14ac:dyDescent="0.25">
      <c r="A27" s="147">
        <v>9009161100</v>
      </c>
      <c r="B27" s="148" t="s">
        <v>2729</v>
      </c>
      <c r="C27" s="150" t="s">
        <v>944</v>
      </c>
      <c r="D27" s="70">
        <v>119240.17653311999</v>
      </c>
      <c r="E27" s="70">
        <v>37333.951699999998</v>
      </c>
      <c r="F27" s="14">
        <v>18</v>
      </c>
      <c r="G27" s="14">
        <v>18</v>
      </c>
      <c r="H27" s="14">
        <v>0</v>
      </c>
      <c r="I27" s="14">
        <v>0</v>
      </c>
      <c r="J27" s="69">
        <v>19062.6417</v>
      </c>
      <c r="K27">
        <f t="shared" si="0"/>
        <v>7</v>
      </c>
      <c r="L27" s="14">
        <v>7</v>
      </c>
      <c r="M27" s="14">
        <v>0</v>
      </c>
      <c r="N27" s="14">
        <v>0</v>
      </c>
      <c r="O27" s="69">
        <v>11959.4</v>
      </c>
      <c r="P27" s="226">
        <f>VLOOKUP(Table323[[#This Row],[Census Tract]],'Population and Diversity Data'!$B$2:$K$823,10,FALSE)</f>
        <v>4</v>
      </c>
      <c r="Q27" s="226" t="str">
        <f>VLOOKUP(Table323[[#This Row],[Census Tract]],'ES Energy Burden'!$B$2:$E$914,4,FALSE)</f>
        <v>No</v>
      </c>
      <c r="R27" s="248">
        <f>VLOOKUP(Table323[[#This Row],[Census Tract]],'Income and Housing Data'!$B$2:$D$823,3,FALSE)</f>
        <v>129133</v>
      </c>
      <c r="S27" s="248" t="str">
        <f>IF($U$6&lt;=Table323[[#This Row],[Household income]],IF(Table323[[#This Row],[Household income]]&lt;=$U$7, "Yes","No"),"No")</f>
        <v>No</v>
      </c>
    </row>
    <row r="28" spans="1:19" x14ac:dyDescent="0.25">
      <c r="A28" s="147">
        <v>9001200100</v>
      </c>
      <c r="B28" s="148" t="s">
        <v>2730</v>
      </c>
      <c r="C28" s="150" t="s">
        <v>944</v>
      </c>
      <c r="D28" s="70">
        <v>67101.224843520002</v>
      </c>
      <c r="E28" s="70">
        <v>10371.963599999999</v>
      </c>
      <c r="F28" s="14">
        <v>11</v>
      </c>
      <c r="G28" s="14">
        <v>11</v>
      </c>
      <c r="H28" s="14">
        <v>0</v>
      </c>
      <c r="I28" s="14">
        <v>0</v>
      </c>
      <c r="J28" s="69">
        <v>9941.4035999999996</v>
      </c>
      <c r="K28">
        <f t="shared" si="0"/>
        <v>0</v>
      </c>
      <c r="L28" s="14">
        <v>0</v>
      </c>
      <c r="M28" s="14">
        <v>0</v>
      </c>
      <c r="N28" s="14">
        <v>0</v>
      </c>
      <c r="O28" s="69">
        <v>0</v>
      </c>
      <c r="P28" s="226">
        <f>VLOOKUP(Table323[[#This Row],[Census Tract]],'Population and Diversity Data'!$B$2:$K$823,10,FALSE)</f>
        <v>4</v>
      </c>
      <c r="Q28" s="226" t="str">
        <f>VLOOKUP(Table323[[#This Row],[Census Tract]],'ES Energy Burden'!$B$2:$E$914,4,FALSE)</f>
        <v>No</v>
      </c>
      <c r="R28" s="248">
        <f>VLOOKUP(Table323[[#This Row],[Census Tract]],'Income and Housing Data'!$B$2:$D$823,3,FALSE)</f>
        <v>77273</v>
      </c>
      <c r="S28" s="248" t="str">
        <f>IF($U$6&lt;=Table323[[#This Row],[Household income]],IF(Table323[[#This Row],[Household income]]&lt;=$U$7, "Yes","No"),"No")</f>
        <v>No</v>
      </c>
    </row>
    <row r="29" spans="1:19" x14ac:dyDescent="0.25">
      <c r="A29" s="147">
        <v>9001200200</v>
      </c>
      <c r="B29" s="148" t="s">
        <v>2730</v>
      </c>
      <c r="C29" s="150" t="s">
        <v>944</v>
      </c>
      <c r="D29" s="70">
        <v>130171.54616064001</v>
      </c>
      <c r="E29" s="70">
        <v>103523.648</v>
      </c>
      <c r="F29" s="14">
        <v>14</v>
      </c>
      <c r="G29" s="14">
        <v>14</v>
      </c>
      <c r="H29" s="14">
        <v>0</v>
      </c>
      <c r="I29" s="14">
        <v>0</v>
      </c>
      <c r="J29" s="69">
        <v>9642.84</v>
      </c>
      <c r="K29">
        <f t="shared" si="0"/>
        <v>23</v>
      </c>
      <c r="L29" s="14">
        <v>15</v>
      </c>
      <c r="M29" s="14">
        <v>0</v>
      </c>
      <c r="N29" s="14">
        <v>8</v>
      </c>
      <c r="O29" s="69">
        <v>31365</v>
      </c>
      <c r="P29" s="226">
        <f>VLOOKUP(Table323[[#This Row],[Census Tract]],'Population and Diversity Data'!$B$2:$K$823,10,FALSE)</f>
        <v>4</v>
      </c>
      <c r="Q29" s="226" t="str">
        <f>VLOOKUP(Table323[[#This Row],[Census Tract]],'ES Energy Burden'!$B$2:$E$914,4,FALSE)</f>
        <v>No</v>
      </c>
      <c r="R29" s="248">
        <f>VLOOKUP(Table323[[#This Row],[Census Tract]],'Income and Housing Data'!$B$2:$D$823,3,FALSE)</f>
        <v>61844</v>
      </c>
      <c r="S29" s="248" t="str">
        <f>IF($U$6&lt;=Table323[[#This Row],[Household income]],IF(Table323[[#This Row],[Household income]]&lt;=$U$7, "Yes","No"),"No")</f>
        <v>Yes</v>
      </c>
    </row>
    <row r="30" spans="1:19" x14ac:dyDescent="0.25">
      <c r="A30" s="147">
        <v>9001200301</v>
      </c>
      <c r="B30" s="148" t="s">
        <v>2730</v>
      </c>
      <c r="C30" s="150" t="s">
        <v>944</v>
      </c>
      <c r="D30" s="70">
        <v>95432.935363199998</v>
      </c>
      <c r="E30" s="70">
        <v>16100.537899999999</v>
      </c>
      <c r="F30" s="14">
        <v>13</v>
      </c>
      <c r="G30" s="14">
        <v>13</v>
      </c>
      <c r="H30" s="14">
        <v>0</v>
      </c>
      <c r="I30" s="14">
        <v>0</v>
      </c>
      <c r="J30" s="69">
        <v>9601.2178999999996</v>
      </c>
      <c r="K30">
        <f t="shared" si="0"/>
        <v>0</v>
      </c>
      <c r="L30" s="14">
        <v>0</v>
      </c>
      <c r="M30" s="14">
        <v>0</v>
      </c>
      <c r="N30" s="14">
        <v>0</v>
      </c>
      <c r="O30" s="69">
        <v>0</v>
      </c>
      <c r="P30" s="226">
        <f>VLOOKUP(Table323[[#This Row],[Census Tract]],'Population and Diversity Data'!$B$2:$K$823,10,FALSE)</f>
        <v>4</v>
      </c>
      <c r="Q30" s="226" t="str">
        <f>VLOOKUP(Table323[[#This Row],[Census Tract]],'ES Energy Burden'!$B$2:$E$914,4,FALSE)</f>
        <v>No</v>
      </c>
      <c r="R30" s="248">
        <f>VLOOKUP(Table323[[#This Row],[Census Tract]],'Income and Housing Data'!$B$2:$D$823,3,FALSE)</f>
        <v>140337</v>
      </c>
      <c r="S30" s="248" t="str">
        <f>IF($U$6&lt;=Table323[[#This Row],[Household income]],IF(Table323[[#This Row],[Household income]]&lt;=$U$7, "Yes","No"),"No")</f>
        <v>No</v>
      </c>
    </row>
    <row r="31" spans="1:19" x14ac:dyDescent="0.25">
      <c r="A31" s="147">
        <v>9001200302</v>
      </c>
      <c r="B31" s="148" t="s">
        <v>2730</v>
      </c>
      <c r="C31" s="150" t="s">
        <v>944</v>
      </c>
      <c r="D31" s="70">
        <v>112578.35429088002</v>
      </c>
      <c r="E31" s="70">
        <v>17053.723399999999</v>
      </c>
      <c r="F31" s="14">
        <v>16</v>
      </c>
      <c r="G31" s="14">
        <v>16</v>
      </c>
      <c r="H31" s="14">
        <v>0</v>
      </c>
      <c r="I31" s="14">
        <v>0</v>
      </c>
      <c r="J31" s="69">
        <v>14819.7634</v>
      </c>
      <c r="K31">
        <f t="shared" si="0"/>
        <v>0</v>
      </c>
      <c r="L31" s="14">
        <v>0</v>
      </c>
      <c r="M31" s="14">
        <v>0</v>
      </c>
      <c r="N31" s="14">
        <v>0</v>
      </c>
      <c r="O31" s="69">
        <v>0</v>
      </c>
      <c r="P31" s="226">
        <f>VLOOKUP(Table323[[#This Row],[Census Tract]],'Population and Diversity Data'!$B$2:$K$823,10,FALSE)</f>
        <v>1</v>
      </c>
      <c r="Q31" s="226" t="str">
        <f>VLOOKUP(Table323[[#This Row],[Census Tract]],'ES Energy Burden'!$B$2:$E$914,4,FALSE)</f>
        <v>No</v>
      </c>
      <c r="R31" s="248">
        <f>VLOOKUP(Table323[[#This Row],[Census Tract]],'Income and Housing Data'!$B$2:$D$823,3,FALSE)</f>
        <v>116500</v>
      </c>
      <c r="S31" s="248" t="str">
        <f>IF($U$6&lt;=Table323[[#This Row],[Household income]],IF(Table323[[#This Row],[Household income]]&lt;=$U$7, "Yes","No"),"No")</f>
        <v>No</v>
      </c>
    </row>
    <row r="32" spans="1:19" x14ac:dyDescent="0.25">
      <c r="A32" s="147">
        <v>9001205300</v>
      </c>
      <c r="B32" s="148" t="s">
        <v>2730</v>
      </c>
      <c r="C32" s="150" t="s">
        <v>944</v>
      </c>
      <c r="D32" s="70">
        <v>227.8298016</v>
      </c>
      <c r="E32" s="70">
        <v>0</v>
      </c>
      <c r="F32" s="14">
        <v>0</v>
      </c>
      <c r="G32" s="14">
        <v>0</v>
      </c>
      <c r="H32" s="14">
        <v>0</v>
      </c>
      <c r="I32" s="14">
        <v>0</v>
      </c>
      <c r="J32" s="69">
        <v>0</v>
      </c>
      <c r="K32">
        <f t="shared" si="0"/>
        <v>0</v>
      </c>
      <c r="L32" s="14">
        <v>0</v>
      </c>
      <c r="M32" s="14">
        <v>0</v>
      </c>
      <c r="N32" s="14">
        <v>0</v>
      </c>
      <c r="O32" s="69">
        <v>0</v>
      </c>
      <c r="P32" s="226">
        <f>VLOOKUP(Table323[[#This Row],[Census Tract]],'Population and Diversity Data'!$B$2:$K$823,10,FALSE)</f>
        <v>4</v>
      </c>
      <c r="Q32" s="226" t="str">
        <f>VLOOKUP(Table323[[#This Row],[Census Tract]],'ES Energy Burden'!$B$2:$E$914,4,FALSE)</f>
        <v>No</v>
      </c>
      <c r="R32" s="248">
        <f>VLOOKUP(Table323[[#This Row],[Census Tract]],'Income and Housing Data'!$B$2:$D$823,3,FALSE)</f>
        <v>95234</v>
      </c>
      <c r="S32" s="248" t="str">
        <f>IF($U$6&lt;=Table323[[#This Row],[Household income]],IF(Table323[[#This Row],[Household income]]&lt;=$U$7, "Yes","No"),"No")</f>
        <v>No</v>
      </c>
    </row>
    <row r="33" spans="1:19" x14ac:dyDescent="0.25">
      <c r="A33" s="147">
        <v>9001210400</v>
      </c>
      <c r="B33" s="148" t="s">
        <v>2730</v>
      </c>
      <c r="C33" s="150" t="s">
        <v>944</v>
      </c>
      <c r="D33" s="70">
        <v>2053.6578431999997</v>
      </c>
      <c r="E33" s="70">
        <v>0</v>
      </c>
      <c r="F33" s="14">
        <v>0</v>
      </c>
      <c r="G33" s="14">
        <v>0</v>
      </c>
      <c r="H33" s="14">
        <v>0</v>
      </c>
      <c r="I33" s="14">
        <v>0</v>
      </c>
      <c r="J33" s="69">
        <v>0</v>
      </c>
      <c r="K33">
        <f t="shared" si="0"/>
        <v>0</v>
      </c>
      <c r="L33" s="14">
        <v>0</v>
      </c>
      <c r="M33" s="14">
        <v>0</v>
      </c>
      <c r="N33" s="14">
        <v>0</v>
      </c>
      <c r="O33" s="69">
        <v>0</v>
      </c>
      <c r="P33" s="226">
        <f>VLOOKUP(Table323[[#This Row],[Census Tract]],'Population and Diversity Data'!$B$2:$K$823,10,FALSE)</f>
        <v>5</v>
      </c>
      <c r="Q33" s="226" t="str">
        <f>VLOOKUP(Table323[[#This Row],[Census Tract]],'ES Energy Burden'!$B$2:$E$914,4,FALSE)</f>
        <v>No</v>
      </c>
      <c r="R33" s="248">
        <f>VLOOKUP(Table323[[#This Row],[Census Tract]],'Income and Housing Data'!$B$2:$D$823,3,FALSE)</f>
        <v>76921</v>
      </c>
      <c r="S33" s="248" t="str">
        <f>IF($U$6&lt;=Table323[[#This Row],[Household income]],IF(Table323[[#This Row],[Household income]]&lt;=$U$7, "Yes","No"),"No")</f>
        <v>No</v>
      </c>
    </row>
    <row r="34" spans="1:19" x14ac:dyDescent="0.25">
      <c r="A34" s="147">
        <v>9001210500</v>
      </c>
      <c r="B34" s="148" t="s">
        <v>2730</v>
      </c>
      <c r="C34" s="150" t="s">
        <v>944</v>
      </c>
      <c r="D34" s="70">
        <v>232.81395839999999</v>
      </c>
      <c r="E34" s="70">
        <v>0</v>
      </c>
      <c r="F34" s="14">
        <v>0</v>
      </c>
      <c r="G34" s="14">
        <v>0</v>
      </c>
      <c r="H34" s="14">
        <v>0</v>
      </c>
      <c r="I34" s="14">
        <v>0</v>
      </c>
      <c r="J34" s="69">
        <v>0</v>
      </c>
      <c r="K34">
        <f t="shared" si="0"/>
        <v>0</v>
      </c>
      <c r="L34" s="14">
        <v>0</v>
      </c>
      <c r="M34" s="14">
        <v>0</v>
      </c>
      <c r="N34" s="14">
        <v>0</v>
      </c>
      <c r="O34" s="69">
        <v>0</v>
      </c>
      <c r="P34" s="226">
        <f>VLOOKUP(Table323[[#This Row],[Census Tract]],'Population and Diversity Data'!$B$2:$K$823,10,FALSE)</f>
        <v>4</v>
      </c>
      <c r="Q34" s="226" t="str">
        <f>VLOOKUP(Table323[[#This Row],[Census Tract]],'ES Energy Burden'!$B$2:$E$914,4,FALSE)</f>
        <v>No</v>
      </c>
      <c r="R34" s="248">
        <f>VLOOKUP(Table323[[#This Row],[Census Tract]],'Income and Housing Data'!$B$2:$D$823,3,FALSE)</f>
        <v>90929</v>
      </c>
      <c r="S34" s="248" t="str">
        <f>IF($U$6&lt;=Table323[[#This Row],[Household income]],IF(Table323[[#This Row],[Household income]]&lt;=$U$7, "Yes","No"),"No")</f>
        <v>No</v>
      </c>
    </row>
    <row r="35" spans="1:19" x14ac:dyDescent="0.25">
      <c r="A35" s="147">
        <v>9001230400</v>
      </c>
      <c r="B35" s="148" t="s">
        <v>2730</v>
      </c>
      <c r="C35" s="150" t="s">
        <v>944</v>
      </c>
      <c r="D35" s="70">
        <v>1151.9191007999998</v>
      </c>
      <c r="E35" s="70">
        <v>1429.53</v>
      </c>
      <c r="F35" s="14">
        <v>1</v>
      </c>
      <c r="G35" s="14">
        <v>1</v>
      </c>
      <c r="H35" s="14">
        <v>0</v>
      </c>
      <c r="I35" s="14">
        <v>0</v>
      </c>
      <c r="J35" s="69">
        <v>497.7</v>
      </c>
      <c r="K35">
        <f t="shared" si="0"/>
        <v>0</v>
      </c>
      <c r="L35" s="14">
        <v>0</v>
      </c>
      <c r="M35" s="14">
        <v>0</v>
      </c>
      <c r="N35" s="14">
        <v>0</v>
      </c>
      <c r="O35" s="69">
        <v>0</v>
      </c>
      <c r="P35" s="226">
        <f>VLOOKUP(Table323[[#This Row],[Census Tract]],'Population and Diversity Data'!$B$2:$K$823,10,FALSE)</f>
        <v>2</v>
      </c>
      <c r="Q35" s="226" t="str">
        <f>VLOOKUP(Table323[[#This Row],[Census Tract]],'ES Energy Burden'!$B$2:$E$914,4,FALSE)</f>
        <v>No</v>
      </c>
      <c r="R35" s="248">
        <f>VLOOKUP(Table323[[#This Row],[Census Tract]],'Income and Housing Data'!$B$2:$D$823,3,FALSE)</f>
        <v>139313</v>
      </c>
      <c r="S35" s="248" t="str">
        <f>IF($U$6&lt;=Table323[[#This Row],[Household income]],IF(Table323[[#This Row],[Household income]]&lt;=$U$7, "Yes","No"),"No")</f>
        <v>No</v>
      </c>
    </row>
    <row r="36" spans="1:19" x14ac:dyDescent="0.25">
      <c r="A36" s="147">
        <v>9005303100</v>
      </c>
      <c r="B36" s="148" t="s">
        <v>2731</v>
      </c>
      <c r="C36" s="150" t="s">
        <v>944</v>
      </c>
      <c r="D36" s="70">
        <v>164.1356352</v>
      </c>
      <c r="E36" s="70">
        <v>0</v>
      </c>
      <c r="F36" s="14">
        <v>0</v>
      </c>
      <c r="G36" s="14">
        <v>0</v>
      </c>
      <c r="H36" s="14">
        <v>0</v>
      </c>
      <c r="I36" s="14">
        <v>0</v>
      </c>
      <c r="J36" s="69">
        <v>0</v>
      </c>
      <c r="K36">
        <f t="shared" si="0"/>
        <v>0</v>
      </c>
      <c r="L36" s="14">
        <v>0</v>
      </c>
      <c r="M36" s="14">
        <v>0</v>
      </c>
      <c r="N36" s="14">
        <v>0</v>
      </c>
      <c r="O36" s="69">
        <v>0</v>
      </c>
      <c r="P36" s="226">
        <f>VLOOKUP(Table323[[#This Row],[Census Tract]],'Population and Diversity Data'!$B$2:$K$823,10,FALSE)</f>
        <v>1</v>
      </c>
      <c r="Q36" s="226" t="str">
        <f>VLOOKUP(Table323[[#This Row],[Census Tract]],'ES Energy Burden'!$B$2:$E$914,4,FALSE)</f>
        <v>No</v>
      </c>
      <c r="R36" s="248">
        <f>VLOOKUP(Table323[[#This Row],[Census Tract]],'Income and Housing Data'!$B$2:$D$823,3,FALSE)</f>
        <v>87308</v>
      </c>
      <c r="S36" s="248" t="str">
        <f>IF($U$6&lt;=Table323[[#This Row],[Household income]],IF(Table323[[#This Row],[Household income]]&lt;=$U$7, "Yes","No"),"No")</f>
        <v>No</v>
      </c>
    </row>
    <row r="37" spans="1:19" x14ac:dyDescent="0.25">
      <c r="A37" s="147">
        <v>9005342100</v>
      </c>
      <c r="B37" s="148" t="s">
        <v>2731</v>
      </c>
      <c r="C37" s="150" t="s">
        <v>944</v>
      </c>
      <c r="D37" s="70">
        <v>86632.990318080003</v>
      </c>
      <c r="E37" s="70">
        <v>35443.029300000002</v>
      </c>
      <c r="F37" s="14">
        <v>17</v>
      </c>
      <c r="G37" s="14">
        <v>17</v>
      </c>
      <c r="H37" s="14">
        <v>0</v>
      </c>
      <c r="I37" s="14">
        <v>0</v>
      </c>
      <c r="J37" s="69">
        <v>21860.927299999999</v>
      </c>
      <c r="K37">
        <f t="shared" si="0"/>
        <v>2</v>
      </c>
      <c r="L37" s="14">
        <v>2</v>
      </c>
      <c r="M37" s="14">
        <v>0</v>
      </c>
      <c r="N37" s="14">
        <v>0</v>
      </c>
      <c r="O37" s="69">
        <v>1791.74</v>
      </c>
      <c r="P37" s="226">
        <f>VLOOKUP(Table323[[#This Row],[Census Tract]],'Population and Diversity Data'!$B$2:$K$823,10,FALSE)</f>
        <v>2</v>
      </c>
      <c r="Q37" s="226" t="str">
        <f>VLOOKUP(Table323[[#This Row],[Census Tract]],'ES Energy Burden'!$B$2:$E$914,4,FALSE)</f>
        <v>No</v>
      </c>
      <c r="R37" s="248">
        <f>VLOOKUP(Table323[[#This Row],[Census Tract]],'Income and Housing Data'!$B$2:$D$823,3,FALSE)</f>
        <v>98409</v>
      </c>
      <c r="S37" s="248" t="str">
        <f>IF($U$6&lt;=Table323[[#This Row],[Household income]],IF(Table323[[#This Row],[Household income]]&lt;=$U$7, "Yes","No"),"No")</f>
        <v>No</v>
      </c>
    </row>
    <row r="38" spans="1:19" x14ac:dyDescent="0.25">
      <c r="A38" s="147">
        <v>9005362102</v>
      </c>
      <c r="B38" s="148" t="s">
        <v>2731</v>
      </c>
      <c r="C38" s="150" t="s">
        <v>944</v>
      </c>
      <c r="D38" s="70">
        <v>203.81785919999999</v>
      </c>
      <c r="E38" s="70">
        <v>0</v>
      </c>
      <c r="F38" s="14">
        <v>0</v>
      </c>
      <c r="G38" s="14">
        <v>0</v>
      </c>
      <c r="H38" s="14">
        <v>0</v>
      </c>
      <c r="I38" s="14">
        <v>0</v>
      </c>
      <c r="J38" s="69">
        <v>0</v>
      </c>
      <c r="K38">
        <f t="shared" si="0"/>
        <v>0</v>
      </c>
      <c r="L38" s="14">
        <v>0</v>
      </c>
      <c r="M38" s="14">
        <v>0</v>
      </c>
      <c r="N38" s="14">
        <v>0</v>
      </c>
      <c r="O38" s="69">
        <v>0</v>
      </c>
      <c r="P38" s="226">
        <f>VLOOKUP(Table323[[#This Row],[Census Tract]],'Population and Diversity Data'!$B$2:$K$823,10,FALSE)</f>
        <v>1</v>
      </c>
      <c r="Q38" s="226" t="str">
        <f>VLOOKUP(Table323[[#This Row],[Census Tract]],'ES Energy Burden'!$B$2:$E$914,4,FALSE)</f>
        <v>No</v>
      </c>
      <c r="R38" s="248">
        <f>VLOOKUP(Table323[[#This Row],[Census Tract]],'Income and Housing Data'!$B$2:$D$823,3,FALSE)</f>
        <v>91383</v>
      </c>
      <c r="S38" s="248" t="str">
        <f>IF($U$6&lt;=Table323[[#This Row],[Household income]],IF(Table323[[#This Row],[Household income]]&lt;=$U$7, "Yes","No"),"No")</f>
        <v>No</v>
      </c>
    </row>
    <row r="39" spans="1:19" x14ac:dyDescent="0.25">
      <c r="A39" s="147">
        <v>9003471100</v>
      </c>
      <c r="B39" s="148" t="s">
        <v>2732</v>
      </c>
      <c r="C39" s="150" t="s">
        <v>944</v>
      </c>
      <c r="D39" s="70">
        <v>47323.947098880002</v>
      </c>
      <c r="E39" s="70">
        <v>41951.821199999998</v>
      </c>
      <c r="F39" s="14">
        <v>21</v>
      </c>
      <c r="G39" s="14">
        <v>21</v>
      </c>
      <c r="H39" s="14">
        <v>0</v>
      </c>
      <c r="I39" s="14">
        <v>0</v>
      </c>
      <c r="J39" s="69">
        <v>10186.111199999999</v>
      </c>
      <c r="K39">
        <f t="shared" si="0"/>
        <v>0</v>
      </c>
      <c r="L39" s="14">
        <v>0</v>
      </c>
      <c r="M39" s="14">
        <v>0</v>
      </c>
      <c r="N39" s="14">
        <v>0</v>
      </c>
      <c r="O39" s="69">
        <v>0</v>
      </c>
      <c r="P39" s="226">
        <f>VLOOKUP(Table323[[#This Row],[Census Tract]],'Population and Diversity Data'!$B$2:$K$823,10,FALSE)</f>
        <v>3</v>
      </c>
      <c r="Q39" s="226" t="str">
        <f>VLOOKUP(Table323[[#This Row],[Census Tract]],'ES Energy Burden'!$B$2:$E$914,4,FALSE)</f>
        <v>No</v>
      </c>
      <c r="R39" s="248">
        <f>VLOOKUP(Table323[[#This Row],[Census Tract]],'Income and Housing Data'!$B$2:$D$823,3,FALSE)</f>
        <v>75293</v>
      </c>
      <c r="S39" s="248" t="str">
        <f>IF($U$6&lt;=Table323[[#This Row],[Household income]],IF(Table323[[#This Row],[Household income]]&lt;=$U$7, "Yes","No"),"No")</f>
        <v>No</v>
      </c>
    </row>
    <row r="40" spans="1:19" x14ac:dyDescent="0.25">
      <c r="A40" s="147">
        <v>9003471200</v>
      </c>
      <c r="B40" s="148" t="s">
        <v>2732</v>
      </c>
      <c r="C40" s="150" t="s">
        <v>944</v>
      </c>
      <c r="D40" s="70">
        <v>39966.161745599995</v>
      </c>
      <c r="E40" s="70">
        <v>17709.740000000002</v>
      </c>
      <c r="F40" s="14">
        <v>10</v>
      </c>
      <c r="G40" s="14">
        <v>10</v>
      </c>
      <c r="H40" s="14">
        <v>0</v>
      </c>
      <c r="I40" s="14">
        <v>0</v>
      </c>
      <c r="J40" s="69">
        <v>6896.3</v>
      </c>
      <c r="K40">
        <f t="shared" si="0"/>
        <v>0</v>
      </c>
      <c r="L40" s="14">
        <v>0</v>
      </c>
      <c r="M40" s="14">
        <v>0</v>
      </c>
      <c r="N40" s="14">
        <v>0</v>
      </c>
      <c r="O40" s="69">
        <v>0</v>
      </c>
      <c r="P40" s="226">
        <f>VLOOKUP(Table323[[#This Row],[Census Tract]],'Population and Diversity Data'!$B$2:$K$823,10,FALSE)</f>
        <v>1</v>
      </c>
      <c r="Q40" s="226" t="str">
        <f>VLOOKUP(Table323[[#This Row],[Census Tract]],'ES Energy Burden'!$B$2:$E$914,4,FALSE)</f>
        <v>No</v>
      </c>
      <c r="R40" s="248">
        <f>VLOOKUP(Table323[[#This Row],[Census Tract]],'Income and Housing Data'!$B$2:$D$823,3,FALSE)</f>
        <v>63468</v>
      </c>
      <c r="S40" s="248" t="str">
        <f>IF($U$6&lt;=Table323[[#This Row],[Household income]],IF(Table323[[#This Row],[Household income]]&lt;=$U$7, "Yes","No"),"No")</f>
        <v>Yes</v>
      </c>
    </row>
    <row r="41" spans="1:19" x14ac:dyDescent="0.25">
      <c r="A41" s="147">
        <v>9003471300</v>
      </c>
      <c r="B41" s="148" t="s">
        <v>2732</v>
      </c>
      <c r="C41" s="150" t="s">
        <v>944</v>
      </c>
      <c r="D41" s="70">
        <v>96587.341911359996</v>
      </c>
      <c r="E41" s="70">
        <v>52661.58</v>
      </c>
      <c r="F41" s="14">
        <v>26</v>
      </c>
      <c r="G41" s="14">
        <v>26</v>
      </c>
      <c r="H41" s="14">
        <v>0</v>
      </c>
      <c r="I41" s="14">
        <v>0</v>
      </c>
      <c r="J41" s="69">
        <v>16402.37</v>
      </c>
      <c r="K41">
        <f t="shared" si="0"/>
        <v>0</v>
      </c>
      <c r="L41" s="14">
        <v>0</v>
      </c>
      <c r="M41" s="14">
        <v>0</v>
      </c>
      <c r="N41" s="14">
        <v>0</v>
      </c>
      <c r="O41" s="69">
        <v>0</v>
      </c>
      <c r="P41" s="226">
        <f>VLOOKUP(Table323[[#This Row],[Census Tract]],'Population and Diversity Data'!$B$2:$K$823,10,FALSE)</f>
        <v>1</v>
      </c>
      <c r="Q41" s="226" t="str">
        <f>VLOOKUP(Table323[[#This Row],[Census Tract]],'ES Energy Burden'!$B$2:$E$914,4,FALSE)</f>
        <v>No</v>
      </c>
      <c r="R41" s="248">
        <f>VLOOKUP(Table323[[#This Row],[Census Tract]],'Income and Housing Data'!$B$2:$D$823,3,FALSE)</f>
        <v>71810</v>
      </c>
      <c r="S41" s="248" t="str">
        <f>IF($U$6&lt;=Table323[[#This Row],[Household income]],IF(Table323[[#This Row],[Household income]]&lt;=$U$7, "Yes","No"),"No")</f>
        <v>No</v>
      </c>
    </row>
    <row r="42" spans="1:19" x14ac:dyDescent="0.25">
      <c r="A42" s="147">
        <v>9003471400</v>
      </c>
      <c r="B42" s="148" t="s">
        <v>2732</v>
      </c>
      <c r="C42" s="150" t="s">
        <v>944</v>
      </c>
      <c r="D42" s="70">
        <v>142783.01947295998</v>
      </c>
      <c r="E42" s="70">
        <v>440854.14079999999</v>
      </c>
      <c r="F42" s="14">
        <v>183</v>
      </c>
      <c r="G42" s="14">
        <v>69</v>
      </c>
      <c r="H42" s="14">
        <v>2</v>
      </c>
      <c r="I42" s="14">
        <v>112</v>
      </c>
      <c r="J42" s="69">
        <v>80487.369000000006</v>
      </c>
      <c r="K42">
        <f t="shared" si="0"/>
        <v>146</v>
      </c>
      <c r="L42" s="14">
        <v>146</v>
      </c>
      <c r="M42" s="14">
        <v>0</v>
      </c>
      <c r="N42" s="14">
        <v>0</v>
      </c>
      <c r="O42" s="69">
        <v>158008</v>
      </c>
      <c r="P42" s="226">
        <f>VLOOKUP(Table323[[#This Row],[Census Tract]],'Population and Diversity Data'!$B$2:$K$823,10,FALSE)</f>
        <v>2</v>
      </c>
      <c r="Q42" s="226" t="str">
        <f>VLOOKUP(Table323[[#This Row],[Census Tract]],'ES Energy Burden'!$B$2:$E$914,4,FALSE)</f>
        <v>No</v>
      </c>
      <c r="R42" s="248">
        <f>VLOOKUP(Table323[[#This Row],[Census Tract]],'Income and Housing Data'!$B$2:$D$823,3,FALSE)</f>
        <v>105066</v>
      </c>
      <c r="S42" s="248" t="str">
        <f>IF($U$6&lt;=Table323[[#This Row],[Household income]],IF(Table323[[#This Row],[Household income]]&lt;=$U$7, "Yes","No"),"No")</f>
        <v>No</v>
      </c>
    </row>
    <row r="43" spans="1:19" x14ac:dyDescent="0.25">
      <c r="A43" s="147">
        <v>9003471500</v>
      </c>
      <c r="B43" s="148" t="s">
        <v>2732</v>
      </c>
      <c r="C43" s="150" t="s">
        <v>944</v>
      </c>
      <c r="D43" s="70">
        <v>49318.771052159995</v>
      </c>
      <c r="E43" s="70">
        <v>38345.180200000003</v>
      </c>
      <c r="F43" s="14">
        <v>16</v>
      </c>
      <c r="G43" s="14">
        <v>15</v>
      </c>
      <c r="H43" s="14">
        <v>1</v>
      </c>
      <c r="I43" s="14">
        <v>0</v>
      </c>
      <c r="J43" s="69">
        <v>6756.1602000000003</v>
      </c>
      <c r="K43">
        <f t="shared" si="0"/>
        <v>0</v>
      </c>
      <c r="L43" s="14">
        <v>0</v>
      </c>
      <c r="M43" s="14">
        <v>0</v>
      </c>
      <c r="N43" s="14">
        <v>0</v>
      </c>
      <c r="O43" s="69">
        <v>0</v>
      </c>
      <c r="P43" s="226">
        <f>VLOOKUP(Table323[[#This Row],[Census Tract]],'Population and Diversity Data'!$B$2:$K$823,10,FALSE)</f>
        <v>3</v>
      </c>
      <c r="Q43" s="226" t="str">
        <f>VLOOKUP(Table323[[#This Row],[Census Tract]],'ES Energy Burden'!$B$2:$E$914,4,FALSE)</f>
        <v>No</v>
      </c>
      <c r="R43" s="248">
        <f>VLOOKUP(Table323[[#This Row],[Census Tract]],'Income and Housing Data'!$B$2:$D$823,3,FALSE)</f>
        <v>78713</v>
      </c>
      <c r="S43" s="248" t="str">
        <f>IF($U$6&lt;=Table323[[#This Row],[Household income]],IF(Table323[[#This Row],[Household income]]&lt;=$U$7, "Yes","No"),"No")</f>
        <v>No</v>
      </c>
    </row>
    <row r="44" spans="1:19" x14ac:dyDescent="0.25">
      <c r="A44" s="147">
        <v>9003473100</v>
      </c>
      <c r="B44" s="148" t="s">
        <v>2732</v>
      </c>
      <c r="C44" s="150" t="s">
        <v>944</v>
      </c>
      <c r="D44" s="70">
        <v>1546.3737216000002</v>
      </c>
      <c r="E44" s="70">
        <v>6947.03</v>
      </c>
      <c r="F44" s="14">
        <v>0</v>
      </c>
      <c r="G44" s="14">
        <v>0</v>
      </c>
      <c r="H44" s="14">
        <v>0</v>
      </c>
      <c r="I44" s="14">
        <v>0</v>
      </c>
      <c r="J44" s="69">
        <v>0</v>
      </c>
      <c r="K44">
        <f t="shared" si="0"/>
        <v>0</v>
      </c>
      <c r="L44" s="14">
        <v>0</v>
      </c>
      <c r="M44" s="14">
        <v>0</v>
      </c>
      <c r="N44" s="14">
        <v>0</v>
      </c>
      <c r="O44" s="69">
        <v>0</v>
      </c>
      <c r="P44" s="226">
        <f>VLOOKUP(Table323[[#This Row],[Census Tract]],'Population and Diversity Data'!$B$2:$K$823,10,FALSE)</f>
        <v>1</v>
      </c>
      <c r="Q44" s="226" t="str">
        <f>VLOOKUP(Table323[[#This Row],[Census Tract]],'ES Energy Burden'!$B$2:$E$914,4,FALSE)</f>
        <v>No</v>
      </c>
      <c r="R44" s="248">
        <f>VLOOKUP(Table323[[#This Row],[Census Tract]],'Income and Housing Data'!$B$2:$D$823,3,FALSE)</f>
        <v>98611</v>
      </c>
      <c r="S44" s="248" t="str">
        <f>IF($U$6&lt;=Table323[[#This Row],[Household income]],IF(Table323[[#This Row],[Household income]]&lt;=$U$7, "Yes","No"),"No")</f>
        <v>No</v>
      </c>
    </row>
    <row r="45" spans="1:19" x14ac:dyDescent="0.25">
      <c r="A45" s="147">
        <v>9003473501</v>
      </c>
      <c r="B45" s="148" t="s">
        <v>2732</v>
      </c>
      <c r="C45" s="150" t="s">
        <v>944</v>
      </c>
      <c r="D45" s="70">
        <v>287.77282560000003</v>
      </c>
      <c r="E45" s="70">
        <v>0</v>
      </c>
      <c r="F45" s="14">
        <v>0</v>
      </c>
      <c r="G45" s="14">
        <v>0</v>
      </c>
      <c r="H45" s="14">
        <v>0</v>
      </c>
      <c r="I45" s="14">
        <v>0</v>
      </c>
      <c r="J45" s="69">
        <v>0</v>
      </c>
      <c r="K45">
        <f t="shared" si="0"/>
        <v>0</v>
      </c>
      <c r="L45" s="14">
        <v>0</v>
      </c>
      <c r="M45" s="14">
        <v>0</v>
      </c>
      <c r="N45" s="14">
        <v>0</v>
      </c>
      <c r="O45" s="69">
        <v>0</v>
      </c>
      <c r="P45" s="226">
        <f>VLOOKUP(Table323[[#This Row],[Census Tract]],'Population and Diversity Data'!$B$2:$K$823,10,FALSE)</f>
        <v>3</v>
      </c>
      <c r="Q45" s="226" t="str">
        <f>VLOOKUP(Table323[[#This Row],[Census Tract]],'ES Energy Burden'!$B$2:$E$914,4,FALSE)</f>
        <v>No</v>
      </c>
      <c r="R45" s="248">
        <f>VLOOKUP(Table323[[#This Row],[Census Tract]],'Income and Housing Data'!$B$2:$D$823,3,FALSE)</f>
        <v>116402</v>
      </c>
      <c r="S45" s="248" t="str">
        <f>IF($U$6&lt;=Table323[[#This Row],[Household income]],IF(Table323[[#This Row],[Household income]]&lt;=$U$7, "Yes","No"),"No")</f>
        <v>No</v>
      </c>
    </row>
    <row r="46" spans="1:19" x14ac:dyDescent="0.25">
      <c r="A46" s="147">
        <v>9003503900</v>
      </c>
      <c r="B46" s="148" t="s">
        <v>2732</v>
      </c>
      <c r="C46" s="150" t="s">
        <v>944</v>
      </c>
      <c r="D46" s="70">
        <v>201.31130880000001</v>
      </c>
      <c r="E46" s="70">
        <v>0</v>
      </c>
      <c r="F46" s="14">
        <v>0</v>
      </c>
      <c r="G46" s="14">
        <v>0</v>
      </c>
      <c r="H46" s="14">
        <v>0</v>
      </c>
      <c r="I46" s="14">
        <v>0</v>
      </c>
      <c r="J46" s="69">
        <v>0</v>
      </c>
      <c r="K46">
        <f t="shared" si="0"/>
        <v>0</v>
      </c>
      <c r="L46" s="14">
        <v>0</v>
      </c>
      <c r="M46" s="14">
        <v>0</v>
      </c>
      <c r="N46" s="14">
        <v>0</v>
      </c>
      <c r="O46" s="69">
        <v>0</v>
      </c>
      <c r="P46" s="226">
        <f>VLOOKUP(Table323[[#This Row],[Census Tract]],'Population and Diversity Data'!$B$2:$K$823,10,FALSE)</f>
        <v>2</v>
      </c>
      <c r="Q46" s="226" t="str">
        <f>VLOOKUP(Table323[[#This Row],[Census Tract]],'ES Energy Burden'!$B$2:$E$914,4,FALSE)</f>
        <v>No</v>
      </c>
      <c r="R46" s="248">
        <f>VLOOKUP(Table323[[#This Row],[Census Tract]],'Income and Housing Data'!$B$2:$D$823,3,FALSE)</f>
        <v>49309</v>
      </c>
      <c r="S46" s="248" t="str">
        <f>IF($U$6&lt;=Table323[[#This Row],[Household income]],IF(Table323[[#This Row],[Household income]]&lt;=$U$7, "Yes","No"),"No")</f>
        <v>Yes</v>
      </c>
    </row>
    <row r="47" spans="1:19" x14ac:dyDescent="0.25">
      <c r="A47" s="147">
        <v>9003514900</v>
      </c>
      <c r="B47" s="148" t="s">
        <v>2733</v>
      </c>
      <c r="C47" s="150" t="s">
        <v>944</v>
      </c>
      <c r="D47" s="70">
        <v>157.35695040000002</v>
      </c>
      <c r="E47" s="70">
        <v>0</v>
      </c>
      <c r="F47" s="14">
        <v>0</v>
      </c>
      <c r="G47" s="14">
        <v>0</v>
      </c>
      <c r="H47" s="14">
        <v>0</v>
      </c>
      <c r="I47" s="14">
        <v>0</v>
      </c>
      <c r="J47" s="69">
        <v>0</v>
      </c>
      <c r="K47">
        <f t="shared" si="0"/>
        <v>0</v>
      </c>
      <c r="L47" s="14">
        <v>0</v>
      </c>
      <c r="M47" s="14">
        <v>0</v>
      </c>
      <c r="N47" s="14">
        <v>0</v>
      </c>
      <c r="O47" s="69">
        <v>0</v>
      </c>
      <c r="P47" s="226">
        <f>VLOOKUP(Table323[[#This Row],[Census Tract]],'Population and Diversity Data'!$B$2:$K$823,10,FALSE)</f>
        <v>3</v>
      </c>
      <c r="Q47" s="226" t="str">
        <f>VLOOKUP(Table323[[#This Row],[Census Tract]],'ES Energy Burden'!$B$2:$E$914,4,FALSE)</f>
        <v>No</v>
      </c>
      <c r="R47" s="248">
        <f>VLOOKUP(Table323[[#This Row],[Census Tract]],'Income and Housing Data'!$B$2:$D$823,3,FALSE)</f>
        <v>86714</v>
      </c>
      <c r="S47" s="248" t="str">
        <f>IF($U$6&lt;=Table323[[#This Row],[Household income]],IF(Table323[[#This Row],[Household income]]&lt;=$U$7, "Yes","No"),"No")</f>
        <v>No</v>
      </c>
    </row>
    <row r="48" spans="1:19" x14ac:dyDescent="0.25">
      <c r="A48" s="147">
        <v>9013526102</v>
      </c>
      <c r="B48" s="148" t="s">
        <v>2733</v>
      </c>
      <c r="C48" s="150" t="s">
        <v>944</v>
      </c>
      <c r="D48" s="70">
        <v>146.4682176</v>
      </c>
      <c r="E48" s="70">
        <v>0</v>
      </c>
      <c r="F48" s="14">
        <v>0</v>
      </c>
      <c r="G48" s="14">
        <v>0</v>
      </c>
      <c r="H48" s="14">
        <v>0</v>
      </c>
      <c r="I48" s="14">
        <v>0</v>
      </c>
      <c r="J48" s="69">
        <v>0</v>
      </c>
      <c r="K48">
        <f t="shared" si="0"/>
        <v>0</v>
      </c>
      <c r="L48" s="14">
        <v>0</v>
      </c>
      <c r="M48" s="14">
        <v>0</v>
      </c>
      <c r="N48" s="14">
        <v>0</v>
      </c>
      <c r="O48" s="69">
        <v>0</v>
      </c>
      <c r="P48" s="226">
        <f>VLOOKUP(Table323[[#This Row],[Census Tract]],'Population and Diversity Data'!$B$2:$K$823,10,FALSE)</f>
        <v>1</v>
      </c>
      <c r="Q48" s="226" t="str">
        <f>VLOOKUP(Table323[[#This Row],[Census Tract]],'ES Energy Burden'!$B$2:$E$914,4,FALSE)</f>
        <v>No</v>
      </c>
      <c r="R48" s="248">
        <f>VLOOKUP(Table323[[#This Row],[Census Tract]],'Income and Housing Data'!$B$2:$D$823,3,FALSE)</f>
        <v>119917</v>
      </c>
      <c r="S48" s="248" t="str">
        <f>IF($U$6&lt;=Table323[[#This Row],[Household income]],IF(Table323[[#This Row],[Household income]]&lt;=$U$7, "Yes","No"),"No")</f>
        <v>No</v>
      </c>
    </row>
    <row r="49" spans="1:19" x14ac:dyDescent="0.25">
      <c r="A49" s="147">
        <v>9013528100</v>
      </c>
      <c r="B49" s="148" t="s">
        <v>2733</v>
      </c>
      <c r="C49" s="150" t="s">
        <v>944</v>
      </c>
      <c r="D49" s="70">
        <v>230.72420160000001</v>
      </c>
      <c r="E49" s="70">
        <v>0</v>
      </c>
      <c r="F49" s="14">
        <v>0</v>
      </c>
      <c r="G49" s="14">
        <v>0</v>
      </c>
      <c r="H49" s="14">
        <v>0</v>
      </c>
      <c r="I49" s="14">
        <v>0</v>
      </c>
      <c r="J49" s="69">
        <v>0</v>
      </c>
      <c r="K49">
        <f t="shared" si="0"/>
        <v>0</v>
      </c>
      <c r="L49" s="14">
        <v>0</v>
      </c>
      <c r="M49" s="14">
        <v>0</v>
      </c>
      <c r="N49" s="14">
        <v>0</v>
      </c>
      <c r="O49" s="69">
        <v>0</v>
      </c>
      <c r="P49" s="226">
        <f>VLOOKUP(Table323[[#This Row],[Census Tract]],'Population and Diversity Data'!$B$2:$K$823,10,FALSE)</f>
        <v>1</v>
      </c>
      <c r="Q49" s="226" t="str">
        <f>VLOOKUP(Table323[[#This Row],[Census Tract]],'ES Energy Burden'!$B$2:$E$914,4,FALSE)</f>
        <v>No</v>
      </c>
      <c r="R49" s="248">
        <f>VLOOKUP(Table323[[#This Row],[Census Tract]],'Income and Housing Data'!$B$2:$D$823,3,FALSE)</f>
        <v>105328</v>
      </c>
      <c r="S49" s="248" t="str">
        <f>IF($U$6&lt;=Table323[[#This Row],[Household income]],IF(Table323[[#This Row],[Household income]]&lt;=$U$7, "Yes","No"),"No")</f>
        <v>No</v>
      </c>
    </row>
    <row r="50" spans="1:19" x14ac:dyDescent="0.25">
      <c r="A50" s="147">
        <v>9013529100</v>
      </c>
      <c r="B50" s="148" t="s">
        <v>2733</v>
      </c>
      <c r="C50" s="150" t="s">
        <v>944</v>
      </c>
      <c r="D50" s="70">
        <v>101516.74534656</v>
      </c>
      <c r="E50" s="70">
        <v>75181.872099999993</v>
      </c>
      <c r="F50" s="14">
        <v>29</v>
      </c>
      <c r="G50" s="14">
        <v>29</v>
      </c>
      <c r="H50" s="14">
        <v>0</v>
      </c>
      <c r="I50" s="14">
        <v>0</v>
      </c>
      <c r="J50" s="69">
        <v>24067.168099999999</v>
      </c>
      <c r="K50">
        <f t="shared" si="0"/>
        <v>4</v>
      </c>
      <c r="L50" s="14">
        <v>4</v>
      </c>
      <c r="M50" s="14">
        <v>0</v>
      </c>
      <c r="N50" s="14">
        <v>0</v>
      </c>
      <c r="O50" s="69">
        <v>20179.3</v>
      </c>
      <c r="P50" s="226">
        <f>VLOOKUP(Table323[[#This Row],[Census Tract]],'Population and Diversity Data'!$B$2:$K$823,10,FALSE)</f>
        <v>2</v>
      </c>
      <c r="Q50" s="226" t="str">
        <f>VLOOKUP(Table323[[#This Row],[Census Tract]],'ES Energy Burden'!$B$2:$E$914,4,FALSE)</f>
        <v>No</v>
      </c>
      <c r="R50" s="248">
        <f>VLOOKUP(Table323[[#This Row],[Census Tract]],'Income and Housing Data'!$B$2:$D$823,3,FALSE)</f>
        <v>105772</v>
      </c>
      <c r="S50" s="248" t="str">
        <f>IF($U$6&lt;=Table323[[#This Row],[Household income]],IF(Table323[[#This Row],[Household income]]&lt;=$U$7, "Yes","No"),"No")</f>
        <v>No</v>
      </c>
    </row>
    <row r="51" spans="1:19" x14ac:dyDescent="0.25">
      <c r="A51" s="147">
        <v>9013530600</v>
      </c>
      <c r="B51" s="148" t="s">
        <v>2733</v>
      </c>
      <c r="C51" s="150" t="s">
        <v>944</v>
      </c>
      <c r="D51" s="70">
        <v>388.26639360000001</v>
      </c>
      <c r="E51" s="70">
        <v>0</v>
      </c>
      <c r="F51" s="14">
        <v>0</v>
      </c>
      <c r="G51" s="14">
        <v>0</v>
      </c>
      <c r="H51" s="14">
        <v>0</v>
      </c>
      <c r="I51" s="14">
        <v>0</v>
      </c>
      <c r="J51" s="69">
        <v>0</v>
      </c>
      <c r="K51">
        <f t="shared" si="0"/>
        <v>0</v>
      </c>
      <c r="L51" s="14">
        <v>0</v>
      </c>
      <c r="M51" s="14">
        <v>0</v>
      </c>
      <c r="N51" s="14">
        <v>0</v>
      </c>
      <c r="O51" s="69">
        <v>0</v>
      </c>
      <c r="P51" s="226">
        <f>VLOOKUP(Table323[[#This Row],[Census Tract]],'Population and Diversity Data'!$B$2:$K$823,10,FALSE)</f>
        <v>4</v>
      </c>
      <c r="Q51" s="226" t="str">
        <f>VLOOKUP(Table323[[#This Row],[Census Tract]],'ES Energy Burden'!$B$2:$E$914,4,FALSE)</f>
        <v>No</v>
      </c>
      <c r="R51" s="248">
        <f>VLOOKUP(Table323[[#This Row],[Census Tract]],'Income and Housing Data'!$B$2:$D$823,3,FALSE)</f>
        <v>102222</v>
      </c>
      <c r="S51" s="248" t="str">
        <f>IF($U$6&lt;=Table323[[#This Row],[Household income]],IF(Table323[[#This Row],[Household income]]&lt;=$U$7, "Yes","No"),"No")</f>
        <v>No</v>
      </c>
    </row>
    <row r="52" spans="1:19" x14ac:dyDescent="0.25">
      <c r="A52" s="147">
        <v>9009184100</v>
      </c>
      <c r="B52" s="148" t="s">
        <v>2734</v>
      </c>
      <c r="C52" s="150" t="s">
        <v>944</v>
      </c>
      <c r="D52" s="70">
        <v>98810.04429215999</v>
      </c>
      <c r="E52" s="70">
        <v>14180.251700000001</v>
      </c>
      <c r="F52" s="14">
        <v>18</v>
      </c>
      <c r="G52" s="14">
        <v>18</v>
      </c>
      <c r="H52" s="14">
        <v>0</v>
      </c>
      <c r="I52" s="14">
        <v>0</v>
      </c>
      <c r="J52" s="69">
        <v>10098.931699999999</v>
      </c>
      <c r="K52">
        <f t="shared" si="0"/>
        <v>0</v>
      </c>
      <c r="L52" s="14">
        <v>0</v>
      </c>
      <c r="M52" s="14">
        <v>0</v>
      </c>
      <c r="N52" s="14">
        <v>0</v>
      </c>
      <c r="O52" s="69">
        <v>0</v>
      </c>
      <c r="P52" s="226">
        <f>VLOOKUP(Table323[[#This Row],[Census Tract]],'Population and Diversity Data'!$B$2:$K$823,10,FALSE)</f>
        <v>3</v>
      </c>
      <c r="Q52" s="226" t="str">
        <f>VLOOKUP(Table323[[#This Row],[Census Tract]],'ES Energy Burden'!$B$2:$E$914,4,FALSE)</f>
        <v>No</v>
      </c>
      <c r="R52" s="248">
        <f>VLOOKUP(Table323[[#This Row],[Census Tract]],'Income and Housing Data'!$B$2:$D$823,3,FALSE)</f>
        <v>61755</v>
      </c>
      <c r="S52" s="248" t="str">
        <f>IF($U$6&lt;=Table323[[#This Row],[Household income]],IF(Table323[[#This Row],[Household income]]&lt;=$U$7, "Yes","No"),"No")</f>
        <v>Yes</v>
      </c>
    </row>
    <row r="53" spans="1:19" x14ac:dyDescent="0.25">
      <c r="A53" s="147">
        <v>9009184200</v>
      </c>
      <c r="B53" s="148" t="s">
        <v>2734</v>
      </c>
      <c r="C53" s="150" t="s">
        <v>944</v>
      </c>
      <c r="D53" s="70">
        <v>64502.505169920005</v>
      </c>
      <c r="E53" s="70">
        <v>10900.4157</v>
      </c>
      <c r="F53" s="14">
        <v>13</v>
      </c>
      <c r="G53" s="14">
        <v>12</v>
      </c>
      <c r="H53" s="14">
        <v>1</v>
      </c>
      <c r="I53" s="14">
        <v>0</v>
      </c>
      <c r="J53" s="69">
        <v>5971.5541000000003</v>
      </c>
      <c r="K53">
        <f t="shared" si="0"/>
        <v>0</v>
      </c>
      <c r="L53" s="14">
        <v>0</v>
      </c>
      <c r="M53" s="14">
        <v>0</v>
      </c>
      <c r="N53" s="14">
        <v>0</v>
      </c>
      <c r="O53" s="69">
        <v>0</v>
      </c>
      <c r="P53" s="226">
        <f>VLOOKUP(Table323[[#This Row],[Census Tract]],'Population and Diversity Data'!$B$2:$K$823,10,FALSE)</f>
        <v>5</v>
      </c>
      <c r="Q53" s="226" t="str">
        <f>VLOOKUP(Table323[[#This Row],[Census Tract]],'ES Energy Burden'!$B$2:$E$914,4,FALSE)</f>
        <v>No</v>
      </c>
      <c r="R53" s="248">
        <f>VLOOKUP(Table323[[#This Row],[Census Tract]],'Income and Housing Data'!$B$2:$D$823,3,FALSE)</f>
        <v>64375</v>
      </c>
      <c r="S53" s="248" t="str">
        <f>IF($U$6&lt;=Table323[[#This Row],[Household income]],IF(Table323[[#This Row],[Household income]]&lt;=$U$7, "Yes","No"),"No")</f>
        <v>No</v>
      </c>
    </row>
    <row r="54" spans="1:19" x14ac:dyDescent="0.25">
      <c r="A54" s="147">
        <v>9009184300</v>
      </c>
      <c r="B54" s="148" t="s">
        <v>2734</v>
      </c>
      <c r="C54" s="150" t="s">
        <v>944</v>
      </c>
      <c r="D54" s="70">
        <v>83683.552723200002</v>
      </c>
      <c r="E54" s="70">
        <v>11085.186100000001</v>
      </c>
      <c r="F54" s="14">
        <v>22</v>
      </c>
      <c r="G54" s="14">
        <v>22</v>
      </c>
      <c r="H54" s="14">
        <v>0</v>
      </c>
      <c r="I54" s="14">
        <v>0</v>
      </c>
      <c r="J54" s="69">
        <v>10567.856100000001</v>
      </c>
      <c r="K54">
        <f t="shared" si="0"/>
        <v>0</v>
      </c>
      <c r="L54" s="14">
        <v>0</v>
      </c>
      <c r="M54" s="14">
        <v>0</v>
      </c>
      <c r="N54" s="14">
        <v>0</v>
      </c>
      <c r="O54" s="69">
        <v>0</v>
      </c>
      <c r="P54" s="226">
        <f>VLOOKUP(Table323[[#This Row],[Census Tract]],'Population and Diversity Data'!$B$2:$K$823,10,FALSE)</f>
        <v>2</v>
      </c>
      <c r="Q54" s="226" t="str">
        <f>VLOOKUP(Table323[[#This Row],[Census Tract]],'ES Energy Burden'!$B$2:$E$914,4,FALSE)</f>
        <v>No</v>
      </c>
      <c r="R54" s="248">
        <f>VLOOKUP(Table323[[#This Row],[Census Tract]],'Income and Housing Data'!$B$2:$D$823,3,FALSE)</f>
        <v>89036</v>
      </c>
      <c r="S54" s="248" t="str">
        <f>IF($U$6&lt;=Table323[[#This Row],[Household income]],IF(Table323[[#This Row],[Household income]]&lt;=$U$7, "Yes","No"),"No")</f>
        <v>No</v>
      </c>
    </row>
    <row r="55" spans="1:19" x14ac:dyDescent="0.25">
      <c r="A55" s="147">
        <v>9009184400</v>
      </c>
      <c r="B55" s="148" t="s">
        <v>2734</v>
      </c>
      <c r="C55" s="150" t="s">
        <v>944</v>
      </c>
      <c r="D55" s="70">
        <v>71578.025161919999</v>
      </c>
      <c r="E55" s="70">
        <v>22676.038700000001</v>
      </c>
      <c r="F55" s="14">
        <v>19</v>
      </c>
      <c r="G55" s="14">
        <v>19</v>
      </c>
      <c r="H55" s="14">
        <v>0</v>
      </c>
      <c r="I55" s="14">
        <v>0</v>
      </c>
      <c r="J55" s="69">
        <v>13316.8087</v>
      </c>
      <c r="K55">
        <f t="shared" si="0"/>
        <v>0</v>
      </c>
      <c r="L55" s="14">
        <v>0</v>
      </c>
      <c r="M55" s="14">
        <v>0</v>
      </c>
      <c r="N55" s="14">
        <v>0</v>
      </c>
      <c r="O55" s="69">
        <v>0</v>
      </c>
      <c r="P55" s="226">
        <f>VLOOKUP(Table323[[#This Row],[Census Tract]],'Population and Diversity Data'!$B$2:$K$823,10,FALSE)</f>
        <v>1</v>
      </c>
      <c r="Q55" s="226" t="str">
        <f>VLOOKUP(Table323[[#This Row],[Census Tract]],'ES Energy Burden'!$B$2:$E$914,4,FALSE)</f>
        <v>No</v>
      </c>
      <c r="R55" s="248">
        <f>VLOOKUP(Table323[[#This Row],[Census Tract]],'Income and Housing Data'!$B$2:$D$823,3,FALSE)</f>
        <v>81316</v>
      </c>
      <c r="S55" s="248" t="str">
        <f>IF($U$6&lt;=Table323[[#This Row],[Household income]],IF(Table323[[#This Row],[Household income]]&lt;=$U$7, "Yes","No"),"No")</f>
        <v>No</v>
      </c>
    </row>
    <row r="56" spans="1:19" x14ac:dyDescent="0.25">
      <c r="A56" s="147">
        <v>9009184500</v>
      </c>
      <c r="B56" s="148" t="s">
        <v>2734</v>
      </c>
      <c r="C56" s="150" t="s">
        <v>944</v>
      </c>
      <c r="D56" s="70">
        <v>51159.279490560002</v>
      </c>
      <c r="E56" s="70">
        <v>16216.5388</v>
      </c>
      <c r="F56" s="14">
        <v>19</v>
      </c>
      <c r="G56" s="14">
        <v>19</v>
      </c>
      <c r="H56" s="14">
        <v>0</v>
      </c>
      <c r="I56" s="14">
        <v>0</v>
      </c>
      <c r="J56" s="69">
        <v>16214.728800000001</v>
      </c>
      <c r="K56">
        <f t="shared" si="0"/>
        <v>0</v>
      </c>
      <c r="L56" s="14">
        <v>0</v>
      </c>
      <c r="M56" s="14">
        <v>0</v>
      </c>
      <c r="N56" s="14">
        <v>0</v>
      </c>
      <c r="O56" s="69">
        <v>0</v>
      </c>
      <c r="P56" s="226">
        <f>VLOOKUP(Table323[[#This Row],[Census Tract]],'Population and Diversity Data'!$B$2:$K$823,10,FALSE)</f>
        <v>1</v>
      </c>
      <c r="Q56" s="226" t="str">
        <f>VLOOKUP(Table323[[#This Row],[Census Tract]],'ES Energy Burden'!$B$2:$E$914,4,FALSE)</f>
        <v>No</v>
      </c>
      <c r="R56" s="248">
        <f>VLOOKUP(Table323[[#This Row],[Census Tract]],'Income and Housing Data'!$B$2:$D$823,3,FALSE)</f>
        <v>77778</v>
      </c>
      <c r="S56" s="248" t="str">
        <f>IF($U$6&lt;=Table323[[#This Row],[Household income]],IF(Table323[[#This Row],[Household income]]&lt;=$U$7, "Yes","No"),"No")</f>
        <v>No</v>
      </c>
    </row>
    <row r="57" spans="1:19" x14ac:dyDescent="0.25">
      <c r="A57" s="147">
        <v>9009184600</v>
      </c>
      <c r="B57" s="148" t="s">
        <v>2734</v>
      </c>
      <c r="C57" s="150" t="s">
        <v>944</v>
      </c>
      <c r="D57" s="70">
        <v>71746.751315519999</v>
      </c>
      <c r="E57" s="70">
        <v>19083.82</v>
      </c>
      <c r="F57" s="14">
        <v>17</v>
      </c>
      <c r="G57" s="14">
        <v>17</v>
      </c>
      <c r="H57" s="14">
        <v>0</v>
      </c>
      <c r="I57" s="14">
        <v>0</v>
      </c>
      <c r="J57" s="69">
        <v>19082.939999999999</v>
      </c>
      <c r="K57">
        <f t="shared" si="0"/>
        <v>0</v>
      </c>
      <c r="L57" s="14">
        <v>0</v>
      </c>
      <c r="M57" s="14">
        <v>0</v>
      </c>
      <c r="N57" s="14">
        <v>0</v>
      </c>
      <c r="O57" s="69">
        <v>0</v>
      </c>
      <c r="P57" s="226">
        <f>VLOOKUP(Table323[[#This Row],[Census Tract]],'Population and Diversity Data'!$B$2:$K$823,10,FALSE)</f>
        <v>1</v>
      </c>
      <c r="Q57" s="226" t="str">
        <f>VLOOKUP(Table323[[#This Row],[Census Tract]],'ES Energy Burden'!$B$2:$E$914,4,FALSE)</f>
        <v>No</v>
      </c>
      <c r="R57" s="248">
        <f>VLOOKUP(Table323[[#This Row],[Census Tract]],'Income and Housing Data'!$B$2:$D$823,3,FALSE)</f>
        <v>144250</v>
      </c>
      <c r="S57" s="248" t="str">
        <f>IF($U$6&lt;=Table323[[#This Row],[Household income]],IF(Table323[[#This Row],[Household income]]&lt;=$U$7, "Yes","No"),"No")</f>
        <v>No</v>
      </c>
    </row>
    <row r="58" spans="1:19" x14ac:dyDescent="0.25">
      <c r="A58" s="147">
        <v>9009184700</v>
      </c>
      <c r="B58" s="148" t="s">
        <v>2734</v>
      </c>
      <c r="C58" s="150" t="s">
        <v>944</v>
      </c>
      <c r="D58" s="70">
        <v>127510.82554464001</v>
      </c>
      <c r="E58" s="70">
        <v>184133.80179999999</v>
      </c>
      <c r="F58" s="14">
        <v>482</v>
      </c>
      <c r="G58" s="14">
        <v>22</v>
      </c>
      <c r="H58" s="14">
        <v>6</v>
      </c>
      <c r="I58" s="14">
        <v>454</v>
      </c>
      <c r="J58" s="69">
        <v>42665.887000000002</v>
      </c>
      <c r="K58">
        <f t="shared" si="0"/>
        <v>29</v>
      </c>
      <c r="L58" s="14">
        <v>11</v>
      </c>
      <c r="M58" s="14">
        <v>0</v>
      </c>
      <c r="N58" s="14">
        <v>18</v>
      </c>
      <c r="O58" s="69">
        <v>21735.200000000001</v>
      </c>
      <c r="P58" s="226">
        <f>VLOOKUP(Table323[[#This Row],[Census Tract]],'Population and Diversity Data'!$B$2:$K$823,10,FALSE)</f>
        <v>4</v>
      </c>
      <c r="Q58" s="226" t="str">
        <f>VLOOKUP(Table323[[#This Row],[Census Tract]],'ES Energy Burden'!$B$2:$E$914,4,FALSE)</f>
        <v>No</v>
      </c>
      <c r="R58" s="248">
        <f>VLOOKUP(Table323[[#This Row],[Census Tract]],'Income and Housing Data'!$B$2:$D$823,3,FALSE)</f>
        <v>72455</v>
      </c>
      <c r="S58" s="248" t="str">
        <f>IF($U$6&lt;=Table323[[#This Row],[Household income]],IF(Table323[[#This Row],[Household income]]&lt;=$U$7, "Yes","No"),"No")</f>
        <v>No</v>
      </c>
    </row>
    <row r="59" spans="1:19" x14ac:dyDescent="0.25">
      <c r="A59" s="147">
        <v>9005250100</v>
      </c>
      <c r="B59" s="148" t="s">
        <v>2735</v>
      </c>
      <c r="C59" s="150" t="s">
        <v>944</v>
      </c>
      <c r="D59" s="70">
        <v>63737.97777504001</v>
      </c>
      <c r="E59" s="70">
        <v>14188.062400000001</v>
      </c>
      <c r="F59" s="14">
        <v>8</v>
      </c>
      <c r="G59" s="14">
        <v>8</v>
      </c>
      <c r="H59" s="14">
        <v>0</v>
      </c>
      <c r="I59" s="14">
        <v>0</v>
      </c>
      <c r="J59" s="69">
        <v>8160.7623999999996</v>
      </c>
      <c r="K59">
        <f t="shared" si="0"/>
        <v>0</v>
      </c>
      <c r="L59" s="14">
        <v>0</v>
      </c>
      <c r="M59" s="14">
        <v>0</v>
      </c>
      <c r="N59" s="14">
        <v>0</v>
      </c>
      <c r="O59" s="69">
        <v>0</v>
      </c>
      <c r="P59" s="226">
        <f>VLOOKUP(Table323[[#This Row],[Census Tract]],'Population and Diversity Data'!$B$2:$K$823,10,FALSE)</f>
        <v>2</v>
      </c>
      <c r="Q59" s="226" t="str">
        <f>VLOOKUP(Table323[[#This Row],[Census Tract]],'ES Energy Burden'!$B$2:$E$914,4,FALSE)</f>
        <v>No</v>
      </c>
      <c r="R59" s="248">
        <f>VLOOKUP(Table323[[#This Row],[Census Tract]],'Income and Housing Data'!$B$2:$D$823,3,FALSE)</f>
        <v>111250</v>
      </c>
      <c r="S59" s="248" t="str">
        <f>IF($U$6&lt;=Table323[[#This Row],[Household income]],IF(Table323[[#This Row],[Household income]]&lt;=$U$7, "Yes","No"),"No")</f>
        <v>No</v>
      </c>
    </row>
    <row r="60" spans="1:19" x14ac:dyDescent="0.25">
      <c r="A60" s="147">
        <v>9005268100</v>
      </c>
      <c r="B60" s="148" t="s">
        <v>2735</v>
      </c>
      <c r="C60" s="150" t="s">
        <v>944</v>
      </c>
      <c r="D60" s="70">
        <v>1019.2745376</v>
      </c>
      <c r="E60" s="70">
        <v>0</v>
      </c>
      <c r="F60" s="14">
        <v>0</v>
      </c>
      <c r="G60" s="14">
        <v>0</v>
      </c>
      <c r="H60" s="14">
        <v>0</v>
      </c>
      <c r="I60" s="14">
        <v>0</v>
      </c>
      <c r="J60" s="69">
        <v>0</v>
      </c>
      <c r="K60">
        <f t="shared" si="0"/>
        <v>0</v>
      </c>
      <c r="L60" s="14">
        <v>0</v>
      </c>
      <c r="M60" s="14">
        <v>0</v>
      </c>
      <c r="N60" s="14">
        <v>0</v>
      </c>
      <c r="O60" s="69">
        <v>0</v>
      </c>
      <c r="P60" s="226">
        <f>VLOOKUP(Table323[[#This Row],[Census Tract]],'Population and Diversity Data'!$B$2:$K$823,10,FALSE)</f>
        <v>1</v>
      </c>
      <c r="Q60" s="226" t="str">
        <f>VLOOKUP(Table323[[#This Row],[Census Tract]],'ES Energy Burden'!$B$2:$E$914,4,FALSE)</f>
        <v>No</v>
      </c>
      <c r="R60" s="248">
        <f>VLOOKUP(Table323[[#This Row],[Census Tract]],'Income and Housing Data'!$B$2:$D$823,3,FALSE)</f>
        <v>118971</v>
      </c>
      <c r="S60" s="248" t="str">
        <f>IF($U$6&lt;=Table323[[#This Row],[Household income]],IF(Table323[[#This Row],[Household income]]&lt;=$U$7, "Yes","No"),"No")</f>
        <v>No</v>
      </c>
    </row>
    <row r="61" spans="1:19" x14ac:dyDescent="0.25">
      <c r="A61" s="147">
        <v>9003405100</v>
      </c>
      <c r="B61" s="148" t="s">
        <v>2736</v>
      </c>
      <c r="C61" s="150" t="s">
        <v>944</v>
      </c>
      <c r="D61" s="70">
        <v>73591.994413439999</v>
      </c>
      <c r="E61" s="70">
        <v>30053.519799999998</v>
      </c>
      <c r="F61" s="14">
        <v>12</v>
      </c>
      <c r="G61" s="14">
        <v>11</v>
      </c>
      <c r="H61" s="14">
        <v>1</v>
      </c>
      <c r="I61" s="14">
        <v>0</v>
      </c>
      <c r="J61" s="69">
        <v>7586.4898000000003</v>
      </c>
      <c r="K61">
        <f t="shared" si="0"/>
        <v>0</v>
      </c>
      <c r="L61" s="14">
        <v>0</v>
      </c>
      <c r="M61" s="14">
        <v>0</v>
      </c>
      <c r="N61" s="14">
        <v>0</v>
      </c>
      <c r="O61" s="69">
        <v>0</v>
      </c>
      <c r="P61" s="226">
        <f>VLOOKUP(Table323[[#This Row],[Census Tract]],'Population and Diversity Data'!$B$2:$K$823,10,FALSE)</f>
        <v>4</v>
      </c>
      <c r="Q61" s="226" t="str">
        <f>VLOOKUP(Table323[[#This Row],[Census Tract]],'ES Energy Burden'!$B$2:$E$914,4,FALSE)</f>
        <v>No</v>
      </c>
      <c r="R61" s="248">
        <f>VLOOKUP(Table323[[#This Row],[Census Tract]],'Income and Housing Data'!$B$2:$D$823,3,FALSE)</f>
        <v>70217</v>
      </c>
      <c r="S61" s="248" t="str">
        <f>IF($U$6&lt;=Table323[[#This Row],[Household income]],IF(Table323[[#This Row],[Household income]]&lt;=$U$7, "Yes","No"),"No")</f>
        <v>No</v>
      </c>
    </row>
    <row r="62" spans="1:19" x14ac:dyDescent="0.25">
      <c r="A62" s="147">
        <v>9003405200</v>
      </c>
      <c r="B62" s="148" t="s">
        <v>2736</v>
      </c>
      <c r="C62" s="150" t="s">
        <v>944</v>
      </c>
      <c r="D62" s="70">
        <v>78441.760748159999</v>
      </c>
      <c r="E62" s="70">
        <v>42995.71</v>
      </c>
      <c r="F62" s="14">
        <v>12</v>
      </c>
      <c r="G62" s="14">
        <v>12</v>
      </c>
      <c r="H62" s="14">
        <v>0</v>
      </c>
      <c r="I62" s="14">
        <v>0</v>
      </c>
      <c r="J62" s="69">
        <v>9637.33</v>
      </c>
      <c r="K62">
        <f t="shared" si="0"/>
        <v>0</v>
      </c>
      <c r="L62" s="14">
        <v>0</v>
      </c>
      <c r="M62" s="14">
        <v>0</v>
      </c>
      <c r="N62" s="14">
        <v>0</v>
      </c>
      <c r="O62" s="69">
        <v>0</v>
      </c>
      <c r="P62" s="226">
        <f>VLOOKUP(Table323[[#This Row],[Census Tract]],'Population and Diversity Data'!$B$2:$K$823,10,FALSE)</f>
        <v>2</v>
      </c>
      <c r="Q62" s="226" t="str">
        <f>VLOOKUP(Table323[[#This Row],[Census Tract]],'ES Energy Burden'!$B$2:$E$914,4,FALSE)</f>
        <v>No</v>
      </c>
      <c r="R62" s="248">
        <f>VLOOKUP(Table323[[#This Row],[Census Tract]],'Income and Housing Data'!$B$2:$D$823,3,FALSE)</f>
        <v>66331</v>
      </c>
      <c r="S62" s="248" t="str">
        <f>IF($U$6&lt;=Table323[[#This Row],[Household income]],IF(Table323[[#This Row],[Household income]]&lt;=$U$7, "Yes","No"),"No")</f>
        <v>No</v>
      </c>
    </row>
    <row r="63" spans="1:19" x14ac:dyDescent="0.25">
      <c r="A63" s="147">
        <v>9003405300</v>
      </c>
      <c r="B63" s="148" t="s">
        <v>2736</v>
      </c>
      <c r="C63" s="150" t="s">
        <v>944</v>
      </c>
      <c r="D63" s="70">
        <v>104034.2122656</v>
      </c>
      <c r="E63" s="70">
        <v>85654.017500000002</v>
      </c>
      <c r="F63" s="14">
        <v>19</v>
      </c>
      <c r="G63" s="14">
        <v>19</v>
      </c>
      <c r="H63" s="14">
        <v>0</v>
      </c>
      <c r="I63" s="14">
        <v>0</v>
      </c>
      <c r="J63" s="69">
        <v>12935.5175</v>
      </c>
      <c r="K63">
        <f t="shared" si="0"/>
        <v>0</v>
      </c>
      <c r="L63" s="14">
        <v>0</v>
      </c>
      <c r="M63" s="14">
        <v>0</v>
      </c>
      <c r="N63" s="14">
        <v>0</v>
      </c>
      <c r="O63" s="69">
        <v>0</v>
      </c>
      <c r="P63" s="226">
        <f>VLOOKUP(Table323[[#This Row],[Census Tract]],'Population and Diversity Data'!$B$2:$K$823,10,FALSE)</f>
        <v>3</v>
      </c>
      <c r="Q63" s="226" t="str">
        <f>VLOOKUP(Table323[[#This Row],[Census Tract]],'ES Energy Burden'!$B$2:$E$914,4,FALSE)</f>
        <v>No</v>
      </c>
      <c r="R63" s="248">
        <f>VLOOKUP(Table323[[#This Row],[Census Tract]],'Income and Housing Data'!$B$2:$D$823,3,FALSE)</f>
        <v>59552</v>
      </c>
      <c r="S63" s="248" t="str">
        <f>IF($U$6&lt;=Table323[[#This Row],[Household income]],IF(Table323[[#This Row],[Household income]]&lt;=$U$7, "Yes","No"),"No")</f>
        <v>Yes</v>
      </c>
    </row>
    <row r="64" spans="1:19" x14ac:dyDescent="0.25">
      <c r="A64" s="147">
        <v>9003405401</v>
      </c>
      <c r="B64" s="148" t="s">
        <v>2736</v>
      </c>
      <c r="C64" s="150" t="s">
        <v>944</v>
      </c>
      <c r="D64" s="70">
        <v>70101.589985280007</v>
      </c>
      <c r="E64" s="70">
        <v>9810.9004999999997</v>
      </c>
      <c r="F64" s="14">
        <v>12</v>
      </c>
      <c r="G64" s="14">
        <v>12</v>
      </c>
      <c r="H64" s="14">
        <v>0</v>
      </c>
      <c r="I64" s="14">
        <v>0</v>
      </c>
      <c r="J64" s="69">
        <v>7935.4904999999999</v>
      </c>
      <c r="K64">
        <f t="shared" si="0"/>
        <v>0</v>
      </c>
      <c r="L64" s="14">
        <v>0</v>
      </c>
      <c r="M64" s="14">
        <v>0</v>
      </c>
      <c r="N64" s="14">
        <v>0</v>
      </c>
      <c r="O64" s="69">
        <v>0</v>
      </c>
      <c r="P64" s="226">
        <f>VLOOKUP(Table323[[#This Row],[Census Tract]],'Population and Diversity Data'!$B$2:$K$823,10,FALSE)</f>
        <v>4</v>
      </c>
      <c r="Q64" s="226" t="str">
        <f>VLOOKUP(Table323[[#This Row],[Census Tract]],'ES Energy Burden'!$B$2:$E$914,4,FALSE)</f>
        <v>No</v>
      </c>
      <c r="R64" s="248">
        <f>VLOOKUP(Table323[[#This Row],[Census Tract]],'Income and Housing Data'!$B$2:$D$823,3,FALSE)</f>
        <v>82266</v>
      </c>
      <c r="S64" s="248" t="str">
        <f>IF($U$6&lt;=Table323[[#This Row],[Household income]],IF(Table323[[#This Row],[Household income]]&lt;=$U$7, "Yes","No"),"No")</f>
        <v>No</v>
      </c>
    </row>
    <row r="65" spans="1:19" x14ac:dyDescent="0.25">
      <c r="A65" s="147">
        <v>9003405402</v>
      </c>
      <c r="B65" s="148" t="s">
        <v>2736</v>
      </c>
      <c r="C65" s="150" t="s">
        <v>944</v>
      </c>
      <c r="D65" s="70">
        <v>84617.753319359996</v>
      </c>
      <c r="E65" s="70">
        <v>14170.022000000001</v>
      </c>
      <c r="F65" s="14">
        <v>8</v>
      </c>
      <c r="G65" s="14">
        <v>8</v>
      </c>
      <c r="H65" s="14">
        <v>0</v>
      </c>
      <c r="I65" s="14">
        <v>0</v>
      </c>
      <c r="J65" s="69">
        <v>7597.11</v>
      </c>
      <c r="K65">
        <f t="shared" si="0"/>
        <v>0</v>
      </c>
      <c r="L65" s="14">
        <v>0</v>
      </c>
      <c r="M65" s="14">
        <v>0</v>
      </c>
      <c r="N65" s="14">
        <v>0</v>
      </c>
      <c r="O65" s="69">
        <v>0</v>
      </c>
      <c r="P65" s="226">
        <f>VLOOKUP(Table323[[#This Row],[Census Tract]],'Population and Diversity Data'!$B$2:$K$823,10,FALSE)</f>
        <v>5</v>
      </c>
      <c r="Q65" s="226" t="str">
        <f>VLOOKUP(Table323[[#This Row],[Census Tract]],'ES Energy Burden'!$B$2:$E$914,4,FALSE)</f>
        <v>No</v>
      </c>
      <c r="R65" s="248">
        <f>VLOOKUP(Table323[[#This Row],[Census Tract]],'Income and Housing Data'!$B$2:$D$823,3,FALSE)</f>
        <v>62212</v>
      </c>
      <c r="S65" s="248" t="str">
        <f>IF($U$6&lt;=Table323[[#This Row],[Household income]],IF(Table323[[#This Row],[Household income]]&lt;=$U$7, "Yes","No"),"No")</f>
        <v>Yes</v>
      </c>
    </row>
    <row r="66" spans="1:19" x14ac:dyDescent="0.25">
      <c r="A66" s="147">
        <v>9003405500</v>
      </c>
      <c r="B66" s="148" t="s">
        <v>2736</v>
      </c>
      <c r="C66" s="150" t="s">
        <v>944</v>
      </c>
      <c r="D66" s="70">
        <v>95029.491893759987</v>
      </c>
      <c r="E66" s="70">
        <v>79289.1728</v>
      </c>
      <c r="F66" s="14">
        <v>17</v>
      </c>
      <c r="G66" s="14">
        <v>17</v>
      </c>
      <c r="H66" s="14">
        <v>0</v>
      </c>
      <c r="I66" s="14">
        <v>0</v>
      </c>
      <c r="J66" s="69">
        <v>18773.5416</v>
      </c>
      <c r="K66">
        <f t="shared" si="0"/>
        <v>0</v>
      </c>
      <c r="L66" s="14">
        <v>0</v>
      </c>
      <c r="M66" s="14">
        <v>0</v>
      </c>
      <c r="N66" s="14">
        <v>0</v>
      </c>
      <c r="O66" s="69">
        <v>0</v>
      </c>
      <c r="P66" s="226">
        <f>VLOOKUP(Table323[[#This Row],[Census Tract]],'Population and Diversity Data'!$B$2:$K$823,10,FALSE)</f>
        <v>2</v>
      </c>
      <c r="Q66" s="226" t="str">
        <f>VLOOKUP(Table323[[#This Row],[Census Tract]],'ES Energy Burden'!$B$2:$E$914,4,FALSE)</f>
        <v>No</v>
      </c>
      <c r="R66" s="248">
        <f>VLOOKUP(Table323[[#This Row],[Census Tract]],'Income and Housing Data'!$B$2:$D$823,3,FALSE)</f>
        <v>76318</v>
      </c>
      <c r="S66" s="248" t="str">
        <f>IF($U$6&lt;=Table323[[#This Row],[Household income]],IF(Table323[[#This Row],[Household income]]&lt;=$U$7, "Yes","No"),"No")</f>
        <v>No</v>
      </c>
    </row>
    <row r="67" spans="1:19" x14ac:dyDescent="0.25">
      <c r="A67" s="147">
        <v>9003405600</v>
      </c>
      <c r="B67" s="148" t="s">
        <v>2736</v>
      </c>
      <c r="C67" s="150" t="s">
        <v>944</v>
      </c>
      <c r="D67" s="70">
        <v>125510.08948992001</v>
      </c>
      <c r="E67" s="70">
        <v>64317.655200000001</v>
      </c>
      <c r="F67" s="14">
        <v>20</v>
      </c>
      <c r="G67" s="14">
        <v>19</v>
      </c>
      <c r="H67" s="14">
        <v>1</v>
      </c>
      <c r="I67" s="14">
        <v>0</v>
      </c>
      <c r="J67" s="69">
        <v>14697.3652</v>
      </c>
      <c r="K67">
        <f t="shared" si="0"/>
        <v>0</v>
      </c>
      <c r="L67" s="14">
        <v>0</v>
      </c>
      <c r="M67" s="14">
        <v>0</v>
      </c>
      <c r="N67" s="14">
        <v>0</v>
      </c>
      <c r="O67" s="69">
        <v>0</v>
      </c>
      <c r="P67" s="226">
        <f>VLOOKUP(Table323[[#This Row],[Census Tract]],'Population and Diversity Data'!$B$2:$K$823,10,FALSE)</f>
        <v>3</v>
      </c>
      <c r="Q67" s="226" t="str">
        <f>VLOOKUP(Table323[[#This Row],[Census Tract]],'ES Energy Burden'!$B$2:$E$914,4,FALSE)</f>
        <v>No</v>
      </c>
      <c r="R67" s="248">
        <f>VLOOKUP(Table323[[#This Row],[Census Tract]],'Income and Housing Data'!$B$2:$D$823,3,FALSE)</f>
        <v>63167</v>
      </c>
      <c r="S67" s="248" t="str">
        <f>IF($U$6&lt;=Table323[[#This Row],[Household income]],IF(Table323[[#This Row],[Household income]]&lt;=$U$7, "Yes","No"),"No")</f>
        <v>Yes</v>
      </c>
    </row>
    <row r="68" spans="1:19" x14ac:dyDescent="0.25">
      <c r="A68" s="147">
        <v>9003405700</v>
      </c>
      <c r="B68" s="148" t="s">
        <v>2736</v>
      </c>
      <c r="C68" s="150" t="s">
        <v>944</v>
      </c>
      <c r="D68" s="70">
        <v>33239.069625599994</v>
      </c>
      <c r="E68" s="70">
        <v>28576.05</v>
      </c>
      <c r="F68" s="14">
        <v>1</v>
      </c>
      <c r="G68" s="14">
        <v>1</v>
      </c>
      <c r="H68" s="14">
        <v>0</v>
      </c>
      <c r="I68" s="14">
        <v>0</v>
      </c>
      <c r="J68" s="69">
        <v>429.27</v>
      </c>
      <c r="K68">
        <f t="shared" si="0"/>
        <v>0</v>
      </c>
      <c r="L68" s="14">
        <v>0</v>
      </c>
      <c r="M68" s="14">
        <v>0</v>
      </c>
      <c r="N68" s="14">
        <v>0</v>
      </c>
      <c r="O68" s="69">
        <v>0</v>
      </c>
      <c r="P68" s="226">
        <f>VLOOKUP(Table323[[#This Row],[Census Tract]],'Population and Diversity Data'!$B$2:$K$823,10,FALSE)</f>
        <v>3</v>
      </c>
      <c r="Q68" s="226" t="str">
        <f>VLOOKUP(Table323[[#This Row],[Census Tract]],'ES Energy Burden'!$B$2:$E$914,4,FALSE)</f>
        <v>Yes</v>
      </c>
      <c r="R68" s="248">
        <f>VLOOKUP(Table323[[#This Row],[Census Tract]],'Income and Housing Data'!$B$2:$D$823,3,FALSE)</f>
        <v>43393</v>
      </c>
      <c r="S68" s="248" t="str">
        <f>IF($U$6&lt;=Table323[[#This Row],[Household income]],IF(Table323[[#This Row],[Household income]]&lt;=$U$7, "Yes","No"),"No")</f>
        <v>No</v>
      </c>
    </row>
    <row r="69" spans="1:19" x14ac:dyDescent="0.25">
      <c r="A69" s="147">
        <v>9003405800</v>
      </c>
      <c r="B69" s="148" t="s">
        <v>2736</v>
      </c>
      <c r="C69" s="150" t="s">
        <v>944</v>
      </c>
      <c r="D69" s="70">
        <v>199806.47782272001</v>
      </c>
      <c r="E69" s="70">
        <v>450736.245</v>
      </c>
      <c r="F69" s="14">
        <v>85</v>
      </c>
      <c r="G69" s="14">
        <v>37</v>
      </c>
      <c r="H69" s="14">
        <v>0</v>
      </c>
      <c r="I69" s="14">
        <v>48</v>
      </c>
      <c r="J69" s="69">
        <v>36006.22</v>
      </c>
      <c r="K69">
        <f t="shared" si="0"/>
        <v>665</v>
      </c>
      <c r="L69" s="14">
        <v>136</v>
      </c>
      <c r="M69" s="14">
        <v>5</v>
      </c>
      <c r="N69" s="14">
        <v>524</v>
      </c>
      <c r="O69" s="69">
        <v>414727</v>
      </c>
      <c r="P69" s="226">
        <f>VLOOKUP(Table323[[#This Row],[Census Tract]],'Population and Diversity Data'!$B$2:$K$823,10,FALSE)</f>
        <v>2</v>
      </c>
      <c r="Q69" s="226" t="str">
        <f>VLOOKUP(Table323[[#This Row],[Census Tract]],'ES Energy Burden'!$B$2:$E$914,4,FALSE)</f>
        <v>No</v>
      </c>
      <c r="R69" s="248">
        <f>VLOOKUP(Table323[[#This Row],[Census Tract]],'Income and Housing Data'!$B$2:$D$823,3,FALSE)</f>
        <v>85524</v>
      </c>
      <c r="S69" s="248" t="str">
        <f>IF($U$6&lt;=Table323[[#This Row],[Household income]],IF(Table323[[#This Row],[Household income]]&lt;=$U$7, "Yes","No"),"No")</f>
        <v>No</v>
      </c>
    </row>
    <row r="70" spans="1:19" x14ac:dyDescent="0.25">
      <c r="A70" s="147">
        <v>9003405900</v>
      </c>
      <c r="B70" s="148" t="s">
        <v>2736</v>
      </c>
      <c r="C70" s="150" t="s">
        <v>944</v>
      </c>
      <c r="D70" s="70">
        <v>95207.098066559993</v>
      </c>
      <c r="E70" s="70">
        <v>47858.912400000001</v>
      </c>
      <c r="F70" s="14">
        <v>32</v>
      </c>
      <c r="G70" s="14">
        <v>32</v>
      </c>
      <c r="H70" s="14">
        <v>0</v>
      </c>
      <c r="I70" s="14">
        <v>0</v>
      </c>
      <c r="J70" s="69">
        <v>31612.222399999999</v>
      </c>
      <c r="K70">
        <f t="shared" ref="K70:K133" si="1">L70+M70+N70</f>
        <v>0</v>
      </c>
      <c r="L70" s="14">
        <v>0</v>
      </c>
      <c r="M70" s="14">
        <v>0</v>
      </c>
      <c r="N70" s="14">
        <v>0</v>
      </c>
      <c r="O70" s="69">
        <v>0</v>
      </c>
      <c r="P70" s="226">
        <f>VLOOKUP(Table323[[#This Row],[Census Tract]],'Population and Diversity Data'!$B$2:$K$823,10,FALSE)</f>
        <v>1</v>
      </c>
      <c r="Q70" s="226" t="str">
        <f>VLOOKUP(Table323[[#This Row],[Census Tract]],'ES Energy Burden'!$B$2:$E$914,4,FALSE)</f>
        <v>No</v>
      </c>
      <c r="R70" s="248">
        <f>VLOOKUP(Table323[[#This Row],[Census Tract]],'Income and Housing Data'!$B$2:$D$823,3,FALSE)</f>
        <v>91250</v>
      </c>
      <c r="S70" s="248" t="str">
        <f>IF($U$6&lt;=Table323[[#This Row],[Household income]],IF(Table323[[#This Row],[Household income]]&lt;=$U$7, "Yes","No"),"No")</f>
        <v>No</v>
      </c>
    </row>
    <row r="71" spans="1:19" x14ac:dyDescent="0.25">
      <c r="A71" s="147">
        <v>9003406001</v>
      </c>
      <c r="B71" s="148" t="s">
        <v>2736</v>
      </c>
      <c r="C71" s="150" t="s">
        <v>944</v>
      </c>
      <c r="D71" s="70">
        <v>65823.076327679999</v>
      </c>
      <c r="E71" s="70">
        <v>61190</v>
      </c>
      <c r="F71" s="14">
        <v>9</v>
      </c>
      <c r="G71" s="14">
        <v>9</v>
      </c>
      <c r="H71" s="14">
        <v>0</v>
      </c>
      <c r="I71" s="14">
        <v>0</v>
      </c>
      <c r="J71" s="69">
        <v>7726.18</v>
      </c>
      <c r="K71">
        <f t="shared" si="1"/>
        <v>0</v>
      </c>
      <c r="L71" s="14">
        <v>0</v>
      </c>
      <c r="M71" s="14">
        <v>0</v>
      </c>
      <c r="N71" s="14">
        <v>0</v>
      </c>
      <c r="O71" s="69">
        <v>0</v>
      </c>
      <c r="P71" s="226">
        <f>VLOOKUP(Table323[[#This Row],[Census Tract]],'Population and Diversity Data'!$B$2:$K$823,10,FALSE)</f>
        <v>4</v>
      </c>
      <c r="Q71" s="226" t="str">
        <f>VLOOKUP(Table323[[#This Row],[Census Tract]],'ES Energy Burden'!$B$2:$E$914,4,FALSE)</f>
        <v>No</v>
      </c>
      <c r="R71" s="248">
        <f>VLOOKUP(Table323[[#This Row],[Census Tract]],'Income and Housing Data'!$B$2:$D$823,3,FALSE)</f>
        <v>50799</v>
      </c>
      <c r="S71" s="248" t="str">
        <f>IF($U$6&lt;=Table323[[#This Row],[Household income]],IF(Table323[[#This Row],[Household income]]&lt;=$U$7, "Yes","No"),"No")</f>
        <v>Yes</v>
      </c>
    </row>
    <row r="72" spans="1:19" x14ac:dyDescent="0.25">
      <c r="A72" s="147">
        <v>9003406002</v>
      </c>
      <c r="B72" s="148" t="s">
        <v>2736</v>
      </c>
      <c r="C72" s="150" t="s">
        <v>944</v>
      </c>
      <c r="D72" s="70">
        <v>98369.128762559994</v>
      </c>
      <c r="E72" s="70">
        <v>88476.909499999994</v>
      </c>
      <c r="F72" s="14">
        <v>19</v>
      </c>
      <c r="G72" s="14">
        <v>19</v>
      </c>
      <c r="H72" s="14">
        <v>0</v>
      </c>
      <c r="I72" s="14">
        <v>0</v>
      </c>
      <c r="J72" s="69">
        <v>15851.619500000001</v>
      </c>
      <c r="K72">
        <f t="shared" si="1"/>
        <v>0</v>
      </c>
      <c r="L72" s="14">
        <v>0</v>
      </c>
      <c r="M72" s="14">
        <v>0</v>
      </c>
      <c r="N72" s="14">
        <v>0</v>
      </c>
      <c r="O72" s="69">
        <v>0</v>
      </c>
      <c r="P72" s="226">
        <f>VLOOKUP(Table323[[#This Row],[Census Tract]],'Population and Diversity Data'!$B$2:$K$823,10,FALSE)</f>
        <v>2</v>
      </c>
      <c r="Q72" s="226" t="str">
        <f>VLOOKUP(Table323[[#This Row],[Census Tract]],'ES Energy Burden'!$B$2:$E$914,4,FALSE)</f>
        <v>No</v>
      </c>
      <c r="R72" s="248">
        <f>VLOOKUP(Table323[[#This Row],[Census Tract]],'Income and Housing Data'!$B$2:$D$823,3,FALSE)</f>
        <v>82702</v>
      </c>
      <c r="S72" s="248" t="str">
        <f>IF($U$6&lt;=Table323[[#This Row],[Household income]],IF(Table323[[#This Row],[Household income]]&lt;=$U$7, "Yes","No"),"No")</f>
        <v>No</v>
      </c>
    </row>
    <row r="73" spans="1:19" x14ac:dyDescent="0.25">
      <c r="A73" s="147">
        <v>9003406100</v>
      </c>
      <c r="B73" s="148" t="s">
        <v>2736</v>
      </c>
      <c r="C73" s="150" t="s">
        <v>944</v>
      </c>
      <c r="D73" s="70">
        <v>52048.524265920001</v>
      </c>
      <c r="E73" s="70">
        <v>10335.120000000001</v>
      </c>
      <c r="F73" s="14">
        <v>4</v>
      </c>
      <c r="G73" s="14">
        <v>4</v>
      </c>
      <c r="H73" s="14">
        <v>0</v>
      </c>
      <c r="I73" s="14">
        <v>0</v>
      </c>
      <c r="J73" s="69">
        <v>2746.96</v>
      </c>
      <c r="K73">
        <f t="shared" si="1"/>
        <v>0</v>
      </c>
      <c r="L73" s="14">
        <v>0</v>
      </c>
      <c r="M73" s="14">
        <v>0</v>
      </c>
      <c r="N73" s="14">
        <v>0</v>
      </c>
      <c r="O73" s="69">
        <v>0</v>
      </c>
      <c r="P73" s="226">
        <f>VLOOKUP(Table323[[#This Row],[Census Tract]],'Population and Diversity Data'!$B$2:$K$823,10,FALSE)</f>
        <v>4</v>
      </c>
      <c r="Q73" s="226" t="str">
        <f>VLOOKUP(Table323[[#This Row],[Census Tract]],'ES Energy Burden'!$B$2:$E$914,4,FALSE)</f>
        <v>No</v>
      </c>
      <c r="R73" s="248">
        <f>VLOOKUP(Table323[[#This Row],[Census Tract]],'Income and Housing Data'!$B$2:$D$823,3,FALSE)</f>
        <v>45903</v>
      </c>
      <c r="S73" s="248" t="str">
        <f>IF($U$6&lt;=Table323[[#This Row],[Household income]],IF(Table323[[#This Row],[Household income]]&lt;=$U$7, "Yes","No"),"No")</f>
        <v>No</v>
      </c>
    </row>
    <row r="74" spans="1:19" x14ac:dyDescent="0.25">
      <c r="A74" s="147">
        <v>9003410101</v>
      </c>
      <c r="B74" s="148" t="s">
        <v>2736</v>
      </c>
      <c r="C74" s="150" t="s">
        <v>944</v>
      </c>
      <c r="D74" s="70">
        <v>392.66588160000003</v>
      </c>
      <c r="E74" s="70">
        <v>0</v>
      </c>
      <c r="F74" s="14">
        <v>0</v>
      </c>
      <c r="G74" s="14">
        <v>0</v>
      </c>
      <c r="H74" s="14">
        <v>0</v>
      </c>
      <c r="I74" s="14">
        <v>0</v>
      </c>
      <c r="J74" s="69">
        <v>0</v>
      </c>
      <c r="K74">
        <f t="shared" si="1"/>
        <v>0</v>
      </c>
      <c r="L74" s="14">
        <v>0</v>
      </c>
      <c r="M74" s="14">
        <v>0</v>
      </c>
      <c r="N74" s="14">
        <v>0</v>
      </c>
      <c r="O74" s="69">
        <v>0</v>
      </c>
      <c r="P74" s="226">
        <f>VLOOKUP(Table323[[#This Row],[Census Tract]],'Population and Diversity Data'!$B$2:$K$823,10,FALSE)</f>
        <v>1</v>
      </c>
      <c r="Q74" s="226" t="str">
        <f>VLOOKUP(Table323[[#This Row],[Census Tract]],'ES Energy Burden'!$B$2:$E$914,4,FALSE)</f>
        <v>No</v>
      </c>
      <c r="R74" s="248">
        <f>VLOOKUP(Table323[[#This Row],[Census Tract]],'Income and Housing Data'!$B$2:$D$823,3,FALSE)</f>
        <v>117401</v>
      </c>
      <c r="S74" s="248" t="str">
        <f>IF($U$6&lt;=Table323[[#This Row],[Household income]],IF(Table323[[#This Row],[Household income]]&lt;=$U$7, "Yes","No"),"No")</f>
        <v>No</v>
      </c>
    </row>
    <row r="75" spans="1:19" x14ac:dyDescent="0.25">
      <c r="A75" s="147">
        <v>9003420500</v>
      </c>
      <c r="B75" s="148" t="s">
        <v>2736</v>
      </c>
      <c r="C75" s="150" t="s">
        <v>944</v>
      </c>
      <c r="D75" s="70">
        <v>546.64217280000003</v>
      </c>
      <c r="E75" s="70">
        <v>894.67</v>
      </c>
      <c r="F75" s="14">
        <v>0</v>
      </c>
      <c r="G75" s="14">
        <v>0</v>
      </c>
      <c r="H75" s="14">
        <v>0</v>
      </c>
      <c r="I75" s="14">
        <v>0</v>
      </c>
      <c r="J75" s="69">
        <v>0</v>
      </c>
      <c r="K75">
        <f t="shared" si="1"/>
        <v>0</v>
      </c>
      <c r="L75" s="14">
        <v>0</v>
      </c>
      <c r="M75" s="14">
        <v>0</v>
      </c>
      <c r="N75" s="14">
        <v>0</v>
      </c>
      <c r="O75" s="69">
        <v>0</v>
      </c>
      <c r="P75" s="226">
        <f>VLOOKUP(Table323[[#This Row],[Census Tract]],'Population and Diversity Data'!$B$2:$K$823,10,FALSE)</f>
        <v>4</v>
      </c>
      <c r="Q75" s="226" t="str">
        <f>VLOOKUP(Table323[[#This Row],[Census Tract]],'ES Energy Burden'!$B$2:$E$914,4,FALSE)</f>
        <v>No</v>
      </c>
      <c r="R75" s="248">
        <f>VLOOKUP(Table323[[#This Row],[Census Tract]],'Income and Housing Data'!$B$2:$D$823,3,FALSE)</f>
        <v>62060</v>
      </c>
      <c r="S75" s="248" t="str">
        <f>IF($U$6&lt;=Table323[[#This Row],[Household income]],IF(Table323[[#This Row],[Household income]]&lt;=$U$7, "Yes","No"),"No")</f>
        <v>Yes</v>
      </c>
    </row>
    <row r="76" spans="1:19" x14ac:dyDescent="0.25">
      <c r="A76" s="147">
        <v>9003430601</v>
      </c>
      <c r="B76" s="148" t="s">
        <v>2736</v>
      </c>
      <c r="C76" s="150" t="s">
        <v>944</v>
      </c>
      <c r="D76" s="70">
        <v>1476.5607936000001</v>
      </c>
      <c r="E76" s="70">
        <v>0</v>
      </c>
      <c r="F76" s="14">
        <v>0</v>
      </c>
      <c r="G76" s="14">
        <v>0</v>
      </c>
      <c r="H76" s="14">
        <v>0</v>
      </c>
      <c r="I76" s="14">
        <v>0</v>
      </c>
      <c r="J76" s="69">
        <v>0</v>
      </c>
      <c r="K76">
        <f t="shared" si="1"/>
        <v>0</v>
      </c>
      <c r="L76" s="14">
        <v>0</v>
      </c>
      <c r="M76" s="14">
        <v>0</v>
      </c>
      <c r="N76" s="14">
        <v>0</v>
      </c>
      <c r="O76" s="69">
        <v>0</v>
      </c>
      <c r="P76" s="226">
        <f>VLOOKUP(Table323[[#This Row],[Census Tract]],'Population and Diversity Data'!$B$2:$K$823,10,FALSE)</f>
        <v>2</v>
      </c>
      <c r="Q76" s="226" t="str">
        <f>VLOOKUP(Table323[[#This Row],[Census Tract]],'ES Energy Burden'!$B$2:$E$914,4,FALSE)</f>
        <v>No</v>
      </c>
      <c r="R76" s="248">
        <f>VLOOKUP(Table323[[#This Row],[Census Tract]],'Income and Housing Data'!$B$2:$D$823,3,FALSE)</f>
        <v>56714</v>
      </c>
      <c r="S76" s="248" t="str">
        <f>IF($U$6&lt;=Table323[[#This Row],[Household income]],IF(Table323[[#This Row],[Household income]]&lt;=$U$7, "Yes","No"),"No")</f>
        <v>Yes</v>
      </c>
    </row>
    <row r="77" spans="1:19" x14ac:dyDescent="0.25">
      <c r="A77" s="147">
        <v>9005425400</v>
      </c>
      <c r="B77" s="148" t="s">
        <v>2736</v>
      </c>
      <c r="C77" s="150" t="s">
        <v>944</v>
      </c>
      <c r="D77" s="70">
        <v>559.63802880000003</v>
      </c>
      <c r="E77" s="70">
        <v>0</v>
      </c>
      <c r="F77" s="14">
        <v>0</v>
      </c>
      <c r="G77" s="14">
        <v>0</v>
      </c>
      <c r="H77" s="14">
        <v>0</v>
      </c>
      <c r="I77" s="14">
        <v>0</v>
      </c>
      <c r="J77" s="69">
        <v>0</v>
      </c>
      <c r="K77">
        <f t="shared" si="1"/>
        <v>0</v>
      </c>
      <c r="L77" s="14">
        <v>0</v>
      </c>
      <c r="M77" s="14">
        <v>0</v>
      </c>
      <c r="N77" s="14">
        <v>0</v>
      </c>
      <c r="O77" s="69">
        <v>0</v>
      </c>
      <c r="P77" s="226">
        <f>VLOOKUP(Table323[[#This Row],[Census Tract]],'Population and Diversity Data'!$B$2:$K$823,10,FALSE)</f>
        <v>2</v>
      </c>
      <c r="Q77" s="226" t="str">
        <f>VLOOKUP(Table323[[#This Row],[Census Tract]],'ES Energy Burden'!$B$2:$E$914,4,FALSE)</f>
        <v>No</v>
      </c>
      <c r="R77" s="248">
        <f>VLOOKUP(Table323[[#This Row],[Census Tract]],'Income and Housing Data'!$B$2:$D$823,3,FALSE)</f>
        <v>84167</v>
      </c>
      <c r="S77" s="248" t="str">
        <f>IF($U$6&lt;=Table323[[#This Row],[Household income]],IF(Table323[[#This Row],[Household income]]&lt;=$U$7, "Yes","No"),"No")</f>
        <v>No</v>
      </c>
    </row>
    <row r="78" spans="1:19" x14ac:dyDescent="0.25">
      <c r="A78" s="147">
        <v>9001205100</v>
      </c>
      <c r="B78" s="148" t="s">
        <v>2737</v>
      </c>
      <c r="C78" s="150" t="s">
        <v>944</v>
      </c>
      <c r="D78" s="70">
        <v>93675.313857600006</v>
      </c>
      <c r="E78" s="70">
        <v>12836.5</v>
      </c>
      <c r="F78" s="14">
        <v>11</v>
      </c>
      <c r="G78" s="14">
        <v>11</v>
      </c>
      <c r="H78" s="14">
        <v>0</v>
      </c>
      <c r="I78" s="14">
        <v>0</v>
      </c>
      <c r="J78" s="69">
        <v>9777.44</v>
      </c>
      <c r="K78">
        <f t="shared" si="1"/>
        <v>0</v>
      </c>
      <c r="L78" s="14">
        <v>0</v>
      </c>
      <c r="M78" s="14">
        <v>0</v>
      </c>
      <c r="N78" s="14">
        <v>0</v>
      </c>
      <c r="O78" s="69">
        <v>0</v>
      </c>
      <c r="P78" s="226">
        <f>VLOOKUP(Table323[[#This Row],[Census Tract]],'Population and Diversity Data'!$B$2:$K$823,10,FALSE)</f>
        <v>3</v>
      </c>
      <c r="Q78" s="226" t="str">
        <f>VLOOKUP(Table323[[#This Row],[Census Tract]],'ES Energy Burden'!$B$2:$E$914,4,FALSE)</f>
        <v>No</v>
      </c>
      <c r="R78" s="248">
        <f>VLOOKUP(Table323[[#This Row],[Census Tract]],'Income and Housing Data'!$B$2:$D$823,3,FALSE)</f>
        <v>123750</v>
      </c>
      <c r="S78" s="248" t="str">
        <f>IF($U$6&lt;=Table323[[#This Row],[Household income]],IF(Table323[[#This Row],[Household income]]&lt;=$U$7, "Yes","No"),"No")</f>
        <v>No</v>
      </c>
    </row>
    <row r="79" spans="1:19" x14ac:dyDescent="0.25">
      <c r="A79" s="147">
        <v>9001205200</v>
      </c>
      <c r="B79" s="148" t="s">
        <v>2737</v>
      </c>
      <c r="C79" s="150" t="s">
        <v>944</v>
      </c>
      <c r="D79" s="70">
        <v>173065.61753280001</v>
      </c>
      <c r="E79" s="70">
        <v>346329.2622</v>
      </c>
      <c r="F79" s="14">
        <v>38</v>
      </c>
      <c r="G79" s="14">
        <v>38</v>
      </c>
      <c r="H79" s="14">
        <v>0</v>
      </c>
      <c r="I79" s="14">
        <v>0</v>
      </c>
      <c r="J79" s="69">
        <v>46134.372199999998</v>
      </c>
      <c r="K79">
        <f t="shared" si="1"/>
        <v>19</v>
      </c>
      <c r="L79" s="14">
        <v>19</v>
      </c>
      <c r="M79" s="14">
        <v>0</v>
      </c>
      <c r="N79" s="14">
        <v>0</v>
      </c>
      <c r="O79" s="69">
        <v>26771.9</v>
      </c>
      <c r="P79" s="226">
        <f>VLOOKUP(Table323[[#This Row],[Census Tract]],'Population and Diversity Data'!$B$2:$K$823,10,FALSE)</f>
        <v>1</v>
      </c>
      <c r="Q79" s="226" t="str">
        <f>VLOOKUP(Table323[[#This Row],[Census Tract]],'ES Energy Burden'!$B$2:$E$914,4,FALSE)</f>
        <v>No</v>
      </c>
      <c r="R79" s="248">
        <f>VLOOKUP(Table323[[#This Row],[Census Tract]],'Income and Housing Data'!$B$2:$D$823,3,FALSE)</f>
        <v>120476</v>
      </c>
      <c r="S79" s="248" t="str">
        <f>IF($U$6&lt;=Table323[[#This Row],[Household income]],IF(Table323[[#This Row],[Household income]]&lt;=$U$7, "Yes","No"),"No")</f>
        <v>No</v>
      </c>
    </row>
    <row r="80" spans="1:19" x14ac:dyDescent="0.25">
      <c r="A80" s="147">
        <v>9001205300</v>
      </c>
      <c r="B80" s="148" t="s">
        <v>2737</v>
      </c>
      <c r="C80" s="150" t="s">
        <v>944</v>
      </c>
      <c r="D80" s="70">
        <v>134676.70291584003</v>
      </c>
      <c r="E80" s="70">
        <v>17564.3</v>
      </c>
      <c r="F80" s="14">
        <v>12</v>
      </c>
      <c r="G80" s="14">
        <v>11</v>
      </c>
      <c r="H80" s="14">
        <v>1</v>
      </c>
      <c r="I80" s="14">
        <v>0</v>
      </c>
      <c r="J80" s="69">
        <v>12015.26</v>
      </c>
      <c r="K80">
        <f t="shared" si="1"/>
        <v>0</v>
      </c>
      <c r="L80" s="14">
        <v>0</v>
      </c>
      <c r="M80" s="14">
        <v>0</v>
      </c>
      <c r="N80" s="14">
        <v>0</v>
      </c>
      <c r="O80" s="69">
        <v>0</v>
      </c>
      <c r="P80" s="226">
        <f>VLOOKUP(Table323[[#This Row],[Census Tract]],'Population and Diversity Data'!$B$2:$K$823,10,FALSE)</f>
        <v>4</v>
      </c>
      <c r="Q80" s="226" t="str">
        <f>VLOOKUP(Table323[[#This Row],[Census Tract]],'ES Energy Burden'!$B$2:$E$914,4,FALSE)</f>
        <v>No</v>
      </c>
      <c r="R80" s="248">
        <f>VLOOKUP(Table323[[#This Row],[Census Tract]],'Income and Housing Data'!$B$2:$D$823,3,FALSE)</f>
        <v>95234</v>
      </c>
      <c r="S80" s="248" t="str">
        <f>IF($U$6&lt;=Table323[[#This Row],[Household income]],IF(Table323[[#This Row],[Household income]]&lt;=$U$7, "Yes","No"),"No")</f>
        <v>No</v>
      </c>
    </row>
    <row r="81" spans="1:19" x14ac:dyDescent="0.25">
      <c r="A81" s="147">
        <v>9001211400</v>
      </c>
      <c r="B81" s="148" t="s">
        <v>2737</v>
      </c>
      <c r="C81" s="150" t="s">
        <v>944</v>
      </c>
      <c r="D81" s="70">
        <v>1156.7643264000001</v>
      </c>
      <c r="E81" s="70">
        <v>0</v>
      </c>
      <c r="F81" s="14">
        <v>0</v>
      </c>
      <c r="G81" s="14">
        <v>0</v>
      </c>
      <c r="H81" s="14">
        <v>0</v>
      </c>
      <c r="I81" s="14">
        <v>0</v>
      </c>
      <c r="J81" s="69">
        <v>0</v>
      </c>
      <c r="K81">
        <f t="shared" si="1"/>
        <v>0</v>
      </c>
      <c r="L81" s="14">
        <v>0</v>
      </c>
      <c r="M81" s="14">
        <v>0</v>
      </c>
      <c r="N81" s="14">
        <v>0</v>
      </c>
      <c r="O81" s="69">
        <v>0</v>
      </c>
      <c r="P81" s="226">
        <f>VLOOKUP(Table323[[#This Row],[Census Tract]],'Population and Diversity Data'!$B$2:$K$823,10,FALSE)</f>
        <v>4</v>
      </c>
      <c r="Q81" s="226" t="str">
        <f>VLOOKUP(Table323[[#This Row],[Census Tract]],'ES Energy Burden'!$B$2:$E$914,4,FALSE)</f>
        <v>No</v>
      </c>
      <c r="R81" s="248">
        <f>VLOOKUP(Table323[[#This Row],[Census Tract]],'Income and Housing Data'!$B$2:$D$823,3,FALSE)</f>
        <v>81474</v>
      </c>
      <c r="S81" s="248" t="str">
        <f>IF($U$6&lt;=Table323[[#This Row],[Household income]],IF(Table323[[#This Row],[Household income]]&lt;=$U$7, "Yes","No"),"No")</f>
        <v>No</v>
      </c>
    </row>
    <row r="82" spans="1:19" x14ac:dyDescent="0.25">
      <c r="A82" s="147">
        <v>9005253400</v>
      </c>
      <c r="B82" s="148" t="s">
        <v>2737</v>
      </c>
      <c r="C82" s="150" t="s">
        <v>944</v>
      </c>
      <c r="D82" s="70">
        <v>1729.7165952</v>
      </c>
      <c r="E82" s="70">
        <v>888.71</v>
      </c>
      <c r="F82" s="14">
        <v>1</v>
      </c>
      <c r="G82" s="14">
        <v>1</v>
      </c>
      <c r="H82" s="14">
        <v>0</v>
      </c>
      <c r="I82" s="14">
        <v>0</v>
      </c>
      <c r="J82" s="69">
        <v>886.18</v>
      </c>
      <c r="K82">
        <f t="shared" si="1"/>
        <v>0</v>
      </c>
      <c r="L82" s="14">
        <v>0</v>
      </c>
      <c r="M82" s="14">
        <v>0</v>
      </c>
      <c r="N82" s="14">
        <v>0</v>
      </c>
      <c r="O82" s="69">
        <v>0</v>
      </c>
      <c r="P82" s="226">
        <f>VLOOKUP(Table323[[#This Row],[Census Tract]],'Population and Diversity Data'!$B$2:$K$823,10,FALSE)</f>
        <v>2</v>
      </c>
      <c r="Q82" s="226" t="str">
        <f>VLOOKUP(Table323[[#This Row],[Census Tract]],'ES Energy Burden'!$B$2:$E$914,4,FALSE)</f>
        <v>No</v>
      </c>
      <c r="R82" s="248">
        <f>VLOOKUP(Table323[[#This Row],[Census Tract]],'Income and Housing Data'!$B$2:$D$823,3,FALSE)</f>
        <v>109167</v>
      </c>
      <c r="S82" s="248" t="str">
        <f>IF($U$6&lt;=Table323[[#This Row],[Household income]],IF(Table323[[#This Row],[Household income]]&lt;=$U$7, "Yes","No"),"No")</f>
        <v>No</v>
      </c>
    </row>
    <row r="83" spans="1:19" x14ac:dyDescent="0.25">
      <c r="A83" s="147">
        <v>9015902500</v>
      </c>
      <c r="B83" s="148" t="s">
        <v>2738</v>
      </c>
      <c r="C83" s="150" t="s">
        <v>944</v>
      </c>
      <c r="D83" s="70">
        <v>40.784411519999999</v>
      </c>
      <c r="E83" s="70">
        <v>0</v>
      </c>
      <c r="F83" s="14">
        <v>0</v>
      </c>
      <c r="G83" s="14">
        <v>0</v>
      </c>
      <c r="H83" s="14">
        <v>0</v>
      </c>
      <c r="I83" s="14">
        <v>0</v>
      </c>
      <c r="J83" s="69">
        <v>0</v>
      </c>
      <c r="K83">
        <f t="shared" si="1"/>
        <v>0</v>
      </c>
      <c r="L83" s="14">
        <v>0</v>
      </c>
      <c r="M83" s="14">
        <v>0</v>
      </c>
      <c r="N83" s="14">
        <v>0</v>
      </c>
      <c r="O83" s="69">
        <v>0</v>
      </c>
      <c r="P83" s="226">
        <f>VLOOKUP(Table323[[#This Row],[Census Tract]],'Population and Diversity Data'!$B$2:$K$823,10,FALSE)</f>
        <v>2</v>
      </c>
      <c r="Q83" s="226" t="str">
        <f>VLOOKUP(Table323[[#This Row],[Census Tract]],'ES Energy Burden'!$B$2:$E$914,4,FALSE)</f>
        <v>No</v>
      </c>
      <c r="R83" s="248">
        <f>VLOOKUP(Table323[[#This Row],[Census Tract]],'Income and Housing Data'!$B$2:$D$823,3,FALSE)</f>
        <v>93472</v>
      </c>
      <c r="S83" s="248" t="str">
        <f>IF($U$6&lt;=Table323[[#This Row],[Household income]],IF(Table323[[#This Row],[Household income]]&lt;=$U$7, "Yes","No"),"No")</f>
        <v>No</v>
      </c>
    </row>
    <row r="84" spans="1:19" x14ac:dyDescent="0.25">
      <c r="A84" s="147">
        <v>9015905100</v>
      </c>
      <c r="B84" s="148" t="s">
        <v>2738</v>
      </c>
      <c r="C84" s="150" t="s">
        <v>944</v>
      </c>
      <c r="D84" s="70">
        <v>149299.51099680003</v>
      </c>
      <c r="E84" s="70">
        <v>89586.357199999999</v>
      </c>
      <c r="F84" s="14">
        <v>17</v>
      </c>
      <c r="G84" s="14">
        <v>17</v>
      </c>
      <c r="H84" s="14">
        <v>0</v>
      </c>
      <c r="I84" s="14">
        <v>0</v>
      </c>
      <c r="J84" s="69">
        <v>11573.31</v>
      </c>
      <c r="K84">
        <f t="shared" si="1"/>
        <v>11</v>
      </c>
      <c r="L84" s="14">
        <v>10</v>
      </c>
      <c r="M84" s="14">
        <v>1</v>
      </c>
      <c r="N84" s="14">
        <v>0</v>
      </c>
      <c r="O84" s="69">
        <v>39248.1</v>
      </c>
      <c r="P84" s="226">
        <f>VLOOKUP(Table323[[#This Row],[Census Tract]],'Population and Diversity Data'!$B$2:$K$823,10,FALSE)</f>
        <v>4</v>
      </c>
      <c r="Q84" s="226" t="str">
        <f>VLOOKUP(Table323[[#This Row],[Census Tract]],'ES Energy Burden'!$B$2:$E$914,4,FALSE)</f>
        <v>No</v>
      </c>
      <c r="R84" s="248">
        <f>VLOOKUP(Table323[[#This Row],[Census Tract]],'Income and Housing Data'!$B$2:$D$823,3,FALSE)</f>
        <v>76047</v>
      </c>
      <c r="S84" s="248" t="str">
        <f>IF($U$6&lt;=Table323[[#This Row],[Household income]],IF(Table323[[#This Row],[Household income]]&lt;=$U$7, "Yes","No"),"No")</f>
        <v>No</v>
      </c>
    </row>
    <row r="85" spans="1:19" x14ac:dyDescent="0.25">
      <c r="A85" s="147">
        <v>9003406001</v>
      </c>
      <c r="B85" s="148" t="s">
        <v>2739</v>
      </c>
      <c r="C85" s="150" t="s">
        <v>944</v>
      </c>
      <c r="D85" s="70">
        <v>70.362864000000002</v>
      </c>
      <c r="E85" s="70">
        <v>0</v>
      </c>
      <c r="F85" s="14">
        <v>0</v>
      </c>
      <c r="G85" s="14">
        <v>0</v>
      </c>
      <c r="H85" s="14">
        <v>0</v>
      </c>
      <c r="I85" s="14">
        <v>0</v>
      </c>
      <c r="J85" s="69">
        <v>0</v>
      </c>
      <c r="K85">
        <f t="shared" si="1"/>
        <v>0</v>
      </c>
      <c r="L85" s="14">
        <v>0</v>
      </c>
      <c r="M85" s="14">
        <v>0</v>
      </c>
      <c r="N85" s="14">
        <v>0</v>
      </c>
      <c r="O85" s="69">
        <v>0</v>
      </c>
      <c r="P85" s="226">
        <f>VLOOKUP(Table323[[#This Row],[Census Tract]],'Population and Diversity Data'!$B$2:$K$823,10,FALSE)</f>
        <v>4</v>
      </c>
      <c r="Q85" s="226" t="str">
        <f>VLOOKUP(Table323[[#This Row],[Census Tract]],'ES Energy Burden'!$B$2:$E$914,4,FALSE)</f>
        <v>No</v>
      </c>
      <c r="R85" s="248">
        <f>VLOOKUP(Table323[[#This Row],[Census Tract]],'Income and Housing Data'!$B$2:$D$823,3,FALSE)</f>
        <v>50799</v>
      </c>
      <c r="S85" s="248" t="str">
        <f>IF($U$6&lt;=Table323[[#This Row],[Household income]],IF(Table323[[#This Row],[Household income]]&lt;=$U$7, "Yes","No"),"No")</f>
        <v>Yes</v>
      </c>
    </row>
    <row r="86" spans="1:19" x14ac:dyDescent="0.25">
      <c r="A86" s="147">
        <v>9003410101</v>
      </c>
      <c r="B86" s="148" t="s">
        <v>2739</v>
      </c>
      <c r="C86" s="150" t="s">
        <v>944</v>
      </c>
      <c r="D86" s="70">
        <v>121175.56514015999</v>
      </c>
      <c r="E86" s="70">
        <v>88803.831399999995</v>
      </c>
      <c r="F86" s="14">
        <v>24</v>
      </c>
      <c r="G86" s="14">
        <v>24</v>
      </c>
      <c r="H86" s="14">
        <v>0</v>
      </c>
      <c r="I86" s="14">
        <v>0</v>
      </c>
      <c r="J86" s="69">
        <v>20876.07</v>
      </c>
      <c r="K86">
        <f t="shared" si="1"/>
        <v>8</v>
      </c>
      <c r="L86" s="14">
        <v>8</v>
      </c>
      <c r="M86" s="14">
        <v>0</v>
      </c>
      <c r="N86" s="14">
        <v>0</v>
      </c>
      <c r="O86" s="69">
        <v>36086</v>
      </c>
      <c r="P86" s="226">
        <f>VLOOKUP(Table323[[#This Row],[Census Tract]],'Population and Diversity Data'!$B$2:$K$823,10,FALSE)</f>
        <v>1</v>
      </c>
      <c r="Q86" s="226" t="str">
        <f>VLOOKUP(Table323[[#This Row],[Census Tract]],'ES Energy Burden'!$B$2:$E$914,4,FALSE)</f>
        <v>No</v>
      </c>
      <c r="R86" s="248">
        <f>VLOOKUP(Table323[[#This Row],[Census Tract]],'Income and Housing Data'!$B$2:$D$823,3,FALSE)</f>
        <v>117401</v>
      </c>
      <c r="S86" s="248" t="str">
        <f>IF($U$6&lt;=Table323[[#This Row],[Household income]],IF(Table323[[#This Row],[Household income]]&lt;=$U$7, "Yes","No"),"No")</f>
        <v>No</v>
      </c>
    </row>
    <row r="87" spans="1:19" x14ac:dyDescent="0.25">
      <c r="A87" s="147">
        <v>9003410102</v>
      </c>
      <c r="B87" s="148" t="s">
        <v>2739</v>
      </c>
      <c r="C87" s="150" t="s">
        <v>944</v>
      </c>
      <c r="D87" s="70">
        <v>91578.06808704001</v>
      </c>
      <c r="E87" s="70">
        <v>36952.3531</v>
      </c>
      <c r="F87" s="14">
        <v>18</v>
      </c>
      <c r="G87" s="14">
        <v>18</v>
      </c>
      <c r="H87" s="14">
        <v>0</v>
      </c>
      <c r="I87" s="14">
        <v>0</v>
      </c>
      <c r="J87" s="69">
        <v>16328.463100000001</v>
      </c>
      <c r="K87">
        <f t="shared" si="1"/>
        <v>0</v>
      </c>
      <c r="L87" s="14">
        <v>0</v>
      </c>
      <c r="M87" s="14">
        <v>0</v>
      </c>
      <c r="N87" s="14">
        <v>0</v>
      </c>
      <c r="O87" s="69">
        <v>0</v>
      </c>
      <c r="P87" s="226">
        <f>VLOOKUP(Table323[[#This Row],[Census Tract]],'Population and Diversity Data'!$B$2:$K$823,10,FALSE)</f>
        <v>2</v>
      </c>
      <c r="Q87" s="226" t="str">
        <f>VLOOKUP(Table323[[#This Row],[Census Tract]],'ES Energy Burden'!$B$2:$E$914,4,FALSE)</f>
        <v>No</v>
      </c>
      <c r="R87" s="248">
        <f>VLOOKUP(Table323[[#This Row],[Census Tract]],'Income and Housing Data'!$B$2:$D$823,3,FALSE)</f>
        <v>136719</v>
      </c>
      <c r="S87" s="248" t="str">
        <f>IF($U$6&lt;=Table323[[#This Row],[Household income]],IF(Table323[[#This Row],[Household income]]&lt;=$U$7, "Yes","No"),"No")</f>
        <v>No</v>
      </c>
    </row>
    <row r="88" spans="1:19" x14ac:dyDescent="0.25">
      <c r="A88" s="147">
        <v>9003460302</v>
      </c>
      <c r="B88" s="148" t="s">
        <v>2739</v>
      </c>
      <c r="C88" s="150" t="s">
        <v>944</v>
      </c>
      <c r="D88" s="70">
        <v>255.88232640000001</v>
      </c>
      <c r="E88" s="70">
        <v>0</v>
      </c>
      <c r="F88" s="14">
        <v>0</v>
      </c>
      <c r="G88" s="14">
        <v>0</v>
      </c>
      <c r="H88" s="14">
        <v>0</v>
      </c>
      <c r="I88" s="14">
        <v>0</v>
      </c>
      <c r="J88" s="69">
        <v>0</v>
      </c>
      <c r="K88">
        <f t="shared" si="1"/>
        <v>0</v>
      </c>
      <c r="L88" s="14">
        <v>0</v>
      </c>
      <c r="M88" s="14">
        <v>0</v>
      </c>
      <c r="N88" s="14">
        <v>0</v>
      </c>
      <c r="O88" s="69">
        <v>0</v>
      </c>
      <c r="P88" s="226">
        <f>VLOOKUP(Table323[[#This Row],[Census Tract]],'Population and Diversity Data'!$B$2:$K$823,10,FALSE)</f>
        <v>3</v>
      </c>
      <c r="Q88" s="226" t="str">
        <f>VLOOKUP(Table323[[#This Row],[Census Tract]],'ES Energy Burden'!$B$2:$E$914,4,FALSE)</f>
        <v>No</v>
      </c>
      <c r="R88" s="248">
        <f>VLOOKUP(Table323[[#This Row],[Census Tract]],'Income and Housing Data'!$B$2:$D$823,3,FALSE)</f>
        <v>90375</v>
      </c>
      <c r="S88" s="248" t="str">
        <f>IF($U$6&lt;=Table323[[#This Row],[Household income]],IF(Table323[[#This Row],[Household income]]&lt;=$U$7, "Yes","No"),"No")</f>
        <v>No</v>
      </c>
    </row>
    <row r="89" spans="1:19" x14ac:dyDescent="0.25">
      <c r="A89" s="147">
        <v>9005260200</v>
      </c>
      <c r="B89" s="148" t="s">
        <v>2740</v>
      </c>
      <c r="C89" s="150" t="s">
        <v>944</v>
      </c>
      <c r="D89" s="70">
        <v>19721.679793920001</v>
      </c>
      <c r="E89" s="70">
        <v>14058.66</v>
      </c>
      <c r="F89" s="14">
        <v>1</v>
      </c>
      <c r="G89" s="14">
        <v>1</v>
      </c>
      <c r="H89" s="14">
        <v>0</v>
      </c>
      <c r="I89" s="14">
        <v>0</v>
      </c>
      <c r="J89" s="69">
        <v>596.62</v>
      </c>
      <c r="K89">
        <f t="shared" si="1"/>
        <v>0</v>
      </c>
      <c r="L89" s="14">
        <v>0</v>
      </c>
      <c r="M89" s="14">
        <v>0</v>
      </c>
      <c r="N89" s="14">
        <v>0</v>
      </c>
      <c r="O89" s="69">
        <v>0</v>
      </c>
      <c r="P89" s="226">
        <f>VLOOKUP(Table323[[#This Row],[Census Tract]],'Population and Diversity Data'!$B$2:$K$823,10,FALSE)</f>
        <v>1</v>
      </c>
      <c r="Q89" s="226" t="str">
        <f>VLOOKUP(Table323[[#This Row],[Census Tract]],'ES Energy Burden'!$B$2:$E$914,4,FALSE)</f>
        <v>No</v>
      </c>
      <c r="R89" s="248">
        <f>VLOOKUP(Table323[[#This Row],[Census Tract]],'Income and Housing Data'!$B$2:$D$823,3,FALSE)</f>
        <v>62432</v>
      </c>
      <c r="S89" s="248" t="str">
        <f>IF($U$6&lt;=Table323[[#This Row],[Household income]],IF(Table323[[#This Row],[Household income]]&lt;=$U$7, "Yes","No"),"No")</f>
        <v>Yes</v>
      </c>
    </row>
    <row r="90" spans="1:19" x14ac:dyDescent="0.25">
      <c r="A90" s="147">
        <v>9005261100</v>
      </c>
      <c r="B90" s="148" t="s">
        <v>2740</v>
      </c>
      <c r="C90" s="150" t="s">
        <v>944</v>
      </c>
      <c r="D90" s="70">
        <v>51.971846400000004</v>
      </c>
      <c r="E90" s="70">
        <v>0</v>
      </c>
      <c r="F90" s="14">
        <v>0</v>
      </c>
      <c r="G90" s="14">
        <v>0</v>
      </c>
      <c r="H90" s="14">
        <v>0</v>
      </c>
      <c r="I90" s="14">
        <v>0</v>
      </c>
      <c r="J90" s="69">
        <v>0</v>
      </c>
      <c r="K90">
        <f t="shared" si="1"/>
        <v>0</v>
      </c>
      <c r="L90" s="14">
        <v>0</v>
      </c>
      <c r="M90" s="14">
        <v>0</v>
      </c>
      <c r="N90" s="14">
        <v>0</v>
      </c>
      <c r="O90" s="69">
        <v>0</v>
      </c>
      <c r="P90" s="226">
        <f>VLOOKUP(Table323[[#This Row],[Census Tract]],'Population and Diversity Data'!$B$2:$K$823,10,FALSE)</f>
        <v>1</v>
      </c>
      <c r="Q90" s="226" t="str">
        <f>VLOOKUP(Table323[[#This Row],[Census Tract]],'ES Energy Burden'!$B$2:$E$914,4,FALSE)</f>
        <v>No</v>
      </c>
      <c r="R90" s="248">
        <f>VLOOKUP(Table323[[#This Row],[Census Tract]],'Income and Housing Data'!$B$2:$D$823,3,FALSE)</f>
        <v>72658</v>
      </c>
      <c r="S90" s="248" t="str">
        <f>IF($U$6&lt;=Table323[[#This Row],[Household income]],IF(Table323[[#This Row],[Household income]]&lt;=$U$7, "Yes","No"),"No")</f>
        <v>No</v>
      </c>
    </row>
    <row r="91" spans="1:19" x14ac:dyDescent="0.25">
      <c r="A91" s="147">
        <v>9005263200</v>
      </c>
      <c r="B91" s="148" t="s">
        <v>2740</v>
      </c>
      <c r="C91" s="150" t="s">
        <v>944</v>
      </c>
      <c r="D91" s="70">
        <v>63.364204800000003</v>
      </c>
      <c r="E91" s="70">
        <v>0</v>
      </c>
      <c r="F91" s="14">
        <v>0</v>
      </c>
      <c r="G91" s="14">
        <v>0</v>
      </c>
      <c r="H91" s="14">
        <v>0</v>
      </c>
      <c r="I91" s="14">
        <v>0</v>
      </c>
      <c r="J91" s="69">
        <v>0</v>
      </c>
      <c r="K91">
        <f t="shared" si="1"/>
        <v>0</v>
      </c>
      <c r="L91" s="14">
        <v>0</v>
      </c>
      <c r="M91" s="14">
        <v>0</v>
      </c>
      <c r="N91" s="14">
        <v>0</v>
      </c>
      <c r="O91" s="69">
        <v>0</v>
      </c>
      <c r="P91" s="226">
        <f>VLOOKUP(Table323[[#This Row],[Census Tract]],'Population and Diversity Data'!$B$2:$K$823,10,FALSE)</f>
        <v>3</v>
      </c>
      <c r="Q91" s="226" t="str">
        <f>VLOOKUP(Table323[[#This Row],[Census Tract]],'ES Energy Burden'!$B$2:$E$914,4,FALSE)</f>
        <v>No</v>
      </c>
      <c r="R91" s="248">
        <f>VLOOKUP(Table323[[#This Row],[Census Tract]],'Income and Housing Data'!$B$2:$D$823,3,FALSE)</f>
        <v>80000</v>
      </c>
      <c r="S91" s="248" t="str">
        <f>IF($U$6&lt;=Table323[[#This Row],[Household income]],IF(Table323[[#This Row],[Household income]]&lt;=$U$7, "Yes","No"),"No")</f>
        <v>No</v>
      </c>
    </row>
    <row r="92" spans="1:19" x14ac:dyDescent="0.25">
      <c r="A92" s="147">
        <v>9005425600</v>
      </c>
      <c r="B92" s="148" t="s">
        <v>2740</v>
      </c>
      <c r="C92" s="150" t="s">
        <v>944</v>
      </c>
      <c r="D92" s="70">
        <v>29049.917094720004</v>
      </c>
      <c r="E92" s="70">
        <v>18845.7088</v>
      </c>
      <c r="F92" s="14">
        <v>3</v>
      </c>
      <c r="G92" s="14">
        <v>3</v>
      </c>
      <c r="H92" s="14">
        <v>0</v>
      </c>
      <c r="I92" s="14">
        <v>0</v>
      </c>
      <c r="J92" s="69">
        <v>3951.23</v>
      </c>
      <c r="K92">
        <f t="shared" si="1"/>
        <v>2</v>
      </c>
      <c r="L92" s="14">
        <v>2</v>
      </c>
      <c r="M92" s="14">
        <v>0</v>
      </c>
      <c r="N92" s="14">
        <v>0</v>
      </c>
      <c r="O92" s="69">
        <v>14271.5</v>
      </c>
      <c r="P92" s="226">
        <f>VLOOKUP(Table323[[#This Row],[Census Tract]],'Population and Diversity Data'!$B$2:$K$823,10,FALSE)</f>
        <v>1</v>
      </c>
      <c r="Q92" s="226" t="str">
        <f>VLOOKUP(Table323[[#This Row],[Census Tract]],'ES Energy Burden'!$B$2:$E$914,4,FALSE)</f>
        <v>No</v>
      </c>
      <c r="R92" s="248">
        <f>VLOOKUP(Table323[[#This Row],[Census Tract]],'Income and Housing Data'!$B$2:$D$823,3,FALSE)</f>
        <v>77083</v>
      </c>
      <c r="S92" s="248" t="str">
        <f>IF($U$6&lt;=Table323[[#This Row],[Household income]],IF(Table323[[#This Row],[Household income]]&lt;=$U$7, "Yes","No"),"No")</f>
        <v>No</v>
      </c>
    </row>
    <row r="93" spans="1:19" x14ac:dyDescent="0.25">
      <c r="A93" s="147">
        <v>9015825000</v>
      </c>
      <c r="B93" s="148" t="s">
        <v>2741</v>
      </c>
      <c r="C93" s="150" t="s">
        <v>944</v>
      </c>
      <c r="D93" s="70">
        <v>1158.3620352</v>
      </c>
      <c r="E93" s="70">
        <v>1214.33</v>
      </c>
      <c r="F93" s="14">
        <v>0</v>
      </c>
      <c r="G93" s="14">
        <v>0</v>
      </c>
      <c r="H93" s="14">
        <v>0</v>
      </c>
      <c r="I93" s="14">
        <v>0</v>
      </c>
      <c r="J93" s="69">
        <v>0</v>
      </c>
      <c r="K93">
        <f t="shared" si="1"/>
        <v>0</v>
      </c>
      <c r="L93" s="14">
        <v>0</v>
      </c>
      <c r="M93" s="14">
        <v>0</v>
      </c>
      <c r="N93" s="14">
        <v>0</v>
      </c>
      <c r="O93" s="69">
        <v>0</v>
      </c>
      <c r="P93" s="226">
        <f>VLOOKUP(Table323[[#This Row],[Census Tract]],'Population and Diversity Data'!$B$2:$K$823,10,FALSE)</f>
        <v>2</v>
      </c>
      <c r="Q93" s="226" t="str">
        <f>VLOOKUP(Table323[[#This Row],[Census Tract]],'ES Energy Burden'!$B$2:$E$914,4,FALSE)</f>
        <v>No</v>
      </c>
      <c r="R93" s="248">
        <f>VLOOKUP(Table323[[#This Row],[Census Tract]],'Income and Housing Data'!$B$2:$D$823,3,FALSE)</f>
        <v>86053</v>
      </c>
      <c r="S93" s="248" t="str">
        <f>IF($U$6&lt;=Table323[[#This Row],[Household income]],IF(Table323[[#This Row],[Household income]]&lt;=$U$7, "Yes","No"),"No")</f>
        <v>No</v>
      </c>
    </row>
    <row r="94" spans="1:19" x14ac:dyDescent="0.25">
      <c r="A94" s="147">
        <v>9015906100</v>
      </c>
      <c r="B94" s="148" t="s">
        <v>2741</v>
      </c>
      <c r="C94" s="150" t="s">
        <v>944</v>
      </c>
      <c r="D94" s="70">
        <v>101396.99359871999</v>
      </c>
      <c r="E94" s="70">
        <v>34497.020799999998</v>
      </c>
      <c r="F94" s="14">
        <v>9</v>
      </c>
      <c r="G94" s="14">
        <v>9</v>
      </c>
      <c r="H94" s="14">
        <v>0</v>
      </c>
      <c r="I94" s="14">
        <v>0</v>
      </c>
      <c r="J94" s="69">
        <v>6393.39</v>
      </c>
      <c r="K94">
        <f t="shared" si="1"/>
        <v>3</v>
      </c>
      <c r="L94" s="14">
        <v>3</v>
      </c>
      <c r="M94" s="14">
        <v>0</v>
      </c>
      <c r="N94" s="14">
        <v>0</v>
      </c>
      <c r="O94" s="69">
        <v>1709.28</v>
      </c>
      <c r="P94" s="226">
        <f>VLOOKUP(Table323[[#This Row],[Census Tract]],'Population and Diversity Data'!$B$2:$K$823,10,FALSE)</f>
        <v>1</v>
      </c>
      <c r="Q94" s="226" t="str">
        <f>VLOOKUP(Table323[[#This Row],[Census Tract]],'ES Energy Burden'!$B$2:$E$914,4,FALSE)</f>
        <v>No</v>
      </c>
      <c r="R94" s="248">
        <f>VLOOKUP(Table323[[#This Row],[Census Tract]],'Income and Housing Data'!$B$2:$D$823,3,FALSE)</f>
        <v>91973</v>
      </c>
      <c r="S94" s="248" t="str">
        <f>IF($U$6&lt;=Table323[[#This Row],[Household income]],IF(Table323[[#This Row],[Household income]]&lt;=$U$7, "Yes","No"),"No")</f>
        <v>No</v>
      </c>
    </row>
    <row r="95" spans="1:19" x14ac:dyDescent="0.25">
      <c r="A95" s="147">
        <v>9003464101</v>
      </c>
      <c r="B95" s="148" t="s">
        <v>2742</v>
      </c>
      <c r="C95" s="150" t="s">
        <v>944</v>
      </c>
      <c r="D95" s="70">
        <v>118631.9710512</v>
      </c>
      <c r="E95" s="70">
        <v>275715.35590000002</v>
      </c>
      <c r="F95" s="14">
        <v>34</v>
      </c>
      <c r="G95" s="14">
        <v>34</v>
      </c>
      <c r="H95" s="14">
        <v>0</v>
      </c>
      <c r="I95" s="14">
        <v>0</v>
      </c>
      <c r="J95" s="69">
        <v>38311.015299999999</v>
      </c>
      <c r="K95">
        <f t="shared" si="1"/>
        <v>14</v>
      </c>
      <c r="L95" s="14">
        <v>14</v>
      </c>
      <c r="M95" s="14">
        <v>0</v>
      </c>
      <c r="N95" s="14">
        <v>0</v>
      </c>
      <c r="O95" s="69">
        <v>60141.5</v>
      </c>
      <c r="P95" s="226">
        <f>VLOOKUP(Table323[[#This Row],[Census Tract]],'Population and Diversity Data'!$B$2:$K$823,10,FALSE)</f>
        <v>1</v>
      </c>
      <c r="Q95" s="226" t="str">
        <f>VLOOKUP(Table323[[#This Row],[Census Tract]],'ES Energy Burden'!$B$2:$E$914,4,FALSE)</f>
        <v>No</v>
      </c>
      <c r="R95" s="248">
        <f>VLOOKUP(Table323[[#This Row],[Census Tract]],'Income and Housing Data'!$B$2:$D$823,3,FALSE)</f>
        <v>117895</v>
      </c>
      <c r="S95" s="248" t="str">
        <f>IF($U$6&lt;=Table323[[#This Row],[Household income]],IF(Table323[[#This Row],[Household income]]&lt;=$U$7, "Yes","No"),"No")</f>
        <v>No</v>
      </c>
    </row>
    <row r="96" spans="1:19" x14ac:dyDescent="0.25">
      <c r="A96" s="147">
        <v>9003464102</v>
      </c>
      <c r="B96" s="148" t="s">
        <v>2742</v>
      </c>
      <c r="C96" s="150" t="s">
        <v>944</v>
      </c>
      <c r="D96" s="70">
        <v>92435.087191679995</v>
      </c>
      <c r="E96" s="70">
        <v>43294.517699999997</v>
      </c>
      <c r="F96" s="14">
        <v>17</v>
      </c>
      <c r="G96" s="14">
        <v>17</v>
      </c>
      <c r="H96" s="14">
        <v>0</v>
      </c>
      <c r="I96" s="14">
        <v>0</v>
      </c>
      <c r="J96" s="69">
        <v>12683.197700000001</v>
      </c>
      <c r="K96">
        <f t="shared" si="1"/>
        <v>0</v>
      </c>
      <c r="L96" s="14">
        <v>0</v>
      </c>
      <c r="M96" s="14">
        <v>0</v>
      </c>
      <c r="N96" s="14">
        <v>0</v>
      </c>
      <c r="O96" s="69">
        <v>0</v>
      </c>
      <c r="P96" s="226">
        <f>VLOOKUP(Table323[[#This Row],[Census Tract]],'Population and Diversity Data'!$B$2:$K$823,10,FALSE)</f>
        <v>3</v>
      </c>
      <c r="Q96" s="226" t="str">
        <f>VLOOKUP(Table323[[#This Row],[Census Tract]],'ES Energy Burden'!$B$2:$E$914,4,FALSE)</f>
        <v>No</v>
      </c>
      <c r="R96" s="248">
        <f>VLOOKUP(Table323[[#This Row],[Census Tract]],'Income and Housing Data'!$B$2:$D$823,3,FALSE)</f>
        <v>72900</v>
      </c>
      <c r="S96" s="248" t="str">
        <f>IF($U$6&lt;=Table323[[#This Row],[Household income]],IF(Table323[[#This Row],[Household income]]&lt;=$U$7, "Yes","No"),"No")</f>
        <v>No</v>
      </c>
    </row>
    <row r="97" spans="1:19" x14ac:dyDescent="0.25">
      <c r="A97" s="147">
        <v>9003466102</v>
      </c>
      <c r="B97" s="148" t="s">
        <v>2742</v>
      </c>
      <c r="C97" s="150" t="s">
        <v>944</v>
      </c>
      <c r="D97" s="70">
        <v>243.67374719999998</v>
      </c>
      <c r="E97" s="70">
        <v>0</v>
      </c>
      <c r="F97" s="14">
        <v>0</v>
      </c>
      <c r="G97" s="14">
        <v>0</v>
      </c>
      <c r="H97" s="14">
        <v>0</v>
      </c>
      <c r="I97" s="14">
        <v>0</v>
      </c>
      <c r="J97" s="69">
        <v>0</v>
      </c>
      <c r="K97">
        <f t="shared" si="1"/>
        <v>0</v>
      </c>
      <c r="L97" s="14">
        <v>0</v>
      </c>
      <c r="M97" s="14">
        <v>0</v>
      </c>
      <c r="N97" s="14">
        <v>0</v>
      </c>
      <c r="O97" s="69">
        <v>0</v>
      </c>
      <c r="P97" s="226">
        <f>VLOOKUP(Table323[[#This Row],[Census Tract]],'Population and Diversity Data'!$B$2:$K$823,10,FALSE)</f>
        <v>2</v>
      </c>
      <c r="Q97" s="226" t="str">
        <f>VLOOKUP(Table323[[#This Row],[Census Tract]],'ES Energy Burden'!$B$2:$E$914,4,FALSE)</f>
        <v>No</v>
      </c>
      <c r="R97" s="248">
        <f>VLOOKUP(Table323[[#This Row],[Census Tract]],'Income and Housing Data'!$B$2:$D$823,3,FALSE)</f>
        <v>139236</v>
      </c>
      <c r="S97" s="248" t="str">
        <f>IF($U$6&lt;=Table323[[#This Row],[Household income]],IF(Table323[[#This Row],[Household income]]&lt;=$U$7, "Yes","No"),"No")</f>
        <v>No</v>
      </c>
    </row>
    <row r="98" spans="1:19" x14ac:dyDescent="0.25">
      <c r="A98" s="147">
        <v>9003466202</v>
      </c>
      <c r="B98" s="148" t="s">
        <v>2742</v>
      </c>
      <c r="C98" s="150" t="s">
        <v>944</v>
      </c>
      <c r="D98" s="70">
        <v>466.21258560000001</v>
      </c>
      <c r="E98" s="70">
        <v>0</v>
      </c>
      <c r="F98" s="14">
        <v>0</v>
      </c>
      <c r="G98" s="14">
        <v>0</v>
      </c>
      <c r="H98" s="14">
        <v>0</v>
      </c>
      <c r="I98" s="14">
        <v>0</v>
      </c>
      <c r="J98" s="69">
        <v>0</v>
      </c>
      <c r="K98">
        <f t="shared" si="1"/>
        <v>0</v>
      </c>
      <c r="L98" s="14">
        <v>0</v>
      </c>
      <c r="M98" s="14">
        <v>0</v>
      </c>
      <c r="N98" s="14">
        <v>0</v>
      </c>
      <c r="O98" s="69">
        <v>0</v>
      </c>
      <c r="P98" s="226">
        <f>VLOOKUP(Table323[[#This Row],[Census Tract]],'Population and Diversity Data'!$B$2:$K$823,10,FALSE)</f>
        <v>2</v>
      </c>
      <c r="Q98" s="226" t="str">
        <f>VLOOKUP(Table323[[#This Row],[Census Tract]],'ES Energy Burden'!$B$2:$E$914,4,FALSE)</f>
        <v>No</v>
      </c>
      <c r="R98" s="248">
        <f>VLOOKUP(Table323[[#This Row],[Census Tract]],'Income and Housing Data'!$B$2:$D$823,3,FALSE)</f>
        <v>147778</v>
      </c>
      <c r="S98" s="248" t="str">
        <f>IF($U$6&lt;=Table323[[#This Row],[Household income]],IF(Table323[[#This Row],[Household income]]&lt;=$U$7, "Yes","No"),"No")</f>
        <v>No</v>
      </c>
    </row>
    <row r="99" spans="1:19" x14ac:dyDescent="0.25">
      <c r="A99" s="147">
        <v>9013881100</v>
      </c>
      <c r="B99" s="148" t="s">
        <v>2743</v>
      </c>
      <c r="C99" s="150" t="s">
        <v>944</v>
      </c>
      <c r="D99" s="70">
        <v>94.999996800000005</v>
      </c>
      <c r="E99" s="70">
        <v>0</v>
      </c>
      <c r="F99" s="14">
        <v>0</v>
      </c>
      <c r="G99" s="14">
        <v>0</v>
      </c>
      <c r="H99" s="14">
        <v>0</v>
      </c>
      <c r="I99" s="14">
        <v>0</v>
      </c>
      <c r="J99" s="69">
        <v>0</v>
      </c>
      <c r="K99">
        <f t="shared" si="1"/>
        <v>0</v>
      </c>
      <c r="L99" s="14">
        <v>0</v>
      </c>
      <c r="M99" s="14">
        <v>0</v>
      </c>
      <c r="N99" s="14">
        <v>0</v>
      </c>
      <c r="O99" s="69">
        <v>0</v>
      </c>
      <c r="P99" s="226">
        <f>VLOOKUP(Table323[[#This Row],[Census Tract]],'Population and Diversity Data'!$B$2:$K$823,10,FALSE)</f>
        <v>4</v>
      </c>
      <c r="Q99" s="226" t="str">
        <f>VLOOKUP(Table323[[#This Row],[Census Tract]],'ES Energy Burden'!$B$2:$E$914,4,FALSE)</f>
        <v>No</v>
      </c>
      <c r="R99" s="248">
        <f>VLOOKUP(Table323[[#This Row],[Census Tract]],'Income and Housing Data'!$B$2:$D$823,3,FALSE)</f>
        <v>81163</v>
      </c>
      <c r="S99" s="248" t="str">
        <f>IF($U$6&lt;=Table323[[#This Row],[Household income]],IF(Table323[[#This Row],[Household income]]&lt;=$U$7, "Yes","No"),"No")</f>
        <v>No</v>
      </c>
    </row>
    <row r="100" spans="1:19" x14ac:dyDescent="0.25">
      <c r="A100" s="147">
        <v>9015815000</v>
      </c>
      <c r="B100" s="148" t="s">
        <v>2743</v>
      </c>
      <c r="C100" s="150" t="s">
        <v>944</v>
      </c>
      <c r="D100" s="70">
        <v>47722.246640640005</v>
      </c>
      <c r="E100" s="70">
        <v>36685.682000000001</v>
      </c>
      <c r="F100" s="14">
        <v>11</v>
      </c>
      <c r="G100" s="14">
        <v>11</v>
      </c>
      <c r="H100" s="14">
        <v>0</v>
      </c>
      <c r="I100" s="14">
        <v>0</v>
      </c>
      <c r="J100" s="69">
        <v>7846.27</v>
      </c>
      <c r="K100">
        <f t="shared" si="1"/>
        <v>8</v>
      </c>
      <c r="L100" s="14">
        <v>8</v>
      </c>
      <c r="M100" s="14">
        <v>0</v>
      </c>
      <c r="N100" s="14">
        <v>0</v>
      </c>
      <c r="O100" s="69">
        <v>14910.3</v>
      </c>
      <c r="P100" s="226">
        <f>VLOOKUP(Table323[[#This Row],[Census Tract]],'Population and Diversity Data'!$B$2:$K$823,10,FALSE)</f>
        <v>5</v>
      </c>
      <c r="Q100" s="226" t="str">
        <f>VLOOKUP(Table323[[#This Row],[Census Tract]],'ES Energy Burden'!$B$2:$E$914,4,FALSE)</f>
        <v>No</v>
      </c>
      <c r="R100" s="248">
        <f>VLOOKUP(Table323[[#This Row],[Census Tract]],'Income and Housing Data'!$B$2:$D$823,3,FALSE)</f>
        <v>70500</v>
      </c>
      <c r="S100" s="248" t="str">
        <f>IF($U$6&lt;=Table323[[#This Row],[Household income]],IF(Table323[[#This Row],[Household income]]&lt;=$U$7, "Yes","No"),"No")</f>
        <v>No</v>
      </c>
    </row>
    <row r="101" spans="1:19" x14ac:dyDescent="0.25">
      <c r="A101" s="147">
        <v>9009166002</v>
      </c>
      <c r="B101" s="148" t="s">
        <v>2744</v>
      </c>
      <c r="C101" s="150" t="s">
        <v>944</v>
      </c>
      <c r="D101" s="70">
        <v>481.21136640000003</v>
      </c>
      <c r="E101" s="70">
        <v>0</v>
      </c>
      <c r="F101" s="14">
        <v>0</v>
      </c>
      <c r="G101" s="14">
        <v>0</v>
      </c>
      <c r="H101" s="14">
        <v>0</v>
      </c>
      <c r="I101" s="14">
        <v>0</v>
      </c>
      <c r="J101" s="69">
        <v>0</v>
      </c>
      <c r="K101">
        <f t="shared" si="1"/>
        <v>0</v>
      </c>
      <c r="L101" s="14">
        <v>0</v>
      </c>
      <c r="M101" s="14">
        <v>0</v>
      </c>
      <c r="N101" s="14">
        <v>0</v>
      </c>
      <c r="O101" s="69">
        <v>0</v>
      </c>
      <c r="P101" s="226">
        <f>VLOOKUP(Table323[[#This Row],[Census Tract]],'Population and Diversity Data'!$B$2:$K$823,10,FALSE)</f>
        <v>3</v>
      </c>
      <c r="Q101" s="226" t="str">
        <f>VLOOKUP(Table323[[#This Row],[Census Tract]],'ES Energy Burden'!$B$2:$E$914,4,FALSE)</f>
        <v>No</v>
      </c>
      <c r="R101" s="248">
        <f>VLOOKUP(Table323[[#This Row],[Census Tract]],'Income and Housing Data'!$B$2:$D$823,3,FALSE)</f>
        <v>95125</v>
      </c>
      <c r="S101" s="248" t="str">
        <f>IF($U$6&lt;=Table323[[#This Row],[Household income]],IF(Table323[[#This Row],[Household income]]&lt;=$U$7, "Yes","No"),"No")</f>
        <v>No</v>
      </c>
    </row>
    <row r="102" spans="1:19" x14ac:dyDescent="0.25">
      <c r="A102" s="147">
        <v>9009343101</v>
      </c>
      <c r="B102" s="148" t="s">
        <v>2744</v>
      </c>
      <c r="C102" s="150" t="s">
        <v>944</v>
      </c>
      <c r="D102" s="70">
        <v>82328.833434240019</v>
      </c>
      <c r="E102" s="70">
        <v>39982.78</v>
      </c>
      <c r="F102" s="14">
        <v>17</v>
      </c>
      <c r="G102" s="14">
        <v>17</v>
      </c>
      <c r="H102" s="14">
        <v>0</v>
      </c>
      <c r="I102" s="14">
        <v>0</v>
      </c>
      <c r="J102" s="69">
        <v>17651.66</v>
      </c>
      <c r="K102">
        <f t="shared" si="1"/>
        <v>0</v>
      </c>
      <c r="L102" s="14">
        <v>0</v>
      </c>
      <c r="M102" s="14">
        <v>0</v>
      </c>
      <c r="N102" s="14">
        <v>0</v>
      </c>
      <c r="O102" s="69">
        <v>0</v>
      </c>
      <c r="P102" s="226">
        <f>VLOOKUP(Table323[[#This Row],[Census Tract]],'Population and Diversity Data'!$B$2:$K$823,10,FALSE)</f>
        <v>4</v>
      </c>
      <c r="Q102" s="226" t="str">
        <f>VLOOKUP(Table323[[#This Row],[Census Tract]],'ES Energy Burden'!$B$2:$E$914,4,FALSE)</f>
        <v>No</v>
      </c>
      <c r="R102" s="248">
        <f>VLOOKUP(Table323[[#This Row],[Census Tract]],'Income and Housing Data'!$B$2:$D$823,3,FALSE)</f>
        <v>121889</v>
      </c>
      <c r="S102" s="248" t="str">
        <f>IF($U$6&lt;=Table323[[#This Row],[Household income]],IF(Table323[[#This Row],[Household income]]&lt;=$U$7, "Yes","No"),"No")</f>
        <v>No</v>
      </c>
    </row>
    <row r="103" spans="1:19" x14ac:dyDescent="0.25">
      <c r="A103" s="147">
        <v>9009343102</v>
      </c>
      <c r="B103" s="148" t="s">
        <v>2744</v>
      </c>
      <c r="C103" s="150" t="s">
        <v>944</v>
      </c>
      <c r="D103" s="70">
        <v>82879.846151039994</v>
      </c>
      <c r="E103" s="70">
        <v>29712.117900000001</v>
      </c>
      <c r="F103" s="14">
        <v>18</v>
      </c>
      <c r="G103" s="14">
        <v>18</v>
      </c>
      <c r="H103" s="14">
        <v>0</v>
      </c>
      <c r="I103" s="14">
        <v>0</v>
      </c>
      <c r="J103" s="69">
        <v>18273.107899999999</v>
      </c>
      <c r="K103">
        <f t="shared" si="1"/>
        <v>0</v>
      </c>
      <c r="L103" s="14">
        <v>0</v>
      </c>
      <c r="M103" s="14">
        <v>0</v>
      </c>
      <c r="N103" s="14">
        <v>0</v>
      </c>
      <c r="O103" s="69">
        <v>0</v>
      </c>
      <c r="P103" s="226">
        <f>VLOOKUP(Table323[[#This Row],[Census Tract]],'Population and Diversity Data'!$B$2:$K$823,10,FALSE)</f>
        <v>3</v>
      </c>
      <c r="Q103" s="226" t="str">
        <f>VLOOKUP(Table323[[#This Row],[Census Tract]],'ES Energy Burden'!$B$2:$E$914,4,FALSE)</f>
        <v>No</v>
      </c>
      <c r="R103" s="248">
        <f>VLOOKUP(Table323[[#This Row],[Census Tract]],'Income and Housing Data'!$B$2:$D$823,3,FALSE)</f>
        <v>108750</v>
      </c>
      <c r="S103" s="248" t="str">
        <f>IF($U$6&lt;=Table323[[#This Row],[Household income]],IF(Table323[[#This Row],[Household income]]&lt;=$U$7, "Yes","No"),"No")</f>
        <v>No</v>
      </c>
    </row>
    <row r="104" spans="1:19" x14ac:dyDescent="0.25">
      <c r="A104" s="147">
        <v>9009343200</v>
      </c>
      <c r="B104" s="148" t="s">
        <v>2744</v>
      </c>
      <c r="C104" s="150" t="s">
        <v>944</v>
      </c>
      <c r="D104" s="70">
        <v>124500.06834911999</v>
      </c>
      <c r="E104" s="70">
        <v>63604.970600000001</v>
      </c>
      <c r="F104" s="14">
        <v>32</v>
      </c>
      <c r="G104" s="14">
        <v>32</v>
      </c>
      <c r="H104" s="14">
        <v>0</v>
      </c>
      <c r="I104" s="14">
        <v>0</v>
      </c>
      <c r="J104" s="69">
        <v>36062.470600000001</v>
      </c>
      <c r="K104">
        <f t="shared" si="1"/>
        <v>0</v>
      </c>
      <c r="L104" s="14">
        <v>0</v>
      </c>
      <c r="M104" s="14">
        <v>0</v>
      </c>
      <c r="N104" s="14">
        <v>0</v>
      </c>
      <c r="O104" s="69">
        <v>0</v>
      </c>
      <c r="P104" s="226">
        <f>VLOOKUP(Table323[[#This Row],[Census Tract]],'Population and Diversity Data'!$B$2:$K$823,10,FALSE)</f>
        <v>3</v>
      </c>
      <c r="Q104" s="226" t="str">
        <f>VLOOKUP(Table323[[#This Row],[Census Tract]],'ES Energy Burden'!$B$2:$E$914,4,FALSE)</f>
        <v>No</v>
      </c>
      <c r="R104" s="248">
        <f>VLOOKUP(Table323[[#This Row],[Census Tract]],'Income and Housing Data'!$B$2:$D$823,3,FALSE)</f>
        <v>120745</v>
      </c>
      <c r="S104" s="248" t="str">
        <f>IF($U$6&lt;=Table323[[#This Row],[Household income]],IF(Table323[[#This Row],[Household income]]&lt;=$U$7, "Yes","No"),"No")</f>
        <v>No</v>
      </c>
    </row>
    <row r="105" spans="1:19" x14ac:dyDescent="0.25">
      <c r="A105" s="147">
        <v>9009343300</v>
      </c>
      <c r="B105" s="148" t="s">
        <v>2744</v>
      </c>
      <c r="C105" s="150" t="s">
        <v>944</v>
      </c>
      <c r="D105" s="70">
        <v>135596.24742815999</v>
      </c>
      <c r="E105" s="70">
        <v>35106.553699999997</v>
      </c>
      <c r="F105" s="14">
        <v>34</v>
      </c>
      <c r="G105" s="14">
        <v>34</v>
      </c>
      <c r="H105" s="14">
        <v>0</v>
      </c>
      <c r="I105" s="14">
        <v>0</v>
      </c>
      <c r="J105" s="69">
        <v>28528.043699999998</v>
      </c>
      <c r="K105">
        <f t="shared" si="1"/>
        <v>0</v>
      </c>
      <c r="L105" s="14">
        <v>0</v>
      </c>
      <c r="M105" s="14">
        <v>0</v>
      </c>
      <c r="N105" s="14">
        <v>0</v>
      </c>
      <c r="O105" s="69">
        <v>0</v>
      </c>
      <c r="P105" s="226">
        <f>VLOOKUP(Table323[[#This Row],[Census Tract]],'Population and Diversity Data'!$B$2:$K$823,10,FALSE)</f>
        <v>3</v>
      </c>
      <c r="Q105" s="226" t="str">
        <f>VLOOKUP(Table323[[#This Row],[Census Tract]],'ES Energy Burden'!$B$2:$E$914,4,FALSE)</f>
        <v>No</v>
      </c>
      <c r="R105" s="248">
        <f>VLOOKUP(Table323[[#This Row],[Census Tract]],'Income and Housing Data'!$B$2:$D$823,3,FALSE)</f>
        <v>119861</v>
      </c>
      <c r="S105" s="248" t="str">
        <f>IF($U$6&lt;=Table323[[#This Row],[Household income]],IF(Table323[[#This Row],[Household income]]&lt;=$U$7, "Yes","No"),"No")</f>
        <v>No</v>
      </c>
    </row>
    <row r="106" spans="1:19" x14ac:dyDescent="0.25">
      <c r="A106" s="147">
        <v>9009343400</v>
      </c>
      <c r="B106" s="148" t="s">
        <v>2744</v>
      </c>
      <c r="C106" s="150" t="s">
        <v>944</v>
      </c>
      <c r="D106" s="70">
        <v>152085.30500448</v>
      </c>
      <c r="E106" s="70">
        <v>198425.37349999999</v>
      </c>
      <c r="F106" s="14">
        <v>34</v>
      </c>
      <c r="G106" s="14">
        <v>34</v>
      </c>
      <c r="H106" s="14">
        <v>0</v>
      </c>
      <c r="I106" s="14">
        <v>0</v>
      </c>
      <c r="J106" s="69">
        <v>39343.881399999998</v>
      </c>
      <c r="K106">
        <f t="shared" si="1"/>
        <v>30</v>
      </c>
      <c r="L106" s="14">
        <v>30</v>
      </c>
      <c r="M106" s="14">
        <v>0</v>
      </c>
      <c r="N106" s="14">
        <v>0</v>
      </c>
      <c r="O106" s="69">
        <v>98615.5</v>
      </c>
      <c r="P106" s="226">
        <f>VLOOKUP(Table323[[#This Row],[Census Tract]],'Population and Diversity Data'!$B$2:$K$823,10,FALSE)</f>
        <v>4</v>
      </c>
      <c r="Q106" s="226" t="str">
        <f>VLOOKUP(Table323[[#This Row],[Census Tract]],'ES Energy Burden'!$B$2:$E$914,4,FALSE)</f>
        <v>No</v>
      </c>
      <c r="R106" s="248">
        <f>VLOOKUP(Table323[[#This Row],[Census Tract]],'Income and Housing Data'!$B$2:$D$823,3,FALSE)</f>
        <v>120833</v>
      </c>
      <c r="S106" s="248" t="str">
        <f>IF($U$6&lt;=Table323[[#This Row],[Household income]],IF(Table323[[#This Row],[Household income]]&lt;=$U$7, "Yes","No"),"No")</f>
        <v>No</v>
      </c>
    </row>
    <row r="107" spans="1:19" x14ac:dyDescent="0.25">
      <c r="A107" s="147">
        <v>9009347100</v>
      </c>
      <c r="B107" s="148" t="s">
        <v>2744</v>
      </c>
      <c r="C107" s="150" t="s">
        <v>944</v>
      </c>
      <c r="D107" s="70">
        <v>65.558160000000001</v>
      </c>
      <c r="E107" s="70">
        <v>0</v>
      </c>
      <c r="F107" s="14">
        <v>0</v>
      </c>
      <c r="G107" s="14">
        <v>0</v>
      </c>
      <c r="H107" s="14">
        <v>0</v>
      </c>
      <c r="I107" s="14">
        <v>0</v>
      </c>
      <c r="J107" s="69">
        <v>0</v>
      </c>
      <c r="K107">
        <f t="shared" si="1"/>
        <v>0</v>
      </c>
      <c r="L107" s="14">
        <v>0</v>
      </c>
      <c r="M107" s="14">
        <v>0</v>
      </c>
      <c r="N107" s="14">
        <v>0</v>
      </c>
      <c r="O107" s="69">
        <v>0</v>
      </c>
      <c r="P107" s="226">
        <f>VLOOKUP(Table323[[#This Row],[Census Tract]],'Population and Diversity Data'!$B$2:$K$823,10,FALSE)</f>
        <v>1</v>
      </c>
      <c r="Q107" s="226" t="str">
        <f>VLOOKUP(Table323[[#This Row],[Census Tract]],'ES Energy Burden'!$B$2:$E$914,4,FALSE)</f>
        <v>No</v>
      </c>
      <c r="R107" s="248">
        <f>VLOOKUP(Table323[[#This Row],[Census Tract]],'Income and Housing Data'!$B$2:$D$823,3,FALSE)</f>
        <v>101848</v>
      </c>
      <c r="S107" s="248" t="str">
        <f>IF($U$6&lt;=Table323[[#This Row],[Household income]],IF(Table323[[#This Row],[Household income]]&lt;=$U$7, "Yes","No"),"No")</f>
        <v>No</v>
      </c>
    </row>
    <row r="108" spans="1:19" x14ac:dyDescent="0.25">
      <c r="A108" s="147">
        <v>9007600100</v>
      </c>
      <c r="B108" s="148" t="s">
        <v>2745</v>
      </c>
      <c r="C108" s="150" t="s">
        <v>944</v>
      </c>
      <c r="D108" s="70">
        <v>88488.774820799998</v>
      </c>
      <c r="E108" s="70">
        <v>28427.077499999999</v>
      </c>
      <c r="F108" s="14">
        <v>20</v>
      </c>
      <c r="G108" s="14">
        <v>20</v>
      </c>
      <c r="H108" s="14">
        <v>0</v>
      </c>
      <c r="I108" s="14">
        <v>0</v>
      </c>
      <c r="J108" s="69">
        <v>17867.427599999999</v>
      </c>
      <c r="K108">
        <f t="shared" si="1"/>
        <v>1</v>
      </c>
      <c r="L108" s="14">
        <v>1</v>
      </c>
      <c r="M108" s="14">
        <v>0</v>
      </c>
      <c r="N108" s="14">
        <v>0</v>
      </c>
      <c r="O108" s="69">
        <v>1169.9000000000001</v>
      </c>
      <c r="P108" s="226">
        <f>VLOOKUP(Table323[[#This Row],[Census Tract]],'Population and Diversity Data'!$B$2:$K$823,10,FALSE)</f>
        <v>1</v>
      </c>
      <c r="Q108" s="226" t="str">
        <f>VLOOKUP(Table323[[#This Row],[Census Tract]],'ES Energy Burden'!$B$2:$E$914,4,FALSE)</f>
        <v>No</v>
      </c>
      <c r="R108" s="248">
        <f>VLOOKUP(Table323[[#This Row],[Census Tract]],'Income and Housing Data'!$B$2:$D$823,3,FALSE)</f>
        <v>88167</v>
      </c>
      <c r="S108" s="248" t="str">
        <f>IF($U$6&lt;=Table323[[#This Row],[Household income]],IF(Table323[[#This Row],[Household income]]&lt;=$U$7, "Yes","No"),"No")</f>
        <v>No</v>
      </c>
    </row>
    <row r="109" spans="1:19" x14ac:dyDescent="0.25">
      <c r="A109" s="147">
        <v>9007610100</v>
      </c>
      <c r="B109" s="148" t="s">
        <v>2746</v>
      </c>
      <c r="C109" s="150" t="s">
        <v>944</v>
      </c>
      <c r="D109" s="70">
        <v>49833.557458559997</v>
      </c>
      <c r="E109" s="70">
        <v>5070.47</v>
      </c>
      <c r="F109" s="14">
        <v>7</v>
      </c>
      <c r="G109" s="14">
        <v>7</v>
      </c>
      <c r="H109" s="14">
        <v>0</v>
      </c>
      <c r="I109" s="14">
        <v>0</v>
      </c>
      <c r="J109" s="69">
        <v>5067.09</v>
      </c>
      <c r="K109">
        <f t="shared" si="1"/>
        <v>0</v>
      </c>
      <c r="L109" s="14">
        <v>0</v>
      </c>
      <c r="M109" s="14">
        <v>0</v>
      </c>
      <c r="N109" s="14">
        <v>0</v>
      </c>
      <c r="O109" s="69">
        <v>0</v>
      </c>
      <c r="P109" s="226">
        <f>VLOOKUP(Table323[[#This Row],[Census Tract]],'Population and Diversity Data'!$B$2:$K$823,10,FALSE)</f>
        <v>1</v>
      </c>
      <c r="Q109" s="226" t="str">
        <f>VLOOKUP(Table323[[#This Row],[Census Tract]],'ES Energy Burden'!$B$2:$E$914,4,FALSE)</f>
        <v>No</v>
      </c>
      <c r="R109" s="248">
        <f>VLOOKUP(Table323[[#This Row],[Census Tract]],'Income and Housing Data'!$B$2:$D$823,3,FALSE)</f>
        <v>75938</v>
      </c>
      <c r="S109" s="248" t="str">
        <f>IF($U$6&lt;=Table323[[#This Row],[Household income]],IF(Table323[[#This Row],[Household income]]&lt;=$U$7, "Yes","No"),"No")</f>
        <v>No</v>
      </c>
    </row>
    <row r="110" spans="1:19" x14ac:dyDescent="0.25">
      <c r="A110" s="147">
        <v>9007610200</v>
      </c>
      <c r="B110" s="148" t="s">
        <v>2746</v>
      </c>
      <c r="C110" s="150" t="s">
        <v>944</v>
      </c>
      <c r="D110" s="70">
        <v>82281.225185279996</v>
      </c>
      <c r="E110" s="70">
        <v>16245.14</v>
      </c>
      <c r="F110" s="14">
        <v>13</v>
      </c>
      <c r="G110" s="14">
        <v>13</v>
      </c>
      <c r="H110" s="14">
        <v>0</v>
      </c>
      <c r="I110" s="14">
        <v>0</v>
      </c>
      <c r="J110" s="69">
        <v>13992.08</v>
      </c>
      <c r="K110">
        <f t="shared" si="1"/>
        <v>0</v>
      </c>
      <c r="L110" s="14">
        <v>0</v>
      </c>
      <c r="M110" s="14">
        <v>0</v>
      </c>
      <c r="N110" s="14">
        <v>0</v>
      </c>
      <c r="O110" s="69">
        <v>0</v>
      </c>
      <c r="P110" s="226">
        <f>VLOOKUP(Table323[[#This Row],[Census Tract]],'Population and Diversity Data'!$B$2:$K$823,10,FALSE)</f>
        <v>2</v>
      </c>
      <c r="Q110" s="226" t="str">
        <f>VLOOKUP(Table323[[#This Row],[Census Tract]],'ES Energy Burden'!$B$2:$E$914,4,FALSE)</f>
        <v>No</v>
      </c>
      <c r="R110" s="248">
        <f>VLOOKUP(Table323[[#This Row],[Census Tract]],'Income and Housing Data'!$B$2:$D$823,3,FALSE)</f>
        <v>64406</v>
      </c>
      <c r="S110" s="248" t="str">
        <f>IF($U$6&lt;=Table323[[#This Row],[Household income]],IF(Table323[[#This Row],[Household income]]&lt;=$U$7, "Yes","No"),"No")</f>
        <v>No</v>
      </c>
    </row>
    <row r="111" spans="1:19" x14ac:dyDescent="0.25">
      <c r="A111" s="147">
        <v>9007610300</v>
      </c>
      <c r="B111" s="148" t="s">
        <v>2746</v>
      </c>
      <c r="C111" s="150" t="s">
        <v>944</v>
      </c>
      <c r="D111" s="70">
        <v>89308.610147519998</v>
      </c>
      <c r="E111" s="70">
        <v>89279.610400000005</v>
      </c>
      <c r="F111" s="14">
        <v>16</v>
      </c>
      <c r="G111" s="14">
        <v>16</v>
      </c>
      <c r="H111" s="14">
        <v>0</v>
      </c>
      <c r="I111" s="14">
        <v>0</v>
      </c>
      <c r="J111" s="69">
        <v>19707.68</v>
      </c>
      <c r="K111">
        <f t="shared" si="1"/>
        <v>7</v>
      </c>
      <c r="L111" s="14">
        <v>7</v>
      </c>
      <c r="M111" s="14">
        <v>0</v>
      </c>
      <c r="N111" s="14">
        <v>0</v>
      </c>
      <c r="O111" s="69">
        <v>5642.19</v>
      </c>
      <c r="P111" s="226">
        <f>VLOOKUP(Table323[[#This Row],[Census Tract]],'Population and Diversity Data'!$B$2:$K$823,10,FALSE)</f>
        <v>1</v>
      </c>
      <c r="Q111" s="226" t="str">
        <f>VLOOKUP(Table323[[#This Row],[Census Tract]],'ES Energy Burden'!$B$2:$E$914,4,FALSE)</f>
        <v>No</v>
      </c>
      <c r="R111" s="248">
        <f>VLOOKUP(Table323[[#This Row],[Census Tract]],'Income and Housing Data'!$B$2:$D$823,3,FALSE)</f>
        <v>89545</v>
      </c>
      <c r="S111" s="248" t="str">
        <f>IF($U$6&lt;=Table323[[#This Row],[Household income]],IF(Table323[[#This Row],[Household income]]&lt;=$U$7, "Yes","No"),"No")</f>
        <v>No</v>
      </c>
    </row>
    <row r="112" spans="1:19" x14ac:dyDescent="0.25">
      <c r="A112" s="147">
        <v>9007610400</v>
      </c>
      <c r="B112" s="148" t="s">
        <v>2746</v>
      </c>
      <c r="C112" s="150" t="s">
        <v>944</v>
      </c>
      <c r="D112" s="70">
        <v>67241.355482879997</v>
      </c>
      <c r="E112" s="70">
        <v>9962.2000000000007</v>
      </c>
      <c r="F112" s="14">
        <v>10</v>
      </c>
      <c r="G112" s="14">
        <v>10</v>
      </c>
      <c r="H112" s="14">
        <v>0</v>
      </c>
      <c r="I112" s="14">
        <v>0</v>
      </c>
      <c r="J112" s="69">
        <v>9957.9599999999991</v>
      </c>
      <c r="K112">
        <f t="shared" si="1"/>
        <v>0</v>
      </c>
      <c r="L112" s="14">
        <v>0</v>
      </c>
      <c r="M112" s="14">
        <v>0</v>
      </c>
      <c r="N112" s="14">
        <v>0</v>
      </c>
      <c r="O112" s="69">
        <v>0</v>
      </c>
      <c r="P112" s="226">
        <f>VLOOKUP(Table323[[#This Row],[Census Tract]],'Population and Diversity Data'!$B$2:$K$823,10,FALSE)</f>
        <v>1</v>
      </c>
      <c r="Q112" s="226" t="str">
        <f>VLOOKUP(Table323[[#This Row],[Census Tract]],'ES Energy Burden'!$B$2:$E$914,4,FALSE)</f>
        <v>No</v>
      </c>
      <c r="R112" s="248">
        <f>VLOOKUP(Table323[[#This Row],[Census Tract]],'Income and Housing Data'!$B$2:$D$823,3,FALSE)</f>
        <v>95057</v>
      </c>
      <c r="S112" s="248" t="str">
        <f>IF($U$6&lt;=Table323[[#This Row],[Household income]],IF(Table323[[#This Row],[Household income]]&lt;=$U$7, "Yes","No"),"No")</f>
        <v>No</v>
      </c>
    </row>
    <row r="113" spans="1:19" x14ac:dyDescent="0.25">
      <c r="A113" s="147">
        <v>9007550201</v>
      </c>
      <c r="B113" s="148" t="s">
        <v>2747</v>
      </c>
      <c r="C113" s="150" t="s">
        <v>944</v>
      </c>
      <c r="D113" s="70">
        <v>472.47606719999999</v>
      </c>
      <c r="E113" s="70">
        <v>0</v>
      </c>
      <c r="F113" s="14">
        <v>0</v>
      </c>
      <c r="G113" s="14">
        <v>0</v>
      </c>
      <c r="H113" s="14">
        <v>0</v>
      </c>
      <c r="I113" s="14">
        <v>0</v>
      </c>
      <c r="J113" s="69">
        <v>0</v>
      </c>
      <c r="K113">
        <f t="shared" si="1"/>
        <v>0</v>
      </c>
      <c r="L113" s="14">
        <v>0</v>
      </c>
      <c r="M113" s="14">
        <v>0</v>
      </c>
      <c r="N113" s="14">
        <v>0</v>
      </c>
      <c r="O113" s="69">
        <v>0</v>
      </c>
      <c r="P113" s="226">
        <f>VLOOKUP(Table323[[#This Row],[Census Tract]],'Population and Diversity Data'!$B$2:$K$823,10,FALSE)</f>
        <v>2</v>
      </c>
      <c r="Q113" s="226" t="str">
        <f>VLOOKUP(Table323[[#This Row],[Census Tract]],'ES Energy Burden'!$B$2:$E$914,4,FALSE)</f>
        <v>No</v>
      </c>
      <c r="R113" s="248">
        <f>VLOOKUP(Table323[[#This Row],[Census Tract]],'Income and Housing Data'!$B$2:$D$823,3,FALSE)</f>
        <v>113466</v>
      </c>
      <c r="S113" s="248" t="str">
        <f>IF($U$6&lt;=Table323[[#This Row],[Household income]],IF(Table323[[#This Row],[Household income]]&lt;=$U$7, "Yes","No"),"No")</f>
        <v>No</v>
      </c>
    </row>
    <row r="114" spans="1:19" x14ac:dyDescent="0.25">
      <c r="A114" s="147">
        <v>9007595101</v>
      </c>
      <c r="B114" s="148" t="s">
        <v>2747</v>
      </c>
      <c r="C114" s="150" t="s">
        <v>944</v>
      </c>
      <c r="D114" s="70">
        <v>1526.8828320000002</v>
      </c>
      <c r="E114" s="70">
        <v>0</v>
      </c>
      <c r="F114" s="14">
        <v>0</v>
      </c>
      <c r="G114" s="14">
        <v>0</v>
      </c>
      <c r="H114" s="14">
        <v>0</v>
      </c>
      <c r="I114" s="14">
        <v>0</v>
      </c>
      <c r="J114" s="69">
        <v>0</v>
      </c>
      <c r="K114">
        <f t="shared" si="1"/>
        <v>0</v>
      </c>
      <c r="L114" s="14">
        <v>0</v>
      </c>
      <c r="M114" s="14">
        <v>0</v>
      </c>
      <c r="N114" s="14">
        <v>0</v>
      </c>
      <c r="O114" s="69">
        <v>0</v>
      </c>
      <c r="P114" s="226">
        <f>VLOOKUP(Table323[[#This Row],[Census Tract]],'Population and Diversity Data'!$B$2:$K$823,10,FALSE)</f>
        <v>1</v>
      </c>
      <c r="Q114" s="226" t="str">
        <f>VLOOKUP(Table323[[#This Row],[Census Tract]],'ES Energy Burden'!$B$2:$E$914,4,FALSE)</f>
        <v>No</v>
      </c>
      <c r="R114" s="248">
        <f>VLOOKUP(Table323[[#This Row],[Census Tract]],'Income and Housing Data'!$B$2:$D$823,3,FALSE)</f>
        <v>105441</v>
      </c>
      <c r="S114" s="248" t="str">
        <f>IF($U$6&lt;=Table323[[#This Row],[Household income]],IF(Table323[[#This Row],[Household income]]&lt;=$U$7, "Yes","No"),"No")</f>
        <v>No</v>
      </c>
    </row>
    <row r="115" spans="1:19" x14ac:dyDescent="0.25">
      <c r="A115" s="147">
        <v>9011714101</v>
      </c>
      <c r="B115" s="148" t="s">
        <v>2747</v>
      </c>
      <c r="C115" s="150" t="s">
        <v>944</v>
      </c>
      <c r="D115" s="70">
        <v>62835.427442879998</v>
      </c>
      <c r="E115" s="70">
        <v>68354.2</v>
      </c>
      <c r="F115" s="14">
        <v>12</v>
      </c>
      <c r="G115" s="14">
        <v>12</v>
      </c>
      <c r="H115" s="14">
        <v>0</v>
      </c>
      <c r="I115" s="14">
        <v>0</v>
      </c>
      <c r="J115" s="69">
        <v>11207.25</v>
      </c>
      <c r="K115">
        <f t="shared" si="1"/>
        <v>0</v>
      </c>
      <c r="L115" s="14">
        <v>0</v>
      </c>
      <c r="M115" s="14">
        <v>0</v>
      </c>
      <c r="N115" s="14">
        <v>0</v>
      </c>
      <c r="O115" s="69">
        <v>0</v>
      </c>
      <c r="P115" s="226">
        <f>VLOOKUP(Table323[[#This Row],[Census Tract]],'Population and Diversity Data'!$B$2:$K$823,10,FALSE)</f>
        <v>1</v>
      </c>
      <c r="Q115" s="226" t="str">
        <f>VLOOKUP(Table323[[#This Row],[Census Tract]],'ES Energy Burden'!$B$2:$E$914,4,FALSE)</f>
        <v>No</v>
      </c>
      <c r="R115" s="248">
        <f>VLOOKUP(Table323[[#This Row],[Census Tract]],'Income and Housing Data'!$B$2:$D$823,3,FALSE)</f>
        <v>67917</v>
      </c>
      <c r="S115" s="248" t="str">
        <f>IF($U$6&lt;=Table323[[#This Row],[Household income]],IF(Table323[[#This Row],[Household income]]&lt;=$U$7, "Yes","No"),"No")</f>
        <v>No</v>
      </c>
    </row>
    <row r="116" spans="1:19" x14ac:dyDescent="0.25">
      <c r="A116" s="147">
        <v>9011714103</v>
      </c>
      <c r="B116" s="148" t="s">
        <v>2747</v>
      </c>
      <c r="C116" s="150" t="s">
        <v>944</v>
      </c>
      <c r="D116" s="70">
        <v>142560.62130239999</v>
      </c>
      <c r="E116" s="70">
        <v>273925.8946</v>
      </c>
      <c r="F116" s="14">
        <v>48</v>
      </c>
      <c r="G116" s="14">
        <v>48</v>
      </c>
      <c r="H116" s="14">
        <v>0</v>
      </c>
      <c r="I116" s="14">
        <v>0</v>
      </c>
      <c r="J116" s="69">
        <v>42003.220600000001</v>
      </c>
      <c r="K116">
        <f t="shared" si="1"/>
        <v>35</v>
      </c>
      <c r="L116" s="14">
        <v>13</v>
      </c>
      <c r="M116" s="14">
        <v>0</v>
      </c>
      <c r="N116" s="14">
        <v>22</v>
      </c>
      <c r="O116" s="69">
        <v>216806</v>
      </c>
      <c r="P116" s="226">
        <f>VLOOKUP(Table323[[#This Row],[Census Tract]],'Population and Diversity Data'!$B$2:$K$823,10,FALSE)</f>
        <v>3</v>
      </c>
      <c r="Q116" s="226" t="str">
        <f>VLOOKUP(Table323[[#This Row],[Census Tract]],'ES Energy Burden'!$B$2:$E$914,4,FALSE)</f>
        <v>No</v>
      </c>
      <c r="R116" s="248">
        <f>VLOOKUP(Table323[[#This Row],[Census Tract]],'Income and Housing Data'!$B$2:$D$823,3,FALSE)</f>
        <v>124141</v>
      </c>
      <c r="S116" s="248" t="str">
        <f>IF($U$6&lt;=Table323[[#This Row],[Household income]],IF(Table323[[#This Row],[Household income]]&lt;=$U$7, "Yes","No"),"No")</f>
        <v>No</v>
      </c>
    </row>
    <row r="117" spans="1:19" x14ac:dyDescent="0.25">
      <c r="A117" s="147">
        <v>9011714104</v>
      </c>
      <c r="B117" s="148" t="s">
        <v>2747</v>
      </c>
      <c r="C117" s="150" t="s">
        <v>944</v>
      </c>
      <c r="D117" s="70">
        <v>98268.869062080004</v>
      </c>
      <c r="E117" s="70">
        <v>30020.496500000001</v>
      </c>
      <c r="F117" s="14">
        <v>17</v>
      </c>
      <c r="G117" s="14">
        <v>17</v>
      </c>
      <c r="H117" s="14">
        <v>0</v>
      </c>
      <c r="I117" s="14">
        <v>0</v>
      </c>
      <c r="J117" s="69">
        <v>13613.336499999999</v>
      </c>
      <c r="K117">
        <f t="shared" si="1"/>
        <v>0</v>
      </c>
      <c r="L117" s="14">
        <v>0</v>
      </c>
      <c r="M117" s="14">
        <v>0</v>
      </c>
      <c r="N117" s="14">
        <v>0</v>
      </c>
      <c r="O117" s="69">
        <v>0</v>
      </c>
      <c r="P117" s="226">
        <f>VLOOKUP(Table323[[#This Row],[Census Tract]],'Population and Diversity Data'!$B$2:$K$823,10,FALSE)</f>
        <v>1</v>
      </c>
      <c r="Q117" s="226" t="str">
        <f>VLOOKUP(Table323[[#This Row],[Census Tract]],'ES Energy Burden'!$B$2:$E$914,4,FALSE)</f>
        <v>No</v>
      </c>
      <c r="R117" s="248">
        <f>VLOOKUP(Table323[[#This Row],[Census Tract]],'Income and Housing Data'!$B$2:$D$823,3,FALSE)</f>
        <v>102610</v>
      </c>
      <c r="S117" s="248" t="str">
        <f>IF($U$6&lt;=Table323[[#This Row],[Household income]],IF(Table323[[#This Row],[Household income]]&lt;=$U$7, "Yes","No"),"No")</f>
        <v>No</v>
      </c>
    </row>
    <row r="118" spans="1:19" x14ac:dyDescent="0.25">
      <c r="A118" s="147">
        <v>9011715100</v>
      </c>
      <c r="B118" s="148" t="s">
        <v>2747</v>
      </c>
      <c r="C118" s="150" t="s">
        <v>944</v>
      </c>
      <c r="D118" s="70">
        <v>428.2438464</v>
      </c>
      <c r="E118" s="70">
        <v>1963.71</v>
      </c>
      <c r="F118" s="14">
        <v>1</v>
      </c>
      <c r="G118" s="14">
        <v>1</v>
      </c>
      <c r="H118" s="14">
        <v>0</v>
      </c>
      <c r="I118" s="14">
        <v>0</v>
      </c>
      <c r="J118" s="69">
        <v>1961.52</v>
      </c>
      <c r="K118">
        <f t="shared" si="1"/>
        <v>0</v>
      </c>
      <c r="L118" s="14">
        <v>0</v>
      </c>
      <c r="M118" s="14">
        <v>0</v>
      </c>
      <c r="N118" s="14">
        <v>0</v>
      </c>
      <c r="O118" s="69">
        <v>0</v>
      </c>
      <c r="P118" s="226">
        <f>VLOOKUP(Table323[[#This Row],[Census Tract]],'Population and Diversity Data'!$B$2:$K$823,10,FALSE)</f>
        <v>3</v>
      </c>
      <c r="Q118" s="226" t="str">
        <f>VLOOKUP(Table323[[#This Row],[Census Tract]],'ES Energy Burden'!$B$2:$E$914,4,FALSE)</f>
        <v>No</v>
      </c>
      <c r="R118" s="248">
        <f>VLOOKUP(Table323[[#This Row],[Census Tract]],'Income and Housing Data'!$B$2:$D$823,3,FALSE)</f>
        <v>109460</v>
      </c>
      <c r="S118" s="248" t="str">
        <f>IF($U$6&lt;=Table323[[#This Row],[Household income]],IF(Table323[[#This Row],[Household income]]&lt;=$U$7, "Yes","No"),"No")</f>
        <v>No</v>
      </c>
    </row>
    <row r="119" spans="1:19" x14ac:dyDescent="0.25">
      <c r="A119" s="147">
        <v>9011870100</v>
      </c>
      <c r="B119" s="148" t="s">
        <v>2747</v>
      </c>
      <c r="C119" s="150" t="s">
        <v>944</v>
      </c>
      <c r="D119" s="70">
        <v>1162.304208</v>
      </c>
      <c r="E119" s="70">
        <v>0</v>
      </c>
      <c r="F119" s="14">
        <v>0</v>
      </c>
      <c r="G119" s="14">
        <v>0</v>
      </c>
      <c r="H119" s="14">
        <v>0</v>
      </c>
      <c r="I119" s="14">
        <v>0</v>
      </c>
      <c r="J119" s="69">
        <v>0</v>
      </c>
      <c r="K119">
        <f t="shared" si="1"/>
        <v>0</v>
      </c>
      <c r="L119" s="14">
        <v>0</v>
      </c>
      <c r="M119" s="14">
        <v>0</v>
      </c>
      <c r="N119" s="14">
        <v>0</v>
      </c>
      <c r="O119" s="69">
        <v>0</v>
      </c>
      <c r="P119" s="226">
        <f>VLOOKUP(Table323[[#This Row],[Census Tract]],'Population and Diversity Data'!$B$2:$K$823,10,FALSE)</f>
        <v>1</v>
      </c>
      <c r="Q119" s="226" t="str">
        <f>VLOOKUP(Table323[[#This Row],[Census Tract]],'ES Energy Burden'!$B$2:$E$914,4,FALSE)</f>
        <v>No</v>
      </c>
      <c r="R119" s="248">
        <f>VLOOKUP(Table323[[#This Row],[Census Tract]],'Income and Housing Data'!$B$2:$D$823,3,FALSE)</f>
        <v>91684</v>
      </c>
      <c r="S119" s="248" t="str">
        <f>IF($U$6&lt;=Table323[[#This Row],[Household income]],IF(Table323[[#This Row],[Household income]]&lt;=$U$7, "Yes","No"),"No")</f>
        <v>No</v>
      </c>
    </row>
    <row r="120" spans="1:19" x14ac:dyDescent="0.25">
      <c r="A120" s="147">
        <v>9013526101</v>
      </c>
      <c r="B120" s="148" t="s">
        <v>2747</v>
      </c>
      <c r="C120" s="150" t="s">
        <v>944</v>
      </c>
      <c r="D120" s="70">
        <v>787.97724479999999</v>
      </c>
      <c r="E120" s="70">
        <v>1107.58</v>
      </c>
      <c r="F120" s="14">
        <v>0</v>
      </c>
      <c r="G120" s="14">
        <v>0</v>
      </c>
      <c r="H120" s="14">
        <v>0</v>
      </c>
      <c r="I120" s="14">
        <v>0</v>
      </c>
      <c r="J120" s="69">
        <v>0</v>
      </c>
      <c r="K120">
        <f t="shared" si="1"/>
        <v>0</v>
      </c>
      <c r="L120" s="14">
        <v>0</v>
      </c>
      <c r="M120" s="14">
        <v>0</v>
      </c>
      <c r="N120" s="14">
        <v>0</v>
      </c>
      <c r="O120" s="69">
        <v>0</v>
      </c>
      <c r="P120" s="226">
        <f>VLOOKUP(Table323[[#This Row],[Census Tract]],'Population and Diversity Data'!$B$2:$K$823,10,FALSE)</f>
        <v>2</v>
      </c>
      <c r="Q120" s="226" t="str">
        <f>VLOOKUP(Table323[[#This Row],[Census Tract]],'ES Energy Burden'!$B$2:$E$914,4,FALSE)</f>
        <v>No</v>
      </c>
      <c r="R120" s="248">
        <f>VLOOKUP(Table323[[#This Row],[Census Tract]],'Income and Housing Data'!$B$2:$D$823,3,FALSE)</f>
        <v>121250</v>
      </c>
      <c r="S120" s="248" t="str">
        <f>IF($U$6&lt;=Table323[[#This Row],[Household income]],IF(Table323[[#This Row],[Household income]]&lt;=$U$7, "Yes","No"),"No")</f>
        <v>No</v>
      </c>
    </row>
    <row r="121" spans="1:19" x14ac:dyDescent="0.25">
      <c r="A121" s="147">
        <v>9005293100</v>
      </c>
      <c r="B121" s="148" t="s">
        <v>2748</v>
      </c>
      <c r="C121" s="150" t="s">
        <v>944</v>
      </c>
      <c r="D121" s="70">
        <v>33902.455685759996</v>
      </c>
      <c r="E121" s="70">
        <v>31218.78</v>
      </c>
      <c r="F121" s="14">
        <v>7</v>
      </c>
      <c r="G121" s="14">
        <v>7</v>
      </c>
      <c r="H121" s="14">
        <v>0</v>
      </c>
      <c r="I121" s="14">
        <v>0</v>
      </c>
      <c r="J121" s="69">
        <v>8861.4500000000007</v>
      </c>
      <c r="K121">
        <f t="shared" si="1"/>
        <v>3</v>
      </c>
      <c r="L121" s="14">
        <v>3</v>
      </c>
      <c r="M121" s="14">
        <v>0</v>
      </c>
      <c r="N121" s="14">
        <v>0</v>
      </c>
      <c r="O121" s="69">
        <v>20354</v>
      </c>
      <c r="P121" s="226">
        <f>VLOOKUP(Table323[[#This Row],[Census Tract]],'Population and Diversity Data'!$B$2:$K$823,10,FALSE)</f>
        <v>1</v>
      </c>
      <c r="Q121" s="226" t="str">
        <f>VLOOKUP(Table323[[#This Row],[Census Tract]],'ES Energy Burden'!$B$2:$E$914,4,FALSE)</f>
        <v>No</v>
      </c>
      <c r="R121" s="248">
        <f>VLOOKUP(Table323[[#This Row],[Census Tract]],'Income and Housing Data'!$B$2:$D$823,3,FALSE)</f>
        <v>98250</v>
      </c>
      <c r="S121" s="248" t="str">
        <f>IF($U$6&lt;=Table323[[#This Row],[Household income]],IF(Table323[[#This Row],[Household income]]&lt;=$U$7, "Yes","No"),"No")</f>
        <v>No</v>
      </c>
    </row>
    <row r="122" spans="1:19" x14ac:dyDescent="0.25">
      <c r="A122" s="147">
        <v>9005320100</v>
      </c>
      <c r="B122" s="148" t="s">
        <v>2748</v>
      </c>
      <c r="C122" s="150" t="s">
        <v>944</v>
      </c>
      <c r="D122" s="70">
        <v>236.81980800000002</v>
      </c>
      <c r="E122" s="70">
        <v>0</v>
      </c>
      <c r="F122" s="14">
        <v>0</v>
      </c>
      <c r="G122" s="14">
        <v>0</v>
      </c>
      <c r="H122" s="14">
        <v>0</v>
      </c>
      <c r="I122" s="14">
        <v>0</v>
      </c>
      <c r="J122" s="69">
        <v>0</v>
      </c>
      <c r="K122">
        <f t="shared" si="1"/>
        <v>0</v>
      </c>
      <c r="L122" s="14">
        <v>0</v>
      </c>
      <c r="M122" s="14">
        <v>0</v>
      </c>
      <c r="N122" s="14">
        <v>0</v>
      </c>
      <c r="O122" s="69">
        <v>0</v>
      </c>
      <c r="P122" s="226">
        <f>VLOOKUP(Table323[[#This Row],[Census Tract]],'Population and Diversity Data'!$B$2:$K$823,10,FALSE)</f>
        <v>1</v>
      </c>
      <c r="Q122" s="226" t="str">
        <f>VLOOKUP(Table323[[#This Row],[Census Tract]],'ES Energy Burden'!$B$2:$E$914,4,FALSE)</f>
        <v>No</v>
      </c>
      <c r="R122" s="248">
        <f>VLOOKUP(Table323[[#This Row],[Census Tract]],'Income and Housing Data'!$B$2:$D$823,3,FALSE)</f>
        <v>60160</v>
      </c>
      <c r="S122" s="248" t="str">
        <f>IF($U$6&lt;=Table323[[#This Row],[Household income]],IF(Table323[[#This Row],[Household income]]&lt;=$U$7, "Yes","No"),"No")</f>
        <v>Yes</v>
      </c>
    </row>
    <row r="123" spans="1:19" x14ac:dyDescent="0.25">
      <c r="A123" s="147">
        <v>9013850200</v>
      </c>
      <c r="B123" s="148" t="s">
        <v>2749</v>
      </c>
      <c r="C123" s="150" t="s">
        <v>944</v>
      </c>
      <c r="D123" s="70">
        <v>384.0116256</v>
      </c>
      <c r="E123" s="70">
        <v>0</v>
      </c>
      <c r="F123" s="14">
        <v>0</v>
      </c>
      <c r="G123" s="14">
        <v>0</v>
      </c>
      <c r="H123" s="14">
        <v>0</v>
      </c>
      <c r="I123" s="14">
        <v>0</v>
      </c>
      <c r="J123" s="69">
        <v>0</v>
      </c>
      <c r="K123">
        <f t="shared" si="1"/>
        <v>0</v>
      </c>
      <c r="L123" s="14">
        <v>0</v>
      </c>
      <c r="M123" s="14">
        <v>0</v>
      </c>
      <c r="N123" s="14">
        <v>0</v>
      </c>
      <c r="O123" s="69">
        <v>0</v>
      </c>
      <c r="P123" s="226">
        <f>VLOOKUP(Table323[[#This Row],[Census Tract]],'Population and Diversity Data'!$B$2:$K$823,10,FALSE)</f>
        <v>1</v>
      </c>
      <c r="Q123" s="226" t="str">
        <f>VLOOKUP(Table323[[#This Row],[Census Tract]],'ES Energy Burden'!$B$2:$E$914,4,FALSE)</f>
        <v>No</v>
      </c>
      <c r="R123" s="248">
        <f>VLOOKUP(Table323[[#This Row],[Census Tract]],'Income and Housing Data'!$B$2:$D$823,3,FALSE)</f>
        <v>93839</v>
      </c>
      <c r="S123" s="248" t="str">
        <f>IF($U$6&lt;=Table323[[#This Row],[Household income]],IF(Table323[[#This Row],[Household income]]&lt;=$U$7, "Yes","No"),"No")</f>
        <v>No</v>
      </c>
    </row>
    <row r="124" spans="1:19" x14ac:dyDescent="0.25">
      <c r="A124" s="147">
        <v>9013860100</v>
      </c>
      <c r="B124" s="148" t="s">
        <v>2749</v>
      </c>
      <c r="C124" s="150" t="s">
        <v>944</v>
      </c>
      <c r="D124" s="70">
        <v>114568.80654240001</v>
      </c>
      <c r="E124" s="70">
        <v>43500.86</v>
      </c>
      <c r="F124" s="14">
        <v>28</v>
      </c>
      <c r="G124" s="14">
        <v>28</v>
      </c>
      <c r="H124" s="14">
        <v>0</v>
      </c>
      <c r="I124" s="14">
        <v>0</v>
      </c>
      <c r="J124" s="69">
        <v>21893.200000000001</v>
      </c>
      <c r="K124">
        <f t="shared" si="1"/>
        <v>5</v>
      </c>
      <c r="L124" s="14">
        <v>5</v>
      </c>
      <c r="M124" s="14">
        <v>0</v>
      </c>
      <c r="N124" s="14">
        <v>0</v>
      </c>
      <c r="O124" s="69">
        <v>5220.59</v>
      </c>
      <c r="P124" s="226">
        <f>VLOOKUP(Table323[[#This Row],[Census Tract]],'Population and Diversity Data'!$B$2:$K$823,10,FALSE)</f>
        <v>1</v>
      </c>
      <c r="Q124" s="226" t="str">
        <f>VLOOKUP(Table323[[#This Row],[Census Tract]],'ES Energy Burden'!$B$2:$E$914,4,FALSE)</f>
        <v>No</v>
      </c>
      <c r="R124" s="248">
        <f>VLOOKUP(Table323[[#This Row],[Census Tract]],'Income and Housing Data'!$B$2:$D$823,3,FALSE)</f>
        <v>109962</v>
      </c>
      <c r="S124" s="248" t="str">
        <f>IF($U$6&lt;=Table323[[#This Row],[Household income]],IF(Table323[[#This Row],[Household income]]&lt;=$U$7, "Yes","No"),"No")</f>
        <v>No</v>
      </c>
    </row>
    <row r="125" spans="1:19" x14ac:dyDescent="0.25">
      <c r="A125" s="147">
        <v>9005262100</v>
      </c>
      <c r="B125" s="148" t="s">
        <v>2750</v>
      </c>
      <c r="C125" s="150" t="s">
        <v>944</v>
      </c>
      <c r="D125" s="70">
        <v>207.17536319999999</v>
      </c>
      <c r="E125" s="70">
        <v>0</v>
      </c>
      <c r="F125" s="14">
        <v>0</v>
      </c>
      <c r="G125" s="14">
        <v>0</v>
      </c>
      <c r="H125" s="14">
        <v>0</v>
      </c>
      <c r="I125" s="14">
        <v>0</v>
      </c>
      <c r="J125" s="69">
        <v>0</v>
      </c>
      <c r="K125">
        <f t="shared" si="1"/>
        <v>0</v>
      </c>
      <c r="L125" s="14">
        <v>0</v>
      </c>
      <c r="M125" s="14">
        <v>0</v>
      </c>
      <c r="N125" s="14">
        <v>0</v>
      </c>
      <c r="O125" s="69">
        <v>0</v>
      </c>
      <c r="P125" s="226">
        <f>VLOOKUP(Table323[[#This Row],[Census Tract]],'Population and Diversity Data'!$B$2:$K$823,10,FALSE)</f>
        <v>1</v>
      </c>
      <c r="Q125" s="226" t="str">
        <f>VLOOKUP(Table323[[#This Row],[Census Tract]],'ES Energy Burden'!$B$2:$E$914,4,FALSE)</f>
        <v>No</v>
      </c>
      <c r="R125" s="248">
        <f>VLOOKUP(Table323[[#This Row],[Census Tract]],'Income and Housing Data'!$B$2:$D$823,3,FALSE)</f>
        <v>81919</v>
      </c>
      <c r="S125" s="248" t="str">
        <f>IF($U$6&lt;=Table323[[#This Row],[Household income]],IF(Table323[[#This Row],[Household income]]&lt;=$U$7, "Yes","No"),"No")</f>
        <v>No</v>
      </c>
    </row>
    <row r="126" spans="1:19" x14ac:dyDescent="0.25">
      <c r="A126" s="147">
        <v>9005263200</v>
      </c>
      <c r="B126" s="148" t="s">
        <v>2750</v>
      </c>
      <c r="C126" s="150" t="s">
        <v>944</v>
      </c>
      <c r="D126" s="70">
        <v>48379.472259839997</v>
      </c>
      <c r="E126" s="70">
        <v>13559.24</v>
      </c>
      <c r="F126" s="14">
        <v>8</v>
      </c>
      <c r="G126" s="14">
        <v>8</v>
      </c>
      <c r="H126" s="14">
        <v>0</v>
      </c>
      <c r="I126" s="14">
        <v>0</v>
      </c>
      <c r="J126" s="69">
        <v>7681.44</v>
      </c>
      <c r="K126">
        <f t="shared" si="1"/>
        <v>0</v>
      </c>
      <c r="L126" s="14">
        <v>0</v>
      </c>
      <c r="M126" s="14">
        <v>0</v>
      </c>
      <c r="N126" s="14">
        <v>0</v>
      </c>
      <c r="O126" s="69">
        <v>0</v>
      </c>
      <c r="P126" s="226">
        <f>VLOOKUP(Table323[[#This Row],[Census Tract]],'Population and Diversity Data'!$B$2:$K$823,10,FALSE)</f>
        <v>3</v>
      </c>
      <c r="Q126" s="226" t="str">
        <f>VLOOKUP(Table323[[#This Row],[Census Tract]],'ES Energy Burden'!$B$2:$E$914,4,FALSE)</f>
        <v>No</v>
      </c>
      <c r="R126" s="248">
        <f>VLOOKUP(Table323[[#This Row],[Census Tract]],'Income and Housing Data'!$B$2:$D$823,3,FALSE)</f>
        <v>80000</v>
      </c>
      <c r="S126" s="248" t="str">
        <f>IF($U$6&lt;=Table323[[#This Row],[Household income]],IF(Table323[[#This Row],[Household income]]&lt;=$U$7, "Yes","No"),"No")</f>
        <v>No</v>
      </c>
    </row>
    <row r="127" spans="1:19" x14ac:dyDescent="0.25">
      <c r="A127" s="147">
        <v>9005265100</v>
      </c>
      <c r="B127" s="148" t="s">
        <v>2750</v>
      </c>
      <c r="C127" s="150" t="s">
        <v>944</v>
      </c>
      <c r="D127" s="70">
        <v>381.16122048</v>
      </c>
      <c r="E127" s="70">
        <v>0</v>
      </c>
      <c r="F127" s="14">
        <v>0</v>
      </c>
      <c r="G127" s="14">
        <v>0</v>
      </c>
      <c r="H127" s="14">
        <v>0</v>
      </c>
      <c r="I127" s="14">
        <v>0</v>
      </c>
      <c r="J127" s="69">
        <v>0</v>
      </c>
      <c r="K127">
        <f t="shared" si="1"/>
        <v>0</v>
      </c>
      <c r="L127" s="14">
        <v>0</v>
      </c>
      <c r="M127" s="14">
        <v>0</v>
      </c>
      <c r="N127" s="14">
        <v>0</v>
      </c>
      <c r="O127" s="69">
        <v>0</v>
      </c>
      <c r="P127" s="226">
        <f>VLOOKUP(Table323[[#This Row],[Census Tract]],'Population and Diversity Data'!$B$2:$K$823,10,FALSE)</f>
        <v>1</v>
      </c>
      <c r="Q127" s="226" t="str">
        <f>VLOOKUP(Table323[[#This Row],[Census Tract]],'ES Energy Burden'!$B$2:$E$914,4,FALSE)</f>
        <v>No</v>
      </c>
      <c r="R127" s="248">
        <f>VLOOKUP(Table323[[#This Row],[Census Tract]],'Income and Housing Data'!$B$2:$D$823,3,FALSE)</f>
        <v>104375</v>
      </c>
      <c r="S127" s="248" t="str">
        <f>IF($U$6&lt;=Table323[[#This Row],[Household income]],IF(Table323[[#This Row],[Household income]]&lt;=$U$7, "Yes","No"),"No")</f>
        <v>No</v>
      </c>
    </row>
    <row r="128" spans="1:19" x14ac:dyDescent="0.25">
      <c r="A128" s="147">
        <v>9005266100</v>
      </c>
      <c r="B128" s="148" t="s">
        <v>2750</v>
      </c>
      <c r="C128" s="150" t="s">
        <v>944</v>
      </c>
      <c r="D128" s="70">
        <v>40.9326048</v>
      </c>
      <c r="E128" s="70">
        <v>0</v>
      </c>
      <c r="F128" s="14">
        <v>0</v>
      </c>
      <c r="G128" s="14">
        <v>0</v>
      </c>
      <c r="H128" s="14">
        <v>0</v>
      </c>
      <c r="I128" s="14">
        <v>0</v>
      </c>
      <c r="J128" s="69">
        <v>0</v>
      </c>
      <c r="K128">
        <f t="shared" si="1"/>
        <v>0</v>
      </c>
      <c r="L128" s="14">
        <v>0</v>
      </c>
      <c r="M128" s="14">
        <v>0</v>
      </c>
      <c r="N128" s="14">
        <v>0</v>
      </c>
      <c r="O128" s="69">
        <v>0</v>
      </c>
      <c r="P128" s="226">
        <f>VLOOKUP(Table323[[#This Row],[Census Tract]],'Population and Diversity Data'!$B$2:$K$823,10,FALSE)</f>
        <v>2</v>
      </c>
      <c r="Q128" s="226" t="str">
        <f>VLOOKUP(Table323[[#This Row],[Census Tract]],'ES Energy Burden'!$B$2:$E$914,4,FALSE)</f>
        <v>No</v>
      </c>
      <c r="R128" s="248">
        <f>VLOOKUP(Table323[[#This Row],[Census Tract]],'Income and Housing Data'!$B$2:$D$823,3,FALSE)</f>
        <v>78125</v>
      </c>
      <c r="S128" s="248" t="str">
        <f>IF($U$6&lt;=Table323[[#This Row],[Household income]],IF(Table323[[#This Row],[Household income]]&lt;=$U$7, "Yes","No"),"No")</f>
        <v>No</v>
      </c>
    </row>
    <row r="129" spans="1:19" x14ac:dyDescent="0.25">
      <c r="A129" s="147">
        <v>9013850100</v>
      </c>
      <c r="B129" s="148" t="s">
        <v>2751</v>
      </c>
      <c r="C129" s="150" t="s">
        <v>944</v>
      </c>
      <c r="D129" s="70">
        <v>114445.98788832</v>
      </c>
      <c r="E129" s="70">
        <v>26282.479299999999</v>
      </c>
      <c r="F129" s="14">
        <v>30</v>
      </c>
      <c r="G129" s="14">
        <v>30</v>
      </c>
      <c r="H129" s="14">
        <v>0</v>
      </c>
      <c r="I129" s="14">
        <v>0</v>
      </c>
      <c r="J129" s="69">
        <v>26279.619299999998</v>
      </c>
      <c r="K129">
        <f t="shared" si="1"/>
        <v>0</v>
      </c>
      <c r="L129" s="14">
        <v>0</v>
      </c>
      <c r="M129" s="14">
        <v>0</v>
      </c>
      <c r="N129" s="14">
        <v>0</v>
      </c>
      <c r="O129" s="69">
        <v>0</v>
      </c>
      <c r="P129" s="226">
        <f>VLOOKUP(Table323[[#This Row],[Census Tract]],'Population and Diversity Data'!$B$2:$K$823,10,FALSE)</f>
        <v>3</v>
      </c>
      <c r="Q129" s="226" t="str">
        <f>VLOOKUP(Table323[[#This Row],[Census Tract]],'ES Energy Burden'!$B$2:$E$914,4,FALSE)</f>
        <v>No</v>
      </c>
      <c r="R129" s="248">
        <f>VLOOKUP(Table323[[#This Row],[Census Tract]],'Income and Housing Data'!$B$2:$D$823,3,FALSE)</f>
        <v>103348</v>
      </c>
      <c r="S129" s="248" t="str">
        <f>IF($U$6&lt;=Table323[[#This Row],[Household income]],IF(Table323[[#This Row],[Household income]]&lt;=$U$7, "Yes","No"),"No")</f>
        <v>No</v>
      </c>
    </row>
    <row r="130" spans="1:19" x14ac:dyDescent="0.25">
      <c r="A130" s="147">
        <v>9013850200</v>
      </c>
      <c r="B130" s="148" t="s">
        <v>2751</v>
      </c>
      <c r="C130" s="150" t="s">
        <v>944</v>
      </c>
      <c r="D130" s="70">
        <v>136588.91258880001</v>
      </c>
      <c r="E130" s="70">
        <v>52139.396099999998</v>
      </c>
      <c r="F130" s="14">
        <v>18</v>
      </c>
      <c r="G130" s="14">
        <v>18</v>
      </c>
      <c r="H130" s="14">
        <v>0</v>
      </c>
      <c r="I130" s="14">
        <v>0</v>
      </c>
      <c r="J130" s="69">
        <v>12929.4161</v>
      </c>
      <c r="K130">
        <f t="shared" si="1"/>
        <v>11</v>
      </c>
      <c r="L130" s="14">
        <v>11</v>
      </c>
      <c r="M130" s="14">
        <v>0</v>
      </c>
      <c r="N130" s="14">
        <v>0</v>
      </c>
      <c r="O130" s="69">
        <v>11558.4</v>
      </c>
      <c r="P130" s="226">
        <f>VLOOKUP(Table323[[#This Row],[Census Tract]],'Population and Diversity Data'!$B$2:$K$823,10,FALSE)</f>
        <v>1</v>
      </c>
      <c r="Q130" s="226" t="str">
        <f>VLOOKUP(Table323[[#This Row],[Census Tract]],'ES Energy Burden'!$B$2:$E$914,4,FALSE)</f>
        <v>No</v>
      </c>
      <c r="R130" s="248">
        <f>VLOOKUP(Table323[[#This Row],[Census Tract]],'Income and Housing Data'!$B$2:$D$823,3,FALSE)</f>
        <v>93839</v>
      </c>
      <c r="S130" s="248" t="str">
        <f>IF($U$6&lt;=Table323[[#This Row],[Household income]],IF(Table323[[#This Row],[Household income]]&lt;=$U$7, "Yes","No"),"No")</f>
        <v>No</v>
      </c>
    </row>
    <row r="131" spans="1:19" x14ac:dyDescent="0.25">
      <c r="A131" s="147">
        <v>9007570100</v>
      </c>
      <c r="B131" s="148" t="s">
        <v>2752</v>
      </c>
      <c r="C131" s="150" t="s">
        <v>944</v>
      </c>
      <c r="D131" s="70">
        <v>105823.17838656</v>
      </c>
      <c r="E131" s="70">
        <v>12420.4566</v>
      </c>
      <c r="F131" s="14">
        <v>19</v>
      </c>
      <c r="G131" s="14">
        <v>19</v>
      </c>
      <c r="H131" s="14">
        <v>0</v>
      </c>
      <c r="I131" s="14">
        <v>0</v>
      </c>
      <c r="J131" s="69">
        <v>10163.786599999999</v>
      </c>
      <c r="K131">
        <f t="shared" si="1"/>
        <v>0</v>
      </c>
      <c r="L131" s="14">
        <v>0</v>
      </c>
      <c r="M131" s="14">
        <v>0</v>
      </c>
      <c r="N131" s="14">
        <v>0</v>
      </c>
      <c r="O131" s="69">
        <v>0</v>
      </c>
      <c r="P131" s="226">
        <f>VLOOKUP(Table323[[#This Row],[Census Tract]],'Population and Diversity Data'!$B$2:$K$823,10,FALSE)</f>
        <v>2</v>
      </c>
      <c r="Q131" s="226" t="str">
        <f>VLOOKUP(Table323[[#This Row],[Census Tract]],'ES Energy Burden'!$B$2:$E$914,4,FALSE)</f>
        <v>No</v>
      </c>
      <c r="R131" s="248">
        <f>VLOOKUP(Table323[[#This Row],[Census Tract]],'Income and Housing Data'!$B$2:$D$823,3,FALSE)</f>
        <v>93945</v>
      </c>
      <c r="S131" s="248" t="str">
        <f>IF($U$6&lt;=Table323[[#This Row],[Household income]],IF(Table323[[#This Row],[Household income]]&lt;=$U$7, "Yes","No"),"No")</f>
        <v>No</v>
      </c>
    </row>
    <row r="132" spans="1:19" x14ac:dyDescent="0.25">
      <c r="A132" s="147">
        <v>9007570200</v>
      </c>
      <c r="B132" s="148" t="s">
        <v>2752</v>
      </c>
      <c r="C132" s="150" t="s">
        <v>944</v>
      </c>
      <c r="D132" s="70">
        <v>60556.671532799999</v>
      </c>
      <c r="E132" s="70">
        <v>14839.490299999999</v>
      </c>
      <c r="F132" s="14">
        <v>20</v>
      </c>
      <c r="G132" s="14">
        <v>20</v>
      </c>
      <c r="H132" s="14">
        <v>0</v>
      </c>
      <c r="I132" s="14">
        <v>0</v>
      </c>
      <c r="J132" s="69">
        <v>14693.6703</v>
      </c>
      <c r="K132">
        <f t="shared" si="1"/>
        <v>0</v>
      </c>
      <c r="L132" s="14">
        <v>0</v>
      </c>
      <c r="M132" s="14">
        <v>0</v>
      </c>
      <c r="N132" s="14">
        <v>0</v>
      </c>
      <c r="O132" s="69">
        <v>0</v>
      </c>
      <c r="P132" s="226">
        <f>VLOOKUP(Table323[[#This Row],[Census Tract]],'Population and Diversity Data'!$B$2:$K$823,10,FALSE)</f>
        <v>2</v>
      </c>
      <c r="Q132" s="226" t="str">
        <f>VLOOKUP(Table323[[#This Row],[Census Tract]],'ES Energy Burden'!$B$2:$E$914,4,FALSE)</f>
        <v>No</v>
      </c>
      <c r="R132" s="248">
        <f>VLOOKUP(Table323[[#This Row],[Census Tract]],'Income and Housing Data'!$B$2:$D$823,3,FALSE)</f>
        <v>109429</v>
      </c>
      <c r="S132" s="248" t="str">
        <f>IF($U$6&lt;=Table323[[#This Row],[Household income]],IF(Table323[[#This Row],[Household income]]&lt;=$U$7, "Yes","No"),"No")</f>
        <v>No</v>
      </c>
    </row>
    <row r="133" spans="1:19" x14ac:dyDescent="0.25">
      <c r="A133" s="147">
        <v>9007570300</v>
      </c>
      <c r="B133" s="148" t="s">
        <v>2752</v>
      </c>
      <c r="C133" s="150" t="s">
        <v>944</v>
      </c>
      <c r="D133" s="70">
        <v>129484.10647872</v>
      </c>
      <c r="E133" s="70">
        <v>197087.67060000001</v>
      </c>
      <c r="F133" s="14">
        <v>33</v>
      </c>
      <c r="G133" s="14">
        <v>32</v>
      </c>
      <c r="H133" s="14">
        <v>1</v>
      </c>
      <c r="I133" s="14">
        <v>0</v>
      </c>
      <c r="J133" s="69">
        <v>26649.254199999999</v>
      </c>
      <c r="K133">
        <f t="shared" si="1"/>
        <v>20</v>
      </c>
      <c r="L133" s="14">
        <v>20</v>
      </c>
      <c r="M133" s="14">
        <v>0</v>
      </c>
      <c r="N133" s="14">
        <v>0</v>
      </c>
      <c r="O133" s="69">
        <v>21473.599999999999</v>
      </c>
      <c r="P133" s="226">
        <f>VLOOKUP(Table323[[#This Row],[Census Tract]],'Population and Diversity Data'!$B$2:$K$823,10,FALSE)</f>
        <v>2</v>
      </c>
      <c r="Q133" s="226" t="str">
        <f>VLOOKUP(Table323[[#This Row],[Census Tract]],'ES Energy Burden'!$B$2:$E$914,4,FALSE)</f>
        <v>No</v>
      </c>
      <c r="R133" s="248">
        <f>VLOOKUP(Table323[[#This Row],[Census Tract]],'Income and Housing Data'!$B$2:$D$823,3,FALSE)</f>
        <v>68125</v>
      </c>
      <c r="S133" s="248" t="str">
        <f>IF($U$6&lt;=Table323[[#This Row],[Household income]],IF(Table323[[#This Row],[Household income]]&lt;=$U$7, "Yes","No"),"No")</f>
        <v>No</v>
      </c>
    </row>
    <row r="134" spans="1:19" x14ac:dyDescent="0.25">
      <c r="A134" s="147">
        <v>9001200100</v>
      </c>
      <c r="B134" s="148" t="s">
        <v>2753</v>
      </c>
      <c r="C134" s="150" t="s">
        <v>944</v>
      </c>
      <c r="D134" s="70">
        <v>3129.7147199999999</v>
      </c>
      <c r="E134" s="70">
        <v>0</v>
      </c>
      <c r="F134" s="14">
        <v>0</v>
      </c>
      <c r="G134" s="14">
        <v>0</v>
      </c>
      <c r="H134" s="14">
        <v>0</v>
      </c>
      <c r="I134" s="14">
        <v>0</v>
      </c>
      <c r="J134" s="69">
        <v>0</v>
      </c>
      <c r="K134">
        <f t="shared" ref="K134:K197" si="2">L134+M134+N134</f>
        <v>0</v>
      </c>
      <c r="L134" s="14">
        <v>0</v>
      </c>
      <c r="M134" s="14">
        <v>0</v>
      </c>
      <c r="N134" s="14">
        <v>0</v>
      </c>
      <c r="O134" s="69">
        <v>0</v>
      </c>
      <c r="P134" s="226">
        <f>VLOOKUP(Table323[[#This Row],[Census Tract]],'Population and Diversity Data'!$B$2:$K$823,10,FALSE)</f>
        <v>4</v>
      </c>
      <c r="Q134" s="226" t="str">
        <f>VLOOKUP(Table323[[#This Row],[Census Tract]],'ES Energy Burden'!$B$2:$E$914,4,FALSE)</f>
        <v>No</v>
      </c>
      <c r="R134" s="248">
        <f>VLOOKUP(Table323[[#This Row],[Census Tract]],'Income and Housing Data'!$B$2:$D$823,3,FALSE)</f>
        <v>77273</v>
      </c>
      <c r="S134" s="248" t="str">
        <f>IF($U$6&lt;=Table323[[#This Row],[Household income]],IF(Table323[[#This Row],[Household income]]&lt;=$U$7, "Yes","No"),"No")</f>
        <v>No</v>
      </c>
    </row>
    <row r="135" spans="1:19" x14ac:dyDescent="0.25">
      <c r="A135" s="147">
        <v>9001200301</v>
      </c>
      <c r="B135" s="148" t="s">
        <v>2753</v>
      </c>
      <c r="C135" s="150" t="s">
        <v>944</v>
      </c>
      <c r="D135" s="70">
        <v>1133.7191136000001</v>
      </c>
      <c r="E135" s="70">
        <v>0</v>
      </c>
      <c r="F135" s="14">
        <v>0</v>
      </c>
      <c r="G135" s="14">
        <v>0</v>
      </c>
      <c r="H135" s="14">
        <v>0</v>
      </c>
      <c r="I135" s="14">
        <v>0</v>
      </c>
      <c r="J135" s="69">
        <v>0</v>
      </c>
      <c r="K135">
        <f t="shared" si="2"/>
        <v>0</v>
      </c>
      <c r="L135" s="14">
        <v>0</v>
      </c>
      <c r="M135" s="14">
        <v>0</v>
      </c>
      <c r="N135" s="14">
        <v>0</v>
      </c>
      <c r="O135" s="69">
        <v>0</v>
      </c>
      <c r="P135" s="226">
        <f>VLOOKUP(Table323[[#This Row],[Census Tract]],'Population and Diversity Data'!$B$2:$K$823,10,FALSE)</f>
        <v>4</v>
      </c>
      <c r="Q135" s="226" t="str">
        <f>VLOOKUP(Table323[[#This Row],[Census Tract]],'ES Energy Burden'!$B$2:$E$914,4,FALSE)</f>
        <v>No</v>
      </c>
      <c r="R135" s="248">
        <f>VLOOKUP(Table323[[#This Row],[Census Tract]],'Income and Housing Data'!$B$2:$D$823,3,FALSE)</f>
        <v>140337</v>
      </c>
      <c r="S135" s="248" t="str">
        <f>IF($U$6&lt;=Table323[[#This Row],[Household income]],IF(Table323[[#This Row],[Household income]]&lt;=$U$7, "Yes","No"),"No")</f>
        <v>No</v>
      </c>
    </row>
    <row r="136" spans="1:19" x14ac:dyDescent="0.25">
      <c r="A136" s="147">
        <v>9001210100</v>
      </c>
      <c r="B136" s="148" t="s">
        <v>2753</v>
      </c>
      <c r="C136" s="150" t="s">
        <v>944</v>
      </c>
      <c r="D136" s="70">
        <v>80635.962551039993</v>
      </c>
      <c r="E136" s="70">
        <v>11314.693300000001</v>
      </c>
      <c r="F136" s="14">
        <v>2</v>
      </c>
      <c r="G136" s="14">
        <v>1</v>
      </c>
      <c r="H136" s="14">
        <v>1</v>
      </c>
      <c r="I136" s="14">
        <v>0</v>
      </c>
      <c r="J136" s="69">
        <v>3104.9632999999999</v>
      </c>
      <c r="K136">
        <f t="shared" si="2"/>
        <v>0</v>
      </c>
      <c r="L136" s="14">
        <v>0</v>
      </c>
      <c r="M136" s="14">
        <v>0</v>
      </c>
      <c r="N136" s="14">
        <v>0</v>
      </c>
      <c r="O136" s="69">
        <v>0</v>
      </c>
      <c r="P136" s="226">
        <f>VLOOKUP(Table323[[#This Row],[Census Tract]],'Population and Diversity Data'!$B$2:$K$823,10,FALSE)</f>
        <v>5</v>
      </c>
      <c r="Q136" s="226" t="str">
        <f>VLOOKUP(Table323[[#This Row],[Census Tract]],'ES Energy Burden'!$B$2:$E$914,4,FALSE)</f>
        <v>No</v>
      </c>
      <c r="R136" s="248">
        <f>VLOOKUP(Table323[[#This Row],[Census Tract]],'Income and Housing Data'!$B$2:$D$823,3,FALSE)</f>
        <v>41218</v>
      </c>
      <c r="S136" s="248" t="str">
        <f>IF($U$6&lt;=Table323[[#This Row],[Household income]],IF(Table323[[#This Row],[Household income]]&lt;=$U$7, "Yes","No"),"No")</f>
        <v>No</v>
      </c>
    </row>
    <row r="137" spans="1:19" x14ac:dyDescent="0.25">
      <c r="A137" s="147">
        <v>9001210200</v>
      </c>
      <c r="B137" s="148" t="s">
        <v>2753</v>
      </c>
      <c r="C137" s="150" t="s">
        <v>944</v>
      </c>
      <c r="D137" s="70">
        <v>66177.26174016</v>
      </c>
      <c r="E137" s="70">
        <v>3072.29</v>
      </c>
      <c r="F137" s="14">
        <v>7</v>
      </c>
      <c r="G137" s="14">
        <v>6</v>
      </c>
      <c r="H137" s="14">
        <v>1</v>
      </c>
      <c r="I137" s="14">
        <v>0</v>
      </c>
      <c r="J137" s="69">
        <v>3069.61</v>
      </c>
      <c r="K137">
        <f t="shared" si="2"/>
        <v>0</v>
      </c>
      <c r="L137" s="14">
        <v>0</v>
      </c>
      <c r="M137" s="14">
        <v>0</v>
      </c>
      <c r="N137" s="14">
        <v>0</v>
      </c>
      <c r="O137" s="69">
        <v>0</v>
      </c>
      <c r="P137" s="226">
        <f>VLOOKUP(Table323[[#This Row],[Census Tract]],'Population and Diversity Data'!$B$2:$K$823,10,FALSE)</f>
        <v>5</v>
      </c>
      <c r="Q137" s="226" t="str">
        <f>VLOOKUP(Table323[[#This Row],[Census Tract]],'ES Energy Burden'!$B$2:$E$914,4,FALSE)</f>
        <v>Yes</v>
      </c>
      <c r="R137" s="248">
        <f>VLOOKUP(Table323[[#This Row],[Census Tract]],'Income and Housing Data'!$B$2:$D$823,3,FALSE)</f>
        <v>50729</v>
      </c>
      <c r="S137" s="248" t="str">
        <f>IF($U$6&lt;=Table323[[#This Row],[Household income]],IF(Table323[[#This Row],[Household income]]&lt;=$U$7, "Yes","No"),"No")</f>
        <v>Yes</v>
      </c>
    </row>
    <row r="138" spans="1:19" x14ac:dyDescent="0.25">
      <c r="A138" s="147">
        <v>9001210300</v>
      </c>
      <c r="B138" s="148" t="s">
        <v>2753</v>
      </c>
      <c r="C138" s="150" t="s">
        <v>944</v>
      </c>
      <c r="D138" s="70">
        <v>72913.375704959995</v>
      </c>
      <c r="E138" s="70">
        <v>9926.9599999999991</v>
      </c>
      <c r="F138" s="14">
        <v>11</v>
      </c>
      <c r="G138" s="14">
        <v>11</v>
      </c>
      <c r="H138" s="14">
        <v>0</v>
      </c>
      <c r="I138" s="14">
        <v>0</v>
      </c>
      <c r="J138" s="69">
        <v>4484.49</v>
      </c>
      <c r="K138">
        <f t="shared" si="2"/>
        <v>0</v>
      </c>
      <c r="L138" s="14">
        <v>0</v>
      </c>
      <c r="M138" s="14">
        <v>0</v>
      </c>
      <c r="N138" s="14">
        <v>0</v>
      </c>
      <c r="O138" s="69">
        <v>0</v>
      </c>
      <c r="P138" s="226">
        <f>VLOOKUP(Table323[[#This Row],[Census Tract]],'Population and Diversity Data'!$B$2:$K$823,10,FALSE)</f>
        <v>5</v>
      </c>
      <c r="Q138" s="226" t="str">
        <f>VLOOKUP(Table323[[#This Row],[Census Tract]],'ES Energy Burden'!$B$2:$E$914,4,FALSE)</f>
        <v>No</v>
      </c>
      <c r="R138" s="248">
        <f>VLOOKUP(Table323[[#This Row],[Census Tract]],'Income and Housing Data'!$B$2:$D$823,3,FALSE)</f>
        <v>60725</v>
      </c>
      <c r="S138" s="248" t="str">
        <f>IF($U$6&lt;=Table323[[#This Row],[Household income]],IF(Table323[[#This Row],[Household income]]&lt;=$U$7, "Yes","No"),"No")</f>
        <v>Yes</v>
      </c>
    </row>
    <row r="139" spans="1:19" x14ac:dyDescent="0.25">
      <c r="A139" s="147">
        <v>9001210400</v>
      </c>
      <c r="B139" s="148" t="s">
        <v>2753</v>
      </c>
      <c r="C139" s="150" t="s">
        <v>944</v>
      </c>
      <c r="D139" s="70">
        <v>164937.70064736</v>
      </c>
      <c r="E139" s="70">
        <v>14744.53</v>
      </c>
      <c r="F139" s="14">
        <v>11</v>
      </c>
      <c r="G139" s="14">
        <v>10</v>
      </c>
      <c r="H139" s="14">
        <v>1</v>
      </c>
      <c r="I139" s="14">
        <v>0</v>
      </c>
      <c r="J139" s="69">
        <v>5471.04</v>
      </c>
      <c r="K139">
        <f t="shared" si="2"/>
        <v>0</v>
      </c>
      <c r="L139" s="14">
        <v>0</v>
      </c>
      <c r="M139" s="14">
        <v>0</v>
      </c>
      <c r="N139" s="14">
        <v>0</v>
      </c>
      <c r="O139" s="69">
        <v>0</v>
      </c>
      <c r="P139" s="226">
        <f>VLOOKUP(Table323[[#This Row],[Census Tract]],'Population and Diversity Data'!$B$2:$K$823,10,FALSE)</f>
        <v>5</v>
      </c>
      <c r="Q139" s="226" t="str">
        <f>VLOOKUP(Table323[[#This Row],[Census Tract]],'ES Energy Burden'!$B$2:$E$914,4,FALSE)</f>
        <v>No</v>
      </c>
      <c r="R139" s="248">
        <f>VLOOKUP(Table323[[#This Row],[Census Tract]],'Income and Housing Data'!$B$2:$D$823,3,FALSE)</f>
        <v>76921</v>
      </c>
      <c r="S139" s="248" t="str">
        <f>IF($U$6&lt;=Table323[[#This Row],[Household income]],IF(Table323[[#This Row],[Household income]]&lt;=$U$7, "Yes","No"),"No")</f>
        <v>No</v>
      </c>
    </row>
    <row r="140" spans="1:19" x14ac:dyDescent="0.25">
      <c r="A140" s="147">
        <v>9001210500</v>
      </c>
      <c r="B140" s="148" t="s">
        <v>2753</v>
      </c>
      <c r="C140" s="150" t="s">
        <v>944</v>
      </c>
      <c r="D140" s="70">
        <v>237105.10148256004</v>
      </c>
      <c r="E140" s="70">
        <v>664344.47099999897</v>
      </c>
      <c r="F140" s="14">
        <v>27</v>
      </c>
      <c r="G140" s="14">
        <v>25</v>
      </c>
      <c r="H140" s="14">
        <v>2</v>
      </c>
      <c r="I140" s="14">
        <v>0</v>
      </c>
      <c r="J140" s="69">
        <v>22112.1738</v>
      </c>
      <c r="K140">
        <f t="shared" si="2"/>
        <v>327</v>
      </c>
      <c r="L140" s="14">
        <v>94</v>
      </c>
      <c r="M140" s="14">
        <v>1</v>
      </c>
      <c r="N140" s="14">
        <v>232</v>
      </c>
      <c r="O140" s="69">
        <v>151107</v>
      </c>
      <c r="P140" s="226">
        <f>VLOOKUP(Table323[[#This Row],[Census Tract]],'Population and Diversity Data'!$B$2:$K$823,10,FALSE)</f>
        <v>4</v>
      </c>
      <c r="Q140" s="226" t="str">
        <f>VLOOKUP(Table323[[#This Row],[Census Tract]],'ES Energy Burden'!$B$2:$E$914,4,FALSE)</f>
        <v>No</v>
      </c>
      <c r="R140" s="248">
        <f>VLOOKUP(Table323[[#This Row],[Census Tract]],'Income and Housing Data'!$B$2:$D$823,3,FALSE)</f>
        <v>90929</v>
      </c>
      <c r="S140" s="248" t="str">
        <f>IF($U$6&lt;=Table323[[#This Row],[Household income]],IF(Table323[[#This Row],[Household income]]&lt;=$U$7, "Yes","No"),"No")</f>
        <v>No</v>
      </c>
    </row>
    <row r="141" spans="1:19" x14ac:dyDescent="0.25">
      <c r="A141" s="147">
        <v>9001210600</v>
      </c>
      <c r="B141" s="148" t="s">
        <v>2753</v>
      </c>
      <c r="C141" s="150" t="s">
        <v>944</v>
      </c>
      <c r="D141" s="70">
        <v>79251.416470080003</v>
      </c>
      <c r="E141" s="70">
        <v>3809.8373999999999</v>
      </c>
      <c r="F141" s="14">
        <v>9</v>
      </c>
      <c r="G141" s="14">
        <v>9</v>
      </c>
      <c r="H141" s="14">
        <v>0</v>
      </c>
      <c r="I141" s="14">
        <v>0</v>
      </c>
      <c r="J141" s="69">
        <v>3809.1374000000001</v>
      </c>
      <c r="K141">
        <f t="shared" si="2"/>
        <v>0</v>
      </c>
      <c r="L141" s="14">
        <v>0</v>
      </c>
      <c r="M141" s="14">
        <v>0</v>
      </c>
      <c r="N141" s="14">
        <v>0</v>
      </c>
      <c r="O141" s="69">
        <v>0</v>
      </c>
      <c r="P141" s="226">
        <f>VLOOKUP(Table323[[#This Row],[Census Tract]],'Population and Diversity Data'!$B$2:$K$823,10,FALSE)</f>
        <v>5</v>
      </c>
      <c r="Q141" s="226" t="str">
        <f>VLOOKUP(Table323[[#This Row],[Census Tract]],'ES Energy Burden'!$B$2:$E$914,4,FALSE)</f>
        <v>No</v>
      </c>
      <c r="R141" s="248">
        <f>VLOOKUP(Table323[[#This Row],[Census Tract]],'Income and Housing Data'!$B$2:$D$823,3,FALSE)</f>
        <v>54216</v>
      </c>
      <c r="S141" s="248" t="str">
        <f>IF($U$6&lt;=Table323[[#This Row],[Household income]],IF(Table323[[#This Row],[Household income]]&lt;=$U$7, "Yes","No"),"No")</f>
        <v>Yes</v>
      </c>
    </row>
    <row r="142" spans="1:19" x14ac:dyDescent="0.25">
      <c r="A142" s="147">
        <v>9001210701</v>
      </c>
      <c r="B142" s="148" t="s">
        <v>2753</v>
      </c>
      <c r="C142" s="150" t="s">
        <v>944</v>
      </c>
      <c r="D142" s="70">
        <v>103630.93667135999</v>
      </c>
      <c r="E142" s="70">
        <v>7306.01</v>
      </c>
      <c r="F142" s="14">
        <v>4</v>
      </c>
      <c r="G142" s="14">
        <v>4</v>
      </c>
      <c r="H142" s="14">
        <v>0</v>
      </c>
      <c r="I142" s="14">
        <v>0</v>
      </c>
      <c r="J142" s="69">
        <v>2183.4699999999998</v>
      </c>
      <c r="K142">
        <f t="shared" si="2"/>
        <v>0</v>
      </c>
      <c r="L142" s="14">
        <v>0</v>
      </c>
      <c r="M142" s="14">
        <v>0</v>
      </c>
      <c r="N142" s="14">
        <v>0</v>
      </c>
      <c r="O142" s="69">
        <v>0</v>
      </c>
      <c r="P142" s="226">
        <f>VLOOKUP(Table323[[#This Row],[Census Tract]],'Population and Diversity Data'!$B$2:$K$823,10,FALSE)</f>
        <v>5</v>
      </c>
      <c r="Q142" s="226" t="str">
        <f>VLOOKUP(Table323[[#This Row],[Census Tract]],'ES Energy Burden'!$B$2:$E$914,4,FALSE)</f>
        <v>No</v>
      </c>
      <c r="R142" s="248">
        <f>VLOOKUP(Table323[[#This Row],[Census Tract]],'Income and Housing Data'!$B$2:$D$823,3,FALSE)</f>
        <v>44635</v>
      </c>
      <c r="S142" s="248" t="str">
        <f>IF($U$6&lt;=Table323[[#This Row],[Household income]],IF(Table323[[#This Row],[Household income]]&lt;=$U$7, "Yes","No"),"No")</f>
        <v>No</v>
      </c>
    </row>
    <row r="143" spans="1:19" x14ac:dyDescent="0.25">
      <c r="A143" s="147">
        <v>9001210702</v>
      </c>
      <c r="B143" s="148" t="s">
        <v>2753</v>
      </c>
      <c r="C143" s="150" t="s">
        <v>944</v>
      </c>
      <c r="D143" s="70">
        <v>69888.772857600008</v>
      </c>
      <c r="E143" s="70">
        <v>4260.4978000000001</v>
      </c>
      <c r="F143" s="14">
        <v>3</v>
      </c>
      <c r="G143" s="14">
        <v>3</v>
      </c>
      <c r="H143" s="14">
        <v>0</v>
      </c>
      <c r="I143" s="14">
        <v>0</v>
      </c>
      <c r="J143" s="69">
        <v>1207.5978</v>
      </c>
      <c r="K143">
        <f t="shared" si="2"/>
        <v>0</v>
      </c>
      <c r="L143" s="14">
        <v>0</v>
      </c>
      <c r="M143" s="14">
        <v>0</v>
      </c>
      <c r="N143" s="14">
        <v>0</v>
      </c>
      <c r="O143" s="69">
        <v>0</v>
      </c>
      <c r="P143" s="226">
        <f>VLOOKUP(Table323[[#This Row],[Census Tract]],'Population and Diversity Data'!$B$2:$K$823,10,FALSE)</f>
        <v>5</v>
      </c>
      <c r="Q143" s="226" t="str">
        <f>VLOOKUP(Table323[[#This Row],[Census Tract]],'ES Energy Burden'!$B$2:$E$914,4,FALSE)</f>
        <v>No</v>
      </c>
      <c r="R143" s="248">
        <f>VLOOKUP(Table323[[#This Row],[Census Tract]],'Income and Housing Data'!$B$2:$D$823,3,FALSE)</f>
        <v>56932</v>
      </c>
      <c r="S143" s="248" t="str">
        <f>IF($U$6&lt;=Table323[[#This Row],[Household income]],IF(Table323[[#This Row],[Household income]]&lt;=$U$7, "Yes","No"),"No")</f>
        <v>Yes</v>
      </c>
    </row>
    <row r="144" spans="1:19" x14ac:dyDescent="0.25">
      <c r="A144" s="147">
        <v>9001210800</v>
      </c>
      <c r="B144" s="148" t="s">
        <v>2753</v>
      </c>
      <c r="C144" s="150" t="s">
        <v>944</v>
      </c>
      <c r="D144" s="70">
        <v>112885.17400511999</v>
      </c>
      <c r="E144" s="70">
        <v>15526.7817</v>
      </c>
      <c r="F144" s="14">
        <v>11</v>
      </c>
      <c r="G144" s="14">
        <v>11</v>
      </c>
      <c r="H144" s="14">
        <v>0</v>
      </c>
      <c r="I144" s="14">
        <v>0</v>
      </c>
      <c r="J144" s="69">
        <v>9415.5917000000009</v>
      </c>
      <c r="K144">
        <f t="shared" si="2"/>
        <v>0</v>
      </c>
      <c r="L144" s="14">
        <v>0</v>
      </c>
      <c r="M144" s="14">
        <v>0</v>
      </c>
      <c r="N144" s="14">
        <v>0</v>
      </c>
      <c r="O144" s="69">
        <v>0</v>
      </c>
      <c r="P144" s="226">
        <f>VLOOKUP(Table323[[#This Row],[Census Tract]],'Population and Diversity Data'!$B$2:$K$823,10,FALSE)</f>
        <v>4</v>
      </c>
      <c r="Q144" s="226" t="str">
        <f>VLOOKUP(Table323[[#This Row],[Census Tract]],'ES Energy Burden'!$B$2:$E$914,4,FALSE)</f>
        <v>No</v>
      </c>
      <c r="R144" s="248">
        <f>VLOOKUP(Table323[[#This Row],[Census Tract]],'Income and Housing Data'!$B$2:$D$823,3,FALSE)</f>
        <v>101679</v>
      </c>
      <c r="S144" s="248" t="str">
        <f>IF($U$6&lt;=Table323[[#This Row],[Household income]],IF(Table323[[#This Row],[Household income]]&lt;=$U$7, "Yes","No"),"No")</f>
        <v>No</v>
      </c>
    </row>
    <row r="145" spans="1:19" x14ac:dyDescent="0.25">
      <c r="A145" s="147">
        <v>9001210900</v>
      </c>
      <c r="B145" s="148" t="s">
        <v>2753</v>
      </c>
      <c r="C145" s="150" t="s">
        <v>944</v>
      </c>
      <c r="D145" s="70">
        <v>129253.82222592001</v>
      </c>
      <c r="E145" s="70">
        <v>22839.652999999998</v>
      </c>
      <c r="F145" s="14">
        <v>23</v>
      </c>
      <c r="G145" s="14">
        <v>23</v>
      </c>
      <c r="H145" s="14">
        <v>0</v>
      </c>
      <c r="I145" s="14">
        <v>0</v>
      </c>
      <c r="J145" s="69">
        <v>19134.433000000001</v>
      </c>
      <c r="K145">
        <f t="shared" si="2"/>
        <v>0</v>
      </c>
      <c r="L145" s="14">
        <v>0</v>
      </c>
      <c r="M145" s="14">
        <v>0</v>
      </c>
      <c r="N145" s="14">
        <v>0</v>
      </c>
      <c r="O145" s="69">
        <v>0</v>
      </c>
      <c r="P145" s="226">
        <f>VLOOKUP(Table323[[#This Row],[Census Tract]],'Population and Diversity Data'!$B$2:$K$823,10,FALSE)</f>
        <v>4</v>
      </c>
      <c r="Q145" s="226" t="str">
        <f>VLOOKUP(Table323[[#This Row],[Census Tract]],'ES Energy Burden'!$B$2:$E$914,4,FALSE)</f>
        <v>No</v>
      </c>
      <c r="R145" s="248">
        <f>VLOOKUP(Table323[[#This Row],[Census Tract]],'Income and Housing Data'!$B$2:$D$823,3,FALSE)</f>
        <v>106915</v>
      </c>
      <c r="S145" s="248" t="str">
        <f>IF($U$6&lt;=Table323[[#This Row],[Household income]],IF(Table323[[#This Row],[Household income]]&lt;=$U$7, "Yes","No"),"No")</f>
        <v>No</v>
      </c>
    </row>
    <row r="146" spans="1:19" x14ac:dyDescent="0.25">
      <c r="A146" s="147">
        <v>9001211000</v>
      </c>
      <c r="B146" s="148" t="s">
        <v>2753</v>
      </c>
      <c r="C146" s="150" t="s">
        <v>944</v>
      </c>
      <c r="D146" s="70">
        <v>90044.851150080009</v>
      </c>
      <c r="E146" s="70">
        <v>25082.14</v>
      </c>
      <c r="F146" s="14">
        <v>14</v>
      </c>
      <c r="G146" s="14">
        <v>14</v>
      </c>
      <c r="H146" s="14">
        <v>0</v>
      </c>
      <c r="I146" s="14">
        <v>0</v>
      </c>
      <c r="J146" s="69">
        <v>13737.88</v>
      </c>
      <c r="K146">
        <f t="shared" si="2"/>
        <v>0</v>
      </c>
      <c r="L146" s="14">
        <v>0</v>
      </c>
      <c r="M146" s="14">
        <v>0</v>
      </c>
      <c r="N146" s="14">
        <v>0</v>
      </c>
      <c r="O146" s="69">
        <v>0</v>
      </c>
      <c r="P146" s="226">
        <f>VLOOKUP(Table323[[#This Row],[Census Tract]],'Population and Diversity Data'!$B$2:$K$823,10,FALSE)</f>
        <v>5</v>
      </c>
      <c r="Q146" s="226" t="str">
        <f>VLOOKUP(Table323[[#This Row],[Census Tract]],'ES Energy Burden'!$B$2:$E$914,4,FALSE)</f>
        <v>No</v>
      </c>
      <c r="R146" s="248">
        <f>VLOOKUP(Table323[[#This Row],[Census Tract]],'Income and Housing Data'!$B$2:$D$823,3,FALSE)</f>
        <v>89985</v>
      </c>
      <c r="S146" s="248" t="str">
        <f>IF($U$6&lt;=Table323[[#This Row],[Household income]],IF(Table323[[#This Row],[Household income]]&lt;=$U$7, "Yes","No"),"No")</f>
        <v>No</v>
      </c>
    </row>
    <row r="147" spans="1:19" x14ac:dyDescent="0.25">
      <c r="A147" s="147">
        <v>9001211100</v>
      </c>
      <c r="B147" s="148" t="s">
        <v>2753</v>
      </c>
      <c r="C147" s="150" t="s">
        <v>944</v>
      </c>
      <c r="D147" s="70">
        <v>854.27637120000009</v>
      </c>
      <c r="E147" s="70">
        <v>0</v>
      </c>
      <c r="F147" s="14">
        <v>0</v>
      </c>
      <c r="G147" s="14">
        <v>0</v>
      </c>
      <c r="H147" s="14">
        <v>0</v>
      </c>
      <c r="I147" s="14">
        <v>0</v>
      </c>
      <c r="J147" s="69">
        <v>0</v>
      </c>
      <c r="K147">
        <f t="shared" si="2"/>
        <v>0</v>
      </c>
      <c r="L147" s="14">
        <v>0</v>
      </c>
      <c r="M147" s="14">
        <v>0</v>
      </c>
      <c r="N147" s="14">
        <v>0</v>
      </c>
      <c r="O147" s="69">
        <v>0</v>
      </c>
      <c r="P147" s="226" t="e">
        <f>VLOOKUP(Table323[[#This Row],[Census Tract]],'Population and Diversity Data'!$B$2:$K$823,10,FALSE)</f>
        <v>#N/A</v>
      </c>
      <c r="Q147" s="226" t="e">
        <f>VLOOKUP(Table323[[#This Row],[Census Tract]],'ES Energy Burden'!$B$2:$E$914,4,FALSE)</f>
        <v>#N/A</v>
      </c>
      <c r="R147" s="248" t="e">
        <f>VLOOKUP(Table323[[#This Row],[Census Tract]],'Income and Housing Data'!$B$2:$D$823,3,FALSE)</f>
        <v>#N/A</v>
      </c>
      <c r="S147" s="248" t="e">
        <f>IF($U$6&lt;=Table323[[#This Row],[Household income]],IF(Table323[[#This Row],[Household income]]&lt;=$U$7, "Yes","No"),"No")</f>
        <v>#N/A</v>
      </c>
    </row>
    <row r="148" spans="1:19" x14ac:dyDescent="0.25">
      <c r="A148" s="147">
        <v>9001211200</v>
      </c>
      <c r="B148" s="148" t="s">
        <v>2753</v>
      </c>
      <c r="C148" s="150" t="s">
        <v>944</v>
      </c>
      <c r="D148" s="70">
        <v>126281.56981248001</v>
      </c>
      <c r="E148" s="70">
        <v>9848.92</v>
      </c>
      <c r="F148" s="14">
        <v>8</v>
      </c>
      <c r="G148" s="14">
        <v>8</v>
      </c>
      <c r="H148" s="14">
        <v>0</v>
      </c>
      <c r="I148" s="14">
        <v>0</v>
      </c>
      <c r="J148" s="69">
        <v>5713.95</v>
      </c>
      <c r="K148">
        <f t="shared" si="2"/>
        <v>0</v>
      </c>
      <c r="L148" s="14">
        <v>0</v>
      </c>
      <c r="M148" s="14">
        <v>0</v>
      </c>
      <c r="N148" s="14">
        <v>0</v>
      </c>
      <c r="O148" s="69">
        <v>0</v>
      </c>
      <c r="P148" s="226">
        <f>VLOOKUP(Table323[[#This Row],[Census Tract]],'Population and Diversity Data'!$B$2:$K$823,10,FALSE)</f>
        <v>5</v>
      </c>
      <c r="Q148" s="226" t="str">
        <f>VLOOKUP(Table323[[#This Row],[Census Tract]],'ES Energy Burden'!$B$2:$E$914,4,FALSE)</f>
        <v>No</v>
      </c>
      <c r="R148" s="248">
        <f>VLOOKUP(Table323[[#This Row],[Census Tract]],'Income and Housing Data'!$B$2:$D$823,3,FALSE)</f>
        <v>90285</v>
      </c>
      <c r="S148" s="248" t="str">
        <f>IF($U$6&lt;=Table323[[#This Row],[Household income]],IF(Table323[[#This Row],[Household income]]&lt;=$U$7, "Yes","No"),"No")</f>
        <v>No</v>
      </c>
    </row>
    <row r="149" spans="1:19" x14ac:dyDescent="0.25">
      <c r="A149" s="147">
        <v>9001211300</v>
      </c>
      <c r="B149" s="148" t="s">
        <v>2753</v>
      </c>
      <c r="C149" s="150" t="s">
        <v>944</v>
      </c>
      <c r="D149" s="70">
        <v>81086.724829440005</v>
      </c>
      <c r="E149" s="70">
        <v>21246.9</v>
      </c>
      <c r="F149" s="14">
        <v>12</v>
      </c>
      <c r="G149" s="14">
        <v>12</v>
      </c>
      <c r="H149" s="14">
        <v>0</v>
      </c>
      <c r="I149" s="14">
        <v>0</v>
      </c>
      <c r="J149" s="69">
        <v>10087</v>
      </c>
      <c r="K149">
        <f t="shared" si="2"/>
        <v>0</v>
      </c>
      <c r="L149" s="14">
        <v>0</v>
      </c>
      <c r="M149" s="14">
        <v>0</v>
      </c>
      <c r="N149" s="14">
        <v>0</v>
      </c>
      <c r="O149" s="69">
        <v>0</v>
      </c>
      <c r="P149" s="226">
        <f>VLOOKUP(Table323[[#This Row],[Census Tract]],'Population and Diversity Data'!$B$2:$K$823,10,FALSE)</f>
        <v>3</v>
      </c>
      <c r="Q149" s="226" t="str">
        <f>VLOOKUP(Table323[[#This Row],[Census Tract]],'ES Energy Burden'!$B$2:$E$914,4,FALSE)</f>
        <v>No</v>
      </c>
      <c r="R149" s="248">
        <f>VLOOKUP(Table323[[#This Row],[Census Tract]],'Income and Housing Data'!$B$2:$D$823,3,FALSE)</f>
        <v>105528</v>
      </c>
      <c r="S149" s="248" t="str">
        <f>IF($U$6&lt;=Table323[[#This Row],[Household income]],IF(Table323[[#This Row],[Household income]]&lt;=$U$7, "Yes","No"),"No")</f>
        <v>No</v>
      </c>
    </row>
    <row r="150" spans="1:19" x14ac:dyDescent="0.25">
      <c r="A150" s="147">
        <v>9001211400</v>
      </c>
      <c r="B150" s="148" t="s">
        <v>2753</v>
      </c>
      <c r="C150" s="150" t="s">
        <v>944</v>
      </c>
      <c r="D150" s="70">
        <v>96778.791999359993</v>
      </c>
      <c r="E150" s="70">
        <v>19683.9421</v>
      </c>
      <c r="F150" s="14">
        <v>14</v>
      </c>
      <c r="G150" s="14">
        <v>10</v>
      </c>
      <c r="H150" s="14">
        <v>4</v>
      </c>
      <c r="I150" s="14">
        <v>0</v>
      </c>
      <c r="J150" s="69">
        <v>7590.6121000000003</v>
      </c>
      <c r="K150">
        <f t="shared" si="2"/>
        <v>0</v>
      </c>
      <c r="L150" s="14">
        <v>0</v>
      </c>
      <c r="M150" s="14">
        <v>0</v>
      </c>
      <c r="N150" s="14">
        <v>0</v>
      </c>
      <c r="O150" s="69">
        <v>0</v>
      </c>
      <c r="P150" s="226">
        <f>VLOOKUP(Table323[[#This Row],[Census Tract]],'Population and Diversity Data'!$B$2:$K$823,10,FALSE)</f>
        <v>4</v>
      </c>
      <c r="Q150" s="226" t="str">
        <f>VLOOKUP(Table323[[#This Row],[Census Tract]],'ES Energy Burden'!$B$2:$E$914,4,FALSE)</f>
        <v>No</v>
      </c>
      <c r="R150" s="248">
        <f>VLOOKUP(Table323[[#This Row],[Census Tract]],'Income and Housing Data'!$B$2:$D$823,3,FALSE)</f>
        <v>81474</v>
      </c>
      <c r="S150" s="248" t="str">
        <f>IF($U$6&lt;=Table323[[#This Row],[Household income]],IF(Table323[[#This Row],[Household income]]&lt;=$U$7, "Yes","No"),"No")</f>
        <v>No</v>
      </c>
    </row>
    <row r="151" spans="1:19" x14ac:dyDescent="0.25">
      <c r="A151" s="147">
        <v>9001220200</v>
      </c>
      <c r="B151" s="148" t="s">
        <v>2753</v>
      </c>
      <c r="C151" s="150" t="s">
        <v>944</v>
      </c>
      <c r="D151" s="70">
        <v>607.07724480000002</v>
      </c>
      <c r="E151" s="70">
        <v>1235.32</v>
      </c>
      <c r="F151" s="14">
        <v>1</v>
      </c>
      <c r="G151" s="14">
        <v>1</v>
      </c>
      <c r="H151" s="14">
        <v>0</v>
      </c>
      <c r="I151" s="14">
        <v>0</v>
      </c>
      <c r="J151" s="69">
        <v>1232.79</v>
      </c>
      <c r="K151">
        <f t="shared" si="2"/>
        <v>0</v>
      </c>
      <c r="L151" s="14">
        <v>0</v>
      </c>
      <c r="M151" s="14">
        <v>0</v>
      </c>
      <c r="N151" s="14">
        <v>0</v>
      </c>
      <c r="O151" s="69">
        <v>0</v>
      </c>
      <c r="P151" s="226">
        <f>VLOOKUP(Table323[[#This Row],[Census Tract]],'Population and Diversity Data'!$B$2:$K$823,10,FALSE)</f>
        <v>3</v>
      </c>
      <c r="Q151" s="226" t="str">
        <f>VLOOKUP(Table323[[#This Row],[Census Tract]],'ES Energy Burden'!$B$2:$E$914,4,FALSE)</f>
        <v>No</v>
      </c>
      <c r="R151" s="248">
        <f>VLOOKUP(Table323[[#This Row],[Census Tract]],'Income and Housing Data'!$B$2:$D$823,3,FALSE)</f>
        <v>126422</v>
      </c>
      <c r="S151" s="248" t="str">
        <f>IF($U$6&lt;=Table323[[#This Row],[Household income]],IF(Table323[[#This Row],[Household income]]&lt;=$U$7, "Yes","No"),"No")</f>
        <v>No</v>
      </c>
    </row>
    <row r="152" spans="1:19" x14ac:dyDescent="0.25">
      <c r="A152" s="147">
        <v>9001220300</v>
      </c>
      <c r="B152" s="148" t="s">
        <v>2753</v>
      </c>
      <c r="C152" s="150" t="s">
        <v>944</v>
      </c>
      <c r="D152" s="70">
        <v>570.49781759999996</v>
      </c>
      <c r="E152" s="70">
        <v>0</v>
      </c>
      <c r="F152" s="14">
        <v>0</v>
      </c>
      <c r="G152" s="14">
        <v>0</v>
      </c>
      <c r="H152" s="14">
        <v>0</v>
      </c>
      <c r="I152" s="14">
        <v>0</v>
      </c>
      <c r="J152" s="69">
        <v>0</v>
      </c>
      <c r="K152">
        <f t="shared" si="2"/>
        <v>0</v>
      </c>
      <c r="L152" s="14">
        <v>0</v>
      </c>
      <c r="M152" s="14">
        <v>0</v>
      </c>
      <c r="N152" s="14">
        <v>0</v>
      </c>
      <c r="O152" s="69">
        <v>0</v>
      </c>
      <c r="P152" s="226">
        <f>VLOOKUP(Table323[[#This Row],[Census Tract]],'Population and Diversity Data'!$B$2:$K$823,10,FALSE)</f>
        <v>2</v>
      </c>
      <c r="Q152" s="226" t="str">
        <f>VLOOKUP(Table323[[#This Row],[Census Tract]],'ES Energy Burden'!$B$2:$E$914,4,FALSE)</f>
        <v>No</v>
      </c>
      <c r="R152" s="248">
        <f>VLOOKUP(Table323[[#This Row],[Census Tract]],'Income and Housing Data'!$B$2:$D$823,3,FALSE)</f>
        <v>106296</v>
      </c>
      <c r="S152" s="248" t="str">
        <f>IF($U$6&lt;=Table323[[#This Row],[Household income]],IF(Table323[[#This Row],[Household income]]&lt;=$U$7, "Yes","No"),"No")</f>
        <v>No</v>
      </c>
    </row>
    <row r="153" spans="1:19" x14ac:dyDescent="0.25">
      <c r="A153" s="147">
        <v>9001240100</v>
      </c>
      <c r="B153" s="148" t="s">
        <v>2753</v>
      </c>
      <c r="C153" s="150" t="s">
        <v>944</v>
      </c>
      <c r="D153" s="70">
        <v>66.391747200000012</v>
      </c>
      <c r="E153" s="70">
        <v>0</v>
      </c>
      <c r="F153" s="14">
        <v>0</v>
      </c>
      <c r="G153" s="14">
        <v>0</v>
      </c>
      <c r="H153" s="14">
        <v>0</v>
      </c>
      <c r="I153" s="14">
        <v>0</v>
      </c>
      <c r="J153" s="69">
        <v>0</v>
      </c>
      <c r="K153">
        <f t="shared" si="2"/>
        <v>0</v>
      </c>
      <c r="L153" s="14">
        <v>0</v>
      </c>
      <c r="M153" s="14">
        <v>0</v>
      </c>
      <c r="N153" s="14">
        <v>0</v>
      </c>
      <c r="O153" s="69">
        <v>0</v>
      </c>
      <c r="P153" s="226">
        <f>VLOOKUP(Table323[[#This Row],[Census Tract]],'Population and Diversity Data'!$B$2:$K$823,10,FALSE)</f>
        <v>1</v>
      </c>
      <c r="Q153" s="226" t="str">
        <f>VLOOKUP(Table323[[#This Row],[Census Tract]],'ES Energy Burden'!$B$2:$E$914,4,FALSE)</f>
        <v>No</v>
      </c>
      <c r="R153" s="248">
        <f>VLOOKUP(Table323[[#This Row],[Census Tract]],'Income and Housing Data'!$B$2:$D$823,3,FALSE)</f>
        <v>131992</v>
      </c>
      <c r="S153" s="248" t="str">
        <f>IF($U$6&lt;=Table323[[#This Row],[Household income]],IF(Table323[[#This Row],[Household income]]&lt;=$U$7, "Yes","No"),"No")</f>
        <v>No</v>
      </c>
    </row>
    <row r="154" spans="1:19" x14ac:dyDescent="0.25">
      <c r="A154" s="147">
        <v>9001245200</v>
      </c>
      <c r="B154" s="148" t="s">
        <v>2753</v>
      </c>
      <c r="C154" s="150" t="s">
        <v>944</v>
      </c>
      <c r="D154" s="70">
        <v>295.62822719999997</v>
      </c>
      <c r="E154" s="70">
        <v>0</v>
      </c>
      <c r="F154" s="14">
        <v>0</v>
      </c>
      <c r="G154" s="14">
        <v>0</v>
      </c>
      <c r="H154" s="14">
        <v>0</v>
      </c>
      <c r="I154" s="14">
        <v>0</v>
      </c>
      <c r="J154" s="69">
        <v>0</v>
      </c>
      <c r="K154">
        <f t="shared" si="2"/>
        <v>0</v>
      </c>
      <c r="L154" s="14">
        <v>0</v>
      </c>
      <c r="M154" s="14">
        <v>0</v>
      </c>
      <c r="N154" s="14">
        <v>0</v>
      </c>
      <c r="O154" s="69">
        <v>0</v>
      </c>
      <c r="P154" s="226">
        <f>VLOOKUP(Table323[[#This Row],[Census Tract]],'Population and Diversity Data'!$B$2:$K$823,10,FALSE)</f>
        <v>3</v>
      </c>
      <c r="Q154" s="226" t="str">
        <f>VLOOKUP(Table323[[#This Row],[Census Tract]],'ES Energy Burden'!$B$2:$E$914,4,FALSE)</f>
        <v>No</v>
      </c>
      <c r="R154" s="248">
        <f>VLOOKUP(Table323[[#This Row],[Census Tract]],'Income and Housing Data'!$B$2:$D$823,3,FALSE)</f>
        <v>152708</v>
      </c>
      <c r="S154" s="248" t="str">
        <f>IF($U$6&lt;=Table323[[#This Row],[Household income]],IF(Table323[[#This Row],[Household income]]&lt;=$U$7, "Yes","No"),"No")</f>
        <v>No</v>
      </c>
    </row>
    <row r="155" spans="1:19" x14ac:dyDescent="0.25">
      <c r="A155" s="147">
        <v>9001245600</v>
      </c>
      <c r="B155" s="148" t="s">
        <v>2753</v>
      </c>
      <c r="C155" s="150" t="s">
        <v>944</v>
      </c>
      <c r="D155" s="70">
        <v>3350.3837759999997</v>
      </c>
      <c r="E155" s="70">
        <v>0</v>
      </c>
      <c r="F155" s="14">
        <v>0</v>
      </c>
      <c r="G155" s="14">
        <v>0</v>
      </c>
      <c r="H155" s="14">
        <v>0</v>
      </c>
      <c r="I155" s="14">
        <v>0</v>
      </c>
      <c r="J155" s="69">
        <v>0</v>
      </c>
      <c r="K155">
        <f t="shared" si="2"/>
        <v>0</v>
      </c>
      <c r="L155" s="14">
        <v>0</v>
      </c>
      <c r="M155" s="14">
        <v>0</v>
      </c>
      <c r="N155" s="14">
        <v>0</v>
      </c>
      <c r="O155" s="69">
        <v>0</v>
      </c>
      <c r="P155" s="226">
        <f>VLOOKUP(Table323[[#This Row],[Census Tract]],'Population and Diversity Data'!$B$2:$K$823,10,FALSE)</f>
        <v>3</v>
      </c>
      <c r="Q155" s="226" t="str">
        <f>VLOOKUP(Table323[[#This Row],[Census Tract]],'ES Energy Burden'!$B$2:$E$914,4,FALSE)</f>
        <v>No</v>
      </c>
      <c r="R155" s="248">
        <f>VLOOKUP(Table323[[#This Row],[Census Tract]],'Income and Housing Data'!$B$2:$D$823,3,FALSE)</f>
        <v>191524</v>
      </c>
      <c r="S155" s="248" t="str">
        <f>IF($U$6&lt;=Table323[[#This Row],[Household income]],IF(Table323[[#This Row],[Household income]]&lt;=$U$7, "Yes","No"),"No")</f>
        <v>No</v>
      </c>
    </row>
    <row r="156" spans="1:19" x14ac:dyDescent="0.25">
      <c r="A156" s="147">
        <v>9001030100</v>
      </c>
      <c r="B156" s="148" t="s">
        <v>2754</v>
      </c>
      <c r="C156" s="150" t="s">
        <v>944</v>
      </c>
      <c r="D156" s="70">
        <v>144509.90071392001</v>
      </c>
      <c r="E156" s="70">
        <v>21254.052</v>
      </c>
      <c r="F156" s="14">
        <v>24</v>
      </c>
      <c r="G156" s="14">
        <v>24</v>
      </c>
      <c r="H156" s="14">
        <v>0</v>
      </c>
      <c r="I156" s="14">
        <v>0</v>
      </c>
      <c r="J156" s="69">
        <v>21252.232</v>
      </c>
      <c r="K156">
        <f t="shared" si="2"/>
        <v>0</v>
      </c>
      <c r="L156" s="14">
        <v>0</v>
      </c>
      <c r="M156" s="14">
        <v>0</v>
      </c>
      <c r="N156" s="14">
        <v>0</v>
      </c>
      <c r="O156" s="69">
        <v>0</v>
      </c>
      <c r="P156" s="226">
        <f>VLOOKUP(Table323[[#This Row],[Census Tract]],'Population and Diversity Data'!$B$2:$K$823,10,FALSE)</f>
        <v>1</v>
      </c>
      <c r="Q156" s="226" t="str">
        <f>VLOOKUP(Table323[[#This Row],[Census Tract]],'ES Energy Burden'!$B$2:$E$914,4,FALSE)</f>
        <v>No</v>
      </c>
      <c r="R156" s="248">
        <f>VLOOKUP(Table323[[#This Row],[Census Tract]],'Income and Housing Data'!$B$2:$D$823,3,FALSE)</f>
        <v>250000</v>
      </c>
      <c r="S156" s="248" t="str">
        <f>IF($U$6&lt;=Table323[[#This Row],[Household income]],IF(Table323[[#This Row],[Household income]]&lt;=$U$7, "Yes","No"),"No")</f>
        <v>No</v>
      </c>
    </row>
    <row r="157" spans="1:19" x14ac:dyDescent="0.25">
      <c r="A157" s="147">
        <v>9001030200</v>
      </c>
      <c r="B157" s="148" t="s">
        <v>2754</v>
      </c>
      <c r="C157" s="150" t="s">
        <v>944</v>
      </c>
      <c r="D157" s="70">
        <v>90975.895113599996</v>
      </c>
      <c r="E157" s="70">
        <v>24472.4656</v>
      </c>
      <c r="F157" s="14">
        <v>18</v>
      </c>
      <c r="G157" s="14">
        <v>18</v>
      </c>
      <c r="H157" s="14">
        <v>0</v>
      </c>
      <c r="I157" s="14">
        <v>0</v>
      </c>
      <c r="J157" s="69">
        <v>20338.925599999999</v>
      </c>
      <c r="K157">
        <f t="shared" si="2"/>
        <v>0</v>
      </c>
      <c r="L157" s="14">
        <v>0</v>
      </c>
      <c r="M157" s="14">
        <v>0</v>
      </c>
      <c r="N157" s="14">
        <v>0</v>
      </c>
      <c r="O157" s="69">
        <v>0</v>
      </c>
      <c r="P157" s="226">
        <f>VLOOKUP(Table323[[#This Row],[Census Tract]],'Population and Diversity Data'!$B$2:$K$823,10,FALSE)</f>
        <v>3</v>
      </c>
      <c r="Q157" s="226" t="str">
        <f>VLOOKUP(Table323[[#This Row],[Census Tract]],'ES Energy Burden'!$B$2:$E$914,4,FALSE)</f>
        <v>No</v>
      </c>
      <c r="R157" s="248">
        <f>VLOOKUP(Table323[[#This Row],[Census Tract]],'Income and Housing Data'!$B$2:$D$823,3,FALSE)</f>
        <v>250000</v>
      </c>
      <c r="S157" s="248" t="str">
        <f>IF($U$6&lt;=Table323[[#This Row],[Household income]],IF(Table323[[#This Row],[Household income]]&lt;=$U$7, "Yes","No"),"No")</f>
        <v>No</v>
      </c>
    </row>
    <row r="158" spans="1:19" x14ac:dyDescent="0.25">
      <c r="A158" s="147">
        <v>9001030300</v>
      </c>
      <c r="B158" s="148" t="s">
        <v>2754</v>
      </c>
      <c r="C158" s="150" t="s">
        <v>944</v>
      </c>
      <c r="D158" s="70">
        <v>178578.25704</v>
      </c>
      <c r="E158" s="70">
        <v>84416.53</v>
      </c>
      <c r="F158" s="14">
        <v>18</v>
      </c>
      <c r="G158" s="14">
        <v>18</v>
      </c>
      <c r="H158" s="14">
        <v>0</v>
      </c>
      <c r="I158" s="14">
        <v>0</v>
      </c>
      <c r="J158" s="69">
        <v>23294.2</v>
      </c>
      <c r="K158">
        <f t="shared" si="2"/>
        <v>2</v>
      </c>
      <c r="L158" s="14">
        <v>2</v>
      </c>
      <c r="M158" s="14">
        <v>0</v>
      </c>
      <c r="N158" s="14">
        <v>0</v>
      </c>
      <c r="O158" s="69">
        <v>4718.22</v>
      </c>
      <c r="P158" s="226">
        <f>VLOOKUP(Table323[[#This Row],[Census Tract]],'Population and Diversity Data'!$B$2:$K$823,10,FALSE)</f>
        <v>1</v>
      </c>
      <c r="Q158" s="226" t="str">
        <f>VLOOKUP(Table323[[#This Row],[Census Tract]],'ES Energy Burden'!$B$2:$E$914,4,FALSE)</f>
        <v>No</v>
      </c>
      <c r="R158" s="248">
        <f>VLOOKUP(Table323[[#This Row],[Census Tract]],'Income and Housing Data'!$B$2:$D$823,3,FALSE)</f>
        <v>250000</v>
      </c>
      <c r="S158" s="248" t="str">
        <f>IF($U$6&lt;=Table323[[#This Row],[Household income]],IF(Table323[[#This Row],[Household income]]&lt;=$U$7, "Yes","No"),"No")</f>
        <v>No</v>
      </c>
    </row>
    <row r="159" spans="1:19" x14ac:dyDescent="0.25">
      <c r="A159" s="147">
        <v>9001030400</v>
      </c>
      <c r="B159" s="148" t="s">
        <v>2754</v>
      </c>
      <c r="C159" s="150" t="s">
        <v>944</v>
      </c>
      <c r="D159" s="70">
        <v>83365.854695999995</v>
      </c>
      <c r="E159" s="70">
        <v>14030.75</v>
      </c>
      <c r="F159" s="14">
        <v>14</v>
      </c>
      <c r="G159" s="14">
        <v>14</v>
      </c>
      <c r="H159" s="14">
        <v>0</v>
      </c>
      <c r="I159" s="14">
        <v>0</v>
      </c>
      <c r="J159" s="69">
        <v>13948.75</v>
      </c>
      <c r="K159">
        <f t="shared" si="2"/>
        <v>0</v>
      </c>
      <c r="L159" s="14">
        <v>0</v>
      </c>
      <c r="M159" s="14">
        <v>0</v>
      </c>
      <c r="N159" s="14">
        <v>0</v>
      </c>
      <c r="O159" s="69">
        <v>0</v>
      </c>
      <c r="P159" s="226">
        <f>VLOOKUP(Table323[[#This Row],[Census Tract]],'Population and Diversity Data'!$B$2:$K$823,10,FALSE)</f>
        <v>3</v>
      </c>
      <c r="Q159" s="226" t="str">
        <f>VLOOKUP(Table323[[#This Row],[Census Tract]],'ES Energy Burden'!$B$2:$E$914,4,FALSE)</f>
        <v>No</v>
      </c>
      <c r="R159" s="248">
        <f>VLOOKUP(Table323[[#This Row],[Census Tract]],'Income and Housing Data'!$B$2:$D$823,3,FALSE)</f>
        <v>145625</v>
      </c>
      <c r="S159" s="248" t="str">
        <f>IF($U$6&lt;=Table323[[#This Row],[Household income]],IF(Table323[[#This Row],[Household income]]&lt;=$U$7, "Yes","No"),"No")</f>
        <v>No</v>
      </c>
    </row>
    <row r="160" spans="1:19" x14ac:dyDescent="0.25">
      <c r="A160" s="147">
        <v>9001030500</v>
      </c>
      <c r="B160" s="148" t="s">
        <v>2754</v>
      </c>
      <c r="C160" s="150" t="s">
        <v>944</v>
      </c>
      <c r="D160" s="70">
        <v>137375.18561088003</v>
      </c>
      <c r="E160" s="70">
        <v>32728.266500000002</v>
      </c>
      <c r="F160" s="14">
        <v>37</v>
      </c>
      <c r="G160" s="14">
        <v>37</v>
      </c>
      <c r="H160" s="14">
        <v>0</v>
      </c>
      <c r="I160" s="14">
        <v>0</v>
      </c>
      <c r="J160" s="69">
        <v>31288.636500000001</v>
      </c>
      <c r="K160">
        <f t="shared" si="2"/>
        <v>0</v>
      </c>
      <c r="L160" s="14">
        <v>0</v>
      </c>
      <c r="M160" s="14">
        <v>0</v>
      </c>
      <c r="N160" s="14">
        <v>0</v>
      </c>
      <c r="O160" s="69">
        <v>0</v>
      </c>
      <c r="P160" s="226">
        <f>VLOOKUP(Table323[[#This Row],[Census Tract]],'Population and Diversity Data'!$B$2:$K$823,10,FALSE)</f>
        <v>3</v>
      </c>
      <c r="Q160" s="226" t="str">
        <f>VLOOKUP(Table323[[#This Row],[Census Tract]],'ES Energy Burden'!$B$2:$E$914,4,FALSE)</f>
        <v>No</v>
      </c>
      <c r="R160" s="248">
        <f>VLOOKUP(Table323[[#This Row],[Census Tract]],'Income and Housing Data'!$B$2:$D$823,3,FALSE)</f>
        <v>192222</v>
      </c>
      <c r="S160" s="248" t="str">
        <f>IF($U$6&lt;=Table323[[#This Row],[Household income]],IF(Table323[[#This Row],[Household income]]&lt;=$U$7, "Yes","No"),"No")</f>
        <v>No</v>
      </c>
    </row>
    <row r="161" spans="1:19" x14ac:dyDescent="0.25">
      <c r="A161" s="147">
        <v>9007620100</v>
      </c>
      <c r="B161" s="148" t="s">
        <v>2755</v>
      </c>
      <c r="C161" s="150" t="s">
        <v>944</v>
      </c>
      <c r="D161" s="70">
        <v>104659.9294464</v>
      </c>
      <c r="E161" s="70">
        <v>55582.743199999997</v>
      </c>
      <c r="F161" s="14">
        <v>24</v>
      </c>
      <c r="G161" s="14">
        <v>24</v>
      </c>
      <c r="H161" s="14">
        <v>0</v>
      </c>
      <c r="I161" s="14">
        <v>0</v>
      </c>
      <c r="J161" s="69">
        <v>17812.47</v>
      </c>
      <c r="K161">
        <f t="shared" si="2"/>
        <v>7</v>
      </c>
      <c r="L161" s="14">
        <v>7</v>
      </c>
      <c r="M161" s="14">
        <v>0</v>
      </c>
      <c r="N161" s="14">
        <v>0</v>
      </c>
      <c r="O161" s="69">
        <v>16968.8</v>
      </c>
      <c r="P161" s="226">
        <f>VLOOKUP(Table323[[#This Row],[Census Tract]],'Population and Diversity Data'!$B$2:$K$823,10,FALSE)</f>
        <v>1</v>
      </c>
      <c r="Q161" s="226" t="str">
        <f>VLOOKUP(Table323[[#This Row],[Census Tract]],'ES Energy Burden'!$B$2:$E$914,4,FALSE)</f>
        <v>No</v>
      </c>
      <c r="R161" s="248">
        <f>VLOOKUP(Table323[[#This Row],[Census Tract]],'Income and Housing Data'!$B$2:$D$823,3,FALSE)</f>
        <v>85960</v>
      </c>
      <c r="S161" s="248" t="str">
        <f>IF($U$6&lt;=Table323[[#This Row],[Household income]],IF(Table323[[#This Row],[Household income]]&lt;=$U$7, "Yes","No"),"No")</f>
        <v>No</v>
      </c>
    </row>
    <row r="162" spans="1:19" x14ac:dyDescent="0.25">
      <c r="A162" s="147">
        <v>9007585100</v>
      </c>
      <c r="B162" s="148" t="s">
        <v>2756</v>
      </c>
      <c r="C162" s="150" t="s">
        <v>944</v>
      </c>
      <c r="D162" s="70">
        <v>149595.26773535999</v>
      </c>
      <c r="E162" s="70">
        <v>60194.636700000003</v>
      </c>
      <c r="F162" s="14">
        <v>34</v>
      </c>
      <c r="G162" s="14">
        <v>34</v>
      </c>
      <c r="H162" s="14">
        <v>0</v>
      </c>
      <c r="I162" s="14">
        <v>0</v>
      </c>
      <c r="J162" s="69">
        <v>36775.274400000002</v>
      </c>
      <c r="K162">
        <f t="shared" si="2"/>
        <v>2</v>
      </c>
      <c r="L162" s="14">
        <v>2</v>
      </c>
      <c r="M162" s="14">
        <v>0</v>
      </c>
      <c r="N162" s="14">
        <v>0</v>
      </c>
      <c r="O162" s="69">
        <v>9992.6200000000008</v>
      </c>
      <c r="P162" s="226">
        <f>VLOOKUP(Table323[[#This Row],[Census Tract]],'Population and Diversity Data'!$B$2:$K$823,10,FALSE)</f>
        <v>1</v>
      </c>
      <c r="Q162" s="226" t="str">
        <f>VLOOKUP(Table323[[#This Row],[Census Tract]],'ES Energy Burden'!$B$2:$E$914,4,FALSE)</f>
        <v>No</v>
      </c>
      <c r="R162" s="248">
        <f>VLOOKUP(Table323[[#This Row],[Census Tract]],'Income and Housing Data'!$B$2:$D$823,3,FALSE)</f>
        <v>119905</v>
      </c>
      <c r="S162" s="248" t="str">
        <f>IF($U$6&lt;=Table323[[#This Row],[Household income]],IF(Table323[[#This Row],[Household income]]&lt;=$U$7, "Yes","No"),"No")</f>
        <v>No</v>
      </c>
    </row>
    <row r="163" spans="1:19" x14ac:dyDescent="0.25">
      <c r="A163" s="147">
        <v>9009190303</v>
      </c>
      <c r="B163" s="148" t="s">
        <v>2756</v>
      </c>
      <c r="C163" s="150" t="s">
        <v>944</v>
      </c>
      <c r="D163" s="70">
        <v>86.247331200000005</v>
      </c>
      <c r="E163" s="70">
        <v>0</v>
      </c>
      <c r="F163" s="14">
        <v>0</v>
      </c>
      <c r="G163" s="14">
        <v>0</v>
      </c>
      <c r="H163" s="14">
        <v>0</v>
      </c>
      <c r="I163" s="14">
        <v>0</v>
      </c>
      <c r="J163" s="69">
        <v>0</v>
      </c>
      <c r="K163">
        <f t="shared" si="2"/>
        <v>0</v>
      </c>
      <c r="L163" s="14">
        <v>0</v>
      </c>
      <c r="M163" s="14">
        <v>0</v>
      </c>
      <c r="N163" s="14">
        <v>0</v>
      </c>
      <c r="O163" s="69">
        <v>0</v>
      </c>
      <c r="P163" s="226">
        <f>VLOOKUP(Table323[[#This Row],[Census Tract]],'Population and Diversity Data'!$B$2:$K$823,10,FALSE)</f>
        <v>2</v>
      </c>
      <c r="Q163" s="226" t="str">
        <f>VLOOKUP(Table323[[#This Row],[Census Tract]],'ES Energy Burden'!$B$2:$E$914,4,FALSE)</f>
        <v>No</v>
      </c>
      <c r="R163" s="248">
        <f>VLOOKUP(Table323[[#This Row],[Census Tract]],'Income and Housing Data'!$B$2:$D$823,3,FALSE)</f>
        <v>106063</v>
      </c>
      <c r="S163" s="248" t="str">
        <f>IF($U$6&lt;=Table323[[#This Row],[Household income]],IF(Table323[[#This Row],[Household income]]&lt;=$U$7, "Yes","No"),"No")</f>
        <v>No</v>
      </c>
    </row>
    <row r="164" spans="1:19" x14ac:dyDescent="0.25">
      <c r="A164" s="147">
        <v>9003470100</v>
      </c>
      <c r="B164" s="148" t="s">
        <v>2757</v>
      </c>
      <c r="C164" s="150" t="s">
        <v>944</v>
      </c>
      <c r="D164" s="70">
        <v>111288.10370976001</v>
      </c>
      <c r="E164" s="70">
        <v>53479.969799999999</v>
      </c>
      <c r="F164" s="14">
        <v>34</v>
      </c>
      <c r="G164" s="14">
        <v>34</v>
      </c>
      <c r="H164" s="14">
        <v>0</v>
      </c>
      <c r="I164" s="14">
        <v>0</v>
      </c>
      <c r="J164" s="69">
        <v>23890.289799999999</v>
      </c>
      <c r="K164">
        <f t="shared" si="2"/>
        <v>6</v>
      </c>
      <c r="L164" s="14">
        <v>6</v>
      </c>
      <c r="M164" s="14">
        <v>0</v>
      </c>
      <c r="N164" s="14">
        <v>0</v>
      </c>
      <c r="O164" s="69">
        <v>14800.1</v>
      </c>
      <c r="P164" s="226">
        <f>VLOOKUP(Table323[[#This Row],[Census Tract]],'Population and Diversity Data'!$B$2:$K$823,10,FALSE)</f>
        <v>3</v>
      </c>
      <c r="Q164" s="226" t="str">
        <f>VLOOKUP(Table323[[#This Row],[Census Tract]],'ES Energy Burden'!$B$2:$E$914,4,FALSE)</f>
        <v>No</v>
      </c>
      <c r="R164" s="248">
        <f>VLOOKUP(Table323[[#This Row],[Census Tract]],'Income and Housing Data'!$B$2:$D$823,3,FALSE)</f>
        <v>104336</v>
      </c>
      <c r="S164" s="248" t="str">
        <f>IF($U$6&lt;=Table323[[#This Row],[Household income]],IF(Table323[[#This Row],[Household income]]&lt;=$U$7, "Yes","No"),"No")</f>
        <v>No</v>
      </c>
    </row>
    <row r="165" spans="1:19" x14ac:dyDescent="0.25">
      <c r="A165" s="147">
        <v>9003477101</v>
      </c>
      <c r="B165" s="148" t="s">
        <v>2757</v>
      </c>
      <c r="C165" s="150" t="s">
        <v>944</v>
      </c>
      <c r="D165" s="70">
        <v>279.3906432</v>
      </c>
      <c r="E165" s="70">
        <v>0</v>
      </c>
      <c r="F165" s="14">
        <v>0</v>
      </c>
      <c r="G165" s="14">
        <v>0</v>
      </c>
      <c r="H165" s="14">
        <v>0</v>
      </c>
      <c r="I165" s="14">
        <v>0</v>
      </c>
      <c r="J165" s="69">
        <v>0</v>
      </c>
      <c r="K165">
        <f t="shared" si="2"/>
        <v>0</v>
      </c>
      <c r="L165" s="14">
        <v>0</v>
      </c>
      <c r="M165" s="14">
        <v>0</v>
      </c>
      <c r="N165" s="14">
        <v>0</v>
      </c>
      <c r="O165" s="69">
        <v>0</v>
      </c>
      <c r="P165" s="226">
        <f>VLOOKUP(Table323[[#This Row],[Census Tract]],'Population and Diversity Data'!$B$2:$K$823,10,FALSE)</f>
        <v>1</v>
      </c>
      <c r="Q165" s="226" t="str">
        <f>VLOOKUP(Table323[[#This Row],[Census Tract]],'ES Energy Burden'!$B$2:$E$914,4,FALSE)</f>
        <v>No</v>
      </c>
      <c r="R165" s="248">
        <f>VLOOKUP(Table323[[#This Row],[Census Tract]],'Income and Housing Data'!$B$2:$D$823,3,FALSE)</f>
        <v>121939</v>
      </c>
      <c r="S165" s="248" t="str">
        <f>IF($U$6&lt;=Table323[[#This Row],[Household income]],IF(Table323[[#This Row],[Household income]]&lt;=$U$7, "Yes","No"),"No")</f>
        <v>No</v>
      </c>
    </row>
    <row r="166" spans="1:19" x14ac:dyDescent="0.25">
      <c r="A166" s="147">
        <v>9003477200</v>
      </c>
      <c r="B166" s="148" t="s">
        <v>2757</v>
      </c>
      <c r="C166" s="150" t="s">
        <v>944</v>
      </c>
      <c r="D166" s="70">
        <v>239.47686720000002</v>
      </c>
      <c r="E166" s="70">
        <v>0</v>
      </c>
      <c r="F166" s="14">
        <v>0</v>
      </c>
      <c r="G166" s="14">
        <v>0</v>
      </c>
      <c r="H166" s="14">
        <v>0</v>
      </c>
      <c r="I166" s="14">
        <v>0</v>
      </c>
      <c r="J166" s="69">
        <v>0</v>
      </c>
      <c r="K166">
        <f t="shared" si="2"/>
        <v>0</v>
      </c>
      <c r="L166" s="14">
        <v>0</v>
      </c>
      <c r="M166" s="14">
        <v>0</v>
      </c>
      <c r="N166" s="14">
        <v>0</v>
      </c>
      <c r="O166" s="69">
        <v>0</v>
      </c>
      <c r="P166" s="226">
        <f>VLOOKUP(Table323[[#This Row],[Census Tract]],'Population and Diversity Data'!$B$2:$K$823,10,FALSE)</f>
        <v>1</v>
      </c>
      <c r="Q166" s="226" t="str">
        <f>VLOOKUP(Table323[[#This Row],[Census Tract]],'ES Energy Burden'!$B$2:$E$914,4,FALSE)</f>
        <v>No</v>
      </c>
      <c r="R166" s="248">
        <f>VLOOKUP(Table323[[#This Row],[Census Tract]],'Income and Housing Data'!$B$2:$D$823,3,FALSE)</f>
        <v>112500</v>
      </c>
      <c r="S166" s="248" t="str">
        <f>IF($U$6&lt;=Table323[[#This Row],[Household income]],IF(Table323[[#This Row],[Household income]]&lt;=$U$7, "Yes","No"),"No")</f>
        <v>No</v>
      </c>
    </row>
    <row r="167" spans="1:19" x14ac:dyDescent="0.25">
      <c r="A167" s="147">
        <v>9007595101</v>
      </c>
      <c r="B167" s="148" t="s">
        <v>2758</v>
      </c>
      <c r="C167" s="150" t="s">
        <v>944</v>
      </c>
      <c r="D167" s="70">
        <v>63105.536903040011</v>
      </c>
      <c r="E167" s="70">
        <v>4781.78</v>
      </c>
      <c r="F167" s="14">
        <v>6</v>
      </c>
      <c r="G167" s="14">
        <v>6</v>
      </c>
      <c r="H167" s="14">
        <v>0</v>
      </c>
      <c r="I167" s="14">
        <v>0</v>
      </c>
      <c r="J167" s="69">
        <v>4778.4799999999996</v>
      </c>
      <c r="K167">
        <f t="shared" si="2"/>
        <v>0</v>
      </c>
      <c r="L167" s="14">
        <v>0</v>
      </c>
      <c r="M167" s="14">
        <v>0</v>
      </c>
      <c r="N167" s="14">
        <v>0</v>
      </c>
      <c r="O167" s="69">
        <v>0</v>
      </c>
      <c r="P167" s="226">
        <f>VLOOKUP(Table323[[#This Row],[Census Tract]],'Population and Diversity Data'!$B$2:$K$823,10,FALSE)</f>
        <v>1</v>
      </c>
      <c r="Q167" s="226" t="str">
        <f>VLOOKUP(Table323[[#This Row],[Census Tract]],'ES Energy Burden'!$B$2:$E$914,4,FALSE)</f>
        <v>No</v>
      </c>
      <c r="R167" s="248">
        <f>VLOOKUP(Table323[[#This Row],[Census Tract]],'Income and Housing Data'!$B$2:$D$823,3,FALSE)</f>
        <v>105441</v>
      </c>
      <c r="S167" s="248" t="str">
        <f>IF($U$6&lt;=Table323[[#This Row],[Household income]],IF(Table323[[#This Row],[Household income]]&lt;=$U$7, "Yes","No"),"No")</f>
        <v>No</v>
      </c>
    </row>
    <row r="168" spans="1:19" x14ac:dyDescent="0.25">
      <c r="A168" s="147">
        <v>9007595102</v>
      </c>
      <c r="B168" s="148" t="s">
        <v>2758</v>
      </c>
      <c r="C168" s="150" t="s">
        <v>944</v>
      </c>
      <c r="D168" s="70">
        <v>140629.99572000001</v>
      </c>
      <c r="E168" s="70">
        <v>55971.386700000003</v>
      </c>
      <c r="F168" s="14">
        <v>25</v>
      </c>
      <c r="G168" s="14">
        <v>25</v>
      </c>
      <c r="H168" s="14">
        <v>0</v>
      </c>
      <c r="I168" s="14">
        <v>0</v>
      </c>
      <c r="J168" s="69">
        <v>18700.082699999999</v>
      </c>
      <c r="K168">
        <f t="shared" si="2"/>
        <v>4</v>
      </c>
      <c r="L168" s="14">
        <v>4</v>
      </c>
      <c r="M168" s="14">
        <v>0</v>
      </c>
      <c r="N168" s="14">
        <v>0</v>
      </c>
      <c r="O168" s="69">
        <v>7485.17</v>
      </c>
      <c r="P168" s="226">
        <f>VLOOKUP(Table323[[#This Row],[Census Tract]],'Population and Diversity Data'!$B$2:$K$823,10,FALSE)</f>
        <v>1</v>
      </c>
      <c r="Q168" s="226" t="str">
        <f>VLOOKUP(Table323[[#This Row],[Census Tract]],'ES Energy Burden'!$B$2:$E$914,4,FALSE)</f>
        <v>No</v>
      </c>
      <c r="R168" s="248">
        <f>VLOOKUP(Table323[[#This Row],[Census Tract]],'Income and Housing Data'!$B$2:$D$823,3,FALSE)</f>
        <v>93125</v>
      </c>
      <c r="S168" s="248" t="str">
        <f>IF($U$6&lt;=Table323[[#This Row],[Household income]],IF(Table323[[#This Row],[Household income]]&lt;=$U$7, "Yes","No"),"No")</f>
        <v>No</v>
      </c>
    </row>
    <row r="169" spans="1:19" x14ac:dyDescent="0.25">
      <c r="A169" s="147">
        <v>9007550100</v>
      </c>
      <c r="B169" s="148" t="s">
        <v>2759</v>
      </c>
      <c r="C169" s="150" t="s">
        <v>944</v>
      </c>
      <c r="D169" s="70">
        <v>122937.67875456001</v>
      </c>
      <c r="E169" s="70">
        <v>79748.796199999997</v>
      </c>
      <c r="F169" s="14">
        <v>22</v>
      </c>
      <c r="G169" s="14">
        <v>22</v>
      </c>
      <c r="H169" s="14">
        <v>0</v>
      </c>
      <c r="I169" s="14">
        <v>0</v>
      </c>
      <c r="J169" s="69">
        <v>21788.7012</v>
      </c>
      <c r="K169">
        <f t="shared" si="2"/>
        <v>18</v>
      </c>
      <c r="L169" s="14">
        <v>18</v>
      </c>
      <c r="M169" s="14">
        <v>0</v>
      </c>
      <c r="N169" s="14">
        <v>0</v>
      </c>
      <c r="O169" s="69">
        <v>26182.5</v>
      </c>
      <c r="P169" s="226">
        <f>VLOOKUP(Table323[[#This Row],[Census Tract]],'Population and Diversity Data'!$B$2:$K$823,10,FALSE)</f>
        <v>3</v>
      </c>
      <c r="Q169" s="226" t="str">
        <f>VLOOKUP(Table323[[#This Row],[Census Tract]],'ES Energy Burden'!$B$2:$E$914,4,FALSE)</f>
        <v>No</v>
      </c>
      <c r="R169" s="248">
        <f>VLOOKUP(Table323[[#This Row],[Census Tract]],'Income and Housing Data'!$B$2:$D$823,3,FALSE)</f>
        <v>91836</v>
      </c>
      <c r="S169" s="248" t="str">
        <f>IF($U$6&lt;=Table323[[#This Row],[Household income]],IF(Table323[[#This Row],[Household income]]&lt;=$U$7, "Yes","No"),"No")</f>
        <v>No</v>
      </c>
    </row>
    <row r="170" spans="1:19" x14ac:dyDescent="0.25">
      <c r="A170" s="147">
        <v>9007550201</v>
      </c>
      <c r="B170" s="148" t="s">
        <v>2759</v>
      </c>
      <c r="C170" s="150" t="s">
        <v>944</v>
      </c>
      <c r="D170" s="70">
        <v>76930.412739840016</v>
      </c>
      <c r="E170" s="70">
        <v>15684.3472</v>
      </c>
      <c r="F170" s="14">
        <v>10</v>
      </c>
      <c r="G170" s="14">
        <v>10</v>
      </c>
      <c r="H170" s="14">
        <v>0</v>
      </c>
      <c r="I170" s="14">
        <v>0</v>
      </c>
      <c r="J170" s="69">
        <v>10054.2572</v>
      </c>
      <c r="K170">
        <f t="shared" si="2"/>
        <v>0</v>
      </c>
      <c r="L170" s="14">
        <v>0</v>
      </c>
      <c r="M170" s="14">
        <v>0</v>
      </c>
      <c r="N170" s="14">
        <v>0</v>
      </c>
      <c r="O170" s="69">
        <v>0</v>
      </c>
      <c r="P170" s="226">
        <f>VLOOKUP(Table323[[#This Row],[Census Tract]],'Population and Diversity Data'!$B$2:$K$823,10,FALSE)</f>
        <v>2</v>
      </c>
      <c r="Q170" s="226" t="str">
        <f>VLOOKUP(Table323[[#This Row],[Census Tract]],'ES Energy Burden'!$B$2:$E$914,4,FALSE)</f>
        <v>No</v>
      </c>
      <c r="R170" s="248">
        <f>VLOOKUP(Table323[[#This Row],[Census Tract]],'Income and Housing Data'!$B$2:$D$823,3,FALSE)</f>
        <v>113466</v>
      </c>
      <c r="S170" s="248" t="str">
        <f>IF($U$6&lt;=Table323[[#This Row],[Household income]],IF(Table323[[#This Row],[Household income]]&lt;=$U$7, "Yes","No"),"No")</f>
        <v>No</v>
      </c>
    </row>
    <row r="171" spans="1:19" x14ac:dyDescent="0.25">
      <c r="A171" s="147">
        <v>9007550202</v>
      </c>
      <c r="B171" s="148" t="s">
        <v>2759</v>
      </c>
      <c r="C171" s="150" t="s">
        <v>944</v>
      </c>
      <c r="D171" s="70">
        <v>72315.440712000011</v>
      </c>
      <c r="E171" s="70">
        <v>17842.5468</v>
      </c>
      <c r="F171" s="14">
        <v>10</v>
      </c>
      <c r="G171" s="14">
        <v>10</v>
      </c>
      <c r="H171" s="14">
        <v>0</v>
      </c>
      <c r="I171" s="14">
        <v>0</v>
      </c>
      <c r="J171" s="69">
        <v>7353.8468000000003</v>
      </c>
      <c r="K171">
        <f t="shared" si="2"/>
        <v>0</v>
      </c>
      <c r="L171" s="14">
        <v>0</v>
      </c>
      <c r="M171" s="14">
        <v>0</v>
      </c>
      <c r="N171" s="14">
        <v>0</v>
      </c>
      <c r="O171" s="69">
        <v>0</v>
      </c>
      <c r="P171" s="226">
        <f>VLOOKUP(Table323[[#This Row],[Census Tract]],'Population and Diversity Data'!$B$2:$K$823,10,FALSE)</f>
        <v>1</v>
      </c>
      <c r="Q171" s="226" t="str">
        <f>VLOOKUP(Table323[[#This Row],[Census Tract]],'ES Energy Burden'!$B$2:$E$914,4,FALSE)</f>
        <v>No</v>
      </c>
      <c r="R171" s="248">
        <f>VLOOKUP(Table323[[#This Row],[Census Tract]],'Income and Housing Data'!$B$2:$D$823,3,FALSE)</f>
        <v>89141</v>
      </c>
      <c r="S171" s="248" t="str">
        <f>IF($U$6&lt;=Table323[[#This Row],[Household income]],IF(Table323[[#This Row],[Household income]]&lt;=$U$7, "Yes","No"),"No")</f>
        <v>No</v>
      </c>
    </row>
    <row r="172" spans="1:19" x14ac:dyDescent="0.25">
      <c r="A172" s="147">
        <v>9007590100</v>
      </c>
      <c r="B172" s="148" t="s">
        <v>2759</v>
      </c>
      <c r="C172" s="150" t="s">
        <v>944</v>
      </c>
      <c r="D172" s="70">
        <v>775.89023040000006</v>
      </c>
      <c r="E172" s="70">
        <v>515.64</v>
      </c>
      <c r="F172" s="14">
        <v>3</v>
      </c>
      <c r="G172" s="14">
        <v>3</v>
      </c>
      <c r="H172" s="14">
        <v>0</v>
      </c>
      <c r="I172" s="14">
        <v>0</v>
      </c>
      <c r="J172" s="69">
        <v>512.45000000000005</v>
      </c>
      <c r="K172">
        <f t="shared" si="2"/>
        <v>0</v>
      </c>
      <c r="L172" s="14">
        <v>0</v>
      </c>
      <c r="M172" s="14">
        <v>0</v>
      </c>
      <c r="N172" s="14">
        <v>0</v>
      </c>
      <c r="O172" s="69">
        <v>0</v>
      </c>
      <c r="P172" s="226">
        <f>VLOOKUP(Table323[[#This Row],[Census Tract]],'Population and Diversity Data'!$B$2:$K$823,10,FALSE)</f>
        <v>1</v>
      </c>
      <c r="Q172" s="226" t="str">
        <f>VLOOKUP(Table323[[#This Row],[Census Tract]],'ES Energy Burden'!$B$2:$E$914,4,FALSE)</f>
        <v>No</v>
      </c>
      <c r="R172" s="248">
        <f>VLOOKUP(Table323[[#This Row],[Census Tract]],'Income and Housing Data'!$B$2:$D$823,3,FALSE)</f>
        <v>110497</v>
      </c>
      <c r="S172" s="248" t="str">
        <f>IF($U$6&lt;=Table323[[#This Row],[Household income]],IF(Table323[[#This Row],[Household income]]&lt;=$U$7, "Yes","No"),"No")</f>
        <v>No</v>
      </c>
    </row>
    <row r="173" spans="1:19" x14ac:dyDescent="0.25">
      <c r="A173" s="147">
        <v>9003496900</v>
      </c>
      <c r="B173" s="148" t="s">
        <v>2760</v>
      </c>
      <c r="C173" s="150" t="s">
        <v>944</v>
      </c>
      <c r="D173" s="70">
        <v>236.11936320000001</v>
      </c>
      <c r="E173" s="70">
        <v>0</v>
      </c>
      <c r="F173" s="14">
        <v>0</v>
      </c>
      <c r="G173" s="14">
        <v>0</v>
      </c>
      <c r="H173" s="14">
        <v>0</v>
      </c>
      <c r="I173" s="14">
        <v>0</v>
      </c>
      <c r="J173" s="69">
        <v>0</v>
      </c>
      <c r="K173">
        <f t="shared" si="2"/>
        <v>0</v>
      </c>
      <c r="L173" s="14">
        <v>0</v>
      </c>
      <c r="M173" s="14">
        <v>0</v>
      </c>
      <c r="N173" s="14">
        <v>0</v>
      </c>
      <c r="O173" s="69">
        <v>0</v>
      </c>
      <c r="P173" s="226">
        <f>VLOOKUP(Table323[[#This Row],[Census Tract]],'Population and Diversity Data'!$B$2:$K$823,10,FALSE)</f>
        <v>3</v>
      </c>
      <c r="Q173" s="226" t="str">
        <f>VLOOKUP(Table323[[#This Row],[Census Tract]],'ES Energy Burden'!$B$2:$E$914,4,FALSE)</f>
        <v>No</v>
      </c>
      <c r="R173" s="248">
        <f>VLOOKUP(Table323[[#This Row],[Census Tract]],'Income and Housing Data'!$B$2:$D$823,3,FALSE)</f>
        <v>96472</v>
      </c>
      <c r="S173" s="248" t="str">
        <f>IF($U$6&lt;=Table323[[#This Row],[Household income]],IF(Table323[[#This Row],[Household income]]&lt;=$U$7, "Yes","No"),"No")</f>
        <v>No</v>
      </c>
    </row>
    <row r="174" spans="1:19" x14ac:dyDescent="0.25">
      <c r="A174" s="147">
        <v>9003510100</v>
      </c>
      <c r="B174" s="148" t="s">
        <v>2760</v>
      </c>
      <c r="C174" s="150" t="s">
        <v>944</v>
      </c>
      <c r="D174" s="70">
        <v>28572.322570560002</v>
      </c>
      <c r="E174" s="70">
        <v>22163.206699999999</v>
      </c>
      <c r="F174" s="14">
        <v>14</v>
      </c>
      <c r="G174" s="14">
        <v>14</v>
      </c>
      <c r="H174" s="14">
        <v>0</v>
      </c>
      <c r="I174" s="14">
        <v>0</v>
      </c>
      <c r="J174" s="69">
        <v>6519.7566999999999</v>
      </c>
      <c r="K174">
        <f t="shared" si="2"/>
        <v>0</v>
      </c>
      <c r="L174" s="14">
        <v>0</v>
      </c>
      <c r="M174" s="14">
        <v>0</v>
      </c>
      <c r="N174" s="14">
        <v>0</v>
      </c>
      <c r="O174" s="69">
        <v>0</v>
      </c>
      <c r="P174" s="226">
        <f>VLOOKUP(Table323[[#This Row],[Census Tract]],'Population and Diversity Data'!$B$2:$K$823,10,FALSE)</f>
        <v>4</v>
      </c>
      <c r="Q174" s="226" t="str">
        <f>VLOOKUP(Table323[[#This Row],[Census Tract]],'ES Energy Burden'!$B$2:$E$914,4,FALSE)</f>
        <v>No</v>
      </c>
      <c r="R174" s="248">
        <f>VLOOKUP(Table323[[#This Row],[Census Tract]],'Income and Housing Data'!$B$2:$D$823,3,FALSE)</f>
        <v>68482</v>
      </c>
      <c r="S174" s="248" t="str">
        <f>IF($U$6&lt;=Table323[[#This Row],[Household income]],IF(Table323[[#This Row],[Household income]]&lt;=$U$7, "Yes","No"),"No")</f>
        <v>No</v>
      </c>
    </row>
    <row r="175" spans="1:19" x14ac:dyDescent="0.25">
      <c r="A175" s="147">
        <v>9003510200</v>
      </c>
      <c r="B175" s="148" t="s">
        <v>2760</v>
      </c>
      <c r="C175" s="150" t="s">
        <v>944</v>
      </c>
      <c r="D175" s="70">
        <v>23940.745948800002</v>
      </c>
      <c r="E175" s="70">
        <v>2074.27</v>
      </c>
      <c r="F175" s="14">
        <v>4</v>
      </c>
      <c r="G175" s="14">
        <v>4</v>
      </c>
      <c r="H175" s="14">
        <v>0</v>
      </c>
      <c r="I175" s="14">
        <v>0</v>
      </c>
      <c r="J175" s="69">
        <v>564.25</v>
      </c>
      <c r="K175">
        <f t="shared" si="2"/>
        <v>0</v>
      </c>
      <c r="L175" s="14">
        <v>0</v>
      </c>
      <c r="M175" s="14">
        <v>0</v>
      </c>
      <c r="N175" s="14">
        <v>0</v>
      </c>
      <c r="O175" s="69">
        <v>0</v>
      </c>
      <c r="P175" s="226">
        <f>VLOOKUP(Table323[[#This Row],[Census Tract]],'Population and Diversity Data'!$B$2:$K$823,10,FALSE)</f>
        <v>5</v>
      </c>
      <c r="Q175" s="226" t="str">
        <f>VLOOKUP(Table323[[#This Row],[Census Tract]],'ES Energy Burden'!$B$2:$E$914,4,FALSE)</f>
        <v>No</v>
      </c>
      <c r="R175" s="248">
        <f>VLOOKUP(Table323[[#This Row],[Census Tract]],'Income and Housing Data'!$B$2:$D$823,3,FALSE)</f>
        <v>45278</v>
      </c>
      <c r="S175" s="248" t="str">
        <f>IF($U$6&lt;=Table323[[#This Row],[Household income]],IF(Table323[[#This Row],[Household income]]&lt;=$U$7, "Yes","No"),"No")</f>
        <v>No</v>
      </c>
    </row>
    <row r="176" spans="1:19" x14ac:dyDescent="0.25">
      <c r="A176" s="147">
        <v>9003510300</v>
      </c>
      <c r="B176" s="148" t="s">
        <v>2760</v>
      </c>
      <c r="C176" s="150" t="s">
        <v>944</v>
      </c>
      <c r="D176" s="70">
        <v>45069.819638400004</v>
      </c>
      <c r="E176" s="70">
        <v>42202.34</v>
      </c>
      <c r="F176" s="14">
        <v>12</v>
      </c>
      <c r="G176" s="14">
        <v>12</v>
      </c>
      <c r="H176" s="14">
        <v>0</v>
      </c>
      <c r="I176" s="14">
        <v>0</v>
      </c>
      <c r="J176" s="69">
        <v>5312.28</v>
      </c>
      <c r="K176">
        <f t="shared" si="2"/>
        <v>0</v>
      </c>
      <c r="L176" s="14">
        <v>0</v>
      </c>
      <c r="M176" s="14">
        <v>0</v>
      </c>
      <c r="N176" s="14">
        <v>0</v>
      </c>
      <c r="O176" s="69">
        <v>0</v>
      </c>
      <c r="P176" s="226">
        <f>VLOOKUP(Table323[[#This Row],[Census Tract]],'Population and Diversity Data'!$B$2:$K$823,10,FALSE)</f>
        <v>4</v>
      </c>
      <c r="Q176" s="226" t="str">
        <f>VLOOKUP(Table323[[#This Row],[Census Tract]],'ES Energy Burden'!$B$2:$E$914,4,FALSE)</f>
        <v>No</v>
      </c>
      <c r="R176" s="248">
        <f>VLOOKUP(Table323[[#This Row],[Census Tract]],'Income and Housing Data'!$B$2:$D$823,3,FALSE)</f>
        <v>52860</v>
      </c>
      <c r="S176" s="248" t="str">
        <f>IF($U$6&lt;=Table323[[#This Row],[Household income]],IF(Table323[[#This Row],[Household income]]&lt;=$U$7, "Yes","No"),"No")</f>
        <v>Yes</v>
      </c>
    </row>
    <row r="177" spans="1:19" x14ac:dyDescent="0.25">
      <c r="A177" s="147">
        <v>9003510400</v>
      </c>
      <c r="B177" s="148" t="s">
        <v>2760</v>
      </c>
      <c r="C177" s="150" t="s">
        <v>944</v>
      </c>
      <c r="D177" s="70">
        <v>57149.46894816</v>
      </c>
      <c r="E177" s="70">
        <v>9259.56</v>
      </c>
      <c r="F177" s="14">
        <v>5</v>
      </c>
      <c r="G177" s="14">
        <v>5</v>
      </c>
      <c r="H177" s="14">
        <v>0</v>
      </c>
      <c r="I177" s="14">
        <v>0</v>
      </c>
      <c r="J177" s="69">
        <v>1894.04</v>
      </c>
      <c r="K177">
        <f t="shared" si="2"/>
        <v>0</v>
      </c>
      <c r="L177" s="14">
        <v>0</v>
      </c>
      <c r="M177" s="14">
        <v>0</v>
      </c>
      <c r="N177" s="14">
        <v>0</v>
      </c>
      <c r="O177" s="69">
        <v>0</v>
      </c>
      <c r="P177" s="226">
        <f>VLOOKUP(Table323[[#This Row],[Census Tract]],'Population and Diversity Data'!$B$2:$K$823,10,FALSE)</f>
        <v>4</v>
      </c>
      <c r="Q177" s="226" t="str">
        <f>VLOOKUP(Table323[[#This Row],[Census Tract]],'ES Energy Burden'!$B$2:$E$914,4,FALSE)</f>
        <v>No</v>
      </c>
      <c r="R177" s="248">
        <f>VLOOKUP(Table323[[#This Row],[Census Tract]],'Income and Housing Data'!$B$2:$D$823,3,FALSE)</f>
        <v>37403</v>
      </c>
      <c r="S177" s="248" t="str">
        <f>IF($U$6&lt;=Table323[[#This Row],[Household income]],IF(Table323[[#This Row],[Household income]]&lt;=$U$7, "Yes","No"),"No")</f>
        <v>No</v>
      </c>
    </row>
    <row r="178" spans="1:19" x14ac:dyDescent="0.25">
      <c r="A178" s="147">
        <v>9003510500</v>
      </c>
      <c r="B178" s="148" t="s">
        <v>2760</v>
      </c>
      <c r="C178" s="150" t="s">
        <v>944</v>
      </c>
      <c r="D178" s="70">
        <v>47422.277971200005</v>
      </c>
      <c r="E178" s="70">
        <v>3607.91</v>
      </c>
      <c r="F178" s="14">
        <v>7</v>
      </c>
      <c r="G178" s="14">
        <v>7</v>
      </c>
      <c r="H178" s="14">
        <v>0</v>
      </c>
      <c r="I178" s="14">
        <v>0</v>
      </c>
      <c r="J178" s="69">
        <v>2404.9499999999998</v>
      </c>
      <c r="K178">
        <f t="shared" si="2"/>
        <v>0</v>
      </c>
      <c r="L178" s="14">
        <v>0</v>
      </c>
      <c r="M178" s="14">
        <v>0</v>
      </c>
      <c r="N178" s="14">
        <v>0</v>
      </c>
      <c r="O178" s="69">
        <v>0</v>
      </c>
      <c r="P178" s="226">
        <f>VLOOKUP(Table323[[#This Row],[Census Tract]],'Population and Diversity Data'!$B$2:$K$823,10,FALSE)</f>
        <v>5</v>
      </c>
      <c r="Q178" s="226" t="str">
        <f>VLOOKUP(Table323[[#This Row],[Census Tract]],'ES Energy Burden'!$B$2:$E$914,4,FALSE)</f>
        <v>No</v>
      </c>
      <c r="R178" s="248">
        <f>VLOOKUP(Table323[[#This Row],[Census Tract]],'Income and Housing Data'!$B$2:$D$823,3,FALSE)</f>
        <v>53237</v>
      </c>
      <c r="S178" s="248" t="str">
        <f>IF($U$6&lt;=Table323[[#This Row],[Household income]],IF(Table323[[#This Row],[Household income]]&lt;=$U$7, "Yes","No"),"No")</f>
        <v>Yes</v>
      </c>
    </row>
    <row r="179" spans="1:19" x14ac:dyDescent="0.25">
      <c r="A179" s="147">
        <v>9003510600</v>
      </c>
      <c r="B179" s="148" t="s">
        <v>2760</v>
      </c>
      <c r="C179" s="150" t="s">
        <v>944</v>
      </c>
      <c r="D179" s="70">
        <v>59338.273852800005</v>
      </c>
      <c r="E179" s="70">
        <v>16098.58</v>
      </c>
      <c r="F179" s="14">
        <v>9</v>
      </c>
      <c r="G179" s="14">
        <v>8</v>
      </c>
      <c r="H179" s="14">
        <v>1</v>
      </c>
      <c r="I179" s="14">
        <v>0</v>
      </c>
      <c r="J179" s="69">
        <v>4839</v>
      </c>
      <c r="K179">
        <f t="shared" si="2"/>
        <v>0</v>
      </c>
      <c r="L179" s="14">
        <v>0</v>
      </c>
      <c r="M179" s="14">
        <v>0</v>
      </c>
      <c r="N179" s="14">
        <v>0</v>
      </c>
      <c r="O179" s="69">
        <v>0</v>
      </c>
      <c r="P179" s="226">
        <f>VLOOKUP(Table323[[#This Row],[Census Tract]],'Population and Diversity Data'!$B$2:$K$823,10,FALSE)</f>
        <v>5</v>
      </c>
      <c r="Q179" s="226" t="str">
        <f>VLOOKUP(Table323[[#This Row],[Census Tract]],'ES Energy Burden'!$B$2:$E$914,4,FALSE)</f>
        <v>No</v>
      </c>
      <c r="R179" s="248">
        <f>VLOOKUP(Table323[[#This Row],[Census Tract]],'Income and Housing Data'!$B$2:$D$823,3,FALSE)</f>
        <v>41467</v>
      </c>
      <c r="S179" s="248" t="str">
        <f>IF($U$6&lt;=Table323[[#This Row],[Household income]],IF(Table323[[#This Row],[Household income]]&lt;=$U$7, "Yes","No"),"No")</f>
        <v>No</v>
      </c>
    </row>
    <row r="180" spans="1:19" x14ac:dyDescent="0.25">
      <c r="A180" s="147">
        <v>9003510700</v>
      </c>
      <c r="B180" s="148" t="s">
        <v>2760</v>
      </c>
      <c r="C180" s="150" t="s">
        <v>944</v>
      </c>
      <c r="D180" s="70">
        <v>98289.790943040018</v>
      </c>
      <c r="E180" s="70">
        <v>409325.7415</v>
      </c>
      <c r="F180" s="14">
        <v>35</v>
      </c>
      <c r="G180" s="14">
        <v>35</v>
      </c>
      <c r="H180" s="14">
        <v>0</v>
      </c>
      <c r="I180" s="14">
        <v>0</v>
      </c>
      <c r="J180" s="69">
        <v>107870.1936</v>
      </c>
      <c r="K180">
        <f t="shared" si="2"/>
        <v>753</v>
      </c>
      <c r="L180" s="14">
        <v>217</v>
      </c>
      <c r="M180" s="14">
        <v>3</v>
      </c>
      <c r="N180" s="14">
        <v>533</v>
      </c>
      <c r="O180" s="69">
        <v>301453</v>
      </c>
      <c r="P180" s="226">
        <f>VLOOKUP(Table323[[#This Row],[Census Tract]],'Population and Diversity Data'!$B$2:$K$823,10,FALSE)</f>
        <v>5</v>
      </c>
      <c r="Q180" s="226" t="str">
        <f>VLOOKUP(Table323[[#This Row],[Census Tract]],'ES Energy Burden'!$B$2:$E$914,4,FALSE)</f>
        <v>No</v>
      </c>
      <c r="R180" s="248">
        <f>VLOOKUP(Table323[[#This Row],[Census Tract]],'Income and Housing Data'!$B$2:$D$823,3,FALSE)</f>
        <v>58029</v>
      </c>
      <c r="S180" s="248" t="str">
        <f>IF($U$6&lt;=Table323[[#This Row],[Household income]],IF(Table323[[#This Row],[Household income]]&lt;=$U$7, "Yes","No"),"No")</f>
        <v>Yes</v>
      </c>
    </row>
    <row r="181" spans="1:19" x14ac:dyDescent="0.25">
      <c r="A181" s="147">
        <v>9003510800</v>
      </c>
      <c r="B181" s="148" t="s">
        <v>2760</v>
      </c>
      <c r="C181" s="150" t="s">
        <v>944</v>
      </c>
      <c r="D181" s="70">
        <v>40521.756297600004</v>
      </c>
      <c r="E181" s="70">
        <v>5767.2932000000001</v>
      </c>
      <c r="F181" s="14">
        <v>10</v>
      </c>
      <c r="G181" s="14">
        <v>10</v>
      </c>
      <c r="H181" s="14">
        <v>0</v>
      </c>
      <c r="I181" s="14">
        <v>0</v>
      </c>
      <c r="J181" s="69">
        <v>4101.4531999999999</v>
      </c>
      <c r="K181">
        <f t="shared" si="2"/>
        <v>0</v>
      </c>
      <c r="L181" s="14">
        <v>0</v>
      </c>
      <c r="M181" s="14">
        <v>0</v>
      </c>
      <c r="N181" s="14">
        <v>0</v>
      </c>
      <c r="O181" s="69">
        <v>0</v>
      </c>
      <c r="P181" s="226">
        <f>VLOOKUP(Table323[[#This Row],[Census Tract]],'Population and Diversity Data'!$B$2:$K$823,10,FALSE)</f>
        <v>3</v>
      </c>
      <c r="Q181" s="226" t="str">
        <f>VLOOKUP(Table323[[#This Row],[Census Tract]],'ES Energy Burden'!$B$2:$E$914,4,FALSE)</f>
        <v>No</v>
      </c>
      <c r="R181" s="248">
        <f>VLOOKUP(Table323[[#This Row],[Census Tract]],'Income and Housing Data'!$B$2:$D$823,3,FALSE)</f>
        <v>59018</v>
      </c>
      <c r="S181" s="248" t="str">
        <f>IF($U$6&lt;=Table323[[#This Row],[Household income]],IF(Table323[[#This Row],[Household income]]&lt;=$U$7, "Yes","No"),"No")</f>
        <v>Yes</v>
      </c>
    </row>
    <row r="182" spans="1:19" x14ac:dyDescent="0.25">
      <c r="A182" s="147">
        <v>9003510900</v>
      </c>
      <c r="B182" s="148" t="s">
        <v>2760</v>
      </c>
      <c r="C182" s="150" t="s">
        <v>944</v>
      </c>
      <c r="D182" s="70">
        <v>56760.885907200005</v>
      </c>
      <c r="E182" s="70">
        <v>28094.3</v>
      </c>
      <c r="F182" s="14">
        <v>21</v>
      </c>
      <c r="G182" s="14">
        <v>21</v>
      </c>
      <c r="H182" s="14">
        <v>0</v>
      </c>
      <c r="I182" s="14">
        <v>0</v>
      </c>
      <c r="J182" s="69">
        <v>13879.43</v>
      </c>
      <c r="K182">
        <f t="shared" si="2"/>
        <v>0</v>
      </c>
      <c r="L182" s="14">
        <v>0</v>
      </c>
      <c r="M182" s="14">
        <v>0</v>
      </c>
      <c r="N182" s="14">
        <v>0</v>
      </c>
      <c r="O182" s="69">
        <v>0</v>
      </c>
      <c r="P182" s="226">
        <f>VLOOKUP(Table323[[#This Row],[Census Tract]],'Population and Diversity Data'!$B$2:$K$823,10,FALSE)</f>
        <v>4</v>
      </c>
      <c r="Q182" s="226" t="str">
        <f>VLOOKUP(Table323[[#This Row],[Census Tract]],'ES Energy Burden'!$B$2:$E$914,4,FALSE)</f>
        <v>No</v>
      </c>
      <c r="R182" s="248">
        <f>VLOOKUP(Table323[[#This Row],[Census Tract]],'Income and Housing Data'!$B$2:$D$823,3,FALSE)</f>
        <v>91170</v>
      </c>
      <c r="S182" s="248" t="str">
        <f>IF($U$6&lt;=Table323[[#This Row],[Household income]],IF(Table323[[#This Row],[Household income]]&lt;=$U$7, "Yes","No"),"No")</f>
        <v>No</v>
      </c>
    </row>
    <row r="183" spans="1:19" x14ac:dyDescent="0.25">
      <c r="A183" s="147">
        <v>9003511000</v>
      </c>
      <c r="B183" s="148" t="s">
        <v>2760</v>
      </c>
      <c r="C183" s="150" t="s">
        <v>944</v>
      </c>
      <c r="D183" s="70">
        <v>52835.4427392</v>
      </c>
      <c r="E183" s="70">
        <v>18406.3269</v>
      </c>
      <c r="F183" s="14">
        <v>12</v>
      </c>
      <c r="G183" s="14">
        <v>12</v>
      </c>
      <c r="H183" s="14">
        <v>0</v>
      </c>
      <c r="I183" s="14">
        <v>0</v>
      </c>
      <c r="J183" s="69">
        <v>8092.8669</v>
      </c>
      <c r="K183">
        <f t="shared" si="2"/>
        <v>0</v>
      </c>
      <c r="L183" s="14">
        <v>0</v>
      </c>
      <c r="M183" s="14">
        <v>0</v>
      </c>
      <c r="N183" s="14">
        <v>0</v>
      </c>
      <c r="O183" s="69">
        <v>0</v>
      </c>
      <c r="P183" s="226">
        <f>VLOOKUP(Table323[[#This Row],[Census Tract]],'Population and Diversity Data'!$B$2:$K$823,10,FALSE)</f>
        <v>4</v>
      </c>
      <c r="Q183" s="226" t="str">
        <f>VLOOKUP(Table323[[#This Row],[Census Tract]],'ES Energy Burden'!$B$2:$E$914,4,FALSE)</f>
        <v>No</v>
      </c>
      <c r="R183" s="248">
        <f>VLOOKUP(Table323[[#This Row],[Census Tract]],'Income and Housing Data'!$B$2:$D$823,3,FALSE)</f>
        <v>84648</v>
      </c>
      <c r="S183" s="248" t="str">
        <f>IF($U$6&lt;=Table323[[#This Row],[Household income]],IF(Table323[[#This Row],[Household income]]&lt;=$U$7, "Yes","No"),"No")</f>
        <v>No</v>
      </c>
    </row>
    <row r="184" spans="1:19" x14ac:dyDescent="0.25">
      <c r="A184" s="147">
        <v>9003511100</v>
      </c>
      <c r="B184" s="148" t="s">
        <v>2760</v>
      </c>
      <c r="C184" s="150" t="s">
        <v>944</v>
      </c>
      <c r="D184" s="70">
        <v>56665.462170240004</v>
      </c>
      <c r="E184" s="70">
        <v>32384.834299999999</v>
      </c>
      <c r="F184" s="14">
        <v>24</v>
      </c>
      <c r="G184" s="14">
        <v>24</v>
      </c>
      <c r="H184" s="14">
        <v>0</v>
      </c>
      <c r="I184" s="14">
        <v>0</v>
      </c>
      <c r="J184" s="69">
        <v>14451.514300000001</v>
      </c>
      <c r="K184">
        <f t="shared" si="2"/>
        <v>0</v>
      </c>
      <c r="L184" s="14">
        <v>0</v>
      </c>
      <c r="M184" s="14">
        <v>0</v>
      </c>
      <c r="N184" s="14">
        <v>0</v>
      </c>
      <c r="O184" s="69">
        <v>0</v>
      </c>
      <c r="P184" s="226">
        <f>VLOOKUP(Table323[[#This Row],[Census Tract]],'Population and Diversity Data'!$B$2:$K$823,10,FALSE)</f>
        <v>4</v>
      </c>
      <c r="Q184" s="226" t="str">
        <f>VLOOKUP(Table323[[#This Row],[Census Tract]],'ES Energy Burden'!$B$2:$E$914,4,FALSE)</f>
        <v>No</v>
      </c>
      <c r="R184" s="248">
        <f>VLOOKUP(Table323[[#This Row],[Census Tract]],'Income and Housing Data'!$B$2:$D$823,3,FALSE)</f>
        <v>93403</v>
      </c>
      <c r="S184" s="248" t="str">
        <f>IF($U$6&lt;=Table323[[#This Row],[Household income]],IF(Table323[[#This Row],[Household income]]&lt;=$U$7, "Yes","No"),"No")</f>
        <v>No</v>
      </c>
    </row>
    <row r="185" spans="1:19" x14ac:dyDescent="0.25">
      <c r="A185" s="147">
        <v>9003511200</v>
      </c>
      <c r="B185" s="148" t="s">
        <v>2760</v>
      </c>
      <c r="C185" s="150" t="s">
        <v>944</v>
      </c>
      <c r="D185" s="70">
        <v>37711.687535999998</v>
      </c>
      <c r="E185" s="70">
        <v>16579.5</v>
      </c>
      <c r="F185" s="14">
        <v>12</v>
      </c>
      <c r="G185" s="14">
        <v>12</v>
      </c>
      <c r="H185" s="14">
        <v>0</v>
      </c>
      <c r="I185" s="14">
        <v>0</v>
      </c>
      <c r="J185" s="69">
        <v>4552.62</v>
      </c>
      <c r="K185">
        <f t="shared" si="2"/>
        <v>0</v>
      </c>
      <c r="L185" s="14">
        <v>0</v>
      </c>
      <c r="M185" s="14">
        <v>0</v>
      </c>
      <c r="N185" s="14">
        <v>0</v>
      </c>
      <c r="O185" s="69">
        <v>0</v>
      </c>
      <c r="P185" s="226">
        <f>VLOOKUP(Table323[[#This Row],[Census Tract]],'Population and Diversity Data'!$B$2:$K$823,10,FALSE)</f>
        <v>5</v>
      </c>
      <c r="Q185" s="226" t="str">
        <f>VLOOKUP(Table323[[#This Row],[Census Tract]],'ES Energy Burden'!$B$2:$E$914,4,FALSE)</f>
        <v>No</v>
      </c>
      <c r="R185" s="248">
        <f>VLOOKUP(Table323[[#This Row],[Census Tract]],'Income and Housing Data'!$B$2:$D$823,3,FALSE)</f>
        <v>50000</v>
      </c>
      <c r="S185" s="248" t="str">
        <f>IF($U$6&lt;=Table323[[#This Row],[Household income]],IF(Table323[[#This Row],[Household income]]&lt;=$U$7, "Yes","No"),"No")</f>
        <v>Yes</v>
      </c>
    </row>
    <row r="186" spans="1:19" x14ac:dyDescent="0.25">
      <c r="A186" s="147">
        <v>9003511300</v>
      </c>
      <c r="B186" s="148" t="s">
        <v>2760</v>
      </c>
      <c r="C186" s="150" t="s">
        <v>944</v>
      </c>
      <c r="D186" s="70">
        <v>38897.82654912</v>
      </c>
      <c r="E186" s="70">
        <v>21005.37</v>
      </c>
      <c r="F186" s="14">
        <v>8</v>
      </c>
      <c r="G186" s="14">
        <v>6</v>
      </c>
      <c r="H186" s="14">
        <v>2</v>
      </c>
      <c r="I186" s="14">
        <v>0</v>
      </c>
      <c r="J186" s="69">
        <v>2277.59</v>
      </c>
      <c r="K186">
        <f t="shared" si="2"/>
        <v>0</v>
      </c>
      <c r="L186" s="14">
        <v>0</v>
      </c>
      <c r="M186" s="14">
        <v>0</v>
      </c>
      <c r="N186" s="14">
        <v>0</v>
      </c>
      <c r="O186" s="69">
        <v>0</v>
      </c>
      <c r="P186" s="226">
        <f>VLOOKUP(Table323[[#This Row],[Census Tract]],'Population and Diversity Data'!$B$2:$K$823,10,FALSE)</f>
        <v>4</v>
      </c>
      <c r="Q186" s="226" t="str">
        <f>VLOOKUP(Table323[[#This Row],[Census Tract]],'ES Energy Burden'!$B$2:$E$914,4,FALSE)</f>
        <v>No</v>
      </c>
      <c r="R186" s="248">
        <f>VLOOKUP(Table323[[#This Row],[Census Tract]],'Income and Housing Data'!$B$2:$D$823,3,FALSE)</f>
        <v>46646</v>
      </c>
      <c r="S186" s="248" t="str">
        <f>IF($U$6&lt;=Table323[[#This Row],[Household income]],IF(Table323[[#This Row],[Household income]]&lt;=$U$7, "Yes","No"),"No")</f>
        <v>No</v>
      </c>
    </row>
    <row r="187" spans="1:19" x14ac:dyDescent="0.25">
      <c r="A187" s="147">
        <v>9003511400</v>
      </c>
      <c r="B187" s="148" t="s">
        <v>2760</v>
      </c>
      <c r="C187" s="150" t="s">
        <v>944</v>
      </c>
      <c r="D187" s="70">
        <v>33981.297984000004</v>
      </c>
      <c r="E187" s="70">
        <v>15077.28</v>
      </c>
      <c r="F187" s="14">
        <v>19</v>
      </c>
      <c r="G187" s="14">
        <v>19</v>
      </c>
      <c r="H187" s="14">
        <v>0</v>
      </c>
      <c r="I187" s="14">
        <v>0</v>
      </c>
      <c r="J187" s="69">
        <v>6173.3</v>
      </c>
      <c r="K187">
        <f t="shared" si="2"/>
        <v>0</v>
      </c>
      <c r="L187" s="14">
        <v>0</v>
      </c>
      <c r="M187" s="14">
        <v>0</v>
      </c>
      <c r="N187" s="14">
        <v>0</v>
      </c>
      <c r="O187" s="69">
        <v>0</v>
      </c>
      <c r="P187" s="226">
        <f>VLOOKUP(Table323[[#This Row],[Census Tract]],'Population and Diversity Data'!$B$2:$K$823,10,FALSE)</f>
        <v>4</v>
      </c>
      <c r="Q187" s="226" t="str">
        <f>VLOOKUP(Table323[[#This Row],[Census Tract]],'ES Energy Burden'!$B$2:$E$914,4,FALSE)</f>
        <v>No</v>
      </c>
      <c r="R187" s="248">
        <f>VLOOKUP(Table323[[#This Row],[Census Tract]],'Income and Housing Data'!$B$2:$D$823,3,FALSE)</f>
        <v>81270</v>
      </c>
      <c r="S187" s="248" t="str">
        <f>IF($U$6&lt;=Table323[[#This Row],[Household income]],IF(Table323[[#This Row],[Household income]]&lt;=$U$7, "Yes","No"),"No")</f>
        <v>No</v>
      </c>
    </row>
    <row r="188" spans="1:19" x14ac:dyDescent="0.25">
      <c r="A188" s="147">
        <v>9003514102</v>
      </c>
      <c r="B188" s="148" t="s">
        <v>2760</v>
      </c>
      <c r="C188" s="150" t="s">
        <v>944</v>
      </c>
      <c r="D188" s="70">
        <v>1951.9243142400001</v>
      </c>
      <c r="E188" s="70">
        <v>0</v>
      </c>
      <c r="F188" s="14">
        <v>0</v>
      </c>
      <c r="G188" s="14">
        <v>0</v>
      </c>
      <c r="H188" s="14">
        <v>0</v>
      </c>
      <c r="I188" s="14">
        <v>0</v>
      </c>
      <c r="J188" s="69">
        <v>0</v>
      </c>
      <c r="K188">
        <f t="shared" si="2"/>
        <v>0</v>
      </c>
      <c r="L188" s="14">
        <v>0</v>
      </c>
      <c r="M188" s="14">
        <v>0</v>
      </c>
      <c r="N188" s="14">
        <v>0</v>
      </c>
      <c r="O188" s="69">
        <v>0</v>
      </c>
      <c r="P188" s="226">
        <f>VLOOKUP(Table323[[#This Row],[Census Tract]],'Population and Diversity Data'!$B$2:$K$823,10,FALSE)</f>
        <v>5</v>
      </c>
      <c r="Q188" s="226" t="str">
        <f>VLOOKUP(Table323[[#This Row],[Census Tract]],'ES Energy Burden'!$B$2:$E$914,4,FALSE)</f>
        <v>No</v>
      </c>
      <c r="R188" s="248">
        <f>VLOOKUP(Table323[[#This Row],[Census Tract]],'Income and Housing Data'!$B$2:$D$823,3,FALSE)</f>
        <v>83929</v>
      </c>
      <c r="S188" s="248" t="str">
        <f>IF($U$6&lt;=Table323[[#This Row],[Household income]],IF(Table323[[#This Row],[Household income]]&lt;=$U$7, "Yes","No"),"No")</f>
        <v>No</v>
      </c>
    </row>
    <row r="189" spans="1:19" x14ac:dyDescent="0.25">
      <c r="A189" s="147">
        <v>9011695202</v>
      </c>
      <c r="B189" s="148" t="s">
        <v>2761</v>
      </c>
      <c r="C189" s="150" t="s">
        <v>944</v>
      </c>
      <c r="D189" s="70">
        <v>70.605993600000005</v>
      </c>
      <c r="E189" s="70">
        <v>0</v>
      </c>
      <c r="F189" s="14">
        <v>0</v>
      </c>
      <c r="G189" s="14">
        <v>0</v>
      </c>
      <c r="H189" s="14">
        <v>0</v>
      </c>
      <c r="I189" s="14">
        <v>0</v>
      </c>
      <c r="J189" s="69">
        <v>0</v>
      </c>
      <c r="K189">
        <f t="shared" si="2"/>
        <v>0</v>
      </c>
      <c r="L189" s="14">
        <v>0</v>
      </c>
      <c r="M189" s="14">
        <v>0</v>
      </c>
      <c r="N189" s="14">
        <v>0</v>
      </c>
      <c r="O189" s="69">
        <v>0</v>
      </c>
      <c r="P189" s="226">
        <f>VLOOKUP(Table323[[#This Row],[Census Tract]],'Population and Diversity Data'!$B$2:$K$823,10,FALSE)</f>
        <v>3</v>
      </c>
      <c r="Q189" s="226" t="str">
        <f>VLOOKUP(Table323[[#This Row],[Census Tract]],'ES Energy Burden'!$B$2:$E$914,4,FALSE)</f>
        <v>No</v>
      </c>
      <c r="R189" s="248">
        <f>VLOOKUP(Table323[[#This Row],[Census Tract]],'Income and Housing Data'!$B$2:$D$823,3,FALSE)</f>
        <v>83039</v>
      </c>
      <c r="S189" s="248" t="str">
        <f>IF($U$6&lt;=Table323[[#This Row],[Household income]],IF(Table323[[#This Row],[Household income]]&lt;=$U$7, "Yes","No"),"No")</f>
        <v>No</v>
      </c>
    </row>
    <row r="190" spans="1:19" x14ac:dyDescent="0.25">
      <c r="A190" s="147">
        <v>9011716101</v>
      </c>
      <c r="B190" s="148" t="s">
        <v>2761</v>
      </c>
      <c r="C190" s="150" t="s">
        <v>944</v>
      </c>
      <c r="D190" s="70">
        <v>94268.427937920002</v>
      </c>
      <c r="E190" s="70">
        <v>40280.123399999997</v>
      </c>
      <c r="F190" s="14">
        <v>33</v>
      </c>
      <c r="G190" s="14">
        <v>33</v>
      </c>
      <c r="H190" s="14">
        <v>0</v>
      </c>
      <c r="I190" s="14">
        <v>0</v>
      </c>
      <c r="J190" s="69">
        <v>31429.393400000001</v>
      </c>
      <c r="K190">
        <f t="shared" si="2"/>
        <v>0</v>
      </c>
      <c r="L190" s="14">
        <v>0</v>
      </c>
      <c r="M190" s="14">
        <v>0</v>
      </c>
      <c r="N190" s="14">
        <v>0</v>
      </c>
      <c r="O190" s="69">
        <v>0</v>
      </c>
      <c r="P190" s="226">
        <f>VLOOKUP(Table323[[#This Row],[Census Tract]],'Population and Diversity Data'!$B$2:$K$823,10,FALSE)</f>
        <v>5</v>
      </c>
      <c r="Q190" s="226" t="str">
        <f>VLOOKUP(Table323[[#This Row],[Census Tract]],'ES Energy Burden'!$B$2:$E$914,4,FALSE)</f>
        <v>No</v>
      </c>
      <c r="R190" s="248">
        <f>VLOOKUP(Table323[[#This Row],[Census Tract]],'Income and Housing Data'!$B$2:$D$823,3,FALSE)</f>
        <v>78239</v>
      </c>
      <c r="S190" s="248" t="str">
        <f>IF($U$6&lt;=Table323[[#This Row],[Household income]],IF(Table323[[#This Row],[Household income]]&lt;=$U$7, "Yes","No"),"No")</f>
        <v>No</v>
      </c>
    </row>
    <row r="191" spans="1:19" x14ac:dyDescent="0.25">
      <c r="A191" s="147">
        <v>9011716102</v>
      </c>
      <c r="B191" s="148" t="s">
        <v>2761</v>
      </c>
      <c r="C191" s="150" t="s">
        <v>944</v>
      </c>
      <c r="D191" s="70">
        <v>138124.48325183999</v>
      </c>
      <c r="E191" s="70">
        <v>220651.68780000001</v>
      </c>
      <c r="F191" s="14">
        <v>39</v>
      </c>
      <c r="G191" s="14">
        <v>39</v>
      </c>
      <c r="H191" s="14">
        <v>0</v>
      </c>
      <c r="I191" s="14">
        <v>0</v>
      </c>
      <c r="J191" s="69">
        <v>32262.292099999999</v>
      </c>
      <c r="K191">
        <f t="shared" si="2"/>
        <v>11</v>
      </c>
      <c r="L191" s="14">
        <v>11</v>
      </c>
      <c r="M191" s="14">
        <v>0</v>
      </c>
      <c r="N191" s="14">
        <v>0</v>
      </c>
      <c r="O191" s="69">
        <v>50508.9</v>
      </c>
      <c r="P191" s="226">
        <f>VLOOKUP(Table323[[#This Row],[Census Tract]],'Population and Diversity Data'!$B$2:$K$823,10,FALSE)</f>
        <v>4</v>
      </c>
      <c r="Q191" s="226" t="str">
        <f>VLOOKUP(Table323[[#This Row],[Census Tract]],'ES Energy Burden'!$B$2:$E$914,4,FALSE)</f>
        <v>No</v>
      </c>
      <c r="R191" s="248">
        <f>VLOOKUP(Table323[[#This Row],[Census Tract]],'Income and Housing Data'!$B$2:$D$823,3,FALSE)</f>
        <v>130885</v>
      </c>
      <c r="S191" s="248" t="str">
        <f>IF($U$6&lt;=Table323[[#This Row],[Household income]],IF(Table323[[#This Row],[Household income]]&lt;=$U$7, "Yes","No"),"No")</f>
        <v>No</v>
      </c>
    </row>
    <row r="192" spans="1:19" x14ac:dyDescent="0.25">
      <c r="A192" s="147">
        <v>9011870701</v>
      </c>
      <c r="B192" s="148" t="s">
        <v>2761</v>
      </c>
      <c r="C192" s="150" t="s">
        <v>944</v>
      </c>
      <c r="D192" s="70">
        <v>50602.6302192</v>
      </c>
      <c r="E192" s="70">
        <v>7191.9422999999997</v>
      </c>
      <c r="F192" s="14">
        <v>15</v>
      </c>
      <c r="G192" s="14">
        <v>15</v>
      </c>
      <c r="H192" s="14">
        <v>0</v>
      </c>
      <c r="I192" s="14">
        <v>0</v>
      </c>
      <c r="J192" s="69">
        <v>7189.0322999999999</v>
      </c>
      <c r="K192">
        <f t="shared" si="2"/>
        <v>0</v>
      </c>
      <c r="L192" s="14">
        <v>0</v>
      </c>
      <c r="M192" s="14">
        <v>0</v>
      </c>
      <c r="N192" s="14">
        <v>0</v>
      </c>
      <c r="O192" s="69">
        <v>0</v>
      </c>
      <c r="P192" s="226">
        <f>VLOOKUP(Table323[[#This Row],[Census Tract]],'Population and Diversity Data'!$B$2:$K$823,10,FALSE)</f>
        <v>3</v>
      </c>
      <c r="Q192" s="226" t="str">
        <f>VLOOKUP(Table323[[#This Row],[Census Tract]],'ES Energy Burden'!$B$2:$E$914,4,FALSE)</f>
        <v>No</v>
      </c>
      <c r="R192" s="248">
        <f>VLOOKUP(Table323[[#This Row],[Census Tract]],'Income and Housing Data'!$B$2:$D$823,3,FALSE)</f>
        <v>88438</v>
      </c>
      <c r="S192" s="248" t="str">
        <f>IF($U$6&lt;=Table323[[#This Row],[Household income]],IF(Table323[[#This Row],[Household income]]&lt;=$U$7, "Yes","No"),"No")</f>
        <v>No</v>
      </c>
    </row>
    <row r="193" spans="1:19" x14ac:dyDescent="0.25">
      <c r="A193" s="147">
        <v>9011870703</v>
      </c>
      <c r="B193" s="148" t="s">
        <v>2761</v>
      </c>
      <c r="C193" s="150" t="s">
        <v>944</v>
      </c>
      <c r="D193" s="70">
        <v>42616.216497600006</v>
      </c>
      <c r="E193" s="70">
        <v>14608.0656</v>
      </c>
      <c r="F193" s="14">
        <v>13</v>
      </c>
      <c r="G193" s="14">
        <v>13</v>
      </c>
      <c r="H193" s="14">
        <v>0</v>
      </c>
      <c r="I193" s="14">
        <v>0</v>
      </c>
      <c r="J193" s="69">
        <v>14605.525600000001</v>
      </c>
      <c r="K193">
        <f t="shared" si="2"/>
        <v>0</v>
      </c>
      <c r="L193" s="14">
        <v>0</v>
      </c>
      <c r="M193" s="14">
        <v>0</v>
      </c>
      <c r="N193" s="14">
        <v>0</v>
      </c>
      <c r="O193" s="69">
        <v>0</v>
      </c>
      <c r="P193" s="226">
        <f>VLOOKUP(Table323[[#This Row],[Census Tract]],'Population and Diversity Data'!$B$2:$K$823,10,FALSE)</f>
        <v>4</v>
      </c>
      <c r="Q193" s="226" t="str">
        <f>VLOOKUP(Table323[[#This Row],[Census Tract]],'ES Energy Burden'!$B$2:$E$914,4,FALSE)</f>
        <v>No</v>
      </c>
      <c r="R193" s="248">
        <f>VLOOKUP(Table323[[#This Row],[Census Tract]],'Income and Housing Data'!$B$2:$D$823,3,FALSE)</f>
        <v>84837</v>
      </c>
      <c r="S193" s="248" t="str">
        <f>IF($U$6&lt;=Table323[[#This Row],[Household income]],IF(Table323[[#This Row],[Household income]]&lt;=$U$7, "Yes","No"),"No")</f>
        <v>No</v>
      </c>
    </row>
    <row r="194" spans="1:19" x14ac:dyDescent="0.25">
      <c r="A194" s="147">
        <v>9011870704</v>
      </c>
      <c r="B194" s="148" t="s">
        <v>2761</v>
      </c>
      <c r="C194" s="150" t="s">
        <v>944</v>
      </c>
      <c r="D194" s="70">
        <v>110586.99898655999</v>
      </c>
      <c r="E194" s="70">
        <v>67520.932400000005</v>
      </c>
      <c r="F194" s="14">
        <v>45</v>
      </c>
      <c r="G194" s="14">
        <v>44</v>
      </c>
      <c r="H194" s="14">
        <v>1</v>
      </c>
      <c r="I194" s="14">
        <v>0</v>
      </c>
      <c r="J194" s="69">
        <v>37659.952400000002</v>
      </c>
      <c r="K194">
        <f t="shared" si="2"/>
        <v>0</v>
      </c>
      <c r="L194" s="14">
        <v>0</v>
      </c>
      <c r="M194" s="14">
        <v>0</v>
      </c>
      <c r="N194" s="14">
        <v>0</v>
      </c>
      <c r="O194" s="69">
        <v>0</v>
      </c>
      <c r="P194" s="226">
        <f>VLOOKUP(Table323[[#This Row],[Census Tract]],'Population and Diversity Data'!$B$2:$K$823,10,FALSE)</f>
        <v>4</v>
      </c>
      <c r="Q194" s="226" t="str">
        <f>VLOOKUP(Table323[[#This Row],[Census Tract]],'ES Energy Burden'!$B$2:$E$914,4,FALSE)</f>
        <v>No</v>
      </c>
      <c r="R194" s="248">
        <f>VLOOKUP(Table323[[#This Row],[Census Tract]],'Income and Housing Data'!$B$2:$D$823,3,FALSE)</f>
        <v>85378</v>
      </c>
      <c r="S194" s="248" t="str">
        <f>IF($U$6&lt;=Table323[[#This Row],[Household income]],IF(Table323[[#This Row],[Household income]]&lt;=$U$7, "Yes","No"),"No")</f>
        <v>No</v>
      </c>
    </row>
    <row r="195" spans="1:19" x14ac:dyDescent="0.25">
      <c r="A195" s="147">
        <v>9003484100</v>
      </c>
      <c r="B195" s="148" t="s">
        <v>2762</v>
      </c>
      <c r="C195" s="150" t="s">
        <v>944</v>
      </c>
      <c r="D195" s="70">
        <v>108316.02785471999</v>
      </c>
      <c r="E195" s="70">
        <v>234607.06659999999</v>
      </c>
      <c r="F195" s="14">
        <v>19</v>
      </c>
      <c r="G195" s="14">
        <v>19</v>
      </c>
      <c r="H195" s="14">
        <v>0</v>
      </c>
      <c r="I195" s="14">
        <v>0</v>
      </c>
      <c r="J195" s="69">
        <v>55943.7</v>
      </c>
      <c r="K195">
        <f t="shared" si="2"/>
        <v>19</v>
      </c>
      <c r="L195" s="14">
        <v>19</v>
      </c>
      <c r="M195" s="14">
        <v>0</v>
      </c>
      <c r="N195" s="14">
        <v>0</v>
      </c>
      <c r="O195" s="69">
        <v>99900</v>
      </c>
      <c r="P195" s="226">
        <f>VLOOKUP(Table323[[#This Row],[Census Tract]],'Population and Diversity Data'!$B$2:$K$823,10,FALSE)</f>
        <v>4</v>
      </c>
      <c r="Q195" s="226" t="str">
        <f>VLOOKUP(Table323[[#This Row],[Census Tract]],'ES Energy Burden'!$B$2:$E$914,4,FALSE)</f>
        <v>No</v>
      </c>
      <c r="R195" s="248">
        <f>VLOOKUP(Table323[[#This Row],[Census Tract]],'Income and Housing Data'!$B$2:$D$823,3,FALSE)</f>
        <v>72150</v>
      </c>
      <c r="S195" s="248" t="str">
        <f>IF($U$6&lt;=Table323[[#This Row],[Household income]],IF(Table323[[#This Row],[Household income]]&lt;=$U$7, "Yes","No"),"No")</f>
        <v>No</v>
      </c>
    </row>
    <row r="196" spans="1:19" x14ac:dyDescent="0.25">
      <c r="A196" s="147">
        <v>9003484200</v>
      </c>
      <c r="B196" s="148" t="s">
        <v>2762</v>
      </c>
      <c r="C196" s="150" t="s">
        <v>944</v>
      </c>
      <c r="D196" s="70">
        <v>95034.406584960001</v>
      </c>
      <c r="E196" s="70">
        <v>25148.027699999999</v>
      </c>
      <c r="F196" s="14">
        <v>16</v>
      </c>
      <c r="G196" s="14">
        <v>16</v>
      </c>
      <c r="H196" s="14">
        <v>0</v>
      </c>
      <c r="I196" s="14">
        <v>0</v>
      </c>
      <c r="J196" s="69">
        <v>13123.957700000001</v>
      </c>
      <c r="K196">
        <f t="shared" si="2"/>
        <v>0</v>
      </c>
      <c r="L196" s="14">
        <v>0</v>
      </c>
      <c r="M196" s="14">
        <v>0</v>
      </c>
      <c r="N196" s="14">
        <v>0</v>
      </c>
      <c r="O196" s="69">
        <v>0</v>
      </c>
      <c r="P196" s="226">
        <f>VLOOKUP(Table323[[#This Row],[Census Tract]],'Population and Diversity Data'!$B$2:$K$823,10,FALSE)</f>
        <v>3</v>
      </c>
      <c r="Q196" s="226" t="str">
        <f>VLOOKUP(Table323[[#This Row],[Census Tract]],'ES Energy Burden'!$B$2:$E$914,4,FALSE)</f>
        <v>No</v>
      </c>
      <c r="R196" s="248">
        <f>VLOOKUP(Table323[[#This Row],[Census Tract]],'Income and Housing Data'!$B$2:$D$823,3,FALSE)</f>
        <v>84779</v>
      </c>
      <c r="S196" s="248" t="str">
        <f>IF($U$6&lt;=Table323[[#This Row],[Household income]],IF(Table323[[#This Row],[Household income]]&lt;=$U$7, "Yes","No"),"No")</f>
        <v>No</v>
      </c>
    </row>
    <row r="197" spans="1:19" x14ac:dyDescent="0.25">
      <c r="A197" s="147">
        <v>9003487100</v>
      </c>
      <c r="B197" s="148" t="s">
        <v>2762</v>
      </c>
      <c r="C197" s="150" t="s">
        <v>944</v>
      </c>
      <c r="D197" s="70">
        <v>330.62152320000001</v>
      </c>
      <c r="E197" s="70">
        <v>792.94</v>
      </c>
      <c r="F197" s="14">
        <v>0</v>
      </c>
      <c r="G197" s="14">
        <v>0</v>
      </c>
      <c r="H197" s="14">
        <v>0</v>
      </c>
      <c r="I197" s="14">
        <v>0</v>
      </c>
      <c r="J197" s="69">
        <v>0</v>
      </c>
      <c r="K197">
        <f t="shared" si="2"/>
        <v>0</v>
      </c>
      <c r="L197" s="14">
        <v>0</v>
      </c>
      <c r="M197" s="14">
        <v>0</v>
      </c>
      <c r="N197" s="14">
        <v>0</v>
      </c>
      <c r="O197" s="69">
        <v>0</v>
      </c>
      <c r="P197" s="226">
        <f>VLOOKUP(Table323[[#This Row],[Census Tract]],'Population and Diversity Data'!$B$2:$K$823,10,FALSE)</f>
        <v>3</v>
      </c>
      <c r="Q197" s="226" t="str">
        <f>VLOOKUP(Table323[[#This Row],[Census Tract]],'ES Energy Burden'!$B$2:$E$914,4,FALSE)</f>
        <v>No</v>
      </c>
      <c r="R197" s="248">
        <f>VLOOKUP(Table323[[#This Row],[Census Tract]],'Income and Housing Data'!$B$2:$D$823,3,FALSE)</f>
        <v>121296</v>
      </c>
      <c r="S197" s="248" t="str">
        <f>IF($U$6&lt;=Table323[[#This Row],[Household income]],IF(Table323[[#This Row],[Household income]]&lt;=$U$7, "Yes","No"),"No")</f>
        <v>No</v>
      </c>
    </row>
    <row r="198" spans="1:19" x14ac:dyDescent="0.25">
      <c r="A198" s="147">
        <v>9015902200</v>
      </c>
      <c r="B198" s="148" t="s">
        <v>2763</v>
      </c>
      <c r="C198" s="150" t="s">
        <v>944</v>
      </c>
      <c r="D198" s="70">
        <v>35663.583467520002</v>
      </c>
      <c r="E198" s="70">
        <v>21504.103599999999</v>
      </c>
      <c r="F198" s="14">
        <v>6</v>
      </c>
      <c r="G198" s="14">
        <v>6</v>
      </c>
      <c r="H198" s="14">
        <v>0</v>
      </c>
      <c r="I198" s="14">
        <v>0</v>
      </c>
      <c r="J198" s="69">
        <v>4986.3743999999997</v>
      </c>
      <c r="K198">
        <f t="shared" ref="K198:K261" si="3">L198+M198+N198</f>
        <v>1</v>
      </c>
      <c r="L198" s="14">
        <v>1</v>
      </c>
      <c r="M198" s="14">
        <v>0</v>
      </c>
      <c r="N198" s="14">
        <v>0</v>
      </c>
      <c r="O198" s="69">
        <v>1238.74</v>
      </c>
      <c r="P198" s="226">
        <f>VLOOKUP(Table323[[#This Row],[Census Tract]],'Population and Diversity Data'!$B$2:$K$823,10,FALSE)</f>
        <v>2</v>
      </c>
      <c r="Q198" s="226" t="str">
        <f>VLOOKUP(Table323[[#This Row],[Census Tract]],'ES Energy Burden'!$B$2:$E$914,4,FALSE)</f>
        <v>No</v>
      </c>
      <c r="R198" s="248">
        <f>VLOOKUP(Table323[[#This Row],[Census Tract]],'Income and Housing Data'!$B$2:$D$823,3,FALSE)</f>
        <v>92813</v>
      </c>
      <c r="S198" s="248" t="str">
        <f>IF($U$6&lt;=Table323[[#This Row],[Household income]],IF(Table323[[#This Row],[Household income]]&lt;=$U$7, "Yes","No"),"No")</f>
        <v>No</v>
      </c>
    </row>
    <row r="199" spans="1:19" x14ac:dyDescent="0.25">
      <c r="A199" s="147">
        <v>9013530100</v>
      </c>
      <c r="B199" s="148" t="s">
        <v>2764</v>
      </c>
      <c r="C199" s="150" t="s">
        <v>944</v>
      </c>
      <c r="D199" s="70">
        <v>41.766192000000004</v>
      </c>
      <c r="E199" s="70">
        <v>0</v>
      </c>
      <c r="F199" s="14">
        <v>0</v>
      </c>
      <c r="G199" s="14">
        <v>0</v>
      </c>
      <c r="H199" s="14">
        <v>0</v>
      </c>
      <c r="I199" s="14">
        <v>0</v>
      </c>
      <c r="J199" s="69">
        <v>0</v>
      </c>
      <c r="K199">
        <f t="shared" si="3"/>
        <v>0</v>
      </c>
      <c r="L199" s="14">
        <v>0</v>
      </c>
      <c r="M199" s="14">
        <v>0</v>
      </c>
      <c r="N199" s="14">
        <v>0</v>
      </c>
      <c r="O199" s="69">
        <v>0</v>
      </c>
      <c r="P199" s="226">
        <f>VLOOKUP(Table323[[#This Row],[Census Tract]],'Population and Diversity Data'!$B$2:$K$823,10,FALSE)</f>
        <v>5</v>
      </c>
      <c r="Q199" s="226" t="str">
        <f>VLOOKUP(Table323[[#This Row],[Census Tract]],'ES Energy Burden'!$B$2:$E$914,4,FALSE)</f>
        <v>No</v>
      </c>
      <c r="R199" s="248">
        <f>VLOOKUP(Table323[[#This Row],[Census Tract]],'Income and Housing Data'!$B$2:$D$823,3,FALSE)</f>
        <v>61048</v>
      </c>
      <c r="S199" s="248" t="str">
        <f>IF($U$6&lt;=Table323[[#This Row],[Household income]],IF(Table323[[#This Row],[Household income]]&lt;=$U$7, "Yes","No"),"No")</f>
        <v>Yes</v>
      </c>
    </row>
    <row r="200" spans="1:19" x14ac:dyDescent="0.25">
      <c r="A200" s="147">
        <v>9013535100</v>
      </c>
      <c r="B200" s="148" t="s">
        <v>2764</v>
      </c>
      <c r="C200" s="150" t="s">
        <v>944</v>
      </c>
      <c r="D200" s="70">
        <v>207453.90636288002</v>
      </c>
      <c r="E200" s="70">
        <v>175122.63310000001</v>
      </c>
      <c r="F200" s="14">
        <v>69</v>
      </c>
      <c r="G200" s="14">
        <v>39</v>
      </c>
      <c r="H200" s="14">
        <v>0</v>
      </c>
      <c r="I200" s="14">
        <v>30</v>
      </c>
      <c r="J200" s="69">
        <v>36569.639000000003</v>
      </c>
      <c r="K200">
        <f t="shared" si="3"/>
        <v>58</v>
      </c>
      <c r="L200" s="14">
        <v>18</v>
      </c>
      <c r="M200" s="14">
        <v>0</v>
      </c>
      <c r="N200" s="14">
        <v>40</v>
      </c>
      <c r="O200" s="69">
        <v>73782.899999999994</v>
      </c>
      <c r="P200" s="226">
        <f>VLOOKUP(Table323[[#This Row],[Census Tract]],'Population and Diversity Data'!$B$2:$K$823,10,FALSE)</f>
        <v>4</v>
      </c>
      <c r="Q200" s="226" t="str">
        <f>VLOOKUP(Table323[[#This Row],[Census Tract]],'ES Energy Burden'!$B$2:$E$914,4,FALSE)</f>
        <v>No</v>
      </c>
      <c r="R200" s="248">
        <f>VLOOKUP(Table323[[#This Row],[Census Tract]],'Income and Housing Data'!$B$2:$D$823,3,FALSE)</f>
        <v>82436</v>
      </c>
      <c r="S200" s="248" t="str">
        <f>IF($U$6&lt;=Table323[[#This Row],[Household income]],IF(Table323[[#This Row],[Household income]]&lt;=$U$7, "Yes","No"),"No")</f>
        <v>No</v>
      </c>
    </row>
    <row r="201" spans="1:19" x14ac:dyDescent="0.25">
      <c r="A201" s="147">
        <v>9013535200</v>
      </c>
      <c r="B201" s="148" t="s">
        <v>2764</v>
      </c>
      <c r="C201" s="150" t="s">
        <v>944</v>
      </c>
      <c r="D201" s="70">
        <v>127771.96699584002</v>
      </c>
      <c r="E201" s="70">
        <v>36380.263400000003</v>
      </c>
      <c r="F201" s="14">
        <v>34</v>
      </c>
      <c r="G201" s="14">
        <v>33</v>
      </c>
      <c r="H201" s="14">
        <v>1</v>
      </c>
      <c r="I201" s="14">
        <v>0</v>
      </c>
      <c r="J201" s="69">
        <v>29260.703399999999</v>
      </c>
      <c r="K201">
        <f t="shared" si="3"/>
        <v>0</v>
      </c>
      <c r="L201" s="14">
        <v>0</v>
      </c>
      <c r="M201" s="14">
        <v>0</v>
      </c>
      <c r="N201" s="14">
        <v>0</v>
      </c>
      <c r="O201" s="69">
        <v>0</v>
      </c>
      <c r="P201" s="226">
        <f>VLOOKUP(Table323[[#This Row],[Census Tract]],'Population and Diversity Data'!$B$2:$K$823,10,FALSE)</f>
        <v>5</v>
      </c>
      <c r="Q201" s="226" t="str">
        <f>VLOOKUP(Table323[[#This Row],[Census Tract]],'ES Energy Burden'!$B$2:$E$914,4,FALSE)</f>
        <v>No</v>
      </c>
      <c r="R201" s="248">
        <f>VLOOKUP(Table323[[#This Row],[Census Tract]],'Income and Housing Data'!$B$2:$D$823,3,FALSE)</f>
        <v>100833</v>
      </c>
      <c r="S201" s="248" t="str">
        <f>IF($U$6&lt;=Table323[[#This Row],[Household income]],IF(Table323[[#This Row],[Household income]]&lt;=$U$7, "Yes","No"),"No")</f>
        <v>No</v>
      </c>
    </row>
    <row r="202" spans="1:19" x14ac:dyDescent="0.25">
      <c r="A202" s="147">
        <v>9013538201</v>
      </c>
      <c r="B202" s="148" t="s">
        <v>2764</v>
      </c>
      <c r="C202" s="150" t="s">
        <v>944</v>
      </c>
      <c r="D202" s="70">
        <v>165.72176639999998</v>
      </c>
      <c r="E202" s="70">
        <v>0</v>
      </c>
      <c r="F202" s="14">
        <v>0</v>
      </c>
      <c r="G202" s="14">
        <v>0</v>
      </c>
      <c r="H202" s="14">
        <v>0</v>
      </c>
      <c r="I202" s="14">
        <v>0</v>
      </c>
      <c r="J202" s="69">
        <v>0</v>
      </c>
      <c r="K202">
        <f t="shared" si="3"/>
        <v>0</v>
      </c>
      <c r="L202" s="14">
        <v>0</v>
      </c>
      <c r="M202" s="14">
        <v>0</v>
      </c>
      <c r="N202" s="14">
        <v>0</v>
      </c>
      <c r="O202" s="69">
        <v>0</v>
      </c>
      <c r="P202" s="226">
        <f>VLOOKUP(Table323[[#This Row],[Census Tract]],'Population and Diversity Data'!$B$2:$K$823,10,FALSE)</f>
        <v>3</v>
      </c>
      <c r="Q202" s="226" t="str">
        <f>VLOOKUP(Table323[[#This Row],[Census Tract]],'ES Energy Burden'!$B$2:$E$914,4,FALSE)</f>
        <v>No</v>
      </c>
      <c r="R202" s="248">
        <f>VLOOKUP(Table323[[#This Row],[Census Tract]],'Income and Housing Data'!$B$2:$D$823,3,FALSE)</f>
        <v>116000</v>
      </c>
      <c r="S202" s="248" t="str">
        <f>IF($U$6&lt;=Table323[[#This Row],[Household income]],IF(Table323[[#This Row],[Household income]]&lt;=$U$7, "Yes","No"),"No")</f>
        <v>No</v>
      </c>
    </row>
    <row r="203" spans="1:19" x14ac:dyDescent="0.25">
      <c r="A203" s="147">
        <v>9013538202</v>
      </c>
      <c r="B203" s="148" t="s">
        <v>2764</v>
      </c>
      <c r="C203" s="150" t="s">
        <v>944</v>
      </c>
      <c r="D203" s="70">
        <v>227.66771520000003</v>
      </c>
      <c r="E203" s="70">
        <v>0</v>
      </c>
      <c r="F203" s="14">
        <v>0</v>
      </c>
      <c r="G203" s="14">
        <v>0</v>
      </c>
      <c r="H203" s="14">
        <v>0</v>
      </c>
      <c r="I203" s="14">
        <v>0</v>
      </c>
      <c r="J203" s="69">
        <v>0</v>
      </c>
      <c r="K203">
        <f t="shared" si="3"/>
        <v>0</v>
      </c>
      <c r="L203" s="14">
        <v>0</v>
      </c>
      <c r="M203" s="14">
        <v>0</v>
      </c>
      <c r="N203" s="14">
        <v>0</v>
      </c>
      <c r="O203" s="69">
        <v>0</v>
      </c>
      <c r="P203" s="226">
        <f>VLOOKUP(Table323[[#This Row],[Census Tract]],'Population and Diversity Data'!$B$2:$K$823,10,FALSE)</f>
        <v>1</v>
      </c>
      <c r="Q203" s="226" t="str">
        <f>VLOOKUP(Table323[[#This Row],[Census Tract]],'ES Energy Burden'!$B$2:$E$914,4,FALSE)</f>
        <v>No</v>
      </c>
      <c r="R203" s="248">
        <f>VLOOKUP(Table323[[#This Row],[Census Tract]],'Income and Housing Data'!$B$2:$D$823,3,FALSE)</f>
        <v>103631</v>
      </c>
      <c r="S203" s="248" t="str">
        <f>IF($U$6&lt;=Table323[[#This Row],[Household income]],IF(Table323[[#This Row],[Household income]]&lt;=$U$7, "Yes","No"),"No")</f>
        <v>No</v>
      </c>
    </row>
    <row r="204" spans="1:19" x14ac:dyDescent="0.25">
      <c r="A204" s="147">
        <v>9003480300</v>
      </c>
      <c r="B204" s="148" t="s">
        <v>2765</v>
      </c>
      <c r="C204" s="150" t="s">
        <v>944</v>
      </c>
      <c r="D204" s="70">
        <v>34392.488025599996</v>
      </c>
      <c r="E204" s="70">
        <v>14221.0897</v>
      </c>
      <c r="F204" s="14">
        <v>9</v>
      </c>
      <c r="G204" s="14">
        <v>9</v>
      </c>
      <c r="H204" s="14">
        <v>0</v>
      </c>
      <c r="I204" s="14">
        <v>0</v>
      </c>
      <c r="J204" s="69">
        <v>5807.1896999999999</v>
      </c>
      <c r="K204">
        <f t="shared" si="3"/>
        <v>0</v>
      </c>
      <c r="L204" s="14">
        <v>0</v>
      </c>
      <c r="M204" s="14">
        <v>0</v>
      </c>
      <c r="N204" s="14">
        <v>0</v>
      </c>
      <c r="O204" s="69">
        <v>0</v>
      </c>
      <c r="P204" s="226">
        <f>VLOOKUP(Table323[[#This Row],[Census Tract]],'Population and Diversity Data'!$B$2:$K$823,10,FALSE)</f>
        <v>2</v>
      </c>
      <c r="Q204" s="226" t="str">
        <f>VLOOKUP(Table323[[#This Row],[Census Tract]],'ES Energy Burden'!$B$2:$E$914,4,FALSE)</f>
        <v>No</v>
      </c>
      <c r="R204" s="248">
        <f>VLOOKUP(Table323[[#This Row],[Census Tract]],'Income and Housing Data'!$B$2:$D$823,3,FALSE)</f>
        <v>68523</v>
      </c>
      <c r="S204" s="248" t="str">
        <f>IF($U$6&lt;=Table323[[#This Row],[Household income]],IF(Table323[[#This Row],[Household income]]&lt;=$U$7, "Yes","No"),"No")</f>
        <v>No</v>
      </c>
    </row>
    <row r="205" spans="1:19" x14ac:dyDescent="0.25">
      <c r="A205" s="147">
        <v>9003480400</v>
      </c>
      <c r="B205" s="148" t="s">
        <v>2765</v>
      </c>
      <c r="C205" s="150" t="s">
        <v>944</v>
      </c>
      <c r="D205" s="70">
        <v>58521.540743999998</v>
      </c>
      <c r="E205" s="70">
        <v>9810.43</v>
      </c>
      <c r="F205" s="14">
        <v>13</v>
      </c>
      <c r="G205" s="14">
        <v>13</v>
      </c>
      <c r="H205" s="14">
        <v>0</v>
      </c>
      <c r="I205" s="14">
        <v>0</v>
      </c>
      <c r="J205" s="69">
        <v>4983.57</v>
      </c>
      <c r="K205">
        <f t="shared" si="3"/>
        <v>0</v>
      </c>
      <c r="L205" s="14">
        <v>0</v>
      </c>
      <c r="M205" s="14">
        <v>0</v>
      </c>
      <c r="N205" s="14">
        <v>0</v>
      </c>
      <c r="O205" s="69">
        <v>0</v>
      </c>
      <c r="P205" s="226">
        <f>VLOOKUP(Table323[[#This Row],[Census Tract]],'Population and Diversity Data'!$B$2:$K$823,10,FALSE)</f>
        <v>3</v>
      </c>
      <c r="Q205" s="226" t="str">
        <f>VLOOKUP(Table323[[#This Row],[Census Tract]],'ES Energy Burden'!$B$2:$E$914,4,FALSE)</f>
        <v>No</v>
      </c>
      <c r="R205" s="248">
        <f>VLOOKUP(Table323[[#This Row],[Census Tract]],'Income and Housing Data'!$B$2:$D$823,3,FALSE)</f>
        <v>79864</v>
      </c>
      <c r="S205" s="248" t="str">
        <f>IF($U$6&lt;=Table323[[#This Row],[Household income]],IF(Table323[[#This Row],[Household income]]&lt;=$U$7, "Yes","No"),"No")</f>
        <v>No</v>
      </c>
    </row>
    <row r="206" spans="1:19" x14ac:dyDescent="0.25">
      <c r="A206" s="147">
        <v>9003480500</v>
      </c>
      <c r="B206" s="148" t="s">
        <v>2765</v>
      </c>
      <c r="C206" s="150" t="s">
        <v>944</v>
      </c>
      <c r="D206" s="70">
        <v>53208.866649600001</v>
      </c>
      <c r="E206" s="70">
        <v>14584.495500000001</v>
      </c>
      <c r="F206" s="14">
        <v>12</v>
      </c>
      <c r="G206" s="14">
        <v>12</v>
      </c>
      <c r="H206" s="14">
        <v>0</v>
      </c>
      <c r="I206" s="14">
        <v>0</v>
      </c>
      <c r="J206" s="69">
        <v>8040.7655000000004</v>
      </c>
      <c r="K206">
        <f t="shared" si="3"/>
        <v>0</v>
      </c>
      <c r="L206" s="14">
        <v>0</v>
      </c>
      <c r="M206" s="14">
        <v>0</v>
      </c>
      <c r="N206" s="14">
        <v>0</v>
      </c>
      <c r="O206" s="69">
        <v>0</v>
      </c>
      <c r="P206" s="226">
        <f>VLOOKUP(Table323[[#This Row],[Census Tract]],'Population and Diversity Data'!$B$2:$K$823,10,FALSE)</f>
        <v>2</v>
      </c>
      <c r="Q206" s="226" t="str">
        <f>VLOOKUP(Table323[[#This Row],[Census Tract]],'ES Energy Burden'!$B$2:$E$914,4,FALSE)</f>
        <v>No</v>
      </c>
      <c r="R206" s="248">
        <f>VLOOKUP(Table323[[#This Row],[Census Tract]],'Income and Housing Data'!$B$2:$D$823,3,FALSE)</f>
        <v>73903</v>
      </c>
      <c r="S206" s="248" t="str">
        <f>IF($U$6&lt;=Table323[[#This Row],[Household income]],IF(Table323[[#This Row],[Household income]]&lt;=$U$7, "Yes","No"),"No")</f>
        <v>No</v>
      </c>
    </row>
    <row r="207" spans="1:19" x14ac:dyDescent="0.25">
      <c r="A207" s="147">
        <v>9003480600</v>
      </c>
      <c r="B207" s="148" t="s">
        <v>2765</v>
      </c>
      <c r="C207" s="150" t="s">
        <v>944</v>
      </c>
      <c r="D207" s="70">
        <v>52973.169868800003</v>
      </c>
      <c r="E207" s="70">
        <v>43649.13</v>
      </c>
      <c r="F207" s="14">
        <v>5</v>
      </c>
      <c r="G207" s="14">
        <v>4</v>
      </c>
      <c r="H207" s="14">
        <v>1</v>
      </c>
      <c r="I207" s="14">
        <v>0</v>
      </c>
      <c r="J207" s="69">
        <v>1115.73</v>
      </c>
      <c r="K207">
        <f t="shared" si="3"/>
        <v>0</v>
      </c>
      <c r="L207" s="14">
        <v>0</v>
      </c>
      <c r="M207" s="14">
        <v>0</v>
      </c>
      <c r="N207" s="14">
        <v>0</v>
      </c>
      <c r="O207" s="69">
        <v>0</v>
      </c>
      <c r="P207" s="226">
        <f>VLOOKUP(Table323[[#This Row],[Census Tract]],'Population and Diversity Data'!$B$2:$K$823,10,FALSE)</f>
        <v>5</v>
      </c>
      <c r="Q207" s="226" t="str">
        <f>VLOOKUP(Table323[[#This Row],[Census Tract]],'ES Energy Burden'!$B$2:$E$914,4,FALSE)</f>
        <v>No</v>
      </c>
      <c r="R207" s="248">
        <f>VLOOKUP(Table323[[#This Row],[Census Tract]],'Income and Housing Data'!$B$2:$D$823,3,FALSE)</f>
        <v>33221</v>
      </c>
      <c r="S207" s="248" t="str">
        <f>IF($U$6&lt;=Table323[[#This Row],[Household income]],IF(Table323[[#This Row],[Household income]]&lt;=$U$7, "Yes","No"),"No")</f>
        <v>No</v>
      </c>
    </row>
    <row r="208" spans="1:19" x14ac:dyDescent="0.25">
      <c r="A208" s="147">
        <v>9003480700</v>
      </c>
      <c r="B208" s="148" t="s">
        <v>2765</v>
      </c>
      <c r="C208" s="150" t="s">
        <v>944</v>
      </c>
      <c r="D208" s="70">
        <v>28925.4816288</v>
      </c>
      <c r="E208" s="70">
        <v>16334.19</v>
      </c>
      <c r="F208" s="14">
        <v>5</v>
      </c>
      <c r="G208" s="14">
        <v>5</v>
      </c>
      <c r="H208" s="14">
        <v>0</v>
      </c>
      <c r="I208" s="14">
        <v>0</v>
      </c>
      <c r="J208" s="69">
        <v>4624.03</v>
      </c>
      <c r="K208">
        <f t="shared" si="3"/>
        <v>0</v>
      </c>
      <c r="L208" s="14">
        <v>0</v>
      </c>
      <c r="M208" s="14">
        <v>0</v>
      </c>
      <c r="N208" s="14">
        <v>0</v>
      </c>
      <c r="O208" s="69">
        <v>0</v>
      </c>
      <c r="P208" s="226">
        <f>VLOOKUP(Table323[[#This Row],[Census Tract]],'Population and Diversity Data'!$B$2:$K$823,10,FALSE)</f>
        <v>3</v>
      </c>
      <c r="Q208" s="226" t="str">
        <f>VLOOKUP(Table323[[#This Row],[Census Tract]],'ES Energy Burden'!$B$2:$E$914,4,FALSE)</f>
        <v>No</v>
      </c>
      <c r="R208" s="248">
        <f>VLOOKUP(Table323[[#This Row],[Census Tract]],'Income and Housing Data'!$B$2:$D$823,3,FALSE)</f>
        <v>58000</v>
      </c>
      <c r="S208" s="248" t="str">
        <f>IF($U$6&lt;=Table323[[#This Row],[Household income]],IF(Table323[[#This Row],[Household income]]&lt;=$U$7, "Yes","No"),"No")</f>
        <v>Yes</v>
      </c>
    </row>
    <row r="209" spans="1:19" x14ac:dyDescent="0.25">
      <c r="A209" s="147">
        <v>9003480800</v>
      </c>
      <c r="B209" s="148" t="s">
        <v>2765</v>
      </c>
      <c r="C209" s="150" t="s">
        <v>944</v>
      </c>
      <c r="D209" s="70">
        <v>93708.096989760001</v>
      </c>
      <c r="E209" s="70">
        <v>798268.12080000003</v>
      </c>
      <c r="F209" s="14">
        <v>492</v>
      </c>
      <c r="G209" s="14">
        <v>21</v>
      </c>
      <c r="H209" s="14">
        <v>0</v>
      </c>
      <c r="I209" s="14">
        <v>471</v>
      </c>
      <c r="J209" s="69">
        <v>166784.95999999999</v>
      </c>
      <c r="K209">
        <f t="shared" si="3"/>
        <v>488</v>
      </c>
      <c r="L209" s="14">
        <v>69</v>
      </c>
      <c r="M209" s="14">
        <v>2</v>
      </c>
      <c r="N209" s="14">
        <v>417</v>
      </c>
      <c r="O209" s="69">
        <v>295627</v>
      </c>
      <c r="P209" s="226">
        <f>VLOOKUP(Table323[[#This Row],[Census Tract]],'Population and Diversity Data'!$B$2:$K$823,10,FALSE)</f>
        <v>3</v>
      </c>
      <c r="Q209" s="226" t="str">
        <f>VLOOKUP(Table323[[#This Row],[Census Tract]],'ES Energy Burden'!$B$2:$E$914,4,FALSE)</f>
        <v>No</v>
      </c>
      <c r="R209" s="248">
        <f>VLOOKUP(Table323[[#This Row],[Census Tract]],'Income and Housing Data'!$B$2:$D$823,3,FALSE)</f>
        <v>83345</v>
      </c>
      <c r="S209" s="248" t="str">
        <f>IF($U$6&lt;=Table323[[#This Row],[Household income]],IF(Table323[[#This Row],[Household income]]&lt;=$U$7, "Yes","No"),"No")</f>
        <v>No</v>
      </c>
    </row>
    <row r="210" spans="1:19" x14ac:dyDescent="0.25">
      <c r="A210" s="147">
        <v>9003480900</v>
      </c>
      <c r="B210" s="148" t="s">
        <v>2765</v>
      </c>
      <c r="C210" s="150" t="s">
        <v>944</v>
      </c>
      <c r="D210" s="70">
        <v>35031.230585279998</v>
      </c>
      <c r="E210" s="70">
        <v>12948.832700000001</v>
      </c>
      <c r="F210" s="14">
        <v>16</v>
      </c>
      <c r="G210" s="14">
        <v>14</v>
      </c>
      <c r="H210" s="14">
        <v>2</v>
      </c>
      <c r="I210" s="14">
        <v>0</v>
      </c>
      <c r="J210" s="69">
        <v>8907.1226999999999</v>
      </c>
      <c r="K210">
        <f t="shared" si="3"/>
        <v>0</v>
      </c>
      <c r="L210" s="14">
        <v>0</v>
      </c>
      <c r="M210" s="14">
        <v>0</v>
      </c>
      <c r="N210" s="14">
        <v>0</v>
      </c>
      <c r="O210" s="69">
        <v>0</v>
      </c>
      <c r="P210" s="226">
        <f>VLOOKUP(Table323[[#This Row],[Census Tract]],'Population and Diversity Data'!$B$2:$K$823,10,FALSE)</f>
        <v>2</v>
      </c>
      <c r="Q210" s="226" t="str">
        <f>VLOOKUP(Table323[[#This Row],[Census Tract]],'ES Energy Burden'!$B$2:$E$914,4,FALSE)</f>
        <v>No</v>
      </c>
      <c r="R210" s="248">
        <f>VLOOKUP(Table323[[#This Row],[Census Tract]],'Income and Housing Data'!$B$2:$D$823,3,FALSE)</f>
        <v>92500</v>
      </c>
      <c r="S210" s="248" t="str">
        <f>IF($U$6&lt;=Table323[[#This Row],[Household income]],IF(Table323[[#This Row],[Household income]]&lt;=$U$7, "Yes","No"),"No")</f>
        <v>No</v>
      </c>
    </row>
    <row r="211" spans="1:19" x14ac:dyDescent="0.25">
      <c r="A211" s="147">
        <v>9003481000</v>
      </c>
      <c r="B211" s="148" t="s">
        <v>2765</v>
      </c>
      <c r="C211" s="150" t="s">
        <v>944</v>
      </c>
      <c r="D211" s="70">
        <v>63039.794659200001</v>
      </c>
      <c r="E211" s="70">
        <v>5864.6796999999997</v>
      </c>
      <c r="F211" s="14">
        <v>13</v>
      </c>
      <c r="G211" s="14">
        <v>13</v>
      </c>
      <c r="H211" s="14">
        <v>0</v>
      </c>
      <c r="I211" s="14">
        <v>0</v>
      </c>
      <c r="J211" s="69">
        <v>5341.3597</v>
      </c>
      <c r="K211">
        <f t="shared" si="3"/>
        <v>0</v>
      </c>
      <c r="L211" s="14">
        <v>0</v>
      </c>
      <c r="M211" s="14">
        <v>0</v>
      </c>
      <c r="N211" s="14">
        <v>0</v>
      </c>
      <c r="O211" s="69">
        <v>0</v>
      </c>
      <c r="P211" s="226">
        <f>VLOOKUP(Table323[[#This Row],[Census Tract]],'Population and Diversity Data'!$B$2:$K$823,10,FALSE)</f>
        <v>1</v>
      </c>
      <c r="Q211" s="226" t="str">
        <f>VLOOKUP(Table323[[#This Row],[Census Tract]],'ES Energy Burden'!$B$2:$E$914,4,FALSE)</f>
        <v>No</v>
      </c>
      <c r="R211" s="248">
        <f>VLOOKUP(Table323[[#This Row],[Census Tract]],'Income and Housing Data'!$B$2:$D$823,3,FALSE)</f>
        <v>122222</v>
      </c>
      <c r="S211" s="248" t="str">
        <f>IF($U$6&lt;=Table323[[#This Row],[Household income]],IF(Table323[[#This Row],[Household income]]&lt;=$U$7, "Yes","No"),"No")</f>
        <v>No</v>
      </c>
    </row>
    <row r="212" spans="1:19" x14ac:dyDescent="0.25">
      <c r="A212" s="147">
        <v>9003481100</v>
      </c>
      <c r="B212" s="148" t="s">
        <v>2765</v>
      </c>
      <c r="C212" s="150" t="s">
        <v>944</v>
      </c>
      <c r="D212" s="70">
        <v>63124.477856640005</v>
      </c>
      <c r="E212" s="70">
        <v>8987.7000000000007</v>
      </c>
      <c r="F212" s="14">
        <v>9</v>
      </c>
      <c r="G212" s="14">
        <v>9</v>
      </c>
      <c r="H212" s="14">
        <v>0</v>
      </c>
      <c r="I212" s="14">
        <v>0</v>
      </c>
      <c r="J212" s="69">
        <v>7003.63</v>
      </c>
      <c r="K212">
        <f t="shared" si="3"/>
        <v>0</v>
      </c>
      <c r="L212" s="14">
        <v>0</v>
      </c>
      <c r="M212" s="14">
        <v>0</v>
      </c>
      <c r="N212" s="14">
        <v>0</v>
      </c>
      <c r="O212" s="69">
        <v>0</v>
      </c>
      <c r="P212" s="226">
        <f>VLOOKUP(Table323[[#This Row],[Census Tract]],'Population and Diversity Data'!$B$2:$K$823,10,FALSE)</f>
        <v>2</v>
      </c>
      <c r="Q212" s="226" t="str">
        <f>VLOOKUP(Table323[[#This Row],[Census Tract]],'ES Energy Burden'!$B$2:$E$914,4,FALSE)</f>
        <v>No</v>
      </c>
      <c r="R212" s="248">
        <f>VLOOKUP(Table323[[#This Row],[Census Tract]],'Income and Housing Data'!$B$2:$D$823,3,FALSE)</f>
        <v>73365</v>
      </c>
      <c r="S212" s="248" t="str">
        <f>IF($U$6&lt;=Table323[[#This Row],[Household income]],IF(Table323[[#This Row],[Household income]]&lt;=$U$7, "Yes","No"),"No")</f>
        <v>No</v>
      </c>
    </row>
    <row r="213" spans="1:19" x14ac:dyDescent="0.25">
      <c r="A213" s="147">
        <v>9003481200</v>
      </c>
      <c r="B213" s="148" t="s">
        <v>2765</v>
      </c>
      <c r="C213" s="150" t="s">
        <v>944</v>
      </c>
      <c r="D213" s="70">
        <v>64998.361042559998</v>
      </c>
      <c r="E213" s="70">
        <v>15440.29</v>
      </c>
      <c r="F213" s="14">
        <v>15</v>
      </c>
      <c r="G213" s="14">
        <v>15</v>
      </c>
      <c r="H213" s="14">
        <v>0</v>
      </c>
      <c r="I213" s="14">
        <v>0</v>
      </c>
      <c r="J213" s="69">
        <v>12353.65</v>
      </c>
      <c r="K213">
        <f t="shared" si="3"/>
        <v>0</v>
      </c>
      <c r="L213" s="14">
        <v>0</v>
      </c>
      <c r="M213" s="14">
        <v>0</v>
      </c>
      <c r="N213" s="14">
        <v>0</v>
      </c>
      <c r="O213" s="69">
        <v>0</v>
      </c>
      <c r="P213" s="226">
        <f>VLOOKUP(Table323[[#This Row],[Census Tract]],'Population and Diversity Data'!$B$2:$K$823,10,FALSE)</f>
        <v>3</v>
      </c>
      <c r="Q213" s="226" t="str">
        <f>VLOOKUP(Table323[[#This Row],[Census Tract]],'ES Energy Burden'!$B$2:$E$914,4,FALSE)</f>
        <v>No</v>
      </c>
      <c r="R213" s="248">
        <f>VLOOKUP(Table323[[#This Row],[Census Tract]],'Income and Housing Data'!$B$2:$D$823,3,FALSE)</f>
        <v>90543</v>
      </c>
      <c r="S213" s="248" t="str">
        <f>IF($U$6&lt;=Table323[[#This Row],[Household income]],IF(Table323[[#This Row],[Household income]]&lt;=$U$7, "Yes","No"),"No")</f>
        <v>No</v>
      </c>
    </row>
    <row r="214" spans="1:19" x14ac:dyDescent="0.25">
      <c r="A214" s="147">
        <v>9003481300</v>
      </c>
      <c r="B214" s="148" t="s">
        <v>2765</v>
      </c>
      <c r="C214" s="150" t="s">
        <v>944</v>
      </c>
      <c r="D214" s="70">
        <v>47713.246214400002</v>
      </c>
      <c r="E214" s="70">
        <v>5946.1067999999996</v>
      </c>
      <c r="F214" s="14">
        <v>10</v>
      </c>
      <c r="G214" s="14">
        <v>10</v>
      </c>
      <c r="H214" s="14">
        <v>0</v>
      </c>
      <c r="I214" s="14">
        <v>0</v>
      </c>
      <c r="J214" s="69">
        <v>5398.2268000000004</v>
      </c>
      <c r="K214">
        <f t="shared" si="3"/>
        <v>0</v>
      </c>
      <c r="L214" s="14">
        <v>0</v>
      </c>
      <c r="M214" s="14">
        <v>0</v>
      </c>
      <c r="N214" s="14">
        <v>0</v>
      </c>
      <c r="O214" s="69">
        <v>0</v>
      </c>
      <c r="P214" s="226">
        <f>VLOOKUP(Table323[[#This Row],[Census Tract]],'Population and Diversity Data'!$B$2:$K$823,10,FALSE)</f>
        <v>1</v>
      </c>
      <c r="Q214" s="226" t="str">
        <f>VLOOKUP(Table323[[#This Row],[Census Tract]],'ES Energy Burden'!$B$2:$E$914,4,FALSE)</f>
        <v>No</v>
      </c>
      <c r="R214" s="248">
        <f>VLOOKUP(Table323[[#This Row],[Census Tract]],'Income and Housing Data'!$B$2:$D$823,3,FALSE)</f>
        <v>99617</v>
      </c>
      <c r="S214" s="248" t="str">
        <f>IF($U$6&lt;=Table323[[#This Row],[Household income]],IF(Table323[[#This Row],[Household income]]&lt;=$U$7, "Yes","No"),"No")</f>
        <v>No</v>
      </c>
    </row>
    <row r="215" spans="1:19" x14ac:dyDescent="0.25">
      <c r="A215" s="147">
        <v>9003484200</v>
      </c>
      <c r="B215" s="148" t="s">
        <v>2765</v>
      </c>
      <c r="C215" s="150" t="s">
        <v>944</v>
      </c>
      <c r="D215" s="70">
        <v>658.84648319999997</v>
      </c>
      <c r="E215" s="70">
        <v>0</v>
      </c>
      <c r="F215" s="14">
        <v>0</v>
      </c>
      <c r="G215" s="14">
        <v>0</v>
      </c>
      <c r="H215" s="14">
        <v>0</v>
      </c>
      <c r="I215" s="14">
        <v>0</v>
      </c>
      <c r="J215" s="69">
        <v>0</v>
      </c>
      <c r="K215">
        <f t="shared" si="3"/>
        <v>0</v>
      </c>
      <c r="L215" s="14">
        <v>0</v>
      </c>
      <c r="M215" s="14">
        <v>0</v>
      </c>
      <c r="N215" s="14">
        <v>0</v>
      </c>
      <c r="O215" s="69">
        <v>0</v>
      </c>
      <c r="P215" s="226">
        <f>VLOOKUP(Table323[[#This Row],[Census Tract]],'Population and Diversity Data'!$B$2:$K$823,10,FALSE)</f>
        <v>3</v>
      </c>
      <c r="Q215" s="226" t="str">
        <f>VLOOKUP(Table323[[#This Row],[Census Tract]],'ES Energy Burden'!$B$2:$E$914,4,FALSE)</f>
        <v>No</v>
      </c>
      <c r="R215" s="248">
        <f>VLOOKUP(Table323[[#This Row],[Census Tract]],'Income and Housing Data'!$B$2:$D$823,3,FALSE)</f>
        <v>84779</v>
      </c>
      <c r="S215" s="248" t="str">
        <f>IF($U$6&lt;=Table323[[#This Row],[Household income]],IF(Table323[[#This Row],[Household income]]&lt;=$U$7, "Yes","No"),"No")</f>
        <v>No</v>
      </c>
    </row>
    <row r="216" spans="1:19" x14ac:dyDescent="0.25">
      <c r="A216" s="147">
        <v>9003524300</v>
      </c>
      <c r="B216" s="148" t="s">
        <v>2765</v>
      </c>
      <c r="C216" s="150" t="s">
        <v>944</v>
      </c>
      <c r="D216" s="70">
        <v>77128.346283840016</v>
      </c>
      <c r="E216" s="70">
        <v>31690.293099999999</v>
      </c>
      <c r="F216" s="14">
        <v>10</v>
      </c>
      <c r="G216" s="14">
        <v>10</v>
      </c>
      <c r="H216" s="14">
        <v>0</v>
      </c>
      <c r="I216" s="14">
        <v>0</v>
      </c>
      <c r="J216" s="69">
        <v>6695.9731000000002</v>
      </c>
      <c r="K216">
        <f t="shared" si="3"/>
        <v>0</v>
      </c>
      <c r="L216" s="14">
        <v>0</v>
      </c>
      <c r="M216" s="14">
        <v>0</v>
      </c>
      <c r="N216" s="14">
        <v>0</v>
      </c>
      <c r="O216" s="69">
        <v>0</v>
      </c>
      <c r="P216" s="226">
        <f>VLOOKUP(Table323[[#This Row],[Census Tract]],'Population and Diversity Data'!$B$2:$K$823,10,FALSE)</f>
        <v>4</v>
      </c>
      <c r="Q216" s="226" t="str">
        <f>VLOOKUP(Table323[[#This Row],[Census Tract]],'ES Energy Burden'!$B$2:$E$914,4,FALSE)</f>
        <v>No</v>
      </c>
      <c r="R216" s="248">
        <f>VLOOKUP(Table323[[#This Row],[Census Tract]],'Income and Housing Data'!$B$2:$D$823,3,FALSE)</f>
        <v>89079</v>
      </c>
      <c r="S216" s="248" t="str">
        <f>IF($U$6&lt;=Table323[[#This Row],[Household income]],IF(Table323[[#This Row],[Household income]]&lt;=$U$7, "Yes","No"),"No")</f>
        <v>No</v>
      </c>
    </row>
    <row r="217" spans="1:19" x14ac:dyDescent="0.25">
      <c r="A217" s="147">
        <v>9007630100</v>
      </c>
      <c r="B217" s="148" t="s">
        <v>2766</v>
      </c>
      <c r="C217" s="150" t="s">
        <v>944</v>
      </c>
      <c r="D217" s="70">
        <v>175416.25181471999</v>
      </c>
      <c r="E217" s="70">
        <v>96197.329400000002</v>
      </c>
      <c r="F217" s="14">
        <v>51</v>
      </c>
      <c r="G217" s="14">
        <v>51</v>
      </c>
      <c r="H217" s="14">
        <v>0</v>
      </c>
      <c r="I217" s="14">
        <v>0</v>
      </c>
      <c r="J217" s="69">
        <v>54739.729399999997</v>
      </c>
      <c r="K217">
        <f t="shared" si="3"/>
        <v>1</v>
      </c>
      <c r="L217" s="14">
        <v>1</v>
      </c>
      <c r="M217" s="14">
        <v>0</v>
      </c>
      <c r="N217" s="14">
        <v>0</v>
      </c>
      <c r="O217" s="69">
        <v>616.92999999999995</v>
      </c>
      <c r="P217" s="226">
        <f>VLOOKUP(Table323[[#This Row],[Census Tract]],'Population and Diversity Data'!$B$2:$K$823,10,FALSE)</f>
        <v>2</v>
      </c>
      <c r="Q217" s="226" t="str">
        <f>VLOOKUP(Table323[[#This Row],[Census Tract]],'ES Energy Burden'!$B$2:$E$914,4,FALSE)</f>
        <v>No</v>
      </c>
      <c r="R217" s="248">
        <f>VLOOKUP(Table323[[#This Row],[Census Tract]],'Income and Housing Data'!$B$2:$D$823,3,FALSE)</f>
        <v>89261</v>
      </c>
      <c r="S217" s="248" t="str">
        <f>IF($U$6&lt;=Table323[[#This Row],[Household income]],IF(Table323[[#This Row],[Household income]]&lt;=$U$7, "Yes","No"),"No")</f>
        <v>No</v>
      </c>
    </row>
    <row r="218" spans="1:19" x14ac:dyDescent="0.25">
      <c r="A218" s="147">
        <v>9007670100</v>
      </c>
      <c r="B218" s="148" t="s">
        <v>2766</v>
      </c>
      <c r="C218" s="150" t="s">
        <v>944</v>
      </c>
      <c r="D218" s="70">
        <v>449.22824639999999</v>
      </c>
      <c r="E218" s="70">
        <v>0</v>
      </c>
      <c r="F218" s="14">
        <v>0</v>
      </c>
      <c r="G218" s="14">
        <v>0</v>
      </c>
      <c r="H218" s="14">
        <v>0</v>
      </c>
      <c r="I218" s="14">
        <v>0</v>
      </c>
      <c r="J218" s="69">
        <v>0</v>
      </c>
      <c r="K218">
        <f t="shared" si="3"/>
        <v>0</v>
      </c>
      <c r="L218" s="14">
        <v>0</v>
      </c>
      <c r="M218" s="14">
        <v>0</v>
      </c>
      <c r="N218" s="14">
        <v>0</v>
      </c>
      <c r="O218" s="69">
        <v>0</v>
      </c>
      <c r="P218" s="226">
        <f>VLOOKUP(Table323[[#This Row],[Census Tract]],'Population and Diversity Data'!$B$2:$K$823,10,FALSE)</f>
        <v>2</v>
      </c>
      <c r="Q218" s="226" t="str">
        <f>VLOOKUP(Table323[[#This Row],[Census Tract]],'ES Energy Burden'!$B$2:$E$914,4,FALSE)</f>
        <v>No</v>
      </c>
      <c r="R218" s="248">
        <f>VLOOKUP(Table323[[#This Row],[Census Tract]],'Income and Housing Data'!$B$2:$D$823,3,FALSE)</f>
        <v>99779</v>
      </c>
      <c r="S218" s="248" t="str">
        <f>IF($U$6&lt;=Table323[[#This Row],[Household income]],IF(Table323[[#This Row],[Household income]]&lt;=$U$7, "Yes","No"),"No")</f>
        <v>No</v>
      </c>
    </row>
    <row r="219" spans="1:19" x14ac:dyDescent="0.25">
      <c r="A219" s="147">
        <v>9003406002</v>
      </c>
      <c r="B219" s="148" t="s">
        <v>2767</v>
      </c>
      <c r="C219" s="150" t="s">
        <v>944</v>
      </c>
      <c r="D219" s="70">
        <v>1028.8434240000001</v>
      </c>
      <c r="E219" s="70">
        <v>0</v>
      </c>
      <c r="F219" s="14">
        <v>0</v>
      </c>
      <c r="G219" s="14">
        <v>0</v>
      </c>
      <c r="H219" s="14">
        <v>0</v>
      </c>
      <c r="I219" s="14">
        <v>0</v>
      </c>
      <c r="J219" s="69">
        <v>0</v>
      </c>
      <c r="K219">
        <f t="shared" si="3"/>
        <v>0</v>
      </c>
      <c r="L219" s="14">
        <v>0</v>
      </c>
      <c r="M219" s="14">
        <v>0</v>
      </c>
      <c r="N219" s="14">
        <v>0</v>
      </c>
      <c r="O219" s="69">
        <v>0</v>
      </c>
      <c r="P219" s="226">
        <f>VLOOKUP(Table323[[#This Row],[Census Tract]],'Population and Diversity Data'!$B$2:$K$823,10,FALSE)</f>
        <v>2</v>
      </c>
      <c r="Q219" s="226" t="str">
        <f>VLOOKUP(Table323[[#This Row],[Census Tract]],'ES Energy Burden'!$B$2:$E$914,4,FALSE)</f>
        <v>No</v>
      </c>
      <c r="R219" s="248">
        <f>VLOOKUP(Table323[[#This Row],[Census Tract]],'Income and Housing Data'!$B$2:$D$823,3,FALSE)</f>
        <v>82702</v>
      </c>
      <c r="S219" s="248" t="str">
        <f>IF($U$6&lt;=Table323[[#This Row],[Household income]],IF(Table323[[#This Row],[Household income]]&lt;=$U$7, "Yes","No"),"No")</f>
        <v>No</v>
      </c>
    </row>
    <row r="220" spans="1:19" x14ac:dyDescent="0.25">
      <c r="A220" s="147">
        <v>9003410101</v>
      </c>
      <c r="B220" s="148" t="s">
        <v>2767</v>
      </c>
      <c r="C220" s="150" t="s">
        <v>944</v>
      </c>
      <c r="D220" s="70">
        <v>170.59593599999999</v>
      </c>
      <c r="E220" s="70">
        <v>0</v>
      </c>
      <c r="F220" s="14">
        <v>0</v>
      </c>
      <c r="G220" s="14">
        <v>0</v>
      </c>
      <c r="H220" s="14">
        <v>0</v>
      </c>
      <c r="I220" s="14">
        <v>0</v>
      </c>
      <c r="J220" s="69">
        <v>0</v>
      </c>
      <c r="K220">
        <f t="shared" si="3"/>
        <v>0</v>
      </c>
      <c r="L220" s="14">
        <v>0</v>
      </c>
      <c r="M220" s="14">
        <v>0</v>
      </c>
      <c r="N220" s="14">
        <v>0</v>
      </c>
      <c r="O220" s="69">
        <v>0</v>
      </c>
      <c r="P220" s="226">
        <f>VLOOKUP(Table323[[#This Row],[Census Tract]],'Population and Diversity Data'!$B$2:$K$823,10,FALSE)</f>
        <v>1</v>
      </c>
      <c r="Q220" s="226" t="str">
        <f>VLOOKUP(Table323[[#This Row],[Census Tract]],'ES Energy Burden'!$B$2:$E$914,4,FALSE)</f>
        <v>No</v>
      </c>
      <c r="R220" s="248">
        <f>VLOOKUP(Table323[[#This Row],[Census Tract]],'Income and Housing Data'!$B$2:$D$823,3,FALSE)</f>
        <v>117401</v>
      </c>
      <c r="S220" s="248" t="str">
        <f>IF($U$6&lt;=Table323[[#This Row],[Household income]],IF(Table323[[#This Row],[Household income]]&lt;=$U$7, "Yes","No"),"No")</f>
        <v>No</v>
      </c>
    </row>
    <row r="221" spans="1:19" x14ac:dyDescent="0.25">
      <c r="A221" s="147">
        <v>9003410102</v>
      </c>
      <c r="B221" s="148" t="s">
        <v>2767</v>
      </c>
      <c r="C221" s="150" t="s">
        <v>944</v>
      </c>
      <c r="D221" s="70">
        <v>37.430380799999995</v>
      </c>
      <c r="E221" s="70">
        <v>361.58</v>
      </c>
      <c r="F221" s="14">
        <v>0</v>
      </c>
      <c r="G221" s="14">
        <v>0</v>
      </c>
      <c r="H221" s="14">
        <v>0</v>
      </c>
      <c r="I221" s="14">
        <v>0</v>
      </c>
      <c r="J221" s="69">
        <v>0</v>
      </c>
      <c r="K221">
        <f t="shared" si="3"/>
        <v>0</v>
      </c>
      <c r="L221" s="14">
        <v>0</v>
      </c>
      <c r="M221" s="14">
        <v>0</v>
      </c>
      <c r="N221" s="14">
        <v>0</v>
      </c>
      <c r="O221" s="69">
        <v>0</v>
      </c>
      <c r="P221" s="226">
        <f>VLOOKUP(Table323[[#This Row],[Census Tract]],'Population and Diversity Data'!$B$2:$K$823,10,FALSE)</f>
        <v>2</v>
      </c>
      <c r="Q221" s="226" t="str">
        <f>VLOOKUP(Table323[[#This Row],[Census Tract]],'ES Energy Burden'!$B$2:$E$914,4,FALSE)</f>
        <v>No</v>
      </c>
      <c r="R221" s="248">
        <f>VLOOKUP(Table323[[#This Row],[Census Tract]],'Income and Housing Data'!$B$2:$D$823,3,FALSE)</f>
        <v>136719</v>
      </c>
      <c r="S221" s="248" t="str">
        <f>IF($U$6&lt;=Table323[[#This Row],[Household income]],IF(Table323[[#This Row],[Household income]]&lt;=$U$7, "Yes","No"),"No")</f>
        <v>No</v>
      </c>
    </row>
    <row r="222" spans="1:19" x14ac:dyDescent="0.25">
      <c r="A222" s="147">
        <v>9003420600</v>
      </c>
      <c r="B222" s="148" t="s">
        <v>2767</v>
      </c>
      <c r="C222" s="150" t="s">
        <v>944</v>
      </c>
      <c r="D222" s="70">
        <v>1096.0629696000001</v>
      </c>
      <c r="E222" s="70">
        <v>1548.06</v>
      </c>
      <c r="F222" s="14">
        <v>0</v>
      </c>
      <c r="G222" s="14">
        <v>0</v>
      </c>
      <c r="H222" s="14">
        <v>0</v>
      </c>
      <c r="I222" s="14">
        <v>0</v>
      </c>
      <c r="J222" s="69">
        <v>0</v>
      </c>
      <c r="K222">
        <f t="shared" si="3"/>
        <v>0</v>
      </c>
      <c r="L222" s="14">
        <v>0</v>
      </c>
      <c r="M222" s="14">
        <v>0</v>
      </c>
      <c r="N222" s="14">
        <v>0</v>
      </c>
      <c r="O222" s="69">
        <v>0</v>
      </c>
      <c r="P222" s="226">
        <f>VLOOKUP(Table323[[#This Row],[Census Tract]],'Population and Diversity Data'!$B$2:$K$823,10,FALSE)</f>
        <v>3</v>
      </c>
      <c r="Q222" s="226" t="str">
        <f>VLOOKUP(Table323[[#This Row],[Census Tract]],'ES Energy Burden'!$B$2:$E$914,4,FALSE)</f>
        <v>No</v>
      </c>
      <c r="R222" s="248">
        <f>VLOOKUP(Table323[[#This Row],[Census Tract]],'Income and Housing Data'!$B$2:$D$823,3,FALSE)</f>
        <v>71316</v>
      </c>
      <c r="S222" s="248" t="str">
        <f>IF($U$6&lt;=Table323[[#This Row],[Household income]],IF(Table323[[#This Row],[Household income]]&lt;=$U$7, "Yes","No"),"No")</f>
        <v>No</v>
      </c>
    </row>
    <row r="223" spans="1:19" x14ac:dyDescent="0.25">
      <c r="A223" s="147">
        <v>9003460100</v>
      </c>
      <c r="B223" s="148" t="s">
        <v>2767</v>
      </c>
      <c r="C223" s="150" t="s">
        <v>944</v>
      </c>
      <c r="D223" s="70">
        <v>58080.654737279998</v>
      </c>
      <c r="E223" s="70">
        <v>4140.0200000000004</v>
      </c>
      <c r="F223" s="14">
        <v>8</v>
      </c>
      <c r="G223" s="14">
        <v>8</v>
      </c>
      <c r="H223" s="14">
        <v>0</v>
      </c>
      <c r="I223" s="14">
        <v>0</v>
      </c>
      <c r="J223" s="69">
        <v>4038.66</v>
      </c>
      <c r="K223">
        <f t="shared" si="3"/>
        <v>0</v>
      </c>
      <c r="L223" s="14">
        <v>0</v>
      </c>
      <c r="M223" s="14">
        <v>0</v>
      </c>
      <c r="N223" s="14">
        <v>0</v>
      </c>
      <c r="O223" s="69">
        <v>0</v>
      </c>
      <c r="P223" s="226">
        <f>VLOOKUP(Table323[[#This Row],[Census Tract]],'Population and Diversity Data'!$B$2:$K$823,10,FALSE)</f>
        <v>3</v>
      </c>
      <c r="Q223" s="226" t="str">
        <f>VLOOKUP(Table323[[#This Row],[Census Tract]],'ES Energy Burden'!$B$2:$E$914,4,FALSE)</f>
        <v>No</v>
      </c>
      <c r="R223" s="248">
        <f>VLOOKUP(Table323[[#This Row],[Census Tract]],'Income and Housing Data'!$B$2:$D$823,3,FALSE)</f>
        <v>94872</v>
      </c>
      <c r="S223" s="248" t="str">
        <f>IF($U$6&lt;=Table323[[#This Row],[Household income]],IF(Table323[[#This Row],[Household income]]&lt;=$U$7, "Yes","No"),"No")</f>
        <v>No</v>
      </c>
    </row>
    <row r="224" spans="1:19" x14ac:dyDescent="0.25">
      <c r="A224" s="147">
        <v>9003460202</v>
      </c>
      <c r="B224" s="148" t="s">
        <v>2767</v>
      </c>
      <c r="C224" s="150" t="s">
        <v>944</v>
      </c>
      <c r="D224" s="70">
        <v>92611.060343999998</v>
      </c>
      <c r="E224" s="70">
        <v>17059.78</v>
      </c>
      <c r="F224" s="14">
        <v>13</v>
      </c>
      <c r="G224" s="14">
        <v>13</v>
      </c>
      <c r="H224" s="14">
        <v>0</v>
      </c>
      <c r="I224" s="14">
        <v>0</v>
      </c>
      <c r="J224" s="69">
        <v>9938.07</v>
      </c>
      <c r="K224">
        <f t="shared" si="3"/>
        <v>0</v>
      </c>
      <c r="L224" s="14">
        <v>0</v>
      </c>
      <c r="M224" s="14">
        <v>0</v>
      </c>
      <c r="N224" s="14">
        <v>0</v>
      </c>
      <c r="O224" s="69">
        <v>0</v>
      </c>
      <c r="P224" s="226">
        <f>VLOOKUP(Table323[[#This Row],[Census Tract]],'Population and Diversity Data'!$B$2:$K$823,10,FALSE)</f>
        <v>4</v>
      </c>
      <c r="Q224" s="226" t="str">
        <f>VLOOKUP(Table323[[#This Row],[Census Tract]],'ES Energy Burden'!$B$2:$E$914,4,FALSE)</f>
        <v>No</v>
      </c>
      <c r="R224" s="248">
        <f>VLOOKUP(Table323[[#This Row],[Census Tract]],'Income and Housing Data'!$B$2:$D$823,3,FALSE)</f>
        <v>102688</v>
      </c>
      <c r="S224" s="248" t="str">
        <f>IF($U$6&lt;=Table323[[#This Row],[Household income]],IF(Table323[[#This Row],[Household income]]&lt;=$U$7, "Yes","No"),"No")</f>
        <v>No</v>
      </c>
    </row>
    <row r="225" spans="1:19" x14ac:dyDescent="0.25">
      <c r="A225" s="147">
        <v>9003460203</v>
      </c>
      <c r="B225" s="148" t="s">
        <v>2767</v>
      </c>
      <c r="C225" s="150" t="s">
        <v>944</v>
      </c>
      <c r="D225" s="70">
        <v>101695.72983264001</v>
      </c>
      <c r="E225" s="70">
        <v>21242.799999999999</v>
      </c>
      <c r="F225" s="14">
        <v>18</v>
      </c>
      <c r="G225" s="14">
        <v>18</v>
      </c>
      <c r="H225" s="14">
        <v>0</v>
      </c>
      <c r="I225" s="14">
        <v>0</v>
      </c>
      <c r="J225" s="69">
        <v>15071.28</v>
      </c>
      <c r="K225">
        <f t="shared" si="3"/>
        <v>0</v>
      </c>
      <c r="L225" s="14">
        <v>0</v>
      </c>
      <c r="M225" s="14">
        <v>0</v>
      </c>
      <c r="N225" s="14">
        <v>0</v>
      </c>
      <c r="O225" s="69">
        <v>0</v>
      </c>
      <c r="P225" s="226">
        <f>VLOOKUP(Table323[[#This Row],[Census Tract]],'Population and Diversity Data'!$B$2:$K$823,10,FALSE)</f>
        <v>5</v>
      </c>
      <c r="Q225" s="226" t="str">
        <f>VLOOKUP(Table323[[#This Row],[Census Tract]],'ES Energy Burden'!$B$2:$E$914,4,FALSE)</f>
        <v>No</v>
      </c>
      <c r="R225" s="248">
        <f>VLOOKUP(Table323[[#This Row],[Census Tract]],'Income and Housing Data'!$B$2:$D$823,3,FALSE)</f>
        <v>79954</v>
      </c>
      <c r="S225" s="248" t="str">
        <f>IF($U$6&lt;=Table323[[#This Row],[Household income]],IF(Table323[[#This Row],[Household income]]&lt;=$U$7, "Yes","No"),"No")</f>
        <v>No</v>
      </c>
    </row>
    <row r="226" spans="1:19" x14ac:dyDescent="0.25">
      <c r="A226" s="147">
        <v>9003460204</v>
      </c>
      <c r="B226" s="148" t="s">
        <v>2767</v>
      </c>
      <c r="C226" s="150" t="s">
        <v>944</v>
      </c>
      <c r="D226" s="70">
        <v>122782.09375584</v>
      </c>
      <c r="E226" s="70">
        <v>95321.2546</v>
      </c>
      <c r="F226" s="14">
        <v>82</v>
      </c>
      <c r="G226" s="14">
        <v>31</v>
      </c>
      <c r="H226" s="14">
        <v>1</v>
      </c>
      <c r="I226" s="14">
        <v>50</v>
      </c>
      <c r="J226" s="69">
        <v>19944.762299999999</v>
      </c>
      <c r="K226">
        <f t="shared" si="3"/>
        <v>16</v>
      </c>
      <c r="L226" s="14">
        <v>16</v>
      </c>
      <c r="M226" s="14">
        <v>0</v>
      </c>
      <c r="N226" s="14">
        <v>0</v>
      </c>
      <c r="O226" s="69">
        <v>7702.87</v>
      </c>
      <c r="P226" s="226">
        <f>VLOOKUP(Table323[[#This Row],[Census Tract]],'Population and Diversity Data'!$B$2:$K$823,10,FALSE)</f>
        <v>4</v>
      </c>
      <c r="Q226" s="226" t="str">
        <f>VLOOKUP(Table323[[#This Row],[Census Tract]],'ES Energy Burden'!$B$2:$E$914,4,FALSE)</f>
        <v>No</v>
      </c>
      <c r="R226" s="248">
        <f>VLOOKUP(Table323[[#This Row],[Census Tract]],'Income and Housing Data'!$B$2:$D$823,3,FALSE)</f>
        <v>75074</v>
      </c>
      <c r="S226" s="248" t="str">
        <f>IF($U$6&lt;=Table323[[#This Row],[Household income]],IF(Table323[[#This Row],[Household income]]&lt;=$U$7, "Yes","No"),"No")</f>
        <v>No</v>
      </c>
    </row>
    <row r="227" spans="1:19" x14ac:dyDescent="0.25">
      <c r="A227" s="147">
        <v>9003460301</v>
      </c>
      <c r="B227" s="148" t="s">
        <v>2767</v>
      </c>
      <c r="C227" s="150" t="s">
        <v>944</v>
      </c>
      <c r="D227" s="70">
        <v>85855.085585280001</v>
      </c>
      <c r="E227" s="70">
        <v>15872.5816</v>
      </c>
      <c r="F227" s="14">
        <v>23</v>
      </c>
      <c r="G227" s="14">
        <v>23</v>
      </c>
      <c r="H227" s="14">
        <v>0</v>
      </c>
      <c r="I227" s="14">
        <v>0</v>
      </c>
      <c r="J227" s="69">
        <v>15314.981599999999</v>
      </c>
      <c r="K227">
        <f t="shared" si="3"/>
        <v>0</v>
      </c>
      <c r="L227" s="14">
        <v>0</v>
      </c>
      <c r="M227" s="14">
        <v>0</v>
      </c>
      <c r="N227" s="14">
        <v>0</v>
      </c>
      <c r="O227" s="69">
        <v>0</v>
      </c>
      <c r="P227" s="226">
        <f>VLOOKUP(Table323[[#This Row],[Census Tract]],'Population and Diversity Data'!$B$2:$K$823,10,FALSE)</f>
        <v>3</v>
      </c>
      <c r="Q227" s="226" t="str">
        <f>VLOOKUP(Table323[[#This Row],[Census Tract]],'ES Energy Burden'!$B$2:$E$914,4,FALSE)</f>
        <v>No</v>
      </c>
      <c r="R227" s="248">
        <f>VLOOKUP(Table323[[#This Row],[Census Tract]],'Income and Housing Data'!$B$2:$D$823,3,FALSE)</f>
        <v>106782</v>
      </c>
      <c r="S227" s="248" t="str">
        <f>IF($U$6&lt;=Table323[[#This Row],[Household income]],IF(Table323[[#This Row],[Household income]]&lt;=$U$7, "Yes","No"),"No")</f>
        <v>No</v>
      </c>
    </row>
    <row r="228" spans="1:19" x14ac:dyDescent="0.25">
      <c r="A228" s="147">
        <v>9003460302</v>
      </c>
      <c r="B228" s="148" t="s">
        <v>2767</v>
      </c>
      <c r="C228" s="150" t="s">
        <v>944</v>
      </c>
      <c r="D228" s="70">
        <v>62555.017970879999</v>
      </c>
      <c r="E228" s="70">
        <v>11949.12</v>
      </c>
      <c r="F228" s="14">
        <v>7</v>
      </c>
      <c r="G228" s="14">
        <v>7</v>
      </c>
      <c r="H228" s="14">
        <v>0</v>
      </c>
      <c r="I228" s="14">
        <v>0</v>
      </c>
      <c r="J228" s="69">
        <v>6160.73</v>
      </c>
      <c r="K228">
        <f t="shared" si="3"/>
        <v>0</v>
      </c>
      <c r="L228" s="14">
        <v>0</v>
      </c>
      <c r="M228" s="14">
        <v>0</v>
      </c>
      <c r="N228" s="14">
        <v>0</v>
      </c>
      <c r="O228" s="69">
        <v>0</v>
      </c>
      <c r="P228" s="226">
        <f>VLOOKUP(Table323[[#This Row],[Census Tract]],'Population and Diversity Data'!$B$2:$K$823,10,FALSE)</f>
        <v>3</v>
      </c>
      <c r="Q228" s="226" t="str">
        <f>VLOOKUP(Table323[[#This Row],[Census Tract]],'ES Energy Burden'!$B$2:$E$914,4,FALSE)</f>
        <v>No</v>
      </c>
      <c r="R228" s="248">
        <f>VLOOKUP(Table323[[#This Row],[Census Tract]],'Income and Housing Data'!$B$2:$D$823,3,FALSE)</f>
        <v>90375</v>
      </c>
      <c r="S228" s="248" t="str">
        <f>IF($U$6&lt;=Table323[[#This Row],[Household income]],IF(Table323[[#This Row],[Household income]]&lt;=$U$7, "Yes","No"),"No")</f>
        <v>No</v>
      </c>
    </row>
    <row r="229" spans="1:19" x14ac:dyDescent="0.25">
      <c r="A229" s="147">
        <v>9003462101</v>
      </c>
      <c r="B229" s="148" t="s">
        <v>2767</v>
      </c>
      <c r="C229" s="150" t="s">
        <v>944</v>
      </c>
      <c r="D229" s="70">
        <v>634.86348480000004</v>
      </c>
      <c r="E229" s="70">
        <v>599.75</v>
      </c>
      <c r="F229" s="14">
        <v>0</v>
      </c>
      <c r="G229" s="14">
        <v>0</v>
      </c>
      <c r="H229" s="14">
        <v>0</v>
      </c>
      <c r="I229" s="14">
        <v>0</v>
      </c>
      <c r="J229" s="69">
        <v>0</v>
      </c>
      <c r="K229">
        <f t="shared" si="3"/>
        <v>0</v>
      </c>
      <c r="L229" s="14">
        <v>0</v>
      </c>
      <c r="M229" s="14">
        <v>0</v>
      </c>
      <c r="N229" s="14">
        <v>0</v>
      </c>
      <c r="O229" s="69">
        <v>0</v>
      </c>
      <c r="P229" s="226">
        <f>VLOOKUP(Table323[[#This Row],[Census Tract]],'Population and Diversity Data'!$B$2:$K$823,10,FALSE)</f>
        <v>4</v>
      </c>
      <c r="Q229" s="226" t="str">
        <f>VLOOKUP(Table323[[#This Row],[Census Tract]],'ES Energy Burden'!$B$2:$E$914,4,FALSE)</f>
        <v>No</v>
      </c>
      <c r="R229" s="248">
        <f>VLOOKUP(Table323[[#This Row],[Census Tract]],'Income and Housing Data'!$B$2:$D$823,3,FALSE)</f>
        <v>128661</v>
      </c>
      <c r="S229" s="248" t="str">
        <f>IF($U$6&lt;=Table323[[#This Row],[Household income]],IF(Table323[[#This Row],[Household income]]&lt;=$U$7, "Yes","No"),"No")</f>
        <v>No</v>
      </c>
    </row>
    <row r="230" spans="1:19" x14ac:dyDescent="0.25">
      <c r="A230" s="147">
        <v>9003496200</v>
      </c>
      <c r="B230" s="148" t="s">
        <v>2767</v>
      </c>
      <c r="C230" s="150" t="s">
        <v>944</v>
      </c>
      <c r="D230" s="70">
        <v>5802.2531712</v>
      </c>
      <c r="E230" s="70">
        <v>61.31</v>
      </c>
      <c r="F230" s="14">
        <v>1</v>
      </c>
      <c r="G230" s="14">
        <v>1</v>
      </c>
      <c r="H230" s="14">
        <v>0</v>
      </c>
      <c r="I230" s="14">
        <v>0</v>
      </c>
      <c r="J230" s="69">
        <v>44.12</v>
      </c>
      <c r="K230">
        <f t="shared" si="3"/>
        <v>0</v>
      </c>
      <c r="L230" s="14">
        <v>0</v>
      </c>
      <c r="M230" s="14">
        <v>0</v>
      </c>
      <c r="N230" s="14">
        <v>0</v>
      </c>
      <c r="O230" s="69">
        <v>0</v>
      </c>
      <c r="P230" s="226">
        <f>VLOOKUP(Table323[[#This Row],[Census Tract]],'Population and Diversity Data'!$B$2:$K$823,10,FALSE)</f>
        <v>5</v>
      </c>
      <c r="Q230" s="226" t="str">
        <f>VLOOKUP(Table323[[#This Row],[Census Tract]],'ES Energy Burden'!$B$2:$E$914,4,FALSE)</f>
        <v>No</v>
      </c>
      <c r="R230" s="248">
        <f>VLOOKUP(Table323[[#This Row],[Census Tract]],'Income and Housing Data'!$B$2:$D$823,3,FALSE)</f>
        <v>75417</v>
      </c>
      <c r="S230" s="248" t="str">
        <f>IF($U$6&lt;=Table323[[#This Row],[Household income]],IF(Table323[[#This Row],[Household income]]&lt;=$U$7, "Yes","No"),"No")</f>
        <v>No</v>
      </c>
    </row>
    <row r="231" spans="1:19" x14ac:dyDescent="0.25">
      <c r="A231" s="147">
        <v>9011712100</v>
      </c>
      <c r="B231" s="148" t="s">
        <v>2768</v>
      </c>
      <c r="C231" s="150" t="s">
        <v>944</v>
      </c>
      <c r="D231" s="70">
        <v>40434.531238080002</v>
      </c>
      <c r="E231" s="70">
        <v>13070.7744</v>
      </c>
      <c r="F231" s="14">
        <v>6</v>
      </c>
      <c r="G231" s="14">
        <v>6</v>
      </c>
      <c r="H231" s="14">
        <v>0</v>
      </c>
      <c r="I231" s="14">
        <v>0</v>
      </c>
      <c r="J231" s="69">
        <v>3976.2844</v>
      </c>
      <c r="K231">
        <f t="shared" si="3"/>
        <v>4</v>
      </c>
      <c r="L231" s="14">
        <v>4</v>
      </c>
      <c r="M231" s="14">
        <v>0</v>
      </c>
      <c r="N231" s="14">
        <v>0</v>
      </c>
      <c r="O231" s="69">
        <v>2294.96</v>
      </c>
      <c r="P231" s="226">
        <f>VLOOKUP(Table323[[#This Row],[Census Tract]],'Population and Diversity Data'!$B$2:$K$823,10,FALSE)</f>
        <v>1</v>
      </c>
      <c r="Q231" s="226" t="str">
        <f>VLOOKUP(Table323[[#This Row],[Census Tract]],'ES Energy Burden'!$B$2:$E$914,4,FALSE)</f>
        <v>No</v>
      </c>
      <c r="R231" s="248">
        <f>VLOOKUP(Table323[[#This Row],[Census Tract]],'Income and Housing Data'!$B$2:$D$823,3,FALSE)</f>
        <v>96719</v>
      </c>
      <c r="S231" s="248" t="str">
        <f>IF($U$6&lt;=Table323[[#This Row],[Household income]],IF(Table323[[#This Row],[Household income]]&lt;=$U$7, "Yes","No"),"No")</f>
        <v>No</v>
      </c>
    </row>
    <row r="232" spans="1:19" x14ac:dyDescent="0.25">
      <c r="A232" s="147">
        <v>9011870100</v>
      </c>
      <c r="B232" s="148" t="s">
        <v>2768</v>
      </c>
      <c r="C232" s="150" t="s">
        <v>944</v>
      </c>
      <c r="D232" s="70">
        <v>49.980499199999997</v>
      </c>
      <c r="E232" s="70">
        <v>0</v>
      </c>
      <c r="F232" s="14">
        <v>0</v>
      </c>
      <c r="G232" s="14">
        <v>0</v>
      </c>
      <c r="H232" s="14">
        <v>0</v>
      </c>
      <c r="I232" s="14">
        <v>0</v>
      </c>
      <c r="J232" s="69">
        <v>0</v>
      </c>
      <c r="K232">
        <f t="shared" si="3"/>
        <v>0</v>
      </c>
      <c r="L232" s="14">
        <v>0</v>
      </c>
      <c r="M232" s="14">
        <v>0</v>
      </c>
      <c r="N232" s="14">
        <v>0</v>
      </c>
      <c r="O232" s="69">
        <v>0</v>
      </c>
      <c r="P232" s="226">
        <f>VLOOKUP(Table323[[#This Row],[Census Tract]],'Population and Diversity Data'!$B$2:$K$823,10,FALSE)</f>
        <v>1</v>
      </c>
      <c r="Q232" s="226" t="str">
        <f>VLOOKUP(Table323[[#This Row],[Census Tract]],'ES Energy Burden'!$B$2:$E$914,4,FALSE)</f>
        <v>No</v>
      </c>
      <c r="R232" s="248">
        <f>VLOOKUP(Table323[[#This Row],[Census Tract]],'Income and Housing Data'!$B$2:$D$823,3,FALSE)</f>
        <v>91684</v>
      </c>
      <c r="S232" s="248" t="str">
        <f>IF($U$6&lt;=Table323[[#This Row],[Household income]],IF(Table323[[#This Row],[Household income]]&lt;=$U$7, "Yes","No"),"No")</f>
        <v>No</v>
      </c>
    </row>
    <row r="233" spans="1:19" x14ac:dyDescent="0.25">
      <c r="A233" s="147">
        <v>9003510700</v>
      </c>
      <c r="B233" s="148" t="s">
        <v>2769</v>
      </c>
      <c r="C233" s="150" t="s">
        <v>944</v>
      </c>
      <c r="D233" s="70">
        <v>132.70245120000001</v>
      </c>
      <c r="E233" s="70">
        <v>0</v>
      </c>
      <c r="F233" s="14">
        <v>0</v>
      </c>
      <c r="G233" s="14">
        <v>0</v>
      </c>
      <c r="H233" s="14">
        <v>0</v>
      </c>
      <c r="I233" s="14">
        <v>0</v>
      </c>
      <c r="J233" s="69">
        <v>0</v>
      </c>
      <c r="K233">
        <f t="shared" si="3"/>
        <v>0</v>
      </c>
      <c r="L233" s="14">
        <v>0</v>
      </c>
      <c r="M233" s="14">
        <v>0</v>
      </c>
      <c r="N233" s="14">
        <v>0</v>
      </c>
      <c r="O233" s="69">
        <v>0</v>
      </c>
      <c r="P233" s="226">
        <f>VLOOKUP(Table323[[#This Row],[Census Tract]],'Population and Diversity Data'!$B$2:$K$823,10,FALSE)</f>
        <v>5</v>
      </c>
      <c r="Q233" s="226" t="str">
        <f>VLOOKUP(Table323[[#This Row],[Census Tract]],'ES Energy Burden'!$B$2:$E$914,4,FALSE)</f>
        <v>No</v>
      </c>
      <c r="R233" s="248">
        <f>VLOOKUP(Table323[[#This Row],[Census Tract]],'Income and Housing Data'!$B$2:$D$823,3,FALSE)</f>
        <v>58029</v>
      </c>
      <c r="S233" s="248" t="str">
        <f>IF($U$6&lt;=Table323[[#This Row],[Household income]],IF(Table323[[#This Row],[Household income]]&lt;=$U$7, "Yes","No"),"No")</f>
        <v>Yes</v>
      </c>
    </row>
    <row r="234" spans="1:19" x14ac:dyDescent="0.25">
      <c r="A234" s="147">
        <v>9003520100</v>
      </c>
      <c r="B234" s="148" t="s">
        <v>2769</v>
      </c>
      <c r="C234" s="150" t="s">
        <v>944</v>
      </c>
      <c r="D234" s="70">
        <v>99045.453948480019</v>
      </c>
      <c r="E234" s="70">
        <v>7809.0663999999997</v>
      </c>
      <c r="F234" s="14">
        <v>21</v>
      </c>
      <c r="G234" s="14">
        <v>21</v>
      </c>
      <c r="H234" s="14">
        <v>0</v>
      </c>
      <c r="I234" s="14">
        <v>0</v>
      </c>
      <c r="J234" s="69">
        <v>7805.7363999999998</v>
      </c>
      <c r="K234">
        <f t="shared" si="3"/>
        <v>0</v>
      </c>
      <c r="L234" s="14">
        <v>0</v>
      </c>
      <c r="M234" s="14">
        <v>0</v>
      </c>
      <c r="N234" s="14">
        <v>0</v>
      </c>
      <c r="O234" s="69">
        <v>0</v>
      </c>
      <c r="P234" s="226">
        <f>VLOOKUP(Table323[[#This Row],[Census Tract]],'Population and Diversity Data'!$B$2:$K$823,10,FALSE)</f>
        <v>4</v>
      </c>
      <c r="Q234" s="226" t="str">
        <f>VLOOKUP(Table323[[#This Row],[Census Tract]],'ES Energy Burden'!$B$2:$E$914,4,FALSE)</f>
        <v>No</v>
      </c>
      <c r="R234" s="248">
        <f>VLOOKUP(Table323[[#This Row],[Census Tract]],'Income and Housing Data'!$B$2:$D$823,3,FALSE)</f>
        <v>141914</v>
      </c>
      <c r="S234" s="248" t="str">
        <f>IF($U$6&lt;=Table323[[#This Row],[Household income]],IF(Table323[[#This Row],[Household income]]&lt;=$U$7, "Yes","No"),"No")</f>
        <v>No</v>
      </c>
    </row>
    <row r="235" spans="1:19" x14ac:dyDescent="0.25">
      <c r="A235" s="147">
        <v>9003520201</v>
      </c>
      <c r="B235" s="148" t="s">
        <v>2769</v>
      </c>
      <c r="C235" s="150" t="s">
        <v>944</v>
      </c>
      <c r="D235" s="70">
        <v>82572.919343999994</v>
      </c>
      <c r="E235" s="70">
        <v>23410.549800000001</v>
      </c>
      <c r="F235" s="14">
        <v>24</v>
      </c>
      <c r="G235" s="14">
        <v>24</v>
      </c>
      <c r="H235" s="14">
        <v>0</v>
      </c>
      <c r="I235" s="14">
        <v>0</v>
      </c>
      <c r="J235" s="69">
        <v>18444.519799999998</v>
      </c>
      <c r="K235">
        <f t="shared" si="3"/>
        <v>0</v>
      </c>
      <c r="L235" s="14">
        <v>0</v>
      </c>
      <c r="M235" s="14">
        <v>0</v>
      </c>
      <c r="N235" s="14">
        <v>0</v>
      </c>
      <c r="O235" s="69">
        <v>0</v>
      </c>
      <c r="P235" s="226">
        <f>VLOOKUP(Table323[[#This Row],[Census Tract]],'Population and Diversity Data'!$B$2:$K$823,10,FALSE)</f>
        <v>4</v>
      </c>
      <c r="Q235" s="226" t="str">
        <f>VLOOKUP(Table323[[#This Row],[Census Tract]],'ES Energy Burden'!$B$2:$E$914,4,FALSE)</f>
        <v>No</v>
      </c>
      <c r="R235" s="248">
        <f>VLOOKUP(Table323[[#This Row],[Census Tract]],'Income and Housing Data'!$B$2:$D$823,3,FALSE)</f>
        <v>168672</v>
      </c>
      <c r="S235" s="248" t="str">
        <f>IF($U$6&lt;=Table323[[#This Row],[Household income]],IF(Table323[[#This Row],[Household income]]&lt;=$U$7, "Yes","No"),"No")</f>
        <v>No</v>
      </c>
    </row>
    <row r="236" spans="1:19" x14ac:dyDescent="0.25">
      <c r="A236" s="147">
        <v>9003520202</v>
      </c>
      <c r="B236" s="148" t="s">
        <v>2769</v>
      </c>
      <c r="C236" s="150" t="s">
        <v>944</v>
      </c>
      <c r="D236" s="70">
        <v>92512.798358400003</v>
      </c>
      <c r="E236" s="70">
        <v>20573.626</v>
      </c>
      <c r="F236" s="14">
        <v>23</v>
      </c>
      <c r="G236" s="14">
        <v>23</v>
      </c>
      <c r="H236" s="14">
        <v>0</v>
      </c>
      <c r="I236" s="14">
        <v>0</v>
      </c>
      <c r="J236" s="69">
        <v>18457.076000000001</v>
      </c>
      <c r="K236">
        <f t="shared" si="3"/>
        <v>0</v>
      </c>
      <c r="L236" s="14">
        <v>0</v>
      </c>
      <c r="M236" s="14">
        <v>0</v>
      </c>
      <c r="N236" s="14">
        <v>0</v>
      </c>
      <c r="O236" s="69">
        <v>0</v>
      </c>
      <c r="P236" s="226">
        <f>VLOOKUP(Table323[[#This Row],[Census Tract]],'Population and Diversity Data'!$B$2:$K$823,10,FALSE)</f>
        <v>2</v>
      </c>
      <c r="Q236" s="226" t="str">
        <f>VLOOKUP(Table323[[#This Row],[Census Tract]],'ES Energy Burden'!$B$2:$E$914,4,FALSE)</f>
        <v>No</v>
      </c>
      <c r="R236" s="248">
        <f>VLOOKUP(Table323[[#This Row],[Census Tract]],'Income and Housing Data'!$B$2:$D$823,3,FALSE)</f>
        <v>153878</v>
      </c>
      <c r="S236" s="248" t="str">
        <f>IF($U$6&lt;=Table323[[#This Row],[Household income]],IF(Table323[[#This Row],[Household income]]&lt;=$U$7, "Yes","No"),"No")</f>
        <v>No</v>
      </c>
    </row>
    <row r="237" spans="1:19" x14ac:dyDescent="0.25">
      <c r="A237" s="147">
        <v>9003520301</v>
      </c>
      <c r="B237" s="148" t="s">
        <v>2769</v>
      </c>
      <c r="C237" s="150" t="s">
        <v>944</v>
      </c>
      <c r="D237" s="70">
        <v>90718.103640960006</v>
      </c>
      <c r="E237" s="70">
        <v>19678.828099999999</v>
      </c>
      <c r="F237" s="14">
        <v>18</v>
      </c>
      <c r="G237" s="14">
        <v>18</v>
      </c>
      <c r="H237" s="14">
        <v>0</v>
      </c>
      <c r="I237" s="14">
        <v>0</v>
      </c>
      <c r="J237" s="69">
        <v>8975.1381000000001</v>
      </c>
      <c r="K237">
        <f t="shared" si="3"/>
        <v>0</v>
      </c>
      <c r="L237" s="14">
        <v>0</v>
      </c>
      <c r="M237" s="14">
        <v>0</v>
      </c>
      <c r="N237" s="14">
        <v>0</v>
      </c>
      <c r="O237" s="69">
        <v>0</v>
      </c>
      <c r="P237" s="226">
        <f>VLOOKUP(Table323[[#This Row],[Census Tract]],'Population and Diversity Data'!$B$2:$K$823,10,FALSE)</f>
        <v>4</v>
      </c>
      <c r="Q237" s="226" t="str">
        <f>VLOOKUP(Table323[[#This Row],[Census Tract]],'ES Energy Burden'!$B$2:$E$914,4,FALSE)</f>
        <v>No</v>
      </c>
      <c r="R237" s="248">
        <f>VLOOKUP(Table323[[#This Row],[Census Tract]],'Income and Housing Data'!$B$2:$D$823,3,FALSE)</f>
        <v>87500</v>
      </c>
      <c r="S237" s="248" t="str">
        <f>IF($U$6&lt;=Table323[[#This Row],[Household income]],IF(Table323[[#This Row],[Household income]]&lt;=$U$7, "Yes","No"),"No")</f>
        <v>No</v>
      </c>
    </row>
    <row r="238" spans="1:19" x14ac:dyDescent="0.25">
      <c r="A238" s="147">
        <v>9003520302</v>
      </c>
      <c r="B238" s="148" t="s">
        <v>2769</v>
      </c>
      <c r="C238" s="150" t="s">
        <v>944</v>
      </c>
      <c r="D238" s="70">
        <v>57957.166319040007</v>
      </c>
      <c r="E238" s="70">
        <v>28100.66</v>
      </c>
      <c r="F238" s="14">
        <v>11</v>
      </c>
      <c r="G238" s="14">
        <v>11</v>
      </c>
      <c r="H238" s="14">
        <v>0</v>
      </c>
      <c r="I238" s="14">
        <v>0</v>
      </c>
      <c r="J238" s="69">
        <v>3321.14</v>
      </c>
      <c r="K238">
        <f t="shared" si="3"/>
        <v>0</v>
      </c>
      <c r="L238" s="14">
        <v>0</v>
      </c>
      <c r="M238" s="14">
        <v>0</v>
      </c>
      <c r="N238" s="14">
        <v>0</v>
      </c>
      <c r="O238" s="69">
        <v>0</v>
      </c>
      <c r="P238" s="226">
        <f>VLOOKUP(Table323[[#This Row],[Census Tract]],'Population and Diversity Data'!$B$2:$K$823,10,FALSE)</f>
        <v>5</v>
      </c>
      <c r="Q238" s="226" t="str">
        <f>VLOOKUP(Table323[[#This Row],[Census Tract]],'ES Energy Burden'!$B$2:$E$914,4,FALSE)</f>
        <v>No</v>
      </c>
      <c r="R238" s="248">
        <f>VLOOKUP(Table323[[#This Row],[Census Tract]],'Income and Housing Data'!$B$2:$D$823,3,FALSE)</f>
        <v>63821</v>
      </c>
      <c r="S238" s="248" t="str">
        <f>IF($U$6&lt;=Table323[[#This Row],[Household income]],IF(Table323[[#This Row],[Household income]]&lt;=$U$7, "Yes","No"),"No")</f>
        <v>Yes</v>
      </c>
    </row>
    <row r="239" spans="1:19" x14ac:dyDescent="0.25">
      <c r="A239" s="147">
        <v>9003520400</v>
      </c>
      <c r="B239" s="148" t="s">
        <v>2769</v>
      </c>
      <c r="C239" s="150" t="s">
        <v>944</v>
      </c>
      <c r="D239" s="70">
        <v>167362.3354752</v>
      </c>
      <c r="E239" s="70">
        <v>366228.74699999997</v>
      </c>
      <c r="F239" s="14">
        <v>42</v>
      </c>
      <c r="G239" s="14">
        <v>38</v>
      </c>
      <c r="H239" s="14">
        <v>0</v>
      </c>
      <c r="I239" s="14">
        <v>4</v>
      </c>
      <c r="J239" s="69">
        <v>23621.1</v>
      </c>
      <c r="K239">
        <f t="shared" si="3"/>
        <v>18</v>
      </c>
      <c r="L239" s="14">
        <v>18</v>
      </c>
      <c r="M239" s="14">
        <v>0</v>
      </c>
      <c r="N239" s="14">
        <v>0</v>
      </c>
      <c r="O239" s="69">
        <v>50221.2</v>
      </c>
      <c r="P239" s="226">
        <f>VLOOKUP(Table323[[#This Row],[Census Tract]],'Population and Diversity Data'!$B$2:$K$823,10,FALSE)</f>
        <v>3</v>
      </c>
      <c r="Q239" s="226" t="str">
        <f>VLOOKUP(Table323[[#This Row],[Census Tract]],'ES Energy Burden'!$B$2:$E$914,4,FALSE)</f>
        <v>No</v>
      </c>
      <c r="R239" s="248">
        <f>VLOOKUP(Table323[[#This Row],[Census Tract]],'Income and Housing Data'!$B$2:$D$823,3,FALSE)</f>
        <v>123480</v>
      </c>
      <c r="S239" s="248" t="str">
        <f>IF($U$6&lt;=Table323[[#This Row],[Household income]],IF(Table323[[#This Row],[Household income]]&lt;=$U$7, "Yes","No"),"No")</f>
        <v>No</v>
      </c>
    </row>
    <row r="240" spans="1:19" x14ac:dyDescent="0.25">
      <c r="A240" s="147">
        <v>9003520501</v>
      </c>
      <c r="B240" s="148" t="s">
        <v>2769</v>
      </c>
      <c r="C240" s="150" t="s">
        <v>944</v>
      </c>
      <c r="D240" s="70">
        <v>94824.764035200002</v>
      </c>
      <c r="E240" s="70">
        <v>16202.107099999999</v>
      </c>
      <c r="F240" s="14">
        <v>26</v>
      </c>
      <c r="G240" s="14">
        <v>26</v>
      </c>
      <c r="H240" s="14">
        <v>0</v>
      </c>
      <c r="I240" s="14">
        <v>0</v>
      </c>
      <c r="J240" s="69">
        <v>15916.107099999999</v>
      </c>
      <c r="K240">
        <f t="shared" si="3"/>
        <v>0</v>
      </c>
      <c r="L240" s="14">
        <v>0</v>
      </c>
      <c r="M240" s="14">
        <v>0</v>
      </c>
      <c r="N240" s="14">
        <v>0</v>
      </c>
      <c r="O240" s="69">
        <v>0</v>
      </c>
      <c r="P240" s="226">
        <f>VLOOKUP(Table323[[#This Row],[Census Tract]],'Population and Diversity Data'!$B$2:$K$823,10,FALSE)</f>
        <v>3</v>
      </c>
      <c r="Q240" s="226" t="str">
        <f>VLOOKUP(Table323[[#This Row],[Census Tract]],'ES Energy Burden'!$B$2:$E$914,4,FALSE)</f>
        <v>No</v>
      </c>
      <c r="R240" s="248">
        <f>VLOOKUP(Table323[[#This Row],[Census Tract]],'Income and Housing Data'!$B$2:$D$823,3,FALSE)</f>
        <v>174375</v>
      </c>
      <c r="S240" s="248" t="str">
        <f>IF($U$6&lt;=Table323[[#This Row],[Household income]],IF(Table323[[#This Row],[Household income]]&lt;=$U$7, "Yes","No"),"No")</f>
        <v>No</v>
      </c>
    </row>
    <row r="241" spans="1:19" x14ac:dyDescent="0.25">
      <c r="A241" s="147">
        <v>9007560100</v>
      </c>
      <c r="B241" s="148" t="s">
        <v>2769</v>
      </c>
      <c r="C241" s="150" t="s">
        <v>944</v>
      </c>
      <c r="D241" s="70">
        <v>360.64802880000002</v>
      </c>
      <c r="E241" s="70">
        <v>0</v>
      </c>
      <c r="F241" s="14">
        <v>0</v>
      </c>
      <c r="G241" s="14">
        <v>0</v>
      </c>
      <c r="H241" s="14">
        <v>0</v>
      </c>
      <c r="I241" s="14">
        <v>0</v>
      </c>
      <c r="J241" s="69">
        <v>0</v>
      </c>
      <c r="K241">
        <f t="shared" si="3"/>
        <v>0</v>
      </c>
      <c r="L241" s="14">
        <v>0</v>
      </c>
      <c r="M241" s="14">
        <v>0</v>
      </c>
      <c r="N241" s="14">
        <v>0</v>
      </c>
      <c r="O241" s="69">
        <v>0</v>
      </c>
      <c r="P241" s="226">
        <f>VLOOKUP(Table323[[#This Row],[Census Tract]],'Population and Diversity Data'!$B$2:$K$823,10,FALSE)</f>
        <v>1</v>
      </c>
      <c r="Q241" s="226" t="str">
        <f>VLOOKUP(Table323[[#This Row],[Census Tract]],'ES Energy Burden'!$B$2:$E$914,4,FALSE)</f>
        <v>No</v>
      </c>
      <c r="R241" s="248">
        <f>VLOOKUP(Table323[[#This Row],[Census Tract]],'Income and Housing Data'!$B$2:$D$823,3,FALSE)</f>
        <v>117009</v>
      </c>
      <c r="S241" s="248" t="str">
        <f>IF($U$6&lt;=Table323[[#This Row],[Household income]],IF(Table323[[#This Row],[Household income]]&lt;=$U$7, "Yes","No"),"No")</f>
        <v>No</v>
      </c>
    </row>
    <row r="242" spans="1:19" x14ac:dyDescent="0.25">
      <c r="A242" s="147">
        <v>9005296100</v>
      </c>
      <c r="B242" s="148" t="s">
        <v>2770</v>
      </c>
      <c r="C242" s="150" t="s">
        <v>944</v>
      </c>
      <c r="D242" s="70">
        <v>87595.087141440003</v>
      </c>
      <c r="E242" s="70">
        <v>47056.84</v>
      </c>
      <c r="F242" s="14">
        <v>18</v>
      </c>
      <c r="G242" s="14">
        <v>18</v>
      </c>
      <c r="H242" s="14">
        <v>0</v>
      </c>
      <c r="I242" s="14">
        <v>0</v>
      </c>
      <c r="J242" s="69">
        <v>18904.59</v>
      </c>
      <c r="K242">
        <f t="shared" si="3"/>
        <v>6</v>
      </c>
      <c r="L242" s="14">
        <v>6</v>
      </c>
      <c r="M242" s="14">
        <v>0</v>
      </c>
      <c r="N242" s="14">
        <v>0</v>
      </c>
      <c r="O242" s="69">
        <v>25606.6</v>
      </c>
      <c r="P242" s="226">
        <f>VLOOKUP(Table323[[#This Row],[Census Tract]],'Population and Diversity Data'!$B$2:$K$823,10,FALSE)</f>
        <v>3</v>
      </c>
      <c r="Q242" s="226" t="str">
        <f>VLOOKUP(Table323[[#This Row],[Census Tract]],'ES Energy Burden'!$B$2:$E$914,4,FALSE)</f>
        <v>No</v>
      </c>
      <c r="R242" s="248">
        <f>VLOOKUP(Table323[[#This Row],[Census Tract]],'Income and Housing Data'!$B$2:$D$823,3,FALSE)</f>
        <v>109886</v>
      </c>
      <c r="S242" s="248" t="str">
        <f>IF($U$6&lt;=Table323[[#This Row],[Household income]],IF(Table323[[#This Row],[Household income]]&lt;=$U$7, "Yes","No"),"No")</f>
        <v>No</v>
      </c>
    </row>
    <row r="243" spans="1:19" x14ac:dyDescent="0.25">
      <c r="A243" s="147">
        <v>9003330100</v>
      </c>
      <c r="B243" s="148" t="s">
        <v>2771</v>
      </c>
      <c r="C243" s="150" t="s">
        <v>944</v>
      </c>
      <c r="D243" s="70">
        <v>47.225030400000001</v>
      </c>
      <c r="E243" s="70">
        <v>0</v>
      </c>
      <c r="F243" s="14">
        <v>0</v>
      </c>
      <c r="G243" s="14">
        <v>0</v>
      </c>
      <c r="H243" s="14">
        <v>0</v>
      </c>
      <c r="I243" s="14">
        <v>0</v>
      </c>
      <c r="J243" s="69">
        <v>0</v>
      </c>
      <c r="K243">
        <f t="shared" si="3"/>
        <v>0</v>
      </c>
      <c r="L243" s="14">
        <v>0</v>
      </c>
      <c r="M243" s="14">
        <v>0</v>
      </c>
      <c r="N243" s="14">
        <v>0</v>
      </c>
      <c r="O243" s="69">
        <v>0</v>
      </c>
      <c r="P243" s="226">
        <f>VLOOKUP(Table323[[#This Row],[Census Tract]],'Population and Diversity Data'!$B$2:$K$823,10,FALSE)</f>
        <v>3</v>
      </c>
      <c r="Q243" s="226" t="str">
        <f>VLOOKUP(Table323[[#This Row],[Census Tract]],'ES Energy Burden'!$B$2:$E$914,4,FALSE)</f>
        <v>No</v>
      </c>
      <c r="R243" s="248">
        <f>VLOOKUP(Table323[[#This Row],[Census Tract]],'Income and Housing Data'!$B$2:$D$823,3,FALSE)</f>
        <v>99722</v>
      </c>
      <c r="S243" s="248" t="str">
        <f>IF($U$6&lt;=Table323[[#This Row],[Household income]],IF(Table323[[#This Row],[Household income]]&lt;=$U$7, "Yes","No"),"No")</f>
        <v>No</v>
      </c>
    </row>
    <row r="244" spans="1:19" x14ac:dyDescent="0.25">
      <c r="A244" s="147">
        <v>9003468101</v>
      </c>
      <c r="B244" s="148" t="s">
        <v>2771</v>
      </c>
      <c r="C244" s="150" t="s">
        <v>944</v>
      </c>
      <c r="D244" s="70">
        <v>151167.66558624001</v>
      </c>
      <c r="E244" s="70">
        <v>101117.8395</v>
      </c>
      <c r="F244" s="14">
        <v>39</v>
      </c>
      <c r="G244" s="14">
        <v>39</v>
      </c>
      <c r="H244" s="14">
        <v>0</v>
      </c>
      <c r="I244" s="14">
        <v>0</v>
      </c>
      <c r="J244" s="69">
        <v>41744.5795</v>
      </c>
      <c r="K244">
        <f t="shared" si="3"/>
        <v>6</v>
      </c>
      <c r="L244" s="14">
        <v>6</v>
      </c>
      <c r="M244" s="14">
        <v>0</v>
      </c>
      <c r="N244" s="14">
        <v>0</v>
      </c>
      <c r="O244" s="69">
        <v>9359.9</v>
      </c>
      <c r="P244" s="226">
        <f>VLOOKUP(Table323[[#This Row],[Census Tract]],'Population and Diversity Data'!$B$2:$K$823,10,FALSE)</f>
        <v>1</v>
      </c>
      <c r="Q244" s="226" t="str">
        <f>VLOOKUP(Table323[[#This Row],[Census Tract]],'ES Energy Burden'!$B$2:$E$914,4,FALSE)</f>
        <v>No</v>
      </c>
      <c r="R244" s="248">
        <f>VLOOKUP(Table323[[#This Row],[Census Tract]],'Income and Housing Data'!$B$2:$D$823,3,FALSE)</f>
        <v>132740</v>
      </c>
      <c r="S244" s="248" t="str">
        <f>IF($U$6&lt;=Table323[[#This Row],[Household income]],IF(Table323[[#This Row],[Household income]]&lt;=$U$7, "Yes","No"),"No")</f>
        <v>No</v>
      </c>
    </row>
    <row r="245" spans="1:19" x14ac:dyDescent="0.25">
      <c r="A245" s="147">
        <v>9003468102</v>
      </c>
      <c r="B245" s="148" t="s">
        <v>2771</v>
      </c>
      <c r="C245" s="150" t="s">
        <v>944</v>
      </c>
      <c r="D245" s="70">
        <v>81261.084064320006</v>
      </c>
      <c r="E245" s="70">
        <v>23168.03</v>
      </c>
      <c r="F245" s="14">
        <v>20</v>
      </c>
      <c r="G245" s="14">
        <v>20</v>
      </c>
      <c r="H245" s="14">
        <v>0</v>
      </c>
      <c r="I245" s="14">
        <v>0</v>
      </c>
      <c r="J245" s="69">
        <v>23163.77</v>
      </c>
      <c r="K245">
        <f t="shared" si="3"/>
        <v>0</v>
      </c>
      <c r="L245" s="14">
        <v>0</v>
      </c>
      <c r="M245" s="14">
        <v>0</v>
      </c>
      <c r="N245" s="14">
        <v>0</v>
      </c>
      <c r="O245" s="69">
        <v>0</v>
      </c>
      <c r="P245" s="226">
        <f>VLOOKUP(Table323[[#This Row],[Census Tract]],'Population and Diversity Data'!$B$2:$K$823,10,FALSE)</f>
        <v>2</v>
      </c>
      <c r="Q245" s="226" t="str">
        <f>VLOOKUP(Table323[[#This Row],[Census Tract]],'ES Energy Burden'!$B$2:$E$914,4,FALSE)</f>
        <v>No</v>
      </c>
      <c r="R245" s="248">
        <f>VLOOKUP(Table323[[#This Row],[Census Tract]],'Income and Housing Data'!$B$2:$D$823,3,FALSE)</f>
        <v>105000</v>
      </c>
      <c r="S245" s="248" t="str">
        <f>IF($U$6&lt;=Table323[[#This Row],[Household income]],IF(Table323[[#This Row],[Household income]]&lt;=$U$7, "Yes","No"),"No")</f>
        <v>No</v>
      </c>
    </row>
    <row r="246" spans="1:19" x14ac:dyDescent="0.25">
      <c r="A246" s="147">
        <v>9003470100</v>
      </c>
      <c r="B246" s="148" t="s">
        <v>2771</v>
      </c>
      <c r="C246" s="150" t="s">
        <v>944</v>
      </c>
      <c r="D246" s="70">
        <v>761.58031679999999</v>
      </c>
      <c r="E246" s="70">
        <v>0</v>
      </c>
      <c r="F246" s="14">
        <v>0</v>
      </c>
      <c r="G246" s="14">
        <v>0</v>
      </c>
      <c r="H246" s="14">
        <v>0</v>
      </c>
      <c r="I246" s="14">
        <v>0</v>
      </c>
      <c r="J246" s="69">
        <v>0</v>
      </c>
      <c r="K246">
        <f t="shared" si="3"/>
        <v>0</v>
      </c>
      <c r="L246" s="14">
        <v>0</v>
      </c>
      <c r="M246" s="14">
        <v>0</v>
      </c>
      <c r="N246" s="14">
        <v>0</v>
      </c>
      <c r="O246" s="69">
        <v>0</v>
      </c>
      <c r="P246" s="226">
        <f>VLOOKUP(Table323[[#This Row],[Census Tract]],'Population and Diversity Data'!$B$2:$K$823,10,FALSE)</f>
        <v>3</v>
      </c>
      <c r="Q246" s="226" t="str">
        <f>VLOOKUP(Table323[[#This Row],[Census Tract]],'ES Energy Burden'!$B$2:$E$914,4,FALSE)</f>
        <v>No</v>
      </c>
      <c r="R246" s="248">
        <f>VLOOKUP(Table323[[#This Row],[Census Tract]],'Income and Housing Data'!$B$2:$D$823,3,FALSE)</f>
        <v>104336</v>
      </c>
      <c r="S246" s="248" t="str">
        <f>IF($U$6&lt;=Table323[[#This Row],[Household income]],IF(Table323[[#This Row],[Household income]]&lt;=$U$7, "Yes","No"),"No")</f>
        <v>No</v>
      </c>
    </row>
    <row r="247" spans="1:19" x14ac:dyDescent="0.25">
      <c r="A247" s="147">
        <v>9001010101</v>
      </c>
      <c r="B247" s="148" t="s">
        <v>2772</v>
      </c>
      <c r="C247" s="150" t="s">
        <v>944</v>
      </c>
      <c r="D247" s="70">
        <v>240328.44483264</v>
      </c>
      <c r="E247" s="70">
        <v>21123.27</v>
      </c>
      <c r="F247" s="14">
        <v>13</v>
      </c>
      <c r="G247" s="14">
        <v>13</v>
      </c>
      <c r="H247" s="14">
        <v>0</v>
      </c>
      <c r="I247" s="14">
        <v>0</v>
      </c>
      <c r="J247" s="69">
        <v>21119.75</v>
      </c>
      <c r="K247">
        <f t="shared" si="3"/>
        <v>0</v>
      </c>
      <c r="L247" s="14">
        <v>0</v>
      </c>
      <c r="M247" s="14">
        <v>0</v>
      </c>
      <c r="N247" s="14">
        <v>0</v>
      </c>
      <c r="O247" s="69">
        <v>0</v>
      </c>
      <c r="P247" s="226">
        <f>VLOOKUP(Table323[[#This Row],[Census Tract]],'Population and Diversity Data'!$B$2:$K$823,10,FALSE)</f>
        <v>2</v>
      </c>
      <c r="Q247" s="226" t="str">
        <f>VLOOKUP(Table323[[#This Row],[Census Tract]],'ES Energy Burden'!$B$2:$E$914,4,FALSE)</f>
        <v>No</v>
      </c>
      <c r="R247" s="248">
        <f>VLOOKUP(Table323[[#This Row],[Census Tract]],'Income and Housing Data'!$B$2:$D$823,3,FALSE)</f>
        <v>176875</v>
      </c>
      <c r="S247" s="248" t="str">
        <f>IF($U$6&lt;=Table323[[#This Row],[Household income]],IF(Table323[[#This Row],[Household income]]&lt;=$U$7, "Yes","No"),"No")</f>
        <v>No</v>
      </c>
    </row>
    <row r="248" spans="1:19" x14ac:dyDescent="0.25">
      <c r="A248" s="147">
        <v>9001010102</v>
      </c>
      <c r="B248" s="148" t="s">
        <v>2772</v>
      </c>
      <c r="C248" s="150" t="s">
        <v>944</v>
      </c>
      <c r="D248" s="70">
        <v>351971.23642272002</v>
      </c>
      <c r="E248" s="70">
        <v>199896.71350000001</v>
      </c>
      <c r="F248" s="14">
        <v>22</v>
      </c>
      <c r="G248" s="14">
        <v>22</v>
      </c>
      <c r="H248" s="14">
        <v>0</v>
      </c>
      <c r="I248" s="14">
        <v>0</v>
      </c>
      <c r="J248" s="69">
        <v>30093.988099999999</v>
      </c>
      <c r="K248">
        <f t="shared" si="3"/>
        <v>5</v>
      </c>
      <c r="L248" s="14">
        <v>5</v>
      </c>
      <c r="M248" s="14">
        <v>0</v>
      </c>
      <c r="N248" s="14">
        <v>0</v>
      </c>
      <c r="O248" s="69">
        <v>81010.2</v>
      </c>
      <c r="P248" s="226">
        <f>VLOOKUP(Table323[[#This Row],[Census Tract]],'Population and Diversity Data'!$B$2:$K$823,10,FALSE)</f>
        <v>3</v>
      </c>
      <c r="Q248" s="226" t="str">
        <f>VLOOKUP(Table323[[#This Row],[Census Tract]],'ES Energy Burden'!$B$2:$E$914,4,FALSE)</f>
        <v>No</v>
      </c>
      <c r="R248" s="248">
        <f>VLOOKUP(Table323[[#This Row],[Census Tract]],'Income and Housing Data'!$B$2:$D$823,3,FALSE)</f>
        <v>250000</v>
      </c>
      <c r="S248" s="248" t="str">
        <f>IF($U$6&lt;=Table323[[#This Row],[Household income]],IF(Table323[[#This Row],[Household income]]&lt;=$U$7, "Yes","No"),"No")</f>
        <v>No</v>
      </c>
    </row>
    <row r="249" spans="1:19" x14ac:dyDescent="0.25">
      <c r="A249" s="147">
        <v>9001010201</v>
      </c>
      <c r="B249" s="148" t="s">
        <v>2772</v>
      </c>
      <c r="C249" s="150" t="s">
        <v>944</v>
      </c>
      <c r="D249" s="70">
        <v>184550.60946816002</v>
      </c>
      <c r="E249" s="70">
        <v>4279.21</v>
      </c>
      <c r="F249" s="14">
        <v>5</v>
      </c>
      <c r="G249" s="14">
        <v>5</v>
      </c>
      <c r="H249" s="14">
        <v>0</v>
      </c>
      <c r="I249" s="14">
        <v>0</v>
      </c>
      <c r="J249" s="69">
        <v>4275.76</v>
      </c>
      <c r="K249">
        <f t="shared" si="3"/>
        <v>0</v>
      </c>
      <c r="L249" s="14">
        <v>0</v>
      </c>
      <c r="M249" s="14">
        <v>0</v>
      </c>
      <c r="N249" s="14">
        <v>0</v>
      </c>
      <c r="O249" s="69">
        <v>0</v>
      </c>
      <c r="P249" s="226">
        <f>VLOOKUP(Table323[[#This Row],[Census Tract]],'Population and Diversity Data'!$B$2:$K$823,10,FALSE)</f>
        <v>3</v>
      </c>
      <c r="Q249" s="226" t="str">
        <f>VLOOKUP(Table323[[#This Row],[Census Tract]],'ES Energy Burden'!$B$2:$E$914,4,FALSE)</f>
        <v>No</v>
      </c>
      <c r="R249" s="248">
        <f>VLOOKUP(Table323[[#This Row],[Census Tract]],'Income and Housing Data'!$B$2:$D$823,3,FALSE)</f>
        <v>250000</v>
      </c>
      <c r="S249" s="248" t="str">
        <f>IF($U$6&lt;=Table323[[#This Row],[Household income]],IF(Table323[[#This Row],[Household income]]&lt;=$U$7, "Yes","No"),"No")</f>
        <v>No</v>
      </c>
    </row>
    <row r="250" spans="1:19" x14ac:dyDescent="0.25">
      <c r="A250" s="147">
        <v>9001010202</v>
      </c>
      <c r="B250" s="148" t="s">
        <v>2772</v>
      </c>
      <c r="C250" s="150" t="s">
        <v>944</v>
      </c>
      <c r="D250" s="70">
        <v>149235.83767008001</v>
      </c>
      <c r="E250" s="70">
        <v>12605.017599999999</v>
      </c>
      <c r="F250" s="14">
        <v>16</v>
      </c>
      <c r="G250" s="14">
        <v>16</v>
      </c>
      <c r="H250" s="14">
        <v>0</v>
      </c>
      <c r="I250" s="14">
        <v>0</v>
      </c>
      <c r="J250" s="69">
        <v>12602.4076</v>
      </c>
      <c r="K250">
        <f t="shared" si="3"/>
        <v>0</v>
      </c>
      <c r="L250" s="14">
        <v>0</v>
      </c>
      <c r="M250" s="14">
        <v>0</v>
      </c>
      <c r="N250" s="14">
        <v>0</v>
      </c>
      <c r="O250" s="69">
        <v>0</v>
      </c>
      <c r="P250" s="226">
        <f>VLOOKUP(Table323[[#This Row],[Census Tract]],'Population and Diversity Data'!$B$2:$K$823,10,FALSE)</f>
        <v>4</v>
      </c>
      <c r="Q250" s="226" t="str">
        <f>VLOOKUP(Table323[[#This Row],[Census Tract]],'ES Energy Burden'!$B$2:$E$914,4,FALSE)</f>
        <v>No</v>
      </c>
      <c r="R250" s="248">
        <f>VLOOKUP(Table323[[#This Row],[Census Tract]],'Income and Housing Data'!$B$2:$D$823,3,FALSE)</f>
        <v>222839</v>
      </c>
      <c r="S250" s="248" t="str">
        <f>IF($U$6&lt;=Table323[[#This Row],[Household income]],IF(Table323[[#This Row],[Household income]]&lt;=$U$7, "Yes","No"),"No")</f>
        <v>No</v>
      </c>
    </row>
    <row r="251" spans="1:19" x14ac:dyDescent="0.25">
      <c r="A251" s="147">
        <v>9001010300</v>
      </c>
      <c r="B251" s="148" t="s">
        <v>2772</v>
      </c>
      <c r="C251" s="150" t="s">
        <v>944</v>
      </c>
      <c r="D251" s="70">
        <v>232331.66626463999</v>
      </c>
      <c r="E251" s="70">
        <v>14940.7438</v>
      </c>
      <c r="F251" s="14">
        <v>10</v>
      </c>
      <c r="G251" s="14">
        <v>9</v>
      </c>
      <c r="H251" s="14">
        <v>1</v>
      </c>
      <c r="I251" s="14">
        <v>0</v>
      </c>
      <c r="J251" s="69">
        <v>14940.273800000001</v>
      </c>
      <c r="K251">
        <f t="shared" si="3"/>
        <v>0</v>
      </c>
      <c r="L251" s="14">
        <v>0</v>
      </c>
      <c r="M251" s="14">
        <v>0</v>
      </c>
      <c r="N251" s="14">
        <v>0</v>
      </c>
      <c r="O251" s="69">
        <v>0</v>
      </c>
      <c r="P251" s="226">
        <f>VLOOKUP(Table323[[#This Row],[Census Tract]],'Population and Diversity Data'!$B$2:$K$823,10,FALSE)</f>
        <v>2</v>
      </c>
      <c r="Q251" s="226" t="str">
        <f>VLOOKUP(Table323[[#This Row],[Census Tract]],'ES Energy Burden'!$B$2:$E$914,4,FALSE)</f>
        <v>No</v>
      </c>
      <c r="R251" s="248">
        <f>VLOOKUP(Table323[[#This Row],[Census Tract]],'Income and Housing Data'!$B$2:$D$823,3,FALSE)</f>
        <v>238750</v>
      </c>
      <c r="S251" s="248" t="str">
        <f>IF($U$6&lt;=Table323[[#This Row],[Household income]],IF(Table323[[#This Row],[Household income]]&lt;=$U$7, "Yes","No"),"No")</f>
        <v>No</v>
      </c>
    </row>
    <row r="252" spans="1:19" x14ac:dyDescent="0.25">
      <c r="A252" s="147">
        <v>9001010400</v>
      </c>
      <c r="B252" s="148" t="s">
        <v>2772</v>
      </c>
      <c r="C252" s="150" t="s">
        <v>944</v>
      </c>
      <c r="D252" s="70">
        <v>104263.06610592001</v>
      </c>
      <c r="E252" s="70">
        <v>6235.2754999999997</v>
      </c>
      <c r="F252" s="14">
        <v>14</v>
      </c>
      <c r="G252" s="14">
        <v>14</v>
      </c>
      <c r="H252" s="14">
        <v>0</v>
      </c>
      <c r="I252" s="14">
        <v>0</v>
      </c>
      <c r="J252" s="69">
        <v>5416.3554999999997</v>
      </c>
      <c r="K252">
        <f t="shared" si="3"/>
        <v>0</v>
      </c>
      <c r="L252" s="14">
        <v>0</v>
      </c>
      <c r="M252" s="14">
        <v>0</v>
      </c>
      <c r="N252" s="14">
        <v>0</v>
      </c>
      <c r="O252" s="69">
        <v>0</v>
      </c>
      <c r="P252" s="226">
        <f>VLOOKUP(Table323[[#This Row],[Census Tract]],'Population and Diversity Data'!$B$2:$K$823,10,FALSE)</f>
        <v>3</v>
      </c>
      <c r="Q252" s="226" t="str">
        <f>VLOOKUP(Table323[[#This Row],[Census Tract]],'ES Energy Burden'!$B$2:$E$914,4,FALSE)</f>
        <v>No</v>
      </c>
      <c r="R252" s="248">
        <f>VLOOKUP(Table323[[#This Row],[Census Tract]],'Income and Housing Data'!$B$2:$D$823,3,FALSE)</f>
        <v>116222</v>
      </c>
      <c r="S252" s="248" t="str">
        <f>IF($U$6&lt;=Table323[[#This Row],[Household income]],IF(Table323[[#This Row],[Household income]]&lt;=$U$7, "Yes","No"),"No")</f>
        <v>No</v>
      </c>
    </row>
    <row r="253" spans="1:19" x14ac:dyDescent="0.25">
      <c r="A253" s="147">
        <v>9001010500</v>
      </c>
      <c r="B253" s="148" t="s">
        <v>2772</v>
      </c>
      <c r="C253" s="150" t="s">
        <v>944</v>
      </c>
      <c r="D253" s="70">
        <v>79218.90946368</v>
      </c>
      <c r="E253" s="70">
        <v>2031.71</v>
      </c>
      <c r="F253" s="14">
        <v>1</v>
      </c>
      <c r="G253" s="14">
        <v>1</v>
      </c>
      <c r="H253" s="14">
        <v>0</v>
      </c>
      <c r="I253" s="14">
        <v>0</v>
      </c>
      <c r="J253" s="69">
        <v>8.5</v>
      </c>
      <c r="K253">
        <f t="shared" si="3"/>
        <v>0</v>
      </c>
      <c r="L253" s="14">
        <v>0</v>
      </c>
      <c r="M253" s="14">
        <v>0</v>
      </c>
      <c r="N253" s="14">
        <v>0</v>
      </c>
      <c r="O253" s="69">
        <v>0</v>
      </c>
      <c r="P253" s="226">
        <f>VLOOKUP(Table323[[#This Row],[Census Tract]],'Population and Diversity Data'!$B$2:$K$823,10,FALSE)</f>
        <v>3</v>
      </c>
      <c r="Q253" s="226" t="str">
        <f>VLOOKUP(Table323[[#This Row],[Census Tract]],'ES Energy Burden'!$B$2:$E$914,4,FALSE)</f>
        <v>No</v>
      </c>
      <c r="R253" s="248">
        <f>VLOOKUP(Table323[[#This Row],[Census Tract]],'Income and Housing Data'!$B$2:$D$823,3,FALSE)</f>
        <v>91556</v>
      </c>
      <c r="S253" s="248" t="str">
        <f>IF($U$6&lt;=Table323[[#This Row],[Household income]],IF(Table323[[#This Row],[Household income]]&lt;=$U$7, "Yes","No"),"No")</f>
        <v>No</v>
      </c>
    </row>
    <row r="254" spans="1:19" x14ac:dyDescent="0.25">
      <c r="A254" s="147">
        <v>9001010600</v>
      </c>
      <c r="B254" s="148" t="s">
        <v>2772</v>
      </c>
      <c r="C254" s="150" t="s">
        <v>944</v>
      </c>
      <c r="D254" s="70">
        <v>37228.613912640001</v>
      </c>
      <c r="E254" s="70">
        <v>0</v>
      </c>
      <c r="F254" s="14">
        <v>0</v>
      </c>
      <c r="G254" s="14">
        <v>0</v>
      </c>
      <c r="H254" s="14">
        <v>0</v>
      </c>
      <c r="I254" s="14">
        <v>0</v>
      </c>
      <c r="J254" s="69">
        <v>0</v>
      </c>
      <c r="K254">
        <f t="shared" si="3"/>
        <v>0</v>
      </c>
      <c r="L254" s="14">
        <v>0</v>
      </c>
      <c r="M254" s="14">
        <v>0</v>
      </c>
      <c r="N254" s="14">
        <v>0</v>
      </c>
      <c r="O254" s="69">
        <v>0</v>
      </c>
      <c r="P254" s="226">
        <f>VLOOKUP(Table323[[#This Row],[Census Tract]],'Population and Diversity Data'!$B$2:$K$823,10,FALSE)</f>
        <v>3</v>
      </c>
      <c r="Q254" s="226" t="str">
        <f>VLOOKUP(Table323[[#This Row],[Census Tract]],'ES Energy Burden'!$B$2:$E$914,4,FALSE)</f>
        <v>No</v>
      </c>
      <c r="R254" s="248">
        <f>VLOOKUP(Table323[[#This Row],[Census Tract]],'Income and Housing Data'!$B$2:$D$823,3,FALSE)</f>
        <v>104868</v>
      </c>
      <c r="S254" s="248" t="str">
        <f>IF($U$6&lt;=Table323[[#This Row],[Household income]],IF(Table323[[#This Row],[Household income]]&lt;=$U$7, "Yes","No"),"No")</f>
        <v>No</v>
      </c>
    </row>
    <row r="255" spans="1:19" x14ac:dyDescent="0.25">
      <c r="A255" s="147">
        <v>9001010700</v>
      </c>
      <c r="B255" s="148" t="s">
        <v>2772</v>
      </c>
      <c r="C255" s="150" t="s">
        <v>944</v>
      </c>
      <c r="D255" s="70">
        <v>75171.932176319999</v>
      </c>
      <c r="E255" s="70">
        <v>287.59500000000003</v>
      </c>
      <c r="F255" s="14">
        <v>1</v>
      </c>
      <c r="G255" s="14">
        <v>1</v>
      </c>
      <c r="H255" s="14">
        <v>0</v>
      </c>
      <c r="I255" s="14">
        <v>0</v>
      </c>
      <c r="J255" s="69">
        <v>286.505</v>
      </c>
      <c r="K255">
        <f t="shared" si="3"/>
        <v>0</v>
      </c>
      <c r="L255" s="14">
        <v>0</v>
      </c>
      <c r="M255" s="14">
        <v>0</v>
      </c>
      <c r="N255" s="14">
        <v>0</v>
      </c>
      <c r="O255" s="69">
        <v>0</v>
      </c>
      <c r="P255" s="226">
        <f>VLOOKUP(Table323[[#This Row],[Census Tract]],'Population and Diversity Data'!$B$2:$K$823,10,FALSE)</f>
        <v>3</v>
      </c>
      <c r="Q255" s="226" t="str">
        <f>VLOOKUP(Table323[[#This Row],[Census Tract]],'ES Energy Burden'!$B$2:$E$914,4,FALSE)</f>
        <v>No</v>
      </c>
      <c r="R255" s="248">
        <f>VLOOKUP(Table323[[#This Row],[Census Tract]],'Income and Housing Data'!$B$2:$D$823,3,FALSE)</f>
        <v>61667</v>
      </c>
      <c r="S255" s="248" t="str">
        <f>IF($U$6&lt;=Table323[[#This Row],[Household income]],IF(Table323[[#This Row],[Household income]]&lt;=$U$7, "Yes","No"),"No")</f>
        <v>Yes</v>
      </c>
    </row>
    <row r="256" spans="1:19" x14ac:dyDescent="0.25">
      <c r="A256" s="147">
        <v>9001010800</v>
      </c>
      <c r="B256" s="148" t="s">
        <v>2772</v>
      </c>
      <c r="C256" s="150" t="s">
        <v>944</v>
      </c>
      <c r="D256" s="70">
        <v>69433.055366399989</v>
      </c>
      <c r="E256" s="70">
        <v>4273.3671000000004</v>
      </c>
      <c r="F256" s="14">
        <v>8</v>
      </c>
      <c r="G256" s="14">
        <v>8</v>
      </c>
      <c r="H256" s="14">
        <v>0</v>
      </c>
      <c r="I256" s="14">
        <v>0</v>
      </c>
      <c r="J256" s="69">
        <v>4098.4170999999997</v>
      </c>
      <c r="K256">
        <f t="shared" si="3"/>
        <v>0</v>
      </c>
      <c r="L256" s="14">
        <v>0</v>
      </c>
      <c r="M256" s="14">
        <v>0</v>
      </c>
      <c r="N256" s="14">
        <v>0</v>
      </c>
      <c r="O256" s="69">
        <v>0</v>
      </c>
      <c r="P256" s="226">
        <f>VLOOKUP(Table323[[#This Row],[Census Tract]],'Population and Diversity Data'!$B$2:$K$823,10,FALSE)</f>
        <v>3</v>
      </c>
      <c r="Q256" s="226" t="str">
        <f>VLOOKUP(Table323[[#This Row],[Census Tract]],'ES Energy Burden'!$B$2:$E$914,4,FALSE)</f>
        <v>No</v>
      </c>
      <c r="R256" s="248">
        <f>VLOOKUP(Table323[[#This Row],[Census Tract]],'Income and Housing Data'!$B$2:$D$823,3,FALSE)</f>
        <v>136495</v>
      </c>
      <c r="S256" s="248" t="str">
        <f>IF($U$6&lt;=Table323[[#This Row],[Household income]],IF(Table323[[#This Row],[Household income]]&lt;=$U$7, "Yes","No"),"No")</f>
        <v>No</v>
      </c>
    </row>
    <row r="257" spans="1:19" x14ac:dyDescent="0.25">
      <c r="A257" s="147">
        <v>9001010900</v>
      </c>
      <c r="B257" s="148" t="s">
        <v>2772</v>
      </c>
      <c r="C257" s="150" t="s">
        <v>944</v>
      </c>
      <c r="D257" s="70">
        <v>95240.909289600007</v>
      </c>
      <c r="E257" s="70">
        <v>5192.7631000000001</v>
      </c>
      <c r="F257" s="14">
        <v>9</v>
      </c>
      <c r="G257" s="14">
        <v>9</v>
      </c>
      <c r="H257" s="14">
        <v>0</v>
      </c>
      <c r="I257" s="14">
        <v>0</v>
      </c>
      <c r="J257" s="69">
        <v>5191.4831000000004</v>
      </c>
      <c r="K257">
        <f t="shared" si="3"/>
        <v>0</v>
      </c>
      <c r="L257" s="14">
        <v>0</v>
      </c>
      <c r="M257" s="14">
        <v>0</v>
      </c>
      <c r="N257" s="14">
        <v>0</v>
      </c>
      <c r="O257" s="69">
        <v>0</v>
      </c>
      <c r="P257" s="226">
        <f>VLOOKUP(Table323[[#This Row],[Census Tract]],'Population and Diversity Data'!$B$2:$K$823,10,FALSE)</f>
        <v>5</v>
      </c>
      <c r="Q257" s="226" t="str">
        <f>VLOOKUP(Table323[[#This Row],[Census Tract]],'ES Energy Burden'!$B$2:$E$914,4,FALSE)</f>
        <v>No</v>
      </c>
      <c r="R257" s="248">
        <f>VLOOKUP(Table323[[#This Row],[Census Tract]],'Income and Housing Data'!$B$2:$D$823,3,FALSE)</f>
        <v>164063</v>
      </c>
      <c r="S257" s="248" t="str">
        <f>IF($U$6&lt;=Table323[[#This Row],[Household income]],IF(Table323[[#This Row],[Household income]]&lt;=$U$7, "Yes","No"),"No")</f>
        <v>No</v>
      </c>
    </row>
    <row r="258" spans="1:19" x14ac:dyDescent="0.25">
      <c r="A258" s="147">
        <v>9001011000</v>
      </c>
      <c r="B258" s="148" t="s">
        <v>2772</v>
      </c>
      <c r="C258" s="150" t="s">
        <v>944</v>
      </c>
      <c r="D258" s="70">
        <v>149163.66117504</v>
      </c>
      <c r="E258" s="70">
        <v>6130.23</v>
      </c>
      <c r="F258" s="14">
        <v>11</v>
      </c>
      <c r="G258" s="14">
        <v>11</v>
      </c>
      <c r="H258" s="14">
        <v>0</v>
      </c>
      <c r="I258" s="14">
        <v>0</v>
      </c>
      <c r="J258" s="69">
        <v>6125.99</v>
      </c>
      <c r="K258">
        <f t="shared" si="3"/>
        <v>0</v>
      </c>
      <c r="L258" s="14">
        <v>0</v>
      </c>
      <c r="M258" s="14">
        <v>0</v>
      </c>
      <c r="N258" s="14">
        <v>0</v>
      </c>
      <c r="O258" s="69">
        <v>0</v>
      </c>
      <c r="P258" s="226">
        <f>VLOOKUP(Table323[[#This Row],[Census Tract]],'Population and Diversity Data'!$B$2:$K$823,10,FALSE)</f>
        <v>2</v>
      </c>
      <c r="Q258" s="226" t="str">
        <f>VLOOKUP(Table323[[#This Row],[Census Tract]],'ES Energy Burden'!$B$2:$E$914,4,FALSE)</f>
        <v>No</v>
      </c>
      <c r="R258" s="248">
        <f>VLOOKUP(Table323[[#This Row],[Census Tract]],'Income and Housing Data'!$B$2:$D$823,3,FALSE)</f>
        <v>236000</v>
      </c>
      <c r="S258" s="248" t="str">
        <f>IF($U$6&lt;=Table323[[#This Row],[Household income]],IF(Table323[[#This Row],[Household income]]&lt;=$U$7, "Yes","No"),"No")</f>
        <v>No</v>
      </c>
    </row>
    <row r="259" spans="1:19" x14ac:dyDescent="0.25">
      <c r="A259" s="147">
        <v>9001011100</v>
      </c>
      <c r="B259" s="148" t="s">
        <v>2772</v>
      </c>
      <c r="C259" s="150" t="s">
        <v>944</v>
      </c>
      <c r="D259" s="70">
        <v>155955.16353600001</v>
      </c>
      <c r="E259" s="70">
        <v>3011.9016999999999</v>
      </c>
      <c r="F259" s="14">
        <v>8</v>
      </c>
      <c r="G259" s="14">
        <v>8</v>
      </c>
      <c r="H259" s="14">
        <v>0</v>
      </c>
      <c r="I259" s="14">
        <v>0</v>
      </c>
      <c r="J259" s="69">
        <v>3008.7617</v>
      </c>
      <c r="K259">
        <f t="shared" si="3"/>
        <v>0</v>
      </c>
      <c r="L259" s="14">
        <v>0</v>
      </c>
      <c r="M259" s="14">
        <v>0</v>
      </c>
      <c r="N259" s="14">
        <v>0</v>
      </c>
      <c r="O259" s="69">
        <v>0</v>
      </c>
      <c r="P259" s="226">
        <f>VLOOKUP(Table323[[#This Row],[Census Tract]],'Population and Diversity Data'!$B$2:$K$823,10,FALSE)</f>
        <v>3</v>
      </c>
      <c r="Q259" s="226" t="str">
        <f>VLOOKUP(Table323[[#This Row],[Census Tract]],'ES Energy Burden'!$B$2:$E$914,4,FALSE)</f>
        <v>No</v>
      </c>
      <c r="R259" s="248">
        <f>VLOOKUP(Table323[[#This Row],[Census Tract]],'Income and Housing Data'!$B$2:$D$823,3,FALSE)</f>
        <v>250000</v>
      </c>
      <c r="S259" s="248" t="str">
        <f>IF($U$6&lt;=Table323[[#This Row],[Household income]],IF(Table323[[#This Row],[Household income]]&lt;=$U$7, "Yes","No"),"No")</f>
        <v>No</v>
      </c>
    </row>
    <row r="260" spans="1:19" x14ac:dyDescent="0.25">
      <c r="A260" s="147">
        <v>9001011200</v>
      </c>
      <c r="B260" s="148" t="s">
        <v>2772</v>
      </c>
      <c r="C260" s="150" t="s">
        <v>944</v>
      </c>
      <c r="D260" s="70">
        <v>121647.03627168002</v>
      </c>
      <c r="E260" s="70">
        <v>2614.33</v>
      </c>
      <c r="F260" s="14">
        <v>5</v>
      </c>
      <c r="G260" s="14">
        <v>5</v>
      </c>
      <c r="H260" s="14">
        <v>0</v>
      </c>
      <c r="I260" s="14">
        <v>0</v>
      </c>
      <c r="J260" s="69">
        <v>2611.9899999999998</v>
      </c>
      <c r="K260">
        <f t="shared" si="3"/>
        <v>0</v>
      </c>
      <c r="L260" s="14">
        <v>0</v>
      </c>
      <c r="M260" s="14">
        <v>0</v>
      </c>
      <c r="N260" s="14">
        <v>0</v>
      </c>
      <c r="O260" s="69">
        <v>0</v>
      </c>
      <c r="P260" s="226">
        <f>VLOOKUP(Table323[[#This Row],[Census Tract]],'Population and Diversity Data'!$B$2:$K$823,10,FALSE)</f>
        <v>4</v>
      </c>
      <c r="Q260" s="226" t="str">
        <f>VLOOKUP(Table323[[#This Row],[Census Tract]],'ES Energy Burden'!$B$2:$E$914,4,FALSE)</f>
        <v>No</v>
      </c>
      <c r="R260" s="248">
        <f>VLOOKUP(Table323[[#This Row],[Census Tract]],'Income and Housing Data'!$B$2:$D$823,3,FALSE)</f>
        <v>238068</v>
      </c>
      <c r="S260" s="248" t="str">
        <f>IF($U$6&lt;=Table323[[#This Row],[Household income]],IF(Table323[[#This Row],[Household income]]&lt;=$U$7, "Yes","No"),"No")</f>
        <v>No</v>
      </c>
    </row>
    <row r="261" spans="1:19" x14ac:dyDescent="0.25">
      <c r="A261" s="147">
        <v>9001011300</v>
      </c>
      <c r="B261" s="148" t="s">
        <v>2772</v>
      </c>
      <c r="C261" s="150" t="s">
        <v>944</v>
      </c>
      <c r="D261" s="70">
        <v>58601.731832639998</v>
      </c>
      <c r="E261" s="70">
        <v>628.98</v>
      </c>
      <c r="F261" s="14">
        <v>5</v>
      </c>
      <c r="G261" s="14">
        <v>5</v>
      </c>
      <c r="H261" s="14">
        <v>0</v>
      </c>
      <c r="I261" s="14">
        <v>0</v>
      </c>
      <c r="J261" s="69">
        <v>627.25</v>
      </c>
      <c r="K261">
        <f t="shared" si="3"/>
        <v>0</v>
      </c>
      <c r="L261" s="14">
        <v>0</v>
      </c>
      <c r="M261" s="14">
        <v>0</v>
      </c>
      <c r="N261" s="14">
        <v>0</v>
      </c>
      <c r="O261" s="69">
        <v>0</v>
      </c>
      <c r="P261" s="226">
        <f>VLOOKUP(Table323[[#This Row],[Census Tract]],'Population and Diversity Data'!$B$2:$K$823,10,FALSE)</f>
        <v>5</v>
      </c>
      <c r="Q261" s="226" t="str">
        <f>VLOOKUP(Table323[[#This Row],[Census Tract]],'ES Energy Burden'!$B$2:$E$914,4,FALSE)</f>
        <v>No</v>
      </c>
      <c r="R261" s="248">
        <f>VLOOKUP(Table323[[#This Row],[Census Tract]],'Income and Housing Data'!$B$2:$D$823,3,FALSE)</f>
        <v>80882</v>
      </c>
      <c r="S261" s="248" t="str">
        <f>IF($U$6&lt;=Table323[[#This Row],[Household income]],IF(Table323[[#This Row],[Household income]]&lt;=$U$7, "Yes","No"),"No")</f>
        <v>No</v>
      </c>
    </row>
    <row r="262" spans="1:19" x14ac:dyDescent="0.25">
      <c r="A262" s="147">
        <v>9001020200</v>
      </c>
      <c r="B262" s="148" t="s">
        <v>2772</v>
      </c>
      <c r="C262" s="150" t="s">
        <v>944</v>
      </c>
      <c r="D262" s="70">
        <v>19079.450639999999</v>
      </c>
      <c r="E262" s="70">
        <v>0</v>
      </c>
      <c r="F262" s="14">
        <v>0</v>
      </c>
      <c r="G262" s="14">
        <v>0</v>
      </c>
      <c r="H262" s="14">
        <v>0</v>
      </c>
      <c r="I262" s="14">
        <v>0</v>
      </c>
      <c r="J262" s="69">
        <v>0</v>
      </c>
      <c r="K262">
        <f t="shared" ref="K262:K325" si="4">L262+M262+N262</f>
        <v>0</v>
      </c>
      <c r="L262" s="14">
        <v>0</v>
      </c>
      <c r="M262" s="14">
        <v>0</v>
      </c>
      <c r="N262" s="14">
        <v>0</v>
      </c>
      <c r="O262" s="69">
        <v>0</v>
      </c>
      <c r="P262" s="226">
        <f>VLOOKUP(Table323[[#This Row],[Census Tract]],'Population and Diversity Data'!$B$2:$K$823,10,FALSE)</f>
        <v>4</v>
      </c>
      <c r="Q262" s="226" t="str">
        <f>VLOOKUP(Table323[[#This Row],[Census Tract]],'ES Energy Burden'!$B$2:$E$914,4,FALSE)</f>
        <v>No</v>
      </c>
      <c r="R262" s="248">
        <f>VLOOKUP(Table323[[#This Row],[Census Tract]],'Income and Housing Data'!$B$2:$D$823,3,FALSE)</f>
        <v>233750</v>
      </c>
      <c r="S262" s="248" t="str">
        <f>IF($U$6&lt;=Table323[[#This Row],[Household income]],IF(Table323[[#This Row],[Household income]]&lt;=$U$7, "Yes","No"),"No")</f>
        <v>No</v>
      </c>
    </row>
    <row r="263" spans="1:19" x14ac:dyDescent="0.25">
      <c r="A263" s="147">
        <v>9001021400</v>
      </c>
      <c r="B263" s="148" t="s">
        <v>2772</v>
      </c>
      <c r="C263" s="150" t="s">
        <v>944</v>
      </c>
      <c r="D263" s="70">
        <v>1134.8595072000003</v>
      </c>
      <c r="E263" s="70">
        <v>615.08000000000004</v>
      </c>
      <c r="F263" s="14">
        <v>1</v>
      </c>
      <c r="G263" s="14">
        <v>1</v>
      </c>
      <c r="H263" s="14">
        <v>0</v>
      </c>
      <c r="I263" s="14">
        <v>0</v>
      </c>
      <c r="J263" s="69">
        <v>613.82000000000005</v>
      </c>
      <c r="K263">
        <f t="shared" si="4"/>
        <v>0</v>
      </c>
      <c r="L263" s="14">
        <v>0</v>
      </c>
      <c r="M263" s="14">
        <v>0</v>
      </c>
      <c r="N263" s="14">
        <v>0</v>
      </c>
      <c r="O263" s="69">
        <v>0</v>
      </c>
      <c r="P263" s="226">
        <f>VLOOKUP(Table323[[#This Row],[Census Tract]],'Population and Diversity Data'!$B$2:$K$823,10,FALSE)</f>
        <v>4</v>
      </c>
      <c r="Q263" s="226" t="str">
        <f>VLOOKUP(Table323[[#This Row],[Census Tract]],'ES Energy Burden'!$B$2:$E$914,4,FALSE)</f>
        <v>No</v>
      </c>
      <c r="R263" s="248">
        <f>VLOOKUP(Table323[[#This Row],[Census Tract]],'Income and Housing Data'!$B$2:$D$823,3,FALSE)</f>
        <v>46566</v>
      </c>
      <c r="S263" s="248" t="str">
        <f>IF($U$6&lt;=Table323[[#This Row],[Household income]],IF(Table323[[#This Row],[Household income]]&lt;=$U$7, "Yes","No"),"No")</f>
        <v>No</v>
      </c>
    </row>
    <row r="264" spans="1:19" x14ac:dyDescent="0.25">
      <c r="A264" s="147">
        <v>9011709100</v>
      </c>
      <c r="B264" s="148" t="s">
        <v>2773</v>
      </c>
      <c r="C264" s="150" t="s">
        <v>944</v>
      </c>
      <c r="D264" s="70">
        <v>132624.27403487999</v>
      </c>
      <c r="E264" s="70">
        <v>76633.350099999996</v>
      </c>
      <c r="F264" s="14">
        <v>28</v>
      </c>
      <c r="G264" s="14">
        <v>28</v>
      </c>
      <c r="H264" s="14">
        <v>0</v>
      </c>
      <c r="I264" s="14">
        <v>0</v>
      </c>
      <c r="J264" s="69">
        <v>20303.747299999999</v>
      </c>
      <c r="K264">
        <f t="shared" si="4"/>
        <v>8</v>
      </c>
      <c r="L264" s="14">
        <v>8</v>
      </c>
      <c r="M264" s="14">
        <v>0</v>
      </c>
      <c r="N264" s="14">
        <v>0</v>
      </c>
      <c r="O264" s="69">
        <v>9930.36</v>
      </c>
      <c r="P264" s="226">
        <f>VLOOKUP(Table323[[#This Row],[Census Tract]],'Population and Diversity Data'!$B$2:$K$823,10,FALSE)</f>
        <v>3</v>
      </c>
      <c r="Q264" s="226" t="str">
        <f>VLOOKUP(Table323[[#This Row],[Census Tract]],'ES Energy Burden'!$B$2:$E$914,4,FALSE)</f>
        <v>No</v>
      </c>
      <c r="R264" s="248">
        <f>VLOOKUP(Table323[[#This Row],[Census Tract]],'Income and Housing Data'!$B$2:$D$823,3,FALSE)</f>
        <v>84625</v>
      </c>
      <c r="S264" s="248" t="str">
        <f>IF($U$6&lt;=Table323[[#This Row],[Household income]],IF(Table323[[#This Row],[Household income]]&lt;=$U$7, "Yes","No"),"No")</f>
        <v>No</v>
      </c>
    </row>
    <row r="265" spans="1:19" x14ac:dyDescent="0.25">
      <c r="A265" s="147">
        <v>9011709200</v>
      </c>
      <c r="B265" s="148" t="s">
        <v>2773</v>
      </c>
      <c r="C265" s="150" t="s">
        <v>944</v>
      </c>
      <c r="D265" s="70">
        <v>26264.613977280002</v>
      </c>
      <c r="E265" s="70">
        <v>3627.62</v>
      </c>
      <c r="F265" s="14">
        <v>5</v>
      </c>
      <c r="G265" s="14">
        <v>5</v>
      </c>
      <c r="H265" s="14">
        <v>0</v>
      </c>
      <c r="I265" s="14">
        <v>0</v>
      </c>
      <c r="J265" s="69">
        <v>3626.33</v>
      </c>
      <c r="K265">
        <f t="shared" si="4"/>
        <v>0</v>
      </c>
      <c r="L265" s="14">
        <v>0</v>
      </c>
      <c r="M265" s="14">
        <v>0</v>
      </c>
      <c r="N265" s="14">
        <v>0</v>
      </c>
      <c r="O265" s="69">
        <v>0</v>
      </c>
      <c r="P265" s="226">
        <f>VLOOKUP(Table323[[#This Row],[Census Tract]],'Population and Diversity Data'!$B$2:$K$823,10,FALSE)</f>
        <v>5</v>
      </c>
      <c r="Q265" s="226" t="str">
        <f>VLOOKUP(Table323[[#This Row],[Census Tract]],'ES Energy Burden'!$B$2:$E$914,4,FALSE)</f>
        <v>No</v>
      </c>
      <c r="R265" s="248">
        <f>VLOOKUP(Table323[[#This Row],[Census Tract]],'Income and Housing Data'!$B$2:$D$823,3,FALSE)</f>
        <v>52377</v>
      </c>
      <c r="S265" s="248" t="str">
        <f>IF($U$6&lt;=Table323[[#This Row],[Household income]],IF(Table323[[#This Row],[Household income]]&lt;=$U$7, "Yes","No"),"No")</f>
        <v>Yes</v>
      </c>
    </row>
    <row r="266" spans="1:19" x14ac:dyDescent="0.25">
      <c r="A266" s="147">
        <v>9011710100</v>
      </c>
      <c r="B266" s="148" t="s">
        <v>2773</v>
      </c>
      <c r="C266" s="150" t="s">
        <v>944</v>
      </c>
      <c r="D266" s="70">
        <v>230.99048640000001</v>
      </c>
      <c r="E266" s="70">
        <v>0</v>
      </c>
      <c r="F266" s="14">
        <v>0</v>
      </c>
      <c r="G266" s="14">
        <v>0</v>
      </c>
      <c r="H266" s="14">
        <v>0</v>
      </c>
      <c r="I266" s="14">
        <v>0</v>
      </c>
      <c r="J266" s="69">
        <v>0</v>
      </c>
      <c r="K266">
        <f t="shared" si="4"/>
        <v>0</v>
      </c>
      <c r="L266" s="14">
        <v>0</v>
      </c>
      <c r="M266" s="14">
        <v>0</v>
      </c>
      <c r="N266" s="14">
        <v>0</v>
      </c>
      <c r="O266" s="69">
        <v>0</v>
      </c>
      <c r="P266" s="226">
        <f>VLOOKUP(Table323[[#This Row],[Census Tract]],'Population and Diversity Data'!$B$2:$K$823,10,FALSE)</f>
        <v>3</v>
      </c>
      <c r="Q266" s="226" t="str">
        <f>VLOOKUP(Table323[[#This Row],[Census Tract]],'ES Energy Burden'!$B$2:$E$914,4,FALSE)</f>
        <v>No</v>
      </c>
      <c r="R266" s="248">
        <f>VLOOKUP(Table323[[#This Row],[Census Tract]],'Income and Housing Data'!$B$2:$D$823,3,FALSE)</f>
        <v>91125</v>
      </c>
      <c r="S266" s="248" t="str">
        <f>IF($U$6&lt;=Table323[[#This Row],[Household income]],IF(Table323[[#This Row],[Household income]]&lt;=$U$7, "Yes","No"),"No")</f>
        <v>No</v>
      </c>
    </row>
    <row r="267" spans="1:19" x14ac:dyDescent="0.25">
      <c r="A267" s="147">
        <v>9011702100</v>
      </c>
      <c r="B267" s="148" t="s">
        <v>2774</v>
      </c>
      <c r="C267" s="150" t="s">
        <v>944</v>
      </c>
      <c r="D267" s="70">
        <v>1500.225408</v>
      </c>
      <c r="E267" s="70">
        <v>0</v>
      </c>
      <c r="F267" s="14">
        <v>2</v>
      </c>
      <c r="G267" s="14">
        <v>2</v>
      </c>
      <c r="H267" s="14">
        <v>0</v>
      </c>
      <c r="I267" s="14">
        <v>0</v>
      </c>
      <c r="J267" s="69">
        <v>0</v>
      </c>
      <c r="K267">
        <f t="shared" si="4"/>
        <v>0</v>
      </c>
      <c r="L267" s="14">
        <v>0</v>
      </c>
      <c r="M267" s="14">
        <v>0</v>
      </c>
      <c r="N267" s="14">
        <v>0</v>
      </c>
      <c r="O267" s="69">
        <v>0</v>
      </c>
      <c r="P267" s="226">
        <f>VLOOKUP(Table323[[#This Row],[Census Tract]],'Population and Diversity Data'!$B$2:$K$823,10,FALSE)</f>
        <v>4</v>
      </c>
      <c r="Q267" s="226" t="str">
        <f>VLOOKUP(Table323[[#This Row],[Census Tract]],'ES Energy Burden'!$B$2:$E$914,4,FALSE)</f>
        <v>No</v>
      </c>
      <c r="R267" s="248">
        <f>VLOOKUP(Table323[[#This Row],[Census Tract]],'Income and Housing Data'!$B$2:$D$823,3,FALSE)</f>
        <v>86384</v>
      </c>
      <c r="S267" s="248" t="str">
        <f>IF($U$6&lt;=Table323[[#This Row],[Household income]],IF(Table323[[#This Row],[Household income]]&lt;=$U$7, "Yes","No"),"No")</f>
        <v>No</v>
      </c>
    </row>
    <row r="268" spans="1:19" x14ac:dyDescent="0.25">
      <c r="A268" s="147">
        <v>9011702400</v>
      </c>
      <c r="B268" s="148" t="s">
        <v>2774</v>
      </c>
      <c r="C268" s="150" t="s">
        <v>944</v>
      </c>
      <c r="D268" s="70">
        <v>159.43512960000001</v>
      </c>
      <c r="E268" s="70">
        <v>0</v>
      </c>
      <c r="F268" s="14">
        <v>0</v>
      </c>
      <c r="G268" s="14">
        <v>0</v>
      </c>
      <c r="H268" s="14">
        <v>0</v>
      </c>
      <c r="I268" s="14">
        <v>0</v>
      </c>
      <c r="J268" s="69">
        <v>0</v>
      </c>
      <c r="K268">
        <f t="shared" si="4"/>
        <v>0</v>
      </c>
      <c r="L268" s="14">
        <v>0</v>
      </c>
      <c r="M268" s="14">
        <v>0</v>
      </c>
      <c r="N268" s="14">
        <v>0</v>
      </c>
      <c r="O268" s="69">
        <v>0</v>
      </c>
      <c r="P268" s="226">
        <f>VLOOKUP(Table323[[#This Row],[Census Tract]],'Population and Diversity Data'!$B$2:$K$823,10,FALSE)</f>
        <v>5</v>
      </c>
      <c r="Q268" s="226" t="str">
        <f>VLOOKUP(Table323[[#This Row],[Census Tract]],'ES Energy Burden'!$B$2:$E$914,4,FALSE)</f>
        <v>No</v>
      </c>
      <c r="R268" s="248">
        <f>VLOOKUP(Table323[[#This Row],[Census Tract]],'Income and Housing Data'!$B$2:$D$823,3,FALSE)</f>
        <v>74157</v>
      </c>
      <c r="S268" s="248" t="str">
        <f>IF($U$6&lt;=Table323[[#This Row],[Household income]],IF(Table323[[#This Row],[Household income]]&lt;=$U$7, "Yes","No"),"No")</f>
        <v>No</v>
      </c>
    </row>
    <row r="269" spans="1:19" x14ac:dyDescent="0.25">
      <c r="A269" s="147">
        <v>9011702600</v>
      </c>
      <c r="B269" s="148" t="s">
        <v>2774</v>
      </c>
      <c r="C269" s="150" t="s">
        <v>944</v>
      </c>
      <c r="D269" s="70">
        <v>30.819571199999999</v>
      </c>
      <c r="E269" s="70">
        <v>0</v>
      </c>
      <c r="F269" s="14">
        <v>0</v>
      </c>
      <c r="G269" s="14">
        <v>0</v>
      </c>
      <c r="H269" s="14">
        <v>0</v>
      </c>
      <c r="I269" s="14">
        <v>0</v>
      </c>
      <c r="J269" s="69">
        <v>0</v>
      </c>
      <c r="K269">
        <f t="shared" si="4"/>
        <v>0</v>
      </c>
      <c r="L269" s="14">
        <v>0</v>
      </c>
      <c r="M269" s="14">
        <v>0</v>
      </c>
      <c r="N269" s="14">
        <v>0</v>
      </c>
      <c r="O269" s="69">
        <v>0</v>
      </c>
      <c r="P269" s="226">
        <f>VLOOKUP(Table323[[#This Row],[Census Tract]],'Population and Diversity Data'!$B$2:$K$823,10,FALSE)</f>
        <v>3</v>
      </c>
      <c r="Q269" s="226" t="str">
        <f>VLOOKUP(Table323[[#This Row],[Census Tract]],'ES Energy Burden'!$B$2:$E$914,4,FALSE)</f>
        <v>No</v>
      </c>
      <c r="R269" s="248">
        <f>VLOOKUP(Table323[[#This Row],[Census Tract]],'Income and Housing Data'!$B$2:$D$823,3,FALSE)</f>
        <v>82841</v>
      </c>
      <c r="S269" s="248" t="str">
        <f>IF($U$6&lt;=Table323[[#This Row],[Household income]],IF(Table323[[#This Row],[Household income]]&lt;=$U$7, "Yes","No"),"No")</f>
        <v>No</v>
      </c>
    </row>
    <row r="270" spans="1:19" x14ac:dyDescent="0.25">
      <c r="A270" s="147">
        <v>9011702700</v>
      </c>
      <c r="B270" s="148" t="s">
        <v>2774</v>
      </c>
      <c r="C270" s="150" t="s">
        <v>944</v>
      </c>
      <c r="D270" s="70">
        <v>2747.5092</v>
      </c>
      <c r="E270" s="70">
        <v>59.2</v>
      </c>
      <c r="F270" s="14">
        <v>1</v>
      </c>
      <c r="G270" s="14">
        <v>1</v>
      </c>
      <c r="H270" s="14">
        <v>0</v>
      </c>
      <c r="I270" s="14">
        <v>0</v>
      </c>
      <c r="J270" s="69">
        <v>42.01</v>
      </c>
      <c r="K270">
        <f t="shared" si="4"/>
        <v>0</v>
      </c>
      <c r="L270" s="14">
        <v>0</v>
      </c>
      <c r="M270" s="14">
        <v>0</v>
      </c>
      <c r="N270" s="14">
        <v>0</v>
      </c>
      <c r="O270" s="69">
        <v>0</v>
      </c>
      <c r="P270" s="226">
        <f>VLOOKUP(Table323[[#This Row],[Census Tract]],'Population and Diversity Data'!$B$2:$K$823,10,FALSE)</f>
        <v>5</v>
      </c>
      <c r="Q270" s="226" t="str">
        <f>VLOOKUP(Table323[[#This Row],[Census Tract]],'ES Energy Burden'!$B$2:$E$914,4,FALSE)</f>
        <v>No</v>
      </c>
      <c r="R270" s="248">
        <f>VLOOKUP(Table323[[#This Row],[Census Tract]],'Income and Housing Data'!$B$2:$D$823,3,FALSE)</f>
        <v>56020</v>
      </c>
      <c r="S270" s="248" t="str">
        <f>IF($U$6&lt;=Table323[[#This Row],[Household income]],IF(Table323[[#This Row],[Household income]]&lt;=$U$7, "Yes","No"),"No")</f>
        <v>Yes</v>
      </c>
    </row>
    <row r="271" spans="1:19" x14ac:dyDescent="0.25">
      <c r="A271" s="147">
        <v>9011702800</v>
      </c>
      <c r="B271" s="148" t="s">
        <v>2774</v>
      </c>
      <c r="C271" s="150" t="s">
        <v>944</v>
      </c>
      <c r="D271" s="70">
        <v>4683.0465792000005</v>
      </c>
      <c r="E271" s="70">
        <v>456.93</v>
      </c>
      <c r="F271" s="14">
        <v>1</v>
      </c>
      <c r="G271" s="14">
        <v>1</v>
      </c>
      <c r="H271" s="14">
        <v>0</v>
      </c>
      <c r="I271" s="14">
        <v>0</v>
      </c>
      <c r="J271" s="69">
        <v>454.4</v>
      </c>
      <c r="K271">
        <f t="shared" si="4"/>
        <v>0</v>
      </c>
      <c r="L271" s="14">
        <v>0</v>
      </c>
      <c r="M271" s="14">
        <v>0</v>
      </c>
      <c r="N271" s="14">
        <v>0</v>
      </c>
      <c r="O271" s="69">
        <v>0</v>
      </c>
      <c r="P271" s="226">
        <f>VLOOKUP(Table323[[#This Row],[Census Tract]],'Population and Diversity Data'!$B$2:$K$823,10,FALSE)</f>
        <v>5</v>
      </c>
      <c r="Q271" s="226" t="str">
        <f>VLOOKUP(Table323[[#This Row],[Census Tract]],'ES Energy Burden'!$B$2:$E$914,4,FALSE)</f>
        <v>No</v>
      </c>
      <c r="R271" s="248">
        <f>VLOOKUP(Table323[[#This Row],[Census Tract]],'Income and Housing Data'!$B$2:$D$823,3,FALSE)</f>
        <v>71683</v>
      </c>
      <c r="S271" s="248" t="str">
        <f>IF($U$6&lt;=Table323[[#This Row],[Household income]],IF(Table323[[#This Row],[Household income]]&lt;=$U$7, "Yes","No"),"No")</f>
        <v>No</v>
      </c>
    </row>
    <row r="272" spans="1:19" x14ac:dyDescent="0.25">
      <c r="A272" s="147">
        <v>9011702900</v>
      </c>
      <c r="B272" s="148" t="s">
        <v>2774</v>
      </c>
      <c r="C272" s="150" t="s">
        <v>944</v>
      </c>
      <c r="D272" s="70">
        <v>35301.1096512</v>
      </c>
      <c r="E272" s="70">
        <v>49359.212299999999</v>
      </c>
      <c r="F272" s="14">
        <v>15</v>
      </c>
      <c r="G272" s="14">
        <v>15</v>
      </c>
      <c r="H272" s="14">
        <v>0</v>
      </c>
      <c r="I272" s="14">
        <v>0</v>
      </c>
      <c r="J272" s="69">
        <v>16778.828300000001</v>
      </c>
      <c r="K272">
        <f t="shared" si="4"/>
        <v>0</v>
      </c>
      <c r="L272" s="14">
        <v>0</v>
      </c>
      <c r="M272" s="14">
        <v>0</v>
      </c>
      <c r="N272" s="14">
        <v>0</v>
      </c>
      <c r="O272" s="69">
        <v>0</v>
      </c>
      <c r="P272" s="226">
        <f>VLOOKUP(Table323[[#This Row],[Census Tract]],'Population and Diversity Data'!$B$2:$K$823,10,FALSE)</f>
        <v>2</v>
      </c>
      <c r="Q272" s="226" t="str">
        <f>VLOOKUP(Table323[[#This Row],[Census Tract]],'ES Energy Burden'!$B$2:$E$914,4,FALSE)</f>
        <v>No</v>
      </c>
      <c r="R272" s="248">
        <f>VLOOKUP(Table323[[#This Row],[Census Tract]],'Income and Housing Data'!$B$2:$D$823,3,FALSE)</f>
        <v>119375</v>
      </c>
      <c r="S272" s="248" t="str">
        <f>IF($U$6&lt;=Table323[[#This Row],[Household income]],IF(Table323[[#This Row],[Household income]]&lt;=$U$7, "Yes","No"),"No")</f>
        <v>No</v>
      </c>
    </row>
    <row r="273" spans="1:19" x14ac:dyDescent="0.25">
      <c r="A273" s="147">
        <v>9011703000</v>
      </c>
      <c r="B273" s="148" t="s">
        <v>2774</v>
      </c>
      <c r="C273" s="150" t="s">
        <v>944</v>
      </c>
      <c r="D273" s="70">
        <v>39.334896000000001</v>
      </c>
      <c r="E273" s="70">
        <v>0</v>
      </c>
      <c r="F273" s="14">
        <v>1</v>
      </c>
      <c r="G273" s="14">
        <v>1</v>
      </c>
      <c r="H273" s="14">
        <v>0</v>
      </c>
      <c r="I273" s="14">
        <v>0</v>
      </c>
      <c r="J273" s="69">
        <v>0</v>
      </c>
      <c r="K273">
        <f t="shared" si="4"/>
        <v>0</v>
      </c>
      <c r="L273" s="14">
        <v>0</v>
      </c>
      <c r="M273" s="14">
        <v>0</v>
      </c>
      <c r="N273" s="14">
        <v>0</v>
      </c>
      <c r="O273" s="69">
        <v>0</v>
      </c>
      <c r="P273" s="226">
        <f>VLOOKUP(Table323[[#This Row],[Census Tract]],'Population and Diversity Data'!$B$2:$K$823,10,FALSE)</f>
        <v>2</v>
      </c>
      <c r="Q273" s="226" t="str">
        <f>VLOOKUP(Table323[[#This Row],[Census Tract]],'ES Energy Burden'!$B$2:$E$914,4,FALSE)</f>
        <v>No</v>
      </c>
      <c r="R273" s="248">
        <f>VLOOKUP(Table323[[#This Row],[Census Tract]],'Income and Housing Data'!$B$2:$D$823,3,FALSE)</f>
        <v>103558</v>
      </c>
      <c r="S273" s="248" t="str">
        <f>IF($U$6&lt;=Table323[[#This Row],[Household income]],IF(Table323[[#This Row],[Household income]]&lt;=$U$7, "Yes","No"),"No")</f>
        <v>No</v>
      </c>
    </row>
    <row r="274" spans="1:19" x14ac:dyDescent="0.25">
      <c r="A274" s="147">
        <v>9009190100</v>
      </c>
      <c r="B274" s="148" t="s">
        <v>2775</v>
      </c>
      <c r="C274" s="150" t="s">
        <v>944</v>
      </c>
      <c r="D274" s="70">
        <v>74457.283976639999</v>
      </c>
      <c r="E274" s="70">
        <v>30283.0586</v>
      </c>
      <c r="F274" s="14">
        <v>23</v>
      </c>
      <c r="G274" s="14">
        <v>22</v>
      </c>
      <c r="H274" s="14">
        <v>1</v>
      </c>
      <c r="I274" s="14">
        <v>0</v>
      </c>
      <c r="J274" s="69">
        <v>15840.3686</v>
      </c>
      <c r="K274">
        <f t="shared" si="4"/>
        <v>0</v>
      </c>
      <c r="L274" s="14">
        <v>0</v>
      </c>
      <c r="M274" s="14">
        <v>0</v>
      </c>
      <c r="N274" s="14">
        <v>0</v>
      </c>
      <c r="O274" s="69">
        <v>0</v>
      </c>
      <c r="P274" s="226">
        <f>VLOOKUP(Table323[[#This Row],[Census Tract]],'Population and Diversity Data'!$B$2:$K$823,10,FALSE)</f>
        <v>2</v>
      </c>
      <c r="Q274" s="226" t="str">
        <f>VLOOKUP(Table323[[#This Row],[Census Tract]],'ES Energy Burden'!$B$2:$E$914,4,FALSE)</f>
        <v>No</v>
      </c>
      <c r="R274" s="248">
        <f>VLOOKUP(Table323[[#This Row],[Census Tract]],'Income and Housing Data'!$B$2:$D$823,3,FALSE)</f>
        <v>89699</v>
      </c>
      <c r="S274" s="248" t="str">
        <f>IF($U$6&lt;=Table323[[#This Row],[Household income]],IF(Table323[[#This Row],[Household income]]&lt;=$U$7, "Yes","No"),"No")</f>
        <v>No</v>
      </c>
    </row>
    <row r="275" spans="1:19" x14ac:dyDescent="0.25">
      <c r="A275" s="147">
        <v>9009190200</v>
      </c>
      <c r="B275" s="148" t="s">
        <v>2775</v>
      </c>
      <c r="C275" s="150" t="s">
        <v>944</v>
      </c>
      <c r="D275" s="70">
        <v>99217.489559040012</v>
      </c>
      <c r="E275" s="70">
        <v>24604.87</v>
      </c>
      <c r="F275" s="14">
        <v>11</v>
      </c>
      <c r="G275" s="14">
        <v>11</v>
      </c>
      <c r="H275" s="14">
        <v>0</v>
      </c>
      <c r="I275" s="14">
        <v>0</v>
      </c>
      <c r="J275" s="69">
        <v>10232.11</v>
      </c>
      <c r="K275">
        <f t="shared" si="4"/>
        <v>0</v>
      </c>
      <c r="L275" s="14">
        <v>0</v>
      </c>
      <c r="M275" s="14">
        <v>0</v>
      </c>
      <c r="N275" s="14">
        <v>0</v>
      </c>
      <c r="O275" s="69">
        <v>0</v>
      </c>
      <c r="P275" s="226">
        <f>VLOOKUP(Table323[[#This Row],[Census Tract]],'Population and Diversity Data'!$B$2:$K$823,10,FALSE)</f>
        <v>3</v>
      </c>
      <c r="Q275" s="226" t="str">
        <f>VLOOKUP(Table323[[#This Row],[Census Tract]],'ES Energy Burden'!$B$2:$E$914,4,FALSE)</f>
        <v>No</v>
      </c>
      <c r="R275" s="248">
        <f>VLOOKUP(Table323[[#This Row],[Census Tract]],'Income and Housing Data'!$B$2:$D$823,3,FALSE)</f>
        <v>111983</v>
      </c>
      <c r="S275" s="248" t="str">
        <f>IF($U$6&lt;=Table323[[#This Row],[Household income]],IF(Table323[[#This Row],[Household income]]&lt;=$U$7, "Yes","No"),"No")</f>
        <v>No</v>
      </c>
    </row>
    <row r="276" spans="1:19" x14ac:dyDescent="0.25">
      <c r="A276" s="147">
        <v>9009190301</v>
      </c>
      <c r="B276" s="148" t="s">
        <v>2775</v>
      </c>
      <c r="C276" s="150" t="s">
        <v>944</v>
      </c>
      <c r="D276" s="70">
        <v>168002.32320576001</v>
      </c>
      <c r="E276" s="70">
        <v>178510.27609999999</v>
      </c>
      <c r="F276" s="14">
        <v>26</v>
      </c>
      <c r="G276" s="14">
        <v>26</v>
      </c>
      <c r="H276" s="14">
        <v>0</v>
      </c>
      <c r="I276" s="14">
        <v>0</v>
      </c>
      <c r="J276" s="69">
        <v>29444.6361</v>
      </c>
      <c r="K276">
        <f t="shared" si="4"/>
        <v>19</v>
      </c>
      <c r="L276" s="14">
        <v>19</v>
      </c>
      <c r="M276" s="14">
        <v>0</v>
      </c>
      <c r="N276" s="14">
        <v>0</v>
      </c>
      <c r="O276" s="69">
        <v>62688.3</v>
      </c>
      <c r="P276" s="226">
        <f>VLOOKUP(Table323[[#This Row],[Census Tract]],'Population and Diversity Data'!$B$2:$K$823,10,FALSE)</f>
        <v>3</v>
      </c>
      <c r="Q276" s="226" t="str">
        <f>VLOOKUP(Table323[[#This Row],[Census Tract]],'ES Energy Burden'!$B$2:$E$914,4,FALSE)</f>
        <v>No</v>
      </c>
      <c r="R276" s="248">
        <f>VLOOKUP(Table323[[#This Row],[Census Tract]],'Income and Housing Data'!$B$2:$D$823,3,FALSE)</f>
        <v>136103</v>
      </c>
      <c r="S276" s="248" t="str">
        <f>IF($U$6&lt;=Table323[[#This Row],[Household income]],IF(Table323[[#This Row],[Household income]]&lt;=$U$7, "Yes","No"),"No")</f>
        <v>No</v>
      </c>
    </row>
    <row r="277" spans="1:19" x14ac:dyDescent="0.25">
      <c r="A277" s="147">
        <v>9009190302</v>
      </c>
      <c r="B277" s="148" t="s">
        <v>2775</v>
      </c>
      <c r="C277" s="150" t="s">
        <v>944</v>
      </c>
      <c r="D277" s="70">
        <v>114957.60608448001</v>
      </c>
      <c r="E277" s="70">
        <v>20711.39</v>
      </c>
      <c r="F277" s="14">
        <v>25</v>
      </c>
      <c r="G277" s="14">
        <v>25</v>
      </c>
      <c r="H277" s="14">
        <v>0</v>
      </c>
      <c r="I277" s="14">
        <v>0</v>
      </c>
      <c r="J277" s="69">
        <v>20708.009999999998</v>
      </c>
      <c r="K277">
        <f t="shared" si="4"/>
        <v>0</v>
      </c>
      <c r="L277" s="14">
        <v>0</v>
      </c>
      <c r="M277" s="14">
        <v>0</v>
      </c>
      <c r="N277" s="14">
        <v>0</v>
      </c>
      <c r="O277" s="69">
        <v>0</v>
      </c>
      <c r="P277" s="226">
        <f>VLOOKUP(Table323[[#This Row],[Census Tract]],'Population and Diversity Data'!$B$2:$K$823,10,FALSE)</f>
        <v>2</v>
      </c>
      <c r="Q277" s="226" t="str">
        <f>VLOOKUP(Table323[[#This Row],[Census Tract]],'ES Energy Burden'!$B$2:$E$914,4,FALSE)</f>
        <v>No</v>
      </c>
      <c r="R277" s="248">
        <f>VLOOKUP(Table323[[#This Row],[Census Tract]],'Income and Housing Data'!$B$2:$D$823,3,FALSE)</f>
        <v>105769</v>
      </c>
      <c r="S277" s="248" t="str">
        <f>IF($U$6&lt;=Table323[[#This Row],[Household income]],IF(Table323[[#This Row],[Household income]]&lt;=$U$7, "Yes","No"),"No")</f>
        <v>No</v>
      </c>
    </row>
    <row r="278" spans="1:19" x14ac:dyDescent="0.25">
      <c r="A278" s="147">
        <v>9009190303</v>
      </c>
      <c r="B278" s="148" t="s">
        <v>2775</v>
      </c>
      <c r="C278" s="150" t="s">
        <v>944</v>
      </c>
      <c r="D278" s="70">
        <v>79310.844869760011</v>
      </c>
      <c r="E278" s="70">
        <v>18373.099999999999</v>
      </c>
      <c r="F278" s="14">
        <v>13</v>
      </c>
      <c r="G278" s="14">
        <v>13</v>
      </c>
      <c r="H278" s="14">
        <v>0</v>
      </c>
      <c r="I278" s="14">
        <v>0</v>
      </c>
      <c r="J278" s="69">
        <v>11893.87</v>
      </c>
      <c r="K278">
        <f t="shared" si="4"/>
        <v>0</v>
      </c>
      <c r="L278" s="14">
        <v>0</v>
      </c>
      <c r="M278" s="14">
        <v>0</v>
      </c>
      <c r="N278" s="14">
        <v>0</v>
      </c>
      <c r="O278" s="69">
        <v>0</v>
      </c>
      <c r="P278" s="226">
        <f>VLOOKUP(Table323[[#This Row],[Census Tract]],'Population and Diversity Data'!$B$2:$K$823,10,FALSE)</f>
        <v>2</v>
      </c>
      <c r="Q278" s="226" t="str">
        <f>VLOOKUP(Table323[[#This Row],[Census Tract]],'ES Energy Burden'!$B$2:$E$914,4,FALSE)</f>
        <v>No</v>
      </c>
      <c r="R278" s="248">
        <f>VLOOKUP(Table323[[#This Row],[Census Tract]],'Income and Housing Data'!$B$2:$D$823,3,FALSE)</f>
        <v>106063</v>
      </c>
      <c r="S278" s="248" t="str">
        <f>IF($U$6&lt;=Table323[[#This Row],[Household income]],IF(Table323[[#This Row],[Household income]]&lt;=$U$7, "Yes","No"),"No")</f>
        <v>No</v>
      </c>
    </row>
    <row r="279" spans="1:19" x14ac:dyDescent="0.25">
      <c r="A279" s="147">
        <v>9009194201</v>
      </c>
      <c r="B279" s="148" t="s">
        <v>2775</v>
      </c>
      <c r="C279" s="150" t="s">
        <v>944</v>
      </c>
      <c r="D279" s="70">
        <v>910.06882560000008</v>
      </c>
      <c r="E279" s="70">
        <v>0</v>
      </c>
      <c r="F279" s="14">
        <v>0</v>
      </c>
      <c r="G279" s="14">
        <v>0</v>
      </c>
      <c r="H279" s="14">
        <v>0</v>
      </c>
      <c r="I279" s="14">
        <v>0</v>
      </c>
      <c r="J279" s="69">
        <v>0</v>
      </c>
      <c r="K279">
        <f t="shared" si="4"/>
        <v>0</v>
      </c>
      <c r="L279" s="14">
        <v>0</v>
      </c>
      <c r="M279" s="14">
        <v>0</v>
      </c>
      <c r="N279" s="14">
        <v>0</v>
      </c>
      <c r="O279" s="69">
        <v>0</v>
      </c>
      <c r="P279" s="226">
        <f>VLOOKUP(Table323[[#This Row],[Census Tract]],'Population and Diversity Data'!$B$2:$K$823,10,FALSE)</f>
        <v>3</v>
      </c>
      <c r="Q279" s="226" t="str">
        <f>VLOOKUP(Table323[[#This Row],[Census Tract]],'ES Energy Burden'!$B$2:$E$914,4,FALSE)</f>
        <v>No</v>
      </c>
      <c r="R279" s="248">
        <f>VLOOKUP(Table323[[#This Row],[Census Tract]],'Income and Housing Data'!$B$2:$D$823,3,FALSE)</f>
        <v>122031</v>
      </c>
      <c r="S279" s="248" t="str">
        <f>IF($U$6&lt;=Table323[[#This Row],[Household income]],IF(Table323[[#This Row],[Household income]]&lt;=$U$7, "Yes","No"),"No")</f>
        <v>No</v>
      </c>
    </row>
    <row r="280" spans="1:19" x14ac:dyDescent="0.25">
      <c r="A280" s="147">
        <v>9007590100</v>
      </c>
      <c r="B280" s="148" t="s">
        <v>2776</v>
      </c>
      <c r="C280" s="150" t="s">
        <v>944</v>
      </c>
      <c r="D280" s="70">
        <v>183426.5535984</v>
      </c>
      <c r="E280" s="70">
        <v>59673.923699999999</v>
      </c>
      <c r="F280" s="14">
        <v>21</v>
      </c>
      <c r="G280" s="14">
        <v>21</v>
      </c>
      <c r="H280" s="14">
        <v>0</v>
      </c>
      <c r="I280" s="14">
        <v>0</v>
      </c>
      <c r="J280" s="69">
        <v>23342.6937</v>
      </c>
      <c r="K280">
        <f t="shared" si="4"/>
        <v>9</v>
      </c>
      <c r="L280" s="14">
        <v>7</v>
      </c>
      <c r="M280" s="14">
        <v>2</v>
      </c>
      <c r="N280" s="14">
        <v>0</v>
      </c>
      <c r="O280" s="69">
        <v>11283.5</v>
      </c>
      <c r="P280" s="226">
        <f>VLOOKUP(Table323[[#This Row],[Census Tract]],'Population and Diversity Data'!$B$2:$K$823,10,FALSE)</f>
        <v>1</v>
      </c>
      <c r="Q280" s="226" t="str">
        <f>VLOOKUP(Table323[[#This Row],[Census Tract]],'ES Energy Burden'!$B$2:$E$914,4,FALSE)</f>
        <v>No</v>
      </c>
      <c r="R280" s="248">
        <f>VLOOKUP(Table323[[#This Row],[Census Tract]],'Income and Housing Data'!$B$2:$D$823,3,FALSE)</f>
        <v>110497</v>
      </c>
      <c r="S280" s="248" t="str">
        <f>IF($U$6&lt;=Table323[[#This Row],[Household income]],IF(Table323[[#This Row],[Household income]]&lt;=$U$7, "Yes","No"),"No")</f>
        <v>No</v>
      </c>
    </row>
    <row r="281" spans="1:19" x14ac:dyDescent="0.25">
      <c r="A281" s="147">
        <v>9015820000</v>
      </c>
      <c r="B281" s="148" t="s">
        <v>2777</v>
      </c>
      <c r="C281" s="150" t="s">
        <v>944</v>
      </c>
      <c r="D281" s="70">
        <v>39907.668815999998</v>
      </c>
      <c r="E281" s="70">
        <v>11419.08</v>
      </c>
      <c r="F281" s="14">
        <v>1</v>
      </c>
      <c r="G281" s="14">
        <v>1</v>
      </c>
      <c r="H281" s="14">
        <v>0</v>
      </c>
      <c r="I281" s="14">
        <v>0</v>
      </c>
      <c r="J281" s="69">
        <v>327.83</v>
      </c>
      <c r="K281">
        <f t="shared" si="4"/>
        <v>1</v>
      </c>
      <c r="L281" s="14">
        <v>1</v>
      </c>
      <c r="M281" s="14">
        <v>0</v>
      </c>
      <c r="N281" s="14">
        <v>0</v>
      </c>
      <c r="O281" s="69">
        <v>478.11</v>
      </c>
      <c r="P281" s="226">
        <f>VLOOKUP(Table323[[#This Row],[Census Tract]],'Population and Diversity Data'!$B$2:$K$823,10,FALSE)</f>
        <v>4</v>
      </c>
      <c r="Q281" s="226" t="str">
        <f>VLOOKUP(Table323[[#This Row],[Census Tract]],'ES Energy Burden'!$B$2:$E$914,4,FALSE)</f>
        <v>No</v>
      </c>
      <c r="R281" s="248">
        <f>VLOOKUP(Table323[[#This Row],[Census Tract]],'Income and Housing Data'!$B$2:$D$823,3,FALSE)</f>
        <v>81016</v>
      </c>
      <c r="S281" s="248" t="str">
        <f>IF($U$6&lt;=Table323[[#This Row],[Household income]],IF(Table323[[#This Row],[Household income]]&lt;=$U$7, "Yes","No"),"No")</f>
        <v>No</v>
      </c>
    </row>
    <row r="282" spans="1:19" x14ac:dyDescent="0.25">
      <c r="A282" s="147">
        <v>9003471100</v>
      </c>
      <c r="B282" s="148" t="s">
        <v>979</v>
      </c>
      <c r="C282" s="150" t="s">
        <v>944</v>
      </c>
      <c r="D282" s="70">
        <v>393.70786559999999</v>
      </c>
      <c r="E282" s="70">
        <v>823.31</v>
      </c>
      <c r="F282" s="14">
        <v>1</v>
      </c>
      <c r="G282" s="14">
        <v>1</v>
      </c>
      <c r="H282" s="14">
        <v>0</v>
      </c>
      <c r="I282" s="14">
        <v>0</v>
      </c>
      <c r="J282" s="69">
        <v>647.61</v>
      </c>
      <c r="K282">
        <f t="shared" si="4"/>
        <v>0</v>
      </c>
      <c r="L282" s="14">
        <v>0</v>
      </c>
      <c r="M282" s="14">
        <v>0</v>
      </c>
      <c r="N282" s="14">
        <v>0</v>
      </c>
      <c r="O282" s="69">
        <v>0</v>
      </c>
      <c r="P282" s="226">
        <f>VLOOKUP(Table323[[#This Row],[Census Tract]],'Population and Diversity Data'!$B$2:$K$823,10,FALSE)</f>
        <v>3</v>
      </c>
      <c r="Q282" s="226" t="str">
        <f>VLOOKUP(Table323[[#This Row],[Census Tract]],'ES Energy Burden'!$B$2:$E$914,4,FALSE)</f>
        <v>No</v>
      </c>
      <c r="R282" s="248">
        <f>VLOOKUP(Table323[[#This Row],[Census Tract]],'Income and Housing Data'!$B$2:$D$823,3,FALSE)</f>
        <v>75293</v>
      </c>
      <c r="S282" s="248" t="str">
        <f>IF($U$6&lt;=Table323[[#This Row],[Household income]],IF(Table323[[#This Row],[Household income]]&lt;=$U$7, "Yes","No"),"No")</f>
        <v>No</v>
      </c>
    </row>
    <row r="283" spans="1:19" x14ac:dyDescent="0.25">
      <c r="A283" s="147">
        <v>9003496700</v>
      </c>
      <c r="B283" s="148" t="s">
        <v>979</v>
      </c>
      <c r="C283" s="150" t="s">
        <v>944</v>
      </c>
      <c r="D283" s="70">
        <v>144.50581439999999</v>
      </c>
      <c r="E283" s="70">
        <v>0</v>
      </c>
      <c r="F283" s="14">
        <v>0</v>
      </c>
      <c r="G283" s="14">
        <v>0</v>
      </c>
      <c r="H283" s="14">
        <v>0</v>
      </c>
      <c r="I283" s="14">
        <v>0</v>
      </c>
      <c r="J283" s="69">
        <v>0</v>
      </c>
      <c r="K283">
        <f t="shared" si="4"/>
        <v>0</v>
      </c>
      <c r="L283" s="14">
        <v>0</v>
      </c>
      <c r="M283" s="14">
        <v>0</v>
      </c>
      <c r="N283" s="14">
        <v>0</v>
      </c>
      <c r="O283" s="69">
        <v>0</v>
      </c>
      <c r="P283" s="226">
        <f>VLOOKUP(Table323[[#This Row],[Census Tract]],'Population and Diversity Data'!$B$2:$K$823,10,FALSE)</f>
        <v>5</v>
      </c>
      <c r="Q283" s="226" t="str">
        <f>VLOOKUP(Table323[[#This Row],[Census Tract]],'ES Energy Burden'!$B$2:$E$914,4,FALSE)</f>
        <v>No</v>
      </c>
      <c r="R283" s="248">
        <f>VLOOKUP(Table323[[#This Row],[Census Tract]],'Income and Housing Data'!$B$2:$D$823,3,FALSE)</f>
        <v>58889</v>
      </c>
      <c r="S283" s="248" t="str">
        <f>IF($U$6&lt;=Table323[[#This Row],[Household income]],IF(Table323[[#This Row],[Household income]]&lt;=$U$7, "Yes","No"),"No")</f>
        <v>Yes</v>
      </c>
    </row>
    <row r="284" spans="1:19" x14ac:dyDescent="0.25">
      <c r="A284" s="147">
        <v>9003496800</v>
      </c>
      <c r="B284" s="148" t="s">
        <v>979</v>
      </c>
      <c r="C284" s="150" t="s">
        <v>944</v>
      </c>
      <c r="D284" s="70">
        <v>153.42635519999999</v>
      </c>
      <c r="E284" s="70">
        <v>0</v>
      </c>
      <c r="F284" s="14">
        <v>0</v>
      </c>
      <c r="G284" s="14">
        <v>0</v>
      </c>
      <c r="H284" s="14">
        <v>0</v>
      </c>
      <c r="I284" s="14">
        <v>0</v>
      </c>
      <c r="J284" s="69">
        <v>0</v>
      </c>
      <c r="K284">
        <f t="shared" si="4"/>
        <v>0</v>
      </c>
      <c r="L284" s="14">
        <v>0</v>
      </c>
      <c r="M284" s="14">
        <v>0</v>
      </c>
      <c r="N284" s="14">
        <v>0</v>
      </c>
      <c r="O284" s="69">
        <v>0</v>
      </c>
      <c r="P284" s="226">
        <f>VLOOKUP(Table323[[#This Row],[Census Tract]],'Population and Diversity Data'!$B$2:$K$823,10,FALSE)</f>
        <v>5</v>
      </c>
      <c r="Q284" s="226" t="str">
        <f>VLOOKUP(Table323[[#This Row],[Census Tract]],'ES Energy Burden'!$B$2:$E$914,4,FALSE)</f>
        <v>No</v>
      </c>
      <c r="R284" s="248">
        <f>VLOOKUP(Table323[[#This Row],[Census Tract]],'Income and Housing Data'!$B$2:$D$823,3,FALSE)</f>
        <v>82346</v>
      </c>
      <c r="S284" s="248" t="str">
        <f>IF($U$6&lt;=Table323[[#This Row],[Household income]],IF(Table323[[#This Row],[Household income]]&lt;=$U$7, "Yes","No"),"No")</f>
        <v>No</v>
      </c>
    </row>
    <row r="285" spans="1:19" x14ac:dyDescent="0.25">
      <c r="A285" s="147">
        <v>9003496900</v>
      </c>
      <c r="B285" s="148" t="s">
        <v>979</v>
      </c>
      <c r="C285" s="150" t="s">
        <v>944</v>
      </c>
      <c r="D285" s="70">
        <v>284.866848</v>
      </c>
      <c r="E285" s="70">
        <v>0</v>
      </c>
      <c r="F285" s="14">
        <v>0</v>
      </c>
      <c r="G285" s="14">
        <v>0</v>
      </c>
      <c r="H285" s="14">
        <v>0</v>
      </c>
      <c r="I285" s="14">
        <v>0</v>
      </c>
      <c r="J285" s="69">
        <v>0</v>
      </c>
      <c r="K285">
        <f t="shared" si="4"/>
        <v>0</v>
      </c>
      <c r="L285" s="14">
        <v>0</v>
      </c>
      <c r="M285" s="14">
        <v>0</v>
      </c>
      <c r="N285" s="14">
        <v>0</v>
      </c>
      <c r="O285" s="69">
        <v>0</v>
      </c>
      <c r="P285" s="226">
        <f>VLOOKUP(Table323[[#This Row],[Census Tract]],'Population and Diversity Data'!$B$2:$K$823,10,FALSE)</f>
        <v>3</v>
      </c>
      <c r="Q285" s="226" t="str">
        <f>VLOOKUP(Table323[[#This Row],[Census Tract]],'ES Energy Burden'!$B$2:$E$914,4,FALSE)</f>
        <v>No</v>
      </c>
      <c r="R285" s="248">
        <f>VLOOKUP(Table323[[#This Row],[Census Tract]],'Income and Housing Data'!$B$2:$D$823,3,FALSE)</f>
        <v>96472</v>
      </c>
      <c r="S285" s="248" t="str">
        <f>IF($U$6&lt;=Table323[[#This Row],[Household income]],IF(Table323[[#This Row],[Household income]]&lt;=$U$7, "Yes","No"),"No")</f>
        <v>No</v>
      </c>
    </row>
    <row r="286" spans="1:19" x14ac:dyDescent="0.25">
      <c r="A286" s="147">
        <v>9003497100</v>
      </c>
      <c r="B286" s="148" t="s">
        <v>979</v>
      </c>
      <c r="C286" s="150" t="s">
        <v>944</v>
      </c>
      <c r="D286" s="70">
        <v>80.979523199999988</v>
      </c>
      <c r="E286" s="70">
        <v>0</v>
      </c>
      <c r="F286" s="14">
        <v>0</v>
      </c>
      <c r="G286" s="14">
        <v>0</v>
      </c>
      <c r="H286" s="14">
        <v>0</v>
      </c>
      <c r="I286" s="14">
        <v>0</v>
      </c>
      <c r="J286" s="69">
        <v>0</v>
      </c>
      <c r="K286">
        <f t="shared" si="4"/>
        <v>0</v>
      </c>
      <c r="L286" s="14">
        <v>0</v>
      </c>
      <c r="M286" s="14">
        <v>0</v>
      </c>
      <c r="N286" s="14">
        <v>0</v>
      </c>
      <c r="O286" s="69">
        <v>0</v>
      </c>
      <c r="P286" s="226">
        <f>VLOOKUP(Table323[[#This Row],[Census Tract]],'Population and Diversity Data'!$B$2:$K$823,10,FALSE)</f>
        <v>2</v>
      </c>
      <c r="Q286" s="226" t="str">
        <f>VLOOKUP(Table323[[#This Row],[Census Tract]],'ES Energy Burden'!$B$2:$E$914,4,FALSE)</f>
        <v>No</v>
      </c>
      <c r="R286" s="248">
        <f>VLOOKUP(Table323[[#This Row],[Census Tract]],'Income and Housing Data'!$B$2:$D$823,3,FALSE)</f>
        <v>75135</v>
      </c>
      <c r="S286" s="248" t="str">
        <f>IF($U$6&lt;=Table323[[#This Row],[Household income]],IF(Table323[[#This Row],[Household income]]&lt;=$U$7, "Yes","No"),"No")</f>
        <v>No</v>
      </c>
    </row>
    <row r="287" spans="1:19" x14ac:dyDescent="0.25">
      <c r="A287" s="147">
        <v>9003500100</v>
      </c>
      <c r="B287" s="148" t="s">
        <v>979</v>
      </c>
      <c r="C287" s="150" t="s">
        <v>944</v>
      </c>
      <c r="D287" s="70">
        <v>27599.33412</v>
      </c>
      <c r="E287" s="70">
        <v>2246.44</v>
      </c>
      <c r="F287" s="14">
        <v>3</v>
      </c>
      <c r="G287" s="14">
        <v>1</v>
      </c>
      <c r="H287" s="14">
        <v>2</v>
      </c>
      <c r="I287" s="14">
        <v>0</v>
      </c>
      <c r="J287" s="69">
        <v>313.92</v>
      </c>
      <c r="K287">
        <f t="shared" si="4"/>
        <v>0</v>
      </c>
      <c r="L287" s="14">
        <v>0</v>
      </c>
      <c r="M287" s="14">
        <v>0</v>
      </c>
      <c r="N287" s="14">
        <v>0</v>
      </c>
      <c r="O287" s="69">
        <v>0</v>
      </c>
      <c r="P287" s="226">
        <f>VLOOKUP(Table323[[#This Row],[Census Tract]],'Population and Diversity Data'!$B$2:$K$823,10,FALSE)</f>
        <v>5</v>
      </c>
      <c r="Q287" s="226" t="str">
        <f>VLOOKUP(Table323[[#This Row],[Census Tract]],'ES Energy Burden'!$B$2:$E$914,4,FALSE)</f>
        <v>Yes</v>
      </c>
      <c r="R287" s="248">
        <f>VLOOKUP(Table323[[#This Row],[Census Tract]],'Income and Housing Data'!$B$2:$D$823,3,FALSE)</f>
        <v>28438</v>
      </c>
      <c r="S287" s="248" t="str">
        <f>IF($U$6&lt;=Table323[[#This Row],[Household income]],IF(Table323[[#This Row],[Household income]]&lt;=$U$7, "Yes","No"),"No")</f>
        <v>No</v>
      </c>
    </row>
    <row r="288" spans="1:19" x14ac:dyDescent="0.25">
      <c r="A288" s="147">
        <v>9003500200</v>
      </c>
      <c r="B288" s="148" t="s">
        <v>979</v>
      </c>
      <c r="C288" s="150" t="s">
        <v>944</v>
      </c>
      <c r="D288" s="70">
        <v>18357.163539839996</v>
      </c>
      <c r="E288" s="70">
        <v>1257.69</v>
      </c>
      <c r="F288" s="14">
        <v>2</v>
      </c>
      <c r="G288" s="14">
        <v>1</v>
      </c>
      <c r="H288" s="14">
        <v>1</v>
      </c>
      <c r="I288" s="14">
        <v>0</v>
      </c>
      <c r="J288" s="69">
        <v>272.32</v>
      </c>
      <c r="K288">
        <f t="shared" si="4"/>
        <v>0</v>
      </c>
      <c r="L288" s="14">
        <v>0</v>
      </c>
      <c r="M288" s="14">
        <v>0</v>
      </c>
      <c r="N288" s="14">
        <v>0</v>
      </c>
      <c r="O288" s="69">
        <v>0</v>
      </c>
      <c r="P288" s="226">
        <f>VLOOKUP(Table323[[#This Row],[Census Tract]],'Population and Diversity Data'!$B$2:$K$823,10,FALSE)</f>
        <v>5</v>
      </c>
      <c r="Q288" s="226" t="str">
        <f>VLOOKUP(Table323[[#This Row],[Census Tract]],'ES Energy Burden'!$B$2:$E$914,4,FALSE)</f>
        <v>Yes</v>
      </c>
      <c r="R288" s="248">
        <f>VLOOKUP(Table323[[#This Row],[Census Tract]],'Income and Housing Data'!$B$2:$D$823,3,FALSE)</f>
        <v>24943</v>
      </c>
      <c r="S288" s="248" t="str">
        <f>IF($U$6&lt;=Table323[[#This Row],[Household income]],IF(Table323[[#This Row],[Household income]]&lt;=$U$7, "Yes","No"),"No")</f>
        <v>No</v>
      </c>
    </row>
    <row r="289" spans="1:19" x14ac:dyDescent="0.25">
      <c r="A289" s="147">
        <v>9003500300</v>
      </c>
      <c r="B289" s="148" t="s">
        <v>979</v>
      </c>
      <c r="C289" s="150" t="s">
        <v>936</v>
      </c>
      <c r="D289" s="70">
        <v>19192.581737280001</v>
      </c>
      <c r="E289" s="70">
        <v>15607.35</v>
      </c>
      <c r="F289" s="14">
        <v>1</v>
      </c>
      <c r="G289" s="14">
        <v>1</v>
      </c>
      <c r="H289" s="14">
        <v>0</v>
      </c>
      <c r="I289" s="14">
        <v>0</v>
      </c>
      <c r="J289" s="69">
        <v>1186.93</v>
      </c>
      <c r="K289">
        <f t="shared" si="4"/>
        <v>0</v>
      </c>
      <c r="L289" s="14">
        <v>0</v>
      </c>
      <c r="M289" s="14">
        <v>0</v>
      </c>
      <c r="N289" s="14">
        <v>0</v>
      </c>
      <c r="O289" s="69">
        <v>0</v>
      </c>
      <c r="P289" s="226">
        <f>VLOOKUP(Table323[[#This Row],[Census Tract]],'Population and Diversity Data'!$B$2:$K$823,10,FALSE)</f>
        <v>5</v>
      </c>
      <c r="Q289" s="226" t="e">
        <f>VLOOKUP(Table323[[#This Row],[Census Tract]],'ES Energy Burden'!$B$2:$E$914,4,FALSE)</f>
        <v>#N/A</v>
      </c>
      <c r="R289" s="248">
        <f>VLOOKUP(Table323[[#This Row],[Census Tract]],'Income and Housing Data'!$B$2:$D$823,3,FALSE)</f>
        <v>24325</v>
      </c>
      <c r="S289" s="248" t="str">
        <f>IF($U$6&lt;=Table323[[#This Row],[Household income]],IF(Table323[[#This Row],[Household income]]&lt;=$U$7, "Yes","No"),"No")</f>
        <v>No</v>
      </c>
    </row>
    <row r="290" spans="1:19" x14ac:dyDescent="0.25">
      <c r="A290" s="147">
        <v>9003500400</v>
      </c>
      <c r="B290" s="148" t="s">
        <v>979</v>
      </c>
      <c r="C290" s="150" t="s">
        <v>944</v>
      </c>
      <c r="D290" s="70">
        <v>20330.00047296</v>
      </c>
      <c r="E290" s="70">
        <v>601.65</v>
      </c>
      <c r="F290" s="14">
        <v>1</v>
      </c>
      <c r="G290" s="14">
        <v>1</v>
      </c>
      <c r="H290" s="14">
        <v>0</v>
      </c>
      <c r="I290" s="14">
        <v>0</v>
      </c>
      <c r="J290" s="69">
        <v>11.18</v>
      </c>
      <c r="K290">
        <f t="shared" si="4"/>
        <v>0</v>
      </c>
      <c r="L290" s="14">
        <v>0</v>
      </c>
      <c r="M290" s="14">
        <v>0</v>
      </c>
      <c r="N290" s="14">
        <v>0</v>
      </c>
      <c r="O290" s="69">
        <v>0</v>
      </c>
      <c r="P290" s="226">
        <f>VLOOKUP(Table323[[#This Row],[Census Tract]],'Population and Diversity Data'!$B$2:$K$823,10,FALSE)</f>
        <v>5</v>
      </c>
      <c r="Q290" s="226" t="str">
        <f>VLOOKUP(Table323[[#This Row],[Census Tract]],'ES Energy Burden'!$B$2:$E$914,4,FALSE)</f>
        <v>Yes</v>
      </c>
      <c r="R290" s="248">
        <f>VLOOKUP(Table323[[#This Row],[Census Tract]],'Income and Housing Data'!$B$2:$D$823,3,FALSE)</f>
        <v>33750</v>
      </c>
      <c r="S290" s="248" t="str">
        <f>IF($U$6&lt;=Table323[[#This Row],[Household income]],IF(Table323[[#This Row],[Household income]]&lt;=$U$7, "Yes","No"),"No")</f>
        <v>No</v>
      </c>
    </row>
    <row r="291" spans="1:19" x14ac:dyDescent="0.25">
      <c r="A291" s="147">
        <v>9003500500</v>
      </c>
      <c r="B291" s="148" t="s">
        <v>979</v>
      </c>
      <c r="C291" s="150" t="s">
        <v>944</v>
      </c>
      <c r="D291" s="70">
        <v>16445.239833600001</v>
      </c>
      <c r="E291" s="70">
        <v>148437.2053</v>
      </c>
      <c r="F291" s="14">
        <v>1</v>
      </c>
      <c r="G291" s="14">
        <v>1</v>
      </c>
      <c r="H291" s="14">
        <v>0</v>
      </c>
      <c r="I291" s="14">
        <v>0</v>
      </c>
      <c r="J291" s="69">
        <v>252.25</v>
      </c>
      <c r="K291">
        <f t="shared" si="4"/>
        <v>0</v>
      </c>
      <c r="L291" s="14">
        <v>0</v>
      </c>
      <c r="M291" s="14">
        <v>0</v>
      </c>
      <c r="N291" s="14">
        <v>0</v>
      </c>
      <c r="O291" s="69">
        <v>0</v>
      </c>
      <c r="P291" s="226">
        <f>VLOOKUP(Table323[[#This Row],[Census Tract]],'Population and Diversity Data'!$B$2:$K$823,10,FALSE)</f>
        <v>5</v>
      </c>
      <c r="Q291" s="226" t="str">
        <f>VLOOKUP(Table323[[#This Row],[Census Tract]],'ES Energy Burden'!$B$2:$E$914,4,FALSE)</f>
        <v>No</v>
      </c>
      <c r="R291" s="248">
        <f>VLOOKUP(Table323[[#This Row],[Census Tract]],'Income and Housing Data'!$B$2:$D$823,3,FALSE)</f>
        <v>45481</v>
      </c>
      <c r="S291" s="248" t="str">
        <f>IF($U$6&lt;=Table323[[#This Row],[Household income]],IF(Table323[[#This Row],[Household income]]&lt;=$U$7, "Yes","No"),"No")</f>
        <v>No</v>
      </c>
    </row>
    <row r="292" spans="1:19" x14ac:dyDescent="0.25">
      <c r="A292" s="147">
        <v>9003500900</v>
      </c>
      <c r="B292" s="148" t="s">
        <v>979</v>
      </c>
      <c r="C292" s="150" t="s">
        <v>944</v>
      </c>
      <c r="D292" s="70">
        <v>20985.07844736</v>
      </c>
      <c r="E292" s="70">
        <v>8680.39</v>
      </c>
      <c r="F292" s="14">
        <v>1</v>
      </c>
      <c r="G292" s="14">
        <v>1</v>
      </c>
      <c r="H292" s="14">
        <v>0</v>
      </c>
      <c r="I292" s="14">
        <v>0</v>
      </c>
      <c r="J292" s="69">
        <v>2.34</v>
      </c>
      <c r="K292">
        <f t="shared" si="4"/>
        <v>0</v>
      </c>
      <c r="L292" s="14">
        <v>0</v>
      </c>
      <c r="M292" s="14">
        <v>0</v>
      </c>
      <c r="N292" s="14">
        <v>0</v>
      </c>
      <c r="O292" s="69">
        <v>0</v>
      </c>
      <c r="P292" s="226">
        <f>VLOOKUP(Table323[[#This Row],[Census Tract]],'Population and Diversity Data'!$B$2:$K$823,10,FALSE)</f>
        <v>5</v>
      </c>
      <c r="Q292" s="226" t="str">
        <f>VLOOKUP(Table323[[#This Row],[Census Tract]],'ES Energy Burden'!$B$2:$E$914,4,FALSE)</f>
        <v>Yes</v>
      </c>
      <c r="R292" s="248">
        <f>VLOOKUP(Table323[[#This Row],[Census Tract]],'Income and Housing Data'!$B$2:$D$823,3,FALSE)</f>
        <v>21633</v>
      </c>
      <c r="S292" s="248" t="str">
        <f>IF($U$6&lt;=Table323[[#This Row],[Household income]],IF(Table323[[#This Row],[Household income]]&lt;=$U$7, "Yes","No"),"No")</f>
        <v>No</v>
      </c>
    </row>
    <row r="293" spans="1:19" x14ac:dyDescent="0.25">
      <c r="A293" s="147">
        <v>9003501200</v>
      </c>
      <c r="B293" s="148" t="s">
        <v>979</v>
      </c>
      <c r="C293" s="150" t="s">
        <v>944</v>
      </c>
      <c r="D293" s="70">
        <v>23903.896184639998</v>
      </c>
      <c r="E293" s="70">
        <v>1628.75</v>
      </c>
      <c r="F293" s="14">
        <v>1</v>
      </c>
      <c r="G293" s="14">
        <v>1</v>
      </c>
      <c r="H293" s="14">
        <v>0</v>
      </c>
      <c r="I293" s="14">
        <v>0</v>
      </c>
      <c r="J293" s="69">
        <v>1015.1</v>
      </c>
      <c r="K293">
        <f t="shared" si="4"/>
        <v>0</v>
      </c>
      <c r="L293" s="14">
        <v>0</v>
      </c>
      <c r="M293" s="14">
        <v>0</v>
      </c>
      <c r="N293" s="14">
        <v>0</v>
      </c>
      <c r="O293" s="69">
        <v>0</v>
      </c>
      <c r="P293" s="226">
        <f>VLOOKUP(Table323[[#This Row],[Census Tract]],'Population and Diversity Data'!$B$2:$K$823,10,FALSE)</f>
        <v>4</v>
      </c>
      <c r="Q293" s="226" t="str">
        <f>VLOOKUP(Table323[[#This Row],[Census Tract]],'ES Energy Burden'!$B$2:$E$914,4,FALSE)</f>
        <v>Yes</v>
      </c>
      <c r="R293" s="248">
        <f>VLOOKUP(Table323[[#This Row],[Census Tract]],'Income and Housing Data'!$B$2:$D$823,3,FALSE)</f>
        <v>22449</v>
      </c>
      <c r="S293" s="248" t="str">
        <f>IF($U$6&lt;=Table323[[#This Row],[Household income]],IF(Table323[[#This Row],[Household income]]&lt;=$U$7, "Yes","No"),"No")</f>
        <v>No</v>
      </c>
    </row>
    <row r="294" spans="1:19" x14ac:dyDescent="0.25">
      <c r="A294" s="147">
        <v>9003501300</v>
      </c>
      <c r="B294" s="148" t="s">
        <v>979</v>
      </c>
      <c r="C294" s="150" t="s">
        <v>944</v>
      </c>
      <c r="D294" s="70">
        <v>14078.583889920001</v>
      </c>
      <c r="E294" s="70">
        <v>2029.63</v>
      </c>
      <c r="F294" s="14">
        <v>0</v>
      </c>
      <c r="G294" s="14">
        <v>0</v>
      </c>
      <c r="H294" s="14">
        <v>0</v>
      </c>
      <c r="I294" s="14">
        <v>0</v>
      </c>
      <c r="J294" s="69">
        <v>0</v>
      </c>
      <c r="K294">
        <f t="shared" si="4"/>
        <v>0</v>
      </c>
      <c r="L294" s="14">
        <v>0</v>
      </c>
      <c r="M294" s="14">
        <v>0</v>
      </c>
      <c r="N294" s="14">
        <v>0</v>
      </c>
      <c r="O294" s="69">
        <v>0</v>
      </c>
      <c r="P294" s="226">
        <f>VLOOKUP(Table323[[#This Row],[Census Tract]],'Population and Diversity Data'!$B$2:$K$823,10,FALSE)</f>
        <v>4</v>
      </c>
      <c r="Q294" s="226" t="str">
        <f>VLOOKUP(Table323[[#This Row],[Census Tract]],'ES Energy Burden'!$B$2:$E$914,4,FALSE)</f>
        <v>Yes</v>
      </c>
      <c r="R294" s="248">
        <f>VLOOKUP(Table323[[#This Row],[Census Tract]],'Income and Housing Data'!$B$2:$D$823,3,FALSE)</f>
        <v>30034</v>
      </c>
      <c r="S294" s="248" t="str">
        <f>IF($U$6&lt;=Table323[[#This Row],[Household income]],IF(Table323[[#This Row],[Household income]]&lt;=$U$7, "Yes","No"),"No")</f>
        <v>No</v>
      </c>
    </row>
    <row r="295" spans="1:19" x14ac:dyDescent="0.25">
      <c r="A295" s="147">
        <v>9003501400</v>
      </c>
      <c r="B295" s="148" t="s">
        <v>979</v>
      </c>
      <c r="C295" s="150" t="s">
        <v>944</v>
      </c>
      <c r="D295" s="70">
        <v>25922.267818560002</v>
      </c>
      <c r="E295" s="70">
        <v>53046.98</v>
      </c>
      <c r="F295" s="14">
        <v>2</v>
      </c>
      <c r="G295" s="14">
        <v>0</v>
      </c>
      <c r="H295" s="14">
        <v>2</v>
      </c>
      <c r="I295" s="14">
        <v>0</v>
      </c>
      <c r="J295" s="69">
        <v>274.12</v>
      </c>
      <c r="K295">
        <f t="shared" si="4"/>
        <v>0</v>
      </c>
      <c r="L295" s="14">
        <v>0</v>
      </c>
      <c r="M295" s="14">
        <v>0</v>
      </c>
      <c r="N295" s="14">
        <v>0</v>
      </c>
      <c r="O295" s="69">
        <v>0</v>
      </c>
      <c r="P295" s="226">
        <f>VLOOKUP(Table323[[#This Row],[Census Tract]],'Population and Diversity Data'!$B$2:$K$823,10,FALSE)</f>
        <v>4</v>
      </c>
      <c r="Q295" s="226" t="str">
        <f>VLOOKUP(Table323[[#This Row],[Census Tract]],'ES Energy Burden'!$B$2:$E$914,4,FALSE)</f>
        <v>Yes</v>
      </c>
      <c r="R295" s="248">
        <f>VLOOKUP(Table323[[#This Row],[Census Tract]],'Income and Housing Data'!$B$2:$D$823,3,FALSE)</f>
        <v>23500</v>
      </c>
      <c r="S295" s="248" t="str">
        <f>IF($U$6&lt;=Table323[[#This Row],[Household income]],IF(Table323[[#This Row],[Household income]]&lt;=$U$7, "Yes","No"),"No")</f>
        <v>No</v>
      </c>
    </row>
    <row r="296" spans="1:19" x14ac:dyDescent="0.25">
      <c r="A296" s="147">
        <v>9003501500</v>
      </c>
      <c r="B296" s="148" t="s">
        <v>979</v>
      </c>
      <c r="C296" s="150" t="s">
        <v>944</v>
      </c>
      <c r="D296" s="70">
        <v>34494.509257919999</v>
      </c>
      <c r="E296" s="70">
        <v>10977.39</v>
      </c>
      <c r="F296" s="14">
        <v>0</v>
      </c>
      <c r="G296" s="14">
        <v>0</v>
      </c>
      <c r="H296" s="14">
        <v>0</v>
      </c>
      <c r="I296" s="14">
        <v>0</v>
      </c>
      <c r="J296" s="69">
        <v>0</v>
      </c>
      <c r="K296">
        <f t="shared" si="4"/>
        <v>0</v>
      </c>
      <c r="L296" s="14">
        <v>0</v>
      </c>
      <c r="M296" s="14">
        <v>0</v>
      </c>
      <c r="N296" s="14">
        <v>0</v>
      </c>
      <c r="O296" s="69">
        <v>0</v>
      </c>
      <c r="P296" s="226">
        <f>VLOOKUP(Table323[[#This Row],[Census Tract]],'Population and Diversity Data'!$B$2:$K$823,10,FALSE)</f>
        <v>3</v>
      </c>
      <c r="Q296" s="226" t="str">
        <f>VLOOKUP(Table323[[#This Row],[Census Tract]],'ES Energy Burden'!$B$2:$E$914,4,FALSE)</f>
        <v>Yes</v>
      </c>
      <c r="R296" s="248">
        <f>VLOOKUP(Table323[[#This Row],[Census Tract]],'Income and Housing Data'!$B$2:$D$823,3,FALSE)</f>
        <v>31309</v>
      </c>
      <c r="S296" s="248" t="str">
        <f>IF($U$6&lt;=Table323[[#This Row],[Household income]],IF(Table323[[#This Row],[Household income]]&lt;=$U$7, "Yes","No"),"No")</f>
        <v>No</v>
      </c>
    </row>
    <row r="297" spans="1:19" x14ac:dyDescent="0.25">
      <c r="A297" s="147">
        <v>9003501700</v>
      </c>
      <c r="B297" s="148" t="s">
        <v>979</v>
      </c>
      <c r="C297" s="150" t="s">
        <v>944</v>
      </c>
      <c r="D297" s="70">
        <v>10912.4263584</v>
      </c>
      <c r="E297" s="70">
        <v>1164.8900000000001</v>
      </c>
      <c r="F297" s="14">
        <v>0</v>
      </c>
      <c r="G297" s="14">
        <v>0</v>
      </c>
      <c r="H297" s="14">
        <v>0</v>
      </c>
      <c r="I297" s="14">
        <v>0</v>
      </c>
      <c r="J297" s="69">
        <v>0</v>
      </c>
      <c r="K297">
        <f t="shared" si="4"/>
        <v>0</v>
      </c>
      <c r="L297" s="14">
        <v>0</v>
      </c>
      <c r="M297" s="14">
        <v>0</v>
      </c>
      <c r="N297" s="14">
        <v>0</v>
      </c>
      <c r="O297" s="69">
        <v>0</v>
      </c>
      <c r="P297" s="226">
        <f>VLOOKUP(Table323[[#This Row],[Census Tract]],'Population and Diversity Data'!$B$2:$K$823,10,FALSE)</f>
        <v>5</v>
      </c>
      <c r="Q297" s="226" t="str">
        <f>VLOOKUP(Table323[[#This Row],[Census Tract]],'ES Energy Burden'!$B$2:$E$914,4,FALSE)</f>
        <v>Yes</v>
      </c>
      <c r="R297" s="248">
        <f>VLOOKUP(Table323[[#This Row],[Census Tract]],'Income and Housing Data'!$B$2:$D$823,3,FALSE)</f>
        <v>28029</v>
      </c>
      <c r="S297" s="248" t="str">
        <f>IF($U$6&lt;=Table323[[#This Row],[Household income]],IF(Table323[[#This Row],[Household income]]&lt;=$U$7, "Yes","No"),"No")</f>
        <v>No</v>
      </c>
    </row>
    <row r="298" spans="1:19" x14ac:dyDescent="0.25">
      <c r="A298" s="147">
        <v>9003501800</v>
      </c>
      <c r="B298" s="148" t="s">
        <v>979</v>
      </c>
      <c r="C298" s="150" t="s">
        <v>936</v>
      </c>
      <c r="D298" s="70">
        <v>19569.573285120001</v>
      </c>
      <c r="E298" s="70">
        <v>1213.1500000000001</v>
      </c>
      <c r="F298" s="14">
        <v>1</v>
      </c>
      <c r="G298" s="14">
        <v>0</v>
      </c>
      <c r="H298" s="14">
        <v>1</v>
      </c>
      <c r="I298" s="14">
        <v>0</v>
      </c>
      <c r="J298" s="69">
        <v>75.63</v>
      </c>
      <c r="K298">
        <f t="shared" si="4"/>
        <v>0</v>
      </c>
      <c r="L298" s="14">
        <v>0</v>
      </c>
      <c r="M298" s="14">
        <v>0</v>
      </c>
      <c r="N298" s="14">
        <v>0</v>
      </c>
      <c r="O298" s="69">
        <v>0</v>
      </c>
      <c r="P298" s="226">
        <f>VLOOKUP(Table323[[#This Row],[Census Tract]],'Population and Diversity Data'!$B$2:$K$823,10,FALSE)</f>
        <v>5</v>
      </c>
      <c r="Q298" s="226" t="e">
        <f>VLOOKUP(Table323[[#This Row],[Census Tract]],'ES Energy Burden'!$B$2:$E$914,4,FALSE)</f>
        <v>#N/A</v>
      </c>
      <c r="R298" s="248">
        <f>VLOOKUP(Table323[[#This Row],[Census Tract]],'Income and Housing Data'!$B$2:$D$823,3,FALSE)</f>
        <v>22454</v>
      </c>
      <c r="S298" s="248" t="str">
        <f>IF($U$6&lt;=Table323[[#This Row],[Household income]],IF(Table323[[#This Row],[Household income]]&lt;=$U$7, "Yes","No"),"No")</f>
        <v>No</v>
      </c>
    </row>
    <row r="299" spans="1:19" x14ac:dyDescent="0.25">
      <c r="A299" s="147">
        <v>9003502100</v>
      </c>
      <c r="B299" s="148" t="s">
        <v>979</v>
      </c>
      <c r="C299" s="150" t="s">
        <v>944</v>
      </c>
      <c r="D299" s="70">
        <v>27091.375603200002</v>
      </c>
      <c r="E299" s="70">
        <v>2298.11</v>
      </c>
      <c r="F299" s="14">
        <v>2</v>
      </c>
      <c r="G299" s="14">
        <v>0</v>
      </c>
      <c r="H299" s="14">
        <v>2</v>
      </c>
      <c r="I299" s="14">
        <v>0</v>
      </c>
      <c r="J299" s="69">
        <v>1333.77</v>
      </c>
      <c r="K299">
        <f t="shared" si="4"/>
        <v>0</v>
      </c>
      <c r="L299" s="14">
        <v>0</v>
      </c>
      <c r="M299" s="14">
        <v>0</v>
      </c>
      <c r="N299" s="14">
        <v>0</v>
      </c>
      <c r="O299" s="69">
        <v>0</v>
      </c>
      <c r="P299" s="226">
        <f>VLOOKUP(Table323[[#This Row],[Census Tract]],'Population and Diversity Data'!$B$2:$K$823,10,FALSE)</f>
        <v>5</v>
      </c>
      <c r="Q299" s="226" t="str">
        <f>VLOOKUP(Table323[[#This Row],[Census Tract]],'ES Energy Burden'!$B$2:$E$914,4,FALSE)</f>
        <v>No</v>
      </c>
      <c r="R299" s="248">
        <f>VLOOKUP(Table323[[#This Row],[Census Tract]],'Income and Housing Data'!$B$2:$D$823,3,FALSE)</f>
        <v>82355</v>
      </c>
      <c r="S299" s="248" t="str">
        <f>IF($U$6&lt;=Table323[[#This Row],[Household income]],IF(Table323[[#This Row],[Household income]]&lt;=$U$7, "Yes","No"),"No")</f>
        <v>No</v>
      </c>
    </row>
    <row r="300" spans="1:19" x14ac:dyDescent="0.25">
      <c r="A300" s="147">
        <v>9003502300</v>
      </c>
      <c r="B300" s="148" t="s">
        <v>979</v>
      </c>
      <c r="C300" s="150" t="s">
        <v>944</v>
      </c>
      <c r="D300" s="70">
        <v>61237.230647040007</v>
      </c>
      <c r="E300" s="70">
        <v>31422.542399999998</v>
      </c>
      <c r="F300" s="14">
        <v>11</v>
      </c>
      <c r="G300" s="14">
        <v>9</v>
      </c>
      <c r="H300" s="14">
        <v>2</v>
      </c>
      <c r="I300" s="14">
        <v>0</v>
      </c>
      <c r="J300" s="69">
        <v>4292.2424000000001</v>
      </c>
      <c r="K300">
        <f t="shared" si="4"/>
        <v>0</v>
      </c>
      <c r="L300" s="14">
        <v>0</v>
      </c>
      <c r="M300" s="14">
        <v>0</v>
      </c>
      <c r="N300" s="14">
        <v>0</v>
      </c>
      <c r="O300" s="69">
        <v>0</v>
      </c>
      <c r="P300" s="226">
        <f>VLOOKUP(Table323[[#This Row],[Census Tract]],'Population and Diversity Data'!$B$2:$K$823,10,FALSE)</f>
        <v>5</v>
      </c>
      <c r="Q300" s="226" t="str">
        <f>VLOOKUP(Table323[[#This Row],[Census Tract]],'ES Energy Burden'!$B$2:$E$914,4,FALSE)</f>
        <v>No</v>
      </c>
      <c r="R300" s="248">
        <f>VLOOKUP(Table323[[#This Row],[Census Tract]],'Income and Housing Data'!$B$2:$D$823,3,FALSE)</f>
        <v>49643</v>
      </c>
      <c r="S300" s="248" t="str">
        <f>IF($U$6&lt;=Table323[[#This Row],[Household income]],IF(Table323[[#This Row],[Household income]]&lt;=$U$7, "Yes","No"),"No")</f>
        <v>Yes</v>
      </c>
    </row>
    <row r="301" spans="1:19" x14ac:dyDescent="0.25">
      <c r="A301" s="147">
        <v>9003502400</v>
      </c>
      <c r="B301" s="148" t="s">
        <v>979</v>
      </c>
      <c r="C301" s="150" t="s">
        <v>944</v>
      </c>
      <c r="D301" s="70">
        <v>172365.84481248003</v>
      </c>
      <c r="E301" s="70">
        <v>1207764.3359999999</v>
      </c>
      <c r="F301" s="14">
        <v>385</v>
      </c>
      <c r="G301" s="14">
        <v>7</v>
      </c>
      <c r="H301" s="14">
        <v>5</v>
      </c>
      <c r="I301" s="14">
        <v>373</v>
      </c>
      <c r="J301" s="69">
        <v>155447.17000000001</v>
      </c>
      <c r="K301">
        <f t="shared" si="4"/>
        <v>1538</v>
      </c>
      <c r="L301" s="14">
        <v>765</v>
      </c>
      <c r="M301" s="14">
        <v>21</v>
      </c>
      <c r="N301" s="14">
        <v>752</v>
      </c>
      <c r="O301" s="69">
        <v>1052315</v>
      </c>
      <c r="P301" s="226">
        <f>VLOOKUP(Table323[[#This Row],[Census Tract]],'Population and Diversity Data'!$B$2:$K$823,10,FALSE)</f>
        <v>5</v>
      </c>
      <c r="Q301" s="226" t="str">
        <f>VLOOKUP(Table323[[#This Row],[Census Tract]],'ES Energy Burden'!$B$2:$E$914,4,FALSE)</f>
        <v>Yes</v>
      </c>
      <c r="R301" s="248">
        <f>VLOOKUP(Table323[[#This Row],[Census Tract]],'Income and Housing Data'!$B$2:$D$823,3,FALSE)</f>
        <v>31179</v>
      </c>
      <c r="S301" s="248" t="str">
        <f>IF($U$6&lt;=Table323[[#This Row],[Household income]],IF(Table323[[#This Row],[Household income]]&lt;=$U$7, "Yes","No"),"No")</f>
        <v>No</v>
      </c>
    </row>
    <row r="302" spans="1:19" x14ac:dyDescent="0.25">
      <c r="A302" s="147">
        <v>9003502500</v>
      </c>
      <c r="B302" s="148" t="s">
        <v>979</v>
      </c>
      <c r="C302" s="150" t="s">
        <v>944</v>
      </c>
      <c r="D302" s="70">
        <v>19596.776592960003</v>
      </c>
      <c r="E302" s="70">
        <v>18113.2</v>
      </c>
      <c r="F302" s="14">
        <v>1</v>
      </c>
      <c r="G302" s="14">
        <v>1</v>
      </c>
      <c r="H302" s="14">
        <v>0</v>
      </c>
      <c r="I302" s="14">
        <v>0</v>
      </c>
      <c r="J302" s="69">
        <v>286.23</v>
      </c>
      <c r="K302">
        <f t="shared" si="4"/>
        <v>0</v>
      </c>
      <c r="L302" s="14">
        <v>0</v>
      </c>
      <c r="M302" s="14">
        <v>0</v>
      </c>
      <c r="N302" s="14">
        <v>0</v>
      </c>
      <c r="O302" s="69">
        <v>0</v>
      </c>
      <c r="P302" s="226">
        <f>VLOOKUP(Table323[[#This Row],[Census Tract]],'Population and Diversity Data'!$B$2:$K$823,10,FALSE)</f>
        <v>5</v>
      </c>
      <c r="Q302" s="226" t="str">
        <f>VLOOKUP(Table323[[#This Row],[Census Tract]],'ES Energy Burden'!$B$2:$E$914,4,FALSE)</f>
        <v>Yes</v>
      </c>
      <c r="R302" s="248">
        <f>VLOOKUP(Table323[[#This Row],[Census Tract]],'Income and Housing Data'!$B$2:$D$823,3,FALSE)</f>
        <v>39545</v>
      </c>
      <c r="S302" s="248" t="str">
        <f>IF($U$6&lt;=Table323[[#This Row],[Household income]],IF(Table323[[#This Row],[Household income]]&lt;=$U$7, "Yes","No"),"No")</f>
        <v>No</v>
      </c>
    </row>
    <row r="303" spans="1:19" x14ac:dyDescent="0.25">
      <c r="A303" s="147">
        <v>9003502600</v>
      </c>
      <c r="B303" s="148" t="s">
        <v>979</v>
      </c>
      <c r="C303" s="150" t="s">
        <v>944</v>
      </c>
      <c r="D303" s="70">
        <v>36489.036245759999</v>
      </c>
      <c r="E303" s="70">
        <v>8703.0400000000009</v>
      </c>
      <c r="F303" s="14">
        <v>4</v>
      </c>
      <c r="G303" s="14">
        <v>4</v>
      </c>
      <c r="H303" s="14">
        <v>0</v>
      </c>
      <c r="I303" s="14">
        <v>0</v>
      </c>
      <c r="J303" s="69">
        <v>340.59</v>
      </c>
      <c r="K303">
        <f t="shared" si="4"/>
        <v>0</v>
      </c>
      <c r="L303" s="14">
        <v>0</v>
      </c>
      <c r="M303" s="14">
        <v>0</v>
      </c>
      <c r="N303" s="14">
        <v>0</v>
      </c>
      <c r="O303" s="69">
        <v>0</v>
      </c>
      <c r="P303" s="226">
        <f>VLOOKUP(Table323[[#This Row],[Census Tract]],'Population and Diversity Data'!$B$2:$K$823,10,FALSE)</f>
        <v>5</v>
      </c>
      <c r="Q303" s="226" t="str">
        <f>VLOOKUP(Table323[[#This Row],[Census Tract]],'ES Energy Burden'!$B$2:$E$914,4,FALSE)</f>
        <v>Yes</v>
      </c>
      <c r="R303" s="248">
        <f>VLOOKUP(Table323[[#This Row],[Census Tract]],'Income and Housing Data'!$B$2:$D$823,3,FALSE)</f>
        <v>36495</v>
      </c>
      <c r="S303" s="248" t="str">
        <f>IF($U$6&lt;=Table323[[#This Row],[Household income]],IF(Table323[[#This Row],[Household income]]&lt;=$U$7, "Yes","No"),"No")</f>
        <v>No</v>
      </c>
    </row>
    <row r="304" spans="1:19" x14ac:dyDescent="0.25">
      <c r="A304" s="147">
        <v>9003502700</v>
      </c>
      <c r="B304" s="148" t="s">
        <v>979</v>
      </c>
      <c r="C304" s="150" t="s">
        <v>944</v>
      </c>
      <c r="D304" s="70">
        <v>32741.750923200001</v>
      </c>
      <c r="E304" s="70">
        <v>2431</v>
      </c>
      <c r="F304" s="14">
        <v>0</v>
      </c>
      <c r="G304" s="14">
        <v>0</v>
      </c>
      <c r="H304" s="14">
        <v>0</v>
      </c>
      <c r="I304" s="14">
        <v>0</v>
      </c>
      <c r="J304" s="69">
        <v>97.88</v>
      </c>
      <c r="K304">
        <f t="shared" si="4"/>
        <v>0</v>
      </c>
      <c r="L304" s="14">
        <v>0</v>
      </c>
      <c r="M304" s="14">
        <v>0</v>
      </c>
      <c r="N304" s="14">
        <v>0</v>
      </c>
      <c r="O304" s="69">
        <v>0</v>
      </c>
      <c r="P304" s="226">
        <f>VLOOKUP(Table323[[#This Row],[Census Tract]],'Population and Diversity Data'!$B$2:$K$823,10,FALSE)</f>
        <v>5</v>
      </c>
      <c r="Q304" s="226" t="str">
        <f>VLOOKUP(Table323[[#This Row],[Census Tract]],'ES Energy Burden'!$B$2:$E$914,4,FALSE)</f>
        <v>Yes</v>
      </c>
      <c r="R304" s="248">
        <f>VLOOKUP(Table323[[#This Row],[Census Tract]],'Income and Housing Data'!$B$2:$D$823,3,FALSE)</f>
        <v>23608</v>
      </c>
      <c r="S304" s="248" t="str">
        <f>IF($U$6&lt;=Table323[[#This Row],[Household income]],IF(Table323[[#This Row],[Household income]]&lt;=$U$7, "Yes","No"),"No")</f>
        <v>No</v>
      </c>
    </row>
    <row r="305" spans="1:19" x14ac:dyDescent="0.25">
      <c r="A305" s="147">
        <v>9003502800</v>
      </c>
      <c r="B305" s="148" t="s">
        <v>979</v>
      </c>
      <c r="C305" s="150" t="s">
        <v>936</v>
      </c>
      <c r="D305" s="70">
        <v>34597.11747456</v>
      </c>
      <c r="E305" s="70">
        <v>3386.56</v>
      </c>
      <c r="F305" s="14">
        <v>0</v>
      </c>
      <c r="G305" s="14">
        <v>0</v>
      </c>
      <c r="H305" s="14">
        <v>0</v>
      </c>
      <c r="I305" s="14">
        <v>0</v>
      </c>
      <c r="J305" s="69">
        <v>0</v>
      </c>
      <c r="K305">
        <f t="shared" si="4"/>
        <v>0</v>
      </c>
      <c r="L305" s="14">
        <v>0</v>
      </c>
      <c r="M305" s="14">
        <v>0</v>
      </c>
      <c r="N305" s="14">
        <v>0</v>
      </c>
      <c r="O305" s="69">
        <v>0</v>
      </c>
      <c r="P305" s="226">
        <f>VLOOKUP(Table323[[#This Row],[Census Tract]],'Population and Diversity Data'!$B$2:$K$823,10,FALSE)</f>
        <v>5</v>
      </c>
      <c r="Q305" s="226" t="e">
        <f>VLOOKUP(Table323[[#This Row],[Census Tract]],'ES Energy Burden'!$B$2:$E$914,4,FALSE)</f>
        <v>#N/A</v>
      </c>
      <c r="R305" s="248">
        <f>VLOOKUP(Table323[[#This Row],[Census Tract]],'Income and Housing Data'!$B$2:$D$823,3,FALSE)</f>
        <v>30987</v>
      </c>
      <c r="S305" s="248" t="str">
        <f>IF($U$6&lt;=Table323[[#This Row],[Household income]],IF(Table323[[#This Row],[Household income]]&lt;=$U$7, "Yes","No"),"No")</f>
        <v>No</v>
      </c>
    </row>
    <row r="306" spans="1:19" x14ac:dyDescent="0.25">
      <c r="A306" s="147">
        <v>9003502900</v>
      </c>
      <c r="B306" s="148" t="s">
        <v>979</v>
      </c>
      <c r="C306" s="150" t="s">
        <v>944</v>
      </c>
      <c r="D306" s="70">
        <v>21805.829562239996</v>
      </c>
      <c r="E306" s="70">
        <v>534.38</v>
      </c>
      <c r="F306" s="14">
        <v>2</v>
      </c>
      <c r="G306" s="14">
        <v>1</v>
      </c>
      <c r="H306" s="14">
        <v>1</v>
      </c>
      <c r="I306" s="14">
        <v>0</v>
      </c>
      <c r="J306" s="69">
        <v>228.18</v>
      </c>
      <c r="K306">
        <f t="shared" si="4"/>
        <v>0</v>
      </c>
      <c r="L306" s="14">
        <v>0</v>
      </c>
      <c r="M306" s="14">
        <v>0</v>
      </c>
      <c r="N306" s="14">
        <v>0</v>
      </c>
      <c r="O306" s="69">
        <v>0</v>
      </c>
      <c r="P306" s="226">
        <f>VLOOKUP(Table323[[#This Row],[Census Tract]],'Population and Diversity Data'!$B$2:$K$823,10,FALSE)</f>
        <v>5</v>
      </c>
      <c r="Q306" s="226" t="str">
        <f>VLOOKUP(Table323[[#This Row],[Census Tract]],'ES Energy Burden'!$B$2:$E$914,4,FALSE)</f>
        <v>No</v>
      </c>
      <c r="R306" s="248">
        <f>VLOOKUP(Table323[[#This Row],[Census Tract]],'Income and Housing Data'!$B$2:$D$823,3,FALSE)</f>
        <v>43600</v>
      </c>
      <c r="S306" s="248" t="str">
        <f>IF($U$6&lt;=Table323[[#This Row],[Household income]],IF(Table323[[#This Row],[Household income]]&lt;=$U$7, "Yes","No"),"No")</f>
        <v>No</v>
      </c>
    </row>
    <row r="307" spans="1:19" x14ac:dyDescent="0.25">
      <c r="A307" s="147">
        <v>9003503000</v>
      </c>
      <c r="B307" s="148" t="s">
        <v>979</v>
      </c>
      <c r="C307" s="150" t="s">
        <v>936</v>
      </c>
      <c r="D307" s="70">
        <v>27613.769650560003</v>
      </c>
      <c r="E307" s="70">
        <v>677.72</v>
      </c>
      <c r="F307" s="14">
        <v>1</v>
      </c>
      <c r="G307" s="14">
        <v>1</v>
      </c>
      <c r="H307" s="14">
        <v>0</v>
      </c>
      <c r="I307" s="14">
        <v>0</v>
      </c>
      <c r="J307" s="69">
        <v>342.13</v>
      </c>
      <c r="K307">
        <f t="shared" si="4"/>
        <v>0</v>
      </c>
      <c r="L307" s="14">
        <v>0</v>
      </c>
      <c r="M307" s="14">
        <v>0</v>
      </c>
      <c r="N307" s="14">
        <v>0</v>
      </c>
      <c r="O307" s="69">
        <v>0</v>
      </c>
      <c r="P307" s="226">
        <f>VLOOKUP(Table323[[#This Row],[Census Tract]],'Population and Diversity Data'!$B$2:$K$823,10,FALSE)</f>
        <v>5</v>
      </c>
      <c r="Q307" s="226" t="e">
        <f>VLOOKUP(Table323[[#This Row],[Census Tract]],'ES Energy Burden'!$B$2:$E$914,4,FALSE)</f>
        <v>#N/A</v>
      </c>
      <c r="R307" s="248">
        <f>VLOOKUP(Table323[[#This Row],[Census Tract]],'Income and Housing Data'!$B$2:$D$823,3,FALSE)</f>
        <v>23480</v>
      </c>
      <c r="S307" s="248" t="str">
        <f>IF($U$6&lt;=Table323[[#This Row],[Household income]],IF(Table323[[#This Row],[Household income]]&lt;=$U$7, "Yes","No"),"No")</f>
        <v>No</v>
      </c>
    </row>
    <row r="308" spans="1:19" x14ac:dyDescent="0.25">
      <c r="A308" s="147">
        <v>9003503100</v>
      </c>
      <c r="B308" s="148" t="s">
        <v>979</v>
      </c>
      <c r="C308" s="150" t="s">
        <v>944</v>
      </c>
      <c r="D308" s="70">
        <v>50417.422194240004</v>
      </c>
      <c r="E308" s="70">
        <v>78848.03</v>
      </c>
      <c r="F308" s="14">
        <v>0</v>
      </c>
      <c r="G308" s="14">
        <v>0</v>
      </c>
      <c r="H308" s="14">
        <v>0</v>
      </c>
      <c r="I308" s="14">
        <v>0</v>
      </c>
      <c r="J308" s="69">
        <v>0</v>
      </c>
      <c r="K308">
        <f t="shared" si="4"/>
        <v>0</v>
      </c>
      <c r="L308" s="14">
        <v>0</v>
      </c>
      <c r="M308" s="14">
        <v>0</v>
      </c>
      <c r="N308" s="14">
        <v>0</v>
      </c>
      <c r="O308" s="69">
        <v>0</v>
      </c>
      <c r="P308" s="226">
        <f>VLOOKUP(Table323[[#This Row],[Census Tract]],'Population and Diversity Data'!$B$2:$K$823,10,FALSE)</f>
        <v>5</v>
      </c>
      <c r="Q308" s="226" t="str">
        <f>VLOOKUP(Table323[[#This Row],[Census Tract]],'ES Energy Burden'!$B$2:$E$914,4,FALSE)</f>
        <v>No</v>
      </c>
      <c r="R308" s="248">
        <f>VLOOKUP(Table323[[#This Row],[Census Tract]],'Income and Housing Data'!$B$2:$D$823,3,FALSE)</f>
        <v>30206</v>
      </c>
      <c r="S308" s="248" t="str">
        <f>IF($U$6&lt;=Table323[[#This Row],[Household income]],IF(Table323[[#This Row],[Household income]]&lt;=$U$7, "Yes","No"),"No")</f>
        <v>No</v>
      </c>
    </row>
    <row r="309" spans="1:19" x14ac:dyDescent="0.25">
      <c r="A309" s="147">
        <v>9003503300</v>
      </c>
      <c r="B309" s="148" t="s">
        <v>979</v>
      </c>
      <c r="C309" s="150" t="s">
        <v>944</v>
      </c>
      <c r="D309" s="70">
        <v>24785.822180160001</v>
      </c>
      <c r="E309" s="70">
        <v>61180.35</v>
      </c>
      <c r="F309" s="14">
        <v>0</v>
      </c>
      <c r="G309" s="14">
        <v>0</v>
      </c>
      <c r="H309" s="14">
        <v>0</v>
      </c>
      <c r="I309" s="14">
        <v>0</v>
      </c>
      <c r="J309" s="69">
        <v>0</v>
      </c>
      <c r="K309">
        <f t="shared" si="4"/>
        <v>0</v>
      </c>
      <c r="L309" s="14">
        <v>0</v>
      </c>
      <c r="M309" s="14">
        <v>0</v>
      </c>
      <c r="N309" s="14">
        <v>0</v>
      </c>
      <c r="O309" s="69">
        <v>0</v>
      </c>
      <c r="P309" s="226">
        <f>VLOOKUP(Table323[[#This Row],[Census Tract]],'Population and Diversity Data'!$B$2:$K$823,10,FALSE)</f>
        <v>5</v>
      </c>
      <c r="Q309" s="226" t="str">
        <f>VLOOKUP(Table323[[#This Row],[Census Tract]],'ES Energy Burden'!$B$2:$E$914,4,FALSE)</f>
        <v>Yes</v>
      </c>
      <c r="R309" s="248">
        <f>VLOOKUP(Table323[[#This Row],[Census Tract]],'Income and Housing Data'!$B$2:$D$823,3,FALSE)</f>
        <v>33958</v>
      </c>
      <c r="S309" s="248" t="str">
        <f>IF($U$6&lt;=Table323[[#This Row],[Household income]],IF(Table323[[#This Row],[Household income]]&lt;=$U$7, "Yes","No"),"No")</f>
        <v>No</v>
      </c>
    </row>
    <row r="310" spans="1:19" x14ac:dyDescent="0.25">
      <c r="A310" s="147">
        <v>9003503500</v>
      </c>
      <c r="B310" s="148" t="s">
        <v>979</v>
      </c>
      <c r="C310" s="150" t="s">
        <v>944</v>
      </c>
      <c r="D310" s="70">
        <v>14693.213203200001</v>
      </c>
      <c r="E310" s="70">
        <v>2186.64</v>
      </c>
      <c r="F310" s="14">
        <v>0</v>
      </c>
      <c r="G310" s="14">
        <v>0</v>
      </c>
      <c r="H310" s="14">
        <v>0</v>
      </c>
      <c r="I310" s="14">
        <v>0</v>
      </c>
      <c r="J310" s="69">
        <v>0</v>
      </c>
      <c r="K310">
        <f t="shared" si="4"/>
        <v>0</v>
      </c>
      <c r="L310" s="14">
        <v>0</v>
      </c>
      <c r="M310" s="14">
        <v>0</v>
      </c>
      <c r="N310" s="14">
        <v>0</v>
      </c>
      <c r="O310" s="69">
        <v>0</v>
      </c>
      <c r="P310" s="226">
        <f>VLOOKUP(Table323[[#This Row],[Census Tract]],'Population and Diversity Data'!$B$2:$K$823,10,FALSE)</f>
        <v>4</v>
      </c>
      <c r="Q310" s="226" t="str">
        <f>VLOOKUP(Table323[[#This Row],[Census Tract]],'ES Energy Burden'!$B$2:$E$914,4,FALSE)</f>
        <v>Yes</v>
      </c>
      <c r="R310" s="248">
        <f>VLOOKUP(Table323[[#This Row],[Census Tract]],'Income and Housing Data'!$B$2:$D$823,3,FALSE)</f>
        <v>35030</v>
      </c>
      <c r="S310" s="248" t="str">
        <f>IF($U$6&lt;=Table323[[#This Row],[Household income]],IF(Table323[[#This Row],[Household income]]&lt;=$U$7, "Yes","No"),"No")</f>
        <v>No</v>
      </c>
    </row>
    <row r="311" spans="1:19" x14ac:dyDescent="0.25">
      <c r="A311" s="147">
        <v>9003503700</v>
      </c>
      <c r="B311" s="148" t="s">
        <v>979</v>
      </c>
      <c r="C311" s="150" t="s">
        <v>944</v>
      </c>
      <c r="D311" s="70">
        <v>32750.498957759999</v>
      </c>
      <c r="E311" s="70">
        <v>26309.74</v>
      </c>
      <c r="F311" s="14">
        <v>1</v>
      </c>
      <c r="G311" s="14">
        <v>1</v>
      </c>
      <c r="H311" s="14">
        <v>0</v>
      </c>
      <c r="I311" s="14">
        <v>0</v>
      </c>
      <c r="J311" s="69">
        <v>363.33</v>
      </c>
      <c r="K311">
        <f t="shared" si="4"/>
        <v>0</v>
      </c>
      <c r="L311" s="14">
        <v>0</v>
      </c>
      <c r="M311" s="14">
        <v>0</v>
      </c>
      <c r="N311" s="14">
        <v>0</v>
      </c>
      <c r="O311" s="69">
        <v>0</v>
      </c>
      <c r="P311" s="226">
        <f>VLOOKUP(Table323[[#This Row],[Census Tract]],'Population and Diversity Data'!$B$2:$K$823,10,FALSE)</f>
        <v>2</v>
      </c>
      <c r="Q311" s="226" t="str">
        <f>VLOOKUP(Table323[[#This Row],[Census Tract]],'ES Energy Burden'!$B$2:$E$914,4,FALSE)</f>
        <v>Yes</v>
      </c>
      <c r="R311" s="248">
        <f>VLOOKUP(Table323[[#This Row],[Census Tract]],'Income and Housing Data'!$B$2:$D$823,3,FALSE)</f>
        <v>37353</v>
      </c>
      <c r="S311" s="248" t="str">
        <f>IF($U$6&lt;=Table323[[#This Row],[Household income]],IF(Table323[[#This Row],[Household income]]&lt;=$U$7, "Yes","No"),"No")</f>
        <v>No</v>
      </c>
    </row>
    <row r="312" spans="1:19" x14ac:dyDescent="0.25">
      <c r="A312" s="147">
        <v>9003503800</v>
      </c>
      <c r="B312" s="148" t="s">
        <v>979</v>
      </c>
      <c r="C312" s="150" t="s">
        <v>944</v>
      </c>
      <c r="D312" s="70">
        <v>5708.3524675200006</v>
      </c>
      <c r="E312" s="70">
        <v>98479.72</v>
      </c>
      <c r="F312" s="14">
        <v>0</v>
      </c>
      <c r="G312" s="14">
        <v>0</v>
      </c>
      <c r="H312" s="14">
        <v>0</v>
      </c>
      <c r="I312" s="14">
        <v>0</v>
      </c>
      <c r="J312" s="69">
        <v>0</v>
      </c>
      <c r="K312">
        <f t="shared" si="4"/>
        <v>0</v>
      </c>
      <c r="L312" s="14">
        <v>0</v>
      </c>
      <c r="M312" s="14">
        <v>0</v>
      </c>
      <c r="N312" s="14">
        <v>0</v>
      </c>
      <c r="O312" s="69">
        <v>0</v>
      </c>
      <c r="P312" s="226">
        <f>VLOOKUP(Table323[[#This Row],[Census Tract]],'Population and Diversity Data'!$B$2:$K$823,10,FALSE)</f>
        <v>4</v>
      </c>
      <c r="Q312" s="226" t="str">
        <f>VLOOKUP(Table323[[#This Row],[Census Tract]],'ES Energy Burden'!$B$2:$E$914,4,FALSE)</f>
        <v>Yes</v>
      </c>
      <c r="R312" s="248">
        <f>VLOOKUP(Table323[[#This Row],[Census Tract]],'Income and Housing Data'!$B$2:$D$823,3,FALSE)</f>
        <v>26250</v>
      </c>
      <c r="S312" s="248" t="str">
        <f>IF($U$6&lt;=Table323[[#This Row],[Household income]],IF(Table323[[#This Row],[Household income]]&lt;=$U$7, "Yes","No"),"No")</f>
        <v>No</v>
      </c>
    </row>
    <row r="313" spans="1:19" x14ac:dyDescent="0.25">
      <c r="A313" s="147">
        <v>9003503900</v>
      </c>
      <c r="B313" s="148" t="s">
        <v>979</v>
      </c>
      <c r="C313" s="150" t="s">
        <v>944</v>
      </c>
      <c r="D313" s="70">
        <v>55706.715325440004</v>
      </c>
      <c r="E313" s="70">
        <v>43874.208400000003</v>
      </c>
      <c r="F313" s="14">
        <v>18</v>
      </c>
      <c r="G313" s="14">
        <v>18</v>
      </c>
      <c r="H313" s="14">
        <v>0</v>
      </c>
      <c r="I313" s="14">
        <v>0</v>
      </c>
      <c r="J313" s="69">
        <v>3779.3683999999998</v>
      </c>
      <c r="K313">
        <f t="shared" si="4"/>
        <v>0</v>
      </c>
      <c r="L313" s="14">
        <v>0</v>
      </c>
      <c r="M313" s="14">
        <v>0</v>
      </c>
      <c r="N313" s="14">
        <v>0</v>
      </c>
      <c r="O313" s="69">
        <v>0</v>
      </c>
      <c r="P313" s="226">
        <f>VLOOKUP(Table323[[#This Row],[Census Tract]],'Population and Diversity Data'!$B$2:$K$823,10,FALSE)</f>
        <v>2</v>
      </c>
      <c r="Q313" s="226" t="str">
        <f>VLOOKUP(Table323[[#This Row],[Census Tract]],'ES Energy Burden'!$B$2:$E$914,4,FALSE)</f>
        <v>No</v>
      </c>
      <c r="R313" s="248">
        <f>VLOOKUP(Table323[[#This Row],[Census Tract]],'Income and Housing Data'!$B$2:$D$823,3,FALSE)</f>
        <v>49309</v>
      </c>
      <c r="S313" s="248" t="str">
        <f>IF($U$6&lt;=Table323[[#This Row],[Household income]],IF(Table323[[#This Row],[Household income]]&lt;=$U$7, "Yes","No"),"No")</f>
        <v>Yes</v>
      </c>
    </row>
    <row r="314" spans="1:19" x14ac:dyDescent="0.25">
      <c r="A314" s="147">
        <v>9003504000</v>
      </c>
      <c r="B314" s="148" t="s">
        <v>979</v>
      </c>
      <c r="C314" s="150" t="s">
        <v>944</v>
      </c>
      <c r="D314" s="70">
        <v>32737.94073504</v>
      </c>
      <c r="E314" s="70">
        <v>14980.31</v>
      </c>
      <c r="F314" s="14">
        <v>6</v>
      </c>
      <c r="G314" s="14">
        <v>5</v>
      </c>
      <c r="H314" s="14">
        <v>1</v>
      </c>
      <c r="I314" s="14">
        <v>0</v>
      </c>
      <c r="J314" s="69">
        <v>3264.41</v>
      </c>
      <c r="K314">
        <f t="shared" si="4"/>
        <v>0</v>
      </c>
      <c r="L314" s="14">
        <v>0</v>
      </c>
      <c r="M314" s="14">
        <v>0</v>
      </c>
      <c r="N314" s="14">
        <v>0</v>
      </c>
      <c r="O314" s="69">
        <v>0</v>
      </c>
      <c r="P314" s="226">
        <f>VLOOKUP(Table323[[#This Row],[Census Tract]],'Population and Diversity Data'!$B$2:$K$823,10,FALSE)</f>
        <v>1</v>
      </c>
      <c r="Q314" s="226" t="str">
        <f>VLOOKUP(Table323[[#This Row],[Census Tract]],'ES Energy Burden'!$B$2:$E$914,4,FALSE)</f>
        <v>Yes</v>
      </c>
      <c r="R314" s="248">
        <f>VLOOKUP(Table323[[#This Row],[Census Tract]],'Income and Housing Data'!$B$2:$D$823,3,FALSE)</f>
        <v>54908</v>
      </c>
      <c r="S314" s="248" t="str">
        <f>IF($U$6&lt;=Table323[[#This Row],[Household income]],IF(Table323[[#This Row],[Household income]]&lt;=$U$7, "Yes","No"),"No")</f>
        <v>Yes</v>
      </c>
    </row>
    <row r="315" spans="1:19" x14ac:dyDescent="0.25">
      <c r="A315" s="147">
        <v>9003504100</v>
      </c>
      <c r="B315" s="148" t="s">
        <v>979</v>
      </c>
      <c r="C315" s="150" t="s">
        <v>944</v>
      </c>
      <c r="D315" s="70">
        <v>16383.093013440001</v>
      </c>
      <c r="E315" s="70">
        <v>14080.65</v>
      </c>
      <c r="F315" s="14">
        <v>1</v>
      </c>
      <c r="G315" s="14">
        <v>1</v>
      </c>
      <c r="H315" s="14">
        <v>0</v>
      </c>
      <c r="I315" s="14">
        <v>0</v>
      </c>
      <c r="J315" s="69">
        <v>134.46</v>
      </c>
      <c r="K315">
        <f t="shared" si="4"/>
        <v>0</v>
      </c>
      <c r="L315" s="14">
        <v>0</v>
      </c>
      <c r="M315" s="14">
        <v>0</v>
      </c>
      <c r="N315" s="14">
        <v>0</v>
      </c>
      <c r="O315" s="69">
        <v>0</v>
      </c>
      <c r="P315" s="226">
        <f>VLOOKUP(Table323[[#This Row],[Census Tract]],'Population and Diversity Data'!$B$2:$K$823,10,FALSE)</f>
        <v>5</v>
      </c>
      <c r="Q315" s="226" t="str">
        <f>VLOOKUP(Table323[[#This Row],[Census Tract]],'ES Energy Burden'!$B$2:$E$914,4,FALSE)</f>
        <v>Yes</v>
      </c>
      <c r="R315" s="248">
        <f>VLOOKUP(Table323[[#This Row],[Census Tract]],'Income and Housing Data'!$B$2:$D$823,3,FALSE)</f>
        <v>36743</v>
      </c>
      <c r="S315" s="248" t="str">
        <f>IF($U$6&lt;=Table323[[#This Row],[Household income]],IF(Table323[[#This Row],[Household income]]&lt;=$U$7, "Yes","No"),"No")</f>
        <v>No</v>
      </c>
    </row>
    <row r="316" spans="1:19" x14ac:dyDescent="0.25">
      <c r="A316" s="147">
        <v>9003504200</v>
      </c>
      <c r="B316" s="148" t="s">
        <v>979</v>
      </c>
      <c r="C316" s="150" t="s">
        <v>944</v>
      </c>
      <c r="D316" s="70">
        <v>54014.641560000004</v>
      </c>
      <c r="E316" s="70">
        <v>3657.96</v>
      </c>
      <c r="F316" s="14">
        <v>3</v>
      </c>
      <c r="G316" s="14">
        <v>3</v>
      </c>
      <c r="H316" s="14">
        <v>0</v>
      </c>
      <c r="I316" s="14">
        <v>0</v>
      </c>
      <c r="J316" s="69">
        <v>987.73</v>
      </c>
      <c r="K316">
        <f t="shared" si="4"/>
        <v>0</v>
      </c>
      <c r="L316" s="14">
        <v>0</v>
      </c>
      <c r="M316" s="14">
        <v>0</v>
      </c>
      <c r="N316" s="14">
        <v>0</v>
      </c>
      <c r="O316" s="69">
        <v>0</v>
      </c>
      <c r="P316" s="226">
        <f>VLOOKUP(Table323[[#This Row],[Census Tract]],'Population and Diversity Data'!$B$2:$K$823,10,FALSE)</f>
        <v>5</v>
      </c>
      <c r="Q316" s="226" t="str">
        <f>VLOOKUP(Table323[[#This Row],[Census Tract]],'ES Energy Burden'!$B$2:$E$914,4,FALSE)</f>
        <v>No</v>
      </c>
      <c r="R316" s="248">
        <f>VLOOKUP(Table323[[#This Row],[Census Tract]],'Income and Housing Data'!$B$2:$D$823,3,FALSE)</f>
        <v>25648</v>
      </c>
      <c r="S316" s="248" t="str">
        <f>IF($U$6&lt;=Table323[[#This Row],[Household income]],IF(Table323[[#This Row],[Household income]]&lt;=$U$7, "Yes","No"),"No")</f>
        <v>No</v>
      </c>
    </row>
    <row r="317" spans="1:19" x14ac:dyDescent="0.25">
      <c r="A317" s="147">
        <v>9003504300</v>
      </c>
      <c r="B317" s="148" t="s">
        <v>979</v>
      </c>
      <c r="C317" s="150" t="s">
        <v>944</v>
      </c>
      <c r="D317" s="70">
        <v>23985.625936320001</v>
      </c>
      <c r="E317" s="70">
        <v>18422.213</v>
      </c>
      <c r="F317" s="14">
        <v>2</v>
      </c>
      <c r="G317" s="14">
        <v>0</v>
      </c>
      <c r="H317" s="14">
        <v>2</v>
      </c>
      <c r="I317" s="14">
        <v>0</v>
      </c>
      <c r="J317" s="69">
        <v>191.34299999999999</v>
      </c>
      <c r="K317">
        <f t="shared" si="4"/>
        <v>0</v>
      </c>
      <c r="L317" s="14">
        <v>0</v>
      </c>
      <c r="M317" s="14">
        <v>0</v>
      </c>
      <c r="N317" s="14">
        <v>0</v>
      </c>
      <c r="O317" s="69">
        <v>0</v>
      </c>
      <c r="P317" s="226">
        <f>VLOOKUP(Table323[[#This Row],[Census Tract]],'Population and Diversity Data'!$B$2:$K$823,10,FALSE)</f>
        <v>5</v>
      </c>
      <c r="Q317" s="226" t="str">
        <f>VLOOKUP(Table323[[#This Row],[Census Tract]],'ES Energy Burden'!$B$2:$E$914,4,FALSE)</f>
        <v>Yes</v>
      </c>
      <c r="R317" s="248">
        <f>VLOOKUP(Table323[[#This Row],[Census Tract]],'Income and Housing Data'!$B$2:$D$823,3,FALSE)</f>
        <v>25958</v>
      </c>
      <c r="S317" s="248" t="str">
        <f>IF($U$6&lt;=Table323[[#This Row],[Household income]],IF(Table323[[#This Row],[Household income]]&lt;=$U$7, "Yes","No"),"No")</f>
        <v>No</v>
      </c>
    </row>
    <row r="318" spans="1:19" x14ac:dyDescent="0.25">
      <c r="A318" s="147">
        <v>9003504500</v>
      </c>
      <c r="B318" s="148" t="s">
        <v>979</v>
      </c>
      <c r="C318" s="150" t="s">
        <v>944</v>
      </c>
      <c r="D318" s="70">
        <v>37871.045095680005</v>
      </c>
      <c r="E318" s="70">
        <v>81361.004799999995</v>
      </c>
      <c r="F318" s="14">
        <v>3</v>
      </c>
      <c r="G318" s="14">
        <v>2</v>
      </c>
      <c r="H318" s="14">
        <v>1</v>
      </c>
      <c r="I318" s="14">
        <v>0</v>
      </c>
      <c r="J318" s="69">
        <v>1009.0548</v>
      </c>
      <c r="K318">
        <f t="shared" si="4"/>
        <v>0</v>
      </c>
      <c r="L318" s="14">
        <v>0</v>
      </c>
      <c r="M318" s="14">
        <v>0</v>
      </c>
      <c r="N318" s="14">
        <v>0</v>
      </c>
      <c r="O318" s="69">
        <v>0</v>
      </c>
      <c r="P318" s="226">
        <f>VLOOKUP(Table323[[#This Row],[Census Tract]],'Population and Diversity Data'!$B$2:$K$823,10,FALSE)</f>
        <v>5</v>
      </c>
      <c r="Q318" s="226" t="str">
        <f>VLOOKUP(Table323[[#This Row],[Census Tract]],'ES Energy Burden'!$B$2:$E$914,4,FALSE)</f>
        <v>Yes</v>
      </c>
      <c r="R318" s="248">
        <f>VLOOKUP(Table323[[#This Row],[Census Tract]],'Income and Housing Data'!$B$2:$D$823,3,FALSE)</f>
        <v>31972</v>
      </c>
      <c r="S318" s="248" t="str">
        <f>IF($U$6&lt;=Table323[[#This Row],[Household income]],IF(Table323[[#This Row],[Household income]]&lt;=$U$7, "Yes","No"),"No")</f>
        <v>No</v>
      </c>
    </row>
    <row r="319" spans="1:19" x14ac:dyDescent="0.25">
      <c r="A319" s="147">
        <v>9003504800</v>
      </c>
      <c r="B319" s="148" t="s">
        <v>979</v>
      </c>
      <c r="C319" s="150" t="s">
        <v>944</v>
      </c>
      <c r="D319" s="70">
        <v>58254.756370559997</v>
      </c>
      <c r="E319" s="70">
        <v>18063.281900000002</v>
      </c>
      <c r="F319" s="14">
        <v>16</v>
      </c>
      <c r="G319" s="14">
        <v>16</v>
      </c>
      <c r="H319" s="14">
        <v>0</v>
      </c>
      <c r="I319" s="14">
        <v>0</v>
      </c>
      <c r="J319" s="69">
        <v>10791.5419</v>
      </c>
      <c r="K319">
        <f t="shared" si="4"/>
        <v>0</v>
      </c>
      <c r="L319" s="14">
        <v>0</v>
      </c>
      <c r="M319" s="14">
        <v>0</v>
      </c>
      <c r="N319" s="14">
        <v>0</v>
      </c>
      <c r="O319" s="69">
        <v>0</v>
      </c>
      <c r="P319" s="226">
        <f>VLOOKUP(Table323[[#This Row],[Census Tract]],'Population and Diversity Data'!$B$2:$K$823,10,FALSE)</f>
        <v>5</v>
      </c>
      <c r="Q319" s="226" t="str">
        <f>VLOOKUP(Table323[[#This Row],[Census Tract]],'ES Energy Burden'!$B$2:$E$914,4,FALSE)</f>
        <v>Yes</v>
      </c>
      <c r="R319" s="248">
        <f>VLOOKUP(Table323[[#This Row],[Census Tract]],'Income and Housing Data'!$B$2:$D$823,3,FALSE)</f>
        <v>53607</v>
      </c>
      <c r="S319" s="248" t="str">
        <f>IF($U$6&lt;=Table323[[#This Row],[Household income]],IF(Table323[[#This Row],[Household income]]&lt;=$U$7, "Yes","No"),"No")</f>
        <v>Yes</v>
      </c>
    </row>
    <row r="320" spans="1:19" x14ac:dyDescent="0.25">
      <c r="A320" s="147">
        <v>9003504900</v>
      </c>
      <c r="B320" s="148" t="s">
        <v>979</v>
      </c>
      <c r="C320" s="150" t="s">
        <v>944</v>
      </c>
      <c r="D320" s="70">
        <v>42553.5758928</v>
      </c>
      <c r="E320" s="70">
        <v>30501.02</v>
      </c>
      <c r="F320" s="14">
        <v>5</v>
      </c>
      <c r="G320" s="14">
        <v>5</v>
      </c>
      <c r="H320" s="14">
        <v>0</v>
      </c>
      <c r="I320" s="14">
        <v>0</v>
      </c>
      <c r="J320" s="69">
        <v>1457.27</v>
      </c>
      <c r="K320">
        <f t="shared" si="4"/>
        <v>0</v>
      </c>
      <c r="L320" s="14">
        <v>0</v>
      </c>
      <c r="M320" s="14">
        <v>0</v>
      </c>
      <c r="N320" s="14">
        <v>0</v>
      </c>
      <c r="O320" s="69">
        <v>0</v>
      </c>
      <c r="P320" s="226">
        <f>VLOOKUP(Table323[[#This Row],[Census Tract]],'Population and Diversity Data'!$B$2:$K$823,10,FALSE)</f>
        <v>5</v>
      </c>
      <c r="Q320" s="226" t="str">
        <f>VLOOKUP(Table323[[#This Row],[Census Tract]],'ES Energy Burden'!$B$2:$E$914,4,FALSE)</f>
        <v>Yes</v>
      </c>
      <c r="R320" s="248">
        <f>VLOOKUP(Table323[[#This Row],[Census Tract]],'Income and Housing Data'!$B$2:$D$823,3,FALSE)</f>
        <v>39167</v>
      </c>
      <c r="S320" s="248" t="str">
        <f>IF($U$6&lt;=Table323[[#This Row],[Household income]],IF(Table323[[#This Row],[Household income]]&lt;=$U$7, "Yes","No"),"No")</f>
        <v>No</v>
      </c>
    </row>
    <row r="321" spans="1:19" x14ac:dyDescent="0.25">
      <c r="A321" s="147">
        <v>9003524400</v>
      </c>
      <c r="B321" s="148" t="s">
        <v>979</v>
      </c>
      <c r="C321" s="150" t="s">
        <v>944</v>
      </c>
      <c r="D321" s="70">
        <v>36222.419747520005</v>
      </c>
      <c r="E321" s="70">
        <v>28619.973300000001</v>
      </c>
      <c r="F321" s="14">
        <v>5</v>
      </c>
      <c r="G321" s="14">
        <v>5</v>
      </c>
      <c r="H321" s="14">
        <v>0</v>
      </c>
      <c r="I321" s="14">
        <v>0</v>
      </c>
      <c r="J321" s="69">
        <v>586.49329999999998</v>
      </c>
      <c r="K321">
        <f t="shared" si="4"/>
        <v>0</v>
      </c>
      <c r="L321" s="14">
        <v>0</v>
      </c>
      <c r="M321" s="14">
        <v>0</v>
      </c>
      <c r="N321" s="14">
        <v>0</v>
      </c>
      <c r="O321" s="69">
        <v>0</v>
      </c>
      <c r="P321" s="226">
        <f>VLOOKUP(Table323[[#This Row],[Census Tract]],'Population and Diversity Data'!$B$2:$K$823,10,FALSE)</f>
        <v>5</v>
      </c>
      <c r="Q321" s="226" t="str">
        <f>VLOOKUP(Table323[[#This Row],[Census Tract]],'ES Energy Burden'!$B$2:$E$914,4,FALSE)</f>
        <v>Yes</v>
      </c>
      <c r="R321" s="248">
        <f>VLOOKUP(Table323[[#This Row],[Census Tract]],'Income and Housing Data'!$B$2:$D$823,3,FALSE)</f>
        <v>46155</v>
      </c>
      <c r="S321" s="248" t="str">
        <f>IF($U$6&lt;=Table323[[#This Row],[Household income]],IF(Table323[[#This Row],[Household income]]&lt;=$U$7, "Yes","No"),"No")</f>
        <v>No</v>
      </c>
    </row>
    <row r="322" spans="1:19" x14ac:dyDescent="0.25">
      <c r="A322" s="147">
        <v>9003524501</v>
      </c>
      <c r="B322" s="148" t="s">
        <v>979</v>
      </c>
      <c r="C322" s="150" t="s">
        <v>944</v>
      </c>
      <c r="D322" s="70">
        <v>26853.682265279996</v>
      </c>
      <c r="E322" s="70">
        <v>1003.633</v>
      </c>
      <c r="F322" s="14">
        <v>1</v>
      </c>
      <c r="G322" s="14">
        <v>1</v>
      </c>
      <c r="H322" s="14">
        <v>0</v>
      </c>
      <c r="I322" s="14">
        <v>0</v>
      </c>
      <c r="J322" s="69">
        <v>183.67580000000001</v>
      </c>
      <c r="K322">
        <f t="shared" si="4"/>
        <v>0</v>
      </c>
      <c r="L322" s="14">
        <v>0</v>
      </c>
      <c r="M322" s="14">
        <v>0</v>
      </c>
      <c r="N322" s="14">
        <v>0</v>
      </c>
      <c r="O322" s="69">
        <v>0</v>
      </c>
      <c r="P322" s="226">
        <f>VLOOKUP(Table323[[#This Row],[Census Tract]],'Population and Diversity Data'!$B$2:$K$823,10,FALSE)</f>
        <v>5</v>
      </c>
      <c r="Q322" s="226" t="str">
        <f>VLOOKUP(Table323[[#This Row],[Census Tract]],'ES Energy Burden'!$B$2:$E$914,4,FALSE)</f>
        <v>No</v>
      </c>
      <c r="R322" s="248">
        <f>VLOOKUP(Table323[[#This Row],[Census Tract]],'Income and Housing Data'!$B$2:$D$823,3,FALSE)</f>
        <v>42021</v>
      </c>
      <c r="S322" s="248" t="str">
        <f>IF($U$6&lt;=Table323[[#This Row],[Household income]],IF(Table323[[#This Row],[Household income]]&lt;=$U$7, "Yes","No"),"No")</f>
        <v>No</v>
      </c>
    </row>
    <row r="323" spans="1:19" x14ac:dyDescent="0.25">
      <c r="A323" s="147">
        <v>9003524502</v>
      </c>
      <c r="B323" s="148" t="s">
        <v>979</v>
      </c>
      <c r="C323" s="150" t="s">
        <v>944</v>
      </c>
      <c r="D323" s="70">
        <v>38598.850080000004</v>
      </c>
      <c r="E323" s="70">
        <v>2487.0500000000002</v>
      </c>
      <c r="F323" s="14">
        <v>4</v>
      </c>
      <c r="G323" s="14">
        <v>4</v>
      </c>
      <c r="H323" s="14">
        <v>0</v>
      </c>
      <c r="I323" s="14">
        <v>0</v>
      </c>
      <c r="J323" s="69">
        <v>1137.3699999999999</v>
      </c>
      <c r="K323">
        <f t="shared" si="4"/>
        <v>0</v>
      </c>
      <c r="L323" s="14">
        <v>0</v>
      </c>
      <c r="M323" s="14">
        <v>0</v>
      </c>
      <c r="N323" s="14">
        <v>0</v>
      </c>
      <c r="O323" s="69">
        <v>0</v>
      </c>
      <c r="P323" s="226">
        <f>VLOOKUP(Table323[[#This Row],[Census Tract]],'Population and Diversity Data'!$B$2:$K$823,10,FALSE)</f>
        <v>5</v>
      </c>
      <c r="Q323" s="226" t="str">
        <f>VLOOKUP(Table323[[#This Row],[Census Tract]],'ES Energy Burden'!$B$2:$E$914,4,FALSE)</f>
        <v>No</v>
      </c>
      <c r="R323" s="248">
        <f>VLOOKUP(Table323[[#This Row],[Census Tract]],'Income and Housing Data'!$B$2:$D$823,3,FALSE)</f>
        <v>57778</v>
      </c>
      <c r="S323" s="248" t="str">
        <f>IF($U$6&lt;=Table323[[#This Row],[Household income]],IF(Table323[[#This Row],[Household income]]&lt;=$U$7, "Yes","No"),"No")</f>
        <v>Yes</v>
      </c>
    </row>
    <row r="324" spans="1:19" x14ac:dyDescent="0.25">
      <c r="A324" s="147">
        <v>9003524600</v>
      </c>
      <c r="B324" s="148" t="s">
        <v>979</v>
      </c>
      <c r="C324" s="150" t="s">
        <v>944</v>
      </c>
      <c r="D324" s="70">
        <v>29057.523577920001</v>
      </c>
      <c r="E324" s="70">
        <v>2328.62</v>
      </c>
      <c r="F324" s="14">
        <v>2</v>
      </c>
      <c r="G324" s="14">
        <v>2</v>
      </c>
      <c r="H324" s="14">
        <v>0</v>
      </c>
      <c r="I324" s="14">
        <v>0</v>
      </c>
      <c r="J324" s="69">
        <v>826.46</v>
      </c>
      <c r="K324">
        <f t="shared" si="4"/>
        <v>0</v>
      </c>
      <c r="L324" s="14">
        <v>0</v>
      </c>
      <c r="M324" s="14">
        <v>0</v>
      </c>
      <c r="N324" s="14">
        <v>0</v>
      </c>
      <c r="O324" s="69">
        <v>0</v>
      </c>
      <c r="P324" s="226">
        <f>VLOOKUP(Table323[[#This Row],[Census Tract]],'Population and Diversity Data'!$B$2:$K$823,10,FALSE)</f>
        <v>5</v>
      </c>
      <c r="Q324" s="226" t="str">
        <f>VLOOKUP(Table323[[#This Row],[Census Tract]],'ES Energy Burden'!$B$2:$E$914,4,FALSE)</f>
        <v>No</v>
      </c>
      <c r="R324" s="248">
        <f>VLOOKUP(Table323[[#This Row],[Census Tract]],'Income and Housing Data'!$B$2:$D$823,3,FALSE)</f>
        <v>36120</v>
      </c>
      <c r="S324" s="248" t="str">
        <f>IF($U$6&lt;=Table323[[#This Row],[Household income]],IF(Table323[[#This Row],[Household income]]&lt;=$U$7, "Yes","No"),"No")</f>
        <v>No</v>
      </c>
    </row>
    <row r="325" spans="1:19" x14ac:dyDescent="0.25">
      <c r="A325" s="147">
        <v>9003524700</v>
      </c>
      <c r="B325" s="148" t="s">
        <v>979</v>
      </c>
      <c r="C325" s="150" t="s">
        <v>944</v>
      </c>
      <c r="D325" s="70">
        <v>39743.093231999999</v>
      </c>
      <c r="E325" s="70">
        <v>14436.07</v>
      </c>
      <c r="F325" s="14">
        <v>18</v>
      </c>
      <c r="G325" s="14">
        <v>18</v>
      </c>
      <c r="H325" s="14">
        <v>0</v>
      </c>
      <c r="I325" s="14">
        <v>0</v>
      </c>
      <c r="J325" s="69">
        <v>5511.14</v>
      </c>
      <c r="K325">
        <f t="shared" si="4"/>
        <v>0</v>
      </c>
      <c r="L325" s="14">
        <v>0</v>
      </c>
      <c r="M325" s="14">
        <v>0</v>
      </c>
      <c r="N325" s="14">
        <v>0</v>
      </c>
      <c r="O325" s="69">
        <v>0</v>
      </c>
      <c r="P325" s="226">
        <f>VLOOKUP(Table323[[#This Row],[Census Tract]],'Population and Diversity Data'!$B$2:$K$823,10,FALSE)</f>
        <v>5</v>
      </c>
      <c r="Q325" s="226" t="str">
        <f>VLOOKUP(Table323[[#This Row],[Census Tract]],'ES Energy Burden'!$B$2:$E$914,4,FALSE)</f>
        <v>No</v>
      </c>
      <c r="R325" s="248">
        <f>VLOOKUP(Table323[[#This Row],[Census Tract]],'Income and Housing Data'!$B$2:$D$823,3,FALSE)</f>
        <v>75110</v>
      </c>
      <c r="S325" s="248" t="str">
        <f>IF($U$6&lt;=Table323[[#This Row],[Household income]],IF(Table323[[#This Row],[Household income]]&lt;=$U$7, "Yes","No"),"No")</f>
        <v>No</v>
      </c>
    </row>
    <row r="326" spans="1:19" x14ac:dyDescent="0.25">
      <c r="A326" s="147">
        <v>9003330100</v>
      </c>
      <c r="B326" s="148" t="s">
        <v>2778</v>
      </c>
      <c r="C326" s="150" t="s">
        <v>944</v>
      </c>
      <c r="D326" s="70">
        <v>36984.536107200001</v>
      </c>
      <c r="E326" s="70">
        <v>12321.41</v>
      </c>
      <c r="F326" s="14">
        <v>10</v>
      </c>
      <c r="G326" s="14">
        <v>10</v>
      </c>
      <c r="H326" s="14">
        <v>0</v>
      </c>
      <c r="I326" s="14">
        <v>0</v>
      </c>
      <c r="J326" s="69">
        <v>8540.58</v>
      </c>
      <c r="K326">
        <f t="shared" ref="K326:K389" si="5">L326+M326+N326</f>
        <v>1</v>
      </c>
      <c r="L326" s="14">
        <v>1</v>
      </c>
      <c r="M326" s="14">
        <v>0</v>
      </c>
      <c r="N326" s="14">
        <v>0</v>
      </c>
      <c r="O326" s="69">
        <v>1043.3499999999999</v>
      </c>
      <c r="P326" s="226">
        <f>VLOOKUP(Table323[[#This Row],[Census Tract]],'Population and Diversity Data'!$B$2:$K$823,10,FALSE)</f>
        <v>3</v>
      </c>
      <c r="Q326" s="226" t="str">
        <f>VLOOKUP(Table323[[#This Row],[Census Tract]],'ES Energy Burden'!$B$2:$E$914,4,FALSE)</f>
        <v>No</v>
      </c>
      <c r="R326" s="248">
        <f>VLOOKUP(Table323[[#This Row],[Census Tract]],'Income and Housing Data'!$B$2:$D$823,3,FALSE)</f>
        <v>99722</v>
      </c>
      <c r="S326" s="248" t="str">
        <f>IF($U$6&lt;=Table323[[#This Row],[Household income]],IF(Table323[[#This Row],[Household income]]&lt;=$U$7, "Yes","No"),"No")</f>
        <v>No</v>
      </c>
    </row>
    <row r="327" spans="1:19" x14ac:dyDescent="0.25">
      <c r="A327" s="147">
        <v>9003468101</v>
      </c>
      <c r="B327" s="148" t="s">
        <v>2778</v>
      </c>
      <c r="C327" s="150" t="s">
        <v>944</v>
      </c>
      <c r="D327" s="70">
        <v>58.605811199999998</v>
      </c>
      <c r="E327" s="70">
        <v>0</v>
      </c>
      <c r="F327" s="14">
        <v>0</v>
      </c>
      <c r="G327" s="14">
        <v>0</v>
      </c>
      <c r="H327" s="14">
        <v>0</v>
      </c>
      <c r="I327" s="14">
        <v>0</v>
      </c>
      <c r="J327" s="69">
        <v>0</v>
      </c>
      <c r="K327">
        <f t="shared" si="5"/>
        <v>0</v>
      </c>
      <c r="L327" s="14">
        <v>0</v>
      </c>
      <c r="M327" s="14">
        <v>0</v>
      </c>
      <c r="N327" s="14">
        <v>0</v>
      </c>
      <c r="O327" s="69">
        <v>0</v>
      </c>
      <c r="P327" s="226">
        <f>VLOOKUP(Table323[[#This Row],[Census Tract]],'Population and Diversity Data'!$B$2:$K$823,10,FALSE)</f>
        <v>1</v>
      </c>
      <c r="Q327" s="226" t="str">
        <f>VLOOKUP(Table323[[#This Row],[Census Tract]],'ES Energy Burden'!$B$2:$E$914,4,FALSE)</f>
        <v>No</v>
      </c>
      <c r="R327" s="248">
        <f>VLOOKUP(Table323[[#This Row],[Census Tract]],'Income and Housing Data'!$B$2:$D$823,3,FALSE)</f>
        <v>132740</v>
      </c>
      <c r="S327" s="248" t="str">
        <f>IF($U$6&lt;=Table323[[#This Row],[Household income]],IF(Table323[[#This Row],[Household income]]&lt;=$U$7, "Yes","No"),"No")</f>
        <v>No</v>
      </c>
    </row>
    <row r="328" spans="1:19" x14ac:dyDescent="0.25">
      <c r="A328" s="147">
        <v>9003410102</v>
      </c>
      <c r="B328" s="148" t="s">
        <v>2779</v>
      </c>
      <c r="C328" s="150" t="s">
        <v>944</v>
      </c>
      <c r="D328" s="70">
        <v>819.44516160000001</v>
      </c>
      <c r="E328" s="70">
        <v>0</v>
      </c>
      <c r="F328" s="14">
        <v>0</v>
      </c>
      <c r="G328" s="14">
        <v>0</v>
      </c>
      <c r="H328" s="14">
        <v>0</v>
      </c>
      <c r="I328" s="14">
        <v>0</v>
      </c>
      <c r="J328" s="69">
        <v>0</v>
      </c>
      <c r="K328">
        <f t="shared" si="5"/>
        <v>0</v>
      </c>
      <c r="L328" s="14">
        <v>0</v>
      </c>
      <c r="M328" s="14">
        <v>0</v>
      </c>
      <c r="N328" s="14">
        <v>0</v>
      </c>
      <c r="O328" s="69">
        <v>0</v>
      </c>
      <c r="P328" s="226">
        <f>VLOOKUP(Table323[[#This Row],[Census Tract]],'Population and Diversity Data'!$B$2:$K$823,10,FALSE)</f>
        <v>2</v>
      </c>
      <c r="Q328" s="226" t="str">
        <f>VLOOKUP(Table323[[#This Row],[Census Tract]],'ES Energy Burden'!$B$2:$E$914,4,FALSE)</f>
        <v>No</v>
      </c>
      <c r="R328" s="248">
        <f>VLOOKUP(Table323[[#This Row],[Census Tract]],'Income and Housing Data'!$B$2:$D$823,3,FALSE)</f>
        <v>136719</v>
      </c>
      <c r="S328" s="248" t="str">
        <f>IF($U$6&lt;=Table323[[#This Row],[Household income]],IF(Table323[[#This Row],[Household income]]&lt;=$U$7, "Yes","No"),"No")</f>
        <v>No</v>
      </c>
    </row>
    <row r="329" spans="1:19" x14ac:dyDescent="0.25">
      <c r="A329" s="147">
        <v>9005298300</v>
      </c>
      <c r="B329" s="148" t="s">
        <v>2779</v>
      </c>
      <c r="C329" s="150" t="s">
        <v>944</v>
      </c>
      <c r="D329" s="70">
        <v>56592.082183680002</v>
      </c>
      <c r="E329" s="70">
        <v>11448.81</v>
      </c>
      <c r="F329" s="14">
        <v>6</v>
      </c>
      <c r="G329" s="14">
        <v>6</v>
      </c>
      <c r="H329" s="14">
        <v>0</v>
      </c>
      <c r="I329" s="14">
        <v>0</v>
      </c>
      <c r="J329" s="69">
        <v>4896.7</v>
      </c>
      <c r="K329">
        <f t="shared" si="5"/>
        <v>0</v>
      </c>
      <c r="L329" s="14">
        <v>0</v>
      </c>
      <c r="M329" s="14">
        <v>0</v>
      </c>
      <c r="N329" s="14">
        <v>0</v>
      </c>
      <c r="O329" s="69">
        <v>0</v>
      </c>
      <c r="P329" s="226">
        <f>VLOOKUP(Table323[[#This Row],[Census Tract]],'Population and Diversity Data'!$B$2:$K$823,10,FALSE)</f>
        <v>1</v>
      </c>
      <c r="Q329" s="226" t="str">
        <f>VLOOKUP(Table323[[#This Row],[Census Tract]],'ES Energy Burden'!$B$2:$E$914,4,FALSE)</f>
        <v>No</v>
      </c>
      <c r="R329" s="248">
        <f>VLOOKUP(Table323[[#This Row],[Census Tract]],'Income and Housing Data'!$B$2:$D$823,3,FALSE)</f>
        <v>105708</v>
      </c>
      <c r="S329" s="248" t="str">
        <f>IF($U$6&lt;=Table323[[#This Row],[Household income]],IF(Table323[[#This Row],[Household income]]&lt;=$U$7, "Yes","No"),"No")</f>
        <v>No</v>
      </c>
    </row>
    <row r="330" spans="1:19" x14ac:dyDescent="0.25">
      <c r="A330" s="147">
        <v>9005298400</v>
      </c>
      <c r="B330" s="148" t="s">
        <v>2779</v>
      </c>
      <c r="C330" s="150" t="s">
        <v>944</v>
      </c>
      <c r="D330" s="70">
        <v>67464.014728320006</v>
      </c>
      <c r="E330" s="70">
        <v>51350.918799999999</v>
      </c>
      <c r="F330" s="14">
        <v>19</v>
      </c>
      <c r="G330" s="14">
        <v>19</v>
      </c>
      <c r="H330" s="14">
        <v>0</v>
      </c>
      <c r="I330" s="14">
        <v>0</v>
      </c>
      <c r="J330" s="69">
        <v>19334.518800000002</v>
      </c>
      <c r="K330">
        <f t="shared" si="5"/>
        <v>6</v>
      </c>
      <c r="L330" s="14">
        <v>6</v>
      </c>
      <c r="M330" s="14">
        <v>0</v>
      </c>
      <c r="N330" s="14">
        <v>0</v>
      </c>
      <c r="O330" s="69">
        <v>8867.82</v>
      </c>
      <c r="P330" s="226">
        <f>VLOOKUP(Table323[[#This Row],[Census Tract]],'Population and Diversity Data'!$B$2:$K$823,10,FALSE)</f>
        <v>1</v>
      </c>
      <c r="Q330" s="226" t="str">
        <f>VLOOKUP(Table323[[#This Row],[Census Tract]],'ES Energy Burden'!$B$2:$E$914,4,FALSE)</f>
        <v>No</v>
      </c>
      <c r="R330" s="248">
        <f>VLOOKUP(Table323[[#This Row],[Census Tract]],'Income and Housing Data'!$B$2:$D$823,3,FALSE)</f>
        <v>136855</v>
      </c>
      <c r="S330" s="248" t="str">
        <f>IF($U$6&lt;=Table323[[#This Row],[Household income]],IF(Table323[[#This Row],[Household income]]&lt;=$U$7, "Yes","No"),"No")</f>
        <v>No</v>
      </c>
    </row>
    <row r="331" spans="1:19" x14ac:dyDescent="0.25">
      <c r="A331" s="147">
        <v>9005310400</v>
      </c>
      <c r="B331" s="148" t="s">
        <v>2779</v>
      </c>
      <c r="C331" s="150" t="s">
        <v>944</v>
      </c>
      <c r="D331" s="70">
        <v>525.13099199999999</v>
      </c>
      <c r="E331" s="70">
        <v>841.03</v>
      </c>
      <c r="F331" s="14">
        <v>1</v>
      </c>
      <c r="G331" s="14">
        <v>1</v>
      </c>
      <c r="H331" s="14">
        <v>0</v>
      </c>
      <c r="I331" s="14">
        <v>0</v>
      </c>
      <c r="J331" s="69">
        <v>823.84</v>
      </c>
      <c r="K331">
        <f t="shared" si="5"/>
        <v>0</v>
      </c>
      <c r="L331" s="14">
        <v>0</v>
      </c>
      <c r="M331" s="14">
        <v>0</v>
      </c>
      <c r="N331" s="14">
        <v>0</v>
      </c>
      <c r="O331" s="69">
        <v>0</v>
      </c>
      <c r="P331" s="226">
        <f>VLOOKUP(Table323[[#This Row],[Census Tract]],'Population and Diversity Data'!$B$2:$K$823,10,FALSE)</f>
        <v>3</v>
      </c>
      <c r="Q331" s="226" t="str">
        <f>VLOOKUP(Table323[[#This Row],[Census Tract]],'ES Energy Burden'!$B$2:$E$914,4,FALSE)</f>
        <v>No</v>
      </c>
      <c r="R331" s="248">
        <f>VLOOKUP(Table323[[#This Row],[Census Tract]],'Income and Housing Data'!$B$2:$D$823,3,FALSE)</f>
        <v>71159</v>
      </c>
      <c r="S331" s="248" t="str">
        <f>IF($U$6&lt;=Table323[[#This Row],[Household income]],IF(Table323[[#This Row],[Household income]]&lt;=$U$7, "Yes","No"),"No")</f>
        <v>No</v>
      </c>
    </row>
    <row r="332" spans="1:19" x14ac:dyDescent="0.25">
      <c r="A332" s="147">
        <v>9005425300</v>
      </c>
      <c r="B332" s="148" t="s">
        <v>2779</v>
      </c>
      <c r="C332" s="150" t="s">
        <v>944</v>
      </c>
      <c r="D332" s="70">
        <v>51.618729600000002</v>
      </c>
      <c r="E332" s="70">
        <v>0</v>
      </c>
      <c r="F332" s="14">
        <v>0</v>
      </c>
      <c r="G332" s="14">
        <v>0</v>
      </c>
      <c r="H332" s="14">
        <v>0</v>
      </c>
      <c r="I332" s="14">
        <v>0</v>
      </c>
      <c r="J332" s="69">
        <v>0</v>
      </c>
      <c r="K332">
        <f t="shared" si="5"/>
        <v>0</v>
      </c>
      <c r="L332" s="14">
        <v>0</v>
      </c>
      <c r="M332" s="14">
        <v>0</v>
      </c>
      <c r="N332" s="14">
        <v>0</v>
      </c>
      <c r="O332" s="69">
        <v>0</v>
      </c>
      <c r="P332" s="226">
        <f>VLOOKUP(Table323[[#This Row],[Census Tract]],'Population and Diversity Data'!$B$2:$K$823,10,FALSE)</f>
        <v>1</v>
      </c>
      <c r="Q332" s="226" t="str">
        <f>VLOOKUP(Table323[[#This Row],[Census Tract]],'ES Energy Burden'!$B$2:$E$914,4,FALSE)</f>
        <v>No</v>
      </c>
      <c r="R332" s="248">
        <f>VLOOKUP(Table323[[#This Row],[Census Tract]],'Income and Housing Data'!$B$2:$D$823,3,FALSE)</f>
        <v>95240</v>
      </c>
      <c r="S332" s="248" t="str">
        <f>IF($U$6&lt;=Table323[[#This Row],[Household income]],IF(Table323[[#This Row],[Household income]]&lt;=$U$7, "Yes","No"),"No")</f>
        <v>No</v>
      </c>
    </row>
    <row r="333" spans="1:19" x14ac:dyDescent="0.25">
      <c r="A333" s="147">
        <v>9005349200</v>
      </c>
      <c r="B333" s="148" t="s">
        <v>2779</v>
      </c>
      <c r="C333" s="150" t="s">
        <v>944</v>
      </c>
      <c r="D333" s="70">
        <v>24.486623999999999</v>
      </c>
      <c r="E333" s="70">
        <v>0</v>
      </c>
      <c r="F333" s="14">
        <v>0</v>
      </c>
      <c r="G333" s="14">
        <v>0</v>
      </c>
      <c r="H333" s="14">
        <v>0</v>
      </c>
      <c r="I333" s="14">
        <v>0</v>
      </c>
      <c r="J333" s="69">
        <v>0</v>
      </c>
      <c r="K333">
        <f t="shared" si="5"/>
        <v>0</v>
      </c>
      <c r="L333" s="14">
        <v>0</v>
      </c>
      <c r="M333" s="14">
        <v>0</v>
      </c>
      <c r="N333" s="14">
        <v>0</v>
      </c>
      <c r="O333" s="69">
        <v>0</v>
      </c>
      <c r="P333" s="226">
        <f>VLOOKUP(Table323[[#This Row],[Census Tract]],'Population and Diversity Data'!$B$2:$K$823,10,FALSE)</f>
        <v>1</v>
      </c>
      <c r="Q333" s="226" t="str">
        <f>VLOOKUP(Table323[[#This Row],[Census Tract]],'ES Energy Burden'!$B$2:$E$914,4,FALSE)</f>
        <v>No</v>
      </c>
      <c r="R333" s="248">
        <f>VLOOKUP(Table323[[#This Row],[Census Tract]],'Income and Housing Data'!$B$2:$D$823,3,FALSE)</f>
        <v>64550</v>
      </c>
      <c r="S333" s="248" t="str">
        <f>IF($U$6&lt;=Table323[[#This Row],[Household income]],IF(Table323[[#This Row],[Household income]]&lt;=$U$7, "Yes","No"),"No")</f>
        <v>No</v>
      </c>
    </row>
    <row r="334" spans="1:19" x14ac:dyDescent="0.25">
      <c r="A334" s="147">
        <v>9003520201</v>
      </c>
      <c r="B334" s="148" t="s">
        <v>2780</v>
      </c>
      <c r="C334" s="150" t="s">
        <v>944</v>
      </c>
      <c r="D334" s="70">
        <v>66.993782400000001</v>
      </c>
      <c r="E334" s="70">
        <v>0</v>
      </c>
      <c r="F334" s="14">
        <v>0</v>
      </c>
      <c r="G334" s="14">
        <v>0</v>
      </c>
      <c r="H334" s="14">
        <v>0</v>
      </c>
      <c r="I334" s="14">
        <v>0</v>
      </c>
      <c r="J334" s="69">
        <v>0</v>
      </c>
      <c r="K334">
        <f t="shared" si="5"/>
        <v>0</v>
      </c>
      <c r="L334" s="14">
        <v>0</v>
      </c>
      <c r="M334" s="14">
        <v>0</v>
      </c>
      <c r="N334" s="14">
        <v>0</v>
      </c>
      <c r="O334" s="69">
        <v>0</v>
      </c>
      <c r="P334" s="226">
        <f>VLOOKUP(Table323[[#This Row],[Census Tract]],'Population and Diversity Data'!$B$2:$K$823,10,FALSE)</f>
        <v>4</v>
      </c>
      <c r="Q334" s="226" t="str">
        <f>VLOOKUP(Table323[[#This Row],[Census Tract]],'ES Energy Burden'!$B$2:$E$914,4,FALSE)</f>
        <v>No</v>
      </c>
      <c r="R334" s="248">
        <f>VLOOKUP(Table323[[#This Row],[Census Tract]],'Income and Housing Data'!$B$2:$D$823,3,FALSE)</f>
        <v>168672</v>
      </c>
      <c r="S334" s="248" t="str">
        <f>IF($U$6&lt;=Table323[[#This Row],[Household income]],IF(Table323[[#This Row],[Household income]]&lt;=$U$7, "Yes","No"),"No")</f>
        <v>No</v>
      </c>
    </row>
    <row r="335" spans="1:19" x14ac:dyDescent="0.25">
      <c r="A335" s="147">
        <v>9011714104</v>
      </c>
      <c r="B335" s="148" t="s">
        <v>2780</v>
      </c>
      <c r="C335" s="150" t="s">
        <v>944</v>
      </c>
      <c r="D335" s="70">
        <v>991.81825920000006</v>
      </c>
      <c r="E335" s="70">
        <v>0</v>
      </c>
      <c r="F335" s="14">
        <v>0</v>
      </c>
      <c r="G335" s="14">
        <v>0</v>
      </c>
      <c r="H335" s="14">
        <v>0</v>
      </c>
      <c r="I335" s="14">
        <v>0</v>
      </c>
      <c r="J335" s="69">
        <v>0</v>
      </c>
      <c r="K335">
        <f t="shared" si="5"/>
        <v>0</v>
      </c>
      <c r="L335" s="14">
        <v>0</v>
      </c>
      <c r="M335" s="14">
        <v>0</v>
      </c>
      <c r="N335" s="14">
        <v>0</v>
      </c>
      <c r="O335" s="69">
        <v>0</v>
      </c>
      <c r="P335" s="226">
        <f>VLOOKUP(Table323[[#This Row],[Census Tract]],'Population and Diversity Data'!$B$2:$K$823,10,FALSE)</f>
        <v>1</v>
      </c>
      <c r="Q335" s="226" t="str">
        <f>VLOOKUP(Table323[[#This Row],[Census Tract]],'ES Energy Burden'!$B$2:$E$914,4,FALSE)</f>
        <v>No</v>
      </c>
      <c r="R335" s="248">
        <f>VLOOKUP(Table323[[#This Row],[Census Tract]],'Income and Housing Data'!$B$2:$D$823,3,FALSE)</f>
        <v>102610</v>
      </c>
      <c r="S335" s="248" t="str">
        <f>IF($U$6&lt;=Table323[[#This Row],[Household income]],IF(Table323[[#This Row],[Household income]]&lt;=$U$7, "Yes","No"),"No")</f>
        <v>No</v>
      </c>
    </row>
    <row r="336" spans="1:19" x14ac:dyDescent="0.25">
      <c r="A336" s="147">
        <v>9013526101</v>
      </c>
      <c r="B336" s="148" t="s">
        <v>2780</v>
      </c>
      <c r="C336" s="150" t="s">
        <v>944</v>
      </c>
      <c r="D336" s="70">
        <v>49109.467147199997</v>
      </c>
      <c r="E336" s="70">
        <v>6905.26</v>
      </c>
      <c r="F336" s="14">
        <v>5</v>
      </c>
      <c r="G336" s="14">
        <v>5</v>
      </c>
      <c r="H336" s="14">
        <v>0</v>
      </c>
      <c r="I336" s="14">
        <v>0</v>
      </c>
      <c r="J336" s="69">
        <v>3864.66</v>
      </c>
      <c r="K336">
        <f t="shared" si="5"/>
        <v>0</v>
      </c>
      <c r="L336" s="14">
        <v>0</v>
      </c>
      <c r="M336" s="14">
        <v>0</v>
      </c>
      <c r="N336" s="14">
        <v>0</v>
      </c>
      <c r="O336" s="69">
        <v>0</v>
      </c>
      <c r="P336" s="226">
        <f>VLOOKUP(Table323[[#This Row],[Census Tract]],'Population and Diversity Data'!$B$2:$K$823,10,FALSE)</f>
        <v>2</v>
      </c>
      <c r="Q336" s="226" t="str">
        <f>VLOOKUP(Table323[[#This Row],[Census Tract]],'ES Energy Burden'!$B$2:$E$914,4,FALSE)</f>
        <v>No</v>
      </c>
      <c r="R336" s="248">
        <f>VLOOKUP(Table323[[#This Row],[Census Tract]],'Income and Housing Data'!$B$2:$D$823,3,FALSE)</f>
        <v>121250</v>
      </c>
      <c r="S336" s="248" t="str">
        <f>IF($U$6&lt;=Table323[[#This Row],[Household income]],IF(Table323[[#This Row],[Household income]]&lt;=$U$7, "Yes","No"),"No")</f>
        <v>No</v>
      </c>
    </row>
    <row r="337" spans="1:19" x14ac:dyDescent="0.25">
      <c r="A337" s="147">
        <v>9013526102</v>
      </c>
      <c r="B337" s="148" t="s">
        <v>2780</v>
      </c>
      <c r="C337" s="150" t="s">
        <v>944</v>
      </c>
      <c r="D337" s="70">
        <v>136065.06323711999</v>
      </c>
      <c r="E337" s="70">
        <v>75257.462499999994</v>
      </c>
      <c r="F337" s="14">
        <v>40</v>
      </c>
      <c r="G337" s="14">
        <v>40</v>
      </c>
      <c r="H337" s="14">
        <v>0</v>
      </c>
      <c r="I337" s="14">
        <v>0</v>
      </c>
      <c r="J337" s="69">
        <v>40673.646500000003</v>
      </c>
      <c r="K337">
        <f t="shared" si="5"/>
        <v>4</v>
      </c>
      <c r="L337" s="14">
        <v>4</v>
      </c>
      <c r="M337" s="14">
        <v>0</v>
      </c>
      <c r="N337" s="14">
        <v>0</v>
      </c>
      <c r="O337" s="69">
        <v>3651.05</v>
      </c>
      <c r="P337" s="226">
        <f>VLOOKUP(Table323[[#This Row],[Census Tract]],'Population and Diversity Data'!$B$2:$K$823,10,FALSE)</f>
        <v>1</v>
      </c>
      <c r="Q337" s="226" t="str">
        <f>VLOOKUP(Table323[[#This Row],[Census Tract]],'ES Energy Burden'!$B$2:$E$914,4,FALSE)</f>
        <v>No</v>
      </c>
      <c r="R337" s="248">
        <f>VLOOKUP(Table323[[#This Row],[Census Tract]],'Income and Housing Data'!$B$2:$D$823,3,FALSE)</f>
        <v>119917</v>
      </c>
      <c r="S337" s="248" t="str">
        <f>IF($U$6&lt;=Table323[[#This Row],[Household income]],IF(Table323[[#This Row],[Household income]]&lt;=$U$7, "Yes","No"),"No")</f>
        <v>No</v>
      </c>
    </row>
    <row r="338" spans="1:19" x14ac:dyDescent="0.25">
      <c r="A338" s="147">
        <v>9013860100</v>
      </c>
      <c r="B338" s="148" t="s">
        <v>2780</v>
      </c>
      <c r="C338" s="150" t="s">
        <v>944</v>
      </c>
      <c r="D338" s="70">
        <v>234.27273600000001</v>
      </c>
      <c r="E338" s="70">
        <v>0</v>
      </c>
      <c r="F338" s="14">
        <v>0</v>
      </c>
      <c r="G338" s="14">
        <v>0</v>
      </c>
      <c r="H338" s="14">
        <v>0</v>
      </c>
      <c r="I338" s="14">
        <v>0</v>
      </c>
      <c r="J338" s="69">
        <v>0</v>
      </c>
      <c r="K338">
        <f t="shared" si="5"/>
        <v>0</v>
      </c>
      <c r="L338" s="14">
        <v>0</v>
      </c>
      <c r="M338" s="14">
        <v>0</v>
      </c>
      <c r="N338" s="14">
        <v>0</v>
      </c>
      <c r="O338" s="69">
        <v>0</v>
      </c>
      <c r="P338" s="226">
        <f>VLOOKUP(Table323[[#This Row],[Census Tract]],'Population and Diversity Data'!$B$2:$K$823,10,FALSE)</f>
        <v>1</v>
      </c>
      <c r="Q338" s="226" t="str">
        <f>VLOOKUP(Table323[[#This Row],[Census Tract]],'ES Energy Burden'!$B$2:$E$914,4,FALSE)</f>
        <v>No</v>
      </c>
      <c r="R338" s="248">
        <f>VLOOKUP(Table323[[#This Row],[Census Tract]],'Income and Housing Data'!$B$2:$D$823,3,FALSE)</f>
        <v>109962</v>
      </c>
      <c r="S338" s="248" t="str">
        <f>IF($U$6&lt;=Table323[[#This Row],[Household income]],IF(Table323[[#This Row],[Household income]]&lt;=$U$7, "Yes","No"),"No")</f>
        <v>No</v>
      </c>
    </row>
    <row r="339" spans="1:19" x14ac:dyDescent="0.25">
      <c r="A339" s="147">
        <v>9005253500</v>
      </c>
      <c r="B339" s="148" t="s">
        <v>2781</v>
      </c>
      <c r="C339" s="150" t="s">
        <v>944</v>
      </c>
      <c r="D339" s="70">
        <v>135.63158400000003</v>
      </c>
      <c r="E339" s="70">
        <v>0</v>
      </c>
      <c r="F339" s="14">
        <v>0</v>
      </c>
      <c r="G339" s="14">
        <v>0</v>
      </c>
      <c r="H339" s="14">
        <v>0</v>
      </c>
      <c r="I339" s="14">
        <v>0</v>
      </c>
      <c r="J339" s="69">
        <v>0</v>
      </c>
      <c r="K339">
        <f t="shared" si="5"/>
        <v>0</v>
      </c>
      <c r="L339" s="14">
        <v>0</v>
      </c>
      <c r="M339" s="14">
        <v>0</v>
      </c>
      <c r="N339" s="14">
        <v>0</v>
      </c>
      <c r="O339" s="69">
        <v>0</v>
      </c>
      <c r="P339" s="226">
        <f>VLOOKUP(Table323[[#This Row],[Census Tract]],'Population and Diversity Data'!$B$2:$K$823,10,FALSE)</f>
        <v>4</v>
      </c>
      <c r="Q339" s="226" t="str">
        <f>VLOOKUP(Table323[[#This Row],[Census Tract]],'ES Energy Burden'!$B$2:$E$914,4,FALSE)</f>
        <v>No</v>
      </c>
      <c r="R339" s="248">
        <f>VLOOKUP(Table323[[#This Row],[Census Tract]],'Income and Housing Data'!$B$2:$D$823,3,FALSE)</f>
        <v>107109</v>
      </c>
      <c r="S339" s="248" t="str">
        <f>IF($U$6&lt;=Table323[[#This Row],[Household income]],IF(Table323[[#This Row],[Household income]]&lt;=$U$7, "Yes","No"),"No")</f>
        <v>No</v>
      </c>
    </row>
    <row r="340" spans="1:19" x14ac:dyDescent="0.25">
      <c r="A340" s="147">
        <v>9005265100</v>
      </c>
      <c r="B340" s="148" t="s">
        <v>2781</v>
      </c>
      <c r="C340" s="150" t="s">
        <v>944</v>
      </c>
      <c r="D340" s="70">
        <v>75.347020799999996</v>
      </c>
      <c r="E340" s="70">
        <v>0</v>
      </c>
      <c r="F340" s="14">
        <v>0</v>
      </c>
      <c r="G340" s="14">
        <v>0</v>
      </c>
      <c r="H340" s="14">
        <v>0</v>
      </c>
      <c r="I340" s="14">
        <v>0</v>
      </c>
      <c r="J340" s="69">
        <v>0</v>
      </c>
      <c r="K340">
        <f t="shared" si="5"/>
        <v>0</v>
      </c>
      <c r="L340" s="14">
        <v>0</v>
      </c>
      <c r="M340" s="14">
        <v>0</v>
      </c>
      <c r="N340" s="14">
        <v>0</v>
      </c>
      <c r="O340" s="69">
        <v>0</v>
      </c>
      <c r="P340" s="226">
        <f>VLOOKUP(Table323[[#This Row],[Census Tract]],'Population and Diversity Data'!$B$2:$K$823,10,FALSE)</f>
        <v>1</v>
      </c>
      <c r="Q340" s="226" t="str">
        <f>VLOOKUP(Table323[[#This Row],[Census Tract]],'ES Energy Burden'!$B$2:$E$914,4,FALSE)</f>
        <v>No</v>
      </c>
      <c r="R340" s="248">
        <f>VLOOKUP(Table323[[#This Row],[Census Tract]],'Income and Housing Data'!$B$2:$D$823,3,FALSE)</f>
        <v>104375</v>
      </c>
      <c r="S340" s="248" t="str">
        <f>IF($U$6&lt;=Table323[[#This Row],[Household income]],IF(Table323[[#This Row],[Household income]]&lt;=$U$7, "Yes","No"),"No")</f>
        <v>No</v>
      </c>
    </row>
    <row r="341" spans="1:19" x14ac:dyDescent="0.25">
      <c r="A341" s="147">
        <v>9005266100</v>
      </c>
      <c r="B341" s="148" t="s">
        <v>2781</v>
      </c>
      <c r="C341" s="150" t="s">
        <v>944</v>
      </c>
      <c r="D341" s="70">
        <v>107590.69931904001</v>
      </c>
      <c r="E341" s="70">
        <v>25083.518</v>
      </c>
      <c r="F341" s="14">
        <v>13</v>
      </c>
      <c r="G341" s="14">
        <v>13</v>
      </c>
      <c r="H341" s="14">
        <v>0</v>
      </c>
      <c r="I341" s="14">
        <v>0</v>
      </c>
      <c r="J341" s="69">
        <v>13248.26</v>
      </c>
      <c r="K341">
        <f t="shared" si="5"/>
        <v>1</v>
      </c>
      <c r="L341" s="14">
        <v>1</v>
      </c>
      <c r="M341" s="14">
        <v>0</v>
      </c>
      <c r="N341" s="14">
        <v>0</v>
      </c>
      <c r="O341" s="69">
        <v>4283.9799999999996</v>
      </c>
      <c r="P341" s="226">
        <f>VLOOKUP(Table323[[#This Row],[Census Tract]],'Population and Diversity Data'!$B$2:$K$823,10,FALSE)</f>
        <v>2</v>
      </c>
      <c r="Q341" s="226" t="str">
        <f>VLOOKUP(Table323[[#This Row],[Census Tract]],'ES Energy Burden'!$B$2:$E$914,4,FALSE)</f>
        <v>No</v>
      </c>
      <c r="R341" s="248">
        <f>VLOOKUP(Table323[[#This Row],[Census Tract]],'Income and Housing Data'!$B$2:$D$823,3,FALSE)</f>
        <v>78125</v>
      </c>
      <c r="S341" s="248" t="str">
        <f>IF($U$6&lt;=Table323[[#This Row],[Household income]],IF(Table323[[#This Row],[Household income]]&lt;=$U$7, "Yes","No"),"No")</f>
        <v>No</v>
      </c>
    </row>
    <row r="342" spans="1:19" x14ac:dyDescent="0.25">
      <c r="A342" s="147">
        <v>9015904100</v>
      </c>
      <c r="B342" s="148" t="s">
        <v>2782</v>
      </c>
      <c r="C342" s="150" t="s">
        <v>944</v>
      </c>
      <c r="D342" s="70">
        <v>154442.43837215999</v>
      </c>
      <c r="E342" s="70">
        <v>226131.45370000001</v>
      </c>
      <c r="F342" s="14">
        <v>17</v>
      </c>
      <c r="G342" s="14">
        <v>15</v>
      </c>
      <c r="H342" s="14">
        <v>2</v>
      </c>
      <c r="I342" s="14">
        <v>0</v>
      </c>
      <c r="J342" s="69">
        <v>13339.5545</v>
      </c>
      <c r="K342">
        <f t="shared" si="5"/>
        <v>107</v>
      </c>
      <c r="L342" s="14">
        <v>26</v>
      </c>
      <c r="M342" s="14">
        <v>0</v>
      </c>
      <c r="N342" s="14">
        <v>81</v>
      </c>
      <c r="O342" s="69">
        <v>75295.7</v>
      </c>
      <c r="P342" s="226">
        <f>VLOOKUP(Table323[[#This Row],[Census Tract]],'Population and Diversity Data'!$B$2:$K$823,10,FALSE)</f>
        <v>2</v>
      </c>
      <c r="Q342" s="226" t="str">
        <f>VLOOKUP(Table323[[#This Row],[Census Tract]],'ES Energy Burden'!$B$2:$E$914,4,FALSE)</f>
        <v>No</v>
      </c>
      <c r="R342" s="248">
        <f>VLOOKUP(Table323[[#This Row],[Census Tract]],'Income and Housing Data'!$B$2:$D$823,3,FALSE)</f>
        <v>70341</v>
      </c>
      <c r="S342" s="248" t="str">
        <f>IF($U$6&lt;=Table323[[#This Row],[Household income]],IF(Table323[[#This Row],[Household income]]&lt;=$U$7, "Yes","No"),"No")</f>
        <v>No</v>
      </c>
    </row>
    <row r="343" spans="1:19" x14ac:dyDescent="0.25">
      <c r="A343" s="147">
        <v>9015904400</v>
      </c>
      <c r="B343" s="148" t="s">
        <v>2782</v>
      </c>
      <c r="C343" s="150" t="s">
        <v>944</v>
      </c>
      <c r="D343" s="70">
        <v>60618.712996800001</v>
      </c>
      <c r="E343" s="70">
        <v>12798.2778</v>
      </c>
      <c r="F343" s="14">
        <v>7</v>
      </c>
      <c r="G343" s="14">
        <v>7</v>
      </c>
      <c r="H343" s="14">
        <v>0</v>
      </c>
      <c r="I343" s="14">
        <v>0</v>
      </c>
      <c r="J343" s="69">
        <v>7045.0677999999998</v>
      </c>
      <c r="K343">
        <f t="shared" si="5"/>
        <v>0</v>
      </c>
      <c r="L343" s="14">
        <v>0</v>
      </c>
      <c r="M343" s="14">
        <v>0</v>
      </c>
      <c r="N343" s="14">
        <v>0</v>
      </c>
      <c r="O343" s="69">
        <v>0</v>
      </c>
      <c r="P343" s="226">
        <f>VLOOKUP(Table323[[#This Row],[Census Tract]],'Population and Diversity Data'!$B$2:$K$823,10,FALSE)</f>
        <v>3</v>
      </c>
      <c r="Q343" s="226" t="str">
        <f>VLOOKUP(Table323[[#This Row],[Census Tract]],'ES Energy Burden'!$B$2:$E$914,4,FALSE)</f>
        <v>No</v>
      </c>
      <c r="R343" s="248">
        <f>VLOOKUP(Table323[[#This Row],[Census Tract]],'Income and Housing Data'!$B$2:$D$823,3,FALSE)</f>
        <v>57917</v>
      </c>
      <c r="S343" s="248" t="str">
        <f>IF($U$6&lt;=Table323[[#This Row],[Household income]],IF(Table323[[#This Row],[Household income]]&lt;=$U$7, "Yes","No"),"No")</f>
        <v>Yes</v>
      </c>
    </row>
    <row r="344" spans="1:19" x14ac:dyDescent="0.25">
      <c r="A344" s="147">
        <v>9015904500</v>
      </c>
      <c r="B344" s="148" t="s">
        <v>2782</v>
      </c>
      <c r="C344" s="150" t="s">
        <v>944</v>
      </c>
      <c r="D344" s="70">
        <v>103701.58665984</v>
      </c>
      <c r="E344" s="70">
        <v>41168.17</v>
      </c>
      <c r="F344" s="14">
        <v>21</v>
      </c>
      <c r="G344" s="14">
        <v>20</v>
      </c>
      <c r="H344" s="14">
        <v>1</v>
      </c>
      <c r="I344" s="14">
        <v>0</v>
      </c>
      <c r="J344" s="69">
        <v>9966.7999999999993</v>
      </c>
      <c r="K344">
        <f t="shared" si="5"/>
        <v>0</v>
      </c>
      <c r="L344" s="14">
        <v>0</v>
      </c>
      <c r="M344" s="14">
        <v>0</v>
      </c>
      <c r="N344" s="14">
        <v>0</v>
      </c>
      <c r="O344" s="69">
        <v>0</v>
      </c>
      <c r="P344" s="226">
        <f>VLOOKUP(Table323[[#This Row],[Census Tract]],'Population and Diversity Data'!$B$2:$K$823,10,FALSE)</f>
        <v>5</v>
      </c>
      <c r="Q344" s="226" t="str">
        <f>VLOOKUP(Table323[[#This Row],[Census Tract]],'ES Energy Burden'!$B$2:$E$914,4,FALSE)</f>
        <v>No</v>
      </c>
      <c r="R344" s="248">
        <f>VLOOKUP(Table323[[#This Row],[Census Tract]],'Income and Housing Data'!$B$2:$D$823,3,FALSE)</f>
        <v>53138</v>
      </c>
      <c r="S344" s="248" t="str">
        <f>IF($U$6&lt;=Table323[[#This Row],[Household income]],IF(Table323[[#This Row],[Household income]]&lt;=$U$7, "Yes","No"),"No")</f>
        <v>Yes</v>
      </c>
    </row>
    <row r="345" spans="1:19" x14ac:dyDescent="0.25">
      <c r="A345" s="147">
        <v>9015907100</v>
      </c>
      <c r="B345" s="148" t="s">
        <v>2782</v>
      </c>
      <c r="C345" s="150" t="s">
        <v>944</v>
      </c>
      <c r="D345" s="70">
        <v>1382.5854144</v>
      </c>
      <c r="E345" s="70">
        <v>0</v>
      </c>
      <c r="F345" s="14">
        <v>1</v>
      </c>
      <c r="G345" s="14">
        <v>1</v>
      </c>
      <c r="H345" s="14">
        <v>0</v>
      </c>
      <c r="I345" s="14">
        <v>0</v>
      </c>
      <c r="J345" s="69">
        <v>0</v>
      </c>
      <c r="K345">
        <f t="shared" si="5"/>
        <v>0</v>
      </c>
      <c r="L345" s="14">
        <v>0</v>
      </c>
      <c r="M345" s="14">
        <v>0</v>
      </c>
      <c r="N345" s="14">
        <v>0</v>
      </c>
      <c r="O345" s="69">
        <v>0</v>
      </c>
      <c r="P345" s="226">
        <f>VLOOKUP(Table323[[#This Row],[Census Tract]],'Population and Diversity Data'!$B$2:$K$823,10,FALSE)</f>
        <v>4</v>
      </c>
      <c r="Q345" s="226" t="str">
        <f>VLOOKUP(Table323[[#This Row],[Census Tract]],'ES Energy Burden'!$B$2:$E$914,4,FALSE)</f>
        <v>No</v>
      </c>
      <c r="R345" s="248">
        <f>VLOOKUP(Table323[[#This Row],[Census Tract]],'Income and Housing Data'!$B$2:$D$823,3,FALSE)</f>
        <v>72606</v>
      </c>
      <c r="S345" s="248" t="str">
        <f>IF($U$6&lt;=Table323[[#This Row],[Household income]],IF(Table323[[#This Row],[Household income]]&lt;=$U$7, "Yes","No"),"No")</f>
        <v>No</v>
      </c>
    </row>
    <row r="346" spans="1:19" x14ac:dyDescent="0.25">
      <c r="A346" s="147">
        <v>9015907200</v>
      </c>
      <c r="B346" s="148" t="s">
        <v>2782</v>
      </c>
      <c r="C346" s="150" t="s">
        <v>944</v>
      </c>
      <c r="D346" s="70">
        <v>306.37802879999998</v>
      </c>
      <c r="E346" s="70">
        <v>0</v>
      </c>
      <c r="F346" s="14">
        <v>0</v>
      </c>
      <c r="G346" s="14">
        <v>0</v>
      </c>
      <c r="H346" s="14">
        <v>0</v>
      </c>
      <c r="I346" s="14">
        <v>0</v>
      </c>
      <c r="J346" s="69">
        <v>0</v>
      </c>
      <c r="K346">
        <f t="shared" si="5"/>
        <v>0</v>
      </c>
      <c r="L346" s="14">
        <v>0</v>
      </c>
      <c r="M346" s="14">
        <v>0</v>
      </c>
      <c r="N346" s="14">
        <v>0</v>
      </c>
      <c r="O346" s="69">
        <v>0</v>
      </c>
      <c r="P346" s="226">
        <f>VLOOKUP(Table323[[#This Row],[Census Tract]],'Population and Diversity Data'!$B$2:$K$823,10,FALSE)</f>
        <v>3</v>
      </c>
      <c r="Q346" s="226" t="str">
        <f>VLOOKUP(Table323[[#This Row],[Census Tract]],'ES Energy Burden'!$B$2:$E$914,4,FALSE)</f>
        <v>No</v>
      </c>
      <c r="R346" s="248">
        <f>VLOOKUP(Table323[[#This Row],[Census Tract]],'Income and Housing Data'!$B$2:$D$823,3,FALSE)</f>
        <v>65192</v>
      </c>
      <c r="S346" s="248" t="str">
        <f>IF($U$6&lt;=Table323[[#This Row],[Household income]],IF(Table323[[#This Row],[Household income]]&lt;=$U$7, "Yes","No"),"No")</f>
        <v>No</v>
      </c>
    </row>
    <row r="347" spans="1:19" x14ac:dyDescent="0.25">
      <c r="A347" s="147">
        <v>9015908100</v>
      </c>
      <c r="B347" s="148" t="s">
        <v>2782</v>
      </c>
      <c r="C347" s="150" t="s">
        <v>944</v>
      </c>
      <c r="D347" s="70">
        <v>141.2640864</v>
      </c>
      <c r="E347" s="70">
        <v>0</v>
      </c>
      <c r="F347" s="14">
        <v>0</v>
      </c>
      <c r="G347" s="14">
        <v>0</v>
      </c>
      <c r="H347" s="14">
        <v>0</v>
      </c>
      <c r="I347" s="14">
        <v>0</v>
      </c>
      <c r="J347" s="69">
        <v>0</v>
      </c>
      <c r="K347">
        <f t="shared" si="5"/>
        <v>0</v>
      </c>
      <c r="L347" s="14">
        <v>0</v>
      </c>
      <c r="M347" s="14">
        <v>0</v>
      </c>
      <c r="N347" s="14">
        <v>0</v>
      </c>
      <c r="O347" s="69">
        <v>0</v>
      </c>
      <c r="P347" s="226" t="e">
        <f>VLOOKUP(Table323[[#This Row],[Census Tract]],'Population and Diversity Data'!$B$2:$K$823,10,FALSE)</f>
        <v>#N/A</v>
      </c>
      <c r="Q347" s="226" t="e">
        <f>VLOOKUP(Table323[[#This Row],[Census Tract]],'ES Energy Burden'!$B$2:$E$914,4,FALSE)</f>
        <v>#N/A</v>
      </c>
      <c r="R347" s="248" t="e">
        <f>VLOOKUP(Table323[[#This Row],[Census Tract]],'Income and Housing Data'!$B$2:$D$823,3,FALSE)</f>
        <v>#N/A</v>
      </c>
      <c r="S347" s="248" t="e">
        <f>IF($U$6&lt;=Table323[[#This Row],[Household income]],IF(Table323[[#This Row],[Household income]]&lt;=$U$7, "Yes","No"),"No")</f>
        <v>#N/A</v>
      </c>
    </row>
    <row r="348" spans="1:19" x14ac:dyDescent="0.25">
      <c r="A348" s="147">
        <v>9007590100</v>
      </c>
      <c r="B348" s="148" t="s">
        <v>2783</v>
      </c>
      <c r="C348" s="150" t="s">
        <v>944</v>
      </c>
      <c r="D348" s="70">
        <v>798.21763200000009</v>
      </c>
      <c r="E348" s="70">
        <v>0</v>
      </c>
      <c r="F348" s="14">
        <v>0</v>
      </c>
      <c r="G348" s="14">
        <v>0</v>
      </c>
      <c r="H348" s="14">
        <v>0</v>
      </c>
      <c r="I348" s="14">
        <v>0</v>
      </c>
      <c r="J348" s="69">
        <v>0</v>
      </c>
      <c r="K348">
        <f t="shared" si="5"/>
        <v>0</v>
      </c>
      <c r="L348" s="14">
        <v>0</v>
      </c>
      <c r="M348" s="14">
        <v>0</v>
      </c>
      <c r="N348" s="14">
        <v>0</v>
      </c>
      <c r="O348" s="69">
        <v>0</v>
      </c>
      <c r="P348" s="226">
        <f>VLOOKUP(Table323[[#This Row],[Census Tract]],'Population and Diversity Data'!$B$2:$K$823,10,FALSE)</f>
        <v>1</v>
      </c>
      <c r="Q348" s="226" t="str">
        <f>VLOOKUP(Table323[[#This Row],[Census Tract]],'ES Energy Burden'!$B$2:$E$914,4,FALSE)</f>
        <v>No</v>
      </c>
      <c r="R348" s="248">
        <f>VLOOKUP(Table323[[#This Row],[Census Tract]],'Income and Housing Data'!$B$2:$D$823,3,FALSE)</f>
        <v>110497</v>
      </c>
      <c r="S348" s="248" t="str">
        <f>IF($U$6&lt;=Table323[[#This Row],[Household income]],IF(Table323[[#This Row],[Household income]]&lt;=$U$7, "Yes","No"),"No")</f>
        <v>No</v>
      </c>
    </row>
    <row r="349" spans="1:19" x14ac:dyDescent="0.25">
      <c r="A349" s="147">
        <v>9007640100</v>
      </c>
      <c r="B349" s="148" t="s">
        <v>2783</v>
      </c>
      <c r="C349" s="150" t="s">
        <v>944</v>
      </c>
      <c r="D349" s="70">
        <v>152083.24534944</v>
      </c>
      <c r="E349" s="70">
        <v>67481.353700000007</v>
      </c>
      <c r="F349" s="14">
        <v>29</v>
      </c>
      <c r="G349" s="14">
        <v>29</v>
      </c>
      <c r="H349" s="14">
        <v>0</v>
      </c>
      <c r="I349" s="14">
        <v>0</v>
      </c>
      <c r="J349" s="69">
        <v>34899.748699999996</v>
      </c>
      <c r="K349">
        <f t="shared" si="5"/>
        <v>7</v>
      </c>
      <c r="L349" s="14">
        <v>7</v>
      </c>
      <c r="M349" s="14">
        <v>0</v>
      </c>
      <c r="N349" s="14">
        <v>0</v>
      </c>
      <c r="O349" s="69">
        <v>10416.799999999999</v>
      </c>
      <c r="P349" s="226">
        <f>VLOOKUP(Table323[[#This Row],[Census Tract]],'Population and Diversity Data'!$B$2:$K$823,10,FALSE)</f>
        <v>1</v>
      </c>
      <c r="Q349" s="226" t="str">
        <f>VLOOKUP(Table323[[#This Row],[Census Tract]],'ES Energy Burden'!$B$2:$E$914,4,FALSE)</f>
        <v>No</v>
      </c>
      <c r="R349" s="248">
        <f>VLOOKUP(Table323[[#This Row],[Census Tract]],'Income and Housing Data'!$B$2:$D$823,3,FALSE)</f>
        <v>110543</v>
      </c>
      <c r="S349" s="248" t="str">
        <f>IF($U$6&lt;=Table323[[#This Row],[Household income]],IF(Table323[[#This Row],[Household income]]&lt;=$U$7, "Yes","No"),"No")</f>
        <v>No</v>
      </c>
    </row>
    <row r="350" spans="1:19" x14ac:dyDescent="0.25">
      <c r="A350" s="147">
        <v>9011714104</v>
      </c>
      <c r="B350" s="148" t="s">
        <v>2784</v>
      </c>
      <c r="C350" s="150" t="s">
        <v>944</v>
      </c>
      <c r="D350" s="70">
        <v>49.528972799999998</v>
      </c>
      <c r="E350" s="70">
        <v>0</v>
      </c>
      <c r="F350" s="14">
        <v>0</v>
      </c>
      <c r="G350" s="14">
        <v>0</v>
      </c>
      <c r="H350" s="14">
        <v>0</v>
      </c>
      <c r="I350" s="14">
        <v>0</v>
      </c>
      <c r="J350" s="69">
        <v>0</v>
      </c>
      <c r="K350">
        <f t="shared" si="5"/>
        <v>0</v>
      </c>
      <c r="L350" s="14">
        <v>0</v>
      </c>
      <c r="M350" s="14">
        <v>0</v>
      </c>
      <c r="N350" s="14">
        <v>0</v>
      </c>
      <c r="O350" s="69">
        <v>0</v>
      </c>
      <c r="P350" s="226">
        <f>VLOOKUP(Table323[[#This Row],[Census Tract]],'Population and Diversity Data'!$B$2:$K$823,10,FALSE)</f>
        <v>1</v>
      </c>
      <c r="Q350" s="226" t="str">
        <f>VLOOKUP(Table323[[#This Row],[Census Tract]],'ES Energy Burden'!$B$2:$E$914,4,FALSE)</f>
        <v>No</v>
      </c>
      <c r="R350" s="248">
        <f>VLOOKUP(Table323[[#This Row],[Census Tract]],'Income and Housing Data'!$B$2:$D$823,3,FALSE)</f>
        <v>102610</v>
      </c>
      <c r="S350" s="248" t="str">
        <f>IF($U$6&lt;=Table323[[#This Row],[Household income]],IF(Table323[[#This Row],[Household income]]&lt;=$U$7, "Yes","No"),"No")</f>
        <v>No</v>
      </c>
    </row>
    <row r="351" spans="1:19" x14ac:dyDescent="0.25">
      <c r="A351" s="147">
        <v>9011870100</v>
      </c>
      <c r="B351" s="148" t="s">
        <v>2784</v>
      </c>
      <c r="C351" s="150" t="s">
        <v>944</v>
      </c>
      <c r="D351" s="70">
        <v>93097.009843200009</v>
      </c>
      <c r="E351" s="70">
        <v>66859.39</v>
      </c>
      <c r="F351" s="14">
        <v>16</v>
      </c>
      <c r="G351" s="14">
        <v>16</v>
      </c>
      <c r="H351" s="14">
        <v>0</v>
      </c>
      <c r="I351" s="14">
        <v>0</v>
      </c>
      <c r="J351" s="69">
        <v>16628.48</v>
      </c>
      <c r="K351">
        <f t="shared" si="5"/>
        <v>6</v>
      </c>
      <c r="L351" s="14">
        <v>6</v>
      </c>
      <c r="M351" s="14">
        <v>0</v>
      </c>
      <c r="N351" s="14">
        <v>0</v>
      </c>
      <c r="O351" s="69">
        <v>26361.9</v>
      </c>
      <c r="P351" s="226">
        <f>VLOOKUP(Table323[[#This Row],[Census Tract]],'Population and Diversity Data'!$B$2:$K$823,10,FALSE)</f>
        <v>1</v>
      </c>
      <c r="Q351" s="226" t="str">
        <f>VLOOKUP(Table323[[#This Row],[Census Tract]],'ES Energy Burden'!$B$2:$E$914,4,FALSE)</f>
        <v>No</v>
      </c>
      <c r="R351" s="248">
        <f>VLOOKUP(Table323[[#This Row],[Census Tract]],'Income and Housing Data'!$B$2:$D$823,3,FALSE)</f>
        <v>91684</v>
      </c>
      <c r="S351" s="248" t="str">
        <f>IF($U$6&lt;=Table323[[#This Row],[Household income]],IF(Table323[[#This Row],[Household income]]&lt;=$U$7, "Yes","No"),"No")</f>
        <v>No</v>
      </c>
    </row>
    <row r="352" spans="1:19" x14ac:dyDescent="0.25">
      <c r="A352" s="147">
        <v>9011701100</v>
      </c>
      <c r="B352" s="148" t="s">
        <v>2785</v>
      </c>
      <c r="C352" s="150" t="s">
        <v>944</v>
      </c>
      <c r="D352" s="70">
        <v>174690.90243935998</v>
      </c>
      <c r="E352" s="70">
        <v>90400.118200000099</v>
      </c>
      <c r="F352" s="14">
        <v>39</v>
      </c>
      <c r="G352" s="14">
        <v>39</v>
      </c>
      <c r="H352" s="14">
        <v>0</v>
      </c>
      <c r="I352" s="14">
        <v>0</v>
      </c>
      <c r="J352" s="69">
        <v>34778.7431</v>
      </c>
      <c r="K352">
        <f t="shared" si="5"/>
        <v>10</v>
      </c>
      <c r="L352" s="14">
        <v>10</v>
      </c>
      <c r="M352" s="14">
        <v>0</v>
      </c>
      <c r="N352" s="14">
        <v>0</v>
      </c>
      <c r="O352" s="69">
        <v>15516.5</v>
      </c>
      <c r="P352" s="226">
        <f>VLOOKUP(Table323[[#This Row],[Census Tract]],'Population and Diversity Data'!$B$2:$K$823,10,FALSE)</f>
        <v>4</v>
      </c>
      <c r="Q352" s="226" t="str">
        <f>VLOOKUP(Table323[[#This Row],[Census Tract]],'ES Energy Burden'!$B$2:$E$914,4,FALSE)</f>
        <v>No</v>
      </c>
      <c r="R352" s="248">
        <f>VLOOKUP(Table323[[#This Row],[Census Tract]],'Income and Housing Data'!$B$2:$D$823,3,FALSE)</f>
        <v>92283</v>
      </c>
      <c r="S352" s="248" t="str">
        <f>IF($U$6&lt;=Table323[[#This Row],[Household income]],IF(Table323[[#This Row],[Household income]]&lt;=$U$7, "Yes","No"),"No")</f>
        <v>No</v>
      </c>
    </row>
    <row r="353" spans="1:19" x14ac:dyDescent="0.25">
      <c r="A353" s="147">
        <v>9011701200</v>
      </c>
      <c r="B353" s="148" t="s">
        <v>2785</v>
      </c>
      <c r="C353" s="150" t="s">
        <v>944</v>
      </c>
      <c r="D353" s="70">
        <v>138641.1926976</v>
      </c>
      <c r="E353" s="70">
        <v>35876.579899999997</v>
      </c>
      <c r="F353" s="14">
        <v>36</v>
      </c>
      <c r="G353" s="14">
        <v>36</v>
      </c>
      <c r="H353" s="14">
        <v>0</v>
      </c>
      <c r="I353" s="14">
        <v>0</v>
      </c>
      <c r="J353" s="69">
        <v>26795.769899999999</v>
      </c>
      <c r="K353">
        <f t="shared" si="5"/>
        <v>0</v>
      </c>
      <c r="L353" s="14">
        <v>0</v>
      </c>
      <c r="M353" s="14">
        <v>0</v>
      </c>
      <c r="N353" s="14">
        <v>0</v>
      </c>
      <c r="O353" s="69">
        <v>0</v>
      </c>
      <c r="P353" s="226">
        <f>VLOOKUP(Table323[[#This Row],[Census Tract]],'Population and Diversity Data'!$B$2:$K$823,10,FALSE)</f>
        <v>3</v>
      </c>
      <c r="Q353" s="226" t="str">
        <f>VLOOKUP(Table323[[#This Row],[Census Tract]],'ES Energy Burden'!$B$2:$E$914,4,FALSE)</f>
        <v>No</v>
      </c>
      <c r="R353" s="248">
        <f>VLOOKUP(Table323[[#This Row],[Census Tract]],'Income and Housing Data'!$B$2:$D$823,3,FALSE)</f>
        <v>96607</v>
      </c>
      <c r="S353" s="248" t="str">
        <f>IF($U$6&lt;=Table323[[#This Row],[Household income]],IF(Table323[[#This Row],[Household income]]&lt;=$U$7, "Yes","No"),"No")</f>
        <v>No</v>
      </c>
    </row>
    <row r="354" spans="1:19" x14ac:dyDescent="0.25">
      <c r="A354" s="147">
        <v>9011980000</v>
      </c>
      <c r="B354" s="148" t="s">
        <v>2785</v>
      </c>
      <c r="C354" s="150" t="s">
        <v>944</v>
      </c>
      <c r="D354" s="70">
        <v>64.956124800000012</v>
      </c>
      <c r="E354" s="70">
        <v>0</v>
      </c>
      <c r="F354" s="14">
        <v>0</v>
      </c>
      <c r="G354" s="14">
        <v>0</v>
      </c>
      <c r="H354" s="14">
        <v>0</v>
      </c>
      <c r="I354" s="14">
        <v>0</v>
      </c>
      <c r="J354" s="69">
        <v>0</v>
      </c>
      <c r="K354">
        <f t="shared" si="5"/>
        <v>0</v>
      </c>
      <c r="L354" s="14">
        <v>0</v>
      </c>
      <c r="M354" s="14">
        <v>0</v>
      </c>
      <c r="N354" s="14">
        <v>0</v>
      </c>
      <c r="O354" s="69">
        <v>0</v>
      </c>
      <c r="P354" s="226" t="e">
        <f>VLOOKUP(Table323[[#This Row],[Census Tract]],'Population and Diversity Data'!$B$2:$K$823,10,FALSE)</f>
        <v>#N/A</v>
      </c>
      <c r="Q354" s="226" t="e">
        <f>VLOOKUP(Table323[[#This Row],[Census Tract]],'ES Energy Burden'!$B$2:$E$914,4,FALSE)</f>
        <v>#N/A</v>
      </c>
      <c r="R354" s="248" t="e">
        <f>VLOOKUP(Table323[[#This Row],[Census Tract]],'Income and Housing Data'!$B$2:$D$823,3,FALSE)</f>
        <v>#N/A</v>
      </c>
      <c r="S354" s="248" t="e">
        <f>IF($U$6&lt;=Table323[[#This Row],[Household income]],IF(Table323[[#This Row],[Household income]]&lt;=$U$7, "Yes","No"),"No")</f>
        <v>#N/A</v>
      </c>
    </row>
    <row r="355" spans="1:19" x14ac:dyDescent="0.25">
      <c r="A355" s="147">
        <v>9011709200</v>
      </c>
      <c r="B355" s="148" t="s">
        <v>2786</v>
      </c>
      <c r="C355" s="150" t="s">
        <v>944</v>
      </c>
      <c r="D355" s="70">
        <v>14.0899392</v>
      </c>
      <c r="E355" s="70">
        <v>0</v>
      </c>
      <c r="F355" s="14">
        <v>0</v>
      </c>
      <c r="G355" s="14">
        <v>0</v>
      </c>
      <c r="H355" s="14">
        <v>0</v>
      </c>
      <c r="I355" s="14">
        <v>0</v>
      </c>
      <c r="J355" s="69">
        <v>0</v>
      </c>
      <c r="K355">
        <f t="shared" si="5"/>
        <v>0</v>
      </c>
      <c r="L355" s="14">
        <v>0</v>
      </c>
      <c r="M355" s="14">
        <v>0</v>
      </c>
      <c r="N355" s="14">
        <v>0</v>
      </c>
      <c r="O355" s="69">
        <v>0</v>
      </c>
      <c r="P355" s="226">
        <f>VLOOKUP(Table323[[#This Row],[Census Tract]],'Population and Diversity Data'!$B$2:$K$823,10,FALSE)</f>
        <v>5</v>
      </c>
      <c r="Q355" s="226" t="str">
        <f>VLOOKUP(Table323[[#This Row],[Census Tract]],'ES Energy Burden'!$B$2:$E$914,4,FALSE)</f>
        <v>No</v>
      </c>
      <c r="R355" s="248">
        <f>VLOOKUP(Table323[[#This Row],[Census Tract]],'Income and Housing Data'!$B$2:$D$823,3,FALSE)</f>
        <v>52377</v>
      </c>
      <c r="S355" s="248" t="str">
        <f>IF($U$6&lt;=Table323[[#This Row],[Household income]],IF(Table323[[#This Row],[Household income]]&lt;=$U$7, "Yes","No"),"No")</f>
        <v>Yes</v>
      </c>
    </row>
    <row r="356" spans="1:19" x14ac:dyDescent="0.25">
      <c r="A356" s="147">
        <v>9000016000</v>
      </c>
      <c r="B356" s="148" t="s">
        <v>2786</v>
      </c>
      <c r="C356" s="150" t="s">
        <v>944</v>
      </c>
      <c r="D356" s="70">
        <v>84.533846399999987</v>
      </c>
      <c r="E356" s="70">
        <v>0</v>
      </c>
      <c r="F356" s="14">
        <v>0</v>
      </c>
      <c r="G356" s="14">
        <v>0</v>
      </c>
      <c r="H356" s="14">
        <v>0</v>
      </c>
      <c r="I356" s="14">
        <v>0</v>
      </c>
      <c r="J356" s="69">
        <v>0</v>
      </c>
      <c r="K356">
        <f t="shared" si="5"/>
        <v>0</v>
      </c>
      <c r="L356" s="14">
        <v>0</v>
      </c>
      <c r="M356" s="14">
        <v>0</v>
      </c>
      <c r="N356" s="14">
        <v>0</v>
      </c>
      <c r="O356" s="69">
        <v>0</v>
      </c>
      <c r="P356" s="226" t="e">
        <f>VLOOKUP(Table323[[#This Row],[Census Tract]],'Population and Diversity Data'!$B$2:$K$823,10,FALSE)</f>
        <v>#N/A</v>
      </c>
      <c r="Q356" s="226" t="e">
        <f>VLOOKUP(Table323[[#This Row],[Census Tract]],'ES Energy Burden'!$B$2:$E$914,4,FALSE)</f>
        <v>#N/A</v>
      </c>
      <c r="R356" s="248" t="e">
        <f>VLOOKUP(Table323[[#This Row],[Census Tract]],'Income and Housing Data'!$B$2:$D$823,3,FALSE)</f>
        <v>#N/A</v>
      </c>
      <c r="S356" s="248" t="e">
        <f>IF($U$6&lt;=Table323[[#This Row],[Household income]],IF(Table323[[#This Row],[Household income]]&lt;=$U$7, "Yes","No"),"No")</f>
        <v>#N/A</v>
      </c>
    </row>
    <row r="357" spans="1:19" x14ac:dyDescent="0.25">
      <c r="A357" s="147">
        <v>9011710100</v>
      </c>
      <c r="B357" s="148" t="s">
        <v>2786</v>
      </c>
      <c r="C357" s="150" t="s">
        <v>944</v>
      </c>
      <c r="D357" s="70">
        <v>81352.816283519991</v>
      </c>
      <c r="E357" s="70">
        <v>0</v>
      </c>
      <c r="F357" s="14">
        <v>21</v>
      </c>
      <c r="G357" s="14">
        <v>21</v>
      </c>
      <c r="H357" s="14">
        <v>0</v>
      </c>
      <c r="I357" s="14">
        <v>0</v>
      </c>
      <c r="J357" s="69">
        <v>19784.199799999999</v>
      </c>
      <c r="K357">
        <f t="shared" si="5"/>
        <v>7</v>
      </c>
      <c r="L357" s="14">
        <v>7</v>
      </c>
      <c r="M357" s="14">
        <v>0</v>
      </c>
      <c r="N357" s="14">
        <v>0</v>
      </c>
      <c r="O357" s="69">
        <v>8955.32</v>
      </c>
      <c r="P357" s="226">
        <f>VLOOKUP(Table323[[#This Row],[Census Tract]],'Population and Diversity Data'!$B$2:$K$823,10,FALSE)</f>
        <v>3</v>
      </c>
      <c r="Q357" s="226" t="str">
        <f>VLOOKUP(Table323[[#This Row],[Census Tract]],'ES Energy Burden'!$B$2:$E$914,4,FALSE)</f>
        <v>No</v>
      </c>
      <c r="R357" s="248">
        <f>VLOOKUP(Table323[[#This Row],[Census Tract]],'Income and Housing Data'!$B$2:$D$823,3,FALSE)</f>
        <v>91125</v>
      </c>
      <c r="S357" s="248" t="str">
        <f>IF($U$6&lt;=Table323[[#This Row],[Household income]],IF(Table323[[#This Row],[Household income]]&lt;=$U$7, "Yes","No"),"No")</f>
        <v>No</v>
      </c>
    </row>
    <row r="358" spans="1:19" x14ac:dyDescent="0.25">
      <c r="A358" s="147">
        <v>9011716102</v>
      </c>
      <c r="B358" s="148" t="s">
        <v>2786</v>
      </c>
      <c r="C358" s="150" t="s">
        <v>944</v>
      </c>
      <c r="D358" s="70">
        <v>67.653705599999995</v>
      </c>
      <c r="E358" s="70">
        <v>0</v>
      </c>
      <c r="F358" s="14">
        <v>0</v>
      </c>
      <c r="G358" s="14">
        <v>0</v>
      </c>
      <c r="H358" s="14">
        <v>0</v>
      </c>
      <c r="I358" s="14">
        <v>0</v>
      </c>
      <c r="J358" s="69">
        <v>0</v>
      </c>
      <c r="K358">
        <f t="shared" si="5"/>
        <v>0</v>
      </c>
      <c r="L358" s="14">
        <v>0</v>
      </c>
      <c r="M358" s="14">
        <v>0</v>
      </c>
      <c r="N358" s="14">
        <v>0</v>
      </c>
      <c r="O358" s="69">
        <v>0</v>
      </c>
      <c r="P358" s="226">
        <f>VLOOKUP(Table323[[#This Row],[Census Tract]],'Population and Diversity Data'!$B$2:$K$823,10,FALSE)</f>
        <v>4</v>
      </c>
      <c r="Q358" s="226" t="str">
        <f>VLOOKUP(Table323[[#This Row],[Census Tract]],'ES Energy Burden'!$B$2:$E$914,4,FALSE)</f>
        <v>No</v>
      </c>
      <c r="R358" s="248">
        <f>VLOOKUP(Table323[[#This Row],[Census Tract]],'Income and Housing Data'!$B$2:$D$823,3,FALSE)</f>
        <v>130885</v>
      </c>
      <c r="S358" s="248" t="str">
        <f>IF($U$6&lt;=Table323[[#This Row],[Household income]],IF(Table323[[#This Row],[Household income]]&lt;=$U$7, "Yes","No"),"No")</f>
        <v>No</v>
      </c>
    </row>
    <row r="359" spans="1:19" x14ac:dyDescent="0.25">
      <c r="A359" s="147">
        <v>9015905100</v>
      </c>
      <c r="B359" s="148" t="s">
        <v>2786</v>
      </c>
      <c r="C359" s="150" t="s">
        <v>944</v>
      </c>
      <c r="D359" s="70">
        <v>45.320515200000003</v>
      </c>
      <c r="E359" s="70">
        <v>0</v>
      </c>
      <c r="F359" s="14">
        <v>0</v>
      </c>
      <c r="G359" s="14">
        <v>0</v>
      </c>
      <c r="H359" s="14">
        <v>0</v>
      </c>
      <c r="I359" s="14">
        <v>0</v>
      </c>
      <c r="J359" s="69">
        <v>0</v>
      </c>
      <c r="K359">
        <f t="shared" si="5"/>
        <v>0</v>
      </c>
      <c r="L359" s="14">
        <v>0</v>
      </c>
      <c r="M359" s="14">
        <v>0</v>
      </c>
      <c r="N359" s="14">
        <v>0</v>
      </c>
      <c r="O359" s="69">
        <v>0</v>
      </c>
      <c r="P359" s="226">
        <f>VLOOKUP(Table323[[#This Row],[Census Tract]],'Population and Diversity Data'!$B$2:$K$823,10,FALSE)</f>
        <v>4</v>
      </c>
      <c r="Q359" s="226" t="str">
        <f>VLOOKUP(Table323[[#This Row],[Census Tract]],'ES Energy Burden'!$B$2:$E$914,4,FALSE)</f>
        <v>No</v>
      </c>
      <c r="R359" s="248">
        <f>VLOOKUP(Table323[[#This Row],[Census Tract]],'Income and Housing Data'!$B$2:$D$823,3,FALSE)</f>
        <v>76047</v>
      </c>
      <c r="S359" s="248" t="str">
        <f>IF($U$6&lt;=Table323[[#This Row],[Household income]],IF(Table323[[#This Row],[Household income]]&lt;=$U$7, "Yes","No"),"No")</f>
        <v>No</v>
      </c>
    </row>
    <row r="360" spans="1:19" x14ac:dyDescent="0.25">
      <c r="A360" s="147">
        <v>9011693400</v>
      </c>
      <c r="B360" s="148" t="s">
        <v>2786</v>
      </c>
      <c r="C360" s="150" t="s">
        <v>944</v>
      </c>
      <c r="D360" s="70">
        <v>44.7532128</v>
      </c>
      <c r="E360" s="70">
        <v>178185.68220000001</v>
      </c>
      <c r="F360" s="14">
        <v>0</v>
      </c>
      <c r="G360" s="14">
        <v>0</v>
      </c>
      <c r="H360" s="14">
        <v>0</v>
      </c>
      <c r="I360" s="14">
        <v>0</v>
      </c>
      <c r="J360" s="69">
        <v>0</v>
      </c>
      <c r="K360">
        <f t="shared" si="5"/>
        <v>0</v>
      </c>
      <c r="L360" s="14">
        <v>0</v>
      </c>
      <c r="M360" s="14">
        <v>0</v>
      </c>
      <c r="N360" s="14">
        <v>0</v>
      </c>
      <c r="O360" s="69">
        <v>0</v>
      </c>
      <c r="P360" s="226">
        <f>VLOOKUP(Table323[[#This Row],[Census Tract]],'Population and Diversity Data'!$B$2:$K$823,10,FALSE)</f>
        <v>3</v>
      </c>
      <c r="Q360" s="226" t="str">
        <f>VLOOKUP(Table323[[#This Row],[Census Tract]],'ES Energy Burden'!$B$2:$E$914,4,FALSE)</f>
        <v>No</v>
      </c>
      <c r="R360" s="248">
        <f>VLOOKUP(Table323[[#This Row],[Census Tract]],'Income and Housing Data'!$B$2:$D$823,3,FALSE)</f>
        <v>63295</v>
      </c>
      <c r="S360" s="248" t="str">
        <f>IF($U$6&lt;=Table323[[#This Row],[Household income]],IF(Table323[[#This Row],[Household income]]&lt;=$U$7, "Yes","No"),"No")</f>
        <v>Yes</v>
      </c>
    </row>
    <row r="361" spans="1:19" x14ac:dyDescent="0.25">
      <c r="A361" s="147">
        <v>9011709100</v>
      </c>
      <c r="B361" s="148" t="s">
        <v>2786</v>
      </c>
      <c r="C361" s="150" t="s">
        <v>944</v>
      </c>
      <c r="D361" s="70">
        <v>1041.2546112</v>
      </c>
      <c r="E361" s="70">
        <v>0</v>
      </c>
      <c r="F361" s="14">
        <v>0</v>
      </c>
      <c r="G361" s="14">
        <v>0</v>
      </c>
      <c r="H361" s="14">
        <v>0</v>
      </c>
      <c r="I361" s="14">
        <v>0</v>
      </c>
      <c r="J361" s="69">
        <v>0</v>
      </c>
      <c r="K361">
        <f t="shared" si="5"/>
        <v>0</v>
      </c>
      <c r="L361" s="14">
        <v>0</v>
      </c>
      <c r="M361" s="14">
        <v>0</v>
      </c>
      <c r="N361" s="14">
        <v>0</v>
      </c>
      <c r="O361" s="69">
        <v>0</v>
      </c>
      <c r="P361" s="226">
        <f>VLOOKUP(Table323[[#This Row],[Census Tract]],'Population and Diversity Data'!$B$2:$K$823,10,FALSE)</f>
        <v>3</v>
      </c>
      <c r="Q361" s="226" t="str">
        <f>VLOOKUP(Table323[[#This Row],[Census Tract]],'ES Energy Burden'!$B$2:$E$914,4,FALSE)</f>
        <v>No</v>
      </c>
      <c r="R361" s="248">
        <f>VLOOKUP(Table323[[#This Row],[Census Tract]],'Income and Housing Data'!$B$2:$D$823,3,FALSE)</f>
        <v>84625</v>
      </c>
      <c r="S361" s="248" t="str">
        <f>IF($U$6&lt;=Table323[[#This Row],[Household income]],IF(Table323[[#This Row],[Household income]]&lt;=$U$7, "Yes","No"),"No")</f>
        <v>No</v>
      </c>
    </row>
    <row r="362" spans="1:19" x14ac:dyDescent="0.25">
      <c r="A362" s="147">
        <v>9003496200</v>
      </c>
      <c r="B362" s="148" t="s">
        <v>2786</v>
      </c>
      <c r="C362" s="150" t="s">
        <v>944</v>
      </c>
      <c r="D362" s="70">
        <v>511.48679040000002</v>
      </c>
      <c r="E362" s="70">
        <v>0</v>
      </c>
      <c r="F362" s="14">
        <v>0</v>
      </c>
      <c r="G362" s="14">
        <v>0</v>
      </c>
      <c r="H362" s="14">
        <v>0</v>
      </c>
      <c r="I362" s="14">
        <v>0</v>
      </c>
      <c r="J362" s="69">
        <v>0</v>
      </c>
      <c r="K362">
        <f t="shared" si="5"/>
        <v>0</v>
      </c>
      <c r="L362" s="14">
        <v>0</v>
      </c>
      <c r="M362" s="14">
        <v>0</v>
      </c>
      <c r="N362" s="14">
        <v>0</v>
      </c>
      <c r="O362" s="69">
        <v>0</v>
      </c>
      <c r="P362" s="226">
        <f>VLOOKUP(Table323[[#This Row],[Census Tract]],'Population and Diversity Data'!$B$2:$K$823,10,FALSE)</f>
        <v>5</v>
      </c>
      <c r="Q362" s="226" t="str">
        <f>VLOOKUP(Table323[[#This Row],[Census Tract]],'ES Energy Burden'!$B$2:$E$914,4,FALSE)</f>
        <v>No</v>
      </c>
      <c r="R362" s="248">
        <f>VLOOKUP(Table323[[#This Row],[Census Tract]],'Income and Housing Data'!$B$2:$D$823,3,FALSE)</f>
        <v>75417</v>
      </c>
      <c r="S362" s="248" t="str">
        <f>IF($U$6&lt;=Table323[[#This Row],[Household income]],IF(Table323[[#This Row],[Household income]]&lt;=$U$7, "Yes","No"),"No")</f>
        <v>No</v>
      </c>
    </row>
    <row r="363" spans="1:19" x14ac:dyDescent="0.25">
      <c r="A363" s="147">
        <v>9005296100</v>
      </c>
      <c r="B363" s="148" t="s">
        <v>2787</v>
      </c>
      <c r="C363" s="150" t="s">
        <v>944</v>
      </c>
      <c r="D363" s="70">
        <v>509.46071040000004</v>
      </c>
      <c r="E363" s="70">
        <v>0</v>
      </c>
      <c r="F363" s="14">
        <v>0</v>
      </c>
      <c r="G363" s="14">
        <v>0</v>
      </c>
      <c r="H363" s="14">
        <v>0</v>
      </c>
      <c r="I363" s="14">
        <v>0</v>
      </c>
      <c r="J363" s="69">
        <v>0</v>
      </c>
      <c r="K363">
        <f t="shared" si="5"/>
        <v>0</v>
      </c>
      <c r="L363" s="14">
        <v>0</v>
      </c>
      <c r="M363" s="14">
        <v>0</v>
      </c>
      <c r="N363" s="14">
        <v>0</v>
      </c>
      <c r="O363" s="69">
        <v>0</v>
      </c>
      <c r="P363" s="226">
        <f>VLOOKUP(Table323[[#This Row],[Census Tract]],'Population and Diversity Data'!$B$2:$K$823,10,FALSE)</f>
        <v>3</v>
      </c>
      <c r="Q363" s="226" t="str">
        <f>VLOOKUP(Table323[[#This Row],[Census Tract]],'ES Energy Burden'!$B$2:$E$914,4,FALSE)</f>
        <v>No</v>
      </c>
      <c r="R363" s="248">
        <f>VLOOKUP(Table323[[#This Row],[Census Tract]],'Income and Housing Data'!$B$2:$D$823,3,FALSE)</f>
        <v>109886</v>
      </c>
      <c r="S363" s="248" t="str">
        <f>IF($U$6&lt;=Table323[[#This Row],[Household income]],IF(Table323[[#This Row],[Household income]]&lt;=$U$7, "Yes","No"),"No")</f>
        <v>No</v>
      </c>
    </row>
    <row r="364" spans="1:19" x14ac:dyDescent="0.25">
      <c r="A364" s="147">
        <v>9005300100</v>
      </c>
      <c r="B364" s="148" t="s">
        <v>2787</v>
      </c>
      <c r="C364" s="150" t="s">
        <v>944</v>
      </c>
      <c r="D364" s="70">
        <v>68888.674877760001</v>
      </c>
      <c r="E364" s="70">
        <v>74664.482900000003</v>
      </c>
      <c r="F364" s="14">
        <v>21</v>
      </c>
      <c r="G364" s="14">
        <v>20</v>
      </c>
      <c r="H364" s="14">
        <v>1</v>
      </c>
      <c r="I364" s="14">
        <v>0</v>
      </c>
      <c r="J364" s="69">
        <v>24674.0429</v>
      </c>
      <c r="K364">
        <f t="shared" si="5"/>
        <v>0</v>
      </c>
      <c r="L364" s="14">
        <v>0</v>
      </c>
      <c r="M364" s="14">
        <v>0</v>
      </c>
      <c r="N364" s="14">
        <v>0</v>
      </c>
      <c r="O364" s="69">
        <v>0</v>
      </c>
      <c r="P364" s="226">
        <f>VLOOKUP(Table323[[#This Row],[Census Tract]],'Population and Diversity Data'!$B$2:$K$823,10,FALSE)</f>
        <v>1</v>
      </c>
      <c r="Q364" s="226" t="str">
        <f>VLOOKUP(Table323[[#This Row],[Census Tract]],'ES Energy Burden'!$B$2:$E$914,4,FALSE)</f>
        <v>No</v>
      </c>
      <c r="R364" s="248">
        <f>VLOOKUP(Table323[[#This Row],[Census Tract]],'Income and Housing Data'!$B$2:$D$823,3,FALSE)</f>
        <v>95795</v>
      </c>
      <c r="S364" s="248" t="str">
        <f>IF($U$6&lt;=Table323[[#This Row],[Household income]],IF(Table323[[#This Row],[Household income]]&lt;=$U$7, "Yes","No"),"No")</f>
        <v>No</v>
      </c>
    </row>
    <row r="365" spans="1:19" x14ac:dyDescent="0.25">
      <c r="A365" s="147">
        <v>9005300400</v>
      </c>
      <c r="B365" s="148" t="s">
        <v>2787</v>
      </c>
      <c r="C365" s="150" t="s">
        <v>944</v>
      </c>
      <c r="D365" s="70">
        <v>46661.577552000002</v>
      </c>
      <c r="E365" s="70">
        <v>11260.856400000001</v>
      </c>
      <c r="F365" s="14">
        <v>6</v>
      </c>
      <c r="G365" s="14">
        <v>6</v>
      </c>
      <c r="H365" s="14">
        <v>0</v>
      </c>
      <c r="I365" s="14">
        <v>0</v>
      </c>
      <c r="J365" s="69">
        <v>9657.7163999999993</v>
      </c>
      <c r="K365">
        <f t="shared" si="5"/>
        <v>0</v>
      </c>
      <c r="L365" s="14">
        <v>0</v>
      </c>
      <c r="M365" s="14">
        <v>0</v>
      </c>
      <c r="N365" s="14">
        <v>0</v>
      </c>
      <c r="O365" s="69">
        <v>0</v>
      </c>
      <c r="P365" s="226">
        <f>VLOOKUP(Table323[[#This Row],[Census Tract]],'Population and Diversity Data'!$B$2:$K$823,10,FALSE)</f>
        <v>2</v>
      </c>
      <c r="Q365" s="226" t="str">
        <f>VLOOKUP(Table323[[#This Row],[Census Tract]],'ES Energy Burden'!$B$2:$E$914,4,FALSE)</f>
        <v>No</v>
      </c>
      <c r="R365" s="248">
        <f>VLOOKUP(Table323[[#This Row],[Census Tract]],'Income and Housing Data'!$B$2:$D$823,3,FALSE)</f>
        <v>91591</v>
      </c>
      <c r="S365" s="248" t="str">
        <f>IF($U$6&lt;=Table323[[#This Row],[Household income]],IF(Table323[[#This Row],[Household income]]&lt;=$U$7, "Yes","No"),"No")</f>
        <v>No</v>
      </c>
    </row>
    <row r="366" spans="1:19" x14ac:dyDescent="0.25">
      <c r="A366" s="147">
        <v>9005300500</v>
      </c>
      <c r="B366" s="148" t="s">
        <v>2787</v>
      </c>
      <c r="C366" s="150" t="s">
        <v>944</v>
      </c>
      <c r="D366" s="70">
        <v>108012.44002752</v>
      </c>
      <c r="E366" s="70">
        <v>85264.085800000001</v>
      </c>
      <c r="F366" s="14">
        <v>31</v>
      </c>
      <c r="G366" s="14">
        <v>31</v>
      </c>
      <c r="H366" s="14">
        <v>0</v>
      </c>
      <c r="I366" s="14">
        <v>0</v>
      </c>
      <c r="J366" s="69">
        <v>27534.120599999998</v>
      </c>
      <c r="K366">
        <f t="shared" si="5"/>
        <v>55</v>
      </c>
      <c r="L366" s="14">
        <v>7</v>
      </c>
      <c r="M366" s="14">
        <v>0</v>
      </c>
      <c r="N366" s="14">
        <v>48</v>
      </c>
      <c r="O366" s="69">
        <v>57729.599999999999</v>
      </c>
      <c r="P366" s="226">
        <f>VLOOKUP(Table323[[#This Row],[Census Tract]],'Population and Diversity Data'!$B$2:$K$823,10,FALSE)</f>
        <v>1</v>
      </c>
      <c r="Q366" s="226" t="str">
        <f>VLOOKUP(Table323[[#This Row],[Census Tract]],'ES Energy Burden'!$B$2:$E$914,4,FALSE)</f>
        <v>No</v>
      </c>
      <c r="R366" s="248">
        <f>VLOOKUP(Table323[[#This Row],[Census Tract]],'Income and Housing Data'!$B$2:$D$823,3,FALSE)</f>
        <v>72667</v>
      </c>
      <c r="S366" s="248" t="str">
        <f>IF($U$6&lt;=Table323[[#This Row],[Household income]],IF(Table323[[#This Row],[Household income]]&lt;=$U$7, "Yes","No"),"No")</f>
        <v>No</v>
      </c>
    </row>
    <row r="367" spans="1:19" x14ac:dyDescent="0.25">
      <c r="A367" s="147">
        <v>9005303100</v>
      </c>
      <c r="B367" s="148" t="s">
        <v>2787</v>
      </c>
      <c r="C367" s="150" t="s">
        <v>944</v>
      </c>
      <c r="D367" s="70">
        <v>538.43944320000003</v>
      </c>
      <c r="E367" s="70">
        <v>1069.8900000000001</v>
      </c>
      <c r="F367" s="14">
        <v>1</v>
      </c>
      <c r="G367" s="14">
        <v>1</v>
      </c>
      <c r="H367" s="14">
        <v>0</v>
      </c>
      <c r="I367" s="14">
        <v>0</v>
      </c>
      <c r="J367" s="69">
        <v>1066.7</v>
      </c>
      <c r="K367">
        <f t="shared" si="5"/>
        <v>0</v>
      </c>
      <c r="L367" s="14">
        <v>0</v>
      </c>
      <c r="M367" s="14">
        <v>0</v>
      </c>
      <c r="N367" s="14">
        <v>0</v>
      </c>
      <c r="O367" s="69">
        <v>0</v>
      </c>
      <c r="P367" s="226">
        <f>VLOOKUP(Table323[[#This Row],[Census Tract]],'Population and Diversity Data'!$B$2:$K$823,10,FALSE)</f>
        <v>1</v>
      </c>
      <c r="Q367" s="226" t="str">
        <f>VLOOKUP(Table323[[#This Row],[Census Tract]],'ES Energy Burden'!$B$2:$E$914,4,FALSE)</f>
        <v>No</v>
      </c>
      <c r="R367" s="248">
        <f>VLOOKUP(Table323[[#This Row],[Census Tract]],'Income and Housing Data'!$B$2:$D$823,3,FALSE)</f>
        <v>87308</v>
      </c>
      <c r="S367" s="248" t="str">
        <f>IF($U$6&lt;=Table323[[#This Row],[Household income]],IF(Table323[[#This Row],[Household income]]&lt;=$U$7, "Yes","No"),"No")</f>
        <v>No</v>
      </c>
    </row>
    <row r="368" spans="1:19" x14ac:dyDescent="0.25">
      <c r="A368" s="147">
        <v>9005349100</v>
      </c>
      <c r="B368" s="148" t="s">
        <v>2787</v>
      </c>
      <c r="C368" s="150" t="s">
        <v>944</v>
      </c>
      <c r="D368" s="70">
        <v>278.03027520000001</v>
      </c>
      <c r="E368" s="70">
        <v>0</v>
      </c>
      <c r="F368" s="14">
        <v>0</v>
      </c>
      <c r="G368" s="14">
        <v>0</v>
      </c>
      <c r="H368" s="14">
        <v>0</v>
      </c>
      <c r="I368" s="14">
        <v>0</v>
      </c>
      <c r="J368" s="69">
        <v>0</v>
      </c>
      <c r="K368">
        <f t="shared" si="5"/>
        <v>0</v>
      </c>
      <c r="L368" s="14">
        <v>0</v>
      </c>
      <c r="M368" s="14">
        <v>0</v>
      </c>
      <c r="N368" s="14">
        <v>0</v>
      </c>
      <c r="O368" s="69">
        <v>0</v>
      </c>
      <c r="P368" s="226">
        <f>VLOOKUP(Table323[[#This Row],[Census Tract]],'Population and Diversity Data'!$B$2:$K$823,10,FALSE)</f>
        <v>1</v>
      </c>
      <c r="Q368" s="226" t="str">
        <f>VLOOKUP(Table323[[#This Row],[Census Tract]],'ES Energy Burden'!$B$2:$E$914,4,FALSE)</f>
        <v>No</v>
      </c>
      <c r="R368" s="248">
        <f>VLOOKUP(Table323[[#This Row],[Census Tract]],'Income and Housing Data'!$B$2:$D$823,3,FALSE)</f>
        <v>82688</v>
      </c>
      <c r="S368" s="248" t="str">
        <f>IF($U$6&lt;=Table323[[#This Row],[Household income]],IF(Table323[[#This Row],[Household income]]&lt;=$U$7, "Yes","No"),"No")</f>
        <v>No</v>
      </c>
    </row>
    <row r="369" spans="1:19" x14ac:dyDescent="0.25">
      <c r="A369" s="147">
        <v>9011650100</v>
      </c>
      <c r="B369" s="148" t="s">
        <v>2788</v>
      </c>
      <c r="C369" s="150" t="s">
        <v>944</v>
      </c>
      <c r="D369" s="70">
        <v>79093.234615680005</v>
      </c>
      <c r="E369" s="70">
        <v>36851.571000000004</v>
      </c>
      <c r="F369" s="14">
        <v>24</v>
      </c>
      <c r="G369" s="14">
        <v>24</v>
      </c>
      <c r="H369" s="14">
        <v>0</v>
      </c>
      <c r="I369" s="14">
        <v>0</v>
      </c>
      <c r="J369" s="69">
        <v>26954.800999999999</v>
      </c>
      <c r="K369">
        <f t="shared" si="5"/>
        <v>0</v>
      </c>
      <c r="L369" s="14">
        <v>0</v>
      </c>
      <c r="M369" s="14">
        <v>0</v>
      </c>
      <c r="N369" s="14">
        <v>0</v>
      </c>
      <c r="O369" s="69">
        <v>0</v>
      </c>
      <c r="P369" s="226">
        <f>VLOOKUP(Table323[[#This Row],[Census Tract]],'Population and Diversity Data'!$B$2:$K$823,10,FALSE)</f>
        <v>1</v>
      </c>
      <c r="Q369" s="226" t="str">
        <f>VLOOKUP(Table323[[#This Row],[Census Tract]],'ES Energy Burden'!$B$2:$E$914,4,FALSE)</f>
        <v>No</v>
      </c>
      <c r="R369" s="248">
        <f>VLOOKUP(Table323[[#This Row],[Census Tract]],'Income and Housing Data'!$B$2:$D$823,3,FALSE)</f>
        <v>100435</v>
      </c>
      <c r="S369" s="248" t="str">
        <f>IF($U$6&lt;=Table323[[#This Row],[Household income]],IF(Table323[[#This Row],[Household income]]&lt;=$U$7, "Yes","No"),"No")</f>
        <v>No</v>
      </c>
    </row>
    <row r="370" spans="1:19" x14ac:dyDescent="0.25">
      <c r="A370" s="147">
        <v>9009190301</v>
      </c>
      <c r="B370" s="148" t="s">
        <v>2789</v>
      </c>
      <c r="C370" s="150" t="s">
        <v>944</v>
      </c>
      <c r="D370" s="70">
        <v>1231.9318943999999</v>
      </c>
      <c r="E370" s="70">
        <v>957.25</v>
      </c>
      <c r="F370" s="14">
        <v>1</v>
      </c>
      <c r="G370" s="14">
        <v>1</v>
      </c>
      <c r="H370" s="14">
        <v>0</v>
      </c>
      <c r="I370" s="14">
        <v>0</v>
      </c>
      <c r="J370" s="69">
        <v>954.06</v>
      </c>
      <c r="K370">
        <f t="shared" si="5"/>
        <v>0</v>
      </c>
      <c r="L370" s="14">
        <v>0</v>
      </c>
      <c r="M370" s="14">
        <v>0</v>
      </c>
      <c r="N370" s="14">
        <v>0</v>
      </c>
      <c r="O370" s="69">
        <v>0</v>
      </c>
      <c r="P370" s="226">
        <f>VLOOKUP(Table323[[#This Row],[Census Tract]],'Population and Diversity Data'!$B$2:$K$823,10,FALSE)</f>
        <v>3</v>
      </c>
      <c r="Q370" s="226" t="str">
        <f>VLOOKUP(Table323[[#This Row],[Census Tract]],'ES Energy Burden'!$B$2:$E$914,4,FALSE)</f>
        <v>No</v>
      </c>
      <c r="R370" s="248">
        <f>VLOOKUP(Table323[[#This Row],[Census Tract]],'Income and Housing Data'!$B$2:$D$823,3,FALSE)</f>
        <v>136103</v>
      </c>
      <c r="S370" s="248" t="str">
        <f>IF($U$6&lt;=Table323[[#This Row],[Household income]],IF(Table323[[#This Row],[Household income]]&lt;=$U$7, "Yes","No"),"No")</f>
        <v>No</v>
      </c>
    </row>
    <row r="371" spans="1:19" x14ac:dyDescent="0.25">
      <c r="A371" s="147">
        <v>9009194100</v>
      </c>
      <c r="B371" s="148" t="s">
        <v>2789</v>
      </c>
      <c r="C371" s="150" t="s">
        <v>944</v>
      </c>
      <c r="D371" s="70">
        <v>147620.49213312002</v>
      </c>
      <c r="E371" s="70">
        <v>34658.589500000002</v>
      </c>
      <c r="F371" s="14">
        <v>33</v>
      </c>
      <c r="G371" s="14">
        <v>33</v>
      </c>
      <c r="H371" s="14">
        <v>0</v>
      </c>
      <c r="I371" s="14">
        <v>0</v>
      </c>
      <c r="J371" s="69">
        <v>22836.9395</v>
      </c>
      <c r="K371">
        <f t="shared" si="5"/>
        <v>0</v>
      </c>
      <c r="L371" s="14">
        <v>0</v>
      </c>
      <c r="M371" s="14">
        <v>0</v>
      </c>
      <c r="N371" s="14">
        <v>0</v>
      </c>
      <c r="O371" s="69">
        <v>0</v>
      </c>
      <c r="P371" s="226">
        <f>VLOOKUP(Table323[[#This Row],[Census Tract]],'Population and Diversity Data'!$B$2:$K$823,10,FALSE)</f>
        <v>1</v>
      </c>
      <c r="Q371" s="226" t="str">
        <f>VLOOKUP(Table323[[#This Row],[Census Tract]],'ES Energy Burden'!$B$2:$E$914,4,FALSE)</f>
        <v>No</v>
      </c>
      <c r="R371" s="248">
        <f>VLOOKUP(Table323[[#This Row],[Census Tract]],'Income and Housing Data'!$B$2:$D$823,3,FALSE)</f>
        <v>80759</v>
      </c>
      <c r="S371" s="248" t="str">
        <f>IF($U$6&lt;=Table323[[#This Row],[Household income]],IF(Table323[[#This Row],[Household income]]&lt;=$U$7, "Yes","No"),"No")</f>
        <v>No</v>
      </c>
    </row>
    <row r="372" spans="1:19" x14ac:dyDescent="0.25">
      <c r="A372" s="147">
        <v>9009194201</v>
      </c>
      <c r="B372" s="148" t="s">
        <v>2789</v>
      </c>
      <c r="C372" s="150" t="s">
        <v>944</v>
      </c>
      <c r="D372" s="70">
        <v>189577.17385920003</v>
      </c>
      <c r="E372" s="70">
        <v>170986.45329999999</v>
      </c>
      <c r="F372" s="14">
        <v>50</v>
      </c>
      <c r="G372" s="14">
        <v>50</v>
      </c>
      <c r="H372" s="14">
        <v>0</v>
      </c>
      <c r="I372" s="14">
        <v>0</v>
      </c>
      <c r="J372" s="69">
        <v>49423.926599999999</v>
      </c>
      <c r="K372">
        <f t="shared" si="5"/>
        <v>104</v>
      </c>
      <c r="L372" s="14">
        <v>14</v>
      </c>
      <c r="M372" s="14">
        <v>0</v>
      </c>
      <c r="N372" s="14">
        <v>90</v>
      </c>
      <c r="O372" s="69">
        <v>47590.5</v>
      </c>
      <c r="P372" s="226">
        <f>VLOOKUP(Table323[[#This Row],[Census Tract]],'Population and Diversity Data'!$B$2:$K$823,10,FALSE)</f>
        <v>3</v>
      </c>
      <c r="Q372" s="226" t="str">
        <f>VLOOKUP(Table323[[#This Row],[Census Tract]],'ES Energy Burden'!$B$2:$E$914,4,FALSE)</f>
        <v>No</v>
      </c>
      <c r="R372" s="248">
        <f>VLOOKUP(Table323[[#This Row],[Census Tract]],'Income and Housing Data'!$B$2:$D$823,3,FALSE)</f>
        <v>122031</v>
      </c>
      <c r="S372" s="248" t="str">
        <f>IF($U$6&lt;=Table323[[#This Row],[Household income]],IF(Table323[[#This Row],[Household income]]&lt;=$U$7, "Yes","No"),"No")</f>
        <v>No</v>
      </c>
    </row>
    <row r="373" spans="1:19" x14ac:dyDescent="0.25">
      <c r="A373" s="147">
        <v>9009194202</v>
      </c>
      <c r="B373" s="148" t="s">
        <v>2789</v>
      </c>
      <c r="C373" s="150" t="s">
        <v>944</v>
      </c>
      <c r="D373" s="70">
        <v>130324.01967935999</v>
      </c>
      <c r="E373" s="70">
        <v>29098.8796</v>
      </c>
      <c r="F373" s="14">
        <v>27</v>
      </c>
      <c r="G373" s="14">
        <v>27</v>
      </c>
      <c r="H373" s="14">
        <v>0</v>
      </c>
      <c r="I373" s="14">
        <v>0</v>
      </c>
      <c r="J373" s="69">
        <v>27907.559600000001</v>
      </c>
      <c r="K373">
        <f t="shared" si="5"/>
        <v>0</v>
      </c>
      <c r="L373" s="14">
        <v>0</v>
      </c>
      <c r="M373" s="14">
        <v>0</v>
      </c>
      <c r="N373" s="14">
        <v>0</v>
      </c>
      <c r="O373" s="69">
        <v>0</v>
      </c>
      <c r="P373" s="226">
        <f>VLOOKUP(Table323[[#This Row],[Census Tract]],'Population and Diversity Data'!$B$2:$K$823,10,FALSE)</f>
        <v>3</v>
      </c>
      <c r="Q373" s="226" t="str">
        <f>VLOOKUP(Table323[[#This Row],[Census Tract]],'ES Energy Burden'!$B$2:$E$914,4,FALSE)</f>
        <v>No</v>
      </c>
      <c r="R373" s="248">
        <f>VLOOKUP(Table323[[#This Row],[Census Tract]],'Income and Housing Data'!$B$2:$D$823,3,FALSE)</f>
        <v>137361</v>
      </c>
      <c r="S373" s="248" t="str">
        <f>IF($U$6&lt;=Table323[[#This Row],[Household income]],IF(Table323[[#This Row],[Household income]]&lt;=$U$7, "Yes","No"),"No")</f>
        <v>No</v>
      </c>
    </row>
    <row r="374" spans="1:19" x14ac:dyDescent="0.25">
      <c r="A374" s="147">
        <v>9003487201</v>
      </c>
      <c r="B374" s="148" t="s">
        <v>2790</v>
      </c>
      <c r="C374" s="150" t="s">
        <v>944</v>
      </c>
      <c r="D374" s="70">
        <v>744.42231360000005</v>
      </c>
      <c r="E374" s="70">
        <v>0</v>
      </c>
      <c r="F374" s="14">
        <v>0</v>
      </c>
      <c r="G374" s="14">
        <v>0</v>
      </c>
      <c r="H374" s="14">
        <v>0</v>
      </c>
      <c r="I374" s="14">
        <v>0</v>
      </c>
      <c r="J374" s="69">
        <v>0</v>
      </c>
      <c r="K374">
        <f t="shared" si="5"/>
        <v>0</v>
      </c>
      <c r="L374" s="14">
        <v>0</v>
      </c>
      <c r="M374" s="14">
        <v>0</v>
      </c>
      <c r="N374" s="14">
        <v>0</v>
      </c>
      <c r="O374" s="69">
        <v>0</v>
      </c>
      <c r="P374" s="226">
        <f>VLOOKUP(Table323[[#This Row],[Census Tract]],'Population and Diversity Data'!$B$2:$K$823,10,FALSE)</f>
        <v>4</v>
      </c>
      <c r="Q374" s="226" t="str">
        <f>VLOOKUP(Table323[[#This Row],[Census Tract]],'ES Energy Burden'!$B$2:$E$914,4,FALSE)</f>
        <v>No</v>
      </c>
      <c r="R374" s="248">
        <f>VLOOKUP(Table323[[#This Row],[Census Tract]],'Income and Housing Data'!$B$2:$D$823,3,FALSE)</f>
        <v>114792</v>
      </c>
      <c r="S374" s="248" t="str">
        <f>IF($U$6&lt;=Table323[[#This Row],[Household income]],IF(Table323[[#This Row],[Household income]]&lt;=$U$7, "Yes","No"),"No")</f>
        <v>No</v>
      </c>
    </row>
    <row r="375" spans="1:19" x14ac:dyDescent="0.25">
      <c r="A375" s="147">
        <v>9003487500</v>
      </c>
      <c r="B375" s="148" t="s">
        <v>2790</v>
      </c>
      <c r="C375" s="150" t="s">
        <v>944</v>
      </c>
      <c r="D375" s="70">
        <v>1016.2990943999999</v>
      </c>
      <c r="E375" s="70">
        <v>304.04000000000002</v>
      </c>
      <c r="F375" s="14">
        <v>1</v>
      </c>
      <c r="G375" s="14">
        <v>1</v>
      </c>
      <c r="H375" s="14">
        <v>0</v>
      </c>
      <c r="I375" s="14">
        <v>0</v>
      </c>
      <c r="J375" s="69">
        <v>299.39999999999998</v>
      </c>
      <c r="K375">
        <f t="shared" si="5"/>
        <v>0</v>
      </c>
      <c r="L375" s="14">
        <v>0</v>
      </c>
      <c r="M375" s="14">
        <v>0</v>
      </c>
      <c r="N375" s="14">
        <v>0</v>
      </c>
      <c r="O375" s="69">
        <v>0</v>
      </c>
      <c r="P375" s="226">
        <f>VLOOKUP(Table323[[#This Row],[Census Tract]],'Population and Diversity Data'!$B$2:$K$823,10,FALSE)</f>
        <v>5</v>
      </c>
      <c r="Q375" s="226" t="str">
        <f>VLOOKUP(Table323[[#This Row],[Census Tract]],'ES Energy Burden'!$B$2:$E$914,4,FALSE)</f>
        <v>No</v>
      </c>
      <c r="R375" s="248">
        <f>VLOOKUP(Table323[[#This Row],[Census Tract]],'Income and Housing Data'!$B$2:$D$823,3,FALSE)</f>
        <v>69135</v>
      </c>
      <c r="S375" s="248" t="str">
        <f>IF($U$6&lt;=Table323[[#This Row],[Household income]],IF(Table323[[#This Row],[Household income]]&lt;=$U$7, "Yes","No"),"No")</f>
        <v>No</v>
      </c>
    </row>
    <row r="376" spans="1:19" x14ac:dyDescent="0.25">
      <c r="A376" s="147">
        <v>9003514101</v>
      </c>
      <c r="B376" s="148" t="s">
        <v>2790</v>
      </c>
      <c r="C376" s="150" t="s">
        <v>944</v>
      </c>
      <c r="D376" s="70">
        <v>53717.175388800002</v>
      </c>
      <c r="E376" s="70">
        <v>17130.2068</v>
      </c>
      <c r="F376" s="14">
        <v>13</v>
      </c>
      <c r="G376" s="14">
        <v>13</v>
      </c>
      <c r="H376" s="14">
        <v>0</v>
      </c>
      <c r="I376" s="14">
        <v>0</v>
      </c>
      <c r="J376" s="69">
        <v>7357.7168000000001</v>
      </c>
      <c r="K376">
        <f t="shared" si="5"/>
        <v>0</v>
      </c>
      <c r="L376" s="14">
        <v>0</v>
      </c>
      <c r="M376" s="14">
        <v>0</v>
      </c>
      <c r="N376" s="14">
        <v>0</v>
      </c>
      <c r="O376" s="69">
        <v>0</v>
      </c>
      <c r="P376" s="226">
        <f>VLOOKUP(Table323[[#This Row],[Census Tract]],'Population and Diversity Data'!$B$2:$K$823,10,FALSE)</f>
        <v>3</v>
      </c>
      <c r="Q376" s="226" t="str">
        <f>VLOOKUP(Table323[[#This Row],[Census Tract]],'ES Energy Burden'!$B$2:$E$914,4,FALSE)</f>
        <v>No</v>
      </c>
      <c r="R376" s="248">
        <f>VLOOKUP(Table323[[#This Row],[Census Tract]],'Income and Housing Data'!$B$2:$D$823,3,FALSE)</f>
        <v>93571</v>
      </c>
      <c r="S376" s="248" t="str">
        <f>IF($U$6&lt;=Table323[[#This Row],[Household income]],IF(Table323[[#This Row],[Household income]]&lt;=$U$7, "Yes","No"),"No")</f>
        <v>No</v>
      </c>
    </row>
    <row r="377" spans="1:19" x14ac:dyDescent="0.25">
      <c r="A377" s="147">
        <v>9003514102</v>
      </c>
      <c r="B377" s="148" t="s">
        <v>2790</v>
      </c>
      <c r="C377" s="150" t="s">
        <v>944</v>
      </c>
      <c r="D377" s="70">
        <v>132904.43400960002</v>
      </c>
      <c r="E377" s="70">
        <v>734509.85600000003</v>
      </c>
      <c r="F377" s="14">
        <v>1053</v>
      </c>
      <c r="G377" s="14">
        <v>23</v>
      </c>
      <c r="H377" s="14">
        <v>0</v>
      </c>
      <c r="I377" s="14">
        <v>1030</v>
      </c>
      <c r="J377" s="69">
        <v>255018.04</v>
      </c>
      <c r="K377">
        <f t="shared" si="5"/>
        <v>263</v>
      </c>
      <c r="L377" s="14">
        <v>147</v>
      </c>
      <c r="M377" s="14">
        <v>3</v>
      </c>
      <c r="N377" s="14">
        <v>113</v>
      </c>
      <c r="O377" s="69">
        <v>210168</v>
      </c>
      <c r="P377" s="226">
        <f>VLOOKUP(Table323[[#This Row],[Census Tract]],'Population and Diversity Data'!$B$2:$K$823,10,FALSE)</f>
        <v>5</v>
      </c>
      <c r="Q377" s="226" t="str">
        <f>VLOOKUP(Table323[[#This Row],[Census Tract]],'ES Energy Burden'!$B$2:$E$914,4,FALSE)</f>
        <v>No</v>
      </c>
      <c r="R377" s="248">
        <f>VLOOKUP(Table323[[#This Row],[Census Tract]],'Income and Housing Data'!$B$2:$D$823,3,FALSE)</f>
        <v>83929</v>
      </c>
      <c r="S377" s="248" t="str">
        <f>IF($U$6&lt;=Table323[[#This Row],[Household income]],IF(Table323[[#This Row],[Household income]]&lt;=$U$7, "Yes","No"),"No")</f>
        <v>No</v>
      </c>
    </row>
    <row r="378" spans="1:19" x14ac:dyDescent="0.25">
      <c r="A378" s="147">
        <v>9003514200</v>
      </c>
      <c r="B378" s="148" t="s">
        <v>2790</v>
      </c>
      <c r="C378" s="150" t="s">
        <v>944</v>
      </c>
      <c r="D378" s="70">
        <v>43657.86648384</v>
      </c>
      <c r="E378" s="70">
        <v>17546.2</v>
      </c>
      <c r="F378" s="14">
        <v>9</v>
      </c>
      <c r="G378" s="14">
        <v>9</v>
      </c>
      <c r="H378" s="14">
        <v>0</v>
      </c>
      <c r="I378" s="14">
        <v>0</v>
      </c>
      <c r="J378" s="69">
        <v>5290.68</v>
      </c>
      <c r="K378">
        <f t="shared" si="5"/>
        <v>0</v>
      </c>
      <c r="L378" s="14">
        <v>0</v>
      </c>
      <c r="M378" s="14">
        <v>0</v>
      </c>
      <c r="N378" s="14">
        <v>0</v>
      </c>
      <c r="O378" s="69">
        <v>0</v>
      </c>
      <c r="P378" s="226">
        <f>VLOOKUP(Table323[[#This Row],[Census Tract]],'Population and Diversity Data'!$B$2:$K$823,10,FALSE)</f>
        <v>5</v>
      </c>
      <c r="Q378" s="226" t="str">
        <f>VLOOKUP(Table323[[#This Row],[Census Tract]],'ES Energy Burden'!$B$2:$E$914,4,FALSE)</f>
        <v>No</v>
      </c>
      <c r="R378" s="248">
        <f>VLOOKUP(Table323[[#This Row],[Census Tract]],'Income and Housing Data'!$B$2:$D$823,3,FALSE)</f>
        <v>63190</v>
      </c>
      <c r="S378" s="248" t="str">
        <f>IF($U$6&lt;=Table323[[#This Row],[Household income]],IF(Table323[[#This Row],[Household income]]&lt;=$U$7, "Yes","No"),"No")</f>
        <v>Yes</v>
      </c>
    </row>
    <row r="379" spans="1:19" x14ac:dyDescent="0.25">
      <c r="A379" s="147">
        <v>9003514300</v>
      </c>
      <c r="B379" s="148" t="s">
        <v>2790</v>
      </c>
      <c r="C379" s="150" t="s">
        <v>944</v>
      </c>
      <c r="D379" s="70">
        <v>59959.54349856</v>
      </c>
      <c r="E379" s="70">
        <v>23289.680899999999</v>
      </c>
      <c r="F379" s="14">
        <v>23</v>
      </c>
      <c r="G379" s="14">
        <v>23</v>
      </c>
      <c r="H379" s="14">
        <v>0</v>
      </c>
      <c r="I379" s="14">
        <v>0</v>
      </c>
      <c r="J379" s="69">
        <v>7516.0009</v>
      </c>
      <c r="K379">
        <f t="shared" si="5"/>
        <v>0</v>
      </c>
      <c r="L379" s="14">
        <v>0</v>
      </c>
      <c r="M379" s="14">
        <v>0</v>
      </c>
      <c r="N379" s="14">
        <v>0</v>
      </c>
      <c r="O379" s="69">
        <v>0</v>
      </c>
      <c r="P379" s="226">
        <f>VLOOKUP(Table323[[#This Row],[Census Tract]],'Population and Diversity Data'!$B$2:$K$823,10,FALSE)</f>
        <v>3</v>
      </c>
      <c r="Q379" s="226" t="str">
        <f>VLOOKUP(Table323[[#This Row],[Census Tract]],'ES Energy Burden'!$B$2:$E$914,4,FALSE)</f>
        <v>No</v>
      </c>
      <c r="R379" s="248">
        <f>VLOOKUP(Table323[[#This Row],[Census Tract]],'Income and Housing Data'!$B$2:$D$823,3,FALSE)</f>
        <v>75685</v>
      </c>
      <c r="S379" s="248" t="str">
        <f>IF($U$6&lt;=Table323[[#This Row],[Household income]],IF(Table323[[#This Row],[Household income]]&lt;=$U$7, "Yes","No"),"No")</f>
        <v>No</v>
      </c>
    </row>
    <row r="380" spans="1:19" x14ac:dyDescent="0.25">
      <c r="A380" s="147">
        <v>9003514400</v>
      </c>
      <c r="B380" s="148" t="s">
        <v>2790</v>
      </c>
      <c r="C380" s="150" t="s">
        <v>944</v>
      </c>
      <c r="D380" s="70">
        <v>56749.340724479996</v>
      </c>
      <c r="E380" s="70">
        <v>19789.490000000002</v>
      </c>
      <c r="F380" s="14">
        <v>7</v>
      </c>
      <c r="G380" s="14">
        <v>6</v>
      </c>
      <c r="H380" s="14">
        <v>1</v>
      </c>
      <c r="I380" s="14">
        <v>0</v>
      </c>
      <c r="J380" s="69">
        <v>2853.61</v>
      </c>
      <c r="K380">
        <f t="shared" si="5"/>
        <v>0</v>
      </c>
      <c r="L380" s="14">
        <v>0</v>
      </c>
      <c r="M380" s="14">
        <v>0</v>
      </c>
      <c r="N380" s="14">
        <v>0</v>
      </c>
      <c r="O380" s="69">
        <v>0</v>
      </c>
      <c r="P380" s="226">
        <f>VLOOKUP(Table323[[#This Row],[Census Tract]],'Population and Diversity Data'!$B$2:$K$823,10,FALSE)</f>
        <v>4</v>
      </c>
      <c r="Q380" s="226" t="str">
        <f>VLOOKUP(Table323[[#This Row],[Census Tract]],'ES Energy Burden'!$B$2:$E$914,4,FALSE)</f>
        <v>No</v>
      </c>
      <c r="R380" s="248">
        <f>VLOOKUP(Table323[[#This Row],[Census Tract]],'Income and Housing Data'!$B$2:$D$823,3,FALSE)</f>
        <v>62700</v>
      </c>
      <c r="S380" s="248" t="str">
        <f>IF($U$6&lt;=Table323[[#This Row],[Household income]],IF(Table323[[#This Row],[Household income]]&lt;=$U$7, "Yes","No"),"No")</f>
        <v>Yes</v>
      </c>
    </row>
    <row r="381" spans="1:19" x14ac:dyDescent="0.25">
      <c r="A381" s="147">
        <v>9003514500</v>
      </c>
      <c r="B381" s="148" t="s">
        <v>2790</v>
      </c>
      <c r="C381" s="150" t="s">
        <v>944</v>
      </c>
      <c r="D381" s="70">
        <v>54927.830548799997</v>
      </c>
      <c r="E381" s="70">
        <v>25536.752199999999</v>
      </c>
      <c r="F381" s="14">
        <v>16</v>
      </c>
      <c r="G381" s="14">
        <v>16</v>
      </c>
      <c r="H381" s="14">
        <v>0</v>
      </c>
      <c r="I381" s="14">
        <v>0</v>
      </c>
      <c r="J381" s="69">
        <v>6921.9921999999997</v>
      </c>
      <c r="K381">
        <f t="shared" si="5"/>
        <v>0</v>
      </c>
      <c r="L381" s="14">
        <v>0</v>
      </c>
      <c r="M381" s="14">
        <v>0</v>
      </c>
      <c r="N381" s="14">
        <v>0</v>
      </c>
      <c r="O381" s="69">
        <v>0</v>
      </c>
      <c r="P381" s="226">
        <f>VLOOKUP(Table323[[#This Row],[Census Tract]],'Population and Diversity Data'!$B$2:$K$823,10,FALSE)</f>
        <v>5</v>
      </c>
      <c r="Q381" s="226" t="str">
        <f>VLOOKUP(Table323[[#This Row],[Census Tract]],'ES Energy Burden'!$B$2:$E$914,4,FALSE)</f>
        <v>No</v>
      </c>
      <c r="R381" s="248">
        <f>VLOOKUP(Table323[[#This Row],[Census Tract]],'Income and Housing Data'!$B$2:$D$823,3,FALSE)</f>
        <v>70875</v>
      </c>
      <c r="S381" s="248" t="str">
        <f>IF($U$6&lt;=Table323[[#This Row],[Household income]],IF(Table323[[#This Row],[Household income]]&lt;=$U$7, "Yes","No"),"No")</f>
        <v>No</v>
      </c>
    </row>
    <row r="382" spans="1:19" x14ac:dyDescent="0.25">
      <c r="A382" s="147">
        <v>9003514600</v>
      </c>
      <c r="B382" s="148" t="s">
        <v>2790</v>
      </c>
      <c r="C382" s="150" t="s">
        <v>944</v>
      </c>
      <c r="D382" s="70">
        <v>65624.928019200001</v>
      </c>
      <c r="E382" s="70">
        <v>48251.67</v>
      </c>
      <c r="F382" s="14">
        <v>8</v>
      </c>
      <c r="G382" s="14">
        <v>8</v>
      </c>
      <c r="H382" s="14">
        <v>0</v>
      </c>
      <c r="I382" s="14">
        <v>0</v>
      </c>
      <c r="J382" s="69">
        <v>4783.55</v>
      </c>
      <c r="K382">
        <f t="shared" si="5"/>
        <v>0</v>
      </c>
      <c r="L382" s="14">
        <v>0</v>
      </c>
      <c r="M382" s="14">
        <v>0</v>
      </c>
      <c r="N382" s="14">
        <v>0</v>
      </c>
      <c r="O382" s="69">
        <v>0</v>
      </c>
      <c r="P382" s="226">
        <f>VLOOKUP(Table323[[#This Row],[Census Tract]],'Population and Diversity Data'!$B$2:$K$823,10,FALSE)</f>
        <v>5</v>
      </c>
      <c r="Q382" s="226" t="str">
        <f>VLOOKUP(Table323[[#This Row],[Census Tract]],'ES Energy Burden'!$B$2:$E$914,4,FALSE)</f>
        <v>No</v>
      </c>
      <c r="R382" s="248">
        <f>VLOOKUP(Table323[[#This Row],[Census Tract]],'Income and Housing Data'!$B$2:$D$823,3,FALSE)</f>
        <v>52932</v>
      </c>
      <c r="S382" s="248" t="str">
        <f>IF($U$6&lt;=Table323[[#This Row],[Household income]],IF(Table323[[#This Row],[Household income]]&lt;=$U$7, "Yes","No"),"No")</f>
        <v>Yes</v>
      </c>
    </row>
    <row r="383" spans="1:19" x14ac:dyDescent="0.25">
      <c r="A383" s="147">
        <v>9003514700</v>
      </c>
      <c r="B383" s="148" t="s">
        <v>2790</v>
      </c>
      <c r="C383" s="150" t="s">
        <v>944</v>
      </c>
      <c r="D383" s="70">
        <v>61058.657744640004</v>
      </c>
      <c r="E383" s="70">
        <v>8211.23</v>
      </c>
      <c r="F383" s="14">
        <v>6</v>
      </c>
      <c r="G383" s="14">
        <v>6</v>
      </c>
      <c r="H383" s="14">
        <v>0</v>
      </c>
      <c r="I383" s="14">
        <v>0</v>
      </c>
      <c r="J383" s="69">
        <v>5254.45</v>
      </c>
      <c r="K383">
        <f t="shared" si="5"/>
        <v>0</v>
      </c>
      <c r="L383" s="14">
        <v>0</v>
      </c>
      <c r="M383" s="14">
        <v>0</v>
      </c>
      <c r="N383" s="14">
        <v>0</v>
      </c>
      <c r="O383" s="69">
        <v>0</v>
      </c>
      <c r="P383" s="226">
        <f>VLOOKUP(Table323[[#This Row],[Census Tract]],'Population and Diversity Data'!$B$2:$K$823,10,FALSE)</f>
        <v>5</v>
      </c>
      <c r="Q383" s="226" t="str">
        <f>VLOOKUP(Table323[[#This Row],[Census Tract]],'ES Energy Burden'!$B$2:$E$914,4,FALSE)</f>
        <v>No</v>
      </c>
      <c r="R383" s="248">
        <f>VLOOKUP(Table323[[#This Row],[Census Tract]],'Income and Housing Data'!$B$2:$D$823,3,FALSE)</f>
        <v>44015</v>
      </c>
      <c r="S383" s="248" t="str">
        <f>IF($U$6&lt;=Table323[[#This Row],[Household income]],IF(Table323[[#This Row],[Household income]]&lt;=$U$7, "Yes","No"),"No")</f>
        <v>No</v>
      </c>
    </row>
    <row r="384" spans="1:19" x14ac:dyDescent="0.25">
      <c r="A384" s="147">
        <v>9003514800</v>
      </c>
      <c r="B384" s="148" t="s">
        <v>2790</v>
      </c>
      <c r="C384" s="150" t="s">
        <v>944</v>
      </c>
      <c r="D384" s="70">
        <v>42600.301349760004</v>
      </c>
      <c r="E384" s="70">
        <v>8567.1447000000007</v>
      </c>
      <c r="F384" s="14">
        <v>12</v>
      </c>
      <c r="G384" s="14">
        <v>12</v>
      </c>
      <c r="H384" s="14">
        <v>0</v>
      </c>
      <c r="I384" s="14">
        <v>0</v>
      </c>
      <c r="J384" s="69">
        <v>4083.9546999999998</v>
      </c>
      <c r="K384">
        <f t="shared" si="5"/>
        <v>0</v>
      </c>
      <c r="L384" s="14">
        <v>0</v>
      </c>
      <c r="M384" s="14">
        <v>0</v>
      </c>
      <c r="N384" s="14">
        <v>0</v>
      </c>
      <c r="O384" s="69">
        <v>0</v>
      </c>
      <c r="P384" s="226">
        <f>VLOOKUP(Table323[[#This Row],[Census Tract]],'Population and Diversity Data'!$B$2:$K$823,10,FALSE)</f>
        <v>5</v>
      </c>
      <c r="Q384" s="226" t="str">
        <f>VLOOKUP(Table323[[#This Row],[Census Tract]],'ES Energy Burden'!$B$2:$E$914,4,FALSE)</f>
        <v>Yes</v>
      </c>
      <c r="R384" s="248">
        <f>VLOOKUP(Table323[[#This Row],[Census Tract]],'Income and Housing Data'!$B$2:$D$823,3,FALSE)</f>
        <v>53083</v>
      </c>
      <c r="S384" s="248" t="str">
        <f>IF($U$6&lt;=Table323[[#This Row],[Household income]],IF(Table323[[#This Row],[Household income]]&lt;=$U$7, "Yes","No"),"No")</f>
        <v>Yes</v>
      </c>
    </row>
    <row r="385" spans="1:19" x14ac:dyDescent="0.25">
      <c r="A385" s="147">
        <v>9003514900</v>
      </c>
      <c r="B385" s="148" t="s">
        <v>2790</v>
      </c>
      <c r="C385" s="150" t="s">
        <v>944</v>
      </c>
      <c r="D385" s="70">
        <v>46407.520434240003</v>
      </c>
      <c r="E385" s="70">
        <v>37234.143300000003</v>
      </c>
      <c r="F385" s="14">
        <v>23</v>
      </c>
      <c r="G385" s="14">
        <v>23</v>
      </c>
      <c r="H385" s="14">
        <v>0</v>
      </c>
      <c r="I385" s="14">
        <v>0</v>
      </c>
      <c r="J385" s="69">
        <v>20497.723300000001</v>
      </c>
      <c r="K385">
        <f t="shared" si="5"/>
        <v>0</v>
      </c>
      <c r="L385" s="14">
        <v>0</v>
      </c>
      <c r="M385" s="14">
        <v>0</v>
      </c>
      <c r="N385" s="14">
        <v>0</v>
      </c>
      <c r="O385" s="69">
        <v>0</v>
      </c>
      <c r="P385" s="226">
        <f>VLOOKUP(Table323[[#This Row],[Census Tract]],'Population and Diversity Data'!$B$2:$K$823,10,FALSE)</f>
        <v>3</v>
      </c>
      <c r="Q385" s="226" t="str">
        <f>VLOOKUP(Table323[[#This Row],[Census Tract]],'ES Energy Burden'!$B$2:$E$914,4,FALSE)</f>
        <v>No</v>
      </c>
      <c r="R385" s="248">
        <f>VLOOKUP(Table323[[#This Row],[Census Tract]],'Income and Housing Data'!$B$2:$D$823,3,FALSE)</f>
        <v>86714</v>
      </c>
      <c r="S385" s="248" t="str">
        <f>IF($U$6&lt;=Table323[[#This Row],[Household income]],IF(Table323[[#This Row],[Household income]]&lt;=$U$7, "Yes","No"),"No")</f>
        <v>No</v>
      </c>
    </row>
    <row r="386" spans="1:19" x14ac:dyDescent="0.25">
      <c r="A386" s="147">
        <v>9003515000</v>
      </c>
      <c r="B386" s="148" t="s">
        <v>2790</v>
      </c>
      <c r="C386" s="150" t="s">
        <v>944</v>
      </c>
      <c r="D386" s="70">
        <v>54351.689230079995</v>
      </c>
      <c r="E386" s="70">
        <v>14280.3079</v>
      </c>
      <c r="F386" s="14">
        <v>18</v>
      </c>
      <c r="G386" s="14">
        <v>18</v>
      </c>
      <c r="H386" s="14">
        <v>0</v>
      </c>
      <c r="I386" s="14">
        <v>0</v>
      </c>
      <c r="J386" s="69">
        <v>12755.8379</v>
      </c>
      <c r="K386">
        <f t="shared" si="5"/>
        <v>0</v>
      </c>
      <c r="L386" s="14">
        <v>0</v>
      </c>
      <c r="M386" s="14">
        <v>0</v>
      </c>
      <c r="N386" s="14">
        <v>0</v>
      </c>
      <c r="O386" s="69">
        <v>0</v>
      </c>
      <c r="P386" s="226">
        <f>VLOOKUP(Table323[[#This Row],[Census Tract]],'Population and Diversity Data'!$B$2:$K$823,10,FALSE)</f>
        <v>4</v>
      </c>
      <c r="Q386" s="226" t="str">
        <f>VLOOKUP(Table323[[#This Row],[Census Tract]],'ES Energy Burden'!$B$2:$E$914,4,FALSE)</f>
        <v>No</v>
      </c>
      <c r="R386" s="248">
        <f>VLOOKUP(Table323[[#This Row],[Census Tract]],'Income and Housing Data'!$B$2:$D$823,3,FALSE)</f>
        <v>104500</v>
      </c>
      <c r="S386" s="248" t="str">
        <f>IF($U$6&lt;=Table323[[#This Row],[Household income]],IF(Table323[[#This Row],[Household income]]&lt;=$U$7, "Yes","No"),"No")</f>
        <v>No</v>
      </c>
    </row>
    <row r="387" spans="1:19" x14ac:dyDescent="0.25">
      <c r="A387" s="147">
        <v>9003515101</v>
      </c>
      <c r="B387" s="148" t="s">
        <v>2790</v>
      </c>
      <c r="C387" s="150" t="s">
        <v>944</v>
      </c>
      <c r="D387" s="70">
        <v>38263.875379200006</v>
      </c>
      <c r="E387" s="70">
        <v>5126.2425000000003</v>
      </c>
      <c r="F387" s="14">
        <v>8</v>
      </c>
      <c r="G387" s="14">
        <v>8</v>
      </c>
      <c r="H387" s="14">
        <v>0</v>
      </c>
      <c r="I387" s="14">
        <v>0</v>
      </c>
      <c r="J387" s="69">
        <v>3132.5925000000002</v>
      </c>
      <c r="K387">
        <f t="shared" si="5"/>
        <v>0</v>
      </c>
      <c r="L387" s="14">
        <v>0</v>
      </c>
      <c r="M387" s="14">
        <v>0</v>
      </c>
      <c r="N387" s="14">
        <v>0</v>
      </c>
      <c r="O387" s="69">
        <v>0</v>
      </c>
      <c r="P387" s="226">
        <f>VLOOKUP(Table323[[#This Row],[Census Tract]],'Population and Diversity Data'!$B$2:$K$823,10,FALSE)</f>
        <v>3</v>
      </c>
      <c r="Q387" s="226" t="str">
        <f>VLOOKUP(Table323[[#This Row],[Census Tract]],'ES Energy Burden'!$B$2:$E$914,4,FALSE)</f>
        <v>No</v>
      </c>
      <c r="R387" s="248">
        <f>VLOOKUP(Table323[[#This Row],[Census Tract]],'Income and Housing Data'!$B$2:$D$823,3,FALSE)</f>
        <v>82454</v>
      </c>
      <c r="S387" s="248" t="str">
        <f>IF($U$6&lt;=Table323[[#This Row],[Household income]],IF(Table323[[#This Row],[Household income]]&lt;=$U$7, "Yes","No"),"No")</f>
        <v>No</v>
      </c>
    </row>
    <row r="388" spans="1:19" x14ac:dyDescent="0.25">
      <c r="A388" s="147">
        <v>9003515102</v>
      </c>
      <c r="B388" s="148" t="s">
        <v>2790</v>
      </c>
      <c r="C388" s="150" t="s">
        <v>944</v>
      </c>
      <c r="D388" s="70">
        <v>77689.852358400007</v>
      </c>
      <c r="E388" s="70">
        <v>17970.6512</v>
      </c>
      <c r="F388" s="14">
        <v>26</v>
      </c>
      <c r="G388" s="14">
        <v>26</v>
      </c>
      <c r="H388" s="14">
        <v>0</v>
      </c>
      <c r="I388" s="14">
        <v>0</v>
      </c>
      <c r="J388" s="69">
        <v>11255.501200000001</v>
      </c>
      <c r="K388">
        <f t="shared" si="5"/>
        <v>0</v>
      </c>
      <c r="L388" s="14">
        <v>0</v>
      </c>
      <c r="M388" s="14">
        <v>0</v>
      </c>
      <c r="N388" s="14">
        <v>0</v>
      </c>
      <c r="O388" s="69">
        <v>0</v>
      </c>
      <c r="P388" s="226">
        <f>VLOOKUP(Table323[[#This Row],[Census Tract]],'Population and Diversity Data'!$B$2:$K$823,10,FALSE)</f>
        <v>5</v>
      </c>
      <c r="Q388" s="226" t="str">
        <f>VLOOKUP(Table323[[#This Row],[Census Tract]],'ES Energy Burden'!$B$2:$E$914,4,FALSE)</f>
        <v>No</v>
      </c>
      <c r="R388" s="248">
        <f>VLOOKUP(Table323[[#This Row],[Census Tract]],'Income and Housing Data'!$B$2:$D$823,3,FALSE)</f>
        <v>78254</v>
      </c>
      <c r="S388" s="248" t="str">
        <f>IF($U$6&lt;=Table323[[#This Row],[Household income]],IF(Table323[[#This Row],[Household income]]&lt;=$U$7, "Yes","No"),"No")</f>
        <v>No</v>
      </c>
    </row>
    <row r="389" spans="1:19" x14ac:dyDescent="0.25">
      <c r="A389" s="147">
        <v>9003515200</v>
      </c>
      <c r="B389" s="148" t="s">
        <v>2790</v>
      </c>
      <c r="C389" s="150" t="s">
        <v>944</v>
      </c>
      <c r="D389" s="70">
        <v>65201.310581760001</v>
      </c>
      <c r="E389" s="70">
        <v>11137.36</v>
      </c>
      <c r="F389" s="14">
        <v>15</v>
      </c>
      <c r="G389" s="14">
        <v>15</v>
      </c>
      <c r="H389" s="14">
        <v>0</v>
      </c>
      <c r="I389" s="14">
        <v>0</v>
      </c>
      <c r="J389" s="69">
        <v>10096.48</v>
      </c>
      <c r="K389">
        <f t="shared" si="5"/>
        <v>0</v>
      </c>
      <c r="L389" s="14">
        <v>0</v>
      </c>
      <c r="M389" s="14">
        <v>0</v>
      </c>
      <c r="N389" s="14">
        <v>0</v>
      </c>
      <c r="O389" s="69">
        <v>0</v>
      </c>
      <c r="P389" s="226">
        <f>VLOOKUP(Table323[[#This Row],[Census Tract]],'Population and Diversity Data'!$B$2:$K$823,10,FALSE)</f>
        <v>4</v>
      </c>
      <c r="Q389" s="226" t="str">
        <f>VLOOKUP(Table323[[#This Row],[Census Tract]],'ES Energy Burden'!$B$2:$E$914,4,FALSE)</f>
        <v>No</v>
      </c>
      <c r="R389" s="248">
        <f>VLOOKUP(Table323[[#This Row],[Census Tract]],'Income and Housing Data'!$B$2:$D$823,3,FALSE)</f>
        <v>111809</v>
      </c>
      <c r="S389" s="248" t="str">
        <f>IF($U$6&lt;=Table323[[#This Row],[Household income]],IF(Table323[[#This Row],[Household income]]&lt;=$U$7, "Yes","No"),"No")</f>
        <v>No</v>
      </c>
    </row>
    <row r="390" spans="1:19" x14ac:dyDescent="0.25">
      <c r="A390" s="147">
        <v>9003520100</v>
      </c>
      <c r="B390" s="148" t="s">
        <v>2790</v>
      </c>
      <c r="C390" s="150" t="s">
        <v>944</v>
      </c>
      <c r="D390" s="70">
        <v>138.59544959999999</v>
      </c>
      <c r="E390" s="70">
        <v>0</v>
      </c>
      <c r="F390" s="14">
        <v>0</v>
      </c>
      <c r="G390" s="14">
        <v>0</v>
      </c>
      <c r="H390" s="14">
        <v>0</v>
      </c>
      <c r="I390" s="14">
        <v>0</v>
      </c>
      <c r="J390" s="69">
        <v>0</v>
      </c>
      <c r="K390">
        <f t="shared" ref="K390:K453" si="6">L390+M390+N390</f>
        <v>0</v>
      </c>
      <c r="L390" s="14">
        <v>0</v>
      </c>
      <c r="M390" s="14">
        <v>0</v>
      </c>
      <c r="N390" s="14">
        <v>0</v>
      </c>
      <c r="O390" s="69">
        <v>0</v>
      </c>
      <c r="P390" s="226">
        <f>VLOOKUP(Table323[[#This Row],[Census Tract]],'Population and Diversity Data'!$B$2:$K$823,10,FALSE)</f>
        <v>4</v>
      </c>
      <c r="Q390" s="226" t="str">
        <f>VLOOKUP(Table323[[#This Row],[Census Tract]],'ES Energy Burden'!$B$2:$E$914,4,FALSE)</f>
        <v>No</v>
      </c>
      <c r="R390" s="248">
        <f>VLOOKUP(Table323[[#This Row],[Census Tract]],'Income and Housing Data'!$B$2:$D$823,3,FALSE)</f>
        <v>141914</v>
      </c>
      <c r="S390" s="248" t="str">
        <f>IF($U$6&lt;=Table323[[#This Row],[Household income]],IF(Table323[[#This Row],[Household income]]&lt;=$U$7, "Yes","No"),"No")</f>
        <v>No</v>
      </c>
    </row>
    <row r="391" spans="1:19" x14ac:dyDescent="0.25">
      <c r="A391" s="147">
        <v>9013530500</v>
      </c>
      <c r="B391" s="148" t="s">
        <v>2790</v>
      </c>
      <c r="C391" s="150" t="s">
        <v>944</v>
      </c>
      <c r="D391" s="70">
        <v>26.200108799999999</v>
      </c>
      <c r="E391" s="70">
        <v>0</v>
      </c>
      <c r="F391" s="14">
        <v>0</v>
      </c>
      <c r="G391" s="14">
        <v>0</v>
      </c>
      <c r="H391" s="14">
        <v>0</v>
      </c>
      <c r="I391" s="14">
        <v>0</v>
      </c>
      <c r="J391" s="69">
        <v>0</v>
      </c>
      <c r="K391">
        <f t="shared" si="6"/>
        <v>0</v>
      </c>
      <c r="L391" s="14">
        <v>0</v>
      </c>
      <c r="M391" s="14">
        <v>0</v>
      </c>
      <c r="N391" s="14">
        <v>0</v>
      </c>
      <c r="O391" s="69">
        <v>0</v>
      </c>
      <c r="P391" s="226">
        <f>VLOOKUP(Table323[[#This Row],[Census Tract]],'Population and Diversity Data'!$B$2:$K$823,10,FALSE)</f>
        <v>4</v>
      </c>
      <c r="Q391" s="226" t="str">
        <f>VLOOKUP(Table323[[#This Row],[Census Tract]],'ES Energy Burden'!$B$2:$E$914,4,FALSE)</f>
        <v>No</v>
      </c>
      <c r="R391" s="248">
        <f>VLOOKUP(Table323[[#This Row],[Census Tract]],'Income and Housing Data'!$B$2:$D$823,3,FALSE)</f>
        <v>72219</v>
      </c>
      <c r="S391" s="248" t="str">
        <f>IF($U$6&lt;=Table323[[#This Row],[Household income]],IF(Table323[[#This Row],[Household income]]&lt;=$U$7, "Yes","No"),"No")</f>
        <v>No</v>
      </c>
    </row>
    <row r="392" spans="1:19" x14ac:dyDescent="0.25">
      <c r="A392" s="147">
        <v>9013840100</v>
      </c>
      <c r="B392" s="148" t="s">
        <v>2791</v>
      </c>
      <c r="C392" s="150" t="s">
        <v>944</v>
      </c>
      <c r="D392" s="70">
        <v>135.83419199999997</v>
      </c>
      <c r="E392" s="70">
        <v>0</v>
      </c>
      <c r="F392" s="14">
        <v>0</v>
      </c>
      <c r="G392" s="14">
        <v>0</v>
      </c>
      <c r="H392" s="14">
        <v>0</v>
      </c>
      <c r="I392" s="14">
        <v>0</v>
      </c>
      <c r="J392" s="69">
        <v>0</v>
      </c>
      <c r="K392">
        <f t="shared" si="6"/>
        <v>0</v>
      </c>
      <c r="L392" s="14">
        <v>0</v>
      </c>
      <c r="M392" s="14">
        <v>0</v>
      </c>
      <c r="N392" s="14">
        <v>0</v>
      </c>
      <c r="O392" s="69">
        <v>0</v>
      </c>
      <c r="P392" s="226">
        <f>VLOOKUP(Table323[[#This Row],[Census Tract]],'Population and Diversity Data'!$B$2:$K$823,10,FALSE)</f>
        <v>4</v>
      </c>
      <c r="Q392" s="226" t="str">
        <f>VLOOKUP(Table323[[#This Row],[Census Tract]],'ES Energy Burden'!$B$2:$E$914,4,FALSE)</f>
        <v>No</v>
      </c>
      <c r="R392" s="248">
        <f>VLOOKUP(Table323[[#This Row],[Census Tract]],'Income and Housing Data'!$B$2:$D$823,3,FALSE)</f>
        <v>76908</v>
      </c>
      <c r="S392" s="248" t="str">
        <f>IF($U$6&lt;=Table323[[#This Row],[Household income]],IF(Table323[[#This Row],[Household income]]&lt;=$U$7, "Yes","No"),"No")</f>
        <v>No</v>
      </c>
    </row>
    <row r="393" spans="1:19" x14ac:dyDescent="0.25">
      <c r="A393" s="147">
        <v>9013881100</v>
      </c>
      <c r="B393" s="148" t="s">
        <v>2791</v>
      </c>
      <c r="C393" s="150" t="s">
        <v>944</v>
      </c>
      <c r="D393" s="70">
        <v>88594.930414079994</v>
      </c>
      <c r="E393" s="70">
        <v>31198.000400000001</v>
      </c>
      <c r="F393" s="14">
        <v>22</v>
      </c>
      <c r="G393" s="14">
        <v>22</v>
      </c>
      <c r="H393" s="14">
        <v>0</v>
      </c>
      <c r="I393" s="14">
        <v>0</v>
      </c>
      <c r="J393" s="69">
        <v>16254.680399999999</v>
      </c>
      <c r="K393">
        <f t="shared" si="6"/>
        <v>0</v>
      </c>
      <c r="L393" s="14">
        <v>0</v>
      </c>
      <c r="M393" s="14">
        <v>0</v>
      </c>
      <c r="N393" s="14">
        <v>0</v>
      </c>
      <c r="O393" s="69">
        <v>0</v>
      </c>
      <c r="P393" s="226">
        <f>VLOOKUP(Table323[[#This Row],[Census Tract]],'Population and Diversity Data'!$B$2:$K$823,10,FALSE)</f>
        <v>4</v>
      </c>
      <c r="Q393" s="226" t="str">
        <f>VLOOKUP(Table323[[#This Row],[Census Tract]],'ES Energy Burden'!$B$2:$E$914,4,FALSE)</f>
        <v>No</v>
      </c>
      <c r="R393" s="248">
        <f>VLOOKUP(Table323[[#This Row],[Census Tract]],'Income and Housing Data'!$B$2:$D$823,3,FALSE)</f>
        <v>81163</v>
      </c>
      <c r="S393" s="248" t="str">
        <f>IF($U$6&lt;=Table323[[#This Row],[Household income]],IF(Table323[[#This Row],[Household income]]&lt;=$U$7, "Yes","No"),"No")</f>
        <v>No</v>
      </c>
    </row>
    <row r="394" spans="1:19" x14ac:dyDescent="0.25">
      <c r="A394" s="147">
        <v>9013881200</v>
      </c>
      <c r="B394" s="148" t="s">
        <v>2791</v>
      </c>
      <c r="C394" s="150" t="s">
        <v>944</v>
      </c>
      <c r="D394" s="70">
        <v>5767.4219616000009</v>
      </c>
      <c r="E394" s="70">
        <v>154</v>
      </c>
      <c r="F394" s="14">
        <v>1</v>
      </c>
      <c r="G394" s="14">
        <v>1</v>
      </c>
      <c r="H394" s="14">
        <v>0</v>
      </c>
      <c r="I394" s="14">
        <v>0</v>
      </c>
      <c r="J394" s="69">
        <v>151.34</v>
      </c>
      <c r="K394">
        <f t="shared" si="6"/>
        <v>0</v>
      </c>
      <c r="L394" s="14">
        <v>0</v>
      </c>
      <c r="M394" s="14">
        <v>0</v>
      </c>
      <c r="N394" s="14">
        <v>0</v>
      </c>
      <c r="O394" s="69">
        <v>0</v>
      </c>
      <c r="P394" s="226">
        <f>VLOOKUP(Table323[[#This Row],[Census Tract]],'Population and Diversity Data'!$B$2:$K$823,10,FALSE)</f>
        <v>5</v>
      </c>
      <c r="Q394" s="226" t="str">
        <f>VLOOKUP(Table323[[#This Row],[Census Tract]],'ES Energy Burden'!$B$2:$E$914,4,FALSE)</f>
        <v>No</v>
      </c>
      <c r="R394" s="248">
        <f>VLOOKUP(Table323[[#This Row],[Census Tract]],'Income and Housing Data'!$B$2:$D$823,3,FALSE)</f>
        <v>30125</v>
      </c>
      <c r="S394" s="248" t="str">
        <f>IF($U$6&lt;=Table323[[#This Row],[Household income]],IF(Table323[[#This Row],[Household income]]&lt;=$U$7, "Yes","No"),"No")</f>
        <v>No</v>
      </c>
    </row>
    <row r="395" spans="1:19" x14ac:dyDescent="0.25">
      <c r="A395" s="147">
        <v>9013881300</v>
      </c>
      <c r="B395" s="148" t="s">
        <v>2791</v>
      </c>
      <c r="C395" s="150" t="s">
        <v>944</v>
      </c>
      <c r="D395" s="70">
        <v>61596.592404479998</v>
      </c>
      <c r="E395" s="70">
        <v>16521.36</v>
      </c>
      <c r="F395" s="14">
        <v>16</v>
      </c>
      <c r="G395" s="14">
        <v>16</v>
      </c>
      <c r="H395" s="14">
        <v>0</v>
      </c>
      <c r="I395" s="14">
        <v>0</v>
      </c>
      <c r="J395" s="69">
        <v>15394.06</v>
      </c>
      <c r="K395">
        <f t="shared" si="6"/>
        <v>0</v>
      </c>
      <c r="L395" s="14">
        <v>0</v>
      </c>
      <c r="M395" s="14">
        <v>0</v>
      </c>
      <c r="N395" s="14">
        <v>0</v>
      </c>
      <c r="O395" s="69">
        <v>0</v>
      </c>
      <c r="P395" s="226">
        <f>VLOOKUP(Table323[[#This Row],[Census Tract]],'Population and Diversity Data'!$B$2:$K$823,10,FALSE)</f>
        <v>4</v>
      </c>
      <c r="Q395" s="226" t="str">
        <f>VLOOKUP(Table323[[#This Row],[Census Tract]],'ES Energy Burden'!$B$2:$E$914,4,FALSE)</f>
        <v>No</v>
      </c>
      <c r="R395" s="248">
        <f>VLOOKUP(Table323[[#This Row],[Census Tract]],'Income and Housing Data'!$B$2:$D$823,3,FALSE)</f>
        <v>46429</v>
      </c>
      <c r="S395" s="248" t="str">
        <f>IF($U$6&lt;=Table323[[#This Row],[Household income]],IF(Table323[[#This Row],[Household income]]&lt;=$U$7, "Yes","No"),"No")</f>
        <v>No</v>
      </c>
    </row>
    <row r="396" spans="1:19" x14ac:dyDescent="0.25">
      <c r="A396" s="147">
        <v>9013881500</v>
      </c>
      <c r="B396" s="148" t="s">
        <v>2791</v>
      </c>
      <c r="C396" s="150" t="s">
        <v>944</v>
      </c>
      <c r="D396" s="70">
        <v>102936.9654864</v>
      </c>
      <c r="E396" s="70">
        <v>73029.014800000106</v>
      </c>
      <c r="F396" s="14">
        <v>25</v>
      </c>
      <c r="G396" s="14">
        <v>25</v>
      </c>
      <c r="H396" s="14">
        <v>0</v>
      </c>
      <c r="I396" s="14">
        <v>0</v>
      </c>
      <c r="J396" s="69">
        <v>19106.0808</v>
      </c>
      <c r="K396">
        <f t="shared" si="6"/>
        <v>13</v>
      </c>
      <c r="L396" s="14">
        <v>13</v>
      </c>
      <c r="M396" s="14">
        <v>0</v>
      </c>
      <c r="N396" s="14">
        <v>0</v>
      </c>
      <c r="O396" s="69">
        <v>21773.5</v>
      </c>
      <c r="P396" s="226">
        <f>VLOOKUP(Table323[[#This Row],[Census Tract]],'Population and Diversity Data'!$B$2:$K$823,10,FALSE)</f>
        <v>4</v>
      </c>
      <c r="Q396" s="226" t="str">
        <f>VLOOKUP(Table323[[#This Row],[Census Tract]],'ES Energy Burden'!$B$2:$E$914,4,FALSE)</f>
        <v>No</v>
      </c>
      <c r="R396" s="248">
        <f>VLOOKUP(Table323[[#This Row],[Census Tract]],'Income and Housing Data'!$B$2:$D$823,3,FALSE)</f>
        <v>53162</v>
      </c>
      <c r="S396" s="248" t="str">
        <f>IF($U$6&lt;=Table323[[#This Row],[Household income]],IF(Table323[[#This Row],[Household income]]&lt;=$U$7, "Yes","No"),"No")</f>
        <v>Yes</v>
      </c>
    </row>
    <row r="397" spans="1:19" x14ac:dyDescent="0.25">
      <c r="A397" s="147">
        <v>9015815000</v>
      </c>
      <c r="B397" s="148" t="s">
        <v>2791</v>
      </c>
      <c r="C397" s="150" t="s">
        <v>944</v>
      </c>
      <c r="D397" s="70">
        <v>297.9263808</v>
      </c>
      <c r="E397" s="70">
        <v>0</v>
      </c>
      <c r="F397" s="14">
        <v>0</v>
      </c>
      <c r="G397" s="14">
        <v>0</v>
      </c>
      <c r="H397" s="14">
        <v>0</v>
      </c>
      <c r="I397" s="14">
        <v>0</v>
      </c>
      <c r="J397" s="69">
        <v>0</v>
      </c>
      <c r="K397">
        <f t="shared" si="6"/>
        <v>0</v>
      </c>
      <c r="L397" s="14">
        <v>0</v>
      </c>
      <c r="M397" s="14">
        <v>0</v>
      </c>
      <c r="N397" s="14">
        <v>0</v>
      </c>
      <c r="O397" s="69">
        <v>0</v>
      </c>
      <c r="P397" s="226">
        <f>VLOOKUP(Table323[[#This Row],[Census Tract]],'Population and Diversity Data'!$B$2:$K$823,10,FALSE)</f>
        <v>5</v>
      </c>
      <c r="Q397" s="226" t="str">
        <f>VLOOKUP(Table323[[#This Row],[Census Tract]],'ES Energy Burden'!$B$2:$E$914,4,FALSE)</f>
        <v>No</v>
      </c>
      <c r="R397" s="248">
        <f>VLOOKUP(Table323[[#This Row],[Census Tract]],'Income and Housing Data'!$B$2:$D$823,3,FALSE)</f>
        <v>70500</v>
      </c>
      <c r="S397" s="248" t="str">
        <f>IF($U$6&lt;=Table323[[#This Row],[Household income]],IF(Table323[[#This Row],[Household income]]&lt;=$U$7, "Yes","No"),"No")</f>
        <v>No</v>
      </c>
    </row>
    <row r="398" spans="1:19" x14ac:dyDescent="0.25">
      <c r="A398" s="147">
        <v>9003524100</v>
      </c>
      <c r="B398" s="148" t="s">
        <v>2792</v>
      </c>
      <c r="C398" s="150" t="s">
        <v>944</v>
      </c>
      <c r="D398" s="70">
        <v>136171.01622240001</v>
      </c>
      <c r="E398" s="70">
        <v>32944.274400000002</v>
      </c>
      <c r="F398" s="14">
        <v>23</v>
      </c>
      <c r="G398" s="14">
        <v>23</v>
      </c>
      <c r="H398" s="14">
        <v>0</v>
      </c>
      <c r="I398" s="14">
        <v>0</v>
      </c>
      <c r="J398" s="69">
        <v>20480.314399999999</v>
      </c>
      <c r="K398">
        <f t="shared" si="6"/>
        <v>2</v>
      </c>
      <c r="L398" s="14">
        <v>2</v>
      </c>
      <c r="M398" s="14">
        <v>0</v>
      </c>
      <c r="N398" s="14">
        <v>0</v>
      </c>
      <c r="O398" s="69">
        <v>1662.55</v>
      </c>
      <c r="P398" s="226">
        <f>VLOOKUP(Table323[[#This Row],[Census Tract]],'Population and Diversity Data'!$B$2:$K$823,10,FALSE)</f>
        <v>1</v>
      </c>
      <c r="Q398" s="226" t="str">
        <f>VLOOKUP(Table323[[#This Row],[Census Tract]],'ES Energy Burden'!$B$2:$E$914,4,FALSE)</f>
        <v>No</v>
      </c>
      <c r="R398" s="248">
        <f>VLOOKUP(Table323[[#This Row],[Census Tract]],'Income and Housing Data'!$B$2:$D$823,3,FALSE)</f>
        <v>112557</v>
      </c>
      <c r="S398" s="248" t="str">
        <f>IF($U$6&lt;=Table323[[#This Row],[Household income]],IF(Table323[[#This Row],[Household income]]&lt;=$U$7, "Yes","No"),"No")</f>
        <v>No</v>
      </c>
    </row>
    <row r="399" spans="1:19" x14ac:dyDescent="0.25">
      <c r="A399" s="147">
        <v>9013526101</v>
      </c>
      <c r="B399" s="148" t="s">
        <v>2792</v>
      </c>
      <c r="C399" s="150" t="s">
        <v>944</v>
      </c>
      <c r="D399" s="70">
        <v>514.10911680000004</v>
      </c>
      <c r="E399" s="70">
        <v>0</v>
      </c>
      <c r="F399" s="14">
        <v>0</v>
      </c>
      <c r="G399" s="14">
        <v>0</v>
      </c>
      <c r="H399" s="14">
        <v>0</v>
      </c>
      <c r="I399" s="14">
        <v>0</v>
      </c>
      <c r="J399" s="69">
        <v>0</v>
      </c>
      <c r="K399">
        <f t="shared" si="6"/>
        <v>0</v>
      </c>
      <c r="L399" s="14">
        <v>0</v>
      </c>
      <c r="M399" s="14">
        <v>0</v>
      </c>
      <c r="N399" s="14">
        <v>0</v>
      </c>
      <c r="O399" s="69">
        <v>0</v>
      </c>
      <c r="P399" s="226">
        <f>VLOOKUP(Table323[[#This Row],[Census Tract]],'Population and Diversity Data'!$B$2:$K$823,10,FALSE)</f>
        <v>2</v>
      </c>
      <c r="Q399" s="226" t="str">
        <f>VLOOKUP(Table323[[#This Row],[Census Tract]],'ES Energy Burden'!$B$2:$E$914,4,FALSE)</f>
        <v>No</v>
      </c>
      <c r="R399" s="248">
        <f>VLOOKUP(Table323[[#This Row],[Census Tract]],'Income and Housing Data'!$B$2:$D$823,3,FALSE)</f>
        <v>121250</v>
      </c>
      <c r="S399" s="248" t="str">
        <f>IF($U$6&lt;=Table323[[#This Row],[Household income]],IF(Table323[[#This Row],[Household income]]&lt;=$U$7, "Yes","No"),"No")</f>
        <v>No</v>
      </c>
    </row>
    <row r="400" spans="1:19" x14ac:dyDescent="0.25">
      <c r="A400" s="147">
        <v>9013526102</v>
      </c>
      <c r="B400" s="148" t="s">
        <v>2792</v>
      </c>
      <c r="C400" s="150" t="s">
        <v>944</v>
      </c>
      <c r="D400" s="70">
        <v>656.1315360000001</v>
      </c>
      <c r="E400" s="70">
        <v>0</v>
      </c>
      <c r="F400" s="14">
        <v>0</v>
      </c>
      <c r="G400" s="14">
        <v>0</v>
      </c>
      <c r="H400" s="14">
        <v>0</v>
      </c>
      <c r="I400" s="14">
        <v>0</v>
      </c>
      <c r="J400" s="69">
        <v>0</v>
      </c>
      <c r="K400">
        <f t="shared" si="6"/>
        <v>0</v>
      </c>
      <c r="L400" s="14">
        <v>0</v>
      </c>
      <c r="M400" s="14">
        <v>0</v>
      </c>
      <c r="N400" s="14">
        <v>0</v>
      </c>
      <c r="O400" s="69">
        <v>0</v>
      </c>
      <c r="P400" s="226">
        <f>VLOOKUP(Table323[[#This Row],[Census Tract]],'Population and Diversity Data'!$B$2:$K$823,10,FALSE)</f>
        <v>1</v>
      </c>
      <c r="Q400" s="226" t="str">
        <f>VLOOKUP(Table323[[#This Row],[Census Tract]],'ES Energy Burden'!$B$2:$E$914,4,FALSE)</f>
        <v>No</v>
      </c>
      <c r="R400" s="248">
        <f>VLOOKUP(Table323[[#This Row],[Census Tract]],'Income and Housing Data'!$B$2:$D$823,3,FALSE)</f>
        <v>119917</v>
      </c>
      <c r="S400" s="248" t="str">
        <f>IF($U$6&lt;=Table323[[#This Row],[Household income]],IF(Table323[[#This Row],[Household income]]&lt;=$U$7, "Yes","No"),"No")</f>
        <v>No</v>
      </c>
    </row>
    <row r="401" spans="1:19" x14ac:dyDescent="0.25">
      <c r="A401" s="147">
        <v>9003430301</v>
      </c>
      <c r="B401" s="148" t="s">
        <v>989</v>
      </c>
      <c r="C401" s="150" t="s">
        <v>944</v>
      </c>
      <c r="D401" s="70">
        <v>2211.6110400000002</v>
      </c>
      <c r="E401" s="70">
        <v>176.8</v>
      </c>
      <c r="F401" s="14">
        <v>1</v>
      </c>
      <c r="G401" s="14">
        <v>1</v>
      </c>
      <c r="H401" s="14">
        <v>0</v>
      </c>
      <c r="I401" s="14">
        <v>0</v>
      </c>
      <c r="J401" s="69">
        <v>159.61000000000001</v>
      </c>
      <c r="K401">
        <f t="shared" si="6"/>
        <v>0</v>
      </c>
      <c r="L401" s="14">
        <v>0</v>
      </c>
      <c r="M401" s="14">
        <v>0</v>
      </c>
      <c r="N401" s="14">
        <v>0</v>
      </c>
      <c r="O401" s="69">
        <v>0</v>
      </c>
      <c r="P401" s="226">
        <f>VLOOKUP(Table323[[#This Row],[Census Tract]],'Population and Diversity Data'!$B$2:$K$823,10,FALSE)</f>
        <v>1</v>
      </c>
      <c r="Q401" s="226" t="str">
        <f>VLOOKUP(Table323[[#This Row],[Census Tract]],'ES Energy Burden'!$B$2:$E$914,4,FALSE)</f>
        <v>No</v>
      </c>
      <c r="R401" s="248">
        <f>VLOOKUP(Table323[[#This Row],[Census Tract]],'Income and Housing Data'!$B$2:$D$823,3,FALSE)</f>
        <v>131563</v>
      </c>
      <c r="S401" s="248" t="str">
        <f>IF($U$6&lt;=Table323[[#This Row],[Household income]],IF(Table323[[#This Row],[Household income]]&lt;=$U$7, "Yes","No"),"No")</f>
        <v>No</v>
      </c>
    </row>
    <row r="402" spans="1:19" x14ac:dyDescent="0.25">
      <c r="A402" s="147">
        <v>9009170100</v>
      </c>
      <c r="B402" s="148" t="s">
        <v>989</v>
      </c>
      <c r="C402" s="150" t="s">
        <v>936</v>
      </c>
      <c r="D402" s="70">
        <v>15409.842909120001</v>
      </c>
      <c r="E402" s="70">
        <v>24.64</v>
      </c>
      <c r="F402" s="14">
        <v>0</v>
      </c>
      <c r="G402" s="14">
        <v>0</v>
      </c>
      <c r="H402" s="14">
        <v>0</v>
      </c>
      <c r="I402" s="14">
        <v>0</v>
      </c>
      <c r="J402" s="69">
        <v>0</v>
      </c>
      <c r="K402">
        <f t="shared" si="6"/>
        <v>0</v>
      </c>
      <c r="L402" s="14">
        <v>0</v>
      </c>
      <c r="M402" s="14">
        <v>0</v>
      </c>
      <c r="N402" s="14">
        <v>0</v>
      </c>
      <c r="O402" s="69">
        <v>0</v>
      </c>
      <c r="P402" s="226">
        <f>VLOOKUP(Table323[[#This Row],[Census Tract]],'Population and Diversity Data'!$B$2:$K$823,10,FALSE)</f>
        <v>5</v>
      </c>
      <c r="Q402" s="226" t="e">
        <f>VLOOKUP(Table323[[#This Row],[Census Tract]],'ES Energy Burden'!$B$2:$E$914,4,FALSE)</f>
        <v>#N/A</v>
      </c>
      <c r="R402" s="248">
        <f>VLOOKUP(Table323[[#This Row],[Census Tract]],'Income and Housing Data'!$B$2:$D$823,3,FALSE)</f>
        <v>30417</v>
      </c>
      <c r="S402" s="248" t="str">
        <f>IF($U$6&lt;=Table323[[#This Row],[Household income]],IF(Table323[[#This Row],[Household income]]&lt;=$U$7, "Yes","No"),"No")</f>
        <v>No</v>
      </c>
    </row>
    <row r="403" spans="1:19" x14ac:dyDescent="0.25">
      <c r="A403" s="147">
        <v>9009170200</v>
      </c>
      <c r="B403" s="148" t="s">
        <v>989</v>
      </c>
      <c r="C403" s="150" t="s">
        <v>944</v>
      </c>
      <c r="D403" s="70">
        <v>27634.187327039999</v>
      </c>
      <c r="E403" s="70">
        <v>10720.27</v>
      </c>
      <c r="F403" s="14">
        <v>0</v>
      </c>
      <c r="G403" s="14">
        <v>0</v>
      </c>
      <c r="H403" s="14">
        <v>0</v>
      </c>
      <c r="I403" s="14">
        <v>0</v>
      </c>
      <c r="J403" s="69">
        <v>0</v>
      </c>
      <c r="K403">
        <f t="shared" si="6"/>
        <v>0</v>
      </c>
      <c r="L403" s="14">
        <v>0</v>
      </c>
      <c r="M403" s="14">
        <v>0</v>
      </c>
      <c r="N403" s="14">
        <v>0</v>
      </c>
      <c r="O403" s="69">
        <v>0</v>
      </c>
      <c r="P403" s="226">
        <f>VLOOKUP(Table323[[#This Row],[Census Tract]],'Population and Diversity Data'!$B$2:$K$823,10,FALSE)</f>
        <v>5</v>
      </c>
      <c r="Q403" s="226" t="str">
        <f>VLOOKUP(Table323[[#This Row],[Census Tract]],'ES Energy Burden'!$B$2:$E$914,4,FALSE)</f>
        <v>No</v>
      </c>
      <c r="R403" s="248">
        <f>VLOOKUP(Table323[[#This Row],[Census Tract]],'Income and Housing Data'!$B$2:$D$823,3,FALSE)</f>
        <v>43750</v>
      </c>
      <c r="S403" s="248" t="str">
        <f>IF($U$6&lt;=Table323[[#This Row],[Household income]],IF(Table323[[#This Row],[Household income]]&lt;=$U$7, "Yes","No"),"No")</f>
        <v>No</v>
      </c>
    </row>
    <row r="404" spans="1:19" x14ac:dyDescent="0.25">
      <c r="A404" s="147">
        <v>9009170300</v>
      </c>
      <c r="B404" s="148" t="s">
        <v>989</v>
      </c>
      <c r="C404" s="150" t="s">
        <v>944</v>
      </c>
      <c r="D404" s="70">
        <v>26998.412106239997</v>
      </c>
      <c r="E404" s="70">
        <v>10029.17</v>
      </c>
      <c r="F404" s="14">
        <v>3</v>
      </c>
      <c r="G404" s="14">
        <v>3</v>
      </c>
      <c r="H404" s="14">
        <v>0</v>
      </c>
      <c r="I404" s="14">
        <v>0</v>
      </c>
      <c r="J404" s="69">
        <v>1426.79</v>
      </c>
      <c r="K404">
        <f t="shared" si="6"/>
        <v>0</v>
      </c>
      <c r="L404" s="14">
        <v>0</v>
      </c>
      <c r="M404" s="14">
        <v>0</v>
      </c>
      <c r="N404" s="14">
        <v>0</v>
      </c>
      <c r="O404" s="69">
        <v>0</v>
      </c>
      <c r="P404" s="226">
        <f>VLOOKUP(Table323[[#This Row],[Census Tract]],'Population and Diversity Data'!$B$2:$K$823,10,FALSE)</f>
        <v>4</v>
      </c>
      <c r="Q404" s="226" t="str">
        <f>VLOOKUP(Table323[[#This Row],[Census Tract]],'ES Energy Burden'!$B$2:$E$914,4,FALSE)</f>
        <v>No</v>
      </c>
      <c r="R404" s="248">
        <f>VLOOKUP(Table323[[#This Row],[Census Tract]],'Income and Housing Data'!$B$2:$D$823,3,FALSE)</f>
        <v>42476</v>
      </c>
      <c r="S404" s="248" t="str">
        <f>IF($U$6&lt;=Table323[[#This Row],[Household income]],IF(Table323[[#This Row],[Household income]]&lt;=$U$7, "Yes","No"),"No")</f>
        <v>No</v>
      </c>
    </row>
    <row r="405" spans="1:19" x14ac:dyDescent="0.25">
      <c r="A405" s="147">
        <v>9009170400</v>
      </c>
      <c r="B405" s="148" t="s">
        <v>989</v>
      </c>
      <c r="C405" s="150" t="s">
        <v>944</v>
      </c>
      <c r="D405" s="70">
        <v>25467.548316479999</v>
      </c>
      <c r="E405" s="70">
        <v>90980.7</v>
      </c>
      <c r="F405" s="14">
        <v>3</v>
      </c>
      <c r="G405" s="14">
        <v>3</v>
      </c>
      <c r="H405" s="14">
        <v>0</v>
      </c>
      <c r="I405" s="14">
        <v>0</v>
      </c>
      <c r="J405" s="69">
        <v>3007.49</v>
      </c>
      <c r="K405">
        <f t="shared" si="6"/>
        <v>0</v>
      </c>
      <c r="L405" s="14">
        <v>0</v>
      </c>
      <c r="M405" s="14">
        <v>0</v>
      </c>
      <c r="N405" s="14">
        <v>0</v>
      </c>
      <c r="O405" s="69">
        <v>0</v>
      </c>
      <c r="P405" s="226">
        <f>VLOOKUP(Table323[[#This Row],[Census Tract]],'Population and Diversity Data'!$B$2:$K$823,10,FALSE)</f>
        <v>5</v>
      </c>
      <c r="Q405" s="226" t="str">
        <f>VLOOKUP(Table323[[#This Row],[Census Tract]],'ES Energy Burden'!$B$2:$E$914,4,FALSE)</f>
        <v>No</v>
      </c>
      <c r="R405" s="248">
        <f>VLOOKUP(Table323[[#This Row],[Census Tract]],'Income and Housing Data'!$B$2:$D$823,3,FALSE)</f>
        <v>58229</v>
      </c>
      <c r="S405" s="248" t="str">
        <f>IF($U$6&lt;=Table323[[#This Row],[Household income]],IF(Table323[[#This Row],[Household income]]&lt;=$U$7, "Yes","No"),"No")</f>
        <v>Yes</v>
      </c>
    </row>
    <row r="406" spans="1:19" x14ac:dyDescent="0.25">
      <c r="A406" s="147">
        <v>9009170500</v>
      </c>
      <c r="B406" s="148" t="s">
        <v>989</v>
      </c>
      <c r="C406" s="150" t="s">
        <v>944</v>
      </c>
      <c r="D406" s="70">
        <v>96969.884918399999</v>
      </c>
      <c r="E406" s="70">
        <v>50845.675799999997</v>
      </c>
      <c r="F406" s="14">
        <v>27</v>
      </c>
      <c r="G406" s="14">
        <v>27</v>
      </c>
      <c r="H406" s="14">
        <v>0</v>
      </c>
      <c r="I406" s="14">
        <v>0</v>
      </c>
      <c r="J406" s="69">
        <v>22222.805799999998</v>
      </c>
      <c r="K406">
        <f t="shared" si="6"/>
        <v>0</v>
      </c>
      <c r="L406" s="14">
        <v>0</v>
      </c>
      <c r="M406" s="14">
        <v>0</v>
      </c>
      <c r="N406" s="14">
        <v>0</v>
      </c>
      <c r="O406" s="69">
        <v>0</v>
      </c>
      <c r="P406" s="226">
        <f>VLOOKUP(Table323[[#This Row],[Census Tract]],'Population and Diversity Data'!$B$2:$K$823,10,FALSE)</f>
        <v>4</v>
      </c>
      <c r="Q406" s="226" t="str">
        <f>VLOOKUP(Table323[[#This Row],[Census Tract]],'ES Energy Burden'!$B$2:$E$914,4,FALSE)</f>
        <v>No</v>
      </c>
      <c r="R406" s="248">
        <f>VLOOKUP(Table323[[#This Row],[Census Tract]],'Income and Housing Data'!$B$2:$D$823,3,FALSE)</f>
        <v>85406</v>
      </c>
      <c r="S406" s="248" t="str">
        <f>IF($U$6&lt;=Table323[[#This Row],[Household income]],IF(Table323[[#This Row],[Household income]]&lt;=$U$7, "Yes","No"),"No")</f>
        <v>No</v>
      </c>
    </row>
    <row r="407" spans="1:19" x14ac:dyDescent="0.25">
      <c r="A407" s="147">
        <v>9009170600</v>
      </c>
      <c r="B407" s="148" t="s">
        <v>989</v>
      </c>
      <c r="C407" s="150" t="s">
        <v>944</v>
      </c>
      <c r="D407" s="70">
        <v>38795.349159359997</v>
      </c>
      <c r="E407" s="70">
        <v>5765.8999000000003</v>
      </c>
      <c r="F407" s="14">
        <v>7</v>
      </c>
      <c r="G407" s="14">
        <v>7</v>
      </c>
      <c r="H407" s="14">
        <v>0</v>
      </c>
      <c r="I407" s="14">
        <v>0</v>
      </c>
      <c r="J407" s="69">
        <v>2079.3798999999999</v>
      </c>
      <c r="K407">
        <f t="shared" si="6"/>
        <v>0</v>
      </c>
      <c r="L407" s="14">
        <v>0</v>
      </c>
      <c r="M407" s="14">
        <v>0</v>
      </c>
      <c r="N407" s="14">
        <v>0</v>
      </c>
      <c r="O407" s="69">
        <v>0</v>
      </c>
      <c r="P407" s="226">
        <f>VLOOKUP(Table323[[#This Row],[Census Tract]],'Population and Diversity Data'!$B$2:$K$823,10,FALSE)</f>
        <v>3</v>
      </c>
      <c r="Q407" s="226" t="str">
        <f>VLOOKUP(Table323[[#This Row],[Census Tract]],'ES Energy Burden'!$B$2:$E$914,4,FALSE)</f>
        <v>No</v>
      </c>
      <c r="R407" s="248">
        <f>VLOOKUP(Table323[[#This Row],[Census Tract]],'Income and Housing Data'!$B$2:$D$823,3,FALSE)</f>
        <v>57358</v>
      </c>
      <c r="S407" s="248" t="str">
        <f>IF($U$6&lt;=Table323[[#This Row],[Household income]],IF(Table323[[#This Row],[Household income]]&lt;=$U$7, "Yes","No"),"No")</f>
        <v>Yes</v>
      </c>
    </row>
    <row r="408" spans="1:19" x14ac:dyDescent="0.25">
      <c r="A408" s="147">
        <v>9009170700</v>
      </c>
      <c r="B408" s="148" t="s">
        <v>989</v>
      </c>
      <c r="C408" s="150" t="s">
        <v>944</v>
      </c>
      <c r="D408" s="70">
        <v>41239.000774079999</v>
      </c>
      <c r="E408" s="70">
        <v>16580.21</v>
      </c>
      <c r="F408" s="14">
        <v>10</v>
      </c>
      <c r="G408" s="14">
        <v>10</v>
      </c>
      <c r="H408" s="14">
        <v>0</v>
      </c>
      <c r="I408" s="14">
        <v>0</v>
      </c>
      <c r="J408" s="69">
        <v>7226.91</v>
      </c>
      <c r="K408">
        <f t="shared" si="6"/>
        <v>0</v>
      </c>
      <c r="L408" s="14">
        <v>0</v>
      </c>
      <c r="M408" s="14">
        <v>0</v>
      </c>
      <c r="N408" s="14">
        <v>0</v>
      </c>
      <c r="O408" s="69">
        <v>0</v>
      </c>
      <c r="P408" s="226">
        <f>VLOOKUP(Table323[[#This Row],[Census Tract]],'Population and Diversity Data'!$B$2:$K$823,10,FALSE)</f>
        <v>4</v>
      </c>
      <c r="Q408" s="226" t="str">
        <f>VLOOKUP(Table323[[#This Row],[Census Tract]],'ES Energy Burden'!$B$2:$E$914,4,FALSE)</f>
        <v>No</v>
      </c>
      <c r="R408" s="248">
        <f>VLOOKUP(Table323[[#This Row],[Census Tract]],'Income and Housing Data'!$B$2:$D$823,3,FALSE)</f>
        <v>66989</v>
      </c>
      <c r="S408" s="248" t="str">
        <f>IF($U$6&lt;=Table323[[#This Row],[Household income]],IF(Table323[[#This Row],[Household income]]&lt;=$U$7, "Yes","No"),"No")</f>
        <v>No</v>
      </c>
    </row>
    <row r="409" spans="1:19" x14ac:dyDescent="0.25">
      <c r="A409" s="147">
        <v>9009170800</v>
      </c>
      <c r="B409" s="148" t="s">
        <v>989</v>
      </c>
      <c r="C409" s="150" t="s">
        <v>944</v>
      </c>
      <c r="D409" s="70">
        <v>78850.006606080002</v>
      </c>
      <c r="E409" s="70">
        <v>25700.38</v>
      </c>
      <c r="F409" s="14">
        <v>10</v>
      </c>
      <c r="G409" s="14">
        <v>10</v>
      </c>
      <c r="H409" s="14">
        <v>0</v>
      </c>
      <c r="I409" s="14">
        <v>0</v>
      </c>
      <c r="J409" s="69">
        <v>4995.01</v>
      </c>
      <c r="K409">
        <f t="shared" si="6"/>
        <v>0</v>
      </c>
      <c r="L409" s="14">
        <v>0</v>
      </c>
      <c r="M409" s="14">
        <v>0</v>
      </c>
      <c r="N409" s="14">
        <v>0</v>
      </c>
      <c r="O409" s="69">
        <v>0</v>
      </c>
      <c r="P409" s="226">
        <f>VLOOKUP(Table323[[#This Row],[Census Tract]],'Population and Diversity Data'!$B$2:$K$823,10,FALSE)</f>
        <v>3</v>
      </c>
      <c r="Q409" s="226" t="str">
        <f>VLOOKUP(Table323[[#This Row],[Census Tract]],'ES Energy Burden'!$B$2:$E$914,4,FALSE)</f>
        <v>No</v>
      </c>
      <c r="R409" s="248">
        <f>VLOOKUP(Table323[[#This Row],[Census Tract]],'Income and Housing Data'!$B$2:$D$823,3,FALSE)</f>
        <v>53857</v>
      </c>
      <c r="S409" s="248" t="str">
        <f>IF($U$6&lt;=Table323[[#This Row],[Household income]],IF(Table323[[#This Row],[Household income]]&lt;=$U$7, "Yes","No"),"No")</f>
        <v>Yes</v>
      </c>
    </row>
    <row r="410" spans="1:19" x14ac:dyDescent="0.25">
      <c r="A410" s="147">
        <v>9009170900</v>
      </c>
      <c r="B410" s="148" t="s">
        <v>989</v>
      </c>
      <c r="C410" s="150" t="s">
        <v>944</v>
      </c>
      <c r="D410" s="70">
        <v>25729.242598079996</v>
      </c>
      <c r="E410" s="70">
        <v>4202.71</v>
      </c>
      <c r="F410" s="14">
        <v>3</v>
      </c>
      <c r="G410" s="14">
        <v>3</v>
      </c>
      <c r="H410" s="14">
        <v>0</v>
      </c>
      <c r="I410" s="14">
        <v>0</v>
      </c>
      <c r="J410" s="69">
        <v>2380.9899999999998</v>
      </c>
      <c r="K410">
        <f t="shared" si="6"/>
        <v>0</v>
      </c>
      <c r="L410" s="14">
        <v>0</v>
      </c>
      <c r="M410" s="14">
        <v>0</v>
      </c>
      <c r="N410" s="14">
        <v>0</v>
      </c>
      <c r="O410" s="69">
        <v>0</v>
      </c>
      <c r="P410" s="226">
        <f>VLOOKUP(Table323[[#This Row],[Census Tract]],'Population and Diversity Data'!$B$2:$K$823,10,FALSE)</f>
        <v>4</v>
      </c>
      <c r="Q410" s="226" t="str">
        <f>VLOOKUP(Table323[[#This Row],[Census Tract]],'ES Energy Burden'!$B$2:$E$914,4,FALSE)</f>
        <v>No</v>
      </c>
      <c r="R410" s="248">
        <f>VLOOKUP(Table323[[#This Row],[Census Tract]],'Income and Housing Data'!$B$2:$D$823,3,FALSE)</f>
        <v>28782</v>
      </c>
      <c r="S410" s="248" t="str">
        <f>IF($U$6&lt;=Table323[[#This Row],[Household income]],IF(Table323[[#This Row],[Household income]]&lt;=$U$7, "Yes","No"),"No")</f>
        <v>No</v>
      </c>
    </row>
    <row r="411" spans="1:19" x14ac:dyDescent="0.25">
      <c r="A411" s="147">
        <v>9009171000</v>
      </c>
      <c r="B411" s="148" t="s">
        <v>989</v>
      </c>
      <c r="C411" s="150" t="s">
        <v>944</v>
      </c>
      <c r="D411" s="70">
        <v>21095.331353280002</v>
      </c>
      <c r="E411" s="70">
        <v>11921.13</v>
      </c>
      <c r="F411" s="14">
        <v>0</v>
      </c>
      <c r="G411" s="14">
        <v>0</v>
      </c>
      <c r="H411" s="14">
        <v>0</v>
      </c>
      <c r="I411" s="14">
        <v>0</v>
      </c>
      <c r="J411" s="69">
        <v>0</v>
      </c>
      <c r="K411">
        <f t="shared" si="6"/>
        <v>0</v>
      </c>
      <c r="L411" s="14">
        <v>0</v>
      </c>
      <c r="M411" s="14">
        <v>0</v>
      </c>
      <c r="N411" s="14">
        <v>0</v>
      </c>
      <c r="O411" s="69">
        <v>0</v>
      </c>
      <c r="P411" s="226">
        <f>VLOOKUP(Table323[[#This Row],[Census Tract]],'Population and Diversity Data'!$B$2:$K$823,10,FALSE)</f>
        <v>5</v>
      </c>
      <c r="Q411" s="226" t="str">
        <f>VLOOKUP(Table323[[#This Row],[Census Tract]],'ES Energy Burden'!$B$2:$E$914,4,FALSE)</f>
        <v>No</v>
      </c>
      <c r="R411" s="248">
        <f>VLOOKUP(Table323[[#This Row],[Census Tract]],'Income and Housing Data'!$B$2:$D$823,3,FALSE)</f>
        <v>35460</v>
      </c>
      <c r="S411" s="248" t="str">
        <f>IF($U$6&lt;=Table323[[#This Row],[Household income]],IF(Table323[[#This Row],[Household income]]&lt;=$U$7, "Yes","No"),"No")</f>
        <v>No</v>
      </c>
    </row>
    <row r="412" spans="1:19" x14ac:dyDescent="0.25">
      <c r="A412" s="147">
        <v>9009171100</v>
      </c>
      <c r="B412" s="148" t="s">
        <v>989</v>
      </c>
      <c r="C412" s="150" t="s">
        <v>944</v>
      </c>
      <c r="D412" s="70">
        <v>86641.140948479995</v>
      </c>
      <c r="E412" s="70">
        <v>71986.295199999993</v>
      </c>
      <c r="F412" s="14">
        <v>21</v>
      </c>
      <c r="G412" s="14">
        <v>21</v>
      </c>
      <c r="H412" s="14">
        <v>0</v>
      </c>
      <c r="I412" s="14">
        <v>0</v>
      </c>
      <c r="J412" s="69">
        <v>16884.945199999998</v>
      </c>
      <c r="K412">
        <f t="shared" si="6"/>
        <v>0</v>
      </c>
      <c r="L412" s="14">
        <v>0</v>
      </c>
      <c r="M412" s="14">
        <v>0</v>
      </c>
      <c r="N412" s="14">
        <v>0</v>
      </c>
      <c r="O412" s="69">
        <v>0</v>
      </c>
      <c r="P412" s="226">
        <f>VLOOKUP(Table323[[#This Row],[Census Tract]],'Population and Diversity Data'!$B$2:$K$823,10,FALSE)</f>
        <v>3</v>
      </c>
      <c r="Q412" s="226" t="str">
        <f>VLOOKUP(Table323[[#This Row],[Census Tract]],'ES Energy Burden'!$B$2:$E$914,4,FALSE)</f>
        <v>No</v>
      </c>
      <c r="R412" s="248">
        <f>VLOOKUP(Table323[[#This Row],[Census Tract]],'Income and Housing Data'!$B$2:$D$823,3,FALSE)</f>
        <v>67108</v>
      </c>
      <c r="S412" s="248" t="str">
        <f>IF($U$6&lt;=Table323[[#This Row],[Household income]],IF(Table323[[#This Row],[Household income]]&lt;=$U$7, "Yes","No"),"No")</f>
        <v>No</v>
      </c>
    </row>
    <row r="413" spans="1:19" x14ac:dyDescent="0.25">
      <c r="A413" s="147">
        <v>9009171200</v>
      </c>
      <c r="B413" s="148" t="s">
        <v>989</v>
      </c>
      <c r="C413" s="150" t="s">
        <v>944</v>
      </c>
      <c r="D413" s="70">
        <v>174906.93235104001</v>
      </c>
      <c r="E413" s="70">
        <v>483872.49900000001</v>
      </c>
      <c r="F413" s="14">
        <v>252</v>
      </c>
      <c r="G413" s="14">
        <v>47</v>
      </c>
      <c r="H413" s="14">
        <v>1</v>
      </c>
      <c r="I413" s="14">
        <v>204</v>
      </c>
      <c r="J413" s="69">
        <v>93160.575700000001</v>
      </c>
      <c r="K413">
        <f t="shared" si="6"/>
        <v>366</v>
      </c>
      <c r="L413" s="14">
        <v>323</v>
      </c>
      <c r="M413" s="14">
        <v>1</v>
      </c>
      <c r="N413" s="14">
        <v>42</v>
      </c>
      <c r="O413" s="69">
        <v>390709</v>
      </c>
      <c r="P413" s="226">
        <f>VLOOKUP(Table323[[#This Row],[Census Tract]],'Population and Diversity Data'!$B$2:$K$823,10,FALSE)</f>
        <v>3</v>
      </c>
      <c r="Q413" s="226" t="str">
        <f>VLOOKUP(Table323[[#This Row],[Census Tract]],'ES Energy Burden'!$B$2:$E$914,4,FALSE)</f>
        <v>No</v>
      </c>
      <c r="R413" s="248">
        <f>VLOOKUP(Table323[[#This Row],[Census Tract]],'Income and Housing Data'!$B$2:$D$823,3,FALSE)</f>
        <v>86983</v>
      </c>
      <c r="S413" s="248" t="str">
        <f>IF($U$6&lt;=Table323[[#This Row],[Household income]],IF(Table323[[#This Row],[Household income]]&lt;=$U$7, "Yes","No"),"No")</f>
        <v>No</v>
      </c>
    </row>
    <row r="414" spans="1:19" x14ac:dyDescent="0.25">
      <c r="A414" s="147">
        <v>9009171300</v>
      </c>
      <c r="B414" s="148" t="s">
        <v>989</v>
      </c>
      <c r="C414" s="150" t="s">
        <v>944</v>
      </c>
      <c r="D414" s="70">
        <v>72013.899225600006</v>
      </c>
      <c r="E414" s="70">
        <v>39596.46</v>
      </c>
      <c r="F414" s="14">
        <v>5</v>
      </c>
      <c r="G414" s="14">
        <v>5</v>
      </c>
      <c r="H414" s="14">
        <v>0</v>
      </c>
      <c r="I414" s="14">
        <v>0</v>
      </c>
      <c r="J414" s="69">
        <v>4160.26</v>
      </c>
      <c r="K414">
        <f t="shared" si="6"/>
        <v>0</v>
      </c>
      <c r="L414" s="14">
        <v>0</v>
      </c>
      <c r="M414" s="14">
        <v>0</v>
      </c>
      <c r="N414" s="14">
        <v>0</v>
      </c>
      <c r="O414" s="69">
        <v>0</v>
      </c>
      <c r="P414" s="226">
        <f>VLOOKUP(Table323[[#This Row],[Census Tract]],'Population and Diversity Data'!$B$2:$K$823,10,FALSE)</f>
        <v>2</v>
      </c>
      <c r="Q414" s="226" t="str">
        <f>VLOOKUP(Table323[[#This Row],[Census Tract]],'ES Energy Burden'!$B$2:$E$914,4,FALSE)</f>
        <v>No</v>
      </c>
      <c r="R414" s="248">
        <f>VLOOKUP(Table323[[#This Row],[Census Tract]],'Income and Housing Data'!$B$2:$D$823,3,FALSE)</f>
        <v>73828</v>
      </c>
      <c r="S414" s="248" t="str">
        <f>IF($U$6&lt;=Table323[[#This Row],[Household income]],IF(Table323[[#This Row],[Household income]]&lt;=$U$7, "Yes","No"),"No")</f>
        <v>No</v>
      </c>
    </row>
    <row r="415" spans="1:19" x14ac:dyDescent="0.25">
      <c r="A415" s="147">
        <v>9009171400</v>
      </c>
      <c r="B415" s="148" t="s">
        <v>989</v>
      </c>
      <c r="C415" s="150" t="s">
        <v>944</v>
      </c>
      <c r="D415" s="70">
        <v>25513.065071999998</v>
      </c>
      <c r="E415" s="70">
        <v>677.99</v>
      </c>
      <c r="F415" s="14">
        <v>0</v>
      </c>
      <c r="G415" s="14">
        <v>0</v>
      </c>
      <c r="H415" s="14">
        <v>0</v>
      </c>
      <c r="I415" s="14">
        <v>0</v>
      </c>
      <c r="J415" s="69">
        <v>0</v>
      </c>
      <c r="K415">
        <f t="shared" si="6"/>
        <v>0</v>
      </c>
      <c r="L415" s="14">
        <v>0</v>
      </c>
      <c r="M415" s="14">
        <v>0</v>
      </c>
      <c r="N415" s="14">
        <v>0</v>
      </c>
      <c r="O415" s="69">
        <v>0</v>
      </c>
      <c r="P415" s="226">
        <f>VLOOKUP(Table323[[#This Row],[Census Tract]],'Population and Diversity Data'!$B$2:$K$823,10,FALSE)</f>
        <v>5</v>
      </c>
      <c r="Q415" s="226" t="str">
        <f>VLOOKUP(Table323[[#This Row],[Census Tract]],'ES Energy Burden'!$B$2:$E$914,4,FALSE)</f>
        <v>No</v>
      </c>
      <c r="R415" s="248">
        <f>VLOOKUP(Table323[[#This Row],[Census Tract]],'Income and Housing Data'!$B$2:$D$823,3,FALSE)</f>
        <v>47578</v>
      </c>
      <c r="S415" s="248" t="str">
        <f>IF($U$6&lt;=Table323[[#This Row],[Household income]],IF(Table323[[#This Row],[Household income]]&lt;=$U$7, "Yes","No"),"No")</f>
        <v>No</v>
      </c>
    </row>
    <row r="416" spans="1:19" x14ac:dyDescent="0.25">
      <c r="A416" s="147">
        <v>9009171500</v>
      </c>
      <c r="B416" s="148" t="s">
        <v>989</v>
      </c>
      <c r="C416" s="150" t="s">
        <v>944</v>
      </c>
      <c r="D416" s="70">
        <v>39338.779705920009</v>
      </c>
      <c r="E416" s="70">
        <v>134145.59239999999</v>
      </c>
      <c r="F416" s="14">
        <v>6</v>
      </c>
      <c r="G416" s="14">
        <v>6</v>
      </c>
      <c r="H416" s="14">
        <v>0</v>
      </c>
      <c r="I416" s="14">
        <v>0</v>
      </c>
      <c r="J416" s="69">
        <v>1380.4123999999999</v>
      </c>
      <c r="K416">
        <f t="shared" si="6"/>
        <v>0</v>
      </c>
      <c r="L416" s="14">
        <v>0</v>
      </c>
      <c r="M416" s="14">
        <v>0</v>
      </c>
      <c r="N416" s="14">
        <v>0</v>
      </c>
      <c r="O416" s="69">
        <v>0</v>
      </c>
      <c r="P416" s="226">
        <f>VLOOKUP(Table323[[#This Row],[Census Tract]],'Population and Diversity Data'!$B$2:$K$823,10,FALSE)</f>
        <v>5</v>
      </c>
      <c r="Q416" s="226" t="str">
        <f>VLOOKUP(Table323[[#This Row],[Census Tract]],'ES Energy Burden'!$B$2:$E$914,4,FALSE)</f>
        <v>No</v>
      </c>
      <c r="R416" s="248">
        <f>VLOOKUP(Table323[[#This Row],[Census Tract]],'Income and Housing Data'!$B$2:$D$823,3,FALSE)</f>
        <v>47036</v>
      </c>
      <c r="S416" s="248" t="str">
        <f>IF($U$6&lt;=Table323[[#This Row],[Household income]],IF(Table323[[#This Row],[Household income]]&lt;=$U$7, "Yes","No"),"No")</f>
        <v>No</v>
      </c>
    </row>
    <row r="417" spans="1:19" x14ac:dyDescent="0.25">
      <c r="A417" s="147">
        <v>9009171600</v>
      </c>
      <c r="B417" s="148" t="s">
        <v>989</v>
      </c>
      <c r="C417" s="150" t="s">
        <v>944</v>
      </c>
      <c r="D417" s="70">
        <v>74736.719772479992</v>
      </c>
      <c r="E417" s="70">
        <v>22467.59</v>
      </c>
      <c r="F417" s="14">
        <v>10</v>
      </c>
      <c r="G417" s="14">
        <v>9</v>
      </c>
      <c r="H417" s="14">
        <v>1</v>
      </c>
      <c r="I417" s="14">
        <v>0</v>
      </c>
      <c r="J417" s="69">
        <v>7432.65</v>
      </c>
      <c r="K417">
        <f t="shared" si="6"/>
        <v>0</v>
      </c>
      <c r="L417" s="14">
        <v>0</v>
      </c>
      <c r="M417" s="14">
        <v>0</v>
      </c>
      <c r="N417" s="14">
        <v>0</v>
      </c>
      <c r="O417" s="69">
        <v>0</v>
      </c>
      <c r="P417" s="226">
        <f>VLOOKUP(Table323[[#This Row],[Census Tract]],'Population and Diversity Data'!$B$2:$K$823,10,FALSE)</f>
        <v>3</v>
      </c>
      <c r="Q417" s="226" t="str">
        <f>VLOOKUP(Table323[[#This Row],[Census Tract]],'ES Energy Burden'!$B$2:$E$914,4,FALSE)</f>
        <v>No</v>
      </c>
      <c r="R417" s="248">
        <f>VLOOKUP(Table323[[#This Row],[Census Tract]],'Income and Housing Data'!$B$2:$D$823,3,FALSE)</f>
        <v>65521</v>
      </c>
      <c r="S417" s="248" t="str">
        <f>IF($U$6&lt;=Table323[[#This Row],[Household income]],IF(Table323[[#This Row],[Household income]]&lt;=$U$7, "Yes","No"),"No")</f>
        <v>No</v>
      </c>
    </row>
    <row r="418" spans="1:19" x14ac:dyDescent="0.25">
      <c r="A418" s="147">
        <v>9009171700</v>
      </c>
      <c r="B418" s="148" t="s">
        <v>989</v>
      </c>
      <c r="C418" s="150" t="s">
        <v>944</v>
      </c>
      <c r="D418" s="70">
        <v>71849.104246079994</v>
      </c>
      <c r="E418" s="70">
        <v>40708.639999999999</v>
      </c>
      <c r="F418" s="14">
        <v>33</v>
      </c>
      <c r="G418" s="14">
        <v>33</v>
      </c>
      <c r="H418" s="14">
        <v>0</v>
      </c>
      <c r="I418" s="14">
        <v>0</v>
      </c>
      <c r="J418" s="69">
        <v>24755.91</v>
      </c>
      <c r="K418">
        <f t="shared" si="6"/>
        <v>0</v>
      </c>
      <c r="L418" s="14">
        <v>0</v>
      </c>
      <c r="M418" s="14">
        <v>0</v>
      </c>
      <c r="N418" s="14">
        <v>0</v>
      </c>
      <c r="O418" s="69">
        <v>0</v>
      </c>
      <c r="P418" s="226">
        <f>VLOOKUP(Table323[[#This Row],[Census Tract]],'Population and Diversity Data'!$B$2:$K$823,10,FALSE)</f>
        <v>2</v>
      </c>
      <c r="Q418" s="226" t="str">
        <f>VLOOKUP(Table323[[#This Row],[Census Tract]],'ES Energy Burden'!$B$2:$E$914,4,FALSE)</f>
        <v>No</v>
      </c>
      <c r="R418" s="248">
        <f>VLOOKUP(Table323[[#This Row],[Census Tract]],'Income and Housing Data'!$B$2:$D$823,3,FALSE)</f>
        <v>85536</v>
      </c>
      <c r="S418" s="248" t="str">
        <f>IF($U$6&lt;=Table323[[#This Row],[Household income]],IF(Table323[[#This Row],[Household income]]&lt;=$U$7, "Yes","No"),"No")</f>
        <v>No</v>
      </c>
    </row>
    <row r="419" spans="1:19" x14ac:dyDescent="0.25">
      <c r="A419" s="147">
        <v>9009175400</v>
      </c>
      <c r="B419" s="148" t="s">
        <v>989</v>
      </c>
      <c r="C419" s="150" t="s">
        <v>944</v>
      </c>
      <c r="D419" s="70">
        <v>95.069462399999992</v>
      </c>
      <c r="E419" s="70">
        <v>0</v>
      </c>
      <c r="F419" s="14">
        <v>0</v>
      </c>
      <c r="G419" s="14">
        <v>0</v>
      </c>
      <c r="H419" s="14">
        <v>0</v>
      </c>
      <c r="I419" s="14">
        <v>0</v>
      </c>
      <c r="J419" s="69">
        <v>0</v>
      </c>
      <c r="K419">
        <f t="shared" si="6"/>
        <v>0</v>
      </c>
      <c r="L419" s="14">
        <v>0</v>
      </c>
      <c r="M419" s="14">
        <v>0</v>
      </c>
      <c r="N419" s="14">
        <v>0</v>
      </c>
      <c r="O419" s="69">
        <v>0</v>
      </c>
      <c r="P419" s="226">
        <f>VLOOKUP(Table323[[#This Row],[Census Tract]],'Population and Diversity Data'!$B$2:$K$823,10,FALSE)</f>
        <v>4</v>
      </c>
      <c r="Q419" s="226" t="str">
        <f>VLOOKUP(Table323[[#This Row],[Census Tract]],'ES Energy Burden'!$B$2:$E$914,4,FALSE)</f>
        <v>No</v>
      </c>
      <c r="R419" s="248">
        <f>VLOOKUP(Table323[[#This Row],[Census Tract]],'Income and Housing Data'!$B$2:$D$823,3,FALSE)</f>
        <v>64405</v>
      </c>
      <c r="S419" s="248" t="str">
        <f>IF($U$6&lt;=Table323[[#This Row],[Household income]],IF(Table323[[#This Row],[Household income]]&lt;=$U$7, "Yes","No"),"No")</f>
        <v>No</v>
      </c>
    </row>
    <row r="420" spans="1:19" x14ac:dyDescent="0.25">
      <c r="A420" s="147">
        <v>9009175700</v>
      </c>
      <c r="B420" s="148" t="s">
        <v>989</v>
      </c>
      <c r="C420" s="150" t="s">
        <v>944</v>
      </c>
      <c r="D420" s="70">
        <v>292.10284799999999</v>
      </c>
      <c r="E420" s="70">
        <v>264.70999999999998</v>
      </c>
      <c r="F420" s="14">
        <v>1</v>
      </c>
      <c r="G420" s="14">
        <v>1</v>
      </c>
      <c r="H420" s="14">
        <v>0</v>
      </c>
      <c r="I420" s="14">
        <v>0</v>
      </c>
      <c r="J420" s="69">
        <v>261.52</v>
      </c>
      <c r="K420">
        <f t="shared" si="6"/>
        <v>0</v>
      </c>
      <c r="L420" s="14">
        <v>0</v>
      </c>
      <c r="M420" s="14">
        <v>0</v>
      </c>
      <c r="N420" s="14">
        <v>0</v>
      </c>
      <c r="O420" s="69">
        <v>0</v>
      </c>
      <c r="P420" s="226">
        <f>VLOOKUP(Table323[[#This Row],[Census Tract]],'Population and Diversity Data'!$B$2:$K$823,10,FALSE)</f>
        <v>2</v>
      </c>
      <c r="Q420" s="226" t="str">
        <f>VLOOKUP(Table323[[#This Row],[Census Tract]],'ES Energy Burden'!$B$2:$E$914,4,FALSE)</f>
        <v>No</v>
      </c>
      <c r="R420" s="248">
        <f>VLOOKUP(Table323[[#This Row],[Census Tract]],'Income and Housing Data'!$B$2:$D$823,3,FALSE)</f>
        <v>89063</v>
      </c>
      <c r="S420" s="248" t="str">
        <f>IF($U$6&lt;=Table323[[#This Row],[Household income]],IF(Table323[[#This Row],[Household income]]&lt;=$U$7, "Yes","No"),"No")</f>
        <v>No</v>
      </c>
    </row>
    <row r="421" spans="1:19" x14ac:dyDescent="0.25">
      <c r="A421" s="147">
        <v>9009343101</v>
      </c>
      <c r="B421" s="148" t="s">
        <v>989</v>
      </c>
      <c r="C421" s="150" t="s">
        <v>944</v>
      </c>
      <c r="D421" s="70">
        <v>718.03117440000005</v>
      </c>
      <c r="E421" s="70">
        <v>0</v>
      </c>
      <c r="F421" s="14">
        <v>0</v>
      </c>
      <c r="G421" s="14">
        <v>0</v>
      </c>
      <c r="H421" s="14">
        <v>0</v>
      </c>
      <c r="I421" s="14">
        <v>0</v>
      </c>
      <c r="J421" s="69">
        <v>0</v>
      </c>
      <c r="K421">
        <f t="shared" si="6"/>
        <v>0</v>
      </c>
      <c r="L421" s="14">
        <v>0</v>
      </c>
      <c r="M421" s="14">
        <v>0</v>
      </c>
      <c r="N421" s="14">
        <v>0</v>
      </c>
      <c r="O421" s="69">
        <v>0</v>
      </c>
      <c r="P421" s="226">
        <f>VLOOKUP(Table323[[#This Row],[Census Tract]],'Population and Diversity Data'!$B$2:$K$823,10,FALSE)</f>
        <v>4</v>
      </c>
      <c r="Q421" s="226" t="str">
        <f>VLOOKUP(Table323[[#This Row],[Census Tract]],'ES Energy Burden'!$B$2:$E$914,4,FALSE)</f>
        <v>No</v>
      </c>
      <c r="R421" s="248">
        <f>VLOOKUP(Table323[[#This Row],[Census Tract]],'Income and Housing Data'!$B$2:$D$823,3,FALSE)</f>
        <v>121889</v>
      </c>
      <c r="S421" s="248" t="str">
        <f>IF($U$6&lt;=Table323[[#This Row],[Household income]],IF(Table323[[#This Row],[Household income]]&lt;=$U$7, "Yes","No"),"No")</f>
        <v>No</v>
      </c>
    </row>
    <row r="422" spans="1:19" x14ac:dyDescent="0.25">
      <c r="A422" s="147">
        <v>9009344100</v>
      </c>
      <c r="B422" s="148" t="s">
        <v>2793</v>
      </c>
      <c r="C422" s="150" t="s">
        <v>944</v>
      </c>
      <c r="D422" s="70">
        <v>107042.57984448002</v>
      </c>
      <c r="E422" s="70">
        <v>48404.012999999999</v>
      </c>
      <c r="F422" s="14">
        <v>26</v>
      </c>
      <c r="G422" s="14">
        <v>26</v>
      </c>
      <c r="H422" s="14">
        <v>0</v>
      </c>
      <c r="I422" s="14">
        <v>0</v>
      </c>
      <c r="J422" s="69">
        <v>27858.343000000001</v>
      </c>
      <c r="K422">
        <f t="shared" si="6"/>
        <v>8</v>
      </c>
      <c r="L422" s="14">
        <v>8</v>
      </c>
      <c r="M422" s="14">
        <v>0</v>
      </c>
      <c r="N422" s="14">
        <v>0</v>
      </c>
      <c r="O422" s="69">
        <v>10237</v>
      </c>
      <c r="P422" s="226">
        <f>VLOOKUP(Table323[[#This Row],[Census Tract]],'Population and Diversity Data'!$B$2:$K$823,10,FALSE)</f>
        <v>2</v>
      </c>
      <c r="Q422" s="226" t="str">
        <f>VLOOKUP(Table323[[#This Row],[Census Tract]],'ES Energy Burden'!$B$2:$E$914,4,FALSE)</f>
        <v>No</v>
      </c>
      <c r="R422" s="248">
        <f>VLOOKUP(Table323[[#This Row],[Census Tract]],'Income and Housing Data'!$B$2:$D$823,3,FALSE)</f>
        <v>115625</v>
      </c>
      <c r="S422" s="248" t="str">
        <f>IF($U$6&lt;=Table323[[#This Row],[Household income]],IF(Table323[[#This Row],[Household income]]&lt;=$U$7, "Yes","No"),"No")</f>
        <v>No</v>
      </c>
    </row>
    <row r="423" spans="1:19" x14ac:dyDescent="0.25">
      <c r="A423" s="147">
        <v>9009344200</v>
      </c>
      <c r="B423" s="148" t="s">
        <v>2793</v>
      </c>
      <c r="C423" s="150" t="s">
        <v>944</v>
      </c>
      <c r="D423" s="70">
        <v>66473.724133440017</v>
      </c>
      <c r="E423" s="70">
        <v>18638.996200000001</v>
      </c>
      <c r="F423" s="14">
        <v>20</v>
      </c>
      <c r="G423" s="14">
        <v>20</v>
      </c>
      <c r="H423" s="14">
        <v>0</v>
      </c>
      <c r="I423" s="14">
        <v>0</v>
      </c>
      <c r="J423" s="69">
        <v>13039.8262</v>
      </c>
      <c r="K423">
        <f t="shared" si="6"/>
        <v>0</v>
      </c>
      <c r="L423" s="14">
        <v>0</v>
      </c>
      <c r="M423" s="14">
        <v>0</v>
      </c>
      <c r="N423" s="14">
        <v>0</v>
      </c>
      <c r="O423" s="69">
        <v>0</v>
      </c>
      <c r="P423" s="226">
        <f>VLOOKUP(Table323[[#This Row],[Census Tract]],'Population and Diversity Data'!$B$2:$K$823,10,FALSE)</f>
        <v>3</v>
      </c>
      <c r="Q423" s="226" t="str">
        <f>VLOOKUP(Table323[[#This Row],[Census Tract]],'ES Energy Burden'!$B$2:$E$914,4,FALSE)</f>
        <v>No</v>
      </c>
      <c r="R423" s="248">
        <f>VLOOKUP(Table323[[#This Row],[Census Tract]],'Income and Housing Data'!$B$2:$D$823,3,FALSE)</f>
        <v>135197</v>
      </c>
      <c r="S423" s="248" t="str">
        <f>IF($U$6&lt;=Table323[[#This Row],[Household income]],IF(Table323[[#This Row],[Household income]]&lt;=$U$7, "Yes","No"),"No")</f>
        <v>No</v>
      </c>
    </row>
    <row r="424" spans="1:19" x14ac:dyDescent="0.25">
      <c r="A424" s="147">
        <v>9009345400</v>
      </c>
      <c r="B424" s="148" t="s">
        <v>2793</v>
      </c>
      <c r="C424" s="150" t="s">
        <v>944</v>
      </c>
      <c r="D424" s="70">
        <v>381.09985920000003</v>
      </c>
      <c r="E424" s="70">
        <v>0</v>
      </c>
      <c r="F424" s="14">
        <v>0</v>
      </c>
      <c r="G424" s="14">
        <v>0</v>
      </c>
      <c r="H424" s="14">
        <v>0</v>
      </c>
      <c r="I424" s="14">
        <v>0</v>
      </c>
      <c r="J424" s="69">
        <v>0</v>
      </c>
      <c r="K424">
        <f t="shared" si="6"/>
        <v>0</v>
      </c>
      <c r="L424" s="14">
        <v>0</v>
      </c>
      <c r="M424" s="14">
        <v>0</v>
      </c>
      <c r="N424" s="14">
        <v>0</v>
      </c>
      <c r="O424" s="69">
        <v>0</v>
      </c>
      <c r="P424" s="226">
        <f>VLOOKUP(Table323[[#This Row],[Census Tract]],'Population and Diversity Data'!$B$2:$K$823,10,FALSE)</f>
        <v>4</v>
      </c>
      <c r="Q424" s="226" t="str">
        <f>VLOOKUP(Table323[[#This Row],[Census Tract]],'ES Energy Burden'!$B$2:$E$914,4,FALSE)</f>
        <v>No</v>
      </c>
      <c r="R424" s="248">
        <f>VLOOKUP(Table323[[#This Row],[Census Tract]],'Income and Housing Data'!$B$2:$D$823,3,FALSE)</f>
        <v>74735</v>
      </c>
      <c r="S424" s="248" t="str">
        <f>IF($U$6&lt;=Table323[[#This Row],[Household income]],IF(Table323[[#This Row],[Household income]]&lt;=$U$7, "Yes","No"),"No")</f>
        <v>No</v>
      </c>
    </row>
    <row r="425" spans="1:19" x14ac:dyDescent="0.25">
      <c r="A425" s="147">
        <v>9007580100</v>
      </c>
      <c r="B425" s="148" t="s">
        <v>2794</v>
      </c>
      <c r="C425" s="150" t="s">
        <v>944</v>
      </c>
      <c r="D425" s="70">
        <v>98224.217153280013</v>
      </c>
      <c r="E425" s="70">
        <v>53267.192600000002</v>
      </c>
      <c r="F425" s="14">
        <v>42</v>
      </c>
      <c r="G425" s="14">
        <v>22</v>
      </c>
      <c r="H425" s="14">
        <v>0</v>
      </c>
      <c r="I425" s="14">
        <v>20</v>
      </c>
      <c r="J425" s="69">
        <v>22272.012699999999</v>
      </c>
      <c r="K425">
        <f t="shared" si="6"/>
        <v>6</v>
      </c>
      <c r="L425" s="14">
        <v>6</v>
      </c>
      <c r="M425" s="14">
        <v>0</v>
      </c>
      <c r="N425" s="14">
        <v>0</v>
      </c>
      <c r="O425" s="69">
        <v>15974.6</v>
      </c>
      <c r="P425" s="226">
        <f>VLOOKUP(Table323[[#This Row],[Census Tract]],'Population and Diversity Data'!$B$2:$K$823,10,FALSE)</f>
        <v>1</v>
      </c>
      <c r="Q425" s="226" t="str">
        <f>VLOOKUP(Table323[[#This Row],[Census Tract]],'ES Energy Burden'!$B$2:$E$914,4,FALSE)</f>
        <v>No</v>
      </c>
      <c r="R425" s="248">
        <f>VLOOKUP(Table323[[#This Row],[Census Tract]],'Income and Housing Data'!$B$2:$D$823,3,FALSE)</f>
        <v>96111</v>
      </c>
      <c r="S425" s="248" t="str">
        <f>IF($U$6&lt;=Table323[[#This Row],[Household income]],IF(Table323[[#This Row],[Household income]]&lt;=$U$7, "Yes","No"),"No")</f>
        <v>No</v>
      </c>
    </row>
    <row r="426" spans="1:19" x14ac:dyDescent="0.25">
      <c r="A426" s="147">
        <v>9007585100</v>
      </c>
      <c r="B426" s="148" t="s">
        <v>2794</v>
      </c>
      <c r="C426" s="150" t="s">
        <v>944</v>
      </c>
      <c r="D426" s="70">
        <v>395.59501440000003</v>
      </c>
      <c r="E426" s="70">
        <v>0</v>
      </c>
      <c r="F426" s="14">
        <v>0</v>
      </c>
      <c r="G426" s="14">
        <v>0</v>
      </c>
      <c r="H426" s="14">
        <v>0</v>
      </c>
      <c r="I426" s="14">
        <v>0</v>
      </c>
      <c r="J426" s="69">
        <v>0</v>
      </c>
      <c r="K426">
        <f t="shared" si="6"/>
        <v>0</v>
      </c>
      <c r="L426" s="14">
        <v>0</v>
      </c>
      <c r="M426" s="14">
        <v>0</v>
      </c>
      <c r="N426" s="14">
        <v>0</v>
      </c>
      <c r="O426" s="69">
        <v>0</v>
      </c>
      <c r="P426" s="226">
        <f>VLOOKUP(Table323[[#This Row],[Census Tract]],'Population and Diversity Data'!$B$2:$K$823,10,FALSE)</f>
        <v>1</v>
      </c>
      <c r="Q426" s="226" t="str">
        <f>VLOOKUP(Table323[[#This Row],[Census Tract]],'ES Energy Burden'!$B$2:$E$914,4,FALSE)</f>
        <v>No</v>
      </c>
      <c r="R426" s="248">
        <f>VLOOKUP(Table323[[#This Row],[Census Tract]],'Income and Housing Data'!$B$2:$D$823,3,FALSE)</f>
        <v>119905</v>
      </c>
      <c r="S426" s="248" t="str">
        <f>IF($U$6&lt;=Table323[[#This Row],[Household income]],IF(Table323[[#This Row],[Household income]]&lt;=$U$7, "Yes","No"),"No")</f>
        <v>No</v>
      </c>
    </row>
    <row r="427" spans="1:19" x14ac:dyDescent="0.25">
      <c r="A427" s="147">
        <v>9007541100</v>
      </c>
      <c r="B427" s="148" t="s">
        <v>2795</v>
      </c>
      <c r="C427" s="150" t="s">
        <v>944</v>
      </c>
      <c r="D427" s="70">
        <v>32734.81420416</v>
      </c>
      <c r="E427" s="70">
        <v>3801.79</v>
      </c>
      <c r="F427" s="14">
        <v>7</v>
      </c>
      <c r="G427" s="14">
        <v>7</v>
      </c>
      <c r="H427" s="14">
        <v>0</v>
      </c>
      <c r="I427" s="14">
        <v>0</v>
      </c>
      <c r="J427" s="69">
        <v>2899.41</v>
      </c>
      <c r="K427">
        <f t="shared" si="6"/>
        <v>0</v>
      </c>
      <c r="L427" s="14">
        <v>0</v>
      </c>
      <c r="M427" s="14">
        <v>0</v>
      </c>
      <c r="N427" s="14">
        <v>0</v>
      </c>
      <c r="O427" s="69">
        <v>0</v>
      </c>
      <c r="P427" s="226">
        <f>VLOOKUP(Table323[[#This Row],[Census Tract]],'Population and Diversity Data'!$B$2:$K$823,10,FALSE)</f>
        <v>4</v>
      </c>
      <c r="Q427" s="226" t="str">
        <f>VLOOKUP(Table323[[#This Row],[Census Tract]],'ES Energy Burden'!$B$2:$E$914,4,FALSE)</f>
        <v>Yes</v>
      </c>
      <c r="R427" s="248">
        <f>VLOOKUP(Table323[[#This Row],[Census Tract]],'Income and Housing Data'!$B$2:$D$823,3,FALSE)</f>
        <v>35234</v>
      </c>
      <c r="S427" s="248" t="str">
        <f>IF($U$6&lt;=Table323[[#This Row],[Household income]],IF(Table323[[#This Row],[Household income]]&lt;=$U$7, "Yes","No"),"No")</f>
        <v>No</v>
      </c>
    </row>
    <row r="428" spans="1:19" x14ac:dyDescent="0.25">
      <c r="A428" s="147">
        <v>9007541200</v>
      </c>
      <c r="B428" s="148" t="s">
        <v>2795</v>
      </c>
      <c r="C428" s="150" t="s">
        <v>944</v>
      </c>
      <c r="D428" s="70">
        <v>93768.011069760003</v>
      </c>
      <c r="E428" s="70">
        <v>34895.177799999998</v>
      </c>
      <c r="F428" s="14">
        <v>30</v>
      </c>
      <c r="G428" s="14">
        <v>30</v>
      </c>
      <c r="H428" s="14">
        <v>0</v>
      </c>
      <c r="I428" s="14">
        <v>0</v>
      </c>
      <c r="J428" s="69">
        <v>16292.497799999999</v>
      </c>
      <c r="K428">
        <f t="shared" si="6"/>
        <v>0</v>
      </c>
      <c r="L428" s="14">
        <v>0</v>
      </c>
      <c r="M428" s="14">
        <v>0</v>
      </c>
      <c r="N428" s="14">
        <v>0</v>
      </c>
      <c r="O428" s="69">
        <v>0</v>
      </c>
      <c r="P428" s="226">
        <f>VLOOKUP(Table323[[#This Row],[Census Tract]],'Population and Diversity Data'!$B$2:$K$823,10,FALSE)</f>
        <v>4</v>
      </c>
      <c r="Q428" s="226" t="str">
        <f>VLOOKUP(Table323[[#This Row],[Census Tract]],'ES Energy Burden'!$B$2:$E$914,4,FALSE)</f>
        <v>No</v>
      </c>
      <c r="R428" s="248">
        <f>VLOOKUP(Table323[[#This Row],[Census Tract]],'Income and Housing Data'!$B$2:$D$823,3,FALSE)</f>
        <v>71825</v>
      </c>
      <c r="S428" s="248" t="str">
        <f>IF($U$6&lt;=Table323[[#This Row],[Household income]],IF(Table323[[#This Row],[Household income]]&lt;=$U$7, "Yes","No"),"No")</f>
        <v>No</v>
      </c>
    </row>
    <row r="429" spans="1:19" x14ac:dyDescent="0.25">
      <c r="A429" s="147">
        <v>9007541300</v>
      </c>
      <c r="B429" s="148" t="s">
        <v>2795</v>
      </c>
      <c r="C429" s="150" t="s">
        <v>944</v>
      </c>
      <c r="D429" s="70">
        <v>160261.99079328001</v>
      </c>
      <c r="E429" s="70">
        <v>356256.52659999998</v>
      </c>
      <c r="F429" s="14">
        <v>510</v>
      </c>
      <c r="G429" s="14">
        <v>12</v>
      </c>
      <c r="H429" s="14">
        <v>3</v>
      </c>
      <c r="I429" s="14">
        <v>495</v>
      </c>
      <c r="J429" s="69">
        <v>106144.0543</v>
      </c>
      <c r="K429">
        <f t="shared" si="6"/>
        <v>464</v>
      </c>
      <c r="L429" s="14">
        <v>141</v>
      </c>
      <c r="M429" s="14">
        <v>2</v>
      </c>
      <c r="N429" s="14">
        <v>321</v>
      </c>
      <c r="O429" s="69">
        <v>250108</v>
      </c>
      <c r="P429" s="226">
        <f>VLOOKUP(Table323[[#This Row],[Census Tract]],'Population and Diversity Data'!$B$2:$K$823,10,FALSE)</f>
        <v>4</v>
      </c>
      <c r="Q429" s="226" t="str">
        <f>VLOOKUP(Table323[[#This Row],[Census Tract]],'ES Energy Burden'!$B$2:$E$914,4,FALSE)</f>
        <v>No</v>
      </c>
      <c r="R429" s="248">
        <f>VLOOKUP(Table323[[#This Row],[Census Tract]],'Income and Housing Data'!$B$2:$D$823,3,FALSE)</f>
        <v>65781</v>
      </c>
      <c r="S429" s="248" t="str">
        <f>IF($U$6&lt;=Table323[[#This Row],[Household income]],IF(Table323[[#This Row],[Household income]]&lt;=$U$7, "Yes","No"),"No")</f>
        <v>No</v>
      </c>
    </row>
    <row r="430" spans="1:19" x14ac:dyDescent="0.25">
      <c r="A430" s="147">
        <v>9007541401</v>
      </c>
      <c r="B430" s="148" t="s">
        <v>2795</v>
      </c>
      <c r="C430" s="150" t="s">
        <v>944</v>
      </c>
      <c r="D430" s="70">
        <v>69095.818402559991</v>
      </c>
      <c r="E430" s="70">
        <v>17537.349699999999</v>
      </c>
      <c r="F430" s="14">
        <v>26</v>
      </c>
      <c r="G430" s="14">
        <v>26</v>
      </c>
      <c r="H430" s="14">
        <v>0</v>
      </c>
      <c r="I430" s="14">
        <v>0</v>
      </c>
      <c r="J430" s="69">
        <v>13799.4997</v>
      </c>
      <c r="K430">
        <f t="shared" si="6"/>
        <v>0</v>
      </c>
      <c r="L430" s="14">
        <v>0</v>
      </c>
      <c r="M430" s="14">
        <v>0</v>
      </c>
      <c r="N430" s="14">
        <v>0</v>
      </c>
      <c r="O430" s="69">
        <v>0</v>
      </c>
      <c r="P430" s="226">
        <f>VLOOKUP(Table323[[#This Row],[Census Tract]],'Population and Diversity Data'!$B$2:$K$823,10,FALSE)</f>
        <v>2</v>
      </c>
      <c r="Q430" s="226" t="str">
        <f>VLOOKUP(Table323[[#This Row],[Census Tract]],'ES Energy Burden'!$B$2:$E$914,4,FALSE)</f>
        <v>No</v>
      </c>
      <c r="R430" s="248">
        <f>VLOOKUP(Table323[[#This Row],[Census Tract]],'Income and Housing Data'!$B$2:$D$823,3,FALSE)</f>
        <v>120893</v>
      </c>
      <c r="S430" s="248" t="str">
        <f>IF($U$6&lt;=Table323[[#This Row],[Household income]],IF(Table323[[#This Row],[Household income]]&lt;=$U$7, "Yes","No"),"No")</f>
        <v>No</v>
      </c>
    </row>
    <row r="431" spans="1:19" x14ac:dyDescent="0.25">
      <c r="A431" s="147">
        <v>9007541402</v>
      </c>
      <c r="B431" s="148" t="s">
        <v>2795</v>
      </c>
      <c r="C431" s="150" t="s">
        <v>944</v>
      </c>
      <c r="D431" s="70">
        <v>112928.96280384</v>
      </c>
      <c r="E431" s="70">
        <v>285103.42810000002</v>
      </c>
      <c r="F431" s="14">
        <v>20</v>
      </c>
      <c r="G431" s="14">
        <v>20</v>
      </c>
      <c r="H431" s="14">
        <v>0</v>
      </c>
      <c r="I431" s="14">
        <v>0</v>
      </c>
      <c r="J431" s="69">
        <v>14949.7788</v>
      </c>
      <c r="K431">
        <f t="shared" si="6"/>
        <v>0</v>
      </c>
      <c r="L431" s="14">
        <v>0</v>
      </c>
      <c r="M431" s="14">
        <v>0</v>
      </c>
      <c r="N431" s="14">
        <v>0</v>
      </c>
      <c r="O431" s="69">
        <v>0</v>
      </c>
      <c r="P431" s="226">
        <f>VLOOKUP(Table323[[#This Row],[Census Tract]],'Population and Diversity Data'!$B$2:$K$823,10,FALSE)</f>
        <v>2</v>
      </c>
      <c r="Q431" s="226" t="str">
        <f>VLOOKUP(Table323[[#This Row],[Census Tract]],'ES Energy Burden'!$B$2:$E$914,4,FALSE)</f>
        <v>No</v>
      </c>
      <c r="R431" s="248">
        <f>VLOOKUP(Table323[[#This Row],[Census Tract]],'Income and Housing Data'!$B$2:$D$823,3,FALSE)</f>
        <v>79611</v>
      </c>
      <c r="S431" s="248" t="str">
        <f>IF($U$6&lt;=Table323[[#This Row],[Household income]],IF(Table323[[#This Row],[Household income]]&lt;=$U$7, "Yes","No"),"No")</f>
        <v>No</v>
      </c>
    </row>
    <row r="432" spans="1:19" x14ac:dyDescent="0.25">
      <c r="A432" s="147">
        <v>9007541500</v>
      </c>
      <c r="B432" s="148" t="s">
        <v>2795</v>
      </c>
      <c r="C432" s="150" t="s">
        <v>944</v>
      </c>
      <c r="D432" s="70">
        <v>21092.82943392</v>
      </c>
      <c r="E432" s="70">
        <v>7092.3125</v>
      </c>
      <c r="F432" s="14">
        <v>14</v>
      </c>
      <c r="G432" s="14">
        <v>12</v>
      </c>
      <c r="H432" s="14">
        <v>2</v>
      </c>
      <c r="I432" s="14">
        <v>0</v>
      </c>
      <c r="J432" s="69">
        <v>5800.0524999999998</v>
      </c>
      <c r="K432">
        <f t="shared" si="6"/>
        <v>0</v>
      </c>
      <c r="L432" s="14">
        <v>0</v>
      </c>
      <c r="M432" s="14">
        <v>0</v>
      </c>
      <c r="N432" s="14">
        <v>0</v>
      </c>
      <c r="O432" s="69">
        <v>0</v>
      </c>
      <c r="P432" s="226">
        <f>VLOOKUP(Table323[[#This Row],[Census Tract]],'Population and Diversity Data'!$B$2:$K$823,10,FALSE)</f>
        <v>5</v>
      </c>
      <c r="Q432" s="226" t="str">
        <f>VLOOKUP(Table323[[#This Row],[Census Tract]],'ES Energy Burden'!$B$2:$E$914,4,FALSE)</f>
        <v>No</v>
      </c>
      <c r="R432" s="248">
        <f>VLOOKUP(Table323[[#This Row],[Census Tract]],'Income and Housing Data'!$B$2:$D$823,3,FALSE)</f>
        <v>55565</v>
      </c>
      <c r="S432" s="248" t="str">
        <f>IF($U$6&lt;=Table323[[#This Row],[Household income]],IF(Table323[[#This Row],[Household income]]&lt;=$U$7, "Yes","No"),"No")</f>
        <v>Yes</v>
      </c>
    </row>
    <row r="433" spans="1:19" x14ac:dyDescent="0.25">
      <c r="A433" s="147">
        <v>9007541600</v>
      </c>
      <c r="B433" s="148" t="s">
        <v>2795</v>
      </c>
      <c r="C433" s="150" t="s">
        <v>944</v>
      </c>
      <c r="D433" s="70">
        <v>15013.82183904</v>
      </c>
      <c r="E433" s="70">
        <v>37706.81</v>
      </c>
      <c r="F433" s="14">
        <v>0</v>
      </c>
      <c r="G433" s="14">
        <v>0</v>
      </c>
      <c r="H433" s="14">
        <v>0</v>
      </c>
      <c r="I433" s="14">
        <v>0</v>
      </c>
      <c r="J433" s="69">
        <v>0</v>
      </c>
      <c r="K433">
        <f t="shared" si="6"/>
        <v>0</v>
      </c>
      <c r="L433" s="14">
        <v>0</v>
      </c>
      <c r="M433" s="14">
        <v>0</v>
      </c>
      <c r="N433" s="14">
        <v>0</v>
      </c>
      <c r="O433" s="69">
        <v>0</v>
      </c>
      <c r="P433" s="226">
        <f>VLOOKUP(Table323[[#This Row],[Census Tract]],'Population and Diversity Data'!$B$2:$K$823,10,FALSE)</f>
        <v>5</v>
      </c>
      <c r="Q433" s="226" t="str">
        <f>VLOOKUP(Table323[[#This Row],[Census Tract]],'ES Energy Burden'!$B$2:$E$914,4,FALSE)</f>
        <v>Yes</v>
      </c>
      <c r="R433" s="248">
        <f>VLOOKUP(Table323[[#This Row],[Census Tract]],'Income and Housing Data'!$B$2:$D$823,3,FALSE)</f>
        <v>18304</v>
      </c>
      <c r="S433" s="248" t="str">
        <f>IF($U$6&lt;=Table323[[#This Row],[Household income]],IF(Table323[[#This Row],[Household income]]&lt;=$U$7, "Yes","No"),"No")</f>
        <v>No</v>
      </c>
    </row>
    <row r="434" spans="1:19" x14ac:dyDescent="0.25">
      <c r="A434" s="147">
        <v>9007541700</v>
      </c>
      <c r="B434" s="148" t="s">
        <v>2795</v>
      </c>
      <c r="C434" s="150" t="s">
        <v>944</v>
      </c>
      <c r="D434" s="70">
        <v>36521.771909760006</v>
      </c>
      <c r="E434" s="70">
        <v>4608.43</v>
      </c>
      <c r="F434" s="14">
        <v>6</v>
      </c>
      <c r="G434" s="14">
        <v>5</v>
      </c>
      <c r="H434" s="14">
        <v>1</v>
      </c>
      <c r="I434" s="14">
        <v>0</v>
      </c>
      <c r="J434" s="69">
        <v>2847.05</v>
      </c>
      <c r="K434">
        <f t="shared" si="6"/>
        <v>0</v>
      </c>
      <c r="L434" s="14">
        <v>0</v>
      </c>
      <c r="M434" s="14">
        <v>0</v>
      </c>
      <c r="N434" s="14">
        <v>0</v>
      </c>
      <c r="O434" s="69">
        <v>0</v>
      </c>
      <c r="P434" s="226">
        <f>VLOOKUP(Table323[[#This Row],[Census Tract]],'Population and Diversity Data'!$B$2:$K$823,10,FALSE)</f>
        <v>4</v>
      </c>
      <c r="Q434" s="226" t="str">
        <f>VLOOKUP(Table323[[#This Row],[Census Tract]],'ES Energy Burden'!$B$2:$E$914,4,FALSE)</f>
        <v>Yes</v>
      </c>
      <c r="R434" s="248">
        <f>VLOOKUP(Table323[[#This Row],[Census Tract]],'Income and Housing Data'!$B$2:$D$823,3,FALSE)</f>
        <v>31618</v>
      </c>
      <c r="S434" s="248" t="str">
        <f>IF($U$6&lt;=Table323[[#This Row],[Household income]],IF(Table323[[#This Row],[Household income]]&lt;=$U$7, "Yes","No"),"No")</f>
        <v>No</v>
      </c>
    </row>
    <row r="435" spans="1:19" x14ac:dyDescent="0.25">
      <c r="A435" s="147">
        <v>9007542000</v>
      </c>
      <c r="B435" s="148" t="s">
        <v>2795</v>
      </c>
      <c r="C435" s="150" t="s">
        <v>944</v>
      </c>
      <c r="D435" s="70">
        <v>71103.73662144001</v>
      </c>
      <c r="E435" s="70">
        <v>22533.360000000001</v>
      </c>
      <c r="F435" s="14">
        <v>20</v>
      </c>
      <c r="G435" s="14">
        <v>20</v>
      </c>
      <c r="H435" s="14">
        <v>0</v>
      </c>
      <c r="I435" s="14">
        <v>0</v>
      </c>
      <c r="J435" s="69">
        <v>14793.35</v>
      </c>
      <c r="K435">
        <f t="shared" si="6"/>
        <v>0</v>
      </c>
      <c r="L435" s="14">
        <v>0</v>
      </c>
      <c r="M435" s="14">
        <v>0</v>
      </c>
      <c r="N435" s="14">
        <v>0</v>
      </c>
      <c r="O435" s="69">
        <v>0</v>
      </c>
      <c r="P435" s="226">
        <f>VLOOKUP(Table323[[#This Row],[Census Tract]],'Population and Diversity Data'!$B$2:$K$823,10,FALSE)</f>
        <v>2</v>
      </c>
      <c r="Q435" s="226" t="str">
        <f>VLOOKUP(Table323[[#This Row],[Census Tract]],'ES Energy Burden'!$B$2:$E$914,4,FALSE)</f>
        <v>No</v>
      </c>
      <c r="R435" s="248">
        <f>VLOOKUP(Table323[[#This Row],[Census Tract]],'Income and Housing Data'!$B$2:$D$823,3,FALSE)</f>
        <v>70857</v>
      </c>
      <c r="S435" s="248" t="str">
        <f>IF($U$6&lt;=Table323[[#This Row],[Household income]],IF(Table323[[#This Row],[Household income]]&lt;=$U$7, "Yes","No"),"No")</f>
        <v>No</v>
      </c>
    </row>
    <row r="436" spans="1:19" x14ac:dyDescent="0.25">
      <c r="A436" s="147">
        <v>9007542100</v>
      </c>
      <c r="B436" s="148" t="s">
        <v>2795</v>
      </c>
      <c r="C436" s="150" t="s">
        <v>944</v>
      </c>
      <c r="D436" s="70">
        <v>59097.286108800006</v>
      </c>
      <c r="E436" s="70">
        <v>30046.16</v>
      </c>
      <c r="F436" s="14">
        <v>15</v>
      </c>
      <c r="G436" s="14">
        <v>15</v>
      </c>
      <c r="H436" s="14">
        <v>0</v>
      </c>
      <c r="I436" s="14">
        <v>0</v>
      </c>
      <c r="J436" s="69">
        <v>6797.01</v>
      </c>
      <c r="K436">
        <f t="shared" si="6"/>
        <v>0</v>
      </c>
      <c r="L436" s="14">
        <v>0</v>
      </c>
      <c r="M436" s="14">
        <v>0</v>
      </c>
      <c r="N436" s="14">
        <v>0</v>
      </c>
      <c r="O436" s="69">
        <v>0</v>
      </c>
      <c r="P436" s="226">
        <f>VLOOKUP(Table323[[#This Row],[Census Tract]],'Population and Diversity Data'!$B$2:$K$823,10,FALSE)</f>
        <v>4</v>
      </c>
      <c r="Q436" s="226" t="str">
        <f>VLOOKUP(Table323[[#This Row],[Census Tract]],'ES Energy Burden'!$B$2:$E$914,4,FALSE)</f>
        <v>No</v>
      </c>
      <c r="R436" s="248">
        <f>VLOOKUP(Table323[[#This Row],[Census Tract]],'Income and Housing Data'!$B$2:$D$823,3,FALSE)</f>
        <v>63036</v>
      </c>
      <c r="S436" s="248" t="str">
        <f>IF($U$6&lt;=Table323[[#This Row],[Household income]],IF(Table323[[#This Row],[Household income]]&lt;=$U$7, "Yes","No"),"No")</f>
        <v>Yes</v>
      </c>
    </row>
    <row r="437" spans="1:19" x14ac:dyDescent="0.25">
      <c r="A437" s="147">
        <v>9007542200</v>
      </c>
      <c r="B437" s="148" t="s">
        <v>2795</v>
      </c>
      <c r="C437" s="150" t="s">
        <v>944</v>
      </c>
      <c r="D437" s="70">
        <v>46529.618961600005</v>
      </c>
      <c r="E437" s="70">
        <v>11053.972100000001</v>
      </c>
      <c r="F437" s="14">
        <v>15</v>
      </c>
      <c r="G437" s="14">
        <v>15</v>
      </c>
      <c r="H437" s="14">
        <v>0</v>
      </c>
      <c r="I437" s="14">
        <v>0</v>
      </c>
      <c r="J437" s="69">
        <v>11053.042100000001</v>
      </c>
      <c r="K437">
        <f t="shared" si="6"/>
        <v>0</v>
      </c>
      <c r="L437" s="14">
        <v>0</v>
      </c>
      <c r="M437" s="14">
        <v>0</v>
      </c>
      <c r="N437" s="14">
        <v>0</v>
      </c>
      <c r="O437" s="69">
        <v>0</v>
      </c>
      <c r="P437" s="226">
        <f>VLOOKUP(Table323[[#This Row],[Census Tract]],'Population and Diversity Data'!$B$2:$K$823,10,FALSE)</f>
        <v>3</v>
      </c>
      <c r="Q437" s="226" t="str">
        <f>VLOOKUP(Table323[[#This Row],[Census Tract]],'ES Energy Burden'!$B$2:$E$914,4,FALSE)</f>
        <v>No</v>
      </c>
      <c r="R437" s="248">
        <f>VLOOKUP(Table323[[#This Row],[Census Tract]],'Income and Housing Data'!$B$2:$D$823,3,FALSE)</f>
        <v>91375</v>
      </c>
      <c r="S437" s="248" t="str">
        <f>IF($U$6&lt;=Table323[[#This Row],[Household income]],IF(Table323[[#This Row],[Household income]]&lt;=$U$7, "Yes","No"),"No")</f>
        <v>No</v>
      </c>
    </row>
    <row r="438" spans="1:19" x14ac:dyDescent="0.25">
      <c r="A438" s="147">
        <v>9007580100</v>
      </c>
      <c r="B438" s="148" t="s">
        <v>2795</v>
      </c>
      <c r="C438" s="150" t="s">
        <v>944</v>
      </c>
      <c r="D438" s="70">
        <v>289.41684480000004</v>
      </c>
      <c r="E438" s="70">
        <v>0</v>
      </c>
      <c r="F438" s="14">
        <v>0</v>
      </c>
      <c r="G438" s="14">
        <v>0</v>
      </c>
      <c r="H438" s="14">
        <v>0</v>
      </c>
      <c r="I438" s="14">
        <v>0</v>
      </c>
      <c r="J438" s="69">
        <v>0</v>
      </c>
      <c r="K438">
        <f t="shared" si="6"/>
        <v>0</v>
      </c>
      <c r="L438" s="14">
        <v>0</v>
      </c>
      <c r="M438" s="14">
        <v>0</v>
      </c>
      <c r="N438" s="14">
        <v>0</v>
      </c>
      <c r="O438" s="69">
        <v>0</v>
      </c>
      <c r="P438" s="226">
        <f>VLOOKUP(Table323[[#This Row],[Census Tract]],'Population and Diversity Data'!$B$2:$K$823,10,FALSE)</f>
        <v>1</v>
      </c>
      <c r="Q438" s="226" t="str">
        <f>VLOOKUP(Table323[[#This Row],[Census Tract]],'ES Energy Burden'!$B$2:$E$914,4,FALSE)</f>
        <v>No</v>
      </c>
      <c r="R438" s="248">
        <f>VLOOKUP(Table323[[#This Row],[Census Tract]],'Income and Housing Data'!$B$2:$D$823,3,FALSE)</f>
        <v>96111</v>
      </c>
      <c r="S438" s="248" t="str">
        <f>IF($U$6&lt;=Table323[[#This Row],[Household income]],IF(Table323[[#This Row],[Household income]]&lt;=$U$7, "Yes","No"),"No")</f>
        <v>No</v>
      </c>
    </row>
    <row r="439" spans="1:19" x14ac:dyDescent="0.25">
      <c r="A439" s="147">
        <v>9007590100</v>
      </c>
      <c r="B439" s="148" t="s">
        <v>2795</v>
      </c>
      <c r="C439" s="150" t="s">
        <v>944</v>
      </c>
      <c r="D439" s="70">
        <v>599.83545600000002</v>
      </c>
      <c r="E439" s="70">
        <v>0</v>
      </c>
      <c r="F439" s="14">
        <v>0</v>
      </c>
      <c r="G439" s="14">
        <v>0</v>
      </c>
      <c r="H439" s="14">
        <v>0</v>
      </c>
      <c r="I439" s="14">
        <v>0</v>
      </c>
      <c r="J439" s="69">
        <v>0</v>
      </c>
      <c r="K439">
        <f t="shared" si="6"/>
        <v>0</v>
      </c>
      <c r="L439" s="14">
        <v>0</v>
      </c>
      <c r="M439" s="14">
        <v>0</v>
      </c>
      <c r="N439" s="14">
        <v>0</v>
      </c>
      <c r="O439" s="69">
        <v>0</v>
      </c>
      <c r="P439" s="226">
        <f>VLOOKUP(Table323[[#This Row],[Census Tract]],'Population and Diversity Data'!$B$2:$K$823,10,FALSE)</f>
        <v>1</v>
      </c>
      <c r="Q439" s="226" t="str">
        <f>VLOOKUP(Table323[[#This Row],[Census Tract]],'ES Energy Burden'!$B$2:$E$914,4,FALSE)</f>
        <v>No</v>
      </c>
      <c r="R439" s="248">
        <f>VLOOKUP(Table323[[#This Row],[Census Tract]],'Income and Housing Data'!$B$2:$D$823,3,FALSE)</f>
        <v>110497</v>
      </c>
      <c r="S439" s="248" t="str">
        <f>IF($U$6&lt;=Table323[[#This Row],[Household income]],IF(Table323[[#This Row],[Household income]]&lt;=$U$7, "Yes","No"),"No")</f>
        <v>No</v>
      </c>
    </row>
    <row r="440" spans="1:19" x14ac:dyDescent="0.25">
      <c r="A440" s="147">
        <v>9007680200</v>
      </c>
      <c r="B440" s="148" t="s">
        <v>2795</v>
      </c>
      <c r="C440" s="150" t="s">
        <v>944</v>
      </c>
      <c r="D440" s="70">
        <v>109151.62550496</v>
      </c>
      <c r="E440" s="70">
        <v>359384.16</v>
      </c>
      <c r="F440" s="14">
        <v>37</v>
      </c>
      <c r="G440" s="14">
        <v>37</v>
      </c>
      <c r="H440" s="14">
        <v>0</v>
      </c>
      <c r="I440" s="14">
        <v>0</v>
      </c>
      <c r="J440" s="69">
        <v>35186.730000000003</v>
      </c>
      <c r="K440">
        <f t="shared" si="6"/>
        <v>0</v>
      </c>
      <c r="L440" s="14">
        <v>0</v>
      </c>
      <c r="M440" s="14">
        <v>0</v>
      </c>
      <c r="N440" s="14">
        <v>0</v>
      </c>
      <c r="O440" s="69">
        <v>0</v>
      </c>
      <c r="P440" s="226">
        <f>VLOOKUP(Table323[[#This Row],[Census Tract]],'Population and Diversity Data'!$B$2:$K$823,10,FALSE)</f>
        <v>2</v>
      </c>
      <c r="Q440" s="226" t="str">
        <f>VLOOKUP(Table323[[#This Row],[Census Tract]],'ES Energy Burden'!$B$2:$E$914,4,FALSE)</f>
        <v>No</v>
      </c>
      <c r="R440" s="248">
        <f>VLOOKUP(Table323[[#This Row],[Census Tract]],'Income and Housing Data'!$B$2:$D$823,3,FALSE)</f>
        <v>82790</v>
      </c>
      <c r="S440" s="248" t="str">
        <f>IF($U$6&lt;=Table323[[#This Row],[Household income]],IF(Table323[[#This Row],[Household income]]&lt;=$U$7, "Yes","No"),"No")</f>
        <v>No</v>
      </c>
    </row>
    <row r="441" spans="1:19" x14ac:dyDescent="0.25">
      <c r="A441" s="147">
        <v>9001100100</v>
      </c>
      <c r="B441" s="148" t="s">
        <v>2796</v>
      </c>
      <c r="C441" s="150" t="s">
        <v>944</v>
      </c>
      <c r="D441" s="70">
        <v>100563.03417888001</v>
      </c>
      <c r="E441" s="70">
        <v>20403.166799999999</v>
      </c>
      <c r="F441" s="14">
        <v>14</v>
      </c>
      <c r="G441" s="14">
        <v>14</v>
      </c>
      <c r="H441" s="14">
        <v>0</v>
      </c>
      <c r="I441" s="14">
        <v>0</v>
      </c>
      <c r="J441" s="69">
        <v>10862.6368</v>
      </c>
      <c r="K441">
        <f t="shared" si="6"/>
        <v>0</v>
      </c>
      <c r="L441" s="14">
        <v>0</v>
      </c>
      <c r="M441" s="14">
        <v>0</v>
      </c>
      <c r="N441" s="14">
        <v>0</v>
      </c>
      <c r="O441" s="69">
        <v>0</v>
      </c>
      <c r="P441" s="226">
        <f>VLOOKUP(Table323[[#This Row],[Census Tract]],'Population and Diversity Data'!$B$2:$K$823,10,FALSE)</f>
        <v>3</v>
      </c>
      <c r="Q441" s="226" t="str">
        <f>VLOOKUP(Table323[[#This Row],[Census Tract]],'ES Energy Burden'!$B$2:$E$914,4,FALSE)</f>
        <v>No</v>
      </c>
      <c r="R441" s="248">
        <f>VLOOKUP(Table323[[#This Row],[Census Tract]],'Income and Housing Data'!$B$2:$D$823,3,FALSE)</f>
        <v>128056</v>
      </c>
      <c r="S441" s="248" t="str">
        <f>IF($U$6&lt;=Table323[[#This Row],[Household income]],IF(Table323[[#This Row],[Household income]]&lt;=$U$7, "Yes","No"),"No")</f>
        <v>No</v>
      </c>
    </row>
    <row r="442" spans="1:19" x14ac:dyDescent="0.25">
      <c r="A442" s="147">
        <v>9001100200</v>
      </c>
      <c r="B442" s="148" t="s">
        <v>2796</v>
      </c>
      <c r="C442" s="150" t="s">
        <v>944</v>
      </c>
      <c r="D442" s="70">
        <v>133580.15600255999</v>
      </c>
      <c r="E442" s="70">
        <v>32119.5658</v>
      </c>
      <c r="F442" s="14">
        <v>24</v>
      </c>
      <c r="G442" s="14">
        <v>24</v>
      </c>
      <c r="H442" s="14">
        <v>0</v>
      </c>
      <c r="I442" s="14">
        <v>0</v>
      </c>
      <c r="J442" s="69">
        <v>23647.355800000001</v>
      </c>
      <c r="K442">
        <f t="shared" si="6"/>
        <v>0</v>
      </c>
      <c r="L442" s="14">
        <v>0</v>
      </c>
      <c r="M442" s="14">
        <v>0</v>
      </c>
      <c r="N442" s="14">
        <v>0</v>
      </c>
      <c r="O442" s="69">
        <v>0</v>
      </c>
      <c r="P442" s="226">
        <f>VLOOKUP(Table323[[#This Row],[Census Tract]],'Population and Diversity Data'!$B$2:$K$823,10,FALSE)</f>
        <v>4</v>
      </c>
      <c r="Q442" s="226" t="str">
        <f>VLOOKUP(Table323[[#This Row],[Census Tract]],'ES Energy Burden'!$B$2:$E$914,4,FALSE)</f>
        <v>No</v>
      </c>
      <c r="R442" s="248">
        <f>VLOOKUP(Table323[[#This Row],[Census Tract]],'Income and Housing Data'!$B$2:$D$823,3,FALSE)</f>
        <v>111793</v>
      </c>
      <c r="S442" s="248" t="str">
        <f>IF($U$6&lt;=Table323[[#This Row],[Household income]],IF(Table323[[#This Row],[Household income]]&lt;=$U$7, "Yes","No"),"No")</f>
        <v>No</v>
      </c>
    </row>
    <row r="443" spans="1:19" x14ac:dyDescent="0.25">
      <c r="A443" s="147">
        <v>9001100300</v>
      </c>
      <c r="B443" s="148" t="s">
        <v>2796</v>
      </c>
      <c r="C443" s="150" t="s">
        <v>944</v>
      </c>
      <c r="D443" s="70">
        <v>139355.86752576</v>
      </c>
      <c r="E443" s="70">
        <v>96915.585000000006</v>
      </c>
      <c r="F443" s="14">
        <v>24</v>
      </c>
      <c r="G443" s="14">
        <v>24</v>
      </c>
      <c r="H443" s="14">
        <v>0</v>
      </c>
      <c r="I443" s="14">
        <v>0</v>
      </c>
      <c r="J443" s="69">
        <v>17456.03</v>
      </c>
      <c r="K443">
        <f t="shared" si="6"/>
        <v>24</v>
      </c>
      <c r="L443" s="14">
        <v>24</v>
      </c>
      <c r="M443" s="14">
        <v>0</v>
      </c>
      <c r="N443" s="14">
        <v>0</v>
      </c>
      <c r="O443" s="69">
        <v>37376</v>
      </c>
      <c r="P443" s="226">
        <f>VLOOKUP(Table323[[#This Row],[Census Tract]],'Population and Diversity Data'!$B$2:$K$823,10,FALSE)</f>
        <v>2</v>
      </c>
      <c r="Q443" s="226" t="str">
        <f>VLOOKUP(Table323[[#This Row],[Census Tract]],'ES Energy Burden'!$B$2:$E$914,4,FALSE)</f>
        <v>No</v>
      </c>
      <c r="R443" s="248">
        <f>VLOOKUP(Table323[[#This Row],[Census Tract]],'Income and Housing Data'!$B$2:$D$823,3,FALSE)</f>
        <v>122097</v>
      </c>
      <c r="S443" s="248" t="str">
        <f>IF($U$6&lt;=Table323[[#This Row],[Household income]],IF(Table323[[#This Row],[Household income]]&lt;=$U$7, "Yes","No"),"No")</f>
        <v>No</v>
      </c>
    </row>
    <row r="444" spans="1:19" x14ac:dyDescent="0.25">
      <c r="A444" s="147">
        <v>9001105200</v>
      </c>
      <c r="B444" s="148" t="s">
        <v>2796</v>
      </c>
      <c r="C444" s="150" t="s">
        <v>944</v>
      </c>
      <c r="D444" s="70">
        <v>279.45432000000005</v>
      </c>
      <c r="E444" s="70">
        <v>0</v>
      </c>
      <c r="F444" s="14">
        <v>0</v>
      </c>
      <c r="G444" s="14">
        <v>0</v>
      </c>
      <c r="H444" s="14">
        <v>0</v>
      </c>
      <c r="I444" s="14">
        <v>0</v>
      </c>
      <c r="J444" s="69">
        <v>0</v>
      </c>
      <c r="K444">
        <f t="shared" si="6"/>
        <v>0</v>
      </c>
      <c r="L444" s="14">
        <v>0</v>
      </c>
      <c r="M444" s="14">
        <v>0</v>
      </c>
      <c r="N444" s="14">
        <v>0</v>
      </c>
      <c r="O444" s="69">
        <v>0</v>
      </c>
      <c r="P444" s="226">
        <f>VLOOKUP(Table323[[#This Row],[Census Tract]],'Population and Diversity Data'!$B$2:$K$823,10,FALSE)</f>
        <v>3</v>
      </c>
      <c r="Q444" s="226" t="str">
        <f>VLOOKUP(Table323[[#This Row],[Census Tract]],'ES Energy Burden'!$B$2:$E$914,4,FALSE)</f>
        <v>No</v>
      </c>
      <c r="R444" s="248">
        <f>VLOOKUP(Table323[[#This Row],[Census Tract]],'Income and Housing Data'!$B$2:$D$823,3,FALSE)</f>
        <v>159338</v>
      </c>
      <c r="S444" s="248" t="str">
        <f>IF($U$6&lt;=Table323[[#This Row],[Household income]],IF(Table323[[#This Row],[Household income]]&lt;=$U$7, "Yes","No"),"No")</f>
        <v>No</v>
      </c>
    </row>
    <row r="445" spans="1:19" x14ac:dyDescent="0.25">
      <c r="A445" s="147">
        <v>9001110500</v>
      </c>
      <c r="B445" s="148" t="s">
        <v>2796</v>
      </c>
      <c r="C445" s="150" t="s">
        <v>944</v>
      </c>
      <c r="D445" s="70">
        <v>763.01015040000004</v>
      </c>
      <c r="E445" s="70">
        <v>0</v>
      </c>
      <c r="F445" s="14">
        <v>0</v>
      </c>
      <c r="G445" s="14">
        <v>0</v>
      </c>
      <c r="H445" s="14">
        <v>0</v>
      </c>
      <c r="I445" s="14">
        <v>0</v>
      </c>
      <c r="J445" s="69">
        <v>0</v>
      </c>
      <c r="K445">
        <f t="shared" si="6"/>
        <v>0</v>
      </c>
      <c r="L445" s="14">
        <v>0</v>
      </c>
      <c r="M445" s="14">
        <v>0</v>
      </c>
      <c r="N445" s="14">
        <v>0</v>
      </c>
      <c r="O445" s="69">
        <v>0</v>
      </c>
      <c r="P445" s="226">
        <f>VLOOKUP(Table323[[#This Row],[Census Tract]],'Population and Diversity Data'!$B$2:$K$823,10,FALSE)</f>
        <v>1</v>
      </c>
      <c r="Q445" s="226" t="str">
        <f>VLOOKUP(Table323[[#This Row],[Census Tract]],'ES Energy Burden'!$B$2:$E$914,4,FALSE)</f>
        <v>No</v>
      </c>
      <c r="R445" s="248">
        <f>VLOOKUP(Table323[[#This Row],[Census Tract]],'Income and Housing Data'!$B$2:$D$823,3,FALSE)</f>
        <v>110365</v>
      </c>
      <c r="S445" s="248" t="str">
        <f>IF($U$6&lt;=Table323[[#This Row],[Household income]],IF(Table323[[#This Row],[Household income]]&lt;=$U$7, "Yes","No"),"No")</f>
        <v>No</v>
      </c>
    </row>
    <row r="446" spans="1:19" x14ac:dyDescent="0.25">
      <c r="A446" s="147">
        <v>9001230400</v>
      </c>
      <c r="B446" s="148" t="s">
        <v>2796</v>
      </c>
      <c r="C446" s="150" t="s">
        <v>944</v>
      </c>
      <c r="D446" s="70">
        <v>408.54455999999999</v>
      </c>
      <c r="E446" s="70">
        <v>1374.16</v>
      </c>
      <c r="F446" s="14">
        <v>0</v>
      </c>
      <c r="G446" s="14">
        <v>0</v>
      </c>
      <c r="H446" s="14">
        <v>0</v>
      </c>
      <c r="I446" s="14">
        <v>0</v>
      </c>
      <c r="J446" s="69">
        <v>0</v>
      </c>
      <c r="K446">
        <f t="shared" si="6"/>
        <v>0</v>
      </c>
      <c r="L446" s="14">
        <v>0</v>
      </c>
      <c r="M446" s="14">
        <v>0</v>
      </c>
      <c r="N446" s="14">
        <v>0</v>
      </c>
      <c r="O446" s="69">
        <v>0</v>
      </c>
      <c r="P446" s="226">
        <f>VLOOKUP(Table323[[#This Row],[Census Tract]],'Population and Diversity Data'!$B$2:$K$823,10,FALSE)</f>
        <v>2</v>
      </c>
      <c r="Q446" s="226" t="str">
        <f>VLOOKUP(Table323[[#This Row],[Census Tract]],'ES Energy Burden'!$B$2:$E$914,4,FALSE)</f>
        <v>No</v>
      </c>
      <c r="R446" s="248">
        <f>VLOOKUP(Table323[[#This Row],[Census Tract]],'Income and Housing Data'!$B$2:$D$823,3,FALSE)</f>
        <v>139313</v>
      </c>
      <c r="S446" s="248" t="str">
        <f>IF($U$6&lt;=Table323[[#This Row],[Household income]],IF(Table323[[#This Row],[Household income]]&lt;=$U$7, "Yes","No"),"No")</f>
        <v>No</v>
      </c>
    </row>
    <row r="447" spans="1:19" x14ac:dyDescent="0.25">
      <c r="A447" s="147">
        <v>9011693600</v>
      </c>
      <c r="B447" s="148" t="s">
        <v>2797</v>
      </c>
      <c r="C447" s="150" t="s">
        <v>944</v>
      </c>
      <c r="D447" s="70">
        <v>386.32135679999999</v>
      </c>
      <c r="E447" s="70">
        <v>467.33</v>
      </c>
      <c r="F447" s="14">
        <v>1</v>
      </c>
      <c r="G447" s="14">
        <v>1</v>
      </c>
      <c r="H447" s="14">
        <v>0</v>
      </c>
      <c r="I447" s="14">
        <v>0</v>
      </c>
      <c r="J447" s="69">
        <v>465.14</v>
      </c>
      <c r="K447">
        <f t="shared" si="6"/>
        <v>0</v>
      </c>
      <c r="L447" s="14">
        <v>0</v>
      </c>
      <c r="M447" s="14">
        <v>0</v>
      </c>
      <c r="N447" s="14">
        <v>0</v>
      </c>
      <c r="O447" s="69">
        <v>0</v>
      </c>
      <c r="P447" s="226">
        <f>VLOOKUP(Table323[[#This Row],[Census Tract]],'Population and Diversity Data'!$B$2:$K$823,10,FALSE)</f>
        <v>2</v>
      </c>
      <c r="Q447" s="226" t="str">
        <f>VLOOKUP(Table323[[#This Row],[Census Tract]],'ES Energy Burden'!$B$2:$E$914,4,FALSE)</f>
        <v>No</v>
      </c>
      <c r="R447" s="248">
        <f>VLOOKUP(Table323[[#This Row],[Census Tract]],'Income and Housing Data'!$B$2:$D$823,3,FALSE)</f>
        <v>97750</v>
      </c>
      <c r="S447" s="248" t="str">
        <f>IF($U$6&lt;=Table323[[#This Row],[Household income]],IF(Table323[[#This Row],[Household income]]&lt;=$U$7, "Yes","No"),"No")</f>
        <v>No</v>
      </c>
    </row>
    <row r="448" spans="1:19" x14ac:dyDescent="0.25">
      <c r="A448" s="147">
        <v>9011695201</v>
      </c>
      <c r="B448" s="148" t="s">
        <v>2797</v>
      </c>
      <c r="C448" s="150" t="s">
        <v>944</v>
      </c>
      <c r="D448" s="70">
        <v>106350.08885568001</v>
      </c>
      <c r="E448" s="70">
        <v>162569.386</v>
      </c>
      <c r="F448" s="14">
        <v>28</v>
      </c>
      <c r="G448" s="14">
        <v>27</v>
      </c>
      <c r="H448" s="14">
        <v>1</v>
      </c>
      <c r="I448" s="14">
        <v>0</v>
      </c>
      <c r="J448" s="69">
        <v>22611.7</v>
      </c>
      <c r="K448">
        <f t="shared" si="6"/>
        <v>11</v>
      </c>
      <c r="L448" s="14">
        <v>11</v>
      </c>
      <c r="M448" s="14">
        <v>0</v>
      </c>
      <c r="N448" s="14">
        <v>0</v>
      </c>
      <c r="O448" s="69">
        <v>7505.95</v>
      </c>
      <c r="P448" s="226">
        <f>VLOOKUP(Table323[[#This Row],[Census Tract]],'Population and Diversity Data'!$B$2:$K$823,10,FALSE)</f>
        <v>3</v>
      </c>
      <c r="Q448" s="226" t="str">
        <f>VLOOKUP(Table323[[#This Row],[Census Tract]],'ES Energy Burden'!$B$2:$E$914,4,FALSE)</f>
        <v>No</v>
      </c>
      <c r="R448" s="248">
        <f>VLOOKUP(Table323[[#This Row],[Census Tract]],'Income and Housing Data'!$B$2:$D$823,3,FALSE)</f>
        <v>74675</v>
      </c>
      <c r="S448" s="248" t="str">
        <f>IF($U$6&lt;=Table323[[#This Row],[Household income]],IF(Table323[[#This Row],[Household income]]&lt;=$U$7, "Yes","No"),"No")</f>
        <v>No</v>
      </c>
    </row>
    <row r="449" spans="1:19" x14ac:dyDescent="0.25">
      <c r="A449" s="147">
        <v>9011695202</v>
      </c>
      <c r="B449" s="148" t="s">
        <v>2797</v>
      </c>
      <c r="C449" s="150" t="s">
        <v>944</v>
      </c>
      <c r="D449" s="70">
        <v>99676.927511999995</v>
      </c>
      <c r="E449" s="70">
        <v>14638.392099999999</v>
      </c>
      <c r="F449" s="14">
        <v>27</v>
      </c>
      <c r="G449" s="14">
        <v>27</v>
      </c>
      <c r="H449" s="14">
        <v>0</v>
      </c>
      <c r="I449" s="14">
        <v>0</v>
      </c>
      <c r="J449" s="69">
        <v>14152.402099999999</v>
      </c>
      <c r="K449">
        <f t="shared" si="6"/>
        <v>0</v>
      </c>
      <c r="L449" s="14">
        <v>0</v>
      </c>
      <c r="M449" s="14">
        <v>0</v>
      </c>
      <c r="N449" s="14">
        <v>0</v>
      </c>
      <c r="O449" s="69">
        <v>0</v>
      </c>
      <c r="P449" s="226">
        <f>VLOOKUP(Table323[[#This Row],[Census Tract]],'Population and Diversity Data'!$B$2:$K$823,10,FALSE)</f>
        <v>3</v>
      </c>
      <c r="Q449" s="226" t="str">
        <f>VLOOKUP(Table323[[#This Row],[Census Tract]],'ES Energy Burden'!$B$2:$E$914,4,FALSE)</f>
        <v>No</v>
      </c>
      <c r="R449" s="248">
        <f>VLOOKUP(Table323[[#This Row],[Census Tract]],'Income and Housing Data'!$B$2:$D$823,3,FALSE)</f>
        <v>83039</v>
      </c>
      <c r="S449" s="248" t="str">
        <f>IF($U$6&lt;=Table323[[#This Row],[Household income]],IF(Table323[[#This Row],[Household income]]&lt;=$U$7, "Yes","No"),"No")</f>
        <v>No</v>
      </c>
    </row>
    <row r="450" spans="1:19" x14ac:dyDescent="0.25">
      <c r="A450" s="147">
        <v>9011715100</v>
      </c>
      <c r="B450" s="148" t="s">
        <v>2797</v>
      </c>
      <c r="C450" s="150" t="s">
        <v>944</v>
      </c>
      <c r="D450" s="70">
        <v>663.31543680000004</v>
      </c>
      <c r="E450" s="70">
        <v>0</v>
      </c>
      <c r="F450" s="14">
        <v>0</v>
      </c>
      <c r="G450" s="14">
        <v>0</v>
      </c>
      <c r="H450" s="14">
        <v>0</v>
      </c>
      <c r="I450" s="14">
        <v>0</v>
      </c>
      <c r="J450" s="69">
        <v>0</v>
      </c>
      <c r="K450">
        <f t="shared" si="6"/>
        <v>0</v>
      </c>
      <c r="L450" s="14">
        <v>0</v>
      </c>
      <c r="M450" s="14">
        <v>0</v>
      </c>
      <c r="N450" s="14">
        <v>0</v>
      </c>
      <c r="O450" s="69">
        <v>0</v>
      </c>
      <c r="P450" s="226">
        <f>VLOOKUP(Table323[[#This Row],[Census Tract]],'Population and Diversity Data'!$B$2:$K$823,10,FALSE)</f>
        <v>3</v>
      </c>
      <c r="Q450" s="226" t="str">
        <f>VLOOKUP(Table323[[#This Row],[Census Tract]],'ES Energy Burden'!$B$2:$E$914,4,FALSE)</f>
        <v>No</v>
      </c>
      <c r="R450" s="248">
        <f>VLOOKUP(Table323[[#This Row],[Census Tract]],'Income and Housing Data'!$B$2:$D$823,3,FALSE)</f>
        <v>109460</v>
      </c>
      <c r="S450" s="248" t="str">
        <f>IF($U$6&lt;=Table323[[#This Row],[Household income]],IF(Table323[[#This Row],[Household income]]&lt;=$U$7, "Yes","No"),"No")</f>
        <v>No</v>
      </c>
    </row>
    <row r="451" spans="1:19" x14ac:dyDescent="0.25">
      <c r="A451" s="147">
        <v>9011716102</v>
      </c>
      <c r="B451" s="148" t="s">
        <v>2797</v>
      </c>
      <c r="C451" s="150" t="s">
        <v>944</v>
      </c>
      <c r="D451" s="70">
        <v>658.65545280000003</v>
      </c>
      <c r="E451" s="70">
        <v>0</v>
      </c>
      <c r="F451" s="14">
        <v>0</v>
      </c>
      <c r="G451" s="14">
        <v>0</v>
      </c>
      <c r="H451" s="14">
        <v>0</v>
      </c>
      <c r="I451" s="14">
        <v>0</v>
      </c>
      <c r="J451" s="69">
        <v>0</v>
      </c>
      <c r="K451">
        <f t="shared" si="6"/>
        <v>0</v>
      </c>
      <c r="L451" s="14">
        <v>0</v>
      </c>
      <c r="M451" s="14">
        <v>0</v>
      </c>
      <c r="N451" s="14">
        <v>0</v>
      </c>
      <c r="O451" s="69">
        <v>0</v>
      </c>
      <c r="P451" s="226">
        <f>VLOOKUP(Table323[[#This Row],[Census Tract]],'Population and Diversity Data'!$B$2:$K$823,10,FALSE)</f>
        <v>4</v>
      </c>
      <c r="Q451" s="226" t="str">
        <f>VLOOKUP(Table323[[#This Row],[Census Tract]],'ES Energy Burden'!$B$2:$E$914,4,FALSE)</f>
        <v>No</v>
      </c>
      <c r="R451" s="248">
        <f>VLOOKUP(Table323[[#This Row],[Census Tract]],'Income and Housing Data'!$B$2:$D$823,3,FALSE)</f>
        <v>130885</v>
      </c>
      <c r="S451" s="248" t="str">
        <f>IF($U$6&lt;=Table323[[#This Row],[Household income]],IF(Table323[[#This Row],[Household income]]&lt;=$U$7, "Yes","No"),"No")</f>
        <v>No</v>
      </c>
    </row>
    <row r="452" spans="1:19" x14ac:dyDescent="0.25">
      <c r="A452" s="147">
        <v>9011870501</v>
      </c>
      <c r="B452" s="148" t="s">
        <v>2797</v>
      </c>
      <c r="C452" s="150" t="s">
        <v>944</v>
      </c>
      <c r="D452" s="70">
        <v>80574.145113599996</v>
      </c>
      <c r="E452" s="70">
        <v>31425.54</v>
      </c>
      <c r="F452" s="14">
        <v>38</v>
      </c>
      <c r="G452" s="14">
        <v>38</v>
      </c>
      <c r="H452" s="14">
        <v>0</v>
      </c>
      <c r="I452" s="14">
        <v>0</v>
      </c>
      <c r="J452" s="69">
        <v>29718.23</v>
      </c>
      <c r="K452">
        <f t="shared" si="6"/>
        <v>0</v>
      </c>
      <c r="L452" s="14">
        <v>0</v>
      </c>
      <c r="M452" s="14">
        <v>0</v>
      </c>
      <c r="N452" s="14">
        <v>0</v>
      </c>
      <c r="O452" s="69">
        <v>0</v>
      </c>
      <c r="P452" s="226">
        <f>VLOOKUP(Table323[[#This Row],[Census Tract]],'Population and Diversity Data'!$B$2:$K$823,10,FALSE)</f>
        <v>5</v>
      </c>
      <c r="Q452" s="226" t="str">
        <f>VLOOKUP(Table323[[#This Row],[Census Tract]],'ES Energy Burden'!$B$2:$E$914,4,FALSE)</f>
        <v>No</v>
      </c>
      <c r="R452" s="248">
        <f>VLOOKUP(Table323[[#This Row],[Census Tract]],'Income and Housing Data'!$B$2:$D$823,3,FALSE)</f>
        <v>69433</v>
      </c>
      <c r="S452" s="248" t="str">
        <f>IF($U$6&lt;=Table323[[#This Row],[Household income]],IF(Table323[[#This Row],[Household income]]&lt;=$U$7, "Yes","No"),"No")</f>
        <v>No</v>
      </c>
    </row>
    <row r="453" spans="1:19" x14ac:dyDescent="0.25">
      <c r="A453" s="147">
        <v>9011870502</v>
      </c>
      <c r="B453" s="148" t="s">
        <v>2797</v>
      </c>
      <c r="C453" s="150" t="s">
        <v>944</v>
      </c>
      <c r="D453" s="70">
        <v>40248.384848640002</v>
      </c>
      <c r="E453" s="70">
        <v>10395.2546</v>
      </c>
      <c r="F453" s="14">
        <v>12</v>
      </c>
      <c r="G453" s="14">
        <v>12</v>
      </c>
      <c r="H453" s="14">
        <v>0</v>
      </c>
      <c r="I453" s="14">
        <v>0</v>
      </c>
      <c r="J453" s="69">
        <v>10184.524600000001</v>
      </c>
      <c r="K453">
        <f t="shared" si="6"/>
        <v>0</v>
      </c>
      <c r="L453" s="14">
        <v>0</v>
      </c>
      <c r="M453" s="14">
        <v>0</v>
      </c>
      <c r="N453" s="14">
        <v>0</v>
      </c>
      <c r="O453" s="69">
        <v>0</v>
      </c>
      <c r="P453" s="226">
        <f>VLOOKUP(Table323[[#This Row],[Census Tract]],'Population and Diversity Data'!$B$2:$K$823,10,FALSE)</f>
        <v>5</v>
      </c>
      <c r="Q453" s="226" t="str">
        <f>VLOOKUP(Table323[[#This Row],[Census Tract]],'ES Energy Burden'!$B$2:$E$914,4,FALSE)</f>
        <v>No</v>
      </c>
      <c r="R453" s="248">
        <f>VLOOKUP(Table323[[#This Row],[Census Tract]],'Income and Housing Data'!$B$2:$D$823,3,FALSE)</f>
        <v>66615</v>
      </c>
      <c r="S453" s="248" t="str">
        <f>IF($U$6&lt;=Table323[[#This Row],[Household income]],IF(Table323[[#This Row],[Household income]]&lt;=$U$7, "Yes","No"),"No")</f>
        <v>No</v>
      </c>
    </row>
    <row r="454" spans="1:19" x14ac:dyDescent="0.25">
      <c r="A454" s="147">
        <v>9005300100</v>
      </c>
      <c r="B454" s="148" t="s">
        <v>2798</v>
      </c>
      <c r="C454" s="150" t="s">
        <v>944</v>
      </c>
      <c r="D454" s="70">
        <v>536.4886176</v>
      </c>
      <c r="E454" s="70">
        <v>0</v>
      </c>
      <c r="F454" s="14">
        <v>0</v>
      </c>
      <c r="G454" s="14">
        <v>0</v>
      </c>
      <c r="H454" s="14">
        <v>0</v>
      </c>
      <c r="I454" s="14">
        <v>0</v>
      </c>
      <c r="J454" s="69">
        <v>0</v>
      </c>
      <c r="K454">
        <f t="shared" ref="K454:K517" si="7">L454+M454+N454</f>
        <v>0</v>
      </c>
      <c r="L454" s="14">
        <v>0</v>
      </c>
      <c r="M454" s="14">
        <v>0</v>
      </c>
      <c r="N454" s="14">
        <v>0</v>
      </c>
      <c r="O454" s="69">
        <v>0</v>
      </c>
      <c r="P454" s="226">
        <f>VLOOKUP(Table323[[#This Row],[Census Tract]],'Population and Diversity Data'!$B$2:$K$823,10,FALSE)</f>
        <v>1</v>
      </c>
      <c r="Q454" s="226" t="str">
        <f>VLOOKUP(Table323[[#This Row],[Census Tract]],'ES Energy Burden'!$B$2:$E$914,4,FALSE)</f>
        <v>No</v>
      </c>
      <c r="R454" s="248">
        <f>VLOOKUP(Table323[[#This Row],[Census Tract]],'Income and Housing Data'!$B$2:$D$823,3,FALSE)</f>
        <v>95795</v>
      </c>
      <c r="S454" s="248" t="str">
        <f>IF($U$6&lt;=Table323[[#This Row],[Household income]],IF(Table323[[#This Row],[Household income]]&lt;=$U$7, "Yes","No"),"No")</f>
        <v>No</v>
      </c>
    </row>
    <row r="455" spans="1:19" x14ac:dyDescent="0.25">
      <c r="A455" s="147">
        <v>9005303100</v>
      </c>
      <c r="B455" s="148" t="s">
        <v>2798</v>
      </c>
      <c r="C455" s="150" t="s">
        <v>944</v>
      </c>
      <c r="D455" s="70">
        <v>58713.956403840006</v>
      </c>
      <c r="E455" s="70">
        <v>31889.019799999998</v>
      </c>
      <c r="F455" s="14">
        <v>25</v>
      </c>
      <c r="G455" s="14">
        <v>25</v>
      </c>
      <c r="H455" s="14">
        <v>0</v>
      </c>
      <c r="I455" s="14">
        <v>0</v>
      </c>
      <c r="J455" s="69">
        <v>20374.376799999998</v>
      </c>
      <c r="K455">
        <f t="shared" si="7"/>
        <v>1</v>
      </c>
      <c r="L455" s="14">
        <v>1</v>
      </c>
      <c r="M455" s="14">
        <v>0</v>
      </c>
      <c r="N455" s="14">
        <v>0</v>
      </c>
      <c r="O455" s="69">
        <v>852.7</v>
      </c>
      <c r="P455" s="226">
        <f>VLOOKUP(Table323[[#This Row],[Census Tract]],'Population and Diversity Data'!$B$2:$K$823,10,FALSE)</f>
        <v>1</v>
      </c>
      <c r="Q455" s="226" t="str">
        <f>VLOOKUP(Table323[[#This Row],[Census Tract]],'ES Energy Burden'!$B$2:$E$914,4,FALSE)</f>
        <v>No</v>
      </c>
      <c r="R455" s="248">
        <f>VLOOKUP(Table323[[#This Row],[Census Tract]],'Income and Housing Data'!$B$2:$D$823,3,FALSE)</f>
        <v>87308</v>
      </c>
      <c r="S455" s="248" t="str">
        <f>IF($U$6&lt;=Table323[[#This Row],[Household income]],IF(Table323[[#This Row],[Household income]]&lt;=$U$7, "Yes","No"),"No")</f>
        <v>No</v>
      </c>
    </row>
    <row r="456" spans="1:19" x14ac:dyDescent="0.25">
      <c r="A456" s="147">
        <v>9009344100</v>
      </c>
      <c r="B456" s="148" t="s">
        <v>2799</v>
      </c>
      <c r="C456" s="150" t="s">
        <v>944</v>
      </c>
      <c r="D456" s="70">
        <v>231.36675839999998</v>
      </c>
      <c r="E456" s="70">
        <v>0</v>
      </c>
      <c r="F456" s="14">
        <v>0</v>
      </c>
      <c r="G456" s="14">
        <v>0</v>
      </c>
      <c r="H456" s="14">
        <v>0</v>
      </c>
      <c r="I456" s="14">
        <v>0</v>
      </c>
      <c r="J456" s="69">
        <v>0</v>
      </c>
      <c r="K456">
        <f t="shared" si="7"/>
        <v>0</v>
      </c>
      <c r="L456" s="14">
        <v>0</v>
      </c>
      <c r="M456" s="14">
        <v>0</v>
      </c>
      <c r="N456" s="14">
        <v>0</v>
      </c>
      <c r="O456" s="69">
        <v>0</v>
      </c>
      <c r="P456" s="226">
        <f>VLOOKUP(Table323[[#This Row],[Census Tract]],'Population and Diversity Data'!$B$2:$K$823,10,FALSE)</f>
        <v>2</v>
      </c>
      <c r="Q456" s="226" t="str">
        <f>VLOOKUP(Table323[[#This Row],[Census Tract]],'ES Energy Burden'!$B$2:$E$914,4,FALSE)</f>
        <v>No</v>
      </c>
      <c r="R456" s="248">
        <f>VLOOKUP(Table323[[#This Row],[Census Tract]],'Income and Housing Data'!$B$2:$D$823,3,FALSE)</f>
        <v>115625</v>
      </c>
      <c r="S456" s="248" t="str">
        <f>IF($U$6&lt;=Table323[[#This Row],[Household income]],IF(Table323[[#This Row],[Household income]]&lt;=$U$7, "Yes","No"),"No")</f>
        <v>No</v>
      </c>
    </row>
    <row r="457" spans="1:19" x14ac:dyDescent="0.25">
      <c r="A457" s="147">
        <v>9009345100</v>
      </c>
      <c r="B457" s="148" t="s">
        <v>2799</v>
      </c>
      <c r="C457" s="150" t="s">
        <v>944</v>
      </c>
      <c r="D457" s="70">
        <v>115340.70307968001</v>
      </c>
      <c r="E457" s="70">
        <v>53359.099099999999</v>
      </c>
      <c r="F457" s="14">
        <v>23</v>
      </c>
      <c r="G457" s="14">
        <v>23</v>
      </c>
      <c r="H457" s="14">
        <v>0</v>
      </c>
      <c r="I457" s="14">
        <v>0</v>
      </c>
      <c r="J457" s="69">
        <v>16613.419099999999</v>
      </c>
      <c r="K457">
        <f t="shared" si="7"/>
        <v>0</v>
      </c>
      <c r="L457" s="14">
        <v>0</v>
      </c>
      <c r="M457" s="14">
        <v>0</v>
      </c>
      <c r="N457" s="14">
        <v>0</v>
      </c>
      <c r="O457" s="69">
        <v>0</v>
      </c>
      <c r="P457" s="226">
        <f>VLOOKUP(Table323[[#This Row],[Census Tract]],'Population and Diversity Data'!$B$2:$K$823,10,FALSE)</f>
        <v>2</v>
      </c>
      <c r="Q457" s="226" t="str">
        <f>VLOOKUP(Table323[[#This Row],[Census Tract]],'ES Energy Burden'!$B$2:$E$914,4,FALSE)</f>
        <v>No</v>
      </c>
      <c r="R457" s="248">
        <f>VLOOKUP(Table323[[#This Row],[Census Tract]],'Income and Housing Data'!$B$2:$D$823,3,FALSE)</f>
        <v>64241</v>
      </c>
      <c r="S457" s="248" t="str">
        <f>IF($U$6&lt;=Table323[[#This Row],[Household income]],IF(Table323[[#This Row],[Household income]]&lt;=$U$7, "Yes","No"),"No")</f>
        <v>No</v>
      </c>
    </row>
    <row r="458" spans="1:19" x14ac:dyDescent="0.25">
      <c r="A458" s="147">
        <v>9009345201</v>
      </c>
      <c r="B458" s="148" t="s">
        <v>2799</v>
      </c>
      <c r="C458" s="150" t="s">
        <v>944</v>
      </c>
      <c r="D458" s="70">
        <v>120430.25714015999</v>
      </c>
      <c r="E458" s="70">
        <v>55301.3724</v>
      </c>
      <c r="F458" s="14">
        <v>52</v>
      </c>
      <c r="G458" s="14">
        <v>45</v>
      </c>
      <c r="H458" s="14">
        <v>7</v>
      </c>
      <c r="I458" s="14">
        <v>0</v>
      </c>
      <c r="J458" s="69">
        <v>40285.402399999999</v>
      </c>
      <c r="K458">
        <f t="shared" si="7"/>
        <v>0</v>
      </c>
      <c r="L458" s="14">
        <v>0</v>
      </c>
      <c r="M458" s="14">
        <v>0</v>
      </c>
      <c r="N458" s="14">
        <v>0</v>
      </c>
      <c r="O458" s="69">
        <v>0</v>
      </c>
      <c r="P458" s="226">
        <f>VLOOKUP(Table323[[#This Row],[Census Tract]],'Population and Diversity Data'!$B$2:$K$823,10,FALSE)</f>
        <v>4</v>
      </c>
      <c r="Q458" s="226" t="str">
        <f>VLOOKUP(Table323[[#This Row],[Census Tract]],'ES Energy Burden'!$B$2:$E$914,4,FALSE)</f>
        <v>No</v>
      </c>
      <c r="R458" s="248">
        <f>VLOOKUP(Table323[[#This Row],[Census Tract]],'Income and Housing Data'!$B$2:$D$823,3,FALSE)</f>
        <v>77434</v>
      </c>
      <c r="S458" s="248" t="str">
        <f>IF($U$6&lt;=Table323[[#This Row],[Household income]],IF(Table323[[#This Row],[Household income]]&lt;=$U$7, "Yes","No"),"No")</f>
        <v>No</v>
      </c>
    </row>
    <row r="459" spans="1:19" x14ac:dyDescent="0.25">
      <c r="A459" s="147">
        <v>9009345202</v>
      </c>
      <c r="B459" s="148" t="s">
        <v>2799</v>
      </c>
      <c r="C459" s="150" t="s">
        <v>944</v>
      </c>
      <c r="D459" s="70">
        <v>76552.852731840016</v>
      </c>
      <c r="E459" s="70">
        <v>51535.862300000001</v>
      </c>
      <c r="F459" s="14">
        <v>26</v>
      </c>
      <c r="G459" s="14">
        <v>25</v>
      </c>
      <c r="H459" s="14">
        <v>1</v>
      </c>
      <c r="I459" s="14">
        <v>0</v>
      </c>
      <c r="J459" s="69">
        <v>16787.272300000001</v>
      </c>
      <c r="K459">
        <f t="shared" si="7"/>
        <v>0</v>
      </c>
      <c r="L459" s="14">
        <v>0</v>
      </c>
      <c r="M459" s="14">
        <v>0</v>
      </c>
      <c r="N459" s="14">
        <v>0</v>
      </c>
      <c r="O459" s="69">
        <v>0</v>
      </c>
      <c r="P459" s="226">
        <f>VLOOKUP(Table323[[#This Row],[Census Tract]],'Population and Diversity Data'!$B$2:$K$823,10,FALSE)</f>
        <v>3</v>
      </c>
      <c r="Q459" s="226" t="str">
        <f>VLOOKUP(Table323[[#This Row],[Census Tract]],'ES Energy Burden'!$B$2:$E$914,4,FALSE)</f>
        <v>No</v>
      </c>
      <c r="R459" s="248">
        <f>VLOOKUP(Table323[[#This Row],[Census Tract]],'Income and Housing Data'!$B$2:$D$823,3,FALSE)</f>
        <v>102656</v>
      </c>
      <c r="S459" s="248" t="str">
        <f>IF($U$6&lt;=Table323[[#This Row],[Household income]],IF(Table323[[#This Row],[Household income]]&lt;=$U$7, "Yes","No"),"No")</f>
        <v>No</v>
      </c>
    </row>
    <row r="460" spans="1:19" x14ac:dyDescent="0.25">
      <c r="A460" s="147">
        <v>9009345300</v>
      </c>
      <c r="B460" s="148" t="s">
        <v>2799</v>
      </c>
      <c r="C460" s="150" t="s">
        <v>944</v>
      </c>
      <c r="D460" s="70">
        <v>93771.541079999995</v>
      </c>
      <c r="E460" s="70">
        <v>25594.8802</v>
      </c>
      <c r="F460" s="14">
        <v>27</v>
      </c>
      <c r="G460" s="14">
        <v>26</v>
      </c>
      <c r="H460" s="14">
        <v>1</v>
      </c>
      <c r="I460" s="14">
        <v>0</v>
      </c>
      <c r="J460" s="69">
        <v>15631.120199999999</v>
      </c>
      <c r="K460">
        <f t="shared" si="7"/>
        <v>0</v>
      </c>
      <c r="L460" s="14">
        <v>0</v>
      </c>
      <c r="M460" s="14">
        <v>0</v>
      </c>
      <c r="N460" s="14">
        <v>0</v>
      </c>
      <c r="O460" s="69">
        <v>0</v>
      </c>
      <c r="P460" s="226">
        <f>VLOOKUP(Table323[[#This Row],[Census Tract]],'Population and Diversity Data'!$B$2:$K$823,10,FALSE)</f>
        <v>4</v>
      </c>
      <c r="Q460" s="226" t="str">
        <f>VLOOKUP(Table323[[#This Row],[Census Tract]],'ES Energy Burden'!$B$2:$E$914,4,FALSE)</f>
        <v>No</v>
      </c>
      <c r="R460" s="248">
        <f>VLOOKUP(Table323[[#This Row],[Census Tract]],'Income and Housing Data'!$B$2:$D$823,3,FALSE)</f>
        <v>66964</v>
      </c>
      <c r="S460" s="248" t="str">
        <f>IF($U$6&lt;=Table323[[#This Row],[Household income]],IF(Table323[[#This Row],[Household income]]&lt;=$U$7, "Yes","No"),"No")</f>
        <v>No</v>
      </c>
    </row>
    <row r="461" spans="1:19" x14ac:dyDescent="0.25">
      <c r="A461" s="147">
        <v>9009345400</v>
      </c>
      <c r="B461" s="148" t="s">
        <v>2799</v>
      </c>
      <c r="C461" s="150" t="s">
        <v>944</v>
      </c>
      <c r="D461" s="70">
        <v>141079.32990144001</v>
      </c>
      <c r="E461" s="70">
        <v>1079229.5663000001</v>
      </c>
      <c r="F461" s="14">
        <v>374</v>
      </c>
      <c r="G461" s="14">
        <v>51</v>
      </c>
      <c r="H461" s="14">
        <v>4</v>
      </c>
      <c r="I461" s="14">
        <v>319</v>
      </c>
      <c r="J461" s="69">
        <v>46516.534399999997</v>
      </c>
      <c r="K461">
        <f t="shared" si="7"/>
        <v>331</v>
      </c>
      <c r="L461" s="14">
        <v>107</v>
      </c>
      <c r="M461" s="14">
        <v>6</v>
      </c>
      <c r="N461" s="14">
        <v>218</v>
      </c>
      <c r="O461" s="69">
        <v>994053</v>
      </c>
      <c r="P461" s="226">
        <f>VLOOKUP(Table323[[#This Row],[Census Tract]],'Population and Diversity Data'!$B$2:$K$823,10,FALSE)</f>
        <v>4</v>
      </c>
      <c r="Q461" s="226" t="str">
        <f>VLOOKUP(Table323[[#This Row],[Census Tract]],'ES Energy Burden'!$B$2:$E$914,4,FALSE)</f>
        <v>No</v>
      </c>
      <c r="R461" s="248">
        <f>VLOOKUP(Table323[[#This Row],[Census Tract]],'Income and Housing Data'!$B$2:$D$823,3,FALSE)</f>
        <v>74735</v>
      </c>
      <c r="S461" s="248" t="str">
        <f>IF($U$6&lt;=Table323[[#This Row],[Household income]],IF(Table323[[#This Row],[Household income]]&lt;=$U$7, "Yes","No"),"No")</f>
        <v>No</v>
      </c>
    </row>
    <row r="462" spans="1:19" x14ac:dyDescent="0.25">
      <c r="A462" s="147">
        <v>9009346102</v>
      </c>
      <c r="B462" s="148" t="s">
        <v>2799</v>
      </c>
      <c r="C462" s="150" t="s">
        <v>944</v>
      </c>
      <c r="D462" s="70">
        <v>364.28918399999998</v>
      </c>
      <c r="E462" s="70">
        <v>0</v>
      </c>
      <c r="F462" s="14">
        <v>0</v>
      </c>
      <c r="G462" s="14">
        <v>0</v>
      </c>
      <c r="H462" s="14">
        <v>0</v>
      </c>
      <c r="I462" s="14">
        <v>0</v>
      </c>
      <c r="J462" s="69">
        <v>0</v>
      </c>
      <c r="K462">
        <f t="shared" si="7"/>
        <v>0</v>
      </c>
      <c r="L462" s="14">
        <v>0</v>
      </c>
      <c r="M462" s="14">
        <v>0</v>
      </c>
      <c r="N462" s="14">
        <v>0</v>
      </c>
      <c r="O462" s="69">
        <v>0</v>
      </c>
      <c r="P462" s="226">
        <f>VLOOKUP(Table323[[#This Row],[Census Tract]],'Population and Diversity Data'!$B$2:$K$823,10,FALSE)</f>
        <v>2</v>
      </c>
      <c r="Q462" s="226" t="str">
        <f>VLOOKUP(Table323[[#This Row],[Census Tract]],'ES Energy Burden'!$B$2:$E$914,4,FALSE)</f>
        <v>No</v>
      </c>
      <c r="R462" s="248">
        <f>VLOOKUP(Table323[[#This Row],[Census Tract]],'Income and Housing Data'!$B$2:$D$823,3,FALSE)</f>
        <v>113500</v>
      </c>
      <c r="S462" s="248" t="str">
        <f>IF($U$6&lt;=Table323[[#This Row],[Household income]],IF(Table323[[#This Row],[Household income]]&lt;=$U$7, "Yes","No"),"No")</f>
        <v>No</v>
      </c>
    </row>
    <row r="463" spans="1:19" x14ac:dyDescent="0.25">
      <c r="A463" s="147">
        <v>9009347200</v>
      </c>
      <c r="B463" s="148" t="s">
        <v>2799</v>
      </c>
      <c r="C463" s="150" t="s">
        <v>944</v>
      </c>
      <c r="D463" s="70">
        <v>782.27527680000003</v>
      </c>
      <c r="E463" s="70">
        <v>0</v>
      </c>
      <c r="F463" s="14">
        <v>0</v>
      </c>
      <c r="G463" s="14">
        <v>0</v>
      </c>
      <c r="H463" s="14">
        <v>0</v>
      </c>
      <c r="I463" s="14">
        <v>0</v>
      </c>
      <c r="J463" s="69">
        <v>0</v>
      </c>
      <c r="K463">
        <f t="shared" si="7"/>
        <v>0</v>
      </c>
      <c r="L463" s="14">
        <v>0</v>
      </c>
      <c r="M463" s="14">
        <v>0</v>
      </c>
      <c r="N463" s="14">
        <v>0</v>
      </c>
      <c r="O463" s="69">
        <v>0</v>
      </c>
      <c r="P463" s="226">
        <f>VLOOKUP(Table323[[#This Row],[Census Tract]],'Population and Diversity Data'!$B$2:$K$823,10,FALSE)</f>
        <v>2</v>
      </c>
      <c r="Q463" s="226" t="str">
        <f>VLOOKUP(Table323[[#This Row],[Census Tract]],'ES Energy Burden'!$B$2:$E$914,4,FALSE)</f>
        <v>No</v>
      </c>
      <c r="R463" s="248">
        <f>VLOOKUP(Table323[[#This Row],[Census Tract]],'Income and Housing Data'!$B$2:$D$823,3,FALSE)</f>
        <v>99391</v>
      </c>
      <c r="S463" s="248" t="str">
        <f>IF($U$6&lt;=Table323[[#This Row],[Household income]],IF(Table323[[#This Row],[Household income]]&lt;=$U$7, "Yes","No"),"No")</f>
        <v>No</v>
      </c>
    </row>
    <row r="464" spans="1:19" x14ac:dyDescent="0.25">
      <c r="A464" s="147">
        <v>9009351900</v>
      </c>
      <c r="B464" s="148" t="s">
        <v>2799</v>
      </c>
      <c r="C464" s="150" t="s">
        <v>944</v>
      </c>
      <c r="D464" s="70">
        <v>679.60511999999994</v>
      </c>
      <c r="E464" s="70">
        <v>0</v>
      </c>
      <c r="F464" s="14">
        <v>0</v>
      </c>
      <c r="G464" s="14">
        <v>0</v>
      </c>
      <c r="H464" s="14">
        <v>0</v>
      </c>
      <c r="I464" s="14">
        <v>0</v>
      </c>
      <c r="J464" s="69">
        <v>0</v>
      </c>
      <c r="K464">
        <f t="shared" si="7"/>
        <v>0</v>
      </c>
      <c r="L464" s="14">
        <v>0</v>
      </c>
      <c r="M464" s="14">
        <v>0</v>
      </c>
      <c r="N464" s="14">
        <v>0</v>
      </c>
      <c r="O464" s="69">
        <v>0</v>
      </c>
      <c r="P464" s="226">
        <f>VLOOKUP(Table323[[#This Row],[Census Tract]],'Population and Diversity Data'!$B$2:$K$823,10,FALSE)</f>
        <v>4</v>
      </c>
      <c r="Q464" s="226" t="str">
        <f>VLOOKUP(Table323[[#This Row],[Census Tract]],'ES Energy Burden'!$B$2:$E$914,4,FALSE)</f>
        <v>No</v>
      </c>
      <c r="R464" s="248">
        <f>VLOOKUP(Table323[[#This Row],[Census Tract]],'Income and Housing Data'!$B$2:$D$823,3,FALSE)</f>
        <v>76739</v>
      </c>
      <c r="S464" s="248" t="str">
        <f>IF($U$6&lt;=Table323[[#This Row],[Household income]],IF(Table323[[#This Row],[Household income]]&lt;=$U$7, "Yes","No"),"No")</f>
        <v>No</v>
      </c>
    </row>
    <row r="465" spans="1:19" x14ac:dyDescent="0.25">
      <c r="A465" s="147">
        <v>9003400300</v>
      </c>
      <c r="B465" s="148" t="s">
        <v>983</v>
      </c>
      <c r="C465" s="150" t="s">
        <v>944</v>
      </c>
      <c r="D465" s="70">
        <v>617.43919679999999</v>
      </c>
      <c r="E465" s="70">
        <v>436.28</v>
      </c>
      <c r="F465" s="14">
        <v>0</v>
      </c>
      <c r="G465" s="14">
        <v>0</v>
      </c>
      <c r="H465" s="14">
        <v>0</v>
      </c>
      <c r="I465" s="14">
        <v>0</v>
      </c>
      <c r="J465" s="69">
        <v>0</v>
      </c>
      <c r="K465">
        <f t="shared" si="7"/>
        <v>0</v>
      </c>
      <c r="L465" s="14">
        <v>0</v>
      </c>
      <c r="M465" s="14">
        <v>0</v>
      </c>
      <c r="N465" s="14">
        <v>0</v>
      </c>
      <c r="O465" s="69">
        <v>0</v>
      </c>
      <c r="P465" s="226">
        <f>VLOOKUP(Table323[[#This Row],[Census Tract]],'Population and Diversity Data'!$B$2:$K$823,10,FALSE)</f>
        <v>2</v>
      </c>
      <c r="Q465" s="226" t="str">
        <f>VLOOKUP(Table323[[#This Row],[Census Tract]],'ES Energy Burden'!$B$2:$E$914,4,FALSE)</f>
        <v>No</v>
      </c>
      <c r="R465" s="248">
        <f>VLOOKUP(Table323[[#This Row],[Census Tract]],'Income and Housing Data'!$B$2:$D$823,3,FALSE)</f>
        <v>99743</v>
      </c>
      <c r="S465" s="248" t="str">
        <f>IF($U$6&lt;=Table323[[#This Row],[Household income]],IF(Table323[[#This Row],[Household income]]&lt;=$U$7, "Yes","No"),"No")</f>
        <v>No</v>
      </c>
    </row>
    <row r="466" spans="1:19" x14ac:dyDescent="0.25">
      <c r="A466" s="147">
        <v>9003415300</v>
      </c>
      <c r="B466" s="148" t="s">
        <v>983</v>
      </c>
      <c r="C466" s="150" t="s">
        <v>944</v>
      </c>
      <c r="D466" s="70">
        <v>61846.119786240008</v>
      </c>
      <c r="E466" s="70">
        <v>907.27</v>
      </c>
      <c r="F466" s="14">
        <v>3</v>
      </c>
      <c r="G466" s="14">
        <v>2</v>
      </c>
      <c r="H466" s="14">
        <v>1</v>
      </c>
      <c r="I466" s="14">
        <v>0</v>
      </c>
      <c r="J466" s="69">
        <v>620.98</v>
      </c>
      <c r="K466">
        <f t="shared" si="7"/>
        <v>0</v>
      </c>
      <c r="L466" s="14">
        <v>0</v>
      </c>
      <c r="M466" s="14">
        <v>0</v>
      </c>
      <c r="N466" s="14">
        <v>0</v>
      </c>
      <c r="O466" s="69">
        <v>0</v>
      </c>
      <c r="P466" s="226">
        <f>VLOOKUP(Table323[[#This Row],[Census Tract]],'Population and Diversity Data'!$B$2:$K$823,10,FALSE)</f>
        <v>5</v>
      </c>
      <c r="Q466" s="226" t="str">
        <f>VLOOKUP(Table323[[#This Row],[Census Tract]],'ES Energy Burden'!$B$2:$E$914,4,FALSE)</f>
        <v>Yes</v>
      </c>
      <c r="R466" s="248">
        <f>VLOOKUP(Table323[[#This Row],[Census Tract]],'Income and Housing Data'!$B$2:$D$823,3,FALSE)</f>
        <v>33049</v>
      </c>
      <c r="S466" s="248" t="str">
        <f>IF($U$6&lt;=Table323[[#This Row],[Household income]],IF(Table323[[#This Row],[Household income]]&lt;=$U$7, "Yes","No"),"No")</f>
        <v>No</v>
      </c>
    </row>
    <row r="467" spans="1:19" x14ac:dyDescent="0.25">
      <c r="A467" s="147">
        <v>9003415400</v>
      </c>
      <c r="B467" s="148" t="s">
        <v>983</v>
      </c>
      <c r="C467" s="150" t="s">
        <v>944</v>
      </c>
      <c r="D467" s="70">
        <v>60029.682335999998</v>
      </c>
      <c r="E467" s="70">
        <v>7314.39</v>
      </c>
      <c r="F467" s="14">
        <v>11</v>
      </c>
      <c r="G467" s="14">
        <v>10</v>
      </c>
      <c r="H467" s="14">
        <v>1</v>
      </c>
      <c r="I467" s="14">
        <v>0</v>
      </c>
      <c r="J467" s="69">
        <v>2665.31</v>
      </c>
      <c r="K467">
        <f t="shared" si="7"/>
        <v>0</v>
      </c>
      <c r="L467" s="14">
        <v>0</v>
      </c>
      <c r="M467" s="14">
        <v>0</v>
      </c>
      <c r="N467" s="14">
        <v>0</v>
      </c>
      <c r="O467" s="69">
        <v>0</v>
      </c>
      <c r="P467" s="226">
        <f>VLOOKUP(Table323[[#This Row],[Census Tract]],'Population and Diversity Data'!$B$2:$K$823,10,FALSE)</f>
        <v>3</v>
      </c>
      <c r="Q467" s="226" t="str">
        <f>VLOOKUP(Table323[[#This Row],[Census Tract]],'ES Energy Burden'!$B$2:$E$914,4,FALSE)</f>
        <v>Yes</v>
      </c>
      <c r="R467" s="248">
        <f>VLOOKUP(Table323[[#This Row],[Census Tract]],'Income and Housing Data'!$B$2:$D$823,3,FALSE)</f>
        <v>45828</v>
      </c>
      <c r="S467" s="248" t="str">
        <f>IF($U$6&lt;=Table323[[#This Row],[Household income]],IF(Table323[[#This Row],[Household income]]&lt;=$U$7, "Yes","No"),"No")</f>
        <v>No</v>
      </c>
    </row>
    <row r="468" spans="1:19" x14ac:dyDescent="0.25">
      <c r="A468" s="147">
        <v>9003415500</v>
      </c>
      <c r="B468" s="148" t="s">
        <v>983</v>
      </c>
      <c r="C468" s="150" t="s">
        <v>944</v>
      </c>
      <c r="D468" s="70">
        <v>30047.905635839998</v>
      </c>
      <c r="E468" s="70">
        <v>2366.27</v>
      </c>
      <c r="F468" s="14">
        <v>2</v>
      </c>
      <c r="G468" s="14">
        <v>2</v>
      </c>
      <c r="H468" s="14">
        <v>0</v>
      </c>
      <c r="I468" s="14">
        <v>0</v>
      </c>
      <c r="J468" s="69">
        <v>1385.66</v>
      </c>
      <c r="K468">
        <f t="shared" si="7"/>
        <v>0</v>
      </c>
      <c r="L468" s="14">
        <v>0</v>
      </c>
      <c r="M468" s="14">
        <v>0</v>
      </c>
      <c r="N468" s="14">
        <v>0</v>
      </c>
      <c r="O468" s="69">
        <v>0</v>
      </c>
      <c r="P468" s="226">
        <f>VLOOKUP(Table323[[#This Row],[Census Tract]],'Population and Diversity Data'!$B$2:$K$823,10,FALSE)</f>
        <v>4</v>
      </c>
      <c r="Q468" s="226" t="str">
        <f>VLOOKUP(Table323[[#This Row],[Census Tract]],'ES Energy Burden'!$B$2:$E$914,4,FALSE)</f>
        <v>Yes</v>
      </c>
      <c r="R468" s="248">
        <f>VLOOKUP(Table323[[#This Row],[Census Tract]],'Income and Housing Data'!$B$2:$D$823,3,FALSE)</f>
        <v>33056</v>
      </c>
      <c r="S468" s="248" t="str">
        <f>IF($U$6&lt;=Table323[[#This Row],[Household income]],IF(Table323[[#This Row],[Household income]]&lt;=$U$7, "Yes","No"),"No")</f>
        <v>No</v>
      </c>
    </row>
    <row r="469" spans="1:19" x14ac:dyDescent="0.25">
      <c r="A469" s="147">
        <v>9003415600</v>
      </c>
      <c r="B469" s="148" t="s">
        <v>983</v>
      </c>
      <c r="C469" s="150" t="s">
        <v>944</v>
      </c>
      <c r="D469" s="70">
        <v>37751.387126400004</v>
      </c>
      <c r="E469" s="70">
        <v>1307.4318000000001</v>
      </c>
      <c r="F469" s="14">
        <v>3</v>
      </c>
      <c r="G469" s="14">
        <v>3</v>
      </c>
      <c r="H469" s="14">
        <v>0</v>
      </c>
      <c r="I469" s="14">
        <v>0</v>
      </c>
      <c r="J469" s="69">
        <v>971.07180000000005</v>
      </c>
      <c r="K469">
        <f t="shared" si="7"/>
        <v>0</v>
      </c>
      <c r="L469" s="14">
        <v>0</v>
      </c>
      <c r="M469" s="14">
        <v>0</v>
      </c>
      <c r="N469" s="14">
        <v>0</v>
      </c>
      <c r="O469" s="69">
        <v>0</v>
      </c>
      <c r="P469" s="226">
        <f>VLOOKUP(Table323[[#This Row],[Census Tract]],'Population and Diversity Data'!$B$2:$K$823,10,FALSE)</f>
        <v>5</v>
      </c>
      <c r="Q469" s="226" t="str">
        <f>VLOOKUP(Table323[[#This Row],[Census Tract]],'ES Energy Burden'!$B$2:$E$914,4,FALSE)</f>
        <v>No</v>
      </c>
      <c r="R469" s="248">
        <f>VLOOKUP(Table323[[#This Row],[Census Tract]],'Income and Housing Data'!$B$2:$D$823,3,FALSE)</f>
        <v>49125</v>
      </c>
      <c r="S469" s="248" t="str">
        <f>IF($U$6&lt;=Table323[[#This Row],[Household income]],IF(Table323[[#This Row],[Household income]]&lt;=$U$7, "Yes","No"),"No")</f>
        <v>Yes</v>
      </c>
    </row>
    <row r="470" spans="1:19" x14ac:dyDescent="0.25">
      <c r="A470" s="147">
        <v>9003415700</v>
      </c>
      <c r="B470" s="148" t="s">
        <v>983</v>
      </c>
      <c r="C470" s="150" t="s">
        <v>944</v>
      </c>
      <c r="D470" s="70">
        <v>35649.427536000003</v>
      </c>
      <c r="E470" s="70">
        <v>7072.64</v>
      </c>
      <c r="F470" s="14">
        <v>1</v>
      </c>
      <c r="G470" s="14">
        <v>0</v>
      </c>
      <c r="H470" s="14">
        <v>1</v>
      </c>
      <c r="I470" s="14">
        <v>0</v>
      </c>
      <c r="J470" s="69">
        <v>284.02999999999997</v>
      </c>
      <c r="K470">
        <f t="shared" si="7"/>
        <v>0</v>
      </c>
      <c r="L470" s="14">
        <v>0</v>
      </c>
      <c r="M470" s="14">
        <v>0</v>
      </c>
      <c r="N470" s="14">
        <v>0</v>
      </c>
      <c r="O470" s="69">
        <v>0</v>
      </c>
      <c r="P470" s="226">
        <f>VLOOKUP(Table323[[#This Row],[Census Tract]],'Population and Diversity Data'!$B$2:$K$823,10,FALSE)</f>
        <v>4</v>
      </c>
      <c r="Q470" s="226" t="str">
        <f>VLOOKUP(Table323[[#This Row],[Census Tract]],'ES Energy Burden'!$B$2:$E$914,4,FALSE)</f>
        <v>No</v>
      </c>
      <c r="R470" s="248">
        <f>VLOOKUP(Table323[[#This Row],[Census Tract]],'Income and Housing Data'!$B$2:$D$823,3,FALSE)</f>
        <v>49583</v>
      </c>
      <c r="S470" s="248" t="str">
        <f>IF($U$6&lt;=Table323[[#This Row],[Household income]],IF(Table323[[#This Row],[Household income]]&lt;=$U$7, "Yes","No"),"No")</f>
        <v>Yes</v>
      </c>
    </row>
    <row r="471" spans="1:19" x14ac:dyDescent="0.25">
      <c r="A471" s="147">
        <v>9003415800</v>
      </c>
      <c r="B471" s="148" t="s">
        <v>983</v>
      </c>
      <c r="C471" s="150" t="s">
        <v>944</v>
      </c>
      <c r="D471" s="70">
        <v>33526.124061120005</v>
      </c>
      <c r="E471" s="70">
        <v>4495.78</v>
      </c>
      <c r="F471" s="14">
        <v>3</v>
      </c>
      <c r="G471" s="14">
        <v>3</v>
      </c>
      <c r="H471" s="14">
        <v>0</v>
      </c>
      <c r="I471" s="14">
        <v>0</v>
      </c>
      <c r="J471" s="69">
        <v>1062.1300000000001</v>
      </c>
      <c r="K471">
        <f t="shared" si="7"/>
        <v>0</v>
      </c>
      <c r="L471" s="14">
        <v>0</v>
      </c>
      <c r="M471" s="14">
        <v>0</v>
      </c>
      <c r="N471" s="14">
        <v>0</v>
      </c>
      <c r="O471" s="69">
        <v>0</v>
      </c>
      <c r="P471" s="226">
        <f>VLOOKUP(Table323[[#This Row],[Census Tract]],'Population and Diversity Data'!$B$2:$K$823,10,FALSE)</f>
        <v>3</v>
      </c>
      <c r="Q471" s="226" t="str">
        <f>VLOOKUP(Table323[[#This Row],[Census Tract]],'ES Energy Burden'!$B$2:$E$914,4,FALSE)</f>
        <v>No</v>
      </c>
      <c r="R471" s="248">
        <f>VLOOKUP(Table323[[#This Row],[Census Tract]],'Income and Housing Data'!$B$2:$D$823,3,FALSE)</f>
        <v>48824</v>
      </c>
      <c r="S471" s="248" t="str">
        <f>IF($U$6&lt;=Table323[[#This Row],[Household income]],IF(Table323[[#This Row],[Household income]]&lt;=$U$7, "Yes","No"),"No")</f>
        <v>Yes</v>
      </c>
    </row>
    <row r="472" spans="1:19" x14ac:dyDescent="0.25">
      <c r="A472" s="147">
        <v>9003415900</v>
      </c>
      <c r="B472" s="148" t="s">
        <v>983</v>
      </c>
      <c r="C472" s="150" t="s">
        <v>936</v>
      </c>
      <c r="D472" s="70">
        <v>13994.03441376</v>
      </c>
      <c r="E472" s="70">
        <v>1500.57</v>
      </c>
      <c r="F472" s="14">
        <v>2</v>
      </c>
      <c r="G472" s="14">
        <v>2</v>
      </c>
      <c r="H472" s="14">
        <v>0</v>
      </c>
      <c r="I472" s="14">
        <v>0</v>
      </c>
      <c r="J472" s="69">
        <v>1418.55</v>
      </c>
      <c r="K472">
        <f t="shared" si="7"/>
        <v>0</v>
      </c>
      <c r="L472" s="14">
        <v>0</v>
      </c>
      <c r="M472" s="14">
        <v>0</v>
      </c>
      <c r="N472" s="14">
        <v>0</v>
      </c>
      <c r="O472" s="69">
        <v>0</v>
      </c>
      <c r="P472" s="226">
        <f>VLOOKUP(Table323[[#This Row],[Census Tract]],'Population and Diversity Data'!$B$2:$K$823,10,FALSE)</f>
        <v>3</v>
      </c>
      <c r="Q472" s="226" t="e">
        <f>VLOOKUP(Table323[[#This Row],[Census Tract]],'ES Energy Burden'!$B$2:$E$914,4,FALSE)</f>
        <v>#N/A</v>
      </c>
      <c r="R472" s="248">
        <f>VLOOKUP(Table323[[#This Row],[Census Tract]],'Income and Housing Data'!$B$2:$D$823,3,FALSE)</f>
        <v>28636</v>
      </c>
      <c r="S472" s="248" t="str">
        <f>IF($U$6&lt;=Table323[[#This Row],[Household income]],IF(Table323[[#This Row],[Household income]]&lt;=$U$7, "Yes","No"),"No")</f>
        <v>No</v>
      </c>
    </row>
    <row r="473" spans="1:19" x14ac:dyDescent="0.25">
      <c r="A473" s="147">
        <v>9003416000</v>
      </c>
      <c r="B473" s="148" t="s">
        <v>983</v>
      </c>
      <c r="C473" s="150" t="s">
        <v>944</v>
      </c>
      <c r="D473" s="70">
        <v>53175.932429759996</v>
      </c>
      <c r="E473" s="70">
        <v>772.94</v>
      </c>
      <c r="F473" s="14">
        <v>1</v>
      </c>
      <c r="G473" s="14">
        <v>1</v>
      </c>
      <c r="H473" s="14">
        <v>0</v>
      </c>
      <c r="I473" s="14">
        <v>0</v>
      </c>
      <c r="J473" s="69">
        <v>66.400000000000006</v>
      </c>
      <c r="K473">
        <f t="shared" si="7"/>
        <v>0</v>
      </c>
      <c r="L473" s="14">
        <v>0</v>
      </c>
      <c r="M473" s="14">
        <v>0</v>
      </c>
      <c r="N473" s="14">
        <v>0</v>
      </c>
      <c r="O473" s="69">
        <v>0</v>
      </c>
      <c r="P473" s="226">
        <f>VLOOKUP(Table323[[#This Row],[Census Tract]],'Population and Diversity Data'!$B$2:$K$823,10,FALSE)</f>
        <v>3</v>
      </c>
      <c r="Q473" s="226" t="str">
        <f>VLOOKUP(Table323[[#This Row],[Census Tract]],'ES Energy Burden'!$B$2:$E$914,4,FALSE)</f>
        <v>Yes</v>
      </c>
      <c r="R473" s="248">
        <f>VLOOKUP(Table323[[#This Row],[Census Tract]],'Income and Housing Data'!$B$2:$D$823,3,FALSE)</f>
        <v>41616</v>
      </c>
      <c r="S473" s="248" t="str">
        <f>IF($U$6&lt;=Table323[[#This Row],[Household income]],IF(Table323[[#This Row],[Household income]]&lt;=$U$7, "Yes","No"),"No")</f>
        <v>No</v>
      </c>
    </row>
    <row r="474" spans="1:19" x14ac:dyDescent="0.25">
      <c r="A474" s="147">
        <v>9003416100</v>
      </c>
      <c r="B474" s="148" t="s">
        <v>983</v>
      </c>
      <c r="C474" s="150" t="s">
        <v>944</v>
      </c>
      <c r="D474" s="70">
        <v>45937.126019520001</v>
      </c>
      <c r="E474" s="70">
        <v>2835.0911999999998</v>
      </c>
      <c r="F474" s="14">
        <v>6</v>
      </c>
      <c r="G474" s="14">
        <v>6</v>
      </c>
      <c r="H474" s="14">
        <v>0</v>
      </c>
      <c r="I474" s="14">
        <v>0</v>
      </c>
      <c r="J474" s="69">
        <v>1935.5812000000001</v>
      </c>
      <c r="K474">
        <f t="shared" si="7"/>
        <v>0</v>
      </c>
      <c r="L474" s="14">
        <v>0</v>
      </c>
      <c r="M474" s="14">
        <v>0</v>
      </c>
      <c r="N474" s="14">
        <v>0</v>
      </c>
      <c r="O474" s="69">
        <v>0</v>
      </c>
      <c r="P474" s="226">
        <f>VLOOKUP(Table323[[#This Row],[Census Tract]],'Population and Diversity Data'!$B$2:$K$823,10,FALSE)</f>
        <v>5</v>
      </c>
      <c r="Q474" s="226" t="str">
        <f>VLOOKUP(Table323[[#This Row],[Census Tract]],'ES Energy Burden'!$B$2:$E$914,4,FALSE)</f>
        <v>Yes</v>
      </c>
      <c r="R474" s="248">
        <f>VLOOKUP(Table323[[#This Row],[Census Tract]],'Income and Housing Data'!$B$2:$D$823,3,FALSE)</f>
        <v>30293</v>
      </c>
      <c r="S474" s="248" t="str">
        <f>IF($U$6&lt;=Table323[[#This Row],[Household income]],IF(Table323[[#This Row],[Household income]]&lt;=$U$7, "Yes","No"),"No")</f>
        <v>No</v>
      </c>
    </row>
    <row r="475" spans="1:19" x14ac:dyDescent="0.25">
      <c r="A475" s="147">
        <v>9003416200</v>
      </c>
      <c r="B475" s="148" t="s">
        <v>983</v>
      </c>
      <c r="C475" s="150" t="s">
        <v>944</v>
      </c>
      <c r="D475" s="70">
        <v>25037.862480000003</v>
      </c>
      <c r="E475" s="70">
        <v>31916.26</v>
      </c>
      <c r="F475" s="14">
        <v>0</v>
      </c>
      <c r="G475" s="14">
        <v>0</v>
      </c>
      <c r="H475" s="14">
        <v>0</v>
      </c>
      <c r="I475" s="14">
        <v>0</v>
      </c>
      <c r="J475" s="69">
        <v>0</v>
      </c>
      <c r="K475">
        <f t="shared" si="7"/>
        <v>0</v>
      </c>
      <c r="L475" s="14">
        <v>0</v>
      </c>
      <c r="M475" s="14">
        <v>0</v>
      </c>
      <c r="N475" s="14">
        <v>0</v>
      </c>
      <c r="O475" s="69">
        <v>0</v>
      </c>
      <c r="P475" s="226">
        <f>VLOOKUP(Table323[[#This Row],[Census Tract]],'Population and Diversity Data'!$B$2:$K$823,10,FALSE)</f>
        <v>4</v>
      </c>
      <c r="Q475" s="226" t="str">
        <f>VLOOKUP(Table323[[#This Row],[Census Tract]],'ES Energy Burden'!$B$2:$E$914,4,FALSE)</f>
        <v>Yes</v>
      </c>
      <c r="R475" s="248">
        <f>VLOOKUP(Table323[[#This Row],[Census Tract]],'Income and Housing Data'!$B$2:$D$823,3,FALSE)</f>
        <v>35463</v>
      </c>
      <c r="S475" s="248" t="str">
        <f>IF($U$6&lt;=Table323[[#This Row],[Household income]],IF(Table323[[#This Row],[Household income]]&lt;=$U$7, "Yes","No"),"No")</f>
        <v>No</v>
      </c>
    </row>
    <row r="476" spans="1:19" x14ac:dyDescent="0.25">
      <c r="A476" s="147">
        <v>9003416300</v>
      </c>
      <c r="B476" s="148" t="s">
        <v>983</v>
      </c>
      <c r="C476" s="150" t="s">
        <v>944</v>
      </c>
      <c r="D476" s="70">
        <v>46612.013846400005</v>
      </c>
      <c r="E476" s="70">
        <v>7464.55</v>
      </c>
      <c r="F476" s="14">
        <v>8</v>
      </c>
      <c r="G476" s="14">
        <v>8</v>
      </c>
      <c r="H476" s="14">
        <v>0</v>
      </c>
      <c r="I476" s="14">
        <v>0</v>
      </c>
      <c r="J476" s="69">
        <v>3940.8</v>
      </c>
      <c r="K476">
        <f t="shared" si="7"/>
        <v>0</v>
      </c>
      <c r="L476" s="14">
        <v>0</v>
      </c>
      <c r="M476" s="14">
        <v>0</v>
      </c>
      <c r="N476" s="14">
        <v>0</v>
      </c>
      <c r="O476" s="69">
        <v>0</v>
      </c>
      <c r="P476" s="226">
        <f>VLOOKUP(Table323[[#This Row],[Census Tract]],'Population and Diversity Data'!$B$2:$K$823,10,FALSE)</f>
        <v>4</v>
      </c>
      <c r="Q476" s="226" t="str">
        <f>VLOOKUP(Table323[[#This Row],[Census Tract]],'ES Energy Burden'!$B$2:$E$914,4,FALSE)</f>
        <v>Yes</v>
      </c>
      <c r="R476" s="248">
        <f>VLOOKUP(Table323[[#This Row],[Census Tract]],'Income and Housing Data'!$B$2:$D$823,3,FALSE)</f>
        <v>37463</v>
      </c>
      <c r="S476" s="248" t="str">
        <f>IF($U$6&lt;=Table323[[#This Row],[Household income]],IF(Table323[[#This Row],[Household income]]&lt;=$U$7, "Yes","No"),"No")</f>
        <v>No</v>
      </c>
    </row>
    <row r="477" spans="1:19" x14ac:dyDescent="0.25">
      <c r="A477" s="147">
        <v>9003416400</v>
      </c>
      <c r="B477" s="148" t="s">
        <v>983</v>
      </c>
      <c r="C477" s="150" t="s">
        <v>944</v>
      </c>
      <c r="D477" s="70">
        <v>55528.130845440013</v>
      </c>
      <c r="E477" s="70">
        <v>6996.7744000000002</v>
      </c>
      <c r="F477" s="14">
        <v>14</v>
      </c>
      <c r="G477" s="14">
        <v>14</v>
      </c>
      <c r="H477" s="14">
        <v>0</v>
      </c>
      <c r="I477" s="14">
        <v>0</v>
      </c>
      <c r="J477" s="69">
        <v>5722.2043999999996</v>
      </c>
      <c r="K477">
        <f t="shared" si="7"/>
        <v>0</v>
      </c>
      <c r="L477" s="14">
        <v>0</v>
      </c>
      <c r="M477" s="14">
        <v>0</v>
      </c>
      <c r="N477" s="14">
        <v>0</v>
      </c>
      <c r="O477" s="69">
        <v>0</v>
      </c>
      <c r="P477" s="226">
        <f>VLOOKUP(Table323[[#This Row],[Census Tract]],'Population and Diversity Data'!$B$2:$K$823,10,FALSE)</f>
        <v>3</v>
      </c>
      <c r="Q477" s="226" t="str">
        <f>VLOOKUP(Table323[[#This Row],[Census Tract]],'ES Energy Burden'!$B$2:$E$914,4,FALSE)</f>
        <v>No</v>
      </c>
      <c r="R477" s="248">
        <f>VLOOKUP(Table323[[#This Row],[Census Tract]],'Income and Housing Data'!$B$2:$D$823,3,FALSE)</f>
        <v>96658</v>
      </c>
      <c r="S477" s="248" t="str">
        <f>IF($U$6&lt;=Table323[[#This Row],[Household income]],IF(Table323[[#This Row],[Household income]]&lt;=$U$7, "Yes","No"),"No")</f>
        <v>No</v>
      </c>
    </row>
    <row r="478" spans="1:19" x14ac:dyDescent="0.25">
      <c r="A478" s="147">
        <v>9003416500</v>
      </c>
      <c r="B478" s="148" t="s">
        <v>983</v>
      </c>
      <c r="C478" s="150" t="s">
        <v>944</v>
      </c>
      <c r="D478" s="70">
        <v>58902.579241920001</v>
      </c>
      <c r="E478" s="70">
        <v>9258.3799999999992</v>
      </c>
      <c r="F478" s="14">
        <v>18</v>
      </c>
      <c r="G478" s="14">
        <v>18</v>
      </c>
      <c r="H478" s="14">
        <v>0</v>
      </c>
      <c r="I478" s="14">
        <v>0</v>
      </c>
      <c r="J478" s="69">
        <v>7415.66</v>
      </c>
      <c r="K478">
        <f t="shared" si="7"/>
        <v>0</v>
      </c>
      <c r="L478" s="14">
        <v>0</v>
      </c>
      <c r="M478" s="14">
        <v>0</v>
      </c>
      <c r="N478" s="14">
        <v>0</v>
      </c>
      <c r="O478" s="69">
        <v>0</v>
      </c>
      <c r="P478" s="226">
        <f>VLOOKUP(Table323[[#This Row],[Census Tract]],'Population and Diversity Data'!$B$2:$K$823,10,FALSE)</f>
        <v>3</v>
      </c>
      <c r="Q478" s="226" t="str">
        <f>VLOOKUP(Table323[[#This Row],[Census Tract]],'ES Energy Burden'!$B$2:$E$914,4,FALSE)</f>
        <v>No</v>
      </c>
      <c r="R478" s="248">
        <f>VLOOKUP(Table323[[#This Row],[Census Tract]],'Income and Housing Data'!$B$2:$D$823,3,FALSE)</f>
        <v>53617</v>
      </c>
      <c r="S478" s="248" t="str">
        <f>IF($U$6&lt;=Table323[[#This Row],[Household income]],IF(Table323[[#This Row],[Household income]]&lt;=$U$7, "Yes","No"),"No")</f>
        <v>Yes</v>
      </c>
    </row>
    <row r="479" spans="1:19" x14ac:dyDescent="0.25">
      <c r="A479" s="147">
        <v>9003416600</v>
      </c>
      <c r="B479" s="148" t="s">
        <v>983</v>
      </c>
      <c r="C479" s="150" t="s">
        <v>944</v>
      </c>
      <c r="D479" s="70">
        <v>21919.58064</v>
      </c>
      <c r="E479" s="70">
        <v>3646.41</v>
      </c>
      <c r="F479" s="14">
        <v>2</v>
      </c>
      <c r="G479" s="14">
        <v>2</v>
      </c>
      <c r="H479" s="14">
        <v>0</v>
      </c>
      <c r="I479" s="14">
        <v>0</v>
      </c>
      <c r="J479" s="69">
        <v>3554.94</v>
      </c>
      <c r="K479">
        <f t="shared" si="7"/>
        <v>0</v>
      </c>
      <c r="L479" s="14">
        <v>0</v>
      </c>
      <c r="M479" s="14">
        <v>0</v>
      </c>
      <c r="N479" s="14">
        <v>0</v>
      </c>
      <c r="O479" s="69">
        <v>0</v>
      </c>
      <c r="P479" s="226">
        <f>VLOOKUP(Table323[[#This Row],[Census Tract]],'Population and Diversity Data'!$B$2:$K$823,10,FALSE)</f>
        <v>4</v>
      </c>
      <c r="Q479" s="226" t="str">
        <f>VLOOKUP(Table323[[#This Row],[Census Tract]],'ES Energy Burden'!$B$2:$E$914,4,FALSE)</f>
        <v>Yes</v>
      </c>
      <c r="R479" s="248">
        <f>VLOOKUP(Table323[[#This Row],[Census Tract]],'Income and Housing Data'!$B$2:$D$823,3,FALSE)</f>
        <v>30563</v>
      </c>
      <c r="S479" s="248" t="str">
        <f>IF($U$6&lt;=Table323[[#This Row],[Household income]],IF(Table323[[#This Row],[Household income]]&lt;=$U$7, "Yes","No"),"No")</f>
        <v>No</v>
      </c>
    </row>
    <row r="480" spans="1:19" x14ac:dyDescent="0.25">
      <c r="A480" s="147">
        <v>9003416700</v>
      </c>
      <c r="B480" s="148" t="s">
        <v>983</v>
      </c>
      <c r="C480" s="150" t="s">
        <v>944</v>
      </c>
      <c r="D480" s="70">
        <v>134497.11755232001</v>
      </c>
      <c r="E480" s="70">
        <v>572786.77769999998</v>
      </c>
      <c r="F480" s="14">
        <v>358</v>
      </c>
      <c r="G480" s="14">
        <v>22</v>
      </c>
      <c r="H480" s="14">
        <v>2</v>
      </c>
      <c r="I480" s="14">
        <v>334</v>
      </c>
      <c r="J480" s="69">
        <v>126359.5722</v>
      </c>
      <c r="K480">
        <f t="shared" si="7"/>
        <v>1025</v>
      </c>
      <c r="L480" s="14">
        <v>100</v>
      </c>
      <c r="M480" s="14">
        <v>2</v>
      </c>
      <c r="N480" s="14">
        <v>923</v>
      </c>
      <c r="O480" s="69">
        <v>446346</v>
      </c>
      <c r="P480" s="226">
        <f>VLOOKUP(Table323[[#This Row],[Census Tract]],'Population and Diversity Data'!$B$2:$K$823,10,FALSE)</f>
        <v>5</v>
      </c>
      <c r="Q480" s="226" t="str">
        <f>VLOOKUP(Table323[[#This Row],[Census Tract]],'ES Energy Burden'!$B$2:$E$914,4,FALSE)</f>
        <v>No</v>
      </c>
      <c r="R480" s="248">
        <f>VLOOKUP(Table323[[#This Row],[Census Tract]],'Income and Housing Data'!$B$2:$D$823,3,FALSE)</f>
        <v>46326</v>
      </c>
      <c r="S480" s="248" t="str">
        <f>IF($U$6&lt;=Table323[[#This Row],[Household income]],IF(Table323[[#This Row],[Household income]]&lt;=$U$7, "Yes","No"),"No")</f>
        <v>No</v>
      </c>
    </row>
    <row r="481" spans="1:19" x14ac:dyDescent="0.25">
      <c r="A481" s="147">
        <v>9003416800</v>
      </c>
      <c r="B481" s="148" t="s">
        <v>983</v>
      </c>
      <c r="C481" s="150" t="s">
        <v>944</v>
      </c>
      <c r="D481" s="70">
        <v>37524.223036800002</v>
      </c>
      <c r="E481" s="70">
        <v>42090.9902</v>
      </c>
      <c r="F481" s="14">
        <v>9</v>
      </c>
      <c r="G481" s="14">
        <v>9</v>
      </c>
      <c r="H481" s="14">
        <v>0</v>
      </c>
      <c r="I481" s="14">
        <v>0</v>
      </c>
      <c r="J481" s="69">
        <v>2611.8501999999999</v>
      </c>
      <c r="K481">
        <f t="shared" si="7"/>
        <v>0</v>
      </c>
      <c r="L481" s="14">
        <v>0</v>
      </c>
      <c r="M481" s="14">
        <v>0</v>
      </c>
      <c r="N481" s="14">
        <v>0</v>
      </c>
      <c r="O481" s="69">
        <v>0</v>
      </c>
      <c r="P481" s="226">
        <f>VLOOKUP(Table323[[#This Row],[Census Tract]],'Population and Diversity Data'!$B$2:$K$823,10,FALSE)</f>
        <v>5</v>
      </c>
      <c r="Q481" s="226" t="str">
        <f>VLOOKUP(Table323[[#This Row],[Census Tract]],'ES Energy Burden'!$B$2:$E$914,4,FALSE)</f>
        <v>No</v>
      </c>
      <c r="R481" s="248">
        <f>VLOOKUP(Table323[[#This Row],[Census Tract]],'Income and Housing Data'!$B$2:$D$823,3,FALSE)</f>
        <v>62788</v>
      </c>
      <c r="S481" s="248" t="str">
        <f>IF($U$6&lt;=Table323[[#This Row],[Household income]],IF(Table323[[#This Row],[Household income]]&lt;=$U$7, "Yes","No"),"No")</f>
        <v>Yes</v>
      </c>
    </row>
    <row r="482" spans="1:19" x14ac:dyDescent="0.25">
      <c r="A482" s="147">
        <v>9003417100</v>
      </c>
      <c r="B482" s="148" t="s">
        <v>983</v>
      </c>
      <c r="C482" s="150" t="s">
        <v>936</v>
      </c>
      <c r="D482" s="70">
        <v>18956.984523840001</v>
      </c>
      <c r="E482" s="70">
        <v>1649.1361999999999</v>
      </c>
      <c r="F482" s="14">
        <v>2</v>
      </c>
      <c r="G482" s="14">
        <v>2</v>
      </c>
      <c r="H482" s="14">
        <v>0</v>
      </c>
      <c r="I482" s="14">
        <v>0</v>
      </c>
      <c r="J482" s="69">
        <v>982.43619999999999</v>
      </c>
      <c r="K482">
        <f t="shared" si="7"/>
        <v>0</v>
      </c>
      <c r="L482" s="14">
        <v>0</v>
      </c>
      <c r="M482" s="14">
        <v>0</v>
      </c>
      <c r="N482" s="14">
        <v>0</v>
      </c>
      <c r="O482" s="69">
        <v>0</v>
      </c>
      <c r="P482" s="226">
        <f>VLOOKUP(Table323[[#This Row],[Census Tract]],'Population and Diversity Data'!$B$2:$K$823,10,FALSE)</f>
        <v>4</v>
      </c>
      <c r="Q482" s="226" t="e">
        <f>VLOOKUP(Table323[[#This Row],[Census Tract]],'ES Energy Burden'!$B$2:$E$914,4,FALSE)</f>
        <v>#N/A</v>
      </c>
      <c r="R482" s="248">
        <f>VLOOKUP(Table323[[#This Row],[Census Tract]],'Income and Housing Data'!$B$2:$D$823,3,FALSE)</f>
        <v>29755</v>
      </c>
      <c r="S482" s="248" t="str">
        <f>IF($U$6&lt;=Table323[[#This Row],[Household income]],IF(Table323[[#This Row],[Household income]]&lt;=$U$7, "Yes","No"),"No")</f>
        <v>No</v>
      </c>
    </row>
    <row r="483" spans="1:19" x14ac:dyDescent="0.25">
      <c r="A483" s="147">
        <v>9003417200</v>
      </c>
      <c r="B483" s="148" t="s">
        <v>983</v>
      </c>
      <c r="C483" s="150" t="s">
        <v>944</v>
      </c>
      <c r="D483" s="70">
        <v>25307.12677536</v>
      </c>
      <c r="E483" s="70">
        <v>29318.762900000002</v>
      </c>
      <c r="F483" s="14">
        <v>2</v>
      </c>
      <c r="G483" s="14">
        <v>2</v>
      </c>
      <c r="H483" s="14">
        <v>0</v>
      </c>
      <c r="I483" s="14">
        <v>0</v>
      </c>
      <c r="J483" s="69">
        <v>1590.7928999999999</v>
      </c>
      <c r="K483">
        <f t="shared" si="7"/>
        <v>0</v>
      </c>
      <c r="L483" s="14">
        <v>0</v>
      </c>
      <c r="M483" s="14">
        <v>0</v>
      </c>
      <c r="N483" s="14">
        <v>0</v>
      </c>
      <c r="O483" s="69">
        <v>0</v>
      </c>
      <c r="P483" s="226">
        <f>VLOOKUP(Table323[[#This Row],[Census Tract]],'Population and Diversity Data'!$B$2:$K$823,10,FALSE)</f>
        <v>5</v>
      </c>
      <c r="Q483" s="226" t="e">
        <f>VLOOKUP(Table323[[#This Row],[Census Tract]],'ES Energy Burden'!$B$2:$E$914,4,FALSE)</f>
        <v>#N/A</v>
      </c>
      <c r="R483" s="248">
        <f>VLOOKUP(Table323[[#This Row],[Census Tract]],'Income and Housing Data'!$B$2:$D$823,3,FALSE)</f>
        <v>32378</v>
      </c>
      <c r="S483" s="248" t="str">
        <f>IF($U$6&lt;=Table323[[#This Row],[Household income]],IF(Table323[[#This Row],[Household income]]&lt;=$U$7, "Yes","No"),"No")</f>
        <v>No</v>
      </c>
    </row>
    <row r="484" spans="1:19" x14ac:dyDescent="0.25">
      <c r="A484" s="147">
        <v>9003417300</v>
      </c>
      <c r="B484" s="148" t="s">
        <v>983</v>
      </c>
      <c r="C484" s="150" t="s">
        <v>936</v>
      </c>
      <c r="D484" s="70">
        <v>1344.3822288000001</v>
      </c>
      <c r="E484" s="70">
        <v>0</v>
      </c>
      <c r="F484" s="14">
        <v>0</v>
      </c>
      <c r="G484" s="14">
        <v>0</v>
      </c>
      <c r="H484" s="14">
        <v>0</v>
      </c>
      <c r="I484" s="14">
        <v>0</v>
      </c>
      <c r="J484" s="69">
        <v>0</v>
      </c>
      <c r="K484">
        <f t="shared" si="7"/>
        <v>0</v>
      </c>
      <c r="L484" s="14">
        <v>0</v>
      </c>
      <c r="M484" s="14">
        <v>0</v>
      </c>
      <c r="N484" s="14">
        <v>0</v>
      </c>
      <c r="O484" s="69">
        <v>0</v>
      </c>
      <c r="P484" s="226" t="e">
        <f>VLOOKUP(Table323[[#This Row],[Census Tract]],'Population and Diversity Data'!$B$2:$K$823,10,FALSE)</f>
        <v>#N/A</v>
      </c>
      <c r="Q484" s="226" t="e">
        <f>VLOOKUP(Table323[[#This Row],[Census Tract]],'ES Energy Burden'!$B$2:$E$914,4,FALSE)</f>
        <v>#N/A</v>
      </c>
      <c r="R484" s="248" t="e">
        <f>VLOOKUP(Table323[[#This Row],[Census Tract]],'Income and Housing Data'!$B$2:$D$823,3,FALSE)</f>
        <v>#N/A</v>
      </c>
      <c r="S484" s="248" t="e">
        <f>IF($U$6&lt;=Table323[[#This Row],[Household income]],IF(Table323[[#This Row],[Household income]]&lt;=$U$7, "Yes","No"),"No")</f>
        <v>#N/A</v>
      </c>
    </row>
    <row r="485" spans="1:19" x14ac:dyDescent="0.25">
      <c r="A485" s="147">
        <v>9003417400</v>
      </c>
      <c r="B485" s="148" t="s">
        <v>983</v>
      </c>
      <c r="C485" s="150" t="s">
        <v>944</v>
      </c>
      <c r="D485" s="70">
        <v>42183.385027200005</v>
      </c>
      <c r="E485" s="70">
        <v>6750.4196000000002</v>
      </c>
      <c r="F485" s="14">
        <v>11</v>
      </c>
      <c r="G485" s="14">
        <v>11</v>
      </c>
      <c r="H485" s="14">
        <v>0</v>
      </c>
      <c r="I485" s="14">
        <v>0</v>
      </c>
      <c r="J485" s="69">
        <v>6622.0096000000003</v>
      </c>
      <c r="K485">
        <f t="shared" si="7"/>
        <v>0</v>
      </c>
      <c r="L485" s="14">
        <v>0</v>
      </c>
      <c r="M485" s="14">
        <v>0</v>
      </c>
      <c r="N485" s="14">
        <v>0</v>
      </c>
      <c r="O485" s="69">
        <v>0</v>
      </c>
      <c r="P485" s="226">
        <f>VLOOKUP(Table323[[#This Row],[Census Tract]],'Population and Diversity Data'!$B$2:$K$823,10,FALSE)</f>
        <v>4</v>
      </c>
      <c r="Q485" s="226" t="str">
        <f>VLOOKUP(Table323[[#This Row],[Census Tract]],'ES Energy Burden'!$B$2:$E$914,4,FALSE)</f>
        <v>No</v>
      </c>
      <c r="R485" s="248">
        <f>VLOOKUP(Table323[[#This Row],[Census Tract]],'Income and Housing Data'!$B$2:$D$823,3,FALSE)</f>
        <v>76724</v>
      </c>
      <c r="S485" s="248" t="str">
        <f>IF($U$6&lt;=Table323[[#This Row],[Household income]],IF(Table323[[#This Row],[Household income]]&lt;=$U$7, "Yes","No"),"No")</f>
        <v>No</v>
      </c>
    </row>
    <row r="486" spans="1:19" x14ac:dyDescent="0.25">
      <c r="A486" s="147">
        <v>9003417500</v>
      </c>
      <c r="B486" s="148" t="s">
        <v>983</v>
      </c>
      <c r="C486" s="150" t="s">
        <v>944</v>
      </c>
      <c r="D486" s="70">
        <v>60109.840428480005</v>
      </c>
      <c r="E486" s="70">
        <v>6313.4265999999998</v>
      </c>
      <c r="F486" s="14">
        <v>12</v>
      </c>
      <c r="G486" s="14">
        <v>12</v>
      </c>
      <c r="H486" s="14">
        <v>0</v>
      </c>
      <c r="I486" s="14">
        <v>0</v>
      </c>
      <c r="J486" s="69">
        <v>5297.0266000000001</v>
      </c>
      <c r="K486">
        <f t="shared" si="7"/>
        <v>0</v>
      </c>
      <c r="L486" s="14">
        <v>0</v>
      </c>
      <c r="M486" s="14">
        <v>0</v>
      </c>
      <c r="N486" s="14">
        <v>0</v>
      </c>
      <c r="O486" s="69">
        <v>0</v>
      </c>
      <c r="P486" s="226">
        <f>VLOOKUP(Table323[[#This Row],[Census Tract]],'Population and Diversity Data'!$B$2:$K$823,10,FALSE)</f>
        <v>4</v>
      </c>
      <c r="Q486" s="226" t="str">
        <f>VLOOKUP(Table323[[#This Row],[Census Tract]],'ES Energy Burden'!$B$2:$E$914,4,FALSE)</f>
        <v>No</v>
      </c>
      <c r="R486" s="248">
        <f>VLOOKUP(Table323[[#This Row],[Census Tract]],'Income and Housing Data'!$B$2:$D$823,3,FALSE)</f>
        <v>62462</v>
      </c>
      <c r="S486" s="248" t="str">
        <f>IF($U$6&lt;=Table323[[#This Row],[Household income]],IF(Table323[[#This Row],[Household income]]&lt;=$U$7, "Yes","No"),"No")</f>
        <v>Yes</v>
      </c>
    </row>
    <row r="487" spans="1:19" x14ac:dyDescent="0.25">
      <c r="A487" s="147">
        <v>9003460100</v>
      </c>
      <c r="B487" s="148" t="s">
        <v>983</v>
      </c>
      <c r="C487" s="150" t="s">
        <v>944</v>
      </c>
      <c r="D487" s="70">
        <v>481.512384</v>
      </c>
      <c r="E487" s="70">
        <v>0</v>
      </c>
      <c r="F487" s="14">
        <v>0</v>
      </c>
      <c r="G487" s="14">
        <v>0</v>
      </c>
      <c r="H487" s="14">
        <v>0</v>
      </c>
      <c r="I487" s="14">
        <v>0</v>
      </c>
      <c r="J487" s="69">
        <v>0</v>
      </c>
      <c r="K487">
        <f t="shared" si="7"/>
        <v>0</v>
      </c>
      <c r="L487" s="14">
        <v>0</v>
      </c>
      <c r="M487" s="14">
        <v>0</v>
      </c>
      <c r="N487" s="14">
        <v>0</v>
      </c>
      <c r="O487" s="69">
        <v>0</v>
      </c>
      <c r="P487" s="226">
        <f>VLOOKUP(Table323[[#This Row],[Census Tract]],'Population and Diversity Data'!$B$2:$K$823,10,FALSE)</f>
        <v>3</v>
      </c>
      <c r="Q487" s="226" t="str">
        <f>VLOOKUP(Table323[[#This Row],[Census Tract]],'ES Energy Burden'!$B$2:$E$914,4,FALSE)</f>
        <v>No</v>
      </c>
      <c r="R487" s="248">
        <f>VLOOKUP(Table323[[#This Row],[Census Tract]],'Income and Housing Data'!$B$2:$D$823,3,FALSE)</f>
        <v>94872</v>
      </c>
      <c r="S487" s="248" t="str">
        <f>IF($U$6&lt;=Table323[[#This Row],[Household income]],IF(Table323[[#This Row],[Household income]]&lt;=$U$7, "Yes","No"),"No")</f>
        <v>No</v>
      </c>
    </row>
    <row r="488" spans="1:19" x14ac:dyDescent="0.25">
      <c r="A488" s="147">
        <v>9003460202</v>
      </c>
      <c r="B488" s="148" t="s">
        <v>983</v>
      </c>
      <c r="C488" s="150" t="s">
        <v>944</v>
      </c>
      <c r="D488" s="70">
        <v>647.01417600000002</v>
      </c>
      <c r="E488" s="70">
        <v>5360.46</v>
      </c>
      <c r="F488" s="14">
        <v>0</v>
      </c>
      <c r="G488" s="14">
        <v>0</v>
      </c>
      <c r="H488" s="14">
        <v>0</v>
      </c>
      <c r="I488" s="14">
        <v>0</v>
      </c>
      <c r="J488" s="69">
        <v>222.14</v>
      </c>
      <c r="K488">
        <f t="shared" si="7"/>
        <v>0</v>
      </c>
      <c r="L488" s="14">
        <v>0</v>
      </c>
      <c r="M488" s="14">
        <v>0</v>
      </c>
      <c r="N488" s="14">
        <v>0</v>
      </c>
      <c r="O488" s="69">
        <v>0</v>
      </c>
      <c r="P488" s="226">
        <f>VLOOKUP(Table323[[#This Row],[Census Tract]],'Population and Diversity Data'!$B$2:$K$823,10,FALSE)</f>
        <v>4</v>
      </c>
      <c r="Q488" s="226" t="str">
        <f>VLOOKUP(Table323[[#This Row],[Census Tract]],'ES Energy Burden'!$B$2:$E$914,4,FALSE)</f>
        <v>No</v>
      </c>
      <c r="R488" s="248">
        <f>VLOOKUP(Table323[[#This Row],[Census Tract]],'Income and Housing Data'!$B$2:$D$823,3,FALSE)</f>
        <v>102688</v>
      </c>
      <c r="S488" s="248" t="str">
        <f>IF($U$6&lt;=Table323[[#This Row],[Household income]],IF(Table323[[#This Row],[Household income]]&lt;=$U$7, "Yes","No"),"No")</f>
        <v>No</v>
      </c>
    </row>
    <row r="489" spans="1:19" x14ac:dyDescent="0.25">
      <c r="A489" s="147">
        <v>9003494300</v>
      </c>
      <c r="B489" s="148" t="s">
        <v>983</v>
      </c>
      <c r="C489" s="150" t="s">
        <v>944</v>
      </c>
      <c r="D489" s="70">
        <v>144.546336</v>
      </c>
      <c r="E489" s="70">
        <v>0</v>
      </c>
      <c r="F489" s="14">
        <v>0</v>
      </c>
      <c r="G489" s="14">
        <v>0</v>
      </c>
      <c r="H489" s="14">
        <v>0</v>
      </c>
      <c r="I489" s="14">
        <v>0</v>
      </c>
      <c r="J489" s="69">
        <v>0</v>
      </c>
      <c r="K489">
        <f t="shared" si="7"/>
        <v>0</v>
      </c>
      <c r="L489" s="14">
        <v>0</v>
      </c>
      <c r="M489" s="14">
        <v>0</v>
      </c>
      <c r="N489" s="14">
        <v>0</v>
      </c>
      <c r="O489" s="69">
        <v>0</v>
      </c>
      <c r="P489" s="226">
        <f>VLOOKUP(Table323[[#This Row],[Census Tract]],'Population and Diversity Data'!$B$2:$K$823,10,FALSE)</f>
        <v>3</v>
      </c>
      <c r="Q489" s="226" t="str">
        <f>VLOOKUP(Table323[[#This Row],[Census Tract]],'ES Energy Burden'!$B$2:$E$914,4,FALSE)</f>
        <v>No</v>
      </c>
      <c r="R489" s="248">
        <f>VLOOKUP(Table323[[#This Row],[Census Tract]],'Income and Housing Data'!$B$2:$D$823,3,FALSE)</f>
        <v>79475</v>
      </c>
      <c r="S489" s="248" t="str">
        <f>IF($U$6&lt;=Table323[[#This Row],[Household income]],IF(Table323[[#This Row],[Household income]]&lt;=$U$7, "Yes","No"),"No")</f>
        <v>No</v>
      </c>
    </row>
    <row r="490" spans="1:19" x14ac:dyDescent="0.25">
      <c r="A490" s="147">
        <v>9001035100</v>
      </c>
      <c r="B490" s="148" t="s">
        <v>2800</v>
      </c>
      <c r="C490" s="150" t="s">
        <v>944</v>
      </c>
      <c r="D490" s="70">
        <v>247121.76314016001</v>
      </c>
      <c r="E490" s="70">
        <v>87927.7071</v>
      </c>
      <c r="F490" s="14">
        <v>43</v>
      </c>
      <c r="G490" s="14">
        <v>40</v>
      </c>
      <c r="H490" s="14">
        <v>3</v>
      </c>
      <c r="I490" s="14">
        <v>0</v>
      </c>
      <c r="J490" s="69">
        <v>33443.722099999999</v>
      </c>
      <c r="K490">
        <f t="shared" si="7"/>
        <v>3</v>
      </c>
      <c r="L490" s="14">
        <v>3</v>
      </c>
      <c r="M490" s="14">
        <v>0</v>
      </c>
      <c r="N490" s="14">
        <v>0</v>
      </c>
      <c r="O490" s="69">
        <v>23905.9</v>
      </c>
      <c r="P490" s="226">
        <f>VLOOKUP(Table323[[#This Row],[Census Tract]],'Population and Diversity Data'!$B$2:$K$823,10,FALSE)</f>
        <v>2</v>
      </c>
      <c r="Q490" s="226" t="str">
        <f>VLOOKUP(Table323[[#This Row],[Census Tract]],'ES Energy Burden'!$B$2:$E$914,4,FALSE)</f>
        <v>No</v>
      </c>
      <c r="R490" s="248">
        <f>VLOOKUP(Table323[[#This Row],[Census Tract]],'Income and Housing Data'!$B$2:$D$823,3,FALSE)</f>
        <v>128623</v>
      </c>
      <c r="S490" s="248" t="str">
        <f>IF($U$6&lt;=Table323[[#This Row],[Household income]],IF(Table323[[#This Row],[Household income]]&lt;=$U$7, "Yes","No"),"No")</f>
        <v>No</v>
      </c>
    </row>
    <row r="491" spans="1:19" x14ac:dyDescent="0.25">
      <c r="A491" s="147">
        <v>9001035200</v>
      </c>
      <c r="B491" s="148" t="s">
        <v>2800</v>
      </c>
      <c r="C491" s="150" t="s">
        <v>944</v>
      </c>
      <c r="D491" s="70">
        <v>168416.02037664002</v>
      </c>
      <c r="E491" s="70">
        <v>16177.38</v>
      </c>
      <c r="F491" s="14">
        <v>11</v>
      </c>
      <c r="G491" s="14">
        <v>11</v>
      </c>
      <c r="H491" s="14">
        <v>0</v>
      </c>
      <c r="I491" s="14">
        <v>0</v>
      </c>
      <c r="J491" s="69">
        <v>16176.650000000001</v>
      </c>
      <c r="K491">
        <f t="shared" si="7"/>
        <v>0</v>
      </c>
      <c r="L491" s="14">
        <v>0</v>
      </c>
      <c r="M491" s="14">
        <v>0</v>
      </c>
      <c r="N491" s="14">
        <v>0</v>
      </c>
      <c r="O491" s="69">
        <v>0</v>
      </c>
      <c r="P491" s="226">
        <f>VLOOKUP(Table323[[#This Row],[Census Tract]],'Population and Diversity Data'!$B$2:$K$823,10,FALSE)</f>
        <v>2</v>
      </c>
      <c r="Q491" s="226" t="str">
        <f>VLOOKUP(Table323[[#This Row],[Census Tract]],'ES Energy Burden'!$B$2:$E$914,4,FALSE)</f>
        <v>No</v>
      </c>
      <c r="R491" s="248">
        <f>VLOOKUP(Table323[[#This Row],[Census Tract]],'Income and Housing Data'!$B$2:$D$823,3,FALSE)</f>
        <v>250000</v>
      </c>
      <c r="S491" s="248" t="str">
        <f>IF($U$6&lt;=Table323[[#This Row],[Household income]],IF(Table323[[#This Row],[Household income]]&lt;=$U$7, "Yes","No"),"No")</f>
        <v>No</v>
      </c>
    </row>
    <row r="492" spans="1:19" x14ac:dyDescent="0.25">
      <c r="A492" s="147">
        <v>9001035300</v>
      </c>
      <c r="B492" s="148" t="s">
        <v>2800</v>
      </c>
      <c r="C492" s="150" t="s">
        <v>944</v>
      </c>
      <c r="D492" s="70">
        <v>138484.17728639999</v>
      </c>
      <c r="E492" s="70">
        <v>18915.32</v>
      </c>
      <c r="F492" s="14">
        <v>16</v>
      </c>
      <c r="G492" s="14">
        <v>16</v>
      </c>
      <c r="H492" s="14">
        <v>0</v>
      </c>
      <c r="I492" s="14">
        <v>0</v>
      </c>
      <c r="J492" s="69">
        <v>18909.53</v>
      </c>
      <c r="K492">
        <f t="shared" si="7"/>
        <v>0</v>
      </c>
      <c r="L492" s="14">
        <v>0</v>
      </c>
      <c r="M492" s="14">
        <v>0</v>
      </c>
      <c r="N492" s="14">
        <v>0</v>
      </c>
      <c r="O492" s="69">
        <v>0</v>
      </c>
      <c r="P492" s="226">
        <f>VLOOKUP(Table323[[#This Row],[Census Tract]],'Population and Diversity Data'!$B$2:$K$823,10,FALSE)</f>
        <v>3</v>
      </c>
      <c r="Q492" s="226" t="str">
        <f>VLOOKUP(Table323[[#This Row],[Census Tract]],'ES Energy Burden'!$B$2:$E$914,4,FALSE)</f>
        <v>No</v>
      </c>
      <c r="R492" s="248">
        <f>VLOOKUP(Table323[[#This Row],[Census Tract]],'Income and Housing Data'!$B$2:$D$823,3,FALSE)</f>
        <v>250000</v>
      </c>
      <c r="S492" s="248" t="str">
        <f>IF($U$6&lt;=Table323[[#This Row],[Household income]],IF(Table323[[#This Row],[Household income]]&lt;=$U$7, "Yes","No"),"No")</f>
        <v>No</v>
      </c>
    </row>
    <row r="493" spans="1:19" x14ac:dyDescent="0.25">
      <c r="A493" s="147">
        <v>9001035400</v>
      </c>
      <c r="B493" s="148" t="s">
        <v>2800</v>
      </c>
      <c r="C493" s="150" t="s">
        <v>944</v>
      </c>
      <c r="D493" s="70">
        <v>198378.27666432</v>
      </c>
      <c r="E493" s="70">
        <v>65011.672400000003</v>
      </c>
      <c r="F493" s="14">
        <v>24</v>
      </c>
      <c r="G493" s="14">
        <v>24</v>
      </c>
      <c r="H493" s="14">
        <v>0</v>
      </c>
      <c r="I493" s="14">
        <v>0</v>
      </c>
      <c r="J493" s="69">
        <v>38194.862399999998</v>
      </c>
      <c r="K493">
        <f t="shared" si="7"/>
        <v>0</v>
      </c>
      <c r="L493" s="14">
        <v>0</v>
      </c>
      <c r="M493" s="14">
        <v>0</v>
      </c>
      <c r="N493" s="14">
        <v>0</v>
      </c>
      <c r="O493" s="69">
        <v>0</v>
      </c>
      <c r="P493" s="226">
        <f>VLOOKUP(Table323[[#This Row],[Census Tract]],'Population and Diversity Data'!$B$2:$K$823,10,FALSE)</f>
        <v>2</v>
      </c>
      <c r="Q493" s="226" t="str">
        <f>VLOOKUP(Table323[[#This Row],[Census Tract]],'ES Energy Burden'!$B$2:$E$914,4,FALSE)</f>
        <v>No</v>
      </c>
      <c r="R493" s="248">
        <f>VLOOKUP(Table323[[#This Row],[Census Tract]],'Income and Housing Data'!$B$2:$D$823,3,FALSE)</f>
        <v>250000</v>
      </c>
      <c r="S493" s="248" t="str">
        <f>IF($U$6&lt;=Table323[[#This Row],[Household income]],IF(Table323[[#This Row],[Household income]]&lt;=$U$7, "Yes","No"),"No")</f>
        <v>No</v>
      </c>
    </row>
    <row r="494" spans="1:19" x14ac:dyDescent="0.25">
      <c r="A494" s="147">
        <v>9001210900</v>
      </c>
      <c r="B494" s="148" t="s">
        <v>2801</v>
      </c>
      <c r="C494" s="150" t="s">
        <v>944</v>
      </c>
      <c r="D494" s="70">
        <v>1348.85928672</v>
      </c>
      <c r="E494" s="70">
        <v>0</v>
      </c>
      <c r="F494" s="14">
        <v>0</v>
      </c>
      <c r="G494" s="14">
        <v>0</v>
      </c>
      <c r="H494" s="14">
        <v>0</v>
      </c>
      <c r="I494" s="14">
        <v>0</v>
      </c>
      <c r="J494" s="69">
        <v>0</v>
      </c>
      <c r="K494">
        <f t="shared" si="7"/>
        <v>0</v>
      </c>
      <c r="L494" s="14">
        <v>0</v>
      </c>
      <c r="M494" s="14">
        <v>0</v>
      </c>
      <c r="N494" s="14">
        <v>0</v>
      </c>
      <c r="O494" s="69">
        <v>0</v>
      </c>
      <c r="P494" s="226">
        <f>VLOOKUP(Table323[[#This Row],[Census Tract]],'Population and Diversity Data'!$B$2:$K$823,10,FALSE)</f>
        <v>4</v>
      </c>
      <c r="Q494" s="226" t="str">
        <f>VLOOKUP(Table323[[#This Row],[Census Tract]],'ES Energy Burden'!$B$2:$E$914,4,FALSE)</f>
        <v>No</v>
      </c>
      <c r="R494" s="248">
        <f>VLOOKUP(Table323[[#This Row],[Census Tract]],'Income and Housing Data'!$B$2:$D$823,3,FALSE)</f>
        <v>106915</v>
      </c>
      <c r="S494" s="248" t="str">
        <f>IF($U$6&lt;=Table323[[#This Row],[Household income]],IF(Table323[[#This Row],[Household income]]&lt;=$U$7, "Yes","No"),"No")</f>
        <v>No</v>
      </c>
    </row>
    <row r="495" spans="1:19" x14ac:dyDescent="0.25">
      <c r="A495" s="147">
        <v>9001211000</v>
      </c>
      <c r="B495" s="148" t="s">
        <v>2801</v>
      </c>
      <c r="C495" s="150" t="s">
        <v>944</v>
      </c>
      <c r="D495" s="70">
        <v>2135.6677728000004</v>
      </c>
      <c r="E495" s="70">
        <v>0</v>
      </c>
      <c r="F495" s="14">
        <v>0</v>
      </c>
      <c r="G495" s="14">
        <v>0</v>
      </c>
      <c r="H495" s="14">
        <v>0</v>
      </c>
      <c r="I495" s="14">
        <v>0</v>
      </c>
      <c r="J495" s="69">
        <v>0</v>
      </c>
      <c r="K495">
        <f t="shared" si="7"/>
        <v>0</v>
      </c>
      <c r="L495" s="14">
        <v>0</v>
      </c>
      <c r="M495" s="14">
        <v>0</v>
      </c>
      <c r="N495" s="14">
        <v>0</v>
      </c>
      <c r="O495" s="69">
        <v>0</v>
      </c>
      <c r="P495" s="226">
        <f>VLOOKUP(Table323[[#This Row],[Census Tract]],'Population and Diversity Data'!$B$2:$K$823,10,FALSE)</f>
        <v>5</v>
      </c>
      <c r="Q495" s="226" t="str">
        <f>VLOOKUP(Table323[[#This Row],[Census Tract]],'ES Energy Burden'!$B$2:$E$914,4,FALSE)</f>
        <v>No</v>
      </c>
      <c r="R495" s="248">
        <f>VLOOKUP(Table323[[#This Row],[Census Tract]],'Income and Housing Data'!$B$2:$D$823,3,FALSE)</f>
        <v>89985</v>
      </c>
      <c r="S495" s="248" t="str">
        <f>IF($U$6&lt;=Table323[[#This Row],[Household income]],IF(Table323[[#This Row],[Household income]]&lt;=$U$7, "Yes","No"),"No")</f>
        <v>No</v>
      </c>
    </row>
    <row r="496" spans="1:19" x14ac:dyDescent="0.25">
      <c r="A496" s="147">
        <v>9001220100</v>
      </c>
      <c r="B496" s="148" t="s">
        <v>2801</v>
      </c>
      <c r="C496" s="150" t="s">
        <v>944</v>
      </c>
      <c r="D496" s="70">
        <v>108677.484</v>
      </c>
      <c r="E496" s="70">
        <v>12699.62</v>
      </c>
      <c r="F496" s="14">
        <v>9</v>
      </c>
      <c r="G496" s="14">
        <v>9</v>
      </c>
      <c r="H496" s="14">
        <v>0</v>
      </c>
      <c r="I496" s="14">
        <v>0</v>
      </c>
      <c r="J496" s="69">
        <v>7759.99</v>
      </c>
      <c r="K496">
        <f t="shared" si="7"/>
        <v>0</v>
      </c>
      <c r="L496" s="14">
        <v>0</v>
      </c>
      <c r="M496" s="14">
        <v>0</v>
      </c>
      <c r="N496" s="14">
        <v>0</v>
      </c>
      <c r="O496" s="69">
        <v>0</v>
      </c>
      <c r="P496" s="226">
        <f>VLOOKUP(Table323[[#This Row],[Census Tract]],'Population and Diversity Data'!$B$2:$K$823,10,FALSE)</f>
        <v>2</v>
      </c>
      <c r="Q496" s="226" t="str">
        <f>VLOOKUP(Table323[[#This Row],[Census Tract]],'ES Energy Burden'!$B$2:$E$914,4,FALSE)</f>
        <v>No</v>
      </c>
      <c r="R496" s="248">
        <f>VLOOKUP(Table323[[#This Row],[Census Tract]],'Income and Housing Data'!$B$2:$D$823,3,FALSE)</f>
        <v>110625</v>
      </c>
      <c r="S496" s="248" t="str">
        <f>IF($U$6&lt;=Table323[[#This Row],[Household income]],IF(Table323[[#This Row],[Household income]]&lt;=$U$7, "Yes","No"),"No")</f>
        <v>No</v>
      </c>
    </row>
    <row r="497" spans="1:19" x14ac:dyDescent="0.25">
      <c r="A497" s="147">
        <v>9001220200</v>
      </c>
      <c r="B497" s="148" t="s">
        <v>2801</v>
      </c>
      <c r="C497" s="150" t="s">
        <v>944</v>
      </c>
      <c r="D497" s="70">
        <v>129933.76251744</v>
      </c>
      <c r="E497" s="70">
        <v>41482.424299999999</v>
      </c>
      <c r="F497" s="14">
        <v>12</v>
      </c>
      <c r="G497" s="14">
        <v>12</v>
      </c>
      <c r="H497" s="14">
        <v>0</v>
      </c>
      <c r="I497" s="14">
        <v>0</v>
      </c>
      <c r="J497" s="69">
        <v>10225.9</v>
      </c>
      <c r="K497">
        <f t="shared" si="7"/>
        <v>4</v>
      </c>
      <c r="L497" s="14">
        <v>4</v>
      </c>
      <c r="M497" s="14">
        <v>0</v>
      </c>
      <c r="N497" s="14">
        <v>0</v>
      </c>
      <c r="O497" s="69">
        <v>5550.6</v>
      </c>
      <c r="P497" s="226">
        <f>VLOOKUP(Table323[[#This Row],[Census Tract]],'Population and Diversity Data'!$B$2:$K$823,10,FALSE)</f>
        <v>3</v>
      </c>
      <c r="Q497" s="226" t="str">
        <f>VLOOKUP(Table323[[#This Row],[Census Tract]],'ES Energy Burden'!$B$2:$E$914,4,FALSE)</f>
        <v>No</v>
      </c>
      <c r="R497" s="248">
        <f>VLOOKUP(Table323[[#This Row],[Census Tract]],'Income and Housing Data'!$B$2:$D$823,3,FALSE)</f>
        <v>126422</v>
      </c>
      <c r="S497" s="248" t="str">
        <f>IF($U$6&lt;=Table323[[#This Row],[Household income]],IF(Table323[[#This Row],[Household income]]&lt;=$U$7, "Yes","No"),"No")</f>
        <v>No</v>
      </c>
    </row>
    <row r="498" spans="1:19" x14ac:dyDescent="0.25">
      <c r="A498" s="147">
        <v>9001220300</v>
      </c>
      <c r="B498" s="148" t="s">
        <v>2801</v>
      </c>
      <c r="C498" s="150" t="s">
        <v>944</v>
      </c>
      <c r="D498" s="70">
        <v>102730.65265440001</v>
      </c>
      <c r="E498" s="70">
        <v>5080.6705000000002</v>
      </c>
      <c r="F498" s="14">
        <v>6</v>
      </c>
      <c r="G498" s="14">
        <v>6</v>
      </c>
      <c r="H498" s="14">
        <v>0</v>
      </c>
      <c r="I498" s="14">
        <v>0</v>
      </c>
      <c r="J498" s="69">
        <v>5070.8504999999996</v>
      </c>
      <c r="K498">
        <f t="shared" si="7"/>
        <v>0</v>
      </c>
      <c r="L498" s="14">
        <v>0</v>
      </c>
      <c r="M498" s="14">
        <v>0</v>
      </c>
      <c r="N498" s="14">
        <v>0</v>
      </c>
      <c r="O498" s="69">
        <v>0</v>
      </c>
      <c r="P498" s="226">
        <f>VLOOKUP(Table323[[#This Row],[Census Tract]],'Population and Diversity Data'!$B$2:$K$823,10,FALSE)</f>
        <v>2</v>
      </c>
      <c r="Q498" s="226" t="str">
        <f>VLOOKUP(Table323[[#This Row],[Census Tract]],'ES Energy Burden'!$B$2:$E$914,4,FALSE)</f>
        <v>No</v>
      </c>
      <c r="R498" s="248">
        <f>VLOOKUP(Table323[[#This Row],[Census Tract]],'Income and Housing Data'!$B$2:$D$823,3,FALSE)</f>
        <v>106296</v>
      </c>
      <c r="S498" s="248" t="str">
        <f>IF($U$6&lt;=Table323[[#This Row],[Household income]],IF(Table323[[#This Row],[Household income]]&lt;=$U$7, "Yes","No"),"No")</f>
        <v>No</v>
      </c>
    </row>
    <row r="499" spans="1:19" x14ac:dyDescent="0.25">
      <c r="A499" s="147">
        <v>9001257100</v>
      </c>
      <c r="B499" s="148" t="s">
        <v>2801</v>
      </c>
      <c r="C499" s="150" t="s">
        <v>944</v>
      </c>
      <c r="D499" s="70">
        <v>2100.1940064</v>
      </c>
      <c r="E499" s="70">
        <v>0</v>
      </c>
      <c r="F499" s="14">
        <v>0</v>
      </c>
      <c r="G499" s="14">
        <v>0</v>
      </c>
      <c r="H499" s="14">
        <v>0</v>
      </c>
      <c r="I499" s="14">
        <v>0</v>
      </c>
      <c r="J499" s="69">
        <v>0</v>
      </c>
      <c r="K499">
        <f t="shared" si="7"/>
        <v>0</v>
      </c>
      <c r="L499" s="14">
        <v>0</v>
      </c>
      <c r="M499" s="14">
        <v>0</v>
      </c>
      <c r="N499" s="14">
        <v>0</v>
      </c>
      <c r="O499" s="69">
        <v>0</v>
      </c>
      <c r="P499" s="226">
        <f>VLOOKUP(Table323[[#This Row],[Census Tract]],'Population and Diversity Data'!$B$2:$K$823,10,FALSE)</f>
        <v>1</v>
      </c>
      <c r="Q499" s="226" t="str">
        <f>VLOOKUP(Table323[[#This Row],[Census Tract]],'ES Energy Burden'!$B$2:$E$914,4,FALSE)</f>
        <v>No</v>
      </c>
      <c r="R499" s="248">
        <f>VLOOKUP(Table323[[#This Row],[Census Tract]],'Income and Housing Data'!$B$2:$D$823,3,FALSE)</f>
        <v>101818</v>
      </c>
      <c r="S499" s="248" t="str">
        <f>IF($U$6&lt;=Table323[[#This Row],[Household income]],IF(Table323[[#This Row],[Household income]]&lt;=$U$7, "Yes","No"),"No")</f>
        <v>No</v>
      </c>
    </row>
    <row r="500" spans="1:19" x14ac:dyDescent="0.25">
      <c r="A500" s="147">
        <v>9005290100</v>
      </c>
      <c r="B500" s="148" t="s">
        <v>2802</v>
      </c>
      <c r="C500" s="150" t="s">
        <v>944</v>
      </c>
      <c r="D500" s="70">
        <v>265.45121280000001</v>
      </c>
      <c r="E500" s="70">
        <v>0</v>
      </c>
      <c r="F500" s="14">
        <v>0</v>
      </c>
      <c r="G500" s="14">
        <v>0</v>
      </c>
      <c r="H500" s="14">
        <v>0</v>
      </c>
      <c r="I500" s="14">
        <v>0</v>
      </c>
      <c r="J500" s="69">
        <v>0</v>
      </c>
      <c r="K500">
        <f t="shared" si="7"/>
        <v>0</v>
      </c>
      <c r="L500" s="14">
        <v>0</v>
      </c>
      <c r="M500" s="14">
        <v>0</v>
      </c>
      <c r="N500" s="14">
        <v>0</v>
      </c>
      <c r="O500" s="69">
        <v>0</v>
      </c>
      <c r="P500" s="226">
        <f>VLOOKUP(Table323[[#This Row],[Census Tract]],'Population and Diversity Data'!$B$2:$K$823,10,FALSE)</f>
        <v>2</v>
      </c>
      <c r="Q500" s="226" t="str">
        <f>VLOOKUP(Table323[[#This Row],[Census Tract]],'ES Energy Burden'!$B$2:$E$914,4,FALSE)</f>
        <v>No</v>
      </c>
      <c r="R500" s="248">
        <f>VLOOKUP(Table323[[#This Row],[Census Tract]],'Income and Housing Data'!$B$2:$D$823,3,FALSE)</f>
        <v>109688</v>
      </c>
      <c r="S500" s="248" t="str">
        <f>IF($U$6&lt;=Table323[[#This Row],[Household income]],IF(Table323[[#This Row],[Household income]]&lt;=$U$7, "Yes","No"),"No")</f>
        <v>No</v>
      </c>
    </row>
    <row r="501" spans="1:19" x14ac:dyDescent="0.25">
      <c r="A501" s="147">
        <v>9005306100</v>
      </c>
      <c r="B501" s="148" t="s">
        <v>2802</v>
      </c>
      <c r="C501" s="150" t="s">
        <v>944</v>
      </c>
      <c r="D501" s="70">
        <v>143068.34421504001</v>
      </c>
      <c r="E501" s="70">
        <v>178001.4547</v>
      </c>
      <c r="F501" s="14">
        <v>43</v>
      </c>
      <c r="G501" s="14">
        <v>26</v>
      </c>
      <c r="H501" s="14">
        <v>0</v>
      </c>
      <c r="I501" s="14">
        <v>17</v>
      </c>
      <c r="J501" s="69">
        <v>29231.165300000001</v>
      </c>
      <c r="K501">
        <f t="shared" si="7"/>
        <v>3</v>
      </c>
      <c r="L501" s="14">
        <v>3</v>
      </c>
      <c r="M501" s="14">
        <v>0</v>
      </c>
      <c r="N501" s="14">
        <v>0</v>
      </c>
      <c r="O501" s="69">
        <v>10070.5</v>
      </c>
      <c r="P501" s="226">
        <f>VLOOKUP(Table323[[#This Row],[Census Tract]],'Population and Diversity Data'!$B$2:$K$823,10,FALSE)</f>
        <v>1</v>
      </c>
      <c r="Q501" s="226" t="str">
        <f>VLOOKUP(Table323[[#This Row],[Census Tract]],'ES Energy Burden'!$B$2:$E$914,4,FALSE)</f>
        <v>No</v>
      </c>
      <c r="R501" s="248">
        <f>VLOOKUP(Table323[[#This Row],[Census Tract]],'Income and Housing Data'!$B$2:$D$823,3,FALSE)</f>
        <v>106765</v>
      </c>
      <c r="S501" s="248" t="str">
        <f>IF($U$6&lt;=Table323[[#This Row],[Household income]],IF(Table323[[#This Row],[Household income]]&lt;=$U$7, "Yes","No"),"No")</f>
        <v>No</v>
      </c>
    </row>
    <row r="502" spans="1:19" x14ac:dyDescent="0.25">
      <c r="A502" s="147">
        <v>9011690300</v>
      </c>
      <c r="B502" s="148" t="s">
        <v>2803</v>
      </c>
      <c r="C502" s="150" t="s">
        <v>944</v>
      </c>
      <c r="D502" s="70">
        <v>79342.157646720007</v>
      </c>
      <c r="E502" s="70">
        <v>20285.972600000001</v>
      </c>
      <c r="F502" s="14">
        <v>21</v>
      </c>
      <c r="G502" s="14">
        <v>19</v>
      </c>
      <c r="H502" s="14">
        <v>2</v>
      </c>
      <c r="I502" s="14">
        <v>0</v>
      </c>
      <c r="J502" s="69">
        <v>9729.7126000000007</v>
      </c>
      <c r="K502">
        <f t="shared" si="7"/>
        <v>0</v>
      </c>
      <c r="L502" s="14">
        <v>0</v>
      </c>
      <c r="M502" s="14">
        <v>0</v>
      </c>
      <c r="N502" s="14">
        <v>0</v>
      </c>
      <c r="O502" s="69">
        <v>0</v>
      </c>
      <c r="P502" s="226">
        <f>VLOOKUP(Table323[[#This Row],[Census Tract]],'Population and Diversity Data'!$B$2:$K$823,10,FALSE)</f>
        <v>5</v>
      </c>
      <c r="Q502" s="226" t="str">
        <f>VLOOKUP(Table323[[#This Row],[Census Tract]],'ES Energy Burden'!$B$2:$E$914,4,FALSE)</f>
        <v>No</v>
      </c>
      <c r="R502" s="248">
        <f>VLOOKUP(Table323[[#This Row],[Census Tract]],'Income and Housing Data'!$B$2:$D$823,3,FALSE)</f>
        <v>40913</v>
      </c>
      <c r="S502" s="248" t="str">
        <f>IF($U$6&lt;=Table323[[#This Row],[Household income]],IF(Table323[[#This Row],[Household income]]&lt;=$U$7, "Yes","No"),"No")</f>
        <v>No</v>
      </c>
    </row>
    <row r="503" spans="1:19" x14ac:dyDescent="0.25">
      <c r="A503" s="147">
        <v>9011690400</v>
      </c>
      <c r="B503" s="148" t="s">
        <v>2803</v>
      </c>
      <c r="C503" s="150" t="s">
        <v>944</v>
      </c>
      <c r="D503" s="70">
        <v>39959.697971520007</v>
      </c>
      <c r="E503" s="70">
        <v>4461.97</v>
      </c>
      <c r="F503" s="14">
        <v>8</v>
      </c>
      <c r="G503" s="14">
        <v>4</v>
      </c>
      <c r="H503" s="14">
        <v>4</v>
      </c>
      <c r="I503" s="14">
        <v>0</v>
      </c>
      <c r="J503" s="69">
        <v>3830.49</v>
      </c>
      <c r="K503">
        <f t="shared" si="7"/>
        <v>0</v>
      </c>
      <c r="L503" s="14">
        <v>0</v>
      </c>
      <c r="M503" s="14">
        <v>0</v>
      </c>
      <c r="N503" s="14">
        <v>0</v>
      </c>
      <c r="O503" s="69">
        <v>0</v>
      </c>
      <c r="P503" s="226">
        <f>VLOOKUP(Table323[[#This Row],[Census Tract]],'Population and Diversity Data'!$B$2:$K$823,10,FALSE)</f>
        <v>5</v>
      </c>
      <c r="Q503" s="226" t="str">
        <f>VLOOKUP(Table323[[#This Row],[Census Tract]],'ES Energy Burden'!$B$2:$E$914,4,FALSE)</f>
        <v>No</v>
      </c>
      <c r="R503" s="248">
        <f>VLOOKUP(Table323[[#This Row],[Census Tract]],'Income and Housing Data'!$B$2:$D$823,3,FALSE)</f>
        <v>50000</v>
      </c>
      <c r="S503" s="248" t="str">
        <f>IF($U$6&lt;=Table323[[#This Row],[Household income]],IF(Table323[[#This Row],[Household income]]&lt;=$U$7, "Yes","No"),"No")</f>
        <v>Yes</v>
      </c>
    </row>
    <row r="504" spans="1:19" x14ac:dyDescent="0.25">
      <c r="A504" s="147">
        <v>9011690500</v>
      </c>
      <c r="B504" s="148" t="s">
        <v>2803</v>
      </c>
      <c r="C504" s="150" t="s">
        <v>944</v>
      </c>
      <c r="D504" s="70">
        <v>41927.549011199997</v>
      </c>
      <c r="E504" s="70">
        <v>16842.5</v>
      </c>
      <c r="F504" s="14">
        <v>8</v>
      </c>
      <c r="G504" s="14">
        <v>4</v>
      </c>
      <c r="H504" s="14">
        <v>4</v>
      </c>
      <c r="I504" s="14">
        <v>0</v>
      </c>
      <c r="J504" s="69">
        <v>2723.16</v>
      </c>
      <c r="K504">
        <f t="shared" si="7"/>
        <v>0</v>
      </c>
      <c r="L504" s="14">
        <v>0</v>
      </c>
      <c r="M504" s="14">
        <v>0</v>
      </c>
      <c r="N504" s="14">
        <v>0</v>
      </c>
      <c r="O504" s="69">
        <v>0</v>
      </c>
      <c r="P504" s="226">
        <f>VLOOKUP(Table323[[#This Row],[Census Tract]],'Population and Diversity Data'!$B$2:$K$823,10,FALSE)</f>
        <v>5</v>
      </c>
      <c r="Q504" s="226" t="str">
        <f>VLOOKUP(Table323[[#This Row],[Census Tract]],'ES Energy Burden'!$B$2:$E$914,4,FALSE)</f>
        <v>No</v>
      </c>
      <c r="R504" s="248">
        <f>VLOOKUP(Table323[[#This Row],[Census Tract]],'Income and Housing Data'!$B$2:$D$823,3,FALSE)</f>
        <v>28032</v>
      </c>
      <c r="S504" s="248" t="str">
        <f>IF($U$6&lt;=Table323[[#This Row],[Household income]],IF(Table323[[#This Row],[Household income]]&lt;=$U$7, "Yes","No"),"No")</f>
        <v>No</v>
      </c>
    </row>
    <row r="505" spans="1:19" x14ac:dyDescent="0.25">
      <c r="A505" s="147">
        <v>9011690700</v>
      </c>
      <c r="B505" s="148" t="s">
        <v>2803</v>
      </c>
      <c r="C505" s="150" t="s">
        <v>944</v>
      </c>
      <c r="D505" s="70">
        <v>14847.8146848</v>
      </c>
      <c r="E505" s="70">
        <v>4541.3999999999996</v>
      </c>
      <c r="F505" s="14">
        <v>5</v>
      </c>
      <c r="G505" s="14">
        <v>5</v>
      </c>
      <c r="H505" s="14">
        <v>0</v>
      </c>
      <c r="I505" s="14">
        <v>0</v>
      </c>
      <c r="J505" s="69">
        <v>3722.43</v>
      </c>
      <c r="K505">
        <f t="shared" si="7"/>
        <v>0</v>
      </c>
      <c r="L505" s="14">
        <v>0</v>
      </c>
      <c r="M505" s="14">
        <v>0</v>
      </c>
      <c r="N505" s="14">
        <v>0</v>
      </c>
      <c r="O505" s="69">
        <v>0</v>
      </c>
      <c r="P505" s="226">
        <f>VLOOKUP(Table323[[#This Row],[Census Tract]],'Population and Diversity Data'!$B$2:$K$823,10,FALSE)</f>
        <v>5</v>
      </c>
      <c r="Q505" s="226" t="str">
        <f>VLOOKUP(Table323[[#This Row],[Census Tract]],'ES Energy Burden'!$B$2:$E$914,4,FALSE)</f>
        <v>No</v>
      </c>
      <c r="R505" s="248">
        <f>VLOOKUP(Table323[[#This Row],[Census Tract]],'Income and Housing Data'!$B$2:$D$823,3,FALSE)</f>
        <v>49183</v>
      </c>
      <c r="S505" s="248" t="str">
        <f>IF($U$6&lt;=Table323[[#This Row],[Household income]],IF(Table323[[#This Row],[Household income]]&lt;=$U$7, "Yes","No"),"No")</f>
        <v>Yes</v>
      </c>
    </row>
    <row r="506" spans="1:19" x14ac:dyDescent="0.25">
      <c r="A506" s="147">
        <v>9011690800</v>
      </c>
      <c r="B506" s="148" t="s">
        <v>2803</v>
      </c>
      <c r="C506" s="150" t="s">
        <v>944</v>
      </c>
      <c r="D506" s="70">
        <v>43011.512809920001</v>
      </c>
      <c r="E506" s="70">
        <v>11641.346100000001</v>
      </c>
      <c r="F506" s="14">
        <v>9</v>
      </c>
      <c r="G506" s="14">
        <v>9</v>
      </c>
      <c r="H506" s="14">
        <v>0</v>
      </c>
      <c r="I506" s="14">
        <v>0</v>
      </c>
      <c r="J506" s="69">
        <v>3961.4160999999999</v>
      </c>
      <c r="K506">
        <f t="shared" si="7"/>
        <v>0</v>
      </c>
      <c r="L506" s="14">
        <v>0</v>
      </c>
      <c r="M506" s="14">
        <v>0</v>
      </c>
      <c r="N506" s="14">
        <v>0</v>
      </c>
      <c r="O506" s="69">
        <v>0</v>
      </c>
      <c r="P506" s="226">
        <f>VLOOKUP(Table323[[#This Row],[Census Tract]],'Population and Diversity Data'!$B$2:$K$823,10,FALSE)</f>
        <v>5</v>
      </c>
      <c r="Q506" s="226" t="str">
        <f>VLOOKUP(Table323[[#This Row],[Census Tract]],'ES Energy Burden'!$B$2:$E$914,4,FALSE)</f>
        <v>Yes</v>
      </c>
      <c r="R506" s="248">
        <f>VLOOKUP(Table323[[#This Row],[Census Tract]],'Income and Housing Data'!$B$2:$D$823,3,FALSE)</f>
        <v>51426</v>
      </c>
      <c r="S506" s="248" t="str">
        <f>IF($U$6&lt;=Table323[[#This Row],[Household income]],IF(Table323[[#This Row],[Household income]]&lt;=$U$7, "Yes","No"),"No")</f>
        <v>Yes</v>
      </c>
    </row>
    <row r="507" spans="1:19" x14ac:dyDescent="0.25">
      <c r="A507" s="147">
        <v>9011690900</v>
      </c>
      <c r="B507" s="148" t="s">
        <v>2803</v>
      </c>
      <c r="C507" s="150" t="s">
        <v>944</v>
      </c>
      <c r="D507" s="70">
        <v>104774.03190432</v>
      </c>
      <c r="E507" s="70">
        <v>113608.8646</v>
      </c>
      <c r="F507" s="14">
        <v>433</v>
      </c>
      <c r="G507" s="14">
        <v>31</v>
      </c>
      <c r="H507" s="14">
        <v>2</v>
      </c>
      <c r="I507" s="14">
        <v>400</v>
      </c>
      <c r="J507" s="69">
        <v>62332.984199999999</v>
      </c>
      <c r="K507">
        <f t="shared" si="7"/>
        <v>128</v>
      </c>
      <c r="L507" s="14">
        <v>26</v>
      </c>
      <c r="M507" s="14">
        <v>1</v>
      </c>
      <c r="N507" s="14">
        <v>101</v>
      </c>
      <c r="O507" s="69">
        <v>51275.5</v>
      </c>
      <c r="P507" s="226">
        <f>VLOOKUP(Table323[[#This Row],[Census Tract]],'Population and Diversity Data'!$B$2:$K$823,10,FALSE)</f>
        <v>5</v>
      </c>
      <c r="Q507" s="226" t="str">
        <f>VLOOKUP(Table323[[#This Row],[Census Tract]],'ES Energy Burden'!$B$2:$E$914,4,FALSE)</f>
        <v>No</v>
      </c>
      <c r="R507" s="248">
        <f>VLOOKUP(Table323[[#This Row],[Census Tract]],'Income and Housing Data'!$B$2:$D$823,3,FALSE)</f>
        <v>78209</v>
      </c>
      <c r="S507" s="248" t="str">
        <f>IF($U$6&lt;=Table323[[#This Row],[Household income]],IF(Table323[[#This Row],[Household income]]&lt;=$U$7, "Yes","No"),"No")</f>
        <v>No</v>
      </c>
    </row>
    <row r="508" spans="1:19" x14ac:dyDescent="0.25">
      <c r="A508" s="147">
        <v>9011693400</v>
      </c>
      <c r="B508" s="148" t="s">
        <v>2803</v>
      </c>
      <c r="C508" s="150" t="s">
        <v>944</v>
      </c>
      <c r="D508" s="70">
        <v>472.06506239999999</v>
      </c>
      <c r="E508" s="70">
        <v>0</v>
      </c>
      <c r="F508" s="14">
        <v>0</v>
      </c>
      <c r="G508" s="14">
        <v>0</v>
      </c>
      <c r="H508" s="14">
        <v>0</v>
      </c>
      <c r="I508" s="14">
        <v>0</v>
      </c>
      <c r="J508" s="69">
        <v>0</v>
      </c>
      <c r="K508">
        <f t="shared" si="7"/>
        <v>0</v>
      </c>
      <c r="L508" s="14">
        <v>0</v>
      </c>
      <c r="M508" s="14">
        <v>0</v>
      </c>
      <c r="N508" s="14">
        <v>0</v>
      </c>
      <c r="O508" s="69">
        <v>0</v>
      </c>
      <c r="P508" s="226">
        <f>VLOOKUP(Table323[[#This Row],[Census Tract]],'Population and Diversity Data'!$B$2:$K$823,10,FALSE)</f>
        <v>3</v>
      </c>
      <c r="Q508" s="226" t="str">
        <f>VLOOKUP(Table323[[#This Row],[Census Tract]],'ES Energy Burden'!$B$2:$E$914,4,FALSE)</f>
        <v>No</v>
      </c>
      <c r="R508" s="248">
        <f>VLOOKUP(Table323[[#This Row],[Census Tract]],'Income and Housing Data'!$B$2:$D$823,3,FALSE)</f>
        <v>63295</v>
      </c>
      <c r="S508" s="248" t="str">
        <f>IF($U$6&lt;=Table323[[#This Row],[Household income]],IF(Table323[[#This Row],[Household income]]&lt;=$U$7, "Yes","No"),"No")</f>
        <v>Yes</v>
      </c>
    </row>
    <row r="509" spans="1:19" x14ac:dyDescent="0.25">
      <c r="A509" s="147">
        <v>9011693600</v>
      </c>
      <c r="B509" s="148" t="s">
        <v>2803</v>
      </c>
      <c r="C509" s="150" t="s">
        <v>944</v>
      </c>
      <c r="D509" s="70">
        <v>117.425808</v>
      </c>
      <c r="E509" s="70">
        <v>0</v>
      </c>
      <c r="F509" s="14">
        <v>0</v>
      </c>
      <c r="G509" s="14">
        <v>0</v>
      </c>
      <c r="H509" s="14">
        <v>0</v>
      </c>
      <c r="I509" s="14">
        <v>0</v>
      </c>
      <c r="J509" s="69">
        <v>0</v>
      </c>
      <c r="K509">
        <f t="shared" si="7"/>
        <v>0</v>
      </c>
      <c r="L509" s="14">
        <v>0</v>
      </c>
      <c r="M509" s="14">
        <v>0</v>
      </c>
      <c r="N509" s="14">
        <v>0</v>
      </c>
      <c r="O509" s="69">
        <v>0</v>
      </c>
      <c r="P509" s="226">
        <f>VLOOKUP(Table323[[#This Row],[Census Tract]],'Population and Diversity Data'!$B$2:$K$823,10,FALSE)</f>
        <v>2</v>
      </c>
      <c r="Q509" s="226" t="str">
        <f>VLOOKUP(Table323[[#This Row],[Census Tract]],'ES Energy Burden'!$B$2:$E$914,4,FALSE)</f>
        <v>No</v>
      </c>
      <c r="R509" s="248">
        <f>VLOOKUP(Table323[[#This Row],[Census Tract]],'Income and Housing Data'!$B$2:$D$823,3,FALSE)</f>
        <v>97750</v>
      </c>
      <c r="S509" s="248" t="str">
        <f>IF($U$6&lt;=Table323[[#This Row],[Household income]],IF(Table323[[#This Row],[Household income]]&lt;=$U$7, "Yes","No"),"No")</f>
        <v>No</v>
      </c>
    </row>
    <row r="510" spans="1:19" x14ac:dyDescent="0.25">
      <c r="A510" s="147">
        <v>9011870300</v>
      </c>
      <c r="B510" s="148" t="s">
        <v>2803</v>
      </c>
      <c r="C510" s="150" t="s">
        <v>944</v>
      </c>
      <c r="D510" s="70">
        <v>41310.163071360003</v>
      </c>
      <c r="E510" s="70">
        <v>21513.050299999999</v>
      </c>
      <c r="F510" s="14">
        <v>2</v>
      </c>
      <c r="G510" s="14">
        <v>2</v>
      </c>
      <c r="H510" s="14">
        <v>0</v>
      </c>
      <c r="I510" s="14">
        <v>0</v>
      </c>
      <c r="J510" s="69">
        <v>1607.07</v>
      </c>
      <c r="K510">
        <f t="shared" si="7"/>
        <v>0</v>
      </c>
      <c r="L510" s="14">
        <v>0</v>
      </c>
      <c r="M510" s="14">
        <v>0</v>
      </c>
      <c r="N510" s="14">
        <v>0</v>
      </c>
      <c r="O510" s="69">
        <v>0</v>
      </c>
      <c r="P510" s="226">
        <f>VLOOKUP(Table323[[#This Row],[Census Tract]],'Population and Diversity Data'!$B$2:$K$823,10,FALSE)</f>
        <v>5</v>
      </c>
      <c r="Q510" s="226" t="str">
        <f>VLOOKUP(Table323[[#This Row],[Census Tract]],'ES Energy Burden'!$B$2:$E$914,4,FALSE)</f>
        <v>No</v>
      </c>
      <c r="R510" s="248">
        <f>VLOOKUP(Table323[[#This Row],[Census Tract]],'Income and Housing Data'!$B$2:$D$823,3,FALSE)</f>
        <v>24805</v>
      </c>
      <c r="S510" s="248" t="str">
        <f>IF($U$6&lt;=Table323[[#This Row],[Household income]],IF(Table323[[#This Row],[Household income]]&lt;=$U$7, "Yes","No"),"No")</f>
        <v>No</v>
      </c>
    </row>
    <row r="511" spans="1:19" x14ac:dyDescent="0.25">
      <c r="A511" s="147">
        <v>9005253100</v>
      </c>
      <c r="B511" s="148" t="s">
        <v>2804</v>
      </c>
      <c r="C511" s="150" t="s">
        <v>944</v>
      </c>
      <c r="D511" s="70">
        <v>96741.50344416</v>
      </c>
      <c r="E511" s="70">
        <v>48216.78</v>
      </c>
      <c r="F511" s="14">
        <v>8</v>
      </c>
      <c r="G511" s="14">
        <v>8</v>
      </c>
      <c r="H511" s="14">
        <v>0</v>
      </c>
      <c r="I511" s="14">
        <v>0</v>
      </c>
      <c r="J511" s="69">
        <v>9355.99</v>
      </c>
      <c r="K511">
        <f t="shared" si="7"/>
        <v>0</v>
      </c>
      <c r="L511" s="14">
        <v>0</v>
      </c>
      <c r="M511" s="14">
        <v>0</v>
      </c>
      <c r="N511" s="14">
        <v>0</v>
      </c>
      <c r="O511" s="69">
        <v>0</v>
      </c>
      <c r="P511" s="226">
        <f>VLOOKUP(Table323[[#This Row],[Census Tract]],'Population and Diversity Data'!$B$2:$K$823,10,FALSE)</f>
        <v>4</v>
      </c>
      <c r="Q511" s="226" t="str">
        <f>VLOOKUP(Table323[[#This Row],[Census Tract]],'ES Energy Burden'!$B$2:$E$914,4,FALSE)</f>
        <v>No</v>
      </c>
      <c r="R511" s="248">
        <f>VLOOKUP(Table323[[#This Row],[Census Tract]],'Income and Housing Data'!$B$2:$D$823,3,FALSE)</f>
        <v>57072</v>
      </c>
      <c r="S511" s="248" t="str">
        <f>IF($U$6&lt;=Table323[[#This Row],[Household income]],IF(Table323[[#This Row],[Household income]]&lt;=$U$7, "Yes","No"),"No")</f>
        <v>Yes</v>
      </c>
    </row>
    <row r="512" spans="1:19" x14ac:dyDescent="0.25">
      <c r="A512" s="147">
        <v>9005253200</v>
      </c>
      <c r="B512" s="148" t="s">
        <v>2804</v>
      </c>
      <c r="C512" s="150" t="s">
        <v>944</v>
      </c>
      <c r="D512" s="70">
        <v>182694.0880512</v>
      </c>
      <c r="E512" s="70">
        <v>376294.26130000001</v>
      </c>
      <c r="F512" s="14">
        <v>22</v>
      </c>
      <c r="G512" s="14">
        <v>22</v>
      </c>
      <c r="H512" s="14">
        <v>0</v>
      </c>
      <c r="I512" s="14">
        <v>0</v>
      </c>
      <c r="J512" s="69">
        <v>22153.32</v>
      </c>
      <c r="K512">
        <f t="shared" si="7"/>
        <v>163</v>
      </c>
      <c r="L512" s="14">
        <v>30</v>
      </c>
      <c r="M512" s="14">
        <v>1</v>
      </c>
      <c r="N512" s="14">
        <v>132</v>
      </c>
      <c r="O512" s="69">
        <v>304709</v>
      </c>
      <c r="P512" s="226">
        <f>VLOOKUP(Table323[[#This Row],[Census Tract]],'Population and Diversity Data'!$B$2:$K$823,10,FALSE)</f>
        <v>4</v>
      </c>
      <c r="Q512" s="226" t="str">
        <f>VLOOKUP(Table323[[#This Row],[Census Tract]],'ES Energy Burden'!$B$2:$E$914,4,FALSE)</f>
        <v>No</v>
      </c>
      <c r="R512" s="248">
        <f>VLOOKUP(Table323[[#This Row],[Census Tract]],'Income and Housing Data'!$B$2:$D$823,3,FALSE)</f>
        <v>101974</v>
      </c>
      <c r="S512" s="248" t="str">
        <f>IF($U$6&lt;=Table323[[#This Row],[Household income]],IF(Table323[[#This Row],[Household income]]&lt;=$U$7, "Yes","No"),"No")</f>
        <v>No</v>
      </c>
    </row>
    <row r="513" spans="1:19" x14ac:dyDescent="0.25">
      <c r="A513" s="147">
        <v>9005253300</v>
      </c>
      <c r="B513" s="148" t="s">
        <v>2804</v>
      </c>
      <c r="C513" s="150" t="s">
        <v>944</v>
      </c>
      <c r="D513" s="70">
        <v>51696.375353280004</v>
      </c>
      <c r="E513" s="70">
        <v>13320.82</v>
      </c>
      <c r="F513" s="14">
        <v>3</v>
      </c>
      <c r="G513" s="14">
        <v>3</v>
      </c>
      <c r="H513" s="14">
        <v>0</v>
      </c>
      <c r="I513" s="14">
        <v>0</v>
      </c>
      <c r="J513" s="69">
        <v>3164.02</v>
      </c>
      <c r="K513">
        <f t="shared" si="7"/>
        <v>0</v>
      </c>
      <c r="L513" s="14">
        <v>0</v>
      </c>
      <c r="M513" s="14">
        <v>0</v>
      </c>
      <c r="N513" s="14">
        <v>0</v>
      </c>
      <c r="O513" s="69">
        <v>0</v>
      </c>
      <c r="P513" s="226">
        <f>VLOOKUP(Table323[[#This Row],[Census Tract]],'Population and Diversity Data'!$B$2:$K$823,10,FALSE)</f>
        <v>3</v>
      </c>
      <c r="Q513" s="226" t="str">
        <f>VLOOKUP(Table323[[#This Row],[Census Tract]],'ES Energy Burden'!$B$2:$E$914,4,FALSE)</f>
        <v>No</v>
      </c>
      <c r="R513" s="248">
        <f>VLOOKUP(Table323[[#This Row],[Census Tract]],'Income and Housing Data'!$B$2:$D$823,3,FALSE)</f>
        <v>90141</v>
      </c>
      <c r="S513" s="248" t="str">
        <f>IF($U$6&lt;=Table323[[#This Row],[Household income]],IF(Table323[[#This Row],[Household income]]&lt;=$U$7, "Yes","No"),"No")</f>
        <v>No</v>
      </c>
    </row>
    <row r="514" spans="1:19" x14ac:dyDescent="0.25">
      <c r="A514" s="147">
        <v>9005253400</v>
      </c>
      <c r="B514" s="148" t="s">
        <v>2804</v>
      </c>
      <c r="C514" s="150" t="s">
        <v>944</v>
      </c>
      <c r="D514" s="70">
        <v>154010.8821744</v>
      </c>
      <c r="E514" s="70">
        <v>19810.52</v>
      </c>
      <c r="F514" s="14">
        <v>18</v>
      </c>
      <c r="G514" s="14">
        <v>18</v>
      </c>
      <c r="H514" s="14">
        <v>0</v>
      </c>
      <c r="I514" s="14">
        <v>0</v>
      </c>
      <c r="J514" s="69">
        <v>14580.28</v>
      </c>
      <c r="K514">
        <f t="shared" si="7"/>
        <v>0</v>
      </c>
      <c r="L514" s="14">
        <v>0</v>
      </c>
      <c r="M514" s="14">
        <v>0</v>
      </c>
      <c r="N514" s="14">
        <v>0</v>
      </c>
      <c r="O514" s="69">
        <v>0</v>
      </c>
      <c r="P514" s="226">
        <f>VLOOKUP(Table323[[#This Row],[Census Tract]],'Population and Diversity Data'!$B$2:$K$823,10,FALSE)</f>
        <v>2</v>
      </c>
      <c r="Q514" s="226" t="str">
        <f>VLOOKUP(Table323[[#This Row],[Census Tract]],'ES Energy Burden'!$B$2:$E$914,4,FALSE)</f>
        <v>No</v>
      </c>
      <c r="R514" s="248">
        <f>VLOOKUP(Table323[[#This Row],[Census Tract]],'Income and Housing Data'!$B$2:$D$823,3,FALSE)</f>
        <v>109167</v>
      </c>
      <c r="S514" s="248" t="str">
        <f>IF($U$6&lt;=Table323[[#This Row],[Household income]],IF(Table323[[#This Row],[Household income]]&lt;=$U$7, "Yes","No"),"No")</f>
        <v>No</v>
      </c>
    </row>
    <row r="515" spans="1:19" x14ac:dyDescent="0.25">
      <c r="A515" s="147">
        <v>9005253500</v>
      </c>
      <c r="B515" s="148" t="s">
        <v>2804</v>
      </c>
      <c r="C515" s="150" t="s">
        <v>944</v>
      </c>
      <c r="D515" s="70">
        <v>147618.1887696</v>
      </c>
      <c r="E515" s="70">
        <v>29305.079600000001</v>
      </c>
      <c r="F515" s="14">
        <v>32</v>
      </c>
      <c r="G515" s="14">
        <v>32</v>
      </c>
      <c r="H515" s="14">
        <v>0</v>
      </c>
      <c r="I515" s="14">
        <v>0</v>
      </c>
      <c r="J515" s="69">
        <v>21172.869600000002</v>
      </c>
      <c r="K515">
        <f t="shared" si="7"/>
        <v>0</v>
      </c>
      <c r="L515" s="14">
        <v>0</v>
      </c>
      <c r="M515" s="14">
        <v>0</v>
      </c>
      <c r="N515" s="14">
        <v>0</v>
      </c>
      <c r="O515" s="69">
        <v>0</v>
      </c>
      <c r="P515" s="226">
        <f>VLOOKUP(Table323[[#This Row],[Census Tract]],'Population and Diversity Data'!$B$2:$K$823,10,FALSE)</f>
        <v>4</v>
      </c>
      <c r="Q515" s="226" t="str">
        <f>VLOOKUP(Table323[[#This Row],[Census Tract]],'ES Energy Burden'!$B$2:$E$914,4,FALSE)</f>
        <v>No</v>
      </c>
      <c r="R515" s="248">
        <f>VLOOKUP(Table323[[#This Row],[Census Tract]],'Income and Housing Data'!$B$2:$D$823,3,FALSE)</f>
        <v>107109</v>
      </c>
      <c r="S515" s="248" t="str">
        <f>IF($U$6&lt;=Table323[[#This Row],[Household income]],IF(Table323[[#This Row],[Household income]]&lt;=$U$7, "Yes","No"),"No")</f>
        <v>No</v>
      </c>
    </row>
    <row r="516" spans="1:19" x14ac:dyDescent="0.25">
      <c r="A516" s="147">
        <v>9005253600</v>
      </c>
      <c r="B516" s="148" t="s">
        <v>2804</v>
      </c>
      <c r="C516" s="150" t="s">
        <v>944</v>
      </c>
      <c r="D516" s="70">
        <v>49566.037328640006</v>
      </c>
      <c r="E516" s="70">
        <v>7377.73</v>
      </c>
      <c r="F516" s="14">
        <v>3</v>
      </c>
      <c r="G516" s="14">
        <v>3</v>
      </c>
      <c r="H516" s="14">
        <v>0</v>
      </c>
      <c r="I516" s="14">
        <v>0</v>
      </c>
      <c r="J516" s="69">
        <v>1479.62</v>
      </c>
      <c r="K516">
        <f t="shared" si="7"/>
        <v>0</v>
      </c>
      <c r="L516" s="14">
        <v>0</v>
      </c>
      <c r="M516" s="14">
        <v>0</v>
      </c>
      <c r="N516" s="14">
        <v>0</v>
      </c>
      <c r="O516" s="69">
        <v>0</v>
      </c>
      <c r="P516" s="226">
        <f>VLOOKUP(Table323[[#This Row],[Census Tract]],'Population and Diversity Data'!$B$2:$K$823,10,FALSE)</f>
        <v>4</v>
      </c>
      <c r="Q516" s="226" t="str">
        <f>VLOOKUP(Table323[[#This Row],[Census Tract]],'ES Energy Burden'!$B$2:$E$914,4,FALSE)</f>
        <v>No</v>
      </c>
      <c r="R516" s="248">
        <f>VLOOKUP(Table323[[#This Row],[Census Tract]],'Income and Housing Data'!$B$2:$D$823,3,FALSE)</f>
        <v>54482</v>
      </c>
      <c r="S516" s="248" t="str">
        <f>IF($U$6&lt;=Table323[[#This Row],[Household income]],IF(Table323[[#This Row],[Household income]]&lt;=$U$7, "Yes","No"),"No")</f>
        <v>Yes</v>
      </c>
    </row>
    <row r="517" spans="1:19" x14ac:dyDescent="0.25">
      <c r="A517" s="147">
        <v>9005266100</v>
      </c>
      <c r="B517" s="148" t="s">
        <v>2804</v>
      </c>
      <c r="C517" s="150" t="s">
        <v>944</v>
      </c>
      <c r="D517" s="70">
        <v>101.72079360000001</v>
      </c>
      <c r="E517" s="70">
        <v>0</v>
      </c>
      <c r="F517" s="14">
        <v>0</v>
      </c>
      <c r="G517" s="14">
        <v>0</v>
      </c>
      <c r="H517" s="14">
        <v>0</v>
      </c>
      <c r="I517" s="14">
        <v>0</v>
      </c>
      <c r="J517" s="69">
        <v>0</v>
      </c>
      <c r="K517">
        <f t="shared" si="7"/>
        <v>0</v>
      </c>
      <c r="L517" s="14">
        <v>0</v>
      </c>
      <c r="M517" s="14">
        <v>0</v>
      </c>
      <c r="N517" s="14">
        <v>0</v>
      </c>
      <c r="O517" s="69">
        <v>0</v>
      </c>
      <c r="P517" s="226">
        <f>VLOOKUP(Table323[[#This Row],[Census Tract]],'Population and Diversity Data'!$B$2:$K$823,10,FALSE)</f>
        <v>2</v>
      </c>
      <c r="Q517" s="226" t="str">
        <f>VLOOKUP(Table323[[#This Row],[Census Tract]],'ES Energy Burden'!$B$2:$E$914,4,FALSE)</f>
        <v>No</v>
      </c>
      <c r="R517" s="248">
        <f>VLOOKUP(Table323[[#This Row],[Census Tract]],'Income and Housing Data'!$B$2:$D$823,3,FALSE)</f>
        <v>78125</v>
      </c>
      <c r="S517" s="248" t="str">
        <f>IF($U$6&lt;=Table323[[#This Row],[Household income]],IF(Table323[[#This Row],[Household income]]&lt;=$U$7, "Yes","No"),"No")</f>
        <v>No</v>
      </c>
    </row>
    <row r="518" spans="1:19" x14ac:dyDescent="0.25">
      <c r="A518" s="147">
        <v>9005267100</v>
      </c>
      <c r="B518" s="148" t="s">
        <v>2804</v>
      </c>
      <c r="C518" s="150" t="s">
        <v>944</v>
      </c>
      <c r="D518" s="70">
        <v>644.94757440000012</v>
      </c>
      <c r="E518" s="70">
        <v>0</v>
      </c>
      <c r="F518" s="14">
        <v>0</v>
      </c>
      <c r="G518" s="14">
        <v>0</v>
      </c>
      <c r="H518" s="14">
        <v>0</v>
      </c>
      <c r="I518" s="14">
        <v>0</v>
      </c>
      <c r="J518" s="69">
        <v>0</v>
      </c>
      <c r="K518">
        <f t="shared" ref="K518:K581" si="8">L518+M518+N518</f>
        <v>0</v>
      </c>
      <c r="L518" s="14">
        <v>0</v>
      </c>
      <c r="M518" s="14">
        <v>0</v>
      </c>
      <c r="N518" s="14">
        <v>0</v>
      </c>
      <c r="O518" s="69">
        <v>0</v>
      </c>
      <c r="P518" s="226">
        <f>VLOOKUP(Table323[[#This Row],[Census Tract]],'Population and Diversity Data'!$B$2:$K$823,10,FALSE)</f>
        <v>3</v>
      </c>
      <c r="Q518" s="226" t="str">
        <f>VLOOKUP(Table323[[#This Row],[Census Tract]],'ES Energy Burden'!$B$2:$E$914,4,FALSE)</f>
        <v>No</v>
      </c>
      <c r="R518" s="248">
        <f>VLOOKUP(Table323[[#This Row],[Census Tract]],'Income and Housing Data'!$B$2:$D$823,3,FALSE)</f>
        <v>108250</v>
      </c>
      <c r="S518" s="248" t="str">
        <f>IF($U$6&lt;=Table323[[#This Row],[Household income]],IF(Table323[[#This Row],[Household income]]&lt;=$U$7, "Yes","No"),"No")</f>
        <v>No</v>
      </c>
    </row>
    <row r="519" spans="1:19" x14ac:dyDescent="0.25">
      <c r="A519" s="147">
        <v>9005268100</v>
      </c>
      <c r="B519" s="148" t="s">
        <v>2804</v>
      </c>
      <c r="C519" s="150" t="s">
        <v>944</v>
      </c>
      <c r="D519" s="70">
        <v>82.426723199999998</v>
      </c>
      <c r="E519" s="70">
        <v>0</v>
      </c>
      <c r="F519" s="14">
        <v>0</v>
      </c>
      <c r="G519" s="14">
        <v>0</v>
      </c>
      <c r="H519" s="14">
        <v>0</v>
      </c>
      <c r="I519" s="14">
        <v>0</v>
      </c>
      <c r="J519" s="69">
        <v>0</v>
      </c>
      <c r="K519">
        <f t="shared" si="8"/>
        <v>0</v>
      </c>
      <c r="L519" s="14">
        <v>0</v>
      </c>
      <c r="M519" s="14">
        <v>0</v>
      </c>
      <c r="N519" s="14">
        <v>0</v>
      </c>
      <c r="O519" s="69">
        <v>0</v>
      </c>
      <c r="P519" s="226">
        <f>VLOOKUP(Table323[[#This Row],[Census Tract]],'Population and Diversity Data'!$B$2:$K$823,10,FALSE)</f>
        <v>1</v>
      </c>
      <c r="Q519" s="226" t="str">
        <f>VLOOKUP(Table323[[#This Row],[Census Tract]],'ES Energy Burden'!$B$2:$E$914,4,FALSE)</f>
        <v>No</v>
      </c>
      <c r="R519" s="248">
        <f>VLOOKUP(Table323[[#This Row],[Census Tract]],'Income and Housing Data'!$B$2:$D$823,3,FALSE)</f>
        <v>118971</v>
      </c>
      <c r="S519" s="248" t="str">
        <f>IF($U$6&lt;=Table323[[#This Row],[Household income]],IF(Table323[[#This Row],[Household income]]&lt;=$U$7, "Yes","No"),"No")</f>
        <v>No</v>
      </c>
    </row>
    <row r="520" spans="1:19" x14ac:dyDescent="0.25">
      <c r="A520" s="147">
        <v>9003400100</v>
      </c>
      <c r="B520" s="148" t="s">
        <v>2805</v>
      </c>
      <c r="C520" s="150" t="s">
        <v>944</v>
      </c>
      <c r="D520" s="70">
        <v>585.9944352</v>
      </c>
      <c r="E520" s="70">
        <v>0</v>
      </c>
      <c r="F520" s="14">
        <v>0</v>
      </c>
      <c r="G520" s="14">
        <v>0</v>
      </c>
      <c r="H520" s="14">
        <v>0</v>
      </c>
      <c r="I520" s="14">
        <v>0</v>
      </c>
      <c r="J520" s="69">
        <v>0</v>
      </c>
      <c r="K520">
        <f t="shared" si="8"/>
        <v>0</v>
      </c>
      <c r="L520" s="14">
        <v>0</v>
      </c>
      <c r="M520" s="14">
        <v>0</v>
      </c>
      <c r="N520" s="14">
        <v>0</v>
      </c>
      <c r="O520" s="69">
        <v>0</v>
      </c>
      <c r="P520" s="226">
        <f>VLOOKUP(Table323[[#This Row],[Census Tract]],'Population and Diversity Data'!$B$2:$K$823,10,FALSE)</f>
        <v>2</v>
      </c>
      <c r="Q520" s="226" t="str">
        <f>VLOOKUP(Table323[[#This Row],[Census Tract]],'ES Energy Burden'!$B$2:$E$914,4,FALSE)</f>
        <v>No</v>
      </c>
      <c r="R520" s="248">
        <f>VLOOKUP(Table323[[#This Row],[Census Tract]],'Income and Housing Data'!$B$2:$D$823,3,FALSE)</f>
        <v>80725</v>
      </c>
      <c r="S520" s="248" t="str">
        <f>IF($U$6&lt;=Table323[[#This Row],[Household income]],IF(Table323[[#This Row],[Household income]]&lt;=$U$7, "Yes","No"),"No")</f>
        <v>No</v>
      </c>
    </row>
    <row r="521" spans="1:19" x14ac:dyDescent="0.25">
      <c r="A521" s="147">
        <v>9003416300</v>
      </c>
      <c r="B521" s="148" t="s">
        <v>2805</v>
      </c>
      <c r="C521" s="150" t="s">
        <v>944</v>
      </c>
      <c r="D521" s="70">
        <v>152.5175136</v>
      </c>
      <c r="E521" s="70">
        <v>0</v>
      </c>
      <c r="F521" s="14">
        <v>0</v>
      </c>
      <c r="G521" s="14">
        <v>0</v>
      </c>
      <c r="H521" s="14">
        <v>0</v>
      </c>
      <c r="I521" s="14">
        <v>0</v>
      </c>
      <c r="J521" s="69">
        <v>0</v>
      </c>
      <c r="K521">
        <f t="shared" si="8"/>
        <v>0</v>
      </c>
      <c r="L521" s="14">
        <v>0</v>
      </c>
      <c r="M521" s="14">
        <v>0</v>
      </c>
      <c r="N521" s="14">
        <v>0</v>
      </c>
      <c r="O521" s="69">
        <v>0</v>
      </c>
      <c r="P521" s="226">
        <f>VLOOKUP(Table323[[#This Row],[Census Tract]],'Population and Diversity Data'!$B$2:$K$823,10,FALSE)</f>
        <v>4</v>
      </c>
      <c r="Q521" s="226" t="str">
        <f>VLOOKUP(Table323[[#This Row],[Census Tract]],'ES Energy Burden'!$B$2:$E$914,4,FALSE)</f>
        <v>Yes</v>
      </c>
      <c r="R521" s="248">
        <f>VLOOKUP(Table323[[#This Row],[Census Tract]],'Income and Housing Data'!$B$2:$D$823,3,FALSE)</f>
        <v>37463</v>
      </c>
      <c r="S521" s="248" t="str">
        <f>IF($U$6&lt;=Table323[[#This Row],[Household income]],IF(Table323[[#This Row],[Household income]]&lt;=$U$7, "Yes","No"),"No")</f>
        <v>No</v>
      </c>
    </row>
    <row r="522" spans="1:19" x14ac:dyDescent="0.25">
      <c r="A522" s="147">
        <v>9003492600</v>
      </c>
      <c r="B522" s="148" t="s">
        <v>2805</v>
      </c>
      <c r="C522" s="150" t="s">
        <v>944</v>
      </c>
      <c r="D522" s="70">
        <v>234.1974816</v>
      </c>
      <c r="E522" s="70">
        <v>0</v>
      </c>
      <c r="F522" s="14">
        <v>0</v>
      </c>
      <c r="G522" s="14">
        <v>0</v>
      </c>
      <c r="H522" s="14">
        <v>0</v>
      </c>
      <c r="I522" s="14">
        <v>0</v>
      </c>
      <c r="J522" s="69">
        <v>0</v>
      </c>
      <c r="K522">
        <f t="shared" si="8"/>
        <v>0</v>
      </c>
      <c r="L522" s="14">
        <v>0</v>
      </c>
      <c r="M522" s="14">
        <v>0</v>
      </c>
      <c r="N522" s="14">
        <v>0</v>
      </c>
      <c r="O522" s="69">
        <v>0</v>
      </c>
      <c r="P522" s="226">
        <f>VLOOKUP(Table323[[#This Row],[Census Tract]],'Population and Diversity Data'!$B$2:$K$823,10,FALSE)</f>
        <v>1</v>
      </c>
      <c r="Q522" s="226" t="str">
        <f>VLOOKUP(Table323[[#This Row],[Census Tract]],'ES Energy Burden'!$B$2:$E$914,4,FALSE)</f>
        <v>No</v>
      </c>
      <c r="R522" s="248">
        <f>VLOOKUP(Table323[[#This Row],[Census Tract]],'Income and Housing Data'!$B$2:$D$823,3,FALSE)</f>
        <v>101964</v>
      </c>
      <c r="S522" s="248" t="str">
        <f>IF($U$6&lt;=Table323[[#This Row],[Household income]],IF(Table323[[#This Row],[Household income]]&lt;=$U$7, "Yes","No"),"No")</f>
        <v>No</v>
      </c>
    </row>
    <row r="523" spans="1:19" x14ac:dyDescent="0.25">
      <c r="A523" s="147">
        <v>9003494100</v>
      </c>
      <c r="B523" s="148" t="s">
        <v>2805</v>
      </c>
      <c r="C523" s="150" t="s">
        <v>944</v>
      </c>
      <c r="D523" s="70">
        <v>100798.62502464</v>
      </c>
      <c r="E523" s="70">
        <v>230400.13449999999</v>
      </c>
      <c r="F523" s="14">
        <v>23</v>
      </c>
      <c r="G523" s="14">
        <v>22</v>
      </c>
      <c r="H523" s="14">
        <v>1</v>
      </c>
      <c r="I523" s="14">
        <v>0</v>
      </c>
      <c r="J523" s="69">
        <v>21210.649099999999</v>
      </c>
      <c r="K523">
        <f t="shared" si="8"/>
        <v>72</v>
      </c>
      <c r="L523" s="14">
        <v>32</v>
      </c>
      <c r="M523" s="14">
        <v>0</v>
      </c>
      <c r="N523" s="14">
        <v>40</v>
      </c>
      <c r="O523" s="69">
        <v>167979.8</v>
      </c>
      <c r="P523" s="226">
        <f>VLOOKUP(Table323[[#This Row],[Census Tract]],'Population and Diversity Data'!$B$2:$K$823,10,FALSE)</f>
        <v>4</v>
      </c>
      <c r="Q523" s="226" t="str">
        <f>VLOOKUP(Table323[[#This Row],[Census Tract]],'ES Energy Burden'!$B$2:$E$914,4,FALSE)</f>
        <v>No</v>
      </c>
      <c r="R523" s="248">
        <f>VLOOKUP(Table323[[#This Row],[Census Tract]],'Income and Housing Data'!$B$2:$D$823,3,FALSE)</f>
        <v>86119</v>
      </c>
      <c r="S523" s="248" t="str">
        <f>IF($U$6&lt;=Table323[[#This Row],[Household income]],IF(Table323[[#This Row],[Household income]]&lt;=$U$7, "Yes","No"),"No")</f>
        <v>No</v>
      </c>
    </row>
    <row r="524" spans="1:19" x14ac:dyDescent="0.25">
      <c r="A524" s="147">
        <v>9003494201</v>
      </c>
      <c r="B524" s="148" t="s">
        <v>2805</v>
      </c>
      <c r="C524" s="150" t="s">
        <v>944</v>
      </c>
      <c r="D524" s="70">
        <v>75520.036454400019</v>
      </c>
      <c r="E524" s="70">
        <v>9254.0817000000006</v>
      </c>
      <c r="F524" s="14">
        <v>17</v>
      </c>
      <c r="G524" s="14">
        <v>15</v>
      </c>
      <c r="H524" s="14">
        <v>2</v>
      </c>
      <c r="I524" s="14">
        <v>0</v>
      </c>
      <c r="J524" s="69">
        <v>5578.2217000000001</v>
      </c>
      <c r="K524">
        <f t="shared" si="8"/>
        <v>0</v>
      </c>
      <c r="L524" s="14">
        <v>0</v>
      </c>
      <c r="M524" s="14">
        <v>0</v>
      </c>
      <c r="N524" s="14">
        <v>0</v>
      </c>
      <c r="O524" s="69">
        <v>0</v>
      </c>
      <c r="P524" s="226">
        <f>VLOOKUP(Table323[[#This Row],[Census Tract]],'Population and Diversity Data'!$B$2:$K$823,10,FALSE)</f>
        <v>4</v>
      </c>
      <c r="Q524" s="226" t="str">
        <f>VLOOKUP(Table323[[#This Row],[Census Tract]],'ES Energy Burden'!$B$2:$E$914,4,FALSE)</f>
        <v>No</v>
      </c>
      <c r="R524" s="248">
        <f>VLOOKUP(Table323[[#This Row],[Census Tract]],'Income and Housing Data'!$B$2:$D$823,3,FALSE)</f>
        <v>75536</v>
      </c>
      <c r="S524" s="248" t="str">
        <f>IF($U$6&lt;=Table323[[#This Row],[Household income]],IF(Table323[[#This Row],[Household income]]&lt;=$U$7, "Yes","No"),"No")</f>
        <v>No</v>
      </c>
    </row>
    <row r="525" spans="1:19" x14ac:dyDescent="0.25">
      <c r="A525" s="147">
        <v>9003494202</v>
      </c>
      <c r="B525" s="148" t="s">
        <v>2805</v>
      </c>
      <c r="C525" s="150" t="s">
        <v>944</v>
      </c>
      <c r="D525" s="70">
        <v>49848.942931199999</v>
      </c>
      <c r="E525" s="70">
        <v>7119.7650000000003</v>
      </c>
      <c r="F525" s="14">
        <v>12</v>
      </c>
      <c r="G525" s="14">
        <v>12</v>
      </c>
      <c r="H525" s="14">
        <v>0</v>
      </c>
      <c r="I525" s="14">
        <v>0</v>
      </c>
      <c r="J525" s="69">
        <v>5569.0249999999996</v>
      </c>
      <c r="K525">
        <f t="shared" si="8"/>
        <v>0</v>
      </c>
      <c r="L525" s="14">
        <v>0</v>
      </c>
      <c r="M525" s="14">
        <v>0</v>
      </c>
      <c r="N525" s="14">
        <v>0</v>
      </c>
      <c r="O525" s="69">
        <v>0</v>
      </c>
      <c r="P525" s="226">
        <f>VLOOKUP(Table323[[#This Row],[Census Tract]],'Population and Diversity Data'!$B$2:$K$823,10,FALSE)</f>
        <v>4</v>
      </c>
      <c r="Q525" s="226" t="str">
        <f>VLOOKUP(Table323[[#This Row],[Census Tract]],'ES Energy Burden'!$B$2:$E$914,4,FALSE)</f>
        <v>No</v>
      </c>
      <c r="R525" s="248">
        <f>VLOOKUP(Table323[[#This Row],[Census Tract]],'Income and Housing Data'!$B$2:$D$823,3,FALSE)</f>
        <v>90571</v>
      </c>
      <c r="S525" s="248" t="str">
        <f>IF($U$6&lt;=Table323[[#This Row],[Household income]],IF(Table323[[#This Row],[Household income]]&lt;=$U$7, "Yes","No"),"No")</f>
        <v>No</v>
      </c>
    </row>
    <row r="526" spans="1:19" x14ac:dyDescent="0.25">
      <c r="A526" s="147">
        <v>9003494300</v>
      </c>
      <c r="B526" s="148" t="s">
        <v>2805</v>
      </c>
      <c r="C526" s="150" t="s">
        <v>944</v>
      </c>
      <c r="D526" s="70">
        <v>64243.089359999998</v>
      </c>
      <c r="E526" s="70">
        <v>12201.13</v>
      </c>
      <c r="F526" s="14">
        <v>9</v>
      </c>
      <c r="G526" s="14">
        <v>9</v>
      </c>
      <c r="H526" s="14">
        <v>0</v>
      </c>
      <c r="I526" s="14">
        <v>0</v>
      </c>
      <c r="J526" s="69">
        <v>4663.5200000000004</v>
      </c>
      <c r="K526">
        <f t="shared" si="8"/>
        <v>0</v>
      </c>
      <c r="L526" s="14">
        <v>0</v>
      </c>
      <c r="M526" s="14">
        <v>0</v>
      </c>
      <c r="N526" s="14">
        <v>0</v>
      </c>
      <c r="O526" s="69">
        <v>0</v>
      </c>
      <c r="P526" s="226">
        <f>VLOOKUP(Table323[[#This Row],[Census Tract]],'Population and Diversity Data'!$B$2:$K$823,10,FALSE)</f>
        <v>3</v>
      </c>
      <c r="Q526" s="226" t="str">
        <f>VLOOKUP(Table323[[#This Row],[Census Tract]],'ES Energy Burden'!$B$2:$E$914,4,FALSE)</f>
        <v>No</v>
      </c>
      <c r="R526" s="248">
        <f>VLOOKUP(Table323[[#This Row],[Census Tract]],'Income and Housing Data'!$B$2:$D$823,3,FALSE)</f>
        <v>79475</v>
      </c>
      <c r="S526" s="248" t="str">
        <f>IF($U$6&lt;=Table323[[#This Row],[Household income]],IF(Table323[[#This Row],[Household income]]&lt;=$U$7, "Yes","No"),"No")</f>
        <v>No</v>
      </c>
    </row>
    <row r="527" spans="1:19" x14ac:dyDescent="0.25">
      <c r="A527" s="147">
        <v>9003494400</v>
      </c>
      <c r="B527" s="148" t="s">
        <v>2805</v>
      </c>
      <c r="C527" s="150" t="s">
        <v>944</v>
      </c>
      <c r="D527" s="70">
        <v>83406.999749759998</v>
      </c>
      <c r="E527" s="70">
        <v>52850.414900000003</v>
      </c>
      <c r="F527" s="14">
        <v>22</v>
      </c>
      <c r="G527" s="14">
        <v>22</v>
      </c>
      <c r="H527" s="14">
        <v>0</v>
      </c>
      <c r="I527" s="14">
        <v>0</v>
      </c>
      <c r="J527" s="69">
        <v>12058.054899999999</v>
      </c>
      <c r="K527">
        <f t="shared" si="8"/>
        <v>0</v>
      </c>
      <c r="L527" s="14">
        <v>0</v>
      </c>
      <c r="M527" s="14">
        <v>0</v>
      </c>
      <c r="N527" s="14">
        <v>0</v>
      </c>
      <c r="O527" s="69">
        <v>0</v>
      </c>
      <c r="P527" s="226">
        <f>VLOOKUP(Table323[[#This Row],[Census Tract]],'Population and Diversity Data'!$B$2:$K$823,10,FALSE)</f>
        <v>4</v>
      </c>
      <c r="Q527" s="226" t="str">
        <f>VLOOKUP(Table323[[#This Row],[Census Tract]],'ES Energy Burden'!$B$2:$E$914,4,FALSE)</f>
        <v>No</v>
      </c>
      <c r="R527" s="248">
        <f>VLOOKUP(Table323[[#This Row],[Census Tract]],'Income and Housing Data'!$B$2:$D$823,3,FALSE)</f>
        <v>74659</v>
      </c>
      <c r="S527" s="248" t="str">
        <f>IF($U$6&lt;=Table323[[#This Row],[Household income]],IF(Table323[[#This Row],[Household income]]&lt;=$U$7, "Yes","No"),"No")</f>
        <v>No</v>
      </c>
    </row>
    <row r="528" spans="1:19" x14ac:dyDescent="0.25">
      <c r="A528" s="147">
        <v>9003494500</v>
      </c>
      <c r="B528" s="148" t="s">
        <v>2805</v>
      </c>
      <c r="C528" s="150" t="s">
        <v>944</v>
      </c>
      <c r="D528" s="70">
        <v>67984.732339200011</v>
      </c>
      <c r="E528" s="70">
        <v>18676.55</v>
      </c>
      <c r="F528" s="14">
        <v>22</v>
      </c>
      <c r="G528" s="14">
        <v>22</v>
      </c>
      <c r="H528" s="14">
        <v>0</v>
      </c>
      <c r="I528" s="14">
        <v>0</v>
      </c>
      <c r="J528" s="69">
        <v>13992.57</v>
      </c>
      <c r="K528">
        <f t="shared" si="8"/>
        <v>0</v>
      </c>
      <c r="L528" s="14">
        <v>0</v>
      </c>
      <c r="M528" s="14">
        <v>0</v>
      </c>
      <c r="N528" s="14">
        <v>0</v>
      </c>
      <c r="O528" s="69">
        <v>0</v>
      </c>
      <c r="P528" s="226">
        <f>VLOOKUP(Table323[[#This Row],[Census Tract]],'Population and Diversity Data'!$B$2:$K$823,10,FALSE)</f>
        <v>4</v>
      </c>
      <c r="Q528" s="226" t="str">
        <f>VLOOKUP(Table323[[#This Row],[Census Tract]],'ES Energy Burden'!$B$2:$E$914,4,FALSE)</f>
        <v>No</v>
      </c>
      <c r="R528" s="248">
        <f>VLOOKUP(Table323[[#This Row],[Census Tract]],'Income and Housing Data'!$B$2:$D$823,3,FALSE)</f>
        <v>87917</v>
      </c>
      <c r="S528" s="248" t="str">
        <f>IF($U$6&lt;=Table323[[#This Row],[Household income]],IF(Table323[[#This Row],[Household income]]&lt;=$U$7, "Yes","No"),"No")</f>
        <v>No</v>
      </c>
    </row>
    <row r="529" spans="1:19" x14ac:dyDescent="0.25">
      <c r="A529" s="147">
        <v>9003494600</v>
      </c>
      <c r="B529" s="148" t="s">
        <v>2805</v>
      </c>
      <c r="C529" s="150" t="s">
        <v>944</v>
      </c>
      <c r="D529" s="70">
        <v>56666.718339840008</v>
      </c>
      <c r="E529" s="70">
        <v>14589.277</v>
      </c>
      <c r="F529" s="14">
        <v>22</v>
      </c>
      <c r="G529" s="14">
        <v>22</v>
      </c>
      <c r="H529" s="14">
        <v>0</v>
      </c>
      <c r="I529" s="14">
        <v>0</v>
      </c>
      <c r="J529" s="69">
        <v>8331.4171000000006</v>
      </c>
      <c r="K529">
        <f t="shared" si="8"/>
        <v>0</v>
      </c>
      <c r="L529" s="14">
        <v>0</v>
      </c>
      <c r="M529" s="14">
        <v>0</v>
      </c>
      <c r="N529" s="14">
        <v>0</v>
      </c>
      <c r="O529" s="69">
        <v>0</v>
      </c>
      <c r="P529" s="226">
        <f>VLOOKUP(Table323[[#This Row],[Census Tract]],'Population and Diversity Data'!$B$2:$K$823,10,FALSE)</f>
        <v>3</v>
      </c>
      <c r="Q529" s="226" t="str">
        <f>VLOOKUP(Table323[[#This Row],[Census Tract]],'ES Energy Burden'!$B$2:$E$914,4,FALSE)</f>
        <v>No</v>
      </c>
      <c r="R529" s="248">
        <f>VLOOKUP(Table323[[#This Row],[Census Tract]],'Income and Housing Data'!$B$2:$D$823,3,FALSE)</f>
        <v>75980</v>
      </c>
      <c r="S529" s="248" t="str">
        <f>IF($U$6&lt;=Table323[[#This Row],[Household income]],IF(Table323[[#This Row],[Household income]]&lt;=$U$7, "Yes","No"),"No")</f>
        <v>No</v>
      </c>
    </row>
    <row r="530" spans="1:19" x14ac:dyDescent="0.25">
      <c r="A530" s="147">
        <v>9001100100</v>
      </c>
      <c r="B530" s="148" t="s">
        <v>2806</v>
      </c>
      <c r="C530" s="150" t="s">
        <v>944</v>
      </c>
      <c r="D530" s="70">
        <v>355.06762559999999</v>
      </c>
      <c r="E530" s="70">
        <v>0</v>
      </c>
      <c r="F530" s="14">
        <v>0</v>
      </c>
      <c r="G530" s="14">
        <v>0</v>
      </c>
      <c r="H530" s="14">
        <v>0</v>
      </c>
      <c r="I530" s="14">
        <v>0</v>
      </c>
      <c r="J530" s="69">
        <v>0</v>
      </c>
      <c r="K530">
        <f t="shared" si="8"/>
        <v>0</v>
      </c>
      <c r="L530" s="14">
        <v>0</v>
      </c>
      <c r="M530" s="14">
        <v>0</v>
      </c>
      <c r="N530" s="14">
        <v>0</v>
      </c>
      <c r="O530" s="69">
        <v>0</v>
      </c>
      <c r="P530" s="226">
        <f>VLOOKUP(Table323[[#This Row],[Census Tract]],'Population and Diversity Data'!$B$2:$K$823,10,FALSE)</f>
        <v>3</v>
      </c>
      <c r="Q530" s="226" t="str">
        <f>VLOOKUP(Table323[[#This Row],[Census Tract]],'ES Energy Burden'!$B$2:$E$914,4,FALSE)</f>
        <v>No</v>
      </c>
      <c r="R530" s="248">
        <f>VLOOKUP(Table323[[#This Row],[Census Tract]],'Income and Housing Data'!$B$2:$D$823,3,FALSE)</f>
        <v>128056</v>
      </c>
      <c r="S530" s="248" t="str">
        <f>IF($U$6&lt;=Table323[[#This Row],[Household income]],IF(Table323[[#This Row],[Household income]]&lt;=$U$7, "Yes","No"),"No")</f>
        <v>No</v>
      </c>
    </row>
    <row r="531" spans="1:19" x14ac:dyDescent="0.25">
      <c r="A531" s="147">
        <v>9001100300</v>
      </c>
      <c r="B531" s="148" t="s">
        <v>2806</v>
      </c>
      <c r="C531" s="150" t="s">
        <v>944</v>
      </c>
      <c r="D531" s="70">
        <v>1648.5344640000001</v>
      </c>
      <c r="E531" s="70">
        <v>0</v>
      </c>
      <c r="F531" s="14">
        <v>0</v>
      </c>
      <c r="G531" s="14">
        <v>0</v>
      </c>
      <c r="H531" s="14">
        <v>0</v>
      </c>
      <c r="I531" s="14">
        <v>0</v>
      </c>
      <c r="J531" s="69">
        <v>0</v>
      </c>
      <c r="K531">
        <f t="shared" si="8"/>
        <v>0</v>
      </c>
      <c r="L531" s="14">
        <v>0</v>
      </c>
      <c r="M531" s="14">
        <v>0</v>
      </c>
      <c r="N531" s="14">
        <v>0</v>
      </c>
      <c r="O531" s="69">
        <v>0</v>
      </c>
      <c r="P531" s="226">
        <f>VLOOKUP(Table323[[#This Row],[Census Tract]],'Population and Diversity Data'!$B$2:$K$823,10,FALSE)</f>
        <v>2</v>
      </c>
      <c r="Q531" s="226" t="str">
        <f>VLOOKUP(Table323[[#This Row],[Census Tract]],'ES Energy Burden'!$B$2:$E$914,4,FALSE)</f>
        <v>No</v>
      </c>
      <c r="R531" s="248">
        <f>VLOOKUP(Table323[[#This Row],[Census Tract]],'Income and Housing Data'!$B$2:$D$823,3,FALSE)</f>
        <v>122097</v>
      </c>
      <c r="S531" s="248" t="str">
        <f>IF($U$6&lt;=Table323[[#This Row],[Household income]],IF(Table323[[#This Row],[Household income]]&lt;=$U$7, "Yes","No"),"No")</f>
        <v>No</v>
      </c>
    </row>
    <row r="532" spans="1:19" x14ac:dyDescent="0.25">
      <c r="A532" s="147">
        <v>9001200302</v>
      </c>
      <c r="B532" s="148" t="s">
        <v>2806</v>
      </c>
      <c r="C532" s="150" t="s">
        <v>944</v>
      </c>
      <c r="D532" s="70">
        <v>293.72371199999998</v>
      </c>
      <c r="E532" s="70">
        <v>0</v>
      </c>
      <c r="F532" s="14">
        <v>0</v>
      </c>
      <c r="G532" s="14">
        <v>0</v>
      </c>
      <c r="H532" s="14">
        <v>0</v>
      </c>
      <c r="I532" s="14">
        <v>0</v>
      </c>
      <c r="J532" s="69">
        <v>0</v>
      </c>
      <c r="K532">
        <f t="shared" si="8"/>
        <v>0</v>
      </c>
      <c r="L532" s="14">
        <v>0</v>
      </c>
      <c r="M532" s="14">
        <v>0</v>
      </c>
      <c r="N532" s="14">
        <v>0</v>
      </c>
      <c r="O532" s="69">
        <v>0</v>
      </c>
      <c r="P532" s="226">
        <f>VLOOKUP(Table323[[#This Row],[Census Tract]],'Population and Diversity Data'!$B$2:$K$823,10,FALSE)</f>
        <v>1</v>
      </c>
      <c r="Q532" s="226" t="str">
        <f>VLOOKUP(Table323[[#This Row],[Census Tract]],'ES Energy Burden'!$B$2:$E$914,4,FALSE)</f>
        <v>No</v>
      </c>
      <c r="R532" s="248">
        <f>VLOOKUP(Table323[[#This Row],[Census Tract]],'Income and Housing Data'!$B$2:$D$823,3,FALSE)</f>
        <v>116500</v>
      </c>
      <c r="S532" s="248" t="str">
        <f>IF($U$6&lt;=Table323[[#This Row],[Household income]],IF(Table323[[#This Row],[Household income]]&lt;=$U$7, "Yes","No"),"No")</f>
        <v>No</v>
      </c>
    </row>
    <row r="533" spans="1:19" x14ac:dyDescent="0.25">
      <c r="A533" s="147">
        <v>9001205200</v>
      </c>
      <c r="B533" s="148" t="s">
        <v>2806</v>
      </c>
      <c r="C533" s="150" t="s">
        <v>944</v>
      </c>
      <c r="D533" s="70">
        <v>816.99071040000001</v>
      </c>
      <c r="E533" s="70">
        <v>0</v>
      </c>
      <c r="F533" s="14">
        <v>0</v>
      </c>
      <c r="G533" s="14">
        <v>0</v>
      </c>
      <c r="H533" s="14">
        <v>0</v>
      </c>
      <c r="I533" s="14">
        <v>0</v>
      </c>
      <c r="J533" s="69">
        <v>0</v>
      </c>
      <c r="K533">
        <f t="shared" si="8"/>
        <v>0</v>
      </c>
      <c r="L533" s="14">
        <v>0</v>
      </c>
      <c r="M533" s="14">
        <v>0</v>
      </c>
      <c r="N533" s="14">
        <v>0</v>
      </c>
      <c r="O533" s="69">
        <v>0</v>
      </c>
      <c r="P533" s="226">
        <f>VLOOKUP(Table323[[#This Row],[Census Tract]],'Population and Diversity Data'!$B$2:$K$823,10,FALSE)</f>
        <v>1</v>
      </c>
      <c r="Q533" s="226" t="str">
        <f>VLOOKUP(Table323[[#This Row],[Census Tract]],'ES Energy Burden'!$B$2:$E$914,4,FALSE)</f>
        <v>No</v>
      </c>
      <c r="R533" s="248">
        <f>VLOOKUP(Table323[[#This Row],[Census Tract]],'Income and Housing Data'!$B$2:$D$823,3,FALSE)</f>
        <v>120476</v>
      </c>
      <c r="S533" s="248" t="str">
        <f>IF($U$6&lt;=Table323[[#This Row],[Household income]],IF(Table323[[#This Row],[Household income]]&lt;=$U$7, "Yes","No"),"No")</f>
        <v>No</v>
      </c>
    </row>
    <row r="534" spans="1:19" x14ac:dyDescent="0.25">
      <c r="A534" s="147">
        <v>9001205300</v>
      </c>
      <c r="B534" s="148" t="s">
        <v>2806</v>
      </c>
      <c r="C534" s="150" t="s">
        <v>944</v>
      </c>
      <c r="D534" s="70">
        <v>755.54259840000009</v>
      </c>
      <c r="E534" s="70">
        <v>0</v>
      </c>
      <c r="F534" s="14">
        <v>0</v>
      </c>
      <c r="G534" s="14">
        <v>0</v>
      </c>
      <c r="H534" s="14">
        <v>0</v>
      </c>
      <c r="I534" s="14">
        <v>0</v>
      </c>
      <c r="J534" s="69">
        <v>0</v>
      </c>
      <c r="K534">
        <f t="shared" si="8"/>
        <v>0</v>
      </c>
      <c r="L534" s="14">
        <v>0</v>
      </c>
      <c r="M534" s="14">
        <v>0</v>
      </c>
      <c r="N534" s="14">
        <v>0</v>
      </c>
      <c r="O534" s="69">
        <v>0</v>
      </c>
      <c r="P534" s="226">
        <f>VLOOKUP(Table323[[#This Row],[Census Tract]],'Population and Diversity Data'!$B$2:$K$823,10,FALSE)</f>
        <v>4</v>
      </c>
      <c r="Q534" s="226" t="str">
        <f>VLOOKUP(Table323[[#This Row],[Census Tract]],'ES Energy Burden'!$B$2:$E$914,4,FALSE)</f>
        <v>No</v>
      </c>
      <c r="R534" s="248">
        <f>VLOOKUP(Table323[[#This Row],[Census Tract]],'Income and Housing Data'!$B$2:$D$823,3,FALSE)</f>
        <v>95234</v>
      </c>
      <c r="S534" s="248" t="str">
        <f>IF($U$6&lt;=Table323[[#This Row],[Household income]],IF(Table323[[#This Row],[Household income]]&lt;=$U$7, "Yes","No"),"No")</f>
        <v>No</v>
      </c>
    </row>
    <row r="535" spans="1:19" x14ac:dyDescent="0.25">
      <c r="A535" s="147">
        <v>9001230100</v>
      </c>
      <c r="B535" s="148" t="s">
        <v>2806</v>
      </c>
      <c r="C535" s="150" t="s">
        <v>944</v>
      </c>
      <c r="D535" s="70">
        <v>176786.57828736003</v>
      </c>
      <c r="E535" s="70">
        <v>93877.471000000005</v>
      </c>
      <c r="F535" s="14">
        <v>24</v>
      </c>
      <c r="G535" s="14">
        <v>24</v>
      </c>
      <c r="H535" s="14">
        <v>0</v>
      </c>
      <c r="I535" s="14">
        <v>0</v>
      </c>
      <c r="J535" s="69">
        <v>18104.113000000001</v>
      </c>
      <c r="K535">
        <f t="shared" si="8"/>
        <v>10</v>
      </c>
      <c r="L535" s="14">
        <v>10</v>
      </c>
      <c r="M535" s="14">
        <v>0</v>
      </c>
      <c r="N535" s="14">
        <v>0</v>
      </c>
      <c r="O535" s="69">
        <v>12073.1</v>
      </c>
      <c r="P535" s="226">
        <f>VLOOKUP(Table323[[#This Row],[Census Tract]],'Population and Diversity Data'!$B$2:$K$823,10,FALSE)</f>
        <v>2</v>
      </c>
      <c r="Q535" s="226" t="str">
        <f>VLOOKUP(Table323[[#This Row],[Census Tract]],'ES Energy Burden'!$B$2:$E$914,4,FALSE)</f>
        <v>No</v>
      </c>
      <c r="R535" s="248">
        <f>VLOOKUP(Table323[[#This Row],[Census Tract]],'Income and Housing Data'!$B$2:$D$823,3,FALSE)</f>
        <v>107033</v>
      </c>
      <c r="S535" s="248" t="str">
        <f>IF($U$6&lt;=Table323[[#This Row],[Household income]],IF(Table323[[#This Row],[Household income]]&lt;=$U$7, "Yes","No"),"No")</f>
        <v>No</v>
      </c>
    </row>
    <row r="536" spans="1:19" x14ac:dyDescent="0.25">
      <c r="A536" s="147">
        <v>9001230200</v>
      </c>
      <c r="B536" s="148" t="s">
        <v>2806</v>
      </c>
      <c r="C536" s="150" t="s">
        <v>944</v>
      </c>
      <c r="D536" s="70">
        <v>46297.806465599999</v>
      </c>
      <c r="E536" s="70">
        <v>12190.543</v>
      </c>
      <c r="F536" s="14">
        <v>9</v>
      </c>
      <c r="G536" s="14">
        <v>9</v>
      </c>
      <c r="H536" s="14">
        <v>0</v>
      </c>
      <c r="I536" s="14">
        <v>0</v>
      </c>
      <c r="J536" s="69">
        <v>9195.7929999999997</v>
      </c>
      <c r="K536">
        <f t="shared" si="8"/>
        <v>0</v>
      </c>
      <c r="L536" s="14">
        <v>0</v>
      </c>
      <c r="M536" s="14">
        <v>0</v>
      </c>
      <c r="N536" s="14">
        <v>0</v>
      </c>
      <c r="O536" s="69">
        <v>0</v>
      </c>
      <c r="P536" s="226">
        <f>VLOOKUP(Table323[[#This Row],[Census Tract]],'Population and Diversity Data'!$B$2:$K$823,10,FALSE)</f>
        <v>2</v>
      </c>
      <c r="Q536" s="226" t="str">
        <f>VLOOKUP(Table323[[#This Row],[Census Tract]],'ES Energy Burden'!$B$2:$E$914,4,FALSE)</f>
        <v>No</v>
      </c>
      <c r="R536" s="248">
        <f>VLOOKUP(Table323[[#This Row],[Census Tract]],'Income and Housing Data'!$B$2:$D$823,3,FALSE)</f>
        <v>140625</v>
      </c>
      <c r="S536" s="248" t="str">
        <f>IF($U$6&lt;=Table323[[#This Row],[Household income]],IF(Table323[[#This Row],[Household income]]&lt;=$U$7, "Yes","No"),"No")</f>
        <v>No</v>
      </c>
    </row>
    <row r="537" spans="1:19" x14ac:dyDescent="0.25">
      <c r="A537" s="147">
        <v>9001230300</v>
      </c>
      <c r="B537" s="148" t="s">
        <v>2806</v>
      </c>
      <c r="C537" s="150" t="s">
        <v>944</v>
      </c>
      <c r="D537" s="70">
        <v>78817.512913920014</v>
      </c>
      <c r="E537" s="70">
        <v>22507.883300000001</v>
      </c>
      <c r="F537" s="14">
        <v>20</v>
      </c>
      <c r="G537" s="14">
        <v>20</v>
      </c>
      <c r="H537" s="14">
        <v>0</v>
      </c>
      <c r="I537" s="14">
        <v>0</v>
      </c>
      <c r="J537" s="69">
        <v>22506.433300000001</v>
      </c>
      <c r="K537">
        <f t="shared" si="8"/>
        <v>0</v>
      </c>
      <c r="L537" s="14">
        <v>0</v>
      </c>
      <c r="M537" s="14">
        <v>0</v>
      </c>
      <c r="N537" s="14">
        <v>0</v>
      </c>
      <c r="O537" s="69">
        <v>0</v>
      </c>
      <c r="P537" s="226">
        <f>VLOOKUP(Table323[[#This Row],[Census Tract]],'Population and Diversity Data'!$B$2:$K$823,10,FALSE)</f>
        <v>1</v>
      </c>
      <c r="Q537" s="226" t="str">
        <f>VLOOKUP(Table323[[#This Row],[Census Tract]],'ES Energy Burden'!$B$2:$E$914,4,FALSE)</f>
        <v>No</v>
      </c>
      <c r="R537" s="248">
        <f>VLOOKUP(Table323[[#This Row],[Census Tract]],'Income and Housing Data'!$B$2:$D$823,3,FALSE)</f>
        <v>130625</v>
      </c>
      <c r="S537" s="248" t="str">
        <f>IF($U$6&lt;=Table323[[#This Row],[Household income]],IF(Table323[[#This Row],[Household income]]&lt;=$U$7, "Yes","No"),"No")</f>
        <v>No</v>
      </c>
    </row>
    <row r="538" spans="1:19" x14ac:dyDescent="0.25">
      <c r="A538" s="147">
        <v>9001230400</v>
      </c>
      <c r="B538" s="148" t="s">
        <v>2806</v>
      </c>
      <c r="C538" s="150" t="s">
        <v>944</v>
      </c>
      <c r="D538" s="70">
        <v>125089.12448064002</v>
      </c>
      <c r="E538" s="70">
        <v>19995.774300000001</v>
      </c>
      <c r="F538" s="14">
        <v>19</v>
      </c>
      <c r="G538" s="14">
        <v>19</v>
      </c>
      <c r="H538" s="14">
        <v>0</v>
      </c>
      <c r="I538" s="14">
        <v>0</v>
      </c>
      <c r="J538" s="69">
        <v>15110.7243</v>
      </c>
      <c r="K538">
        <f t="shared" si="8"/>
        <v>0</v>
      </c>
      <c r="L538" s="14">
        <v>0</v>
      </c>
      <c r="M538" s="14">
        <v>0</v>
      </c>
      <c r="N538" s="14">
        <v>0</v>
      </c>
      <c r="O538" s="69">
        <v>0</v>
      </c>
      <c r="P538" s="226">
        <f>VLOOKUP(Table323[[#This Row],[Census Tract]],'Population and Diversity Data'!$B$2:$K$823,10,FALSE)</f>
        <v>2</v>
      </c>
      <c r="Q538" s="226" t="str">
        <f>VLOOKUP(Table323[[#This Row],[Census Tract]],'ES Energy Burden'!$B$2:$E$914,4,FALSE)</f>
        <v>No</v>
      </c>
      <c r="R538" s="248">
        <f>VLOOKUP(Table323[[#This Row],[Census Tract]],'Income and Housing Data'!$B$2:$D$823,3,FALSE)</f>
        <v>139313</v>
      </c>
      <c r="S538" s="248" t="str">
        <f>IF($U$6&lt;=Table323[[#This Row],[Household income]],IF(Table323[[#This Row],[Household income]]&lt;=$U$7, "Yes","No"),"No")</f>
        <v>No</v>
      </c>
    </row>
    <row r="539" spans="1:19" x14ac:dyDescent="0.25">
      <c r="A539" s="147">
        <v>9001230501</v>
      </c>
      <c r="B539" s="148" t="s">
        <v>2806</v>
      </c>
      <c r="C539" s="150" t="s">
        <v>944</v>
      </c>
      <c r="D539" s="70">
        <v>88437.196612800006</v>
      </c>
      <c r="E539" s="70">
        <v>18717.475399999999</v>
      </c>
      <c r="F539" s="14">
        <v>17</v>
      </c>
      <c r="G539" s="14">
        <v>17</v>
      </c>
      <c r="H539" s="14">
        <v>0</v>
      </c>
      <c r="I539" s="14">
        <v>0</v>
      </c>
      <c r="J539" s="69">
        <v>18714.225399999999</v>
      </c>
      <c r="K539">
        <f t="shared" si="8"/>
        <v>0</v>
      </c>
      <c r="L539" s="14">
        <v>0</v>
      </c>
      <c r="M539" s="14">
        <v>0</v>
      </c>
      <c r="N539" s="14">
        <v>0</v>
      </c>
      <c r="O539" s="69">
        <v>0</v>
      </c>
      <c r="P539" s="226">
        <f>VLOOKUP(Table323[[#This Row],[Census Tract]],'Population and Diversity Data'!$B$2:$K$823,10,FALSE)</f>
        <v>2</v>
      </c>
      <c r="Q539" s="226" t="str">
        <f>VLOOKUP(Table323[[#This Row],[Census Tract]],'ES Energy Burden'!$B$2:$E$914,4,FALSE)</f>
        <v>No</v>
      </c>
      <c r="R539" s="248">
        <f>VLOOKUP(Table323[[#This Row],[Census Tract]],'Income and Housing Data'!$B$2:$D$823,3,FALSE)</f>
        <v>153267</v>
      </c>
      <c r="S539" s="248" t="str">
        <f>IF($U$6&lt;=Table323[[#This Row],[Household income]],IF(Table323[[#This Row],[Household income]]&lt;=$U$7, "Yes","No"),"No")</f>
        <v>No</v>
      </c>
    </row>
    <row r="540" spans="1:19" x14ac:dyDescent="0.25">
      <c r="A540" s="147">
        <v>9001230502</v>
      </c>
      <c r="B540" s="148" t="s">
        <v>2806</v>
      </c>
      <c r="C540" s="150" t="s">
        <v>944</v>
      </c>
      <c r="D540" s="70">
        <v>84605.596839359991</v>
      </c>
      <c r="E540" s="70">
        <v>9151.4843000000001</v>
      </c>
      <c r="F540" s="14">
        <v>9</v>
      </c>
      <c r="G540" s="14">
        <v>9</v>
      </c>
      <c r="H540" s="14">
        <v>0</v>
      </c>
      <c r="I540" s="14">
        <v>0</v>
      </c>
      <c r="J540" s="69">
        <v>9150.0943000000007</v>
      </c>
      <c r="K540">
        <f t="shared" si="8"/>
        <v>0</v>
      </c>
      <c r="L540" s="14">
        <v>0</v>
      </c>
      <c r="M540" s="14">
        <v>0</v>
      </c>
      <c r="N540" s="14">
        <v>0</v>
      </c>
      <c r="O540" s="69">
        <v>0</v>
      </c>
      <c r="P540" s="226">
        <f>VLOOKUP(Table323[[#This Row],[Census Tract]],'Population and Diversity Data'!$B$2:$K$823,10,FALSE)</f>
        <v>2</v>
      </c>
      <c r="Q540" s="226" t="str">
        <f>VLOOKUP(Table323[[#This Row],[Census Tract]],'ES Energy Burden'!$B$2:$E$914,4,FALSE)</f>
        <v>No</v>
      </c>
      <c r="R540" s="248">
        <f>VLOOKUP(Table323[[#This Row],[Census Tract]],'Income and Housing Data'!$B$2:$D$823,3,FALSE)</f>
        <v>114773</v>
      </c>
      <c r="S540" s="248" t="str">
        <f>IF($U$6&lt;=Table323[[#This Row],[Household income]],IF(Table323[[#This Row],[Household income]]&lt;=$U$7, "Yes","No"),"No")</f>
        <v>No</v>
      </c>
    </row>
    <row r="541" spans="1:19" x14ac:dyDescent="0.25">
      <c r="A541" s="147">
        <v>9005296100</v>
      </c>
      <c r="B541" s="148" t="s">
        <v>2807</v>
      </c>
      <c r="C541" s="150" t="s">
        <v>944</v>
      </c>
      <c r="D541" s="70">
        <v>153.95313599999997</v>
      </c>
      <c r="E541" s="70">
        <v>0</v>
      </c>
      <c r="F541" s="14">
        <v>0</v>
      </c>
      <c r="G541" s="14">
        <v>0</v>
      </c>
      <c r="H541" s="14">
        <v>0</v>
      </c>
      <c r="I541" s="14">
        <v>0</v>
      </c>
      <c r="J541" s="69">
        <v>0</v>
      </c>
      <c r="K541">
        <f t="shared" si="8"/>
        <v>0</v>
      </c>
      <c r="L541" s="14">
        <v>0</v>
      </c>
      <c r="M541" s="14">
        <v>0</v>
      </c>
      <c r="N541" s="14">
        <v>0</v>
      </c>
      <c r="O541" s="69">
        <v>0</v>
      </c>
      <c r="P541" s="226">
        <f>VLOOKUP(Table323[[#This Row],[Census Tract]],'Population and Diversity Data'!$B$2:$K$823,10,FALSE)</f>
        <v>3</v>
      </c>
      <c r="Q541" s="226" t="str">
        <f>VLOOKUP(Table323[[#This Row],[Census Tract]],'ES Energy Burden'!$B$2:$E$914,4,FALSE)</f>
        <v>No</v>
      </c>
      <c r="R541" s="248">
        <f>VLOOKUP(Table323[[#This Row],[Census Tract]],'Income and Housing Data'!$B$2:$D$823,3,FALSE)</f>
        <v>109886</v>
      </c>
      <c r="S541" s="248" t="str">
        <f>IF($U$6&lt;=Table323[[#This Row],[Household income]],IF(Table323[[#This Row],[Household income]]&lt;=$U$7, "Yes","No"),"No")</f>
        <v>No</v>
      </c>
    </row>
    <row r="542" spans="1:19" x14ac:dyDescent="0.25">
      <c r="A542" s="147">
        <v>9005425600</v>
      </c>
      <c r="B542" s="148" t="s">
        <v>2807</v>
      </c>
      <c r="C542" s="150" t="s">
        <v>944</v>
      </c>
      <c r="D542" s="70">
        <v>40182.115245120003</v>
      </c>
      <c r="E542" s="70">
        <v>13119.833199999999</v>
      </c>
      <c r="F542" s="14">
        <v>5</v>
      </c>
      <c r="G542" s="14">
        <v>5</v>
      </c>
      <c r="H542" s="14">
        <v>0</v>
      </c>
      <c r="I542" s="14">
        <v>0</v>
      </c>
      <c r="J542" s="69">
        <v>6733.3832000000002</v>
      </c>
      <c r="K542">
        <f t="shared" si="8"/>
        <v>5</v>
      </c>
      <c r="L542" s="14">
        <v>5</v>
      </c>
      <c r="M542" s="14">
        <v>0</v>
      </c>
      <c r="N542" s="14">
        <v>0</v>
      </c>
      <c r="O542" s="69">
        <v>5247.91</v>
      </c>
      <c r="P542" s="226">
        <f>VLOOKUP(Table323[[#This Row],[Census Tract]],'Population and Diversity Data'!$B$2:$K$823,10,FALSE)</f>
        <v>1</v>
      </c>
      <c r="Q542" s="226" t="str">
        <f>VLOOKUP(Table323[[#This Row],[Census Tract]],'ES Energy Burden'!$B$2:$E$914,4,FALSE)</f>
        <v>No</v>
      </c>
      <c r="R542" s="248">
        <f>VLOOKUP(Table323[[#This Row],[Census Tract]],'Income and Housing Data'!$B$2:$D$823,3,FALSE)</f>
        <v>77083</v>
      </c>
      <c r="S542" s="248" t="str">
        <f>IF($U$6&lt;=Table323[[#This Row],[Household income]],IF(Table323[[#This Row],[Household income]]&lt;=$U$7, "Yes","No"),"No")</f>
        <v>No</v>
      </c>
    </row>
    <row r="543" spans="1:19" x14ac:dyDescent="0.25">
      <c r="A543" s="147">
        <v>9005260200</v>
      </c>
      <c r="B543" s="148" t="s">
        <v>2808</v>
      </c>
      <c r="C543" s="150" t="s">
        <v>944</v>
      </c>
      <c r="D543" s="70">
        <v>54207.331608959998</v>
      </c>
      <c r="E543" s="70">
        <v>18834.362000000001</v>
      </c>
      <c r="F543" s="14">
        <v>1</v>
      </c>
      <c r="G543" s="14">
        <v>1</v>
      </c>
      <c r="H543" s="14">
        <v>0</v>
      </c>
      <c r="I543" s="14">
        <v>0</v>
      </c>
      <c r="J543" s="69">
        <v>4243.05</v>
      </c>
      <c r="K543">
        <f t="shared" si="8"/>
        <v>4</v>
      </c>
      <c r="L543" s="14">
        <v>4</v>
      </c>
      <c r="M543" s="14">
        <v>0</v>
      </c>
      <c r="N543" s="14">
        <v>0</v>
      </c>
      <c r="O543" s="69">
        <v>10571.7</v>
      </c>
      <c r="P543" s="226">
        <f>VLOOKUP(Table323[[#This Row],[Census Tract]],'Population and Diversity Data'!$B$2:$K$823,10,FALSE)</f>
        <v>1</v>
      </c>
      <c r="Q543" s="226" t="str">
        <f>VLOOKUP(Table323[[#This Row],[Census Tract]],'ES Energy Burden'!$B$2:$E$914,4,FALSE)</f>
        <v>No</v>
      </c>
      <c r="R543" s="248">
        <f>VLOOKUP(Table323[[#This Row],[Census Tract]],'Income and Housing Data'!$B$2:$D$823,3,FALSE)</f>
        <v>62432</v>
      </c>
      <c r="S543" s="248" t="str">
        <f>IF($U$6&lt;=Table323[[#This Row],[Household income]],IF(Table323[[#This Row],[Household income]]&lt;=$U$7, "Yes","No"),"No")</f>
        <v>Yes</v>
      </c>
    </row>
    <row r="544" spans="1:19" x14ac:dyDescent="0.25">
      <c r="A544" s="147">
        <v>9011707100</v>
      </c>
      <c r="B544" s="148" t="s">
        <v>2809</v>
      </c>
      <c r="C544" s="150" t="s">
        <v>944</v>
      </c>
      <c r="D544" s="70">
        <v>113517.0539424</v>
      </c>
      <c r="E544" s="70">
        <v>51278.805999999997</v>
      </c>
      <c r="F544" s="14">
        <v>30</v>
      </c>
      <c r="G544" s="14">
        <v>30</v>
      </c>
      <c r="H544" s="14">
        <v>0</v>
      </c>
      <c r="I544" s="14">
        <v>0</v>
      </c>
      <c r="J544" s="69">
        <v>19357.905999999999</v>
      </c>
      <c r="K544">
        <f t="shared" si="8"/>
        <v>1</v>
      </c>
      <c r="L544" s="14">
        <v>1</v>
      </c>
      <c r="M544" s="14">
        <v>0</v>
      </c>
      <c r="N544" s="14">
        <v>0</v>
      </c>
      <c r="O544" s="69">
        <v>499.36</v>
      </c>
      <c r="P544" s="226">
        <f>VLOOKUP(Table323[[#This Row],[Census Tract]],'Population and Diversity Data'!$B$2:$K$823,10,FALSE)</f>
        <v>3</v>
      </c>
      <c r="Q544" s="226" t="str">
        <f>VLOOKUP(Table323[[#This Row],[Census Tract]],'ES Energy Burden'!$B$2:$E$914,4,FALSE)</f>
        <v>No</v>
      </c>
      <c r="R544" s="248">
        <f>VLOOKUP(Table323[[#This Row],[Census Tract]],'Income and Housing Data'!$B$2:$D$823,3,FALSE)</f>
        <v>75833</v>
      </c>
      <c r="S544" s="248" t="str">
        <f>IF($U$6&lt;=Table323[[#This Row],[Household income]],IF(Table323[[#This Row],[Household income]]&lt;=$U$7, "Yes","No"),"No")</f>
        <v>No</v>
      </c>
    </row>
    <row r="545" spans="1:19" x14ac:dyDescent="0.25">
      <c r="A545" s="147">
        <v>9011708100</v>
      </c>
      <c r="B545" s="148" t="s">
        <v>2809</v>
      </c>
      <c r="C545" s="150" t="s">
        <v>944</v>
      </c>
      <c r="D545" s="70">
        <v>176.22264960000001</v>
      </c>
      <c r="E545" s="70">
        <v>0</v>
      </c>
      <c r="F545" s="14">
        <v>0</v>
      </c>
      <c r="G545" s="14">
        <v>0</v>
      </c>
      <c r="H545" s="14">
        <v>0</v>
      </c>
      <c r="I545" s="14">
        <v>0</v>
      </c>
      <c r="J545" s="69">
        <v>0</v>
      </c>
      <c r="K545">
        <f t="shared" si="8"/>
        <v>0</v>
      </c>
      <c r="L545" s="14">
        <v>0</v>
      </c>
      <c r="M545" s="14">
        <v>0</v>
      </c>
      <c r="N545" s="14">
        <v>0</v>
      </c>
      <c r="O545" s="69">
        <v>0</v>
      </c>
      <c r="P545" s="226">
        <f>VLOOKUP(Table323[[#This Row],[Census Tract]],'Population and Diversity Data'!$B$2:$K$823,10,FALSE)</f>
        <v>2</v>
      </c>
      <c r="Q545" s="226" t="str">
        <f>VLOOKUP(Table323[[#This Row],[Census Tract]],'ES Energy Burden'!$B$2:$E$914,4,FALSE)</f>
        <v>No</v>
      </c>
      <c r="R545" s="248">
        <f>VLOOKUP(Table323[[#This Row],[Census Tract]],'Income and Housing Data'!$B$2:$D$823,3,FALSE)</f>
        <v>85052</v>
      </c>
      <c r="S545" s="248" t="str">
        <f>IF($U$6&lt;=Table323[[#This Row],[Household income]],IF(Table323[[#This Row],[Household income]]&lt;=$U$7, "Yes","No"),"No")</f>
        <v>No</v>
      </c>
    </row>
    <row r="546" spans="1:19" x14ac:dyDescent="0.25">
      <c r="A546" s="147">
        <v>9001035300</v>
      </c>
      <c r="B546" s="148" t="s">
        <v>2810</v>
      </c>
      <c r="C546" s="150" t="s">
        <v>944</v>
      </c>
      <c r="D546" s="70">
        <v>1061.2722816</v>
      </c>
      <c r="E546" s="70">
        <v>0</v>
      </c>
      <c r="F546" s="14">
        <v>0</v>
      </c>
      <c r="G546" s="14">
        <v>0</v>
      </c>
      <c r="H546" s="14">
        <v>0</v>
      </c>
      <c r="I546" s="14">
        <v>0</v>
      </c>
      <c r="J546" s="69">
        <v>0</v>
      </c>
      <c r="K546">
        <f t="shared" si="8"/>
        <v>0</v>
      </c>
      <c r="L546" s="14">
        <v>0</v>
      </c>
      <c r="M546" s="14">
        <v>0</v>
      </c>
      <c r="N546" s="14">
        <v>0</v>
      </c>
      <c r="O546" s="69">
        <v>0</v>
      </c>
      <c r="P546" s="226">
        <f>VLOOKUP(Table323[[#This Row],[Census Tract]],'Population and Diversity Data'!$B$2:$K$823,10,FALSE)</f>
        <v>3</v>
      </c>
      <c r="Q546" s="226" t="str">
        <f>VLOOKUP(Table323[[#This Row],[Census Tract]],'ES Energy Burden'!$B$2:$E$914,4,FALSE)</f>
        <v>No</v>
      </c>
      <c r="R546" s="248">
        <f>VLOOKUP(Table323[[#This Row],[Census Tract]],'Income and Housing Data'!$B$2:$D$823,3,FALSE)</f>
        <v>250000</v>
      </c>
      <c r="S546" s="248" t="str">
        <f>IF($U$6&lt;=Table323[[#This Row],[Household income]],IF(Table323[[#This Row],[Household income]]&lt;=$U$7, "Yes","No"),"No")</f>
        <v>No</v>
      </c>
    </row>
    <row r="547" spans="1:19" x14ac:dyDescent="0.25">
      <c r="A547" s="147">
        <v>9001035400</v>
      </c>
      <c r="B547" s="148" t="s">
        <v>2810</v>
      </c>
      <c r="C547" s="150" t="s">
        <v>944</v>
      </c>
      <c r="D547" s="70">
        <v>3028.5282326400002</v>
      </c>
      <c r="E547" s="70">
        <v>0</v>
      </c>
      <c r="F547" s="14">
        <v>0</v>
      </c>
      <c r="G547" s="14">
        <v>0</v>
      </c>
      <c r="H547" s="14">
        <v>0</v>
      </c>
      <c r="I547" s="14">
        <v>0</v>
      </c>
      <c r="J547" s="69">
        <v>0</v>
      </c>
      <c r="K547">
        <f t="shared" si="8"/>
        <v>0</v>
      </c>
      <c r="L547" s="14">
        <v>0</v>
      </c>
      <c r="M547" s="14">
        <v>0</v>
      </c>
      <c r="N547" s="14">
        <v>0</v>
      </c>
      <c r="O547" s="69">
        <v>0</v>
      </c>
      <c r="P547" s="226">
        <f>VLOOKUP(Table323[[#This Row],[Census Tract]],'Population and Diversity Data'!$B$2:$K$823,10,FALSE)</f>
        <v>2</v>
      </c>
      <c r="Q547" s="226" t="str">
        <f>VLOOKUP(Table323[[#This Row],[Census Tract]],'ES Energy Burden'!$B$2:$E$914,4,FALSE)</f>
        <v>No</v>
      </c>
      <c r="R547" s="248">
        <f>VLOOKUP(Table323[[#This Row],[Census Tract]],'Income and Housing Data'!$B$2:$D$823,3,FALSE)</f>
        <v>250000</v>
      </c>
      <c r="S547" s="248" t="str">
        <f>IF($U$6&lt;=Table323[[#This Row],[Household income]],IF(Table323[[#This Row],[Household income]]&lt;=$U$7, "Yes","No"),"No")</f>
        <v>No</v>
      </c>
    </row>
    <row r="548" spans="1:19" x14ac:dyDescent="0.25">
      <c r="A548" s="147">
        <v>9001042500</v>
      </c>
      <c r="B548" s="148" t="s">
        <v>2810</v>
      </c>
      <c r="C548" s="150" t="s">
        <v>944</v>
      </c>
      <c r="D548" s="70">
        <v>83103.254467200008</v>
      </c>
      <c r="E548" s="70">
        <v>25488.235000000001</v>
      </c>
      <c r="F548" s="14">
        <v>11</v>
      </c>
      <c r="G548" s="14">
        <v>11</v>
      </c>
      <c r="H548" s="14">
        <v>0</v>
      </c>
      <c r="I548" s="14">
        <v>0</v>
      </c>
      <c r="J548" s="69">
        <v>14094.434999999999</v>
      </c>
      <c r="K548">
        <f t="shared" si="8"/>
        <v>0</v>
      </c>
      <c r="L548" s="14">
        <v>0</v>
      </c>
      <c r="M548" s="14">
        <v>0</v>
      </c>
      <c r="N548" s="14">
        <v>0</v>
      </c>
      <c r="O548" s="69">
        <v>0</v>
      </c>
      <c r="P548" s="226">
        <f>VLOOKUP(Table323[[#This Row],[Census Tract]],'Population and Diversity Data'!$B$2:$K$823,10,FALSE)</f>
        <v>1</v>
      </c>
      <c r="Q548" s="226" t="str">
        <f>VLOOKUP(Table323[[#This Row],[Census Tract]],'ES Energy Burden'!$B$2:$E$914,4,FALSE)</f>
        <v>No</v>
      </c>
      <c r="R548" s="248">
        <f>VLOOKUP(Table323[[#This Row],[Census Tract]],'Income and Housing Data'!$B$2:$D$823,3,FALSE)</f>
        <v>129821</v>
      </c>
      <c r="S548" s="248" t="str">
        <f>IF($U$6&lt;=Table323[[#This Row],[Household income]],IF(Table323[[#This Row],[Household income]]&lt;=$U$7, "Yes","No"),"No")</f>
        <v>No</v>
      </c>
    </row>
    <row r="549" spans="1:19" x14ac:dyDescent="0.25">
      <c r="A549" s="147">
        <v>9001042600</v>
      </c>
      <c r="B549" s="148" t="s">
        <v>2810</v>
      </c>
      <c r="C549" s="150" t="s">
        <v>944</v>
      </c>
      <c r="D549" s="70">
        <v>81284.181955200009</v>
      </c>
      <c r="E549" s="70">
        <v>15735.29</v>
      </c>
      <c r="F549" s="14">
        <v>15</v>
      </c>
      <c r="G549" s="14">
        <v>14</v>
      </c>
      <c r="H549" s="14">
        <v>1</v>
      </c>
      <c r="I549" s="14">
        <v>0</v>
      </c>
      <c r="J549" s="69">
        <v>15732.74</v>
      </c>
      <c r="K549">
        <f t="shared" si="8"/>
        <v>0</v>
      </c>
      <c r="L549" s="14">
        <v>0</v>
      </c>
      <c r="M549" s="14">
        <v>0</v>
      </c>
      <c r="N549" s="14">
        <v>0</v>
      </c>
      <c r="O549" s="69">
        <v>0</v>
      </c>
      <c r="P549" s="226">
        <f>VLOOKUP(Table323[[#This Row],[Census Tract]],'Population and Diversity Data'!$B$2:$K$823,10,FALSE)</f>
        <v>3</v>
      </c>
      <c r="Q549" s="226" t="str">
        <f>VLOOKUP(Table323[[#This Row],[Census Tract]],'ES Energy Burden'!$B$2:$E$914,4,FALSE)</f>
        <v>No</v>
      </c>
      <c r="R549" s="248">
        <f>VLOOKUP(Table323[[#This Row],[Census Tract]],'Income and Housing Data'!$B$2:$D$823,3,FALSE)</f>
        <v>113594</v>
      </c>
      <c r="S549" s="248" t="str">
        <f>IF($U$6&lt;=Table323[[#This Row],[Household income]],IF(Table323[[#This Row],[Household income]]&lt;=$U$7, "Yes","No"),"No")</f>
        <v>No</v>
      </c>
    </row>
    <row r="550" spans="1:19" x14ac:dyDescent="0.25">
      <c r="A550" s="147">
        <v>9001042700</v>
      </c>
      <c r="B550" s="148" t="s">
        <v>2810</v>
      </c>
      <c r="C550" s="150" t="s">
        <v>944</v>
      </c>
      <c r="D550" s="70">
        <v>85645.313366399991</v>
      </c>
      <c r="E550" s="70">
        <v>11611.1448</v>
      </c>
      <c r="F550" s="14">
        <v>8</v>
      </c>
      <c r="G550" s="14">
        <v>8</v>
      </c>
      <c r="H550" s="14">
        <v>0</v>
      </c>
      <c r="I550" s="14">
        <v>0</v>
      </c>
      <c r="J550" s="69">
        <v>10908.3748</v>
      </c>
      <c r="K550">
        <f t="shared" si="8"/>
        <v>0</v>
      </c>
      <c r="L550" s="14">
        <v>0</v>
      </c>
      <c r="M550" s="14">
        <v>0</v>
      </c>
      <c r="N550" s="14">
        <v>0</v>
      </c>
      <c r="O550" s="69">
        <v>0</v>
      </c>
      <c r="P550" s="226">
        <f>VLOOKUP(Table323[[#This Row],[Census Tract]],'Population and Diversity Data'!$B$2:$K$823,10,FALSE)</f>
        <v>4</v>
      </c>
      <c r="Q550" s="226" t="str">
        <f>VLOOKUP(Table323[[#This Row],[Census Tract]],'ES Energy Burden'!$B$2:$E$914,4,FALSE)</f>
        <v>No</v>
      </c>
      <c r="R550" s="248">
        <f>VLOOKUP(Table323[[#This Row],[Census Tract]],'Income and Housing Data'!$B$2:$D$823,3,FALSE)</f>
        <v>95948</v>
      </c>
      <c r="S550" s="248" t="str">
        <f>IF($U$6&lt;=Table323[[#This Row],[Household income]],IF(Table323[[#This Row],[Household income]]&lt;=$U$7, "Yes","No"),"No")</f>
        <v>No</v>
      </c>
    </row>
    <row r="551" spans="1:19" x14ac:dyDescent="0.25">
      <c r="A551" s="147">
        <v>9001042800</v>
      </c>
      <c r="B551" s="148" t="s">
        <v>2810</v>
      </c>
      <c r="C551" s="150" t="s">
        <v>944</v>
      </c>
      <c r="D551" s="70">
        <v>115974.89911584</v>
      </c>
      <c r="E551" s="70">
        <v>22248.071899999999</v>
      </c>
      <c r="F551" s="14">
        <v>16</v>
      </c>
      <c r="G551" s="14">
        <v>16</v>
      </c>
      <c r="H551" s="14">
        <v>0</v>
      </c>
      <c r="I551" s="14">
        <v>0</v>
      </c>
      <c r="J551" s="69">
        <v>14726.231900000001</v>
      </c>
      <c r="K551">
        <f t="shared" si="8"/>
        <v>0</v>
      </c>
      <c r="L551" s="14">
        <v>0</v>
      </c>
      <c r="M551" s="14">
        <v>0</v>
      </c>
      <c r="N551" s="14">
        <v>0</v>
      </c>
      <c r="O551" s="69">
        <v>0</v>
      </c>
      <c r="P551" s="226">
        <f>VLOOKUP(Table323[[#This Row],[Census Tract]],'Population and Diversity Data'!$B$2:$K$823,10,FALSE)</f>
        <v>3</v>
      </c>
      <c r="Q551" s="226" t="str">
        <f>VLOOKUP(Table323[[#This Row],[Census Tract]],'ES Energy Burden'!$B$2:$E$914,4,FALSE)</f>
        <v>No</v>
      </c>
      <c r="R551" s="248">
        <f>VLOOKUP(Table323[[#This Row],[Census Tract]],'Income and Housing Data'!$B$2:$D$823,3,FALSE)</f>
        <v>100813</v>
      </c>
      <c r="S551" s="248" t="str">
        <f>IF($U$6&lt;=Table323[[#This Row],[Household income]],IF(Table323[[#This Row],[Household income]]&lt;=$U$7, "Yes","No"),"No")</f>
        <v>No</v>
      </c>
    </row>
    <row r="552" spans="1:19" x14ac:dyDescent="0.25">
      <c r="A552" s="147">
        <v>9001042900</v>
      </c>
      <c r="B552" s="148" t="s">
        <v>2810</v>
      </c>
      <c r="C552" s="150" t="s">
        <v>944</v>
      </c>
      <c r="D552" s="70">
        <v>41161.070211839993</v>
      </c>
      <c r="E552" s="70">
        <v>22228.298200000001</v>
      </c>
      <c r="F552" s="14">
        <v>11</v>
      </c>
      <c r="G552" s="14">
        <v>11</v>
      </c>
      <c r="H552" s="14">
        <v>0</v>
      </c>
      <c r="I552" s="14">
        <v>0</v>
      </c>
      <c r="J552" s="69">
        <v>12179.698200000001</v>
      </c>
      <c r="K552">
        <f t="shared" si="8"/>
        <v>0</v>
      </c>
      <c r="L552" s="14">
        <v>0</v>
      </c>
      <c r="M552" s="14">
        <v>0</v>
      </c>
      <c r="N552" s="14">
        <v>0</v>
      </c>
      <c r="O552" s="69">
        <v>0</v>
      </c>
      <c r="P552" s="226">
        <f>VLOOKUP(Table323[[#This Row],[Census Tract]],'Population and Diversity Data'!$B$2:$K$823,10,FALSE)</f>
        <v>1</v>
      </c>
      <c r="Q552" s="226" t="str">
        <f>VLOOKUP(Table323[[#This Row],[Census Tract]],'ES Energy Burden'!$B$2:$E$914,4,FALSE)</f>
        <v>No</v>
      </c>
      <c r="R552" s="248">
        <f>VLOOKUP(Table323[[#This Row],[Census Tract]],'Income and Housing Data'!$B$2:$D$823,3,FALSE)</f>
        <v>138542</v>
      </c>
      <c r="S552" s="248" t="str">
        <f>IF($U$6&lt;=Table323[[#This Row],[Household income]],IF(Table323[[#This Row],[Household income]]&lt;=$U$7, "Yes","No"),"No")</f>
        <v>No</v>
      </c>
    </row>
    <row r="553" spans="1:19" x14ac:dyDescent="0.25">
      <c r="A553" s="147">
        <v>9001043000</v>
      </c>
      <c r="B553" s="148" t="s">
        <v>2810</v>
      </c>
      <c r="C553" s="150" t="s">
        <v>944</v>
      </c>
      <c r="D553" s="70">
        <v>63115.726927679993</v>
      </c>
      <c r="E553" s="70">
        <v>13700.7127</v>
      </c>
      <c r="F553" s="14">
        <v>15</v>
      </c>
      <c r="G553" s="14">
        <v>15</v>
      </c>
      <c r="H553" s="14">
        <v>0</v>
      </c>
      <c r="I553" s="14">
        <v>0</v>
      </c>
      <c r="J553" s="69">
        <v>13700.172699999999</v>
      </c>
      <c r="K553">
        <f t="shared" si="8"/>
        <v>0</v>
      </c>
      <c r="L553" s="14">
        <v>0</v>
      </c>
      <c r="M553" s="14">
        <v>0</v>
      </c>
      <c r="N553" s="14">
        <v>0</v>
      </c>
      <c r="O553" s="69">
        <v>0</v>
      </c>
      <c r="P553" s="226">
        <f>VLOOKUP(Table323[[#This Row],[Census Tract]],'Population and Diversity Data'!$B$2:$K$823,10,FALSE)</f>
        <v>3</v>
      </c>
      <c r="Q553" s="226" t="str">
        <f>VLOOKUP(Table323[[#This Row],[Census Tract]],'ES Energy Burden'!$B$2:$E$914,4,FALSE)</f>
        <v>No</v>
      </c>
      <c r="R553" s="248">
        <f>VLOOKUP(Table323[[#This Row],[Census Tract]],'Income and Housing Data'!$B$2:$D$823,3,FALSE)</f>
        <v>122633</v>
      </c>
      <c r="S553" s="248" t="str">
        <f>IF($U$6&lt;=Table323[[#This Row],[Household income]],IF(Table323[[#This Row],[Household income]]&lt;=$U$7, "Yes","No"),"No")</f>
        <v>No</v>
      </c>
    </row>
    <row r="554" spans="1:19" x14ac:dyDescent="0.25">
      <c r="A554" s="147">
        <v>9001043100</v>
      </c>
      <c r="B554" s="148" t="s">
        <v>2810</v>
      </c>
      <c r="C554" s="150" t="s">
        <v>944</v>
      </c>
      <c r="D554" s="70">
        <v>104499.4986432</v>
      </c>
      <c r="E554" s="70">
        <v>28444.488799999999</v>
      </c>
      <c r="F554" s="14">
        <v>17</v>
      </c>
      <c r="G554" s="14">
        <v>17</v>
      </c>
      <c r="H554" s="14">
        <v>0</v>
      </c>
      <c r="I554" s="14">
        <v>0</v>
      </c>
      <c r="J554" s="69">
        <v>20558.578799999999</v>
      </c>
      <c r="K554">
        <f t="shared" si="8"/>
        <v>0</v>
      </c>
      <c r="L554" s="14">
        <v>0</v>
      </c>
      <c r="M554" s="14">
        <v>0</v>
      </c>
      <c r="N554" s="14">
        <v>0</v>
      </c>
      <c r="O554" s="69">
        <v>0</v>
      </c>
      <c r="P554" s="226">
        <f>VLOOKUP(Table323[[#This Row],[Census Tract]],'Population and Diversity Data'!$B$2:$K$823,10,FALSE)</f>
        <v>5</v>
      </c>
      <c r="Q554" s="226" t="str">
        <f>VLOOKUP(Table323[[#This Row],[Census Tract]],'ES Energy Burden'!$B$2:$E$914,4,FALSE)</f>
        <v>No</v>
      </c>
      <c r="R554" s="248">
        <f>VLOOKUP(Table323[[#This Row],[Census Tract]],'Income and Housing Data'!$B$2:$D$823,3,FALSE)</f>
        <v>143141</v>
      </c>
      <c r="S554" s="248" t="str">
        <f>IF($U$6&lt;=Table323[[#This Row],[Household income]],IF(Table323[[#This Row],[Household income]]&lt;=$U$7, "Yes","No"),"No")</f>
        <v>No</v>
      </c>
    </row>
    <row r="555" spans="1:19" x14ac:dyDescent="0.25">
      <c r="A555" s="147">
        <v>9001043200</v>
      </c>
      <c r="B555" s="148" t="s">
        <v>2810</v>
      </c>
      <c r="C555" s="150" t="s">
        <v>944</v>
      </c>
      <c r="D555" s="70">
        <v>59452.694694720005</v>
      </c>
      <c r="E555" s="70">
        <v>4285.76</v>
      </c>
      <c r="F555" s="14">
        <v>5</v>
      </c>
      <c r="G555" s="14">
        <v>5</v>
      </c>
      <c r="H555" s="14">
        <v>0</v>
      </c>
      <c r="I555" s="14">
        <v>0</v>
      </c>
      <c r="J555" s="69">
        <v>4278.71</v>
      </c>
      <c r="K555">
        <f t="shared" si="8"/>
        <v>0</v>
      </c>
      <c r="L555" s="14">
        <v>0</v>
      </c>
      <c r="M555" s="14">
        <v>0</v>
      </c>
      <c r="N555" s="14">
        <v>0</v>
      </c>
      <c r="O555" s="69">
        <v>0</v>
      </c>
      <c r="P555" s="226">
        <f>VLOOKUP(Table323[[#This Row],[Census Tract]],'Population and Diversity Data'!$B$2:$K$823,10,FALSE)</f>
        <v>3</v>
      </c>
      <c r="Q555" s="226" t="str">
        <f>VLOOKUP(Table323[[#This Row],[Census Tract]],'ES Energy Burden'!$B$2:$E$914,4,FALSE)</f>
        <v>No</v>
      </c>
      <c r="R555" s="248">
        <f>VLOOKUP(Table323[[#This Row],[Census Tract]],'Income and Housing Data'!$B$2:$D$823,3,FALSE)</f>
        <v>69837</v>
      </c>
      <c r="S555" s="248" t="str">
        <f>IF($U$6&lt;=Table323[[#This Row],[Household income]],IF(Table323[[#This Row],[Household income]]&lt;=$U$7, "Yes","No"),"No")</f>
        <v>No</v>
      </c>
    </row>
    <row r="556" spans="1:19" x14ac:dyDescent="0.25">
      <c r="A556" s="147">
        <v>9001043300</v>
      </c>
      <c r="B556" s="148" t="s">
        <v>2810</v>
      </c>
      <c r="C556" s="150" t="s">
        <v>944</v>
      </c>
      <c r="D556" s="70">
        <v>64142.895072960004</v>
      </c>
      <c r="E556" s="70">
        <v>25985.81</v>
      </c>
      <c r="F556" s="14">
        <v>10</v>
      </c>
      <c r="G556" s="14">
        <v>10</v>
      </c>
      <c r="H556" s="14">
        <v>0</v>
      </c>
      <c r="I556" s="14">
        <v>0</v>
      </c>
      <c r="J556" s="69">
        <v>7910.63</v>
      </c>
      <c r="K556">
        <f t="shared" si="8"/>
        <v>0</v>
      </c>
      <c r="L556" s="14">
        <v>0</v>
      </c>
      <c r="M556" s="14">
        <v>0</v>
      </c>
      <c r="N556" s="14">
        <v>0</v>
      </c>
      <c r="O556" s="69">
        <v>0</v>
      </c>
      <c r="P556" s="226">
        <f>VLOOKUP(Table323[[#This Row],[Census Tract]],'Population and Diversity Data'!$B$2:$K$823,10,FALSE)</f>
        <v>4</v>
      </c>
      <c r="Q556" s="226" t="str">
        <f>VLOOKUP(Table323[[#This Row],[Census Tract]],'ES Energy Burden'!$B$2:$E$914,4,FALSE)</f>
        <v>No</v>
      </c>
      <c r="R556" s="248">
        <f>VLOOKUP(Table323[[#This Row],[Census Tract]],'Income and Housing Data'!$B$2:$D$823,3,FALSE)</f>
        <v>83672</v>
      </c>
      <c r="S556" s="248" t="str">
        <f>IF($U$6&lt;=Table323[[#This Row],[Household income]],IF(Table323[[#This Row],[Household income]]&lt;=$U$7, "Yes","No"),"No")</f>
        <v>No</v>
      </c>
    </row>
    <row r="557" spans="1:19" x14ac:dyDescent="0.25">
      <c r="A557" s="147">
        <v>9001043400</v>
      </c>
      <c r="B557" s="148" t="s">
        <v>2810</v>
      </c>
      <c r="C557" s="150" t="s">
        <v>944</v>
      </c>
      <c r="D557" s="70">
        <v>65534.864711040005</v>
      </c>
      <c r="E557" s="70">
        <v>6121.5024000000003</v>
      </c>
      <c r="F557" s="14">
        <v>1</v>
      </c>
      <c r="G557" s="14">
        <v>1</v>
      </c>
      <c r="H557" s="14">
        <v>0</v>
      </c>
      <c r="I557" s="14">
        <v>0</v>
      </c>
      <c r="J557" s="69">
        <v>76.260000000000005</v>
      </c>
      <c r="K557">
        <f t="shared" si="8"/>
        <v>0</v>
      </c>
      <c r="L557" s="14">
        <v>0</v>
      </c>
      <c r="M557" s="14">
        <v>0</v>
      </c>
      <c r="N557" s="14">
        <v>0</v>
      </c>
      <c r="O557" s="69">
        <v>0</v>
      </c>
      <c r="P557" s="226">
        <f>VLOOKUP(Table323[[#This Row],[Census Tract]],'Population and Diversity Data'!$B$2:$K$823,10,FALSE)</f>
        <v>5</v>
      </c>
      <c r="Q557" s="226" t="str">
        <f>VLOOKUP(Table323[[#This Row],[Census Tract]],'ES Energy Burden'!$B$2:$E$914,4,FALSE)</f>
        <v>No</v>
      </c>
      <c r="R557" s="248">
        <f>VLOOKUP(Table323[[#This Row],[Census Tract]],'Income and Housing Data'!$B$2:$D$823,3,FALSE)</f>
        <v>77917</v>
      </c>
      <c r="S557" s="248" t="str">
        <f>IF($U$6&lt;=Table323[[#This Row],[Household income]],IF(Table323[[#This Row],[Household income]]&lt;=$U$7, "Yes","No"),"No")</f>
        <v>No</v>
      </c>
    </row>
    <row r="558" spans="1:19" x14ac:dyDescent="0.25">
      <c r="A558" s="147">
        <v>9001043500</v>
      </c>
      <c r="B558" s="148" t="s">
        <v>2810</v>
      </c>
      <c r="C558" s="150" t="s">
        <v>944</v>
      </c>
      <c r="D558" s="70">
        <v>43101.77930496</v>
      </c>
      <c r="E558" s="70">
        <v>5348.7452000000003</v>
      </c>
      <c r="F558" s="14">
        <v>6</v>
      </c>
      <c r="G558" s="14">
        <v>6</v>
      </c>
      <c r="H558" s="14">
        <v>0</v>
      </c>
      <c r="I558" s="14">
        <v>0</v>
      </c>
      <c r="J558" s="69">
        <v>2973.5952000000002</v>
      </c>
      <c r="K558">
        <f t="shared" si="8"/>
        <v>0</v>
      </c>
      <c r="L558" s="14">
        <v>0</v>
      </c>
      <c r="M558" s="14">
        <v>0</v>
      </c>
      <c r="N558" s="14">
        <v>0</v>
      </c>
      <c r="O558" s="69">
        <v>0</v>
      </c>
      <c r="P558" s="226">
        <f>VLOOKUP(Table323[[#This Row],[Census Tract]],'Population and Diversity Data'!$B$2:$K$823,10,FALSE)</f>
        <v>1</v>
      </c>
      <c r="Q558" s="226" t="str">
        <f>VLOOKUP(Table323[[#This Row],[Census Tract]],'ES Energy Burden'!$B$2:$E$914,4,FALSE)</f>
        <v>No</v>
      </c>
      <c r="R558" s="248">
        <f>VLOOKUP(Table323[[#This Row],[Census Tract]],'Income and Housing Data'!$B$2:$D$823,3,FALSE)</f>
        <v>104417</v>
      </c>
      <c r="S558" s="248" t="str">
        <f>IF($U$6&lt;=Table323[[#This Row],[Household income]],IF(Table323[[#This Row],[Household income]]&lt;=$U$7, "Yes","No"),"No")</f>
        <v>No</v>
      </c>
    </row>
    <row r="559" spans="1:19" x14ac:dyDescent="0.25">
      <c r="A559" s="147">
        <v>9001043600</v>
      </c>
      <c r="B559" s="148" t="s">
        <v>2810</v>
      </c>
      <c r="C559" s="150" t="s">
        <v>944</v>
      </c>
      <c r="D559" s="70">
        <v>52708.824316800004</v>
      </c>
      <c r="E559" s="70">
        <v>17760.28</v>
      </c>
      <c r="F559" s="14">
        <v>12</v>
      </c>
      <c r="G559" s="14">
        <v>12</v>
      </c>
      <c r="H559" s="14">
        <v>0</v>
      </c>
      <c r="I559" s="14">
        <v>0</v>
      </c>
      <c r="J559" s="69">
        <v>7302.55</v>
      </c>
      <c r="K559">
        <f t="shared" si="8"/>
        <v>0</v>
      </c>
      <c r="L559" s="14">
        <v>0</v>
      </c>
      <c r="M559" s="14">
        <v>0</v>
      </c>
      <c r="N559" s="14">
        <v>0</v>
      </c>
      <c r="O559" s="69">
        <v>0</v>
      </c>
      <c r="P559" s="226">
        <f>VLOOKUP(Table323[[#This Row],[Census Tract]],'Population and Diversity Data'!$B$2:$K$823,10,FALSE)</f>
        <v>4</v>
      </c>
      <c r="Q559" s="226" t="str">
        <f>VLOOKUP(Table323[[#This Row],[Census Tract]],'ES Energy Burden'!$B$2:$E$914,4,FALSE)</f>
        <v>No</v>
      </c>
      <c r="R559" s="248">
        <f>VLOOKUP(Table323[[#This Row],[Census Tract]],'Income and Housing Data'!$B$2:$D$823,3,FALSE)</f>
        <v>98636</v>
      </c>
      <c r="S559" s="248" t="str">
        <f>IF($U$6&lt;=Table323[[#This Row],[Household income]],IF(Table323[[#This Row],[Household income]]&lt;=$U$7, "Yes","No"),"No")</f>
        <v>No</v>
      </c>
    </row>
    <row r="560" spans="1:19" x14ac:dyDescent="0.25">
      <c r="A560" s="147">
        <v>9001043700</v>
      </c>
      <c r="B560" s="148" t="s">
        <v>2810</v>
      </c>
      <c r="C560" s="150" t="s">
        <v>944</v>
      </c>
      <c r="D560" s="70">
        <v>48043.2251808</v>
      </c>
      <c r="E560" s="70">
        <v>204.88</v>
      </c>
      <c r="F560" s="14">
        <v>1</v>
      </c>
      <c r="G560" s="14">
        <v>1</v>
      </c>
      <c r="H560" s="14">
        <v>0</v>
      </c>
      <c r="I560" s="14">
        <v>0</v>
      </c>
      <c r="J560" s="69">
        <v>202.64</v>
      </c>
      <c r="K560">
        <f t="shared" si="8"/>
        <v>0</v>
      </c>
      <c r="L560" s="14">
        <v>0</v>
      </c>
      <c r="M560" s="14">
        <v>0</v>
      </c>
      <c r="N560" s="14">
        <v>0</v>
      </c>
      <c r="O560" s="69">
        <v>0</v>
      </c>
      <c r="P560" s="226">
        <f>VLOOKUP(Table323[[#This Row],[Census Tract]],'Population and Diversity Data'!$B$2:$K$823,10,FALSE)</f>
        <v>4</v>
      </c>
      <c r="Q560" s="226" t="str">
        <f>VLOOKUP(Table323[[#This Row],[Census Tract]],'ES Energy Burden'!$B$2:$E$914,4,FALSE)</f>
        <v>No</v>
      </c>
      <c r="R560" s="248">
        <f>VLOOKUP(Table323[[#This Row],[Census Tract]],'Income and Housing Data'!$B$2:$D$823,3,FALSE)</f>
        <v>71178</v>
      </c>
      <c r="S560" s="248" t="str">
        <f>IF($U$6&lt;=Table323[[#This Row],[Household income]],IF(Table323[[#This Row],[Household income]]&lt;=$U$7, "Yes","No"),"No")</f>
        <v>No</v>
      </c>
    </row>
    <row r="561" spans="1:19" x14ac:dyDescent="0.25">
      <c r="A561" s="147">
        <v>9001043800</v>
      </c>
      <c r="B561" s="148" t="s">
        <v>2810</v>
      </c>
      <c r="C561" s="150" t="s">
        <v>944</v>
      </c>
      <c r="D561" s="70">
        <v>111989.26689984</v>
      </c>
      <c r="E561" s="70">
        <v>20916.12</v>
      </c>
      <c r="F561" s="14">
        <v>14</v>
      </c>
      <c r="G561" s="14">
        <v>13</v>
      </c>
      <c r="H561" s="14">
        <v>1</v>
      </c>
      <c r="I561" s="14">
        <v>0</v>
      </c>
      <c r="J561" s="69">
        <v>10391.48</v>
      </c>
      <c r="K561">
        <f t="shared" si="8"/>
        <v>0</v>
      </c>
      <c r="L561" s="14">
        <v>0</v>
      </c>
      <c r="M561" s="14">
        <v>0</v>
      </c>
      <c r="N561" s="14">
        <v>0</v>
      </c>
      <c r="O561" s="69">
        <v>0</v>
      </c>
      <c r="P561" s="226">
        <f>VLOOKUP(Table323[[#This Row],[Census Tract]],'Population and Diversity Data'!$B$2:$K$823,10,FALSE)</f>
        <v>4</v>
      </c>
      <c r="Q561" s="226" t="str">
        <f>VLOOKUP(Table323[[#This Row],[Census Tract]],'ES Energy Burden'!$B$2:$E$914,4,FALSE)</f>
        <v>No</v>
      </c>
      <c r="R561" s="248">
        <f>VLOOKUP(Table323[[#This Row],[Census Tract]],'Income and Housing Data'!$B$2:$D$823,3,FALSE)</f>
        <v>74397</v>
      </c>
      <c r="S561" s="248" t="str">
        <f>IF($U$6&lt;=Table323[[#This Row],[Household income]],IF(Table323[[#This Row],[Household income]]&lt;=$U$7, "Yes","No"),"No")</f>
        <v>No</v>
      </c>
    </row>
    <row r="562" spans="1:19" x14ac:dyDescent="0.25">
      <c r="A562" s="147">
        <v>9001043900</v>
      </c>
      <c r="B562" s="148" t="s">
        <v>2810</v>
      </c>
      <c r="C562" s="150" t="s">
        <v>944</v>
      </c>
      <c r="D562" s="70">
        <v>84960.330451200018</v>
      </c>
      <c r="E562" s="70">
        <v>29575.041700000002</v>
      </c>
      <c r="F562" s="14">
        <v>19</v>
      </c>
      <c r="G562" s="14">
        <v>18</v>
      </c>
      <c r="H562" s="14">
        <v>1</v>
      </c>
      <c r="I562" s="14">
        <v>0</v>
      </c>
      <c r="J562" s="69">
        <v>15287.1517</v>
      </c>
      <c r="K562">
        <f t="shared" si="8"/>
        <v>0</v>
      </c>
      <c r="L562" s="14">
        <v>0</v>
      </c>
      <c r="M562" s="14">
        <v>0</v>
      </c>
      <c r="N562" s="14">
        <v>0</v>
      </c>
      <c r="O562" s="69">
        <v>0</v>
      </c>
      <c r="P562" s="226">
        <f>VLOOKUP(Table323[[#This Row],[Census Tract]],'Population and Diversity Data'!$B$2:$K$823,10,FALSE)</f>
        <v>5</v>
      </c>
      <c r="Q562" s="226" t="str">
        <f>VLOOKUP(Table323[[#This Row],[Census Tract]],'ES Energy Burden'!$B$2:$E$914,4,FALSE)</f>
        <v>No</v>
      </c>
      <c r="R562" s="248">
        <f>VLOOKUP(Table323[[#This Row],[Census Tract]],'Income and Housing Data'!$B$2:$D$823,3,FALSE)</f>
        <v>89506</v>
      </c>
      <c r="S562" s="248" t="str">
        <f>IF($U$6&lt;=Table323[[#This Row],[Household income]],IF(Table323[[#This Row],[Household income]]&lt;=$U$7, "Yes","No"),"No")</f>
        <v>No</v>
      </c>
    </row>
    <row r="563" spans="1:19" x14ac:dyDescent="0.25">
      <c r="A563" s="147">
        <v>9001044000</v>
      </c>
      <c r="B563" s="148" t="s">
        <v>2810</v>
      </c>
      <c r="C563" s="150" t="s">
        <v>944</v>
      </c>
      <c r="D563" s="70">
        <v>9493.4351807999992</v>
      </c>
      <c r="E563" s="70">
        <v>1151.32</v>
      </c>
      <c r="F563" s="14">
        <v>1</v>
      </c>
      <c r="G563" s="14">
        <v>1</v>
      </c>
      <c r="H563" s="14">
        <v>0</v>
      </c>
      <c r="I563" s="14">
        <v>0</v>
      </c>
      <c r="J563" s="69">
        <v>1143.79</v>
      </c>
      <c r="K563">
        <f t="shared" si="8"/>
        <v>0</v>
      </c>
      <c r="L563" s="14">
        <v>0</v>
      </c>
      <c r="M563" s="14">
        <v>0</v>
      </c>
      <c r="N563" s="14">
        <v>0</v>
      </c>
      <c r="O563" s="69">
        <v>0</v>
      </c>
      <c r="P563" s="226">
        <f>VLOOKUP(Table323[[#This Row],[Census Tract]],'Population and Diversity Data'!$B$2:$K$823,10,FALSE)</f>
        <v>4</v>
      </c>
      <c r="Q563" s="226" t="str">
        <f>VLOOKUP(Table323[[#This Row],[Census Tract]],'ES Energy Burden'!$B$2:$E$914,4,FALSE)</f>
        <v>No</v>
      </c>
      <c r="R563" s="248">
        <f>VLOOKUP(Table323[[#This Row],[Census Tract]],'Income and Housing Data'!$B$2:$D$823,3,FALSE)</f>
        <v>51875</v>
      </c>
      <c r="S563" s="248" t="str">
        <f>IF($U$6&lt;=Table323[[#This Row],[Household income]],IF(Table323[[#This Row],[Household income]]&lt;=$U$7, "Yes","No"),"No")</f>
        <v>Yes</v>
      </c>
    </row>
    <row r="564" spans="1:19" x14ac:dyDescent="0.25">
      <c r="A564" s="147">
        <v>9001044200</v>
      </c>
      <c r="B564" s="148" t="s">
        <v>2810</v>
      </c>
      <c r="C564" s="150" t="s">
        <v>944</v>
      </c>
      <c r="D564" s="70">
        <v>1613.0028096000001</v>
      </c>
      <c r="E564" s="70">
        <v>0</v>
      </c>
      <c r="F564" s="14">
        <v>0</v>
      </c>
      <c r="G564" s="14">
        <v>0</v>
      </c>
      <c r="H564" s="14">
        <v>0</v>
      </c>
      <c r="I564" s="14">
        <v>0</v>
      </c>
      <c r="J564" s="69">
        <v>0</v>
      </c>
      <c r="K564">
        <f t="shared" si="8"/>
        <v>0</v>
      </c>
      <c r="L564" s="14">
        <v>0</v>
      </c>
      <c r="M564" s="14">
        <v>0</v>
      </c>
      <c r="N564" s="14">
        <v>0</v>
      </c>
      <c r="O564" s="69">
        <v>0</v>
      </c>
      <c r="P564" s="226">
        <f>VLOOKUP(Table323[[#This Row],[Census Tract]],'Population and Diversity Data'!$B$2:$K$823,10,FALSE)</f>
        <v>4</v>
      </c>
      <c r="Q564" s="226" t="str">
        <f>VLOOKUP(Table323[[#This Row],[Census Tract]],'ES Energy Burden'!$B$2:$E$914,4,FALSE)</f>
        <v>No</v>
      </c>
      <c r="R564" s="248">
        <f>VLOOKUP(Table323[[#This Row],[Census Tract]],'Income and Housing Data'!$B$2:$D$823,3,FALSE)</f>
        <v>54038</v>
      </c>
      <c r="S564" s="248" t="str">
        <f>IF($U$6&lt;=Table323[[#This Row],[Household income]],IF(Table323[[#This Row],[Household income]]&lt;=$U$7, "Yes","No"),"No")</f>
        <v>Yes</v>
      </c>
    </row>
    <row r="565" spans="1:19" x14ac:dyDescent="0.25">
      <c r="A565" s="147">
        <v>9001044300</v>
      </c>
      <c r="B565" s="148" t="s">
        <v>2810</v>
      </c>
      <c r="C565" s="150" t="s">
        <v>944</v>
      </c>
      <c r="D565" s="70">
        <v>5216.0098175999992</v>
      </c>
      <c r="E565" s="70">
        <v>0</v>
      </c>
      <c r="F565" s="14">
        <v>0</v>
      </c>
      <c r="G565" s="14">
        <v>0</v>
      </c>
      <c r="H565" s="14">
        <v>0</v>
      </c>
      <c r="I565" s="14">
        <v>0</v>
      </c>
      <c r="J565" s="69">
        <v>0</v>
      </c>
      <c r="K565">
        <f t="shared" si="8"/>
        <v>0</v>
      </c>
      <c r="L565" s="14">
        <v>0</v>
      </c>
      <c r="M565" s="14">
        <v>0</v>
      </c>
      <c r="N565" s="14">
        <v>0</v>
      </c>
      <c r="O565" s="69">
        <v>0</v>
      </c>
      <c r="P565" s="226">
        <f>VLOOKUP(Table323[[#This Row],[Census Tract]],'Population and Diversity Data'!$B$2:$K$823,10,FALSE)</f>
        <v>3</v>
      </c>
      <c r="Q565" s="226" t="str">
        <f>VLOOKUP(Table323[[#This Row],[Census Tract]],'ES Energy Burden'!$B$2:$E$914,4,FALSE)</f>
        <v>No</v>
      </c>
      <c r="R565" s="248">
        <f>VLOOKUP(Table323[[#This Row],[Census Tract]],'Income and Housing Data'!$B$2:$D$823,3,FALSE)</f>
        <v>95279</v>
      </c>
      <c r="S565" s="248" t="str">
        <f>IF($U$6&lt;=Table323[[#This Row],[Household income]],IF(Table323[[#This Row],[Household income]]&lt;=$U$7, "Yes","No"),"No")</f>
        <v>No</v>
      </c>
    </row>
    <row r="566" spans="1:19" x14ac:dyDescent="0.25">
      <c r="A566" s="147">
        <v>9001044400</v>
      </c>
      <c r="B566" s="148" t="s">
        <v>2810</v>
      </c>
      <c r="C566" s="150" t="s">
        <v>944</v>
      </c>
      <c r="D566" s="70">
        <v>12491.628364799999</v>
      </c>
      <c r="E566" s="70">
        <v>297.27</v>
      </c>
      <c r="F566" s="14">
        <v>1</v>
      </c>
      <c r="G566" s="14">
        <v>1</v>
      </c>
      <c r="H566" s="14">
        <v>0</v>
      </c>
      <c r="I566" s="14">
        <v>0</v>
      </c>
      <c r="J566" s="69">
        <v>296.18</v>
      </c>
      <c r="K566">
        <f t="shared" si="8"/>
        <v>0</v>
      </c>
      <c r="L566" s="14">
        <v>0</v>
      </c>
      <c r="M566" s="14">
        <v>0</v>
      </c>
      <c r="N566" s="14">
        <v>0</v>
      </c>
      <c r="O566" s="69">
        <v>0</v>
      </c>
      <c r="P566" s="226">
        <f>VLOOKUP(Table323[[#This Row],[Census Tract]],'Population and Diversity Data'!$B$2:$K$823,10,FALSE)</f>
        <v>2</v>
      </c>
      <c r="Q566" s="226" t="str">
        <f>VLOOKUP(Table323[[#This Row],[Census Tract]],'ES Energy Burden'!$B$2:$E$914,4,FALSE)</f>
        <v>No</v>
      </c>
      <c r="R566" s="248">
        <f>VLOOKUP(Table323[[#This Row],[Census Tract]],'Income and Housing Data'!$B$2:$D$823,3,FALSE)</f>
        <v>70469</v>
      </c>
      <c r="S566" s="248" t="str">
        <f>IF($U$6&lt;=Table323[[#This Row],[Household income]],IF(Table323[[#This Row],[Household income]]&lt;=$U$7, "Yes","No"),"No")</f>
        <v>No</v>
      </c>
    </row>
    <row r="567" spans="1:19" x14ac:dyDescent="0.25">
      <c r="A567" s="147">
        <v>9001044500</v>
      </c>
      <c r="B567" s="148" t="s">
        <v>2810</v>
      </c>
      <c r="C567" s="150" t="s">
        <v>944</v>
      </c>
      <c r="D567" s="70">
        <v>22822.7260608</v>
      </c>
      <c r="E567" s="70">
        <v>1502.88</v>
      </c>
      <c r="F567" s="14">
        <v>0</v>
      </c>
      <c r="G567" s="14">
        <v>0</v>
      </c>
      <c r="H567" s="14">
        <v>0</v>
      </c>
      <c r="I567" s="14">
        <v>0</v>
      </c>
      <c r="J567" s="69">
        <v>0</v>
      </c>
      <c r="K567">
        <f t="shared" si="8"/>
        <v>0</v>
      </c>
      <c r="L567" s="14">
        <v>0</v>
      </c>
      <c r="M567" s="14">
        <v>0</v>
      </c>
      <c r="N567" s="14">
        <v>0</v>
      </c>
      <c r="O567" s="69">
        <v>0</v>
      </c>
      <c r="P567" s="226">
        <f>VLOOKUP(Table323[[#This Row],[Census Tract]],'Population and Diversity Data'!$B$2:$K$823,10,FALSE)</f>
        <v>3</v>
      </c>
      <c r="Q567" s="226" t="str">
        <f>VLOOKUP(Table323[[#This Row],[Census Tract]],'ES Energy Burden'!$B$2:$E$914,4,FALSE)</f>
        <v>No</v>
      </c>
      <c r="R567" s="248">
        <f>VLOOKUP(Table323[[#This Row],[Census Tract]],'Income and Housing Data'!$B$2:$D$823,3,FALSE)</f>
        <v>58516</v>
      </c>
      <c r="S567" s="248" t="str">
        <f>IF($U$6&lt;=Table323[[#This Row],[Household income]],IF(Table323[[#This Row],[Household income]]&lt;=$U$7, "Yes","No"),"No")</f>
        <v>Yes</v>
      </c>
    </row>
    <row r="568" spans="1:19" x14ac:dyDescent="0.25">
      <c r="A568" s="147">
        <v>9001044600</v>
      </c>
      <c r="B568" s="148" t="s">
        <v>2810</v>
      </c>
      <c r="C568" s="150" t="s">
        <v>944</v>
      </c>
      <c r="D568" s="70">
        <v>156777.56272223999</v>
      </c>
      <c r="E568" s="70">
        <v>950399.07779999904</v>
      </c>
      <c r="F568" s="14">
        <v>159</v>
      </c>
      <c r="G568" s="14">
        <v>19</v>
      </c>
      <c r="H568" s="14">
        <v>0</v>
      </c>
      <c r="I568" s="14">
        <v>140</v>
      </c>
      <c r="J568" s="69">
        <v>36460.29</v>
      </c>
      <c r="K568">
        <f t="shared" si="8"/>
        <v>98</v>
      </c>
      <c r="L568" s="14">
        <v>71</v>
      </c>
      <c r="M568" s="14">
        <v>0</v>
      </c>
      <c r="N568" s="14">
        <v>27</v>
      </c>
      <c r="O568" s="69">
        <v>683694</v>
      </c>
      <c r="P568" s="226">
        <f>VLOOKUP(Table323[[#This Row],[Census Tract]],'Population and Diversity Data'!$B$2:$K$823,10,FALSE)</f>
        <v>1</v>
      </c>
      <c r="Q568" s="226" t="str">
        <f>VLOOKUP(Table323[[#This Row],[Census Tract]],'ES Energy Burden'!$B$2:$E$914,4,FALSE)</f>
        <v>No</v>
      </c>
      <c r="R568" s="248">
        <f>VLOOKUP(Table323[[#This Row],[Census Tract]],'Income and Housing Data'!$B$2:$D$823,3,FALSE)</f>
        <v>219783</v>
      </c>
      <c r="S568" s="248" t="str">
        <f>IF($U$6&lt;=Table323[[#This Row],[Household income]],IF(Table323[[#This Row],[Household income]]&lt;=$U$7, "Yes","No"),"No")</f>
        <v>No</v>
      </c>
    </row>
    <row r="569" spans="1:19" x14ac:dyDescent="0.25">
      <c r="A569" s="147">
        <v>9001045300</v>
      </c>
      <c r="B569" s="148" t="s">
        <v>2810</v>
      </c>
      <c r="C569" s="150" t="s">
        <v>944</v>
      </c>
      <c r="D569" s="70">
        <v>471.47460479999995</v>
      </c>
      <c r="E569" s="70">
        <v>0</v>
      </c>
      <c r="F569" s="14">
        <v>0</v>
      </c>
      <c r="G569" s="14">
        <v>0</v>
      </c>
      <c r="H569" s="14">
        <v>0</v>
      </c>
      <c r="I569" s="14">
        <v>0</v>
      </c>
      <c r="J569" s="69">
        <v>0</v>
      </c>
      <c r="K569">
        <f t="shared" si="8"/>
        <v>0</v>
      </c>
      <c r="L569" s="14">
        <v>0</v>
      </c>
      <c r="M569" s="14">
        <v>0</v>
      </c>
      <c r="N569" s="14">
        <v>0</v>
      </c>
      <c r="O569" s="69">
        <v>0</v>
      </c>
      <c r="P569" s="226">
        <f>VLOOKUP(Table323[[#This Row],[Census Tract]],'Population and Diversity Data'!$B$2:$K$823,10,FALSE)</f>
        <v>4</v>
      </c>
      <c r="Q569" s="226" t="str">
        <f>VLOOKUP(Table323[[#This Row],[Census Tract]],'ES Energy Burden'!$B$2:$E$914,4,FALSE)</f>
        <v>No</v>
      </c>
      <c r="R569" s="248">
        <f>VLOOKUP(Table323[[#This Row],[Census Tract]],'Income and Housing Data'!$B$2:$D$823,3,FALSE)</f>
        <v>229531</v>
      </c>
      <c r="S569" s="248" t="str">
        <f>IF($U$6&lt;=Table323[[#This Row],[Household income]],IF(Table323[[#This Row],[Household income]]&lt;=$U$7, "Yes","No"),"No")</f>
        <v>No</v>
      </c>
    </row>
    <row r="570" spans="1:19" x14ac:dyDescent="0.25">
      <c r="A570" s="147">
        <v>9001045400</v>
      </c>
      <c r="B570" s="148" t="s">
        <v>2810</v>
      </c>
      <c r="C570" s="150" t="s">
        <v>944</v>
      </c>
      <c r="D570" s="70">
        <v>3578.4509184000003</v>
      </c>
      <c r="E570" s="70">
        <v>0</v>
      </c>
      <c r="F570" s="14">
        <v>0</v>
      </c>
      <c r="G570" s="14">
        <v>0</v>
      </c>
      <c r="H570" s="14">
        <v>0</v>
      </c>
      <c r="I570" s="14">
        <v>0</v>
      </c>
      <c r="J570" s="69">
        <v>0</v>
      </c>
      <c r="K570">
        <f t="shared" si="8"/>
        <v>0</v>
      </c>
      <c r="L570" s="14">
        <v>0</v>
      </c>
      <c r="M570" s="14">
        <v>0</v>
      </c>
      <c r="N570" s="14">
        <v>0</v>
      </c>
      <c r="O570" s="69">
        <v>0</v>
      </c>
      <c r="P570" s="226">
        <f>VLOOKUP(Table323[[#This Row],[Census Tract]],'Population and Diversity Data'!$B$2:$K$823,10,FALSE)</f>
        <v>4</v>
      </c>
      <c r="Q570" s="226" t="str">
        <f>VLOOKUP(Table323[[#This Row],[Census Tract]],'ES Energy Burden'!$B$2:$E$914,4,FALSE)</f>
        <v>No</v>
      </c>
      <c r="R570" s="248">
        <f>VLOOKUP(Table323[[#This Row],[Census Tract]],'Income and Housing Data'!$B$2:$D$823,3,FALSE)</f>
        <v>198281</v>
      </c>
      <c r="S570" s="248" t="str">
        <f>IF($U$6&lt;=Table323[[#This Row],[Household income]],IF(Table323[[#This Row],[Household income]]&lt;=$U$7, "Yes","No"),"No")</f>
        <v>No</v>
      </c>
    </row>
    <row r="571" spans="1:19" x14ac:dyDescent="0.25">
      <c r="A571" s="147">
        <v>9001050400</v>
      </c>
      <c r="B571" s="148" t="s">
        <v>2810</v>
      </c>
      <c r="C571" s="150" t="s">
        <v>944</v>
      </c>
      <c r="D571" s="70">
        <v>42.460847999999999</v>
      </c>
      <c r="E571" s="70">
        <v>0</v>
      </c>
      <c r="F571" s="14">
        <v>0</v>
      </c>
      <c r="G571" s="14">
        <v>0</v>
      </c>
      <c r="H571" s="14">
        <v>0</v>
      </c>
      <c r="I571" s="14">
        <v>0</v>
      </c>
      <c r="J571" s="69">
        <v>0</v>
      </c>
      <c r="K571">
        <f t="shared" si="8"/>
        <v>0</v>
      </c>
      <c r="L571" s="14">
        <v>0</v>
      </c>
      <c r="M571" s="14">
        <v>0</v>
      </c>
      <c r="N571" s="14">
        <v>0</v>
      </c>
      <c r="O571" s="69">
        <v>0</v>
      </c>
      <c r="P571" s="226">
        <f>VLOOKUP(Table323[[#This Row],[Census Tract]],'Population and Diversity Data'!$B$2:$K$823,10,FALSE)</f>
        <v>3</v>
      </c>
      <c r="Q571" s="226" t="str">
        <f>VLOOKUP(Table323[[#This Row],[Census Tract]],'ES Energy Burden'!$B$2:$E$914,4,FALSE)</f>
        <v>No</v>
      </c>
      <c r="R571" s="248">
        <f>VLOOKUP(Table323[[#This Row],[Census Tract]],'Income and Housing Data'!$B$2:$D$823,3,FALSE)</f>
        <v>152321</v>
      </c>
      <c r="S571" s="248" t="str">
        <f>IF($U$6&lt;=Table323[[#This Row],[Household income]],IF(Table323[[#This Row],[Household income]]&lt;=$U$7, "Yes","No"),"No")</f>
        <v>No</v>
      </c>
    </row>
    <row r="572" spans="1:19" x14ac:dyDescent="0.25">
      <c r="A572" s="147">
        <v>9011650100</v>
      </c>
      <c r="B572" s="148" t="s">
        <v>2811</v>
      </c>
      <c r="C572" s="150" t="s">
        <v>944</v>
      </c>
      <c r="D572" s="70">
        <v>4295.9437343999998</v>
      </c>
      <c r="E572" s="70">
        <v>4218.2299999999996</v>
      </c>
      <c r="F572" s="14">
        <v>2</v>
      </c>
      <c r="G572" s="14">
        <v>2</v>
      </c>
      <c r="H572" s="14">
        <v>0</v>
      </c>
      <c r="I572" s="14">
        <v>0</v>
      </c>
      <c r="J572" s="69">
        <v>1376.22</v>
      </c>
      <c r="K572">
        <f t="shared" si="8"/>
        <v>0</v>
      </c>
      <c r="L572" s="14">
        <v>0</v>
      </c>
      <c r="M572" s="14">
        <v>0</v>
      </c>
      <c r="N572" s="14">
        <v>0</v>
      </c>
      <c r="O572" s="69">
        <v>0</v>
      </c>
      <c r="P572" s="226">
        <f>VLOOKUP(Table323[[#This Row],[Census Tract]],'Population and Diversity Data'!$B$2:$K$823,10,FALSE)</f>
        <v>1</v>
      </c>
      <c r="Q572" s="226" t="str">
        <f>VLOOKUP(Table323[[#This Row],[Census Tract]],'ES Energy Burden'!$B$2:$E$914,4,FALSE)</f>
        <v>No</v>
      </c>
      <c r="R572" s="248">
        <f>VLOOKUP(Table323[[#This Row],[Census Tract]],'Income and Housing Data'!$B$2:$D$823,3,FALSE)</f>
        <v>100435</v>
      </c>
      <c r="S572" s="248" t="str">
        <f>IF($U$6&lt;=Table323[[#This Row],[Household income]],IF(Table323[[#This Row],[Household income]]&lt;=$U$7, "Yes","No"),"No")</f>
        <v>No</v>
      </c>
    </row>
    <row r="573" spans="1:19" x14ac:dyDescent="0.25">
      <c r="A573" s="147">
        <v>9011660101</v>
      </c>
      <c r="B573" s="148" t="s">
        <v>2811</v>
      </c>
      <c r="C573" s="150" t="s">
        <v>944</v>
      </c>
      <c r="D573" s="70">
        <v>111864.65082335999</v>
      </c>
      <c r="E573" s="70">
        <v>24522.071</v>
      </c>
      <c r="F573" s="14">
        <v>22</v>
      </c>
      <c r="G573" s="14">
        <v>22</v>
      </c>
      <c r="H573" s="14">
        <v>0</v>
      </c>
      <c r="I573" s="14">
        <v>0</v>
      </c>
      <c r="J573" s="69">
        <v>23137.580999999998</v>
      </c>
      <c r="K573">
        <f t="shared" si="8"/>
        <v>0</v>
      </c>
      <c r="L573" s="14">
        <v>0</v>
      </c>
      <c r="M573" s="14">
        <v>0</v>
      </c>
      <c r="N573" s="14">
        <v>0</v>
      </c>
      <c r="O573" s="69">
        <v>0</v>
      </c>
      <c r="P573" s="226">
        <f>VLOOKUP(Table323[[#This Row],[Census Tract]],'Population and Diversity Data'!$B$2:$K$823,10,FALSE)</f>
        <v>2</v>
      </c>
      <c r="Q573" s="226" t="str">
        <f>VLOOKUP(Table323[[#This Row],[Census Tract]],'ES Energy Burden'!$B$2:$E$914,4,FALSE)</f>
        <v>No</v>
      </c>
      <c r="R573" s="248">
        <f>VLOOKUP(Table323[[#This Row],[Census Tract]],'Income and Housing Data'!$B$2:$D$823,3,FALSE)</f>
        <v>95642</v>
      </c>
      <c r="S573" s="248" t="str">
        <f>IF($U$6&lt;=Table323[[#This Row],[Household income]],IF(Table323[[#This Row],[Household income]]&lt;=$U$7, "Yes","No"),"No")</f>
        <v>No</v>
      </c>
    </row>
    <row r="574" spans="1:19" x14ac:dyDescent="0.25">
      <c r="A574" s="147">
        <v>9011660102</v>
      </c>
      <c r="B574" s="148" t="s">
        <v>2811</v>
      </c>
      <c r="C574" s="150" t="s">
        <v>944</v>
      </c>
      <c r="D574" s="70">
        <v>118541.5152624</v>
      </c>
      <c r="E574" s="70">
        <v>90947.921300000002</v>
      </c>
      <c r="F574" s="14">
        <v>31</v>
      </c>
      <c r="G574" s="14">
        <v>31</v>
      </c>
      <c r="H574" s="14">
        <v>0</v>
      </c>
      <c r="I574" s="14">
        <v>0</v>
      </c>
      <c r="J574" s="69">
        <v>30414.032800000001</v>
      </c>
      <c r="K574">
        <f t="shared" si="8"/>
        <v>6</v>
      </c>
      <c r="L574" s="14">
        <v>6</v>
      </c>
      <c r="M574" s="14">
        <v>0</v>
      </c>
      <c r="N574" s="14">
        <v>0</v>
      </c>
      <c r="O574" s="69">
        <v>10133.200000000001</v>
      </c>
      <c r="P574" s="226">
        <f>VLOOKUP(Table323[[#This Row],[Census Tract]],'Population and Diversity Data'!$B$2:$K$823,10,FALSE)</f>
        <v>1</v>
      </c>
      <c r="Q574" s="226" t="str">
        <f>VLOOKUP(Table323[[#This Row],[Census Tract]],'ES Energy Burden'!$B$2:$E$914,4,FALSE)</f>
        <v>No</v>
      </c>
      <c r="R574" s="248">
        <f>VLOOKUP(Table323[[#This Row],[Census Tract]],'Income and Housing Data'!$B$2:$D$823,3,FALSE)</f>
        <v>98000</v>
      </c>
      <c r="S574" s="248" t="str">
        <f>IF($U$6&lt;=Table323[[#This Row],[Household income]],IF(Table323[[#This Row],[Household income]]&lt;=$U$7, "Yes","No"),"No")</f>
        <v>No</v>
      </c>
    </row>
    <row r="575" spans="1:19" x14ac:dyDescent="0.25">
      <c r="A575" s="147">
        <v>9007670100</v>
      </c>
      <c r="B575" s="148" t="s">
        <v>2812</v>
      </c>
      <c r="C575" s="150" t="s">
        <v>944</v>
      </c>
      <c r="D575" s="70">
        <v>123009.35741279999</v>
      </c>
      <c r="E575" s="70">
        <v>22006.809000000001</v>
      </c>
      <c r="F575" s="14">
        <v>24</v>
      </c>
      <c r="G575" s="14">
        <v>24</v>
      </c>
      <c r="H575" s="14">
        <v>0</v>
      </c>
      <c r="I575" s="14">
        <v>0</v>
      </c>
      <c r="J575" s="69">
        <v>22002.329000000002</v>
      </c>
      <c r="K575">
        <f t="shared" si="8"/>
        <v>0</v>
      </c>
      <c r="L575" s="14">
        <v>0</v>
      </c>
      <c r="M575" s="14">
        <v>0</v>
      </c>
      <c r="N575" s="14">
        <v>0</v>
      </c>
      <c r="O575" s="69">
        <v>0</v>
      </c>
      <c r="P575" s="226">
        <f>VLOOKUP(Table323[[#This Row],[Census Tract]],'Population and Diversity Data'!$B$2:$K$823,10,FALSE)</f>
        <v>2</v>
      </c>
      <c r="Q575" s="226" t="str">
        <f>VLOOKUP(Table323[[#This Row],[Census Tract]],'ES Energy Burden'!$B$2:$E$914,4,FALSE)</f>
        <v>No</v>
      </c>
      <c r="R575" s="248">
        <f>VLOOKUP(Table323[[#This Row],[Census Tract]],'Income and Housing Data'!$B$2:$D$823,3,FALSE)</f>
        <v>99779</v>
      </c>
      <c r="S575" s="248" t="str">
        <f>IF($U$6&lt;=Table323[[#This Row],[Household income]],IF(Table323[[#This Row],[Household income]]&lt;=$U$7, "Yes","No"),"No")</f>
        <v>No</v>
      </c>
    </row>
    <row r="576" spans="1:19" x14ac:dyDescent="0.25">
      <c r="A576" s="147">
        <v>9007670200</v>
      </c>
      <c r="B576" s="148" t="s">
        <v>2812</v>
      </c>
      <c r="C576" s="150" t="s">
        <v>944</v>
      </c>
      <c r="D576" s="70">
        <v>157721.84972351999</v>
      </c>
      <c r="E576" s="70">
        <v>155264.5803</v>
      </c>
      <c r="F576" s="14">
        <v>41</v>
      </c>
      <c r="G576" s="14">
        <v>40</v>
      </c>
      <c r="H576" s="14">
        <v>1</v>
      </c>
      <c r="I576" s="14">
        <v>0</v>
      </c>
      <c r="J576" s="69">
        <v>37150.775500000003</v>
      </c>
      <c r="K576">
        <f t="shared" si="8"/>
        <v>21</v>
      </c>
      <c r="L576" s="14">
        <v>7</v>
      </c>
      <c r="M576" s="14">
        <v>0</v>
      </c>
      <c r="N576" s="14">
        <v>14</v>
      </c>
      <c r="O576" s="69">
        <v>13942</v>
      </c>
      <c r="P576" s="226">
        <f>VLOOKUP(Table323[[#This Row],[Census Tract]],'Population and Diversity Data'!$B$2:$K$823,10,FALSE)</f>
        <v>1</v>
      </c>
      <c r="Q576" s="226" t="str">
        <f>VLOOKUP(Table323[[#This Row],[Census Tract]],'ES Energy Burden'!$B$2:$E$914,4,FALSE)</f>
        <v>No</v>
      </c>
      <c r="R576" s="248">
        <f>VLOOKUP(Table323[[#This Row],[Census Tract]],'Income and Housing Data'!$B$2:$D$823,3,FALSE)</f>
        <v>74202</v>
      </c>
      <c r="S576" s="248" t="str">
        <f>IF($U$6&lt;=Table323[[#This Row],[Household income]],IF(Table323[[#This Row],[Household income]]&lt;=$U$7, "Yes","No"),"No")</f>
        <v>No</v>
      </c>
    </row>
    <row r="577" spans="1:19" x14ac:dyDescent="0.25">
      <c r="A577" s="147">
        <v>9009344200</v>
      </c>
      <c r="B577" s="148" t="s">
        <v>2813</v>
      </c>
      <c r="C577" s="150" t="s">
        <v>944</v>
      </c>
      <c r="D577" s="70">
        <v>587.51688960000001</v>
      </c>
      <c r="E577" s="70">
        <v>0</v>
      </c>
      <c r="F577" s="14">
        <v>0</v>
      </c>
      <c r="G577" s="14">
        <v>0</v>
      </c>
      <c r="H577" s="14">
        <v>0</v>
      </c>
      <c r="I577" s="14">
        <v>0</v>
      </c>
      <c r="J577" s="69">
        <v>0</v>
      </c>
      <c r="K577">
        <f t="shared" si="8"/>
        <v>0</v>
      </c>
      <c r="L577" s="14">
        <v>0</v>
      </c>
      <c r="M577" s="14">
        <v>0</v>
      </c>
      <c r="N577" s="14">
        <v>0</v>
      </c>
      <c r="O577" s="69">
        <v>0</v>
      </c>
      <c r="P577" s="226">
        <f>VLOOKUP(Table323[[#This Row],[Census Tract]],'Population and Diversity Data'!$B$2:$K$823,10,FALSE)</f>
        <v>3</v>
      </c>
      <c r="Q577" s="226" t="str">
        <f>VLOOKUP(Table323[[#This Row],[Census Tract]],'ES Energy Burden'!$B$2:$E$914,4,FALSE)</f>
        <v>No</v>
      </c>
      <c r="R577" s="248">
        <f>VLOOKUP(Table323[[#This Row],[Census Tract]],'Income and Housing Data'!$B$2:$D$823,3,FALSE)</f>
        <v>135197</v>
      </c>
      <c r="S577" s="248" t="str">
        <f>IF($U$6&lt;=Table323[[#This Row],[Household income]],IF(Table323[[#This Row],[Household income]]&lt;=$U$7, "Yes","No"),"No")</f>
        <v>No</v>
      </c>
    </row>
    <row r="578" spans="1:19" x14ac:dyDescent="0.25">
      <c r="A578" s="147">
        <v>9009345300</v>
      </c>
      <c r="B578" s="148" t="s">
        <v>2813</v>
      </c>
      <c r="C578" s="150" t="s">
        <v>944</v>
      </c>
      <c r="D578" s="70">
        <v>114.8034816</v>
      </c>
      <c r="E578" s="70">
        <v>0</v>
      </c>
      <c r="F578" s="14">
        <v>0</v>
      </c>
      <c r="G578" s="14">
        <v>0</v>
      </c>
      <c r="H578" s="14">
        <v>0</v>
      </c>
      <c r="I578" s="14">
        <v>0</v>
      </c>
      <c r="J578" s="69">
        <v>0</v>
      </c>
      <c r="K578">
        <f t="shared" si="8"/>
        <v>0</v>
      </c>
      <c r="L578" s="14">
        <v>0</v>
      </c>
      <c r="M578" s="14">
        <v>0</v>
      </c>
      <c r="N578" s="14">
        <v>0</v>
      </c>
      <c r="O578" s="69">
        <v>0</v>
      </c>
      <c r="P578" s="226">
        <f>VLOOKUP(Table323[[#This Row],[Census Tract]],'Population and Diversity Data'!$B$2:$K$823,10,FALSE)</f>
        <v>4</v>
      </c>
      <c r="Q578" s="226" t="str">
        <f>VLOOKUP(Table323[[#This Row],[Census Tract]],'ES Energy Burden'!$B$2:$E$914,4,FALSE)</f>
        <v>No</v>
      </c>
      <c r="R578" s="248">
        <f>VLOOKUP(Table323[[#This Row],[Census Tract]],'Income and Housing Data'!$B$2:$D$823,3,FALSE)</f>
        <v>66964</v>
      </c>
      <c r="S578" s="248" t="str">
        <f>IF($U$6&lt;=Table323[[#This Row],[Household income]],IF(Table323[[#This Row],[Household income]]&lt;=$U$7, "Yes","No"),"No")</f>
        <v>No</v>
      </c>
    </row>
    <row r="579" spans="1:19" x14ac:dyDescent="0.25">
      <c r="A579" s="147">
        <v>9009346101</v>
      </c>
      <c r="B579" s="148" t="s">
        <v>2813</v>
      </c>
      <c r="C579" s="150" t="s">
        <v>944</v>
      </c>
      <c r="D579" s="70">
        <v>140941.94141664001</v>
      </c>
      <c r="E579" s="70">
        <v>109352.74800000001</v>
      </c>
      <c r="F579" s="14">
        <v>30</v>
      </c>
      <c r="G579" s="14">
        <v>30</v>
      </c>
      <c r="H579" s="14">
        <v>0</v>
      </c>
      <c r="I579" s="14">
        <v>0</v>
      </c>
      <c r="J579" s="69">
        <v>21610.13</v>
      </c>
      <c r="K579">
        <f t="shared" si="8"/>
        <v>12</v>
      </c>
      <c r="L579" s="14">
        <v>12</v>
      </c>
      <c r="M579" s="14">
        <v>0</v>
      </c>
      <c r="N579" s="14">
        <v>0</v>
      </c>
      <c r="O579" s="69">
        <v>50310</v>
      </c>
      <c r="P579" s="226">
        <f>VLOOKUP(Table323[[#This Row],[Census Tract]],'Population and Diversity Data'!$B$2:$K$823,10,FALSE)</f>
        <v>1</v>
      </c>
      <c r="Q579" s="226" t="str">
        <f>VLOOKUP(Table323[[#This Row],[Census Tract]],'ES Energy Burden'!$B$2:$E$914,4,FALSE)</f>
        <v>No</v>
      </c>
      <c r="R579" s="248">
        <f>VLOOKUP(Table323[[#This Row],[Census Tract]],'Income and Housing Data'!$B$2:$D$823,3,FALSE)</f>
        <v>107500</v>
      </c>
      <c r="S579" s="248" t="str">
        <f>IF($U$6&lt;=Table323[[#This Row],[Household income]],IF(Table323[[#This Row],[Household income]]&lt;=$U$7, "Yes","No"),"No")</f>
        <v>No</v>
      </c>
    </row>
    <row r="580" spans="1:19" x14ac:dyDescent="0.25">
      <c r="A580" s="147">
        <v>9009346102</v>
      </c>
      <c r="B580" s="148" t="s">
        <v>2813</v>
      </c>
      <c r="C580" s="150" t="s">
        <v>944</v>
      </c>
      <c r="D580" s="70">
        <v>131498.69918400003</v>
      </c>
      <c r="E580" s="70">
        <v>33188.762199999997</v>
      </c>
      <c r="F580" s="14">
        <v>26</v>
      </c>
      <c r="G580" s="14">
        <v>26</v>
      </c>
      <c r="H580" s="14">
        <v>0</v>
      </c>
      <c r="I580" s="14">
        <v>0</v>
      </c>
      <c r="J580" s="69">
        <v>26044.912199999999</v>
      </c>
      <c r="K580">
        <f t="shared" si="8"/>
        <v>0</v>
      </c>
      <c r="L580" s="14">
        <v>0</v>
      </c>
      <c r="M580" s="14">
        <v>0</v>
      </c>
      <c r="N580" s="14">
        <v>0</v>
      </c>
      <c r="O580" s="69">
        <v>0</v>
      </c>
      <c r="P580" s="226">
        <f>VLOOKUP(Table323[[#This Row],[Census Tract]],'Population and Diversity Data'!$B$2:$K$823,10,FALSE)</f>
        <v>2</v>
      </c>
      <c r="Q580" s="226" t="str">
        <f>VLOOKUP(Table323[[#This Row],[Census Tract]],'ES Energy Burden'!$B$2:$E$914,4,FALSE)</f>
        <v>No</v>
      </c>
      <c r="R580" s="248">
        <f>VLOOKUP(Table323[[#This Row],[Census Tract]],'Income and Housing Data'!$B$2:$D$823,3,FALSE)</f>
        <v>113500</v>
      </c>
      <c r="S580" s="248" t="str">
        <f>IF($U$6&lt;=Table323[[#This Row],[Household income]],IF(Table323[[#This Row],[Household income]]&lt;=$U$7, "Yes","No"),"No")</f>
        <v>No</v>
      </c>
    </row>
    <row r="581" spans="1:19" x14ac:dyDescent="0.25">
      <c r="A581" s="147">
        <v>9011709100</v>
      </c>
      <c r="B581" s="148" t="s">
        <v>2814</v>
      </c>
      <c r="C581" s="150" t="s">
        <v>944</v>
      </c>
      <c r="D581" s="70">
        <v>651.14737919999993</v>
      </c>
      <c r="E581" s="70">
        <v>0</v>
      </c>
      <c r="F581" s="14">
        <v>0</v>
      </c>
      <c r="G581" s="14">
        <v>0</v>
      </c>
      <c r="H581" s="14">
        <v>0</v>
      </c>
      <c r="I581" s="14">
        <v>0</v>
      </c>
      <c r="J581" s="69">
        <v>0</v>
      </c>
      <c r="K581">
        <f t="shared" si="8"/>
        <v>0</v>
      </c>
      <c r="L581" s="14">
        <v>0</v>
      </c>
      <c r="M581" s="14">
        <v>0</v>
      </c>
      <c r="N581" s="14">
        <v>0</v>
      </c>
      <c r="O581" s="69">
        <v>0</v>
      </c>
      <c r="P581" s="226">
        <f>VLOOKUP(Table323[[#This Row],[Census Tract]],'Population and Diversity Data'!$B$2:$K$823,10,FALSE)</f>
        <v>3</v>
      </c>
      <c r="Q581" s="226" t="str">
        <f>VLOOKUP(Table323[[#This Row],[Census Tract]],'ES Energy Burden'!$B$2:$E$914,4,FALSE)</f>
        <v>No</v>
      </c>
      <c r="R581" s="248">
        <f>VLOOKUP(Table323[[#This Row],[Census Tract]],'Income and Housing Data'!$B$2:$D$823,3,FALSE)</f>
        <v>84625</v>
      </c>
      <c r="S581" s="248" t="str">
        <f>IF($U$6&lt;=Table323[[#This Row],[Household income]],IF(Table323[[#This Row],[Household income]]&lt;=$U$7, "Yes","No"),"No")</f>
        <v>No</v>
      </c>
    </row>
    <row r="582" spans="1:19" x14ac:dyDescent="0.25">
      <c r="A582" s="147">
        <v>9015906100</v>
      </c>
      <c r="B582" s="148" t="s">
        <v>2814</v>
      </c>
      <c r="C582" s="150" t="s">
        <v>944</v>
      </c>
      <c r="D582" s="70">
        <v>366.52944960000002</v>
      </c>
      <c r="E582" s="70">
        <v>0</v>
      </c>
      <c r="F582" s="14">
        <v>0</v>
      </c>
      <c r="G582" s="14">
        <v>0</v>
      </c>
      <c r="H582" s="14">
        <v>0</v>
      </c>
      <c r="I582" s="14">
        <v>0</v>
      </c>
      <c r="J582" s="69">
        <v>0</v>
      </c>
      <c r="K582">
        <f t="shared" ref="K582:K645" si="9">L582+M582+N582</f>
        <v>0</v>
      </c>
      <c r="L582" s="14">
        <v>0</v>
      </c>
      <c r="M582" s="14">
        <v>0</v>
      </c>
      <c r="N582" s="14">
        <v>0</v>
      </c>
      <c r="O582" s="69">
        <v>0</v>
      </c>
      <c r="P582" s="226">
        <f>VLOOKUP(Table323[[#This Row],[Census Tract]],'Population and Diversity Data'!$B$2:$K$823,10,FALSE)</f>
        <v>1</v>
      </c>
      <c r="Q582" s="226" t="str">
        <f>VLOOKUP(Table323[[#This Row],[Census Tract]],'ES Energy Burden'!$B$2:$E$914,4,FALSE)</f>
        <v>No</v>
      </c>
      <c r="R582" s="248">
        <f>VLOOKUP(Table323[[#This Row],[Census Tract]],'Income and Housing Data'!$B$2:$D$823,3,FALSE)</f>
        <v>91973</v>
      </c>
      <c r="S582" s="248" t="str">
        <f>IF($U$6&lt;=Table323[[#This Row],[Household income]],IF(Table323[[#This Row],[Household income]]&lt;=$U$7, "Yes","No"),"No")</f>
        <v>No</v>
      </c>
    </row>
    <row r="583" spans="1:19" x14ac:dyDescent="0.25">
      <c r="A583" s="147">
        <v>9015907100</v>
      </c>
      <c r="B583" s="148" t="s">
        <v>2814</v>
      </c>
      <c r="C583" s="150" t="s">
        <v>944</v>
      </c>
      <c r="D583" s="70">
        <v>72711.842685120006</v>
      </c>
      <c r="E583" s="70">
        <v>10386.07</v>
      </c>
      <c r="F583" s="14">
        <v>14</v>
      </c>
      <c r="G583" s="14">
        <v>14</v>
      </c>
      <c r="H583" s="14">
        <v>0</v>
      </c>
      <c r="I583" s="14">
        <v>0</v>
      </c>
      <c r="J583" s="69">
        <v>8968.93</v>
      </c>
      <c r="K583">
        <f t="shared" si="9"/>
        <v>0</v>
      </c>
      <c r="L583" s="14">
        <v>0</v>
      </c>
      <c r="M583" s="14">
        <v>0</v>
      </c>
      <c r="N583" s="14">
        <v>0</v>
      </c>
      <c r="O583" s="69">
        <v>0</v>
      </c>
      <c r="P583" s="226">
        <f>VLOOKUP(Table323[[#This Row],[Census Tract]],'Population and Diversity Data'!$B$2:$K$823,10,FALSE)</f>
        <v>4</v>
      </c>
      <c r="Q583" s="226" t="str">
        <f>VLOOKUP(Table323[[#This Row],[Census Tract]],'ES Energy Burden'!$B$2:$E$914,4,FALSE)</f>
        <v>No</v>
      </c>
      <c r="R583" s="248">
        <f>VLOOKUP(Table323[[#This Row],[Census Tract]],'Income and Housing Data'!$B$2:$D$823,3,FALSE)</f>
        <v>72606</v>
      </c>
      <c r="S583" s="248" t="str">
        <f>IF($U$6&lt;=Table323[[#This Row],[Household income]],IF(Table323[[#This Row],[Household income]]&lt;=$U$7, "Yes","No"),"No")</f>
        <v>No</v>
      </c>
    </row>
    <row r="584" spans="1:19" x14ac:dyDescent="0.25">
      <c r="A584" s="147">
        <v>9015907200</v>
      </c>
      <c r="B584" s="148" t="s">
        <v>2814</v>
      </c>
      <c r="C584" s="150" t="s">
        <v>944</v>
      </c>
      <c r="D584" s="70">
        <v>94817.697647040011</v>
      </c>
      <c r="E584" s="70">
        <v>24022.759900000001</v>
      </c>
      <c r="F584" s="14">
        <v>17</v>
      </c>
      <c r="G584" s="14">
        <v>17</v>
      </c>
      <c r="H584" s="14">
        <v>0</v>
      </c>
      <c r="I584" s="14">
        <v>0</v>
      </c>
      <c r="J584" s="69">
        <v>14681.999900000001</v>
      </c>
      <c r="K584">
        <f t="shared" si="9"/>
        <v>0</v>
      </c>
      <c r="L584" s="14">
        <v>0</v>
      </c>
      <c r="M584" s="14">
        <v>0</v>
      </c>
      <c r="N584" s="14">
        <v>0</v>
      </c>
      <c r="O584" s="69">
        <v>0</v>
      </c>
      <c r="P584" s="226">
        <f>VLOOKUP(Table323[[#This Row],[Census Tract]],'Population and Diversity Data'!$B$2:$K$823,10,FALSE)</f>
        <v>3</v>
      </c>
      <c r="Q584" s="226" t="str">
        <f>VLOOKUP(Table323[[#This Row],[Census Tract]],'ES Energy Burden'!$B$2:$E$914,4,FALSE)</f>
        <v>No</v>
      </c>
      <c r="R584" s="248">
        <f>VLOOKUP(Table323[[#This Row],[Census Tract]],'Income and Housing Data'!$B$2:$D$823,3,FALSE)</f>
        <v>65192</v>
      </c>
      <c r="S584" s="248" t="str">
        <f>IF($U$6&lt;=Table323[[#This Row],[Household income]],IF(Table323[[#This Row],[Household income]]&lt;=$U$7, "Yes","No"),"No")</f>
        <v>No</v>
      </c>
    </row>
    <row r="585" spans="1:19" x14ac:dyDescent="0.25">
      <c r="A585" s="147">
        <v>9015907300</v>
      </c>
      <c r="B585" s="148" t="s">
        <v>2814</v>
      </c>
      <c r="C585" s="150" t="s">
        <v>944</v>
      </c>
      <c r="D585" s="70">
        <v>111292.48525248001</v>
      </c>
      <c r="E585" s="70">
        <v>140557.81229999999</v>
      </c>
      <c r="F585" s="14">
        <v>19</v>
      </c>
      <c r="G585" s="14">
        <v>19</v>
      </c>
      <c r="H585" s="14">
        <v>0</v>
      </c>
      <c r="I585" s="14">
        <v>0</v>
      </c>
      <c r="J585" s="69">
        <v>16171.983099999999</v>
      </c>
      <c r="K585">
        <f t="shared" si="9"/>
        <v>31</v>
      </c>
      <c r="L585" s="14">
        <v>21</v>
      </c>
      <c r="M585" s="14">
        <v>0</v>
      </c>
      <c r="N585" s="14">
        <v>10</v>
      </c>
      <c r="O585" s="69">
        <v>91170.3</v>
      </c>
      <c r="P585" s="226">
        <f>VLOOKUP(Table323[[#This Row],[Census Tract]],'Population and Diversity Data'!$B$2:$K$823,10,FALSE)</f>
        <v>5</v>
      </c>
      <c r="Q585" s="226" t="str">
        <f>VLOOKUP(Table323[[#This Row],[Census Tract]],'ES Energy Burden'!$B$2:$E$914,4,FALSE)</f>
        <v>No</v>
      </c>
      <c r="R585" s="248">
        <f>VLOOKUP(Table323[[#This Row],[Census Tract]],'Income and Housing Data'!$B$2:$D$823,3,FALSE)</f>
        <v>69167</v>
      </c>
      <c r="S585" s="248" t="str">
        <f>IF($U$6&lt;=Table323[[#This Row],[Household income]],IF(Table323[[#This Row],[Household income]]&lt;=$U$7, "Yes","No"),"No")</f>
        <v>No</v>
      </c>
    </row>
    <row r="586" spans="1:19" x14ac:dyDescent="0.25">
      <c r="A586" s="147">
        <v>9015908100</v>
      </c>
      <c r="B586" s="148" t="s">
        <v>2814</v>
      </c>
      <c r="C586" s="150" t="s">
        <v>944</v>
      </c>
      <c r="D586" s="70">
        <v>115.2897408</v>
      </c>
      <c r="E586" s="70">
        <v>0</v>
      </c>
      <c r="F586" s="14">
        <v>0</v>
      </c>
      <c r="G586" s="14">
        <v>0</v>
      </c>
      <c r="H586" s="14">
        <v>0</v>
      </c>
      <c r="I586" s="14">
        <v>0</v>
      </c>
      <c r="J586" s="69">
        <v>0</v>
      </c>
      <c r="K586">
        <f t="shared" si="9"/>
        <v>0</v>
      </c>
      <c r="L586" s="14">
        <v>0</v>
      </c>
      <c r="M586" s="14">
        <v>0</v>
      </c>
      <c r="N586" s="14">
        <v>0</v>
      </c>
      <c r="O586" s="69">
        <v>0</v>
      </c>
      <c r="P586" s="226" t="e">
        <f>VLOOKUP(Table323[[#This Row],[Census Tract]],'Population and Diversity Data'!$B$2:$K$823,10,FALSE)</f>
        <v>#N/A</v>
      </c>
      <c r="Q586" s="226" t="e">
        <f>VLOOKUP(Table323[[#This Row],[Census Tract]],'ES Energy Burden'!$B$2:$E$914,4,FALSE)</f>
        <v>#N/A</v>
      </c>
      <c r="R586" s="248" t="e">
        <f>VLOOKUP(Table323[[#This Row],[Census Tract]],'Income and Housing Data'!$B$2:$D$823,3,FALSE)</f>
        <v>#N/A</v>
      </c>
      <c r="S586" s="248" t="e">
        <f>IF($U$6&lt;=Table323[[#This Row],[Household income]],IF(Table323[[#This Row],[Household income]]&lt;=$U$7, "Yes","No"),"No")</f>
        <v>#N/A</v>
      </c>
    </row>
    <row r="587" spans="1:19" x14ac:dyDescent="0.25">
      <c r="A587" s="147">
        <v>9003405401</v>
      </c>
      <c r="B587" s="148" t="s">
        <v>2815</v>
      </c>
      <c r="C587" s="150" t="s">
        <v>944</v>
      </c>
      <c r="D587" s="70">
        <v>1739.9048831999999</v>
      </c>
      <c r="E587" s="70">
        <v>0</v>
      </c>
      <c r="F587" s="14">
        <v>0</v>
      </c>
      <c r="G587" s="14">
        <v>0</v>
      </c>
      <c r="H587" s="14">
        <v>0</v>
      </c>
      <c r="I587" s="14">
        <v>0</v>
      </c>
      <c r="J587" s="69">
        <v>0</v>
      </c>
      <c r="K587">
        <f t="shared" si="9"/>
        <v>0</v>
      </c>
      <c r="L587" s="14">
        <v>0</v>
      </c>
      <c r="M587" s="14">
        <v>0</v>
      </c>
      <c r="N587" s="14">
        <v>0</v>
      </c>
      <c r="O587" s="69">
        <v>0</v>
      </c>
      <c r="P587" s="226">
        <f>VLOOKUP(Table323[[#This Row],[Census Tract]],'Population and Diversity Data'!$B$2:$K$823,10,FALSE)</f>
        <v>4</v>
      </c>
      <c r="Q587" s="226" t="str">
        <f>VLOOKUP(Table323[[#This Row],[Census Tract]],'ES Energy Burden'!$B$2:$E$914,4,FALSE)</f>
        <v>No</v>
      </c>
      <c r="R587" s="248">
        <f>VLOOKUP(Table323[[#This Row],[Census Tract]],'Income and Housing Data'!$B$2:$D$823,3,FALSE)</f>
        <v>82266</v>
      </c>
      <c r="S587" s="248" t="str">
        <f>IF($U$6&lt;=Table323[[#This Row],[Household income]],IF(Table323[[#This Row],[Household income]]&lt;=$U$7, "Yes","No"),"No")</f>
        <v>No</v>
      </c>
    </row>
    <row r="588" spans="1:19" x14ac:dyDescent="0.25">
      <c r="A588" s="147">
        <v>9003420400</v>
      </c>
      <c r="B588" s="148" t="s">
        <v>2815</v>
      </c>
      <c r="C588" s="150" t="s">
        <v>944</v>
      </c>
      <c r="D588" s="70">
        <v>59279.313767040003</v>
      </c>
      <c r="E588" s="70">
        <v>16805.87</v>
      </c>
      <c r="F588" s="14">
        <v>10</v>
      </c>
      <c r="G588" s="14">
        <v>10</v>
      </c>
      <c r="H588" s="14">
        <v>0</v>
      </c>
      <c r="I588" s="14">
        <v>0</v>
      </c>
      <c r="J588" s="69">
        <v>4254.38</v>
      </c>
      <c r="K588">
        <f t="shared" si="9"/>
        <v>0</v>
      </c>
      <c r="L588" s="14">
        <v>0</v>
      </c>
      <c r="M588" s="14">
        <v>0</v>
      </c>
      <c r="N588" s="14">
        <v>0</v>
      </c>
      <c r="O588" s="69">
        <v>0</v>
      </c>
      <c r="P588" s="226">
        <f>VLOOKUP(Table323[[#This Row],[Census Tract]],'Population and Diversity Data'!$B$2:$K$823,10,FALSE)</f>
        <v>4</v>
      </c>
      <c r="Q588" s="226" t="str">
        <f>VLOOKUP(Table323[[#This Row],[Census Tract]],'ES Energy Burden'!$B$2:$E$914,4,FALSE)</f>
        <v>No</v>
      </c>
      <c r="R588" s="248">
        <f>VLOOKUP(Table323[[#This Row],[Census Tract]],'Income and Housing Data'!$B$2:$D$823,3,FALSE)</f>
        <v>91129</v>
      </c>
      <c r="S588" s="248" t="str">
        <f>IF($U$6&lt;=Table323[[#This Row],[Household income]],IF(Table323[[#This Row],[Household income]]&lt;=$U$7, "Yes","No"),"No")</f>
        <v>No</v>
      </c>
    </row>
    <row r="589" spans="1:19" x14ac:dyDescent="0.25">
      <c r="A589" s="147">
        <v>9003420500</v>
      </c>
      <c r="B589" s="148" t="s">
        <v>2815</v>
      </c>
      <c r="C589" s="150" t="s">
        <v>944</v>
      </c>
      <c r="D589" s="70">
        <v>98461.290510719991</v>
      </c>
      <c r="E589" s="70">
        <v>15583.0162</v>
      </c>
      <c r="F589" s="14">
        <v>17</v>
      </c>
      <c r="G589" s="14">
        <v>17</v>
      </c>
      <c r="H589" s="14">
        <v>0</v>
      </c>
      <c r="I589" s="14">
        <v>0</v>
      </c>
      <c r="J589" s="69">
        <v>8818.4662000000008</v>
      </c>
      <c r="K589">
        <f t="shared" si="9"/>
        <v>0</v>
      </c>
      <c r="L589" s="14">
        <v>0</v>
      </c>
      <c r="M589" s="14">
        <v>0</v>
      </c>
      <c r="N589" s="14">
        <v>0</v>
      </c>
      <c r="O589" s="69">
        <v>0</v>
      </c>
      <c r="P589" s="226">
        <f>VLOOKUP(Table323[[#This Row],[Census Tract]],'Population and Diversity Data'!$B$2:$K$823,10,FALSE)</f>
        <v>4</v>
      </c>
      <c r="Q589" s="226" t="str">
        <f>VLOOKUP(Table323[[#This Row],[Census Tract]],'ES Energy Burden'!$B$2:$E$914,4,FALSE)</f>
        <v>No</v>
      </c>
      <c r="R589" s="248">
        <f>VLOOKUP(Table323[[#This Row],[Census Tract]],'Income and Housing Data'!$B$2:$D$823,3,FALSE)</f>
        <v>62060</v>
      </c>
      <c r="S589" s="248" t="str">
        <f>IF($U$6&lt;=Table323[[#This Row],[Household income]],IF(Table323[[#This Row],[Household income]]&lt;=$U$7, "Yes","No"),"No")</f>
        <v>Yes</v>
      </c>
    </row>
    <row r="590" spans="1:19" x14ac:dyDescent="0.25">
      <c r="A590" s="147">
        <v>9003420600</v>
      </c>
      <c r="B590" s="148" t="s">
        <v>2815</v>
      </c>
      <c r="C590" s="150" t="s">
        <v>944</v>
      </c>
      <c r="D590" s="70">
        <v>112485.94246655999</v>
      </c>
      <c r="E590" s="70">
        <v>169878.43229999999</v>
      </c>
      <c r="F590" s="14">
        <v>121</v>
      </c>
      <c r="G590" s="14">
        <v>20</v>
      </c>
      <c r="H590" s="14">
        <v>1</v>
      </c>
      <c r="I590" s="14">
        <v>100</v>
      </c>
      <c r="J590" s="69">
        <v>16612.588899999999</v>
      </c>
      <c r="K590">
        <f t="shared" si="9"/>
        <v>46</v>
      </c>
      <c r="L590" s="14">
        <v>18</v>
      </c>
      <c r="M590" s="14">
        <v>0</v>
      </c>
      <c r="N590" s="14">
        <v>28</v>
      </c>
      <c r="O590" s="69">
        <v>14593.9</v>
      </c>
      <c r="P590" s="226">
        <f>VLOOKUP(Table323[[#This Row],[Census Tract]],'Population and Diversity Data'!$B$2:$K$823,10,FALSE)</f>
        <v>3</v>
      </c>
      <c r="Q590" s="226" t="str">
        <f>VLOOKUP(Table323[[#This Row],[Census Tract]],'ES Energy Burden'!$B$2:$E$914,4,FALSE)</f>
        <v>No</v>
      </c>
      <c r="R590" s="248">
        <f>VLOOKUP(Table323[[#This Row],[Census Tract]],'Income and Housing Data'!$B$2:$D$823,3,FALSE)</f>
        <v>71316</v>
      </c>
      <c r="S590" s="248" t="str">
        <f>IF($U$6&lt;=Table323[[#This Row],[Household income]],IF(Table323[[#This Row],[Household income]]&lt;=$U$7, "Yes","No"),"No")</f>
        <v>No</v>
      </c>
    </row>
    <row r="591" spans="1:19" x14ac:dyDescent="0.25">
      <c r="A591" s="147">
        <v>9003420700</v>
      </c>
      <c r="B591" s="148" t="s">
        <v>2815</v>
      </c>
      <c r="C591" s="150" t="s">
        <v>944</v>
      </c>
      <c r="D591" s="70">
        <v>69727.892843520007</v>
      </c>
      <c r="E591" s="70">
        <v>8228.0300000000007</v>
      </c>
      <c r="F591" s="14">
        <v>11</v>
      </c>
      <c r="G591" s="14">
        <v>11</v>
      </c>
      <c r="H591" s="14">
        <v>0</v>
      </c>
      <c r="I591" s="14">
        <v>0</v>
      </c>
      <c r="J591" s="69">
        <v>6894.28</v>
      </c>
      <c r="K591">
        <f t="shared" si="9"/>
        <v>0</v>
      </c>
      <c r="L591" s="14">
        <v>0</v>
      </c>
      <c r="M591" s="14">
        <v>0</v>
      </c>
      <c r="N591" s="14">
        <v>0</v>
      </c>
      <c r="O591" s="69">
        <v>0</v>
      </c>
      <c r="P591" s="226">
        <f>VLOOKUP(Table323[[#This Row],[Census Tract]],'Population and Diversity Data'!$B$2:$K$823,10,FALSE)</f>
        <v>1</v>
      </c>
      <c r="Q591" s="226" t="str">
        <f>VLOOKUP(Table323[[#This Row],[Census Tract]],'ES Energy Burden'!$B$2:$E$914,4,FALSE)</f>
        <v>No</v>
      </c>
      <c r="R591" s="248">
        <f>VLOOKUP(Table323[[#This Row],[Census Tract]],'Income and Housing Data'!$B$2:$D$823,3,FALSE)</f>
        <v>74732</v>
      </c>
      <c r="S591" s="248" t="str">
        <f>IF($U$6&lt;=Table323[[#This Row],[Household income]],IF(Table323[[#This Row],[Household income]]&lt;=$U$7, "Yes","No"),"No")</f>
        <v>No</v>
      </c>
    </row>
    <row r="592" spans="1:19" x14ac:dyDescent="0.25">
      <c r="A592" s="147">
        <v>9005349100</v>
      </c>
      <c r="B592" s="148" t="s">
        <v>2816</v>
      </c>
      <c r="C592" s="150" t="s">
        <v>944</v>
      </c>
      <c r="D592" s="70">
        <v>116.615376</v>
      </c>
      <c r="E592" s="70">
        <v>0</v>
      </c>
      <c r="F592" s="14">
        <v>0</v>
      </c>
      <c r="G592" s="14">
        <v>0</v>
      </c>
      <c r="H592" s="14">
        <v>0</v>
      </c>
      <c r="I592" s="14">
        <v>0</v>
      </c>
      <c r="J592" s="69">
        <v>0</v>
      </c>
      <c r="K592">
        <f t="shared" si="9"/>
        <v>0</v>
      </c>
      <c r="L592" s="14">
        <v>0</v>
      </c>
      <c r="M592" s="14">
        <v>0</v>
      </c>
      <c r="N592" s="14">
        <v>0</v>
      </c>
      <c r="O592" s="69">
        <v>0</v>
      </c>
      <c r="P592" s="226">
        <f>VLOOKUP(Table323[[#This Row],[Census Tract]],'Population and Diversity Data'!$B$2:$K$823,10,FALSE)</f>
        <v>1</v>
      </c>
      <c r="Q592" s="226" t="str">
        <f>VLOOKUP(Table323[[#This Row],[Census Tract]],'ES Energy Burden'!$B$2:$E$914,4,FALSE)</f>
        <v>No</v>
      </c>
      <c r="R592" s="248">
        <f>VLOOKUP(Table323[[#This Row],[Census Tract]],'Income and Housing Data'!$B$2:$D$823,3,FALSE)</f>
        <v>82688</v>
      </c>
      <c r="S592" s="248" t="str">
        <f>IF($U$6&lt;=Table323[[#This Row],[Household income]],IF(Table323[[#This Row],[Household income]]&lt;=$U$7, "Yes","No"),"No")</f>
        <v>No</v>
      </c>
    </row>
    <row r="593" spans="1:19" x14ac:dyDescent="0.25">
      <c r="A593" s="147">
        <v>9005349200</v>
      </c>
      <c r="B593" s="148" t="s">
        <v>2816</v>
      </c>
      <c r="C593" s="150" t="s">
        <v>944</v>
      </c>
      <c r="D593" s="70">
        <v>69.610320000000002</v>
      </c>
      <c r="E593" s="70">
        <v>0</v>
      </c>
      <c r="F593" s="14">
        <v>0</v>
      </c>
      <c r="G593" s="14">
        <v>0</v>
      </c>
      <c r="H593" s="14">
        <v>0</v>
      </c>
      <c r="I593" s="14">
        <v>0</v>
      </c>
      <c r="J593" s="69">
        <v>0</v>
      </c>
      <c r="K593">
        <f t="shared" si="9"/>
        <v>0</v>
      </c>
      <c r="L593" s="14">
        <v>0</v>
      </c>
      <c r="M593" s="14">
        <v>0</v>
      </c>
      <c r="N593" s="14">
        <v>0</v>
      </c>
      <c r="O593" s="69">
        <v>0</v>
      </c>
      <c r="P593" s="226">
        <f>VLOOKUP(Table323[[#This Row],[Census Tract]],'Population and Diversity Data'!$B$2:$K$823,10,FALSE)</f>
        <v>1</v>
      </c>
      <c r="Q593" s="226" t="str">
        <f>VLOOKUP(Table323[[#This Row],[Census Tract]],'ES Energy Burden'!$B$2:$E$914,4,FALSE)</f>
        <v>No</v>
      </c>
      <c r="R593" s="248">
        <f>VLOOKUP(Table323[[#This Row],[Census Tract]],'Income and Housing Data'!$B$2:$D$823,3,FALSE)</f>
        <v>64550</v>
      </c>
      <c r="S593" s="248" t="str">
        <f>IF($U$6&lt;=Table323[[#This Row],[Household income]],IF(Table323[[#This Row],[Household income]]&lt;=$U$7, "Yes","No"),"No")</f>
        <v>No</v>
      </c>
    </row>
    <row r="594" spans="1:19" x14ac:dyDescent="0.25">
      <c r="A594" s="147">
        <v>9005425300</v>
      </c>
      <c r="B594" s="148" t="s">
        <v>2816</v>
      </c>
      <c r="C594" s="150" t="s">
        <v>944</v>
      </c>
      <c r="D594" s="70">
        <v>75679.634828159993</v>
      </c>
      <c r="E594" s="70">
        <v>12089.58</v>
      </c>
      <c r="F594" s="14">
        <v>14</v>
      </c>
      <c r="G594" s="14">
        <v>14</v>
      </c>
      <c r="H594" s="14">
        <v>0</v>
      </c>
      <c r="I594" s="14">
        <v>0</v>
      </c>
      <c r="J594" s="69">
        <v>8418.73</v>
      </c>
      <c r="K594">
        <f t="shared" si="9"/>
        <v>0</v>
      </c>
      <c r="L594" s="14">
        <v>0</v>
      </c>
      <c r="M594" s="14">
        <v>0</v>
      </c>
      <c r="N594" s="14">
        <v>0</v>
      </c>
      <c r="O594" s="69">
        <v>0</v>
      </c>
      <c r="P594" s="226">
        <f>VLOOKUP(Table323[[#This Row],[Census Tract]],'Population and Diversity Data'!$B$2:$K$823,10,FALSE)</f>
        <v>1</v>
      </c>
      <c r="Q594" s="226" t="str">
        <f>VLOOKUP(Table323[[#This Row],[Census Tract]],'ES Energy Burden'!$B$2:$E$914,4,FALSE)</f>
        <v>No</v>
      </c>
      <c r="R594" s="248">
        <f>VLOOKUP(Table323[[#This Row],[Census Tract]],'Income and Housing Data'!$B$2:$D$823,3,FALSE)</f>
        <v>95240</v>
      </c>
      <c r="S594" s="248" t="str">
        <f>IF($U$6&lt;=Table323[[#This Row],[Household income]],IF(Table323[[#This Row],[Household income]]&lt;=$U$7, "Yes","No"),"No")</f>
        <v>No</v>
      </c>
    </row>
    <row r="595" spans="1:19" x14ac:dyDescent="0.25">
      <c r="A595" s="147">
        <v>9005425400</v>
      </c>
      <c r="B595" s="148" t="s">
        <v>2816</v>
      </c>
      <c r="C595" s="150" t="s">
        <v>944</v>
      </c>
      <c r="D595" s="70">
        <v>109175.17492224001</v>
      </c>
      <c r="E595" s="70">
        <v>88599.410600000003</v>
      </c>
      <c r="F595" s="14">
        <v>22</v>
      </c>
      <c r="G595" s="14">
        <v>22</v>
      </c>
      <c r="H595" s="14">
        <v>0</v>
      </c>
      <c r="I595" s="14">
        <v>0</v>
      </c>
      <c r="J595" s="69">
        <v>17921.243399999999</v>
      </c>
      <c r="K595">
        <f t="shared" si="9"/>
        <v>77</v>
      </c>
      <c r="L595" s="14">
        <v>17</v>
      </c>
      <c r="M595" s="14">
        <v>0</v>
      </c>
      <c r="N595" s="14">
        <v>60</v>
      </c>
      <c r="O595" s="69">
        <v>48302.1</v>
      </c>
      <c r="P595" s="226">
        <f>VLOOKUP(Table323[[#This Row],[Census Tract]],'Population and Diversity Data'!$B$2:$K$823,10,FALSE)</f>
        <v>2</v>
      </c>
      <c r="Q595" s="226" t="str">
        <f>VLOOKUP(Table323[[#This Row],[Census Tract]],'ES Energy Burden'!$B$2:$E$914,4,FALSE)</f>
        <v>No</v>
      </c>
      <c r="R595" s="248">
        <f>VLOOKUP(Table323[[#This Row],[Census Tract]],'Income and Housing Data'!$B$2:$D$823,3,FALSE)</f>
        <v>84167</v>
      </c>
      <c r="S595" s="248" t="str">
        <f>IF($U$6&lt;=Table323[[#This Row],[Household income]],IF(Table323[[#This Row],[Household income]]&lt;=$U$7, "Yes","No"),"No")</f>
        <v>No</v>
      </c>
    </row>
    <row r="596" spans="1:19" x14ac:dyDescent="0.25">
      <c r="A596" s="147">
        <v>9005425500</v>
      </c>
      <c r="B596" s="148" t="s">
        <v>2816</v>
      </c>
      <c r="C596" s="150" t="s">
        <v>944</v>
      </c>
      <c r="D596" s="70">
        <v>59404.700332799999</v>
      </c>
      <c r="E596" s="70">
        <v>14947.95</v>
      </c>
      <c r="F596" s="14">
        <v>12</v>
      </c>
      <c r="G596" s="14">
        <v>11</v>
      </c>
      <c r="H596" s="14">
        <v>1</v>
      </c>
      <c r="I596" s="14">
        <v>0</v>
      </c>
      <c r="J596" s="69">
        <v>7461.39</v>
      </c>
      <c r="K596">
        <f t="shared" si="9"/>
        <v>0</v>
      </c>
      <c r="L596" s="14">
        <v>0</v>
      </c>
      <c r="M596" s="14">
        <v>0</v>
      </c>
      <c r="N596" s="14">
        <v>0</v>
      </c>
      <c r="O596" s="69">
        <v>0</v>
      </c>
      <c r="P596" s="226">
        <f>VLOOKUP(Table323[[#This Row],[Census Tract]],'Population and Diversity Data'!$B$2:$K$823,10,FALSE)</f>
        <v>3</v>
      </c>
      <c r="Q596" s="226" t="str">
        <f>VLOOKUP(Table323[[#This Row],[Census Tract]],'ES Energy Burden'!$B$2:$E$914,4,FALSE)</f>
        <v>No</v>
      </c>
      <c r="R596" s="248">
        <f>VLOOKUP(Table323[[#This Row],[Census Tract]],'Income and Housing Data'!$B$2:$D$823,3,FALSE)</f>
        <v>68365</v>
      </c>
      <c r="S596" s="248" t="str">
        <f>IF($U$6&lt;=Table323[[#This Row],[Household income]],IF(Table323[[#This Row],[Household income]]&lt;=$U$7, "Yes","No"),"No")</f>
        <v>No</v>
      </c>
    </row>
    <row r="597" spans="1:19" x14ac:dyDescent="0.25">
      <c r="A597" s="147">
        <v>9015901100</v>
      </c>
      <c r="B597" s="148" t="s">
        <v>2817</v>
      </c>
      <c r="C597" s="150" t="s">
        <v>944</v>
      </c>
      <c r="D597" s="70">
        <v>83.202422399999989</v>
      </c>
      <c r="E597" s="70">
        <v>0</v>
      </c>
      <c r="F597" s="14">
        <v>0</v>
      </c>
      <c r="G597" s="14">
        <v>0</v>
      </c>
      <c r="H597" s="14">
        <v>0</v>
      </c>
      <c r="I597" s="14">
        <v>0</v>
      </c>
      <c r="J597" s="69">
        <v>0</v>
      </c>
      <c r="K597">
        <f t="shared" si="9"/>
        <v>0</v>
      </c>
      <c r="L597" s="14">
        <v>0</v>
      </c>
      <c r="M597" s="14">
        <v>0</v>
      </c>
      <c r="N597" s="14">
        <v>0</v>
      </c>
      <c r="O597" s="69">
        <v>0</v>
      </c>
      <c r="P597" s="226">
        <f>VLOOKUP(Table323[[#This Row],[Census Tract]],'Population and Diversity Data'!$B$2:$K$823,10,FALSE)</f>
        <v>1</v>
      </c>
      <c r="Q597" s="226" t="str">
        <f>VLOOKUP(Table323[[#This Row],[Census Tract]],'ES Energy Burden'!$B$2:$E$914,4,FALSE)</f>
        <v>No</v>
      </c>
      <c r="R597" s="248">
        <f>VLOOKUP(Table323[[#This Row],[Census Tract]],'Income and Housing Data'!$B$2:$D$823,3,FALSE)</f>
        <v>86821</v>
      </c>
      <c r="S597" s="248" t="str">
        <f>IF($U$6&lt;=Table323[[#This Row],[Household income]],IF(Table323[[#This Row],[Household income]]&lt;=$U$7, "Yes","No"),"No")</f>
        <v>No</v>
      </c>
    </row>
    <row r="598" spans="1:19" x14ac:dyDescent="0.25">
      <c r="A598" s="147">
        <v>9015902200</v>
      </c>
      <c r="B598" s="148" t="s">
        <v>2817</v>
      </c>
      <c r="C598" s="150" t="s">
        <v>944</v>
      </c>
      <c r="D598" s="70">
        <v>150.11516160000002</v>
      </c>
      <c r="E598" s="70">
        <v>0</v>
      </c>
      <c r="F598" s="14">
        <v>0</v>
      </c>
      <c r="G598" s="14">
        <v>0</v>
      </c>
      <c r="H598" s="14">
        <v>0</v>
      </c>
      <c r="I598" s="14">
        <v>0</v>
      </c>
      <c r="J598" s="69">
        <v>0</v>
      </c>
      <c r="K598">
        <f t="shared" si="9"/>
        <v>0</v>
      </c>
      <c r="L598" s="14">
        <v>0</v>
      </c>
      <c r="M598" s="14">
        <v>0</v>
      </c>
      <c r="N598" s="14">
        <v>0</v>
      </c>
      <c r="O598" s="69">
        <v>0</v>
      </c>
      <c r="P598" s="226">
        <f>VLOOKUP(Table323[[#This Row],[Census Tract]],'Population and Diversity Data'!$B$2:$K$823,10,FALSE)</f>
        <v>2</v>
      </c>
      <c r="Q598" s="226" t="str">
        <f>VLOOKUP(Table323[[#This Row],[Census Tract]],'ES Energy Burden'!$B$2:$E$914,4,FALSE)</f>
        <v>No</v>
      </c>
      <c r="R598" s="248">
        <f>VLOOKUP(Table323[[#This Row],[Census Tract]],'Income and Housing Data'!$B$2:$D$823,3,FALSE)</f>
        <v>92813</v>
      </c>
      <c r="S598" s="248" t="str">
        <f>IF($U$6&lt;=Table323[[#This Row],[Household income]],IF(Table323[[#This Row],[Household income]]&lt;=$U$7, "Yes","No"),"No")</f>
        <v>No</v>
      </c>
    </row>
    <row r="599" spans="1:19" x14ac:dyDescent="0.25">
      <c r="A599" s="147">
        <v>9015902500</v>
      </c>
      <c r="B599" s="148" t="s">
        <v>2817</v>
      </c>
      <c r="C599" s="150" t="s">
        <v>944</v>
      </c>
      <c r="D599" s="70">
        <v>79728.11662464001</v>
      </c>
      <c r="E599" s="70">
        <v>49916.504200000003</v>
      </c>
      <c r="F599" s="14">
        <v>20</v>
      </c>
      <c r="G599" s="14">
        <v>20</v>
      </c>
      <c r="H599" s="14">
        <v>0</v>
      </c>
      <c r="I599" s="14">
        <v>0</v>
      </c>
      <c r="J599" s="69">
        <v>20046.464199999999</v>
      </c>
      <c r="K599">
        <f t="shared" si="9"/>
        <v>1</v>
      </c>
      <c r="L599" s="14">
        <v>1</v>
      </c>
      <c r="M599" s="14">
        <v>0</v>
      </c>
      <c r="N599" s="14">
        <v>0</v>
      </c>
      <c r="O599" s="69">
        <v>13583.3</v>
      </c>
      <c r="P599" s="226">
        <f>VLOOKUP(Table323[[#This Row],[Census Tract]],'Population and Diversity Data'!$B$2:$K$823,10,FALSE)</f>
        <v>2</v>
      </c>
      <c r="Q599" s="226" t="str">
        <f>VLOOKUP(Table323[[#This Row],[Census Tract]],'ES Energy Burden'!$B$2:$E$914,4,FALSE)</f>
        <v>No</v>
      </c>
      <c r="R599" s="248">
        <f>VLOOKUP(Table323[[#This Row],[Census Tract]],'Income and Housing Data'!$B$2:$D$823,3,FALSE)</f>
        <v>93472</v>
      </c>
      <c r="S599" s="248" t="str">
        <f>IF($U$6&lt;=Table323[[#This Row],[Household income]],IF(Table323[[#This Row],[Household income]]&lt;=$U$7, "Yes","No"),"No")</f>
        <v>No</v>
      </c>
    </row>
    <row r="600" spans="1:19" x14ac:dyDescent="0.25">
      <c r="A600" s="147">
        <v>9015905100</v>
      </c>
      <c r="B600" s="148" t="s">
        <v>2817</v>
      </c>
      <c r="C600" s="150" t="s">
        <v>944</v>
      </c>
      <c r="D600" s="70">
        <v>917.38586880000003</v>
      </c>
      <c r="E600" s="70">
        <v>0</v>
      </c>
      <c r="F600" s="14">
        <v>0</v>
      </c>
      <c r="G600" s="14">
        <v>0</v>
      </c>
      <c r="H600" s="14">
        <v>0</v>
      </c>
      <c r="I600" s="14">
        <v>0</v>
      </c>
      <c r="J600" s="69">
        <v>0</v>
      </c>
      <c r="K600">
        <f t="shared" si="9"/>
        <v>0</v>
      </c>
      <c r="L600" s="14">
        <v>0</v>
      </c>
      <c r="M600" s="14">
        <v>0</v>
      </c>
      <c r="N600" s="14">
        <v>0</v>
      </c>
      <c r="O600" s="69">
        <v>0</v>
      </c>
      <c r="P600" s="226">
        <f>VLOOKUP(Table323[[#This Row],[Census Tract]],'Population and Diversity Data'!$B$2:$K$823,10,FALSE)</f>
        <v>4</v>
      </c>
      <c r="Q600" s="226" t="str">
        <f>VLOOKUP(Table323[[#This Row],[Census Tract]],'ES Energy Burden'!$B$2:$E$914,4,FALSE)</f>
        <v>No</v>
      </c>
      <c r="R600" s="248">
        <f>VLOOKUP(Table323[[#This Row],[Census Tract]],'Income and Housing Data'!$B$2:$D$823,3,FALSE)</f>
        <v>76047</v>
      </c>
      <c r="S600" s="248" t="str">
        <f>IF($U$6&lt;=Table323[[#This Row],[Household income]],IF(Table323[[#This Row],[Household income]]&lt;=$U$7, "Yes","No"),"No")</f>
        <v>No</v>
      </c>
    </row>
    <row r="601" spans="1:19" x14ac:dyDescent="0.25">
      <c r="A601" s="147">
        <v>9007560100</v>
      </c>
      <c r="B601" s="148" t="s">
        <v>2818</v>
      </c>
      <c r="C601" s="150" t="s">
        <v>944</v>
      </c>
      <c r="D601" s="70">
        <v>125121.51976319999</v>
      </c>
      <c r="E601" s="70">
        <v>80210.659599999999</v>
      </c>
      <c r="F601" s="14">
        <v>33</v>
      </c>
      <c r="G601" s="14">
        <v>33</v>
      </c>
      <c r="H601" s="14">
        <v>0</v>
      </c>
      <c r="I601" s="14">
        <v>0</v>
      </c>
      <c r="J601" s="69">
        <v>31755.66</v>
      </c>
      <c r="K601">
        <f t="shared" si="9"/>
        <v>11</v>
      </c>
      <c r="L601" s="14">
        <v>11</v>
      </c>
      <c r="M601" s="14">
        <v>0</v>
      </c>
      <c r="N601" s="14">
        <v>0</v>
      </c>
      <c r="O601" s="69">
        <v>12907.9</v>
      </c>
      <c r="P601" s="226">
        <f>VLOOKUP(Table323[[#This Row],[Census Tract]],'Population and Diversity Data'!$B$2:$K$823,10,FALSE)</f>
        <v>1</v>
      </c>
      <c r="Q601" s="226" t="str">
        <f>VLOOKUP(Table323[[#This Row],[Census Tract]],'ES Energy Burden'!$B$2:$E$914,4,FALSE)</f>
        <v>No</v>
      </c>
      <c r="R601" s="248">
        <f>VLOOKUP(Table323[[#This Row],[Census Tract]],'Income and Housing Data'!$B$2:$D$823,3,FALSE)</f>
        <v>117009</v>
      </c>
      <c r="S601" s="248" t="str">
        <f>IF($U$6&lt;=Table323[[#This Row],[Household income]],IF(Table323[[#This Row],[Household income]]&lt;=$U$7, "Yes","No"),"No")</f>
        <v>No</v>
      </c>
    </row>
    <row r="602" spans="1:19" x14ac:dyDescent="0.25">
      <c r="A602" s="147">
        <v>9007560200</v>
      </c>
      <c r="B602" s="148" t="s">
        <v>2818</v>
      </c>
      <c r="C602" s="150" t="s">
        <v>944</v>
      </c>
      <c r="D602" s="70">
        <v>60508.24069536</v>
      </c>
      <c r="E602" s="70">
        <v>31057.98</v>
      </c>
      <c r="F602" s="14">
        <v>21</v>
      </c>
      <c r="G602" s="14">
        <v>21</v>
      </c>
      <c r="H602" s="14">
        <v>0</v>
      </c>
      <c r="I602" s="14">
        <v>0</v>
      </c>
      <c r="J602" s="69">
        <v>18928.04</v>
      </c>
      <c r="K602">
        <f t="shared" si="9"/>
        <v>0</v>
      </c>
      <c r="L602" s="14">
        <v>0</v>
      </c>
      <c r="M602" s="14">
        <v>0</v>
      </c>
      <c r="N602" s="14">
        <v>0</v>
      </c>
      <c r="O602" s="69">
        <v>0</v>
      </c>
      <c r="P602" s="226">
        <f>VLOOKUP(Table323[[#This Row],[Census Tract]],'Population and Diversity Data'!$B$2:$K$823,10,FALSE)</f>
        <v>1</v>
      </c>
      <c r="Q602" s="226" t="str">
        <f>VLOOKUP(Table323[[#This Row],[Census Tract]],'ES Energy Burden'!$B$2:$E$914,4,FALSE)</f>
        <v>No</v>
      </c>
      <c r="R602" s="248">
        <f>VLOOKUP(Table323[[#This Row],[Census Tract]],'Income and Housing Data'!$B$2:$D$823,3,FALSE)</f>
        <v>74602</v>
      </c>
      <c r="S602" s="248" t="str">
        <f>IF($U$6&lt;=Table323[[#This Row],[Household income]],IF(Table323[[#This Row],[Household income]]&lt;=$U$7, "Yes","No"),"No")</f>
        <v>No</v>
      </c>
    </row>
    <row r="603" spans="1:19" x14ac:dyDescent="0.25">
      <c r="A603" s="147">
        <v>9011697000</v>
      </c>
      <c r="B603" s="148" t="s">
        <v>2819</v>
      </c>
      <c r="C603" s="150" t="s">
        <v>944</v>
      </c>
      <c r="D603" s="70">
        <v>68.452560000000005</v>
      </c>
      <c r="E603" s="70">
        <v>0</v>
      </c>
      <c r="F603" s="14">
        <v>0</v>
      </c>
      <c r="G603" s="14">
        <v>0</v>
      </c>
      <c r="H603" s="14">
        <v>0</v>
      </c>
      <c r="I603" s="14">
        <v>0</v>
      </c>
      <c r="J603" s="69">
        <v>0</v>
      </c>
      <c r="K603">
        <f t="shared" si="9"/>
        <v>0</v>
      </c>
      <c r="L603" s="14">
        <v>0</v>
      </c>
      <c r="M603" s="14">
        <v>0</v>
      </c>
      <c r="N603" s="14">
        <v>0</v>
      </c>
      <c r="O603" s="69">
        <v>0</v>
      </c>
      <c r="P603" s="226">
        <f>VLOOKUP(Table323[[#This Row],[Census Tract]],'Population and Diversity Data'!$B$2:$K$823,10,FALSE)</f>
        <v>5</v>
      </c>
      <c r="Q603" s="226" t="str">
        <f>VLOOKUP(Table323[[#This Row],[Census Tract]],'ES Energy Burden'!$B$2:$E$914,4,FALSE)</f>
        <v>Yes</v>
      </c>
      <c r="R603" s="248">
        <f>VLOOKUP(Table323[[#This Row],[Census Tract]],'Income and Housing Data'!$B$2:$D$823,3,FALSE)</f>
        <v>46801</v>
      </c>
      <c r="S603" s="248" t="str">
        <f>IF($U$6&lt;=Table323[[#This Row],[Household income]],IF(Table323[[#This Row],[Household income]]&lt;=$U$7, "Yes","No"),"No")</f>
        <v>No</v>
      </c>
    </row>
    <row r="604" spans="1:19" x14ac:dyDescent="0.25">
      <c r="A604" s="147">
        <v>9011700100</v>
      </c>
      <c r="B604" s="148" t="s">
        <v>2819</v>
      </c>
      <c r="C604" s="150" t="s">
        <v>944</v>
      </c>
      <c r="D604" s="70">
        <v>106676.39367071999</v>
      </c>
      <c r="E604" s="70">
        <v>57765.007100000003</v>
      </c>
      <c r="F604" s="14">
        <v>25</v>
      </c>
      <c r="G604" s="14">
        <v>25</v>
      </c>
      <c r="H604" s="14">
        <v>0</v>
      </c>
      <c r="I604" s="14">
        <v>0</v>
      </c>
      <c r="J604" s="69">
        <v>23511.867099999999</v>
      </c>
      <c r="K604">
        <f t="shared" si="9"/>
        <v>5</v>
      </c>
      <c r="L604" s="14">
        <v>5</v>
      </c>
      <c r="M604" s="14">
        <v>0</v>
      </c>
      <c r="N604" s="14">
        <v>0</v>
      </c>
      <c r="O604" s="69">
        <v>6345.2</v>
      </c>
      <c r="P604" s="226">
        <f>VLOOKUP(Table323[[#This Row],[Census Tract]],'Population and Diversity Data'!$B$2:$K$823,10,FALSE)</f>
        <v>4</v>
      </c>
      <c r="Q604" s="226" t="str">
        <f>VLOOKUP(Table323[[#This Row],[Census Tract]],'ES Energy Burden'!$B$2:$E$914,4,FALSE)</f>
        <v>No</v>
      </c>
      <c r="R604" s="248">
        <f>VLOOKUP(Table323[[#This Row],[Census Tract]],'Income and Housing Data'!$B$2:$D$823,3,FALSE)</f>
        <v>79444</v>
      </c>
      <c r="S604" s="248" t="str">
        <f>IF($U$6&lt;=Table323[[#This Row],[Household income]],IF(Table323[[#This Row],[Household income]]&lt;=$U$7, "Yes","No"),"No")</f>
        <v>No</v>
      </c>
    </row>
    <row r="605" spans="1:19" x14ac:dyDescent="0.25">
      <c r="A605" s="147">
        <v>9011707100</v>
      </c>
      <c r="B605" s="148" t="s">
        <v>2819</v>
      </c>
      <c r="C605" s="150" t="s">
        <v>944</v>
      </c>
      <c r="D605" s="70">
        <v>751.86671039999999</v>
      </c>
      <c r="E605" s="70">
        <v>0</v>
      </c>
      <c r="F605" s="14">
        <v>0</v>
      </c>
      <c r="G605" s="14">
        <v>0</v>
      </c>
      <c r="H605" s="14">
        <v>0</v>
      </c>
      <c r="I605" s="14">
        <v>0</v>
      </c>
      <c r="J605" s="69">
        <v>0</v>
      </c>
      <c r="K605">
        <f t="shared" si="9"/>
        <v>0</v>
      </c>
      <c r="L605" s="14">
        <v>0</v>
      </c>
      <c r="M605" s="14">
        <v>0</v>
      </c>
      <c r="N605" s="14">
        <v>0</v>
      </c>
      <c r="O605" s="69">
        <v>0</v>
      </c>
      <c r="P605" s="226">
        <f>VLOOKUP(Table323[[#This Row],[Census Tract]],'Population and Diversity Data'!$B$2:$K$823,10,FALSE)</f>
        <v>3</v>
      </c>
      <c r="Q605" s="226" t="str">
        <f>VLOOKUP(Table323[[#This Row],[Census Tract]],'ES Energy Burden'!$B$2:$E$914,4,FALSE)</f>
        <v>No</v>
      </c>
      <c r="R605" s="248">
        <f>VLOOKUP(Table323[[#This Row],[Census Tract]],'Income and Housing Data'!$B$2:$D$823,3,FALSE)</f>
        <v>75833</v>
      </c>
      <c r="S605" s="248" t="str">
        <f>IF($U$6&lt;=Table323[[#This Row],[Household income]],IF(Table323[[#This Row],[Household income]]&lt;=$U$7, "Yes","No"),"No")</f>
        <v>No</v>
      </c>
    </row>
    <row r="606" spans="1:19" x14ac:dyDescent="0.25">
      <c r="A606" s="147">
        <v>9009347100</v>
      </c>
      <c r="B606" s="148" t="s">
        <v>2820</v>
      </c>
      <c r="C606" s="150" t="s">
        <v>944</v>
      </c>
      <c r="D606" s="70">
        <v>122291.37139104001</v>
      </c>
      <c r="E606" s="70">
        <v>100895.8768</v>
      </c>
      <c r="F606" s="14">
        <v>23</v>
      </c>
      <c r="G606" s="14">
        <v>23</v>
      </c>
      <c r="H606" s="14">
        <v>0</v>
      </c>
      <c r="I606" s="14">
        <v>0</v>
      </c>
      <c r="J606" s="69">
        <v>23490.036800000002</v>
      </c>
      <c r="K606">
        <f t="shared" si="9"/>
        <v>24</v>
      </c>
      <c r="L606" s="14">
        <v>24</v>
      </c>
      <c r="M606" s="14">
        <v>0</v>
      </c>
      <c r="N606" s="14">
        <v>0</v>
      </c>
      <c r="O606" s="69">
        <v>59294.8</v>
      </c>
      <c r="P606" s="226">
        <f>VLOOKUP(Table323[[#This Row],[Census Tract]],'Population and Diversity Data'!$B$2:$K$823,10,FALSE)</f>
        <v>1</v>
      </c>
      <c r="Q606" s="226" t="str">
        <f>VLOOKUP(Table323[[#This Row],[Census Tract]],'ES Energy Burden'!$B$2:$E$914,4,FALSE)</f>
        <v>No</v>
      </c>
      <c r="R606" s="248">
        <f>VLOOKUP(Table323[[#This Row],[Census Tract]],'Income and Housing Data'!$B$2:$D$823,3,FALSE)</f>
        <v>101848</v>
      </c>
      <c r="S606" s="248" t="str">
        <f>IF($U$6&lt;=Table323[[#This Row],[Household income]],IF(Table323[[#This Row],[Household income]]&lt;=$U$7, "Yes","No"),"No")</f>
        <v>No</v>
      </c>
    </row>
    <row r="607" spans="1:19" x14ac:dyDescent="0.25">
      <c r="A607" s="147">
        <v>9009347200</v>
      </c>
      <c r="B607" s="148" t="s">
        <v>2820</v>
      </c>
      <c r="C607" s="150" t="s">
        <v>944</v>
      </c>
      <c r="D607" s="70">
        <v>69819.393510719994</v>
      </c>
      <c r="E607" s="70">
        <v>19924.240000000002</v>
      </c>
      <c r="F607" s="14">
        <v>10</v>
      </c>
      <c r="G607" s="14">
        <v>10</v>
      </c>
      <c r="H607" s="14">
        <v>0</v>
      </c>
      <c r="I607" s="14">
        <v>0</v>
      </c>
      <c r="J607" s="69">
        <v>8488.59</v>
      </c>
      <c r="K607">
        <f t="shared" si="9"/>
        <v>0</v>
      </c>
      <c r="L607" s="14">
        <v>0</v>
      </c>
      <c r="M607" s="14">
        <v>0</v>
      </c>
      <c r="N607" s="14">
        <v>0</v>
      </c>
      <c r="O607" s="69">
        <v>0</v>
      </c>
      <c r="P607" s="226">
        <f>VLOOKUP(Table323[[#This Row],[Census Tract]],'Population and Diversity Data'!$B$2:$K$823,10,FALSE)</f>
        <v>2</v>
      </c>
      <c r="Q607" s="226" t="str">
        <f>VLOOKUP(Table323[[#This Row],[Census Tract]],'ES Energy Burden'!$B$2:$E$914,4,FALSE)</f>
        <v>No</v>
      </c>
      <c r="R607" s="248">
        <f>VLOOKUP(Table323[[#This Row],[Census Tract]],'Income and Housing Data'!$B$2:$D$823,3,FALSE)</f>
        <v>99391</v>
      </c>
      <c r="S607" s="248" t="str">
        <f>IF($U$6&lt;=Table323[[#This Row],[Household income]],IF(Table323[[#This Row],[Household income]]&lt;=$U$7, "Yes","No"),"No")</f>
        <v>No</v>
      </c>
    </row>
    <row r="608" spans="1:19" x14ac:dyDescent="0.25">
      <c r="A608" s="147">
        <v>9009352800</v>
      </c>
      <c r="B608" s="148" t="s">
        <v>2820</v>
      </c>
      <c r="C608" s="150" t="s">
        <v>944</v>
      </c>
      <c r="D608" s="70">
        <v>1536.5559168</v>
      </c>
      <c r="E608" s="70">
        <v>0</v>
      </c>
      <c r="F608" s="14">
        <v>0</v>
      </c>
      <c r="G608" s="14">
        <v>0</v>
      </c>
      <c r="H608" s="14">
        <v>0</v>
      </c>
      <c r="I608" s="14">
        <v>0</v>
      </c>
      <c r="J608" s="69">
        <v>0</v>
      </c>
      <c r="K608">
        <f t="shared" si="9"/>
        <v>0</v>
      </c>
      <c r="L608" s="14">
        <v>0</v>
      </c>
      <c r="M608" s="14">
        <v>0</v>
      </c>
      <c r="N608" s="14">
        <v>0</v>
      </c>
      <c r="O608" s="69">
        <v>0</v>
      </c>
      <c r="P608" s="226">
        <f>VLOOKUP(Table323[[#This Row],[Census Tract]],'Population and Diversity Data'!$B$2:$K$823,10,FALSE)</f>
        <v>5</v>
      </c>
      <c r="Q608" s="226" t="str">
        <f>VLOOKUP(Table323[[#This Row],[Census Tract]],'ES Energy Burden'!$B$2:$E$914,4,FALSE)</f>
        <v>No</v>
      </c>
      <c r="R608" s="248">
        <f>VLOOKUP(Table323[[#This Row],[Census Tract]],'Income and Housing Data'!$B$2:$D$823,3,FALSE)</f>
        <v>53904</v>
      </c>
      <c r="S608" s="248" t="str">
        <f>IF($U$6&lt;=Table323[[#This Row],[Household income]],IF(Table323[[#This Row],[Household income]]&lt;=$U$7, "Yes","No"),"No")</f>
        <v>Yes</v>
      </c>
    </row>
    <row r="609" spans="1:19" x14ac:dyDescent="0.25">
      <c r="A609" s="147">
        <v>9015901100</v>
      </c>
      <c r="B609" s="148" t="s">
        <v>2821</v>
      </c>
      <c r="C609" s="150" t="s">
        <v>944</v>
      </c>
      <c r="D609" s="70">
        <v>253.86203520000004</v>
      </c>
      <c r="E609" s="70">
        <v>0</v>
      </c>
      <c r="F609" s="14">
        <v>0</v>
      </c>
      <c r="G609" s="14">
        <v>0</v>
      </c>
      <c r="H609" s="14">
        <v>0</v>
      </c>
      <c r="I609" s="14">
        <v>0</v>
      </c>
      <c r="J609" s="69">
        <v>0</v>
      </c>
      <c r="K609">
        <f t="shared" si="9"/>
        <v>0</v>
      </c>
      <c r="L609" s="14">
        <v>0</v>
      </c>
      <c r="M609" s="14">
        <v>0</v>
      </c>
      <c r="N609" s="14">
        <v>0</v>
      </c>
      <c r="O609" s="69">
        <v>0</v>
      </c>
      <c r="P609" s="226">
        <f>VLOOKUP(Table323[[#This Row],[Census Tract]],'Population and Diversity Data'!$B$2:$K$823,10,FALSE)</f>
        <v>1</v>
      </c>
      <c r="Q609" s="226" t="str">
        <f>VLOOKUP(Table323[[#This Row],[Census Tract]],'ES Energy Burden'!$B$2:$E$914,4,FALSE)</f>
        <v>No</v>
      </c>
      <c r="R609" s="248">
        <f>VLOOKUP(Table323[[#This Row],[Census Tract]],'Income and Housing Data'!$B$2:$D$823,3,FALSE)</f>
        <v>86821</v>
      </c>
      <c r="S609" s="248" t="str">
        <f>IF($U$6&lt;=Table323[[#This Row],[Household income]],IF(Table323[[#This Row],[Household income]]&lt;=$U$7, "Yes","No"),"No")</f>
        <v>No</v>
      </c>
    </row>
    <row r="610" spans="1:19" x14ac:dyDescent="0.25">
      <c r="A610" s="147">
        <v>9015902500</v>
      </c>
      <c r="B610" s="148" t="s">
        <v>2821</v>
      </c>
      <c r="C610" s="150" t="s">
        <v>944</v>
      </c>
      <c r="D610" s="70">
        <v>328.95955872000002</v>
      </c>
      <c r="E610" s="70">
        <v>0</v>
      </c>
      <c r="F610" s="14">
        <v>1</v>
      </c>
      <c r="G610" s="14">
        <v>1</v>
      </c>
      <c r="H610" s="14">
        <v>0</v>
      </c>
      <c r="I610" s="14">
        <v>0</v>
      </c>
      <c r="J610" s="69">
        <v>0</v>
      </c>
      <c r="K610">
        <f t="shared" si="9"/>
        <v>0</v>
      </c>
      <c r="L610" s="14">
        <v>0</v>
      </c>
      <c r="M610" s="14">
        <v>0</v>
      </c>
      <c r="N610" s="14">
        <v>0</v>
      </c>
      <c r="O610" s="69">
        <v>0</v>
      </c>
      <c r="P610" s="226">
        <f>VLOOKUP(Table323[[#This Row],[Census Tract]],'Population and Diversity Data'!$B$2:$K$823,10,FALSE)</f>
        <v>2</v>
      </c>
      <c r="Q610" s="226" t="str">
        <f>VLOOKUP(Table323[[#This Row],[Census Tract]],'ES Energy Burden'!$B$2:$E$914,4,FALSE)</f>
        <v>No</v>
      </c>
      <c r="R610" s="248">
        <f>VLOOKUP(Table323[[#This Row],[Census Tract]],'Income and Housing Data'!$B$2:$D$823,3,FALSE)</f>
        <v>93472</v>
      </c>
      <c r="S610" s="248" t="str">
        <f>IF($U$6&lt;=Table323[[#This Row],[Household income]],IF(Table323[[#This Row],[Household income]]&lt;=$U$7, "Yes","No"),"No")</f>
        <v>No</v>
      </c>
    </row>
    <row r="611" spans="1:19" x14ac:dyDescent="0.25">
      <c r="A611" s="147">
        <v>9015903100</v>
      </c>
      <c r="B611" s="148" t="s">
        <v>2821</v>
      </c>
      <c r="C611" s="150" t="s">
        <v>944</v>
      </c>
      <c r="D611" s="70">
        <v>126091.6010784</v>
      </c>
      <c r="E611" s="70">
        <v>270102.65519999998</v>
      </c>
      <c r="F611" s="14">
        <v>13</v>
      </c>
      <c r="G611" s="14">
        <v>13</v>
      </c>
      <c r="H611" s="14">
        <v>0</v>
      </c>
      <c r="I611" s="14">
        <v>0</v>
      </c>
      <c r="J611" s="69">
        <v>5250.74</v>
      </c>
      <c r="K611">
        <f t="shared" si="9"/>
        <v>128</v>
      </c>
      <c r="L611" s="14">
        <v>25</v>
      </c>
      <c r="M611" s="14">
        <v>1</v>
      </c>
      <c r="N611" s="14">
        <v>102</v>
      </c>
      <c r="O611" s="69">
        <v>213939</v>
      </c>
      <c r="P611" s="226">
        <f>VLOOKUP(Table323[[#This Row],[Census Tract]],'Population and Diversity Data'!$B$2:$K$823,10,FALSE)</f>
        <v>2</v>
      </c>
      <c r="Q611" s="226" t="str">
        <f>VLOOKUP(Table323[[#This Row],[Census Tract]],'ES Energy Burden'!$B$2:$E$914,4,FALSE)</f>
        <v>No</v>
      </c>
      <c r="R611" s="248">
        <f>VLOOKUP(Table323[[#This Row],[Census Tract]],'Income and Housing Data'!$B$2:$D$823,3,FALSE)</f>
        <v>57218</v>
      </c>
      <c r="S611" s="248" t="str">
        <f>IF($U$6&lt;=Table323[[#This Row],[Household income]],IF(Table323[[#This Row],[Household income]]&lt;=$U$7, "Yes","No"),"No")</f>
        <v>Yes</v>
      </c>
    </row>
    <row r="612" spans="1:19" x14ac:dyDescent="0.25">
      <c r="A612" s="147">
        <v>9015903200</v>
      </c>
      <c r="B612" s="148" t="s">
        <v>2821</v>
      </c>
      <c r="C612" s="150" t="s">
        <v>944</v>
      </c>
      <c r="D612" s="70">
        <v>45609.665760000004</v>
      </c>
      <c r="E612" s="70">
        <v>4946.6899999999996</v>
      </c>
      <c r="F612" s="14">
        <v>5</v>
      </c>
      <c r="G612" s="14">
        <v>5</v>
      </c>
      <c r="H612" s="14">
        <v>0</v>
      </c>
      <c r="I612" s="14">
        <v>0</v>
      </c>
      <c r="J612" s="69">
        <v>4537.8500000000004</v>
      </c>
      <c r="K612">
        <f t="shared" si="9"/>
        <v>0</v>
      </c>
      <c r="L612" s="14">
        <v>0</v>
      </c>
      <c r="M612" s="14">
        <v>0</v>
      </c>
      <c r="N612" s="14">
        <v>0</v>
      </c>
      <c r="O612" s="69">
        <v>0</v>
      </c>
      <c r="P612" s="226">
        <f>VLOOKUP(Table323[[#This Row],[Census Tract]],'Population and Diversity Data'!$B$2:$K$823,10,FALSE)</f>
        <v>3</v>
      </c>
      <c r="Q612" s="226" t="str">
        <f>VLOOKUP(Table323[[#This Row],[Census Tract]],'ES Energy Burden'!$B$2:$E$914,4,FALSE)</f>
        <v>No</v>
      </c>
      <c r="R612" s="248">
        <f>VLOOKUP(Table323[[#This Row],[Census Tract]],'Income and Housing Data'!$B$2:$D$823,3,FALSE)</f>
        <v>76602</v>
      </c>
      <c r="S612" s="248" t="str">
        <f>IF($U$6&lt;=Table323[[#This Row],[Household income]],IF(Table323[[#This Row],[Household income]]&lt;=$U$7, "Yes","No"),"No")</f>
        <v>No</v>
      </c>
    </row>
    <row r="613" spans="1:19" x14ac:dyDescent="0.25">
      <c r="A613" s="147">
        <v>9015904100</v>
      </c>
      <c r="B613" s="148" t="s">
        <v>2821</v>
      </c>
      <c r="C613" s="150" t="s">
        <v>944</v>
      </c>
      <c r="D613" s="70">
        <v>306.71377919999998</v>
      </c>
      <c r="E613" s="70">
        <v>0</v>
      </c>
      <c r="F613" s="14">
        <v>0</v>
      </c>
      <c r="G613" s="14">
        <v>0</v>
      </c>
      <c r="H613" s="14">
        <v>0</v>
      </c>
      <c r="I613" s="14">
        <v>0</v>
      </c>
      <c r="J613" s="69">
        <v>0</v>
      </c>
      <c r="K613">
        <f t="shared" si="9"/>
        <v>0</v>
      </c>
      <c r="L613" s="14">
        <v>0</v>
      </c>
      <c r="M613" s="14">
        <v>0</v>
      </c>
      <c r="N613" s="14">
        <v>0</v>
      </c>
      <c r="O613" s="69">
        <v>0</v>
      </c>
      <c r="P613" s="226">
        <f>VLOOKUP(Table323[[#This Row],[Census Tract]],'Population and Diversity Data'!$B$2:$K$823,10,FALSE)</f>
        <v>2</v>
      </c>
      <c r="Q613" s="226" t="str">
        <f>VLOOKUP(Table323[[#This Row],[Census Tract]],'ES Energy Burden'!$B$2:$E$914,4,FALSE)</f>
        <v>No</v>
      </c>
      <c r="R613" s="248">
        <f>VLOOKUP(Table323[[#This Row],[Census Tract]],'Income and Housing Data'!$B$2:$D$823,3,FALSE)</f>
        <v>70341</v>
      </c>
      <c r="S613" s="248" t="str">
        <f>IF($U$6&lt;=Table323[[#This Row],[Household income]],IF(Table323[[#This Row],[Household income]]&lt;=$U$7, "Yes","No"),"No")</f>
        <v>No</v>
      </c>
    </row>
    <row r="614" spans="1:19" x14ac:dyDescent="0.25">
      <c r="A614" s="147">
        <v>9001055100</v>
      </c>
      <c r="B614" s="148" t="s">
        <v>2822</v>
      </c>
      <c r="C614" s="150" t="s">
        <v>944</v>
      </c>
      <c r="D614" s="70">
        <v>6580.5052319999995</v>
      </c>
      <c r="E614" s="70">
        <v>3388.5</v>
      </c>
      <c r="F614" s="14">
        <v>1</v>
      </c>
      <c r="G614" s="14">
        <v>1</v>
      </c>
      <c r="H614" s="14">
        <v>0</v>
      </c>
      <c r="I614" s="14">
        <v>0</v>
      </c>
      <c r="J614" s="69">
        <v>1422.46</v>
      </c>
      <c r="K614">
        <f t="shared" si="9"/>
        <v>0</v>
      </c>
      <c r="L614" s="14">
        <v>0</v>
      </c>
      <c r="M614" s="14">
        <v>0</v>
      </c>
      <c r="N614" s="14">
        <v>0</v>
      </c>
      <c r="O614" s="69">
        <v>0</v>
      </c>
      <c r="P614" s="226">
        <f>VLOOKUP(Table323[[#This Row],[Census Tract]],'Population and Diversity Data'!$B$2:$K$823,10,FALSE)</f>
        <v>4</v>
      </c>
      <c r="Q614" s="226" t="str">
        <f>VLOOKUP(Table323[[#This Row],[Census Tract]],'ES Energy Burden'!$B$2:$E$914,4,FALSE)</f>
        <v>No</v>
      </c>
      <c r="R614" s="248">
        <f>VLOOKUP(Table323[[#This Row],[Census Tract]],'Income and Housing Data'!$B$2:$D$823,3,FALSE)</f>
        <v>202500</v>
      </c>
      <c r="S614" s="248" t="str">
        <f>IF($U$6&lt;=Table323[[#This Row],[Household income]],IF(Table323[[#This Row],[Household income]]&lt;=$U$7, "Yes","No"),"No")</f>
        <v>No</v>
      </c>
    </row>
    <row r="615" spans="1:19" x14ac:dyDescent="0.25">
      <c r="A615" s="147">
        <v>9001240100</v>
      </c>
      <c r="B615" s="148" t="s">
        <v>2822</v>
      </c>
      <c r="C615" s="150" t="s">
        <v>944</v>
      </c>
      <c r="D615" s="70">
        <v>105989.61333311998</v>
      </c>
      <c r="E615" s="70">
        <v>23180.573899999999</v>
      </c>
      <c r="F615" s="14">
        <v>21</v>
      </c>
      <c r="G615" s="14">
        <v>21</v>
      </c>
      <c r="H615" s="14">
        <v>0</v>
      </c>
      <c r="I615" s="14">
        <v>0</v>
      </c>
      <c r="J615" s="69">
        <v>20906.5939</v>
      </c>
      <c r="K615">
        <f t="shared" si="9"/>
        <v>0</v>
      </c>
      <c r="L615" s="14">
        <v>0</v>
      </c>
      <c r="M615" s="14">
        <v>0</v>
      </c>
      <c r="N615" s="14">
        <v>0</v>
      </c>
      <c r="O615" s="69">
        <v>0</v>
      </c>
      <c r="P615" s="226">
        <f>VLOOKUP(Table323[[#This Row],[Census Tract]],'Population and Diversity Data'!$B$2:$K$823,10,FALSE)</f>
        <v>1</v>
      </c>
      <c r="Q615" s="226" t="str">
        <f>VLOOKUP(Table323[[#This Row],[Census Tract]],'ES Energy Burden'!$B$2:$E$914,4,FALSE)</f>
        <v>No</v>
      </c>
      <c r="R615" s="248">
        <f>VLOOKUP(Table323[[#This Row],[Census Tract]],'Income and Housing Data'!$B$2:$D$823,3,FALSE)</f>
        <v>131992</v>
      </c>
      <c r="S615" s="248" t="str">
        <f>IF($U$6&lt;=Table323[[#This Row],[Household income]],IF(Table323[[#This Row],[Household income]]&lt;=$U$7, "Yes","No"),"No")</f>
        <v>No</v>
      </c>
    </row>
    <row r="616" spans="1:19" x14ac:dyDescent="0.25">
      <c r="A616" s="147">
        <v>9001240200</v>
      </c>
      <c r="B616" s="148" t="s">
        <v>2822</v>
      </c>
      <c r="C616" s="150" t="s">
        <v>944</v>
      </c>
      <c r="D616" s="70">
        <v>135659.58847776</v>
      </c>
      <c r="E616" s="70">
        <v>62433.157700000003</v>
      </c>
      <c r="F616" s="14">
        <v>24</v>
      </c>
      <c r="G616" s="14">
        <v>24</v>
      </c>
      <c r="H616" s="14">
        <v>0</v>
      </c>
      <c r="I616" s="14">
        <v>0</v>
      </c>
      <c r="J616" s="69">
        <v>24776.487700000001</v>
      </c>
      <c r="K616">
        <f t="shared" si="9"/>
        <v>3</v>
      </c>
      <c r="L616" s="14">
        <v>3</v>
      </c>
      <c r="M616" s="14">
        <v>0</v>
      </c>
      <c r="N616" s="14">
        <v>0</v>
      </c>
      <c r="O616" s="69">
        <v>3295.04</v>
      </c>
      <c r="P616" s="226">
        <f>VLOOKUP(Table323[[#This Row],[Census Tract]],'Population and Diversity Data'!$B$2:$K$823,10,FALSE)</f>
        <v>2</v>
      </c>
      <c r="Q616" s="226" t="str">
        <f>VLOOKUP(Table323[[#This Row],[Census Tract]],'ES Energy Burden'!$B$2:$E$914,4,FALSE)</f>
        <v>No</v>
      </c>
      <c r="R616" s="248">
        <f>VLOOKUP(Table323[[#This Row],[Census Tract]],'Income and Housing Data'!$B$2:$D$823,3,FALSE)</f>
        <v>133482</v>
      </c>
      <c r="S616" s="248" t="str">
        <f>IF($U$6&lt;=Table323[[#This Row],[Household income]],IF(Table323[[#This Row],[Household income]]&lt;=$U$7, "Yes","No"),"No")</f>
        <v>No</v>
      </c>
    </row>
    <row r="617" spans="1:19" x14ac:dyDescent="0.25">
      <c r="A617" s="147">
        <v>9001245200</v>
      </c>
      <c r="B617" s="148" t="s">
        <v>2822</v>
      </c>
      <c r="C617" s="150" t="s">
        <v>944</v>
      </c>
      <c r="D617" s="70">
        <v>324.96586560000003</v>
      </c>
      <c r="E617" s="70">
        <v>0</v>
      </c>
      <c r="F617" s="14">
        <v>0</v>
      </c>
      <c r="G617" s="14">
        <v>0</v>
      </c>
      <c r="H617" s="14">
        <v>0</v>
      </c>
      <c r="I617" s="14">
        <v>0</v>
      </c>
      <c r="J617" s="69">
        <v>0</v>
      </c>
      <c r="K617">
        <f t="shared" si="9"/>
        <v>0</v>
      </c>
      <c r="L617" s="14">
        <v>0</v>
      </c>
      <c r="M617" s="14">
        <v>0</v>
      </c>
      <c r="N617" s="14">
        <v>0</v>
      </c>
      <c r="O617" s="69">
        <v>0</v>
      </c>
      <c r="P617" s="226">
        <f>VLOOKUP(Table323[[#This Row],[Census Tract]],'Population and Diversity Data'!$B$2:$K$823,10,FALSE)</f>
        <v>3</v>
      </c>
      <c r="Q617" s="226" t="str">
        <f>VLOOKUP(Table323[[#This Row],[Census Tract]],'ES Energy Burden'!$B$2:$E$914,4,FALSE)</f>
        <v>No</v>
      </c>
      <c r="R617" s="248">
        <f>VLOOKUP(Table323[[#This Row],[Census Tract]],'Income and Housing Data'!$B$2:$D$823,3,FALSE)</f>
        <v>152708</v>
      </c>
      <c r="S617" s="248" t="str">
        <f>IF($U$6&lt;=Table323[[#This Row],[Household income]],IF(Table323[[#This Row],[Household income]]&lt;=$U$7, "Yes","No"),"No")</f>
        <v>No</v>
      </c>
    </row>
    <row r="618" spans="1:19" x14ac:dyDescent="0.25">
      <c r="A618" s="147">
        <v>9001045102</v>
      </c>
      <c r="B618" s="148" t="s">
        <v>2823</v>
      </c>
      <c r="C618" s="150" t="s">
        <v>944</v>
      </c>
      <c r="D618" s="70">
        <v>226.29576959999997</v>
      </c>
      <c r="E618" s="70">
        <v>0</v>
      </c>
      <c r="F618" s="14">
        <v>0</v>
      </c>
      <c r="G618" s="14">
        <v>0</v>
      </c>
      <c r="H618" s="14">
        <v>0</v>
      </c>
      <c r="I618" s="14">
        <v>0</v>
      </c>
      <c r="J618" s="69">
        <v>0</v>
      </c>
      <c r="K618">
        <f t="shared" si="9"/>
        <v>0</v>
      </c>
      <c r="L618" s="14">
        <v>0</v>
      </c>
      <c r="M618" s="14">
        <v>0</v>
      </c>
      <c r="N618" s="14">
        <v>0</v>
      </c>
      <c r="O618" s="69">
        <v>0</v>
      </c>
      <c r="P618" s="226">
        <f>VLOOKUP(Table323[[#This Row],[Census Tract]],'Population and Diversity Data'!$B$2:$K$823,10,FALSE)</f>
        <v>3</v>
      </c>
      <c r="Q618" s="226" t="str">
        <f>VLOOKUP(Table323[[#This Row],[Census Tract]],'ES Energy Burden'!$B$2:$E$914,4,FALSE)</f>
        <v>No</v>
      </c>
      <c r="R618" s="248">
        <f>VLOOKUP(Table323[[#This Row],[Census Tract]],'Income and Housing Data'!$B$2:$D$823,3,FALSE)</f>
        <v>166677</v>
      </c>
      <c r="S618" s="248" t="str">
        <f>IF($U$6&lt;=Table323[[#This Row],[Household income]],IF(Table323[[#This Row],[Household income]]&lt;=$U$7, "Yes","No"),"No")</f>
        <v>No</v>
      </c>
    </row>
    <row r="619" spans="1:19" x14ac:dyDescent="0.25">
      <c r="A619" s="147">
        <v>9001210500</v>
      </c>
      <c r="B619" s="148" t="s">
        <v>2823</v>
      </c>
      <c r="C619" s="150" t="s">
        <v>944</v>
      </c>
      <c r="D619" s="70">
        <v>1074.8122848</v>
      </c>
      <c r="E619" s="70">
        <v>0</v>
      </c>
      <c r="F619" s="14">
        <v>0</v>
      </c>
      <c r="G619" s="14">
        <v>0</v>
      </c>
      <c r="H619" s="14">
        <v>0</v>
      </c>
      <c r="I619" s="14">
        <v>0</v>
      </c>
      <c r="J619" s="69">
        <v>0</v>
      </c>
      <c r="K619">
        <f t="shared" si="9"/>
        <v>0</v>
      </c>
      <c r="L619" s="14">
        <v>0</v>
      </c>
      <c r="M619" s="14">
        <v>0</v>
      </c>
      <c r="N619" s="14">
        <v>0</v>
      </c>
      <c r="O619" s="69">
        <v>0</v>
      </c>
      <c r="P619" s="226">
        <f>VLOOKUP(Table323[[#This Row],[Census Tract]],'Population and Diversity Data'!$B$2:$K$823,10,FALSE)</f>
        <v>4</v>
      </c>
      <c r="Q619" s="226" t="str">
        <f>VLOOKUP(Table323[[#This Row],[Census Tract]],'ES Energy Burden'!$B$2:$E$914,4,FALSE)</f>
        <v>No</v>
      </c>
      <c r="R619" s="248">
        <f>VLOOKUP(Table323[[#This Row],[Census Tract]],'Income and Housing Data'!$B$2:$D$823,3,FALSE)</f>
        <v>90929</v>
      </c>
      <c r="S619" s="248" t="str">
        <f>IF($U$6&lt;=Table323[[#This Row],[Household income]],IF(Table323[[#This Row],[Household income]]&lt;=$U$7, "Yes","No"),"No")</f>
        <v>No</v>
      </c>
    </row>
    <row r="620" spans="1:19" x14ac:dyDescent="0.25">
      <c r="A620" s="147">
        <v>9001240100</v>
      </c>
      <c r="B620" s="148" t="s">
        <v>2823</v>
      </c>
      <c r="C620" s="150" t="s">
        <v>944</v>
      </c>
      <c r="D620" s="70">
        <v>1081.2262751999999</v>
      </c>
      <c r="E620" s="70">
        <v>0</v>
      </c>
      <c r="F620" s="14">
        <v>0</v>
      </c>
      <c r="G620" s="14">
        <v>0</v>
      </c>
      <c r="H620" s="14">
        <v>0</v>
      </c>
      <c r="I620" s="14">
        <v>0</v>
      </c>
      <c r="J620" s="69">
        <v>0</v>
      </c>
      <c r="K620">
        <f t="shared" si="9"/>
        <v>0</v>
      </c>
      <c r="L620" s="14">
        <v>0</v>
      </c>
      <c r="M620" s="14">
        <v>0</v>
      </c>
      <c r="N620" s="14">
        <v>0</v>
      </c>
      <c r="O620" s="69">
        <v>0</v>
      </c>
      <c r="P620" s="226">
        <f>VLOOKUP(Table323[[#This Row],[Census Tract]],'Population and Diversity Data'!$B$2:$K$823,10,FALSE)</f>
        <v>1</v>
      </c>
      <c r="Q620" s="226" t="str">
        <f>VLOOKUP(Table323[[#This Row],[Census Tract]],'ES Energy Burden'!$B$2:$E$914,4,FALSE)</f>
        <v>No</v>
      </c>
      <c r="R620" s="248">
        <f>VLOOKUP(Table323[[#This Row],[Census Tract]],'Income and Housing Data'!$B$2:$D$823,3,FALSE)</f>
        <v>131992</v>
      </c>
      <c r="S620" s="248" t="str">
        <f>IF($U$6&lt;=Table323[[#This Row],[Household income]],IF(Table323[[#This Row],[Household income]]&lt;=$U$7, "Yes","No"),"No")</f>
        <v>No</v>
      </c>
    </row>
    <row r="621" spans="1:19" x14ac:dyDescent="0.25">
      <c r="A621" s="147">
        <v>9001245100</v>
      </c>
      <c r="B621" s="148" t="s">
        <v>2823</v>
      </c>
      <c r="C621" s="150" t="s">
        <v>944</v>
      </c>
      <c r="D621" s="70">
        <v>57530.246371200003</v>
      </c>
      <c r="E621" s="70">
        <v>11748.259099999999</v>
      </c>
      <c r="F621" s="14">
        <v>11</v>
      </c>
      <c r="G621" s="14">
        <v>11</v>
      </c>
      <c r="H621" s="14">
        <v>0</v>
      </c>
      <c r="I621" s="14">
        <v>0</v>
      </c>
      <c r="J621" s="69">
        <v>11743.7791</v>
      </c>
      <c r="K621">
        <f t="shared" si="9"/>
        <v>0</v>
      </c>
      <c r="L621" s="14">
        <v>0</v>
      </c>
      <c r="M621" s="14">
        <v>0</v>
      </c>
      <c r="N621" s="14">
        <v>0</v>
      </c>
      <c r="O621" s="69">
        <v>0</v>
      </c>
      <c r="P621" s="226">
        <f>VLOOKUP(Table323[[#This Row],[Census Tract]],'Population and Diversity Data'!$B$2:$K$823,10,FALSE)</f>
        <v>1</v>
      </c>
      <c r="Q621" s="226" t="str">
        <f>VLOOKUP(Table323[[#This Row],[Census Tract]],'ES Energy Burden'!$B$2:$E$914,4,FALSE)</f>
        <v>No</v>
      </c>
      <c r="R621" s="248">
        <f>VLOOKUP(Table323[[#This Row],[Census Tract]],'Income and Housing Data'!$B$2:$D$823,3,FALSE)</f>
        <v>175000</v>
      </c>
      <c r="S621" s="248" t="str">
        <f>IF($U$6&lt;=Table323[[#This Row],[Household income]],IF(Table323[[#This Row],[Household income]]&lt;=$U$7, "Yes","No"),"No")</f>
        <v>No</v>
      </c>
    </row>
    <row r="622" spans="1:19" x14ac:dyDescent="0.25">
      <c r="A622" s="147">
        <v>9001245200</v>
      </c>
      <c r="B622" s="148" t="s">
        <v>2823</v>
      </c>
      <c r="C622" s="150" t="s">
        <v>944</v>
      </c>
      <c r="D622" s="70">
        <v>98395.787923199998</v>
      </c>
      <c r="E622" s="70">
        <v>10773.143099999999</v>
      </c>
      <c r="F622" s="14">
        <v>17</v>
      </c>
      <c r="G622" s="14">
        <v>17</v>
      </c>
      <c r="H622" s="14">
        <v>0</v>
      </c>
      <c r="I622" s="14">
        <v>0</v>
      </c>
      <c r="J622" s="69">
        <v>10771.293100000001</v>
      </c>
      <c r="K622">
        <f t="shared" si="9"/>
        <v>0</v>
      </c>
      <c r="L622" s="14">
        <v>0</v>
      </c>
      <c r="M622" s="14">
        <v>0</v>
      </c>
      <c r="N622" s="14">
        <v>0</v>
      </c>
      <c r="O622" s="69">
        <v>0</v>
      </c>
      <c r="P622" s="226">
        <f>VLOOKUP(Table323[[#This Row],[Census Tract]],'Population and Diversity Data'!$B$2:$K$823,10,FALSE)</f>
        <v>3</v>
      </c>
      <c r="Q622" s="226" t="str">
        <f>VLOOKUP(Table323[[#This Row],[Census Tract]],'ES Energy Burden'!$B$2:$E$914,4,FALSE)</f>
        <v>No</v>
      </c>
      <c r="R622" s="248">
        <f>VLOOKUP(Table323[[#This Row],[Census Tract]],'Income and Housing Data'!$B$2:$D$823,3,FALSE)</f>
        <v>152708</v>
      </c>
      <c r="S622" s="248" t="str">
        <f>IF($U$6&lt;=Table323[[#This Row],[Household income]],IF(Table323[[#This Row],[Household income]]&lt;=$U$7, "Yes","No"),"No")</f>
        <v>No</v>
      </c>
    </row>
    <row r="623" spans="1:19" x14ac:dyDescent="0.25">
      <c r="A623" s="147">
        <v>9001245300</v>
      </c>
      <c r="B623" s="148" t="s">
        <v>2823</v>
      </c>
      <c r="C623" s="150" t="s">
        <v>944</v>
      </c>
      <c r="D623" s="70">
        <v>134043.68142719998</v>
      </c>
      <c r="E623" s="70">
        <v>64446.402699999999</v>
      </c>
      <c r="F623" s="14">
        <v>14</v>
      </c>
      <c r="G623" s="14">
        <v>14</v>
      </c>
      <c r="H623" s="14">
        <v>0</v>
      </c>
      <c r="I623" s="14">
        <v>0</v>
      </c>
      <c r="J623" s="69">
        <v>11990.9727</v>
      </c>
      <c r="K623">
        <f t="shared" si="9"/>
        <v>0</v>
      </c>
      <c r="L623" s="14">
        <v>0</v>
      </c>
      <c r="M623" s="14">
        <v>0</v>
      </c>
      <c r="N623" s="14">
        <v>0</v>
      </c>
      <c r="O623" s="69">
        <v>0</v>
      </c>
      <c r="P623" s="226">
        <f>VLOOKUP(Table323[[#This Row],[Census Tract]],'Population and Diversity Data'!$B$2:$K$823,10,FALSE)</f>
        <v>2</v>
      </c>
      <c r="Q623" s="226" t="str">
        <f>VLOOKUP(Table323[[#This Row],[Census Tract]],'ES Energy Burden'!$B$2:$E$914,4,FALSE)</f>
        <v>No</v>
      </c>
      <c r="R623" s="248">
        <f>VLOOKUP(Table323[[#This Row],[Census Tract]],'Income and Housing Data'!$B$2:$D$823,3,FALSE)</f>
        <v>130962</v>
      </c>
      <c r="S623" s="248" t="str">
        <f>IF($U$6&lt;=Table323[[#This Row],[Household income]],IF(Table323[[#This Row],[Household income]]&lt;=$U$7, "Yes","No"),"No")</f>
        <v>No</v>
      </c>
    </row>
    <row r="624" spans="1:19" x14ac:dyDescent="0.25">
      <c r="A624" s="147">
        <v>9001245400</v>
      </c>
      <c r="B624" s="148" t="s">
        <v>2823</v>
      </c>
      <c r="C624" s="150" t="s">
        <v>944</v>
      </c>
      <c r="D624" s="70">
        <v>92011.664257919998</v>
      </c>
      <c r="E624" s="70">
        <v>15050.615299999999</v>
      </c>
      <c r="F624" s="14">
        <v>14</v>
      </c>
      <c r="G624" s="14">
        <v>14</v>
      </c>
      <c r="H624" s="14">
        <v>0</v>
      </c>
      <c r="I624" s="14">
        <v>0</v>
      </c>
      <c r="J624" s="69">
        <v>15047.275299999999</v>
      </c>
      <c r="K624">
        <f t="shared" si="9"/>
        <v>0</v>
      </c>
      <c r="L624" s="14">
        <v>0</v>
      </c>
      <c r="M624" s="14">
        <v>0</v>
      </c>
      <c r="N624" s="14">
        <v>0</v>
      </c>
      <c r="O624" s="69">
        <v>0</v>
      </c>
      <c r="P624" s="226">
        <f>VLOOKUP(Table323[[#This Row],[Census Tract]],'Population and Diversity Data'!$B$2:$K$823,10,FALSE)</f>
        <v>1</v>
      </c>
      <c r="Q624" s="226" t="str">
        <f>VLOOKUP(Table323[[#This Row],[Census Tract]],'ES Energy Burden'!$B$2:$E$914,4,FALSE)</f>
        <v>No</v>
      </c>
      <c r="R624" s="248">
        <f>VLOOKUP(Table323[[#This Row],[Census Tract]],'Income and Housing Data'!$B$2:$D$823,3,FALSE)</f>
        <v>177361</v>
      </c>
      <c r="S624" s="248" t="str">
        <f>IF($U$6&lt;=Table323[[#This Row],[Household income]],IF(Table323[[#This Row],[Household income]]&lt;=$U$7, "Yes","No"),"No")</f>
        <v>No</v>
      </c>
    </row>
    <row r="625" spans="1:19" x14ac:dyDescent="0.25">
      <c r="A625" s="147">
        <v>9001245500</v>
      </c>
      <c r="B625" s="148" t="s">
        <v>2823</v>
      </c>
      <c r="C625" s="150" t="s">
        <v>944</v>
      </c>
      <c r="D625" s="70">
        <v>81970.654328639997</v>
      </c>
      <c r="E625" s="70">
        <v>16745.104599999999</v>
      </c>
      <c r="F625" s="14">
        <v>12</v>
      </c>
      <c r="G625" s="14">
        <v>12</v>
      </c>
      <c r="H625" s="14">
        <v>0</v>
      </c>
      <c r="I625" s="14">
        <v>0</v>
      </c>
      <c r="J625" s="69">
        <v>14820.6546</v>
      </c>
      <c r="K625">
        <f t="shared" si="9"/>
        <v>0</v>
      </c>
      <c r="L625" s="14">
        <v>0</v>
      </c>
      <c r="M625" s="14">
        <v>0</v>
      </c>
      <c r="N625" s="14">
        <v>0</v>
      </c>
      <c r="O625" s="69">
        <v>0</v>
      </c>
      <c r="P625" s="226">
        <f>VLOOKUP(Table323[[#This Row],[Census Tract]],'Population and Diversity Data'!$B$2:$K$823,10,FALSE)</f>
        <v>3</v>
      </c>
      <c r="Q625" s="226" t="str">
        <f>VLOOKUP(Table323[[#This Row],[Census Tract]],'ES Energy Burden'!$B$2:$E$914,4,FALSE)</f>
        <v>No</v>
      </c>
      <c r="R625" s="248">
        <f>VLOOKUP(Table323[[#This Row],[Census Tract]],'Income and Housing Data'!$B$2:$D$823,3,FALSE)</f>
        <v>166908</v>
      </c>
      <c r="S625" s="248" t="str">
        <f>IF($U$6&lt;=Table323[[#This Row],[Household income]],IF(Table323[[#This Row],[Household income]]&lt;=$U$7, "Yes","No"),"No")</f>
        <v>No</v>
      </c>
    </row>
    <row r="626" spans="1:19" x14ac:dyDescent="0.25">
      <c r="A626" s="147">
        <v>9001245600</v>
      </c>
      <c r="B626" s="148" t="s">
        <v>2823</v>
      </c>
      <c r="C626" s="150" t="s">
        <v>944</v>
      </c>
      <c r="D626" s="70">
        <v>166942.71346751999</v>
      </c>
      <c r="E626" s="70">
        <v>112930.68610000001</v>
      </c>
      <c r="F626" s="14">
        <v>30</v>
      </c>
      <c r="G626" s="14">
        <v>30</v>
      </c>
      <c r="H626" s="14">
        <v>0</v>
      </c>
      <c r="I626" s="14">
        <v>0</v>
      </c>
      <c r="J626" s="69">
        <v>28778.734100000001</v>
      </c>
      <c r="K626">
        <f t="shared" si="9"/>
        <v>157</v>
      </c>
      <c r="L626" s="14">
        <v>3</v>
      </c>
      <c r="M626" s="14">
        <v>0</v>
      </c>
      <c r="N626" s="14">
        <v>154</v>
      </c>
      <c r="O626" s="69">
        <v>17153.5</v>
      </c>
      <c r="P626" s="226">
        <f>VLOOKUP(Table323[[#This Row],[Census Tract]],'Population and Diversity Data'!$B$2:$K$823,10,FALSE)</f>
        <v>3</v>
      </c>
      <c r="Q626" s="226" t="str">
        <f>VLOOKUP(Table323[[#This Row],[Census Tract]],'ES Energy Burden'!$B$2:$E$914,4,FALSE)</f>
        <v>No</v>
      </c>
      <c r="R626" s="248">
        <f>VLOOKUP(Table323[[#This Row],[Census Tract]],'Income and Housing Data'!$B$2:$D$823,3,FALSE)</f>
        <v>191524</v>
      </c>
      <c r="S626" s="248" t="str">
        <f>IF($U$6&lt;=Table323[[#This Row],[Household income]],IF(Table323[[#This Row],[Household income]]&lt;=$U$7, "Yes","No"),"No")</f>
        <v>No</v>
      </c>
    </row>
    <row r="627" spans="1:19" x14ac:dyDescent="0.25">
      <c r="A627" s="147">
        <v>9003490100</v>
      </c>
      <c r="B627" s="148" t="s">
        <v>2824</v>
      </c>
      <c r="C627" s="150" t="s">
        <v>944</v>
      </c>
      <c r="D627" s="70">
        <v>76843.239779519994</v>
      </c>
      <c r="E627" s="70">
        <v>22526.2637</v>
      </c>
      <c r="F627" s="14">
        <v>22</v>
      </c>
      <c r="G627" s="14">
        <v>22</v>
      </c>
      <c r="H627" s="14">
        <v>0</v>
      </c>
      <c r="I627" s="14">
        <v>0</v>
      </c>
      <c r="J627" s="69">
        <v>20553.523700000002</v>
      </c>
      <c r="K627">
        <f t="shared" si="9"/>
        <v>0</v>
      </c>
      <c r="L627" s="14">
        <v>0</v>
      </c>
      <c r="M627" s="14">
        <v>0</v>
      </c>
      <c r="N627" s="14">
        <v>0</v>
      </c>
      <c r="O627" s="69">
        <v>0</v>
      </c>
      <c r="P627" s="226">
        <f>VLOOKUP(Table323[[#This Row],[Census Tract]],'Population and Diversity Data'!$B$2:$K$823,10,FALSE)</f>
        <v>4</v>
      </c>
      <c r="Q627" s="226" t="str">
        <f>VLOOKUP(Table323[[#This Row],[Census Tract]],'ES Energy Burden'!$B$2:$E$914,4,FALSE)</f>
        <v>No</v>
      </c>
      <c r="R627" s="248">
        <f>VLOOKUP(Table323[[#This Row],[Census Tract]],'Income and Housing Data'!$B$2:$D$823,3,FALSE)</f>
        <v>72198</v>
      </c>
      <c r="S627" s="248" t="str">
        <f>IF($U$6&lt;=Table323[[#This Row],[Household income]],IF(Table323[[#This Row],[Household income]]&lt;=$U$7, "Yes","No"),"No")</f>
        <v>No</v>
      </c>
    </row>
    <row r="628" spans="1:19" x14ac:dyDescent="0.25">
      <c r="A628" s="147">
        <v>9003490302</v>
      </c>
      <c r="B628" s="148" t="s">
        <v>2824</v>
      </c>
      <c r="C628" s="150" t="s">
        <v>944</v>
      </c>
      <c r="D628" s="70">
        <v>159160.71558816</v>
      </c>
      <c r="E628" s="70">
        <v>98905.718500000003</v>
      </c>
      <c r="F628" s="14">
        <v>289</v>
      </c>
      <c r="G628" s="14">
        <v>58</v>
      </c>
      <c r="H628" s="14">
        <v>0</v>
      </c>
      <c r="I628" s="14">
        <v>231</v>
      </c>
      <c r="J628" s="69">
        <v>34021.642399999997</v>
      </c>
      <c r="K628">
        <f t="shared" si="9"/>
        <v>13</v>
      </c>
      <c r="L628" s="14">
        <v>13</v>
      </c>
      <c r="M628" s="14">
        <v>0</v>
      </c>
      <c r="N628" s="14">
        <v>0</v>
      </c>
      <c r="O628" s="69">
        <v>11031.6</v>
      </c>
      <c r="P628" s="226">
        <f>VLOOKUP(Table323[[#This Row],[Census Tract]],'Population and Diversity Data'!$B$2:$K$823,10,FALSE)</f>
        <v>5</v>
      </c>
      <c r="Q628" s="226" t="str">
        <f>VLOOKUP(Table323[[#This Row],[Census Tract]],'ES Energy Burden'!$B$2:$E$914,4,FALSE)</f>
        <v>No</v>
      </c>
      <c r="R628" s="248">
        <f>VLOOKUP(Table323[[#This Row],[Census Tract]],'Income and Housing Data'!$B$2:$D$823,3,FALSE)</f>
        <v>89691</v>
      </c>
      <c r="S628" s="248" t="str">
        <f>IF($U$6&lt;=Table323[[#This Row],[Household income]],IF(Table323[[#This Row],[Household income]]&lt;=$U$7, "Yes","No"),"No")</f>
        <v>No</v>
      </c>
    </row>
    <row r="629" spans="1:19" x14ac:dyDescent="0.25">
      <c r="A629" s="147">
        <v>9003492600</v>
      </c>
      <c r="B629" s="148" t="s">
        <v>2824</v>
      </c>
      <c r="C629" s="150" t="s">
        <v>944</v>
      </c>
      <c r="D629" s="70">
        <v>64.359878399999999</v>
      </c>
      <c r="E629" s="70">
        <v>0</v>
      </c>
      <c r="F629" s="14">
        <v>0</v>
      </c>
      <c r="G629" s="14">
        <v>0</v>
      </c>
      <c r="H629" s="14">
        <v>0</v>
      </c>
      <c r="I629" s="14">
        <v>0</v>
      </c>
      <c r="J629" s="69">
        <v>0</v>
      </c>
      <c r="K629">
        <f t="shared" si="9"/>
        <v>0</v>
      </c>
      <c r="L629" s="14">
        <v>0</v>
      </c>
      <c r="M629" s="14">
        <v>0</v>
      </c>
      <c r="N629" s="14">
        <v>0</v>
      </c>
      <c r="O629" s="69">
        <v>0</v>
      </c>
      <c r="P629" s="226">
        <f>VLOOKUP(Table323[[#This Row],[Census Tract]],'Population and Diversity Data'!$B$2:$K$823,10,FALSE)</f>
        <v>1</v>
      </c>
      <c r="Q629" s="226" t="str">
        <f>VLOOKUP(Table323[[#This Row],[Census Tract]],'ES Energy Burden'!$B$2:$E$914,4,FALSE)</f>
        <v>No</v>
      </c>
      <c r="R629" s="248">
        <f>VLOOKUP(Table323[[#This Row],[Census Tract]],'Income and Housing Data'!$B$2:$D$823,3,FALSE)</f>
        <v>101964</v>
      </c>
      <c r="S629" s="248" t="str">
        <f>IF($U$6&lt;=Table323[[#This Row],[Household income]],IF(Table323[[#This Row],[Household income]]&lt;=$U$7, "Yes","No"),"No")</f>
        <v>No</v>
      </c>
    </row>
    <row r="630" spans="1:19" x14ac:dyDescent="0.25">
      <c r="A630" s="147">
        <v>9003524200</v>
      </c>
      <c r="B630" s="148" t="s">
        <v>2824</v>
      </c>
      <c r="C630" s="150" t="s">
        <v>944</v>
      </c>
      <c r="D630" s="70">
        <v>97311.370861440024</v>
      </c>
      <c r="E630" s="70">
        <v>24959.3027</v>
      </c>
      <c r="F630" s="14">
        <v>35</v>
      </c>
      <c r="G630" s="14">
        <v>35</v>
      </c>
      <c r="H630" s="14">
        <v>0</v>
      </c>
      <c r="I630" s="14">
        <v>0</v>
      </c>
      <c r="J630" s="69">
        <v>18329.952700000002</v>
      </c>
      <c r="K630">
        <f t="shared" si="9"/>
        <v>0</v>
      </c>
      <c r="L630" s="14">
        <v>0</v>
      </c>
      <c r="M630" s="14">
        <v>0</v>
      </c>
      <c r="N630" s="14">
        <v>0</v>
      </c>
      <c r="O630" s="69">
        <v>0</v>
      </c>
      <c r="P630" s="226">
        <f>VLOOKUP(Table323[[#This Row],[Census Tract]],'Population and Diversity Data'!$B$2:$K$823,10,FALSE)</f>
        <v>4</v>
      </c>
      <c r="Q630" s="226" t="str">
        <f>VLOOKUP(Table323[[#This Row],[Census Tract]],'ES Energy Burden'!$B$2:$E$914,4,FALSE)</f>
        <v>No</v>
      </c>
      <c r="R630" s="248">
        <f>VLOOKUP(Table323[[#This Row],[Census Tract]],'Income and Housing Data'!$B$2:$D$823,3,FALSE)</f>
        <v>89076</v>
      </c>
      <c r="S630" s="248" t="str">
        <f>IF($U$6&lt;=Table323[[#This Row],[Household income]],IF(Table323[[#This Row],[Household income]]&lt;=$U$7, "Yes","No"),"No")</f>
        <v>No</v>
      </c>
    </row>
    <row r="631" spans="1:19" x14ac:dyDescent="0.25">
      <c r="A631" s="147">
        <v>9005268100</v>
      </c>
      <c r="B631" s="148" t="s">
        <v>2825</v>
      </c>
      <c r="C631" s="150" t="s">
        <v>944</v>
      </c>
      <c r="D631" s="70">
        <v>89712.105716160004</v>
      </c>
      <c r="E631" s="70">
        <v>17705.96</v>
      </c>
      <c r="F631" s="14">
        <v>8</v>
      </c>
      <c r="G631" s="14">
        <v>8</v>
      </c>
      <c r="H631" s="14">
        <v>0</v>
      </c>
      <c r="I631" s="14">
        <v>0</v>
      </c>
      <c r="J631" s="69">
        <v>9139.77</v>
      </c>
      <c r="K631">
        <f t="shared" si="9"/>
        <v>0</v>
      </c>
      <c r="L631" s="14">
        <v>0</v>
      </c>
      <c r="M631" s="14">
        <v>0</v>
      </c>
      <c r="N631" s="14">
        <v>0</v>
      </c>
      <c r="O631" s="69">
        <v>0</v>
      </c>
      <c r="P631" s="226">
        <f>VLOOKUP(Table323[[#This Row],[Census Tract]],'Population and Diversity Data'!$B$2:$K$823,10,FALSE)</f>
        <v>1</v>
      </c>
      <c r="Q631" s="226" t="str">
        <f>VLOOKUP(Table323[[#This Row],[Census Tract]],'ES Energy Burden'!$B$2:$E$914,4,FALSE)</f>
        <v>No</v>
      </c>
      <c r="R631" s="248">
        <f>VLOOKUP(Table323[[#This Row],[Census Tract]],'Income and Housing Data'!$B$2:$D$823,3,FALSE)</f>
        <v>118971</v>
      </c>
      <c r="S631" s="248" t="str">
        <f>IF($U$6&lt;=Table323[[#This Row],[Household income]],IF(Table323[[#This Row],[Household income]]&lt;=$U$7, "Yes","No"),"No")</f>
        <v>No</v>
      </c>
    </row>
    <row r="632" spans="1:19" x14ac:dyDescent="0.25">
      <c r="A632" s="147">
        <v>9007595101</v>
      </c>
      <c r="B632" s="148" t="s">
        <v>2826</v>
      </c>
      <c r="C632" s="150" t="s">
        <v>944</v>
      </c>
      <c r="D632" s="70">
        <v>784.89181440000004</v>
      </c>
      <c r="E632" s="70">
        <v>0</v>
      </c>
      <c r="F632" s="14">
        <v>0</v>
      </c>
      <c r="G632" s="14">
        <v>0</v>
      </c>
      <c r="H632" s="14">
        <v>0</v>
      </c>
      <c r="I632" s="14">
        <v>0</v>
      </c>
      <c r="J632" s="69">
        <v>0</v>
      </c>
      <c r="K632">
        <f t="shared" si="9"/>
        <v>0</v>
      </c>
      <c r="L632" s="14">
        <v>0</v>
      </c>
      <c r="M632" s="14">
        <v>0</v>
      </c>
      <c r="N632" s="14">
        <v>0</v>
      </c>
      <c r="O632" s="69">
        <v>0</v>
      </c>
      <c r="P632" s="226">
        <f>VLOOKUP(Table323[[#This Row],[Census Tract]],'Population and Diversity Data'!$B$2:$K$823,10,FALSE)</f>
        <v>1</v>
      </c>
      <c r="Q632" s="226" t="str">
        <f>VLOOKUP(Table323[[#This Row],[Census Tract]],'ES Energy Burden'!$B$2:$E$914,4,FALSE)</f>
        <v>No</v>
      </c>
      <c r="R632" s="248">
        <f>VLOOKUP(Table323[[#This Row],[Census Tract]],'Income and Housing Data'!$B$2:$D$823,3,FALSE)</f>
        <v>105441</v>
      </c>
      <c r="S632" s="248" t="str">
        <f>IF($U$6&lt;=Table323[[#This Row],[Household income]],IF(Table323[[#This Row],[Household income]]&lt;=$U$7, "Yes","No"),"No")</f>
        <v>No</v>
      </c>
    </row>
    <row r="633" spans="1:19" x14ac:dyDescent="0.25">
      <c r="A633" s="147">
        <v>9011715100</v>
      </c>
      <c r="B633" s="148" t="s">
        <v>2826</v>
      </c>
      <c r="C633" s="150" t="s">
        <v>944</v>
      </c>
      <c r="D633" s="70">
        <v>97402.728545280013</v>
      </c>
      <c r="E633" s="70">
        <v>47537.07</v>
      </c>
      <c r="F633" s="14">
        <v>20</v>
      </c>
      <c r="G633" s="14">
        <v>20</v>
      </c>
      <c r="H633" s="14">
        <v>0</v>
      </c>
      <c r="I633" s="14">
        <v>0</v>
      </c>
      <c r="J633" s="69">
        <v>18991.28</v>
      </c>
      <c r="K633">
        <f t="shared" si="9"/>
        <v>3</v>
      </c>
      <c r="L633" s="14">
        <v>3</v>
      </c>
      <c r="M633" s="14">
        <v>0</v>
      </c>
      <c r="N633" s="14">
        <v>0</v>
      </c>
      <c r="O633" s="69">
        <v>2834.6</v>
      </c>
      <c r="P633" s="226">
        <f>VLOOKUP(Table323[[#This Row],[Census Tract]],'Population and Diversity Data'!$B$2:$K$823,10,FALSE)</f>
        <v>3</v>
      </c>
      <c r="Q633" s="226" t="str">
        <f>VLOOKUP(Table323[[#This Row],[Census Tract]],'ES Energy Burden'!$B$2:$E$914,4,FALSE)</f>
        <v>No</v>
      </c>
      <c r="R633" s="248">
        <f>VLOOKUP(Table323[[#This Row],[Census Tract]],'Income and Housing Data'!$B$2:$D$823,3,FALSE)</f>
        <v>109460</v>
      </c>
      <c r="S633" s="248" t="str">
        <f>IF($U$6&lt;=Table323[[#This Row],[Household income]],IF(Table323[[#This Row],[Household income]]&lt;=$U$7, "Yes","No"),"No")</f>
        <v>No</v>
      </c>
    </row>
    <row r="634" spans="1:19" x14ac:dyDescent="0.25">
      <c r="A634" s="147">
        <v>9005261100</v>
      </c>
      <c r="B634" s="148" t="s">
        <v>2827</v>
      </c>
      <c r="C634" s="150" t="s">
        <v>944</v>
      </c>
      <c r="D634" s="70">
        <v>133901.08475904001</v>
      </c>
      <c r="E634" s="70">
        <v>71965.126900000003</v>
      </c>
      <c r="F634" s="14">
        <v>14</v>
      </c>
      <c r="G634" s="14">
        <v>14</v>
      </c>
      <c r="H634" s="14">
        <v>0</v>
      </c>
      <c r="I634" s="14">
        <v>0</v>
      </c>
      <c r="J634" s="69">
        <v>15246.9969</v>
      </c>
      <c r="K634">
        <f t="shared" si="9"/>
        <v>5</v>
      </c>
      <c r="L634" s="14">
        <v>5</v>
      </c>
      <c r="M634" s="14">
        <v>0</v>
      </c>
      <c r="N634" s="14">
        <v>0</v>
      </c>
      <c r="O634" s="69">
        <v>44634.3</v>
      </c>
      <c r="P634" s="226">
        <f>VLOOKUP(Table323[[#This Row],[Census Tract]],'Population and Diversity Data'!$B$2:$K$823,10,FALSE)</f>
        <v>1</v>
      </c>
      <c r="Q634" s="226" t="str">
        <f>VLOOKUP(Table323[[#This Row],[Census Tract]],'ES Energy Burden'!$B$2:$E$914,4,FALSE)</f>
        <v>No</v>
      </c>
      <c r="R634" s="248">
        <f>VLOOKUP(Table323[[#This Row],[Census Tract]],'Income and Housing Data'!$B$2:$D$823,3,FALSE)</f>
        <v>72658</v>
      </c>
      <c r="S634" s="248" t="str">
        <f>IF($U$6&lt;=Table323[[#This Row],[Household income]],IF(Table323[[#This Row],[Household income]]&lt;=$U$7, "Yes","No"),"No")</f>
        <v>No</v>
      </c>
    </row>
    <row r="635" spans="1:19" x14ac:dyDescent="0.25">
      <c r="A635" s="147">
        <v>9005262100</v>
      </c>
      <c r="B635" s="148" t="s">
        <v>2827</v>
      </c>
      <c r="C635" s="150" t="s">
        <v>944</v>
      </c>
      <c r="D635" s="70">
        <v>870.51974399999995</v>
      </c>
      <c r="E635" s="70">
        <v>254.5</v>
      </c>
      <c r="F635" s="14">
        <v>1</v>
      </c>
      <c r="G635" s="14">
        <v>1</v>
      </c>
      <c r="H635" s="14">
        <v>0</v>
      </c>
      <c r="I635" s="14">
        <v>0</v>
      </c>
      <c r="J635" s="69">
        <v>251.31</v>
      </c>
      <c r="K635">
        <f t="shared" si="9"/>
        <v>0</v>
      </c>
      <c r="L635" s="14">
        <v>0</v>
      </c>
      <c r="M635" s="14">
        <v>0</v>
      </c>
      <c r="N635" s="14">
        <v>0</v>
      </c>
      <c r="O635" s="69">
        <v>0</v>
      </c>
      <c r="P635" s="226">
        <f>VLOOKUP(Table323[[#This Row],[Census Tract]],'Population and Diversity Data'!$B$2:$K$823,10,FALSE)</f>
        <v>1</v>
      </c>
      <c r="Q635" s="226" t="str">
        <f>VLOOKUP(Table323[[#This Row],[Census Tract]],'ES Energy Burden'!$B$2:$E$914,4,FALSE)</f>
        <v>No</v>
      </c>
      <c r="R635" s="248">
        <f>VLOOKUP(Table323[[#This Row],[Census Tract]],'Income and Housing Data'!$B$2:$D$823,3,FALSE)</f>
        <v>81919</v>
      </c>
      <c r="S635" s="248" t="str">
        <f>IF($U$6&lt;=Table323[[#This Row],[Household income]],IF(Table323[[#This Row],[Household income]]&lt;=$U$7, "Yes","No"),"No")</f>
        <v>No</v>
      </c>
    </row>
    <row r="636" spans="1:19" x14ac:dyDescent="0.25">
      <c r="A636" s="147">
        <v>9015825000</v>
      </c>
      <c r="B636" s="148" t="s">
        <v>2828</v>
      </c>
      <c r="C636" s="150" t="s">
        <v>944</v>
      </c>
      <c r="D636" s="70">
        <v>30727.571538239998</v>
      </c>
      <c r="E636" s="70">
        <v>14083.63</v>
      </c>
      <c r="F636" s="14">
        <v>4</v>
      </c>
      <c r="G636" s="14">
        <v>4</v>
      </c>
      <c r="H636" s="14">
        <v>0</v>
      </c>
      <c r="I636" s="14">
        <v>0</v>
      </c>
      <c r="J636" s="69">
        <v>5836.07</v>
      </c>
      <c r="K636">
        <f t="shared" si="9"/>
        <v>3</v>
      </c>
      <c r="L636" s="14">
        <v>3</v>
      </c>
      <c r="M636" s="14">
        <v>0</v>
      </c>
      <c r="N636" s="14">
        <v>0</v>
      </c>
      <c r="O636" s="69">
        <v>5120.0600000000004</v>
      </c>
      <c r="P636" s="226">
        <f>VLOOKUP(Table323[[#This Row],[Census Tract]],'Population and Diversity Data'!$B$2:$K$823,10,FALSE)</f>
        <v>2</v>
      </c>
      <c r="Q636" s="226" t="str">
        <f>VLOOKUP(Table323[[#This Row],[Census Tract]],'ES Energy Burden'!$B$2:$E$914,4,FALSE)</f>
        <v>No</v>
      </c>
      <c r="R636" s="248">
        <f>VLOOKUP(Table323[[#This Row],[Census Tract]],'Income and Housing Data'!$B$2:$D$823,3,FALSE)</f>
        <v>86053</v>
      </c>
      <c r="S636" s="248" t="str">
        <f>IF($U$6&lt;=Table323[[#This Row],[Household income]],IF(Table323[[#This Row],[Household income]]&lt;=$U$7, "Yes","No"),"No")</f>
        <v>No</v>
      </c>
    </row>
    <row r="637" spans="1:19" x14ac:dyDescent="0.25">
      <c r="A637" s="147">
        <v>9009120200</v>
      </c>
      <c r="B637" s="148" t="s">
        <v>2829</v>
      </c>
      <c r="C637" s="150" t="s">
        <v>944</v>
      </c>
      <c r="D637" s="70">
        <v>167.08792319999998</v>
      </c>
      <c r="E637" s="70">
        <v>0</v>
      </c>
      <c r="F637" s="14">
        <v>0</v>
      </c>
      <c r="G637" s="14">
        <v>0</v>
      </c>
      <c r="H637" s="14">
        <v>0</v>
      </c>
      <c r="I637" s="14">
        <v>0</v>
      </c>
      <c r="J637" s="69">
        <v>0</v>
      </c>
      <c r="K637">
        <f t="shared" si="9"/>
        <v>0</v>
      </c>
      <c r="L637" s="14">
        <v>0</v>
      </c>
      <c r="M637" s="14">
        <v>0</v>
      </c>
      <c r="N637" s="14">
        <v>0</v>
      </c>
      <c r="O637" s="69">
        <v>0</v>
      </c>
      <c r="P637" s="226">
        <f>VLOOKUP(Table323[[#This Row],[Census Tract]],'Population and Diversity Data'!$B$2:$K$823,10,FALSE)</f>
        <v>4</v>
      </c>
      <c r="Q637" s="226" t="str">
        <f>VLOOKUP(Table323[[#This Row],[Census Tract]],'ES Energy Burden'!$B$2:$E$914,4,FALSE)</f>
        <v>Yes</v>
      </c>
      <c r="R637" s="248">
        <f>VLOOKUP(Table323[[#This Row],[Census Tract]],'Income and Housing Data'!$B$2:$D$823,3,FALSE)</f>
        <v>44915</v>
      </c>
      <c r="S637" s="248" t="str">
        <f>IF($U$6&lt;=Table323[[#This Row],[Household income]],IF(Table323[[#This Row],[Household income]]&lt;=$U$7, "Yes","No"),"No")</f>
        <v>No</v>
      </c>
    </row>
    <row r="638" spans="1:19" x14ac:dyDescent="0.25">
      <c r="A638" s="147">
        <v>9009125300</v>
      </c>
      <c r="B638" s="148" t="s">
        <v>2829</v>
      </c>
      <c r="C638" s="150" t="s">
        <v>944</v>
      </c>
      <c r="D638" s="70">
        <v>41.106268800000002</v>
      </c>
      <c r="E638" s="70">
        <v>0</v>
      </c>
      <c r="F638" s="14">
        <v>0</v>
      </c>
      <c r="G638" s="14">
        <v>0</v>
      </c>
      <c r="H638" s="14">
        <v>0</v>
      </c>
      <c r="I638" s="14">
        <v>0</v>
      </c>
      <c r="J638" s="69">
        <v>0</v>
      </c>
      <c r="K638">
        <f t="shared" si="9"/>
        <v>0</v>
      </c>
      <c r="L638" s="14">
        <v>0</v>
      </c>
      <c r="M638" s="14">
        <v>0</v>
      </c>
      <c r="N638" s="14">
        <v>0</v>
      </c>
      <c r="O638" s="69">
        <v>0</v>
      </c>
      <c r="P638" s="226">
        <f>VLOOKUP(Table323[[#This Row],[Census Tract]],'Population and Diversity Data'!$B$2:$K$823,10,FALSE)</f>
        <v>5</v>
      </c>
      <c r="Q638" s="226" t="str">
        <f>VLOOKUP(Table323[[#This Row],[Census Tract]],'ES Energy Burden'!$B$2:$E$914,4,FALSE)</f>
        <v>No</v>
      </c>
      <c r="R638" s="248">
        <f>VLOOKUP(Table323[[#This Row],[Census Tract]],'Income and Housing Data'!$B$2:$D$823,3,FALSE)</f>
        <v>52586</v>
      </c>
      <c r="S638" s="248" t="str">
        <f>IF($U$6&lt;=Table323[[#This Row],[Household income]],IF(Table323[[#This Row],[Household income]]&lt;=$U$7, "Yes","No"),"No")</f>
        <v>Yes</v>
      </c>
    </row>
    <row r="639" spans="1:19" x14ac:dyDescent="0.25">
      <c r="A639" s="147">
        <v>9009125400</v>
      </c>
      <c r="B639" s="148" t="s">
        <v>2829</v>
      </c>
      <c r="C639" s="150" t="s">
        <v>944</v>
      </c>
      <c r="D639" s="70">
        <v>876.93952319999994</v>
      </c>
      <c r="E639" s="70">
        <v>0</v>
      </c>
      <c r="F639" s="14">
        <v>0</v>
      </c>
      <c r="G639" s="14">
        <v>0</v>
      </c>
      <c r="H639" s="14">
        <v>0</v>
      </c>
      <c r="I639" s="14">
        <v>0</v>
      </c>
      <c r="J639" s="69">
        <v>0</v>
      </c>
      <c r="K639">
        <f t="shared" si="9"/>
        <v>0</v>
      </c>
      <c r="L639" s="14">
        <v>0</v>
      </c>
      <c r="M639" s="14">
        <v>0</v>
      </c>
      <c r="N639" s="14">
        <v>0</v>
      </c>
      <c r="O639" s="69">
        <v>0</v>
      </c>
      <c r="P639" s="226">
        <f>VLOOKUP(Table323[[#This Row],[Census Tract]],'Population and Diversity Data'!$B$2:$K$823,10,FALSE)</f>
        <v>3</v>
      </c>
      <c r="Q639" s="226" t="str">
        <f>VLOOKUP(Table323[[#This Row],[Census Tract]],'ES Energy Burden'!$B$2:$E$914,4,FALSE)</f>
        <v>No</v>
      </c>
      <c r="R639" s="248">
        <f>VLOOKUP(Table323[[#This Row],[Census Tract]],'Income and Housing Data'!$B$2:$D$823,3,FALSE)</f>
        <v>39196</v>
      </c>
      <c r="S639" s="248" t="str">
        <f>IF($U$6&lt;=Table323[[#This Row],[Household income]],IF(Table323[[#This Row],[Household income]]&lt;=$U$7, "Yes","No"),"No")</f>
        <v>No</v>
      </c>
    </row>
    <row r="640" spans="1:19" x14ac:dyDescent="0.25">
      <c r="A640" s="147">
        <v>9009130101</v>
      </c>
      <c r="B640" s="148" t="s">
        <v>2829</v>
      </c>
      <c r="C640" s="150" t="s">
        <v>944</v>
      </c>
      <c r="D640" s="70">
        <v>89614.184112000003</v>
      </c>
      <c r="E640" s="70">
        <v>38284.129999999997</v>
      </c>
      <c r="F640" s="14">
        <v>20</v>
      </c>
      <c r="G640" s="14">
        <v>19</v>
      </c>
      <c r="H640" s="14">
        <v>1</v>
      </c>
      <c r="I640" s="14">
        <v>0</v>
      </c>
      <c r="J640" s="69">
        <v>21582.81</v>
      </c>
      <c r="K640">
        <f t="shared" si="9"/>
        <v>0</v>
      </c>
      <c r="L640" s="14">
        <v>0</v>
      </c>
      <c r="M640" s="14">
        <v>0</v>
      </c>
      <c r="N640" s="14">
        <v>0</v>
      </c>
      <c r="O640" s="69">
        <v>0</v>
      </c>
      <c r="P640" s="226">
        <f>VLOOKUP(Table323[[#This Row],[Census Tract]],'Population and Diversity Data'!$B$2:$K$823,10,FALSE)</f>
        <v>2</v>
      </c>
      <c r="Q640" s="226" t="str">
        <f>VLOOKUP(Table323[[#This Row],[Census Tract]],'ES Energy Burden'!$B$2:$E$914,4,FALSE)</f>
        <v>No</v>
      </c>
      <c r="R640" s="248">
        <f>VLOOKUP(Table323[[#This Row],[Census Tract]],'Income and Housing Data'!$B$2:$D$823,3,FALSE)</f>
        <v>67262</v>
      </c>
      <c r="S640" s="248" t="str">
        <f>IF($U$6&lt;=Table323[[#This Row],[Household income]],IF(Table323[[#This Row],[Household income]]&lt;=$U$7, "Yes","No"),"No")</f>
        <v>No</v>
      </c>
    </row>
    <row r="641" spans="1:19" x14ac:dyDescent="0.25">
      <c r="A641" s="147">
        <v>9009130102</v>
      </c>
      <c r="B641" s="148" t="s">
        <v>2829</v>
      </c>
      <c r="C641" s="150" t="s">
        <v>944</v>
      </c>
      <c r="D641" s="70">
        <v>53976.907267200004</v>
      </c>
      <c r="E641" s="70">
        <v>13351.72</v>
      </c>
      <c r="F641" s="14">
        <v>4</v>
      </c>
      <c r="G641" s="14">
        <v>4</v>
      </c>
      <c r="H641" s="14">
        <v>0</v>
      </c>
      <c r="I641" s="14">
        <v>0</v>
      </c>
      <c r="J641" s="69">
        <v>2357.27</v>
      </c>
      <c r="K641">
        <f t="shared" si="9"/>
        <v>0</v>
      </c>
      <c r="L641" s="14">
        <v>0</v>
      </c>
      <c r="M641" s="14">
        <v>0</v>
      </c>
      <c r="N641" s="14">
        <v>0</v>
      </c>
      <c r="O641" s="69">
        <v>0</v>
      </c>
      <c r="P641" s="226">
        <f>VLOOKUP(Table323[[#This Row],[Census Tract]],'Population and Diversity Data'!$B$2:$K$823,10,FALSE)</f>
        <v>2</v>
      </c>
      <c r="Q641" s="226" t="str">
        <f>VLOOKUP(Table323[[#This Row],[Census Tract]],'ES Energy Burden'!$B$2:$E$914,4,FALSE)</f>
        <v>No</v>
      </c>
      <c r="R641" s="248">
        <f>VLOOKUP(Table323[[#This Row],[Census Tract]],'Income and Housing Data'!$B$2:$D$823,3,FALSE)</f>
        <v>71734</v>
      </c>
      <c r="S641" s="248" t="str">
        <f>IF($U$6&lt;=Table323[[#This Row],[Household income]],IF(Table323[[#This Row],[Household income]]&lt;=$U$7, "Yes","No"),"No")</f>
        <v>No</v>
      </c>
    </row>
    <row r="642" spans="1:19" x14ac:dyDescent="0.25">
      <c r="A642" s="147">
        <v>9009130200</v>
      </c>
      <c r="B642" s="148" t="s">
        <v>2829</v>
      </c>
      <c r="C642" s="150" t="s">
        <v>944</v>
      </c>
      <c r="D642" s="70">
        <v>167933.76007968001</v>
      </c>
      <c r="E642" s="70">
        <v>113997.1498</v>
      </c>
      <c r="F642" s="14">
        <v>37</v>
      </c>
      <c r="G642" s="14">
        <v>37</v>
      </c>
      <c r="H642" s="14">
        <v>0</v>
      </c>
      <c r="I642" s="14">
        <v>0</v>
      </c>
      <c r="J642" s="69">
        <v>39469.339999999997</v>
      </c>
      <c r="K642">
        <f t="shared" si="9"/>
        <v>38</v>
      </c>
      <c r="L642" s="14">
        <v>38</v>
      </c>
      <c r="M642" s="14">
        <v>0</v>
      </c>
      <c r="N642" s="14">
        <v>0</v>
      </c>
      <c r="O642" s="69">
        <v>68806.100000000006</v>
      </c>
      <c r="P642" s="226">
        <f>VLOOKUP(Table323[[#This Row],[Census Tract]],'Population and Diversity Data'!$B$2:$K$823,10,FALSE)</f>
        <v>3</v>
      </c>
      <c r="Q642" s="226" t="str">
        <f>VLOOKUP(Table323[[#This Row],[Census Tract]],'ES Energy Burden'!$B$2:$E$914,4,FALSE)</f>
        <v>No</v>
      </c>
      <c r="R642" s="248">
        <f>VLOOKUP(Table323[[#This Row],[Census Tract]],'Income and Housing Data'!$B$2:$D$823,3,FALSE)</f>
        <v>84340</v>
      </c>
      <c r="S642" s="248" t="str">
        <f>IF($U$6&lt;=Table323[[#This Row],[Household income]],IF(Table323[[#This Row],[Household income]]&lt;=$U$7, "Yes","No"),"No")</f>
        <v>No</v>
      </c>
    </row>
    <row r="643" spans="1:19" x14ac:dyDescent="0.25">
      <c r="A643" s="147">
        <v>9005262100</v>
      </c>
      <c r="B643" s="148" t="s">
        <v>2830</v>
      </c>
      <c r="C643" s="150" t="s">
        <v>944</v>
      </c>
      <c r="D643" s="70">
        <v>96003.921755520001</v>
      </c>
      <c r="E643" s="70">
        <v>24987.0278</v>
      </c>
      <c r="F643" s="14">
        <v>13</v>
      </c>
      <c r="G643" s="14">
        <v>13</v>
      </c>
      <c r="H643" s="14">
        <v>0</v>
      </c>
      <c r="I643" s="14">
        <v>0</v>
      </c>
      <c r="J643" s="69">
        <v>11527.227800000001</v>
      </c>
      <c r="K643">
        <f t="shared" si="9"/>
        <v>1</v>
      </c>
      <c r="L643" s="14">
        <v>1</v>
      </c>
      <c r="M643" s="14">
        <v>0</v>
      </c>
      <c r="N643" s="14">
        <v>0</v>
      </c>
      <c r="O643" s="69">
        <v>766.06</v>
      </c>
      <c r="P643" s="226">
        <f>VLOOKUP(Table323[[#This Row],[Census Tract]],'Population and Diversity Data'!$B$2:$K$823,10,FALSE)</f>
        <v>1</v>
      </c>
      <c r="Q643" s="226" t="str">
        <f>VLOOKUP(Table323[[#This Row],[Census Tract]],'ES Energy Burden'!$B$2:$E$914,4,FALSE)</f>
        <v>No</v>
      </c>
      <c r="R643" s="248">
        <f>VLOOKUP(Table323[[#This Row],[Census Tract]],'Income and Housing Data'!$B$2:$D$823,3,FALSE)</f>
        <v>81919</v>
      </c>
      <c r="S643" s="248" t="str">
        <f>IF($U$6&lt;=Table323[[#This Row],[Household income]],IF(Table323[[#This Row],[Household income]]&lt;=$U$7, "Yes","No"),"No")</f>
        <v>No</v>
      </c>
    </row>
    <row r="644" spans="1:19" x14ac:dyDescent="0.25">
      <c r="A644" s="147">
        <v>9005266100</v>
      </c>
      <c r="B644" s="148" t="s">
        <v>2830</v>
      </c>
      <c r="C644" s="150" t="s">
        <v>944</v>
      </c>
      <c r="D644" s="70">
        <v>572.91174720000004</v>
      </c>
      <c r="E644" s="70">
        <v>0</v>
      </c>
      <c r="F644" s="14">
        <v>0</v>
      </c>
      <c r="G644" s="14">
        <v>0</v>
      </c>
      <c r="H644" s="14">
        <v>0</v>
      </c>
      <c r="I644" s="14">
        <v>0</v>
      </c>
      <c r="J644" s="69">
        <v>0</v>
      </c>
      <c r="K644">
        <f t="shared" si="9"/>
        <v>0</v>
      </c>
      <c r="L644" s="14">
        <v>0</v>
      </c>
      <c r="M644" s="14">
        <v>0</v>
      </c>
      <c r="N644" s="14">
        <v>0</v>
      </c>
      <c r="O644" s="69">
        <v>0</v>
      </c>
      <c r="P644" s="226">
        <f>VLOOKUP(Table323[[#This Row],[Census Tract]],'Population and Diversity Data'!$B$2:$K$823,10,FALSE)</f>
        <v>2</v>
      </c>
      <c r="Q644" s="226" t="str">
        <f>VLOOKUP(Table323[[#This Row],[Census Tract]],'ES Energy Burden'!$B$2:$E$914,4,FALSE)</f>
        <v>No</v>
      </c>
      <c r="R644" s="248">
        <f>VLOOKUP(Table323[[#This Row],[Census Tract]],'Income and Housing Data'!$B$2:$D$823,3,FALSE)</f>
        <v>78125</v>
      </c>
      <c r="S644" s="248" t="str">
        <f>IF($U$6&lt;=Table323[[#This Row],[Household income]],IF(Table323[[#This Row],[Household income]]&lt;=$U$7, "Yes","No"),"No")</f>
        <v>No</v>
      </c>
    </row>
    <row r="645" spans="1:19" x14ac:dyDescent="0.25">
      <c r="A645" s="147">
        <v>9001220200</v>
      </c>
      <c r="B645" s="148" t="s">
        <v>2831</v>
      </c>
      <c r="C645" s="150" t="s">
        <v>944</v>
      </c>
      <c r="D645" s="70">
        <v>419.00492159999999</v>
      </c>
      <c r="E645" s="70">
        <v>0</v>
      </c>
      <c r="F645" s="14">
        <v>0</v>
      </c>
      <c r="G645" s="14">
        <v>0</v>
      </c>
      <c r="H645" s="14">
        <v>0</v>
      </c>
      <c r="I645" s="14">
        <v>0</v>
      </c>
      <c r="J645" s="69">
        <v>0</v>
      </c>
      <c r="K645">
        <f t="shared" si="9"/>
        <v>0</v>
      </c>
      <c r="L645" s="14">
        <v>0</v>
      </c>
      <c r="M645" s="14">
        <v>0</v>
      </c>
      <c r="N645" s="14">
        <v>0</v>
      </c>
      <c r="O645" s="69">
        <v>0</v>
      </c>
      <c r="P645" s="226">
        <f>VLOOKUP(Table323[[#This Row],[Census Tract]],'Population and Diversity Data'!$B$2:$K$823,10,FALSE)</f>
        <v>3</v>
      </c>
      <c r="Q645" s="226" t="str">
        <f>VLOOKUP(Table323[[#This Row],[Census Tract]],'ES Energy Burden'!$B$2:$E$914,4,FALSE)</f>
        <v>No</v>
      </c>
      <c r="R645" s="248">
        <f>VLOOKUP(Table323[[#This Row],[Census Tract]],'Income and Housing Data'!$B$2:$D$823,3,FALSE)</f>
        <v>126422</v>
      </c>
      <c r="S645" s="248" t="str">
        <f>IF($U$6&lt;=Table323[[#This Row],[Household income]],IF(Table323[[#This Row],[Household income]]&lt;=$U$7, "Yes","No"),"No")</f>
        <v>No</v>
      </c>
    </row>
    <row r="646" spans="1:19" x14ac:dyDescent="0.25">
      <c r="A646" s="147">
        <v>9001220300</v>
      </c>
      <c r="B646" s="148" t="s">
        <v>2831</v>
      </c>
      <c r="C646" s="150" t="s">
        <v>944</v>
      </c>
      <c r="D646" s="70">
        <v>1016.0791200000001</v>
      </c>
      <c r="E646" s="70">
        <v>0</v>
      </c>
      <c r="F646" s="14">
        <v>0</v>
      </c>
      <c r="G646" s="14">
        <v>0</v>
      </c>
      <c r="H646" s="14">
        <v>0</v>
      </c>
      <c r="I646" s="14">
        <v>0</v>
      </c>
      <c r="J646" s="69">
        <v>0</v>
      </c>
      <c r="K646">
        <f t="shared" ref="K646:K709" si="10">L646+M646+N646</f>
        <v>0</v>
      </c>
      <c r="L646" s="14">
        <v>0</v>
      </c>
      <c r="M646" s="14">
        <v>0</v>
      </c>
      <c r="N646" s="14">
        <v>0</v>
      </c>
      <c r="O646" s="69">
        <v>0</v>
      </c>
      <c r="P646" s="226">
        <f>VLOOKUP(Table323[[#This Row],[Census Tract]],'Population and Diversity Data'!$B$2:$K$823,10,FALSE)</f>
        <v>2</v>
      </c>
      <c r="Q646" s="226" t="str">
        <f>VLOOKUP(Table323[[#This Row],[Census Tract]],'ES Energy Burden'!$B$2:$E$914,4,FALSE)</f>
        <v>No</v>
      </c>
      <c r="R646" s="248">
        <f>VLOOKUP(Table323[[#This Row],[Census Tract]],'Income and Housing Data'!$B$2:$D$823,3,FALSE)</f>
        <v>106296</v>
      </c>
      <c r="S646" s="248" t="str">
        <f>IF($U$6&lt;=Table323[[#This Row],[Household income]],IF(Table323[[#This Row],[Household income]]&lt;=$U$7, "Yes","No"),"No")</f>
        <v>No</v>
      </c>
    </row>
    <row r="647" spans="1:19" x14ac:dyDescent="0.25">
      <c r="A647" s="147">
        <v>9001257100</v>
      </c>
      <c r="B647" s="148" t="s">
        <v>2831</v>
      </c>
      <c r="C647" s="150" t="s">
        <v>944</v>
      </c>
      <c r="D647" s="70">
        <v>114117.20257248002</v>
      </c>
      <c r="E647" s="70">
        <v>34462.43</v>
      </c>
      <c r="F647" s="14">
        <v>11</v>
      </c>
      <c r="G647" s="14">
        <v>11</v>
      </c>
      <c r="H647" s="14">
        <v>0</v>
      </c>
      <c r="I647" s="14">
        <v>0</v>
      </c>
      <c r="J647" s="69">
        <v>13816.51</v>
      </c>
      <c r="K647">
        <f t="shared" si="10"/>
        <v>5</v>
      </c>
      <c r="L647" s="14">
        <v>5</v>
      </c>
      <c r="M647" s="14">
        <v>0</v>
      </c>
      <c r="N647" s="14">
        <v>0</v>
      </c>
      <c r="O647" s="69">
        <v>14831.6</v>
      </c>
      <c r="P647" s="226">
        <f>VLOOKUP(Table323[[#This Row],[Census Tract]],'Population and Diversity Data'!$B$2:$K$823,10,FALSE)</f>
        <v>1</v>
      </c>
      <c r="Q647" s="226" t="str">
        <f>VLOOKUP(Table323[[#This Row],[Census Tract]],'ES Energy Burden'!$B$2:$E$914,4,FALSE)</f>
        <v>No</v>
      </c>
      <c r="R647" s="248">
        <f>VLOOKUP(Table323[[#This Row],[Census Tract]],'Income and Housing Data'!$B$2:$D$823,3,FALSE)</f>
        <v>101818</v>
      </c>
      <c r="S647" s="248" t="str">
        <f>IF($U$6&lt;=Table323[[#This Row],[Household income]],IF(Table323[[#This Row],[Household income]]&lt;=$U$7, "Yes","No"),"No")</f>
        <v>No</v>
      </c>
    </row>
    <row r="648" spans="1:19" x14ac:dyDescent="0.25">
      <c r="A648" s="147">
        <v>9005253400</v>
      </c>
      <c r="B648" s="148" t="s">
        <v>2831</v>
      </c>
      <c r="C648" s="150" t="s">
        <v>944</v>
      </c>
      <c r="D648" s="70">
        <v>1058.5747007999998</v>
      </c>
      <c r="E648" s="70">
        <v>0</v>
      </c>
      <c r="F648" s="14">
        <v>0</v>
      </c>
      <c r="G648" s="14">
        <v>0</v>
      </c>
      <c r="H648" s="14">
        <v>0</v>
      </c>
      <c r="I648" s="14">
        <v>0</v>
      </c>
      <c r="J648" s="69">
        <v>0</v>
      </c>
      <c r="K648">
        <f t="shared" si="10"/>
        <v>0</v>
      </c>
      <c r="L648" s="14">
        <v>0</v>
      </c>
      <c r="M648" s="14">
        <v>0</v>
      </c>
      <c r="N648" s="14">
        <v>0</v>
      </c>
      <c r="O648" s="69">
        <v>0</v>
      </c>
      <c r="P648" s="226">
        <f>VLOOKUP(Table323[[#This Row],[Census Tract]],'Population and Diversity Data'!$B$2:$K$823,10,FALSE)</f>
        <v>2</v>
      </c>
      <c r="Q648" s="226" t="str">
        <f>VLOOKUP(Table323[[#This Row],[Census Tract]],'ES Energy Burden'!$B$2:$E$914,4,FALSE)</f>
        <v>No</v>
      </c>
      <c r="R648" s="248">
        <f>VLOOKUP(Table323[[#This Row],[Census Tract]],'Income and Housing Data'!$B$2:$D$823,3,FALSE)</f>
        <v>109167</v>
      </c>
      <c r="S648" s="248" t="str">
        <f>IF($U$6&lt;=Table323[[#This Row],[Household income]],IF(Table323[[#This Row],[Household income]]&lt;=$U$7, "Yes","No"),"No")</f>
        <v>No</v>
      </c>
    </row>
    <row r="649" spans="1:19" x14ac:dyDescent="0.25">
      <c r="A649" s="147">
        <v>9003464101</v>
      </c>
      <c r="B649" s="148" t="s">
        <v>2832</v>
      </c>
      <c r="C649" s="150" t="s">
        <v>944</v>
      </c>
      <c r="D649" s="70">
        <v>1219.9722336</v>
      </c>
      <c r="E649" s="70">
        <v>0</v>
      </c>
      <c r="F649" s="14">
        <v>0</v>
      </c>
      <c r="G649" s="14">
        <v>0</v>
      </c>
      <c r="H649" s="14">
        <v>0</v>
      </c>
      <c r="I649" s="14">
        <v>0</v>
      </c>
      <c r="J649" s="69">
        <v>0</v>
      </c>
      <c r="K649">
        <f t="shared" si="10"/>
        <v>0</v>
      </c>
      <c r="L649" s="14">
        <v>0</v>
      </c>
      <c r="M649" s="14">
        <v>0</v>
      </c>
      <c r="N649" s="14">
        <v>0</v>
      </c>
      <c r="O649" s="69">
        <v>0</v>
      </c>
      <c r="P649" s="226">
        <f>VLOOKUP(Table323[[#This Row],[Census Tract]],'Population and Diversity Data'!$B$2:$K$823,10,FALSE)</f>
        <v>1</v>
      </c>
      <c r="Q649" s="226" t="str">
        <f>VLOOKUP(Table323[[#This Row],[Census Tract]],'ES Energy Burden'!$B$2:$E$914,4,FALSE)</f>
        <v>No</v>
      </c>
      <c r="R649" s="248">
        <f>VLOOKUP(Table323[[#This Row],[Census Tract]],'Income and Housing Data'!$B$2:$D$823,3,FALSE)</f>
        <v>117895</v>
      </c>
      <c r="S649" s="248" t="str">
        <f>IF($U$6&lt;=Table323[[#This Row],[Household income]],IF(Table323[[#This Row],[Household income]]&lt;=$U$7, "Yes","No"),"No")</f>
        <v>No</v>
      </c>
    </row>
    <row r="650" spans="1:19" x14ac:dyDescent="0.25">
      <c r="A650" s="147">
        <v>9003466101</v>
      </c>
      <c r="B650" s="148" t="s">
        <v>2832</v>
      </c>
      <c r="C650" s="150" t="s">
        <v>944</v>
      </c>
      <c r="D650" s="70">
        <v>89359.129584000009</v>
      </c>
      <c r="E650" s="70">
        <v>9945.31</v>
      </c>
      <c r="F650" s="14">
        <v>11</v>
      </c>
      <c r="G650" s="14">
        <v>11</v>
      </c>
      <c r="H650" s="14">
        <v>0</v>
      </c>
      <c r="I650" s="14">
        <v>0</v>
      </c>
      <c r="J650" s="69">
        <v>9297.07</v>
      </c>
      <c r="K650">
        <f t="shared" si="10"/>
        <v>0</v>
      </c>
      <c r="L650" s="14">
        <v>0</v>
      </c>
      <c r="M650" s="14">
        <v>0</v>
      </c>
      <c r="N650" s="14">
        <v>0</v>
      </c>
      <c r="O650" s="69">
        <v>0</v>
      </c>
      <c r="P650" s="226">
        <f>VLOOKUP(Table323[[#This Row],[Census Tract]],'Population and Diversity Data'!$B$2:$K$823,10,FALSE)</f>
        <v>1</v>
      </c>
      <c r="Q650" s="226" t="str">
        <f>VLOOKUP(Table323[[#This Row],[Census Tract]],'ES Energy Burden'!$B$2:$E$914,4,FALSE)</f>
        <v>No</v>
      </c>
      <c r="R650" s="248">
        <f>VLOOKUP(Table323[[#This Row],[Census Tract]],'Income and Housing Data'!$B$2:$D$823,3,FALSE)</f>
        <v>123580</v>
      </c>
      <c r="S650" s="248" t="str">
        <f>IF($U$6&lt;=Table323[[#This Row],[Household income]],IF(Table323[[#This Row],[Household income]]&lt;=$U$7, "Yes","No"),"No")</f>
        <v>No</v>
      </c>
    </row>
    <row r="651" spans="1:19" x14ac:dyDescent="0.25">
      <c r="A651" s="147">
        <v>9003466102</v>
      </c>
      <c r="B651" s="148" t="s">
        <v>2832</v>
      </c>
      <c r="C651" s="150" t="s">
        <v>944</v>
      </c>
      <c r="D651" s="70">
        <v>115211.62673280001</v>
      </c>
      <c r="E651" s="70">
        <v>225976.02679999999</v>
      </c>
      <c r="F651" s="14">
        <v>118</v>
      </c>
      <c r="G651" s="14">
        <v>30</v>
      </c>
      <c r="H651" s="14">
        <v>0</v>
      </c>
      <c r="I651" s="14">
        <v>88</v>
      </c>
      <c r="J651" s="69">
        <v>34376.17</v>
      </c>
      <c r="K651">
        <f t="shared" si="10"/>
        <v>61</v>
      </c>
      <c r="L651" s="14">
        <v>11</v>
      </c>
      <c r="M651" s="14">
        <v>0</v>
      </c>
      <c r="N651" s="14">
        <v>50</v>
      </c>
      <c r="O651" s="69">
        <v>62042.7</v>
      </c>
      <c r="P651" s="226">
        <f>VLOOKUP(Table323[[#This Row],[Census Tract]],'Population and Diversity Data'!$B$2:$K$823,10,FALSE)</f>
        <v>2</v>
      </c>
      <c r="Q651" s="226" t="str">
        <f>VLOOKUP(Table323[[#This Row],[Census Tract]],'ES Energy Burden'!$B$2:$E$914,4,FALSE)</f>
        <v>No</v>
      </c>
      <c r="R651" s="248">
        <f>VLOOKUP(Table323[[#This Row],[Census Tract]],'Income and Housing Data'!$B$2:$D$823,3,FALSE)</f>
        <v>139236</v>
      </c>
      <c r="S651" s="248" t="str">
        <f>IF($U$6&lt;=Table323[[#This Row],[Household income]],IF(Table323[[#This Row],[Household income]]&lt;=$U$7, "Yes","No"),"No")</f>
        <v>No</v>
      </c>
    </row>
    <row r="652" spans="1:19" x14ac:dyDescent="0.25">
      <c r="A652" s="147">
        <v>9003466201</v>
      </c>
      <c r="B652" s="148" t="s">
        <v>2832</v>
      </c>
      <c r="C652" s="150" t="s">
        <v>944</v>
      </c>
      <c r="D652" s="70">
        <v>49398.020303040008</v>
      </c>
      <c r="E652" s="70">
        <v>14239.196</v>
      </c>
      <c r="F652" s="14">
        <v>11</v>
      </c>
      <c r="G652" s="14">
        <v>11</v>
      </c>
      <c r="H652" s="14">
        <v>0</v>
      </c>
      <c r="I652" s="14">
        <v>0</v>
      </c>
      <c r="J652" s="69">
        <v>12420.096</v>
      </c>
      <c r="K652">
        <f t="shared" si="10"/>
        <v>0</v>
      </c>
      <c r="L652" s="14">
        <v>0</v>
      </c>
      <c r="M652" s="14">
        <v>0</v>
      </c>
      <c r="N652" s="14">
        <v>0</v>
      </c>
      <c r="O652" s="69">
        <v>0</v>
      </c>
      <c r="P652" s="226">
        <f>VLOOKUP(Table323[[#This Row],[Census Tract]],'Population and Diversity Data'!$B$2:$K$823,10,FALSE)</f>
        <v>3</v>
      </c>
      <c r="Q652" s="226" t="str">
        <f>VLOOKUP(Table323[[#This Row],[Census Tract]],'ES Energy Burden'!$B$2:$E$914,4,FALSE)</f>
        <v>No</v>
      </c>
      <c r="R652" s="248">
        <f>VLOOKUP(Table323[[#This Row],[Census Tract]],'Income and Housing Data'!$B$2:$D$823,3,FALSE)</f>
        <v>94167</v>
      </c>
      <c r="S652" s="248" t="str">
        <f>IF($U$6&lt;=Table323[[#This Row],[Household income]],IF(Table323[[#This Row],[Household income]]&lt;=$U$7, "Yes","No"),"No")</f>
        <v>No</v>
      </c>
    </row>
    <row r="653" spans="1:19" x14ac:dyDescent="0.25">
      <c r="A653" s="147">
        <v>9003466202</v>
      </c>
      <c r="B653" s="148" t="s">
        <v>2832</v>
      </c>
      <c r="C653" s="150" t="s">
        <v>944</v>
      </c>
      <c r="D653" s="70">
        <v>99425.036563200003</v>
      </c>
      <c r="E653" s="70">
        <v>14061.6337</v>
      </c>
      <c r="F653" s="14">
        <v>18</v>
      </c>
      <c r="G653" s="14">
        <v>18</v>
      </c>
      <c r="H653" s="14">
        <v>0</v>
      </c>
      <c r="I653" s="14">
        <v>0</v>
      </c>
      <c r="J653" s="69">
        <v>14052.323700000001</v>
      </c>
      <c r="K653">
        <f t="shared" si="10"/>
        <v>0</v>
      </c>
      <c r="L653" s="14">
        <v>0</v>
      </c>
      <c r="M653" s="14">
        <v>0</v>
      </c>
      <c r="N653" s="14">
        <v>0</v>
      </c>
      <c r="O653" s="69">
        <v>0</v>
      </c>
      <c r="P653" s="226">
        <f>VLOOKUP(Table323[[#This Row],[Census Tract]],'Population and Diversity Data'!$B$2:$K$823,10,FALSE)</f>
        <v>2</v>
      </c>
      <c r="Q653" s="226" t="str">
        <f>VLOOKUP(Table323[[#This Row],[Census Tract]],'ES Energy Burden'!$B$2:$E$914,4,FALSE)</f>
        <v>No</v>
      </c>
      <c r="R653" s="248">
        <f>VLOOKUP(Table323[[#This Row],[Census Tract]],'Income and Housing Data'!$B$2:$D$823,3,FALSE)</f>
        <v>147778</v>
      </c>
      <c r="S653" s="248" t="str">
        <f>IF($U$6&lt;=Table323[[#This Row],[Household income]],IF(Table323[[#This Row],[Household income]]&lt;=$U$7, "Yes","No"),"No")</f>
        <v>No</v>
      </c>
    </row>
    <row r="654" spans="1:19" x14ac:dyDescent="0.25">
      <c r="A654" s="147">
        <v>9003466300</v>
      </c>
      <c r="B654" s="148" t="s">
        <v>2832</v>
      </c>
      <c r="C654" s="150" t="s">
        <v>944</v>
      </c>
      <c r="D654" s="70">
        <v>101449.18831391999</v>
      </c>
      <c r="E654" s="70">
        <v>41323.4208</v>
      </c>
      <c r="F654" s="14">
        <v>29</v>
      </c>
      <c r="G654" s="14">
        <v>29</v>
      </c>
      <c r="H654" s="14">
        <v>0</v>
      </c>
      <c r="I654" s="14">
        <v>0</v>
      </c>
      <c r="J654" s="69">
        <v>24270.5501</v>
      </c>
      <c r="K654">
        <f t="shared" si="10"/>
        <v>0</v>
      </c>
      <c r="L654" s="14">
        <v>0</v>
      </c>
      <c r="M654" s="14">
        <v>0</v>
      </c>
      <c r="N654" s="14">
        <v>0</v>
      </c>
      <c r="O654" s="69">
        <v>0</v>
      </c>
      <c r="P654" s="226">
        <f>VLOOKUP(Table323[[#This Row],[Census Tract]],'Population and Diversity Data'!$B$2:$K$823,10,FALSE)</f>
        <v>2</v>
      </c>
      <c r="Q654" s="226" t="str">
        <f>VLOOKUP(Table323[[#This Row],[Census Tract]],'ES Energy Burden'!$B$2:$E$914,4,FALSE)</f>
        <v>No</v>
      </c>
      <c r="R654" s="248">
        <f>VLOOKUP(Table323[[#This Row],[Census Tract]],'Income and Housing Data'!$B$2:$D$823,3,FALSE)</f>
        <v>131583</v>
      </c>
      <c r="S654" s="248" t="str">
        <f>IF($U$6&lt;=Table323[[#This Row],[Household income]],IF(Table323[[#This Row],[Household income]]&lt;=$U$7, "Yes","No"),"No")</f>
        <v>No</v>
      </c>
    </row>
    <row r="655" spans="1:19" x14ac:dyDescent="0.25">
      <c r="A655" s="147">
        <v>9003466400</v>
      </c>
      <c r="B655" s="148" t="s">
        <v>2832</v>
      </c>
      <c r="C655" s="150" t="s">
        <v>944</v>
      </c>
      <c r="D655" s="70">
        <v>58695.277104000008</v>
      </c>
      <c r="E655" s="70">
        <v>6847.7622000000001</v>
      </c>
      <c r="F655" s="14">
        <v>11</v>
      </c>
      <c r="G655" s="14">
        <v>11</v>
      </c>
      <c r="H655" s="14">
        <v>0</v>
      </c>
      <c r="I655" s="14">
        <v>0</v>
      </c>
      <c r="J655" s="69">
        <v>6833.6522000000004</v>
      </c>
      <c r="K655">
        <f t="shared" si="10"/>
        <v>0</v>
      </c>
      <c r="L655" s="14">
        <v>0</v>
      </c>
      <c r="M655" s="14">
        <v>0</v>
      </c>
      <c r="N655" s="14">
        <v>0</v>
      </c>
      <c r="O655" s="69">
        <v>0</v>
      </c>
      <c r="P655" s="226">
        <f>VLOOKUP(Table323[[#This Row],[Census Tract]],'Population and Diversity Data'!$B$2:$K$823,10,FALSE)</f>
        <v>3</v>
      </c>
      <c r="Q655" s="226" t="str">
        <f>VLOOKUP(Table323[[#This Row],[Census Tract]],'ES Energy Burden'!$B$2:$E$914,4,FALSE)</f>
        <v>No</v>
      </c>
      <c r="R655" s="248">
        <f>VLOOKUP(Table323[[#This Row],[Census Tract]],'Income and Housing Data'!$B$2:$D$823,3,FALSE)</f>
        <v>98000</v>
      </c>
      <c r="S655" s="248" t="str">
        <f>IF($U$6&lt;=Table323[[#This Row],[Household income]],IF(Table323[[#This Row],[Household income]]&lt;=$U$7, "Yes","No"),"No")</f>
        <v>No</v>
      </c>
    </row>
    <row r="656" spans="1:19" x14ac:dyDescent="0.25">
      <c r="A656" s="147">
        <v>9013538201</v>
      </c>
      <c r="B656" s="148" t="s">
        <v>2833</v>
      </c>
      <c r="C656" s="150" t="s">
        <v>944</v>
      </c>
      <c r="D656" s="70">
        <v>114821.10560160001</v>
      </c>
      <c r="E656" s="70">
        <v>69334.025399999999</v>
      </c>
      <c r="F656" s="14">
        <v>25</v>
      </c>
      <c r="G656" s="14">
        <v>25</v>
      </c>
      <c r="H656" s="14">
        <v>0</v>
      </c>
      <c r="I656" s="14">
        <v>0</v>
      </c>
      <c r="J656" s="69">
        <v>22207.289700000001</v>
      </c>
      <c r="K656">
        <f t="shared" si="10"/>
        <v>15</v>
      </c>
      <c r="L656" s="14">
        <v>15</v>
      </c>
      <c r="M656" s="14">
        <v>0</v>
      </c>
      <c r="N656" s="14">
        <v>0</v>
      </c>
      <c r="O656" s="69">
        <v>27631.7</v>
      </c>
      <c r="P656" s="226">
        <f>VLOOKUP(Table323[[#This Row],[Census Tract]],'Population and Diversity Data'!$B$2:$K$823,10,FALSE)</f>
        <v>3</v>
      </c>
      <c r="Q656" s="226" t="str">
        <f>VLOOKUP(Table323[[#This Row],[Census Tract]],'ES Energy Burden'!$B$2:$E$914,4,FALSE)</f>
        <v>No</v>
      </c>
      <c r="R656" s="248">
        <f>VLOOKUP(Table323[[#This Row],[Census Tract]],'Income and Housing Data'!$B$2:$D$823,3,FALSE)</f>
        <v>116000</v>
      </c>
      <c r="S656" s="248" t="str">
        <f>IF($U$6&lt;=Table323[[#This Row],[Household income]],IF(Table323[[#This Row],[Household income]]&lt;=$U$7, "Yes","No"),"No")</f>
        <v>No</v>
      </c>
    </row>
    <row r="657" spans="1:19" x14ac:dyDescent="0.25">
      <c r="A657" s="147">
        <v>9013538202</v>
      </c>
      <c r="B657" s="148" t="s">
        <v>2833</v>
      </c>
      <c r="C657" s="150" t="s">
        <v>944</v>
      </c>
      <c r="D657" s="70">
        <v>88279.68047040001</v>
      </c>
      <c r="E657" s="70">
        <v>22506.682400000002</v>
      </c>
      <c r="F657" s="14">
        <v>14</v>
      </c>
      <c r="G657" s="14">
        <v>14</v>
      </c>
      <c r="H657" s="14">
        <v>0</v>
      </c>
      <c r="I657" s="14">
        <v>0</v>
      </c>
      <c r="J657" s="69">
        <v>11259.6924</v>
      </c>
      <c r="K657">
        <f t="shared" si="10"/>
        <v>0</v>
      </c>
      <c r="L657" s="14">
        <v>0</v>
      </c>
      <c r="M657" s="14">
        <v>0</v>
      </c>
      <c r="N657" s="14">
        <v>0</v>
      </c>
      <c r="O657" s="69">
        <v>0</v>
      </c>
      <c r="P657" s="226">
        <f>VLOOKUP(Table323[[#This Row],[Census Tract]],'Population and Diversity Data'!$B$2:$K$823,10,FALSE)</f>
        <v>1</v>
      </c>
      <c r="Q657" s="226" t="str">
        <f>VLOOKUP(Table323[[#This Row],[Census Tract]],'ES Energy Burden'!$B$2:$E$914,4,FALSE)</f>
        <v>No</v>
      </c>
      <c r="R657" s="248">
        <f>VLOOKUP(Table323[[#This Row],[Census Tract]],'Income and Housing Data'!$B$2:$D$823,3,FALSE)</f>
        <v>103631</v>
      </c>
      <c r="S657" s="248" t="str">
        <f>IF($U$6&lt;=Table323[[#This Row],[Household income]],IF(Table323[[#This Row],[Household income]]&lt;=$U$7, "Yes","No"),"No")</f>
        <v>No</v>
      </c>
    </row>
    <row r="658" spans="1:19" x14ac:dyDescent="0.25">
      <c r="A658" s="147">
        <v>9013890202</v>
      </c>
      <c r="B658" s="148" t="s">
        <v>2833</v>
      </c>
      <c r="C658" s="150" t="s">
        <v>944</v>
      </c>
      <c r="D658" s="70">
        <v>1114.67743488</v>
      </c>
      <c r="E658" s="70">
        <v>0</v>
      </c>
      <c r="F658" s="14">
        <v>0</v>
      </c>
      <c r="G658" s="14">
        <v>0</v>
      </c>
      <c r="H658" s="14">
        <v>0</v>
      </c>
      <c r="I658" s="14">
        <v>0</v>
      </c>
      <c r="J658" s="69">
        <v>0</v>
      </c>
      <c r="K658">
        <f t="shared" si="10"/>
        <v>0</v>
      </c>
      <c r="L658" s="14">
        <v>0</v>
      </c>
      <c r="M658" s="14">
        <v>0</v>
      </c>
      <c r="N658" s="14">
        <v>0</v>
      </c>
      <c r="O658" s="69">
        <v>0</v>
      </c>
      <c r="P658" s="226">
        <f>VLOOKUP(Table323[[#This Row],[Census Tract]],'Population and Diversity Data'!$B$2:$K$823,10,FALSE)</f>
        <v>4</v>
      </c>
      <c r="Q658" s="226" t="str">
        <f>VLOOKUP(Table323[[#This Row],[Census Tract]],'ES Energy Burden'!$B$2:$E$914,4,FALSE)</f>
        <v>No</v>
      </c>
      <c r="R658" s="248">
        <f>VLOOKUP(Table323[[#This Row],[Census Tract]],'Income and Housing Data'!$B$2:$D$823,3,FALSE)</f>
        <v>89460</v>
      </c>
      <c r="S658" s="248" t="str">
        <f>IF($U$6&lt;=Table323[[#This Row],[Household income]],IF(Table323[[#This Row],[Household income]]&lt;=$U$7, "Yes","No"),"No")</f>
        <v>No</v>
      </c>
    </row>
    <row r="659" spans="1:19" x14ac:dyDescent="0.25">
      <c r="A659" s="147">
        <v>9003484200</v>
      </c>
      <c r="B659" s="148" t="s">
        <v>2834</v>
      </c>
      <c r="C659" s="150" t="s">
        <v>944</v>
      </c>
      <c r="D659" s="70">
        <v>324.70536960000004</v>
      </c>
      <c r="E659" s="70">
        <v>0</v>
      </c>
      <c r="F659" s="14">
        <v>0</v>
      </c>
      <c r="G659" s="14">
        <v>0</v>
      </c>
      <c r="H659" s="14">
        <v>0</v>
      </c>
      <c r="I659" s="14">
        <v>0</v>
      </c>
      <c r="J659" s="69">
        <v>0</v>
      </c>
      <c r="K659">
        <f t="shared" si="10"/>
        <v>0</v>
      </c>
      <c r="L659" s="14">
        <v>0</v>
      </c>
      <c r="M659" s="14">
        <v>0</v>
      </c>
      <c r="N659" s="14">
        <v>0</v>
      </c>
      <c r="O659" s="69">
        <v>0</v>
      </c>
      <c r="P659" s="226">
        <f>VLOOKUP(Table323[[#This Row],[Census Tract]],'Population and Diversity Data'!$B$2:$K$823,10,FALSE)</f>
        <v>3</v>
      </c>
      <c r="Q659" s="226" t="str">
        <f>VLOOKUP(Table323[[#This Row],[Census Tract]],'ES Energy Burden'!$B$2:$E$914,4,FALSE)</f>
        <v>No</v>
      </c>
      <c r="R659" s="248">
        <f>VLOOKUP(Table323[[#This Row],[Census Tract]],'Income and Housing Data'!$B$2:$D$823,3,FALSE)</f>
        <v>84779</v>
      </c>
      <c r="S659" s="248" t="str">
        <f>IF($U$6&lt;=Table323[[#This Row],[Household income]],IF(Table323[[#This Row],[Household income]]&lt;=$U$7, "Yes","No"),"No")</f>
        <v>No</v>
      </c>
    </row>
    <row r="660" spans="1:19" x14ac:dyDescent="0.25">
      <c r="A660" s="147">
        <v>9003487100</v>
      </c>
      <c r="B660" s="148" t="s">
        <v>2834</v>
      </c>
      <c r="C660" s="150" t="s">
        <v>944</v>
      </c>
      <c r="D660" s="70">
        <v>120748.35112128001</v>
      </c>
      <c r="E660" s="70">
        <v>22797.2932</v>
      </c>
      <c r="F660" s="14">
        <v>51</v>
      </c>
      <c r="G660" s="14">
        <v>51</v>
      </c>
      <c r="H660" s="14">
        <v>0</v>
      </c>
      <c r="I660" s="14">
        <v>0</v>
      </c>
      <c r="J660" s="69">
        <v>22789.443200000002</v>
      </c>
      <c r="K660">
        <f t="shared" si="10"/>
        <v>0</v>
      </c>
      <c r="L660" s="14">
        <v>0</v>
      </c>
      <c r="M660" s="14">
        <v>0</v>
      </c>
      <c r="N660" s="14">
        <v>0</v>
      </c>
      <c r="O660" s="69">
        <v>0</v>
      </c>
      <c r="P660" s="226">
        <f>VLOOKUP(Table323[[#This Row],[Census Tract]],'Population and Diversity Data'!$B$2:$K$823,10,FALSE)</f>
        <v>3</v>
      </c>
      <c r="Q660" s="226" t="str">
        <f>VLOOKUP(Table323[[#This Row],[Census Tract]],'ES Energy Burden'!$B$2:$E$914,4,FALSE)</f>
        <v>No</v>
      </c>
      <c r="R660" s="248">
        <f>VLOOKUP(Table323[[#This Row],[Census Tract]],'Income and Housing Data'!$B$2:$D$823,3,FALSE)</f>
        <v>121296</v>
      </c>
      <c r="S660" s="248" t="str">
        <f>IF($U$6&lt;=Table323[[#This Row],[Household income]],IF(Table323[[#This Row],[Household income]]&lt;=$U$7, "Yes","No"),"No")</f>
        <v>No</v>
      </c>
    </row>
    <row r="661" spans="1:19" x14ac:dyDescent="0.25">
      <c r="A661" s="147">
        <v>9003487201</v>
      </c>
      <c r="B661" s="148" t="s">
        <v>2834</v>
      </c>
      <c r="C661" s="150" t="s">
        <v>944</v>
      </c>
      <c r="D661" s="70">
        <v>79853.237484479992</v>
      </c>
      <c r="E661" s="70">
        <v>21358.700199999999</v>
      </c>
      <c r="F661" s="14">
        <v>33</v>
      </c>
      <c r="G661" s="14">
        <v>33</v>
      </c>
      <c r="H661" s="14">
        <v>0</v>
      </c>
      <c r="I661" s="14">
        <v>0</v>
      </c>
      <c r="J661" s="69">
        <v>21358.230200000002</v>
      </c>
      <c r="K661">
        <f t="shared" si="10"/>
        <v>0</v>
      </c>
      <c r="L661" s="14">
        <v>0</v>
      </c>
      <c r="M661" s="14">
        <v>0</v>
      </c>
      <c r="N661" s="14">
        <v>0</v>
      </c>
      <c r="O661" s="69">
        <v>0</v>
      </c>
      <c r="P661" s="226">
        <f>VLOOKUP(Table323[[#This Row],[Census Tract]],'Population and Diversity Data'!$B$2:$K$823,10,FALSE)</f>
        <v>4</v>
      </c>
      <c r="Q661" s="226" t="str">
        <f>VLOOKUP(Table323[[#This Row],[Census Tract]],'ES Energy Burden'!$B$2:$E$914,4,FALSE)</f>
        <v>No</v>
      </c>
      <c r="R661" s="248">
        <f>VLOOKUP(Table323[[#This Row],[Census Tract]],'Income and Housing Data'!$B$2:$D$823,3,FALSE)</f>
        <v>114792</v>
      </c>
      <c r="S661" s="248" t="str">
        <f>IF($U$6&lt;=Table323[[#This Row],[Household income]],IF(Table323[[#This Row],[Household income]]&lt;=$U$7, "Yes","No"),"No")</f>
        <v>No</v>
      </c>
    </row>
    <row r="662" spans="1:19" x14ac:dyDescent="0.25">
      <c r="A662" s="147">
        <v>9003487202</v>
      </c>
      <c r="B662" s="148" t="s">
        <v>2834</v>
      </c>
      <c r="C662" s="150" t="s">
        <v>944</v>
      </c>
      <c r="D662" s="70">
        <v>60291.457660800006</v>
      </c>
      <c r="E662" s="70">
        <v>11518.674999999999</v>
      </c>
      <c r="F662" s="14">
        <v>24</v>
      </c>
      <c r="G662" s="14">
        <v>24</v>
      </c>
      <c r="H662" s="14">
        <v>0</v>
      </c>
      <c r="I662" s="14">
        <v>0</v>
      </c>
      <c r="J662" s="69">
        <v>9818.6749999999993</v>
      </c>
      <c r="K662">
        <f t="shared" si="10"/>
        <v>0</v>
      </c>
      <c r="L662" s="14">
        <v>0</v>
      </c>
      <c r="M662" s="14">
        <v>0</v>
      </c>
      <c r="N662" s="14">
        <v>0</v>
      </c>
      <c r="O662" s="69">
        <v>0</v>
      </c>
      <c r="P662" s="226">
        <f>VLOOKUP(Table323[[#This Row],[Census Tract]],'Population and Diversity Data'!$B$2:$K$823,10,FALSE)</f>
        <v>4</v>
      </c>
      <c r="Q662" s="226" t="str">
        <f>VLOOKUP(Table323[[#This Row],[Census Tract]],'ES Energy Burden'!$B$2:$E$914,4,FALSE)</f>
        <v>No</v>
      </c>
      <c r="R662" s="248">
        <f>VLOOKUP(Table323[[#This Row],[Census Tract]],'Income and Housing Data'!$B$2:$D$823,3,FALSE)</f>
        <v>169688</v>
      </c>
      <c r="S662" s="248" t="str">
        <f>IF($U$6&lt;=Table323[[#This Row],[Household income]],IF(Table323[[#This Row],[Household income]]&lt;=$U$7, "Yes","No"),"No")</f>
        <v>No</v>
      </c>
    </row>
    <row r="663" spans="1:19" x14ac:dyDescent="0.25">
      <c r="A663" s="147">
        <v>9003487300</v>
      </c>
      <c r="B663" s="148" t="s">
        <v>2834</v>
      </c>
      <c r="C663" s="150" t="s">
        <v>944</v>
      </c>
      <c r="D663" s="70">
        <v>30797.602703999997</v>
      </c>
      <c r="E663" s="70">
        <v>14270.43</v>
      </c>
      <c r="F663" s="14">
        <v>11</v>
      </c>
      <c r="G663" s="14">
        <v>11</v>
      </c>
      <c r="H663" s="14">
        <v>0</v>
      </c>
      <c r="I663" s="14">
        <v>0</v>
      </c>
      <c r="J663" s="69">
        <v>9863.35</v>
      </c>
      <c r="K663">
        <f t="shared" si="10"/>
        <v>0</v>
      </c>
      <c r="L663" s="14">
        <v>0</v>
      </c>
      <c r="M663" s="14">
        <v>0</v>
      </c>
      <c r="N663" s="14">
        <v>0</v>
      </c>
      <c r="O663" s="69">
        <v>0</v>
      </c>
      <c r="P663" s="226">
        <f>VLOOKUP(Table323[[#This Row],[Census Tract]],'Population and Diversity Data'!$B$2:$K$823,10,FALSE)</f>
        <v>3</v>
      </c>
      <c r="Q663" s="226" t="str">
        <f>VLOOKUP(Table323[[#This Row],[Census Tract]],'ES Energy Burden'!$B$2:$E$914,4,FALSE)</f>
        <v>No</v>
      </c>
      <c r="R663" s="248">
        <f>VLOOKUP(Table323[[#This Row],[Census Tract]],'Income and Housing Data'!$B$2:$D$823,3,FALSE)</f>
        <v>96875</v>
      </c>
      <c r="S663" s="248" t="str">
        <f>IF($U$6&lt;=Table323[[#This Row],[Household income]],IF(Table323[[#This Row],[Household income]]&lt;=$U$7, "Yes","No"),"No")</f>
        <v>No</v>
      </c>
    </row>
    <row r="664" spans="1:19" x14ac:dyDescent="0.25">
      <c r="A664" s="147">
        <v>9003487400</v>
      </c>
      <c r="B664" s="148" t="s">
        <v>2834</v>
      </c>
      <c r="C664" s="150" t="s">
        <v>944</v>
      </c>
      <c r="D664" s="70">
        <v>34129.392854400001</v>
      </c>
      <c r="E664" s="70">
        <v>5484.4790000000003</v>
      </c>
      <c r="F664" s="14">
        <v>10</v>
      </c>
      <c r="G664" s="14">
        <v>10</v>
      </c>
      <c r="H664" s="14">
        <v>0</v>
      </c>
      <c r="I664" s="14">
        <v>0</v>
      </c>
      <c r="J664" s="69">
        <v>3652.8589999999999</v>
      </c>
      <c r="K664">
        <f t="shared" si="10"/>
        <v>0</v>
      </c>
      <c r="L664" s="14">
        <v>0</v>
      </c>
      <c r="M664" s="14">
        <v>0</v>
      </c>
      <c r="N664" s="14">
        <v>0</v>
      </c>
      <c r="O664" s="69">
        <v>0</v>
      </c>
      <c r="P664" s="226">
        <f>VLOOKUP(Table323[[#This Row],[Census Tract]],'Population and Diversity Data'!$B$2:$K$823,10,FALSE)</f>
        <v>3</v>
      </c>
      <c r="Q664" s="226" t="str">
        <f>VLOOKUP(Table323[[#This Row],[Census Tract]],'ES Energy Burden'!$B$2:$E$914,4,FALSE)</f>
        <v>No</v>
      </c>
      <c r="R664" s="248">
        <f>VLOOKUP(Table323[[#This Row],[Census Tract]],'Income and Housing Data'!$B$2:$D$823,3,FALSE)</f>
        <v>109605</v>
      </c>
      <c r="S664" s="248" t="str">
        <f>IF($U$6&lt;=Table323[[#This Row],[Household income]],IF(Table323[[#This Row],[Household income]]&lt;=$U$7, "Yes","No"),"No")</f>
        <v>No</v>
      </c>
    </row>
    <row r="665" spans="1:19" x14ac:dyDescent="0.25">
      <c r="A665" s="147">
        <v>9003487500</v>
      </c>
      <c r="B665" s="148" t="s">
        <v>2834</v>
      </c>
      <c r="C665" s="150" t="s">
        <v>944</v>
      </c>
      <c r="D665" s="70">
        <v>141313.93954559998</v>
      </c>
      <c r="E665" s="70">
        <v>233869.0295</v>
      </c>
      <c r="F665" s="14">
        <v>128</v>
      </c>
      <c r="G665" s="14">
        <v>52</v>
      </c>
      <c r="H665" s="14">
        <v>1</v>
      </c>
      <c r="I665" s="14">
        <v>75</v>
      </c>
      <c r="J665" s="69">
        <v>42206.071000000004</v>
      </c>
      <c r="K665">
        <f t="shared" si="10"/>
        <v>21</v>
      </c>
      <c r="L665" s="14">
        <v>21</v>
      </c>
      <c r="M665" s="14">
        <v>0</v>
      </c>
      <c r="N665" s="14">
        <v>0</v>
      </c>
      <c r="O665" s="69">
        <v>18005.2</v>
      </c>
      <c r="P665" s="226">
        <f>VLOOKUP(Table323[[#This Row],[Census Tract]],'Population and Diversity Data'!$B$2:$K$823,10,FALSE)</f>
        <v>5</v>
      </c>
      <c r="Q665" s="226" t="str">
        <f>VLOOKUP(Table323[[#This Row],[Census Tract]],'ES Energy Burden'!$B$2:$E$914,4,FALSE)</f>
        <v>No</v>
      </c>
      <c r="R665" s="248">
        <f>VLOOKUP(Table323[[#This Row],[Census Tract]],'Income and Housing Data'!$B$2:$D$823,3,FALSE)</f>
        <v>69135</v>
      </c>
      <c r="S665" s="248" t="str">
        <f>IF($U$6&lt;=Table323[[#This Row],[Household income]],IF(Table323[[#This Row],[Household income]]&lt;=$U$7, "Yes","No"),"No")</f>
        <v>No</v>
      </c>
    </row>
    <row r="666" spans="1:19" x14ac:dyDescent="0.25">
      <c r="A666" s="147">
        <v>9003514102</v>
      </c>
      <c r="B666" s="148" t="s">
        <v>2834</v>
      </c>
      <c r="C666" s="150" t="s">
        <v>944</v>
      </c>
      <c r="D666" s="70">
        <v>361.9910304</v>
      </c>
      <c r="E666" s="70">
        <v>0</v>
      </c>
      <c r="F666" s="14">
        <v>0</v>
      </c>
      <c r="G666" s="14">
        <v>0</v>
      </c>
      <c r="H666" s="14">
        <v>0</v>
      </c>
      <c r="I666" s="14">
        <v>0</v>
      </c>
      <c r="J666" s="69">
        <v>0</v>
      </c>
      <c r="K666">
        <f t="shared" si="10"/>
        <v>0</v>
      </c>
      <c r="L666" s="14">
        <v>0</v>
      </c>
      <c r="M666" s="14">
        <v>0</v>
      </c>
      <c r="N666" s="14">
        <v>0</v>
      </c>
      <c r="O666" s="69">
        <v>0</v>
      </c>
      <c r="P666" s="226">
        <f>VLOOKUP(Table323[[#This Row],[Census Tract]],'Population and Diversity Data'!$B$2:$K$823,10,FALSE)</f>
        <v>5</v>
      </c>
      <c r="Q666" s="226" t="str">
        <f>VLOOKUP(Table323[[#This Row],[Census Tract]],'ES Energy Burden'!$B$2:$E$914,4,FALSE)</f>
        <v>No</v>
      </c>
      <c r="R666" s="248">
        <f>VLOOKUP(Table323[[#This Row],[Census Tract]],'Income and Housing Data'!$B$2:$D$823,3,FALSE)</f>
        <v>83929</v>
      </c>
      <c r="S666" s="248" t="str">
        <f>IF($U$6&lt;=Table323[[#This Row],[Household income]],IF(Table323[[#This Row],[Household income]]&lt;=$U$7, "Yes","No"),"No")</f>
        <v>No</v>
      </c>
    </row>
    <row r="667" spans="1:19" x14ac:dyDescent="0.25">
      <c r="A667" s="147">
        <v>9013530301</v>
      </c>
      <c r="B667" s="148" t="s">
        <v>2834</v>
      </c>
      <c r="C667" s="150" t="s">
        <v>944</v>
      </c>
      <c r="D667" s="70">
        <v>170.42227200000002</v>
      </c>
      <c r="E667" s="70">
        <v>0</v>
      </c>
      <c r="F667" s="14">
        <v>0</v>
      </c>
      <c r="G667" s="14">
        <v>0</v>
      </c>
      <c r="H667" s="14">
        <v>0</v>
      </c>
      <c r="I667" s="14">
        <v>0</v>
      </c>
      <c r="J667" s="69">
        <v>0</v>
      </c>
      <c r="K667">
        <f t="shared" si="10"/>
        <v>0</v>
      </c>
      <c r="L667" s="14">
        <v>0</v>
      </c>
      <c r="M667" s="14">
        <v>0</v>
      </c>
      <c r="N667" s="14">
        <v>0</v>
      </c>
      <c r="O667" s="69">
        <v>0</v>
      </c>
      <c r="P667" s="226">
        <f>VLOOKUP(Table323[[#This Row],[Census Tract]],'Population and Diversity Data'!$B$2:$K$823,10,FALSE)</f>
        <v>2</v>
      </c>
      <c r="Q667" s="226" t="str">
        <f>VLOOKUP(Table323[[#This Row],[Census Tract]],'ES Energy Burden'!$B$2:$E$914,4,FALSE)</f>
        <v>No</v>
      </c>
      <c r="R667" s="248">
        <f>VLOOKUP(Table323[[#This Row],[Census Tract]],'Income and Housing Data'!$B$2:$D$823,3,FALSE)</f>
        <v>53648</v>
      </c>
      <c r="S667" s="248" t="str">
        <f>IF($U$6&lt;=Table323[[#This Row],[Household income]],IF(Table323[[#This Row],[Household income]]&lt;=$U$7, "Yes","No"),"No")</f>
        <v>Yes</v>
      </c>
    </row>
    <row r="668" spans="1:19" x14ac:dyDescent="0.25">
      <c r="A668" s="147">
        <v>9009346102</v>
      </c>
      <c r="B668" s="148" t="s">
        <v>2835</v>
      </c>
      <c r="C668" s="150" t="s">
        <v>944</v>
      </c>
      <c r="D668" s="70">
        <v>418.067136</v>
      </c>
      <c r="E668" s="70">
        <v>3108.15</v>
      </c>
      <c r="F668" s="14">
        <v>0</v>
      </c>
      <c r="G668" s="14">
        <v>0</v>
      </c>
      <c r="H668" s="14">
        <v>0</v>
      </c>
      <c r="I668" s="14">
        <v>0</v>
      </c>
      <c r="J668" s="69">
        <v>0</v>
      </c>
      <c r="K668">
        <f t="shared" si="10"/>
        <v>0</v>
      </c>
      <c r="L668" s="14">
        <v>0</v>
      </c>
      <c r="M668" s="14">
        <v>0</v>
      </c>
      <c r="N668" s="14">
        <v>0</v>
      </c>
      <c r="O668" s="69">
        <v>0</v>
      </c>
      <c r="P668" s="226">
        <f>VLOOKUP(Table323[[#This Row],[Census Tract]],'Population and Diversity Data'!$B$2:$K$823,10,FALSE)</f>
        <v>2</v>
      </c>
      <c r="Q668" s="226" t="str">
        <f>VLOOKUP(Table323[[#This Row],[Census Tract]],'ES Energy Burden'!$B$2:$E$914,4,FALSE)</f>
        <v>No</v>
      </c>
      <c r="R668" s="248">
        <f>VLOOKUP(Table323[[#This Row],[Census Tract]],'Income and Housing Data'!$B$2:$D$823,3,FALSE)</f>
        <v>113500</v>
      </c>
      <c r="S668" s="248" t="str">
        <f>IF($U$6&lt;=Table323[[#This Row],[Household income]],IF(Table323[[#This Row],[Household income]]&lt;=$U$7, "Yes","No"),"No")</f>
        <v>No</v>
      </c>
    </row>
    <row r="669" spans="1:19" x14ac:dyDescent="0.25">
      <c r="A669" s="147">
        <v>9009348111</v>
      </c>
      <c r="B669" s="148" t="s">
        <v>2835</v>
      </c>
      <c r="C669" s="150" t="s">
        <v>944</v>
      </c>
      <c r="D669" s="70">
        <v>50315.399804159999</v>
      </c>
      <c r="E669" s="70">
        <v>14313.4704</v>
      </c>
      <c r="F669" s="14">
        <v>13</v>
      </c>
      <c r="G669" s="14">
        <v>13</v>
      </c>
      <c r="H669" s="14">
        <v>0</v>
      </c>
      <c r="I669" s="14">
        <v>0</v>
      </c>
      <c r="J669" s="69">
        <v>13742.9704</v>
      </c>
      <c r="K669">
        <f t="shared" si="10"/>
        <v>0</v>
      </c>
      <c r="L669" s="14">
        <v>0</v>
      </c>
      <c r="M669" s="14">
        <v>0</v>
      </c>
      <c r="N669" s="14">
        <v>0</v>
      </c>
      <c r="O669" s="69">
        <v>0</v>
      </c>
      <c r="P669" s="226">
        <f>VLOOKUP(Table323[[#This Row],[Census Tract]],'Population and Diversity Data'!$B$2:$K$823,10,FALSE)</f>
        <v>2</v>
      </c>
      <c r="Q669" s="226" t="str">
        <f>VLOOKUP(Table323[[#This Row],[Census Tract]],'ES Energy Burden'!$B$2:$E$914,4,FALSE)</f>
        <v>No</v>
      </c>
      <c r="R669" s="248">
        <f>VLOOKUP(Table323[[#This Row],[Census Tract]],'Income and Housing Data'!$B$2:$D$823,3,FALSE)</f>
        <v>126534</v>
      </c>
      <c r="S669" s="248" t="str">
        <f>IF($U$6&lt;=Table323[[#This Row],[Household income]],IF(Table323[[#This Row],[Household income]]&lt;=$U$7, "Yes","No"),"No")</f>
        <v>No</v>
      </c>
    </row>
    <row r="670" spans="1:19" x14ac:dyDescent="0.25">
      <c r="A670" s="147">
        <v>9009348122</v>
      </c>
      <c r="B670" s="148" t="s">
        <v>2835</v>
      </c>
      <c r="C670" s="150" t="s">
        <v>944</v>
      </c>
      <c r="D670" s="70">
        <v>93121.412529599998</v>
      </c>
      <c r="E670" s="70">
        <v>28005.930799999998</v>
      </c>
      <c r="F670" s="14">
        <v>22</v>
      </c>
      <c r="G670" s="14">
        <v>22</v>
      </c>
      <c r="H670" s="14">
        <v>0</v>
      </c>
      <c r="I670" s="14">
        <v>0</v>
      </c>
      <c r="J670" s="69">
        <v>23769.1708</v>
      </c>
      <c r="K670">
        <f t="shared" si="10"/>
        <v>0</v>
      </c>
      <c r="L670" s="14">
        <v>0</v>
      </c>
      <c r="M670" s="14">
        <v>0</v>
      </c>
      <c r="N670" s="14">
        <v>0</v>
      </c>
      <c r="O670" s="69">
        <v>0</v>
      </c>
      <c r="P670" s="226">
        <f>VLOOKUP(Table323[[#This Row],[Census Tract]],'Population and Diversity Data'!$B$2:$K$823,10,FALSE)</f>
        <v>1</v>
      </c>
      <c r="Q670" s="226" t="str">
        <f>VLOOKUP(Table323[[#This Row],[Census Tract]],'ES Energy Burden'!$B$2:$E$914,4,FALSE)</f>
        <v>No</v>
      </c>
      <c r="R670" s="248">
        <f>VLOOKUP(Table323[[#This Row],[Census Tract]],'Income and Housing Data'!$B$2:$D$823,3,FALSE)</f>
        <v>136053</v>
      </c>
      <c r="S670" s="248" t="str">
        <f>IF($U$6&lt;=Table323[[#This Row],[Household income]],IF(Table323[[#This Row],[Household income]]&lt;=$U$7, "Yes","No"),"No")</f>
        <v>No</v>
      </c>
    </row>
    <row r="671" spans="1:19" x14ac:dyDescent="0.25">
      <c r="A671" s="147">
        <v>9009348123</v>
      </c>
      <c r="B671" s="148" t="s">
        <v>2835</v>
      </c>
      <c r="C671" s="150" t="s">
        <v>944</v>
      </c>
      <c r="D671" s="70">
        <v>126415.91280960001</v>
      </c>
      <c r="E671" s="70">
        <v>17211.9856</v>
      </c>
      <c r="F671" s="14">
        <v>21</v>
      </c>
      <c r="G671" s="14">
        <v>21</v>
      </c>
      <c r="H671" s="14">
        <v>0</v>
      </c>
      <c r="I671" s="14">
        <v>0</v>
      </c>
      <c r="J671" s="69">
        <v>17203.185600000001</v>
      </c>
      <c r="K671">
        <f t="shared" si="10"/>
        <v>0</v>
      </c>
      <c r="L671" s="14">
        <v>0</v>
      </c>
      <c r="M671" s="14">
        <v>0</v>
      </c>
      <c r="N671" s="14">
        <v>0</v>
      </c>
      <c r="O671" s="69">
        <v>0</v>
      </c>
      <c r="P671" s="226">
        <f>VLOOKUP(Table323[[#This Row],[Census Tract]],'Population and Diversity Data'!$B$2:$K$823,10,FALSE)</f>
        <v>3</v>
      </c>
      <c r="Q671" s="226" t="str">
        <f>VLOOKUP(Table323[[#This Row],[Census Tract]],'ES Energy Burden'!$B$2:$E$914,4,FALSE)</f>
        <v>No</v>
      </c>
      <c r="R671" s="248">
        <f>VLOOKUP(Table323[[#This Row],[Census Tract]],'Income and Housing Data'!$B$2:$D$823,3,FALSE)</f>
        <v>122431</v>
      </c>
      <c r="S671" s="248" t="str">
        <f>IF($U$6&lt;=Table323[[#This Row],[Household income]],IF(Table323[[#This Row],[Household income]]&lt;=$U$7, "Yes","No"),"No")</f>
        <v>No</v>
      </c>
    </row>
    <row r="672" spans="1:19" x14ac:dyDescent="0.25">
      <c r="A672" s="147">
        <v>9009348124</v>
      </c>
      <c r="B672" s="148" t="s">
        <v>2835</v>
      </c>
      <c r="C672" s="150" t="s">
        <v>944</v>
      </c>
      <c r="D672" s="70">
        <v>139376.27825568002</v>
      </c>
      <c r="E672" s="70">
        <v>20548.512500000001</v>
      </c>
      <c r="F672" s="14">
        <v>15</v>
      </c>
      <c r="G672" s="14">
        <v>15</v>
      </c>
      <c r="H672" s="14">
        <v>0</v>
      </c>
      <c r="I672" s="14">
        <v>0</v>
      </c>
      <c r="J672" s="69">
        <v>12545.112499999999</v>
      </c>
      <c r="K672">
        <f t="shared" si="10"/>
        <v>0</v>
      </c>
      <c r="L672" s="14">
        <v>0</v>
      </c>
      <c r="M672" s="14">
        <v>0</v>
      </c>
      <c r="N672" s="14">
        <v>0</v>
      </c>
      <c r="O672" s="69">
        <v>0</v>
      </c>
      <c r="P672" s="226">
        <f>VLOOKUP(Table323[[#This Row],[Census Tract]],'Population and Diversity Data'!$B$2:$K$823,10,FALSE)</f>
        <v>2</v>
      </c>
      <c r="Q672" s="226" t="str">
        <f>VLOOKUP(Table323[[#This Row],[Census Tract]],'ES Energy Burden'!$B$2:$E$914,4,FALSE)</f>
        <v>No</v>
      </c>
      <c r="R672" s="248">
        <f>VLOOKUP(Table323[[#This Row],[Census Tract]],'Income and Housing Data'!$B$2:$D$823,3,FALSE)</f>
        <v>59266</v>
      </c>
      <c r="S672" s="248" t="str">
        <f>IF($U$6&lt;=Table323[[#This Row],[Household income]],IF(Table323[[#This Row],[Household income]]&lt;=$U$7, "Yes","No"),"No")</f>
        <v>Yes</v>
      </c>
    </row>
    <row r="673" spans="1:19" x14ac:dyDescent="0.25">
      <c r="A673" s="147">
        <v>9009348125</v>
      </c>
      <c r="B673" s="148" t="s">
        <v>2835</v>
      </c>
      <c r="C673" s="150" t="s">
        <v>944</v>
      </c>
      <c r="D673" s="70">
        <v>157866.03194399999</v>
      </c>
      <c r="E673" s="70">
        <v>162406.00870000001</v>
      </c>
      <c r="F673" s="14">
        <v>34</v>
      </c>
      <c r="G673" s="14">
        <v>34</v>
      </c>
      <c r="H673" s="14">
        <v>0</v>
      </c>
      <c r="I673" s="14">
        <v>0</v>
      </c>
      <c r="J673" s="69">
        <v>102292.7187</v>
      </c>
      <c r="K673">
        <f t="shared" si="10"/>
        <v>14</v>
      </c>
      <c r="L673" s="14">
        <v>14</v>
      </c>
      <c r="M673" s="14">
        <v>0</v>
      </c>
      <c r="N673" s="14">
        <v>0</v>
      </c>
      <c r="O673" s="69">
        <v>12983.3</v>
      </c>
      <c r="P673" s="226">
        <f>VLOOKUP(Table323[[#This Row],[Census Tract]],'Population and Diversity Data'!$B$2:$K$823,10,FALSE)</f>
        <v>1</v>
      </c>
      <c r="Q673" s="226" t="str">
        <f>VLOOKUP(Table323[[#This Row],[Census Tract]],'ES Energy Burden'!$B$2:$E$914,4,FALSE)</f>
        <v>No</v>
      </c>
      <c r="R673" s="248">
        <f>VLOOKUP(Table323[[#This Row],[Census Tract]],'Income and Housing Data'!$B$2:$D$823,3,FALSE)</f>
        <v>65550</v>
      </c>
      <c r="S673" s="248" t="str">
        <f>IF($U$6&lt;=Table323[[#This Row],[Household income]],IF(Table323[[#This Row],[Household income]]&lt;=$U$7, "Yes","No"),"No")</f>
        <v>No</v>
      </c>
    </row>
    <row r="674" spans="1:19" x14ac:dyDescent="0.25">
      <c r="A674" s="147">
        <v>9003430100</v>
      </c>
      <c r="B674" s="148" t="s">
        <v>2836</v>
      </c>
      <c r="C674" s="150" t="s">
        <v>944</v>
      </c>
      <c r="D674" s="70">
        <v>65457.047030400005</v>
      </c>
      <c r="E674" s="70">
        <v>15117.22</v>
      </c>
      <c r="F674" s="14">
        <v>9</v>
      </c>
      <c r="G674" s="14">
        <v>9</v>
      </c>
      <c r="H674" s="14">
        <v>0</v>
      </c>
      <c r="I674" s="14">
        <v>0</v>
      </c>
      <c r="J674" s="69">
        <v>6377.95</v>
      </c>
      <c r="K674">
        <f t="shared" si="10"/>
        <v>0</v>
      </c>
      <c r="L674" s="14">
        <v>0</v>
      </c>
      <c r="M674" s="14">
        <v>0</v>
      </c>
      <c r="N674" s="14">
        <v>0</v>
      </c>
      <c r="O674" s="69">
        <v>0</v>
      </c>
      <c r="P674" s="226">
        <f>VLOOKUP(Table323[[#This Row],[Census Tract]],'Population and Diversity Data'!$B$2:$K$823,10,FALSE)</f>
        <v>3</v>
      </c>
      <c r="Q674" s="226" t="str">
        <f>VLOOKUP(Table323[[#This Row],[Census Tract]],'ES Energy Burden'!$B$2:$E$914,4,FALSE)</f>
        <v>No</v>
      </c>
      <c r="R674" s="248">
        <f>VLOOKUP(Table323[[#This Row],[Census Tract]],'Income and Housing Data'!$B$2:$D$823,3,FALSE)</f>
        <v>70689</v>
      </c>
      <c r="S674" s="248" t="str">
        <f>IF($U$6&lt;=Table323[[#This Row],[Household income]],IF(Table323[[#This Row],[Household income]]&lt;=$U$7, "Yes","No"),"No")</f>
        <v>No</v>
      </c>
    </row>
    <row r="675" spans="1:19" x14ac:dyDescent="0.25">
      <c r="A675" s="147">
        <v>9003430201</v>
      </c>
      <c r="B675" s="148" t="s">
        <v>2836</v>
      </c>
      <c r="C675" s="150" t="s">
        <v>944</v>
      </c>
      <c r="D675" s="70">
        <v>64134.59972256</v>
      </c>
      <c r="E675" s="70">
        <v>15521.53</v>
      </c>
      <c r="F675" s="14">
        <v>13</v>
      </c>
      <c r="G675" s="14">
        <v>13</v>
      </c>
      <c r="H675" s="14">
        <v>0</v>
      </c>
      <c r="I675" s="14">
        <v>0</v>
      </c>
      <c r="J675" s="69">
        <v>10204.469999999999</v>
      </c>
      <c r="K675">
        <f t="shared" si="10"/>
        <v>0</v>
      </c>
      <c r="L675" s="14">
        <v>0</v>
      </c>
      <c r="M675" s="14">
        <v>0</v>
      </c>
      <c r="N675" s="14">
        <v>0</v>
      </c>
      <c r="O675" s="69">
        <v>0</v>
      </c>
      <c r="P675" s="226">
        <f>VLOOKUP(Table323[[#This Row],[Census Tract]],'Population and Diversity Data'!$B$2:$K$823,10,FALSE)</f>
        <v>2</v>
      </c>
      <c r="Q675" s="226" t="str">
        <f>VLOOKUP(Table323[[#This Row],[Census Tract]],'ES Energy Burden'!$B$2:$E$914,4,FALSE)</f>
        <v>No</v>
      </c>
      <c r="R675" s="248">
        <f>VLOOKUP(Table323[[#This Row],[Census Tract]],'Income and Housing Data'!$B$2:$D$823,3,FALSE)</f>
        <v>90500</v>
      </c>
      <c r="S675" s="248" t="str">
        <f>IF($U$6&lt;=Table323[[#This Row],[Household income]],IF(Table323[[#This Row],[Household income]]&lt;=$U$7, "Yes","No"),"No")</f>
        <v>No</v>
      </c>
    </row>
    <row r="676" spans="1:19" x14ac:dyDescent="0.25">
      <c r="A676" s="147">
        <v>9003430202</v>
      </c>
      <c r="B676" s="148" t="s">
        <v>2836</v>
      </c>
      <c r="C676" s="150" t="s">
        <v>944</v>
      </c>
      <c r="D676" s="70">
        <v>98483.855832000001</v>
      </c>
      <c r="E676" s="70">
        <v>11144.9805</v>
      </c>
      <c r="F676" s="14">
        <v>19</v>
      </c>
      <c r="G676" s="14">
        <v>19</v>
      </c>
      <c r="H676" s="14">
        <v>0</v>
      </c>
      <c r="I676" s="14">
        <v>0</v>
      </c>
      <c r="J676" s="69">
        <v>11143.3505</v>
      </c>
      <c r="K676">
        <f t="shared" si="10"/>
        <v>0</v>
      </c>
      <c r="L676" s="14">
        <v>0</v>
      </c>
      <c r="M676" s="14">
        <v>0</v>
      </c>
      <c r="N676" s="14">
        <v>0</v>
      </c>
      <c r="O676" s="69">
        <v>0</v>
      </c>
      <c r="P676" s="226">
        <f>VLOOKUP(Table323[[#This Row],[Census Tract]],'Population and Diversity Data'!$B$2:$K$823,10,FALSE)</f>
        <v>2</v>
      </c>
      <c r="Q676" s="226" t="str">
        <f>VLOOKUP(Table323[[#This Row],[Census Tract]],'ES Energy Burden'!$B$2:$E$914,4,FALSE)</f>
        <v>No</v>
      </c>
      <c r="R676" s="248">
        <f>VLOOKUP(Table323[[#This Row],[Census Tract]],'Income and Housing Data'!$B$2:$D$823,3,FALSE)</f>
        <v>119042</v>
      </c>
      <c r="S676" s="248" t="str">
        <f>IF($U$6&lt;=Table323[[#This Row],[Household income]],IF(Table323[[#This Row],[Household income]]&lt;=$U$7, "Yes","No"),"No")</f>
        <v>No</v>
      </c>
    </row>
    <row r="677" spans="1:19" x14ac:dyDescent="0.25">
      <c r="A677" s="147">
        <v>9003430203</v>
      </c>
      <c r="B677" s="148" t="s">
        <v>2836</v>
      </c>
      <c r="C677" s="150" t="s">
        <v>944</v>
      </c>
      <c r="D677" s="70">
        <v>75692.323877759991</v>
      </c>
      <c r="E677" s="70">
        <v>10154.0301</v>
      </c>
      <c r="F677" s="14">
        <v>21</v>
      </c>
      <c r="G677" s="14">
        <v>21</v>
      </c>
      <c r="H677" s="14">
        <v>0</v>
      </c>
      <c r="I677" s="14">
        <v>0</v>
      </c>
      <c r="J677" s="69">
        <v>9477.7554999999993</v>
      </c>
      <c r="K677">
        <f t="shared" si="10"/>
        <v>0</v>
      </c>
      <c r="L677" s="14">
        <v>0</v>
      </c>
      <c r="M677" s="14">
        <v>0</v>
      </c>
      <c r="N677" s="14">
        <v>0</v>
      </c>
      <c r="O677" s="69">
        <v>0</v>
      </c>
      <c r="P677" s="226">
        <f>VLOOKUP(Table323[[#This Row],[Census Tract]],'Population and Diversity Data'!$B$2:$K$823,10,FALSE)</f>
        <v>2</v>
      </c>
      <c r="Q677" s="226" t="str">
        <f>VLOOKUP(Table323[[#This Row],[Census Tract]],'ES Energy Burden'!$B$2:$E$914,4,FALSE)</f>
        <v>No</v>
      </c>
      <c r="R677" s="248">
        <f>VLOOKUP(Table323[[#This Row],[Census Tract]],'Income and Housing Data'!$B$2:$D$823,3,FALSE)</f>
        <v>72813</v>
      </c>
      <c r="S677" s="248" t="str">
        <f>IF($U$6&lt;=Table323[[#This Row],[Household income]],IF(Table323[[#This Row],[Household income]]&lt;=$U$7, "Yes","No"),"No")</f>
        <v>No</v>
      </c>
    </row>
    <row r="678" spans="1:19" x14ac:dyDescent="0.25">
      <c r="A678" s="147">
        <v>9003430301</v>
      </c>
      <c r="B678" s="148" t="s">
        <v>2836</v>
      </c>
      <c r="C678" s="150" t="s">
        <v>944</v>
      </c>
      <c r="D678" s="70">
        <v>75158.816492159996</v>
      </c>
      <c r="E678" s="70">
        <v>47875.1031</v>
      </c>
      <c r="F678" s="14">
        <v>23</v>
      </c>
      <c r="G678" s="14">
        <v>23</v>
      </c>
      <c r="H678" s="14">
        <v>0</v>
      </c>
      <c r="I678" s="14">
        <v>0</v>
      </c>
      <c r="J678" s="69">
        <v>17199.7431</v>
      </c>
      <c r="K678">
        <f t="shared" si="10"/>
        <v>0</v>
      </c>
      <c r="L678" s="14">
        <v>0</v>
      </c>
      <c r="M678" s="14">
        <v>0</v>
      </c>
      <c r="N678" s="14">
        <v>0</v>
      </c>
      <c r="O678" s="69">
        <v>0</v>
      </c>
      <c r="P678" s="226">
        <f>VLOOKUP(Table323[[#This Row],[Census Tract]],'Population and Diversity Data'!$B$2:$K$823,10,FALSE)</f>
        <v>1</v>
      </c>
      <c r="Q678" s="226" t="str">
        <f>VLOOKUP(Table323[[#This Row],[Census Tract]],'ES Energy Burden'!$B$2:$E$914,4,FALSE)</f>
        <v>No</v>
      </c>
      <c r="R678" s="248">
        <f>VLOOKUP(Table323[[#This Row],[Census Tract]],'Income and Housing Data'!$B$2:$D$823,3,FALSE)</f>
        <v>131563</v>
      </c>
      <c r="S678" s="248" t="str">
        <f>IF($U$6&lt;=Table323[[#This Row],[Household income]],IF(Table323[[#This Row],[Household income]]&lt;=$U$7, "Yes","No"),"No")</f>
        <v>No</v>
      </c>
    </row>
    <row r="679" spans="1:19" x14ac:dyDescent="0.25">
      <c r="A679" s="147">
        <v>9003430302</v>
      </c>
      <c r="B679" s="148" t="s">
        <v>2836</v>
      </c>
      <c r="C679" s="150" t="s">
        <v>944</v>
      </c>
      <c r="D679" s="70">
        <v>52046.875036800004</v>
      </c>
      <c r="E679" s="70">
        <v>11547.05</v>
      </c>
      <c r="F679" s="14">
        <v>18</v>
      </c>
      <c r="G679" s="14">
        <v>18</v>
      </c>
      <c r="H679" s="14">
        <v>0</v>
      </c>
      <c r="I679" s="14">
        <v>0</v>
      </c>
      <c r="J679" s="69">
        <v>11479.38</v>
      </c>
      <c r="K679">
        <f t="shared" si="10"/>
        <v>0</v>
      </c>
      <c r="L679" s="14">
        <v>0</v>
      </c>
      <c r="M679" s="14">
        <v>0</v>
      </c>
      <c r="N679" s="14">
        <v>0</v>
      </c>
      <c r="O679" s="69">
        <v>0</v>
      </c>
      <c r="P679" s="226">
        <f>VLOOKUP(Table323[[#This Row],[Census Tract]],'Population and Diversity Data'!$B$2:$K$823,10,FALSE)</f>
        <v>1</v>
      </c>
      <c r="Q679" s="226" t="str">
        <f>VLOOKUP(Table323[[#This Row],[Census Tract]],'ES Energy Burden'!$B$2:$E$914,4,FALSE)</f>
        <v>No</v>
      </c>
      <c r="R679" s="248">
        <f>VLOOKUP(Table323[[#This Row],[Census Tract]],'Income and Housing Data'!$B$2:$D$823,3,FALSE)</f>
        <v>89900</v>
      </c>
      <c r="S679" s="248" t="str">
        <f>IF($U$6&lt;=Table323[[#This Row],[Household income]],IF(Table323[[#This Row],[Household income]]&lt;=$U$7, "Yes","No"),"No")</f>
        <v>No</v>
      </c>
    </row>
    <row r="680" spans="1:19" x14ac:dyDescent="0.25">
      <c r="A680" s="147">
        <v>9003430400</v>
      </c>
      <c r="B680" s="148" t="s">
        <v>2836</v>
      </c>
      <c r="C680" s="150" t="s">
        <v>944</v>
      </c>
      <c r="D680" s="70">
        <v>88148.191930559988</v>
      </c>
      <c r="E680" s="70">
        <v>81530.634699999995</v>
      </c>
      <c r="F680" s="14">
        <v>30</v>
      </c>
      <c r="G680" s="14">
        <v>29</v>
      </c>
      <c r="H680" s="14">
        <v>1</v>
      </c>
      <c r="I680" s="14">
        <v>0</v>
      </c>
      <c r="J680" s="69">
        <v>28698.010999999999</v>
      </c>
      <c r="K680">
        <f t="shared" si="10"/>
        <v>0</v>
      </c>
      <c r="L680" s="14">
        <v>0</v>
      </c>
      <c r="M680" s="14">
        <v>0</v>
      </c>
      <c r="N680" s="14">
        <v>0</v>
      </c>
      <c r="O680" s="69">
        <v>0</v>
      </c>
      <c r="P680" s="226">
        <f>VLOOKUP(Table323[[#This Row],[Census Tract]],'Population and Diversity Data'!$B$2:$K$823,10,FALSE)</f>
        <v>1</v>
      </c>
      <c r="Q680" s="226" t="str">
        <f>VLOOKUP(Table323[[#This Row],[Census Tract]],'ES Energy Burden'!$B$2:$E$914,4,FALSE)</f>
        <v>No</v>
      </c>
      <c r="R680" s="248">
        <f>VLOOKUP(Table323[[#This Row],[Census Tract]],'Income and Housing Data'!$B$2:$D$823,3,FALSE)</f>
        <v>90054</v>
      </c>
      <c r="S680" s="248" t="str">
        <f>IF($U$6&lt;=Table323[[#This Row],[Household income]],IF(Table323[[#This Row],[Household income]]&lt;=$U$7, "Yes","No"),"No")</f>
        <v>No</v>
      </c>
    </row>
    <row r="681" spans="1:19" x14ac:dyDescent="0.25">
      <c r="A681" s="147">
        <v>9003430500</v>
      </c>
      <c r="B681" s="148" t="s">
        <v>2836</v>
      </c>
      <c r="C681" s="150" t="s">
        <v>944</v>
      </c>
      <c r="D681" s="70">
        <v>135829.38208608003</v>
      </c>
      <c r="E681" s="70">
        <v>621202.5257</v>
      </c>
      <c r="F681" s="14">
        <v>156</v>
      </c>
      <c r="G681" s="14">
        <v>51</v>
      </c>
      <c r="H681" s="14">
        <v>0</v>
      </c>
      <c r="I681" s="14">
        <v>105</v>
      </c>
      <c r="J681" s="69">
        <v>94184.957699999999</v>
      </c>
      <c r="K681">
        <f t="shared" si="10"/>
        <v>193</v>
      </c>
      <c r="L681" s="14">
        <v>26</v>
      </c>
      <c r="M681" s="14">
        <v>0</v>
      </c>
      <c r="N681" s="14">
        <v>167</v>
      </c>
      <c r="O681" s="69">
        <v>513476</v>
      </c>
      <c r="P681" s="226">
        <f>VLOOKUP(Table323[[#This Row],[Census Tract]],'Population and Diversity Data'!$B$2:$K$823,10,FALSE)</f>
        <v>1</v>
      </c>
      <c r="Q681" s="226" t="str">
        <f>VLOOKUP(Table323[[#This Row],[Census Tract]],'ES Energy Burden'!$B$2:$E$914,4,FALSE)</f>
        <v>No</v>
      </c>
      <c r="R681" s="248">
        <f>VLOOKUP(Table323[[#This Row],[Census Tract]],'Income and Housing Data'!$B$2:$D$823,3,FALSE)</f>
        <v>116250</v>
      </c>
      <c r="S681" s="248" t="str">
        <f>IF($U$6&lt;=Table323[[#This Row],[Household income]],IF(Table323[[#This Row],[Household income]]&lt;=$U$7, "Yes","No"),"No")</f>
        <v>No</v>
      </c>
    </row>
    <row r="682" spans="1:19" x14ac:dyDescent="0.25">
      <c r="A682" s="147">
        <v>9003430601</v>
      </c>
      <c r="B682" s="148" t="s">
        <v>2836</v>
      </c>
      <c r="C682" s="150" t="s">
        <v>944</v>
      </c>
      <c r="D682" s="70">
        <v>116361.36461376</v>
      </c>
      <c r="E682" s="70">
        <v>22448.91</v>
      </c>
      <c r="F682" s="14">
        <v>22</v>
      </c>
      <c r="G682" s="14">
        <v>22</v>
      </c>
      <c r="H682" s="14">
        <v>0</v>
      </c>
      <c r="I682" s="14">
        <v>0</v>
      </c>
      <c r="J682" s="69">
        <v>12956.61</v>
      </c>
      <c r="K682">
        <f t="shared" si="10"/>
        <v>0</v>
      </c>
      <c r="L682" s="14">
        <v>0</v>
      </c>
      <c r="M682" s="14">
        <v>0</v>
      </c>
      <c r="N682" s="14">
        <v>0</v>
      </c>
      <c r="O682" s="69">
        <v>0</v>
      </c>
      <c r="P682" s="226">
        <f>VLOOKUP(Table323[[#This Row],[Census Tract]],'Population and Diversity Data'!$B$2:$K$823,10,FALSE)</f>
        <v>2</v>
      </c>
      <c r="Q682" s="226" t="str">
        <f>VLOOKUP(Table323[[#This Row],[Census Tract]],'ES Energy Burden'!$B$2:$E$914,4,FALSE)</f>
        <v>No</v>
      </c>
      <c r="R682" s="248">
        <f>VLOOKUP(Table323[[#This Row],[Census Tract]],'Income and Housing Data'!$B$2:$D$823,3,FALSE)</f>
        <v>56714</v>
      </c>
      <c r="S682" s="248" t="str">
        <f>IF($U$6&lt;=Table323[[#This Row],[Household income]],IF(Table323[[#This Row],[Household income]]&lt;=$U$7, "Yes","No"),"No")</f>
        <v>Yes</v>
      </c>
    </row>
    <row r="683" spans="1:19" x14ac:dyDescent="0.25">
      <c r="A683" s="147">
        <v>9003430602</v>
      </c>
      <c r="B683" s="148" t="s">
        <v>2836</v>
      </c>
      <c r="C683" s="150" t="s">
        <v>944</v>
      </c>
      <c r="D683" s="70">
        <v>67101.176217600005</v>
      </c>
      <c r="E683" s="70">
        <v>15712.5005</v>
      </c>
      <c r="F683" s="14">
        <v>23</v>
      </c>
      <c r="G683" s="14">
        <v>19</v>
      </c>
      <c r="H683" s="14">
        <v>4</v>
      </c>
      <c r="I683" s="14">
        <v>0</v>
      </c>
      <c r="J683" s="69">
        <v>15225.590200000001</v>
      </c>
      <c r="K683">
        <f t="shared" si="10"/>
        <v>0</v>
      </c>
      <c r="L683" s="14">
        <v>0</v>
      </c>
      <c r="M683" s="14">
        <v>0</v>
      </c>
      <c r="N683" s="14">
        <v>0</v>
      </c>
      <c r="O683" s="69">
        <v>0</v>
      </c>
      <c r="P683" s="226">
        <f>VLOOKUP(Table323[[#This Row],[Census Tract]],'Population and Diversity Data'!$B$2:$K$823,10,FALSE)</f>
        <v>2</v>
      </c>
      <c r="Q683" s="226" t="str">
        <f>VLOOKUP(Table323[[#This Row],[Census Tract]],'ES Energy Burden'!$B$2:$E$914,4,FALSE)</f>
        <v>No</v>
      </c>
      <c r="R683" s="248">
        <f>VLOOKUP(Table323[[#This Row],[Census Tract]],'Income and Housing Data'!$B$2:$D$823,3,FALSE)</f>
        <v>86651</v>
      </c>
      <c r="S683" s="248" t="str">
        <f>IF($U$6&lt;=Table323[[#This Row],[Household income]],IF(Table323[[#This Row],[Household income]]&lt;=$U$7, "Yes","No"),"No")</f>
        <v>No</v>
      </c>
    </row>
    <row r="684" spans="1:19" x14ac:dyDescent="0.25">
      <c r="A684" s="147">
        <v>9009343101</v>
      </c>
      <c r="B684" s="148" t="s">
        <v>2836</v>
      </c>
      <c r="C684" s="150" t="s">
        <v>944</v>
      </c>
      <c r="D684" s="70">
        <v>670.55143679999992</v>
      </c>
      <c r="E684" s="70">
        <v>2495.44</v>
      </c>
      <c r="F684" s="14">
        <v>1</v>
      </c>
      <c r="G684" s="14">
        <v>1</v>
      </c>
      <c r="H684" s="14">
        <v>0</v>
      </c>
      <c r="I684" s="14">
        <v>0</v>
      </c>
      <c r="J684" s="69">
        <v>1278.25</v>
      </c>
      <c r="K684">
        <f t="shared" si="10"/>
        <v>0</v>
      </c>
      <c r="L684" s="14">
        <v>0</v>
      </c>
      <c r="M684" s="14">
        <v>0</v>
      </c>
      <c r="N684" s="14">
        <v>0</v>
      </c>
      <c r="O684" s="69">
        <v>0</v>
      </c>
      <c r="P684" s="226">
        <f>VLOOKUP(Table323[[#This Row],[Census Tract]],'Population and Diversity Data'!$B$2:$K$823,10,FALSE)</f>
        <v>4</v>
      </c>
      <c r="Q684" s="226" t="str">
        <f>VLOOKUP(Table323[[#This Row],[Census Tract]],'ES Energy Burden'!$B$2:$E$914,4,FALSE)</f>
        <v>No</v>
      </c>
      <c r="R684" s="248">
        <f>VLOOKUP(Table323[[#This Row],[Census Tract]],'Income and Housing Data'!$B$2:$D$823,3,FALSE)</f>
        <v>121889</v>
      </c>
      <c r="S684" s="248" t="str">
        <f>IF($U$6&lt;=Table323[[#This Row],[Household income]],IF(Table323[[#This Row],[Household income]]&lt;=$U$7, "Yes","No"),"No")</f>
        <v>No</v>
      </c>
    </row>
    <row r="685" spans="1:19" x14ac:dyDescent="0.25">
      <c r="A685" s="147">
        <v>9011711100</v>
      </c>
      <c r="B685" s="148" t="s">
        <v>2837</v>
      </c>
      <c r="C685" s="150" t="s">
        <v>944</v>
      </c>
      <c r="D685" s="70">
        <v>56322.814993920008</v>
      </c>
      <c r="E685" s="70">
        <v>15629.35</v>
      </c>
      <c r="F685" s="14">
        <v>6</v>
      </c>
      <c r="G685" s="14">
        <v>4</v>
      </c>
      <c r="H685" s="14">
        <v>2</v>
      </c>
      <c r="I685" s="14">
        <v>0</v>
      </c>
      <c r="J685" s="69">
        <v>3221.59</v>
      </c>
      <c r="K685">
        <f t="shared" si="10"/>
        <v>3</v>
      </c>
      <c r="L685" s="14">
        <v>3</v>
      </c>
      <c r="M685" s="14">
        <v>0</v>
      </c>
      <c r="N685" s="14">
        <v>0</v>
      </c>
      <c r="O685" s="69">
        <v>5315.2</v>
      </c>
      <c r="P685" s="226">
        <f>VLOOKUP(Table323[[#This Row],[Census Tract]],'Population and Diversity Data'!$B$2:$K$823,10,FALSE)</f>
        <v>4</v>
      </c>
      <c r="Q685" s="226" t="str">
        <f>VLOOKUP(Table323[[#This Row],[Census Tract]],'ES Energy Burden'!$B$2:$E$914,4,FALSE)</f>
        <v>No</v>
      </c>
      <c r="R685" s="248">
        <f>VLOOKUP(Table323[[#This Row],[Census Tract]],'Income and Housing Data'!$B$2:$D$823,3,FALSE)</f>
        <v>68301</v>
      </c>
      <c r="S685" s="248" t="str">
        <f>IF($U$6&lt;=Table323[[#This Row],[Household income]],IF(Table323[[#This Row],[Household income]]&lt;=$U$7, "Yes","No"),"No")</f>
        <v>No</v>
      </c>
    </row>
    <row r="686" spans="1:19" x14ac:dyDescent="0.25">
      <c r="A686" s="147">
        <v>9011712100</v>
      </c>
      <c r="B686" s="148" t="s">
        <v>2837</v>
      </c>
      <c r="C686" s="150" t="s">
        <v>944</v>
      </c>
      <c r="D686" s="70">
        <v>349.02411840000002</v>
      </c>
      <c r="E686" s="70">
        <v>0</v>
      </c>
      <c r="F686" s="14">
        <v>0</v>
      </c>
      <c r="G686" s="14">
        <v>0</v>
      </c>
      <c r="H686" s="14">
        <v>0</v>
      </c>
      <c r="I686" s="14">
        <v>0</v>
      </c>
      <c r="J686" s="69">
        <v>0</v>
      </c>
      <c r="K686">
        <f t="shared" si="10"/>
        <v>0</v>
      </c>
      <c r="L686" s="14">
        <v>0</v>
      </c>
      <c r="M686" s="14">
        <v>0</v>
      </c>
      <c r="N686" s="14">
        <v>0</v>
      </c>
      <c r="O686" s="69">
        <v>0</v>
      </c>
      <c r="P686" s="226">
        <f>VLOOKUP(Table323[[#This Row],[Census Tract]],'Population and Diversity Data'!$B$2:$K$823,10,FALSE)</f>
        <v>1</v>
      </c>
      <c r="Q686" s="226" t="str">
        <f>VLOOKUP(Table323[[#This Row],[Census Tract]],'ES Energy Burden'!$B$2:$E$914,4,FALSE)</f>
        <v>No</v>
      </c>
      <c r="R686" s="248">
        <f>VLOOKUP(Table323[[#This Row],[Census Tract]],'Income and Housing Data'!$B$2:$D$823,3,FALSE)</f>
        <v>96719</v>
      </c>
      <c r="S686" s="248" t="str">
        <f>IF($U$6&lt;=Table323[[#This Row],[Household income]],IF(Table323[[#This Row],[Household income]]&lt;=$U$7, "Yes","No"),"No")</f>
        <v>No</v>
      </c>
    </row>
    <row r="687" spans="1:19" x14ac:dyDescent="0.25">
      <c r="A687" s="147">
        <v>9015825000</v>
      </c>
      <c r="B687" s="148" t="s">
        <v>2837</v>
      </c>
      <c r="C687" s="150" t="s">
        <v>944</v>
      </c>
      <c r="D687" s="70">
        <v>631.76068800000007</v>
      </c>
      <c r="E687" s="70">
        <v>0</v>
      </c>
      <c r="F687" s="14">
        <v>0</v>
      </c>
      <c r="G687" s="14">
        <v>0</v>
      </c>
      <c r="H687" s="14">
        <v>0</v>
      </c>
      <c r="I687" s="14">
        <v>0</v>
      </c>
      <c r="J687" s="69">
        <v>0</v>
      </c>
      <c r="K687">
        <f t="shared" si="10"/>
        <v>0</v>
      </c>
      <c r="L687" s="14">
        <v>0</v>
      </c>
      <c r="M687" s="14">
        <v>0</v>
      </c>
      <c r="N687" s="14">
        <v>0</v>
      </c>
      <c r="O687" s="69">
        <v>0</v>
      </c>
      <c r="P687" s="226">
        <f>VLOOKUP(Table323[[#This Row],[Census Tract]],'Population and Diversity Data'!$B$2:$K$823,10,FALSE)</f>
        <v>2</v>
      </c>
      <c r="Q687" s="226" t="str">
        <f>VLOOKUP(Table323[[#This Row],[Census Tract]],'ES Energy Burden'!$B$2:$E$914,4,FALSE)</f>
        <v>No</v>
      </c>
      <c r="R687" s="248">
        <f>VLOOKUP(Table323[[#This Row],[Census Tract]],'Income and Housing Data'!$B$2:$D$823,3,FALSE)</f>
        <v>86053</v>
      </c>
      <c r="S687" s="248" t="str">
        <f>IF($U$6&lt;=Table323[[#This Row],[Household income]],IF(Table323[[#This Row],[Household income]]&lt;=$U$7, "Yes","No"),"No")</f>
        <v>No</v>
      </c>
    </row>
    <row r="688" spans="1:19" x14ac:dyDescent="0.25">
      <c r="A688" s="147">
        <v>9013535200</v>
      </c>
      <c r="B688" s="148" t="s">
        <v>2838</v>
      </c>
      <c r="C688" s="150" t="s">
        <v>944</v>
      </c>
      <c r="D688" s="70">
        <v>356.42799360000004</v>
      </c>
      <c r="E688" s="70">
        <v>0</v>
      </c>
      <c r="F688" s="14">
        <v>0</v>
      </c>
      <c r="G688" s="14">
        <v>0</v>
      </c>
      <c r="H688" s="14">
        <v>0</v>
      </c>
      <c r="I688" s="14">
        <v>0</v>
      </c>
      <c r="J688" s="69">
        <v>0</v>
      </c>
      <c r="K688">
        <f t="shared" si="10"/>
        <v>0</v>
      </c>
      <c r="L688" s="14">
        <v>0</v>
      </c>
      <c r="M688" s="14">
        <v>0</v>
      </c>
      <c r="N688" s="14">
        <v>0</v>
      </c>
      <c r="O688" s="69">
        <v>0</v>
      </c>
      <c r="P688" s="226">
        <f>VLOOKUP(Table323[[#This Row],[Census Tract]],'Population and Diversity Data'!$B$2:$K$823,10,FALSE)</f>
        <v>5</v>
      </c>
      <c r="Q688" s="226" t="str">
        <f>VLOOKUP(Table323[[#This Row],[Census Tract]],'ES Energy Burden'!$B$2:$E$914,4,FALSE)</f>
        <v>No</v>
      </c>
      <c r="R688" s="248">
        <f>VLOOKUP(Table323[[#This Row],[Census Tract]],'Income and Housing Data'!$B$2:$D$823,3,FALSE)</f>
        <v>100833</v>
      </c>
      <c r="S688" s="248" t="str">
        <f>IF($U$6&lt;=Table323[[#This Row],[Household income]],IF(Table323[[#This Row],[Household income]]&lt;=$U$7, "Yes","No"),"No")</f>
        <v>No</v>
      </c>
    </row>
    <row r="689" spans="1:19" x14ac:dyDescent="0.25">
      <c r="A689" s="147">
        <v>9013840100</v>
      </c>
      <c r="B689" s="148" t="s">
        <v>2838</v>
      </c>
      <c r="C689" s="150" t="s">
        <v>944</v>
      </c>
      <c r="D689" s="70">
        <v>363.05616960000003</v>
      </c>
      <c r="E689" s="70">
        <v>0</v>
      </c>
      <c r="F689" s="14">
        <v>0</v>
      </c>
      <c r="G689" s="14">
        <v>0</v>
      </c>
      <c r="H689" s="14">
        <v>0</v>
      </c>
      <c r="I689" s="14">
        <v>0</v>
      </c>
      <c r="J689" s="69">
        <v>0</v>
      </c>
      <c r="K689">
        <f t="shared" si="10"/>
        <v>0</v>
      </c>
      <c r="L689" s="14">
        <v>0</v>
      </c>
      <c r="M689" s="14">
        <v>0</v>
      </c>
      <c r="N689" s="14">
        <v>0</v>
      </c>
      <c r="O689" s="69">
        <v>0</v>
      </c>
      <c r="P689" s="226">
        <f>VLOOKUP(Table323[[#This Row],[Census Tract]],'Population and Diversity Data'!$B$2:$K$823,10,FALSE)</f>
        <v>4</v>
      </c>
      <c r="Q689" s="226" t="str">
        <f>VLOOKUP(Table323[[#This Row],[Census Tract]],'ES Energy Burden'!$B$2:$E$914,4,FALSE)</f>
        <v>No</v>
      </c>
      <c r="R689" s="248">
        <f>VLOOKUP(Table323[[#This Row],[Census Tract]],'Income and Housing Data'!$B$2:$D$823,3,FALSE)</f>
        <v>76908</v>
      </c>
      <c r="S689" s="248" t="str">
        <f>IF($U$6&lt;=Table323[[#This Row],[Household income]],IF(Table323[[#This Row],[Household income]]&lt;=$U$7, "Yes","No"),"No")</f>
        <v>No</v>
      </c>
    </row>
    <row r="690" spans="1:19" x14ac:dyDescent="0.25">
      <c r="A690" s="147">
        <v>9013890100</v>
      </c>
      <c r="B690" s="148" t="s">
        <v>2838</v>
      </c>
      <c r="C690" s="150" t="s">
        <v>944</v>
      </c>
      <c r="D690" s="70">
        <v>78029.483569920005</v>
      </c>
      <c r="E690" s="70">
        <v>10995.81</v>
      </c>
      <c r="F690" s="14">
        <v>11</v>
      </c>
      <c r="G690" s="14">
        <v>10</v>
      </c>
      <c r="H690" s="14">
        <v>1</v>
      </c>
      <c r="I690" s="14">
        <v>0</v>
      </c>
      <c r="J690" s="69">
        <v>6890.41</v>
      </c>
      <c r="K690">
        <f t="shared" si="10"/>
        <v>0</v>
      </c>
      <c r="L690" s="14">
        <v>0</v>
      </c>
      <c r="M690" s="14">
        <v>0</v>
      </c>
      <c r="N690" s="14">
        <v>0</v>
      </c>
      <c r="O690" s="69">
        <v>0</v>
      </c>
      <c r="P690" s="226">
        <f>VLOOKUP(Table323[[#This Row],[Census Tract]],'Population and Diversity Data'!$B$2:$K$823,10,FALSE)</f>
        <v>2</v>
      </c>
      <c r="Q690" s="226" t="str">
        <f>VLOOKUP(Table323[[#This Row],[Census Tract]],'ES Energy Burden'!$B$2:$E$914,4,FALSE)</f>
        <v>No</v>
      </c>
      <c r="R690" s="248">
        <f>VLOOKUP(Table323[[#This Row],[Census Tract]],'Income and Housing Data'!$B$2:$D$823,3,FALSE)</f>
        <v>62054</v>
      </c>
      <c r="S690" s="248" t="str">
        <f>IF($U$6&lt;=Table323[[#This Row],[Household income]],IF(Table323[[#This Row],[Household income]]&lt;=$U$7, "Yes","No"),"No")</f>
        <v>Yes</v>
      </c>
    </row>
    <row r="691" spans="1:19" x14ac:dyDescent="0.25">
      <c r="A691" s="147">
        <v>9013890201</v>
      </c>
      <c r="B691" s="148" t="s">
        <v>2838</v>
      </c>
      <c r="C691" s="150" t="s">
        <v>944</v>
      </c>
      <c r="D691" s="70">
        <v>55163.823716159997</v>
      </c>
      <c r="E691" s="70">
        <v>10087.122799999999</v>
      </c>
      <c r="F691" s="14">
        <v>8</v>
      </c>
      <c r="G691" s="14">
        <v>8</v>
      </c>
      <c r="H691" s="14">
        <v>0</v>
      </c>
      <c r="I691" s="14">
        <v>0</v>
      </c>
      <c r="J691" s="69">
        <v>9123.8227999999999</v>
      </c>
      <c r="K691">
        <f t="shared" si="10"/>
        <v>0</v>
      </c>
      <c r="L691" s="14">
        <v>0</v>
      </c>
      <c r="M691" s="14">
        <v>0</v>
      </c>
      <c r="N691" s="14">
        <v>0</v>
      </c>
      <c r="O691" s="69">
        <v>0</v>
      </c>
      <c r="P691" s="226">
        <f>VLOOKUP(Table323[[#This Row],[Census Tract]],'Population and Diversity Data'!$B$2:$K$823,10,FALSE)</f>
        <v>4</v>
      </c>
      <c r="Q691" s="226" t="str">
        <f>VLOOKUP(Table323[[#This Row],[Census Tract]],'ES Energy Burden'!$B$2:$E$914,4,FALSE)</f>
        <v>No</v>
      </c>
      <c r="R691" s="248">
        <f>VLOOKUP(Table323[[#This Row],[Census Tract]],'Income and Housing Data'!$B$2:$D$823,3,FALSE)</f>
        <v>89292</v>
      </c>
      <c r="S691" s="248" t="str">
        <f>IF($U$6&lt;=Table323[[#This Row],[Household income]],IF(Table323[[#This Row],[Household income]]&lt;=$U$7, "Yes","No"),"No")</f>
        <v>No</v>
      </c>
    </row>
    <row r="692" spans="1:19" x14ac:dyDescent="0.25">
      <c r="A692" s="147">
        <v>9013890202</v>
      </c>
      <c r="B692" s="148" t="s">
        <v>2838</v>
      </c>
      <c r="C692" s="150" t="s">
        <v>944</v>
      </c>
      <c r="D692" s="70">
        <v>99367.681132800004</v>
      </c>
      <c r="E692" s="70">
        <v>72712.240000000005</v>
      </c>
      <c r="F692" s="14">
        <v>120</v>
      </c>
      <c r="G692" s="14">
        <v>20</v>
      </c>
      <c r="H692" s="14">
        <v>0</v>
      </c>
      <c r="I692" s="14">
        <v>100</v>
      </c>
      <c r="J692" s="69">
        <v>17810.63</v>
      </c>
      <c r="K692">
        <f t="shared" si="10"/>
        <v>19</v>
      </c>
      <c r="L692" s="14">
        <v>19</v>
      </c>
      <c r="M692" s="14">
        <v>0</v>
      </c>
      <c r="N692" s="14">
        <v>0</v>
      </c>
      <c r="O692" s="69">
        <v>29180.6</v>
      </c>
      <c r="P692" s="226">
        <f>VLOOKUP(Table323[[#This Row],[Census Tract]],'Population and Diversity Data'!$B$2:$K$823,10,FALSE)</f>
        <v>4</v>
      </c>
      <c r="Q692" s="226" t="str">
        <f>VLOOKUP(Table323[[#This Row],[Census Tract]],'ES Energy Burden'!$B$2:$E$914,4,FALSE)</f>
        <v>No</v>
      </c>
      <c r="R692" s="248">
        <f>VLOOKUP(Table323[[#This Row],[Census Tract]],'Income and Housing Data'!$B$2:$D$823,3,FALSE)</f>
        <v>89460</v>
      </c>
      <c r="S692" s="248" t="str">
        <f>IF($U$6&lt;=Table323[[#This Row],[Household income]],IF(Table323[[#This Row],[Household income]]&lt;=$U$7, "Yes","No"),"No")</f>
        <v>No</v>
      </c>
    </row>
    <row r="693" spans="1:19" x14ac:dyDescent="0.25">
      <c r="A693" s="147">
        <v>9001010202</v>
      </c>
      <c r="B693" s="148" t="s">
        <v>986</v>
      </c>
      <c r="C693" s="150" t="s">
        <v>944</v>
      </c>
      <c r="D693" s="70">
        <v>1173.3781824000002</v>
      </c>
      <c r="E693" s="70">
        <v>0</v>
      </c>
      <c r="F693" s="14">
        <v>0</v>
      </c>
      <c r="G693" s="14">
        <v>0</v>
      </c>
      <c r="H693" s="14">
        <v>0</v>
      </c>
      <c r="I693" s="14">
        <v>0</v>
      </c>
      <c r="J693" s="69">
        <v>0</v>
      </c>
      <c r="K693">
        <f t="shared" si="10"/>
        <v>0</v>
      </c>
      <c r="L693" s="14">
        <v>0</v>
      </c>
      <c r="M693" s="14">
        <v>0</v>
      </c>
      <c r="N693" s="14">
        <v>0</v>
      </c>
      <c r="O693" s="69">
        <v>0</v>
      </c>
      <c r="P693" s="226">
        <f>VLOOKUP(Table323[[#This Row],[Census Tract]],'Population and Diversity Data'!$B$2:$K$823,10,FALSE)</f>
        <v>4</v>
      </c>
      <c r="Q693" s="226" t="str">
        <f>VLOOKUP(Table323[[#This Row],[Census Tract]],'ES Energy Burden'!$B$2:$E$914,4,FALSE)</f>
        <v>No</v>
      </c>
      <c r="R693" s="248">
        <f>VLOOKUP(Table323[[#This Row],[Census Tract]],'Income and Housing Data'!$B$2:$D$823,3,FALSE)</f>
        <v>222839</v>
      </c>
      <c r="S693" s="248" t="str">
        <f>IF($U$6&lt;=Table323[[#This Row],[Household income]],IF(Table323[[#This Row],[Household income]]&lt;=$U$7, "Yes","No"),"No")</f>
        <v>No</v>
      </c>
    </row>
    <row r="694" spans="1:19" x14ac:dyDescent="0.25">
      <c r="A694" s="147">
        <v>9001020100</v>
      </c>
      <c r="B694" s="148" t="s">
        <v>986</v>
      </c>
      <c r="C694" s="150" t="s">
        <v>936</v>
      </c>
      <c r="D694" s="70">
        <v>150821.6672736</v>
      </c>
      <c r="E694" s="70">
        <v>883.96</v>
      </c>
      <c r="F694" s="14">
        <v>2</v>
      </c>
      <c r="G694" s="14">
        <v>2</v>
      </c>
      <c r="H694" s="14">
        <v>0</v>
      </c>
      <c r="I694" s="14">
        <v>0</v>
      </c>
      <c r="J694" s="69">
        <v>456.83</v>
      </c>
      <c r="K694">
        <f t="shared" si="10"/>
        <v>0</v>
      </c>
      <c r="L694" s="14">
        <v>0</v>
      </c>
      <c r="M694" s="14">
        <v>0</v>
      </c>
      <c r="N694" s="14">
        <v>0</v>
      </c>
      <c r="O694" s="69">
        <v>0</v>
      </c>
      <c r="P694" s="226">
        <f>VLOOKUP(Table323[[#This Row],[Census Tract]],'Population and Diversity Data'!$B$2:$K$823,10,FALSE)</f>
        <v>4</v>
      </c>
      <c r="Q694" s="226" t="str">
        <f>VLOOKUP(Table323[[#This Row],[Census Tract]],'ES Energy Burden'!$B$2:$E$914,4,FALSE)</f>
        <v>No</v>
      </c>
      <c r="R694" s="248">
        <f>VLOOKUP(Table323[[#This Row],[Census Tract]],'Income and Housing Data'!$B$2:$D$823,3,FALSE)</f>
        <v>63514</v>
      </c>
      <c r="S694" s="248" t="str">
        <f>IF($U$6&lt;=Table323[[#This Row],[Household income]],IF(Table323[[#This Row],[Household income]]&lt;=$U$7, "Yes","No"),"No")</f>
        <v>Yes</v>
      </c>
    </row>
    <row r="695" spans="1:19" x14ac:dyDescent="0.25">
      <c r="A695" s="147">
        <v>9001020200</v>
      </c>
      <c r="B695" s="148" t="s">
        <v>986</v>
      </c>
      <c r="C695" s="150" t="s">
        <v>944</v>
      </c>
      <c r="D695" s="70">
        <v>117012.98667456</v>
      </c>
      <c r="E695" s="70">
        <v>29147.88</v>
      </c>
      <c r="F695" s="14">
        <v>19</v>
      </c>
      <c r="G695" s="14">
        <v>19</v>
      </c>
      <c r="H695" s="14">
        <v>0</v>
      </c>
      <c r="I695" s="14">
        <v>0</v>
      </c>
      <c r="J695" s="69">
        <v>29143.27</v>
      </c>
      <c r="K695">
        <f t="shared" si="10"/>
        <v>0</v>
      </c>
      <c r="L695" s="14">
        <v>0</v>
      </c>
      <c r="M695" s="14">
        <v>0</v>
      </c>
      <c r="N695" s="14">
        <v>0</v>
      </c>
      <c r="O695" s="69">
        <v>0</v>
      </c>
      <c r="P695" s="226">
        <f>VLOOKUP(Table323[[#This Row],[Census Tract]],'Population and Diversity Data'!$B$2:$K$823,10,FALSE)</f>
        <v>4</v>
      </c>
      <c r="Q695" s="226" t="str">
        <f>VLOOKUP(Table323[[#This Row],[Census Tract]],'ES Energy Burden'!$B$2:$E$914,4,FALSE)</f>
        <v>No</v>
      </c>
      <c r="R695" s="248">
        <f>VLOOKUP(Table323[[#This Row],[Census Tract]],'Income and Housing Data'!$B$2:$D$823,3,FALSE)</f>
        <v>233750</v>
      </c>
      <c r="S695" s="248" t="str">
        <f>IF($U$6&lt;=Table323[[#This Row],[Household income]],IF(Table323[[#This Row],[Household income]]&lt;=$U$7, "Yes","No"),"No")</f>
        <v>No</v>
      </c>
    </row>
    <row r="696" spans="1:19" x14ac:dyDescent="0.25">
      <c r="A696" s="147">
        <v>9001020300</v>
      </c>
      <c r="B696" s="148" t="s">
        <v>986</v>
      </c>
      <c r="C696" s="150" t="s">
        <v>944</v>
      </c>
      <c r="D696" s="70">
        <v>317290.94373311999</v>
      </c>
      <c r="E696" s="70">
        <v>847186.2023</v>
      </c>
      <c r="F696" s="14">
        <v>1343</v>
      </c>
      <c r="G696" s="14">
        <v>36</v>
      </c>
      <c r="H696" s="14">
        <v>0</v>
      </c>
      <c r="I696" s="14">
        <v>1307</v>
      </c>
      <c r="J696" s="69">
        <v>278866.37969999999</v>
      </c>
      <c r="K696">
        <f t="shared" si="10"/>
        <v>272</v>
      </c>
      <c r="L696" s="14">
        <v>64</v>
      </c>
      <c r="M696" s="14">
        <v>0</v>
      </c>
      <c r="N696" s="14">
        <v>208</v>
      </c>
      <c r="O696" s="69">
        <v>567952</v>
      </c>
      <c r="P696" s="226">
        <f>VLOOKUP(Table323[[#This Row],[Census Tract]],'Population and Diversity Data'!$B$2:$K$823,10,FALSE)</f>
        <v>3</v>
      </c>
      <c r="Q696" s="226" t="str">
        <f>VLOOKUP(Table323[[#This Row],[Census Tract]],'ES Energy Burden'!$B$2:$E$914,4,FALSE)</f>
        <v>No</v>
      </c>
      <c r="R696" s="248">
        <f>VLOOKUP(Table323[[#This Row],[Census Tract]],'Income and Housing Data'!$B$2:$D$823,3,FALSE)</f>
        <v>196250</v>
      </c>
      <c r="S696" s="248" t="str">
        <f>IF($U$6&lt;=Table323[[#This Row],[Household income]],IF(Table323[[#This Row],[Household income]]&lt;=$U$7, "Yes","No"),"No")</f>
        <v>No</v>
      </c>
    </row>
    <row r="697" spans="1:19" x14ac:dyDescent="0.25">
      <c r="A697" s="147">
        <v>9001020400</v>
      </c>
      <c r="B697" s="148" t="s">
        <v>986</v>
      </c>
      <c r="C697" s="150" t="s">
        <v>944</v>
      </c>
      <c r="D697" s="70">
        <v>98807.302137599996</v>
      </c>
      <c r="E697" s="70">
        <v>11006.608099999999</v>
      </c>
      <c r="F697" s="14">
        <v>11</v>
      </c>
      <c r="G697" s="14">
        <v>11</v>
      </c>
      <c r="H697" s="14">
        <v>0</v>
      </c>
      <c r="I697" s="14">
        <v>0</v>
      </c>
      <c r="J697" s="69">
        <v>8056.8680999999997</v>
      </c>
      <c r="K697">
        <f t="shared" si="10"/>
        <v>0</v>
      </c>
      <c r="L697" s="14">
        <v>0</v>
      </c>
      <c r="M697" s="14">
        <v>0</v>
      </c>
      <c r="N697" s="14">
        <v>0</v>
      </c>
      <c r="O697" s="69">
        <v>0</v>
      </c>
      <c r="P697" s="226">
        <f>VLOOKUP(Table323[[#This Row],[Census Tract]],'Population and Diversity Data'!$B$2:$K$823,10,FALSE)</f>
        <v>4</v>
      </c>
      <c r="Q697" s="226" t="str">
        <f>VLOOKUP(Table323[[#This Row],[Census Tract]],'ES Energy Burden'!$B$2:$E$914,4,FALSE)</f>
        <v>No</v>
      </c>
      <c r="R697" s="248">
        <f>VLOOKUP(Table323[[#This Row],[Census Tract]],'Income and Housing Data'!$B$2:$D$823,3,FALSE)</f>
        <v>170972</v>
      </c>
      <c r="S697" s="248" t="str">
        <f>IF($U$6&lt;=Table323[[#This Row],[Household income]],IF(Table323[[#This Row],[Household income]]&lt;=$U$7, "Yes","No"),"No")</f>
        <v>No</v>
      </c>
    </row>
    <row r="698" spans="1:19" x14ac:dyDescent="0.25">
      <c r="A698" s="147">
        <v>9001020500</v>
      </c>
      <c r="B698" s="148" t="s">
        <v>986</v>
      </c>
      <c r="C698" s="150" t="s">
        <v>944</v>
      </c>
      <c r="D698" s="70">
        <v>134841.29239295999</v>
      </c>
      <c r="E698" s="70">
        <v>23276.3524</v>
      </c>
      <c r="F698" s="14">
        <v>26</v>
      </c>
      <c r="G698" s="14">
        <v>26</v>
      </c>
      <c r="H698" s="14">
        <v>0</v>
      </c>
      <c r="I698" s="14">
        <v>0</v>
      </c>
      <c r="J698" s="69">
        <v>19068.162400000001</v>
      </c>
      <c r="K698">
        <f t="shared" si="10"/>
        <v>0</v>
      </c>
      <c r="L698" s="14">
        <v>0</v>
      </c>
      <c r="M698" s="14">
        <v>0</v>
      </c>
      <c r="N698" s="14">
        <v>0</v>
      </c>
      <c r="O698" s="69">
        <v>0</v>
      </c>
      <c r="P698" s="226">
        <f>VLOOKUP(Table323[[#This Row],[Census Tract]],'Population and Diversity Data'!$B$2:$K$823,10,FALSE)</f>
        <v>3</v>
      </c>
      <c r="Q698" s="226" t="str">
        <f>VLOOKUP(Table323[[#This Row],[Census Tract]],'ES Energy Burden'!$B$2:$E$914,4,FALSE)</f>
        <v>No</v>
      </c>
      <c r="R698" s="248">
        <f>VLOOKUP(Table323[[#This Row],[Census Tract]],'Income and Housing Data'!$B$2:$D$823,3,FALSE)</f>
        <v>186324</v>
      </c>
      <c r="S698" s="248" t="str">
        <f>IF($U$6&lt;=Table323[[#This Row],[Household income]],IF(Table323[[#This Row],[Household income]]&lt;=$U$7, "Yes","No"),"No")</f>
        <v>No</v>
      </c>
    </row>
    <row r="699" spans="1:19" x14ac:dyDescent="0.25">
      <c r="A699" s="147">
        <v>9001020600</v>
      </c>
      <c r="B699" s="148" t="s">
        <v>986</v>
      </c>
      <c r="C699" s="150" t="s">
        <v>944</v>
      </c>
      <c r="D699" s="70">
        <v>109788.85834560001</v>
      </c>
      <c r="E699" s="70">
        <v>9380.7999999999993</v>
      </c>
      <c r="F699" s="14">
        <v>12</v>
      </c>
      <c r="G699" s="14">
        <v>12</v>
      </c>
      <c r="H699" s="14">
        <v>0</v>
      </c>
      <c r="I699" s="14">
        <v>0</v>
      </c>
      <c r="J699" s="69">
        <v>8737.5400000000009</v>
      </c>
      <c r="K699">
        <f t="shared" si="10"/>
        <v>0</v>
      </c>
      <c r="L699" s="14">
        <v>0</v>
      </c>
      <c r="M699" s="14">
        <v>0</v>
      </c>
      <c r="N699" s="14">
        <v>0</v>
      </c>
      <c r="O699" s="69">
        <v>0</v>
      </c>
      <c r="P699" s="226">
        <f>VLOOKUP(Table323[[#This Row],[Census Tract]],'Population and Diversity Data'!$B$2:$K$823,10,FALSE)</f>
        <v>4</v>
      </c>
      <c r="Q699" s="226" t="str">
        <f>VLOOKUP(Table323[[#This Row],[Census Tract]],'ES Energy Burden'!$B$2:$E$914,4,FALSE)</f>
        <v>No</v>
      </c>
      <c r="R699" s="248">
        <f>VLOOKUP(Table323[[#This Row],[Census Tract]],'Income and Housing Data'!$B$2:$D$823,3,FALSE)</f>
        <v>144519</v>
      </c>
      <c r="S699" s="248" t="str">
        <f>IF($U$6&lt;=Table323[[#This Row],[Household income]],IF(Table323[[#This Row],[Household income]]&lt;=$U$7, "Yes","No"),"No")</f>
        <v>No</v>
      </c>
    </row>
    <row r="700" spans="1:19" x14ac:dyDescent="0.25">
      <c r="A700" s="147">
        <v>9001020700</v>
      </c>
      <c r="B700" s="148" t="s">
        <v>986</v>
      </c>
      <c r="C700" s="150" t="s">
        <v>944</v>
      </c>
      <c r="D700" s="70">
        <v>93484.321084800002</v>
      </c>
      <c r="E700" s="70">
        <v>7756.2</v>
      </c>
      <c r="F700" s="14">
        <v>17</v>
      </c>
      <c r="G700" s="14">
        <v>17</v>
      </c>
      <c r="H700" s="14">
        <v>0</v>
      </c>
      <c r="I700" s="14">
        <v>0</v>
      </c>
      <c r="J700" s="69">
        <v>7746.42</v>
      </c>
      <c r="K700">
        <f t="shared" si="10"/>
        <v>0</v>
      </c>
      <c r="L700" s="14">
        <v>0</v>
      </c>
      <c r="M700" s="14">
        <v>0</v>
      </c>
      <c r="N700" s="14">
        <v>0</v>
      </c>
      <c r="O700" s="69">
        <v>0</v>
      </c>
      <c r="P700" s="226">
        <f>VLOOKUP(Table323[[#This Row],[Census Tract]],'Population and Diversity Data'!$B$2:$K$823,10,FALSE)</f>
        <v>3</v>
      </c>
      <c r="Q700" s="226" t="str">
        <f>VLOOKUP(Table323[[#This Row],[Census Tract]],'ES Energy Burden'!$B$2:$E$914,4,FALSE)</f>
        <v>No</v>
      </c>
      <c r="R700" s="248">
        <f>VLOOKUP(Table323[[#This Row],[Census Tract]],'Income and Housing Data'!$B$2:$D$823,3,FALSE)</f>
        <v>131897</v>
      </c>
      <c r="S700" s="248" t="str">
        <f>IF($U$6&lt;=Table323[[#This Row],[Household income]],IF(Table323[[#This Row],[Household income]]&lt;=$U$7, "Yes","No"),"No")</f>
        <v>No</v>
      </c>
    </row>
    <row r="701" spans="1:19" x14ac:dyDescent="0.25">
      <c r="A701" s="147">
        <v>9001020800</v>
      </c>
      <c r="B701" s="148" t="s">
        <v>986</v>
      </c>
      <c r="C701" s="150" t="s">
        <v>944</v>
      </c>
      <c r="D701" s="70">
        <v>60746.351405759997</v>
      </c>
      <c r="E701" s="70">
        <v>12748.1304</v>
      </c>
      <c r="F701" s="14">
        <v>12</v>
      </c>
      <c r="G701" s="14">
        <v>12</v>
      </c>
      <c r="H701" s="14">
        <v>0</v>
      </c>
      <c r="I701" s="14">
        <v>0</v>
      </c>
      <c r="J701" s="69">
        <v>7706.5403999999999</v>
      </c>
      <c r="K701">
        <f t="shared" si="10"/>
        <v>0</v>
      </c>
      <c r="L701" s="14">
        <v>0</v>
      </c>
      <c r="M701" s="14">
        <v>0</v>
      </c>
      <c r="N701" s="14">
        <v>0</v>
      </c>
      <c r="O701" s="69">
        <v>0</v>
      </c>
      <c r="P701" s="226">
        <f>VLOOKUP(Table323[[#This Row],[Census Tract]],'Population and Diversity Data'!$B$2:$K$823,10,FALSE)</f>
        <v>4</v>
      </c>
      <c r="Q701" s="226" t="str">
        <f>VLOOKUP(Table323[[#This Row],[Census Tract]],'ES Energy Burden'!$B$2:$E$914,4,FALSE)</f>
        <v>No</v>
      </c>
      <c r="R701" s="248">
        <f>VLOOKUP(Table323[[#This Row],[Census Tract]],'Income and Housing Data'!$B$2:$D$823,3,FALSE)</f>
        <v>168846</v>
      </c>
      <c r="S701" s="248" t="str">
        <f>IF($U$6&lt;=Table323[[#This Row],[Household income]],IF(Table323[[#This Row],[Household income]]&lt;=$U$7, "Yes","No"),"No")</f>
        <v>No</v>
      </c>
    </row>
    <row r="702" spans="1:19" x14ac:dyDescent="0.25">
      <c r="A702" s="147">
        <v>9001020900</v>
      </c>
      <c r="B702" s="148" t="s">
        <v>986</v>
      </c>
      <c r="C702" s="150" t="s">
        <v>944</v>
      </c>
      <c r="D702" s="70">
        <v>109799.58904416001</v>
      </c>
      <c r="E702" s="70">
        <v>8620.5794999999998</v>
      </c>
      <c r="F702" s="14">
        <v>11</v>
      </c>
      <c r="G702" s="14">
        <v>11</v>
      </c>
      <c r="H702" s="14">
        <v>0</v>
      </c>
      <c r="I702" s="14">
        <v>0</v>
      </c>
      <c r="J702" s="69">
        <v>6761.8095000000003</v>
      </c>
      <c r="K702">
        <f t="shared" si="10"/>
        <v>0</v>
      </c>
      <c r="L702" s="14">
        <v>0</v>
      </c>
      <c r="M702" s="14">
        <v>0</v>
      </c>
      <c r="N702" s="14">
        <v>0</v>
      </c>
      <c r="O702" s="69">
        <v>0</v>
      </c>
      <c r="P702" s="226">
        <f>VLOOKUP(Table323[[#This Row],[Census Tract]],'Population and Diversity Data'!$B$2:$K$823,10,FALSE)</f>
        <v>4</v>
      </c>
      <c r="Q702" s="226" t="str">
        <f>VLOOKUP(Table323[[#This Row],[Census Tract]],'ES Energy Burden'!$B$2:$E$914,4,FALSE)</f>
        <v>No</v>
      </c>
      <c r="R702" s="248">
        <f>VLOOKUP(Table323[[#This Row],[Census Tract]],'Income and Housing Data'!$B$2:$D$823,3,FALSE)</f>
        <v>64044</v>
      </c>
      <c r="S702" s="248" t="str">
        <f>IF($U$6&lt;=Table323[[#This Row],[Household income]],IF(Table323[[#This Row],[Household income]]&lt;=$U$7, "Yes","No"),"No")</f>
        <v>No</v>
      </c>
    </row>
    <row r="703" spans="1:19" x14ac:dyDescent="0.25">
      <c r="A703" s="147">
        <v>9001021000</v>
      </c>
      <c r="B703" s="148" t="s">
        <v>986</v>
      </c>
      <c r="C703" s="150" t="s">
        <v>944</v>
      </c>
      <c r="D703" s="70">
        <v>70717.539144959999</v>
      </c>
      <c r="E703" s="70">
        <v>2774.1374000000001</v>
      </c>
      <c r="F703" s="14">
        <v>7</v>
      </c>
      <c r="G703" s="14">
        <v>7</v>
      </c>
      <c r="H703" s="14">
        <v>0</v>
      </c>
      <c r="I703" s="14">
        <v>0</v>
      </c>
      <c r="J703" s="69">
        <v>2771.2274000000002</v>
      </c>
      <c r="K703">
        <f t="shared" si="10"/>
        <v>0</v>
      </c>
      <c r="L703" s="14">
        <v>0</v>
      </c>
      <c r="M703" s="14">
        <v>0</v>
      </c>
      <c r="N703" s="14">
        <v>0</v>
      </c>
      <c r="O703" s="69">
        <v>0</v>
      </c>
      <c r="P703" s="226">
        <f>VLOOKUP(Table323[[#This Row],[Census Tract]],'Population and Diversity Data'!$B$2:$K$823,10,FALSE)</f>
        <v>4</v>
      </c>
      <c r="Q703" s="226" t="str">
        <f>VLOOKUP(Table323[[#This Row],[Census Tract]],'ES Energy Burden'!$B$2:$E$914,4,FALSE)</f>
        <v>No</v>
      </c>
      <c r="R703" s="248">
        <f>VLOOKUP(Table323[[#This Row],[Census Tract]],'Income and Housing Data'!$B$2:$D$823,3,FALSE)</f>
        <v>133988</v>
      </c>
      <c r="S703" s="248" t="str">
        <f>IF($U$6&lt;=Table323[[#This Row],[Household income]],IF(Table323[[#This Row],[Household income]]&lt;=$U$7, "Yes","No"),"No")</f>
        <v>No</v>
      </c>
    </row>
    <row r="704" spans="1:19" x14ac:dyDescent="0.25">
      <c r="A704" s="147">
        <v>9001021100</v>
      </c>
      <c r="B704" s="148" t="s">
        <v>986</v>
      </c>
      <c r="C704" s="150" t="s">
        <v>944</v>
      </c>
      <c r="D704" s="70">
        <v>115220.04017471999</v>
      </c>
      <c r="E704" s="70">
        <v>8369.6</v>
      </c>
      <c r="F704" s="14">
        <v>12</v>
      </c>
      <c r="G704" s="14">
        <v>9</v>
      </c>
      <c r="H704" s="14">
        <v>3</v>
      </c>
      <c r="I704" s="14">
        <v>0</v>
      </c>
      <c r="J704" s="69">
        <v>6715.1</v>
      </c>
      <c r="K704">
        <f t="shared" si="10"/>
        <v>0</v>
      </c>
      <c r="L704" s="14">
        <v>0</v>
      </c>
      <c r="M704" s="14">
        <v>0</v>
      </c>
      <c r="N704" s="14">
        <v>0</v>
      </c>
      <c r="O704" s="69">
        <v>0</v>
      </c>
      <c r="P704" s="226">
        <f>VLOOKUP(Table323[[#This Row],[Census Tract]],'Population and Diversity Data'!$B$2:$K$823,10,FALSE)</f>
        <v>4</v>
      </c>
      <c r="Q704" s="226" t="str">
        <f>VLOOKUP(Table323[[#This Row],[Census Tract]],'ES Energy Burden'!$B$2:$E$914,4,FALSE)</f>
        <v>No</v>
      </c>
      <c r="R704" s="248">
        <f>VLOOKUP(Table323[[#This Row],[Census Tract]],'Income and Housing Data'!$B$2:$D$823,3,FALSE)</f>
        <v>103810</v>
      </c>
      <c r="S704" s="248" t="str">
        <f>IF($U$6&lt;=Table323[[#This Row],[Household income]],IF(Table323[[#This Row],[Household income]]&lt;=$U$7, "Yes","No"),"No")</f>
        <v>No</v>
      </c>
    </row>
    <row r="705" spans="1:19" x14ac:dyDescent="0.25">
      <c r="A705" s="147">
        <v>9001021200</v>
      </c>
      <c r="B705" s="148" t="s">
        <v>986</v>
      </c>
      <c r="C705" s="150" t="s">
        <v>944</v>
      </c>
      <c r="D705" s="70">
        <v>111285.65852063999</v>
      </c>
      <c r="E705" s="70">
        <v>23460</v>
      </c>
      <c r="F705" s="14">
        <v>23</v>
      </c>
      <c r="G705" s="14">
        <v>23</v>
      </c>
      <c r="H705" s="14">
        <v>0</v>
      </c>
      <c r="I705" s="14">
        <v>0</v>
      </c>
      <c r="J705" s="69">
        <v>17007.16</v>
      </c>
      <c r="K705">
        <f t="shared" si="10"/>
        <v>0</v>
      </c>
      <c r="L705" s="14">
        <v>0</v>
      </c>
      <c r="M705" s="14">
        <v>0</v>
      </c>
      <c r="N705" s="14">
        <v>0</v>
      </c>
      <c r="O705" s="69">
        <v>0</v>
      </c>
      <c r="P705" s="226">
        <f>VLOOKUP(Table323[[#This Row],[Census Tract]],'Population and Diversity Data'!$B$2:$K$823,10,FALSE)</f>
        <v>4</v>
      </c>
      <c r="Q705" s="226" t="str">
        <f>VLOOKUP(Table323[[#This Row],[Census Tract]],'ES Energy Burden'!$B$2:$E$914,4,FALSE)</f>
        <v>No</v>
      </c>
      <c r="R705" s="248">
        <f>VLOOKUP(Table323[[#This Row],[Census Tract]],'Income and Housing Data'!$B$2:$D$823,3,FALSE)</f>
        <v>138686</v>
      </c>
      <c r="S705" s="248" t="str">
        <f>IF($U$6&lt;=Table323[[#This Row],[Household income]],IF(Table323[[#This Row],[Household income]]&lt;=$U$7, "Yes","No"),"No")</f>
        <v>No</v>
      </c>
    </row>
    <row r="706" spans="1:19" x14ac:dyDescent="0.25">
      <c r="A706" s="147">
        <v>9001021300</v>
      </c>
      <c r="B706" s="148" t="s">
        <v>986</v>
      </c>
      <c r="C706" s="150" t="s">
        <v>944</v>
      </c>
      <c r="D706" s="70">
        <v>74577.157868159993</v>
      </c>
      <c r="E706" s="70">
        <v>8945.08</v>
      </c>
      <c r="F706" s="14">
        <v>11</v>
      </c>
      <c r="G706" s="14">
        <v>11</v>
      </c>
      <c r="H706" s="14">
        <v>0</v>
      </c>
      <c r="I706" s="14">
        <v>0</v>
      </c>
      <c r="J706" s="69">
        <v>5619.15</v>
      </c>
      <c r="K706">
        <f t="shared" si="10"/>
        <v>0</v>
      </c>
      <c r="L706" s="14">
        <v>0</v>
      </c>
      <c r="M706" s="14">
        <v>0</v>
      </c>
      <c r="N706" s="14">
        <v>0</v>
      </c>
      <c r="O706" s="69">
        <v>0</v>
      </c>
      <c r="P706" s="226">
        <f>VLOOKUP(Table323[[#This Row],[Census Tract]],'Population and Diversity Data'!$B$2:$K$823,10,FALSE)</f>
        <v>4</v>
      </c>
      <c r="Q706" s="226" t="str">
        <f>VLOOKUP(Table323[[#This Row],[Census Tract]],'ES Energy Burden'!$B$2:$E$914,4,FALSE)</f>
        <v>No</v>
      </c>
      <c r="R706" s="248">
        <f>VLOOKUP(Table323[[#This Row],[Census Tract]],'Income and Housing Data'!$B$2:$D$823,3,FALSE)</f>
        <v>112188</v>
      </c>
      <c r="S706" s="248" t="str">
        <f>IF($U$6&lt;=Table323[[#This Row],[Household income]],IF(Table323[[#This Row],[Household income]]&lt;=$U$7, "Yes","No"),"No")</f>
        <v>No</v>
      </c>
    </row>
    <row r="707" spans="1:19" x14ac:dyDescent="0.25">
      <c r="A707" s="147">
        <v>9001021400</v>
      </c>
      <c r="B707" s="148" t="s">
        <v>986</v>
      </c>
      <c r="C707" s="150" t="s">
        <v>944</v>
      </c>
      <c r="D707" s="70">
        <v>89294.912110079997</v>
      </c>
      <c r="E707" s="70">
        <v>4610.05</v>
      </c>
      <c r="F707" s="14">
        <v>3</v>
      </c>
      <c r="G707" s="14">
        <v>3</v>
      </c>
      <c r="H707" s="14">
        <v>0</v>
      </c>
      <c r="I707" s="14">
        <v>0</v>
      </c>
      <c r="J707" s="69">
        <v>573.89</v>
      </c>
      <c r="K707">
        <f t="shared" si="10"/>
        <v>0</v>
      </c>
      <c r="L707" s="14">
        <v>0</v>
      </c>
      <c r="M707" s="14">
        <v>0</v>
      </c>
      <c r="N707" s="14">
        <v>0</v>
      </c>
      <c r="O707" s="69">
        <v>0</v>
      </c>
      <c r="P707" s="226">
        <f>VLOOKUP(Table323[[#This Row],[Census Tract]],'Population and Diversity Data'!$B$2:$K$823,10,FALSE)</f>
        <v>4</v>
      </c>
      <c r="Q707" s="226" t="str">
        <f>VLOOKUP(Table323[[#This Row],[Census Tract]],'ES Energy Burden'!$B$2:$E$914,4,FALSE)</f>
        <v>No</v>
      </c>
      <c r="R707" s="248">
        <f>VLOOKUP(Table323[[#This Row],[Census Tract]],'Income and Housing Data'!$B$2:$D$823,3,FALSE)</f>
        <v>46566</v>
      </c>
      <c r="S707" s="248" t="str">
        <f>IF($U$6&lt;=Table323[[#This Row],[Household income]],IF(Table323[[#This Row],[Household income]]&lt;=$U$7, "Yes","No"),"No")</f>
        <v>No</v>
      </c>
    </row>
    <row r="708" spans="1:19" x14ac:dyDescent="0.25">
      <c r="A708" s="147">
        <v>9001021500</v>
      </c>
      <c r="B708" s="148" t="s">
        <v>986</v>
      </c>
      <c r="C708" s="150" t="s">
        <v>944</v>
      </c>
      <c r="D708" s="70">
        <v>65225.455666560003</v>
      </c>
      <c r="E708" s="70">
        <v>403</v>
      </c>
      <c r="F708" s="14">
        <v>1</v>
      </c>
      <c r="G708" s="14">
        <v>0</v>
      </c>
      <c r="H708" s="14">
        <v>1</v>
      </c>
      <c r="I708" s="14">
        <v>0</v>
      </c>
      <c r="J708" s="69">
        <v>281.32</v>
      </c>
      <c r="K708">
        <f t="shared" si="10"/>
        <v>0</v>
      </c>
      <c r="L708" s="14">
        <v>0</v>
      </c>
      <c r="M708" s="14">
        <v>0</v>
      </c>
      <c r="N708" s="14">
        <v>0</v>
      </c>
      <c r="O708" s="69">
        <v>0</v>
      </c>
      <c r="P708" s="226">
        <f>VLOOKUP(Table323[[#This Row],[Census Tract]],'Population and Diversity Data'!$B$2:$K$823,10,FALSE)</f>
        <v>5</v>
      </c>
      <c r="Q708" s="226" t="str">
        <f>VLOOKUP(Table323[[#This Row],[Census Tract]],'ES Energy Burden'!$B$2:$E$914,4,FALSE)</f>
        <v>No</v>
      </c>
      <c r="R708" s="248">
        <f>VLOOKUP(Table323[[#This Row],[Census Tract]],'Income and Housing Data'!$B$2:$D$823,3,FALSE)</f>
        <v>43357</v>
      </c>
      <c r="S708" s="248" t="str">
        <f>IF($U$6&lt;=Table323[[#This Row],[Household income]],IF(Table323[[#This Row],[Household income]]&lt;=$U$7, "Yes","No"),"No")</f>
        <v>No</v>
      </c>
    </row>
    <row r="709" spans="1:19" x14ac:dyDescent="0.25">
      <c r="A709" s="147">
        <v>9001021600</v>
      </c>
      <c r="B709" s="148" t="s">
        <v>986</v>
      </c>
      <c r="C709" s="150" t="s">
        <v>944</v>
      </c>
      <c r="D709" s="70">
        <v>103216.67104032</v>
      </c>
      <c r="E709" s="70">
        <v>6524.6980000000003</v>
      </c>
      <c r="F709" s="14">
        <v>1</v>
      </c>
      <c r="G709" s="14">
        <v>1</v>
      </c>
      <c r="H709" s="14">
        <v>0</v>
      </c>
      <c r="I709" s="14">
        <v>0</v>
      </c>
      <c r="J709" s="69">
        <v>692.59299999999996</v>
      </c>
      <c r="K709">
        <f t="shared" si="10"/>
        <v>0</v>
      </c>
      <c r="L709" s="14">
        <v>0</v>
      </c>
      <c r="M709" s="14">
        <v>0</v>
      </c>
      <c r="N709" s="14">
        <v>0</v>
      </c>
      <c r="O709" s="69">
        <v>0</v>
      </c>
      <c r="P709" s="226">
        <f>VLOOKUP(Table323[[#This Row],[Census Tract]],'Population and Diversity Data'!$B$2:$K$823,10,FALSE)</f>
        <v>5</v>
      </c>
      <c r="Q709" s="226" t="str">
        <f>VLOOKUP(Table323[[#This Row],[Census Tract]],'ES Energy Burden'!$B$2:$E$914,4,FALSE)</f>
        <v>No</v>
      </c>
      <c r="R709" s="248">
        <f>VLOOKUP(Table323[[#This Row],[Census Tract]],'Income and Housing Data'!$B$2:$D$823,3,FALSE)</f>
        <v>85420</v>
      </c>
      <c r="S709" s="248" t="str">
        <f>IF($U$6&lt;=Table323[[#This Row],[Household income]],IF(Table323[[#This Row],[Household income]]&lt;=$U$7, "Yes","No"),"No")</f>
        <v>No</v>
      </c>
    </row>
    <row r="710" spans="1:19" x14ac:dyDescent="0.25">
      <c r="A710" s="147">
        <v>9001021700</v>
      </c>
      <c r="B710" s="148" t="s">
        <v>986</v>
      </c>
      <c r="C710" s="150" t="s">
        <v>944</v>
      </c>
      <c r="D710" s="70">
        <v>122222.74864032</v>
      </c>
      <c r="E710" s="70">
        <v>10284.4203</v>
      </c>
      <c r="F710" s="14">
        <v>3</v>
      </c>
      <c r="G710" s="14">
        <v>2</v>
      </c>
      <c r="H710" s="14">
        <v>1</v>
      </c>
      <c r="I710" s="14">
        <v>0</v>
      </c>
      <c r="J710" s="69">
        <v>2124.2503000000002</v>
      </c>
      <c r="K710">
        <f t="shared" ref="K710:K773" si="11">L710+M710+N710</f>
        <v>0</v>
      </c>
      <c r="L710" s="14">
        <v>0</v>
      </c>
      <c r="M710" s="14">
        <v>0</v>
      </c>
      <c r="N710" s="14">
        <v>0</v>
      </c>
      <c r="O710" s="69">
        <v>0</v>
      </c>
      <c r="P710" s="226">
        <f>VLOOKUP(Table323[[#This Row],[Census Tract]],'Population and Diversity Data'!$B$2:$K$823,10,FALSE)</f>
        <v>5</v>
      </c>
      <c r="Q710" s="226" t="str">
        <f>VLOOKUP(Table323[[#This Row],[Census Tract]],'ES Energy Burden'!$B$2:$E$914,4,FALSE)</f>
        <v>No</v>
      </c>
      <c r="R710" s="248">
        <f>VLOOKUP(Table323[[#This Row],[Census Tract]],'Income and Housing Data'!$B$2:$D$823,3,FALSE)</f>
        <v>86705</v>
      </c>
      <c r="S710" s="248" t="str">
        <f>IF($U$6&lt;=Table323[[#This Row],[Household income]],IF(Table323[[#This Row],[Household income]]&lt;=$U$7, "Yes","No"),"No")</f>
        <v>No</v>
      </c>
    </row>
    <row r="711" spans="1:19" x14ac:dyDescent="0.25">
      <c r="A711" s="147">
        <v>9001021801</v>
      </c>
      <c r="B711" s="148" t="s">
        <v>986</v>
      </c>
      <c r="C711" s="150" t="s">
        <v>944</v>
      </c>
      <c r="D711" s="70">
        <v>63583.488017279997</v>
      </c>
      <c r="E711" s="70">
        <v>9221.6200000000008</v>
      </c>
      <c r="F711" s="14">
        <v>5</v>
      </c>
      <c r="G711" s="14">
        <v>5</v>
      </c>
      <c r="H711" s="14">
        <v>0</v>
      </c>
      <c r="I711" s="14">
        <v>0</v>
      </c>
      <c r="J711" s="69">
        <v>1049.4100000000001</v>
      </c>
      <c r="K711">
        <f t="shared" si="11"/>
        <v>0</v>
      </c>
      <c r="L711" s="14">
        <v>0</v>
      </c>
      <c r="M711" s="14">
        <v>0</v>
      </c>
      <c r="N711" s="14">
        <v>0</v>
      </c>
      <c r="O711" s="69">
        <v>0</v>
      </c>
      <c r="P711" s="226">
        <f>VLOOKUP(Table323[[#This Row],[Census Tract]],'Population and Diversity Data'!$B$2:$K$823,10,FALSE)</f>
        <v>5</v>
      </c>
      <c r="Q711" s="226" t="str">
        <f>VLOOKUP(Table323[[#This Row],[Census Tract]],'ES Energy Burden'!$B$2:$E$914,4,FALSE)</f>
        <v>No</v>
      </c>
      <c r="R711" s="248">
        <f>VLOOKUP(Table323[[#This Row],[Census Tract]],'Income and Housing Data'!$B$2:$D$823,3,FALSE)</f>
        <v>99112</v>
      </c>
      <c r="S711" s="248" t="str">
        <f>IF($U$6&lt;=Table323[[#This Row],[Household income]],IF(Table323[[#This Row],[Household income]]&lt;=$U$7, "Yes","No"),"No")</f>
        <v>No</v>
      </c>
    </row>
    <row r="712" spans="1:19" x14ac:dyDescent="0.25">
      <c r="A712" s="147">
        <v>9001021802</v>
      </c>
      <c r="B712" s="148" t="s">
        <v>986</v>
      </c>
      <c r="C712" s="150" t="s">
        <v>944</v>
      </c>
      <c r="D712" s="70">
        <v>76084.431719040003</v>
      </c>
      <c r="E712" s="70">
        <v>9793.5617999999995</v>
      </c>
      <c r="F712" s="14">
        <v>9</v>
      </c>
      <c r="G712" s="14">
        <v>9</v>
      </c>
      <c r="H712" s="14">
        <v>0</v>
      </c>
      <c r="I712" s="14">
        <v>0</v>
      </c>
      <c r="J712" s="69">
        <v>4865.0118000000002</v>
      </c>
      <c r="K712">
        <f t="shared" si="11"/>
        <v>0</v>
      </c>
      <c r="L712" s="14">
        <v>0</v>
      </c>
      <c r="M712" s="14">
        <v>0</v>
      </c>
      <c r="N712" s="14">
        <v>0</v>
      </c>
      <c r="O712" s="69">
        <v>0</v>
      </c>
      <c r="P712" s="226">
        <f>VLOOKUP(Table323[[#This Row],[Census Tract]],'Population and Diversity Data'!$B$2:$K$823,10,FALSE)</f>
        <v>5</v>
      </c>
      <c r="Q712" s="226" t="str">
        <f>VLOOKUP(Table323[[#This Row],[Census Tract]],'ES Energy Burden'!$B$2:$E$914,4,FALSE)</f>
        <v>No</v>
      </c>
      <c r="R712" s="248">
        <f>VLOOKUP(Table323[[#This Row],[Census Tract]],'Income and Housing Data'!$B$2:$D$823,3,FALSE)</f>
        <v>68599</v>
      </c>
      <c r="S712" s="248" t="str">
        <f>IF($U$6&lt;=Table323[[#This Row],[Household income]],IF(Table323[[#This Row],[Household income]]&lt;=$U$7, "Yes","No"),"No")</f>
        <v>No</v>
      </c>
    </row>
    <row r="713" spans="1:19" x14ac:dyDescent="0.25">
      <c r="A713" s="147">
        <v>9001021900</v>
      </c>
      <c r="B713" s="148" t="s">
        <v>986</v>
      </c>
      <c r="C713" s="150" t="s">
        <v>944</v>
      </c>
      <c r="D713" s="70">
        <v>117333.27924191998</v>
      </c>
      <c r="E713" s="70">
        <v>10290.35</v>
      </c>
      <c r="F713" s="14">
        <v>9</v>
      </c>
      <c r="G713" s="14">
        <v>8</v>
      </c>
      <c r="H713" s="14">
        <v>1</v>
      </c>
      <c r="I713" s="14">
        <v>0</v>
      </c>
      <c r="J713" s="69">
        <v>5901.83</v>
      </c>
      <c r="K713">
        <f t="shared" si="11"/>
        <v>0</v>
      </c>
      <c r="L713" s="14">
        <v>0</v>
      </c>
      <c r="M713" s="14">
        <v>0</v>
      </c>
      <c r="N713" s="14">
        <v>0</v>
      </c>
      <c r="O713" s="69">
        <v>0</v>
      </c>
      <c r="P713" s="226">
        <f>VLOOKUP(Table323[[#This Row],[Census Tract]],'Population and Diversity Data'!$B$2:$K$823,10,FALSE)</f>
        <v>4</v>
      </c>
      <c r="Q713" s="226" t="str">
        <f>VLOOKUP(Table323[[#This Row],[Census Tract]],'ES Energy Burden'!$B$2:$E$914,4,FALSE)</f>
        <v>No</v>
      </c>
      <c r="R713" s="248">
        <f>VLOOKUP(Table323[[#This Row],[Census Tract]],'Income and Housing Data'!$B$2:$D$823,3,FALSE)</f>
        <v>66250</v>
      </c>
      <c r="S713" s="248" t="str">
        <f>IF($U$6&lt;=Table323[[#This Row],[Household income]],IF(Table323[[#This Row],[Household income]]&lt;=$U$7, "Yes","No"),"No")</f>
        <v>No</v>
      </c>
    </row>
    <row r="714" spans="1:19" x14ac:dyDescent="0.25">
      <c r="A714" s="147">
        <v>9001022000</v>
      </c>
      <c r="B714" s="148" t="s">
        <v>986</v>
      </c>
      <c r="C714" s="150" t="s">
        <v>944</v>
      </c>
      <c r="D714" s="70">
        <v>37835.245998719998</v>
      </c>
      <c r="E714" s="70">
        <v>6324.97</v>
      </c>
      <c r="F714" s="14">
        <v>1</v>
      </c>
      <c r="G714" s="14">
        <v>1</v>
      </c>
      <c r="H714" s="14">
        <v>0</v>
      </c>
      <c r="I714" s="14">
        <v>0</v>
      </c>
      <c r="J714" s="69">
        <v>157.43</v>
      </c>
      <c r="K714">
        <f t="shared" si="11"/>
        <v>0</v>
      </c>
      <c r="L714" s="14">
        <v>0</v>
      </c>
      <c r="M714" s="14">
        <v>0</v>
      </c>
      <c r="N714" s="14">
        <v>0</v>
      </c>
      <c r="O714" s="69">
        <v>0</v>
      </c>
      <c r="P714" s="226">
        <f>VLOOKUP(Table323[[#This Row],[Census Tract]],'Population and Diversity Data'!$B$2:$K$823,10,FALSE)</f>
        <v>4</v>
      </c>
      <c r="Q714" s="226" t="str">
        <f>VLOOKUP(Table323[[#This Row],[Census Tract]],'ES Energy Burden'!$B$2:$E$914,4,FALSE)</f>
        <v>No</v>
      </c>
      <c r="R714" s="248">
        <f>VLOOKUP(Table323[[#This Row],[Census Tract]],'Income and Housing Data'!$B$2:$D$823,3,FALSE)</f>
        <v>82753</v>
      </c>
      <c r="S714" s="248" t="str">
        <f>IF($U$6&lt;=Table323[[#This Row],[Household income]],IF(Table323[[#This Row],[Household income]]&lt;=$U$7, "Yes","No"),"No")</f>
        <v>No</v>
      </c>
    </row>
    <row r="715" spans="1:19" x14ac:dyDescent="0.25">
      <c r="A715" s="147">
        <v>9001022100</v>
      </c>
      <c r="B715" s="148" t="s">
        <v>986</v>
      </c>
      <c r="C715" s="150" t="s">
        <v>944</v>
      </c>
      <c r="D715" s="70">
        <v>92737.622036159999</v>
      </c>
      <c r="E715" s="70">
        <v>5543.82</v>
      </c>
      <c r="F715" s="14">
        <v>6</v>
      </c>
      <c r="G715" s="14">
        <v>5</v>
      </c>
      <c r="H715" s="14">
        <v>1</v>
      </c>
      <c r="I715" s="14">
        <v>0</v>
      </c>
      <c r="J715" s="69">
        <v>3622.33</v>
      </c>
      <c r="K715">
        <f t="shared" si="11"/>
        <v>0</v>
      </c>
      <c r="L715" s="14">
        <v>0</v>
      </c>
      <c r="M715" s="14">
        <v>0</v>
      </c>
      <c r="N715" s="14">
        <v>0</v>
      </c>
      <c r="O715" s="69">
        <v>0</v>
      </c>
      <c r="P715" s="226">
        <f>VLOOKUP(Table323[[#This Row],[Census Tract]],'Population and Diversity Data'!$B$2:$K$823,10,FALSE)</f>
        <v>5</v>
      </c>
      <c r="Q715" s="226" t="str">
        <f>VLOOKUP(Table323[[#This Row],[Census Tract]],'ES Energy Burden'!$B$2:$E$914,4,FALSE)</f>
        <v>No</v>
      </c>
      <c r="R715" s="248">
        <f>VLOOKUP(Table323[[#This Row],[Census Tract]],'Income and Housing Data'!$B$2:$D$823,3,FALSE)</f>
        <v>58273</v>
      </c>
      <c r="S715" s="248" t="str">
        <f>IF($U$6&lt;=Table323[[#This Row],[Household income]],IF(Table323[[#This Row],[Household income]]&lt;=$U$7, "Yes","No"),"No")</f>
        <v>Yes</v>
      </c>
    </row>
    <row r="716" spans="1:19" x14ac:dyDescent="0.25">
      <c r="A716" s="147">
        <v>9001022200</v>
      </c>
      <c r="B716" s="148" t="s">
        <v>986</v>
      </c>
      <c r="C716" s="150" t="s">
        <v>944</v>
      </c>
      <c r="D716" s="70">
        <v>81861.026613120019</v>
      </c>
      <c r="E716" s="70">
        <v>0</v>
      </c>
      <c r="F716" s="14">
        <v>0</v>
      </c>
      <c r="G716" s="14">
        <v>0</v>
      </c>
      <c r="H716" s="14">
        <v>0</v>
      </c>
      <c r="I716" s="14">
        <v>0</v>
      </c>
      <c r="J716" s="69">
        <v>0</v>
      </c>
      <c r="K716">
        <f t="shared" si="11"/>
        <v>0</v>
      </c>
      <c r="L716" s="14">
        <v>0</v>
      </c>
      <c r="M716" s="14">
        <v>0</v>
      </c>
      <c r="N716" s="14">
        <v>0</v>
      </c>
      <c r="O716" s="69">
        <v>0</v>
      </c>
      <c r="P716" s="226">
        <f>VLOOKUP(Table323[[#This Row],[Census Tract]],'Population and Diversity Data'!$B$2:$K$823,10,FALSE)</f>
        <v>5</v>
      </c>
      <c r="Q716" s="226" t="str">
        <f>VLOOKUP(Table323[[#This Row],[Census Tract]],'ES Energy Burden'!$B$2:$E$914,4,FALSE)</f>
        <v>No</v>
      </c>
      <c r="R716" s="248">
        <f>VLOOKUP(Table323[[#This Row],[Census Tract]],'Income and Housing Data'!$B$2:$D$823,3,FALSE)</f>
        <v>91996</v>
      </c>
      <c r="S716" s="248" t="str">
        <f>IF($U$6&lt;=Table323[[#This Row],[Household income]],IF(Table323[[#This Row],[Household income]]&lt;=$U$7, "Yes","No"),"No")</f>
        <v>No</v>
      </c>
    </row>
    <row r="717" spans="1:19" x14ac:dyDescent="0.25">
      <c r="A717" s="147">
        <v>9001022300</v>
      </c>
      <c r="B717" s="148" t="s">
        <v>986</v>
      </c>
      <c r="C717" s="150" t="s">
        <v>944</v>
      </c>
      <c r="D717" s="70">
        <v>88271.146042559994</v>
      </c>
      <c r="E717" s="70">
        <v>49293.5962</v>
      </c>
      <c r="F717" s="14">
        <v>7</v>
      </c>
      <c r="G717" s="14">
        <v>7</v>
      </c>
      <c r="H717" s="14">
        <v>0</v>
      </c>
      <c r="I717" s="14">
        <v>0</v>
      </c>
      <c r="J717" s="69">
        <v>5782.6862000000001</v>
      </c>
      <c r="K717">
        <f t="shared" si="11"/>
        <v>0</v>
      </c>
      <c r="L717" s="14">
        <v>0</v>
      </c>
      <c r="M717" s="14">
        <v>0</v>
      </c>
      <c r="N717" s="14">
        <v>0</v>
      </c>
      <c r="O717" s="69">
        <v>0</v>
      </c>
      <c r="P717" s="226">
        <f>VLOOKUP(Table323[[#This Row],[Census Tract]],'Population and Diversity Data'!$B$2:$K$823,10,FALSE)</f>
        <v>5</v>
      </c>
      <c r="Q717" s="226" t="str">
        <f>VLOOKUP(Table323[[#This Row],[Census Tract]],'ES Energy Burden'!$B$2:$E$914,4,FALSE)</f>
        <v>No</v>
      </c>
      <c r="R717" s="248">
        <f>VLOOKUP(Table323[[#This Row],[Census Tract]],'Income and Housing Data'!$B$2:$D$823,3,FALSE)</f>
        <v>80816</v>
      </c>
      <c r="S717" s="248" t="str">
        <f>IF($U$6&lt;=Table323[[#This Row],[Household income]],IF(Table323[[#This Row],[Household income]]&lt;=$U$7, "Yes","No"),"No")</f>
        <v>No</v>
      </c>
    </row>
    <row r="718" spans="1:19" x14ac:dyDescent="0.25">
      <c r="A718" s="147">
        <v>9001022400</v>
      </c>
      <c r="B718" s="148" t="s">
        <v>986</v>
      </c>
      <c r="C718" s="150" t="s">
        <v>944</v>
      </c>
      <c r="D718" s="70">
        <v>65418.021835199994</v>
      </c>
      <c r="E718" s="70">
        <v>3895.87</v>
      </c>
      <c r="F718" s="14">
        <v>9</v>
      </c>
      <c r="G718" s="14">
        <v>9</v>
      </c>
      <c r="H718" s="14">
        <v>0</v>
      </c>
      <c r="I718" s="14">
        <v>0</v>
      </c>
      <c r="J718" s="69">
        <v>3893.62</v>
      </c>
      <c r="K718">
        <f t="shared" si="11"/>
        <v>0</v>
      </c>
      <c r="L718" s="14">
        <v>0</v>
      </c>
      <c r="M718" s="14">
        <v>0</v>
      </c>
      <c r="N718" s="14">
        <v>0</v>
      </c>
      <c r="O718" s="69">
        <v>0</v>
      </c>
      <c r="P718" s="226">
        <f>VLOOKUP(Table323[[#This Row],[Census Tract]],'Population and Diversity Data'!$B$2:$K$823,10,FALSE)</f>
        <v>2</v>
      </c>
      <c r="Q718" s="226" t="str">
        <f>VLOOKUP(Table323[[#This Row],[Census Tract]],'ES Energy Burden'!$B$2:$E$914,4,FALSE)</f>
        <v>No</v>
      </c>
      <c r="R718" s="248">
        <f>VLOOKUP(Table323[[#This Row],[Census Tract]],'Income and Housing Data'!$B$2:$D$823,3,FALSE)</f>
        <v>189712</v>
      </c>
      <c r="S718" s="248" t="str">
        <f>IF($U$6&lt;=Table323[[#This Row],[Household income]],IF(Table323[[#This Row],[Household income]]&lt;=$U$7, "Yes","No"),"No")</f>
        <v>No</v>
      </c>
    </row>
    <row r="719" spans="1:19" x14ac:dyDescent="0.25">
      <c r="A719" s="147">
        <v>9015907200</v>
      </c>
      <c r="B719" s="148" t="s">
        <v>2839</v>
      </c>
      <c r="C719" s="150" t="s">
        <v>944</v>
      </c>
      <c r="D719" s="70">
        <v>532.01387520000003</v>
      </c>
      <c r="E719" s="70">
        <v>0</v>
      </c>
      <c r="F719" s="14">
        <v>0</v>
      </c>
      <c r="G719" s="14">
        <v>0</v>
      </c>
      <c r="H719" s="14">
        <v>0</v>
      </c>
      <c r="I719" s="14">
        <v>0</v>
      </c>
      <c r="J719" s="69">
        <v>0</v>
      </c>
      <c r="K719">
        <f t="shared" si="11"/>
        <v>0</v>
      </c>
      <c r="L719" s="14">
        <v>0</v>
      </c>
      <c r="M719" s="14">
        <v>0</v>
      </c>
      <c r="N719" s="14">
        <v>0</v>
      </c>
      <c r="O719" s="69">
        <v>0</v>
      </c>
      <c r="P719" s="226">
        <f>VLOOKUP(Table323[[#This Row],[Census Tract]],'Population and Diversity Data'!$B$2:$K$823,10,FALSE)</f>
        <v>3</v>
      </c>
      <c r="Q719" s="226" t="str">
        <f>VLOOKUP(Table323[[#This Row],[Census Tract]],'ES Energy Burden'!$B$2:$E$914,4,FALSE)</f>
        <v>No</v>
      </c>
      <c r="R719" s="248">
        <f>VLOOKUP(Table323[[#This Row],[Census Tract]],'Income and Housing Data'!$B$2:$D$823,3,FALSE)</f>
        <v>65192</v>
      </c>
      <c r="S719" s="248" t="str">
        <f>IF($U$6&lt;=Table323[[#This Row],[Household income]],IF(Table323[[#This Row],[Household income]]&lt;=$U$7, "Yes","No"),"No")</f>
        <v>No</v>
      </c>
    </row>
    <row r="720" spans="1:19" x14ac:dyDescent="0.25">
      <c r="A720" s="147">
        <v>9015908100</v>
      </c>
      <c r="B720" s="148" t="s">
        <v>2839</v>
      </c>
      <c r="C720" s="150" t="s">
        <v>944</v>
      </c>
      <c r="D720" s="70">
        <v>74480.160156480008</v>
      </c>
      <c r="E720" s="70">
        <v>33246.379999999997</v>
      </c>
      <c r="F720" s="14">
        <v>13</v>
      </c>
      <c r="G720" s="14">
        <v>13</v>
      </c>
      <c r="H720" s="14">
        <v>0</v>
      </c>
      <c r="I720" s="14">
        <v>0</v>
      </c>
      <c r="J720" s="69">
        <v>9084.16</v>
      </c>
      <c r="K720">
        <f t="shared" si="11"/>
        <v>7</v>
      </c>
      <c r="L720" s="14">
        <v>7</v>
      </c>
      <c r="M720" s="14">
        <v>0</v>
      </c>
      <c r="N720" s="14">
        <v>0</v>
      </c>
      <c r="O720" s="69">
        <v>19337.2</v>
      </c>
      <c r="P720" s="226" t="e">
        <f>VLOOKUP(Table323[[#This Row],[Census Tract]],'Population and Diversity Data'!$B$2:$K$823,10,FALSE)</f>
        <v>#N/A</v>
      </c>
      <c r="Q720" s="226" t="e">
        <f>VLOOKUP(Table323[[#This Row],[Census Tract]],'ES Energy Burden'!$B$2:$E$914,4,FALSE)</f>
        <v>#N/A</v>
      </c>
      <c r="R720" s="248" t="e">
        <f>VLOOKUP(Table323[[#This Row],[Census Tract]],'Income and Housing Data'!$B$2:$D$823,3,FALSE)</f>
        <v>#N/A</v>
      </c>
      <c r="S720" s="248" t="e">
        <f>IF($U$6&lt;=Table323[[#This Row],[Household income]],IF(Table323[[#This Row],[Household income]]&lt;=$U$7, "Yes","No"),"No")</f>
        <v>#N/A</v>
      </c>
    </row>
    <row r="721" spans="1:19" x14ac:dyDescent="0.25">
      <c r="A721" s="147">
        <v>9011702100</v>
      </c>
      <c r="B721" s="148" t="s">
        <v>2840</v>
      </c>
      <c r="C721" s="150" t="s">
        <v>944</v>
      </c>
      <c r="D721" s="70">
        <v>69336.15201215999</v>
      </c>
      <c r="E721" s="70">
        <v>20803.311399999999</v>
      </c>
      <c r="F721" s="14">
        <v>32</v>
      </c>
      <c r="G721" s="14">
        <v>32</v>
      </c>
      <c r="H721" s="14">
        <v>0</v>
      </c>
      <c r="I721" s="14">
        <v>0</v>
      </c>
      <c r="J721" s="69">
        <v>20350.591400000001</v>
      </c>
      <c r="K721">
        <f t="shared" si="11"/>
        <v>0</v>
      </c>
      <c r="L721" s="14">
        <v>0</v>
      </c>
      <c r="M721" s="14">
        <v>0</v>
      </c>
      <c r="N721" s="14">
        <v>0</v>
      </c>
      <c r="O721" s="69">
        <v>0</v>
      </c>
      <c r="P721" s="226">
        <f>VLOOKUP(Table323[[#This Row],[Census Tract]],'Population and Diversity Data'!$B$2:$K$823,10,FALSE)</f>
        <v>4</v>
      </c>
      <c r="Q721" s="226" t="str">
        <f>VLOOKUP(Table323[[#This Row],[Census Tract]],'ES Energy Burden'!$B$2:$E$914,4,FALSE)</f>
        <v>No</v>
      </c>
      <c r="R721" s="248">
        <f>VLOOKUP(Table323[[#This Row],[Census Tract]],'Income and Housing Data'!$B$2:$D$823,3,FALSE)</f>
        <v>86384</v>
      </c>
      <c r="S721" s="248" t="str">
        <f>IF($U$6&lt;=Table323[[#This Row],[Household income]],IF(Table323[[#This Row],[Household income]]&lt;=$U$7, "Yes","No"),"No")</f>
        <v>No</v>
      </c>
    </row>
    <row r="722" spans="1:19" x14ac:dyDescent="0.25">
      <c r="A722" s="147">
        <v>9011702800</v>
      </c>
      <c r="B722" s="148" t="s">
        <v>2840</v>
      </c>
      <c r="C722" s="150" t="s">
        <v>944</v>
      </c>
      <c r="D722" s="70">
        <v>23357.275430400001</v>
      </c>
      <c r="E722" s="70">
        <v>8097.3274000000001</v>
      </c>
      <c r="F722" s="14">
        <v>8</v>
      </c>
      <c r="G722" s="14">
        <v>8</v>
      </c>
      <c r="H722" s="14">
        <v>0</v>
      </c>
      <c r="I722" s="14">
        <v>0</v>
      </c>
      <c r="J722" s="69">
        <v>6166.5173999999997</v>
      </c>
      <c r="K722">
        <f t="shared" si="11"/>
        <v>0</v>
      </c>
      <c r="L722" s="14">
        <v>0</v>
      </c>
      <c r="M722" s="14">
        <v>0</v>
      </c>
      <c r="N722" s="14">
        <v>0</v>
      </c>
      <c r="O722" s="69">
        <v>0</v>
      </c>
      <c r="P722" s="226">
        <f>VLOOKUP(Table323[[#This Row],[Census Tract]],'Population and Diversity Data'!$B$2:$K$823,10,FALSE)</f>
        <v>5</v>
      </c>
      <c r="Q722" s="226" t="str">
        <f>VLOOKUP(Table323[[#This Row],[Census Tract]],'ES Energy Burden'!$B$2:$E$914,4,FALSE)</f>
        <v>No</v>
      </c>
      <c r="R722" s="248">
        <f>VLOOKUP(Table323[[#This Row],[Census Tract]],'Income and Housing Data'!$B$2:$D$823,3,FALSE)</f>
        <v>71683</v>
      </c>
      <c r="S722" s="248" t="str">
        <f>IF($U$6&lt;=Table323[[#This Row],[Household income]],IF(Table323[[#This Row],[Household income]]&lt;=$U$7, "Yes","No"),"No")</f>
        <v>No</v>
      </c>
    </row>
    <row r="723" spans="1:19" x14ac:dyDescent="0.25">
      <c r="A723" s="147">
        <v>9011702900</v>
      </c>
      <c r="B723" s="148" t="s">
        <v>2840</v>
      </c>
      <c r="C723" s="150" t="s">
        <v>944</v>
      </c>
      <c r="D723" s="70">
        <v>2033.2870560000001</v>
      </c>
      <c r="E723" s="70">
        <v>0</v>
      </c>
      <c r="F723" s="14">
        <v>0</v>
      </c>
      <c r="G723" s="14">
        <v>0</v>
      </c>
      <c r="H723" s="14">
        <v>0</v>
      </c>
      <c r="I723" s="14">
        <v>0</v>
      </c>
      <c r="J723" s="69">
        <v>0</v>
      </c>
      <c r="K723">
        <f t="shared" si="11"/>
        <v>0</v>
      </c>
      <c r="L723" s="14">
        <v>0</v>
      </c>
      <c r="M723" s="14">
        <v>0</v>
      </c>
      <c r="N723" s="14">
        <v>0</v>
      </c>
      <c r="O723" s="69">
        <v>0</v>
      </c>
      <c r="P723" s="226">
        <f>VLOOKUP(Table323[[#This Row],[Census Tract]],'Population and Diversity Data'!$B$2:$K$823,10,FALSE)</f>
        <v>2</v>
      </c>
      <c r="Q723" s="226" t="str">
        <f>VLOOKUP(Table323[[#This Row],[Census Tract]],'ES Energy Burden'!$B$2:$E$914,4,FALSE)</f>
        <v>No</v>
      </c>
      <c r="R723" s="248">
        <f>VLOOKUP(Table323[[#This Row],[Census Tract]],'Income and Housing Data'!$B$2:$D$823,3,FALSE)</f>
        <v>119375</v>
      </c>
      <c r="S723" s="248" t="str">
        <f>IF($U$6&lt;=Table323[[#This Row],[Household income]],IF(Table323[[#This Row],[Household income]]&lt;=$U$7, "Yes","No"),"No")</f>
        <v>No</v>
      </c>
    </row>
    <row r="724" spans="1:19" x14ac:dyDescent="0.25">
      <c r="A724" s="147">
        <v>9011703000</v>
      </c>
      <c r="B724" s="148" t="s">
        <v>2840</v>
      </c>
      <c r="C724" s="150" t="s">
        <v>944</v>
      </c>
      <c r="D724" s="70">
        <v>88393.719830400005</v>
      </c>
      <c r="E724" s="70">
        <v>26386.0635</v>
      </c>
      <c r="F724" s="14">
        <v>36</v>
      </c>
      <c r="G724" s="14">
        <v>33</v>
      </c>
      <c r="H724" s="14">
        <v>3</v>
      </c>
      <c r="I724" s="14">
        <v>0</v>
      </c>
      <c r="J724" s="69">
        <v>25882.163499999999</v>
      </c>
      <c r="K724">
        <f t="shared" si="11"/>
        <v>0</v>
      </c>
      <c r="L724" s="14">
        <v>0</v>
      </c>
      <c r="M724" s="14">
        <v>0</v>
      </c>
      <c r="N724" s="14">
        <v>0</v>
      </c>
      <c r="O724" s="69">
        <v>0</v>
      </c>
      <c r="P724" s="226">
        <f>VLOOKUP(Table323[[#This Row],[Census Tract]],'Population and Diversity Data'!$B$2:$K$823,10,FALSE)</f>
        <v>2</v>
      </c>
      <c r="Q724" s="226" t="str">
        <f>VLOOKUP(Table323[[#This Row],[Census Tract]],'ES Energy Burden'!$B$2:$E$914,4,FALSE)</f>
        <v>No</v>
      </c>
      <c r="R724" s="248">
        <f>VLOOKUP(Table323[[#This Row],[Census Tract]],'Income and Housing Data'!$B$2:$D$823,3,FALSE)</f>
        <v>103558</v>
      </c>
      <c r="S724" s="248" t="str">
        <f>IF($U$6&lt;=Table323[[#This Row],[Household income]],IF(Table323[[#This Row],[Household income]]&lt;=$U$7, "Yes","No"),"No")</f>
        <v>No</v>
      </c>
    </row>
    <row r="725" spans="1:19" x14ac:dyDescent="0.25">
      <c r="A725" s="147">
        <v>9011705101</v>
      </c>
      <c r="B725" s="148" t="s">
        <v>2840</v>
      </c>
      <c r="C725" s="150" t="s">
        <v>944</v>
      </c>
      <c r="D725" s="70">
        <v>81245.80684224001</v>
      </c>
      <c r="E725" s="70">
        <v>51276.364600000001</v>
      </c>
      <c r="F725" s="14">
        <v>36</v>
      </c>
      <c r="G725" s="14">
        <v>35</v>
      </c>
      <c r="H725" s="14">
        <v>1</v>
      </c>
      <c r="I725" s="14">
        <v>0</v>
      </c>
      <c r="J725" s="69">
        <v>28495.034599999999</v>
      </c>
      <c r="K725">
        <f t="shared" si="11"/>
        <v>0</v>
      </c>
      <c r="L725" s="14">
        <v>0</v>
      </c>
      <c r="M725" s="14">
        <v>0</v>
      </c>
      <c r="N725" s="14">
        <v>0</v>
      </c>
      <c r="O725" s="69">
        <v>0</v>
      </c>
      <c r="P725" s="226">
        <f>VLOOKUP(Table323[[#This Row],[Census Tract]],'Population and Diversity Data'!$B$2:$K$823,10,FALSE)</f>
        <v>1</v>
      </c>
      <c r="Q725" s="226" t="str">
        <f>VLOOKUP(Table323[[#This Row],[Census Tract]],'ES Energy Burden'!$B$2:$E$914,4,FALSE)</f>
        <v>No</v>
      </c>
      <c r="R725" s="248">
        <f>VLOOKUP(Table323[[#This Row],[Census Tract]],'Income and Housing Data'!$B$2:$D$823,3,FALSE)</f>
        <v>72674</v>
      </c>
      <c r="S725" s="248" t="str">
        <f>IF($U$6&lt;=Table323[[#This Row],[Household income]],IF(Table323[[#This Row],[Household income]]&lt;=$U$7, "Yes","No"),"No")</f>
        <v>No</v>
      </c>
    </row>
    <row r="726" spans="1:19" x14ac:dyDescent="0.25">
      <c r="A726" s="147">
        <v>9011705102</v>
      </c>
      <c r="B726" s="148" t="s">
        <v>2840</v>
      </c>
      <c r="C726" s="150" t="s">
        <v>944</v>
      </c>
      <c r="D726" s="70">
        <v>70168.092877440009</v>
      </c>
      <c r="E726" s="70">
        <v>12001.766100000001</v>
      </c>
      <c r="F726" s="14">
        <v>13</v>
      </c>
      <c r="G726" s="14">
        <v>12</v>
      </c>
      <c r="H726" s="14">
        <v>1</v>
      </c>
      <c r="I726" s="14">
        <v>0</v>
      </c>
      <c r="J726" s="69">
        <v>9450.0861000000004</v>
      </c>
      <c r="K726">
        <f t="shared" si="11"/>
        <v>0</v>
      </c>
      <c r="L726" s="14">
        <v>0</v>
      </c>
      <c r="M726" s="14">
        <v>0</v>
      </c>
      <c r="N726" s="14">
        <v>0</v>
      </c>
      <c r="O726" s="69">
        <v>0</v>
      </c>
      <c r="P726" s="226">
        <f>VLOOKUP(Table323[[#This Row],[Census Tract]],'Population and Diversity Data'!$B$2:$K$823,10,FALSE)</f>
        <v>4</v>
      </c>
      <c r="Q726" s="226" t="str">
        <f>VLOOKUP(Table323[[#This Row],[Census Tract]],'ES Energy Burden'!$B$2:$E$914,4,FALSE)</f>
        <v>No</v>
      </c>
      <c r="R726" s="248">
        <f>VLOOKUP(Table323[[#This Row],[Census Tract]],'Income and Housing Data'!$B$2:$D$823,3,FALSE)</f>
        <v>57286</v>
      </c>
      <c r="S726" s="248" t="str">
        <f>IF($U$6&lt;=Table323[[#This Row],[Household income]],IF(Table323[[#This Row],[Household income]]&lt;=$U$7, "Yes","No"),"No")</f>
        <v>Yes</v>
      </c>
    </row>
    <row r="727" spans="1:19" x14ac:dyDescent="0.25">
      <c r="A727" s="147">
        <v>9011705200</v>
      </c>
      <c r="B727" s="148" t="s">
        <v>2840</v>
      </c>
      <c r="C727" s="150" t="s">
        <v>944</v>
      </c>
      <c r="D727" s="70">
        <v>112087.29096576001</v>
      </c>
      <c r="E727" s="70">
        <v>191467.23939999999</v>
      </c>
      <c r="F727" s="14">
        <v>44</v>
      </c>
      <c r="G727" s="14">
        <v>42</v>
      </c>
      <c r="H727" s="14">
        <v>2</v>
      </c>
      <c r="I727" s="14">
        <v>0</v>
      </c>
      <c r="J727" s="69">
        <v>53399.007400000002</v>
      </c>
      <c r="K727">
        <f t="shared" si="11"/>
        <v>51</v>
      </c>
      <c r="L727" s="14">
        <v>11</v>
      </c>
      <c r="M727" s="14">
        <v>0</v>
      </c>
      <c r="N727" s="14">
        <v>40</v>
      </c>
      <c r="O727" s="69">
        <v>31277.1</v>
      </c>
      <c r="P727" s="226">
        <f>VLOOKUP(Table323[[#This Row],[Census Tract]],'Population and Diversity Data'!$B$2:$K$823,10,FALSE)</f>
        <v>2</v>
      </c>
      <c r="Q727" s="226" t="str">
        <f>VLOOKUP(Table323[[#This Row],[Census Tract]],'ES Energy Burden'!$B$2:$E$914,4,FALSE)</f>
        <v>No</v>
      </c>
      <c r="R727" s="248">
        <f>VLOOKUP(Table323[[#This Row],[Census Tract]],'Income and Housing Data'!$B$2:$D$823,3,FALSE)</f>
        <v>89079</v>
      </c>
      <c r="S727" s="248" t="str">
        <f>IF($U$6&lt;=Table323[[#This Row],[Household income]],IF(Table323[[#This Row],[Household income]]&lt;=$U$7, "Yes","No"),"No")</f>
        <v>No</v>
      </c>
    </row>
    <row r="728" spans="1:19" x14ac:dyDescent="0.25">
      <c r="A728" s="147">
        <v>9011705300</v>
      </c>
      <c r="B728" s="148" t="s">
        <v>2840</v>
      </c>
      <c r="C728" s="150" t="s">
        <v>944</v>
      </c>
      <c r="D728" s="70">
        <v>81740.860966079999</v>
      </c>
      <c r="E728" s="70">
        <v>22836.517100000001</v>
      </c>
      <c r="F728" s="14">
        <v>31</v>
      </c>
      <c r="G728" s="14">
        <v>31</v>
      </c>
      <c r="H728" s="14">
        <v>0</v>
      </c>
      <c r="I728" s="14">
        <v>0</v>
      </c>
      <c r="J728" s="69">
        <v>22834.627100000002</v>
      </c>
      <c r="K728">
        <f t="shared" si="11"/>
        <v>0</v>
      </c>
      <c r="L728" s="14">
        <v>0</v>
      </c>
      <c r="M728" s="14">
        <v>0</v>
      </c>
      <c r="N728" s="14">
        <v>0</v>
      </c>
      <c r="O728" s="69">
        <v>0</v>
      </c>
      <c r="P728" s="226">
        <f>VLOOKUP(Table323[[#This Row],[Census Tract]],'Population and Diversity Data'!$B$2:$K$823,10,FALSE)</f>
        <v>3</v>
      </c>
      <c r="Q728" s="226" t="str">
        <f>VLOOKUP(Table323[[#This Row],[Census Tract]],'ES Energy Burden'!$B$2:$E$914,4,FALSE)</f>
        <v>No</v>
      </c>
      <c r="R728" s="248">
        <f>VLOOKUP(Table323[[#This Row],[Census Tract]],'Income and Housing Data'!$B$2:$D$823,3,FALSE)</f>
        <v>94592</v>
      </c>
      <c r="S728" s="248" t="str">
        <f>IF($U$6&lt;=Table323[[#This Row],[Household income]],IF(Table323[[#This Row],[Household income]]&lt;=$U$7, "Yes","No"),"No")</f>
        <v>No</v>
      </c>
    </row>
    <row r="729" spans="1:19" x14ac:dyDescent="0.25">
      <c r="A729" s="147">
        <v>9011705400</v>
      </c>
      <c r="B729" s="148" t="s">
        <v>2840</v>
      </c>
      <c r="C729" s="150" t="s">
        <v>944</v>
      </c>
      <c r="D729" s="70">
        <v>64517.608149120002</v>
      </c>
      <c r="E729" s="70">
        <v>23641.341400000001</v>
      </c>
      <c r="F729" s="14">
        <v>21</v>
      </c>
      <c r="G729" s="14">
        <v>20</v>
      </c>
      <c r="H729" s="14">
        <v>1</v>
      </c>
      <c r="I729" s="14">
        <v>0</v>
      </c>
      <c r="J729" s="69">
        <v>20568.1214</v>
      </c>
      <c r="K729">
        <f t="shared" si="11"/>
        <v>0</v>
      </c>
      <c r="L729" s="14">
        <v>0</v>
      </c>
      <c r="M729" s="14">
        <v>0</v>
      </c>
      <c r="N729" s="14">
        <v>0</v>
      </c>
      <c r="O729" s="69">
        <v>0</v>
      </c>
      <c r="P729" s="226">
        <f>VLOOKUP(Table323[[#This Row],[Census Tract]],'Population and Diversity Data'!$B$2:$K$823,10,FALSE)</f>
        <v>1</v>
      </c>
      <c r="Q729" s="226" t="str">
        <f>VLOOKUP(Table323[[#This Row],[Census Tract]],'ES Energy Burden'!$B$2:$E$914,4,FALSE)</f>
        <v>No</v>
      </c>
      <c r="R729" s="248">
        <f>VLOOKUP(Table323[[#This Row],[Census Tract]],'Income and Housing Data'!$B$2:$D$823,3,FALSE)</f>
        <v>106111</v>
      </c>
      <c r="S729" s="248" t="str">
        <f>IF($U$6&lt;=Table323[[#This Row],[Household income]],IF(Table323[[#This Row],[Household income]]&lt;=$U$7, "Yes","No"),"No")</f>
        <v>No</v>
      </c>
    </row>
    <row r="730" spans="1:19" x14ac:dyDescent="0.25">
      <c r="A730" s="147">
        <v>9003470100</v>
      </c>
      <c r="B730" s="148" t="s">
        <v>2841</v>
      </c>
      <c r="C730" s="150" t="s">
        <v>944</v>
      </c>
      <c r="D730" s="70">
        <v>152.5522464</v>
      </c>
      <c r="E730" s="70">
        <v>0</v>
      </c>
      <c r="F730" s="14">
        <v>0</v>
      </c>
      <c r="G730" s="14">
        <v>0</v>
      </c>
      <c r="H730" s="14">
        <v>0</v>
      </c>
      <c r="I730" s="14">
        <v>0</v>
      </c>
      <c r="J730" s="69">
        <v>0</v>
      </c>
      <c r="K730">
        <f t="shared" si="11"/>
        <v>0</v>
      </c>
      <c r="L730" s="14">
        <v>0</v>
      </c>
      <c r="M730" s="14">
        <v>0</v>
      </c>
      <c r="N730" s="14">
        <v>0</v>
      </c>
      <c r="O730" s="69">
        <v>0</v>
      </c>
      <c r="P730" s="226">
        <f>VLOOKUP(Table323[[#This Row],[Census Tract]],'Population and Diversity Data'!$B$2:$K$823,10,FALSE)</f>
        <v>3</v>
      </c>
      <c r="Q730" s="226" t="str">
        <f>VLOOKUP(Table323[[#This Row],[Census Tract]],'ES Energy Burden'!$B$2:$E$914,4,FALSE)</f>
        <v>No</v>
      </c>
      <c r="R730" s="248">
        <f>VLOOKUP(Table323[[#This Row],[Census Tract]],'Income and Housing Data'!$B$2:$D$823,3,FALSE)</f>
        <v>104336</v>
      </c>
      <c r="S730" s="248" t="str">
        <f>IF($U$6&lt;=Table323[[#This Row],[Household income]],IF(Table323[[#This Row],[Household income]]&lt;=$U$7, "Yes","No"),"No")</f>
        <v>No</v>
      </c>
    </row>
    <row r="731" spans="1:19" x14ac:dyDescent="0.25">
      <c r="A731" s="147">
        <v>9003477101</v>
      </c>
      <c r="B731" s="148" t="s">
        <v>2841</v>
      </c>
      <c r="C731" s="150" t="s">
        <v>944</v>
      </c>
      <c r="D731" s="70">
        <v>94801.637200320009</v>
      </c>
      <c r="E731" s="70">
        <v>24103.85</v>
      </c>
      <c r="F731" s="14">
        <v>22</v>
      </c>
      <c r="G731" s="14">
        <v>22</v>
      </c>
      <c r="H731" s="14">
        <v>0</v>
      </c>
      <c r="I731" s="14">
        <v>0</v>
      </c>
      <c r="J731" s="69">
        <v>20349.96</v>
      </c>
      <c r="K731">
        <f t="shared" si="11"/>
        <v>0</v>
      </c>
      <c r="L731" s="14">
        <v>0</v>
      </c>
      <c r="M731" s="14">
        <v>0</v>
      </c>
      <c r="N731" s="14">
        <v>0</v>
      </c>
      <c r="O731" s="69">
        <v>0</v>
      </c>
      <c r="P731" s="226">
        <f>VLOOKUP(Table323[[#This Row],[Census Tract]],'Population and Diversity Data'!$B$2:$K$823,10,FALSE)</f>
        <v>1</v>
      </c>
      <c r="Q731" s="226" t="str">
        <f>VLOOKUP(Table323[[#This Row],[Census Tract]],'ES Energy Burden'!$B$2:$E$914,4,FALSE)</f>
        <v>No</v>
      </c>
      <c r="R731" s="248">
        <f>VLOOKUP(Table323[[#This Row],[Census Tract]],'Income and Housing Data'!$B$2:$D$823,3,FALSE)</f>
        <v>121939</v>
      </c>
      <c r="S731" s="248" t="str">
        <f>IF($U$6&lt;=Table323[[#This Row],[Household income]],IF(Table323[[#This Row],[Household income]]&lt;=$U$7, "Yes","No"),"No")</f>
        <v>No</v>
      </c>
    </row>
    <row r="732" spans="1:19" x14ac:dyDescent="0.25">
      <c r="A732" s="147">
        <v>9003477102</v>
      </c>
      <c r="B732" s="148" t="s">
        <v>2841</v>
      </c>
      <c r="C732" s="150" t="s">
        <v>944</v>
      </c>
      <c r="D732" s="70">
        <v>136802.68602624</v>
      </c>
      <c r="E732" s="70">
        <v>120601.675</v>
      </c>
      <c r="F732" s="14">
        <v>26</v>
      </c>
      <c r="G732" s="14">
        <v>26</v>
      </c>
      <c r="H732" s="14">
        <v>0</v>
      </c>
      <c r="I732" s="14">
        <v>0</v>
      </c>
      <c r="J732" s="69">
        <v>17196.075000000001</v>
      </c>
      <c r="K732">
        <f t="shared" si="11"/>
        <v>35</v>
      </c>
      <c r="L732" s="14">
        <v>15</v>
      </c>
      <c r="M732" s="14">
        <v>0</v>
      </c>
      <c r="N732" s="14">
        <v>20</v>
      </c>
      <c r="O732" s="69">
        <v>36038.6</v>
      </c>
      <c r="P732" s="226">
        <f>VLOOKUP(Table323[[#This Row],[Census Tract]],'Population and Diversity Data'!$B$2:$K$823,10,FALSE)</f>
        <v>4</v>
      </c>
      <c r="Q732" s="226" t="str">
        <f>VLOOKUP(Table323[[#This Row],[Census Tract]],'ES Energy Burden'!$B$2:$E$914,4,FALSE)</f>
        <v>No</v>
      </c>
      <c r="R732" s="248">
        <f>VLOOKUP(Table323[[#This Row],[Census Tract]],'Income and Housing Data'!$B$2:$D$823,3,FALSE)</f>
        <v>109671</v>
      </c>
      <c r="S732" s="248" t="str">
        <f>IF($U$6&lt;=Table323[[#This Row],[Household income]],IF(Table323[[#This Row],[Household income]]&lt;=$U$7, "Yes","No"),"No")</f>
        <v>No</v>
      </c>
    </row>
    <row r="733" spans="1:19" x14ac:dyDescent="0.25">
      <c r="A733" s="147">
        <v>9003477200</v>
      </c>
      <c r="B733" s="148" t="s">
        <v>2841</v>
      </c>
      <c r="C733" s="150" t="s">
        <v>944</v>
      </c>
      <c r="D733" s="70">
        <v>64815.635833919994</v>
      </c>
      <c r="E733" s="70">
        <v>12768.789500000001</v>
      </c>
      <c r="F733" s="14">
        <v>10</v>
      </c>
      <c r="G733" s="14">
        <v>10</v>
      </c>
      <c r="H733" s="14">
        <v>0</v>
      </c>
      <c r="I733" s="14">
        <v>0</v>
      </c>
      <c r="J733" s="69">
        <v>8761.9195</v>
      </c>
      <c r="K733">
        <f t="shared" si="11"/>
        <v>0</v>
      </c>
      <c r="L733" s="14">
        <v>0</v>
      </c>
      <c r="M733" s="14">
        <v>0</v>
      </c>
      <c r="N733" s="14">
        <v>0</v>
      </c>
      <c r="O733" s="69">
        <v>0</v>
      </c>
      <c r="P733" s="226">
        <f>VLOOKUP(Table323[[#This Row],[Census Tract]],'Population and Diversity Data'!$B$2:$K$823,10,FALSE)</f>
        <v>1</v>
      </c>
      <c r="Q733" s="226" t="str">
        <f>VLOOKUP(Table323[[#This Row],[Census Tract]],'ES Energy Burden'!$B$2:$E$914,4,FALSE)</f>
        <v>No</v>
      </c>
      <c r="R733" s="248">
        <f>VLOOKUP(Table323[[#This Row],[Census Tract]],'Income and Housing Data'!$B$2:$D$823,3,FALSE)</f>
        <v>112500</v>
      </c>
      <c r="S733" s="248" t="str">
        <f>IF($U$6&lt;=Table323[[#This Row],[Household income]],IF(Table323[[#This Row],[Household income]]&lt;=$U$7, "Yes","No"),"No")</f>
        <v>No</v>
      </c>
    </row>
    <row r="734" spans="1:19" x14ac:dyDescent="0.25">
      <c r="A734" s="147">
        <v>9005300500</v>
      </c>
      <c r="B734" s="148" t="s">
        <v>2842</v>
      </c>
      <c r="C734" s="150" t="s">
        <v>944</v>
      </c>
      <c r="D734" s="70">
        <v>2560.0510684800001</v>
      </c>
      <c r="E734" s="70">
        <v>933.36</v>
      </c>
      <c r="F734" s="14">
        <v>1</v>
      </c>
      <c r="G734" s="14">
        <v>1</v>
      </c>
      <c r="H734" s="14">
        <v>0</v>
      </c>
      <c r="I734" s="14">
        <v>0</v>
      </c>
      <c r="J734" s="69">
        <v>930.17</v>
      </c>
      <c r="K734">
        <f t="shared" si="11"/>
        <v>0</v>
      </c>
      <c r="L734" s="14">
        <v>0</v>
      </c>
      <c r="M734" s="14">
        <v>0</v>
      </c>
      <c r="N734" s="14">
        <v>0</v>
      </c>
      <c r="O734" s="69">
        <v>0</v>
      </c>
      <c r="P734" s="226">
        <f>VLOOKUP(Table323[[#This Row],[Census Tract]],'Population and Diversity Data'!$B$2:$K$823,10,FALSE)</f>
        <v>1</v>
      </c>
      <c r="Q734" s="226" t="str">
        <f>VLOOKUP(Table323[[#This Row],[Census Tract]],'ES Energy Burden'!$B$2:$E$914,4,FALSE)</f>
        <v>No</v>
      </c>
      <c r="R734" s="248">
        <f>VLOOKUP(Table323[[#This Row],[Census Tract]],'Income and Housing Data'!$B$2:$D$823,3,FALSE)</f>
        <v>72667</v>
      </c>
      <c r="S734" s="248" t="str">
        <f>IF($U$6&lt;=Table323[[#This Row],[Household income]],IF(Table323[[#This Row],[Household income]]&lt;=$U$7, "Yes","No"),"No")</f>
        <v>No</v>
      </c>
    </row>
    <row r="735" spans="1:19" x14ac:dyDescent="0.25">
      <c r="A735" s="147">
        <v>9005349100</v>
      </c>
      <c r="B735" s="148" t="s">
        <v>2842</v>
      </c>
      <c r="C735" s="150" t="s">
        <v>944</v>
      </c>
      <c r="D735" s="70">
        <v>106189.790616</v>
      </c>
      <c r="E735" s="70">
        <v>90896.353600000002</v>
      </c>
      <c r="F735" s="14">
        <v>28</v>
      </c>
      <c r="G735" s="14">
        <v>26</v>
      </c>
      <c r="H735" s="14">
        <v>2</v>
      </c>
      <c r="I735" s="14">
        <v>0</v>
      </c>
      <c r="J735" s="69">
        <v>24697.25</v>
      </c>
      <c r="K735">
        <f t="shared" si="11"/>
        <v>20</v>
      </c>
      <c r="L735" s="14">
        <v>20</v>
      </c>
      <c r="M735" s="14">
        <v>0</v>
      </c>
      <c r="N735" s="14">
        <v>0</v>
      </c>
      <c r="O735" s="69">
        <v>53469.7</v>
      </c>
      <c r="P735" s="226">
        <f>VLOOKUP(Table323[[#This Row],[Census Tract]],'Population and Diversity Data'!$B$2:$K$823,10,FALSE)</f>
        <v>1</v>
      </c>
      <c r="Q735" s="226" t="str">
        <f>VLOOKUP(Table323[[#This Row],[Census Tract]],'ES Energy Burden'!$B$2:$E$914,4,FALSE)</f>
        <v>No</v>
      </c>
      <c r="R735" s="248">
        <f>VLOOKUP(Table323[[#This Row],[Census Tract]],'Income and Housing Data'!$B$2:$D$823,3,FALSE)</f>
        <v>82688</v>
      </c>
      <c r="S735" s="248" t="str">
        <f>IF($U$6&lt;=Table323[[#This Row],[Household income]],IF(Table323[[#This Row],[Household income]]&lt;=$U$7, "Yes","No"),"No")</f>
        <v>No</v>
      </c>
    </row>
    <row r="736" spans="1:19" x14ac:dyDescent="0.25">
      <c r="A736" s="147">
        <v>9005349200</v>
      </c>
      <c r="B736" s="148" t="s">
        <v>2842</v>
      </c>
      <c r="C736" s="150" t="s">
        <v>944</v>
      </c>
      <c r="D736" s="70">
        <v>51583.641946560005</v>
      </c>
      <c r="E736" s="70">
        <v>34946.99</v>
      </c>
      <c r="F736" s="14">
        <v>12</v>
      </c>
      <c r="G736" s="14">
        <v>11</v>
      </c>
      <c r="H736" s="14">
        <v>1</v>
      </c>
      <c r="I736" s="14">
        <v>0</v>
      </c>
      <c r="J736" s="69">
        <v>8172.92</v>
      </c>
      <c r="K736">
        <f t="shared" si="11"/>
        <v>0</v>
      </c>
      <c r="L736" s="14">
        <v>0</v>
      </c>
      <c r="M736" s="14">
        <v>0</v>
      </c>
      <c r="N736" s="14">
        <v>0</v>
      </c>
      <c r="O736" s="69">
        <v>0</v>
      </c>
      <c r="P736" s="226">
        <f>VLOOKUP(Table323[[#This Row],[Census Tract]],'Population and Diversity Data'!$B$2:$K$823,10,FALSE)</f>
        <v>1</v>
      </c>
      <c r="Q736" s="226" t="str">
        <f>VLOOKUP(Table323[[#This Row],[Census Tract]],'ES Energy Burden'!$B$2:$E$914,4,FALSE)</f>
        <v>No</v>
      </c>
      <c r="R736" s="248">
        <f>VLOOKUP(Table323[[#This Row],[Census Tract]],'Income and Housing Data'!$B$2:$D$823,3,FALSE)</f>
        <v>64550</v>
      </c>
      <c r="S736" s="248" t="str">
        <f>IF($U$6&lt;=Table323[[#This Row],[Household income]],IF(Table323[[#This Row],[Household income]]&lt;=$U$7, "Yes","No"),"No")</f>
        <v>No</v>
      </c>
    </row>
    <row r="737" spans="1:19" x14ac:dyDescent="0.25">
      <c r="A737" s="147">
        <v>9005425300</v>
      </c>
      <c r="B737" s="148" t="s">
        <v>2842</v>
      </c>
      <c r="C737" s="150" t="s">
        <v>944</v>
      </c>
      <c r="D737" s="70">
        <v>125.9121888</v>
      </c>
      <c r="E737" s="70">
        <v>0</v>
      </c>
      <c r="F737" s="14">
        <v>0</v>
      </c>
      <c r="G737" s="14">
        <v>0</v>
      </c>
      <c r="H737" s="14">
        <v>0</v>
      </c>
      <c r="I737" s="14">
        <v>0</v>
      </c>
      <c r="J737" s="69">
        <v>0</v>
      </c>
      <c r="K737">
        <f t="shared" si="11"/>
        <v>0</v>
      </c>
      <c r="L737" s="14">
        <v>0</v>
      </c>
      <c r="M737" s="14">
        <v>0</v>
      </c>
      <c r="N737" s="14">
        <v>0</v>
      </c>
      <c r="O737" s="69">
        <v>0</v>
      </c>
      <c r="P737" s="226">
        <f>VLOOKUP(Table323[[#This Row],[Census Tract]],'Population and Diversity Data'!$B$2:$K$823,10,FALSE)</f>
        <v>1</v>
      </c>
      <c r="Q737" s="226" t="str">
        <f>VLOOKUP(Table323[[#This Row],[Census Tract]],'ES Energy Burden'!$B$2:$E$914,4,FALSE)</f>
        <v>No</v>
      </c>
      <c r="R737" s="248">
        <f>VLOOKUP(Table323[[#This Row],[Census Tract]],'Income and Housing Data'!$B$2:$D$823,3,FALSE)</f>
        <v>95240</v>
      </c>
      <c r="S737" s="248" t="str">
        <f>IF($U$6&lt;=Table323[[#This Row],[Household income]],IF(Table323[[#This Row],[Household income]]&lt;=$U$7, "Yes","No"),"No")</f>
        <v>No</v>
      </c>
    </row>
    <row r="738" spans="1:19" x14ac:dyDescent="0.25">
      <c r="A738" s="147">
        <v>9015900100</v>
      </c>
      <c r="B738" s="148" t="s">
        <v>2843</v>
      </c>
      <c r="C738" s="150" t="s">
        <v>944</v>
      </c>
      <c r="D738" s="70">
        <v>114098.21241408002</v>
      </c>
      <c r="E738" s="70">
        <v>45721.439200000001</v>
      </c>
      <c r="F738" s="14">
        <v>18</v>
      </c>
      <c r="G738" s="14">
        <v>18</v>
      </c>
      <c r="H738" s="14">
        <v>0</v>
      </c>
      <c r="I738" s="14">
        <v>0</v>
      </c>
      <c r="J738" s="69">
        <v>15554.749</v>
      </c>
      <c r="K738">
        <f t="shared" si="11"/>
        <v>9</v>
      </c>
      <c r="L738" s="14">
        <v>9</v>
      </c>
      <c r="M738" s="14">
        <v>0</v>
      </c>
      <c r="N738" s="14">
        <v>0</v>
      </c>
      <c r="O738" s="69">
        <v>10655.9</v>
      </c>
      <c r="P738" s="226">
        <f>VLOOKUP(Table323[[#This Row],[Census Tract]],'Population and Diversity Data'!$B$2:$K$823,10,FALSE)</f>
        <v>2</v>
      </c>
      <c r="Q738" s="226" t="str">
        <f>VLOOKUP(Table323[[#This Row],[Census Tract]],'ES Energy Burden'!$B$2:$E$914,4,FALSE)</f>
        <v>No</v>
      </c>
      <c r="R738" s="248">
        <f>VLOOKUP(Table323[[#This Row],[Census Tract]],'Income and Housing Data'!$B$2:$D$823,3,FALSE)</f>
        <v>85216</v>
      </c>
      <c r="S738" s="248" t="str">
        <f>IF($U$6&lt;=Table323[[#This Row],[Household income]],IF(Table323[[#This Row],[Household income]]&lt;=$U$7, "Yes","No"),"No")</f>
        <v>No</v>
      </c>
    </row>
    <row r="739" spans="1:19" x14ac:dyDescent="0.25">
      <c r="A739" s="147">
        <v>9015900200</v>
      </c>
      <c r="B739" s="148" t="s">
        <v>2843</v>
      </c>
      <c r="C739" s="150" t="s">
        <v>944</v>
      </c>
      <c r="D739" s="70">
        <v>78065.277456960001</v>
      </c>
      <c r="E739" s="70">
        <v>10634.31</v>
      </c>
      <c r="F739" s="14">
        <v>4</v>
      </c>
      <c r="G739" s="14">
        <v>4</v>
      </c>
      <c r="H739" s="14">
        <v>0</v>
      </c>
      <c r="I739" s="14">
        <v>0</v>
      </c>
      <c r="J739" s="69">
        <v>3666.58</v>
      </c>
      <c r="K739">
        <f t="shared" si="11"/>
        <v>0</v>
      </c>
      <c r="L739" s="14">
        <v>0</v>
      </c>
      <c r="M739" s="14">
        <v>0</v>
      </c>
      <c r="N739" s="14">
        <v>0</v>
      </c>
      <c r="O739" s="69">
        <v>0</v>
      </c>
      <c r="P739" s="226">
        <f>VLOOKUP(Table323[[#This Row],[Census Tract]],'Population and Diversity Data'!$B$2:$K$823,10,FALSE)</f>
        <v>2</v>
      </c>
      <c r="Q739" s="226" t="str">
        <f>VLOOKUP(Table323[[#This Row],[Census Tract]],'ES Energy Burden'!$B$2:$E$914,4,FALSE)</f>
        <v>No</v>
      </c>
      <c r="R739" s="248">
        <f>VLOOKUP(Table323[[#This Row],[Census Tract]],'Income and Housing Data'!$B$2:$D$823,3,FALSE)</f>
        <v>75114</v>
      </c>
      <c r="S739" s="248" t="str">
        <f>IF($U$6&lt;=Table323[[#This Row],[Household income]],IF(Table323[[#This Row],[Household income]]&lt;=$U$7, "Yes","No"),"No")</f>
        <v>No</v>
      </c>
    </row>
    <row r="740" spans="1:19" x14ac:dyDescent="0.25">
      <c r="A740" s="147">
        <v>9015901100</v>
      </c>
      <c r="B740" s="148" t="s">
        <v>2843</v>
      </c>
      <c r="C740" s="150" t="s">
        <v>944</v>
      </c>
      <c r="D740" s="70">
        <v>378.51805440000004</v>
      </c>
      <c r="E740" s="70">
        <v>0</v>
      </c>
      <c r="F740" s="14">
        <v>0</v>
      </c>
      <c r="G740" s="14">
        <v>0</v>
      </c>
      <c r="H740" s="14">
        <v>0</v>
      </c>
      <c r="I740" s="14">
        <v>0</v>
      </c>
      <c r="J740" s="69">
        <v>0</v>
      </c>
      <c r="K740">
        <f t="shared" si="11"/>
        <v>0</v>
      </c>
      <c r="L740" s="14">
        <v>0</v>
      </c>
      <c r="M740" s="14">
        <v>0</v>
      </c>
      <c r="N740" s="14">
        <v>0</v>
      </c>
      <c r="O740" s="69">
        <v>0</v>
      </c>
      <c r="P740" s="226">
        <f>VLOOKUP(Table323[[#This Row],[Census Tract]],'Population and Diversity Data'!$B$2:$K$823,10,FALSE)</f>
        <v>1</v>
      </c>
      <c r="Q740" s="226" t="str">
        <f>VLOOKUP(Table323[[#This Row],[Census Tract]],'ES Energy Burden'!$B$2:$E$914,4,FALSE)</f>
        <v>No</v>
      </c>
      <c r="R740" s="248">
        <f>VLOOKUP(Table323[[#This Row],[Census Tract]],'Income and Housing Data'!$B$2:$D$823,3,FALSE)</f>
        <v>86821</v>
      </c>
      <c r="S740" s="248" t="str">
        <f>IF($U$6&lt;=Table323[[#This Row],[Household income]],IF(Table323[[#This Row],[Household income]]&lt;=$U$7, "Yes","No"),"No")</f>
        <v>No</v>
      </c>
    </row>
    <row r="741" spans="1:19" x14ac:dyDescent="0.25">
      <c r="A741" s="147">
        <v>9015903200</v>
      </c>
      <c r="B741" s="148" t="s">
        <v>2843</v>
      </c>
      <c r="C741" s="150" t="s">
        <v>944</v>
      </c>
      <c r="D741" s="70">
        <v>114.18408000000001</v>
      </c>
      <c r="E741" s="70">
        <v>0</v>
      </c>
      <c r="F741" s="14">
        <v>0</v>
      </c>
      <c r="G741" s="14">
        <v>0</v>
      </c>
      <c r="H741" s="14">
        <v>0</v>
      </c>
      <c r="I741" s="14">
        <v>0</v>
      </c>
      <c r="J741" s="69">
        <v>0</v>
      </c>
      <c r="K741">
        <f t="shared" si="11"/>
        <v>0</v>
      </c>
      <c r="L741" s="14">
        <v>0</v>
      </c>
      <c r="M741" s="14">
        <v>0</v>
      </c>
      <c r="N741" s="14">
        <v>0</v>
      </c>
      <c r="O741" s="69">
        <v>0</v>
      </c>
      <c r="P741" s="226">
        <f>VLOOKUP(Table323[[#This Row],[Census Tract]],'Population and Diversity Data'!$B$2:$K$823,10,FALSE)</f>
        <v>3</v>
      </c>
      <c r="Q741" s="226" t="str">
        <f>VLOOKUP(Table323[[#This Row],[Census Tract]],'ES Energy Burden'!$B$2:$E$914,4,FALSE)</f>
        <v>No</v>
      </c>
      <c r="R741" s="248">
        <f>VLOOKUP(Table323[[#This Row],[Census Tract]],'Income and Housing Data'!$B$2:$D$823,3,FALSE)</f>
        <v>76602</v>
      </c>
      <c r="S741" s="248" t="str">
        <f>IF($U$6&lt;=Table323[[#This Row],[Household income]],IF(Table323[[#This Row],[Household income]]&lt;=$U$7, "Yes","No"),"No")</f>
        <v>No</v>
      </c>
    </row>
    <row r="742" spans="1:19" x14ac:dyDescent="0.25">
      <c r="A742" s="147">
        <v>9013530600</v>
      </c>
      <c r="B742" s="148" t="s">
        <v>2844</v>
      </c>
      <c r="C742" s="150" t="s">
        <v>944</v>
      </c>
      <c r="D742" s="70">
        <v>546.76373760000001</v>
      </c>
      <c r="E742" s="70">
        <v>0</v>
      </c>
      <c r="F742" s="14">
        <v>0</v>
      </c>
      <c r="G742" s="14">
        <v>0</v>
      </c>
      <c r="H742" s="14">
        <v>0</v>
      </c>
      <c r="I742" s="14">
        <v>0</v>
      </c>
      <c r="J742" s="69">
        <v>0</v>
      </c>
      <c r="K742">
        <f t="shared" si="11"/>
        <v>0</v>
      </c>
      <c r="L742" s="14">
        <v>0</v>
      </c>
      <c r="M742" s="14">
        <v>0</v>
      </c>
      <c r="N742" s="14">
        <v>0</v>
      </c>
      <c r="O742" s="69">
        <v>0</v>
      </c>
      <c r="P742" s="226">
        <f>VLOOKUP(Table323[[#This Row],[Census Tract]],'Population and Diversity Data'!$B$2:$K$823,10,FALSE)</f>
        <v>4</v>
      </c>
      <c r="Q742" s="226" t="str">
        <f>VLOOKUP(Table323[[#This Row],[Census Tract]],'ES Energy Burden'!$B$2:$E$914,4,FALSE)</f>
        <v>No</v>
      </c>
      <c r="R742" s="248">
        <f>VLOOKUP(Table323[[#This Row],[Census Tract]],'Income and Housing Data'!$B$2:$D$823,3,FALSE)</f>
        <v>102222</v>
      </c>
      <c r="S742" s="248" t="str">
        <f>IF($U$6&lt;=Table323[[#This Row],[Household income]],IF(Table323[[#This Row],[Household income]]&lt;=$U$7, "Yes","No"),"No")</f>
        <v>No</v>
      </c>
    </row>
    <row r="743" spans="1:19" x14ac:dyDescent="0.25">
      <c r="A743" s="147">
        <v>9013533101</v>
      </c>
      <c r="B743" s="148" t="s">
        <v>2844</v>
      </c>
      <c r="C743" s="150" t="s">
        <v>944</v>
      </c>
      <c r="D743" s="70">
        <v>172674.65066399999</v>
      </c>
      <c r="E743" s="70">
        <v>109420.7975</v>
      </c>
      <c r="F743" s="14">
        <v>162</v>
      </c>
      <c r="G743" s="14">
        <v>38</v>
      </c>
      <c r="H743" s="14">
        <v>0</v>
      </c>
      <c r="I743" s="14">
        <v>124</v>
      </c>
      <c r="J743" s="69">
        <v>58847.821799999998</v>
      </c>
      <c r="K743">
        <f t="shared" si="11"/>
        <v>10</v>
      </c>
      <c r="L743" s="14">
        <v>10</v>
      </c>
      <c r="M743" s="14">
        <v>0</v>
      </c>
      <c r="N743" s="14">
        <v>0</v>
      </c>
      <c r="O743" s="69">
        <v>8971.3799999999992</v>
      </c>
      <c r="P743" s="226">
        <f>VLOOKUP(Table323[[#This Row],[Census Tract]],'Population and Diversity Data'!$B$2:$K$823,10,FALSE)</f>
        <v>2</v>
      </c>
      <c r="Q743" s="226" t="str">
        <f>VLOOKUP(Table323[[#This Row],[Census Tract]],'ES Energy Burden'!$B$2:$E$914,4,FALSE)</f>
        <v>No</v>
      </c>
      <c r="R743" s="248">
        <f>VLOOKUP(Table323[[#This Row],[Census Tract]],'Income and Housing Data'!$B$2:$D$823,3,FALSE)</f>
        <v>118388</v>
      </c>
      <c r="S743" s="248" t="str">
        <f>IF($U$6&lt;=Table323[[#This Row],[Household income]],IF(Table323[[#This Row],[Household income]]&lt;=$U$7, "Yes","No"),"No")</f>
        <v>No</v>
      </c>
    </row>
    <row r="744" spans="1:19" x14ac:dyDescent="0.25">
      <c r="A744" s="147">
        <v>9013533102</v>
      </c>
      <c r="B744" s="148" t="s">
        <v>2844</v>
      </c>
      <c r="C744" s="150" t="s">
        <v>944</v>
      </c>
      <c r="D744" s="70">
        <v>102538.85292288</v>
      </c>
      <c r="E744" s="70">
        <v>28463.101999999999</v>
      </c>
      <c r="F744" s="14">
        <v>30</v>
      </c>
      <c r="G744" s="14">
        <v>30</v>
      </c>
      <c r="H744" s="14">
        <v>0</v>
      </c>
      <c r="I744" s="14">
        <v>0</v>
      </c>
      <c r="J744" s="69">
        <v>28459.182000000001</v>
      </c>
      <c r="K744">
        <f t="shared" si="11"/>
        <v>0</v>
      </c>
      <c r="L744" s="14">
        <v>0</v>
      </c>
      <c r="M744" s="14">
        <v>0</v>
      </c>
      <c r="N744" s="14">
        <v>0</v>
      </c>
      <c r="O744" s="69">
        <v>0</v>
      </c>
      <c r="P744" s="226">
        <f>VLOOKUP(Table323[[#This Row],[Census Tract]],'Population and Diversity Data'!$B$2:$K$823,10,FALSE)</f>
        <v>4</v>
      </c>
      <c r="Q744" s="226" t="str">
        <f>VLOOKUP(Table323[[#This Row],[Census Tract]],'ES Energy Burden'!$B$2:$E$914,4,FALSE)</f>
        <v>No</v>
      </c>
      <c r="R744" s="248">
        <f>VLOOKUP(Table323[[#This Row],[Census Tract]],'Income and Housing Data'!$B$2:$D$823,3,FALSE)</f>
        <v>117635</v>
      </c>
      <c r="S744" s="248" t="str">
        <f>IF($U$6&lt;=Table323[[#This Row],[Household income]],IF(Table323[[#This Row],[Household income]]&lt;=$U$7, "Yes","No"),"No")</f>
        <v>No</v>
      </c>
    </row>
    <row r="745" spans="1:19" x14ac:dyDescent="0.25">
      <c r="A745" s="147">
        <v>9013535200</v>
      </c>
      <c r="B745" s="148" t="s">
        <v>2844</v>
      </c>
      <c r="C745" s="150" t="s">
        <v>944</v>
      </c>
      <c r="D745" s="70">
        <v>145.7156736</v>
      </c>
      <c r="E745" s="70">
        <v>0</v>
      </c>
      <c r="F745" s="14">
        <v>0</v>
      </c>
      <c r="G745" s="14">
        <v>0</v>
      </c>
      <c r="H745" s="14">
        <v>0</v>
      </c>
      <c r="I745" s="14">
        <v>0</v>
      </c>
      <c r="J745" s="69">
        <v>0</v>
      </c>
      <c r="K745">
        <f t="shared" si="11"/>
        <v>0</v>
      </c>
      <c r="L745" s="14">
        <v>0</v>
      </c>
      <c r="M745" s="14">
        <v>0</v>
      </c>
      <c r="N745" s="14">
        <v>0</v>
      </c>
      <c r="O745" s="69">
        <v>0</v>
      </c>
      <c r="P745" s="226">
        <f>VLOOKUP(Table323[[#This Row],[Census Tract]],'Population and Diversity Data'!$B$2:$K$823,10,FALSE)</f>
        <v>5</v>
      </c>
      <c r="Q745" s="226" t="str">
        <f>VLOOKUP(Table323[[#This Row],[Census Tract]],'ES Energy Burden'!$B$2:$E$914,4,FALSE)</f>
        <v>No</v>
      </c>
      <c r="R745" s="248">
        <f>VLOOKUP(Table323[[#This Row],[Census Tract]],'Income and Housing Data'!$B$2:$D$823,3,FALSE)</f>
        <v>100833</v>
      </c>
      <c r="S745" s="248" t="str">
        <f>IF($U$6&lt;=Table323[[#This Row],[Household income]],IF(Table323[[#This Row],[Household income]]&lt;=$U$7, "Yes","No"),"No")</f>
        <v>No</v>
      </c>
    </row>
    <row r="746" spans="1:19" x14ac:dyDescent="0.25">
      <c r="A746" s="147">
        <v>9005300400</v>
      </c>
      <c r="B746" s="148" t="s">
        <v>2845</v>
      </c>
      <c r="C746" s="150" t="s">
        <v>944</v>
      </c>
      <c r="D746" s="70">
        <v>82.918771200000009</v>
      </c>
      <c r="E746" s="70">
        <v>0</v>
      </c>
      <c r="F746" s="14">
        <v>0</v>
      </c>
      <c r="G746" s="14">
        <v>0</v>
      </c>
      <c r="H746" s="14">
        <v>0</v>
      </c>
      <c r="I746" s="14">
        <v>0</v>
      </c>
      <c r="J746" s="69">
        <v>0</v>
      </c>
      <c r="K746">
        <f t="shared" si="11"/>
        <v>0</v>
      </c>
      <c r="L746" s="14">
        <v>0</v>
      </c>
      <c r="M746" s="14">
        <v>0</v>
      </c>
      <c r="N746" s="14">
        <v>0</v>
      </c>
      <c r="O746" s="69">
        <v>0</v>
      </c>
      <c r="P746" s="226">
        <f>VLOOKUP(Table323[[#This Row],[Census Tract]],'Population and Diversity Data'!$B$2:$K$823,10,FALSE)</f>
        <v>2</v>
      </c>
      <c r="Q746" s="226" t="str">
        <f>VLOOKUP(Table323[[#This Row],[Census Tract]],'ES Energy Burden'!$B$2:$E$914,4,FALSE)</f>
        <v>No</v>
      </c>
      <c r="R746" s="248">
        <f>VLOOKUP(Table323[[#This Row],[Census Tract]],'Income and Housing Data'!$B$2:$D$823,3,FALSE)</f>
        <v>91591</v>
      </c>
      <c r="S746" s="248" t="str">
        <f>IF($U$6&lt;=Table323[[#This Row],[Household income]],IF(Table323[[#This Row],[Household income]]&lt;=$U$7, "Yes","No"),"No")</f>
        <v>No</v>
      </c>
    </row>
    <row r="747" spans="1:19" x14ac:dyDescent="0.25">
      <c r="A747" s="147">
        <v>9005306100</v>
      </c>
      <c r="B747" s="148" t="s">
        <v>2845</v>
      </c>
      <c r="C747" s="150" t="s">
        <v>944</v>
      </c>
      <c r="D747" s="70">
        <v>575.92192320000004</v>
      </c>
      <c r="E747" s="70">
        <v>0</v>
      </c>
      <c r="F747" s="14">
        <v>0</v>
      </c>
      <c r="G747" s="14">
        <v>0</v>
      </c>
      <c r="H747" s="14">
        <v>0</v>
      </c>
      <c r="I747" s="14">
        <v>0</v>
      </c>
      <c r="J747" s="69">
        <v>0</v>
      </c>
      <c r="K747">
        <f t="shared" si="11"/>
        <v>0</v>
      </c>
      <c r="L747" s="14">
        <v>0</v>
      </c>
      <c r="M747" s="14">
        <v>0</v>
      </c>
      <c r="N747" s="14">
        <v>0</v>
      </c>
      <c r="O747" s="69">
        <v>0</v>
      </c>
      <c r="P747" s="226">
        <f>VLOOKUP(Table323[[#This Row],[Census Tract]],'Population and Diversity Data'!$B$2:$K$823,10,FALSE)</f>
        <v>1</v>
      </c>
      <c r="Q747" s="226" t="str">
        <f>VLOOKUP(Table323[[#This Row],[Census Tract]],'ES Energy Burden'!$B$2:$E$914,4,FALSE)</f>
        <v>No</v>
      </c>
      <c r="R747" s="248">
        <f>VLOOKUP(Table323[[#This Row],[Census Tract]],'Income and Housing Data'!$B$2:$D$823,3,FALSE)</f>
        <v>106765</v>
      </c>
      <c r="S747" s="248" t="str">
        <f>IF($U$6&lt;=Table323[[#This Row],[Household income]],IF(Table323[[#This Row],[Household income]]&lt;=$U$7, "Yes","No"),"No")</f>
        <v>No</v>
      </c>
    </row>
    <row r="748" spans="1:19" x14ac:dyDescent="0.25">
      <c r="A748" s="147">
        <v>9005310100</v>
      </c>
      <c r="B748" s="148" t="s">
        <v>2845</v>
      </c>
      <c r="C748" s="150" t="s">
        <v>944</v>
      </c>
      <c r="D748" s="70">
        <v>76307.070124799997</v>
      </c>
      <c r="E748" s="70">
        <v>20088.7081</v>
      </c>
      <c r="F748" s="14">
        <v>20</v>
      </c>
      <c r="G748" s="14">
        <v>20</v>
      </c>
      <c r="H748" s="14">
        <v>0</v>
      </c>
      <c r="I748" s="14">
        <v>0</v>
      </c>
      <c r="J748" s="69">
        <v>10217.938099999999</v>
      </c>
      <c r="K748">
        <f t="shared" si="11"/>
        <v>0</v>
      </c>
      <c r="L748" s="14">
        <v>0</v>
      </c>
      <c r="M748" s="14">
        <v>0</v>
      </c>
      <c r="N748" s="14">
        <v>0</v>
      </c>
      <c r="O748" s="69">
        <v>0</v>
      </c>
      <c r="P748" s="226">
        <f>VLOOKUP(Table323[[#This Row],[Census Tract]],'Population and Diversity Data'!$B$2:$K$823,10,FALSE)</f>
        <v>3</v>
      </c>
      <c r="Q748" s="226" t="str">
        <f>VLOOKUP(Table323[[#This Row],[Census Tract]],'ES Energy Burden'!$B$2:$E$914,4,FALSE)</f>
        <v>No</v>
      </c>
      <c r="R748" s="248">
        <f>VLOOKUP(Table323[[#This Row],[Census Tract]],'Income and Housing Data'!$B$2:$D$823,3,FALSE)</f>
        <v>60694</v>
      </c>
      <c r="S748" s="248" t="str">
        <f>IF($U$6&lt;=Table323[[#This Row],[Household income]],IF(Table323[[#This Row],[Household income]]&lt;=$U$7, "Yes","No"),"No")</f>
        <v>Yes</v>
      </c>
    </row>
    <row r="749" spans="1:19" x14ac:dyDescent="0.25">
      <c r="A749" s="147">
        <v>9005310200</v>
      </c>
      <c r="B749" s="148" t="s">
        <v>2845</v>
      </c>
      <c r="C749" s="150" t="s">
        <v>944</v>
      </c>
      <c r="D749" s="70">
        <v>34487.976597120003</v>
      </c>
      <c r="E749" s="70">
        <v>23654.6</v>
      </c>
      <c r="F749" s="14">
        <v>3</v>
      </c>
      <c r="G749" s="14">
        <v>3</v>
      </c>
      <c r="H749" s="14">
        <v>0</v>
      </c>
      <c r="I749" s="14">
        <v>0</v>
      </c>
      <c r="J749" s="69">
        <v>1442.91</v>
      </c>
      <c r="K749">
        <f t="shared" si="11"/>
        <v>0</v>
      </c>
      <c r="L749" s="14">
        <v>0</v>
      </c>
      <c r="M749" s="14">
        <v>0</v>
      </c>
      <c r="N749" s="14">
        <v>0</v>
      </c>
      <c r="O749" s="69">
        <v>0</v>
      </c>
      <c r="P749" s="226">
        <f>VLOOKUP(Table323[[#This Row],[Census Tract]],'Population and Diversity Data'!$B$2:$K$823,10,FALSE)</f>
        <v>2</v>
      </c>
      <c r="Q749" s="226" t="str">
        <f>VLOOKUP(Table323[[#This Row],[Census Tract]],'ES Energy Burden'!$B$2:$E$914,4,FALSE)</f>
        <v>No</v>
      </c>
      <c r="R749" s="248">
        <f>VLOOKUP(Table323[[#This Row],[Census Tract]],'Income and Housing Data'!$B$2:$D$823,3,FALSE)</f>
        <v>40169</v>
      </c>
      <c r="S749" s="248" t="str">
        <f>IF($U$6&lt;=Table323[[#This Row],[Household income]],IF(Table323[[#This Row],[Household income]]&lt;=$U$7, "Yes","No"),"No")</f>
        <v>No</v>
      </c>
    </row>
    <row r="750" spans="1:19" x14ac:dyDescent="0.25">
      <c r="A750" s="147">
        <v>9005310300</v>
      </c>
      <c r="B750" s="148" t="s">
        <v>2845</v>
      </c>
      <c r="C750" s="150" t="s">
        <v>944</v>
      </c>
      <c r="D750" s="70">
        <v>26950.979836799997</v>
      </c>
      <c r="E750" s="70">
        <v>18765.400000000001</v>
      </c>
      <c r="F750" s="14">
        <v>1</v>
      </c>
      <c r="G750" s="14">
        <v>0</v>
      </c>
      <c r="H750" s="14">
        <v>1</v>
      </c>
      <c r="I750" s="14">
        <v>0</v>
      </c>
      <c r="J750" s="69">
        <v>789.74</v>
      </c>
      <c r="K750">
        <f t="shared" si="11"/>
        <v>0</v>
      </c>
      <c r="L750" s="14">
        <v>0</v>
      </c>
      <c r="M750" s="14">
        <v>0</v>
      </c>
      <c r="N750" s="14">
        <v>0</v>
      </c>
      <c r="O750" s="69">
        <v>0</v>
      </c>
      <c r="P750" s="226">
        <f>VLOOKUP(Table323[[#This Row],[Census Tract]],'Population and Diversity Data'!$B$2:$K$823,10,FALSE)</f>
        <v>2</v>
      </c>
      <c r="Q750" s="226" t="str">
        <f>VLOOKUP(Table323[[#This Row],[Census Tract]],'ES Energy Burden'!$B$2:$E$914,4,FALSE)</f>
        <v>Yes</v>
      </c>
      <c r="R750" s="248">
        <f>VLOOKUP(Table323[[#This Row],[Census Tract]],'Income and Housing Data'!$B$2:$D$823,3,FALSE)</f>
        <v>42188</v>
      </c>
      <c r="S750" s="248" t="str">
        <f>IF($U$6&lt;=Table323[[#This Row],[Household income]],IF(Table323[[#This Row],[Household income]]&lt;=$U$7, "Yes","No"),"No")</f>
        <v>No</v>
      </c>
    </row>
    <row r="751" spans="1:19" x14ac:dyDescent="0.25">
      <c r="A751" s="147">
        <v>9005310400</v>
      </c>
      <c r="B751" s="148" t="s">
        <v>2845</v>
      </c>
      <c r="C751" s="150" t="s">
        <v>944</v>
      </c>
      <c r="D751" s="70">
        <v>48205.948348799997</v>
      </c>
      <c r="E751" s="70">
        <v>16981.6783</v>
      </c>
      <c r="F751" s="14">
        <v>11</v>
      </c>
      <c r="G751" s="14">
        <v>10</v>
      </c>
      <c r="H751" s="14">
        <v>1</v>
      </c>
      <c r="I751" s="14">
        <v>0</v>
      </c>
      <c r="J751" s="69">
        <v>5133.6482999999998</v>
      </c>
      <c r="K751">
        <f t="shared" si="11"/>
        <v>0</v>
      </c>
      <c r="L751" s="14">
        <v>0</v>
      </c>
      <c r="M751" s="14">
        <v>0</v>
      </c>
      <c r="N751" s="14">
        <v>0</v>
      </c>
      <c r="O751" s="69">
        <v>0</v>
      </c>
      <c r="P751" s="226">
        <f>VLOOKUP(Table323[[#This Row],[Census Tract]],'Population and Diversity Data'!$B$2:$K$823,10,FALSE)</f>
        <v>3</v>
      </c>
      <c r="Q751" s="226" t="str">
        <f>VLOOKUP(Table323[[#This Row],[Census Tract]],'ES Energy Burden'!$B$2:$E$914,4,FALSE)</f>
        <v>No</v>
      </c>
      <c r="R751" s="248">
        <f>VLOOKUP(Table323[[#This Row],[Census Tract]],'Income and Housing Data'!$B$2:$D$823,3,FALSE)</f>
        <v>71159</v>
      </c>
      <c r="S751" s="248" t="str">
        <f>IF($U$6&lt;=Table323[[#This Row],[Household income]],IF(Table323[[#This Row],[Household income]]&lt;=$U$7, "Yes","No"),"No")</f>
        <v>No</v>
      </c>
    </row>
    <row r="752" spans="1:19" x14ac:dyDescent="0.25">
      <c r="A752" s="147">
        <v>9005310500</v>
      </c>
      <c r="B752" s="148" t="s">
        <v>2845</v>
      </c>
      <c r="C752" s="150" t="s">
        <v>944</v>
      </c>
      <c r="D752" s="70">
        <v>34178.324423040001</v>
      </c>
      <c r="E752" s="70">
        <v>28920.17</v>
      </c>
      <c r="F752" s="14">
        <v>8</v>
      </c>
      <c r="G752" s="14">
        <v>8</v>
      </c>
      <c r="H752" s="14">
        <v>0</v>
      </c>
      <c r="I752" s="14">
        <v>0</v>
      </c>
      <c r="J752" s="69">
        <v>5140.63</v>
      </c>
      <c r="K752">
        <f t="shared" si="11"/>
        <v>0</v>
      </c>
      <c r="L752" s="14">
        <v>0</v>
      </c>
      <c r="M752" s="14">
        <v>0</v>
      </c>
      <c r="N752" s="14">
        <v>0</v>
      </c>
      <c r="O752" s="69">
        <v>0</v>
      </c>
      <c r="P752" s="226">
        <f>VLOOKUP(Table323[[#This Row],[Census Tract]],'Population and Diversity Data'!$B$2:$K$823,10,FALSE)</f>
        <v>1</v>
      </c>
      <c r="Q752" s="226" t="str">
        <f>VLOOKUP(Table323[[#This Row],[Census Tract]],'ES Energy Burden'!$B$2:$E$914,4,FALSE)</f>
        <v>No</v>
      </c>
      <c r="R752" s="248">
        <f>VLOOKUP(Table323[[#This Row],[Census Tract]],'Income and Housing Data'!$B$2:$D$823,3,FALSE)</f>
        <v>53333</v>
      </c>
      <c r="S752" s="248" t="str">
        <f>IF($U$6&lt;=Table323[[#This Row],[Household income]],IF(Table323[[#This Row],[Household income]]&lt;=$U$7, "Yes","No"),"No")</f>
        <v>Yes</v>
      </c>
    </row>
    <row r="753" spans="1:19" x14ac:dyDescent="0.25">
      <c r="A753" s="147">
        <v>9005310601</v>
      </c>
      <c r="B753" s="148" t="s">
        <v>2845</v>
      </c>
      <c r="C753" s="150" t="s">
        <v>944</v>
      </c>
      <c r="D753" s="70">
        <v>62090.761420800001</v>
      </c>
      <c r="E753" s="70">
        <v>13849.6288</v>
      </c>
      <c r="F753" s="14">
        <v>20</v>
      </c>
      <c r="G753" s="14">
        <v>20</v>
      </c>
      <c r="H753" s="14">
        <v>0</v>
      </c>
      <c r="I753" s="14">
        <v>0</v>
      </c>
      <c r="J753" s="69">
        <v>8920.0987999999998</v>
      </c>
      <c r="K753">
        <f t="shared" si="11"/>
        <v>0</v>
      </c>
      <c r="L753" s="14">
        <v>0</v>
      </c>
      <c r="M753" s="14">
        <v>0</v>
      </c>
      <c r="N753" s="14">
        <v>0</v>
      </c>
      <c r="O753" s="69">
        <v>0</v>
      </c>
      <c r="P753" s="226">
        <f>VLOOKUP(Table323[[#This Row],[Census Tract]],'Population and Diversity Data'!$B$2:$K$823,10,FALSE)</f>
        <v>3</v>
      </c>
      <c r="Q753" s="226" t="str">
        <f>VLOOKUP(Table323[[#This Row],[Census Tract]],'ES Energy Burden'!$B$2:$E$914,4,FALSE)</f>
        <v>No</v>
      </c>
      <c r="R753" s="248">
        <f>VLOOKUP(Table323[[#This Row],[Census Tract]],'Income and Housing Data'!$B$2:$D$823,3,FALSE)</f>
        <v>87039</v>
      </c>
      <c r="S753" s="248" t="str">
        <f>IF($U$6&lt;=Table323[[#This Row],[Household income]],IF(Table323[[#This Row],[Household income]]&lt;=$U$7, "Yes","No"),"No")</f>
        <v>No</v>
      </c>
    </row>
    <row r="754" spans="1:19" x14ac:dyDescent="0.25">
      <c r="A754" s="147">
        <v>9005310602</v>
      </c>
      <c r="B754" s="148" t="s">
        <v>2845</v>
      </c>
      <c r="C754" s="150" t="s">
        <v>944</v>
      </c>
      <c r="D754" s="70">
        <v>72546.218170559994</v>
      </c>
      <c r="E754" s="70">
        <v>39940.89</v>
      </c>
      <c r="F754" s="14">
        <v>22</v>
      </c>
      <c r="G754" s="14">
        <v>22</v>
      </c>
      <c r="H754" s="14">
        <v>0</v>
      </c>
      <c r="I754" s="14">
        <v>0</v>
      </c>
      <c r="J754" s="69">
        <v>11669.24</v>
      </c>
      <c r="K754">
        <f t="shared" si="11"/>
        <v>0</v>
      </c>
      <c r="L754" s="14">
        <v>0</v>
      </c>
      <c r="M754" s="14">
        <v>0</v>
      </c>
      <c r="N754" s="14">
        <v>0</v>
      </c>
      <c r="O754" s="69">
        <v>0</v>
      </c>
      <c r="P754" s="226">
        <f>VLOOKUP(Table323[[#This Row],[Census Tract]],'Population and Diversity Data'!$B$2:$K$823,10,FALSE)</f>
        <v>1</v>
      </c>
      <c r="Q754" s="226" t="str">
        <f>VLOOKUP(Table323[[#This Row],[Census Tract]],'ES Energy Burden'!$B$2:$E$914,4,FALSE)</f>
        <v>No</v>
      </c>
      <c r="R754" s="248">
        <f>VLOOKUP(Table323[[#This Row],[Census Tract]],'Income and Housing Data'!$B$2:$D$823,3,FALSE)</f>
        <v>80000</v>
      </c>
      <c r="S754" s="248" t="str">
        <f>IF($U$6&lt;=Table323[[#This Row],[Household income]],IF(Table323[[#This Row],[Household income]]&lt;=$U$7, "Yes","No"),"No")</f>
        <v>No</v>
      </c>
    </row>
    <row r="755" spans="1:19" x14ac:dyDescent="0.25">
      <c r="A755" s="147">
        <v>9005310700</v>
      </c>
      <c r="B755" s="148" t="s">
        <v>2845</v>
      </c>
      <c r="C755" s="150" t="s">
        <v>944</v>
      </c>
      <c r="D755" s="70">
        <v>144404.27653248003</v>
      </c>
      <c r="E755" s="70">
        <v>197409.5528</v>
      </c>
      <c r="F755" s="14">
        <v>159</v>
      </c>
      <c r="G755" s="14">
        <v>21</v>
      </c>
      <c r="H755" s="14">
        <v>1</v>
      </c>
      <c r="I755" s="14">
        <v>137</v>
      </c>
      <c r="J755" s="69">
        <v>19537.8</v>
      </c>
      <c r="K755">
        <f t="shared" si="11"/>
        <v>117</v>
      </c>
      <c r="L755" s="14">
        <v>76</v>
      </c>
      <c r="M755" s="14">
        <v>1</v>
      </c>
      <c r="N755" s="14">
        <v>40</v>
      </c>
      <c r="O755" s="69">
        <v>158570</v>
      </c>
      <c r="P755" s="226">
        <f>VLOOKUP(Table323[[#This Row],[Census Tract]],'Population and Diversity Data'!$B$2:$K$823,10,FALSE)</f>
        <v>1</v>
      </c>
      <c r="Q755" s="226" t="str">
        <f>VLOOKUP(Table323[[#This Row],[Census Tract]],'ES Energy Burden'!$B$2:$E$914,4,FALSE)</f>
        <v>No</v>
      </c>
      <c r="R755" s="248">
        <f>VLOOKUP(Table323[[#This Row],[Census Tract]],'Income and Housing Data'!$B$2:$D$823,3,FALSE)</f>
        <v>64341</v>
      </c>
      <c r="S755" s="248" t="str">
        <f>IF($U$6&lt;=Table323[[#This Row],[Household income]],IF(Table323[[#This Row],[Household income]]&lt;=$U$7, "Yes","No"),"No")</f>
        <v>No</v>
      </c>
    </row>
    <row r="756" spans="1:19" x14ac:dyDescent="0.25">
      <c r="A756" s="147">
        <v>9005310801</v>
      </c>
      <c r="B756" s="148" t="s">
        <v>2845</v>
      </c>
      <c r="C756" s="150" t="s">
        <v>944</v>
      </c>
      <c r="D756" s="70">
        <v>36919.849161600003</v>
      </c>
      <c r="E756" s="70">
        <v>3462.34</v>
      </c>
      <c r="F756" s="14">
        <v>3</v>
      </c>
      <c r="G756" s="14">
        <v>3</v>
      </c>
      <c r="H756" s="14">
        <v>0</v>
      </c>
      <c r="I756" s="14">
        <v>0</v>
      </c>
      <c r="J756" s="69">
        <v>2890.77</v>
      </c>
      <c r="K756">
        <f t="shared" si="11"/>
        <v>0</v>
      </c>
      <c r="L756" s="14">
        <v>0</v>
      </c>
      <c r="M756" s="14">
        <v>0</v>
      </c>
      <c r="N756" s="14">
        <v>0</v>
      </c>
      <c r="O756" s="69">
        <v>0</v>
      </c>
      <c r="P756" s="226">
        <f>VLOOKUP(Table323[[#This Row],[Census Tract]],'Population and Diversity Data'!$B$2:$K$823,10,FALSE)</f>
        <v>3</v>
      </c>
      <c r="Q756" s="226" t="str">
        <f>VLOOKUP(Table323[[#This Row],[Census Tract]],'ES Energy Burden'!$B$2:$E$914,4,FALSE)</f>
        <v>No</v>
      </c>
      <c r="R756" s="248">
        <f>VLOOKUP(Table323[[#This Row],[Census Tract]],'Income and Housing Data'!$B$2:$D$823,3,FALSE)</f>
        <v>57917</v>
      </c>
      <c r="S756" s="248" t="str">
        <f>IF($U$6&lt;=Table323[[#This Row],[Household income]],IF(Table323[[#This Row],[Household income]]&lt;=$U$7, "Yes","No"),"No")</f>
        <v>Yes</v>
      </c>
    </row>
    <row r="757" spans="1:19" x14ac:dyDescent="0.25">
      <c r="A757" s="147">
        <v>9005310803</v>
      </c>
      <c r="B757" s="148" t="s">
        <v>2845</v>
      </c>
      <c r="C757" s="150" t="s">
        <v>944</v>
      </c>
      <c r="D757" s="70">
        <v>83555.792749440006</v>
      </c>
      <c r="E757" s="70">
        <v>28410.995900000002</v>
      </c>
      <c r="F757" s="14">
        <v>9</v>
      </c>
      <c r="G757" s="14">
        <v>7</v>
      </c>
      <c r="H757" s="14">
        <v>2</v>
      </c>
      <c r="I757" s="14">
        <v>0</v>
      </c>
      <c r="J757" s="69">
        <v>4471.8258999999998</v>
      </c>
      <c r="K757">
        <f t="shared" si="11"/>
        <v>0</v>
      </c>
      <c r="L757" s="14">
        <v>0</v>
      </c>
      <c r="M757" s="14">
        <v>0</v>
      </c>
      <c r="N757" s="14">
        <v>0</v>
      </c>
      <c r="O757" s="69">
        <v>0</v>
      </c>
      <c r="P757" s="226">
        <f>VLOOKUP(Table323[[#This Row],[Census Tract]],'Population and Diversity Data'!$B$2:$K$823,10,FALSE)</f>
        <v>4</v>
      </c>
      <c r="Q757" s="226" t="str">
        <f>VLOOKUP(Table323[[#This Row],[Census Tract]],'ES Energy Burden'!$B$2:$E$914,4,FALSE)</f>
        <v>Yes</v>
      </c>
      <c r="R757" s="248">
        <f>VLOOKUP(Table323[[#This Row],[Census Tract]],'Income and Housing Data'!$B$2:$D$823,3,FALSE)</f>
        <v>48981</v>
      </c>
      <c r="S757" s="248" t="str">
        <f>IF($U$6&lt;=Table323[[#This Row],[Household income]],IF(Table323[[#This Row],[Household income]]&lt;=$U$7, "Yes","No"),"No")</f>
        <v>Yes</v>
      </c>
    </row>
    <row r="758" spans="1:19" x14ac:dyDescent="0.25">
      <c r="A758" s="147">
        <v>9005310804</v>
      </c>
      <c r="B758" s="148" t="s">
        <v>2845</v>
      </c>
      <c r="C758" s="150" t="s">
        <v>944</v>
      </c>
      <c r="D758" s="70">
        <v>41928.608361600003</v>
      </c>
      <c r="E758" s="70">
        <v>3042.1</v>
      </c>
      <c r="F758" s="14">
        <v>7</v>
      </c>
      <c r="G758" s="14">
        <v>7</v>
      </c>
      <c r="H758" s="14">
        <v>0</v>
      </c>
      <c r="I758" s="14">
        <v>0</v>
      </c>
      <c r="J758" s="69">
        <v>3041.58</v>
      </c>
      <c r="K758">
        <f t="shared" si="11"/>
        <v>0</v>
      </c>
      <c r="L758" s="14">
        <v>0</v>
      </c>
      <c r="M758" s="14">
        <v>0</v>
      </c>
      <c r="N758" s="14">
        <v>0</v>
      </c>
      <c r="O758" s="69">
        <v>0</v>
      </c>
      <c r="P758" s="226">
        <f>VLOOKUP(Table323[[#This Row],[Census Tract]],'Population and Diversity Data'!$B$2:$K$823,10,FALSE)</f>
        <v>2</v>
      </c>
      <c r="Q758" s="226" t="str">
        <f>VLOOKUP(Table323[[#This Row],[Census Tract]],'ES Energy Burden'!$B$2:$E$914,4,FALSE)</f>
        <v>No</v>
      </c>
      <c r="R758" s="248">
        <f>VLOOKUP(Table323[[#This Row],[Census Tract]],'Income and Housing Data'!$B$2:$D$823,3,FALSE)</f>
        <v>73594</v>
      </c>
      <c r="S758" s="248" t="str">
        <f>IF($U$6&lt;=Table323[[#This Row],[Household income]],IF(Table323[[#This Row],[Household income]]&lt;=$U$7, "Yes","No"),"No")</f>
        <v>No</v>
      </c>
    </row>
    <row r="759" spans="1:19" x14ac:dyDescent="0.25">
      <c r="A759" s="147">
        <v>9005320200</v>
      </c>
      <c r="B759" s="148" t="s">
        <v>2845</v>
      </c>
      <c r="C759" s="150" t="s">
        <v>944</v>
      </c>
      <c r="D759" s="70">
        <v>447.89103360000001</v>
      </c>
      <c r="E759" s="70">
        <v>0</v>
      </c>
      <c r="F759" s="14">
        <v>0</v>
      </c>
      <c r="G759" s="14">
        <v>0</v>
      </c>
      <c r="H759" s="14">
        <v>0</v>
      </c>
      <c r="I759" s="14">
        <v>0</v>
      </c>
      <c r="J759" s="69">
        <v>0</v>
      </c>
      <c r="K759">
        <f t="shared" si="11"/>
        <v>0</v>
      </c>
      <c r="L759" s="14">
        <v>0</v>
      </c>
      <c r="M759" s="14">
        <v>0</v>
      </c>
      <c r="N759" s="14">
        <v>0</v>
      </c>
      <c r="O759" s="69">
        <v>0</v>
      </c>
      <c r="P759" s="226">
        <f>VLOOKUP(Table323[[#This Row],[Census Tract]],'Population and Diversity Data'!$B$2:$K$823,10,FALSE)</f>
        <v>3</v>
      </c>
      <c r="Q759" s="226" t="str">
        <f>VLOOKUP(Table323[[#This Row],[Census Tract]],'ES Energy Burden'!$B$2:$E$914,4,FALSE)</f>
        <v>No</v>
      </c>
      <c r="R759" s="248">
        <f>VLOOKUP(Table323[[#This Row],[Census Tract]],'Income and Housing Data'!$B$2:$D$823,3,FALSE)</f>
        <v>74044</v>
      </c>
      <c r="S759" s="248" t="str">
        <f>IF($U$6&lt;=Table323[[#This Row],[Household income]],IF(Table323[[#This Row],[Household income]]&lt;=$U$7, "Yes","No"),"No")</f>
        <v>No</v>
      </c>
    </row>
    <row r="760" spans="1:19" x14ac:dyDescent="0.25">
      <c r="A760" s="147">
        <v>9003496200</v>
      </c>
      <c r="B760" s="148" t="s">
        <v>2846</v>
      </c>
      <c r="C760" s="150" t="s">
        <v>944</v>
      </c>
      <c r="D760" s="70">
        <v>54.552493439999999</v>
      </c>
      <c r="E760" s="70">
        <v>0</v>
      </c>
      <c r="F760" s="14">
        <v>0</v>
      </c>
      <c r="G760" s="14">
        <v>0</v>
      </c>
      <c r="H760" s="14">
        <v>0</v>
      </c>
      <c r="I760" s="14">
        <v>0</v>
      </c>
      <c r="J760" s="69">
        <v>0</v>
      </c>
      <c r="K760">
        <f t="shared" si="11"/>
        <v>0</v>
      </c>
      <c r="L760" s="14">
        <v>0</v>
      </c>
      <c r="M760" s="14">
        <v>0</v>
      </c>
      <c r="N760" s="14">
        <v>0</v>
      </c>
      <c r="O760" s="69">
        <v>0</v>
      </c>
      <c r="P760" s="226">
        <f>VLOOKUP(Table323[[#This Row],[Census Tract]],'Population and Diversity Data'!$B$2:$K$823,10,FALSE)</f>
        <v>5</v>
      </c>
      <c r="Q760" s="226" t="str">
        <f>VLOOKUP(Table323[[#This Row],[Census Tract]],'ES Energy Burden'!$B$2:$E$914,4,FALSE)</f>
        <v>No</v>
      </c>
      <c r="R760" s="248">
        <f>VLOOKUP(Table323[[#This Row],[Census Tract]],'Income and Housing Data'!$B$2:$D$823,3,FALSE)</f>
        <v>75417</v>
      </c>
      <c r="S760" s="248" t="str">
        <f>IF($U$6&lt;=Table323[[#This Row],[Household income]],IF(Table323[[#This Row],[Household income]]&lt;=$U$7, "Yes","No"),"No")</f>
        <v>No</v>
      </c>
    </row>
    <row r="761" spans="1:19" x14ac:dyDescent="0.25">
      <c r="A761" s="147">
        <v>9013530302</v>
      </c>
      <c r="B761" s="148" t="s">
        <v>2846</v>
      </c>
      <c r="C761" s="150" t="s">
        <v>944</v>
      </c>
      <c r="D761" s="70">
        <v>7.6933152000000007</v>
      </c>
      <c r="E761" s="70">
        <v>0</v>
      </c>
      <c r="F761" s="14">
        <v>0</v>
      </c>
      <c r="G761" s="14">
        <v>0</v>
      </c>
      <c r="H761" s="14">
        <v>0</v>
      </c>
      <c r="I761" s="14">
        <v>0</v>
      </c>
      <c r="J761" s="69">
        <v>0</v>
      </c>
      <c r="K761">
        <f t="shared" si="11"/>
        <v>0</v>
      </c>
      <c r="L761" s="14">
        <v>0</v>
      </c>
      <c r="M761" s="14">
        <v>0</v>
      </c>
      <c r="N761" s="14">
        <v>0</v>
      </c>
      <c r="O761" s="69">
        <v>0</v>
      </c>
      <c r="P761" s="226">
        <f>VLOOKUP(Table323[[#This Row],[Census Tract]],'Population and Diversity Data'!$B$2:$K$823,10,FALSE)</f>
        <v>5</v>
      </c>
      <c r="Q761" s="226" t="str">
        <f>VLOOKUP(Table323[[#This Row],[Census Tract]],'ES Energy Burden'!$B$2:$E$914,4,FALSE)</f>
        <v>No</v>
      </c>
      <c r="R761" s="248">
        <f>VLOOKUP(Table323[[#This Row],[Census Tract]],'Income and Housing Data'!$B$2:$D$823,3,FALSE)</f>
        <v>86009</v>
      </c>
      <c r="S761" s="248" t="str">
        <f>IF($U$6&lt;=Table323[[#This Row],[Household income]],IF(Table323[[#This Row],[Household income]]&lt;=$U$7, "Yes","No"),"No")</f>
        <v>No</v>
      </c>
    </row>
    <row r="762" spans="1:19" x14ac:dyDescent="0.25">
      <c r="A762" s="147">
        <v>9013850200</v>
      </c>
      <c r="B762" s="148" t="s">
        <v>2846</v>
      </c>
      <c r="C762" s="150" t="s">
        <v>944</v>
      </c>
      <c r="D762" s="70">
        <v>65.558160000000001</v>
      </c>
      <c r="E762" s="70">
        <v>0</v>
      </c>
      <c r="F762" s="14">
        <v>0</v>
      </c>
      <c r="G762" s="14">
        <v>0</v>
      </c>
      <c r="H762" s="14">
        <v>0</v>
      </c>
      <c r="I762" s="14">
        <v>0</v>
      </c>
      <c r="J762" s="69">
        <v>0</v>
      </c>
      <c r="K762">
        <f t="shared" si="11"/>
        <v>0</v>
      </c>
      <c r="L762" s="14">
        <v>0</v>
      </c>
      <c r="M762" s="14">
        <v>0</v>
      </c>
      <c r="N762" s="14">
        <v>0</v>
      </c>
      <c r="O762" s="69">
        <v>0</v>
      </c>
      <c r="P762" s="226">
        <f>VLOOKUP(Table323[[#This Row],[Census Tract]],'Population and Diversity Data'!$B$2:$K$823,10,FALSE)</f>
        <v>1</v>
      </c>
      <c r="Q762" s="226" t="str">
        <f>VLOOKUP(Table323[[#This Row],[Census Tract]],'ES Energy Burden'!$B$2:$E$914,4,FALSE)</f>
        <v>No</v>
      </c>
      <c r="R762" s="248">
        <f>VLOOKUP(Table323[[#This Row],[Census Tract]],'Income and Housing Data'!$B$2:$D$823,3,FALSE)</f>
        <v>93839</v>
      </c>
      <c r="S762" s="248" t="str">
        <f>IF($U$6&lt;=Table323[[#This Row],[Household income]],IF(Table323[[#This Row],[Household income]]&lt;=$U$7, "Yes","No"),"No")</f>
        <v>No</v>
      </c>
    </row>
    <row r="763" spans="1:19" x14ac:dyDescent="0.25">
      <c r="A763" s="147">
        <v>9013890100</v>
      </c>
      <c r="B763" s="148" t="s">
        <v>2846</v>
      </c>
      <c r="C763" s="150" t="s">
        <v>944</v>
      </c>
      <c r="D763" s="70">
        <v>2220.5066889600002</v>
      </c>
      <c r="E763" s="70">
        <v>0</v>
      </c>
      <c r="F763" s="14">
        <v>0</v>
      </c>
      <c r="G763" s="14">
        <v>0</v>
      </c>
      <c r="H763" s="14">
        <v>0</v>
      </c>
      <c r="I763" s="14">
        <v>0</v>
      </c>
      <c r="J763" s="69">
        <v>0</v>
      </c>
      <c r="K763">
        <f t="shared" si="11"/>
        <v>0</v>
      </c>
      <c r="L763" s="14">
        <v>0</v>
      </c>
      <c r="M763" s="14">
        <v>0</v>
      </c>
      <c r="N763" s="14">
        <v>0</v>
      </c>
      <c r="O763" s="69">
        <v>0</v>
      </c>
      <c r="P763" s="226">
        <f>VLOOKUP(Table323[[#This Row],[Census Tract]],'Population and Diversity Data'!$B$2:$K$823,10,FALSE)</f>
        <v>2</v>
      </c>
      <c r="Q763" s="226" t="str">
        <f>VLOOKUP(Table323[[#This Row],[Census Tract]],'ES Energy Burden'!$B$2:$E$914,4,FALSE)</f>
        <v>No</v>
      </c>
      <c r="R763" s="248">
        <f>VLOOKUP(Table323[[#This Row],[Census Tract]],'Income and Housing Data'!$B$2:$D$823,3,FALSE)</f>
        <v>62054</v>
      </c>
      <c r="S763" s="248" t="str">
        <f>IF($U$6&lt;=Table323[[#This Row],[Household income]],IF(Table323[[#This Row],[Household income]]&lt;=$U$7, "Yes","No"),"No")</f>
        <v>Yes</v>
      </c>
    </row>
    <row r="764" spans="1:19" x14ac:dyDescent="0.25">
      <c r="A764" s="147">
        <v>9013890201</v>
      </c>
      <c r="B764" s="148" t="s">
        <v>2846</v>
      </c>
      <c r="C764" s="150" t="s">
        <v>944</v>
      </c>
      <c r="D764" s="70">
        <v>15848.872447679998</v>
      </c>
      <c r="E764" s="70">
        <v>3865.75</v>
      </c>
      <c r="F764" s="14">
        <v>2</v>
      </c>
      <c r="G764" s="14">
        <v>2</v>
      </c>
      <c r="H764" s="14">
        <v>0</v>
      </c>
      <c r="I764" s="14">
        <v>0</v>
      </c>
      <c r="J764" s="69">
        <v>801.1</v>
      </c>
      <c r="K764">
        <f t="shared" si="11"/>
        <v>1</v>
      </c>
      <c r="L764" s="14">
        <v>1</v>
      </c>
      <c r="M764" s="14">
        <v>0</v>
      </c>
      <c r="N764" s="14">
        <v>0</v>
      </c>
      <c r="O764" s="69">
        <v>590.04999999999995</v>
      </c>
      <c r="P764" s="226">
        <f>VLOOKUP(Table323[[#This Row],[Census Tract]],'Population and Diversity Data'!$B$2:$K$823,10,FALSE)</f>
        <v>4</v>
      </c>
      <c r="Q764" s="226" t="str">
        <f>VLOOKUP(Table323[[#This Row],[Census Tract]],'ES Energy Burden'!$B$2:$E$914,4,FALSE)</f>
        <v>No</v>
      </c>
      <c r="R764" s="248">
        <f>VLOOKUP(Table323[[#This Row],[Census Tract]],'Income and Housing Data'!$B$2:$D$823,3,FALSE)</f>
        <v>89292</v>
      </c>
      <c r="S764" s="248" t="str">
        <f>IF($U$6&lt;=Table323[[#This Row],[Household income]],IF(Table323[[#This Row],[Household income]]&lt;=$U$7, "Yes","No"),"No")</f>
        <v>No</v>
      </c>
    </row>
    <row r="765" spans="1:19" x14ac:dyDescent="0.25">
      <c r="A765" s="147">
        <v>9013890202</v>
      </c>
      <c r="B765" s="148" t="s">
        <v>2846</v>
      </c>
      <c r="C765" s="150" t="s">
        <v>944</v>
      </c>
      <c r="D765" s="70">
        <v>36.006336000000005</v>
      </c>
      <c r="E765" s="70">
        <v>0</v>
      </c>
      <c r="F765" s="14">
        <v>0</v>
      </c>
      <c r="G765" s="14">
        <v>0</v>
      </c>
      <c r="H765" s="14">
        <v>0</v>
      </c>
      <c r="I765" s="14">
        <v>0</v>
      </c>
      <c r="J765" s="69">
        <v>0</v>
      </c>
      <c r="K765">
        <f t="shared" si="11"/>
        <v>0</v>
      </c>
      <c r="L765" s="14">
        <v>0</v>
      </c>
      <c r="M765" s="14">
        <v>0</v>
      </c>
      <c r="N765" s="14">
        <v>0</v>
      </c>
      <c r="O765" s="69">
        <v>0</v>
      </c>
      <c r="P765" s="226">
        <f>VLOOKUP(Table323[[#This Row],[Census Tract]],'Population and Diversity Data'!$B$2:$K$823,10,FALSE)</f>
        <v>4</v>
      </c>
      <c r="Q765" s="226" t="str">
        <f>VLOOKUP(Table323[[#This Row],[Census Tract]],'ES Energy Burden'!$B$2:$E$914,4,FALSE)</f>
        <v>No</v>
      </c>
      <c r="R765" s="248">
        <f>VLOOKUP(Table323[[#This Row],[Census Tract]],'Income and Housing Data'!$B$2:$D$823,3,FALSE)</f>
        <v>89460</v>
      </c>
      <c r="S765" s="248" t="str">
        <f>IF($U$6&lt;=Table323[[#This Row],[Household income]],IF(Table323[[#This Row],[Household income]]&lt;=$U$7, "Yes","No"),"No")</f>
        <v>No</v>
      </c>
    </row>
    <row r="766" spans="1:19" x14ac:dyDescent="0.25">
      <c r="A766" s="147">
        <v>9003487202</v>
      </c>
      <c r="B766" s="148" t="s">
        <v>2847</v>
      </c>
      <c r="C766" s="150" t="s">
        <v>944</v>
      </c>
      <c r="D766" s="70">
        <v>343.50160319999998</v>
      </c>
      <c r="E766" s="70">
        <v>628.35299999999995</v>
      </c>
      <c r="F766" s="14">
        <v>1</v>
      </c>
      <c r="G766" s="14">
        <v>1</v>
      </c>
      <c r="H766" s="14">
        <v>0</v>
      </c>
      <c r="I766" s="14">
        <v>0</v>
      </c>
      <c r="J766" s="69">
        <v>220.82299999999998</v>
      </c>
      <c r="K766">
        <f t="shared" si="11"/>
        <v>0</v>
      </c>
      <c r="L766" s="14">
        <v>0</v>
      </c>
      <c r="M766" s="14">
        <v>0</v>
      </c>
      <c r="N766" s="14">
        <v>0</v>
      </c>
      <c r="O766" s="69">
        <v>0</v>
      </c>
      <c r="P766" s="226">
        <f>VLOOKUP(Table323[[#This Row],[Census Tract]],'Population and Diversity Data'!$B$2:$K$823,10,FALSE)</f>
        <v>4</v>
      </c>
      <c r="Q766" s="226" t="str">
        <f>VLOOKUP(Table323[[#This Row],[Census Tract]],'ES Energy Burden'!$B$2:$E$914,4,FALSE)</f>
        <v>No</v>
      </c>
      <c r="R766" s="248">
        <f>VLOOKUP(Table323[[#This Row],[Census Tract]],'Income and Housing Data'!$B$2:$D$823,3,FALSE)</f>
        <v>169688</v>
      </c>
      <c r="S766" s="248" t="str">
        <f>IF($U$6&lt;=Table323[[#This Row],[Household income]],IF(Table323[[#This Row],[Household income]]&lt;=$U$7, "Yes","No"),"No")</f>
        <v>No</v>
      </c>
    </row>
    <row r="767" spans="1:19" x14ac:dyDescent="0.25">
      <c r="A767" s="147">
        <v>9003514101</v>
      </c>
      <c r="B767" s="148" t="s">
        <v>2847</v>
      </c>
      <c r="C767" s="150" t="s">
        <v>944</v>
      </c>
      <c r="D767" s="70">
        <v>411.98310720000001</v>
      </c>
      <c r="E767" s="70">
        <v>0</v>
      </c>
      <c r="F767" s="14">
        <v>0</v>
      </c>
      <c r="G767" s="14">
        <v>0</v>
      </c>
      <c r="H767" s="14">
        <v>0</v>
      </c>
      <c r="I767" s="14">
        <v>0</v>
      </c>
      <c r="J767" s="69">
        <v>0</v>
      </c>
      <c r="K767">
        <f t="shared" si="11"/>
        <v>0</v>
      </c>
      <c r="L767" s="14">
        <v>0</v>
      </c>
      <c r="M767" s="14">
        <v>0</v>
      </c>
      <c r="N767" s="14">
        <v>0</v>
      </c>
      <c r="O767" s="69">
        <v>0</v>
      </c>
      <c r="P767" s="226">
        <f>VLOOKUP(Table323[[#This Row],[Census Tract]],'Population and Diversity Data'!$B$2:$K$823,10,FALSE)</f>
        <v>3</v>
      </c>
      <c r="Q767" s="226" t="str">
        <f>VLOOKUP(Table323[[#This Row],[Census Tract]],'ES Energy Burden'!$B$2:$E$914,4,FALSE)</f>
        <v>No</v>
      </c>
      <c r="R767" s="248">
        <f>VLOOKUP(Table323[[#This Row],[Census Tract]],'Income and Housing Data'!$B$2:$D$823,3,FALSE)</f>
        <v>93571</v>
      </c>
      <c r="S767" s="248" t="str">
        <f>IF($U$6&lt;=Table323[[#This Row],[Household income]],IF(Table323[[#This Row],[Household income]]&lt;=$U$7, "Yes","No"),"No")</f>
        <v>No</v>
      </c>
    </row>
    <row r="768" spans="1:19" x14ac:dyDescent="0.25">
      <c r="A768" s="147">
        <v>9013530100</v>
      </c>
      <c r="B768" s="148" t="s">
        <v>2847</v>
      </c>
      <c r="C768" s="150" t="s">
        <v>944</v>
      </c>
      <c r="D768" s="70">
        <v>34070.83161696</v>
      </c>
      <c r="E768" s="70">
        <v>8725.9500000000007</v>
      </c>
      <c r="F768" s="14">
        <v>4</v>
      </c>
      <c r="G768" s="14">
        <v>4</v>
      </c>
      <c r="H768" s="14">
        <v>0</v>
      </c>
      <c r="I768" s="14">
        <v>0</v>
      </c>
      <c r="J768" s="69">
        <v>2071.2800000000002</v>
      </c>
      <c r="K768">
        <f t="shared" si="11"/>
        <v>0</v>
      </c>
      <c r="L768" s="14">
        <v>0</v>
      </c>
      <c r="M768" s="14">
        <v>0</v>
      </c>
      <c r="N768" s="14">
        <v>0</v>
      </c>
      <c r="O768" s="69">
        <v>0</v>
      </c>
      <c r="P768" s="226">
        <f>VLOOKUP(Table323[[#This Row],[Census Tract]],'Population and Diversity Data'!$B$2:$K$823,10,FALSE)</f>
        <v>5</v>
      </c>
      <c r="Q768" s="226" t="str">
        <f>VLOOKUP(Table323[[#This Row],[Census Tract]],'ES Energy Burden'!$B$2:$E$914,4,FALSE)</f>
        <v>No</v>
      </c>
      <c r="R768" s="248">
        <f>VLOOKUP(Table323[[#This Row],[Census Tract]],'Income and Housing Data'!$B$2:$D$823,3,FALSE)</f>
        <v>61048</v>
      </c>
      <c r="S768" s="248" t="str">
        <f>IF($U$6&lt;=Table323[[#This Row],[Household income]],IF(Table323[[#This Row],[Household income]]&lt;=$U$7, "Yes","No"),"No")</f>
        <v>Yes</v>
      </c>
    </row>
    <row r="769" spans="1:19" x14ac:dyDescent="0.25">
      <c r="A769" s="147">
        <v>9013530200</v>
      </c>
      <c r="B769" s="148" t="s">
        <v>2847</v>
      </c>
      <c r="C769" s="150" t="s">
        <v>944</v>
      </c>
      <c r="D769" s="70">
        <v>78604.228051200014</v>
      </c>
      <c r="E769" s="70">
        <v>29090.1</v>
      </c>
      <c r="F769" s="14">
        <v>13</v>
      </c>
      <c r="G769" s="14">
        <v>12</v>
      </c>
      <c r="H769" s="14">
        <v>1</v>
      </c>
      <c r="I769" s="14">
        <v>0</v>
      </c>
      <c r="J769" s="69">
        <v>9407.64</v>
      </c>
      <c r="K769">
        <f t="shared" si="11"/>
        <v>0</v>
      </c>
      <c r="L769" s="14">
        <v>0</v>
      </c>
      <c r="M769" s="14">
        <v>0</v>
      </c>
      <c r="N769" s="14">
        <v>0</v>
      </c>
      <c r="O769" s="69">
        <v>0</v>
      </c>
      <c r="P769" s="226">
        <f>VLOOKUP(Table323[[#This Row],[Census Tract]],'Population and Diversity Data'!$B$2:$K$823,10,FALSE)</f>
        <v>4</v>
      </c>
      <c r="Q769" s="226" t="str">
        <f>VLOOKUP(Table323[[#This Row],[Census Tract]],'ES Energy Burden'!$B$2:$E$914,4,FALSE)</f>
        <v>No</v>
      </c>
      <c r="R769" s="248">
        <f>VLOOKUP(Table323[[#This Row],[Census Tract]],'Income and Housing Data'!$B$2:$D$823,3,FALSE)</f>
        <v>49074</v>
      </c>
      <c r="S769" s="248" t="str">
        <f>IF($U$6&lt;=Table323[[#This Row],[Household income]],IF(Table323[[#This Row],[Household income]]&lt;=$U$7, "Yes","No"),"No")</f>
        <v>Yes</v>
      </c>
    </row>
    <row r="770" spans="1:19" x14ac:dyDescent="0.25">
      <c r="A770" s="147">
        <v>9013530301</v>
      </c>
      <c r="B770" s="148" t="s">
        <v>2847</v>
      </c>
      <c r="C770" s="150" t="s">
        <v>944</v>
      </c>
      <c r="D770" s="70">
        <v>74448.189192959995</v>
      </c>
      <c r="E770" s="70">
        <v>23277.45</v>
      </c>
      <c r="F770" s="14">
        <v>20</v>
      </c>
      <c r="G770" s="14">
        <v>19</v>
      </c>
      <c r="H770" s="14">
        <v>1</v>
      </c>
      <c r="I770" s="14">
        <v>0</v>
      </c>
      <c r="J770" s="69">
        <v>14101.36</v>
      </c>
      <c r="K770">
        <f t="shared" si="11"/>
        <v>0</v>
      </c>
      <c r="L770" s="14">
        <v>0</v>
      </c>
      <c r="M770" s="14">
        <v>0</v>
      </c>
      <c r="N770" s="14">
        <v>0</v>
      </c>
      <c r="O770" s="69">
        <v>0</v>
      </c>
      <c r="P770" s="226">
        <f>VLOOKUP(Table323[[#This Row],[Census Tract]],'Population and Diversity Data'!$B$2:$K$823,10,FALSE)</f>
        <v>2</v>
      </c>
      <c r="Q770" s="226" t="str">
        <f>VLOOKUP(Table323[[#This Row],[Census Tract]],'ES Energy Burden'!$B$2:$E$914,4,FALSE)</f>
        <v>No</v>
      </c>
      <c r="R770" s="248">
        <f>VLOOKUP(Table323[[#This Row],[Census Tract]],'Income and Housing Data'!$B$2:$D$823,3,FALSE)</f>
        <v>53648</v>
      </c>
      <c r="S770" s="248" t="str">
        <f>IF($U$6&lt;=Table323[[#This Row],[Household income]],IF(Table323[[#This Row],[Household income]]&lt;=$U$7, "Yes","No"),"No")</f>
        <v>Yes</v>
      </c>
    </row>
    <row r="771" spans="1:19" x14ac:dyDescent="0.25">
      <c r="A771" s="147">
        <v>9013530302</v>
      </c>
      <c r="B771" s="148" t="s">
        <v>2847</v>
      </c>
      <c r="C771" s="150" t="s">
        <v>944</v>
      </c>
      <c r="D771" s="70">
        <v>124042.61016576001</v>
      </c>
      <c r="E771" s="70">
        <v>142414.7691</v>
      </c>
      <c r="F771" s="14">
        <v>94</v>
      </c>
      <c r="G771" s="14">
        <v>31</v>
      </c>
      <c r="H771" s="14">
        <v>0</v>
      </c>
      <c r="I771" s="14">
        <v>63</v>
      </c>
      <c r="J771" s="69">
        <v>17623.097099999999</v>
      </c>
      <c r="K771">
        <f t="shared" si="11"/>
        <v>51</v>
      </c>
      <c r="L771" s="14">
        <v>50</v>
      </c>
      <c r="M771" s="14">
        <v>1</v>
      </c>
      <c r="N771" s="14">
        <v>0</v>
      </c>
      <c r="O771" s="69">
        <v>59701.7</v>
      </c>
      <c r="P771" s="226">
        <f>VLOOKUP(Table323[[#This Row],[Census Tract]],'Population and Diversity Data'!$B$2:$K$823,10,FALSE)</f>
        <v>5</v>
      </c>
      <c r="Q771" s="226" t="str">
        <f>VLOOKUP(Table323[[#This Row],[Census Tract]],'ES Energy Burden'!$B$2:$E$914,4,FALSE)</f>
        <v>No</v>
      </c>
      <c r="R771" s="248">
        <f>VLOOKUP(Table323[[#This Row],[Census Tract]],'Income and Housing Data'!$B$2:$D$823,3,FALSE)</f>
        <v>86009</v>
      </c>
      <c r="S771" s="248" t="str">
        <f>IF($U$6&lt;=Table323[[#This Row],[Household income]],IF(Table323[[#This Row],[Household income]]&lt;=$U$7, "Yes","No"),"No")</f>
        <v>No</v>
      </c>
    </row>
    <row r="772" spans="1:19" x14ac:dyDescent="0.25">
      <c r="A772" s="147">
        <v>9013530400</v>
      </c>
      <c r="B772" s="148" t="s">
        <v>2847</v>
      </c>
      <c r="C772" s="150" t="s">
        <v>944</v>
      </c>
      <c r="D772" s="70">
        <v>65216.719788479997</v>
      </c>
      <c r="E772" s="70">
        <v>10887.23</v>
      </c>
      <c r="F772" s="14">
        <v>6</v>
      </c>
      <c r="G772" s="14">
        <v>6</v>
      </c>
      <c r="H772" s="14">
        <v>0</v>
      </c>
      <c r="I772" s="14">
        <v>0</v>
      </c>
      <c r="J772" s="69">
        <v>4585</v>
      </c>
      <c r="K772">
        <f t="shared" si="11"/>
        <v>0</v>
      </c>
      <c r="L772" s="14">
        <v>0</v>
      </c>
      <c r="M772" s="14">
        <v>0</v>
      </c>
      <c r="N772" s="14">
        <v>0</v>
      </c>
      <c r="O772" s="69">
        <v>0</v>
      </c>
      <c r="P772" s="226">
        <f>VLOOKUP(Table323[[#This Row],[Census Tract]],'Population and Diversity Data'!$B$2:$K$823,10,FALSE)</f>
        <v>5</v>
      </c>
      <c r="Q772" s="226" t="str">
        <f>VLOOKUP(Table323[[#This Row],[Census Tract]],'ES Energy Burden'!$B$2:$E$914,4,FALSE)</f>
        <v>No</v>
      </c>
      <c r="R772" s="248">
        <f>VLOOKUP(Table323[[#This Row],[Census Tract]],'Income and Housing Data'!$B$2:$D$823,3,FALSE)</f>
        <v>65470</v>
      </c>
      <c r="S772" s="248" t="str">
        <f>IF($U$6&lt;=Table323[[#This Row],[Household income]],IF(Table323[[#This Row],[Household income]]&lt;=$U$7, "Yes","No"),"No")</f>
        <v>No</v>
      </c>
    </row>
    <row r="773" spans="1:19" x14ac:dyDescent="0.25">
      <c r="A773" s="147">
        <v>9013530500</v>
      </c>
      <c r="B773" s="148" t="s">
        <v>2847</v>
      </c>
      <c r="C773" s="150" t="s">
        <v>944</v>
      </c>
      <c r="D773" s="70">
        <v>59253.694274879992</v>
      </c>
      <c r="E773" s="70">
        <v>19884.302</v>
      </c>
      <c r="F773" s="14">
        <v>15</v>
      </c>
      <c r="G773" s="14">
        <v>15</v>
      </c>
      <c r="H773" s="14">
        <v>0</v>
      </c>
      <c r="I773" s="14">
        <v>0</v>
      </c>
      <c r="J773" s="69">
        <v>9092.7819999999992</v>
      </c>
      <c r="K773">
        <f t="shared" si="11"/>
        <v>0</v>
      </c>
      <c r="L773" s="14">
        <v>0</v>
      </c>
      <c r="M773" s="14">
        <v>0</v>
      </c>
      <c r="N773" s="14">
        <v>0</v>
      </c>
      <c r="O773" s="69">
        <v>0</v>
      </c>
      <c r="P773" s="226">
        <f>VLOOKUP(Table323[[#This Row],[Census Tract]],'Population and Diversity Data'!$B$2:$K$823,10,FALSE)</f>
        <v>4</v>
      </c>
      <c r="Q773" s="226" t="str">
        <f>VLOOKUP(Table323[[#This Row],[Census Tract]],'ES Energy Burden'!$B$2:$E$914,4,FALSE)</f>
        <v>No</v>
      </c>
      <c r="R773" s="248">
        <f>VLOOKUP(Table323[[#This Row],[Census Tract]],'Income and Housing Data'!$B$2:$D$823,3,FALSE)</f>
        <v>72219</v>
      </c>
      <c r="S773" s="248" t="str">
        <f>IF($U$6&lt;=Table323[[#This Row],[Household income]],IF(Table323[[#This Row],[Household income]]&lt;=$U$7, "Yes","No"),"No")</f>
        <v>No</v>
      </c>
    </row>
    <row r="774" spans="1:19" x14ac:dyDescent="0.25">
      <c r="A774" s="147">
        <v>9013530600</v>
      </c>
      <c r="B774" s="148" t="s">
        <v>2847</v>
      </c>
      <c r="C774" s="150" t="s">
        <v>944</v>
      </c>
      <c r="D774" s="70">
        <v>52920.689765759998</v>
      </c>
      <c r="E774" s="70">
        <v>19791.499500000002</v>
      </c>
      <c r="F774" s="14">
        <v>18</v>
      </c>
      <c r="G774" s="14">
        <v>18</v>
      </c>
      <c r="H774" s="14">
        <v>0</v>
      </c>
      <c r="I774" s="14">
        <v>0</v>
      </c>
      <c r="J774" s="69">
        <v>18622.6895</v>
      </c>
      <c r="K774">
        <f t="shared" ref="K774:K837" si="12">L774+M774+N774</f>
        <v>0</v>
      </c>
      <c r="L774" s="14">
        <v>0</v>
      </c>
      <c r="M774" s="14">
        <v>0</v>
      </c>
      <c r="N774" s="14">
        <v>0</v>
      </c>
      <c r="O774" s="69">
        <v>0</v>
      </c>
      <c r="P774" s="226">
        <f>VLOOKUP(Table323[[#This Row],[Census Tract]],'Population and Diversity Data'!$B$2:$K$823,10,FALSE)</f>
        <v>4</v>
      </c>
      <c r="Q774" s="226" t="str">
        <f>VLOOKUP(Table323[[#This Row],[Census Tract]],'ES Energy Burden'!$B$2:$E$914,4,FALSE)</f>
        <v>No</v>
      </c>
      <c r="R774" s="248">
        <f>VLOOKUP(Table323[[#This Row],[Census Tract]],'Income and Housing Data'!$B$2:$D$823,3,FALSE)</f>
        <v>102222</v>
      </c>
      <c r="S774" s="248" t="str">
        <f>IF($U$6&lt;=Table323[[#This Row],[Household income]],IF(Table323[[#This Row],[Household income]]&lt;=$U$7, "Yes","No"),"No")</f>
        <v>No</v>
      </c>
    </row>
    <row r="775" spans="1:19" x14ac:dyDescent="0.25">
      <c r="A775" s="147">
        <v>9013535100</v>
      </c>
      <c r="B775" s="148" t="s">
        <v>2847</v>
      </c>
      <c r="C775" s="150" t="s">
        <v>944</v>
      </c>
      <c r="D775" s="70">
        <v>1230.0100127999999</v>
      </c>
      <c r="E775" s="70">
        <v>164.09</v>
      </c>
      <c r="F775" s="14">
        <v>1</v>
      </c>
      <c r="G775" s="14">
        <v>1</v>
      </c>
      <c r="H775" s="14">
        <v>0</v>
      </c>
      <c r="I775" s="14">
        <v>0</v>
      </c>
      <c r="J775" s="69">
        <v>162.83000000000001</v>
      </c>
      <c r="K775">
        <f t="shared" si="12"/>
        <v>0</v>
      </c>
      <c r="L775" s="14">
        <v>0</v>
      </c>
      <c r="M775" s="14">
        <v>0</v>
      </c>
      <c r="N775" s="14">
        <v>0</v>
      </c>
      <c r="O775" s="69">
        <v>0</v>
      </c>
      <c r="P775" s="226">
        <f>VLOOKUP(Table323[[#This Row],[Census Tract]],'Population and Diversity Data'!$B$2:$K$823,10,FALSE)</f>
        <v>4</v>
      </c>
      <c r="Q775" s="226" t="str">
        <f>VLOOKUP(Table323[[#This Row],[Census Tract]],'ES Energy Burden'!$B$2:$E$914,4,FALSE)</f>
        <v>No</v>
      </c>
      <c r="R775" s="248">
        <f>VLOOKUP(Table323[[#This Row],[Census Tract]],'Income and Housing Data'!$B$2:$D$823,3,FALSE)</f>
        <v>82436</v>
      </c>
      <c r="S775" s="248" t="str">
        <f>IF($U$6&lt;=Table323[[#This Row],[Household income]],IF(Table323[[#This Row],[Household income]]&lt;=$U$7, "Yes","No"),"No")</f>
        <v>No</v>
      </c>
    </row>
    <row r="776" spans="1:19" x14ac:dyDescent="0.25">
      <c r="A776" s="147">
        <v>9011708100</v>
      </c>
      <c r="B776" s="148" t="s">
        <v>2848</v>
      </c>
      <c r="C776" s="150" t="s">
        <v>944</v>
      </c>
      <c r="D776" s="70">
        <v>57747.690486719999</v>
      </c>
      <c r="E776" s="70">
        <v>21450.676500000001</v>
      </c>
      <c r="F776" s="14">
        <v>11</v>
      </c>
      <c r="G776" s="14">
        <v>11</v>
      </c>
      <c r="H776" s="14">
        <v>0</v>
      </c>
      <c r="I776" s="14">
        <v>0</v>
      </c>
      <c r="J776" s="69">
        <v>10404.854499999999</v>
      </c>
      <c r="K776">
        <f t="shared" si="12"/>
        <v>1</v>
      </c>
      <c r="L776" s="14">
        <v>1</v>
      </c>
      <c r="M776" s="14">
        <v>0</v>
      </c>
      <c r="N776" s="14">
        <v>0</v>
      </c>
      <c r="O776" s="69">
        <v>2802.43</v>
      </c>
      <c r="P776" s="226">
        <f>VLOOKUP(Table323[[#This Row],[Census Tract]],'Population and Diversity Data'!$B$2:$K$823,10,FALSE)</f>
        <v>2</v>
      </c>
      <c r="Q776" s="226" t="str">
        <f>VLOOKUP(Table323[[#This Row],[Census Tract]],'ES Energy Burden'!$B$2:$E$914,4,FALSE)</f>
        <v>No</v>
      </c>
      <c r="R776" s="248">
        <f>VLOOKUP(Table323[[#This Row],[Census Tract]],'Income and Housing Data'!$B$2:$D$823,3,FALSE)</f>
        <v>85052</v>
      </c>
      <c r="S776" s="248" t="str">
        <f>IF($U$6&lt;=Table323[[#This Row],[Household income]],IF(Table323[[#This Row],[Household income]]&lt;=$U$7, "Yes","No"),"No")</f>
        <v>No</v>
      </c>
    </row>
    <row r="777" spans="1:19" x14ac:dyDescent="0.25">
      <c r="A777" s="147">
        <v>9011709100</v>
      </c>
      <c r="B777" s="148" t="s">
        <v>2848</v>
      </c>
      <c r="C777" s="150" t="s">
        <v>944</v>
      </c>
      <c r="D777" s="70">
        <v>95.121561600000007</v>
      </c>
      <c r="E777" s="70">
        <v>0</v>
      </c>
      <c r="F777" s="14">
        <v>0</v>
      </c>
      <c r="G777" s="14">
        <v>0</v>
      </c>
      <c r="H777" s="14">
        <v>0</v>
      </c>
      <c r="I777" s="14">
        <v>0</v>
      </c>
      <c r="J777" s="69">
        <v>0</v>
      </c>
      <c r="K777">
        <f t="shared" si="12"/>
        <v>0</v>
      </c>
      <c r="L777" s="14">
        <v>0</v>
      </c>
      <c r="M777" s="14">
        <v>0</v>
      </c>
      <c r="N777" s="14">
        <v>0</v>
      </c>
      <c r="O777" s="69">
        <v>0</v>
      </c>
      <c r="P777" s="226">
        <f>VLOOKUP(Table323[[#This Row],[Census Tract]],'Population and Diversity Data'!$B$2:$K$823,10,FALSE)</f>
        <v>3</v>
      </c>
      <c r="Q777" s="226" t="str">
        <f>VLOOKUP(Table323[[#This Row],[Census Tract]],'ES Energy Burden'!$B$2:$E$914,4,FALSE)</f>
        <v>No</v>
      </c>
      <c r="R777" s="248">
        <f>VLOOKUP(Table323[[#This Row],[Census Tract]],'Income and Housing Data'!$B$2:$D$823,3,FALSE)</f>
        <v>84625</v>
      </c>
      <c r="S777" s="248" t="str">
        <f>IF($U$6&lt;=Table323[[#This Row],[Household income]],IF(Table323[[#This Row],[Household income]]&lt;=$U$7, "Yes","No"),"No")</f>
        <v>No</v>
      </c>
    </row>
    <row r="778" spans="1:19" x14ac:dyDescent="0.25">
      <c r="A778" s="147">
        <v>9015908100</v>
      </c>
      <c r="B778" s="148" t="s">
        <v>2848</v>
      </c>
      <c r="C778" s="150" t="s">
        <v>944</v>
      </c>
      <c r="D778" s="70">
        <v>48.087561600000001</v>
      </c>
      <c r="E778" s="70">
        <v>0</v>
      </c>
      <c r="F778" s="14">
        <v>0</v>
      </c>
      <c r="G778" s="14">
        <v>0</v>
      </c>
      <c r="H778" s="14">
        <v>0</v>
      </c>
      <c r="I778" s="14">
        <v>0</v>
      </c>
      <c r="J778" s="69">
        <v>0</v>
      </c>
      <c r="K778">
        <f t="shared" si="12"/>
        <v>0</v>
      </c>
      <c r="L778" s="14">
        <v>0</v>
      </c>
      <c r="M778" s="14">
        <v>0</v>
      </c>
      <c r="N778" s="14">
        <v>0</v>
      </c>
      <c r="O778" s="69">
        <v>0</v>
      </c>
      <c r="P778" s="226" t="e">
        <f>VLOOKUP(Table323[[#This Row],[Census Tract]],'Population and Diversity Data'!$B$2:$K$823,10,FALSE)</f>
        <v>#N/A</v>
      </c>
      <c r="Q778" s="226" t="e">
        <f>VLOOKUP(Table323[[#This Row],[Census Tract]],'ES Energy Burden'!$B$2:$E$914,4,FALSE)</f>
        <v>#N/A</v>
      </c>
      <c r="R778" s="248" t="e">
        <f>VLOOKUP(Table323[[#This Row],[Census Tract]],'Income and Housing Data'!$B$2:$D$823,3,FALSE)</f>
        <v>#N/A</v>
      </c>
      <c r="S778" s="248" t="e">
        <f>IF($U$6&lt;=Table323[[#This Row],[Household income]],IF(Table323[[#This Row],[Household income]]&lt;=$U$7, "Yes","No"),"No")</f>
        <v>#N/A</v>
      </c>
    </row>
    <row r="779" spans="1:19" x14ac:dyDescent="0.25">
      <c r="A779" s="147">
        <v>9001035100</v>
      </c>
      <c r="B779" s="148" t="s">
        <v>2849</v>
      </c>
      <c r="C779" s="150" t="s">
        <v>944</v>
      </c>
      <c r="D779" s="70">
        <v>46.987689599999996</v>
      </c>
      <c r="E779" s="70">
        <v>0</v>
      </c>
      <c r="F779" s="14">
        <v>0</v>
      </c>
      <c r="G779" s="14">
        <v>0</v>
      </c>
      <c r="H779" s="14">
        <v>0</v>
      </c>
      <c r="I779" s="14">
        <v>0</v>
      </c>
      <c r="J779" s="69">
        <v>0</v>
      </c>
      <c r="K779">
        <f t="shared" si="12"/>
        <v>0</v>
      </c>
      <c r="L779" s="14">
        <v>0</v>
      </c>
      <c r="M779" s="14">
        <v>0</v>
      </c>
      <c r="N779" s="14">
        <v>0</v>
      </c>
      <c r="O779" s="69">
        <v>0</v>
      </c>
      <c r="P779" s="226">
        <f>VLOOKUP(Table323[[#This Row],[Census Tract]],'Population and Diversity Data'!$B$2:$K$823,10,FALSE)</f>
        <v>2</v>
      </c>
      <c r="Q779" s="226" t="str">
        <f>VLOOKUP(Table323[[#This Row],[Census Tract]],'ES Energy Burden'!$B$2:$E$914,4,FALSE)</f>
        <v>No</v>
      </c>
      <c r="R779" s="248">
        <f>VLOOKUP(Table323[[#This Row],[Census Tract]],'Income and Housing Data'!$B$2:$D$823,3,FALSE)</f>
        <v>128623</v>
      </c>
      <c r="S779" s="248" t="str">
        <f>IF($U$6&lt;=Table323[[#This Row],[Household income]],IF(Table323[[#This Row],[Household income]]&lt;=$U$7, "Yes","No"),"No")</f>
        <v>No</v>
      </c>
    </row>
    <row r="780" spans="1:19" x14ac:dyDescent="0.25">
      <c r="A780" s="147">
        <v>9003496200</v>
      </c>
      <c r="B780" s="148" t="s">
        <v>2849</v>
      </c>
      <c r="C780" s="150" t="s">
        <v>944</v>
      </c>
      <c r="D780" s="70">
        <v>24.110352000000002</v>
      </c>
      <c r="E780" s="70">
        <v>0</v>
      </c>
      <c r="F780" s="14">
        <v>0</v>
      </c>
      <c r="G780" s="14">
        <v>0</v>
      </c>
      <c r="H780" s="14">
        <v>0</v>
      </c>
      <c r="I780" s="14">
        <v>0</v>
      </c>
      <c r="J780" s="69">
        <v>0</v>
      </c>
      <c r="K780">
        <f t="shared" si="12"/>
        <v>0</v>
      </c>
      <c r="L780" s="14">
        <v>0</v>
      </c>
      <c r="M780" s="14">
        <v>0</v>
      </c>
      <c r="N780" s="14">
        <v>0</v>
      </c>
      <c r="O780" s="69">
        <v>0</v>
      </c>
      <c r="P780" s="226">
        <f>VLOOKUP(Table323[[#This Row],[Census Tract]],'Population and Diversity Data'!$B$2:$K$823,10,FALSE)</f>
        <v>5</v>
      </c>
      <c r="Q780" s="226" t="str">
        <f>VLOOKUP(Table323[[#This Row],[Census Tract]],'ES Energy Burden'!$B$2:$E$914,4,FALSE)</f>
        <v>No</v>
      </c>
      <c r="R780" s="248">
        <f>VLOOKUP(Table323[[#This Row],[Census Tract]],'Income and Housing Data'!$B$2:$D$823,3,FALSE)</f>
        <v>75417</v>
      </c>
      <c r="S780" s="248" t="str">
        <f>IF($U$6&lt;=Table323[[#This Row],[Household income]],IF(Table323[[#This Row],[Household income]]&lt;=$U$7, "Yes","No"),"No")</f>
        <v>No</v>
      </c>
    </row>
    <row r="781" spans="1:19" x14ac:dyDescent="0.25">
      <c r="A781" s="147">
        <v>9005263200</v>
      </c>
      <c r="B781" s="148" t="s">
        <v>2849</v>
      </c>
      <c r="C781" s="150" t="s">
        <v>944</v>
      </c>
      <c r="D781" s="70">
        <v>1081.73337408</v>
      </c>
      <c r="E781" s="70">
        <v>0</v>
      </c>
      <c r="F781" s="14">
        <v>0</v>
      </c>
      <c r="G781" s="14">
        <v>0</v>
      </c>
      <c r="H781" s="14">
        <v>0</v>
      </c>
      <c r="I781" s="14">
        <v>0</v>
      </c>
      <c r="J781" s="69">
        <v>0</v>
      </c>
      <c r="K781">
        <f t="shared" si="12"/>
        <v>0</v>
      </c>
      <c r="L781" s="14">
        <v>0</v>
      </c>
      <c r="M781" s="14">
        <v>0</v>
      </c>
      <c r="N781" s="14">
        <v>0</v>
      </c>
      <c r="O781" s="69">
        <v>0</v>
      </c>
      <c r="P781" s="226">
        <f>VLOOKUP(Table323[[#This Row],[Census Tract]],'Population and Diversity Data'!$B$2:$K$823,10,FALSE)</f>
        <v>3</v>
      </c>
      <c r="Q781" s="226" t="str">
        <f>VLOOKUP(Table323[[#This Row],[Census Tract]],'ES Energy Burden'!$B$2:$E$914,4,FALSE)</f>
        <v>No</v>
      </c>
      <c r="R781" s="248">
        <f>VLOOKUP(Table323[[#This Row],[Census Tract]],'Income and Housing Data'!$B$2:$D$823,3,FALSE)</f>
        <v>80000</v>
      </c>
      <c r="S781" s="248" t="str">
        <f>IF($U$6&lt;=Table323[[#This Row],[Household income]],IF(Table323[[#This Row],[Household income]]&lt;=$U$7, "Yes","No"),"No")</f>
        <v>No</v>
      </c>
    </row>
    <row r="782" spans="1:19" x14ac:dyDescent="0.25">
      <c r="A782" s="147">
        <v>9005265100</v>
      </c>
      <c r="B782" s="148" t="s">
        <v>2849</v>
      </c>
      <c r="C782" s="150" t="s">
        <v>944</v>
      </c>
      <c r="D782" s="70">
        <v>41431.092839999998</v>
      </c>
      <c r="E782" s="70">
        <v>39393.502899999999</v>
      </c>
      <c r="F782" s="14">
        <v>12</v>
      </c>
      <c r="G782" s="14">
        <v>12</v>
      </c>
      <c r="H782" s="14">
        <v>0</v>
      </c>
      <c r="I782" s="14">
        <v>0</v>
      </c>
      <c r="J782" s="69">
        <v>12640.63</v>
      </c>
      <c r="K782">
        <f t="shared" si="12"/>
        <v>3</v>
      </c>
      <c r="L782" s="14">
        <v>3</v>
      </c>
      <c r="M782" s="14">
        <v>0</v>
      </c>
      <c r="N782" s="14">
        <v>0</v>
      </c>
      <c r="O782" s="69">
        <v>20297.7</v>
      </c>
      <c r="P782" s="226">
        <f>VLOOKUP(Table323[[#This Row],[Census Tract]],'Population and Diversity Data'!$B$2:$K$823,10,FALSE)</f>
        <v>1</v>
      </c>
      <c r="Q782" s="226" t="str">
        <f>VLOOKUP(Table323[[#This Row],[Census Tract]],'ES Energy Burden'!$B$2:$E$914,4,FALSE)</f>
        <v>No</v>
      </c>
      <c r="R782" s="248">
        <f>VLOOKUP(Table323[[#This Row],[Census Tract]],'Income and Housing Data'!$B$2:$D$823,3,FALSE)</f>
        <v>104375</v>
      </c>
      <c r="S782" s="248" t="str">
        <f>IF($U$6&lt;=Table323[[#This Row],[Household income]],IF(Table323[[#This Row],[Household income]]&lt;=$U$7, "Yes","No"),"No")</f>
        <v>No</v>
      </c>
    </row>
    <row r="783" spans="1:19" x14ac:dyDescent="0.25">
      <c r="A783" s="147">
        <v>9005266100</v>
      </c>
      <c r="B783" s="148" t="s">
        <v>2849</v>
      </c>
      <c r="C783" s="150" t="s">
        <v>944</v>
      </c>
      <c r="D783" s="70">
        <v>107.6601024</v>
      </c>
      <c r="E783" s="70">
        <v>0</v>
      </c>
      <c r="F783" s="14">
        <v>0</v>
      </c>
      <c r="G783" s="14">
        <v>0</v>
      </c>
      <c r="H783" s="14">
        <v>0</v>
      </c>
      <c r="I783" s="14">
        <v>0</v>
      </c>
      <c r="J783" s="69">
        <v>0</v>
      </c>
      <c r="K783">
        <f t="shared" si="12"/>
        <v>0</v>
      </c>
      <c r="L783" s="14">
        <v>0</v>
      </c>
      <c r="M783" s="14">
        <v>0</v>
      </c>
      <c r="N783" s="14">
        <v>0</v>
      </c>
      <c r="O783" s="69">
        <v>0</v>
      </c>
      <c r="P783" s="226">
        <f>VLOOKUP(Table323[[#This Row],[Census Tract]],'Population and Diversity Data'!$B$2:$K$823,10,FALSE)</f>
        <v>2</v>
      </c>
      <c r="Q783" s="226" t="str">
        <f>VLOOKUP(Table323[[#This Row],[Census Tract]],'ES Energy Burden'!$B$2:$E$914,4,FALSE)</f>
        <v>No</v>
      </c>
      <c r="R783" s="248">
        <f>VLOOKUP(Table323[[#This Row],[Census Tract]],'Income and Housing Data'!$B$2:$D$823,3,FALSE)</f>
        <v>78125</v>
      </c>
      <c r="S783" s="248" t="str">
        <f>IF($U$6&lt;=Table323[[#This Row],[Household income]],IF(Table323[[#This Row],[Household income]]&lt;=$U$7, "Yes","No"),"No")</f>
        <v>No</v>
      </c>
    </row>
    <row r="784" spans="1:19" x14ac:dyDescent="0.25">
      <c r="A784" s="147">
        <v>9005267100</v>
      </c>
      <c r="B784" s="148" t="s">
        <v>2849</v>
      </c>
      <c r="C784" s="150" t="s">
        <v>944</v>
      </c>
      <c r="D784" s="70">
        <v>1739.6270208000001</v>
      </c>
      <c r="E784" s="70">
        <v>0</v>
      </c>
      <c r="F784" s="14">
        <v>1</v>
      </c>
      <c r="G784" s="14">
        <v>1</v>
      </c>
      <c r="H784" s="14">
        <v>0</v>
      </c>
      <c r="I784" s="14">
        <v>0</v>
      </c>
      <c r="J784" s="69">
        <v>0</v>
      </c>
      <c r="K784">
        <f t="shared" si="12"/>
        <v>0</v>
      </c>
      <c r="L784" s="14">
        <v>0</v>
      </c>
      <c r="M784" s="14">
        <v>0</v>
      </c>
      <c r="N784" s="14">
        <v>0</v>
      </c>
      <c r="O784" s="69">
        <v>0</v>
      </c>
      <c r="P784" s="226">
        <f>VLOOKUP(Table323[[#This Row],[Census Tract]],'Population and Diversity Data'!$B$2:$K$823,10,FALSE)</f>
        <v>3</v>
      </c>
      <c r="Q784" s="226" t="str">
        <f>VLOOKUP(Table323[[#This Row],[Census Tract]],'ES Energy Burden'!$B$2:$E$914,4,FALSE)</f>
        <v>No</v>
      </c>
      <c r="R784" s="248">
        <f>VLOOKUP(Table323[[#This Row],[Census Tract]],'Income and Housing Data'!$B$2:$D$823,3,FALSE)</f>
        <v>108250</v>
      </c>
      <c r="S784" s="248" t="str">
        <f>IF($U$6&lt;=Table323[[#This Row],[Household income]],IF(Table323[[#This Row],[Household income]]&lt;=$U$7, "Yes","No"),"No")</f>
        <v>No</v>
      </c>
    </row>
    <row r="785" spans="1:19" x14ac:dyDescent="0.25">
      <c r="A785" s="147">
        <v>9005306100</v>
      </c>
      <c r="B785" s="148" t="s">
        <v>2849</v>
      </c>
      <c r="C785" s="150" t="s">
        <v>944</v>
      </c>
      <c r="D785" s="70">
        <v>34.269696000000003</v>
      </c>
      <c r="E785" s="70">
        <v>0</v>
      </c>
      <c r="F785" s="14">
        <v>0</v>
      </c>
      <c r="G785" s="14">
        <v>0</v>
      </c>
      <c r="H785" s="14">
        <v>0</v>
      </c>
      <c r="I785" s="14">
        <v>0</v>
      </c>
      <c r="J785" s="69">
        <v>0</v>
      </c>
      <c r="K785">
        <f t="shared" si="12"/>
        <v>0</v>
      </c>
      <c r="L785" s="14">
        <v>0</v>
      </c>
      <c r="M785" s="14">
        <v>0</v>
      </c>
      <c r="N785" s="14">
        <v>0</v>
      </c>
      <c r="O785" s="69">
        <v>0</v>
      </c>
      <c r="P785" s="226">
        <f>VLOOKUP(Table323[[#This Row],[Census Tract]],'Population and Diversity Data'!$B$2:$K$823,10,FALSE)</f>
        <v>1</v>
      </c>
      <c r="Q785" s="226" t="str">
        <f>VLOOKUP(Table323[[#This Row],[Census Tract]],'ES Energy Burden'!$B$2:$E$914,4,FALSE)</f>
        <v>No</v>
      </c>
      <c r="R785" s="248">
        <f>VLOOKUP(Table323[[#This Row],[Census Tract]],'Income and Housing Data'!$B$2:$D$823,3,FALSE)</f>
        <v>106765</v>
      </c>
      <c r="S785" s="248" t="str">
        <f>IF($U$6&lt;=Table323[[#This Row],[Household income]],IF(Table323[[#This Row],[Household income]]&lt;=$U$7, "Yes","No"),"No")</f>
        <v>No</v>
      </c>
    </row>
    <row r="786" spans="1:19" x14ac:dyDescent="0.25">
      <c r="A786" s="147">
        <v>9005253500</v>
      </c>
      <c r="B786" s="148" t="s">
        <v>2850</v>
      </c>
      <c r="C786" s="150" t="s">
        <v>944</v>
      </c>
      <c r="D786" s="70">
        <v>105.3330048</v>
      </c>
      <c r="E786" s="70">
        <v>0</v>
      </c>
      <c r="F786" s="14">
        <v>0</v>
      </c>
      <c r="G786" s="14">
        <v>0</v>
      </c>
      <c r="H786" s="14">
        <v>0</v>
      </c>
      <c r="I786" s="14">
        <v>0</v>
      </c>
      <c r="J786" s="69">
        <v>0</v>
      </c>
      <c r="K786">
        <f t="shared" si="12"/>
        <v>0</v>
      </c>
      <c r="L786" s="14">
        <v>0</v>
      </c>
      <c r="M786" s="14">
        <v>0</v>
      </c>
      <c r="N786" s="14">
        <v>0</v>
      </c>
      <c r="O786" s="69">
        <v>0</v>
      </c>
      <c r="P786" s="226">
        <f>VLOOKUP(Table323[[#This Row],[Census Tract]],'Population and Diversity Data'!$B$2:$K$823,10,FALSE)</f>
        <v>4</v>
      </c>
      <c r="Q786" s="226" t="str">
        <f>VLOOKUP(Table323[[#This Row],[Census Tract]],'ES Energy Burden'!$B$2:$E$914,4,FALSE)</f>
        <v>No</v>
      </c>
      <c r="R786" s="248">
        <f>VLOOKUP(Table323[[#This Row],[Census Tract]],'Income and Housing Data'!$B$2:$D$823,3,FALSE)</f>
        <v>107109</v>
      </c>
      <c r="S786" s="248" t="str">
        <f>IF($U$6&lt;=Table323[[#This Row],[Household income]],IF(Table323[[#This Row],[Household income]]&lt;=$U$7, "Yes","No"),"No")</f>
        <v>No</v>
      </c>
    </row>
    <row r="787" spans="1:19" x14ac:dyDescent="0.25">
      <c r="A787" s="147">
        <v>9005265100</v>
      </c>
      <c r="B787" s="148" t="s">
        <v>2850</v>
      </c>
      <c r="C787" s="150" t="s">
        <v>944</v>
      </c>
      <c r="D787" s="70">
        <v>2562.3306979200006</v>
      </c>
      <c r="E787" s="70">
        <v>1202.22</v>
      </c>
      <c r="F787" s="14">
        <v>2</v>
      </c>
      <c r="G787" s="14">
        <v>2</v>
      </c>
      <c r="H787" s="14">
        <v>0</v>
      </c>
      <c r="I787" s="14">
        <v>0</v>
      </c>
      <c r="J787" s="69">
        <v>1197.4329</v>
      </c>
      <c r="K787">
        <f t="shared" si="12"/>
        <v>0</v>
      </c>
      <c r="L787" s="14">
        <v>0</v>
      </c>
      <c r="M787" s="14">
        <v>0</v>
      </c>
      <c r="N787" s="14">
        <v>0</v>
      </c>
      <c r="O787" s="69">
        <v>0</v>
      </c>
      <c r="P787" s="226">
        <f>VLOOKUP(Table323[[#This Row],[Census Tract]],'Population and Diversity Data'!$B$2:$K$823,10,FALSE)</f>
        <v>1</v>
      </c>
      <c r="Q787" s="226" t="str">
        <f>VLOOKUP(Table323[[#This Row],[Census Tract]],'ES Energy Burden'!$B$2:$E$914,4,FALSE)</f>
        <v>No</v>
      </c>
      <c r="R787" s="248">
        <f>VLOOKUP(Table323[[#This Row],[Census Tract]],'Income and Housing Data'!$B$2:$D$823,3,FALSE)</f>
        <v>104375</v>
      </c>
      <c r="S787" s="248" t="str">
        <f>IF($U$6&lt;=Table323[[#This Row],[Household income]],IF(Table323[[#This Row],[Household income]]&lt;=$U$7, "Yes","No"),"No")</f>
        <v>No</v>
      </c>
    </row>
    <row r="788" spans="1:19" x14ac:dyDescent="0.25">
      <c r="A788" s="147">
        <v>9005267100</v>
      </c>
      <c r="B788" s="148" t="s">
        <v>2850</v>
      </c>
      <c r="C788" s="150" t="s">
        <v>944</v>
      </c>
      <c r="D788" s="70">
        <v>146825.70668064</v>
      </c>
      <c r="E788" s="70">
        <v>46420.828399999999</v>
      </c>
      <c r="F788" s="14">
        <v>23</v>
      </c>
      <c r="G788" s="14">
        <v>23</v>
      </c>
      <c r="H788" s="14">
        <v>0</v>
      </c>
      <c r="I788" s="14">
        <v>0</v>
      </c>
      <c r="J788" s="69">
        <v>21563.838400000001</v>
      </c>
      <c r="K788">
        <f t="shared" si="12"/>
        <v>2</v>
      </c>
      <c r="L788" s="14">
        <v>2</v>
      </c>
      <c r="M788" s="14">
        <v>0</v>
      </c>
      <c r="N788" s="14">
        <v>0</v>
      </c>
      <c r="O788" s="69">
        <v>1075.8699999999999</v>
      </c>
      <c r="P788" s="226">
        <f>VLOOKUP(Table323[[#This Row],[Census Tract]],'Population and Diversity Data'!$B$2:$K$823,10,FALSE)</f>
        <v>3</v>
      </c>
      <c r="Q788" s="226" t="str">
        <f>VLOOKUP(Table323[[#This Row],[Census Tract]],'ES Energy Burden'!$B$2:$E$914,4,FALSE)</f>
        <v>No</v>
      </c>
      <c r="R788" s="248">
        <f>VLOOKUP(Table323[[#This Row],[Census Tract]],'Income and Housing Data'!$B$2:$D$823,3,FALSE)</f>
        <v>108250</v>
      </c>
      <c r="S788" s="248" t="str">
        <f>IF($U$6&lt;=Table323[[#This Row],[Household income]],IF(Table323[[#This Row],[Household income]]&lt;=$U$7, "Yes","No"),"No")</f>
        <v>No</v>
      </c>
    </row>
    <row r="789" spans="1:19" x14ac:dyDescent="0.25">
      <c r="A789" s="147">
        <v>9005362102</v>
      </c>
      <c r="B789" s="148" t="s">
        <v>2850</v>
      </c>
      <c r="C789" s="150" t="s">
        <v>944</v>
      </c>
      <c r="D789" s="70">
        <v>952.21128959999999</v>
      </c>
      <c r="E789" s="70">
        <v>0</v>
      </c>
      <c r="F789" s="14">
        <v>0</v>
      </c>
      <c r="G789" s="14">
        <v>0</v>
      </c>
      <c r="H789" s="14">
        <v>0</v>
      </c>
      <c r="I789" s="14">
        <v>0</v>
      </c>
      <c r="J789" s="69">
        <v>0</v>
      </c>
      <c r="K789">
        <f t="shared" si="12"/>
        <v>0</v>
      </c>
      <c r="L789" s="14">
        <v>0</v>
      </c>
      <c r="M789" s="14">
        <v>0</v>
      </c>
      <c r="N789" s="14">
        <v>0</v>
      </c>
      <c r="O789" s="69">
        <v>0</v>
      </c>
      <c r="P789" s="226">
        <f>VLOOKUP(Table323[[#This Row],[Census Tract]],'Population and Diversity Data'!$B$2:$K$823,10,FALSE)</f>
        <v>1</v>
      </c>
      <c r="Q789" s="226" t="str">
        <f>VLOOKUP(Table323[[#This Row],[Census Tract]],'ES Energy Burden'!$B$2:$E$914,4,FALSE)</f>
        <v>No</v>
      </c>
      <c r="R789" s="248">
        <f>VLOOKUP(Table323[[#This Row],[Census Tract]],'Income and Housing Data'!$B$2:$D$823,3,FALSE)</f>
        <v>91383</v>
      </c>
      <c r="S789" s="248" t="str">
        <f>IF($U$6&lt;=Table323[[#This Row],[Household income]],IF(Table323[[#This Row],[Household income]]&lt;=$U$7, "Yes","No"),"No")</f>
        <v>No</v>
      </c>
    </row>
    <row r="790" spans="1:19" x14ac:dyDescent="0.25">
      <c r="A790" s="147">
        <v>9009345100</v>
      </c>
      <c r="B790" s="148" t="s">
        <v>981</v>
      </c>
      <c r="C790" s="150" t="s">
        <v>944</v>
      </c>
      <c r="D790" s="70">
        <v>1723.8467519999999</v>
      </c>
      <c r="E790" s="70">
        <v>22.2</v>
      </c>
      <c r="F790" s="14">
        <v>0</v>
      </c>
      <c r="G790" s="14">
        <v>0</v>
      </c>
      <c r="H790" s="14">
        <v>0</v>
      </c>
      <c r="I790" s="14">
        <v>0</v>
      </c>
      <c r="J790" s="69">
        <v>0</v>
      </c>
      <c r="K790">
        <f t="shared" si="12"/>
        <v>0</v>
      </c>
      <c r="L790" s="14">
        <v>0</v>
      </c>
      <c r="M790" s="14">
        <v>0</v>
      </c>
      <c r="N790" s="14">
        <v>0</v>
      </c>
      <c r="O790" s="69">
        <v>0</v>
      </c>
      <c r="P790" s="226">
        <f>VLOOKUP(Table323[[#This Row],[Census Tract]],'Population and Diversity Data'!$B$2:$K$823,10,FALSE)</f>
        <v>2</v>
      </c>
      <c r="Q790" s="226" t="str">
        <f>VLOOKUP(Table323[[#This Row],[Census Tract]],'ES Energy Burden'!$B$2:$E$914,4,FALSE)</f>
        <v>No</v>
      </c>
      <c r="R790" s="248">
        <f>VLOOKUP(Table323[[#This Row],[Census Tract]],'Income and Housing Data'!$B$2:$D$823,3,FALSE)</f>
        <v>64241</v>
      </c>
      <c r="S790" s="248" t="str">
        <f>IF($U$6&lt;=Table323[[#This Row],[Household income]],IF(Table323[[#This Row],[Household income]]&lt;=$U$7, "Yes","No"),"No")</f>
        <v>No</v>
      </c>
    </row>
    <row r="791" spans="1:19" x14ac:dyDescent="0.25">
      <c r="A791" s="147">
        <v>9009347100</v>
      </c>
      <c r="B791" s="148" t="s">
        <v>981</v>
      </c>
      <c r="C791" s="150" t="s">
        <v>944</v>
      </c>
      <c r="D791" s="70">
        <v>796.48099200000001</v>
      </c>
      <c r="E791" s="70">
        <v>0</v>
      </c>
      <c r="F791" s="14">
        <v>0</v>
      </c>
      <c r="G791" s="14">
        <v>0</v>
      </c>
      <c r="H791" s="14">
        <v>0</v>
      </c>
      <c r="I791" s="14">
        <v>0</v>
      </c>
      <c r="J791" s="69">
        <v>0</v>
      </c>
      <c r="K791">
        <f t="shared" si="12"/>
        <v>0</v>
      </c>
      <c r="L791" s="14">
        <v>0</v>
      </c>
      <c r="M791" s="14">
        <v>0</v>
      </c>
      <c r="N791" s="14">
        <v>0</v>
      </c>
      <c r="O791" s="69">
        <v>0</v>
      </c>
      <c r="P791" s="226">
        <f>VLOOKUP(Table323[[#This Row],[Census Tract]],'Population and Diversity Data'!$B$2:$K$823,10,FALSE)</f>
        <v>1</v>
      </c>
      <c r="Q791" s="226" t="str">
        <f>VLOOKUP(Table323[[#This Row],[Census Tract]],'ES Energy Burden'!$B$2:$E$914,4,FALSE)</f>
        <v>No</v>
      </c>
      <c r="R791" s="248">
        <f>VLOOKUP(Table323[[#This Row],[Census Tract]],'Income and Housing Data'!$B$2:$D$823,3,FALSE)</f>
        <v>101848</v>
      </c>
      <c r="S791" s="248" t="str">
        <f>IF($U$6&lt;=Table323[[#This Row],[Household income]],IF(Table323[[#This Row],[Household income]]&lt;=$U$7, "Yes","No"),"No")</f>
        <v>No</v>
      </c>
    </row>
    <row r="792" spans="1:19" x14ac:dyDescent="0.25">
      <c r="A792" s="147">
        <v>9009350100</v>
      </c>
      <c r="B792" s="148" t="s">
        <v>981</v>
      </c>
      <c r="C792" s="150" t="s">
        <v>936</v>
      </c>
      <c r="D792" s="70">
        <v>38315.271240000002</v>
      </c>
      <c r="E792" s="70">
        <v>12377.77</v>
      </c>
      <c r="F792" s="14">
        <v>0</v>
      </c>
      <c r="G792" s="14">
        <v>0</v>
      </c>
      <c r="H792" s="14">
        <v>0</v>
      </c>
      <c r="I792" s="14">
        <v>0</v>
      </c>
      <c r="J792" s="69">
        <v>0</v>
      </c>
      <c r="K792">
        <f t="shared" si="12"/>
        <v>0</v>
      </c>
      <c r="L792" s="14">
        <v>0</v>
      </c>
      <c r="M792" s="14">
        <v>0</v>
      </c>
      <c r="N792" s="14">
        <v>0</v>
      </c>
      <c r="O792" s="69">
        <v>0</v>
      </c>
      <c r="P792" s="226">
        <f>VLOOKUP(Table323[[#This Row],[Census Tract]],'Population and Diversity Data'!$B$2:$K$823,10,FALSE)</f>
        <v>5</v>
      </c>
      <c r="Q792" s="226" t="e">
        <f>VLOOKUP(Table323[[#This Row],[Census Tract]],'ES Energy Burden'!$B$2:$E$914,4,FALSE)</f>
        <v>#N/A</v>
      </c>
      <c r="R792" s="248">
        <f>VLOOKUP(Table323[[#This Row],[Census Tract]],'Income and Housing Data'!$B$2:$D$823,3,FALSE)</f>
        <v>13410</v>
      </c>
      <c r="S792" s="248" t="str">
        <f>IF($U$6&lt;=Table323[[#This Row],[Household income]],IF(Table323[[#This Row],[Household income]]&lt;=$U$7, "Yes","No"),"No")</f>
        <v>No</v>
      </c>
    </row>
    <row r="793" spans="1:19" x14ac:dyDescent="0.25">
      <c r="A793" s="147">
        <v>9009350200</v>
      </c>
      <c r="B793" s="148" t="s">
        <v>981</v>
      </c>
      <c r="C793" s="150" t="s">
        <v>936</v>
      </c>
      <c r="D793" s="70">
        <v>44886.648113279996</v>
      </c>
      <c r="E793" s="70">
        <v>14823.31</v>
      </c>
      <c r="F793" s="14">
        <v>0</v>
      </c>
      <c r="G793" s="14">
        <v>0</v>
      </c>
      <c r="H793" s="14">
        <v>0</v>
      </c>
      <c r="I793" s="14">
        <v>0</v>
      </c>
      <c r="J793" s="69">
        <v>0</v>
      </c>
      <c r="K793">
        <f t="shared" si="12"/>
        <v>0</v>
      </c>
      <c r="L793" s="14">
        <v>0</v>
      </c>
      <c r="M793" s="14">
        <v>0</v>
      </c>
      <c r="N793" s="14">
        <v>0</v>
      </c>
      <c r="O793" s="69">
        <v>0</v>
      </c>
      <c r="P793" s="226">
        <f>VLOOKUP(Table323[[#This Row],[Census Tract]],'Population and Diversity Data'!$B$2:$K$823,10,FALSE)</f>
        <v>4</v>
      </c>
      <c r="Q793" s="226" t="e">
        <f>VLOOKUP(Table323[[#This Row],[Census Tract]],'ES Energy Burden'!$B$2:$E$914,4,FALSE)</f>
        <v>#N/A</v>
      </c>
      <c r="R793" s="248">
        <f>VLOOKUP(Table323[[#This Row],[Census Tract]],'Income and Housing Data'!$B$2:$D$823,3,FALSE)</f>
        <v>30995</v>
      </c>
      <c r="S793" s="248" t="str">
        <f>IF($U$6&lt;=Table323[[#This Row],[Household income]],IF(Table323[[#This Row],[Household income]]&lt;=$U$7, "Yes","No"),"No")</f>
        <v>No</v>
      </c>
    </row>
    <row r="794" spans="1:19" x14ac:dyDescent="0.25">
      <c r="A794" s="147">
        <v>9009350300</v>
      </c>
      <c r="B794" s="148" t="s">
        <v>981</v>
      </c>
      <c r="C794" s="150" t="s">
        <v>944</v>
      </c>
      <c r="D794" s="70">
        <v>26865.736862400001</v>
      </c>
      <c r="E794" s="70">
        <v>7264.46</v>
      </c>
      <c r="F794" s="14">
        <v>0</v>
      </c>
      <c r="G794" s="14">
        <v>0</v>
      </c>
      <c r="H794" s="14">
        <v>0</v>
      </c>
      <c r="I794" s="14">
        <v>0</v>
      </c>
      <c r="J794" s="69">
        <v>0</v>
      </c>
      <c r="K794">
        <f t="shared" si="12"/>
        <v>0</v>
      </c>
      <c r="L794" s="14">
        <v>0</v>
      </c>
      <c r="M794" s="14">
        <v>0</v>
      </c>
      <c r="N794" s="14">
        <v>0</v>
      </c>
      <c r="O794" s="69">
        <v>0</v>
      </c>
      <c r="P794" s="226">
        <f>VLOOKUP(Table323[[#This Row],[Census Tract]],'Population and Diversity Data'!$B$2:$K$823,10,FALSE)</f>
        <v>5</v>
      </c>
      <c r="Q794" s="226" t="str">
        <f>VLOOKUP(Table323[[#This Row],[Census Tract]],'ES Energy Burden'!$B$2:$E$914,4,FALSE)</f>
        <v>Yes</v>
      </c>
      <c r="R794" s="248">
        <f>VLOOKUP(Table323[[#This Row],[Census Tract]],'Income and Housing Data'!$B$2:$D$823,3,FALSE)</f>
        <v>26765</v>
      </c>
      <c r="S794" s="248" t="str">
        <f>IF($U$6&lt;=Table323[[#This Row],[Household income]],IF(Table323[[#This Row],[Household income]]&lt;=$U$7, "Yes","No"),"No")</f>
        <v>No</v>
      </c>
    </row>
    <row r="795" spans="1:19" x14ac:dyDescent="0.25">
      <c r="A795" s="147">
        <v>9009350400</v>
      </c>
      <c r="B795" s="148" t="s">
        <v>981</v>
      </c>
      <c r="C795" s="150" t="s">
        <v>944</v>
      </c>
      <c r="D795" s="70">
        <v>37398.924460800001</v>
      </c>
      <c r="E795" s="70">
        <v>1172.21</v>
      </c>
      <c r="F795" s="14">
        <v>1</v>
      </c>
      <c r="G795" s="14">
        <v>1</v>
      </c>
      <c r="H795" s="14">
        <v>0</v>
      </c>
      <c r="I795" s="14">
        <v>0</v>
      </c>
      <c r="J795" s="69">
        <v>192.74</v>
      </c>
      <c r="K795">
        <f t="shared" si="12"/>
        <v>0</v>
      </c>
      <c r="L795" s="14">
        <v>0</v>
      </c>
      <c r="M795" s="14">
        <v>0</v>
      </c>
      <c r="N795" s="14">
        <v>0</v>
      </c>
      <c r="O795" s="69">
        <v>0</v>
      </c>
      <c r="P795" s="226">
        <f>VLOOKUP(Table323[[#This Row],[Census Tract]],'Population and Diversity Data'!$B$2:$K$823,10,FALSE)</f>
        <v>5</v>
      </c>
      <c r="Q795" s="226" t="str">
        <f>VLOOKUP(Table323[[#This Row],[Census Tract]],'ES Energy Burden'!$B$2:$E$914,4,FALSE)</f>
        <v>Yes</v>
      </c>
      <c r="R795" s="248">
        <f>VLOOKUP(Table323[[#This Row],[Census Tract]],'Income and Housing Data'!$B$2:$D$823,3,FALSE)</f>
        <v>22778</v>
      </c>
      <c r="S795" s="248" t="str">
        <f>IF($U$6&lt;=Table323[[#This Row],[Household income]],IF(Table323[[#This Row],[Household income]]&lt;=$U$7, "Yes","No"),"No")</f>
        <v>No</v>
      </c>
    </row>
    <row r="796" spans="1:19" x14ac:dyDescent="0.25">
      <c r="A796" s="147">
        <v>9009350500</v>
      </c>
      <c r="B796" s="148" t="s">
        <v>981</v>
      </c>
      <c r="C796" s="150" t="s">
        <v>944</v>
      </c>
      <c r="D796" s="70">
        <v>30786.702393600001</v>
      </c>
      <c r="E796" s="70">
        <v>5469.22</v>
      </c>
      <c r="F796" s="14">
        <v>2</v>
      </c>
      <c r="G796" s="14">
        <v>2</v>
      </c>
      <c r="H796" s="14">
        <v>0</v>
      </c>
      <c r="I796" s="14">
        <v>0</v>
      </c>
      <c r="J796" s="69">
        <v>297.11</v>
      </c>
      <c r="K796">
        <f t="shared" si="12"/>
        <v>0</v>
      </c>
      <c r="L796" s="14">
        <v>0</v>
      </c>
      <c r="M796" s="14">
        <v>0</v>
      </c>
      <c r="N796" s="14">
        <v>0</v>
      </c>
      <c r="O796" s="69">
        <v>0</v>
      </c>
      <c r="P796" s="226">
        <f>VLOOKUP(Table323[[#This Row],[Census Tract]],'Population and Diversity Data'!$B$2:$K$823,10,FALSE)</f>
        <v>5</v>
      </c>
      <c r="Q796" s="226" t="str">
        <f>VLOOKUP(Table323[[#This Row],[Census Tract]],'ES Energy Burden'!$B$2:$E$914,4,FALSE)</f>
        <v>Yes</v>
      </c>
      <c r="R796" s="248">
        <f>VLOOKUP(Table323[[#This Row],[Census Tract]],'Income and Housing Data'!$B$2:$D$823,3,FALSE)</f>
        <v>25156</v>
      </c>
      <c r="S796" s="248" t="str">
        <f>IF($U$6&lt;=Table323[[#This Row],[Household income]],IF(Table323[[#This Row],[Household income]]&lt;=$U$7, "Yes","No"),"No")</f>
        <v>No</v>
      </c>
    </row>
    <row r="797" spans="1:19" x14ac:dyDescent="0.25">
      <c r="A797" s="147">
        <v>9009350800</v>
      </c>
      <c r="B797" s="148" t="s">
        <v>981</v>
      </c>
      <c r="C797" s="150" t="s">
        <v>944</v>
      </c>
      <c r="D797" s="70">
        <v>75305.171249280014</v>
      </c>
      <c r="E797" s="70">
        <v>26025.75</v>
      </c>
      <c r="F797" s="14">
        <v>6</v>
      </c>
      <c r="G797" s="14">
        <v>6</v>
      </c>
      <c r="H797" s="14">
        <v>0</v>
      </c>
      <c r="I797" s="14">
        <v>0</v>
      </c>
      <c r="J797" s="69">
        <v>3284.9</v>
      </c>
      <c r="K797">
        <f t="shared" si="12"/>
        <v>0</v>
      </c>
      <c r="L797" s="14">
        <v>0</v>
      </c>
      <c r="M797" s="14">
        <v>0</v>
      </c>
      <c r="N797" s="14">
        <v>0</v>
      </c>
      <c r="O797" s="69">
        <v>0</v>
      </c>
      <c r="P797" s="226">
        <f>VLOOKUP(Table323[[#This Row],[Census Tract]],'Population and Diversity Data'!$B$2:$K$823,10,FALSE)</f>
        <v>3</v>
      </c>
      <c r="Q797" s="226" t="str">
        <f>VLOOKUP(Table323[[#This Row],[Census Tract]],'ES Energy Burden'!$B$2:$E$914,4,FALSE)</f>
        <v>Yes</v>
      </c>
      <c r="R797" s="248">
        <f>VLOOKUP(Table323[[#This Row],[Census Tract]],'Income and Housing Data'!$B$2:$D$823,3,FALSE)</f>
        <v>36540</v>
      </c>
      <c r="S797" s="248" t="str">
        <f>IF($U$6&lt;=Table323[[#This Row],[Household income]],IF(Table323[[#This Row],[Household income]]&lt;=$U$7, "Yes","No"),"No")</f>
        <v>No</v>
      </c>
    </row>
    <row r="798" spans="1:19" x14ac:dyDescent="0.25">
      <c r="A798" s="147">
        <v>9009350900</v>
      </c>
      <c r="B798" s="148" t="s">
        <v>981</v>
      </c>
      <c r="C798" s="150" t="s">
        <v>944</v>
      </c>
      <c r="D798" s="70">
        <v>30064.937443199997</v>
      </c>
      <c r="E798" s="70">
        <v>35858.410000000003</v>
      </c>
      <c r="F798" s="14">
        <v>6</v>
      </c>
      <c r="G798" s="14">
        <v>6</v>
      </c>
      <c r="H798" s="14">
        <v>0</v>
      </c>
      <c r="I798" s="14">
        <v>0</v>
      </c>
      <c r="J798" s="69">
        <v>2809.04</v>
      </c>
      <c r="K798">
        <f t="shared" si="12"/>
        <v>0</v>
      </c>
      <c r="L798" s="14">
        <v>0</v>
      </c>
      <c r="M798" s="14">
        <v>0</v>
      </c>
      <c r="N798" s="14">
        <v>0</v>
      </c>
      <c r="O798" s="69">
        <v>0</v>
      </c>
      <c r="P798" s="226">
        <f>VLOOKUP(Table323[[#This Row],[Census Tract]],'Population and Diversity Data'!$B$2:$K$823,10,FALSE)</f>
        <v>3</v>
      </c>
      <c r="Q798" s="226" t="str">
        <f>VLOOKUP(Table323[[#This Row],[Census Tract]],'ES Energy Burden'!$B$2:$E$914,4,FALSE)</f>
        <v>No</v>
      </c>
      <c r="R798" s="248">
        <f>VLOOKUP(Table323[[#This Row],[Census Tract]],'Income and Housing Data'!$B$2:$D$823,3,FALSE)</f>
        <v>71225</v>
      </c>
      <c r="S798" s="248" t="str">
        <f>IF($U$6&lt;=Table323[[#This Row],[Household income]],IF(Table323[[#This Row],[Household income]]&lt;=$U$7, "Yes","No"),"No")</f>
        <v>No</v>
      </c>
    </row>
    <row r="799" spans="1:19" x14ac:dyDescent="0.25">
      <c r="A799" s="147">
        <v>9009351000</v>
      </c>
      <c r="B799" s="148" t="s">
        <v>981</v>
      </c>
      <c r="C799" s="150" t="s">
        <v>944</v>
      </c>
      <c r="D799" s="70">
        <v>60298.793807040005</v>
      </c>
      <c r="E799" s="70">
        <v>118554.3701</v>
      </c>
      <c r="F799" s="14">
        <v>12</v>
      </c>
      <c r="G799" s="14">
        <v>12</v>
      </c>
      <c r="H799" s="14">
        <v>0</v>
      </c>
      <c r="I799" s="14">
        <v>0</v>
      </c>
      <c r="J799" s="69">
        <v>4866.6100999999999</v>
      </c>
      <c r="K799">
        <f t="shared" si="12"/>
        <v>0</v>
      </c>
      <c r="L799" s="14">
        <v>0</v>
      </c>
      <c r="M799" s="14">
        <v>0</v>
      </c>
      <c r="N799" s="14">
        <v>0</v>
      </c>
      <c r="O799" s="69">
        <v>0</v>
      </c>
      <c r="P799" s="226">
        <f>VLOOKUP(Table323[[#This Row],[Census Tract]],'Population and Diversity Data'!$B$2:$K$823,10,FALSE)</f>
        <v>4</v>
      </c>
      <c r="Q799" s="226" t="str">
        <f>VLOOKUP(Table323[[#This Row],[Census Tract]],'ES Energy Burden'!$B$2:$E$914,4,FALSE)</f>
        <v>No</v>
      </c>
      <c r="R799" s="248">
        <f>VLOOKUP(Table323[[#This Row],[Census Tract]],'Income and Housing Data'!$B$2:$D$823,3,FALSE)</f>
        <v>54280</v>
      </c>
      <c r="S799" s="248" t="str">
        <f>IF($U$6&lt;=Table323[[#This Row],[Household income]],IF(Table323[[#This Row],[Household income]]&lt;=$U$7, "Yes","No"),"No")</f>
        <v>Yes</v>
      </c>
    </row>
    <row r="800" spans="1:19" x14ac:dyDescent="0.25">
      <c r="A800" s="147">
        <v>9009351100</v>
      </c>
      <c r="B800" s="148" t="s">
        <v>981</v>
      </c>
      <c r="C800" s="150" t="s">
        <v>944</v>
      </c>
      <c r="D800" s="70">
        <v>82675.970403840009</v>
      </c>
      <c r="E800" s="70">
        <v>57259.17</v>
      </c>
      <c r="F800" s="14">
        <v>5</v>
      </c>
      <c r="G800" s="14">
        <v>5</v>
      </c>
      <c r="H800" s="14">
        <v>0</v>
      </c>
      <c r="I800" s="14">
        <v>0</v>
      </c>
      <c r="J800" s="69">
        <v>3361.22</v>
      </c>
      <c r="K800">
        <f t="shared" si="12"/>
        <v>0</v>
      </c>
      <c r="L800" s="14">
        <v>0</v>
      </c>
      <c r="M800" s="14">
        <v>0</v>
      </c>
      <c r="N800" s="14">
        <v>0</v>
      </c>
      <c r="O800" s="69">
        <v>0</v>
      </c>
      <c r="P800" s="226">
        <f>VLOOKUP(Table323[[#This Row],[Census Tract]],'Population and Diversity Data'!$B$2:$K$823,10,FALSE)</f>
        <v>5</v>
      </c>
      <c r="Q800" s="226" t="str">
        <f>VLOOKUP(Table323[[#This Row],[Census Tract]],'ES Energy Burden'!$B$2:$E$914,4,FALSE)</f>
        <v>Yes</v>
      </c>
      <c r="R800" s="248">
        <f>VLOOKUP(Table323[[#This Row],[Census Tract]],'Income and Housing Data'!$B$2:$D$823,3,FALSE)</f>
        <v>34788</v>
      </c>
      <c r="S800" s="248" t="str">
        <f>IF($U$6&lt;=Table323[[#This Row],[Household income]],IF(Table323[[#This Row],[Household income]]&lt;=$U$7, "Yes","No"),"No")</f>
        <v>No</v>
      </c>
    </row>
    <row r="801" spans="1:19" x14ac:dyDescent="0.25">
      <c r="A801" s="147">
        <v>9009351200</v>
      </c>
      <c r="B801" s="148" t="s">
        <v>981</v>
      </c>
      <c r="C801" s="150" t="s">
        <v>944</v>
      </c>
      <c r="D801" s="70">
        <v>54356.397840000005</v>
      </c>
      <c r="E801" s="70">
        <v>7114.2227999999996</v>
      </c>
      <c r="F801" s="14">
        <v>1</v>
      </c>
      <c r="G801" s="14">
        <v>1</v>
      </c>
      <c r="H801" s="14">
        <v>0</v>
      </c>
      <c r="I801" s="14">
        <v>0</v>
      </c>
      <c r="J801" s="69">
        <v>808.19280000000003</v>
      </c>
      <c r="K801">
        <f t="shared" si="12"/>
        <v>0</v>
      </c>
      <c r="L801" s="14">
        <v>0</v>
      </c>
      <c r="M801" s="14">
        <v>0</v>
      </c>
      <c r="N801" s="14">
        <v>0</v>
      </c>
      <c r="O801" s="69">
        <v>0</v>
      </c>
      <c r="P801" s="226">
        <f>VLOOKUP(Table323[[#This Row],[Census Tract]],'Population and Diversity Data'!$B$2:$K$823,10,FALSE)</f>
        <v>5</v>
      </c>
      <c r="Q801" s="226" t="str">
        <f>VLOOKUP(Table323[[#This Row],[Census Tract]],'ES Energy Burden'!$B$2:$E$914,4,FALSE)</f>
        <v>Yes</v>
      </c>
      <c r="R801" s="248">
        <f>VLOOKUP(Table323[[#This Row],[Census Tract]],'Income and Housing Data'!$B$2:$D$823,3,FALSE)</f>
        <v>37688</v>
      </c>
      <c r="S801" s="248" t="str">
        <f>IF($U$6&lt;=Table323[[#This Row],[Household income]],IF(Table323[[#This Row],[Household income]]&lt;=$U$7, "Yes","No"),"No")</f>
        <v>No</v>
      </c>
    </row>
    <row r="802" spans="1:19" x14ac:dyDescent="0.25">
      <c r="A802" s="147">
        <v>9009351300</v>
      </c>
      <c r="B802" s="148" t="s">
        <v>981</v>
      </c>
      <c r="C802" s="150" t="s">
        <v>944</v>
      </c>
      <c r="D802" s="70">
        <v>73465.479031680006</v>
      </c>
      <c r="E802" s="70">
        <v>32921.589999999997</v>
      </c>
      <c r="F802" s="14">
        <v>3</v>
      </c>
      <c r="G802" s="14">
        <v>3</v>
      </c>
      <c r="H802" s="14">
        <v>0</v>
      </c>
      <c r="I802" s="14">
        <v>0</v>
      </c>
      <c r="J802" s="69">
        <v>1489.51</v>
      </c>
      <c r="K802">
        <f t="shared" si="12"/>
        <v>0</v>
      </c>
      <c r="L802" s="14">
        <v>0</v>
      </c>
      <c r="M802" s="14">
        <v>0</v>
      </c>
      <c r="N802" s="14">
        <v>0</v>
      </c>
      <c r="O802" s="69">
        <v>0</v>
      </c>
      <c r="P802" s="226">
        <f>VLOOKUP(Table323[[#This Row],[Census Tract]],'Population and Diversity Data'!$B$2:$K$823,10,FALSE)</f>
        <v>5</v>
      </c>
      <c r="Q802" s="226" t="str">
        <f>VLOOKUP(Table323[[#This Row],[Census Tract]],'ES Energy Burden'!$B$2:$E$914,4,FALSE)</f>
        <v>Yes</v>
      </c>
      <c r="R802" s="248">
        <f>VLOOKUP(Table323[[#This Row],[Census Tract]],'Income and Housing Data'!$B$2:$D$823,3,FALSE)</f>
        <v>44473</v>
      </c>
      <c r="S802" s="248" t="str">
        <f>IF($U$6&lt;=Table323[[#This Row],[Household income]],IF(Table323[[#This Row],[Household income]]&lt;=$U$7, "Yes","No"),"No")</f>
        <v>No</v>
      </c>
    </row>
    <row r="803" spans="1:19" x14ac:dyDescent="0.25">
      <c r="A803" s="147">
        <v>9009351400</v>
      </c>
      <c r="B803" s="148" t="s">
        <v>981</v>
      </c>
      <c r="C803" s="150" t="s">
        <v>944</v>
      </c>
      <c r="D803" s="70">
        <v>53848.322968320004</v>
      </c>
      <c r="E803" s="70">
        <v>3381.01</v>
      </c>
      <c r="F803" s="14">
        <v>3</v>
      </c>
      <c r="G803" s="14">
        <v>3</v>
      </c>
      <c r="H803" s="14">
        <v>0</v>
      </c>
      <c r="I803" s="14">
        <v>0</v>
      </c>
      <c r="J803" s="69">
        <v>614.34</v>
      </c>
      <c r="K803">
        <f t="shared" si="12"/>
        <v>0</v>
      </c>
      <c r="L803" s="14">
        <v>0</v>
      </c>
      <c r="M803" s="14">
        <v>0</v>
      </c>
      <c r="N803" s="14">
        <v>0</v>
      </c>
      <c r="O803" s="69">
        <v>0</v>
      </c>
      <c r="P803" s="226">
        <f>VLOOKUP(Table323[[#This Row],[Census Tract]],'Population and Diversity Data'!$B$2:$K$823,10,FALSE)</f>
        <v>5</v>
      </c>
      <c r="Q803" s="226" t="str">
        <f>VLOOKUP(Table323[[#This Row],[Census Tract]],'ES Energy Burden'!$B$2:$E$914,4,FALSE)</f>
        <v>Yes</v>
      </c>
      <c r="R803" s="248">
        <f>VLOOKUP(Table323[[#This Row],[Census Tract]],'Income and Housing Data'!$B$2:$D$823,3,FALSE)</f>
        <v>34507</v>
      </c>
      <c r="S803" s="248" t="str">
        <f>IF($U$6&lt;=Table323[[#This Row],[Household income]],IF(Table323[[#This Row],[Household income]]&lt;=$U$7, "Yes","No"),"No")</f>
        <v>No</v>
      </c>
    </row>
    <row r="804" spans="1:19" x14ac:dyDescent="0.25">
      <c r="A804" s="147">
        <v>9009351500</v>
      </c>
      <c r="B804" s="148" t="s">
        <v>981</v>
      </c>
      <c r="C804" s="150" t="s">
        <v>944</v>
      </c>
      <c r="D804" s="70">
        <v>73375.150596480002</v>
      </c>
      <c r="E804" s="70">
        <v>79377.770300000004</v>
      </c>
      <c r="F804" s="14">
        <v>10</v>
      </c>
      <c r="G804" s="14">
        <v>10</v>
      </c>
      <c r="H804" s="14">
        <v>0</v>
      </c>
      <c r="I804" s="14">
        <v>0</v>
      </c>
      <c r="J804" s="69">
        <v>4967.1903000000002</v>
      </c>
      <c r="K804">
        <f t="shared" si="12"/>
        <v>0</v>
      </c>
      <c r="L804" s="14">
        <v>0</v>
      </c>
      <c r="M804" s="14">
        <v>0</v>
      </c>
      <c r="N804" s="14">
        <v>0</v>
      </c>
      <c r="O804" s="69">
        <v>0</v>
      </c>
      <c r="P804" s="226">
        <f>VLOOKUP(Table323[[#This Row],[Census Tract]],'Population and Diversity Data'!$B$2:$K$823,10,FALSE)</f>
        <v>5</v>
      </c>
      <c r="Q804" s="226" t="str">
        <f>VLOOKUP(Table323[[#This Row],[Census Tract]],'ES Energy Burden'!$B$2:$E$914,4,FALSE)</f>
        <v>No</v>
      </c>
      <c r="R804" s="248">
        <f>VLOOKUP(Table323[[#This Row],[Census Tract]],'Income and Housing Data'!$B$2:$D$823,3,FALSE)</f>
        <v>56292</v>
      </c>
      <c r="S804" s="248" t="str">
        <f>IF($U$6&lt;=Table323[[#This Row],[Household income]],IF(Table323[[#This Row],[Household income]]&lt;=$U$7, "Yes","No"),"No")</f>
        <v>Yes</v>
      </c>
    </row>
    <row r="805" spans="1:19" x14ac:dyDescent="0.25">
      <c r="A805" s="147">
        <v>9009351601</v>
      </c>
      <c r="B805" s="148" t="s">
        <v>981</v>
      </c>
      <c r="C805" s="150" t="s">
        <v>944</v>
      </c>
      <c r="D805" s="70">
        <v>54795.537365759999</v>
      </c>
      <c r="E805" s="70">
        <v>22097.49</v>
      </c>
      <c r="F805" s="14">
        <v>7</v>
      </c>
      <c r="G805" s="14">
        <v>6</v>
      </c>
      <c r="H805" s="14">
        <v>1</v>
      </c>
      <c r="I805" s="14">
        <v>0</v>
      </c>
      <c r="J805" s="69">
        <v>5016</v>
      </c>
      <c r="K805">
        <f t="shared" si="12"/>
        <v>0</v>
      </c>
      <c r="L805" s="14">
        <v>0</v>
      </c>
      <c r="M805" s="14">
        <v>0</v>
      </c>
      <c r="N805" s="14">
        <v>0</v>
      </c>
      <c r="O805" s="69">
        <v>0</v>
      </c>
      <c r="P805" s="226">
        <f>VLOOKUP(Table323[[#This Row],[Census Tract]],'Population and Diversity Data'!$B$2:$K$823,10,FALSE)</f>
        <v>3</v>
      </c>
      <c r="Q805" s="226" t="str">
        <f>VLOOKUP(Table323[[#This Row],[Census Tract]],'ES Energy Burden'!$B$2:$E$914,4,FALSE)</f>
        <v>Yes</v>
      </c>
      <c r="R805" s="248">
        <f>VLOOKUP(Table323[[#This Row],[Census Tract]],'Income and Housing Data'!$B$2:$D$823,3,FALSE)</f>
        <v>49783</v>
      </c>
      <c r="S805" s="248" t="str">
        <f>IF($U$6&lt;=Table323[[#This Row],[Household income]],IF(Table323[[#This Row],[Household income]]&lt;=$U$7, "Yes","No"),"No")</f>
        <v>Yes</v>
      </c>
    </row>
    <row r="806" spans="1:19" x14ac:dyDescent="0.25">
      <c r="A806" s="147">
        <v>9009351602</v>
      </c>
      <c r="B806" s="148" t="s">
        <v>981</v>
      </c>
      <c r="C806" s="150" t="s">
        <v>944</v>
      </c>
      <c r="D806" s="70">
        <v>223993.97310816002</v>
      </c>
      <c r="E806" s="70">
        <v>1331999.4979000001</v>
      </c>
      <c r="F806" s="14">
        <v>193</v>
      </c>
      <c r="G806" s="14">
        <v>35</v>
      </c>
      <c r="H806" s="14">
        <v>2</v>
      </c>
      <c r="I806" s="14">
        <v>156</v>
      </c>
      <c r="J806" s="69">
        <v>27775.5481</v>
      </c>
      <c r="K806">
        <f t="shared" si="12"/>
        <v>2073</v>
      </c>
      <c r="L806" s="14">
        <v>844</v>
      </c>
      <c r="M806" s="14">
        <v>30</v>
      </c>
      <c r="N806" s="14">
        <v>1199</v>
      </c>
      <c r="O806" s="69">
        <v>1304220</v>
      </c>
      <c r="P806" s="226">
        <f>VLOOKUP(Table323[[#This Row],[Census Tract]],'Population and Diversity Data'!$B$2:$K$823,10,FALSE)</f>
        <v>1</v>
      </c>
      <c r="Q806" s="226" t="str">
        <f>VLOOKUP(Table323[[#This Row],[Census Tract]],'ES Energy Burden'!$B$2:$E$914,4,FALSE)</f>
        <v>No</v>
      </c>
      <c r="R806" s="248">
        <f>VLOOKUP(Table323[[#This Row],[Census Tract]],'Income and Housing Data'!$B$2:$D$823,3,FALSE)</f>
        <v>59771</v>
      </c>
      <c r="S806" s="248" t="str">
        <f>IF($U$6&lt;=Table323[[#This Row],[Household income]],IF(Table323[[#This Row],[Household income]]&lt;=$U$7, "Yes","No"),"No")</f>
        <v>Yes</v>
      </c>
    </row>
    <row r="807" spans="1:19" x14ac:dyDescent="0.25">
      <c r="A807" s="147">
        <v>9009351700</v>
      </c>
      <c r="B807" s="148" t="s">
        <v>981</v>
      </c>
      <c r="C807" s="150" t="s">
        <v>944</v>
      </c>
      <c r="D807" s="70">
        <v>40955.166647999999</v>
      </c>
      <c r="E807" s="70">
        <v>9409.7900000000009</v>
      </c>
      <c r="F807" s="14">
        <v>2</v>
      </c>
      <c r="G807" s="14">
        <v>2</v>
      </c>
      <c r="H807" s="14">
        <v>0</v>
      </c>
      <c r="I807" s="14">
        <v>0</v>
      </c>
      <c r="J807" s="69">
        <v>390.31</v>
      </c>
      <c r="K807">
        <f t="shared" si="12"/>
        <v>0</v>
      </c>
      <c r="L807" s="14">
        <v>0</v>
      </c>
      <c r="M807" s="14">
        <v>0</v>
      </c>
      <c r="N807" s="14">
        <v>0</v>
      </c>
      <c r="O807" s="69">
        <v>0</v>
      </c>
      <c r="P807" s="226">
        <f>VLOOKUP(Table323[[#This Row],[Census Tract]],'Population and Diversity Data'!$B$2:$K$823,10,FALSE)</f>
        <v>3</v>
      </c>
      <c r="Q807" s="226" t="str">
        <f>VLOOKUP(Table323[[#This Row],[Census Tract]],'ES Energy Burden'!$B$2:$E$914,4,FALSE)</f>
        <v>Yes</v>
      </c>
      <c r="R807" s="248">
        <f>VLOOKUP(Table323[[#This Row],[Census Tract]],'Income and Housing Data'!$B$2:$D$823,3,FALSE)</f>
        <v>32052</v>
      </c>
      <c r="S807" s="248" t="str">
        <f>IF($U$6&lt;=Table323[[#This Row],[Household income]],IF(Table323[[#This Row],[Household income]]&lt;=$U$7, "Yes","No"),"No")</f>
        <v>No</v>
      </c>
    </row>
    <row r="808" spans="1:19" x14ac:dyDescent="0.25">
      <c r="A808" s="147">
        <v>9009351800</v>
      </c>
      <c r="B808" s="148" t="s">
        <v>981</v>
      </c>
      <c r="C808" s="150" t="s">
        <v>944</v>
      </c>
      <c r="D808" s="70">
        <v>78963.979973759997</v>
      </c>
      <c r="E808" s="70">
        <v>32630.14</v>
      </c>
      <c r="F808" s="14">
        <v>19</v>
      </c>
      <c r="G808" s="14">
        <v>19</v>
      </c>
      <c r="H808" s="14">
        <v>0</v>
      </c>
      <c r="I808" s="14">
        <v>0</v>
      </c>
      <c r="J808" s="69">
        <v>14412.83</v>
      </c>
      <c r="K808">
        <f t="shared" si="12"/>
        <v>0</v>
      </c>
      <c r="L808" s="14">
        <v>0</v>
      </c>
      <c r="M808" s="14">
        <v>0</v>
      </c>
      <c r="N808" s="14">
        <v>0</v>
      </c>
      <c r="O808" s="69">
        <v>0</v>
      </c>
      <c r="P808" s="226">
        <f>VLOOKUP(Table323[[#This Row],[Census Tract]],'Population and Diversity Data'!$B$2:$K$823,10,FALSE)</f>
        <v>3</v>
      </c>
      <c r="Q808" s="226" t="str">
        <f>VLOOKUP(Table323[[#This Row],[Census Tract]],'ES Energy Burden'!$B$2:$E$914,4,FALSE)</f>
        <v>No</v>
      </c>
      <c r="R808" s="248">
        <f>VLOOKUP(Table323[[#This Row],[Census Tract]],'Income and Housing Data'!$B$2:$D$823,3,FALSE)</f>
        <v>53147</v>
      </c>
      <c r="S808" s="248" t="str">
        <f>IF($U$6&lt;=Table323[[#This Row],[Household income]],IF(Table323[[#This Row],[Household income]]&lt;=$U$7, "Yes","No"),"No")</f>
        <v>Yes</v>
      </c>
    </row>
    <row r="809" spans="1:19" x14ac:dyDescent="0.25">
      <c r="A809" s="147">
        <v>9009351900</v>
      </c>
      <c r="B809" s="148" t="s">
        <v>981</v>
      </c>
      <c r="C809" s="150" t="s">
        <v>944</v>
      </c>
      <c r="D809" s="70">
        <v>46036.982819519995</v>
      </c>
      <c r="E809" s="70">
        <v>33038.6175</v>
      </c>
      <c r="F809" s="14">
        <v>18</v>
      </c>
      <c r="G809" s="14">
        <v>18</v>
      </c>
      <c r="H809" s="14">
        <v>0</v>
      </c>
      <c r="I809" s="14">
        <v>0</v>
      </c>
      <c r="J809" s="69">
        <v>17892.057499999999</v>
      </c>
      <c r="K809">
        <f t="shared" si="12"/>
        <v>0</v>
      </c>
      <c r="L809" s="14">
        <v>0</v>
      </c>
      <c r="M809" s="14">
        <v>0</v>
      </c>
      <c r="N809" s="14">
        <v>0</v>
      </c>
      <c r="O809" s="69">
        <v>0</v>
      </c>
      <c r="P809" s="226">
        <f>VLOOKUP(Table323[[#This Row],[Census Tract]],'Population and Diversity Data'!$B$2:$K$823,10,FALSE)</f>
        <v>4</v>
      </c>
      <c r="Q809" s="226" t="str">
        <f>VLOOKUP(Table323[[#This Row],[Census Tract]],'ES Energy Burden'!$B$2:$E$914,4,FALSE)</f>
        <v>No</v>
      </c>
      <c r="R809" s="248">
        <f>VLOOKUP(Table323[[#This Row],[Census Tract]],'Income and Housing Data'!$B$2:$D$823,3,FALSE)</f>
        <v>76739</v>
      </c>
      <c r="S809" s="248" t="str">
        <f>IF($U$6&lt;=Table323[[#This Row],[Household income]],IF(Table323[[#This Row],[Household income]]&lt;=$U$7, "Yes","No"),"No")</f>
        <v>No</v>
      </c>
    </row>
    <row r="810" spans="1:19" x14ac:dyDescent="0.25">
      <c r="A810" s="147">
        <v>9009352000</v>
      </c>
      <c r="B810" s="148" t="s">
        <v>981</v>
      </c>
      <c r="C810" s="150" t="s">
        <v>944</v>
      </c>
      <c r="D810" s="70">
        <v>86934.247574400011</v>
      </c>
      <c r="E810" s="70">
        <v>43374.961799999997</v>
      </c>
      <c r="F810" s="14">
        <v>30</v>
      </c>
      <c r="G810" s="14">
        <v>30</v>
      </c>
      <c r="H810" s="14">
        <v>0</v>
      </c>
      <c r="I810" s="14">
        <v>0</v>
      </c>
      <c r="J810" s="69">
        <v>21477.041799999999</v>
      </c>
      <c r="K810">
        <f t="shared" si="12"/>
        <v>0</v>
      </c>
      <c r="L810" s="14">
        <v>0</v>
      </c>
      <c r="M810" s="14">
        <v>0</v>
      </c>
      <c r="N810" s="14">
        <v>0</v>
      </c>
      <c r="O810" s="69">
        <v>0</v>
      </c>
      <c r="P810" s="226">
        <f>VLOOKUP(Table323[[#This Row],[Census Tract]],'Population and Diversity Data'!$B$2:$K$823,10,FALSE)</f>
        <v>4</v>
      </c>
      <c r="Q810" s="226" t="str">
        <f>VLOOKUP(Table323[[#This Row],[Census Tract]],'ES Energy Burden'!$B$2:$E$914,4,FALSE)</f>
        <v>No</v>
      </c>
      <c r="R810" s="248">
        <f>VLOOKUP(Table323[[#This Row],[Census Tract]],'Income and Housing Data'!$B$2:$D$823,3,FALSE)</f>
        <v>77939</v>
      </c>
      <c r="S810" s="248" t="str">
        <f>IF($U$6&lt;=Table323[[#This Row],[Household income]],IF(Table323[[#This Row],[Household income]]&lt;=$U$7, "Yes","No"),"No")</f>
        <v>No</v>
      </c>
    </row>
    <row r="811" spans="1:19" x14ac:dyDescent="0.25">
      <c r="A811" s="147">
        <v>9009352100</v>
      </c>
      <c r="B811" s="148" t="s">
        <v>981</v>
      </c>
      <c r="C811" s="150" t="s">
        <v>944</v>
      </c>
      <c r="D811" s="70">
        <v>66312.099100799998</v>
      </c>
      <c r="E811" s="70">
        <v>16926.25</v>
      </c>
      <c r="F811" s="14">
        <v>10</v>
      </c>
      <c r="G811" s="14">
        <v>10</v>
      </c>
      <c r="H811" s="14">
        <v>0</v>
      </c>
      <c r="I811" s="14">
        <v>0</v>
      </c>
      <c r="J811" s="69">
        <v>7374.02</v>
      </c>
      <c r="K811">
        <f t="shared" si="12"/>
        <v>0</v>
      </c>
      <c r="L811" s="14">
        <v>0</v>
      </c>
      <c r="M811" s="14">
        <v>0</v>
      </c>
      <c r="N811" s="14">
        <v>0</v>
      </c>
      <c r="O811" s="69">
        <v>0</v>
      </c>
      <c r="P811" s="226">
        <f>VLOOKUP(Table323[[#This Row],[Census Tract]],'Population and Diversity Data'!$B$2:$K$823,10,FALSE)</f>
        <v>2</v>
      </c>
      <c r="Q811" s="226" t="str">
        <f>VLOOKUP(Table323[[#This Row],[Census Tract]],'ES Energy Burden'!$B$2:$E$914,4,FALSE)</f>
        <v>No</v>
      </c>
      <c r="R811" s="248">
        <f>VLOOKUP(Table323[[#This Row],[Census Tract]],'Income and Housing Data'!$B$2:$D$823,3,FALSE)</f>
        <v>57587</v>
      </c>
      <c r="S811" s="248" t="str">
        <f>IF($U$6&lt;=Table323[[#This Row],[Household income]],IF(Table323[[#This Row],[Household income]]&lt;=$U$7, "Yes","No"),"No")</f>
        <v>Yes</v>
      </c>
    </row>
    <row r="812" spans="1:19" x14ac:dyDescent="0.25">
      <c r="A812" s="147">
        <v>9009352200</v>
      </c>
      <c r="B812" s="148" t="s">
        <v>981</v>
      </c>
      <c r="C812" s="150" t="s">
        <v>944</v>
      </c>
      <c r="D812" s="70">
        <v>30857.74312608</v>
      </c>
      <c r="E812" s="70">
        <v>3404.86</v>
      </c>
      <c r="F812" s="14">
        <v>2</v>
      </c>
      <c r="G812" s="14">
        <v>2</v>
      </c>
      <c r="H812" s="14">
        <v>0</v>
      </c>
      <c r="I812" s="14">
        <v>0</v>
      </c>
      <c r="J812" s="69">
        <v>1334.99</v>
      </c>
      <c r="K812">
        <f t="shared" si="12"/>
        <v>0</v>
      </c>
      <c r="L812" s="14">
        <v>0</v>
      </c>
      <c r="M812" s="14">
        <v>0</v>
      </c>
      <c r="N812" s="14">
        <v>0</v>
      </c>
      <c r="O812" s="69">
        <v>0</v>
      </c>
      <c r="P812" s="226">
        <f>VLOOKUP(Table323[[#This Row],[Census Tract]],'Population and Diversity Data'!$B$2:$K$823,10,FALSE)</f>
        <v>4</v>
      </c>
      <c r="Q812" s="226" t="str">
        <f>VLOOKUP(Table323[[#This Row],[Census Tract]],'ES Energy Burden'!$B$2:$E$914,4,FALSE)</f>
        <v>Yes</v>
      </c>
      <c r="R812" s="248">
        <f>VLOOKUP(Table323[[#This Row],[Census Tract]],'Income and Housing Data'!$B$2:$D$823,3,FALSE)</f>
        <v>30855</v>
      </c>
      <c r="S812" s="248" t="str">
        <f>IF($U$6&lt;=Table323[[#This Row],[Household income]],IF(Table323[[#This Row],[Household income]]&lt;=$U$7, "Yes","No"),"No")</f>
        <v>No</v>
      </c>
    </row>
    <row r="813" spans="1:19" x14ac:dyDescent="0.25">
      <c r="A813" s="147">
        <v>9009352300</v>
      </c>
      <c r="B813" s="148" t="s">
        <v>981</v>
      </c>
      <c r="C813" s="150" t="s">
        <v>944</v>
      </c>
      <c r="D813" s="70">
        <v>41957.293023359998</v>
      </c>
      <c r="E813" s="70">
        <v>70837.55</v>
      </c>
      <c r="F813" s="14">
        <v>8</v>
      </c>
      <c r="G813" s="14">
        <v>8</v>
      </c>
      <c r="H813" s="14">
        <v>0</v>
      </c>
      <c r="I813" s="14">
        <v>0</v>
      </c>
      <c r="J813" s="69">
        <v>6499.38</v>
      </c>
      <c r="K813">
        <f t="shared" si="12"/>
        <v>0</v>
      </c>
      <c r="L813" s="14">
        <v>0</v>
      </c>
      <c r="M813" s="14">
        <v>0</v>
      </c>
      <c r="N813" s="14">
        <v>0</v>
      </c>
      <c r="O813" s="69">
        <v>0</v>
      </c>
      <c r="P813" s="226">
        <f>VLOOKUP(Table323[[#This Row],[Census Tract]],'Population and Diversity Data'!$B$2:$K$823,10,FALSE)</f>
        <v>2</v>
      </c>
      <c r="Q813" s="226" t="str">
        <f>VLOOKUP(Table323[[#This Row],[Census Tract]],'ES Energy Burden'!$B$2:$E$914,4,FALSE)</f>
        <v>Yes</v>
      </c>
      <c r="R813" s="248">
        <f>VLOOKUP(Table323[[#This Row],[Census Tract]],'Income and Housing Data'!$B$2:$D$823,3,FALSE)</f>
        <v>44352</v>
      </c>
      <c r="S813" s="248" t="str">
        <f>IF($U$6&lt;=Table323[[#This Row],[Household income]],IF(Table323[[#This Row],[Household income]]&lt;=$U$7, "Yes","No"),"No")</f>
        <v>No</v>
      </c>
    </row>
    <row r="814" spans="1:19" x14ac:dyDescent="0.25">
      <c r="A814" s="147">
        <v>9009352400</v>
      </c>
      <c r="B814" s="148" t="s">
        <v>981</v>
      </c>
      <c r="C814" s="150" t="s">
        <v>944</v>
      </c>
      <c r="D814" s="70">
        <v>67567.224980159997</v>
      </c>
      <c r="E814" s="70">
        <v>18995.95</v>
      </c>
      <c r="F814" s="14">
        <v>6</v>
      </c>
      <c r="G814" s="14">
        <v>6</v>
      </c>
      <c r="H814" s="14">
        <v>0</v>
      </c>
      <c r="I814" s="14">
        <v>0</v>
      </c>
      <c r="J814" s="69">
        <v>2708.83</v>
      </c>
      <c r="K814">
        <f t="shared" si="12"/>
        <v>0</v>
      </c>
      <c r="L814" s="14">
        <v>0</v>
      </c>
      <c r="M814" s="14">
        <v>0</v>
      </c>
      <c r="N814" s="14">
        <v>0</v>
      </c>
      <c r="O814" s="69">
        <v>0</v>
      </c>
      <c r="P814" s="226">
        <f>VLOOKUP(Table323[[#This Row],[Census Tract]],'Population and Diversity Data'!$B$2:$K$823,10,FALSE)</f>
        <v>4</v>
      </c>
      <c r="Q814" s="226" t="str">
        <f>VLOOKUP(Table323[[#This Row],[Census Tract]],'ES Energy Burden'!$B$2:$E$914,4,FALSE)</f>
        <v>Yes</v>
      </c>
      <c r="R814" s="248">
        <f>VLOOKUP(Table323[[#This Row],[Census Tract]],'Income and Housing Data'!$B$2:$D$823,3,FALSE)</f>
        <v>50583</v>
      </c>
      <c r="S814" s="248" t="str">
        <f>IF($U$6&lt;=Table323[[#This Row],[Household income]],IF(Table323[[#This Row],[Household income]]&lt;=$U$7, "Yes","No"),"No")</f>
        <v>Yes</v>
      </c>
    </row>
    <row r="815" spans="1:19" x14ac:dyDescent="0.25">
      <c r="A815" s="147">
        <v>9009352500</v>
      </c>
      <c r="B815" s="148" t="s">
        <v>981</v>
      </c>
      <c r="C815" s="150" t="s">
        <v>944</v>
      </c>
      <c r="D815" s="70">
        <v>68249.952578880009</v>
      </c>
      <c r="E815" s="70">
        <v>82131.960000000006</v>
      </c>
      <c r="F815" s="14">
        <v>12</v>
      </c>
      <c r="G815" s="14">
        <v>12</v>
      </c>
      <c r="H815" s="14">
        <v>0</v>
      </c>
      <c r="I815" s="14">
        <v>0</v>
      </c>
      <c r="J815" s="69">
        <v>9203.7199999999993</v>
      </c>
      <c r="K815">
        <f t="shared" si="12"/>
        <v>0</v>
      </c>
      <c r="L815" s="14">
        <v>0</v>
      </c>
      <c r="M815" s="14">
        <v>0</v>
      </c>
      <c r="N815" s="14">
        <v>0</v>
      </c>
      <c r="O815" s="69">
        <v>0</v>
      </c>
      <c r="P815" s="226">
        <f>VLOOKUP(Table323[[#This Row],[Census Tract]],'Population and Diversity Data'!$B$2:$K$823,10,FALSE)</f>
        <v>3</v>
      </c>
      <c r="Q815" s="226" t="str">
        <f>VLOOKUP(Table323[[#This Row],[Census Tract]],'ES Energy Burden'!$B$2:$E$914,4,FALSE)</f>
        <v>No</v>
      </c>
      <c r="R815" s="248">
        <f>VLOOKUP(Table323[[#This Row],[Census Tract]],'Income and Housing Data'!$B$2:$D$823,3,FALSE)</f>
        <v>51094</v>
      </c>
      <c r="S815" s="248" t="str">
        <f>IF($U$6&lt;=Table323[[#This Row],[Household income]],IF(Table323[[#This Row],[Household income]]&lt;=$U$7, "Yes","No"),"No")</f>
        <v>Yes</v>
      </c>
    </row>
    <row r="816" spans="1:19" x14ac:dyDescent="0.25">
      <c r="A816" s="147">
        <v>9009352600</v>
      </c>
      <c r="B816" s="148" t="s">
        <v>981</v>
      </c>
      <c r="C816" s="150" t="s">
        <v>944</v>
      </c>
      <c r="D816" s="70">
        <v>102977.93166624001</v>
      </c>
      <c r="E816" s="70">
        <v>126038.12</v>
      </c>
      <c r="F816" s="14">
        <v>8</v>
      </c>
      <c r="G816" s="14">
        <v>8</v>
      </c>
      <c r="H816" s="14">
        <v>0</v>
      </c>
      <c r="I816" s="14">
        <v>0</v>
      </c>
      <c r="J816" s="69">
        <v>4005.22</v>
      </c>
      <c r="K816">
        <f t="shared" si="12"/>
        <v>0</v>
      </c>
      <c r="L816" s="14">
        <v>0</v>
      </c>
      <c r="M816" s="14">
        <v>0</v>
      </c>
      <c r="N816" s="14">
        <v>0</v>
      </c>
      <c r="O816" s="69">
        <v>0</v>
      </c>
      <c r="P816" s="226">
        <f>VLOOKUP(Table323[[#This Row],[Census Tract]],'Population and Diversity Data'!$B$2:$K$823,10,FALSE)</f>
        <v>3</v>
      </c>
      <c r="Q816" s="226" t="str">
        <f>VLOOKUP(Table323[[#This Row],[Census Tract]],'ES Energy Burden'!$B$2:$E$914,4,FALSE)</f>
        <v>Yes</v>
      </c>
      <c r="R816" s="248">
        <f>VLOOKUP(Table323[[#This Row],[Census Tract]],'Income and Housing Data'!$B$2:$D$823,3,FALSE)</f>
        <v>43175</v>
      </c>
      <c r="S816" s="248" t="str">
        <f>IF($U$6&lt;=Table323[[#This Row],[Household income]],IF(Table323[[#This Row],[Household income]]&lt;=$U$7, "Yes","No"),"No")</f>
        <v>No</v>
      </c>
    </row>
    <row r="817" spans="1:19" x14ac:dyDescent="0.25">
      <c r="A817" s="147">
        <v>9009352701</v>
      </c>
      <c r="B817" s="148" t="s">
        <v>981</v>
      </c>
      <c r="C817" s="150" t="s">
        <v>944</v>
      </c>
      <c r="D817" s="70">
        <v>41794.131643200002</v>
      </c>
      <c r="E817" s="70">
        <v>5658.59</v>
      </c>
      <c r="F817" s="14">
        <v>3</v>
      </c>
      <c r="G817" s="14">
        <v>2</v>
      </c>
      <c r="H817" s="14">
        <v>1</v>
      </c>
      <c r="I817" s="14">
        <v>0</v>
      </c>
      <c r="J817" s="69">
        <v>1728.53</v>
      </c>
      <c r="K817">
        <f t="shared" si="12"/>
        <v>0</v>
      </c>
      <c r="L817" s="14">
        <v>0</v>
      </c>
      <c r="M817" s="14">
        <v>0</v>
      </c>
      <c r="N817" s="14">
        <v>0</v>
      </c>
      <c r="O817" s="69">
        <v>0</v>
      </c>
      <c r="P817" s="226">
        <f>VLOOKUP(Table323[[#This Row],[Census Tract]],'Population and Diversity Data'!$B$2:$K$823,10,FALSE)</f>
        <v>4</v>
      </c>
      <c r="Q817" s="226" t="str">
        <f>VLOOKUP(Table323[[#This Row],[Census Tract]],'ES Energy Burden'!$B$2:$E$914,4,FALSE)</f>
        <v>Yes</v>
      </c>
      <c r="R817" s="248">
        <f>VLOOKUP(Table323[[#This Row],[Census Tract]],'Income and Housing Data'!$B$2:$D$823,3,FALSE)</f>
        <v>50561</v>
      </c>
      <c r="S817" s="248" t="str">
        <f>IF($U$6&lt;=Table323[[#This Row],[Household income]],IF(Table323[[#This Row],[Household income]]&lt;=$U$7, "Yes","No"),"No")</f>
        <v>Yes</v>
      </c>
    </row>
    <row r="818" spans="1:19" x14ac:dyDescent="0.25">
      <c r="A818" s="147">
        <v>9009352702</v>
      </c>
      <c r="B818" s="148" t="s">
        <v>981</v>
      </c>
      <c r="C818" s="150" t="s">
        <v>944</v>
      </c>
      <c r="D818" s="70">
        <v>111415.61708064002</v>
      </c>
      <c r="E818" s="70">
        <v>168967.71100000001</v>
      </c>
      <c r="F818" s="14">
        <v>18</v>
      </c>
      <c r="G818" s="14">
        <v>18</v>
      </c>
      <c r="H818" s="14">
        <v>0</v>
      </c>
      <c r="I818" s="14">
        <v>0</v>
      </c>
      <c r="J818" s="69">
        <v>12223.191000000001</v>
      </c>
      <c r="K818">
        <f t="shared" si="12"/>
        <v>0</v>
      </c>
      <c r="L818" s="14">
        <v>0</v>
      </c>
      <c r="M818" s="14">
        <v>0</v>
      </c>
      <c r="N818" s="14">
        <v>0</v>
      </c>
      <c r="O818" s="69">
        <v>0</v>
      </c>
      <c r="P818" s="226">
        <f>VLOOKUP(Table323[[#This Row],[Census Tract]],'Population and Diversity Data'!$B$2:$K$823,10,FALSE)</f>
        <v>4</v>
      </c>
      <c r="Q818" s="226" t="str">
        <f>VLOOKUP(Table323[[#This Row],[Census Tract]],'ES Energy Burden'!$B$2:$E$914,4,FALSE)</f>
        <v>No</v>
      </c>
      <c r="R818" s="248">
        <f>VLOOKUP(Table323[[#This Row],[Census Tract]],'Income and Housing Data'!$B$2:$D$823,3,FALSE)</f>
        <v>68322</v>
      </c>
      <c r="S818" s="248" t="str">
        <f>IF($U$6&lt;=Table323[[#This Row],[Household income]],IF(Table323[[#This Row],[Household income]]&lt;=$U$7, "Yes","No"),"No")</f>
        <v>No</v>
      </c>
    </row>
    <row r="819" spans="1:19" x14ac:dyDescent="0.25">
      <c r="A819" s="147">
        <v>9009352800</v>
      </c>
      <c r="B819" s="148" t="s">
        <v>981</v>
      </c>
      <c r="C819" s="150" t="s">
        <v>944</v>
      </c>
      <c r="D819" s="70">
        <v>97466.550065279996</v>
      </c>
      <c r="E819" s="70">
        <v>57930.291700000002</v>
      </c>
      <c r="F819" s="14">
        <v>19</v>
      </c>
      <c r="G819" s="14">
        <v>18</v>
      </c>
      <c r="H819" s="14">
        <v>1</v>
      </c>
      <c r="I819" s="14">
        <v>0</v>
      </c>
      <c r="J819" s="69">
        <v>12718.331700000001</v>
      </c>
      <c r="K819">
        <f t="shared" si="12"/>
        <v>0</v>
      </c>
      <c r="L819" s="14">
        <v>0</v>
      </c>
      <c r="M819" s="14">
        <v>0</v>
      </c>
      <c r="N819" s="14">
        <v>0</v>
      </c>
      <c r="O819" s="69">
        <v>0</v>
      </c>
      <c r="P819" s="226">
        <f>VLOOKUP(Table323[[#This Row],[Census Tract]],'Population and Diversity Data'!$B$2:$K$823,10,FALSE)</f>
        <v>5</v>
      </c>
      <c r="Q819" s="226" t="str">
        <f>VLOOKUP(Table323[[#This Row],[Census Tract]],'ES Energy Burden'!$B$2:$E$914,4,FALSE)</f>
        <v>No</v>
      </c>
      <c r="R819" s="248">
        <f>VLOOKUP(Table323[[#This Row],[Census Tract]],'Income and Housing Data'!$B$2:$D$823,3,FALSE)</f>
        <v>53904</v>
      </c>
      <c r="S819" s="248" t="str">
        <f>IF($U$6&lt;=Table323[[#This Row],[Household income]],IF(Table323[[#This Row],[Household income]]&lt;=$U$7, "Yes","No"),"No")</f>
        <v>Yes</v>
      </c>
    </row>
    <row r="820" spans="1:19" x14ac:dyDescent="0.25">
      <c r="A820" s="147">
        <v>9009361100</v>
      </c>
      <c r="B820" s="148" t="s">
        <v>981</v>
      </c>
      <c r="C820" s="150" t="s">
        <v>944</v>
      </c>
      <c r="D820" s="70">
        <v>944.42535360000011</v>
      </c>
      <c r="E820" s="70">
        <v>0</v>
      </c>
      <c r="F820" s="14">
        <v>1</v>
      </c>
      <c r="G820" s="14">
        <v>1</v>
      </c>
      <c r="H820" s="14">
        <v>0</v>
      </c>
      <c r="I820" s="14">
        <v>0</v>
      </c>
      <c r="J820" s="69">
        <v>0</v>
      </c>
      <c r="K820">
        <f t="shared" si="12"/>
        <v>0</v>
      </c>
      <c r="L820" s="14">
        <v>0</v>
      </c>
      <c r="M820" s="14">
        <v>0</v>
      </c>
      <c r="N820" s="14">
        <v>0</v>
      </c>
      <c r="O820" s="69">
        <v>0</v>
      </c>
      <c r="P820" s="226">
        <f>VLOOKUP(Table323[[#This Row],[Census Tract]],'Population and Diversity Data'!$B$2:$K$823,10,FALSE)</f>
        <v>2</v>
      </c>
      <c r="Q820" s="226" t="str">
        <f>VLOOKUP(Table323[[#This Row],[Census Tract]],'ES Energy Burden'!$B$2:$E$914,4,FALSE)</f>
        <v>No</v>
      </c>
      <c r="R820" s="248">
        <f>VLOOKUP(Table323[[#This Row],[Census Tract]],'Income and Housing Data'!$B$2:$D$823,3,FALSE)</f>
        <v>94434</v>
      </c>
      <c r="S820" s="248" t="str">
        <f>IF($U$6&lt;=Table323[[#This Row],[Household income]],IF(Table323[[#This Row],[Household income]]&lt;=$U$7, "Yes","No"),"No")</f>
        <v>No</v>
      </c>
    </row>
    <row r="821" spans="1:19" x14ac:dyDescent="0.25">
      <c r="A821" s="147">
        <v>9011690300</v>
      </c>
      <c r="B821" s="148" t="s">
        <v>2851</v>
      </c>
      <c r="C821" s="150" t="s">
        <v>944</v>
      </c>
      <c r="D821" s="70">
        <v>129.32179199999999</v>
      </c>
      <c r="E821" s="70">
        <v>0</v>
      </c>
      <c r="F821" s="14">
        <v>0</v>
      </c>
      <c r="G821" s="14">
        <v>0</v>
      </c>
      <c r="H821" s="14">
        <v>0</v>
      </c>
      <c r="I821" s="14">
        <v>0</v>
      </c>
      <c r="J821" s="69">
        <v>0</v>
      </c>
      <c r="K821">
        <f t="shared" si="12"/>
        <v>0</v>
      </c>
      <c r="L821" s="14">
        <v>0</v>
      </c>
      <c r="M821" s="14">
        <v>0</v>
      </c>
      <c r="N821" s="14">
        <v>0</v>
      </c>
      <c r="O821" s="69">
        <v>0</v>
      </c>
      <c r="P821" s="226">
        <f>VLOOKUP(Table323[[#This Row],[Census Tract]],'Population and Diversity Data'!$B$2:$K$823,10,FALSE)</f>
        <v>5</v>
      </c>
      <c r="Q821" s="226" t="str">
        <f>VLOOKUP(Table323[[#This Row],[Census Tract]],'ES Energy Burden'!$B$2:$E$914,4,FALSE)</f>
        <v>No</v>
      </c>
      <c r="R821" s="248">
        <f>VLOOKUP(Table323[[#This Row],[Census Tract]],'Income and Housing Data'!$B$2:$D$823,3,FALSE)</f>
        <v>40913</v>
      </c>
      <c r="S821" s="248" t="str">
        <f>IF($U$6&lt;=Table323[[#This Row],[Household income]],IF(Table323[[#This Row],[Household income]]&lt;=$U$7, "Yes","No"),"No")</f>
        <v>No</v>
      </c>
    </row>
    <row r="822" spans="1:19" x14ac:dyDescent="0.25">
      <c r="A822" s="147">
        <v>9011693300</v>
      </c>
      <c r="B822" s="148" t="s">
        <v>2851</v>
      </c>
      <c r="C822" s="150" t="s">
        <v>944</v>
      </c>
      <c r="D822" s="70">
        <v>136900.22383296001</v>
      </c>
      <c r="E822" s="70">
        <v>454674.54180000001</v>
      </c>
      <c r="F822" s="14">
        <v>54</v>
      </c>
      <c r="G822" s="14">
        <v>53</v>
      </c>
      <c r="H822" s="14">
        <v>1</v>
      </c>
      <c r="I822" s="14">
        <v>0</v>
      </c>
      <c r="J822" s="69">
        <v>45498.142200000002</v>
      </c>
      <c r="K822">
        <f t="shared" si="12"/>
        <v>7</v>
      </c>
      <c r="L822" s="14">
        <v>7</v>
      </c>
      <c r="M822" s="14">
        <v>0</v>
      </c>
      <c r="N822" s="14">
        <v>0</v>
      </c>
      <c r="O822" s="69">
        <v>11876.6</v>
      </c>
      <c r="P822" s="226">
        <f>VLOOKUP(Table323[[#This Row],[Census Tract]],'Population and Diversity Data'!$B$2:$K$823,10,FALSE)</f>
        <v>4</v>
      </c>
      <c r="Q822" s="226" t="str">
        <f>VLOOKUP(Table323[[#This Row],[Census Tract]],'ES Energy Burden'!$B$2:$E$914,4,FALSE)</f>
        <v>No</v>
      </c>
      <c r="R822" s="248">
        <f>VLOOKUP(Table323[[#This Row],[Census Tract]],'Income and Housing Data'!$B$2:$D$823,3,FALSE)</f>
        <v>80753</v>
      </c>
      <c r="S822" s="248" t="str">
        <f>IF($U$6&lt;=Table323[[#This Row],[Household income]],IF(Table323[[#This Row],[Household income]]&lt;=$U$7, "Yes","No"),"No")</f>
        <v>No</v>
      </c>
    </row>
    <row r="823" spans="1:19" x14ac:dyDescent="0.25">
      <c r="A823" s="147">
        <v>9011693400</v>
      </c>
      <c r="B823" s="148" t="s">
        <v>2851</v>
      </c>
      <c r="C823" s="150" t="s">
        <v>944</v>
      </c>
      <c r="D823" s="70">
        <v>81427.319297280003</v>
      </c>
      <c r="E823" s="70">
        <v>20885.86</v>
      </c>
      <c r="F823" s="14">
        <v>32</v>
      </c>
      <c r="G823" s="14">
        <v>32</v>
      </c>
      <c r="H823" s="14">
        <v>0</v>
      </c>
      <c r="I823" s="14">
        <v>0</v>
      </c>
      <c r="J823" s="69">
        <v>19381.48</v>
      </c>
      <c r="K823">
        <f t="shared" si="12"/>
        <v>0</v>
      </c>
      <c r="L823" s="14">
        <v>0</v>
      </c>
      <c r="M823" s="14">
        <v>0</v>
      </c>
      <c r="N823" s="14">
        <v>0</v>
      </c>
      <c r="O823" s="69">
        <v>0</v>
      </c>
      <c r="P823" s="226">
        <f>VLOOKUP(Table323[[#This Row],[Census Tract]],'Population and Diversity Data'!$B$2:$K$823,10,FALSE)</f>
        <v>3</v>
      </c>
      <c r="Q823" s="226" t="str">
        <f>VLOOKUP(Table323[[#This Row],[Census Tract]],'ES Energy Burden'!$B$2:$E$914,4,FALSE)</f>
        <v>No</v>
      </c>
      <c r="R823" s="248">
        <f>VLOOKUP(Table323[[#This Row],[Census Tract]],'Income and Housing Data'!$B$2:$D$823,3,FALSE)</f>
        <v>63295</v>
      </c>
      <c r="S823" s="248" t="str">
        <f>IF($U$6&lt;=Table323[[#This Row],[Household income]],IF(Table323[[#This Row],[Household income]]&lt;=$U$7, "Yes","No"),"No")</f>
        <v>Yes</v>
      </c>
    </row>
    <row r="824" spans="1:19" x14ac:dyDescent="0.25">
      <c r="A824" s="147">
        <v>9011693500</v>
      </c>
      <c r="B824" s="148" t="s">
        <v>2851</v>
      </c>
      <c r="C824" s="150" t="s">
        <v>944</v>
      </c>
      <c r="D824" s="70">
        <v>82657.042764479993</v>
      </c>
      <c r="E824" s="70">
        <v>39929.422500000001</v>
      </c>
      <c r="F824" s="14">
        <v>41</v>
      </c>
      <c r="G824" s="14">
        <v>41</v>
      </c>
      <c r="H824" s="14">
        <v>0</v>
      </c>
      <c r="I824" s="14">
        <v>0</v>
      </c>
      <c r="J824" s="69">
        <v>39379.282500000001</v>
      </c>
      <c r="K824">
        <f t="shared" si="12"/>
        <v>0</v>
      </c>
      <c r="L824" s="14">
        <v>0</v>
      </c>
      <c r="M824" s="14">
        <v>0</v>
      </c>
      <c r="N824" s="14">
        <v>0</v>
      </c>
      <c r="O824" s="69">
        <v>0</v>
      </c>
      <c r="P824" s="226">
        <f>VLOOKUP(Table323[[#This Row],[Census Tract]],'Population and Diversity Data'!$B$2:$K$823,10,FALSE)</f>
        <v>1</v>
      </c>
      <c r="Q824" s="226" t="str">
        <f>VLOOKUP(Table323[[#This Row],[Census Tract]],'ES Energy Burden'!$B$2:$E$914,4,FALSE)</f>
        <v>No</v>
      </c>
      <c r="R824" s="248">
        <f>VLOOKUP(Table323[[#This Row],[Census Tract]],'Income and Housing Data'!$B$2:$D$823,3,FALSE)</f>
        <v>110625</v>
      </c>
      <c r="S824" s="248" t="str">
        <f>IF($U$6&lt;=Table323[[#This Row],[Household income]],IF(Table323[[#This Row],[Household income]]&lt;=$U$7, "Yes","No"),"No")</f>
        <v>No</v>
      </c>
    </row>
    <row r="825" spans="1:19" x14ac:dyDescent="0.25">
      <c r="A825" s="147">
        <v>9011693600</v>
      </c>
      <c r="B825" s="148" t="s">
        <v>2851</v>
      </c>
      <c r="C825" s="150" t="s">
        <v>944</v>
      </c>
      <c r="D825" s="70">
        <v>53180.512528320003</v>
      </c>
      <c r="E825" s="70">
        <v>17703.873200000002</v>
      </c>
      <c r="F825" s="14">
        <v>23</v>
      </c>
      <c r="G825" s="14">
        <v>23</v>
      </c>
      <c r="H825" s="14">
        <v>0</v>
      </c>
      <c r="I825" s="14">
        <v>0</v>
      </c>
      <c r="J825" s="69">
        <v>17701.933199999999</v>
      </c>
      <c r="K825">
        <f t="shared" si="12"/>
        <v>0</v>
      </c>
      <c r="L825" s="14">
        <v>0</v>
      </c>
      <c r="M825" s="14">
        <v>0</v>
      </c>
      <c r="N825" s="14">
        <v>0</v>
      </c>
      <c r="O825" s="69">
        <v>0</v>
      </c>
      <c r="P825" s="226">
        <f>VLOOKUP(Table323[[#This Row],[Census Tract]],'Population and Diversity Data'!$B$2:$K$823,10,FALSE)</f>
        <v>2</v>
      </c>
      <c r="Q825" s="226" t="str">
        <f>VLOOKUP(Table323[[#This Row],[Census Tract]],'ES Energy Burden'!$B$2:$E$914,4,FALSE)</f>
        <v>No</v>
      </c>
      <c r="R825" s="248">
        <f>VLOOKUP(Table323[[#This Row],[Census Tract]],'Income and Housing Data'!$B$2:$D$823,3,FALSE)</f>
        <v>97750</v>
      </c>
      <c r="S825" s="248" t="str">
        <f>IF($U$6&lt;=Table323[[#This Row],[Household income]],IF(Table323[[#This Row],[Household income]]&lt;=$U$7, "Yes","No"),"No")</f>
        <v>No</v>
      </c>
    </row>
    <row r="826" spans="1:19" x14ac:dyDescent="0.25">
      <c r="A826" s="147">
        <v>9011693700</v>
      </c>
      <c r="B826" s="148" t="s">
        <v>2851</v>
      </c>
      <c r="C826" s="150" t="s">
        <v>944</v>
      </c>
      <c r="D826" s="70">
        <v>68545.761995520006</v>
      </c>
      <c r="E826" s="70">
        <v>23494.13</v>
      </c>
      <c r="F826" s="14">
        <v>31</v>
      </c>
      <c r="G826" s="14">
        <v>31</v>
      </c>
      <c r="H826" s="14">
        <v>0</v>
      </c>
      <c r="I826" s="14">
        <v>0</v>
      </c>
      <c r="J826" s="69">
        <v>23490.3</v>
      </c>
      <c r="K826">
        <f t="shared" si="12"/>
        <v>0</v>
      </c>
      <c r="L826" s="14">
        <v>0</v>
      </c>
      <c r="M826" s="14">
        <v>0</v>
      </c>
      <c r="N826" s="14">
        <v>0</v>
      </c>
      <c r="O826" s="69">
        <v>0</v>
      </c>
      <c r="P826" s="226">
        <f>VLOOKUP(Table323[[#This Row],[Census Tract]],'Population and Diversity Data'!$B$2:$K$823,10,FALSE)</f>
        <v>4</v>
      </c>
      <c r="Q826" s="226" t="str">
        <f>VLOOKUP(Table323[[#This Row],[Census Tract]],'ES Energy Burden'!$B$2:$E$914,4,FALSE)</f>
        <v>No</v>
      </c>
      <c r="R826" s="248">
        <f>VLOOKUP(Table323[[#This Row],[Census Tract]],'Income and Housing Data'!$B$2:$D$823,3,FALSE)</f>
        <v>111849</v>
      </c>
      <c r="S826" s="248" t="str">
        <f>IF($U$6&lt;=Table323[[#This Row],[Household income]],IF(Table323[[#This Row],[Household income]]&lt;=$U$7, "Yes","No"),"No")</f>
        <v>No</v>
      </c>
    </row>
    <row r="827" spans="1:19" x14ac:dyDescent="0.25">
      <c r="A827" s="147">
        <v>9011695201</v>
      </c>
      <c r="B827" s="148" t="s">
        <v>2851</v>
      </c>
      <c r="C827" s="150" t="s">
        <v>944</v>
      </c>
      <c r="D827" s="70">
        <v>70.744924800000007</v>
      </c>
      <c r="E827" s="70">
        <v>0</v>
      </c>
      <c r="F827" s="14">
        <v>0</v>
      </c>
      <c r="G827" s="14">
        <v>0</v>
      </c>
      <c r="H827" s="14">
        <v>0</v>
      </c>
      <c r="I827" s="14">
        <v>0</v>
      </c>
      <c r="J827" s="69">
        <v>0</v>
      </c>
      <c r="K827">
        <f t="shared" si="12"/>
        <v>0</v>
      </c>
      <c r="L827" s="14">
        <v>0</v>
      </c>
      <c r="M827" s="14">
        <v>0</v>
      </c>
      <c r="N827" s="14">
        <v>0</v>
      </c>
      <c r="O827" s="69">
        <v>0</v>
      </c>
      <c r="P827" s="226">
        <f>VLOOKUP(Table323[[#This Row],[Census Tract]],'Population and Diversity Data'!$B$2:$K$823,10,FALSE)</f>
        <v>3</v>
      </c>
      <c r="Q827" s="226" t="str">
        <f>VLOOKUP(Table323[[#This Row],[Census Tract]],'ES Energy Burden'!$B$2:$E$914,4,FALSE)</f>
        <v>No</v>
      </c>
      <c r="R827" s="248">
        <f>VLOOKUP(Table323[[#This Row],[Census Tract]],'Income and Housing Data'!$B$2:$D$823,3,FALSE)</f>
        <v>74675</v>
      </c>
      <c r="S827" s="248" t="str">
        <f>IF($U$6&lt;=Table323[[#This Row],[Household income]],IF(Table323[[#This Row],[Household income]]&lt;=$U$7, "Yes","No"),"No")</f>
        <v>No</v>
      </c>
    </row>
    <row r="828" spans="1:19" x14ac:dyDescent="0.25">
      <c r="A828" s="147">
        <v>9011870300</v>
      </c>
      <c r="B828" s="148" t="s">
        <v>2851</v>
      </c>
      <c r="C828" s="150" t="s">
        <v>944</v>
      </c>
      <c r="D828" s="70">
        <v>26.3506176</v>
      </c>
      <c r="E828" s="70">
        <v>0</v>
      </c>
      <c r="F828" s="14">
        <v>0</v>
      </c>
      <c r="G828" s="14">
        <v>0</v>
      </c>
      <c r="H828" s="14">
        <v>0</v>
      </c>
      <c r="I828" s="14">
        <v>0</v>
      </c>
      <c r="J828" s="69">
        <v>0</v>
      </c>
      <c r="K828">
        <f t="shared" si="12"/>
        <v>0</v>
      </c>
      <c r="L828" s="14">
        <v>0</v>
      </c>
      <c r="M828" s="14">
        <v>0</v>
      </c>
      <c r="N828" s="14">
        <v>0</v>
      </c>
      <c r="O828" s="69">
        <v>0</v>
      </c>
      <c r="P828" s="226">
        <f>VLOOKUP(Table323[[#This Row],[Census Tract]],'Population and Diversity Data'!$B$2:$K$823,10,FALSE)</f>
        <v>5</v>
      </c>
      <c r="Q828" s="226" t="str">
        <f>VLOOKUP(Table323[[#This Row],[Census Tract]],'ES Energy Burden'!$B$2:$E$914,4,FALSE)</f>
        <v>No</v>
      </c>
      <c r="R828" s="248">
        <f>VLOOKUP(Table323[[#This Row],[Census Tract]],'Income and Housing Data'!$B$2:$D$823,3,FALSE)</f>
        <v>24805</v>
      </c>
      <c r="S828" s="248" t="str">
        <f>IF($U$6&lt;=Table323[[#This Row],[Household income]],IF(Table323[[#This Row],[Household income]]&lt;=$U$7, "Yes","No"),"No")</f>
        <v>No</v>
      </c>
    </row>
    <row r="829" spans="1:19" x14ac:dyDescent="0.25">
      <c r="A829" s="147">
        <v>9011870502</v>
      </c>
      <c r="B829" s="148" t="s">
        <v>2851</v>
      </c>
      <c r="C829" s="150" t="s">
        <v>944</v>
      </c>
      <c r="D829" s="70">
        <v>48.816950399999996</v>
      </c>
      <c r="E829" s="70">
        <v>0</v>
      </c>
      <c r="F829" s="14">
        <v>0</v>
      </c>
      <c r="G829" s="14">
        <v>0</v>
      </c>
      <c r="H829" s="14">
        <v>0</v>
      </c>
      <c r="I829" s="14">
        <v>0</v>
      </c>
      <c r="J829" s="69">
        <v>0</v>
      </c>
      <c r="K829">
        <f t="shared" si="12"/>
        <v>0</v>
      </c>
      <c r="L829" s="14">
        <v>0</v>
      </c>
      <c r="M829" s="14">
        <v>0</v>
      </c>
      <c r="N829" s="14">
        <v>0</v>
      </c>
      <c r="O829" s="69">
        <v>0</v>
      </c>
      <c r="P829" s="226">
        <f>VLOOKUP(Table323[[#This Row],[Census Tract]],'Population and Diversity Data'!$B$2:$K$823,10,FALSE)</f>
        <v>5</v>
      </c>
      <c r="Q829" s="226" t="str">
        <f>VLOOKUP(Table323[[#This Row],[Census Tract]],'ES Energy Burden'!$B$2:$E$914,4,FALSE)</f>
        <v>No</v>
      </c>
      <c r="R829" s="248">
        <f>VLOOKUP(Table323[[#This Row],[Census Tract]],'Income and Housing Data'!$B$2:$D$823,3,FALSE)</f>
        <v>66615</v>
      </c>
      <c r="S829" s="248" t="str">
        <f>IF($U$6&lt;=Table323[[#This Row],[Household income]],IF(Table323[[#This Row],[Household income]]&lt;=$U$7, "Yes","No"),"No")</f>
        <v>No</v>
      </c>
    </row>
    <row r="830" spans="1:19" x14ac:dyDescent="0.25">
      <c r="A830" s="147">
        <v>9005342100</v>
      </c>
      <c r="B830" s="148" t="s">
        <v>2852</v>
      </c>
      <c r="C830" s="150" t="s">
        <v>944</v>
      </c>
      <c r="D830" s="70">
        <v>335.5998912</v>
      </c>
      <c r="E830" s="70">
        <v>0</v>
      </c>
      <c r="F830" s="14">
        <v>0</v>
      </c>
      <c r="G830" s="14">
        <v>0</v>
      </c>
      <c r="H830" s="14">
        <v>0</v>
      </c>
      <c r="I830" s="14">
        <v>0</v>
      </c>
      <c r="J830" s="69">
        <v>0</v>
      </c>
      <c r="K830">
        <f t="shared" si="12"/>
        <v>0</v>
      </c>
      <c r="L830" s="14">
        <v>0</v>
      </c>
      <c r="M830" s="14">
        <v>0</v>
      </c>
      <c r="N830" s="14">
        <v>0</v>
      </c>
      <c r="O830" s="69">
        <v>0</v>
      </c>
      <c r="P830" s="226">
        <f>VLOOKUP(Table323[[#This Row],[Census Tract]],'Population and Diversity Data'!$B$2:$K$823,10,FALSE)</f>
        <v>2</v>
      </c>
      <c r="Q830" s="226" t="str">
        <f>VLOOKUP(Table323[[#This Row],[Census Tract]],'ES Energy Burden'!$B$2:$E$914,4,FALSE)</f>
        <v>No</v>
      </c>
      <c r="R830" s="248">
        <f>VLOOKUP(Table323[[#This Row],[Census Tract]],'Income and Housing Data'!$B$2:$D$823,3,FALSE)</f>
        <v>98409</v>
      </c>
      <c r="S830" s="248" t="str">
        <f>IF($U$6&lt;=Table323[[#This Row],[Household income]],IF(Table323[[#This Row],[Household income]]&lt;=$U$7, "Yes","No"),"No")</f>
        <v>No</v>
      </c>
    </row>
    <row r="831" spans="1:19" x14ac:dyDescent="0.25">
      <c r="A831" s="147">
        <v>9005360100</v>
      </c>
      <c r="B831" s="148" t="s">
        <v>2852</v>
      </c>
      <c r="C831" s="150" t="s">
        <v>944</v>
      </c>
      <c r="D831" s="70">
        <v>105586.70416991999</v>
      </c>
      <c r="E831" s="70">
        <v>30575.06</v>
      </c>
      <c r="F831" s="14">
        <v>23</v>
      </c>
      <c r="G831" s="14">
        <v>23</v>
      </c>
      <c r="H831" s="14">
        <v>0</v>
      </c>
      <c r="I831" s="14">
        <v>0</v>
      </c>
      <c r="J831" s="69">
        <v>15401.32</v>
      </c>
      <c r="K831">
        <f t="shared" si="12"/>
        <v>0</v>
      </c>
      <c r="L831" s="14">
        <v>0</v>
      </c>
      <c r="M831" s="14">
        <v>0</v>
      </c>
      <c r="N831" s="14">
        <v>0</v>
      </c>
      <c r="O831" s="69">
        <v>0</v>
      </c>
      <c r="P831" s="226">
        <f>VLOOKUP(Table323[[#This Row],[Census Tract]],'Population and Diversity Data'!$B$2:$K$823,10,FALSE)</f>
        <v>3</v>
      </c>
      <c r="Q831" s="226" t="str">
        <f>VLOOKUP(Table323[[#This Row],[Census Tract]],'ES Energy Burden'!$B$2:$E$914,4,FALSE)</f>
        <v>No</v>
      </c>
      <c r="R831" s="248">
        <f>VLOOKUP(Table323[[#This Row],[Census Tract]],'Income and Housing Data'!$B$2:$D$823,3,FALSE)</f>
        <v>69118</v>
      </c>
      <c r="S831" s="248" t="str">
        <f>IF($U$6&lt;=Table323[[#This Row],[Household income]],IF(Table323[[#This Row],[Household income]]&lt;=$U$7, "Yes","No"),"No")</f>
        <v>No</v>
      </c>
    </row>
    <row r="832" spans="1:19" x14ac:dyDescent="0.25">
      <c r="A832" s="147">
        <v>9005360200</v>
      </c>
      <c r="B832" s="148" t="s">
        <v>2852</v>
      </c>
      <c r="C832" s="150" t="s">
        <v>944</v>
      </c>
      <c r="D832" s="70">
        <v>179501.00507423998</v>
      </c>
      <c r="E832" s="70">
        <v>167458.0411</v>
      </c>
      <c r="F832" s="14">
        <v>49</v>
      </c>
      <c r="G832" s="14">
        <v>49</v>
      </c>
      <c r="H832" s="14">
        <v>0</v>
      </c>
      <c r="I832" s="14">
        <v>0</v>
      </c>
      <c r="J832" s="69">
        <v>48229.233099999998</v>
      </c>
      <c r="K832">
        <f t="shared" si="12"/>
        <v>54</v>
      </c>
      <c r="L832" s="14">
        <v>53</v>
      </c>
      <c r="M832" s="14">
        <v>1</v>
      </c>
      <c r="N832" s="14">
        <v>0</v>
      </c>
      <c r="O832" s="69">
        <v>116050</v>
      </c>
      <c r="P832" s="226">
        <f>VLOOKUP(Table323[[#This Row],[Census Tract]],'Population and Diversity Data'!$B$2:$K$823,10,FALSE)</f>
        <v>2</v>
      </c>
      <c r="Q832" s="226" t="str">
        <f>VLOOKUP(Table323[[#This Row],[Census Tract]],'ES Energy Burden'!$B$2:$E$914,4,FALSE)</f>
        <v>No</v>
      </c>
      <c r="R832" s="248">
        <f>VLOOKUP(Table323[[#This Row],[Census Tract]],'Income and Housing Data'!$B$2:$D$823,3,FALSE)</f>
        <v>105701</v>
      </c>
      <c r="S832" s="248" t="str">
        <f>IF($U$6&lt;=Table323[[#This Row],[Household income]],IF(Table323[[#This Row],[Household income]]&lt;=$U$7, "Yes","No"),"No")</f>
        <v>No</v>
      </c>
    </row>
    <row r="833" spans="1:19" x14ac:dyDescent="0.25">
      <c r="A833" s="147">
        <v>9005360300</v>
      </c>
      <c r="B833" s="148" t="s">
        <v>2852</v>
      </c>
      <c r="C833" s="150" t="s">
        <v>944</v>
      </c>
      <c r="D833" s="70">
        <v>58545.817234560003</v>
      </c>
      <c r="E833" s="70">
        <v>61008.1924</v>
      </c>
      <c r="F833" s="14">
        <v>19</v>
      </c>
      <c r="G833" s="14">
        <v>19</v>
      </c>
      <c r="H833" s="14">
        <v>0</v>
      </c>
      <c r="I833" s="14">
        <v>0</v>
      </c>
      <c r="J833" s="69">
        <v>14116.152400000001</v>
      </c>
      <c r="K833">
        <f t="shared" si="12"/>
        <v>0</v>
      </c>
      <c r="L833" s="14">
        <v>0</v>
      </c>
      <c r="M833" s="14">
        <v>0</v>
      </c>
      <c r="N833" s="14">
        <v>0</v>
      </c>
      <c r="O833" s="69">
        <v>0</v>
      </c>
      <c r="P833" s="226">
        <f>VLOOKUP(Table323[[#This Row],[Census Tract]],'Population and Diversity Data'!$B$2:$K$823,10,FALSE)</f>
        <v>2</v>
      </c>
      <c r="Q833" s="226" t="str">
        <f>VLOOKUP(Table323[[#This Row],[Census Tract]],'ES Energy Burden'!$B$2:$E$914,4,FALSE)</f>
        <v>No</v>
      </c>
      <c r="R833" s="248">
        <f>VLOOKUP(Table323[[#This Row],[Census Tract]],'Income and Housing Data'!$B$2:$D$823,3,FALSE)</f>
        <v>74634</v>
      </c>
      <c r="S833" s="248" t="str">
        <f>IF($U$6&lt;=Table323[[#This Row],[Household income]],IF(Table323[[#This Row],[Household income]]&lt;=$U$7, "Yes","No"),"No")</f>
        <v>No</v>
      </c>
    </row>
    <row r="834" spans="1:19" x14ac:dyDescent="0.25">
      <c r="A834" s="147">
        <v>9005360400</v>
      </c>
      <c r="B834" s="148" t="s">
        <v>2852</v>
      </c>
      <c r="C834" s="150" t="s">
        <v>944</v>
      </c>
      <c r="D834" s="70">
        <v>107974.49965344</v>
      </c>
      <c r="E834" s="70">
        <v>39579.555399999997</v>
      </c>
      <c r="F834" s="14">
        <v>26</v>
      </c>
      <c r="G834" s="14">
        <v>26</v>
      </c>
      <c r="H834" s="14">
        <v>0</v>
      </c>
      <c r="I834" s="14">
        <v>0</v>
      </c>
      <c r="J834" s="69">
        <v>16124.475399999999</v>
      </c>
      <c r="K834">
        <f t="shared" si="12"/>
        <v>0</v>
      </c>
      <c r="L834" s="14">
        <v>0</v>
      </c>
      <c r="M834" s="14">
        <v>0</v>
      </c>
      <c r="N834" s="14">
        <v>0</v>
      </c>
      <c r="O834" s="69">
        <v>0</v>
      </c>
      <c r="P834" s="226">
        <f>VLOOKUP(Table323[[#This Row],[Census Tract]],'Population and Diversity Data'!$B$2:$K$823,10,FALSE)</f>
        <v>4</v>
      </c>
      <c r="Q834" s="226" t="str">
        <f>VLOOKUP(Table323[[#This Row],[Census Tract]],'ES Energy Burden'!$B$2:$E$914,4,FALSE)</f>
        <v>No</v>
      </c>
      <c r="R834" s="248">
        <f>VLOOKUP(Table323[[#This Row],[Census Tract]],'Income and Housing Data'!$B$2:$D$823,3,FALSE)</f>
        <v>63667</v>
      </c>
      <c r="S834" s="248" t="str">
        <f>IF($U$6&lt;=Table323[[#This Row],[Household income]],IF(Table323[[#This Row],[Household income]]&lt;=$U$7, "Yes","No"),"No")</f>
        <v>Yes</v>
      </c>
    </row>
    <row r="835" spans="1:19" x14ac:dyDescent="0.25">
      <c r="A835" s="147">
        <v>9005362102</v>
      </c>
      <c r="B835" s="148" t="s">
        <v>2852</v>
      </c>
      <c r="C835" s="150" t="s">
        <v>944</v>
      </c>
      <c r="D835" s="70">
        <v>35.062761600000002</v>
      </c>
      <c r="E835" s="70">
        <v>0</v>
      </c>
      <c r="F835" s="14">
        <v>0</v>
      </c>
      <c r="G835" s="14">
        <v>0</v>
      </c>
      <c r="H835" s="14">
        <v>0</v>
      </c>
      <c r="I835" s="14">
        <v>0</v>
      </c>
      <c r="J835" s="69">
        <v>0</v>
      </c>
      <c r="K835">
        <f t="shared" si="12"/>
        <v>0</v>
      </c>
      <c r="L835" s="14">
        <v>0</v>
      </c>
      <c r="M835" s="14">
        <v>0</v>
      </c>
      <c r="N835" s="14">
        <v>0</v>
      </c>
      <c r="O835" s="69">
        <v>0</v>
      </c>
      <c r="P835" s="226">
        <f>VLOOKUP(Table323[[#This Row],[Census Tract]],'Population and Diversity Data'!$B$2:$K$823,10,FALSE)</f>
        <v>1</v>
      </c>
      <c r="Q835" s="226" t="str">
        <f>VLOOKUP(Table323[[#This Row],[Census Tract]],'ES Energy Burden'!$B$2:$E$914,4,FALSE)</f>
        <v>No</v>
      </c>
      <c r="R835" s="248">
        <f>VLOOKUP(Table323[[#This Row],[Census Tract]],'Income and Housing Data'!$B$2:$D$823,3,FALSE)</f>
        <v>91383</v>
      </c>
      <c r="S835" s="248" t="str">
        <f>IF($U$6&lt;=Table323[[#This Row],[Household income]],IF(Table323[[#This Row],[Household income]]&lt;=$U$7, "Yes","No"),"No")</f>
        <v>No</v>
      </c>
    </row>
    <row r="836" spans="1:19" x14ac:dyDescent="0.25">
      <c r="A836" s="147">
        <v>9009352100</v>
      </c>
      <c r="B836" s="148" t="s">
        <v>2852</v>
      </c>
      <c r="C836" s="150" t="s">
        <v>944</v>
      </c>
      <c r="D836" s="70">
        <v>96.198278399999992</v>
      </c>
      <c r="E836" s="70">
        <v>0</v>
      </c>
      <c r="F836" s="14">
        <v>0</v>
      </c>
      <c r="G836" s="14">
        <v>0</v>
      </c>
      <c r="H836" s="14">
        <v>0</v>
      </c>
      <c r="I836" s="14">
        <v>0</v>
      </c>
      <c r="J836" s="69">
        <v>0</v>
      </c>
      <c r="K836">
        <f t="shared" si="12"/>
        <v>0</v>
      </c>
      <c r="L836" s="14">
        <v>0</v>
      </c>
      <c r="M836" s="14">
        <v>0</v>
      </c>
      <c r="N836" s="14">
        <v>0</v>
      </c>
      <c r="O836" s="69">
        <v>0</v>
      </c>
      <c r="P836" s="226">
        <f>VLOOKUP(Table323[[#This Row],[Census Tract]],'Population and Diversity Data'!$B$2:$K$823,10,FALSE)</f>
        <v>2</v>
      </c>
      <c r="Q836" s="226" t="str">
        <f>VLOOKUP(Table323[[#This Row],[Census Tract]],'ES Energy Burden'!$B$2:$E$914,4,FALSE)</f>
        <v>No</v>
      </c>
      <c r="R836" s="248">
        <f>VLOOKUP(Table323[[#This Row],[Census Tract]],'Income and Housing Data'!$B$2:$D$823,3,FALSE)</f>
        <v>57587</v>
      </c>
      <c r="S836" s="248" t="str">
        <f>IF($U$6&lt;=Table323[[#This Row],[Household income]],IF(Table323[[#This Row],[Household income]]&lt;=$U$7, "Yes","No"),"No")</f>
        <v>Yes</v>
      </c>
    </row>
    <row r="837" spans="1:19" x14ac:dyDescent="0.25">
      <c r="A837" s="147">
        <v>9003460100</v>
      </c>
      <c r="B837" s="148" t="s">
        <v>2853</v>
      </c>
      <c r="C837" s="150" t="s">
        <v>944</v>
      </c>
      <c r="D837" s="70">
        <v>625.74612479999996</v>
      </c>
      <c r="E837" s="70">
        <v>1300.4000000000001</v>
      </c>
      <c r="F837" s="14">
        <v>2</v>
      </c>
      <c r="G837" s="14">
        <v>2</v>
      </c>
      <c r="H837" s="14">
        <v>0</v>
      </c>
      <c r="I837" s="14">
        <v>0</v>
      </c>
      <c r="J837" s="69">
        <v>1300.02</v>
      </c>
      <c r="K837">
        <f t="shared" si="12"/>
        <v>0</v>
      </c>
      <c r="L837" s="14">
        <v>0</v>
      </c>
      <c r="M837" s="14">
        <v>0</v>
      </c>
      <c r="N837" s="14">
        <v>0</v>
      </c>
      <c r="O837" s="69">
        <v>0</v>
      </c>
      <c r="P837" s="226">
        <f>VLOOKUP(Table323[[#This Row],[Census Tract]],'Population and Diversity Data'!$B$2:$K$823,10,FALSE)</f>
        <v>3</v>
      </c>
      <c r="Q837" s="226" t="str">
        <f>VLOOKUP(Table323[[#This Row],[Census Tract]],'ES Energy Burden'!$B$2:$E$914,4,FALSE)</f>
        <v>No</v>
      </c>
      <c r="R837" s="248">
        <f>VLOOKUP(Table323[[#This Row],[Census Tract]],'Income and Housing Data'!$B$2:$D$823,3,FALSE)</f>
        <v>94872</v>
      </c>
      <c r="S837" s="248" t="str">
        <f>IF($U$6&lt;=Table323[[#This Row],[Household income]],IF(Table323[[#This Row],[Household income]]&lt;=$U$7, "Yes","No"),"No")</f>
        <v>No</v>
      </c>
    </row>
    <row r="838" spans="1:19" x14ac:dyDescent="0.25">
      <c r="A838" s="147">
        <v>9003471400</v>
      </c>
      <c r="B838" s="148" t="s">
        <v>2853</v>
      </c>
      <c r="C838" s="150" t="s">
        <v>944</v>
      </c>
      <c r="D838" s="70">
        <v>1128.0287232000001</v>
      </c>
      <c r="E838" s="70">
        <v>0</v>
      </c>
      <c r="F838" s="14">
        <v>0</v>
      </c>
      <c r="G838" s="14">
        <v>0</v>
      </c>
      <c r="H838" s="14">
        <v>0</v>
      </c>
      <c r="I838" s="14">
        <v>0</v>
      </c>
      <c r="J838" s="69">
        <v>0</v>
      </c>
      <c r="K838">
        <f t="shared" ref="K838:K901" si="13">L838+M838+N838</f>
        <v>0</v>
      </c>
      <c r="L838" s="14">
        <v>0</v>
      </c>
      <c r="M838" s="14">
        <v>0</v>
      </c>
      <c r="N838" s="14">
        <v>0</v>
      </c>
      <c r="O838" s="69">
        <v>0</v>
      </c>
      <c r="P838" s="226">
        <f>VLOOKUP(Table323[[#This Row],[Census Tract]],'Population and Diversity Data'!$B$2:$K$823,10,FALSE)</f>
        <v>2</v>
      </c>
      <c r="Q838" s="226" t="str">
        <f>VLOOKUP(Table323[[#This Row],[Census Tract]],'ES Energy Burden'!$B$2:$E$914,4,FALSE)</f>
        <v>No</v>
      </c>
      <c r="R838" s="248">
        <f>VLOOKUP(Table323[[#This Row],[Census Tract]],'Income and Housing Data'!$B$2:$D$823,3,FALSE)</f>
        <v>105066</v>
      </c>
      <c r="S838" s="248" t="str">
        <f>IF($U$6&lt;=Table323[[#This Row],[Household income]],IF(Table323[[#This Row],[Household income]]&lt;=$U$7, "Yes","No"),"No")</f>
        <v>No</v>
      </c>
    </row>
    <row r="839" spans="1:19" x14ac:dyDescent="0.25">
      <c r="A839" s="147">
        <v>9003496100</v>
      </c>
      <c r="B839" s="148" t="s">
        <v>2853</v>
      </c>
      <c r="C839" s="150" t="s">
        <v>944</v>
      </c>
      <c r="D839" s="70">
        <v>28610.9587584</v>
      </c>
      <c r="E839" s="70">
        <v>2101.48</v>
      </c>
      <c r="F839" s="14">
        <v>6</v>
      </c>
      <c r="G839" s="14">
        <v>6</v>
      </c>
      <c r="H839" s="14">
        <v>0</v>
      </c>
      <c r="I839" s="14">
        <v>0</v>
      </c>
      <c r="J839" s="69">
        <v>2098.02</v>
      </c>
      <c r="K839">
        <f t="shared" si="13"/>
        <v>0</v>
      </c>
      <c r="L839" s="14">
        <v>0</v>
      </c>
      <c r="M839" s="14">
        <v>0</v>
      </c>
      <c r="N839" s="14">
        <v>0</v>
      </c>
      <c r="O839" s="69">
        <v>0</v>
      </c>
      <c r="P839" s="226">
        <f>VLOOKUP(Table323[[#This Row],[Census Tract]],'Population and Diversity Data'!$B$2:$K$823,10,FALSE)</f>
        <v>5</v>
      </c>
      <c r="Q839" s="226" t="str">
        <f>VLOOKUP(Table323[[#This Row],[Census Tract]],'ES Energy Burden'!$B$2:$E$914,4,FALSE)</f>
        <v>No</v>
      </c>
      <c r="R839" s="248">
        <f>VLOOKUP(Table323[[#This Row],[Census Tract]],'Income and Housing Data'!$B$2:$D$823,3,FALSE)</f>
        <v>59914</v>
      </c>
      <c r="S839" s="248" t="str">
        <f>IF($U$6&lt;=Table323[[#This Row],[Household income]],IF(Table323[[#This Row],[Household income]]&lt;=$U$7, "Yes","No"),"No")</f>
        <v>Yes</v>
      </c>
    </row>
    <row r="840" spans="1:19" x14ac:dyDescent="0.25">
      <c r="A840" s="147">
        <v>9003496200</v>
      </c>
      <c r="B840" s="148" t="s">
        <v>2853</v>
      </c>
      <c r="C840" s="150" t="s">
        <v>944</v>
      </c>
      <c r="D840" s="70">
        <v>82021.309801919997</v>
      </c>
      <c r="E840" s="70">
        <v>9423.9668000000001</v>
      </c>
      <c r="F840" s="14">
        <v>16</v>
      </c>
      <c r="G840" s="14">
        <v>16</v>
      </c>
      <c r="H840" s="14">
        <v>0</v>
      </c>
      <c r="I840" s="14">
        <v>0</v>
      </c>
      <c r="J840" s="69">
        <v>7830.5968000000003</v>
      </c>
      <c r="K840">
        <f t="shared" si="13"/>
        <v>0</v>
      </c>
      <c r="L840" s="14">
        <v>0</v>
      </c>
      <c r="M840" s="14">
        <v>0</v>
      </c>
      <c r="N840" s="14">
        <v>0</v>
      </c>
      <c r="O840" s="69">
        <v>0</v>
      </c>
      <c r="P840" s="226">
        <f>VLOOKUP(Table323[[#This Row],[Census Tract]],'Population and Diversity Data'!$B$2:$K$823,10,FALSE)</f>
        <v>5</v>
      </c>
      <c r="Q840" s="226" t="str">
        <f>VLOOKUP(Table323[[#This Row],[Census Tract]],'ES Energy Burden'!$B$2:$E$914,4,FALSE)</f>
        <v>No</v>
      </c>
      <c r="R840" s="248">
        <f>VLOOKUP(Table323[[#This Row],[Census Tract]],'Income and Housing Data'!$B$2:$D$823,3,FALSE)</f>
        <v>75417</v>
      </c>
      <c r="S840" s="248" t="str">
        <f>IF($U$6&lt;=Table323[[#This Row],[Household income]],IF(Table323[[#This Row],[Household income]]&lt;=$U$7, "Yes","No"),"No")</f>
        <v>No</v>
      </c>
    </row>
    <row r="841" spans="1:19" x14ac:dyDescent="0.25">
      <c r="A841" s="147">
        <v>9003496300</v>
      </c>
      <c r="B841" s="148" t="s">
        <v>2853</v>
      </c>
      <c r="C841" s="150" t="s">
        <v>944</v>
      </c>
      <c r="D841" s="70">
        <v>55727.230832640002</v>
      </c>
      <c r="E841" s="70">
        <v>8621.5300000000007</v>
      </c>
      <c r="F841" s="14">
        <v>14</v>
      </c>
      <c r="G841" s="14">
        <v>13</v>
      </c>
      <c r="H841" s="14">
        <v>1</v>
      </c>
      <c r="I841" s="14">
        <v>0</v>
      </c>
      <c r="J841" s="69">
        <v>5853.27</v>
      </c>
      <c r="K841">
        <f t="shared" si="13"/>
        <v>0</v>
      </c>
      <c r="L841" s="14">
        <v>0</v>
      </c>
      <c r="M841" s="14">
        <v>0</v>
      </c>
      <c r="N841" s="14">
        <v>0</v>
      </c>
      <c r="O841" s="69">
        <v>0</v>
      </c>
      <c r="P841" s="226">
        <f>VLOOKUP(Table323[[#This Row],[Census Tract]],'Population and Diversity Data'!$B$2:$K$823,10,FALSE)</f>
        <v>3</v>
      </c>
      <c r="Q841" s="226" t="str">
        <f>VLOOKUP(Table323[[#This Row],[Census Tract]],'ES Energy Burden'!$B$2:$E$914,4,FALSE)</f>
        <v>No</v>
      </c>
      <c r="R841" s="248">
        <f>VLOOKUP(Table323[[#This Row],[Census Tract]],'Income and Housing Data'!$B$2:$D$823,3,FALSE)</f>
        <v>102955</v>
      </c>
      <c r="S841" s="248" t="str">
        <f>IF($U$6&lt;=Table323[[#This Row],[Household income]],IF(Table323[[#This Row],[Household income]]&lt;=$U$7, "Yes","No"),"No")</f>
        <v>No</v>
      </c>
    </row>
    <row r="842" spans="1:19" x14ac:dyDescent="0.25">
      <c r="A842" s="147">
        <v>9003496400</v>
      </c>
      <c r="B842" s="148" t="s">
        <v>2853</v>
      </c>
      <c r="C842" s="150" t="s">
        <v>944</v>
      </c>
      <c r="D842" s="70">
        <v>48185.508096000005</v>
      </c>
      <c r="E842" s="70">
        <v>6747.1818000000003</v>
      </c>
      <c r="F842" s="14">
        <v>19</v>
      </c>
      <c r="G842" s="14">
        <v>19</v>
      </c>
      <c r="H842" s="14">
        <v>0</v>
      </c>
      <c r="I842" s="14">
        <v>0</v>
      </c>
      <c r="J842" s="69">
        <v>6743.6917999999996</v>
      </c>
      <c r="K842">
        <f t="shared" si="13"/>
        <v>0</v>
      </c>
      <c r="L842" s="14">
        <v>0</v>
      </c>
      <c r="M842" s="14">
        <v>0</v>
      </c>
      <c r="N842" s="14">
        <v>0</v>
      </c>
      <c r="O842" s="69">
        <v>0</v>
      </c>
      <c r="P842" s="226">
        <f>VLOOKUP(Table323[[#This Row],[Census Tract]],'Population and Diversity Data'!$B$2:$K$823,10,FALSE)</f>
        <v>2</v>
      </c>
      <c r="Q842" s="226" t="str">
        <f>VLOOKUP(Table323[[#This Row],[Census Tract]],'ES Energy Burden'!$B$2:$E$914,4,FALSE)</f>
        <v>No</v>
      </c>
      <c r="R842" s="248">
        <f>VLOOKUP(Table323[[#This Row],[Census Tract]],'Income and Housing Data'!$B$2:$D$823,3,FALSE)</f>
        <v>142566</v>
      </c>
      <c r="S842" s="248" t="str">
        <f>IF($U$6&lt;=Table323[[#This Row],[Household income]],IF(Table323[[#This Row],[Household income]]&lt;=$U$7, "Yes","No"),"No")</f>
        <v>No</v>
      </c>
    </row>
    <row r="843" spans="1:19" x14ac:dyDescent="0.25">
      <c r="A843" s="147">
        <v>9003496500</v>
      </c>
      <c r="B843" s="148" t="s">
        <v>2853</v>
      </c>
      <c r="C843" s="150" t="s">
        <v>944</v>
      </c>
      <c r="D843" s="70">
        <v>43302.135461760001</v>
      </c>
      <c r="E843" s="70">
        <v>18052.32</v>
      </c>
      <c r="F843" s="14">
        <v>14</v>
      </c>
      <c r="G843" s="14">
        <v>14</v>
      </c>
      <c r="H843" s="14">
        <v>0</v>
      </c>
      <c r="I843" s="14">
        <v>0</v>
      </c>
      <c r="J843" s="69">
        <v>4636.5</v>
      </c>
      <c r="K843">
        <f t="shared" si="13"/>
        <v>0</v>
      </c>
      <c r="L843" s="14">
        <v>0</v>
      </c>
      <c r="M843" s="14">
        <v>0</v>
      </c>
      <c r="N843" s="14">
        <v>0</v>
      </c>
      <c r="O843" s="69">
        <v>0</v>
      </c>
      <c r="P843" s="226">
        <f>VLOOKUP(Table323[[#This Row],[Census Tract]],'Population and Diversity Data'!$B$2:$K$823,10,FALSE)</f>
        <v>3</v>
      </c>
      <c r="Q843" s="226" t="str">
        <f>VLOOKUP(Table323[[#This Row],[Census Tract]],'ES Energy Burden'!$B$2:$E$914,4,FALSE)</f>
        <v>No</v>
      </c>
      <c r="R843" s="248">
        <f>VLOOKUP(Table323[[#This Row],[Census Tract]],'Income and Housing Data'!$B$2:$D$823,3,FALSE)</f>
        <v>126738</v>
      </c>
      <c r="S843" s="248" t="str">
        <f>IF($U$6&lt;=Table323[[#This Row],[Household income]],IF(Table323[[#This Row],[Household income]]&lt;=$U$7, "Yes","No"),"No")</f>
        <v>No</v>
      </c>
    </row>
    <row r="844" spans="1:19" x14ac:dyDescent="0.25">
      <c r="A844" s="147">
        <v>9003496600</v>
      </c>
      <c r="B844" s="148" t="s">
        <v>2853</v>
      </c>
      <c r="C844" s="150" t="s">
        <v>944</v>
      </c>
      <c r="D844" s="70">
        <v>55057.849891200007</v>
      </c>
      <c r="E844" s="70">
        <v>28113.459900000002</v>
      </c>
      <c r="F844" s="14">
        <v>19</v>
      </c>
      <c r="G844" s="14">
        <v>19</v>
      </c>
      <c r="H844" s="14">
        <v>0</v>
      </c>
      <c r="I844" s="14">
        <v>0</v>
      </c>
      <c r="J844" s="69">
        <v>9254.6699000000008</v>
      </c>
      <c r="K844">
        <f t="shared" si="13"/>
        <v>0</v>
      </c>
      <c r="L844" s="14">
        <v>0</v>
      </c>
      <c r="M844" s="14">
        <v>0</v>
      </c>
      <c r="N844" s="14">
        <v>0</v>
      </c>
      <c r="O844" s="69">
        <v>0</v>
      </c>
      <c r="P844" s="226">
        <f>VLOOKUP(Table323[[#This Row],[Census Tract]],'Population and Diversity Data'!$B$2:$K$823,10,FALSE)</f>
        <v>4</v>
      </c>
      <c r="Q844" s="226" t="str">
        <f>VLOOKUP(Table323[[#This Row],[Census Tract]],'ES Energy Burden'!$B$2:$E$914,4,FALSE)</f>
        <v>No</v>
      </c>
      <c r="R844" s="248">
        <f>VLOOKUP(Table323[[#This Row],[Census Tract]],'Income and Housing Data'!$B$2:$D$823,3,FALSE)</f>
        <v>130694</v>
      </c>
      <c r="S844" s="248" t="str">
        <f>IF($U$6&lt;=Table323[[#This Row],[Household income]],IF(Table323[[#This Row],[Household income]]&lt;=$U$7, "Yes","No"),"No")</f>
        <v>No</v>
      </c>
    </row>
    <row r="845" spans="1:19" x14ac:dyDescent="0.25">
      <c r="A845" s="147">
        <v>9003496700</v>
      </c>
      <c r="B845" s="148" t="s">
        <v>2853</v>
      </c>
      <c r="C845" s="150" t="s">
        <v>944</v>
      </c>
      <c r="D845" s="70">
        <v>46883.065144320004</v>
      </c>
      <c r="E845" s="70">
        <v>6747.4892</v>
      </c>
      <c r="F845" s="14">
        <v>15</v>
      </c>
      <c r="G845" s="14">
        <v>14</v>
      </c>
      <c r="H845" s="14">
        <v>1</v>
      </c>
      <c r="I845" s="14">
        <v>0</v>
      </c>
      <c r="J845" s="69">
        <v>4898.5191999999997</v>
      </c>
      <c r="K845">
        <f t="shared" si="13"/>
        <v>0</v>
      </c>
      <c r="L845" s="14">
        <v>0</v>
      </c>
      <c r="M845" s="14">
        <v>0</v>
      </c>
      <c r="N845" s="14">
        <v>0</v>
      </c>
      <c r="O845" s="69">
        <v>0</v>
      </c>
      <c r="P845" s="226">
        <f>VLOOKUP(Table323[[#This Row],[Census Tract]],'Population and Diversity Data'!$B$2:$K$823,10,FALSE)</f>
        <v>5</v>
      </c>
      <c r="Q845" s="226" t="str">
        <f>VLOOKUP(Table323[[#This Row],[Census Tract]],'ES Energy Burden'!$B$2:$E$914,4,FALSE)</f>
        <v>No</v>
      </c>
      <c r="R845" s="248">
        <f>VLOOKUP(Table323[[#This Row],[Census Tract]],'Income and Housing Data'!$B$2:$D$823,3,FALSE)</f>
        <v>58889</v>
      </c>
      <c r="S845" s="248" t="str">
        <f>IF($U$6&lt;=Table323[[#This Row],[Household income]],IF(Table323[[#This Row],[Household income]]&lt;=$U$7, "Yes","No"),"No")</f>
        <v>Yes</v>
      </c>
    </row>
    <row r="846" spans="1:19" x14ac:dyDescent="0.25">
      <c r="A846" s="147">
        <v>9003496800</v>
      </c>
      <c r="B846" s="148" t="s">
        <v>2853</v>
      </c>
      <c r="C846" s="150" t="s">
        <v>944</v>
      </c>
      <c r="D846" s="70">
        <v>43290.247003199998</v>
      </c>
      <c r="E846" s="70">
        <v>4929.1130000000003</v>
      </c>
      <c r="F846" s="14">
        <v>7</v>
      </c>
      <c r="G846" s="14">
        <v>7</v>
      </c>
      <c r="H846" s="14">
        <v>0</v>
      </c>
      <c r="I846" s="14">
        <v>0</v>
      </c>
      <c r="J846" s="69">
        <v>1563.403</v>
      </c>
      <c r="K846">
        <f t="shared" si="13"/>
        <v>0</v>
      </c>
      <c r="L846" s="14">
        <v>0</v>
      </c>
      <c r="M846" s="14">
        <v>0</v>
      </c>
      <c r="N846" s="14">
        <v>0</v>
      </c>
      <c r="O846" s="69">
        <v>0</v>
      </c>
      <c r="P846" s="226">
        <f>VLOOKUP(Table323[[#This Row],[Census Tract]],'Population and Diversity Data'!$B$2:$K$823,10,FALSE)</f>
        <v>5</v>
      </c>
      <c r="Q846" s="226" t="str">
        <f>VLOOKUP(Table323[[#This Row],[Census Tract]],'ES Energy Burden'!$B$2:$E$914,4,FALSE)</f>
        <v>No</v>
      </c>
      <c r="R846" s="248">
        <f>VLOOKUP(Table323[[#This Row],[Census Tract]],'Income and Housing Data'!$B$2:$D$823,3,FALSE)</f>
        <v>82346</v>
      </c>
      <c r="S846" s="248" t="str">
        <f>IF($U$6&lt;=Table323[[#This Row],[Household income]],IF(Table323[[#This Row],[Household income]]&lt;=$U$7, "Yes","No"),"No")</f>
        <v>No</v>
      </c>
    </row>
    <row r="847" spans="1:19" x14ac:dyDescent="0.25">
      <c r="A847" s="147">
        <v>9003496900</v>
      </c>
      <c r="B847" s="148" t="s">
        <v>2853</v>
      </c>
      <c r="C847" s="150" t="s">
        <v>944</v>
      </c>
      <c r="D847" s="70">
        <v>76690.901718720008</v>
      </c>
      <c r="E847" s="70">
        <v>8861.1478999999999</v>
      </c>
      <c r="F847" s="14">
        <v>23</v>
      </c>
      <c r="G847" s="14">
        <v>20</v>
      </c>
      <c r="H847" s="14">
        <v>3</v>
      </c>
      <c r="I847" s="14">
        <v>0</v>
      </c>
      <c r="J847" s="69">
        <v>6614.31</v>
      </c>
      <c r="K847">
        <f t="shared" si="13"/>
        <v>0</v>
      </c>
      <c r="L847" s="14">
        <v>0</v>
      </c>
      <c r="M847" s="14">
        <v>0</v>
      </c>
      <c r="N847" s="14">
        <v>0</v>
      </c>
      <c r="O847" s="69">
        <v>0</v>
      </c>
      <c r="P847" s="226">
        <f>VLOOKUP(Table323[[#This Row],[Census Tract]],'Population and Diversity Data'!$B$2:$K$823,10,FALSE)</f>
        <v>3</v>
      </c>
      <c r="Q847" s="226" t="str">
        <f>VLOOKUP(Table323[[#This Row],[Census Tract]],'ES Energy Burden'!$B$2:$E$914,4,FALSE)</f>
        <v>No</v>
      </c>
      <c r="R847" s="248">
        <f>VLOOKUP(Table323[[#This Row],[Census Tract]],'Income and Housing Data'!$B$2:$D$823,3,FALSE)</f>
        <v>96472</v>
      </c>
      <c r="S847" s="248" t="str">
        <f>IF($U$6&lt;=Table323[[#This Row],[Household income]],IF(Table323[[#This Row],[Household income]]&lt;=$U$7, "Yes","No"),"No")</f>
        <v>No</v>
      </c>
    </row>
    <row r="848" spans="1:19" x14ac:dyDescent="0.25">
      <c r="A848" s="147">
        <v>9003497000</v>
      </c>
      <c r="B848" s="148" t="s">
        <v>2853</v>
      </c>
      <c r="C848" s="150" t="s">
        <v>944</v>
      </c>
      <c r="D848" s="70">
        <v>74474.39798496</v>
      </c>
      <c r="E848" s="70">
        <v>10418.5515</v>
      </c>
      <c r="F848" s="14">
        <v>23</v>
      </c>
      <c r="G848" s="14">
        <v>23</v>
      </c>
      <c r="H848" s="14">
        <v>0</v>
      </c>
      <c r="I848" s="14">
        <v>0</v>
      </c>
      <c r="J848" s="69">
        <v>8090.3615</v>
      </c>
      <c r="K848">
        <f t="shared" si="13"/>
        <v>0</v>
      </c>
      <c r="L848" s="14">
        <v>0</v>
      </c>
      <c r="M848" s="14">
        <v>0</v>
      </c>
      <c r="N848" s="14">
        <v>0</v>
      </c>
      <c r="O848" s="69">
        <v>0</v>
      </c>
      <c r="P848" s="226">
        <f>VLOOKUP(Table323[[#This Row],[Census Tract]],'Population and Diversity Data'!$B$2:$K$823,10,FALSE)</f>
        <v>2</v>
      </c>
      <c r="Q848" s="226" t="str">
        <f>VLOOKUP(Table323[[#This Row],[Census Tract]],'ES Energy Burden'!$B$2:$E$914,4,FALSE)</f>
        <v>No</v>
      </c>
      <c r="R848" s="248">
        <f>VLOOKUP(Table323[[#This Row],[Census Tract]],'Income and Housing Data'!$B$2:$D$823,3,FALSE)</f>
        <v>179821</v>
      </c>
      <c r="S848" s="248" t="str">
        <f>IF($U$6&lt;=Table323[[#This Row],[Household income]],IF(Table323[[#This Row],[Household income]]&lt;=$U$7, "Yes","No"),"No")</f>
        <v>No</v>
      </c>
    </row>
    <row r="849" spans="1:19" x14ac:dyDescent="0.25">
      <c r="A849" s="147">
        <v>9003497100</v>
      </c>
      <c r="B849" s="148" t="s">
        <v>2853</v>
      </c>
      <c r="C849" s="150" t="s">
        <v>944</v>
      </c>
      <c r="D849" s="70">
        <v>49008.924374399998</v>
      </c>
      <c r="E849" s="70">
        <v>4881.03</v>
      </c>
      <c r="F849" s="14">
        <v>17</v>
      </c>
      <c r="G849" s="14">
        <v>16</v>
      </c>
      <c r="H849" s="14">
        <v>1</v>
      </c>
      <c r="I849" s="14">
        <v>0</v>
      </c>
      <c r="J849" s="69">
        <v>4659.1899999999996</v>
      </c>
      <c r="K849">
        <f t="shared" si="13"/>
        <v>0</v>
      </c>
      <c r="L849" s="14">
        <v>0</v>
      </c>
      <c r="M849" s="14">
        <v>0</v>
      </c>
      <c r="N849" s="14">
        <v>0</v>
      </c>
      <c r="O849" s="69">
        <v>0</v>
      </c>
      <c r="P849" s="226">
        <f>VLOOKUP(Table323[[#This Row],[Census Tract]],'Population and Diversity Data'!$B$2:$K$823,10,FALSE)</f>
        <v>2</v>
      </c>
      <c r="Q849" s="226" t="str">
        <f>VLOOKUP(Table323[[#This Row],[Census Tract]],'ES Energy Burden'!$B$2:$E$914,4,FALSE)</f>
        <v>No</v>
      </c>
      <c r="R849" s="248">
        <f>VLOOKUP(Table323[[#This Row],[Census Tract]],'Income and Housing Data'!$B$2:$D$823,3,FALSE)</f>
        <v>75135</v>
      </c>
      <c r="S849" s="248" t="str">
        <f>IF($U$6&lt;=Table323[[#This Row],[Household income]],IF(Table323[[#This Row],[Household income]]&lt;=$U$7, "Yes","No"),"No")</f>
        <v>No</v>
      </c>
    </row>
    <row r="850" spans="1:19" x14ac:dyDescent="0.25">
      <c r="A850" s="147">
        <v>9003497200</v>
      </c>
      <c r="B850" s="148" t="s">
        <v>2853</v>
      </c>
      <c r="C850" s="150" t="s">
        <v>944</v>
      </c>
      <c r="D850" s="70">
        <v>32413.523068800001</v>
      </c>
      <c r="E850" s="70">
        <v>16865.05</v>
      </c>
      <c r="F850" s="14">
        <v>7</v>
      </c>
      <c r="G850" s="14">
        <v>7</v>
      </c>
      <c r="H850" s="14">
        <v>0</v>
      </c>
      <c r="I850" s="14">
        <v>0</v>
      </c>
      <c r="J850" s="69">
        <v>3446.88</v>
      </c>
      <c r="K850">
        <f t="shared" si="13"/>
        <v>0</v>
      </c>
      <c r="L850" s="14">
        <v>0</v>
      </c>
      <c r="M850" s="14">
        <v>0</v>
      </c>
      <c r="N850" s="14">
        <v>0</v>
      </c>
      <c r="O850" s="69">
        <v>0</v>
      </c>
      <c r="P850" s="226">
        <f>VLOOKUP(Table323[[#This Row],[Census Tract]],'Population and Diversity Data'!$B$2:$K$823,10,FALSE)</f>
        <v>2</v>
      </c>
      <c r="Q850" s="226" t="str">
        <f>VLOOKUP(Table323[[#This Row],[Census Tract]],'ES Energy Burden'!$B$2:$E$914,4,FALSE)</f>
        <v>No</v>
      </c>
      <c r="R850" s="248">
        <f>VLOOKUP(Table323[[#This Row],[Census Tract]],'Income and Housing Data'!$B$2:$D$823,3,FALSE)</f>
        <v>141765</v>
      </c>
      <c r="S850" s="248" t="str">
        <f>IF($U$6&lt;=Table323[[#This Row],[Household income]],IF(Table323[[#This Row],[Household income]]&lt;=$U$7, "Yes","No"),"No")</f>
        <v>No</v>
      </c>
    </row>
    <row r="851" spans="1:19" x14ac:dyDescent="0.25">
      <c r="A851" s="147">
        <v>9003497300</v>
      </c>
      <c r="B851" s="148" t="s">
        <v>2853</v>
      </c>
      <c r="C851" s="150" t="s">
        <v>944</v>
      </c>
      <c r="D851" s="70">
        <v>80343.415123200015</v>
      </c>
      <c r="E851" s="70">
        <v>18040.036100000001</v>
      </c>
      <c r="F851" s="14">
        <v>29</v>
      </c>
      <c r="G851" s="14">
        <v>29</v>
      </c>
      <c r="H851" s="14">
        <v>0</v>
      </c>
      <c r="I851" s="14">
        <v>0</v>
      </c>
      <c r="J851" s="69">
        <v>18033.036100000001</v>
      </c>
      <c r="K851">
        <f t="shared" si="13"/>
        <v>0</v>
      </c>
      <c r="L851" s="14">
        <v>0</v>
      </c>
      <c r="M851" s="14">
        <v>0</v>
      </c>
      <c r="N851" s="14">
        <v>0</v>
      </c>
      <c r="O851" s="69">
        <v>0</v>
      </c>
      <c r="P851" s="226">
        <f>VLOOKUP(Table323[[#This Row],[Census Tract]],'Population and Diversity Data'!$B$2:$K$823,10,FALSE)</f>
        <v>4</v>
      </c>
      <c r="Q851" s="226" t="str">
        <f>VLOOKUP(Table323[[#This Row],[Census Tract]],'ES Energy Burden'!$B$2:$E$914,4,FALSE)</f>
        <v>No</v>
      </c>
      <c r="R851" s="248">
        <f>VLOOKUP(Table323[[#This Row],[Census Tract]],'Income and Housing Data'!$B$2:$D$823,3,FALSE)</f>
        <v>140000</v>
      </c>
      <c r="S851" s="248" t="str">
        <f>IF($U$6&lt;=Table323[[#This Row],[Household income]],IF(Table323[[#This Row],[Household income]]&lt;=$U$7, "Yes","No"),"No")</f>
        <v>No</v>
      </c>
    </row>
    <row r="852" spans="1:19" x14ac:dyDescent="0.25">
      <c r="A852" s="147">
        <v>9003497400</v>
      </c>
      <c r="B852" s="148" t="s">
        <v>2853</v>
      </c>
      <c r="C852" s="150" t="s">
        <v>944</v>
      </c>
      <c r="D852" s="70">
        <v>76001.059105919994</v>
      </c>
      <c r="E852" s="70">
        <v>13016.7014</v>
      </c>
      <c r="F852" s="14">
        <v>30</v>
      </c>
      <c r="G852" s="14">
        <v>30</v>
      </c>
      <c r="H852" s="14">
        <v>0</v>
      </c>
      <c r="I852" s="14">
        <v>0</v>
      </c>
      <c r="J852" s="69">
        <v>13015.4614</v>
      </c>
      <c r="K852">
        <f t="shared" si="13"/>
        <v>0</v>
      </c>
      <c r="L852" s="14">
        <v>0</v>
      </c>
      <c r="M852" s="14">
        <v>0</v>
      </c>
      <c r="N852" s="14">
        <v>0</v>
      </c>
      <c r="O852" s="69">
        <v>0</v>
      </c>
      <c r="P852" s="226">
        <f>VLOOKUP(Table323[[#This Row],[Census Tract]],'Population and Diversity Data'!$B$2:$K$823,10,FALSE)</f>
        <v>2</v>
      </c>
      <c r="Q852" s="226" t="str">
        <f>VLOOKUP(Table323[[#This Row],[Census Tract]],'ES Energy Burden'!$B$2:$E$914,4,FALSE)</f>
        <v>No</v>
      </c>
      <c r="R852" s="248">
        <f>VLOOKUP(Table323[[#This Row],[Census Tract]],'Income and Housing Data'!$B$2:$D$823,3,FALSE)</f>
        <v>172031</v>
      </c>
      <c r="S852" s="248" t="str">
        <f>IF($U$6&lt;=Table323[[#This Row],[Household income]],IF(Table323[[#This Row],[Household income]]&lt;=$U$7, "Yes","No"),"No")</f>
        <v>No</v>
      </c>
    </row>
    <row r="853" spans="1:19" x14ac:dyDescent="0.25">
      <c r="A853" s="147">
        <v>9003497500</v>
      </c>
      <c r="B853" s="148" t="s">
        <v>2853</v>
      </c>
      <c r="C853" s="150" t="s">
        <v>944</v>
      </c>
      <c r="D853" s="70">
        <v>74846.761387200007</v>
      </c>
      <c r="E853" s="70">
        <v>52438</v>
      </c>
      <c r="F853" s="14">
        <v>24</v>
      </c>
      <c r="G853" s="14">
        <v>24</v>
      </c>
      <c r="H853" s="14">
        <v>0</v>
      </c>
      <c r="I853" s="14">
        <v>0</v>
      </c>
      <c r="J853" s="69">
        <v>13075.48</v>
      </c>
      <c r="K853">
        <f t="shared" si="13"/>
        <v>0</v>
      </c>
      <c r="L853" s="14">
        <v>0</v>
      </c>
      <c r="M853" s="14">
        <v>0</v>
      </c>
      <c r="N853" s="14">
        <v>0</v>
      </c>
      <c r="O853" s="69">
        <v>0</v>
      </c>
      <c r="P853" s="226">
        <f>VLOOKUP(Table323[[#This Row],[Census Tract]],'Population and Diversity Data'!$B$2:$K$823,10,FALSE)</f>
        <v>5</v>
      </c>
      <c r="Q853" s="226" t="str">
        <f>VLOOKUP(Table323[[#This Row],[Census Tract]],'ES Energy Burden'!$B$2:$E$914,4,FALSE)</f>
        <v>No</v>
      </c>
      <c r="R853" s="248">
        <f>VLOOKUP(Table323[[#This Row],[Census Tract]],'Income and Housing Data'!$B$2:$D$823,3,FALSE)</f>
        <v>93843</v>
      </c>
      <c r="S853" s="248" t="str">
        <f>IF($U$6&lt;=Table323[[#This Row],[Household income]],IF(Table323[[#This Row],[Household income]]&lt;=$U$7, "Yes","No"),"No")</f>
        <v>No</v>
      </c>
    </row>
    <row r="854" spans="1:19" x14ac:dyDescent="0.25">
      <c r="A854" s="147">
        <v>9003497600</v>
      </c>
      <c r="B854" s="148" t="s">
        <v>2853</v>
      </c>
      <c r="C854" s="150" t="s">
        <v>944</v>
      </c>
      <c r="D854" s="70">
        <v>35446.190293439999</v>
      </c>
      <c r="E854" s="70">
        <v>2038.99</v>
      </c>
      <c r="F854" s="14">
        <v>8</v>
      </c>
      <c r="G854" s="14">
        <v>8</v>
      </c>
      <c r="H854" s="14">
        <v>0</v>
      </c>
      <c r="I854" s="14">
        <v>0</v>
      </c>
      <c r="J854" s="69">
        <v>1447.51</v>
      </c>
      <c r="K854">
        <f t="shared" si="13"/>
        <v>0</v>
      </c>
      <c r="L854" s="14">
        <v>0</v>
      </c>
      <c r="M854" s="14">
        <v>0</v>
      </c>
      <c r="N854" s="14">
        <v>0</v>
      </c>
      <c r="O854" s="69">
        <v>0</v>
      </c>
      <c r="P854" s="226">
        <f>VLOOKUP(Table323[[#This Row],[Census Tract]],'Population and Diversity Data'!$B$2:$K$823,10,FALSE)</f>
        <v>3</v>
      </c>
      <c r="Q854" s="226" t="str">
        <f>VLOOKUP(Table323[[#This Row],[Census Tract]],'ES Energy Burden'!$B$2:$E$914,4,FALSE)</f>
        <v>No</v>
      </c>
      <c r="R854" s="248">
        <f>VLOOKUP(Table323[[#This Row],[Census Tract]],'Income and Housing Data'!$B$2:$D$823,3,FALSE)</f>
        <v>138542</v>
      </c>
      <c r="S854" s="248" t="str">
        <f>IF($U$6&lt;=Table323[[#This Row],[Household income]],IF(Table323[[#This Row],[Household income]]&lt;=$U$7, "Yes","No"),"No")</f>
        <v>No</v>
      </c>
    </row>
    <row r="855" spans="1:19" x14ac:dyDescent="0.25">
      <c r="A855" s="147">
        <v>9003497700</v>
      </c>
      <c r="B855" s="148" t="s">
        <v>2853</v>
      </c>
      <c r="C855" s="150" t="s">
        <v>944</v>
      </c>
      <c r="D855" s="70">
        <v>140466.2942448</v>
      </c>
      <c r="E855" s="70">
        <v>408944.72220000002</v>
      </c>
      <c r="F855" s="14">
        <v>200</v>
      </c>
      <c r="G855" s="14">
        <v>39</v>
      </c>
      <c r="H855" s="14">
        <v>0</v>
      </c>
      <c r="I855" s="14">
        <v>161</v>
      </c>
      <c r="J855" s="69">
        <v>69849.534400000004</v>
      </c>
      <c r="K855">
        <f t="shared" si="13"/>
        <v>286</v>
      </c>
      <c r="L855" s="14">
        <v>46</v>
      </c>
      <c r="M855" s="14">
        <v>0</v>
      </c>
      <c r="N855" s="14">
        <v>240</v>
      </c>
      <c r="O855" s="69">
        <v>131312.4</v>
      </c>
      <c r="P855" s="226">
        <f>VLOOKUP(Table323[[#This Row],[Census Tract]],'Population and Diversity Data'!$B$2:$K$823,10,FALSE)</f>
        <v>3</v>
      </c>
      <c r="Q855" s="226" t="str">
        <f>VLOOKUP(Table323[[#This Row],[Census Tract]],'ES Energy Burden'!$B$2:$E$914,4,FALSE)</f>
        <v>No</v>
      </c>
      <c r="R855" s="248">
        <f>VLOOKUP(Table323[[#This Row],[Census Tract]],'Income and Housing Data'!$B$2:$D$823,3,FALSE)</f>
        <v>178696</v>
      </c>
      <c r="S855" s="248" t="str">
        <f>IF($U$6&lt;=Table323[[#This Row],[Household income]],IF(Table323[[#This Row],[Household income]]&lt;=$U$7, "Yes","No"),"No")</f>
        <v>No</v>
      </c>
    </row>
    <row r="856" spans="1:19" x14ac:dyDescent="0.25">
      <c r="A856" s="147">
        <v>9007620100</v>
      </c>
      <c r="B856" s="148" t="s">
        <v>2854</v>
      </c>
      <c r="C856" s="150" t="s">
        <v>944</v>
      </c>
      <c r="D856" s="70">
        <v>98.137526400000013</v>
      </c>
      <c r="E856" s="70">
        <v>0</v>
      </c>
      <c r="F856" s="14">
        <v>0</v>
      </c>
      <c r="G856" s="14">
        <v>0</v>
      </c>
      <c r="H856" s="14">
        <v>0</v>
      </c>
      <c r="I856" s="14">
        <v>0</v>
      </c>
      <c r="J856" s="69">
        <v>0</v>
      </c>
      <c r="K856">
        <f t="shared" si="13"/>
        <v>0</v>
      </c>
      <c r="L856" s="14">
        <v>0</v>
      </c>
      <c r="M856" s="14">
        <v>0</v>
      </c>
      <c r="N856" s="14">
        <v>0</v>
      </c>
      <c r="O856" s="69">
        <v>0</v>
      </c>
      <c r="P856" s="226">
        <f>VLOOKUP(Table323[[#This Row],[Census Tract]],'Population and Diversity Data'!$B$2:$K$823,10,FALSE)</f>
        <v>1</v>
      </c>
      <c r="Q856" s="226" t="str">
        <f>VLOOKUP(Table323[[#This Row],[Census Tract]],'ES Energy Burden'!$B$2:$E$914,4,FALSE)</f>
        <v>No</v>
      </c>
      <c r="R856" s="248">
        <f>VLOOKUP(Table323[[#This Row],[Census Tract]],'Income and Housing Data'!$B$2:$D$823,3,FALSE)</f>
        <v>85960</v>
      </c>
      <c r="S856" s="248" t="str">
        <f>IF($U$6&lt;=Table323[[#This Row],[Household income]],IF(Table323[[#This Row],[Household income]]&lt;=$U$7, "Yes","No"),"No")</f>
        <v>No</v>
      </c>
    </row>
    <row r="857" spans="1:19" x14ac:dyDescent="0.25">
      <c r="A857" s="147">
        <v>9007680100</v>
      </c>
      <c r="B857" s="148" t="s">
        <v>2854</v>
      </c>
      <c r="C857" s="150" t="s">
        <v>944</v>
      </c>
      <c r="D857" s="70">
        <v>182266.88445215998</v>
      </c>
      <c r="E857" s="70">
        <v>75057.263800000001</v>
      </c>
      <c r="F857" s="14">
        <v>40</v>
      </c>
      <c r="G857" s="14">
        <v>40</v>
      </c>
      <c r="H857" s="14">
        <v>0</v>
      </c>
      <c r="I857" s="14">
        <v>0</v>
      </c>
      <c r="J857" s="69">
        <v>36447.0288</v>
      </c>
      <c r="K857">
        <f t="shared" si="13"/>
        <v>7</v>
      </c>
      <c r="L857" s="14">
        <v>7</v>
      </c>
      <c r="M857" s="14">
        <v>0</v>
      </c>
      <c r="N857" s="14">
        <v>0</v>
      </c>
      <c r="O857" s="69">
        <v>7136.24</v>
      </c>
      <c r="P857" s="226">
        <f>VLOOKUP(Table323[[#This Row],[Census Tract]],'Population and Diversity Data'!$B$2:$K$823,10,FALSE)</f>
        <v>2</v>
      </c>
      <c r="Q857" s="226" t="str">
        <f>VLOOKUP(Table323[[#This Row],[Census Tract]],'ES Energy Burden'!$B$2:$E$914,4,FALSE)</f>
        <v>No</v>
      </c>
      <c r="R857" s="248">
        <f>VLOOKUP(Table323[[#This Row],[Census Tract]],'Income and Housing Data'!$B$2:$D$823,3,FALSE)</f>
        <v>79707</v>
      </c>
      <c r="S857" s="248" t="str">
        <f>IF($U$6&lt;=Table323[[#This Row],[Household income]],IF(Table323[[#This Row],[Household income]]&lt;=$U$7, "Yes","No"),"No")</f>
        <v>No</v>
      </c>
    </row>
    <row r="858" spans="1:19" x14ac:dyDescent="0.25">
      <c r="A858" s="147">
        <v>9001050100</v>
      </c>
      <c r="B858" s="148" t="s">
        <v>2855</v>
      </c>
      <c r="C858" s="150" t="s">
        <v>944</v>
      </c>
      <c r="D858" s="70">
        <v>538.72309440000004</v>
      </c>
      <c r="E858" s="70">
        <v>0</v>
      </c>
      <c r="F858" s="14">
        <v>0</v>
      </c>
      <c r="G858" s="14">
        <v>0</v>
      </c>
      <c r="H858" s="14">
        <v>0</v>
      </c>
      <c r="I858" s="14">
        <v>0</v>
      </c>
      <c r="J858" s="69">
        <v>0</v>
      </c>
      <c r="K858">
        <f t="shared" si="13"/>
        <v>0</v>
      </c>
      <c r="L858" s="14">
        <v>0</v>
      </c>
      <c r="M858" s="14">
        <v>0</v>
      </c>
      <c r="N858" s="14">
        <v>0</v>
      </c>
      <c r="O858" s="69">
        <v>0</v>
      </c>
      <c r="P858" s="226">
        <f>VLOOKUP(Table323[[#This Row],[Census Tract]],'Population and Diversity Data'!$B$2:$K$823,10,FALSE)</f>
        <v>2</v>
      </c>
      <c r="Q858" s="226" t="str">
        <f>VLOOKUP(Table323[[#This Row],[Census Tract]],'ES Energy Burden'!$B$2:$E$914,4,FALSE)</f>
        <v>No</v>
      </c>
      <c r="R858" s="248">
        <f>VLOOKUP(Table323[[#This Row],[Census Tract]],'Income and Housing Data'!$B$2:$D$823,3,FALSE)</f>
        <v>242125</v>
      </c>
      <c r="S858" s="248" t="str">
        <f>IF($U$6&lt;=Table323[[#This Row],[Household income]],IF(Table323[[#This Row],[Household income]]&lt;=$U$7, "Yes","No"),"No")</f>
        <v>No</v>
      </c>
    </row>
    <row r="859" spans="1:19" x14ac:dyDescent="0.25">
      <c r="A859" s="147">
        <v>9001050300</v>
      </c>
      <c r="B859" s="148" t="s">
        <v>2855</v>
      </c>
      <c r="C859" s="150" t="s">
        <v>944</v>
      </c>
      <c r="D859" s="70">
        <v>413.52292799999998</v>
      </c>
      <c r="E859" s="70">
        <v>0</v>
      </c>
      <c r="F859" s="14">
        <v>0</v>
      </c>
      <c r="G859" s="14">
        <v>0</v>
      </c>
      <c r="H859" s="14">
        <v>0</v>
      </c>
      <c r="I859" s="14">
        <v>0</v>
      </c>
      <c r="J859" s="69">
        <v>0</v>
      </c>
      <c r="K859">
        <f t="shared" si="13"/>
        <v>0</v>
      </c>
      <c r="L859" s="14">
        <v>0</v>
      </c>
      <c r="M859" s="14">
        <v>0</v>
      </c>
      <c r="N859" s="14">
        <v>0</v>
      </c>
      <c r="O859" s="69">
        <v>0</v>
      </c>
      <c r="P859" s="226">
        <f>VLOOKUP(Table323[[#This Row],[Census Tract]],'Population and Diversity Data'!$B$2:$K$823,10,FALSE)</f>
        <v>3</v>
      </c>
      <c r="Q859" s="226" t="str">
        <f>VLOOKUP(Table323[[#This Row],[Census Tract]],'ES Energy Burden'!$B$2:$E$914,4,FALSE)</f>
        <v>No</v>
      </c>
      <c r="R859" s="248">
        <f>VLOOKUP(Table323[[#This Row],[Census Tract]],'Income and Housing Data'!$B$2:$D$823,3,FALSE)</f>
        <v>242500</v>
      </c>
      <c r="S859" s="248" t="str">
        <f>IF($U$6&lt;=Table323[[#This Row],[Household income]],IF(Table323[[#This Row],[Household income]]&lt;=$U$7, "Yes","No"),"No")</f>
        <v>No</v>
      </c>
    </row>
    <row r="860" spans="1:19" x14ac:dyDescent="0.25">
      <c r="A860" s="147">
        <v>9001055100</v>
      </c>
      <c r="B860" s="148" t="s">
        <v>2855</v>
      </c>
      <c r="C860" s="150" t="s">
        <v>944</v>
      </c>
      <c r="D860" s="70">
        <v>193190.98392576</v>
      </c>
      <c r="E860" s="70">
        <v>77275.853000000003</v>
      </c>
      <c r="F860" s="14">
        <v>35</v>
      </c>
      <c r="G860" s="14">
        <v>35</v>
      </c>
      <c r="H860" s="14">
        <v>0</v>
      </c>
      <c r="I860" s="14">
        <v>0</v>
      </c>
      <c r="J860" s="69">
        <v>42856.148000000001</v>
      </c>
      <c r="K860">
        <f t="shared" si="13"/>
        <v>2</v>
      </c>
      <c r="L860" s="14">
        <v>2</v>
      </c>
      <c r="M860" s="14">
        <v>0</v>
      </c>
      <c r="N860" s="14">
        <v>0</v>
      </c>
      <c r="O860" s="69">
        <v>3592.1</v>
      </c>
      <c r="P860" s="226">
        <f>VLOOKUP(Table323[[#This Row],[Census Tract]],'Population and Diversity Data'!$B$2:$K$823,10,FALSE)</f>
        <v>4</v>
      </c>
      <c r="Q860" s="226" t="str">
        <f>VLOOKUP(Table323[[#This Row],[Census Tract]],'ES Energy Burden'!$B$2:$E$914,4,FALSE)</f>
        <v>No</v>
      </c>
      <c r="R860" s="248">
        <f>VLOOKUP(Table323[[#This Row],[Census Tract]],'Income and Housing Data'!$B$2:$D$823,3,FALSE)</f>
        <v>202500</v>
      </c>
      <c r="S860" s="248" t="str">
        <f>IF($U$6&lt;=Table323[[#This Row],[Household income]],IF(Table323[[#This Row],[Household income]]&lt;=$U$7, "Yes","No"),"No")</f>
        <v>No</v>
      </c>
    </row>
    <row r="861" spans="1:19" x14ac:dyDescent="0.25">
      <c r="A861" s="147">
        <v>9001055200</v>
      </c>
      <c r="B861" s="148" t="s">
        <v>2855</v>
      </c>
      <c r="C861" s="150" t="s">
        <v>944</v>
      </c>
      <c r="D861" s="70">
        <v>153141.29732160002</v>
      </c>
      <c r="E861" s="70">
        <v>30830.174299999999</v>
      </c>
      <c r="F861" s="14">
        <v>28</v>
      </c>
      <c r="G861" s="14">
        <v>28</v>
      </c>
      <c r="H861" s="14">
        <v>0</v>
      </c>
      <c r="I861" s="14">
        <v>0</v>
      </c>
      <c r="J861" s="69">
        <v>30829.2402</v>
      </c>
      <c r="K861">
        <f t="shared" si="13"/>
        <v>0</v>
      </c>
      <c r="L861" s="14">
        <v>0</v>
      </c>
      <c r="M861" s="14">
        <v>0</v>
      </c>
      <c r="N861" s="14">
        <v>0</v>
      </c>
      <c r="O861" s="69">
        <v>0</v>
      </c>
      <c r="P861" s="226">
        <f>VLOOKUP(Table323[[#This Row],[Census Tract]],'Population and Diversity Data'!$B$2:$K$823,10,FALSE)</f>
        <v>1</v>
      </c>
      <c r="Q861" s="226" t="str">
        <f>VLOOKUP(Table323[[#This Row],[Census Tract]],'ES Energy Burden'!$B$2:$E$914,4,FALSE)</f>
        <v>No</v>
      </c>
      <c r="R861" s="248">
        <f>VLOOKUP(Table323[[#This Row],[Census Tract]],'Income and Housing Data'!$B$2:$D$823,3,FALSE)</f>
        <v>247361</v>
      </c>
      <c r="S861" s="248" t="str">
        <f>IF($U$6&lt;=Table323[[#This Row],[Household income]],IF(Table323[[#This Row],[Household income]]&lt;=$U$7, "Yes","No"),"No")</f>
        <v>No</v>
      </c>
    </row>
    <row r="862" spans="1:19" x14ac:dyDescent="0.25">
      <c r="A862" s="147">
        <v>9001105100</v>
      </c>
      <c r="B862" s="148" t="s">
        <v>2855</v>
      </c>
      <c r="C862" s="150" t="s">
        <v>944</v>
      </c>
      <c r="D862" s="70">
        <v>932.56989120000003</v>
      </c>
      <c r="E862" s="70">
        <v>0</v>
      </c>
      <c r="F862" s="14">
        <v>0</v>
      </c>
      <c r="G862" s="14">
        <v>0</v>
      </c>
      <c r="H862" s="14">
        <v>0</v>
      </c>
      <c r="I862" s="14">
        <v>0</v>
      </c>
      <c r="J862" s="69">
        <v>0</v>
      </c>
      <c r="K862">
        <f t="shared" si="13"/>
        <v>0</v>
      </c>
      <c r="L862" s="14">
        <v>0</v>
      </c>
      <c r="M862" s="14">
        <v>0</v>
      </c>
      <c r="N862" s="14">
        <v>0</v>
      </c>
      <c r="O862" s="69">
        <v>0</v>
      </c>
      <c r="P862" s="226">
        <f>VLOOKUP(Table323[[#This Row],[Census Tract]],'Population and Diversity Data'!$B$2:$K$823,10,FALSE)</f>
        <v>1</v>
      </c>
      <c r="Q862" s="226" t="str">
        <f>VLOOKUP(Table323[[#This Row],[Census Tract]],'ES Energy Burden'!$B$2:$E$914,4,FALSE)</f>
        <v>No</v>
      </c>
      <c r="R862" s="248">
        <f>VLOOKUP(Table323[[#This Row],[Census Tract]],'Income and Housing Data'!$B$2:$D$823,3,FALSE)</f>
        <v>143182</v>
      </c>
      <c r="S862" s="248" t="str">
        <f>IF($U$6&lt;=Table323[[#This Row],[Household income]],IF(Table323[[#This Row],[Household income]]&lt;=$U$7, "Yes","No"),"No")</f>
        <v>No</v>
      </c>
    </row>
    <row r="863" spans="1:19" x14ac:dyDescent="0.25">
      <c r="A863" s="147">
        <v>9001042500</v>
      </c>
      <c r="B863" s="148" t="s">
        <v>2856</v>
      </c>
      <c r="C863" s="150" t="s">
        <v>944</v>
      </c>
      <c r="D863" s="70">
        <v>74.606054400000005</v>
      </c>
      <c r="E863" s="70">
        <v>0</v>
      </c>
      <c r="F863" s="14">
        <v>0</v>
      </c>
      <c r="G863" s="14">
        <v>0</v>
      </c>
      <c r="H863" s="14">
        <v>0</v>
      </c>
      <c r="I863" s="14">
        <v>0</v>
      </c>
      <c r="J863" s="69">
        <v>0</v>
      </c>
      <c r="K863">
        <f t="shared" si="13"/>
        <v>0</v>
      </c>
      <c r="L863" s="14">
        <v>0</v>
      </c>
      <c r="M863" s="14">
        <v>0</v>
      </c>
      <c r="N863" s="14">
        <v>0</v>
      </c>
      <c r="O863" s="69">
        <v>0</v>
      </c>
      <c r="P863" s="226">
        <f>VLOOKUP(Table323[[#This Row],[Census Tract]],'Population and Diversity Data'!$B$2:$K$823,10,FALSE)</f>
        <v>1</v>
      </c>
      <c r="Q863" s="226" t="str">
        <f>VLOOKUP(Table323[[#This Row],[Census Tract]],'ES Energy Burden'!$B$2:$E$914,4,FALSE)</f>
        <v>No</v>
      </c>
      <c r="R863" s="248">
        <f>VLOOKUP(Table323[[#This Row],[Census Tract]],'Income and Housing Data'!$B$2:$D$823,3,FALSE)</f>
        <v>129821</v>
      </c>
      <c r="S863" s="248" t="str">
        <f>IF($U$6&lt;=Table323[[#This Row],[Household income]],IF(Table323[[#This Row],[Household income]]&lt;=$U$7, "Yes","No"),"No")</f>
        <v>No</v>
      </c>
    </row>
    <row r="864" spans="1:19" x14ac:dyDescent="0.25">
      <c r="A864" s="147">
        <v>9001042600</v>
      </c>
      <c r="B864" s="148" t="s">
        <v>2856</v>
      </c>
      <c r="C864" s="150" t="s">
        <v>944</v>
      </c>
      <c r="D864" s="70">
        <v>1610.4267936000001</v>
      </c>
      <c r="E864" s="70">
        <v>0</v>
      </c>
      <c r="F864" s="14">
        <v>0</v>
      </c>
      <c r="G864" s="14">
        <v>0</v>
      </c>
      <c r="H864" s="14">
        <v>0</v>
      </c>
      <c r="I864" s="14">
        <v>0</v>
      </c>
      <c r="J864" s="69">
        <v>0</v>
      </c>
      <c r="K864">
        <f t="shared" si="13"/>
        <v>0</v>
      </c>
      <c r="L864" s="14">
        <v>0</v>
      </c>
      <c r="M864" s="14">
        <v>0</v>
      </c>
      <c r="N864" s="14">
        <v>0</v>
      </c>
      <c r="O864" s="69">
        <v>0</v>
      </c>
      <c r="P864" s="226">
        <f>VLOOKUP(Table323[[#This Row],[Census Tract]],'Population and Diversity Data'!$B$2:$K$823,10,FALSE)</f>
        <v>3</v>
      </c>
      <c r="Q864" s="226" t="str">
        <f>VLOOKUP(Table323[[#This Row],[Census Tract]],'ES Energy Burden'!$B$2:$E$914,4,FALSE)</f>
        <v>No</v>
      </c>
      <c r="R864" s="248">
        <f>VLOOKUP(Table323[[#This Row],[Census Tract]],'Income and Housing Data'!$B$2:$D$823,3,FALSE)</f>
        <v>113594</v>
      </c>
      <c r="S864" s="248" t="str">
        <f>IF($U$6&lt;=Table323[[#This Row],[Household income]],IF(Table323[[#This Row],[Household income]]&lt;=$U$7, "Yes","No"),"No")</f>
        <v>No</v>
      </c>
    </row>
    <row r="865" spans="1:19" x14ac:dyDescent="0.25">
      <c r="A865" s="147">
        <v>9001043500</v>
      </c>
      <c r="B865" s="148" t="s">
        <v>2856</v>
      </c>
      <c r="C865" s="150" t="s">
        <v>944</v>
      </c>
      <c r="D865" s="70">
        <v>1005.7692671999999</v>
      </c>
      <c r="E865" s="70">
        <v>1424.72</v>
      </c>
      <c r="F865" s="14">
        <v>1</v>
      </c>
      <c r="G865" s="14">
        <v>1</v>
      </c>
      <c r="H865" s="14">
        <v>0</v>
      </c>
      <c r="I865" s="14">
        <v>0</v>
      </c>
      <c r="J865" s="69">
        <v>1421.53</v>
      </c>
      <c r="K865">
        <f t="shared" si="13"/>
        <v>0</v>
      </c>
      <c r="L865" s="14">
        <v>0</v>
      </c>
      <c r="M865" s="14">
        <v>0</v>
      </c>
      <c r="N865" s="14">
        <v>0</v>
      </c>
      <c r="O865" s="69">
        <v>0</v>
      </c>
      <c r="P865" s="226">
        <f>VLOOKUP(Table323[[#This Row],[Census Tract]],'Population and Diversity Data'!$B$2:$K$823,10,FALSE)</f>
        <v>1</v>
      </c>
      <c r="Q865" s="226" t="str">
        <f>VLOOKUP(Table323[[#This Row],[Census Tract]],'ES Energy Burden'!$B$2:$E$914,4,FALSE)</f>
        <v>No</v>
      </c>
      <c r="R865" s="248">
        <f>VLOOKUP(Table323[[#This Row],[Census Tract]],'Income and Housing Data'!$B$2:$D$823,3,FALSE)</f>
        <v>104417</v>
      </c>
      <c r="S865" s="248" t="str">
        <f>IF($U$6&lt;=Table323[[#This Row],[Household income]],IF(Table323[[#This Row],[Household income]]&lt;=$U$7, "Yes","No"),"No")</f>
        <v>No</v>
      </c>
    </row>
    <row r="866" spans="1:19" x14ac:dyDescent="0.25">
      <c r="A866" s="147">
        <v>9001044300</v>
      </c>
      <c r="B866" s="148" t="s">
        <v>2856</v>
      </c>
      <c r="C866" s="150" t="s">
        <v>944</v>
      </c>
      <c r="D866" s="70">
        <v>2160.7506432</v>
      </c>
      <c r="E866" s="70">
        <v>1007.24</v>
      </c>
      <c r="F866" s="14">
        <v>1</v>
      </c>
      <c r="G866" s="14">
        <v>1</v>
      </c>
      <c r="H866" s="14">
        <v>0</v>
      </c>
      <c r="I866" s="14">
        <v>0</v>
      </c>
      <c r="J866" s="69">
        <v>990.05</v>
      </c>
      <c r="K866">
        <f t="shared" si="13"/>
        <v>0</v>
      </c>
      <c r="L866" s="14">
        <v>0</v>
      </c>
      <c r="M866" s="14">
        <v>0</v>
      </c>
      <c r="N866" s="14">
        <v>0</v>
      </c>
      <c r="O866" s="69">
        <v>0</v>
      </c>
      <c r="P866" s="226">
        <f>VLOOKUP(Table323[[#This Row],[Census Tract]],'Population and Diversity Data'!$B$2:$K$823,10,FALSE)</f>
        <v>3</v>
      </c>
      <c r="Q866" s="226" t="str">
        <f>VLOOKUP(Table323[[#This Row],[Census Tract]],'ES Energy Burden'!$B$2:$E$914,4,FALSE)</f>
        <v>No</v>
      </c>
      <c r="R866" s="248">
        <f>VLOOKUP(Table323[[#This Row],[Census Tract]],'Income and Housing Data'!$B$2:$D$823,3,FALSE)</f>
        <v>95279</v>
      </c>
      <c r="S866" s="248" t="str">
        <f>IF($U$6&lt;=Table323[[#This Row],[Household income]],IF(Table323[[#This Row],[Household income]]&lt;=$U$7, "Yes","No"),"No")</f>
        <v>No</v>
      </c>
    </row>
    <row r="867" spans="1:19" x14ac:dyDescent="0.25">
      <c r="A867" s="147">
        <v>9001045400</v>
      </c>
      <c r="B867" s="148" t="s">
        <v>2856</v>
      </c>
      <c r="C867" s="150" t="s">
        <v>944</v>
      </c>
      <c r="D867" s="70">
        <v>668.84374079999998</v>
      </c>
      <c r="E867" s="70">
        <v>0</v>
      </c>
      <c r="F867" s="14">
        <v>0</v>
      </c>
      <c r="G867" s="14">
        <v>0</v>
      </c>
      <c r="H867" s="14">
        <v>0</v>
      </c>
      <c r="I867" s="14">
        <v>0</v>
      </c>
      <c r="J867" s="69">
        <v>0</v>
      </c>
      <c r="K867">
        <f t="shared" si="13"/>
        <v>0</v>
      </c>
      <c r="L867" s="14">
        <v>0</v>
      </c>
      <c r="M867" s="14">
        <v>0</v>
      </c>
      <c r="N867" s="14">
        <v>0</v>
      </c>
      <c r="O867" s="69">
        <v>0</v>
      </c>
      <c r="P867" s="226">
        <f>VLOOKUP(Table323[[#This Row],[Census Tract]],'Population and Diversity Data'!$B$2:$K$823,10,FALSE)</f>
        <v>4</v>
      </c>
      <c r="Q867" s="226" t="str">
        <f>VLOOKUP(Table323[[#This Row],[Census Tract]],'ES Energy Burden'!$B$2:$E$914,4,FALSE)</f>
        <v>No</v>
      </c>
      <c r="R867" s="248">
        <f>VLOOKUP(Table323[[#This Row],[Census Tract]],'Income and Housing Data'!$B$2:$D$823,3,FALSE)</f>
        <v>198281</v>
      </c>
      <c r="S867" s="248" t="str">
        <f>IF($U$6&lt;=Table323[[#This Row],[Household income]],IF(Table323[[#This Row],[Household income]]&lt;=$U$7, "Yes","No"),"No")</f>
        <v>No</v>
      </c>
    </row>
    <row r="868" spans="1:19" x14ac:dyDescent="0.25">
      <c r="A868" s="147">
        <v>9001050100</v>
      </c>
      <c r="B868" s="148" t="s">
        <v>2856</v>
      </c>
      <c r="C868" s="150" t="s">
        <v>944</v>
      </c>
      <c r="D868" s="70">
        <v>130976.70803711998</v>
      </c>
      <c r="E868" s="70">
        <v>20756.725299999998</v>
      </c>
      <c r="F868" s="14">
        <v>19</v>
      </c>
      <c r="G868" s="14">
        <v>19</v>
      </c>
      <c r="H868" s="14">
        <v>0</v>
      </c>
      <c r="I868" s="14">
        <v>0</v>
      </c>
      <c r="J868" s="69">
        <v>20753.665300000001</v>
      </c>
      <c r="K868">
        <f t="shared" si="13"/>
        <v>0</v>
      </c>
      <c r="L868" s="14">
        <v>0</v>
      </c>
      <c r="M868" s="14">
        <v>0</v>
      </c>
      <c r="N868" s="14">
        <v>0</v>
      </c>
      <c r="O868" s="69">
        <v>0</v>
      </c>
      <c r="P868" s="226">
        <f>VLOOKUP(Table323[[#This Row],[Census Tract]],'Population and Diversity Data'!$B$2:$K$823,10,FALSE)</f>
        <v>2</v>
      </c>
      <c r="Q868" s="226" t="str">
        <f>VLOOKUP(Table323[[#This Row],[Census Tract]],'ES Energy Burden'!$B$2:$E$914,4,FALSE)</f>
        <v>No</v>
      </c>
      <c r="R868" s="248">
        <f>VLOOKUP(Table323[[#This Row],[Census Tract]],'Income and Housing Data'!$B$2:$D$823,3,FALSE)</f>
        <v>242125</v>
      </c>
      <c r="S868" s="248" t="str">
        <f>IF($U$6&lt;=Table323[[#This Row],[Household income]],IF(Table323[[#This Row],[Household income]]&lt;=$U$7, "Yes","No"),"No")</f>
        <v>No</v>
      </c>
    </row>
    <row r="869" spans="1:19" x14ac:dyDescent="0.25">
      <c r="A869" s="147">
        <v>9001050200</v>
      </c>
      <c r="B869" s="148" t="s">
        <v>2856</v>
      </c>
      <c r="C869" s="150" t="s">
        <v>944</v>
      </c>
      <c r="D869" s="70">
        <v>121173.53558688</v>
      </c>
      <c r="E869" s="70">
        <v>21742.54</v>
      </c>
      <c r="F869" s="14">
        <v>21</v>
      </c>
      <c r="G869" s="14">
        <v>21</v>
      </c>
      <c r="H869" s="14">
        <v>0</v>
      </c>
      <c r="I869" s="14">
        <v>0</v>
      </c>
      <c r="J869" s="69">
        <v>21733.31</v>
      </c>
      <c r="K869">
        <f t="shared" si="13"/>
        <v>0</v>
      </c>
      <c r="L869" s="14">
        <v>0</v>
      </c>
      <c r="M869" s="14">
        <v>0</v>
      </c>
      <c r="N869" s="14">
        <v>0</v>
      </c>
      <c r="O869" s="69">
        <v>0</v>
      </c>
      <c r="P869" s="226">
        <f>VLOOKUP(Table323[[#This Row],[Census Tract]],'Population and Diversity Data'!$B$2:$K$823,10,FALSE)</f>
        <v>4</v>
      </c>
      <c r="Q869" s="226" t="str">
        <f>VLOOKUP(Table323[[#This Row],[Census Tract]],'ES Energy Burden'!$B$2:$E$914,4,FALSE)</f>
        <v>No</v>
      </c>
      <c r="R869" s="248">
        <f>VLOOKUP(Table323[[#This Row],[Census Tract]],'Income and Housing Data'!$B$2:$D$823,3,FALSE)</f>
        <v>175972</v>
      </c>
      <c r="S869" s="248" t="str">
        <f>IF($U$6&lt;=Table323[[#This Row],[Household income]],IF(Table323[[#This Row],[Household income]]&lt;=$U$7, "Yes","No"),"No")</f>
        <v>No</v>
      </c>
    </row>
    <row r="870" spans="1:19" x14ac:dyDescent="0.25">
      <c r="A870" s="147">
        <v>9001050300</v>
      </c>
      <c r="B870" s="148" t="s">
        <v>2856</v>
      </c>
      <c r="C870" s="150" t="s">
        <v>944</v>
      </c>
      <c r="D870" s="70">
        <v>283530.12261696003</v>
      </c>
      <c r="E870" s="70">
        <v>126459.8762</v>
      </c>
      <c r="F870" s="14">
        <v>44</v>
      </c>
      <c r="G870" s="14">
        <v>44</v>
      </c>
      <c r="H870" s="14">
        <v>0</v>
      </c>
      <c r="I870" s="14">
        <v>0</v>
      </c>
      <c r="J870" s="69">
        <v>43259.500099999997</v>
      </c>
      <c r="K870">
        <f t="shared" si="13"/>
        <v>82</v>
      </c>
      <c r="L870" s="14">
        <v>4</v>
      </c>
      <c r="M870" s="14">
        <v>0</v>
      </c>
      <c r="N870" s="14">
        <v>78</v>
      </c>
      <c r="O870" s="69">
        <v>12949.7</v>
      </c>
      <c r="P870" s="226">
        <f>VLOOKUP(Table323[[#This Row],[Census Tract]],'Population and Diversity Data'!$B$2:$K$823,10,FALSE)</f>
        <v>3</v>
      </c>
      <c r="Q870" s="226" t="str">
        <f>VLOOKUP(Table323[[#This Row],[Census Tract]],'ES Energy Burden'!$B$2:$E$914,4,FALSE)</f>
        <v>No</v>
      </c>
      <c r="R870" s="248">
        <f>VLOOKUP(Table323[[#This Row],[Census Tract]],'Income and Housing Data'!$B$2:$D$823,3,FALSE)</f>
        <v>242500</v>
      </c>
      <c r="S870" s="248" t="str">
        <f>IF($U$6&lt;=Table323[[#This Row],[Household income]],IF(Table323[[#This Row],[Household income]]&lt;=$U$7, "Yes","No"),"No")</f>
        <v>No</v>
      </c>
    </row>
    <row r="871" spans="1:19" x14ac:dyDescent="0.25">
      <c r="A871" s="147">
        <v>9001050400</v>
      </c>
      <c r="B871" s="148" t="s">
        <v>2856</v>
      </c>
      <c r="C871" s="150" t="s">
        <v>944</v>
      </c>
      <c r="D871" s="70">
        <v>74558.667283200004</v>
      </c>
      <c r="E871" s="70">
        <v>7135.08</v>
      </c>
      <c r="F871" s="14">
        <v>8</v>
      </c>
      <c r="G871" s="14">
        <v>8</v>
      </c>
      <c r="H871" s="14">
        <v>0</v>
      </c>
      <c r="I871" s="14">
        <v>0</v>
      </c>
      <c r="J871" s="69">
        <v>7125.88</v>
      </c>
      <c r="K871">
        <f t="shared" si="13"/>
        <v>0</v>
      </c>
      <c r="L871" s="14">
        <v>0</v>
      </c>
      <c r="M871" s="14">
        <v>0</v>
      </c>
      <c r="N871" s="14">
        <v>0</v>
      </c>
      <c r="O871" s="69">
        <v>0</v>
      </c>
      <c r="P871" s="226">
        <f>VLOOKUP(Table323[[#This Row],[Census Tract]],'Population and Diversity Data'!$B$2:$K$823,10,FALSE)</f>
        <v>3</v>
      </c>
      <c r="Q871" s="226" t="str">
        <f>VLOOKUP(Table323[[#This Row],[Census Tract]],'ES Energy Burden'!$B$2:$E$914,4,FALSE)</f>
        <v>No</v>
      </c>
      <c r="R871" s="248">
        <f>VLOOKUP(Table323[[#This Row],[Census Tract]],'Income and Housing Data'!$B$2:$D$823,3,FALSE)</f>
        <v>152321</v>
      </c>
      <c r="S871" s="248" t="str">
        <f>IF($U$6&lt;=Table323[[#This Row],[Household income]],IF(Table323[[#This Row],[Household income]]&lt;=$U$7, "Yes","No"),"No")</f>
        <v>No</v>
      </c>
    </row>
    <row r="872" spans="1:19" x14ac:dyDescent="0.25">
      <c r="A872" s="147">
        <v>9001050500</v>
      </c>
      <c r="B872" s="148" t="s">
        <v>2856</v>
      </c>
      <c r="C872" s="150" t="s">
        <v>944</v>
      </c>
      <c r="D872" s="70">
        <v>146823.64934111998</v>
      </c>
      <c r="E872" s="70">
        <v>32140.67</v>
      </c>
      <c r="F872" s="14">
        <v>13</v>
      </c>
      <c r="G872" s="14">
        <v>13</v>
      </c>
      <c r="H872" s="14">
        <v>0</v>
      </c>
      <c r="I872" s="14">
        <v>0</v>
      </c>
      <c r="J872" s="69">
        <v>16954.39</v>
      </c>
      <c r="K872">
        <f t="shared" si="13"/>
        <v>0</v>
      </c>
      <c r="L872" s="14">
        <v>0</v>
      </c>
      <c r="M872" s="14">
        <v>0</v>
      </c>
      <c r="N872" s="14">
        <v>0</v>
      </c>
      <c r="O872" s="69">
        <v>0</v>
      </c>
      <c r="P872" s="226">
        <f>VLOOKUP(Table323[[#This Row],[Census Tract]],'Population and Diversity Data'!$B$2:$K$823,10,FALSE)</f>
        <v>1</v>
      </c>
      <c r="Q872" s="226" t="str">
        <f>VLOOKUP(Table323[[#This Row],[Census Tract]],'ES Energy Burden'!$B$2:$E$914,4,FALSE)</f>
        <v>No</v>
      </c>
      <c r="R872" s="248">
        <f>VLOOKUP(Table323[[#This Row],[Census Tract]],'Income and Housing Data'!$B$2:$D$823,3,FALSE)</f>
        <v>169810</v>
      </c>
      <c r="S872" s="248" t="str">
        <f>IF($U$6&lt;=Table323[[#This Row],[Household income]],IF(Table323[[#This Row],[Household income]]&lt;=$U$7, "Yes","No"),"No")</f>
        <v>No</v>
      </c>
    </row>
    <row r="873" spans="1:19" x14ac:dyDescent="0.25">
      <c r="A873" s="147">
        <v>9001050600</v>
      </c>
      <c r="B873" s="148" t="s">
        <v>2856</v>
      </c>
      <c r="C873" s="150" t="s">
        <v>944</v>
      </c>
      <c r="D873" s="70">
        <v>125849.61476639999</v>
      </c>
      <c r="E873" s="70">
        <v>10952.81</v>
      </c>
      <c r="F873" s="14">
        <v>15</v>
      </c>
      <c r="G873" s="14">
        <v>15</v>
      </c>
      <c r="H873" s="14">
        <v>0</v>
      </c>
      <c r="I873" s="14">
        <v>0</v>
      </c>
      <c r="J873" s="69">
        <v>10948.31</v>
      </c>
      <c r="K873">
        <f t="shared" si="13"/>
        <v>0</v>
      </c>
      <c r="L873" s="14">
        <v>0</v>
      </c>
      <c r="M873" s="14">
        <v>0</v>
      </c>
      <c r="N873" s="14">
        <v>0</v>
      </c>
      <c r="O873" s="69">
        <v>0</v>
      </c>
      <c r="P873" s="226">
        <f>VLOOKUP(Table323[[#This Row],[Census Tract]],'Population and Diversity Data'!$B$2:$K$823,10,FALSE)</f>
        <v>3</v>
      </c>
      <c r="Q873" s="226" t="str">
        <f>VLOOKUP(Table323[[#This Row],[Census Tract]],'ES Energy Burden'!$B$2:$E$914,4,FALSE)</f>
        <v>No</v>
      </c>
      <c r="R873" s="248">
        <f>VLOOKUP(Table323[[#This Row],[Census Tract]],'Income and Housing Data'!$B$2:$D$823,3,FALSE)</f>
        <v>228558</v>
      </c>
      <c r="S873" s="248" t="str">
        <f>IF($U$6&lt;=Table323[[#This Row],[Household income]],IF(Table323[[#This Row],[Household income]]&lt;=$U$7, "Yes","No"),"No")</f>
        <v>No</v>
      </c>
    </row>
    <row r="874" spans="1:19" x14ac:dyDescent="0.25">
      <c r="A874" s="147">
        <v>9001055200</v>
      </c>
      <c r="B874" s="148" t="s">
        <v>2856</v>
      </c>
      <c r="C874" s="150" t="s">
        <v>944</v>
      </c>
      <c r="D874" s="70">
        <v>5646.9512448000005</v>
      </c>
      <c r="E874" s="70">
        <v>0</v>
      </c>
      <c r="F874" s="14">
        <v>1</v>
      </c>
      <c r="G874" s="14">
        <v>1</v>
      </c>
      <c r="H874" s="14">
        <v>0</v>
      </c>
      <c r="I874" s="14">
        <v>0</v>
      </c>
      <c r="J874" s="69">
        <v>0</v>
      </c>
      <c r="K874">
        <f t="shared" si="13"/>
        <v>0</v>
      </c>
      <c r="L874" s="14">
        <v>0</v>
      </c>
      <c r="M874" s="14">
        <v>0</v>
      </c>
      <c r="N874" s="14">
        <v>0</v>
      </c>
      <c r="O874" s="69">
        <v>0</v>
      </c>
      <c r="P874" s="226">
        <f>VLOOKUP(Table323[[#This Row],[Census Tract]],'Population and Diversity Data'!$B$2:$K$823,10,FALSE)</f>
        <v>1</v>
      </c>
      <c r="Q874" s="226" t="str">
        <f>VLOOKUP(Table323[[#This Row],[Census Tract]],'ES Energy Burden'!$B$2:$E$914,4,FALSE)</f>
        <v>No</v>
      </c>
      <c r="R874" s="248">
        <f>VLOOKUP(Table323[[#This Row],[Census Tract]],'Income and Housing Data'!$B$2:$D$823,3,FALSE)</f>
        <v>247361</v>
      </c>
      <c r="S874" s="248" t="str">
        <f>IF($U$6&lt;=Table323[[#This Row],[Household income]],IF(Table323[[#This Row],[Household income]]&lt;=$U$7, "Yes","No"),"No")</f>
        <v>No</v>
      </c>
    </row>
    <row r="875" spans="1:19" x14ac:dyDescent="0.25">
      <c r="A875" s="147">
        <v>9001060400</v>
      </c>
      <c r="B875" s="148" t="s">
        <v>2856</v>
      </c>
      <c r="C875" s="150" t="s">
        <v>944</v>
      </c>
      <c r="D875" s="70">
        <v>4359.446870400001</v>
      </c>
      <c r="E875" s="70">
        <v>1373.72</v>
      </c>
      <c r="F875" s="14">
        <v>2</v>
      </c>
      <c r="G875" s="14">
        <v>2</v>
      </c>
      <c r="H875" s="14">
        <v>0</v>
      </c>
      <c r="I875" s="14">
        <v>0</v>
      </c>
      <c r="J875" s="69">
        <v>1339.34</v>
      </c>
      <c r="K875">
        <f t="shared" si="13"/>
        <v>0</v>
      </c>
      <c r="L875" s="14">
        <v>0</v>
      </c>
      <c r="M875" s="14">
        <v>0</v>
      </c>
      <c r="N875" s="14">
        <v>0</v>
      </c>
      <c r="O875" s="69">
        <v>0</v>
      </c>
      <c r="P875" s="226">
        <f>VLOOKUP(Table323[[#This Row],[Census Tract]],'Population and Diversity Data'!$B$2:$K$823,10,FALSE)</f>
        <v>1</v>
      </c>
      <c r="Q875" s="226" t="str">
        <f>VLOOKUP(Table323[[#This Row],[Census Tract]],'ES Energy Burden'!$B$2:$E$914,4,FALSE)</f>
        <v>No</v>
      </c>
      <c r="R875" s="248">
        <f>VLOOKUP(Table323[[#This Row],[Census Tract]],'Income and Housing Data'!$B$2:$D$823,3,FALSE)</f>
        <v>247169</v>
      </c>
      <c r="S875" s="248" t="str">
        <f>IF($U$6&lt;=Table323[[#This Row],[Household income]],IF(Table323[[#This Row],[Household income]]&lt;=$U$7, "Yes","No"),"No")</f>
        <v>No</v>
      </c>
    </row>
    <row r="876" spans="1:19" x14ac:dyDescent="0.25">
      <c r="A876" s="147">
        <v>9003492100</v>
      </c>
      <c r="B876" s="148" t="s">
        <v>2857</v>
      </c>
      <c r="C876" s="150" t="s">
        <v>944</v>
      </c>
      <c r="D876" s="70">
        <v>57897.0131616</v>
      </c>
      <c r="E876" s="70">
        <v>7088.3504999999996</v>
      </c>
      <c r="F876" s="14">
        <v>17</v>
      </c>
      <c r="G876" s="14">
        <v>17</v>
      </c>
      <c r="H876" s="14">
        <v>0</v>
      </c>
      <c r="I876" s="14">
        <v>0</v>
      </c>
      <c r="J876" s="69">
        <v>7084.3305</v>
      </c>
      <c r="K876">
        <f t="shared" si="13"/>
        <v>0</v>
      </c>
      <c r="L876" s="14">
        <v>0</v>
      </c>
      <c r="M876" s="14">
        <v>0</v>
      </c>
      <c r="N876" s="14">
        <v>0</v>
      </c>
      <c r="O876" s="69">
        <v>0</v>
      </c>
      <c r="P876" s="226">
        <f>VLOOKUP(Table323[[#This Row],[Census Tract]],'Population and Diversity Data'!$B$2:$K$823,10,FALSE)</f>
        <v>1</v>
      </c>
      <c r="Q876" s="226" t="str">
        <f>VLOOKUP(Table323[[#This Row],[Census Tract]],'ES Energy Burden'!$B$2:$E$914,4,FALSE)</f>
        <v>No</v>
      </c>
      <c r="R876" s="248">
        <f>VLOOKUP(Table323[[#This Row],[Census Tract]],'Income and Housing Data'!$B$2:$D$823,3,FALSE)</f>
        <v>98664</v>
      </c>
      <c r="S876" s="248" t="str">
        <f>IF($U$6&lt;=Table323[[#This Row],[Household income]],IF(Table323[[#This Row],[Household income]]&lt;=$U$7, "Yes","No"),"No")</f>
        <v>No</v>
      </c>
    </row>
    <row r="877" spans="1:19" x14ac:dyDescent="0.25">
      <c r="A877" s="147">
        <v>9003492200</v>
      </c>
      <c r="B877" s="148" t="s">
        <v>2857</v>
      </c>
      <c r="C877" s="150" t="s">
        <v>944</v>
      </c>
      <c r="D877" s="70">
        <v>60830.6149152</v>
      </c>
      <c r="E877" s="70">
        <v>12981.8608</v>
      </c>
      <c r="F877" s="14">
        <v>15</v>
      </c>
      <c r="G877" s="14">
        <v>15</v>
      </c>
      <c r="H877" s="14">
        <v>0</v>
      </c>
      <c r="I877" s="14">
        <v>0</v>
      </c>
      <c r="J877" s="69">
        <v>5466.6607999999997</v>
      </c>
      <c r="K877">
        <f t="shared" si="13"/>
        <v>0</v>
      </c>
      <c r="L877" s="14">
        <v>0</v>
      </c>
      <c r="M877" s="14">
        <v>0</v>
      </c>
      <c r="N877" s="14">
        <v>0</v>
      </c>
      <c r="O877" s="69">
        <v>0</v>
      </c>
      <c r="P877" s="226">
        <f>VLOOKUP(Table323[[#This Row],[Census Tract]],'Population and Diversity Data'!$B$2:$K$823,10,FALSE)</f>
        <v>3</v>
      </c>
      <c r="Q877" s="226" t="str">
        <f>VLOOKUP(Table323[[#This Row],[Census Tract]],'ES Energy Burden'!$B$2:$E$914,4,FALSE)</f>
        <v>No</v>
      </c>
      <c r="R877" s="248">
        <f>VLOOKUP(Table323[[#This Row],[Census Tract]],'Income and Housing Data'!$B$2:$D$823,3,FALSE)</f>
        <v>92750</v>
      </c>
      <c r="S877" s="248" t="str">
        <f>IF($U$6&lt;=Table323[[#This Row],[Household income]],IF(Table323[[#This Row],[Household income]]&lt;=$U$7, "Yes","No"),"No")</f>
        <v>No</v>
      </c>
    </row>
    <row r="878" spans="1:19" x14ac:dyDescent="0.25">
      <c r="A878" s="147">
        <v>9003492300</v>
      </c>
      <c r="B878" s="148" t="s">
        <v>2857</v>
      </c>
      <c r="C878" s="150" t="s">
        <v>944</v>
      </c>
      <c r="D878" s="70">
        <v>86123.850307199988</v>
      </c>
      <c r="E878" s="70">
        <v>9848.5290999999997</v>
      </c>
      <c r="F878" s="14">
        <v>15</v>
      </c>
      <c r="G878" s="14">
        <v>15</v>
      </c>
      <c r="H878" s="14">
        <v>0</v>
      </c>
      <c r="I878" s="14">
        <v>0</v>
      </c>
      <c r="J878" s="69">
        <v>5572.0290999999997</v>
      </c>
      <c r="K878">
        <f t="shared" si="13"/>
        <v>0</v>
      </c>
      <c r="L878" s="14">
        <v>0</v>
      </c>
      <c r="M878" s="14">
        <v>0</v>
      </c>
      <c r="N878" s="14">
        <v>0</v>
      </c>
      <c r="O878" s="69">
        <v>0</v>
      </c>
      <c r="P878" s="226">
        <f>VLOOKUP(Table323[[#This Row],[Census Tract]],'Population and Diversity Data'!$B$2:$K$823,10,FALSE)</f>
        <v>5</v>
      </c>
      <c r="Q878" s="226" t="str">
        <f>VLOOKUP(Table323[[#This Row],[Census Tract]],'ES Energy Burden'!$B$2:$E$914,4,FALSE)</f>
        <v>No</v>
      </c>
      <c r="R878" s="248">
        <f>VLOOKUP(Table323[[#This Row],[Census Tract]],'Income and Housing Data'!$B$2:$D$823,3,FALSE)</f>
        <v>68125</v>
      </c>
      <c r="S878" s="248" t="str">
        <f>IF($U$6&lt;=Table323[[#This Row],[Household income]],IF(Table323[[#This Row],[Household income]]&lt;=$U$7, "Yes","No"),"No")</f>
        <v>No</v>
      </c>
    </row>
    <row r="879" spans="1:19" x14ac:dyDescent="0.25">
      <c r="A879" s="147">
        <v>9003492400</v>
      </c>
      <c r="B879" s="148" t="s">
        <v>2857</v>
      </c>
      <c r="C879" s="150" t="s">
        <v>944</v>
      </c>
      <c r="D879" s="70">
        <v>49411.587513600003</v>
      </c>
      <c r="E879" s="70">
        <v>6725.7366000000002</v>
      </c>
      <c r="F879" s="14">
        <v>14</v>
      </c>
      <c r="G879" s="14">
        <v>14</v>
      </c>
      <c r="H879" s="14">
        <v>0</v>
      </c>
      <c r="I879" s="14">
        <v>0</v>
      </c>
      <c r="J879" s="69">
        <v>6721.6466</v>
      </c>
      <c r="K879">
        <f t="shared" si="13"/>
        <v>0</v>
      </c>
      <c r="L879" s="14">
        <v>0</v>
      </c>
      <c r="M879" s="14">
        <v>0</v>
      </c>
      <c r="N879" s="14">
        <v>0</v>
      </c>
      <c r="O879" s="69">
        <v>0</v>
      </c>
      <c r="P879" s="226">
        <f>VLOOKUP(Table323[[#This Row],[Census Tract]],'Population and Diversity Data'!$B$2:$K$823,10,FALSE)</f>
        <v>4</v>
      </c>
      <c r="Q879" s="226" t="str">
        <f>VLOOKUP(Table323[[#This Row],[Census Tract]],'ES Energy Burden'!$B$2:$E$914,4,FALSE)</f>
        <v>No</v>
      </c>
      <c r="R879" s="248">
        <f>VLOOKUP(Table323[[#This Row],[Census Tract]],'Income and Housing Data'!$B$2:$D$823,3,FALSE)</f>
        <v>85446</v>
      </c>
      <c r="S879" s="248" t="str">
        <f>IF($U$6&lt;=Table323[[#This Row],[Household income]],IF(Table323[[#This Row],[Household income]]&lt;=$U$7, "Yes","No"),"No")</f>
        <v>No</v>
      </c>
    </row>
    <row r="880" spans="1:19" x14ac:dyDescent="0.25">
      <c r="A880" s="147">
        <v>9003492500</v>
      </c>
      <c r="B880" s="148" t="s">
        <v>2857</v>
      </c>
      <c r="C880" s="150" t="s">
        <v>944</v>
      </c>
      <c r="D880" s="70">
        <v>59729.9845824</v>
      </c>
      <c r="E880" s="70">
        <v>10869.7922</v>
      </c>
      <c r="F880" s="14">
        <v>20</v>
      </c>
      <c r="G880" s="14">
        <v>20</v>
      </c>
      <c r="H880" s="14">
        <v>0</v>
      </c>
      <c r="I880" s="14">
        <v>0</v>
      </c>
      <c r="J880" s="69">
        <v>9229.0421999999999</v>
      </c>
      <c r="K880">
        <f t="shared" si="13"/>
        <v>0</v>
      </c>
      <c r="L880" s="14">
        <v>0</v>
      </c>
      <c r="M880" s="14">
        <v>0</v>
      </c>
      <c r="N880" s="14">
        <v>0</v>
      </c>
      <c r="O880" s="69">
        <v>0</v>
      </c>
      <c r="P880" s="226">
        <f>VLOOKUP(Table323[[#This Row],[Census Tract]],'Population and Diversity Data'!$B$2:$K$823,10,FALSE)</f>
        <v>2</v>
      </c>
      <c r="Q880" s="226" t="str">
        <f>VLOOKUP(Table323[[#This Row],[Census Tract]],'ES Energy Burden'!$B$2:$E$914,4,FALSE)</f>
        <v>No</v>
      </c>
      <c r="R880" s="248">
        <f>VLOOKUP(Table323[[#This Row],[Census Tract]],'Income and Housing Data'!$B$2:$D$823,3,FALSE)</f>
        <v>90644</v>
      </c>
      <c r="S880" s="248" t="str">
        <f>IF($U$6&lt;=Table323[[#This Row],[Household income]],IF(Table323[[#This Row],[Household income]]&lt;=$U$7, "Yes","No"),"No")</f>
        <v>No</v>
      </c>
    </row>
    <row r="881" spans="1:19" x14ac:dyDescent="0.25">
      <c r="A881" s="147">
        <v>9003492600</v>
      </c>
      <c r="B881" s="148" t="s">
        <v>2857</v>
      </c>
      <c r="C881" s="150" t="s">
        <v>944</v>
      </c>
      <c r="D881" s="70">
        <v>142356.54063168002</v>
      </c>
      <c r="E881" s="70">
        <v>85449.179099999994</v>
      </c>
      <c r="F881" s="14">
        <v>34</v>
      </c>
      <c r="G881" s="14">
        <v>34</v>
      </c>
      <c r="H881" s="14">
        <v>0</v>
      </c>
      <c r="I881" s="14">
        <v>0</v>
      </c>
      <c r="J881" s="69">
        <v>17815.886999999999</v>
      </c>
      <c r="K881">
        <f t="shared" si="13"/>
        <v>71</v>
      </c>
      <c r="L881" s="14">
        <v>25</v>
      </c>
      <c r="M881" s="14">
        <v>0</v>
      </c>
      <c r="N881" s="14">
        <v>46</v>
      </c>
      <c r="O881" s="69">
        <v>17589.8</v>
      </c>
      <c r="P881" s="226">
        <f>VLOOKUP(Table323[[#This Row],[Census Tract]],'Population and Diversity Data'!$B$2:$K$823,10,FALSE)</f>
        <v>1</v>
      </c>
      <c r="Q881" s="226" t="str">
        <f>VLOOKUP(Table323[[#This Row],[Census Tract]],'ES Energy Burden'!$B$2:$E$914,4,FALSE)</f>
        <v>No</v>
      </c>
      <c r="R881" s="248">
        <f>VLOOKUP(Table323[[#This Row],[Census Tract]],'Income and Housing Data'!$B$2:$D$823,3,FALSE)</f>
        <v>101964</v>
      </c>
      <c r="S881" s="248" t="str">
        <f>IF($U$6&lt;=Table323[[#This Row],[Household income]],IF(Table323[[#This Row],[Household income]]&lt;=$U$7, "Yes","No"),"No")</f>
        <v>No</v>
      </c>
    </row>
    <row r="882" spans="1:19" x14ac:dyDescent="0.25">
      <c r="A882" s="147">
        <v>9003494100</v>
      </c>
      <c r="B882" s="148" t="s">
        <v>2857</v>
      </c>
      <c r="C882" s="150" t="s">
        <v>944</v>
      </c>
      <c r="D882" s="70">
        <v>1420.2241919999999</v>
      </c>
      <c r="E882" s="70">
        <v>0</v>
      </c>
      <c r="F882" s="14">
        <v>0</v>
      </c>
      <c r="G882" s="14">
        <v>0</v>
      </c>
      <c r="H882" s="14">
        <v>0</v>
      </c>
      <c r="I882" s="14">
        <v>0</v>
      </c>
      <c r="J882" s="69">
        <v>0</v>
      </c>
      <c r="K882">
        <f t="shared" si="13"/>
        <v>0</v>
      </c>
      <c r="L882" s="14">
        <v>0</v>
      </c>
      <c r="M882" s="14">
        <v>0</v>
      </c>
      <c r="N882" s="14">
        <v>0</v>
      </c>
      <c r="O882" s="69">
        <v>0</v>
      </c>
      <c r="P882" s="226">
        <f>VLOOKUP(Table323[[#This Row],[Census Tract]],'Population and Diversity Data'!$B$2:$K$823,10,FALSE)</f>
        <v>4</v>
      </c>
      <c r="Q882" s="226" t="str">
        <f>VLOOKUP(Table323[[#This Row],[Census Tract]],'ES Energy Burden'!$B$2:$E$914,4,FALSE)</f>
        <v>No</v>
      </c>
      <c r="R882" s="248">
        <f>VLOOKUP(Table323[[#This Row],[Census Tract]],'Income and Housing Data'!$B$2:$D$823,3,FALSE)</f>
        <v>86119</v>
      </c>
      <c r="S882" s="248" t="str">
        <f>IF($U$6&lt;=Table323[[#This Row],[Household income]],IF(Table323[[#This Row],[Household income]]&lt;=$U$7, "Yes","No"),"No")</f>
        <v>No</v>
      </c>
    </row>
    <row r="883" spans="1:19" x14ac:dyDescent="0.25">
      <c r="A883" s="147">
        <v>9013840100</v>
      </c>
      <c r="B883" s="148" t="s">
        <v>2858</v>
      </c>
      <c r="C883" s="150" t="s">
        <v>944</v>
      </c>
      <c r="D883" s="70">
        <v>112402.6694208</v>
      </c>
      <c r="E883" s="70">
        <v>38610.5</v>
      </c>
      <c r="F883" s="14">
        <v>13</v>
      </c>
      <c r="G883" s="14">
        <v>13</v>
      </c>
      <c r="H883" s="14">
        <v>0</v>
      </c>
      <c r="I883" s="14">
        <v>0</v>
      </c>
      <c r="J883" s="69">
        <v>12202.61</v>
      </c>
      <c r="K883">
        <f t="shared" si="13"/>
        <v>111</v>
      </c>
      <c r="L883" s="14">
        <v>5</v>
      </c>
      <c r="M883" s="14">
        <v>0</v>
      </c>
      <c r="N883" s="14">
        <v>106</v>
      </c>
      <c r="O883" s="69">
        <v>10860.6</v>
      </c>
      <c r="P883" s="226">
        <f>VLOOKUP(Table323[[#This Row],[Census Tract]],'Population and Diversity Data'!$B$2:$K$823,10,FALSE)</f>
        <v>4</v>
      </c>
      <c r="Q883" s="226" t="str">
        <f>VLOOKUP(Table323[[#This Row],[Census Tract]],'ES Energy Burden'!$B$2:$E$914,4,FALSE)</f>
        <v>No</v>
      </c>
      <c r="R883" s="248">
        <f>VLOOKUP(Table323[[#This Row],[Census Tract]],'Income and Housing Data'!$B$2:$D$823,3,FALSE)</f>
        <v>76908</v>
      </c>
      <c r="S883" s="248" t="str">
        <f>IF($U$6&lt;=Table323[[#This Row],[Household income]],IF(Table323[[#This Row],[Household income]]&lt;=$U$7, "Yes","No"),"No")</f>
        <v>No</v>
      </c>
    </row>
    <row r="884" spans="1:19" x14ac:dyDescent="0.25">
      <c r="A884" s="147">
        <v>9013890201</v>
      </c>
      <c r="B884" s="148" t="s">
        <v>2858</v>
      </c>
      <c r="C884" s="150" t="s">
        <v>944</v>
      </c>
      <c r="D884" s="70">
        <v>219.38394240000002</v>
      </c>
      <c r="E884" s="70">
        <v>0</v>
      </c>
      <c r="F884" s="14">
        <v>0</v>
      </c>
      <c r="G884" s="14">
        <v>0</v>
      </c>
      <c r="H884" s="14">
        <v>0</v>
      </c>
      <c r="I884" s="14">
        <v>0</v>
      </c>
      <c r="J884" s="69">
        <v>0</v>
      </c>
      <c r="K884">
        <f t="shared" si="13"/>
        <v>0</v>
      </c>
      <c r="L884" s="14">
        <v>0</v>
      </c>
      <c r="M884" s="14">
        <v>0</v>
      </c>
      <c r="N884" s="14">
        <v>0</v>
      </c>
      <c r="O884" s="69">
        <v>0</v>
      </c>
      <c r="P884" s="226">
        <f>VLOOKUP(Table323[[#This Row],[Census Tract]],'Population and Diversity Data'!$B$2:$K$823,10,FALSE)</f>
        <v>4</v>
      </c>
      <c r="Q884" s="226" t="str">
        <f>VLOOKUP(Table323[[#This Row],[Census Tract]],'ES Energy Burden'!$B$2:$E$914,4,FALSE)</f>
        <v>No</v>
      </c>
      <c r="R884" s="248">
        <f>VLOOKUP(Table323[[#This Row],[Census Tract]],'Income and Housing Data'!$B$2:$D$823,3,FALSE)</f>
        <v>89292</v>
      </c>
      <c r="S884" s="248" t="str">
        <f>IF($U$6&lt;=Table323[[#This Row],[Household income]],IF(Table323[[#This Row],[Household income]]&lt;=$U$7, "Yes","No"),"No")</f>
        <v>No</v>
      </c>
    </row>
    <row r="885" spans="1:19" x14ac:dyDescent="0.25">
      <c r="A885" s="147">
        <v>9015830100</v>
      </c>
      <c r="B885" s="148" t="s">
        <v>2858</v>
      </c>
      <c r="C885" s="150" t="s">
        <v>944</v>
      </c>
      <c r="D885" s="70">
        <v>663.49488960000008</v>
      </c>
      <c r="E885" s="70">
        <v>0</v>
      </c>
      <c r="F885" s="14">
        <v>0</v>
      </c>
      <c r="G885" s="14">
        <v>0</v>
      </c>
      <c r="H885" s="14">
        <v>0</v>
      </c>
      <c r="I885" s="14">
        <v>0</v>
      </c>
      <c r="J885" s="69">
        <v>0</v>
      </c>
      <c r="K885">
        <f t="shared" si="13"/>
        <v>0</v>
      </c>
      <c r="L885" s="14">
        <v>0</v>
      </c>
      <c r="M885" s="14">
        <v>0</v>
      </c>
      <c r="N885" s="14">
        <v>0</v>
      </c>
      <c r="O885" s="69">
        <v>0</v>
      </c>
      <c r="P885" s="226">
        <f>VLOOKUP(Table323[[#This Row],[Census Tract]],'Population and Diversity Data'!$B$2:$K$823,10,FALSE)</f>
        <v>4</v>
      </c>
      <c r="Q885" s="226" t="str">
        <f>VLOOKUP(Table323[[#This Row],[Census Tract]],'ES Energy Burden'!$B$2:$E$914,4,FALSE)</f>
        <v>No</v>
      </c>
      <c r="R885" s="248">
        <f>VLOOKUP(Table323[[#This Row],[Census Tract]],'Income and Housing Data'!$B$2:$D$823,3,FALSE)</f>
        <v>70952</v>
      </c>
      <c r="S885" s="248" t="str">
        <f>IF($U$6&lt;=Table323[[#This Row],[Household income]],IF(Table323[[#This Row],[Household income]]&lt;=$U$7, "Yes","No"),"No")</f>
        <v>No</v>
      </c>
    </row>
    <row r="886" spans="1:19" x14ac:dyDescent="0.25">
      <c r="A886" s="147">
        <v>9001035400</v>
      </c>
      <c r="B886" s="148" t="s">
        <v>2859</v>
      </c>
      <c r="C886" s="150" t="s">
        <v>944</v>
      </c>
      <c r="D886" s="70">
        <v>213.86721600000001</v>
      </c>
      <c r="E886" s="70">
        <v>0</v>
      </c>
      <c r="F886" s="14">
        <v>0</v>
      </c>
      <c r="G886" s="14">
        <v>0</v>
      </c>
      <c r="H886" s="14">
        <v>0</v>
      </c>
      <c r="I886" s="14">
        <v>0</v>
      </c>
      <c r="J886" s="69">
        <v>0</v>
      </c>
      <c r="K886">
        <f t="shared" si="13"/>
        <v>0</v>
      </c>
      <c r="L886" s="14">
        <v>0</v>
      </c>
      <c r="M886" s="14">
        <v>0</v>
      </c>
      <c r="N886" s="14">
        <v>0</v>
      </c>
      <c r="O886" s="69">
        <v>0</v>
      </c>
      <c r="P886" s="226">
        <f>VLOOKUP(Table323[[#This Row],[Census Tract]],'Population and Diversity Data'!$B$2:$K$823,10,FALSE)</f>
        <v>2</v>
      </c>
      <c r="Q886" s="226" t="str">
        <f>VLOOKUP(Table323[[#This Row],[Census Tract]],'ES Energy Burden'!$B$2:$E$914,4,FALSE)</f>
        <v>No</v>
      </c>
      <c r="R886" s="248">
        <f>VLOOKUP(Table323[[#This Row],[Census Tract]],'Income and Housing Data'!$B$2:$D$823,3,FALSE)</f>
        <v>250000</v>
      </c>
      <c r="S886" s="248" t="str">
        <f>IF($U$6&lt;=Table323[[#This Row],[Household income]],IF(Table323[[#This Row],[Household income]]&lt;=$U$7, "Yes","No"),"No")</f>
        <v>No</v>
      </c>
    </row>
    <row r="887" spans="1:19" x14ac:dyDescent="0.25">
      <c r="A887" s="147">
        <v>9001042900</v>
      </c>
      <c r="B887" s="148" t="s">
        <v>2859</v>
      </c>
      <c r="C887" s="150" t="s">
        <v>944</v>
      </c>
      <c r="D887" s="70">
        <v>355.58282880000002</v>
      </c>
      <c r="E887" s="70">
        <v>0</v>
      </c>
      <c r="F887" s="14">
        <v>0</v>
      </c>
      <c r="G887" s="14">
        <v>0</v>
      </c>
      <c r="H887" s="14">
        <v>0</v>
      </c>
      <c r="I887" s="14">
        <v>0</v>
      </c>
      <c r="J887" s="69">
        <v>0</v>
      </c>
      <c r="K887">
        <f t="shared" si="13"/>
        <v>0</v>
      </c>
      <c r="L887" s="14">
        <v>0</v>
      </c>
      <c r="M887" s="14">
        <v>0</v>
      </c>
      <c r="N887" s="14">
        <v>0</v>
      </c>
      <c r="O887" s="69">
        <v>0</v>
      </c>
      <c r="P887" s="226">
        <f>VLOOKUP(Table323[[#This Row],[Census Tract]],'Population and Diversity Data'!$B$2:$K$823,10,FALSE)</f>
        <v>1</v>
      </c>
      <c r="Q887" s="226" t="str">
        <f>VLOOKUP(Table323[[#This Row],[Census Tract]],'ES Energy Burden'!$B$2:$E$914,4,FALSE)</f>
        <v>No</v>
      </c>
      <c r="R887" s="248">
        <f>VLOOKUP(Table323[[#This Row],[Census Tract]],'Income and Housing Data'!$B$2:$D$823,3,FALSE)</f>
        <v>138542</v>
      </c>
      <c r="S887" s="248" t="str">
        <f>IF($U$6&lt;=Table323[[#This Row],[Household income]],IF(Table323[[#This Row],[Household income]]&lt;=$U$7, "Yes","No"),"No")</f>
        <v>No</v>
      </c>
    </row>
    <row r="888" spans="1:19" x14ac:dyDescent="0.25">
      <c r="A888" s="147">
        <v>9001045101</v>
      </c>
      <c r="B888" s="148" t="s">
        <v>2859</v>
      </c>
      <c r="C888" s="150" t="s">
        <v>944</v>
      </c>
      <c r="D888" s="70">
        <v>121792.58059679999</v>
      </c>
      <c r="E888" s="70">
        <v>26942.549299999999</v>
      </c>
      <c r="F888" s="14">
        <v>23</v>
      </c>
      <c r="G888" s="14">
        <v>23</v>
      </c>
      <c r="H888" s="14">
        <v>0</v>
      </c>
      <c r="I888" s="14">
        <v>0</v>
      </c>
      <c r="J888" s="69">
        <v>26937.999299999999</v>
      </c>
      <c r="K888">
        <f t="shared" si="13"/>
        <v>0</v>
      </c>
      <c r="L888" s="14">
        <v>0</v>
      </c>
      <c r="M888" s="14">
        <v>0</v>
      </c>
      <c r="N888" s="14">
        <v>0</v>
      </c>
      <c r="O888" s="69">
        <v>0</v>
      </c>
      <c r="P888" s="226">
        <f>VLOOKUP(Table323[[#This Row],[Census Tract]],'Population and Diversity Data'!$B$2:$K$823,10,FALSE)</f>
        <v>3</v>
      </c>
      <c r="Q888" s="226" t="str">
        <f>VLOOKUP(Table323[[#This Row],[Census Tract]],'ES Energy Burden'!$B$2:$E$914,4,FALSE)</f>
        <v>No</v>
      </c>
      <c r="R888" s="248">
        <f>VLOOKUP(Table323[[#This Row],[Census Tract]],'Income and Housing Data'!$B$2:$D$823,3,FALSE)</f>
        <v>219792</v>
      </c>
      <c r="S888" s="248" t="str">
        <f>IF($U$6&lt;=Table323[[#This Row],[Household income]],IF(Table323[[#This Row],[Household income]]&lt;=$U$7, "Yes","No"),"No")</f>
        <v>No</v>
      </c>
    </row>
    <row r="889" spans="1:19" x14ac:dyDescent="0.25">
      <c r="A889" s="147">
        <v>9001045102</v>
      </c>
      <c r="B889" s="148" t="s">
        <v>2859</v>
      </c>
      <c r="C889" s="150" t="s">
        <v>944</v>
      </c>
      <c r="D889" s="70">
        <v>164794.82669568001</v>
      </c>
      <c r="E889" s="70">
        <v>80385.501600000105</v>
      </c>
      <c r="F889" s="14">
        <v>26</v>
      </c>
      <c r="G889" s="14">
        <v>26</v>
      </c>
      <c r="H889" s="14">
        <v>0</v>
      </c>
      <c r="I889" s="14">
        <v>0</v>
      </c>
      <c r="J889" s="69">
        <v>41175.417600000001</v>
      </c>
      <c r="K889">
        <f t="shared" si="13"/>
        <v>7</v>
      </c>
      <c r="L889" s="14">
        <v>7</v>
      </c>
      <c r="M889" s="14">
        <v>0</v>
      </c>
      <c r="N889" s="14">
        <v>0</v>
      </c>
      <c r="O889" s="69">
        <v>14578.6</v>
      </c>
      <c r="P889" s="226">
        <f>VLOOKUP(Table323[[#This Row],[Census Tract]],'Population and Diversity Data'!$B$2:$K$823,10,FALSE)</f>
        <v>3</v>
      </c>
      <c r="Q889" s="226" t="str">
        <f>VLOOKUP(Table323[[#This Row],[Census Tract]],'ES Energy Burden'!$B$2:$E$914,4,FALSE)</f>
        <v>No</v>
      </c>
      <c r="R889" s="248">
        <f>VLOOKUP(Table323[[#This Row],[Census Tract]],'Income and Housing Data'!$B$2:$D$823,3,FALSE)</f>
        <v>166677</v>
      </c>
      <c r="S889" s="248" t="str">
        <f>IF($U$6&lt;=Table323[[#This Row],[Household income]],IF(Table323[[#This Row],[Household income]]&lt;=$U$7, "Yes","No"),"No")</f>
        <v>No</v>
      </c>
    </row>
    <row r="890" spans="1:19" x14ac:dyDescent="0.25">
      <c r="A890" s="147">
        <v>9001045200</v>
      </c>
      <c r="B890" s="148" t="s">
        <v>2859</v>
      </c>
      <c r="C890" s="150" t="s">
        <v>944</v>
      </c>
      <c r="D890" s="70">
        <v>79552.867651200009</v>
      </c>
      <c r="E890" s="70">
        <v>17456.605100000001</v>
      </c>
      <c r="F890" s="14">
        <v>13</v>
      </c>
      <c r="G890" s="14">
        <v>13</v>
      </c>
      <c r="H890" s="14">
        <v>0</v>
      </c>
      <c r="I890" s="14">
        <v>0</v>
      </c>
      <c r="J890" s="69">
        <v>16972.4751</v>
      </c>
      <c r="K890">
        <f t="shared" si="13"/>
        <v>0</v>
      </c>
      <c r="L890" s="14">
        <v>0</v>
      </c>
      <c r="M890" s="14">
        <v>0</v>
      </c>
      <c r="N890" s="14">
        <v>0</v>
      </c>
      <c r="O890" s="69">
        <v>0</v>
      </c>
      <c r="P890" s="226">
        <f>VLOOKUP(Table323[[#This Row],[Census Tract]],'Population and Diversity Data'!$B$2:$K$823,10,FALSE)</f>
        <v>3</v>
      </c>
      <c r="Q890" s="226" t="str">
        <f>VLOOKUP(Table323[[#This Row],[Census Tract]],'ES Energy Burden'!$B$2:$E$914,4,FALSE)</f>
        <v>No</v>
      </c>
      <c r="R890" s="248">
        <f>VLOOKUP(Table323[[#This Row],[Census Tract]],'Income and Housing Data'!$B$2:$D$823,3,FALSE)</f>
        <v>144375</v>
      </c>
      <c r="S890" s="248" t="str">
        <f>IF($U$6&lt;=Table323[[#This Row],[Household income]],IF(Table323[[#This Row],[Household income]]&lt;=$U$7, "Yes","No"),"No")</f>
        <v>No</v>
      </c>
    </row>
    <row r="891" spans="1:19" x14ac:dyDescent="0.25">
      <c r="A891" s="147">
        <v>9001045300</v>
      </c>
      <c r="B891" s="148" t="s">
        <v>2859</v>
      </c>
      <c r="C891" s="150" t="s">
        <v>944</v>
      </c>
      <c r="D891" s="70">
        <v>59936.719996799999</v>
      </c>
      <c r="E891" s="70">
        <v>10246.200000000001</v>
      </c>
      <c r="F891" s="14">
        <v>1</v>
      </c>
      <c r="G891" s="14">
        <v>1</v>
      </c>
      <c r="H891" s="14">
        <v>0</v>
      </c>
      <c r="I891" s="14">
        <v>0</v>
      </c>
      <c r="J891" s="69">
        <v>799.49</v>
      </c>
      <c r="K891">
        <f t="shared" si="13"/>
        <v>0</v>
      </c>
      <c r="L891" s="14">
        <v>0</v>
      </c>
      <c r="M891" s="14">
        <v>0</v>
      </c>
      <c r="N891" s="14">
        <v>0</v>
      </c>
      <c r="O891" s="69">
        <v>0</v>
      </c>
      <c r="P891" s="226">
        <f>VLOOKUP(Table323[[#This Row],[Census Tract]],'Population and Diversity Data'!$B$2:$K$823,10,FALSE)</f>
        <v>4</v>
      </c>
      <c r="Q891" s="226" t="str">
        <f>VLOOKUP(Table323[[#This Row],[Census Tract]],'ES Energy Burden'!$B$2:$E$914,4,FALSE)</f>
        <v>No</v>
      </c>
      <c r="R891" s="248">
        <f>VLOOKUP(Table323[[#This Row],[Census Tract]],'Income and Housing Data'!$B$2:$D$823,3,FALSE)</f>
        <v>229531</v>
      </c>
      <c r="S891" s="248" t="str">
        <f>IF($U$6&lt;=Table323[[#This Row],[Household income]],IF(Table323[[#This Row],[Household income]]&lt;=$U$7, "Yes","No"),"No")</f>
        <v>No</v>
      </c>
    </row>
    <row r="892" spans="1:19" x14ac:dyDescent="0.25">
      <c r="A892" s="147">
        <v>9001045400</v>
      </c>
      <c r="B892" s="148" t="s">
        <v>2859</v>
      </c>
      <c r="C892" s="150" t="s">
        <v>944</v>
      </c>
      <c r="D892" s="70">
        <v>84004.02648</v>
      </c>
      <c r="E892" s="70">
        <v>24622.080000000002</v>
      </c>
      <c r="F892" s="14">
        <v>15</v>
      </c>
      <c r="G892" s="14">
        <v>15</v>
      </c>
      <c r="H892" s="14">
        <v>0</v>
      </c>
      <c r="I892" s="14">
        <v>0</v>
      </c>
      <c r="J892" s="69">
        <v>21421.58</v>
      </c>
      <c r="K892">
        <f t="shared" si="13"/>
        <v>0</v>
      </c>
      <c r="L892" s="14">
        <v>0</v>
      </c>
      <c r="M892" s="14">
        <v>0</v>
      </c>
      <c r="N892" s="14">
        <v>0</v>
      </c>
      <c r="O892" s="69">
        <v>0</v>
      </c>
      <c r="P892" s="226">
        <f>VLOOKUP(Table323[[#This Row],[Census Tract]],'Population and Diversity Data'!$B$2:$K$823,10,FALSE)</f>
        <v>4</v>
      </c>
      <c r="Q892" s="226" t="str">
        <f>VLOOKUP(Table323[[#This Row],[Census Tract]],'ES Energy Burden'!$B$2:$E$914,4,FALSE)</f>
        <v>No</v>
      </c>
      <c r="R892" s="248">
        <f>VLOOKUP(Table323[[#This Row],[Census Tract]],'Income and Housing Data'!$B$2:$D$823,3,FALSE)</f>
        <v>198281</v>
      </c>
      <c r="S892" s="248" t="str">
        <f>IF($U$6&lt;=Table323[[#This Row],[Household income]],IF(Table323[[#This Row],[Household income]]&lt;=$U$7, "Yes","No"),"No")</f>
        <v>No</v>
      </c>
    </row>
    <row r="893" spans="1:19" x14ac:dyDescent="0.25">
      <c r="A893" s="147">
        <v>9001055100</v>
      </c>
      <c r="B893" s="148" t="s">
        <v>2859</v>
      </c>
      <c r="C893" s="150" t="s">
        <v>944</v>
      </c>
      <c r="D893" s="70">
        <v>581.2128864</v>
      </c>
      <c r="E893" s="70">
        <v>0</v>
      </c>
      <c r="F893" s="14">
        <v>0</v>
      </c>
      <c r="G893" s="14">
        <v>0</v>
      </c>
      <c r="H893" s="14">
        <v>0</v>
      </c>
      <c r="I893" s="14">
        <v>0</v>
      </c>
      <c r="J893" s="69">
        <v>0</v>
      </c>
      <c r="K893">
        <f t="shared" si="13"/>
        <v>0</v>
      </c>
      <c r="L893" s="14">
        <v>0</v>
      </c>
      <c r="M893" s="14">
        <v>0</v>
      </c>
      <c r="N893" s="14">
        <v>0</v>
      </c>
      <c r="O893" s="69">
        <v>0</v>
      </c>
      <c r="P893" s="226">
        <f>VLOOKUP(Table323[[#This Row],[Census Tract]],'Population and Diversity Data'!$B$2:$K$823,10,FALSE)</f>
        <v>4</v>
      </c>
      <c r="Q893" s="226" t="str">
        <f>VLOOKUP(Table323[[#This Row],[Census Tract]],'ES Energy Burden'!$B$2:$E$914,4,FALSE)</f>
        <v>No</v>
      </c>
      <c r="R893" s="248">
        <f>VLOOKUP(Table323[[#This Row],[Census Tract]],'Income and Housing Data'!$B$2:$D$823,3,FALSE)</f>
        <v>202500</v>
      </c>
      <c r="S893" s="248" t="str">
        <f>IF($U$6&lt;=Table323[[#This Row],[Household income]],IF(Table323[[#This Row],[Household income]]&lt;=$U$7, "Yes","No"),"No")</f>
        <v>No</v>
      </c>
    </row>
    <row r="894" spans="1:19" x14ac:dyDescent="0.25">
      <c r="A894" s="147">
        <v>9001240100</v>
      </c>
      <c r="B894" s="148" t="s">
        <v>2859</v>
      </c>
      <c r="C894" s="150" t="s">
        <v>944</v>
      </c>
      <c r="D894" s="70">
        <v>504.25079040000003</v>
      </c>
      <c r="E894" s="70">
        <v>0</v>
      </c>
      <c r="F894" s="14">
        <v>0</v>
      </c>
      <c r="G894" s="14">
        <v>0</v>
      </c>
      <c r="H894" s="14">
        <v>0</v>
      </c>
      <c r="I894" s="14">
        <v>0</v>
      </c>
      <c r="J894" s="69">
        <v>0</v>
      </c>
      <c r="K894">
        <f t="shared" si="13"/>
        <v>0</v>
      </c>
      <c r="L894" s="14">
        <v>0</v>
      </c>
      <c r="M894" s="14">
        <v>0</v>
      </c>
      <c r="N894" s="14">
        <v>0</v>
      </c>
      <c r="O894" s="69">
        <v>0</v>
      </c>
      <c r="P894" s="226">
        <f>VLOOKUP(Table323[[#This Row],[Census Tract]],'Population and Diversity Data'!$B$2:$K$823,10,FALSE)</f>
        <v>1</v>
      </c>
      <c r="Q894" s="226" t="str">
        <f>VLOOKUP(Table323[[#This Row],[Census Tract]],'ES Energy Burden'!$B$2:$E$914,4,FALSE)</f>
        <v>No</v>
      </c>
      <c r="R894" s="248">
        <f>VLOOKUP(Table323[[#This Row],[Census Tract]],'Income and Housing Data'!$B$2:$D$823,3,FALSE)</f>
        <v>131992</v>
      </c>
      <c r="S894" s="248" t="str">
        <f>IF($U$6&lt;=Table323[[#This Row],[Household income]],IF(Table323[[#This Row],[Household income]]&lt;=$U$7, "Yes","No"),"No")</f>
        <v>No</v>
      </c>
    </row>
    <row r="895" spans="1:19" x14ac:dyDescent="0.25">
      <c r="A895" s="147">
        <v>9001245400</v>
      </c>
      <c r="B895" s="148" t="s">
        <v>2859</v>
      </c>
      <c r="C895" s="150" t="s">
        <v>944</v>
      </c>
      <c r="D895" s="70">
        <v>431.873424</v>
      </c>
      <c r="E895" s="70">
        <v>0</v>
      </c>
      <c r="F895" s="14">
        <v>0</v>
      </c>
      <c r="G895" s="14">
        <v>0</v>
      </c>
      <c r="H895" s="14">
        <v>0</v>
      </c>
      <c r="I895" s="14">
        <v>0</v>
      </c>
      <c r="J895" s="69">
        <v>0</v>
      </c>
      <c r="K895">
        <f t="shared" si="13"/>
        <v>0</v>
      </c>
      <c r="L895" s="14">
        <v>0</v>
      </c>
      <c r="M895" s="14">
        <v>0</v>
      </c>
      <c r="N895" s="14">
        <v>0</v>
      </c>
      <c r="O895" s="69">
        <v>0</v>
      </c>
      <c r="P895" s="226">
        <f>VLOOKUP(Table323[[#This Row],[Census Tract]],'Population and Diversity Data'!$B$2:$K$823,10,FALSE)</f>
        <v>1</v>
      </c>
      <c r="Q895" s="226" t="str">
        <f>VLOOKUP(Table323[[#This Row],[Census Tract]],'ES Energy Burden'!$B$2:$E$914,4,FALSE)</f>
        <v>No</v>
      </c>
      <c r="R895" s="248">
        <f>VLOOKUP(Table323[[#This Row],[Census Tract]],'Income and Housing Data'!$B$2:$D$823,3,FALSE)</f>
        <v>177361</v>
      </c>
      <c r="S895" s="248" t="str">
        <f>IF($U$6&lt;=Table323[[#This Row],[Household income]],IF(Table323[[#This Row],[Household income]]&lt;=$U$7, "Yes","No"),"No")</f>
        <v>No</v>
      </c>
    </row>
    <row r="896" spans="1:19" x14ac:dyDescent="0.25">
      <c r="A896" s="147">
        <v>9005290100</v>
      </c>
      <c r="B896" s="148" t="s">
        <v>2860</v>
      </c>
      <c r="C896" s="150" t="s">
        <v>944</v>
      </c>
      <c r="D896" s="70">
        <v>2422.8848736</v>
      </c>
      <c r="E896" s="70">
        <v>0</v>
      </c>
      <c r="F896" s="14">
        <v>0</v>
      </c>
      <c r="G896" s="14">
        <v>0</v>
      </c>
      <c r="H896" s="14">
        <v>0</v>
      </c>
      <c r="I896" s="14">
        <v>0</v>
      </c>
      <c r="J896" s="69">
        <v>0</v>
      </c>
      <c r="K896">
        <f t="shared" si="13"/>
        <v>0</v>
      </c>
      <c r="L896" s="14">
        <v>0</v>
      </c>
      <c r="M896" s="14">
        <v>0</v>
      </c>
      <c r="N896" s="14">
        <v>0</v>
      </c>
      <c r="O896" s="69">
        <v>0</v>
      </c>
      <c r="P896" s="226">
        <f>VLOOKUP(Table323[[#This Row],[Census Tract]],'Population and Diversity Data'!$B$2:$K$823,10,FALSE)</f>
        <v>2</v>
      </c>
      <c r="Q896" s="226" t="str">
        <f>VLOOKUP(Table323[[#This Row],[Census Tract]],'ES Energy Burden'!$B$2:$E$914,4,FALSE)</f>
        <v>No</v>
      </c>
      <c r="R896" s="248">
        <f>VLOOKUP(Table323[[#This Row],[Census Tract]],'Income and Housing Data'!$B$2:$D$823,3,FALSE)</f>
        <v>109688</v>
      </c>
      <c r="S896" s="248" t="str">
        <f>IF($U$6&lt;=Table323[[#This Row],[Household income]],IF(Table323[[#This Row],[Household income]]&lt;=$U$7, "Yes","No"),"No")</f>
        <v>No</v>
      </c>
    </row>
    <row r="897" spans="1:19" x14ac:dyDescent="0.25">
      <c r="A897" s="147">
        <v>9005293100</v>
      </c>
      <c r="B897" s="148" t="s">
        <v>2860</v>
      </c>
      <c r="C897" s="150" t="s">
        <v>944</v>
      </c>
      <c r="D897" s="70">
        <v>6067.4323103999996</v>
      </c>
      <c r="E897" s="70">
        <v>1576.65</v>
      </c>
      <c r="F897" s="14">
        <v>2</v>
      </c>
      <c r="G897" s="14">
        <v>2</v>
      </c>
      <c r="H897" s="14">
        <v>0</v>
      </c>
      <c r="I897" s="14">
        <v>0</v>
      </c>
      <c r="J897" s="69">
        <v>1576.27</v>
      </c>
      <c r="K897">
        <f t="shared" si="13"/>
        <v>0</v>
      </c>
      <c r="L897" s="14">
        <v>0</v>
      </c>
      <c r="M897" s="14">
        <v>0</v>
      </c>
      <c r="N897" s="14">
        <v>0</v>
      </c>
      <c r="O897" s="69">
        <v>0</v>
      </c>
      <c r="P897" s="226">
        <f>VLOOKUP(Table323[[#This Row],[Census Tract]],'Population and Diversity Data'!$B$2:$K$823,10,FALSE)</f>
        <v>1</v>
      </c>
      <c r="Q897" s="226" t="str">
        <f>VLOOKUP(Table323[[#This Row],[Census Tract]],'ES Energy Burden'!$B$2:$E$914,4,FALSE)</f>
        <v>No</v>
      </c>
      <c r="R897" s="248">
        <f>VLOOKUP(Table323[[#This Row],[Census Tract]],'Income and Housing Data'!$B$2:$D$823,3,FALSE)</f>
        <v>98250</v>
      </c>
      <c r="S897" s="248" t="str">
        <f>IF($U$6&lt;=Table323[[#This Row],[Household income]],IF(Table323[[#This Row],[Household income]]&lt;=$U$7, "Yes","No"),"No")</f>
        <v>No</v>
      </c>
    </row>
    <row r="898" spans="1:19" x14ac:dyDescent="0.25">
      <c r="A898" s="147">
        <v>9005310700</v>
      </c>
      <c r="B898" s="148" t="s">
        <v>2860</v>
      </c>
      <c r="C898" s="150" t="s">
        <v>944</v>
      </c>
      <c r="D898" s="70">
        <v>515.61999360000004</v>
      </c>
      <c r="E898" s="70">
        <v>0</v>
      </c>
      <c r="F898" s="14">
        <v>0</v>
      </c>
      <c r="G898" s="14">
        <v>0</v>
      </c>
      <c r="H898" s="14">
        <v>0</v>
      </c>
      <c r="I898" s="14">
        <v>0</v>
      </c>
      <c r="J898" s="69">
        <v>0</v>
      </c>
      <c r="K898">
        <f t="shared" si="13"/>
        <v>0</v>
      </c>
      <c r="L898" s="14">
        <v>0</v>
      </c>
      <c r="M898" s="14">
        <v>0</v>
      </c>
      <c r="N898" s="14">
        <v>0</v>
      </c>
      <c r="O898" s="69">
        <v>0</v>
      </c>
      <c r="P898" s="226">
        <f>VLOOKUP(Table323[[#This Row],[Census Tract]],'Population and Diversity Data'!$B$2:$K$823,10,FALSE)</f>
        <v>1</v>
      </c>
      <c r="Q898" s="226" t="str">
        <f>VLOOKUP(Table323[[#This Row],[Census Tract]],'ES Energy Burden'!$B$2:$E$914,4,FALSE)</f>
        <v>No</v>
      </c>
      <c r="R898" s="248">
        <f>VLOOKUP(Table323[[#This Row],[Census Tract]],'Income and Housing Data'!$B$2:$D$823,3,FALSE)</f>
        <v>64341</v>
      </c>
      <c r="S898" s="248" t="str">
        <f>IF($U$6&lt;=Table323[[#This Row],[Household income]],IF(Table323[[#This Row],[Household income]]&lt;=$U$7, "Yes","No"),"No")</f>
        <v>No</v>
      </c>
    </row>
    <row r="899" spans="1:19" x14ac:dyDescent="0.25">
      <c r="A899" s="147">
        <v>9005320100</v>
      </c>
      <c r="B899" s="148" t="s">
        <v>2860</v>
      </c>
      <c r="C899" s="150" t="s">
        <v>944</v>
      </c>
      <c r="D899" s="70">
        <v>112367.13834528001</v>
      </c>
      <c r="E899" s="70">
        <v>28255.501</v>
      </c>
      <c r="F899" s="14">
        <v>6</v>
      </c>
      <c r="G899" s="14">
        <v>6</v>
      </c>
      <c r="H899" s="14">
        <v>0</v>
      </c>
      <c r="I899" s="14">
        <v>0</v>
      </c>
      <c r="J899" s="69">
        <v>8629.4699999999993</v>
      </c>
      <c r="K899">
        <f t="shared" si="13"/>
        <v>18</v>
      </c>
      <c r="L899" s="14">
        <v>18</v>
      </c>
      <c r="M899" s="14">
        <v>0</v>
      </c>
      <c r="N899" s="14">
        <v>0</v>
      </c>
      <c r="O899" s="69">
        <v>4470.49</v>
      </c>
      <c r="P899" s="226">
        <f>VLOOKUP(Table323[[#This Row],[Census Tract]],'Population and Diversity Data'!$B$2:$K$823,10,FALSE)</f>
        <v>1</v>
      </c>
      <c r="Q899" s="226" t="str">
        <f>VLOOKUP(Table323[[#This Row],[Census Tract]],'ES Energy Burden'!$B$2:$E$914,4,FALSE)</f>
        <v>No</v>
      </c>
      <c r="R899" s="248">
        <f>VLOOKUP(Table323[[#This Row],[Census Tract]],'Income and Housing Data'!$B$2:$D$823,3,FALSE)</f>
        <v>60160</v>
      </c>
      <c r="S899" s="248" t="str">
        <f>IF($U$6&lt;=Table323[[#This Row],[Household income]],IF(Table323[[#This Row],[Household income]]&lt;=$U$7, "Yes","No"),"No")</f>
        <v>Yes</v>
      </c>
    </row>
    <row r="900" spans="1:19" x14ac:dyDescent="0.25">
      <c r="A900" s="147">
        <v>9005320200</v>
      </c>
      <c r="B900" s="148" t="s">
        <v>2860</v>
      </c>
      <c r="C900" s="150" t="s">
        <v>944</v>
      </c>
      <c r="D900" s="70">
        <v>83128.746026879991</v>
      </c>
      <c r="E900" s="70">
        <v>13461.21</v>
      </c>
      <c r="F900" s="14">
        <v>10</v>
      </c>
      <c r="G900" s="14">
        <v>10</v>
      </c>
      <c r="H900" s="14">
        <v>0</v>
      </c>
      <c r="I900" s="14">
        <v>0</v>
      </c>
      <c r="J900" s="69">
        <v>8285.17</v>
      </c>
      <c r="K900">
        <f t="shared" si="13"/>
        <v>0</v>
      </c>
      <c r="L900" s="14">
        <v>0</v>
      </c>
      <c r="M900" s="14">
        <v>0</v>
      </c>
      <c r="N900" s="14">
        <v>0</v>
      </c>
      <c r="O900" s="69">
        <v>0</v>
      </c>
      <c r="P900" s="226">
        <f>VLOOKUP(Table323[[#This Row],[Census Tract]],'Population and Diversity Data'!$B$2:$K$823,10,FALSE)</f>
        <v>3</v>
      </c>
      <c r="Q900" s="226" t="str">
        <f>VLOOKUP(Table323[[#This Row],[Census Tract]],'ES Energy Burden'!$B$2:$E$914,4,FALSE)</f>
        <v>No</v>
      </c>
      <c r="R900" s="248">
        <f>VLOOKUP(Table323[[#This Row],[Census Tract]],'Income and Housing Data'!$B$2:$D$823,3,FALSE)</f>
        <v>74044</v>
      </c>
      <c r="S900" s="248" t="str">
        <f>IF($U$6&lt;=Table323[[#This Row],[Household income]],IF(Table323[[#This Row],[Household income]]&lt;=$U$7, "Yes","No"),"No")</f>
        <v>No</v>
      </c>
    </row>
    <row r="901" spans="1:19" x14ac:dyDescent="0.25">
      <c r="A901" s="147">
        <v>9013881500</v>
      </c>
      <c r="B901" s="148" t="s">
        <v>2861</v>
      </c>
      <c r="C901" s="150" t="s">
        <v>944</v>
      </c>
      <c r="D901" s="70">
        <v>3206.7462816000002</v>
      </c>
      <c r="E901" s="70">
        <v>0</v>
      </c>
      <c r="F901" s="14">
        <v>0</v>
      </c>
      <c r="G901" s="14">
        <v>0</v>
      </c>
      <c r="H901" s="14">
        <v>0</v>
      </c>
      <c r="I901" s="14">
        <v>0</v>
      </c>
      <c r="J901" s="69">
        <v>0</v>
      </c>
      <c r="K901">
        <f t="shared" si="13"/>
        <v>0</v>
      </c>
      <c r="L901" s="14">
        <v>0</v>
      </c>
      <c r="M901" s="14">
        <v>0</v>
      </c>
      <c r="N901" s="14">
        <v>0</v>
      </c>
      <c r="O901" s="69">
        <v>0</v>
      </c>
      <c r="P901" s="226">
        <f>VLOOKUP(Table323[[#This Row],[Census Tract]],'Population and Diversity Data'!$B$2:$K$823,10,FALSE)</f>
        <v>4</v>
      </c>
      <c r="Q901" s="226" t="str">
        <f>VLOOKUP(Table323[[#This Row],[Census Tract]],'ES Energy Burden'!$B$2:$E$914,4,FALSE)</f>
        <v>No</v>
      </c>
      <c r="R901" s="248">
        <f>VLOOKUP(Table323[[#This Row],[Census Tract]],'Income and Housing Data'!$B$2:$D$823,3,FALSE)</f>
        <v>53162</v>
      </c>
      <c r="S901" s="248" t="str">
        <f>IF($U$6&lt;=Table323[[#This Row],[Household income]],IF(Table323[[#This Row],[Household income]]&lt;=$U$7, "Yes","No"),"No")</f>
        <v>Yes</v>
      </c>
    </row>
    <row r="902" spans="1:19" x14ac:dyDescent="0.25">
      <c r="A902" s="147">
        <v>9015800300</v>
      </c>
      <c r="B902" s="148" t="s">
        <v>2861</v>
      </c>
      <c r="C902" s="150" t="s">
        <v>944</v>
      </c>
      <c r="D902" s="70">
        <v>46300.286966400003</v>
      </c>
      <c r="E902" s="70">
        <v>43359.29</v>
      </c>
      <c r="F902" s="14">
        <v>5</v>
      </c>
      <c r="G902" s="14">
        <v>5</v>
      </c>
      <c r="H902" s="14">
        <v>0</v>
      </c>
      <c r="I902" s="14">
        <v>0</v>
      </c>
      <c r="J902" s="69">
        <v>3776.43</v>
      </c>
      <c r="K902">
        <f t="shared" ref="K902:K936" si="14">L902+M902+N902</f>
        <v>0</v>
      </c>
      <c r="L902" s="14">
        <v>0</v>
      </c>
      <c r="M902" s="14">
        <v>0</v>
      </c>
      <c r="N902" s="14">
        <v>0</v>
      </c>
      <c r="O902" s="69">
        <v>0</v>
      </c>
      <c r="P902" s="226">
        <f>VLOOKUP(Table323[[#This Row],[Census Tract]],'Population and Diversity Data'!$B$2:$K$823,10,FALSE)</f>
        <v>5</v>
      </c>
      <c r="Q902" s="226" t="str">
        <f>VLOOKUP(Table323[[#This Row],[Census Tract]],'ES Energy Burden'!$B$2:$E$914,4,FALSE)</f>
        <v>Yes</v>
      </c>
      <c r="R902" s="248">
        <f>VLOOKUP(Table323[[#This Row],[Census Tract]],'Income and Housing Data'!$B$2:$D$823,3,FALSE)</f>
        <v>26840</v>
      </c>
      <c r="S902" s="248" t="str">
        <f>IF($U$6&lt;=Table323[[#This Row],[Household income]],IF(Table323[[#This Row],[Household income]]&lt;=$U$7, "Yes","No"),"No")</f>
        <v>No</v>
      </c>
    </row>
    <row r="903" spans="1:19" x14ac:dyDescent="0.25">
      <c r="A903" s="147">
        <v>9015800400</v>
      </c>
      <c r="B903" s="148" t="s">
        <v>2861</v>
      </c>
      <c r="C903" s="150" t="s">
        <v>944</v>
      </c>
      <c r="D903" s="70">
        <v>60159.073014720001</v>
      </c>
      <c r="E903" s="70">
        <v>17243.333500000001</v>
      </c>
      <c r="F903" s="14">
        <v>10</v>
      </c>
      <c r="G903" s="14">
        <v>10</v>
      </c>
      <c r="H903" s="14">
        <v>0</v>
      </c>
      <c r="I903" s="14">
        <v>0</v>
      </c>
      <c r="J903" s="69">
        <v>5757.9335000000001</v>
      </c>
      <c r="K903">
        <f t="shared" si="14"/>
        <v>0</v>
      </c>
      <c r="L903" s="14">
        <v>0</v>
      </c>
      <c r="M903" s="14">
        <v>0</v>
      </c>
      <c r="N903" s="14">
        <v>0</v>
      </c>
      <c r="O903" s="69">
        <v>0</v>
      </c>
      <c r="P903" s="226">
        <f>VLOOKUP(Table323[[#This Row],[Census Tract]],'Population and Diversity Data'!$B$2:$K$823,10,FALSE)</f>
        <v>5</v>
      </c>
      <c r="Q903" s="226" t="str">
        <f>VLOOKUP(Table323[[#This Row],[Census Tract]],'ES Energy Burden'!$B$2:$E$914,4,FALSE)</f>
        <v>No</v>
      </c>
      <c r="R903" s="248">
        <f>VLOOKUP(Table323[[#This Row],[Census Tract]],'Income and Housing Data'!$B$2:$D$823,3,FALSE)</f>
        <v>61675</v>
      </c>
      <c r="S903" s="248" t="str">
        <f>IF($U$6&lt;=Table323[[#This Row],[Household income]],IF(Table323[[#This Row],[Household income]]&lt;=$U$7, "Yes","No"),"No")</f>
        <v>Yes</v>
      </c>
    </row>
    <row r="904" spans="1:19" x14ac:dyDescent="0.25">
      <c r="A904" s="147">
        <v>9015800500</v>
      </c>
      <c r="B904" s="148" t="s">
        <v>2861</v>
      </c>
      <c r="C904" s="150" t="s">
        <v>944</v>
      </c>
      <c r="D904" s="70">
        <v>129961.81041120001</v>
      </c>
      <c r="E904" s="70">
        <v>408720.65419999999</v>
      </c>
      <c r="F904" s="14">
        <v>26</v>
      </c>
      <c r="G904" s="14">
        <v>26</v>
      </c>
      <c r="H904" s="14">
        <v>0</v>
      </c>
      <c r="I904" s="14">
        <v>0</v>
      </c>
      <c r="J904" s="69">
        <v>22184.503000000001</v>
      </c>
      <c r="K904">
        <f t="shared" si="14"/>
        <v>101</v>
      </c>
      <c r="L904" s="14">
        <v>23</v>
      </c>
      <c r="M904" s="14">
        <v>1</v>
      </c>
      <c r="N904" s="14">
        <v>77</v>
      </c>
      <c r="O904" s="69">
        <v>286608</v>
      </c>
      <c r="P904" s="226">
        <f>VLOOKUP(Table323[[#This Row],[Census Tract]],'Population and Diversity Data'!$B$2:$K$823,10,FALSE)</f>
        <v>5</v>
      </c>
      <c r="Q904" s="226" t="str">
        <f>VLOOKUP(Table323[[#This Row],[Census Tract]],'ES Energy Burden'!$B$2:$E$914,4,FALSE)</f>
        <v>No</v>
      </c>
      <c r="R904" s="248">
        <f>VLOOKUP(Table323[[#This Row],[Census Tract]],'Income and Housing Data'!$B$2:$D$823,3,FALSE)</f>
        <v>58278</v>
      </c>
      <c r="S904" s="248" t="str">
        <f>IF($U$6&lt;=Table323[[#This Row],[Household income]],IF(Table323[[#This Row],[Household income]]&lt;=$U$7, "Yes","No"),"No")</f>
        <v>Yes</v>
      </c>
    </row>
    <row r="905" spans="1:19" x14ac:dyDescent="0.25">
      <c r="A905" s="147">
        <v>9015800600</v>
      </c>
      <c r="B905" s="148" t="s">
        <v>2861</v>
      </c>
      <c r="C905" s="150" t="s">
        <v>944</v>
      </c>
      <c r="D905" s="70">
        <v>64791.193204800002</v>
      </c>
      <c r="E905" s="70">
        <v>890.52359999999999</v>
      </c>
      <c r="F905" s="14">
        <v>4</v>
      </c>
      <c r="G905" s="14">
        <v>2</v>
      </c>
      <c r="H905" s="14">
        <v>2</v>
      </c>
      <c r="I905" s="14">
        <v>0</v>
      </c>
      <c r="J905" s="69">
        <v>802.30359999999996</v>
      </c>
      <c r="K905">
        <f t="shared" si="14"/>
        <v>0</v>
      </c>
      <c r="L905" s="14">
        <v>0</v>
      </c>
      <c r="M905" s="14">
        <v>0</v>
      </c>
      <c r="N905" s="14">
        <v>0</v>
      </c>
      <c r="O905" s="69">
        <v>0</v>
      </c>
      <c r="P905" s="226">
        <f>VLOOKUP(Table323[[#This Row],[Census Tract]],'Population and Diversity Data'!$B$2:$K$823,10,FALSE)</f>
        <v>5</v>
      </c>
      <c r="Q905" s="226" t="str">
        <f>VLOOKUP(Table323[[#This Row],[Census Tract]],'ES Energy Burden'!$B$2:$E$914,4,FALSE)</f>
        <v>Yes</v>
      </c>
      <c r="R905" s="248">
        <f>VLOOKUP(Table323[[#This Row],[Census Tract]],'Income and Housing Data'!$B$2:$D$823,3,FALSE)</f>
        <v>35799</v>
      </c>
      <c r="S905" s="248" t="str">
        <f>IF($U$6&lt;=Table323[[#This Row],[Household income]],IF(Table323[[#This Row],[Household income]]&lt;=$U$7, "Yes","No"),"No")</f>
        <v>No</v>
      </c>
    </row>
    <row r="906" spans="1:19" x14ac:dyDescent="0.25">
      <c r="A906" s="147">
        <v>9015800700</v>
      </c>
      <c r="B906" s="148" t="s">
        <v>2861</v>
      </c>
      <c r="C906" s="150" t="s">
        <v>944</v>
      </c>
      <c r="D906" s="70">
        <v>41272.490139839996</v>
      </c>
      <c r="E906" s="70">
        <v>41619.35</v>
      </c>
      <c r="F906" s="14">
        <v>9</v>
      </c>
      <c r="G906" s="14">
        <v>9</v>
      </c>
      <c r="H906" s="14">
        <v>0</v>
      </c>
      <c r="I906" s="14">
        <v>0</v>
      </c>
      <c r="J906" s="69">
        <v>6267.48</v>
      </c>
      <c r="K906">
        <f t="shared" si="14"/>
        <v>0</v>
      </c>
      <c r="L906" s="14">
        <v>0</v>
      </c>
      <c r="M906" s="14">
        <v>0</v>
      </c>
      <c r="N906" s="14">
        <v>0</v>
      </c>
      <c r="O906" s="69">
        <v>0</v>
      </c>
      <c r="P906" s="226">
        <f>VLOOKUP(Table323[[#This Row],[Census Tract]],'Population and Diversity Data'!$B$2:$K$823,10,FALSE)</f>
        <v>5</v>
      </c>
      <c r="Q906" s="226" t="str">
        <f>VLOOKUP(Table323[[#This Row],[Census Tract]],'ES Energy Burden'!$B$2:$E$914,4,FALSE)</f>
        <v>Yes</v>
      </c>
      <c r="R906" s="248">
        <f>VLOOKUP(Table323[[#This Row],[Census Tract]],'Income and Housing Data'!$B$2:$D$823,3,FALSE)</f>
        <v>46176</v>
      </c>
      <c r="S906" s="248" t="str">
        <f>IF($U$6&lt;=Table323[[#This Row],[Household income]],IF(Table323[[#This Row],[Household income]]&lt;=$U$7, "Yes","No"),"No")</f>
        <v>No</v>
      </c>
    </row>
    <row r="907" spans="1:19" x14ac:dyDescent="0.25">
      <c r="A907" s="147">
        <v>9015815000</v>
      </c>
      <c r="B907" s="148" t="s">
        <v>2861</v>
      </c>
      <c r="C907" s="150" t="s">
        <v>944</v>
      </c>
      <c r="D907" s="70">
        <v>265.50331199999999</v>
      </c>
      <c r="E907" s="70">
        <v>0</v>
      </c>
      <c r="F907" s="14">
        <v>0</v>
      </c>
      <c r="G907" s="14">
        <v>0</v>
      </c>
      <c r="H907" s="14">
        <v>0</v>
      </c>
      <c r="I907" s="14">
        <v>0</v>
      </c>
      <c r="J907" s="69">
        <v>0</v>
      </c>
      <c r="K907">
        <f t="shared" si="14"/>
        <v>0</v>
      </c>
      <c r="L907" s="14">
        <v>0</v>
      </c>
      <c r="M907" s="14">
        <v>0</v>
      </c>
      <c r="N907" s="14">
        <v>0</v>
      </c>
      <c r="O907" s="69">
        <v>0</v>
      </c>
      <c r="P907" s="226">
        <f>VLOOKUP(Table323[[#This Row],[Census Tract]],'Population and Diversity Data'!$B$2:$K$823,10,FALSE)</f>
        <v>5</v>
      </c>
      <c r="Q907" s="226" t="str">
        <f>VLOOKUP(Table323[[#This Row],[Census Tract]],'ES Energy Burden'!$B$2:$E$914,4,FALSE)</f>
        <v>No</v>
      </c>
      <c r="R907" s="248">
        <f>VLOOKUP(Table323[[#This Row],[Census Tract]],'Income and Housing Data'!$B$2:$D$823,3,FALSE)</f>
        <v>70500</v>
      </c>
      <c r="S907" s="248" t="str">
        <f>IF($U$6&lt;=Table323[[#This Row],[Household income]],IF(Table323[[#This Row],[Household income]]&lt;=$U$7, "Yes","No"),"No")</f>
        <v>No</v>
      </c>
    </row>
    <row r="908" spans="1:19" x14ac:dyDescent="0.25">
      <c r="A908" s="147">
        <v>9015825000</v>
      </c>
      <c r="B908" s="148" t="s">
        <v>2861</v>
      </c>
      <c r="C908" s="150" t="s">
        <v>944</v>
      </c>
      <c r="D908" s="70">
        <v>399.06829440000001</v>
      </c>
      <c r="E908" s="70">
        <v>0</v>
      </c>
      <c r="F908" s="14">
        <v>0</v>
      </c>
      <c r="G908" s="14">
        <v>0</v>
      </c>
      <c r="H908" s="14">
        <v>0</v>
      </c>
      <c r="I908" s="14">
        <v>0</v>
      </c>
      <c r="J908" s="69">
        <v>0</v>
      </c>
      <c r="K908">
        <f t="shared" si="14"/>
        <v>0</v>
      </c>
      <c r="L908" s="14">
        <v>0</v>
      </c>
      <c r="M908" s="14">
        <v>0</v>
      </c>
      <c r="N908" s="14">
        <v>0</v>
      </c>
      <c r="O908" s="69">
        <v>0</v>
      </c>
      <c r="P908" s="226">
        <f>VLOOKUP(Table323[[#This Row],[Census Tract]],'Population and Diversity Data'!$B$2:$K$823,10,FALSE)</f>
        <v>2</v>
      </c>
      <c r="Q908" s="226" t="str">
        <f>VLOOKUP(Table323[[#This Row],[Census Tract]],'ES Energy Burden'!$B$2:$E$914,4,FALSE)</f>
        <v>No</v>
      </c>
      <c r="R908" s="248">
        <f>VLOOKUP(Table323[[#This Row],[Census Tract]],'Income and Housing Data'!$B$2:$D$823,3,FALSE)</f>
        <v>86053</v>
      </c>
      <c r="S908" s="248" t="str">
        <f>IF($U$6&lt;=Table323[[#This Row],[Household income]],IF(Table323[[#This Row],[Household income]]&lt;=$U$7, "Yes","No"),"No")</f>
        <v>No</v>
      </c>
    </row>
    <row r="909" spans="1:19" x14ac:dyDescent="0.25">
      <c r="A909" s="147">
        <v>9003470100</v>
      </c>
      <c r="B909" s="148" t="s">
        <v>2862</v>
      </c>
      <c r="C909" s="150" t="s">
        <v>944</v>
      </c>
      <c r="D909" s="70">
        <v>284.12588160000001</v>
      </c>
      <c r="E909" s="70">
        <v>0</v>
      </c>
      <c r="F909" s="14">
        <v>0</v>
      </c>
      <c r="G909" s="14">
        <v>0</v>
      </c>
      <c r="H909" s="14">
        <v>0</v>
      </c>
      <c r="I909" s="14">
        <v>0</v>
      </c>
      <c r="J909" s="69">
        <v>0</v>
      </c>
      <c r="K909">
        <f t="shared" si="14"/>
        <v>0</v>
      </c>
      <c r="L909" s="14">
        <v>0</v>
      </c>
      <c r="M909" s="14">
        <v>0</v>
      </c>
      <c r="N909" s="14">
        <v>0</v>
      </c>
      <c r="O909" s="69">
        <v>0</v>
      </c>
      <c r="P909" s="226">
        <f>VLOOKUP(Table323[[#This Row],[Census Tract]],'Population and Diversity Data'!$B$2:$K$823,10,FALSE)</f>
        <v>3</v>
      </c>
      <c r="Q909" s="226" t="str">
        <f>VLOOKUP(Table323[[#This Row],[Census Tract]],'ES Energy Burden'!$B$2:$E$914,4,FALSE)</f>
        <v>No</v>
      </c>
      <c r="R909" s="248">
        <f>VLOOKUP(Table323[[#This Row],[Census Tract]],'Income and Housing Data'!$B$2:$D$823,3,FALSE)</f>
        <v>104336</v>
      </c>
      <c r="S909" s="248" t="str">
        <f>IF($U$6&lt;=Table323[[#This Row],[Household income]],IF(Table323[[#This Row],[Household income]]&lt;=$U$7, "Yes","No"),"No")</f>
        <v>No</v>
      </c>
    </row>
    <row r="910" spans="1:19" x14ac:dyDescent="0.25">
      <c r="A910" s="147">
        <v>9003471400</v>
      </c>
      <c r="B910" s="148" t="s">
        <v>2862</v>
      </c>
      <c r="C910" s="150" t="s">
        <v>944</v>
      </c>
      <c r="D910" s="70">
        <v>152.0659872</v>
      </c>
      <c r="E910" s="70">
        <v>0</v>
      </c>
      <c r="F910" s="14">
        <v>0</v>
      </c>
      <c r="G910" s="14">
        <v>0</v>
      </c>
      <c r="H910" s="14">
        <v>0</v>
      </c>
      <c r="I910" s="14">
        <v>0</v>
      </c>
      <c r="J910" s="69">
        <v>0</v>
      </c>
      <c r="K910">
        <f t="shared" si="14"/>
        <v>0</v>
      </c>
      <c r="L910" s="14">
        <v>0</v>
      </c>
      <c r="M910" s="14">
        <v>0</v>
      </c>
      <c r="N910" s="14">
        <v>0</v>
      </c>
      <c r="O910" s="69">
        <v>0</v>
      </c>
      <c r="P910" s="226">
        <f>VLOOKUP(Table323[[#This Row],[Census Tract]],'Population and Diversity Data'!$B$2:$K$823,10,FALSE)</f>
        <v>2</v>
      </c>
      <c r="Q910" s="226" t="str">
        <f>VLOOKUP(Table323[[#This Row],[Census Tract]],'ES Energy Burden'!$B$2:$E$914,4,FALSE)</f>
        <v>No</v>
      </c>
      <c r="R910" s="248">
        <f>VLOOKUP(Table323[[#This Row],[Census Tract]],'Income and Housing Data'!$B$2:$D$823,3,FALSE)</f>
        <v>105066</v>
      </c>
      <c r="S910" s="248" t="str">
        <f>IF($U$6&lt;=Table323[[#This Row],[Household income]],IF(Table323[[#This Row],[Household income]]&lt;=$U$7, "Yes","No"),"No")</f>
        <v>No</v>
      </c>
    </row>
    <row r="911" spans="1:19" x14ac:dyDescent="0.25">
      <c r="A911" s="147">
        <v>9003473100</v>
      </c>
      <c r="B911" s="148" t="s">
        <v>2862</v>
      </c>
      <c r="C911" s="150" t="s">
        <v>944</v>
      </c>
      <c r="D911" s="70">
        <v>118829.24582976</v>
      </c>
      <c r="E911" s="70">
        <v>227525.2506</v>
      </c>
      <c r="F911" s="14">
        <v>45</v>
      </c>
      <c r="G911" s="14">
        <v>45</v>
      </c>
      <c r="H911" s="14">
        <v>0</v>
      </c>
      <c r="I911" s="14">
        <v>0</v>
      </c>
      <c r="J911" s="69">
        <v>27490.858700000001</v>
      </c>
      <c r="K911">
        <f t="shared" si="14"/>
        <v>247</v>
      </c>
      <c r="L911" s="14">
        <v>202</v>
      </c>
      <c r="M911" s="14">
        <v>1</v>
      </c>
      <c r="N911" s="14">
        <v>44</v>
      </c>
      <c r="O911" s="69">
        <v>200030</v>
      </c>
      <c r="P911" s="226">
        <f>VLOOKUP(Table323[[#This Row],[Census Tract]],'Population and Diversity Data'!$B$2:$K$823,10,FALSE)</f>
        <v>1</v>
      </c>
      <c r="Q911" s="226" t="str">
        <f>VLOOKUP(Table323[[#This Row],[Census Tract]],'ES Energy Burden'!$B$2:$E$914,4,FALSE)</f>
        <v>No</v>
      </c>
      <c r="R911" s="248">
        <f>VLOOKUP(Table323[[#This Row],[Census Tract]],'Income and Housing Data'!$B$2:$D$823,3,FALSE)</f>
        <v>98611</v>
      </c>
      <c r="S911" s="248" t="str">
        <f>IF($U$6&lt;=Table323[[#This Row],[Household income]],IF(Table323[[#This Row],[Household income]]&lt;=$U$7, "Yes","No"),"No")</f>
        <v>No</v>
      </c>
    </row>
    <row r="912" spans="1:19" x14ac:dyDescent="0.25">
      <c r="A912" s="147">
        <v>9003473400</v>
      </c>
      <c r="B912" s="148" t="s">
        <v>2862</v>
      </c>
      <c r="C912" s="150" t="s">
        <v>944</v>
      </c>
      <c r="D912" s="70">
        <v>31967.588649600002</v>
      </c>
      <c r="E912" s="70">
        <v>52940.47</v>
      </c>
      <c r="F912" s="14">
        <v>7</v>
      </c>
      <c r="G912" s="14">
        <v>7</v>
      </c>
      <c r="H912" s="14">
        <v>0</v>
      </c>
      <c r="I912" s="14">
        <v>0</v>
      </c>
      <c r="J912" s="69">
        <v>3643.49</v>
      </c>
      <c r="K912">
        <f t="shared" si="14"/>
        <v>0</v>
      </c>
      <c r="L912" s="14">
        <v>0</v>
      </c>
      <c r="M912" s="14">
        <v>0</v>
      </c>
      <c r="N912" s="14">
        <v>0</v>
      </c>
      <c r="O912" s="69">
        <v>0</v>
      </c>
      <c r="P912" s="226">
        <f>VLOOKUP(Table323[[#This Row],[Census Tract]],'Population and Diversity Data'!$B$2:$K$823,10,FALSE)</f>
        <v>2</v>
      </c>
      <c r="Q912" s="226" t="str">
        <f>VLOOKUP(Table323[[#This Row],[Census Tract]],'ES Energy Burden'!$B$2:$E$914,4,FALSE)</f>
        <v>No</v>
      </c>
      <c r="R912" s="248">
        <f>VLOOKUP(Table323[[#This Row],[Census Tract]],'Income and Housing Data'!$B$2:$D$823,3,FALSE)</f>
        <v>74132</v>
      </c>
      <c r="S912" s="248" t="str">
        <f>IF($U$6&lt;=Table323[[#This Row],[Household income]],IF(Table323[[#This Row],[Household income]]&lt;=$U$7, "Yes","No"),"No")</f>
        <v>No</v>
      </c>
    </row>
    <row r="913" spans="1:19" x14ac:dyDescent="0.25">
      <c r="A913" s="147">
        <v>9003473501</v>
      </c>
      <c r="B913" s="148" t="s">
        <v>2862</v>
      </c>
      <c r="C913" s="150" t="s">
        <v>944</v>
      </c>
      <c r="D913" s="70">
        <v>82414.184659199993</v>
      </c>
      <c r="E913" s="70">
        <v>20406.150000000001</v>
      </c>
      <c r="F913" s="14">
        <v>26</v>
      </c>
      <c r="G913" s="14">
        <v>26</v>
      </c>
      <c r="H913" s="14">
        <v>0</v>
      </c>
      <c r="I913" s="14">
        <v>0</v>
      </c>
      <c r="J913" s="69">
        <v>19672.96</v>
      </c>
      <c r="K913">
        <f t="shared" si="14"/>
        <v>0</v>
      </c>
      <c r="L913" s="14">
        <v>0</v>
      </c>
      <c r="M913" s="14">
        <v>0</v>
      </c>
      <c r="N913" s="14">
        <v>0</v>
      </c>
      <c r="O913" s="69">
        <v>0</v>
      </c>
      <c r="P913" s="226">
        <f>VLOOKUP(Table323[[#This Row],[Census Tract]],'Population and Diversity Data'!$B$2:$K$823,10,FALSE)</f>
        <v>3</v>
      </c>
      <c r="Q913" s="226" t="str">
        <f>VLOOKUP(Table323[[#This Row],[Census Tract]],'ES Energy Burden'!$B$2:$E$914,4,FALSE)</f>
        <v>No</v>
      </c>
      <c r="R913" s="248">
        <f>VLOOKUP(Table323[[#This Row],[Census Tract]],'Income and Housing Data'!$B$2:$D$823,3,FALSE)</f>
        <v>116402</v>
      </c>
      <c r="S913" s="248" t="str">
        <f>IF($U$6&lt;=Table323[[#This Row],[Household income]],IF(Table323[[#This Row],[Household income]]&lt;=$U$7, "Yes","No"),"No")</f>
        <v>No</v>
      </c>
    </row>
    <row r="914" spans="1:19" x14ac:dyDescent="0.25">
      <c r="A914" s="147">
        <v>9003473502</v>
      </c>
      <c r="B914" s="148" t="s">
        <v>2862</v>
      </c>
      <c r="C914" s="150" t="s">
        <v>944</v>
      </c>
      <c r="D914" s="70">
        <v>54612.039352320004</v>
      </c>
      <c r="E914" s="70">
        <v>15242.11</v>
      </c>
      <c r="F914" s="14">
        <v>3</v>
      </c>
      <c r="G914" s="14">
        <v>3</v>
      </c>
      <c r="H914" s="14">
        <v>0</v>
      </c>
      <c r="I914" s="14">
        <v>0</v>
      </c>
      <c r="J914" s="69">
        <v>664.7</v>
      </c>
      <c r="K914">
        <f t="shared" si="14"/>
        <v>0</v>
      </c>
      <c r="L914" s="14">
        <v>0</v>
      </c>
      <c r="M914" s="14">
        <v>0</v>
      </c>
      <c r="N914" s="14">
        <v>0</v>
      </c>
      <c r="O914" s="69">
        <v>0</v>
      </c>
      <c r="P914" s="226">
        <f>VLOOKUP(Table323[[#This Row],[Census Tract]],'Population and Diversity Data'!$B$2:$K$823,10,FALSE)</f>
        <v>2</v>
      </c>
      <c r="Q914" s="226" t="str">
        <f>VLOOKUP(Table323[[#This Row],[Census Tract]],'ES Energy Burden'!$B$2:$E$914,4,FALSE)</f>
        <v>No</v>
      </c>
      <c r="R914" s="248">
        <f>VLOOKUP(Table323[[#This Row],[Census Tract]],'Income and Housing Data'!$B$2:$D$823,3,FALSE)</f>
        <v>88896</v>
      </c>
      <c r="S914" s="248" t="str">
        <f>IF($U$6&lt;=Table323[[#This Row],[Household income]],IF(Table323[[#This Row],[Household income]]&lt;=$U$7, "Yes","No"),"No")</f>
        <v>No</v>
      </c>
    </row>
    <row r="915" spans="1:19" x14ac:dyDescent="0.25">
      <c r="A915" s="147">
        <v>9003473601</v>
      </c>
      <c r="B915" s="148" t="s">
        <v>2862</v>
      </c>
      <c r="C915" s="150" t="s">
        <v>944</v>
      </c>
      <c r="D915" s="70">
        <v>56273.828431679998</v>
      </c>
      <c r="E915" s="70">
        <v>30001.8174</v>
      </c>
      <c r="F915" s="14">
        <v>20</v>
      </c>
      <c r="G915" s="14">
        <v>20</v>
      </c>
      <c r="H915" s="14">
        <v>0</v>
      </c>
      <c r="I915" s="14">
        <v>0</v>
      </c>
      <c r="J915" s="69">
        <v>13248.5674</v>
      </c>
      <c r="K915">
        <f t="shared" si="14"/>
        <v>0</v>
      </c>
      <c r="L915" s="14">
        <v>0</v>
      </c>
      <c r="M915" s="14">
        <v>0</v>
      </c>
      <c r="N915" s="14">
        <v>0</v>
      </c>
      <c r="O915" s="69">
        <v>0</v>
      </c>
      <c r="P915" s="226">
        <f>VLOOKUP(Table323[[#This Row],[Census Tract]],'Population and Diversity Data'!$B$2:$K$823,10,FALSE)</f>
        <v>3</v>
      </c>
      <c r="Q915" s="226" t="str">
        <f>VLOOKUP(Table323[[#This Row],[Census Tract]],'ES Energy Burden'!$B$2:$E$914,4,FALSE)</f>
        <v>No</v>
      </c>
      <c r="R915" s="248">
        <f>VLOOKUP(Table323[[#This Row],[Census Tract]],'Income and Housing Data'!$B$2:$D$823,3,FALSE)</f>
        <v>107670</v>
      </c>
      <c r="S915" s="248" t="str">
        <f>IF($U$6&lt;=Table323[[#This Row],[Household income]],IF(Table323[[#This Row],[Household income]]&lt;=$U$7, "Yes","No"),"No")</f>
        <v>No</v>
      </c>
    </row>
    <row r="916" spans="1:19" x14ac:dyDescent="0.25">
      <c r="A916" s="147">
        <v>9003473602</v>
      </c>
      <c r="B916" s="148" t="s">
        <v>2862</v>
      </c>
      <c r="C916" s="150" t="s">
        <v>944</v>
      </c>
      <c r="D916" s="70">
        <v>40136.663324160007</v>
      </c>
      <c r="E916" s="70">
        <v>7232.82</v>
      </c>
      <c r="F916" s="14">
        <v>2</v>
      </c>
      <c r="G916" s="14">
        <v>2</v>
      </c>
      <c r="H916" s="14">
        <v>0</v>
      </c>
      <c r="I916" s="14">
        <v>0</v>
      </c>
      <c r="J916" s="69">
        <v>2736.64</v>
      </c>
      <c r="K916">
        <f t="shared" si="14"/>
        <v>0</v>
      </c>
      <c r="L916" s="14">
        <v>0</v>
      </c>
      <c r="M916" s="14">
        <v>0</v>
      </c>
      <c r="N916" s="14">
        <v>0</v>
      </c>
      <c r="O916" s="69">
        <v>0</v>
      </c>
      <c r="P916" s="226">
        <f>VLOOKUP(Table323[[#This Row],[Census Tract]],'Population and Diversity Data'!$B$2:$K$823,10,FALSE)</f>
        <v>5</v>
      </c>
      <c r="Q916" s="226" t="str">
        <f>VLOOKUP(Table323[[#This Row],[Census Tract]],'ES Energy Burden'!$B$2:$E$914,4,FALSE)</f>
        <v>No</v>
      </c>
      <c r="R916" s="248">
        <f>VLOOKUP(Table323[[#This Row],[Census Tract]],'Income and Housing Data'!$B$2:$D$823,3,FALSE)</f>
        <v>81641</v>
      </c>
      <c r="S916" s="248" t="str">
        <f>IF($U$6&lt;=Table323[[#This Row],[Household income]],IF(Table323[[#This Row],[Household income]]&lt;=$U$7, "Yes","No"),"No")</f>
        <v>No</v>
      </c>
    </row>
    <row r="917" spans="1:19" x14ac:dyDescent="0.25">
      <c r="A917" s="147">
        <v>9003473700</v>
      </c>
      <c r="B917" s="148" t="s">
        <v>2862</v>
      </c>
      <c r="C917" s="150" t="s">
        <v>944</v>
      </c>
      <c r="D917" s="70">
        <v>82475.239132800009</v>
      </c>
      <c r="E917" s="70">
        <v>115028.0877</v>
      </c>
      <c r="F917" s="14">
        <v>34</v>
      </c>
      <c r="G917" s="14">
        <v>34</v>
      </c>
      <c r="H917" s="14">
        <v>0</v>
      </c>
      <c r="I917" s="14">
        <v>0</v>
      </c>
      <c r="J917" s="69">
        <v>22317.327700000002</v>
      </c>
      <c r="K917">
        <f t="shared" si="14"/>
        <v>0</v>
      </c>
      <c r="L917" s="14">
        <v>0</v>
      </c>
      <c r="M917" s="14">
        <v>0</v>
      </c>
      <c r="N917" s="14">
        <v>0</v>
      </c>
      <c r="O917" s="69">
        <v>0</v>
      </c>
      <c r="P917" s="226">
        <f>VLOOKUP(Table323[[#This Row],[Census Tract]],'Population and Diversity Data'!$B$2:$K$823,10,FALSE)</f>
        <v>3</v>
      </c>
      <c r="Q917" s="226" t="str">
        <f>VLOOKUP(Table323[[#This Row],[Census Tract]],'ES Energy Burden'!$B$2:$E$914,4,FALSE)</f>
        <v>No</v>
      </c>
      <c r="R917" s="248">
        <f>VLOOKUP(Table323[[#This Row],[Census Tract]],'Income and Housing Data'!$B$2:$D$823,3,FALSE)</f>
        <v>81250</v>
      </c>
      <c r="S917" s="248" t="str">
        <f>IF($U$6&lt;=Table323[[#This Row],[Household income]],IF(Table323[[#This Row],[Household income]]&lt;=$U$7, "Yes","No"),"No")</f>
        <v>No</v>
      </c>
    </row>
    <row r="918" spans="1:19" x14ac:dyDescent="0.25">
      <c r="A918" s="147">
        <v>9003473800</v>
      </c>
      <c r="B918" s="148" t="s">
        <v>2862</v>
      </c>
      <c r="C918" s="150" t="s">
        <v>944</v>
      </c>
      <c r="D918" s="70">
        <v>25234.275885120005</v>
      </c>
      <c r="E918" s="70">
        <v>23928.34</v>
      </c>
      <c r="F918" s="14">
        <v>5</v>
      </c>
      <c r="G918" s="14">
        <v>5</v>
      </c>
      <c r="H918" s="14">
        <v>0</v>
      </c>
      <c r="I918" s="14">
        <v>0</v>
      </c>
      <c r="J918" s="69">
        <v>2051.94</v>
      </c>
      <c r="K918">
        <f t="shared" si="14"/>
        <v>0</v>
      </c>
      <c r="L918" s="14">
        <v>0</v>
      </c>
      <c r="M918" s="14">
        <v>0</v>
      </c>
      <c r="N918" s="14">
        <v>0</v>
      </c>
      <c r="O918" s="69">
        <v>0</v>
      </c>
      <c r="P918" s="226">
        <f>VLOOKUP(Table323[[#This Row],[Census Tract]],'Population and Diversity Data'!$B$2:$K$823,10,FALSE)</f>
        <v>5</v>
      </c>
      <c r="Q918" s="226" t="str">
        <f>VLOOKUP(Table323[[#This Row],[Census Tract]],'ES Energy Burden'!$B$2:$E$914,4,FALSE)</f>
        <v>No</v>
      </c>
      <c r="R918" s="248">
        <f>VLOOKUP(Table323[[#This Row],[Census Tract]],'Income and Housing Data'!$B$2:$D$823,3,FALSE)</f>
        <v>80298</v>
      </c>
      <c r="S918" s="248" t="str">
        <f>IF($U$6&lt;=Table323[[#This Row],[Household income]],IF(Table323[[#This Row],[Household income]]&lt;=$U$7, "Yes","No"),"No")</f>
        <v>No</v>
      </c>
    </row>
    <row r="919" spans="1:19" x14ac:dyDescent="0.25">
      <c r="A919" s="147">
        <v>9003524400</v>
      </c>
      <c r="B919" s="148" t="s">
        <v>2862</v>
      </c>
      <c r="C919" s="150" t="s">
        <v>944</v>
      </c>
      <c r="D919" s="70">
        <v>500.29877664000003</v>
      </c>
      <c r="E919" s="70">
        <v>0</v>
      </c>
      <c r="F919" s="14">
        <v>0</v>
      </c>
      <c r="G919" s="14">
        <v>0</v>
      </c>
      <c r="H919" s="14">
        <v>0</v>
      </c>
      <c r="I919" s="14">
        <v>0</v>
      </c>
      <c r="J919" s="69">
        <v>0</v>
      </c>
      <c r="K919">
        <f t="shared" si="14"/>
        <v>0</v>
      </c>
      <c r="L919" s="14">
        <v>0</v>
      </c>
      <c r="M919" s="14">
        <v>0</v>
      </c>
      <c r="N919" s="14">
        <v>0</v>
      </c>
      <c r="O919" s="69">
        <v>0</v>
      </c>
      <c r="P919" s="226">
        <f>VLOOKUP(Table323[[#This Row],[Census Tract]],'Population and Diversity Data'!$B$2:$K$823,10,FALSE)</f>
        <v>5</v>
      </c>
      <c r="Q919" s="226" t="str">
        <f>VLOOKUP(Table323[[#This Row],[Census Tract]],'ES Energy Burden'!$B$2:$E$914,4,FALSE)</f>
        <v>Yes</v>
      </c>
      <c r="R919" s="248">
        <f>VLOOKUP(Table323[[#This Row],[Census Tract]],'Income and Housing Data'!$B$2:$D$823,3,FALSE)</f>
        <v>46155</v>
      </c>
      <c r="S919" s="248" t="str">
        <f>IF($U$6&lt;=Table323[[#This Row],[Household income]],IF(Table323[[#This Row],[Household income]]&lt;=$U$7, "Yes","No"),"No")</f>
        <v>No</v>
      </c>
    </row>
    <row r="920" spans="1:19" x14ac:dyDescent="0.25">
      <c r="A920" s="147">
        <v>9003476100</v>
      </c>
      <c r="B920" s="148" t="s">
        <v>2863</v>
      </c>
      <c r="C920" s="150" t="s">
        <v>944</v>
      </c>
      <c r="D920" s="70">
        <v>70373.131015680003</v>
      </c>
      <c r="E920" s="70">
        <v>22750.9817</v>
      </c>
      <c r="F920" s="14">
        <v>14</v>
      </c>
      <c r="G920" s="14">
        <v>14</v>
      </c>
      <c r="H920" s="14">
        <v>0</v>
      </c>
      <c r="I920" s="14">
        <v>0</v>
      </c>
      <c r="J920" s="69">
        <v>9058.5116999999991</v>
      </c>
      <c r="K920">
        <f t="shared" si="14"/>
        <v>0</v>
      </c>
      <c r="L920" s="14">
        <v>0</v>
      </c>
      <c r="M920" s="14">
        <v>0</v>
      </c>
      <c r="N920" s="14">
        <v>0</v>
      </c>
      <c r="O920" s="69">
        <v>0</v>
      </c>
      <c r="P920" s="226">
        <f>VLOOKUP(Table323[[#This Row],[Census Tract]],'Population and Diversity Data'!$B$2:$K$823,10,FALSE)</f>
        <v>2</v>
      </c>
      <c r="Q920" s="226" t="str">
        <f>VLOOKUP(Table323[[#This Row],[Census Tract]],'ES Energy Burden'!$B$2:$E$914,4,FALSE)</f>
        <v>No</v>
      </c>
      <c r="R920" s="248">
        <f>VLOOKUP(Table323[[#This Row],[Census Tract]],'Income and Housing Data'!$B$2:$D$823,3,FALSE)</f>
        <v>62120</v>
      </c>
      <c r="S920" s="248" t="str">
        <f>IF($U$6&lt;=Table323[[#This Row],[Household income]],IF(Table323[[#This Row],[Household income]]&lt;=$U$7, "Yes","No"),"No")</f>
        <v>Yes</v>
      </c>
    </row>
    <row r="921" spans="1:19" x14ac:dyDescent="0.25">
      <c r="A921" s="147">
        <v>9003476200</v>
      </c>
      <c r="B921" s="148" t="s">
        <v>2863</v>
      </c>
      <c r="C921" s="150" t="s">
        <v>944</v>
      </c>
      <c r="D921" s="70">
        <v>41918.246409600004</v>
      </c>
      <c r="E921" s="70">
        <v>14140.3282</v>
      </c>
      <c r="F921" s="14">
        <v>10</v>
      </c>
      <c r="G921" s="14">
        <v>10</v>
      </c>
      <c r="H921" s="14">
        <v>0</v>
      </c>
      <c r="I921" s="14">
        <v>0</v>
      </c>
      <c r="J921" s="69">
        <v>2763.3406</v>
      </c>
      <c r="K921">
        <f t="shared" si="14"/>
        <v>0</v>
      </c>
      <c r="L921" s="14">
        <v>0</v>
      </c>
      <c r="M921" s="14">
        <v>0</v>
      </c>
      <c r="N921" s="14">
        <v>0</v>
      </c>
      <c r="O921" s="69">
        <v>0</v>
      </c>
      <c r="P921" s="226">
        <f>VLOOKUP(Table323[[#This Row],[Census Tract]],'Population and Diversity Data'!$B$2:$K$823,10,FALSE)</f>
        <v>2</v>
      </c>
      <c r="Q921" s="226" t="str">
        <f>VLOOKUP(Table323[[#This Row],[Census Tract]],'ES Energy Burden'!$B$2:$E$914,4,FALSE)</f>
        <v>No</v>
      </c>
      <c r="R921" s="248">
        <f>VLOOKUP(Table323[[#This Row],[Census Tract]],'Income and Housing Data'!$B$2:$D$823,3,FALSE)</f>
        <v>85347</v>
      </c>
      <c r="S921" s="248" t="str">
        <f>IF($U$6&lt;=Table323[[#This Row],[Household income]],IF(Table323[[#This Row],[Household income]]&lt;=$U$7, "Yes","No"),"No")</f>
        <v>No</v>
      </c>
    </row>
    <row r="922" spans="1:19" x14ac:dyDescent="0.25">
      <c r="A922" s="147">
        <v>9003476300</v>
      </c>
      <c r="B922" s="148" t="s">
        <v>2863</v>
      </c>
      <c r="C922" s="150" t="s">
        <v>944</v>
      </c>
      <c r="D922" s="70">
        <v>94845.80458656</v>
      </c>
      <c r="E922" s="70">
        <v>363957.26539999997</v>
      </c>
      <c r="F922" s="14">
        <v>18</v>
      </c>
      <c r="G922" s="14">
        <v>18</v>
      </c>
      <c r="H922" s="14">
        <v>0</v>
      </c>
      <c r="I922" s="14">
        <v>0</v>
      </c>
      <c r="J922" s="69">
        <v>10964.32</v>
      </c>
      <c r="K922">
        <f t="shared" si="14"/>
        <v>49</v>
      </c>
      <c r="L922" s="14">
        <v>49</v>
      </c>
      <c r="M922" s="14">
        <v>0</v>
      </c>
      <c r="N922" s="14">
        <v>0</v>
      </c>
      <c r="O922" s="69">
        <v>92372.4</v>
      </c>
      <c r="P922" s="226">
        <f>VLOOKUP(Table323[[#This Row],[Census Tract]],'Population and Diversity Data'!$B$2:$K$823,10,FALSE)</f>
        <v>4</v>
      </c>
      <c r="Q922" s="226" t="str">
        <f>VLOOKUP(Table323[[#This Row],[Census Tract]],'ES Energy Burden'!$B$2:$E$914,4,FALSE)</f>
        <v>No</v>
      </c>
      <c r="R922" s="248">
        <f>VLOOKUP(Table323[[#This Row],[Census Tract]],'Income and Housing Data'!$B$2:$D$823,3,FALSE)</f>
        <v>63044</v>
      </c>
      <c r="S922" s="248" t="str">
        <f>IF($U$6&lt;=Table323[[#This Row],[Household income]],IF(Table323[[#This Row],[Household income]]&lt;=$U$7, "Yes","No"),"No")</f>
        <v>Yes</v>
      </c>
    </row>
    <row r="923" spans="1:19" x14ac:dyDescent="0.25">
      <c r="A923" s="147">
        <v>9009352600</v>
      </c>
      <c r="B923" s="227" t="s">
        <v>2864</v>
      </c>
      <c r="C923" s="228" t="s">
        <v>944</v>
      </c>
      <c r="D923" s="146">
        <v>260.68703039999997</v>
      </c>
      <c r="E923" s="146">
        <v>0</v>
      </c>
      <c r="F923" s="14">
        <v>0</v>
      </c>
      <c r="G923" s="229">
        <v>0</v>
      </c>
      <c r="H923" s="229">
        <v>0</v>
      </c>
      <c r="I923" s="229">
        <v>0</v>
      </c>
      <c r="J923" s="230">
        <v>0</v>
      </c>
      <c r="K923">
        <f t="shared" si="14"/>
        <v>0</v>
      </c>
      <c r="L923" s="229">
        <v>0</v>
      </c>
      <c r="M923" s="229">
        <v>0</v>
      </c>
      <c r="N923" s="229">
        <v>0</v>
      </c>
      <c r="O923" s="231">
        <v>0</v>
      </c>
      <c r="P923" s="226">
        <f>VLOOKUP(Table323[[#This Row],[Census Tract]],'Population and Diversity Data'!$B$2:$K$823,10,FALSE)</f>
        <v>3</v>
      </c>
      <c r="Q923" s="226" t="str">
        <f>VLOOKUP(Table323[[#This Row],[Census Tract]],'ES Energy Burden'!$B$2:$E$914,4,FALSE)</f>
        <v>Yes</v>
      </c>
      <c r="R923" s="248">
        <f>VLOOKUP(Table323[[#This Row],[Census Tract]],'Income and Housing Data'!$B$2:$D$823,3,FALSE)</f>
        <v>43175</v>
      </c>
      <c r="S923" s="248" t="str">
        <f>IF($U$6&lt;=Table323[[#This Row],[Household income]],IF(Table323[[#This Row],[Household income]]&lt;=$U$7, "Yes","No"),"No")</f>
        <v>No</v>
      </c>
    </row>
    <row r="924" spans="1:19" x14ac:dyDescent="0.25">
      <c r="A924" s="147">
        <v>9009352701</v>
      </c>
      <c r="B924" s="227" t="s">
        <v>2864</v>
      </c>
      <c r="C924" s="228" t="s">
        <v>944</v>
      </c>
      <c r="D924" s="146">
        <v>82.195171200000004</v>
      </c>
      <c r="E924" s="146">
        <v>0</v>
      </c>
      <c r="F924" s="14">
        <v>0</v>
      </c>
      <c r="G924" s="229">
        <v>0</v>
      </c>
      <c r="H924" s="229">
        <v>0</v>
      </c>
      <c r="I924" s="229">
        <v>0</v>
      </c>
      <c r="J924" s="230">
        <v>0</v>
      </c>
      <c r="K924">
        <f t="shared" si="14"/>
        <v>0</v>
      </c>
      <c r="L924" s="229">
        <v>0</v>
      </c>
      <c r="M924" s="229">
        <v>0</v>
      </c>
      <c r="N924" s="229">
        <v>0</v>
      </c>
      <c r="O924" s="231">
        <v>0</v>
      </c>
      <c r="P924" s="226">
        <f>VLOOKUP(Table323[[#This Row],[Census Tract]],'Population and Diversity Data'!$B$2:$K$823,10,FALSE)</f>
        <v>4</v>
      </c>
      <c r="Q924" s="226" t="str">
        <f>VLOOKUP(Table323[[#This Row],[Census Tract]],'ES Energy Burden'!$B$2:$E$914,4,FALSE)</f>
        <v>Yes</v>
      </c>
      <c r="R924" s="248">
        <f>VLOOKUP(Table323[[#This Row],[Census Tract]],'Income and Housing Data'!$B$2:$D$823,3,FALSE)</f>
        <v>50561</v>
      </c>
      <c r="S924" s="248" t="str">
        <f>IF($U$6&lt;=Table323[[#This Row],[Household income]],IF(Table323[[#This Row],[Household income]]&lt;=$U$7, "Yes","No"),"No")</f>
        <v>Yes</v>
      </c>
    </row>
    <row r="925" spans="1:19" x14ac:dyDescent="0.25">
      <c r="A925" s="147">
        <v>9009352800</v>
      </c>
      <c r="B925" s="227" t="s">
        <v>2864</v>
      </c>
      <c r="C925" s="228" t="s">
        <v>944</v>
      </c>
      <c r="D925" s="146">
        <v>1097.1107423999999</v>
      </c>
      <c r="E925" s="146">
        <v>213.16</v>
      </c>
      <c r="F925" s="14">
        <v>1</v>
      </c>
      <c r="G925" s="229">
        <v>1</v>
      </c>
      <c r="H925" s="229">
        <v>0</v>
      </c>
      <c r="I925" s="229">
        <v>0</v>
      </c>
      <c r="J925" s="230">
        <v>195.97</v>
      </c>
      <c r="K925">
        <f t="shared" si="14"/>
        <v>0</v>
      </c>
      <c r="L925" s="229">
        <v>0</v>
      </c>
      <c r="M925" s="229">
        <v>0</v>
      </c>
      <c r="N925" s="229">
        <v>0</v>
      </c>
      <c r="O925" s="231">
        <v>0</v>
      </c>
      <c r="P925" s="226">
        <f>VLOOKUP(Table323[[#This Row],[Census Tract]],'Population and Diversity Data'!$B$2:$K$823,10,FALSE)</f>
        <v>5</v>
      </c>
      <c r="Q925" s="226" t="str">
        <f>VLOOKUP(Table323[[#This Row],[Census Tract]],'ES Energy Burden'!$B$2:$E$914,4,FALSE)</f>
        <v>No</v>
      </c>
      <c r="R925" s="248">
        <f>VLOOKUP(Table323[[#This Row],[Census Tract]],'Income and Housing Data'!$B$2:$D$823,3,FALSE)</f>
        <v>53904</v>
      </c>
      <c r="S925" s="248" t="str">
        <f>IF($U$6&lt;=Table323[[#This Row],[Household income]],IF(Table323[[#This Row],[Household income]]&lt;=$U$7, "Yes","No"),"No")</f>
        <v>Yes</v>
      </c>
    </row>
    <row r="926" spans="1:19" x14ac:dyDescent="0.25">
      <c r="A926" s="147">
        <v>9009361100</v>
      </c>
      <c r="B926" s="227" t="s">
        <v>2864</v>
      </c>
      <c r="C926" s="228" t="s">
        <v>944</v>
      </c>
      <c r="D926" s="146">
        <v>148173.60502655999</v>
      </c>
      <c r="E926" s="146">
        <v>252065.73869999999</v>
      </c>
      <c r="F926" s="14">
        <v>73</v>
      </c>
      <c r="G926" s="229">
        <v>32</v>
      </c>
      <c r="H926" s="229">
        <v>0</v>
      </c>
      <c r="I926" s="229">
        <v>41</v>
      </c>
      <c r="J926" s="230">
        <v>40764.5389</v>
      </c>
      <c r="K926">
        <f t="shared" si="14"/>
        <v>134</v>
      </c>
      <c r="L926" s="229">
        <v>54</v>
      </c>
      <c r="M926" s="229">
        <v>0</v>
      </c>
      <c r="N926" s="229">
        <v>80</v>
      </c>
      <c r="O926" s="231">
        <v>211300</v>
      </c>
      <c r="P926" s="226">
        <f>VLOOKUP(Table323[[#This Row],[Census Tract]],'Population and Diversity Data'!$B$2:$K$823,10,FALSE)</f>
        <v>2</v>
      </c>
      <c r="Q926" s="226" t="str">
        <f>VLOOKUP(Table323[[#This Row],[Census Tract]],'ES Energy Burden'!$B$2:$E$914,4,FALSE)</f>
        <v>No</v>
      </c>
      <c r="R926" s="248">
        <f>VLOOKUP(Table323[[#This Row],[Census Tract]],'Income and Housing Data'!$B$2:$D$823,3,FALSE)</f>
        <v>94434</v>
      </c>
      <c r="S926" s="248" t="str">
        <f>IF($U$6&lt;=Table323[[#This Row],[Household income]],IF(Table323[[#This Row],[Household income]]&lt;=$U$7, "Yes","No"),"No")</f>
        <v>No</v>
      </c>
    </row>
    <row r="927" spans="1:19" x14ac:dyDescent="0.25">
      <c r="A927" s="147">
        <v>9009361200</v>
      </c>
      <c r="B927" s="227" t="s">
        <v>2864</v>
      </c>
      <c r="C927" s="228" t="s">
        <v>944</v>
      </c>
      <c r="D927" s="146">
        <v>114930.85025088002</v>
      </c>
      <c r="E927" s="146">
        <v>58843.71</v>
      </c>
      <c r="F927" s="14">
        <v>21</v>
      </c>
      <c r="G927" s="229">
        <v>21</v>
      </c>
      <c r="H927" s="229">
        <v>0</v>
      </c>
      <c r="I927" s="229">
        <v>0</v>
      </c>
      <c r="J927" s="230">
        <v>22600.89</v>
      </c>
      <c r="K927">
        <f t="shared" si="14"/>
        <v>0</v>
      </c>
      <c r="L927" s="229">
        <v>0</v>
      </c>
      <c r="M927" s="229">
        <v>0</v>
      </c>
      <c r="N927" s="229">
        <v>0</v>
      </c>
      <c r="O927" s="231">
        <v>0</v>
      </c>
      <c r="P927" s="226">
        <f>VLOOKUP(Table323[[#This Row],[Census Tract]],'Population and Diversity Data'!$B$2:$K$823,10,FALSE)</f>
        <v>2</v>
      </c>
      <c r="Q927" s="226" t="str">
        <f>VLOOKUP(Table323[[#This Row],[Census Tract]],'ES Energy Burden'!$B$2:$E$914,4,FALSE)</f>
        <v>No</v>
      </c>
      <c r="R927" s="248">
        <f>VLOOKUP(Table323[[#This Row],[Census Tract]],'Income and Housing Data'!$B$2:$D$823,3,FALSE)</f>
        <v>94576</v>
      </c>
      <c r="S927" s="248" t="str">
        <f>IF($U$6&lt;=Table323[[#This Row],[Household income]],IF(Table323[[#This Row],[Household income]]&lt;=$U$7, "Yes","No"),"No")</f>
        <v>No</v>
      </c>
    </row>
    <row r="928" spans="1:19" x14ac:dyDescent="0.25">
      <c r="A928" s="147">
        <v>9009361300</v>
      </c>
      <c r="B928" s="227" t="s">
        <v>2864</v>
      </c>
      <c r="C928" s="228" t="s">
        <v>944</v>
      </c>
      <c r="D928" s="146">
        <v>84091.987296000007</v>
      </c>
      <c r="E928" s="146">
        <v>68011.649999999994</v>
      </c>
      <c r="F928" s="14">
        <v>15</v>
      </c>
      <c r="G928" s="229">
        <v>15</v>
      </c>
      <c r="H928" s="229">
        <v>0</v>
      </c>
      <c r="I928" s="229">
        <v>0</v>
      </c>
      <c r="J928" s="230">
        <v>12352.86</v>
      </c>
      <c r="K928">
        <f t="shared" si="14"/>
        <v>0</v>
      </c>
      <c r="L928" s="229">
        <v>0</v>
      </c>
      <c r="M928" s="229">
        <v>0</v>
      </c>
      <c r="N928" s="229">
        <v>0</v>
      </c>
      <c r="O928" s="231">
        <v>0</v>
      </c>
      <c r="P928" s="226">
        <f>VLOOKUP(Table323[[#This Row],[Census Tract]],'Population and Diversity Data'!$B$2:$K$823,10,FALSE)</f>
        <v>1</v>
      </c>
      <c r="Q928" s="226" t="str">
        <f>VLOOKUP(Table323[[#This Row],[Census Tract]],'ES Energy Burden'!$B$2:$E$914,4,FALSE)</f>
        <v>No</v>
      </c>
      <c r="R928" s="248">
        <f>VLOOKUP(Table323[[#This Row],[Census Tract]],'Income and Housing Data'!$B$2:$D$823,3,FALSE)</f>
        <v>102697</v>
      </c>
      <c r="S928" s="248" t="str">
        <f>IF($U$6&lt;=Table323[[#This Row],[Household income]],IF(Table323[[#This Row],[Household income]]&lt;=$U$7, "Yes","No"),"No")</f>
        <v>No</v>
      </c>
    </row>
    <row r="929" spans="1:19" x14ac:dyDescent="0.25">
      <c r="A929" s="147">
        <v>9005342100</v>
      </c>
      <c r="B929" s="227" t="s">
        <v>2865</v>
      </c>
      <c r="C929" s="228" t="s">
        <v>944</v>
      </c>
      <c r="D929" s="146">
        <v>65.123999999999995</v>
      </c>
      <c r="E929" s="146">
        <v>0</v>
      </c>
      <c r="F929" s="14">
        <v>0</v>
      </c>
      <c r="G929" s="229">
        <v>0</v>
      </c>
      <c r="H929" s="229">
        <v>0</v>
      </c>
      <c r="I929" s="229">
        <v>0</v>
      </c>
      <c r="J929" s="230">
        <v>0</v>
      </c>
      <c r="K929">
        <f t="shared" si="14"/>
        <v>0</v>
      </c>
      <c r="L929" s="229">
        <v>0</v>
      </c>
      <c r="M929" s="229">
        <v>0</v>
      </c>
      <c r="N929" s="229">
        <v>0</v>
      </c>
      <c r="O929" s="231">
        <v>0</v>
      </c>
      <c r="P929" s="226">
        <f>VLOOKUP(Table323[[#This Row],[Census Tract]],'Population and Diversity Data'!$B$2:$K$823,10,FALSE)</f>
        <v>2</v>
      </c>
      <c r="Q929" s="226" t="str">
        <f>VLOOKUP(Table323[[#This Row],[Census Tract]],'ES Energy Burden'!$B$2:$E$914,4,FALSE)</f>
        <v>No</v>
      </c>
      <c r="R929" s="248">
        <f>VLOOKUP(Table323[[#This Row],[Census Tract]],'Income and Housing Data'!$B$2:$D$823,3,FALSE)</f>
        <v>98409</v>
      </c>
      <c r="S929" s="248" t="str">
        <f>IF($U$6&lt;=Table323[[#This Row],[Household income]],IF(Table323[[#This Row],[Household income]]&lt;=$U$7, "Yes","No"),"No")</f>
        <v>No</v>
      </c>
    </row>
    <row r="930" spans="1:19" x14ac:dyDescent="0.25">
      <c r="A930" s="147">
        <v>9005360200</v>
      </c>
      <c r="B930" s="227" t="s">
        <v>2865</v>
      </c>
      <c r="C930" s="228" t="s">
        <v>944</v>
      </c>
      <c r="D930" s="146">
        <v>58.432147200000003</v>
      </c>
      <c r="E930" s="146">
        <v>0</v>
      </c>
      <c r="F930" s="14">
        <v>0</v>
      </c>
      <c r="G930" s="229">
        <v>0</v>
      </c>
      <c r="H930" s="229">
        <v>0</v>
      </c>
      <c r="I930" s="229">
        <v>0</v>
      </c>
      <c r="J930" s="230">
        <v>0</v>
      </c>
      <c r="K930">
        <f t="shared" si="14"/>
        <v>0</v>
      </c>
      <c r="L930" s="229">
        <v>0</v>
      </c>
      <c r="M930" s="229">
        <v>0</v>
      </c>
      <c r="N930" s="229">
        <v>0</v>
      </c>
      <c r="O930" s="231">
        <v>0</v>
      </c>
      <c r="P930" s="226">
        <f>VLOOKUP(Table323[[#This Row],[Census Tract]],'Population and Diversity Data'!$B$2:$K$823,10,FALSE)</f>
        <v>2</v>
      </c>
      <c r="Q930" s="226" t="str">
        <f>VLOOKUP(Table323[[#This Row],[Census Tract]],'ES Energy Burden'!$B$2:$E$914,4,FALSE)</f>
        <v>No</v>
      </c>
      <c r="R930" s="248">
        <f>VLOOKUP(Table323[[#This Row],[Census Tract]],'Income and Housing Data'!$B$2:$D$823,3,FALSE)</f>
        <v>105701</v>
      </c>
      <c r="S930" s="248" t="str">
        <f>IF($U$6&lt;=Table323[[#This Row],[Household income]],IF(Table323[[#This Row],[Household income]]&lt;=$U$7, "Yes","No"),"No")</f>
        <v>No</v>
      </c>
    </row>
    <row r="931" spans="1:19" x14ac:dyDescent="0.25">
      <c r="A931" s="147">
        <v>9005362101</v>
      </c>
      <c r="B931" s="227" t="s">
        <v>2865</v>
      </c>
      <c r="C931" s="228" t="s">
        <v>944</v>
      </c>
      <c r="D931" s="146">
        <v>121303.913256</v>
      </c>
      <c r="E931" s="146">
        <v>26145.79</v>
      </c>
      <c r="F931" s="14">
        <v>20</v>
      </c>
      <c r="G931" s="229">
        <v>18</v>
      </c>
      <c r="H931" s="229">
        <v>2</v>
      </c>
      <c r="I931" s="229">
        <v>0</v>
      </c>
      <c r="J931" s="230">
        <v>24051.47</v>
      </c>
      <c r="K931">
        <f t="shared" si="14"/>
        <v>0</v>
      </c>
      <c r="L931" s="229">
        <v>0</v>
      </c>
      <c r="M931" s="229">
        <v>0</v>
      </c>
      <c r="N931" s="229">
        <v>0</v>
      </c>
      <c r="O931" s="231">
        <v>0</v>
      </c>
      <c r="P931" s="226">
        <f>VLOOKUP(Table323[[#This Row],[Census Tract]],'Population and Diversity Data'!$B$2:$K$823,10,FALSE)</f>
        <v>2</v>
      </c>
      <c r="Q931" s="226" t="str">
        <f>VLOOKUP(Table323[[#This Row],[Census Tract]],'ES Energy Burden'!$B$2:$E$914,4,FALSE)</f>
        <v>No</v>
      </c>
      <c r="R931" s="248">
        <f>VLOOKUP(Table323[[#This Row],[Census Tract]],'Income and Housing Data'!$B$2:$D$823,3,FALSE)</f>
        <v>74519</v>
      </c>
      <c r="S931" s="248" t="str">
        <f>IF($U$6&lt;=Table323[[#This Row],[Household income]],IF(Table323[[#This Row],[Household income]]&lt;=$U$7, "Yes","No"),"No")</f>
        <v>No</v>
      </c>
    </row>
    <row r="932" spans="1:19" x14ac:dyDescent="0.25">
      <c r="A932" s="147">
        <v>9005362102</v>
      </c>
      <c r="B932" s="227" t="s">
        <v>2865</v>
      </c>
      <c r="C932" s="228" t="s">
        <v>944</v>
      </c>
      <c r="D932" s="146">
        <v>148869.85352544003</v>
      </c>
      <c r="E932" s="146">
        <v>147193.30799999999</v>
      </c>
      <c r="F932" s="14">
        <v>27</v>
      </c>
      <c r="G932" s="229">
        <v>25</v>
      </c>
      <c r="H932" s="229">
        <v>2</v>
      </c>
      <c r="I932" s="229">
        <v>0</v>
      </c>
      <c r="J932" s="230">
        <v>23234.639999999999</v>
      </c>
      <c r="K932">
        <f t="shared" si="14"/>
        <v>10</v>
      </c>
      <c r="L932" s="229">
        <v>10</v>
      </c>
      <c r="M932" s="229">
        <v>0</v>
      </c>
      <c r="N932" s="229">
        <v>0</v>
      </c>
      <c r="O932" s="231">
        <v>84063.2</v>
      </c>
      <c r="P932" s="226">
        <f>VLOOKUP(Table323[[#This Row],[Census Tract]],'Population and Diversity Data'!$B$2:$K$823,10,FALSE)</f>
        <v>1</v>
      </c>
      <c r="Q932" s="226" t="str">
        <f>VLOOKUP(Table323[[#This Row],[Census Tract]],'ES Energy Burden'!$B$2:$E$914,4,FALSE)</f>
        <v>No</v>
      </c>
      <c r="R932" s="248">
        <f>VLOOKUP(Table323[[#This Row],[Census Tract]],'Income and Housing Data'!$B$2:$D$823,3,FALSE)</f>
        <v>91383</v>
      </c>
      <c r="S932" s="248" t="str">
        <f>IF($U$6&lt;=Table323[[#This Row],[Household income]],IF(Table323[[#This Row],[Household income]]&lt;=$U$7, "Yes","No"),"No")</f>
        <v>No</v>
      </c>
    </row>
    <row r="933" spans="1:19" x14ac:dyDescent="0.25">
      <c r="A933" s="147">
        <v>9015900200</v>
      </c>
      <c r="B933" s="227" t="s">
        <v>2866</v>
      </c>
      <c r="C933" s="228" t="s">
        <v>944</v>
      </c>
      <c r="D933" s="146">
        <v>326.09468160000006</v>
      </c>
      <c r="E933" s="146">
        <v>0</v>
      </c>
      <c r="F933" s="14">
        <v>0</v>
      </c>
      <c r="G933" s="229">
        <v>0</v>
      </c>
      <c r="H933" s="229">
        <v>0</v>
      </c>
      <c r="I933" s="229">
        <v>0</v>
      </c>
      <c r="J933" s="230">
        <v>0</v>
      </c>
      <c r="K933">
        <f t="shared" si="14"/>
        <v>0</v>
      </c>
      <c r="L933" s="229">
        <v>0</v>
      </c>
      <c r="M933" s="229">
        <v>0</v>
      </c>
      <c r="N933" s="229">
        <v>0</v>
      </c>
      <c r="O933" s="231">
        <v>0</v>
      </c>
      <c r="P933" s="226">
        <f>VLOOKUP(Table323[[#This Row],[Census Tract]],'Population and Diversity Data'!$B$2:$K$823,10,FALSE)</f>
        <v>2</v>
      </c>
      <c r="Q933" s="226" t="str">
        <f>VLOOKUP(Table323[[#This Row],[Census Tract]],'ES Energy Burden'!$B$2:$E$914,4,FALSE)</f>
        <v>No</v>
      </c>
      <c r="R933" s="248">
        <f>VLOOKUP(Table323[[#This Row],[Census Tract]],'Income and Housing Data'!$B$2:$D$823,3,FALSE)</f>
        <v>75114</v>
      </c>
      <c r="S933" s="248" t="str">
        <f>IF($U$6&lt;=Table323[[#This Row],[Household income]],IF(Table323[[#This Row],[Household income]]&lt;=$U$7, "Yes","No"),"No")</f>
        <v>No</v>
      </c>
    </row>
    <row r="934" spans="1:19" x14ac:dyDescent="0.25">
      <c r="A934" s="147">
        <v>9015901100</v>
      </c>
      <c r="B934" s="227" t="s">
        <v>2866</v>
      </c>
      <c r="C934" s="228" t="s">
        <v>944</v>
      </c>
      <c r="D934" s="146">
        <v>184113.16258751997</v>
      </c>
      <c r="E934" s="146">
        <v>95417.545599999998</v>
      </c>
      <c r="F934" s="14">
        <v>41</v>
      </c>
      <c r="G934" s="229">
        <v>39</v>
      </c>
      <c r="H934" s="229">
        <v>2</v>
      </c>
      <c r="I934" s="229">
        <v>0</v>
      </c>
      <c r="J934" s="230">
        <v>34356.2356</v>
      </c>
      <c r="K934">
        <f t="shared" si="14"/>
        <v>6</v>
      </c>
      <c r="L934" s="229">
        <v>6</v>
      </c>
      <c r="M934" s="229">
        <v>0</v>
      </c>
      <c r="N934" s="229">
        <v>0</v>
      </c>
      <c r="O934" s="231">
        <v>20358.5</v>
      </c>
      <c r="P934" s="226">
        <f>VLOOKUP(Table323[[#This Row],[Census Tract]],'Population and Diversity Data'!$B$2:$K$823,10,FALSE)</f>
        <v>1</v>
      </c>
      <c r="Q934" s="226" t="str">
        <f>VLOOKUP(Table323[[#This Row],[Census Tract]],'ES Energy Burden'!$B$2:$E$914,4,FALSE)</f>
        <v>No</v>
      </c>
      <c r="R934" s="248">
        <f>VLOOKUP(Table323[[#This Row],[Census Tract]],'Income and Housing Data'!$B$2:$D$823,3,FALSE)</f>
        <v>86821</v>
      </c>
      <c r="S934" s="248" t="str">
        <f>IF($U$6&lt;=Table323[[#This Row],[Household income]],IF(Table323[[#This Row],[Household income]]&lt;=$U$7, "Yes","No"),"No")</f>
        <v>No</v>
      </c>
    </row>
    <row r="935" spans="1:19" x14ac:dyDescent="0.25">
      <c r="A935" s="147">
        <v>9015902200</v>
      </c>
      <c r="B935" s="227" t="s">
        <v>2866</v>
      </c>
      <c r="C935" s="228" t="s">
        <v>944</v>
      </c>
      <c r="D935" s="146">
        <v>989.16698880000013</v>
      </c>
      <c r="E935" s="146">
        <v>107.52</v>
      </c>
      <c r="F935" s="14">
        <v>0</v>
      </c>
      <c r="G935" s="229">
        <v>0</v>
      </c>
      <c r="H935" s="229">
        <v>0</v>
      </c>
      <c r="I935" s="229">
        <v>0</v>
      </c>
      <c r="J935" s="230">
        <v>0</v>
      </c>
      <c r="K935">
        <f t="shared" si="14"/>
        <v>0</v>
      </c>
      <c r="L935" s="229">
        <v>0</v>
      </c>
      <c r="M935" s="229">
        <v>0</v>
      </c>
      <c r="N935" s="229">
        <v>0</v>
      </c>
      <c r="O935" s="231">
        <v>0</v>
      </c>
      <c r="P935" s="226">
        <f>VLOOKUP(Table323[[#This Row],[Census Tract]],'Population and Diversity Data'!$B$2:$K$823,10,FALSE)</f>
        <v>2</v>
      </c>
      <c r="Q935" s="226" t="str">
        <f>VLOOKUP(Table323[[#This Row],[Census Tract]],'ES Energy Burden'!$B$2:$E$914,4,FALSE)</f>
        <v>No</v>
      </c>
      <c r="R935" s="248">
        <f>VLOOKUP(Table323[[#This Row],[Census Tract]],'Income and Housing Data'!$B$2:$D$823,3,FALSE)</f>
        <v>92813</v>
      </c>
      <c r="S935" s="248" t="str">
        <f>IF($U$6&lt;=Table323[[#This Row],[Household income]],IF(Table323[[#This Row],[Household income]]&lt;=$U$7, "Yes","No"),"No")</f>
        <v>No</v>
      </c>
    </row>
    <row r="936" spans="1:19" x14ac:dyDescent="0.25">
      <c r="A936" s="147">
        <v>9015902500</v>
      </c>
      <c r="B936" s="227" t="s">
        <v>2866</v>
      </c>
      <c r="C936" s="228" t="s">
        <v>944</v>
      </c>
      <c r="D936" s="146">
        <v>2271.4498656000001</v>
      </c>
      <c r="E936" s="146">
        <v>121.98</v>
      </c>
      <c r="F936" s="14">
        <v>1</v>
      </c>
      <c r="G936" s="229">
        <v>1</v>
      </c>
      <c r="H936" s="229">
        <v>0</v>
      </c>
      <c r="I936" s="229">
        <v>0</v>
      </c>
      <c r="J936" s="230">
        <v>104.79</v>
      </c>
      <c r="K936">
        <f t="shared" si="14"/>
        <v>0</v>
      </c>
      <c r="L936" s="229">
        <v>0</v>
      </c>
      <c r="M936" s="229">
        <v>0</v>
      </c>
      <c r="N936" s="229">
        <v>0</v>
      </c>
      <c r="O936" s="231">
        <v>0</v>
      </c>
      <c r="P936" s="226">
        <f>VLOOKUP(Table323[[#This Row],[Census Tract]],'Population and Diversity Data'!$B$2:$K$823,10,FALSE)</f>
        <v>2</v>
      </c>
      <c r="Q936" s="226" t="str">
        <f>VLOOKUP(Table323[[#This Row],[Census Tract]],'ES Energy Burden'!$B$2:$E$914,4,FALSE)</f>
        <v>No</v>
      </c>
      <c r="R936" s="248">
        <f>VLOOKUP(Table323[[#This Row],[Census Tract]],'Income and Housing Data'!$B$2:$D$823,3,FALSE)</f>
        <v>93472</v>
      </c>
      <c r="S936" s="248" t="str">
        <f>IF($U$6&lt;=Table323[[#This Row],[Household income]],IF(Table323[[#This Row],[Household income]]&lt;=$U$7, "Yes","No"),"No")</f>
        <v>No</v>
      </c>
    </row>
    <row r="937" spans="1:19" x14ac:dyDescent="0.25">
      <c r="A937" s="232"/>
      <c r="B937" s="233"/>
      <c r="C937" s="234" t="s">
        <v>2877</v>
      </c>
      <c r="D937" s="152">
        <v>52682522.847269721</v>
      </c>
      <c r="E937" s="152">
        <v>36999853.3169</v>
      </c>
      <c r="F937" s="235">
        <v>17709</v>
      </c>
      <c r="G937" s="235">
        <v>9981</v>
      </c>
      <c r="H937" s="235">
        <v>169</v>
      </c>
      <c r="I937" s="235">
        <v>7559</v>
      </c>
      <c r="J937" s="230">
        <v>9666135.8076000139</v>
      </c>
      <c r="K937" s="236">
        <v>12528</v>
      </c>
      <c r="L937" s="235">
        <v>4976</v>
      </c>
      <c r="M937" s="235">
        <v>87</v>
      </c>
      <c r="N937" s="235">
        <v>7465</v>
      </c>
      <c r="O937" s="231">
        <v>12564514.349999992</v>
      </c>
      <c r="P937" s="226" t="e">
        <f>VLOOKUP(Table323[[#This Row],[Census Tract]],'Population and Diversity Data'!$B$2:$K$823,10,FALSE)</f>
        <v>#N/A</v>
      </c>
      <c r="Q937" s="226" t="e">
        <f>VLOOKUP(Table323[[#This Row],[Census Tract]],'ES Energy Burden'!$B$2:$E$914,4,FALSE)</f>
        <v>#N/A</v>
      </c>
      <c r="R937" s="248" t="e">
        <f>VLOOKUP(Table323[[#This Row],[Census Tract]],'Income and Housing Data'!$B$2:$D$823,3,FALSE)</f>
        <v>#N/A</v>
      </c>
      <c r="S937" s="248" t="e">
        <f>IF($U$6&lt;=Table323[[#This Row],[Household income]],IF(Table323[[#This Row],[Household income]]&lt;=$U$7, "Yes","No"),"No")</f>
        <v>#N/A</v>
      </c>
    </row>
    <row r="939" spans="1:19" s="31" customFormat="1" x14ac:dyDescent="0.25">
      <c r="A939" s="30" t="s">
        <v>2698</v>
      </c>
      <c r="C939" s="32"/>
      <c r="D939" s="32"/>
      <c r="E939" s="33"/>
      <c r="F939" s="33"/>
      <c r="G939" s="33"/>
      <c r="H939" s="33"/>
      <c r="I939" s="33"/>
      <c r="J939" s="33"/>
      <c r="K939" s="33"/>
      <c r="L939" s="33"/>
      <c r="M939" s="33"/>
      <c r="N939" s="33"/>
      <c r="O939" s="33"/>
      <c r="P939" s="33"/>
    </row>
    <row r="940" spans="1:19" s="31" customFormat="1" x14ac:dyDescent="0.25">
      <c r="A940" s="30" t="s">
        <v>2699</v>
      </c>
      <c r="C940" s="32"/>
      <c r="D940" s="32"/>
      <c r="E940" s="33"/>
      <c r="F940" s="33"/>
      <c r="G940" s="33"/>
      <c r="H940" s="33"/>
      <c r="I940" s="33"/>
      <c r="J940" s="33"/>
      <c r="K940" s="33"/>
      <c r="L940" s="33"/>
      <c r="M940" s="33"/>
      <c r="N940" s="33"/>
      <c r="O940" s="33"/>
      <c r="P940" s="33"/>
    </row>
    <row r="941" spans="1:19" x14ac:dyDescent="0.25">
      <c r="A941" s="68" t="s">
        <v>2878</v>
      </c>
    </row>
  </sheetData>
  <mergeCells count="7">
    <mergeCell ref="A1:O2"/>
    <mergeCell ref="A3:C3"/>
    <mergeCell ref="D3:O3"/>
    <mergeCell ref="A4:C4"/>
    <mergeCell ref="D4:E4"/>
    <mergeCell ref="K4:O4"/>
    <mergeCell ref="F4:J4"/>
  </mergeCells>
  <pageMargins left="0.7" right="0.7" top="0.75" bottom="0.75" header="0.3" footer="0.3"/>
  <pageSetup paperSize="5" scale="65" fitToHeight="25"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9241E-F218-4369-8875-FF8ACF6EE80E}">
  <sheetPr>
    <tabColor theme="6" tint="0.59999389629810485"/>
  </sheetPr>
  <dimension ref="B1:H2253"/>
  <sheetViews>
    <sheetView workbookViewId="0">
      <selection activeCell="P25" sqref="P25"/>
    </sheetView>
  </sheetViews>
  <sheetFormatPr defaultRowHeight="15" x14ac:dyDescent="0.25"/>
  <cols>
    <col min="2" max="2" width="23.7109375" bestFit="1" customWidth="1"/>
    <col min="3" max="3" width="5" bestFit="1" customWidth="1"/>
    <col min="4" max="4" width="7" bestFit="1" customWidth="1"/>
    <col min="5" max="5" width="14.28515625" bestFit="1" customWidth="1"/>
    <col min="7" max="7" width="23.7109375" bestFit="1" customWidth="1"/>
    <col min="8" max="8" width="22.85546875" customWidth="1"/>
  </cols>
  <sheetData>
    <row r="1" spans="2:8" x14ac:dyDescent="0.25">
      <c r="B1" s="336" t="s">
        <v>2879</v>
      </c>
      <c r="C1" s="337"/>
      <c r="D1" s="337"/>
      <c r="E1" s="338"/>
    </row>
    <row r="2" spans="2:8" x14ac:dyDescent="0.25">
      <c r="B2" s="211" t="s">
        <v>2705</v>
      </c>
      <c r="C2" s="212" t="s">
        <v>2880</v>
      </c>
      <c r="D2" s="212" t="s">
        <v>2881</v>
      </c>
      <c r="E2" s="212" t="s">
        <v>2882</v>
      </c>
      <c r="G2" t="s">
        <v>2705</v>
      </c>
      <c r="H2" t="s">
        <v>2883</v>
      </c>
    </row>
    <row r="3" spans="2:8" x14ac:dyDescent="0.25">
      <c r="B3" s="213" t="s">
        <v>2884</v>
      </c>
      <c r="C3" s="214">
        <v>2019</v>
      </c>
      <c r="D3" s="214">
        <v>4</v>
      </c>
      <c r="E3" s="214">
        <v>5</v>
      </c>
      <c r="G3" t="s">
        <v>951</v>
      </c>
      <c r="H3">
        <v>77814</v>
      </c>
    </row>
    <row r="4" spans="2:8" x14ac:dyDescent="0.25">
      <c r="B4" s="213" t="s">
        <v>2884</v>
      </c>
      <c r="C4" s="214">
        <v>2019</v>
      </c>
      <c r="D4" s="214">
        <v>8</v>
      </c>
      <c r="E4" s="214">
        <v>5</v>
      </c>
      <c r="G4" t="s">
        <v>979</v>
      </c>
      <c r="H4">
        <v>10445</v>
      </c>
    </row>
    <row r="5" spans="2:8" x14ac:dyDescent="0.25">
      <c r="B5" s="213" t="s">
        <v>2884</v>
      </c>
      <c r="C5" s="214">
        <v>2019</v>
      </c>
      <c r="D5" s="214">
        <v>3</v>
      </c>
      <c r="E5" s="214">
        <v>4</v>
      </c>
      <c r="G5" t="s">
        <v>981</v>
      </c>
      <c r="H5">
        <v>8219</v>
      </c>
    </row>
    <row r="6" spans="2:8" x14ac:dyDescent="0.25">
      <c r="B6" s="213" t="s">
        <v>2884</v>
      </c>
      <c r="C6" s="214">
        <v>2019</v>
      </c>
      <c r="D6" s="214">
        <v>10</v>
      </c>
      <c r="E6" s="214">
        <v>3</v>
      </c>
      <c r="G6" t="s">
        <v>983</v>
      </c>
      <c r="H6">
        <v>4786</v>
      </c>
    </row>
    <row r="7" spans="2:8" x14ac:dyDescent="0.25">
      <c r="B7" s="213" t="s">
        <v>2884</v>
      </c>
      <c r="C7" s="214">
        <v>2019</v>
      </c>
      <c r="D7" s="214">
        <v>5</v>
      </c>
      <c r="E7" s="214">
        <v>2</v>
      </c>
      <c r="G7" t="s">
        <v>986</v>
      </c>
      <c r="H7">
        <v>3603</v>
      </c>
    </row>
    <row r="8" spans="2:8" x14ac:dyDescent="0.25">
      <c r="B8" s="213" t="s">
        <v>2884</v>
      </c>
      <c r="C8" s="214">
        <v>2019</v>
      </c>
      <c r="D8" s="214">
        <v>6</v>
      </c>
      <c r="E8" s="214">
        <v>1</v>
      </c>
      <c r="G8" t="s">
        <v>989</v>
      </c>
      <c r="H8">
        <v>3174</v>
      </c>
    </row>
    <row r="9" spans="2:8" x14ac:dyDescent="0.25">
      <c r="B9" s="213" t="s">
        <v>2884</v>
      </c>
      <c r="C9" s="214">
        <v>2019</v>
      </c>
      <c r="D9" s="214">
        <v>7</v>
      </c>
      <c r="E9" s="214">
        <v>1</v>
      </c>
      <c r="G9" t="s">
        <v>2753</v>
      </c>
      <c r="H9">
        <v>3036</v>
      </c>
    </row>
    <row r="10" spans="2:8" x14ac:dyDescent="0.25">
      <c r="B10" s="213" t="s">
        <v>2884</v>
      </c>
      <c r="C10" s="214">
        <v>2019</v>
      </c>
      <c r="D10" s="214">
        <v>9</v>
      </c>
      <c r="E10" s="214">
        <v>1</v>
      </c>
      <c r="G10" t="s">
        <v>2760</v>
      </c>
      <c r="H10">
        <v>2737</v>
      </c>
    </row>
    <row r="11" spans="2:8" x14ac:dyDescent="0.25">
      <c r="B11" s="213" t="s">
        <v>2884</v>
      </c>
      <c r="C11" s="214">
        <v>2019</v>
      </c>
      <c r="D11" s="214">
        <v>11</v>
      </c>
      <c r="E11" s="214">
        <v>1</v>
      </c>
      <c r="G11" t="s">
        <v>2736</v>
      </c>
      <c r="H11">
        <v>2527</v>
      </c>
    </row>
    <row r="12" spans="2:8" x14ac:dyDescent="0.25">
      <c r="B12" s="213" t="s">
        <v>2723</v>
      </c>
      <c r="C12" s="214">
        <v>2019</v>
      </c>
      <c r="D12" s="214">
        <v>8</v>
      </c>
      <c r="E12" s="214">
        <v>11</v>
      </c>
      <c r="G12" t="s">
        <v>2790</v>
      </c>
      <c r="H12">
        <v>2222</v>
      </c>
    </row>
    <row r="13" spans="2:8" x14ac:dyDescent="0.25">
      <c r="B13" s="213" t="s">
        <v>2723</v>
      </c>
      <c r="C13" s="214">
        <v>2019</v>
      </c>
      <c r="D13" s="214">
        <v>5</v>
      </c>
      <c r="E13" s="214">
        <v>9</v>
      </c>
      <c r="G13" t="s">
        <v>2810</v>
      </c>
      <c r="H13">
        <v>2183</v>
      </c>
    </row>
    <row r="14" spans="2:8" x14ac:dyDescent="0.25">
      <c r="B14" s="213" t="s">
        <v>2723</v>
      </c>
      <c r="C14" s="214">
        <v>2019</v>
      </c>
      <c r="D14" s="214">
        <v>1</v>
      </c>
      <c r="E14" s="214">
        <v>5</v>
      </c>
      <c r="G14" t="s">
        <v>2795</v>
      </c>
      <c r="H14">
        <v>1575</v>
      </c>
    </row>
    <row r="15" spans="2:8" x14ac:dyDescent="0.25">
      <c r="B15" s="213" t="s">
        <v>2723</v>
      </c>
      <c r="C15" s="214">
        <v>2019</v>
      </c>
      <c r="D15" s="214">
        <v>3</v>
      </c>
      <c r="E15" s="214">
        <v>4</v>
      </c>
      <c r="G15" t="s">
        <v>2853</v>
      </c>
      <c r="H15">
        <v>1362</v>
      </c>
    </row>
    <row r="16" spans="2:8" x14ac:dyDescent="0.25">
      <c r="B16" s="213" t="s">
        <v>2723</v>
      </c>
      <c r="C16" s="214">
        <v>2019</v>
      </c>
      <c r="D16" s="214">
        <v>7</v>
      </c>
      <c r="E16" s="214">
        <v>2</v>
      </c>
      <c r="G16" t="s">
        <v>2803</v>
      </c>
      <c r="H16">
        <v>1346</v>
      </c>
    </row>
    <row r="17" spans="2:8" x14ac:dyDescent="0.25">
      <c r="B17" s="213" t="s">
        <v>2723</v>
      </c>
      <c r="C17" s="214">
        <v>2019</v>
      </c>
      <c r="D17" s="214">
        <v>4</v>
      </c>
      <c r="E17" s="214">
        <v>1</v>
      </c>
      <c r="G17" t="s">
        <v>2845</v>
      </c>
      <c r="H17">
        <v>1256</v>
      </c>
    </row>
    <row r="18" spans="2:8" x14ac:dyDescent="0.25">
      <c r="B18" s="213" t="s">
        <v>2723</v>
      </c>
      <c r="C18" s="214">
        <v>2019</v>
      </c>
      <c r="D18" s="214">
        <v>6</v>
      </c>
      <c r="E18" s="214">
        <v>1</v>
      </c>
      <c r="G18" t="s">
        <v>2799</v>
      </c>
      <c r="H18">
        <v>1113</v>
      </c>
    </row>
    <row r="19" spans="2:8" x14ac:dyDescent="0.25">
      <c r="B19" s="213" t="s">
        <v>2723</v>
      </c>
      <c r="C19" s="214">
        <v>2019</v>
      </c>
      <c r="D19" s="214">
        <v>9</v>
      </c>
      <c r="E19" s="214">
        <v>1</v>
      </c>
      <c r="G19" t="s">
        <v>2765</v>
      </c>
      <c r="H19">
        <v>1070</v>
      </c>
    </row>
    <row r="20" spans="2:8" x14ac:dyDescent="0.25">
      <c r="B20" s="213" t="s">
        <v>2724</v>
      </c>
      <c r="C20" s="214">
        <v>2019</v>
      </c>
      <c r="D20" s="214">
        <v>5</v>
      </c>
      <c r="E20" s="214">
        <v>15</v>
      </c>
      <c r="G20" t="s">
        <v>2862</v>
      </c>
      <c r="H20">
        <v>998</v>
      </c>
    </row>
    <row r="21" spans="2:8" x14ac:dyDescent="0.25">
      <c r="B21" s="213" t="s">
        <v>2724</v>
      </c>
      <c r="C21" s="214">
        <v>2019</v>
      </c>
      <c r="D21" s="214">
        <v>6</v>
      </c>
      <c r="E21" s="214">
        <v>13</v>
      </c>
      <c r="G21" t="s">
        <v>2732</v>
      </c>
      <c r="H21">
        <v>869</v>
      </c>
    </row>
    <row r="22" spans="2:8" x14ac:dyDescent="0.25">
      <c r="B22" s="213" t="s">
        <v>2724</v>
      </c>
      <c r="C22" s="214">
        <v>2019</v>
      </c>
      <c r="D22" s="214">
        <v>7</v>
      </c>
      <c r="E22" s="214">
        <v>9</v>
      </c>
      <c r="G22" t="s">
        <v>2847</v>
      </c>
      <c r="H22">
        <v>814</v>
      </c>
    </row>
    <row r="23" spans="2:8" x14ac:dyDescent="0.25">
      <c r="B23" s="213" t="s">
        <v>2724</v>
      </c>
      <c r="C23" s="214">
        <v>2019</v>
      </c>
      <c r="D23" s="214">
        <v>1</v>
      </c>
      <c r="E23" s="214">
        <v>5</v>
      </c>
      <c r="G23" t="s">
        <v>2734</v>
      </c>
      <c r="H23">
        <v>792</v>
      </c>
    </row>
    <row r="24" spans="2:8" x14ac:dyDescent="0.25">
      <c r="B24" s="213" t="s">
        <v>2724</v>
      </c>
      <c r="C24" s="214">
        <v>2019</v>
      </c>
      <c r="D24" s="214">
        <v>4</v>
      </c>
      <c r="E24" s="214">
        <v>4</v>
      </c>
      <c r="G24" t="s">
        <v>2804</v>
      </c>
      <c r="H24">
        <v>679</v>
      </c>
    </row>
    <row r="25" spans="2:8" x14ac:dyDescent="0.25">
      <c r="B25" s="213" t="s">
        <v>2724</v>
      </c>
      <c r="C25" s="214">
        <v>2019</v>
      </c>
      <c r="D25" s="214">
        <v>10</v>
      </c>
      <c r="E25" s="214">
        <v>4</v>
      </c>
      <c r="G25" t="s">
        <v>2836</v>
      </c>
      <c r="H25">
        <v>673</v>
      </c>
    </row>
    <row r="26" spans="2:8" x14ac:dyDescent="0.25">
      <c r="B26" s="213" t="s">
        <v>2724</v>
      </c>
      <c r="C26" s="214">
        <v>2019</v>
      </c>
      <c r="D26" s="214">
        <v>2</v>
      </c>
      <c r="E26" s="214">
        <v>2</v>
      </c>
      <c r="G26" t="s">
        <v>2885</v>
      </c>
      <c r="H26">
        <v>648</v>
      </c>
    </row>
    <row r="27" spans="2:8" x14ac:dyDescent="0.25">
      <c r="B27" s="213" t="s">
        <v>2724</v>
      </c>
      <c r="C27" s="214">
        <v>2019</v>
      </c>
      <c r="D27" s="214">
        <v>3</v>
      </c>
      <c r="E27" s="214">
        <v>1</v>
      </c>
      <c r="G27" t="s">
        <v>2805</v>
      </c>
      <c r="H27">
        <v>597</v>
      </c>
    </row>
    <row r="28" spans="2:8" x14ac:dyDescent="0.25">
      <c r="B28" s="213" t="s">
        <v>2725</v>
      </c>
      <c r="C28" s="214">
        <v>2019</v>
      </c>
      <c r="D28" s="214">
        <v>4</v>
      </c>
      <c r="E28" s="214">
        <v>56</v>
      </c>
      <c r="G28" t="s">
        <v>2815</v>
      </c>
      <c r="H28">
        <v>545</v>
      </c>
    </row>
    <row r="29" spans="2:8" x14ac:dyDescent="0.25">
      <c r="B29" s="213" t="s">
        <v>2725</v>
      </c>
      <c r="C29" s="214">
        <v>2019</v>
      </c>
      <c r="D29" s="214">
        <v>11</v>
      </c>
      <c r="E29" s="214">
        <v>19</v>
      </c>
      <c r="G29" t="s">
        <v>2730</v>
      </c>
      <c r="H29">
        <v>527</v>
      </c>
    </row>
    <row r="30" spans="2:8" x14ac:dyDescent="0.25">
      <c r="B30" s="213" t="s">
        <v>2725</v>
      </c>
      <c r="C30" s="214">
        <v>2019</v>
      </c>
      <c r="D30" s="214">
        <v>7</v>
      </c>
      <c r="E30" s="214">
        <v>17</v>
      </c>
      <c r="G30" t="s">
        <v>2857</v>
      </c>
      <c r="H30">
        <v>504</v>
      </c>
    </row>
    <row r="31" spans="2:8" x14ac:dyDescent="0.25">
      <c r="B31" s="213" t="s">
        <v>2725</v>
      </c>
      <c r="C31" s="214">
        <v>2019</v>
      </c>
      <c r="D31" s="214">
        <v>10</v>
      </c>
      <c r="E31" s="214">
        <v>16</v>
      </c>
      <c r="G31" t="s">
        <v>2772</v>
      </c>
      <c r="H31">
        <v>474</v>
      </c>
    </row>
    <row r="32" spans="2:8" x14ac:dyDescent="0.25">
      <c r="B32" s="213" t="s">
        <v>2725</v>
      </c>
      <c r="C32" s="214">
        <v>2019</v>
      </c>
      <c r="D32" s="214">
        <v>8</v>
      </c>
      <c r="E32" s="214">
        <v>14</v>
      </c>
      <c r="G32" t="s">
        <v>2834</v>
      </c>
      <c r="H32">
        <v>459</v>
      </c>
    </row>
    <row r="33" spans="2:8" x14ac:dyDescent="0.25">
      <c r="B33" s="213" t="s">
        <v>2725</v>
      </c>
      <c r="C33" s="214">
        <v>2019</v>
      </c>
      <c r="D33" s="214">
        <v>6</v>
      </c>
      <c r="E33" s="214">
        <v>13</v>
      </c>
      <c r="G33" t="s">
        <v>2829</v>
      </c>
      <c r="H33">
        <v>452</v>
      </c>
    </row>
    <row r="34" spans="2:8" x14ac:dyDescent="0.25">
      <c r="B34" s="213" t="s">
        <v>2725</v>
      </c>
      <c r="C34" s="214">
        <v>2019</v>
      </c>
      <c r="D34" s="214">
        <v>5</v>
      </c>
      <c r="E34" s="214">
        <v>12</v>
      </c>
      <c r="G34" t="s">
        <v>2856</v>
      </c>
      <c r="H34">
        <v>385</v>
      </c>
    </row>
    <row r="35" spans="2:8" x14ac:dyDescent="0.25">
      <c r="B35" s="213" t="s">
        <v>2725</v>
      </c>
      <c r="C35" s="214">
        <v>2019</v>
      </c>
      <c r="D35" s="214">
        <v>1</v>
      </c>
      <c r="E35" s="214">
        <v>8</v>
      </c>
      <c r="G35" t="s">
        <v>2886</v>
      </c>
      <c r="H35">
        <v>380</v>
      </c>
    </row>
    <row r="36" spans="2:8" x14ac:dyDescent="0.25">
      <c r="B36" s="213" t="s">
        <v>2725</v>
      </c>
      <c r="C36" s="214">
        <v>2019</v>
      </c>
      <c r="D36" s="214">
        <v>3</v>
      </c>
      <c r="E36" s="214">
        <v>7</v>
      </c>
      <c r="G36" t="s">
        <v>2824</v>
      </c>
      <c r="H36">
        <v>370</v>
      </c>
    </row>
    <row r="37" spans="2:8" x14ac:dyDescent="0.25">
      <c r="B37" s="213" t="s">
        <v>2725</v>
      </c>
      <c r="C37" s="214">
        <v>2019</v>
      </c>
      <c r="D37" s="214">
        <v>9</v>
      </c>
      <c r="E37" s="214">
        <v>4</v>
      </c>
      <c r="G37" t="s">
        <v>2769</v>
      </c>
      <c r="H37">
        <v>345</v>
      </c>
    </row>
    <row r="38" spans="2:8" x14ac:dyDescent="0.25">
      <c r="B38" s="213" t="s">
        <v>2725</v>
      </c>
      <c r="C38" s="214">
        <v>2019</v>
      </c>
      <c r="D38" s="214">
        <v>12</v>
      </c>
      <c r="E38" s="214">
        <v>4</v>
      </c>
      <c r="G38" t="s">
        <v>2744</v>
      </c>
      <c r="H38">
        <v>342</v>
      </c>
    </row>
    <row r="39" spans="2:8" x14ac:dyDescent="0.25">
      <c r="B39" s="213" t="s">
        <v>2725</v>
      </c>
      <c r="C39" s="214">
        <v>2019</v>
      </c>
      <c r="D39" s="214">
        <v>2</v>
      </c>
      <c r="E39" s="214">
        <v>1</v>
      </c>
      <c r="G39" t="s">
        <v>2851</v>
      </c>
      <c r="H39">
        <v>317</v>
      </c>
    </row>
    <row r="40" spans="2:8" x14ac:dyDescent="0.25">
      <c r="B40" s="213" t="s">
        <v>2887</v>
      </c>
      <c r="C40" s="214">
        <v>2019</v>
      </c>
      <c r="D40" s="214">
        <v>8</v>
      </c>
      <c r="E40" s="214">
        <v>2</v>
      </c>
      <c r="G40" t="s">
        <v>2737</v>
      </c>
      <c r="H40">
        <v>311</v>
      </c>
    </row>
    <row r="41" spans="2:8" x14ac:dyDescent="0.25">
      <c r="B41" s="213" t="s">
        <v>2887</v>
      </c>
      <c r="C41" s="214">
        <v>2019</v>
      </c>
      <c r="D41" s="214">
        <v>1</v>
      </c>
      <c r="E41" s="214">
        <v>1</v>
      </c>
      <c r="G41" t="s">
        <v>2752</v>
      </c>
      <c r="H41">
        <v>308</v>
      </c>
    </row>
    <row r="42" spans="2:8" x14ac:dyDescent="0.25">
      <c r="B42" s="213" t="s">
        <v>2887</v>
      </c>
      <c r="C42" s="214">
        <v>2019</v>
      </c>
      <c r="D42" s="214">
        <v>4</v>
      </c>
      <c r="E42" s="214">
        <v>1</v>
      </c>
      <c r="G42" t="s">
        <v>2863</v>
      </c>
      <c r="H42">
        <v>301</v>
      </c>
    </row>
    <row r="43" spans="2:8" x14ac:dyDescent="0.25">
      <c r="B43" s="213" t="s">
        <v>2887</v>
      </c>
      <c r="C43" s="214">
        <v>2019</v>
      </c>
      <c r="D43" s="214">
        <v>7</v>
      </c>
      <c r="E43" s="214">
        <v>1</v>
      </c>
      <c r="G43" t="s">
        <v>2823</v>
      </c>
      <c r="H43">
        <v>285</v>
      </c>
    </row>
    <row r="44" spans="2:8" x14ac:dyDescent="0.25">
      <c r="B44" s="213" t="s">
        <v>2888</v>
      </c>
      <c r="C44" s="214">
        <v>2019</v>
      </c>
      <c r="D44" s="214">
        <v>4</v>
      </c>
      <c r="E44" s="214">
        <v>18</v>
      </c>
      <c r="G44" t="s">
        <v>2796</v>
      </c>
      <c r="H44">
        <v>280</v>
      </c>
    </row>
    <row r="45" spans="2:8" x14ac:dyDescent="0.25">
      <c r="B45" s="213" t="s">
        <v>2888</v>
      </c>
      <c r="C45" s="214">
        <v>2019</v>
      </c>
      <c r="D45" s="214">
        <v>5</v>
      </c>
      <c r="E45" s="214">
        <v>15</v>
      </c>
      <c r="G45" t="s">
        <v>2852</v>
      </c>
      <c r="H45">
        <v>278</v>
      </c>
    </row>
    <row r="46" spans="2:8" x14ac:dyDescent="0.25">
      <c r="B46" s="213" t="s">
        <v>2888</v>
      </c>
      <c r="C46" s="214">
        <v>2019</v>
      </c>
      <c r="D46" s="214">
        <v>2</v>
      </c>
      <c r="E46" s="214">
        <v>6</v>
      </c>
      <c r="G46" t="s">
        <v>2806</v>
      </c>
      <c r="H46">
        <v>277</v>
      </c>
    </row>
    <row r="47" spans="2:8" x14ac:dyDescent="0.25">
      <c r="B47" s="213" t="s">
        <v>2888</v>
      </c>
      <c r="C47" s="214">
        <v>2019</v>
      </c>
      <c r="D47" s="214">
        <v>1</v>
      </c>
      <c r="E47" s="214">
        <v>5</v>
      </c>
      <c r="G47" t="s">
        <v>2775</v>
      </c>
      <c r="H47">
        <v>269</v>
      </c>
    </row>
    <row r="48" spans="2:8" x14ac:dyDescent="0.25">
      <c r="B48" s="213" t="s">
        <v>2888</v>
      </c>
      <c r="C48" s="214">
        <v>2019</v>
      </c>
      <c r="D48" s="214">
        <v>6</v>
      </c>
      <c r="E48" s="214">
        <v>4</v>
      </c>
      <c r="G48" t="s">
        <v>2864</v>
      </c>
      <c r="H48">
        <v>267</v>
      </c>
    </row>
    <row r="49" spans="2:8" x14ac:dyDescent="0.25">
      <c r="B49" s="213" t="s">
        <v>2888</v>
      </c>
      <c r="C49" s="214">
        <v>2019</v>
      </c>
      <c r="D49" s="214">
        <v>12</v>
      </c>
      <c r="E49" s="214">
        <v>4</v>
      </c>
      <c r="G49" t="s">
        <v>2889</v>
      </c>
      <c r="H49">
        <v>265</v>
      </c>
    </row>
    <row r="50" spans="2:8" x14ac:dyDescent="0.25">
      <c r="B50" s="213" t="s">
        <v>2888</v>
      </c>
      <c r="C50" s="214">
        <v>2019</v>
      </c>
      <c r="D50" s="214">
        <v>3</v>
      </c>
      <c r="E50" s="214">
        <v>3</v>
      </c>
      <c r="G50" t="s">
        <v>2746</v>
      </c>
      <c r="H50">
        <v>252</v>
      </c>
    </row>
    <row r="51" spans="2:8" x14ac:dyDescent="0.25">
      <c r="B51" s="213" t="s">
        <v>2888</v>
      </c>
      <c r="C51" s="214">
        <v>2019</v>
      </c>
      <c r="D51" s="214">
        <v>7</v>
      </c>
      <c r="E51" s="214">
        <v>3</v>
      </c>
      <c r="G51" t="s">
        <v>2890</v>
      </c>
      <c r="H51">
        <v>249</v>
      </c>
    </row>
    <row r="52" spans="2:8" x14ac:dyDescent="0.25">
      <c r="B52" s="213" t="s">
        <v>2888</v>
      </c>
      <c r="C52" s="214">
        <v>2019</v>
      </c>
      <c r="D52" s="214">
        <v>9</v>
      </c>
      <c r="E52" s="214">
        <v>2</v>
      </c>
      <c r="G52" t="s">
        <v>2821</v>
      </c>
      <c r="H52">
        <v>249</v>
      </c>
    </row>
    <row r="53" spans="2:8" x14ac:dyDescent="0.25">
      <c r="B53" s="213" t="s">
        <v>2891</v>
      </c>
      <c r="C53" s="214">
        <v>2019</v>
      </c>
      <c r="D53" s="214">
        <v>3</v>
      </c>
      <c r="E53" s="214">
        <v>8</v>
      </c>
      <c r="G53" t="s">
        <v>2747</v>
      </c>
      <c r="H53">
        <v>246</v>
      </c>
    </row>
    <row r="54" spans="2:8" x14ac:dyDescent="0.25">
      <c r="B54" s="213" t="s">
        <v>2891</v>
      </c>
      <c r="C54" s="214">
        <v>2019</v>
      </c>
      <c r="D54" s="214">
        <v>6</v>
      </c>
      <c r="E54" s="214">
        <v>5</v>
      </c>
      <c r="G54" t="s">
        <v>2800</v>
      </c>
      <c r="H54">
        <v>238</v>
      </c>
    </row>
    <row r="55" spans="2:8" x14ac:dyDescent="0.25">
      <c r="B55" s="213" t="s">
        <v>2891</v>
      </c>
      <c r="C55" s="214">
        <v>2019</v>
      </c>
      <c r="D55" s="214">
        <v>10</v>
      </c>
      <c r="E55" s="214">
        <v>4</v>
      </c>
      <c r="G55" t="s">
        <v>2892</v>
      </c>
      <c r="H55">
        <v>236</v>
      </c>
    </row>
    <row r="56" spans="2:8" x14ac:dyDescent="0.25">
      <c r="B56" s="213" t="s">
        <v>2891</v>
      </c>
      <c r="C56" s="214">
        <v>2019</v>
      </c>
      <c r="D56" s="214">
        <v>7</v>
      </c>
      <c r="E56" s="214">
        <v>3</v>
      </c>
      <c r="G56" t="s">
        <v>2835</v>
      </c>
      <c r="H56">
        <v>225</v>
      </c>
    </row>
    <row r="57" spans="2:8" x14ac:dyDescent="0.25">
      <c r="B57" s="213" t="s">
        <v>2891</v>
      </c>
      <c r="C57" s="214">
        <v>2019</v>
      </c>
      <c r="D57" s="214">
        <v>1</v>
      </c>
      <c r="E57" s="214">
        <v>2</v>
      </c>
      <c r="G57" t="s">
        <v>2893</v>
      </c>
      <c r="H57">
        <v>222</v>
      </c>
    </row>
    <row r="58" spans="2:8" x14ac:dyDescent="0.25">
      <c r="B58" s="213" t="s">
        <v>2891</v>
      </c>
      <c r="C58" s="214">
        <v>2019</v>
      </c>
      <c r="D58" s="214">
        <v>4</v>
      </c>
      <c r="E58" s="214">
        <v>2</v>
      </c>
      <c r="G58" t="s">
        <v>2894</v>
      </c>
      <c r="H58">
        <v>219</v>
      </c>
    </row>
    <row r="59" spans="2:8" x14ac:dyDescent="0.25">
      <c r="B59" s="213" t="s">
        <v>2891</v>
      </c>
      <c r="C59" s="214">
        <v>2019</v>
      </c>
      <c r="D59" s="214">
        <v>9</v>
      </c>
      <c r="E59" s="214">
        <v>2</v>
      </c>
      <c r="G59" t="s">
        <v>2895</v>
      </c>
      <c r="H59">
        <v>215</v>
      </c>
    </row>
    <row r="60" spans="2:8" x14ac:dyDescent="0.25">
      <c r="B60" s="213" t="s">
        <v>2891</v>
      </c>
      <c r="C60" s="214">
        <v>2019</v>
      </c>
      <c r="D60" s="214">
        <v>2</v>
      </c>
      <c r="E60" s="214">
        <v>1</v>
      </c>
      <c r="G60" t="s">
        <v>2767</v>
      </c>
      <c r="H60">
        <v>212</v>
      </c>
    </row>
    <row r="61" spans="2:8" x14ac:dyDescent="0.25">
      <c r="B61" s="213" t="s">
        <v>2891</v>
      </c>
      <c r="C61" s="214">
        <v>2019</v>
      </c>
      <c r="D61" s="214">
        <v>5</v>
      </c>
      <c r="E61" s="214">
        <v>1</v>
      </c>
      <c r="G61" t="s">
        <v>2759</v>
      </c>
      <c r="H61">
        <v>207</v>
      </c>
    </row>
    <row r="62" spans="2:8" x14ac:dyDescent="0.25">
      <c r="B62" s="213" t="s">
        <v>2891</v>
      </c>
      <c r="C62" s="214">
        <v>2019</v>
      </c>
      <c r="D62" s="214">
        <v>8</v>
      </c>
      <c r="E62" s="214">
        <v>1</v>
      </c>
      <c r="G62" t="s">
        <v>2896</v>
      </c>
      <c r="H62">
        <v>202</v>
      </c>
    </row>
    <row r="63" spans="2:8" x14ac:dyDescent="0.25">
      <c r="B63" s="213" t="s">
        <v>2891</v>
      </c>
      <c r="C63" s="214">
        <v>2019</v>
      </c>
      <c r="D63" s="214">
        <v>11</v>
      </c>
      <c r="E63" s="214">
        <v>1</v>
      </c>
      <c r="G63" t="s">
        <v>2897</v>
      </c>
      <c r="H63">
        <v>201</v>
      </c>
    </row>
    <row r="64" spans="2:8" x14ac:dyDescent="0.25">
      <c r="B64" s="213" t="s">
        <v>2891</v>
      </c>
      <c r="C64" s="214">
        <v>2019</v>
      </c>
      <c r="D64" s="214">
        <v>12</v>
      </c>
      <c r="E64" s="214">
        <v>1</v>
      </c>
      <c r="G64" t="s">
        <v>2789</v>
      </c>
      <c r="H64">
        <v>199</v>
      </c>
    </row>
    <row r="65" spans="2:8" x14ac:dyDescent="0.25">
      <c r="B65" s="213" t="s">
        <v>2726</v>
      </c>
      <c r="C65" s="214">
        <v>2019</v>
      </c>
      <c r="D65" s="214">
        <v>1</v>
      </c>
      <c r="E65" s="214">
        <v>5</v>
      </c>
      <c r="G65" t="s">
        <v>2764</v>
      </c>
      <c r="H65">
        <v>196</v>
      </c>
    </row>
    <row r="66" spans="2:8" x14ac:dyDescent="0.25">
      <c r="B66" s="213" t="s">
        <v>2726</v>
      </c>
      <c r="C66" s="214">
        <v>2019</v>
      </c>
      <c r="D66" s="214">
        <v>5</v>
      </c>
      <c r="E66" s="214">
        <v>5</v>
      </c>
      <c r="G66" t="s">
        <v>2813</v>
      </c>
      <c r="H66">
        <v>188</v>
      </c>
    </row>
    <row r="67" spans="2:8" x14ac:dyDescent="0.25">
      <c r="B67" s="213" t="s">
        <v>2726</v>
      </c>
      <c r="C67" s="214">
        <v>2019</v>
      </c>
      <c r="D67" s="214">
        <v>8</v>
      </c>
      <c r="E67" s="214">
        <v>4</v>
      </c>
      <c r="G67" t="s">
        <v>2859</v>
      </c>
      <c r="H67">
        <v>184</v>
      </c>
    </row>
    <row r="68" spans="2:8" x14ac:dyDescent="0.25">
      <c r="B68" s="213" t="s">
        <v>2726</v>
      </c>
      <c r="C68" s="214">
        <v>2019</v>
      </c>
      <c r="D68" s="214">
        <v>9</v>
      </c>
      <c r="E68" s="214">
        <v>4</v>
      </c>
      <c r="G68" t="s">
        <v>2898</v>
      </c>
      <c r="H68">
        <v>181</v>
      </c>
    </row>
    <row r="69" spans="2:8" x14ac:dyDescent="0.25">
      <c r="B69" s="213" t="s">
        <v>2726</v>
      </c>
      <c r="C69" s="214">
        <v>2019</v>
      </c>
      <c r="D69" s="214">
        <v>12</v>
      </c>
      <c r="E69" s="214">
        <v>4</v>
      </c>
      <c r="G69" t="s">
        <v>2842</v>
      </c>
      <c r="H69">
        <v>178</v>
      </c>
    </row>
    <row r="70" spans="2:8" x14ac:dyDescent="0.25">
      <c r="B70" s="213" t="s">
        <v>2726</v>
      </c>
      <c r="C70" s="214">
        <v>2019</v>
      </c>
      <c r="D70" s="214">
        <v>2</v>
      </c>
      <c r="E70" s="214">
        <v>3</v>
      </c>
      <c r="G70" t="s">
        <v>2801</v>
      </c>
      <c r="H70">
        <v>172</v>
      </c>
    </row>
    <row r="71" spans="2:8" x14ac:dyDescent="0.25">
      <c r="B71" s="213" t="s">
        <v>2726</v>
      </c>
      <c r="C71" s="214">
        <v>2019</v>
      </c>
      <c r="D71" s="214">
        <v>3</v>
      </c>
      <c r="E71" s="214">
        <v>3</v>
      </c>
      <c r="G71" t="s">
        <v>2725</v>
      </c>
      <c r="H71">
        <v>171</v>
      </c>
    </row>
    <row r="72" spans="2:8" x14ac:dyDescent="0.25">
      <c r="B72" s="213" t="s">
        <v>2726</v>
      </c>
      <c r="C72" s="214">
        <v>2019</v>
      </c>
      <c r="D72" s="214">
        <v>10</v>
      </c>
      <c r="E72" s="214">
        <v>3</v>
      </c>
      <c r="G72" t="s">
        <v>2832</v>
      </c>
      <c r="H72">
        <v>170</v>
      </c>
    </row>
    <row r="73" spans="2:8" x14ac:dyDescent="0.25">
      <c r="B73" s="213" t="s">
        <v>2726</v>
      </c>
      <c r="C73" s="214">
        <v>2019</v>
      </c>
      <c r="D73" s="214">
        <v>6</v>
      </c>
      <c r="E73" s="214">
        <v>2</v>
      </c>
      <c r="G73" t="s">
        <v>2751</v>
      </c>
      <c r="H73">
        <v>169</v>
      </c>
    </row>
    <row r="74" spans="2:8" x14ac:dyDescent="0.25">
      <c r="B74" s="213" t="s">
        <v>2726</v>
      </c>
      <c r="C74" s="214">
        <v>2019</v>
      </c>
      <c r="D74" s="214">
        <v>4</v>
      </c>
      <c r="E74" s="214">
        <v>1</v>
      </c>
      <c r="G74" t="s">
        <v>2865</v>
      </c>
      <c r="H74">
        <v>164</v>
      </c>
    </row>
    <row r="75" spans="2:8" x14ac:dyDescent="0.25">
      <c r="B75" s="213" t="s">
        <v>2726</v>
      </c>
      <c r="C75" s="214">
        <v>2019</v>
      </c>
      <c r="D75" s="214">
        <v>7</v>
      </c>
      <c r="E75" s="214">
        <v>1</v>
      </c>
      <c r="G75" t="s">
        <v>2899</v>
      </c>
      <c r="H75">
        <v>163</v>
      </c>
    </row>
    <row r="76" spans="2:8" x14ac:dyDescent="0.25">
      <c r="B76" s="213" t="s">
        <v>2727</v>
      </c>
      <c r="C76" s="214">
        <v>2019</v>
      </c>
      <c r="D76" s="214">
        <v>3</v>
      </c>
      <c r="E76" s="214">
        <v>30</v>
      </c>
      <c r="G76" t="s">
        <v>2811</v>
      </c>
      <c r="H76">
        <v>163</v>
      </c>
    </row>
    <row r="77" spans="2:8" x14ac:dyDescent="0.25">
      <c r="B77" s="213" t="s">
        <v>2727</v>
      </c>
      <c r="C77" s="214">
        <v>2019</v>
      </c>
      <c r="D77" s="214">
        <v>4</v>
      </c>
      <c r="E77" s="214">
        <v>17</v>
      </c>
      <c r="G77" t="s">
        <v>2844</v>
      </c>
      <c r="H77">
        <v>163</v>
      </c>
    </row>
    <row r="78" spans="2:8" x14ac:dyDescent="0.25">
      <c r="B78" s="213" t="s">
        <v>2727</v>
      </c>
      <c r="C78" s="214">
        <v>2019</v>
      </c>
      <c r="D78" s="214">
        <v>11</v>
      </c>
      <c r="E78" s="214">
        <v>15</v>
      </c>
      <c r="G78" t="s">
        <v>2900</v>
      </c>
      <c r="H78">
        <v>154</v>
      </c>
    </row>
    <row r="79" spans="2:8" x14ac:dyDescent="0.25">
      <c r="B79" s="213" t="s">
        <v>2727</v>
      </c>
      <c r="C79" s="214">
        <v>2019</v>
      </c>
      <c r="D79" s="214">
        <v>6</v>
      </c>
      <c r="E79" s="214">
        <v>14</v>
      </c>
      <c r="G79" t="s">
        <v>2818</v>
      </c>
      <c r="H79">
        <v>151</v>
      </c>
    </row>
    <row r="80" spans="2:8" x14ac:dyDescent="0.25">
      <c r="B80" s="213" t="s">
        <v>2727</v>
      </c>
      <c r="C80" s="214">
        <v>2019</v>
      </c>
      <c r="D80" s="214">
        <v>9</v>
      </c>
      <c r="E80" s="214">
        <v>13</v>
      </c>
      <c r="G80" t="s">
        <v>2820</v>
      </c>
      <c r="H80">
        <v>147</v>
      </c>
    </row>
    <row r="81" spans="2:8" x14ac:dyDescent="0.25">
      <c r="B81" s="213" t="s">
        <v>2727</v>
      </c>
      <c r="C81" s="214">
        <v>2019</v>
      </c>
      <c r="D81" s="214">
        <v>5</v>
      </c>
      <c r="E81" s="214">
        <v>10</v>
      </c>
      <c r="G81" t="s">
        <v>2814</v>
      </c>
      <c r="H81">
        <v>140</v>
      </c>
    </row>
    <row r="82" spans="2:8" x14ac:dyDescent="0.25">
      <c r="B82" s="213" t="s">
        <v>2727</v>
      </c>
      <c r="C82" s="214">
        <v>2019</v>
      </c>
      <c r="D82" s="214">
        <v>7</v>
      </c>
      <c r="E82" s="214">
        <v>10</v>
      </c>
      <c r="G82" t="s">
        <v>2754</v>
      </c>
      <c r="H82">
        <v>139</v>
      </c>
    </row>
    <row r="83" spans="2:8" x14ac:dyDescent="0.25">
      <c r="B83" s="213" t="s">
        <v>2727</v>
      </c>
      <c r="C83" s="214">
        <v>2019</v>
      </c>
      <c r="D83" s="214">
        <v>8</v>
      </c>
      <c r="E83" s="214">
        <v>10</v>
      </c>
      <c r="G83" t="s">
        <v>2762</v>
      </c>
      <c r="H83">
        <v>138</v>
      </c>
    </row>
    <row r="84" spans="2:8" x14ac:dyDescent="0.25">
      <c r="B84" s="213" t="s">
        <v>2727</v>
      </c>
      <c r="C84" s="214">
        <v>2019</v>
      </c>
      <c r="D84" s="214">
        <v>2</v>
      </c>
      <c r="E84" s="214">
        <v>2</v>
      </c>
      <c r="G84" t="s">
        <v>2901</v>
      </c>
      <c r="H84">
        <v>135</v>
      </c>
    </row>
    <row r="85" spans="2:8" x14ac:dyDescent="0.25">
      <c r="B85" s="213" t="s">
        <v>2727</v>
      </c>
      <c r="C85" s="214">
        <v>2019</v>
      </c>
      <c r="D85" s="214">
        <v>10</v>
      </c>
      <c r="E85" s="214">
        <v>1</v>
      </c>
      <c r="G85" t="s">
        <v>2785</v>
      </c>
      <c r="H85">
        <v>126</v>
      </c>
    </row>
    <row r="86" spans="2:8" x14ac:dyDescent="0.25">
      <c r="B86" s="213" t="s">
        <v>2728</v>
      </c>
      <c r="C86" s="214">
        <v>2019</v>
      </c>
      <c r="D86" s="214">
        <v>2</v>
      </c>
      <c r="E86" s="214">
        <v>24</v>
      </c>
      <c r="G86" t="s">
        <v>2902</v>
      </c>
      <c r="H86">
        <v>124</v>
      </c>
    </row>
    <row r="87" spans="2:8" x14ac:dyDescent="0.25">
      <c r="B87" s="213" t="s">
        <v>2728</v>
      </c>
      <c r="C87" s="214">
        <v>2019</v>
      </c>
      <c r="D87" s="214">
        <v>10</v>
      </c>
      <c r="E87" s="214">
        <v>23</v>
      </c>
      <c r="G87" t="s">
        <v>2812</v>
      </c>
      <c r="H87">
        <v>123</v>
      </c>
    </row>
    <row r="88" spans="2:8" x14ac:dyDescent="0.25">
      <c r="B88" s="213" t="s">
        <v>2728</v>
      </c>
      <c r="C88" s="214">
        <v>2019</v>
      </c>
      <c r="D88" s="214">
        <v>7</v>
      </c>
      <c r="E88" s="214">
        <v>13</v>
      </c>
      <c r="G88" t="s">
        <v>2727</v>
      </c>
      <c r="H88">
        <v>122</v>
      </c>
    </row>
    <row r="89" spans="2:8" x14ac:dyDescent="0.25">
      <c r="B89" s="213" t="s">
        <v>2728</v>
      </c>
      <c r="C89" s="214">
        <v>2019</v>
      </c>
      <c r="D89" s="214">
        <v>6</v>
      </c>
      <c r="E89" s="214">
        <v>11</v>
      </c>
      <c r="G89" t="s">
        <v>2854</v>
      </c>
      <c r="H89">
        <v>120</v>
      </c>
    </row>
    <row r="90" spans="2:8" x14ac:dyDescent="0.25">
      <c r="B90" s="213" t="s">
        <v>2728</v>
      </c>
      <c r="C90" s="214">
        <v>2019</v>
      </c>
      <c r="D90" s="214">
        <v>5</v>
      </c>
      <c r="E90" s="214">
        <v>10</v>
      </c>
      <c r="G90" t="s">
        <v>2903</v>
      </c>
      <c r="H90">
        <v>109</v>
      </c>
    </row>
    <row r="91" spans="2:8" x14ac:dyDescent="0.25">
      <c r="B91" s="213" t="s">
        <v>2728</v>
      </c>
      <c r="C91" s="214">
        <v>2019</v>
      </c>
      <c r="D91" s="214">
        <v>8</v>
      </c>
      <c r="E91" s="214">
        <v>10</v>
      </c>
      <c r="G91" t="s">
        <v>2855</v>
      </c>
      <c r="H91">
        <v>109</v>
      </c>
    </row>
    <row r="92" spans="2:8" x14ac:dyDescent="0.25">
      <c r="B92" s="213" t="s">
        <v>2728</v>
      </c>
      <c r="C92" s="214">
        <v>2019</v>
      </c>
      <c r="D92" s="214">
        <v>9</v>
      </c>
      <c r="E92" s="214">
        <v>3</v>
      </c>
      <c r="G92" t="s">
        <v>2761</v>
      </c>
      <c r="H92">
        <v>105</v>
      </c>
    </row>
    <row r="93" spans="2:8" x14ac:dyDescent="0.25">
      <c r="B93" s="213" t="s">
        <v>2728</v>
      </c>
      <c r="C93" s="214">
        <v>2019</v>
      </c>
      <c r="D93" s="214">
        <v>3</v>
      </c>
      <c r="E93" s="214">
        <v>2</v>
      </c>
      <c r="G93" t="s">
        <v>2833</v>
      </c>
      <c r="H93">
        <v>100</v>
      </c>
    </row>
    <row r="94" spans="2:8" x14ac:dyDescent="0.25">
      <c r="B94" s="213" t="s">
        <v>2728</v>
      </c>
      <c r="C94" s="214">
        <v>2019</v>
      </c>
      <c r="D94" s="214">
        <v>4</v>
      </c>
      <c r="E94" s="214">
        <v>1</v>
      </c>
      <c r="G94" t="s">
        <v>2728</v>
      </c>
      <c r="H94">
        <v>99</v>
      </c>
    </row>
    <row r="95" spans="2:8" x14ac:dyDescent="0.25">
      <c r="B95" s="213" t="s">
        <v>2728</v>
      </c>
      <c r="C95" s="214">
        <v>2019</v>
      </c>
      <c r="D95" s="214">
        <v>11</v>
      </c>
      <c r="E95" s="214">
        <v>1</v>
      </c>
      <c r="G95" t="s">
        <v>2809</v>
      </c>
      <c r="H95">
        <v>99</v>
      </c>
    </row>
    <row r="96" spans="2:8" x14ac:dyDescent="0.25">
      <c r="B96" s="213" t="s">
        <v>2728</v>
      </c>
      <c r="C96" s="214">
        <v>2019</v>
      </c>
      <c r="D96" s="214">
        <v>12</v>
      </c>
      <c r="E96" s="214">
        <v>1</v>
      </c>
      <c r="G96" t="s">
        <v>2841</v>
      </c>
      <c r="H96">
        <v>99</v>
      </c>
    </row>
    <row r="97" spans="2:8" x14ac:dyDescent="0.25">
      <c r="B97" s="213" t="s">
        <v>2729</v>
      </c>
      <c r="C97" s="214">
        <v>2019</v>
      </c>
      <c r="D97" s="214">
        <v>9</v>
      </c>
      <c r="E97" s="214">
        <v>13</v>
      </c>
      <c r="G97" t="s">
        <v>2742</v>
      </c>
      <c r="H97">
        <v>98</v>
      </c>
    </row>
    <row r="98" spans="2:8" x14ac:dyDescent="0.25">
      <c r="B98" s="213" t="s">
        <v>2729</v>
      </c>
      <c r="C98" s="214">
        <v>2019</v>
      </c>
      <c r="D98" s="214">
        <v>5</v>
      </c>
      <c r="E98" s="214">
        <v>12</v>
      </c>
      <c r="G98" t="s">
        <v>2802</v>
      </c>
      <c r="H98">
        <v>95</v>
      </c>
    </row>
    <row r="99" spans="2:8" x14ac:dyDescent="0.25">
      <c r="B99" s="213" t="s">
        <v>2729</v>
      </c>
      <c r="C99" s="214">
        <v>2019</v>
      </c>
      <c r="D99" s="214">
        <v>6</v>
      </c>
      <c r="E99" s="214">
        <v>10</v>
      </c>
      <c r="G99" t="s">
        <v>2738</v>
      </c>
      <c r="H99">
        <v>94</v>
      </c>
    </row>
    <row r="100" spans="2:8" x14ac:dyDescent="0.25">
      <c r="B100" s="213" t="s">
        <v>2729</v>
      </c>
      <c r="C100" s="214">
        <v>2019</v>
      </c>
      <c r="D100" s="214">
        <v>7</v>
      </c>
      <c r="E100" s="214">
        <v>10</v>
      </c>
      <c r="G100" t="s">
        <v>2787</v>
      </c>
      <c r="H100">
        <v>93</v>
      </c>
    </row>
    <row r="101" spans="2:8" x14ac:dyDescent="0.25">
      <c r="B101" s="213" t="s">
        <v>2729</v>
      </c>
      <c r="C101" s="214">
        <v>2019</v>
      </c>
      <c r="D101" s="214">
        <v>8</v>
      </c>
      <c r="E101" s="214">
        <v>10</v>
      </c>
      <c r="G101" t="s">
        <v>2808</v>
      </c>
      <c r="H101">
        <v>90</v>
      </c>
    </row>
    <row r="102" spans="2:8" x14ac:dyDescent="0.25">
      <c r="B102" s="213" t="s">
        <v>2729</v>
      </c>
      <c r="C102" s="214">
        <v>2019</v>
      </c>
      <c r="D102" s="214">
        <v>11</v>
      </c>
      <c r="E102" s="214">
        <v>5</v>
      </c>
      <c r="G102" t="s">
        <v>2904</v>
      </c>
      <c r="H102">
        <v>89</v>
      </c>
    </row>
    <row r="103" spans="2:8" x14ac:dyDescent="0.25">
      <c r="B103" s="213" t="s">
        <v>2729</v>
      </c>
      <c r="C103" s="214">
        <v>2019</v>
      </c>
      <c r="D103" s="214">
        <v>10</v>
      </c>
      <c r="E103" s="214">
        <v>4</v>
      </c>
      <c r="G103" t="s">
        <v>2905</v>
      </c>
      <c r="H103">
        <v>89</v>
      </c>
    </row>
    <row r="104" spans="2:8" x14ac:dyDescent="0.25">
      <c r="B104" s="213" t="s">
        <v>2729</v>
      </c>
      <c r="C104" s="214">
        <v>2019</v>
      </c>
      <c r="D104" s="214">
        <v>3</v>
      </c>
      <c r="E104" s="214">
        <v>3</v>
      </c>
      <c r="G104" t="s">
        <v>2906</v>
      </c>
      <c r="H104">
        <v>88</v>
      </c>
    </row>
    <row r="105" spans="2:8" x14ac:dyDescent="0.25">
      <c r="B105" s="213" t="s">
        <v>2729</v>
      </c>
      <c r="C105" s="214">
        <v>2019</v>
      </c>
      <c r="D105" s="214">
        <v>4</v>
      </c>
      <c r="E105" s="214">
        <v>2</v>
      </c>
      <c r="G105" t="s">
        <v>2843</v>
      </c>
      <c r="H105">
        <v>88</v>
      </c>
    </row>
    <row r="106" spans="2:8" x14ac:dyDescent="0.25">
      <c r="B106" s="213" t="s">
        <v>2729</v>
      </c>
      <c r="C106" s="214">
        <v>2019</v>
      </c>
      <c r="D106" s="214">
        <v>12</v>
      </c>
      <c r="E106" s="214">
        <v>2</v>
      </c>
      <c r="G106" t="s">
        <v>2749</v>
      </c>
      <c r="H106">
        <v>87</v>
      </c>
    </row>
    <row r="107" spans="2:8" x14ac:dyDescent="0.25">
      <c r="B107" s="213" t="s">
        <v>2729</v>
      </c>
      <c r="C107" s="214">
        <v>2019</v>
      </c>
      <c r="D107" s="214">
        <v>1</v>
      </c>
      <c r="E107" s="214">
        <v>1</v>
      </c>
      <c r="G107" t="s">
        <v>2858</v>
      </c>
      <c r="H107">
        <v>85</v>
      </c>
    </row>
    <row r="108" spans="2:8" x14ac:dyDescent="0.25">
      <c r="B108" s="213" t="s">
        <v>2730</v>
      </c>
      <c r="C108" s="214">
        <v>2019</v>
      </c>
      <c r="D108" s="214">
        <v>4</v>
      </c>
      <c r="E108" s="214">
        <v>90</v>
      </c>
      <c r="G108" t="s">
        <v>2866</v>
      </c>
      <c r="H108">
        <v>84</v>
      </c>
    </row>
    <row r="109" spans="2:8" x14ac:dyDescent="0.25">
      <c r="B109" s="213" t="s">
        <v>2730</v>
      </c>
      <c r="C109" s="214">
        <v>2019</v>
      </c>
      <c r="D109" s="214">
        <v>5</v>
      </c>
      <c r="E109" s="214">
        <v>76</v>
      </c>
      <c r="G109" t="s">
        <v>2907</v>
      </c>
      <c r="H109">
        <v>81</v>
      </c>
    </row>
    <row r="110" spans="2:8" x14ac:dyDescent="0.25">
      <c r="B110" s="213" t="s">
        <v>2730</v>
      </c>
      <c r="C110" s="214">
        <v>2019</v>
      </c>
      <c r="D110" s="214">
        <v>10</v>
      </c>
      <c r="E110" s="214">
        <v>57</v>
      </c>
      <c r="G110" t="s">
        <v>2729</v>
      </c>
      <c r="H110">
        <v>72</v>
      </c>
    </row>
    <row r="111" spans="2:8" x14ac:dyDescent="0.25">
      <c r="B111" s="213" t="s">
        <v>2730</v>
      </c>
      <c r="C111" s="214">
        <v>2019</v>
      </c>
      <c r="D111" s="214">
        <v>6</v>
      </c>
      <c r="E111" s="214">
        <v>55</v>
      </c>
      <c r="G111" t="s">
        <v>2771</v>
      </c>
      <c r="H111">
        <v>72</v>
      </c>
    </row>
    <row r="112" spans="2:8" x14ac:dyDescent="0.25">
      <c r="B112" s="213" t="s">
        <v>2730</v>
      </c>
      <c r="C112" s="214">
        <v>2019</v>
      </c>
      <c r="D112" s="214">
        <v>7</v>
      </c>
      <c r="E112" s="214">
        <v>50</v>
      </c>
      <c r="G112" t="s">
        <v>2791</v>
      </c>
      <c r="H112">
        <v>71</v>
      </c>
    </row>
    <row r="113" spans="2:8" x14ac:dyDescent="0.25">
      <c r="B113" s="213" t="s">
        <v>2730</v>
      </c>
      <c r="C113" s="214">
        <v>2019</v>
      </c>
      <c r="D113" s="214">
        <v>8</v>
      </c>
      <c r="E113" s="214">
        <v>44</v>
      </c>
      <c r="G113" t="s">
        <v>2908</v>
      </c>
      <c r="H113">
        <v>71</v>
      </c>
    </row>
    <row r="114" spans="2:8" x14ac:dyDescent="0.25">
      <c r="B114" s="213" t="s">
        <v>2730</v>
      </c>
      <c r="C114" s="214">
        <v>2019</v>
      </c>
      <c r="D114" s="214">
        <v>11</v>
      </c>
      <c r="E114" s="214">
        <v>39</v>
      </c>
      <c r="G114" t="s">
        <v>2909</v>
      </c>
      <c r="H114">
        <v>71</v>
      </c>
    </row>
    <row r="115" spans="2:8" x14ac:dyDescent="0.25">
      <c r="B115" s="213" t="s">
        <v>2730</v>
      </c>
      <c r="C115" s="214">
        <v>2019</v>
      </c>
      <c r="D115" s="214">
        <v>2</v>
      </c>
      <c r="E115" s="214">
        <v>35</v>
      </c>
      <c r="G115" t="s">
        <v>2793</v>
      </c>
      <c r="H115">
        <v>69</v>
      </c>
    </row>
    <row r="116" spans="2:8" x14ac:dyDescent="0.25">
      <c r="B116" s="213" t="s">
        <v>2730</v>
      </c>
      <c r="C116" s="214">
        <v>2019</v>
      </c>
      <c r="D116" s="214">
        <v>9</v>
      </c>
      <c r="E116" s="214">
        <v>22</v>
      </c>
      <c r="G116" t="s">
        <v>2739</v>
      </c>
      <c r="H116">
        <v>68</v>
      </c>
    </row>
    <row r="117" spans="2:8" x14ac:dyDescent="0.25">
      <c r="B117" s="213" t="s">
        <v>2730</v>
      </c>
      <c r="C117" s="214">
        <v>2019</v>
      </c>
      <c r="D117" s="214">
        <v>1</v>
      </c>
      <c r="E117" s="214">
        <v>21</v>
      </c>
      <c r="G117" t="s">
        <v>2779</v>
      </c>
      <c r="H117">
        <v>68</v>
      </c>
    </row>
    <row r="118" spans="2:8" x14ac:dyDescent="0.25">
      <c r="B118" s="213" t="s">
        <v>2730</v>
      </c>
      <c r="C118" s="214">
        <v>2019</v>
      </c>
      <c r="D118" s="214">
        <v>12</v>
      </c>
      <c r="E118" s="214">
        <v>20</v>
      </c>
      <c r="G118" t="s">
        <v>2757</v>
      </c>
      <c r="H118">
        <v>67</v>
      </c>
    </row>
    <row r="119" spans="2:8" x14ac:dyDescent="0.25">
      <c r="B119" s="213" t="s">
        <v>2730</v>
      </c>
      <c r="C119" s="214">
        <v>2019</v>
      </c>
      <c r="D119" s="214">
        <v>3</v>
      </c>
      <c r="E119" s="214">
        <v>18</v>
      </c>
      <c r="G119" t="s">
        <v>2910</v>
      </c>
      <c r="H119">
        <v>67</v>
      </c>
    </row>
    <row r="120" spans="2:8" x14ac:dyDescent="0.25">
      <c r="B120" s="213" t="s">
        <v>2731</v>
      </c>
      <c r="C120" s="214">
        <v>2019</v>
      </c>
      <c r="D120" s="214">
        <v>11</v>
      </c>
      <c r="E120" s="214">
        <v>9</v>
      </c>
      <c r="G120" t="s">
        <v>2756</v>
      </c>
      <c r="H120">
        <v>66</v>
      </c>
    </row>
    <row r="121" spans="2:8" x14ac:dyDescent="0.25">
      <c r="B121" s="213" t="s">
        <v>2731</v>
      </c>
      <c r="C121" s="214">
        <v>2019</v>
      </c>
      <c r="D121" s="214">
        <v>3</v>
      </c>
      <c r="E121" s="214">
        <v>6</v>
      </c>
      <c r="G121" t="s">
        <v>2758</v>
      </c>
      <c r="H121">
        <v>66</v>
      </c>
    </row>
    <row r="122" spans="2:8" x14ac:dyDescent="0.25">
      <c r="B122" s="213" t="s">
        <v>2731</v>
      </c>
      <c r="C122" s="214">
        <v>2019</v>
      </c>
      <c r="D122" s="214">
        <v>6</v>
      </c>
      <c r="E122" s="214">
        <v>6</v>
      </c>
      <c r="G122" t="s">
        <v>2794</v>
      </c>
      <c r="H122">
        <v>65</v>
      </c>
    </row>
    <row r="123" spans="2:8" x14ac:dyDescent="0.25">
      <c r="B123" s="213" t="s">
        <v>2731</v>
      </c>
      <c r="C123" s="214">
        <v>2019</v>
      </c>
      <c r="D123" s="214">
        <v>10</v>
      </c>
      <c r="E123" s="214">
        <v>6</v>
      </c>
      <c r="G123" t="s">
        <v>2780</v>
      </c>
      <c r="H123">
        <v>64</v>
      </c>
    </row>
    <row r="124" spans="2:8" x14ac:dyDescent="0.25">
      <c r="B124" s="213" t="s">
        <v>2731</v>
      </c>
      <c r="C124" s="214">
        <v>2019</v>
      </c>
      <c r="D124" s="214">
        <v>1</v>
      </c>
      <c r="E124" s="214">
        <v>5</v>
      </c>
      <c r="G124" t="s">
        <v>2840</v>
      </c>
      <c r="H124">
        <v>64</v>
      </c>
    </row>
    <row r="125" spans="2:8" x14ac:dyDescent="0.25">
      <c r="B125" s="213" t="s">
        <v>2731</v>
      </c>
      <c r="C125" s="214">
        <v>2019</v>
      </c>
      <c r="D125" s="214">
        <v>5</v>
      </c>
      <c r="E125" s="214">
        <v>5</v>
      </c>
      <c r="G125" t="s">
        <v>2911</v>
      </c>
      <c r="H125">
        <v>63</v>
      </c>
    </row>
    <row r="126" spans="2:8" x14ac:dyDescent="0.25">
      <c r="B126" s="213" t="s">
        <v>2731</v>
      </c>
      <c r="C126" s="214">
        <v>2019</v>
      </c>
      <c r="D126" s="214">
        <v>7</v>
      </c>
      <c r="E126" s="214">
        <v>3</v>
      </c>
      <c r="G126" t="s">
        <v>2755</v>
      </c>
      <c r="H126">
        <v>61</v>
      </c>
    </row>
    <row r="127" spans="2:8" x14ac:dyDescent="0.25">
      <c r="B127" s="213" t="s">
        <v>2731</v>
      </c>
      <c r="C127" s="214">
        <v>2019</v>
      </c>
      <c r="D127" s="214">
        <v>8</v>
      </c>
      <c r="E127" s="214">
        <v>3</v>
      </c>
      <c r="G127" t="s">
        <v>2792</v>
      </c>
      <c r="H127">
        <v>61</v>
      </c>
    </row>
    <row r="128" spans="2:8" x14ac:dyDescent="0.25">
      <c r="B128" s="213" t="s">
        <v>2731</v>
      </c>
      <c r="C128" s="214">
        <v>2019</v>
      </c>
      <c r="D128" s="214">
        <v>9</v>
      </c>
      <c r="E128" s="214">
        <v>2</v>
      </c>
      <c r="G128" t="s">
        <v>2888</v>
      </c>
      <c r="H128">
        <v>60</v>
      </c>
    </row>
    <row r="129" spans="2:8" x14ac:dyDescent="0.25">
      <c r="B129" s="213" t="s">
        <v>2731</v>
      </c>
      <c r="C129" s="214">
        <v>2019</v>
      </c>
      <c r="D129" s="214">
        <v>2</v>
      </c>
      <c r="E129" s="214">
        <v>1</v>
      </c>
      <c r="G129" t="s">
        <v>2773</v>
      </c>
      <c r="H129">
        <v>60</v>
      </c>
    </row>
    <row r="130" spans="2:8" x14ac:dyDescent="0.25">
      <c r="B130" s="213" t="s">
        <v>2732</v>
      </c>
      <c r="C130" s="214">
        <v>2019</v>
      </c>
      <c r="D130" s="214">
        <v>10</v>
      </c>
      <c r="E130" s="214">
        <v>105</v>
      </c>
      <c r="G130" t="s">
        <v>2781</v>
      </c>
      <c r="H130">
        <v>60</v>
      </c>
    </row>
    <row r="131" spans="2:8" x14ac:dyDescent="0.25">
      <c r="B131" s="213" t="s">
        <v>2732</v>
      </c>
      <c r="C131" s="214">
        <v>2019</v>
      </c>
      <c r="D131" s="214">
        <v>2</v>
      </c>
      <c r="E131" s="214">
        <v>103</v>
      </c>
      <c r="G131" t="s">
        <v>2733</v>
      </c>
      <c r="H131">
        <v>59</v>
      </c>
    </row>
    <row r="132" spans="2:8" x14ac:dyDescent="0.25">
      <c r="B132" s="213" t="s">
        <v>2732</v>
      </c>
      <c r="C132" s="214">
        <v>2019</v>
      </c>
      <c r="D132" s="214">
        <v>4</v>
      </c>
      <c r="E132" s="214">
        <v>87</v>
      </c>
      <c r="G132" t="s">
        <v>2830</v>
      </c>
      <c r="H132">
        <v>59</v>
      </c>
    </row>
    <row r="133" spans="2:8" x14ac:dyDescent="0.25">
      <c r="B133" s="213" t="s">
        <v>2732</v>
      </c>
      <c r="C133" s="214">
        <v>2019</v>
      </c>
      <c r="D133" s="214">
        <v>9</v>
      </c>
      <c r="E133" s="214">
        <v>87</v>
      </c>
      <c r="G133" t="s">
        <v>2861</v>
      </c>
      <c r="H133">
        <v>59</v>
      </c>
    </row>
    <row r="134" spans="2:8" x14ac:dyDescent="0.25">
      <c r="B134" s="213" t="s">
        <v>2732</v>
      </c>
      <c r="C134" s="214">
        <v>2019</v>
      </c>
      <c r="D134" s="214">
        <v>6</v>
      </c>
      <c r="E134" s="214">
        <v>79</v>
      </c>
      <c r="G134" t="s">
        <v>2839</v>
      </c>
      <c r="H134">
        <v>58</v>
      </c>
    </row>
    <row r="135" spans="2:8" x14ac:dyDescent="0.25">
      <c r="B135" s="213" t="s">
        <v>2732</v>
      </c>
      <c r="C135" s="214">
        <v>2019</v>
      </c>
      <c r="D135" s="214">
        <v>8</v>
      </c>
      <c r="E135" s="214">
        <v>72</v>
      </c>
      <c r="G135" t="s">
        <v>2912</v>
      </c>
      <c r="H135">
        <v>57</v>
      </c>
    </row>
    <row r="136" spans="2:8" x14ac:dyDescent="0.25">
      <c r="B136" s="213" t="s">
        <v>2732</v>
      </c>
      <c r="C136" s="214">
        <v>2019</v>
      </c>
      <c r="D136" s="214">
        <v>3</v>
      </c>
      <c r="E136" s="214">
        <v>71</v>
      </c>
      <c r="G136" t="s">
        <v>2819</v>
      </c>
      <c r="H136">
        <v>56</v>
      </c>
    </row>
    <row r="137" spans="2:8" x14ac:dyDescent="0.25">
      <c r="B137" s="213" t="s">
        <v>2732</v>
      </c>
      <c r="C137" s="214">
        <v>2019</v>
      </c>
      <c r="D137" s="214">
        <v>11</v>
      </c>
      <c r="E137" s="214">
        <v>62</v>
      </c>
      <c r="G137" t="s">
        <v>2913</v>
      </c>
      <c r="H137">
        <v>55</v>
      </c>
    </row>
    <row r="138" spans="2:8" x14ac:dyDescent="0.25">
      <c r="B138" s="213" t="s">
        <v>2732</v>
      </c>
      <c r="C138" s="214">
        <v>2019</v>
      </c>
      <c r="D138" s="214">
        <v>5</v>
      </c>
      <c r="E138" s="214">
        <v>55</v>
      </c>
      <c r="G138" t="s">
        <v>2724</v>
      </c>
      <c r="H138">
        <v>53</v>
      </c>
    </row>
    <row r="139" spans="2:8" x14ac:dyDescent="0.25">
      <c r="B139" s="213" t="s">
        <v>2732</v>
      </c>
      <c r="C139" s="214">
        <v>2019</v>
      </c>
      <c r="D139" s="214">
        <v>1</v>
      </c>
      <c r="E139" s="214">
        <v>51</v>
      </c>
      <c r="G139" t="s">
        <v>2914</v>
      </c>
      <c r="H139">
        <v>52</v>
      </c>
    </row>
    <row r="140" spans="2:8" x14ac:dyDescent="0.25">
      <c r="B140" s="213" t="s">
        <v>2732</v>
      </c>
      <c r="C140" s="214">
        <v>2019</v>
      </c>
      <c r="D140" s="214">
        <v>7</v>
      </c>
      <c r="E140" s="214">
        <v>51</v>
      </c>
      <c r="G140" t="s">
        <v>2915</v>
      </c>
      <c r="H140">
        <v>51</v>
      </c>
    </row>
    <row r="141" spans="2:8" x14ac:dyDescent="0.25">
      <c r="B141" s="213" t="s">
        <v>2732</v>
      </c>
      <c r="C141" s="214">
        <v>2019</v>
      </c>
      <c r="D141" s="214">
        <v>12</v>
      </c>
      <c r="E141" s="214">
        <v>46</v>
      </c>
      <c r="G141" t="s">
        <v>2816</v>
      </c>
      <c r="H141">
        <v>51</v>
      </c>
    </row>
    <row r="142" spans="2:8" x14ac:dyDescent="0.25">
      <c r="B142" s="213" t="s">
        <v>2733</v>
      </c>
      <c r="C142" s="214">
        <v>2019</v>
      </c>
      <c r="D142" s="214">
        <v>3</v>
      </c>
      <c r="E142" s="214">
        <v>20</v>
      </c>
      <c r="G142" t="s">
        <v>2916</v>
      </c>
      <c r="H142">
        <v>51</v>
      </c>
    </row>
    <row r="143" spans="2:8" x14ac:dyDescent="0.25">
      <c r="B143" s="213" t="s">
        <v>2733</v>
      </c>
      <c r="C143" s="214">
        <v>2019</v>
      </c>
      <c r="D143" s="214">
        <v>1</v>
      </c>
      <c r="E143" s="214">
        <v>7</v>
      </c>
      <c r="G143" t="s">
        <v>2917</v>
      </c>
      <c r="H143">
        <v>51</v>
      </c>
    </row>
    <row r="144" spans="2:8" x14ac:dyDescent="0.25">
      <c r="B144" s="213" t="s">
        <v>2733</v>
      </c>
      <c r="C144" s="214">
        <v>2019</v>
      </c>
      <c r="D144" s="214">
        <v>7</v>
      </c>
      <c r="E144" s="214">
        <v>7</v>
      </c>
      <c r="G144" t="s">
        <v>2783</v>
      </c>
      <c r="H144">
        <v>49</v>
      </c>
    </row>
    <row r="145" spans="2:8" x14ac:dyDescent="0.25">
      <c r="B145" s="213" t="s">
        <v>2733</v>
      </c>
      <c r="C145" s="214">
        <v>2019</v>
      </c>
      <c r="D145" s="214">
        <v>8</v>
      </c>
      <c r="E145" s="214">
        <v>5</v>
      </c>
      <c r="G145" t="s">
        <v>2784</v>
      </c>
      <c r="H145">
        <v>49</v>
      </c>
    </row>
    <row r="146" spans="2:8" x14ac:dyDescent="0.25">
      <c r="B146" s="213" t="s">
        <v>2733</v>
      </c>
      <c r="C146" s="214">
        <v>2019</v>
      </c>
      <c r="D146" s="214">
        <v>5</v>
      </c>
      <c r="E146" s="214">
        <v>4</v>
      </c>
      <c r="G146" t="s">
        <v>2807</v>
      </c>
      <c r="H146">
        <v>47</v>
      </c>
    </row>
    <row r="147" spans="2:8" x14ac:dyDescent="0.25">
      <c r="B147" s="213" t="s">
        <v>2733</v>
      </c>
      <c r="C147" s="214">
        <v>2019</v>
      </c>
      <c r="D147" s="214">
        <v>2</v>
      </c>
      <c r="E147" s="214">
        <v>3</v>
      </c>
      <c r="G147" t="s">
        <v>2731</v>
      </c>
      <c r="H147">
        <v>46</v>
      </c>
    </row>
    <row r="148" spans="2:8" x14ac:dyDescent="0.25">
      <c r="B148" s="213" t="s">
        <v>2733</v>
      </c>
      <c r="C148" s="214">
        <v>2019</v>
      </c>
      <c r="D148" s="214">
        <v>6</v>
      </c>
      <c r="E148" s="214">
        <v>3</v>
      </c>
      <c r="G148" t="s">
        <v>2918</v>
      </c>
      <c r="H148">
        <v>46</v>
      </c>
    </row>
    <row r="149" spans="2:8" x14ac:dyDescent="0.25">
      <c r="B149" s="213" t="s">
        <v>2733</v>
      </c>
      <c r="C149" s="214">
        <v>2019</v>
      </c>
      <c r="D149" s="214">
        <v>12</v>
      </c>
      <c r="E149" s="214">
        <v>3</v>
      </c>
      <c r="G149" t="s">
        <v>2743</v>
      </c>
      <c r="H149">
        <v>45</v>
      </c>
    </row>
    <row r="150" spans="2:8" x14ac:dyDescent="0.25">
      <c r="B150" s="213" t="s">
        <v>2733</v>
      </c>
      <c r="C150" s="214">
        <v>2019</v>
      </c>
      <c r="D150" s="214">
        <v>4</v>
      </c>
      <c r="E150" s="214">
        <v>2</v>
      </c>
      <c r="G150" t="s">
        <v>2919</v>
      </c>
      <c r="H150">
        <v>45</v>
      </c>
    </row>
    <row r="151" spans="2:8" x14ac:dyDescent="0.25">
      <c r="B151" s="213" t="s">
        <v>2733</v>
      </c>
      <c r="C151" s="214">
        <v>2019</v>
      </c>
      <c r="D151" s="214">
        <v>9</v>
      </c>
      <c r="E151" s="214">
        <v>2</v>
      </c>
      <c r="G151" t="s">
        <v>2826</v>
      </c>
      <c r="H151">
        <v>45</v>
      </c>
    </row>
    <row r="152" spans="2:8" x14ac:dyDescent="0.25">
      <c r="B152" s="213" t="s">
        <v>2733</v>
      </c>
      <c r="C152" s="214">
        <v>2019</v>
      </c>
      <c r="D152" s="214">
        <v>11</v>
      </c>
      <c r="E152" s="214">
        <v>2</v>
      </c>
      <c r="G152" t="s">
        <v>2745</v>
      </c>
      <c r="H152">
        <v>44</v>
      </c>
    </row>
    <row r="153" spans="2:8" x14ac:dyDescent="0.25">
      <c r="B153" s="213" t="s">
        <v>2733</v>
      </c>
      <c r="C153" s="214">
        <v>2019</v>
      </c>
      <c r="D153" s="214">
        <v>10</v>
      </c>
      <c r="E153" s="214">
        <v>1</v>
      </c>
      <c r="G153" t="s">
        <v>2920</v>
      </c>
      <c r="H153">
        <v>44</v>
      </c>
    </row>
    <row r="154" spans="2:8" x14ac:dyDescent="0.25">
      <c r="B154" s="213" t="s">
        <v>2734</v>
      </c>
      <c r="C154" s="214">
        <v>2019</v>
      </c>
      <c r="D154" s="214">
        <v>4</v>
      </c>
      <c r="E154" s="214">
        <v>110</v>
      </c>
      <c r="G154" t="s">
        <v>2741</v>
      </c>
      <c r="H154">
        <v>43</v>
      </c>
    </row>
    <row r="155" spans="2:8" x14ac:dyDescent="0.25">
      <c r="B155" s="213" t="s">
        <v>2734</v>
      </c>
      <c r="C155" s="214">
        <v>2019</v>
      </c>
      <c r="D155" s="214">
        <v>5</v>
      </c>
      <c r="E155" s="214">
        <v>92</v>
      </c>
      <c r="G155" t="s">
        <v>2770</v>
      </c>
      <c r="H155">
        <v>43</v>
      </c>
    </row>
    <row r="156" spans="2:8" x14ac:dyDescent="0.25">
      <c r="B156" s="213" t="s">
        <v>2734</v>
      </c>
      <c r="C156" s="214">
        <v>2019</v>
      </c>
      <c r="D156" s="214">
        <v>9</v>
      </c>
      <c r="E156" s="214">
        <v>91</v>
      </c>
      <c r="G156" t="s">
        <v>2798</v>
      </c>
      <c r="H156">
        <v>43</v>
      </c>
    </row>
    <row r="157" spans="2:8" x14ac:dyDescent="0.25">
      <c r="B157" s="213" t="s">
        <v>2734</v>
      </c>
      <c r="C157" s="214">
        <v>2019</v>
      </c>
      <c r="D157" s="214">
        <v>3</v>
      </c>
      <c r="E157" s="214">
        <v>84</v>
      </c>
      <c r="G157" t="s">
        <v>2921</v>
      </c>
      <c r="H157">
        <v>43</v>
      </c>
    </row>
    <row r="158" spans="2:8" x14ac:dyDescent="0.25">
      <c r="B158" s="213" t="s">
        <v>2734</v>
      </c>
      <c r="C158" s="214">
        <v>2019</v>
      </c>
      <c r="D158" s="214">
        <v>10</v>
      </c>
      <c r="E158" s="214">
        <v>77</v>
      </c>
      <c r="G158" t="s">
        <v>2776</v>
      </c>
      <c r="H158">
        <v>40</v>
      </c>
    </row>
    <row r="159" spans="2:8" x14ac:dyDescent="0.25">
      <c r="B159" s="213" t="s">
        <v>2734</v>
      </c>
      <c r="C159" s="214">
        <v>2019</v>
      </c>
      <c r="D159" s="214">
        <v>11</v>
      </c>
      <c r="E159" s="214">
        <v>69</v>
      </c>
      <c r="G159" t="s">
        <v>2922</v>
      </c>
      <c r="H159">
        <v>40</v>
      </c>
    </row>
    <row r="160" spans="2:8" x14ac:dyDescent="0.25">
      <c r="B160" s="213" t="s">
        <v>2734</v>
      </c>
      <c r="C160" s="214">
        <v>2019</v>
      </c>
      <c r="D160" s="214">
        <v>8</v>
      </c>
      <c r="E160" s="214">
        <v>68</v>
      </c>
      <c r="G160" t="s">
        <v>2923</v>
      </c>
      <c r="H160">
        <v>40</v>
      </c>
    </row>
    <row r="161" spans="2:8" x14ac:dyDescent="0.25">
      <c r="B161" s="213" t="s">
        <v>2734</v>
      </c>
      <c r="C161" s="214">
        <v>2019</v>
      </c>
      <c r="D161" s="214">
        <v>7</v>
      </c>
      <c r="E161" s="214">
        <v>54</v>
      </c>
      <c r="G161" t="s">
        <v>2827</v>
      </c>
      <c r="H161">
        <v>38</v>
      </c>
    </row>
    <row r="162" spans="2:8" x14ac:dyDescent="0.25">
      <c r="B162" s="213" t="s">
        <v>2734</v>
      </c>
      <c r="C162" s="214">
        <v>2019</v>
      </c>
      <c r="D162" s="214">
        <v>1</v>
      </c>
      <c r="E162" s="214">
        <v>49</v>
      </c>
      <c r="G162" t="s">
        <v>2740</v>
      </c>
      <c r="H162">
        <v>36</v>
      </c>
    </row>
    <row r="163" spans="2:8" x14ac:dyDescent="0.25">
      <c r="B163" s="213" t="s">
        <v>2734</v>
      </c>
      <c r="C163" s="214">
        <v>2019</v>
      </c>
      <c r="D163" s="214">
        <v>6</v>
      </c>
      <c r="E163" s="214">
        <v>49</v>
      </c>
      <c r="G163" t="s">
        <v>2831</v>
      </c>
      <c r="H163">
        <v>36</v>
      </c>
    </row>
    <row r="164" spans="2:8" x14ac:dyDescent="0.25">
      <c r="B164" s="213" t="s">
        <v>2734</v>
      </c>
      <c r="C164" s="214">
        <v>2019</v>
      </c>
      <c r="D164" s="214">
        <v>12</v>
      </c>
      <c r="E164" s="214">
        <v>30</v>
      </c>
      <c r="G164" t="s">
        <v>2726</v>
      </c>
      <c r="H164">
        <v>35</v>
      </c>
    </row>
    <row r="165" spans="2:8" x14ac:dyDescent="0.25">
      <c r="B165" s="213" t="s">
        <v>2734</v>
      </c>
      <c r="C165" s="214">
        <v>2019</v>
      </c>
      <c r="D165" s="214">
        <v>2</v>
      </c>
      <c r="E165" s="214">
        <v>19</v>
      </c>
      <c r="G165" t="s">
        <v>2723</v>
      </c>
      <c r="H165">
        <v>34</v>
      </c>
    </row>
    <row r="166" spans="2:8" x14ac:dyDescent="0.25">
      <c r="B166" s="213" t="s">
        <v>2735</v>
      </c>
      <c r="C166" s="214">
        <v>2019</v>
      </c>
      <c r="D166" s="214">
        <v>4</v>
      </c>
      <c r="E166" s="214">
        <v>5</v>
      </c>
      <c r="G166" t="s">
        <v>2766</v>
      </c>
      <c r="H166">
        <v>34</v>
      </c>
    </row>
    <row r="167" spans="2:8" x14ac:dyDescent="0.25">
      <c r="B167" s="213" t="s">
        <v>2735</v>
      </c>
      <c r="C167" s="214">
        <v>2019</v>
      </c>
      <c r="D167" s="214">
        <v>7</v>
      </c>
      <c r="E167" s="214">
        <v>5</v>
      </c>
      <c r="G167" t="s">
        <v>2786</v>
      </c>
      <c r="H167">
        <v>33</v>
      </c>
    </row>
    <row r="168" spans="2:8" x14ac:dyDescent="0.25">
      <c r="B168" s="213" t="s">
        <v>2735</v>
      </c>
      <c r="C168" s="214">
        <v>2019</v>
      </c>
      <c r="D168" s="214">
        <v>3</v>
      </c>
      <c r="E168" s="214">
        <v>3</v>
      </c>
      <c r="G168" t="s">
        <v>2924</v>
      </c>
      <c r="H168">
        <v>33</v>
      </c>
    </row>
    <row r="169" spans="2:8" x14ac:dyDescent="0.25">
      <c r="B169" s="213" t="s">
        <v>2735</v>
      </c>
      <c r="C169" s="214">
        <v>2019</v>
      </c>
      <c r="D169" s="214">
        <v>8</v>
      </c>
      <c r="E169" s="214">
        <v>3</v>
      </c>
      <c r="G169" t="s">
        <v>2848</v>
      </c>
      <c r="H169">
        <v>33</v>
      </c>
    </row>
    <row r="170" spans="2:8" x14ac:dyDescent="0.25">
      <c r="B170" s="213" t="s">
        <v>2735</v>
      </c>
      <c r="C170" s="214">
        <v>2019</v>
      </c>
      <c r="D170" s="214">
        <v>5</v>
      </c>
      <c r="E170" s="214">
        <v>2</v>
      </c>
      <c r="G170" t="s">
        <v>2822</v>
      </c>
      <c r="H170">
        <v>32</v>
      </c>
    </row>
    <row r="171" spans="2:8" x14ac:dyDescent="0.25">
      <c r="B171" s="213" t="s">
        <v>2735</v>
      </c>
      <c r="C171" s="214">
        <v>2019</v>
      </c>
      <c r="D171" s="214">
        <v>2</v>
      </c>
      <c r="E171" s="214">
        <v>1</v>
      </c>
      <c r="G171" t="s">
        <v>2891</v>
      </c>
      <c r="H171">
        <v>31</v>
      </c>
    </row>
    <row r="172" spans="2:8" x14ac:dyDescent="0.25">
      <c r="B172" s="213" t="s">
        <v>2735</v>
      </c>
      <c r="C172" s="214">
        <v>2019</v>
      </c>
      <c r="D172" s="214">
        <v>6</v>
      </c>
      <c r="E172" s="214">
        <v>1</v>
      </c>
      <c r="G172" t="s">
        <v>2925</v>
      </c>
      <c r="H172">
        <v>29</v>
      </c>
    </row>
    <row r="173" spans="2:8" x14ac:dyDescent="0.25">
      <c r="B173" s="213" t="s">
        <v>2735</v>
      </c>
      <c r="C173" s="214">
        <v>2019</v>
      </c>
      <c r="D173" s="214">
        <v>9</v>
      </c>
      <c r="E173" s="214">
        <v>1</v>
      </c>
      <c r="G173" t="s">
        <v>2782</v>
      </c>
      <c r="H173">
        <v>29</v>
      </c>
    </row>
    <row r="174" spans="2:8" x14ac:dyDescent="0.25">
      <c r="B174" s="213" t="s">
        <v>2736</v>
      </c>
      <c r="C174" s="214">
        <v>2019</v>
      </c>
      <c r="D174" s="214">
        <v>3</v>
      </c>
      <c r="E174" s="214">
        <v>295</v>
      </c>
      <c r="G174" t="s">
        <v>2926</v>
      </c>
      <c r="H174">
        <v>27</v>
      </c>
    </row>
    <row r="175" spans="2:8" x14ac:dyDescent="0.25">
      <c r="B175" s="213" t="s">
        <v>2736</v>
      </c>
      <c r="C175" s="214">
        <v>2019</v>
      </c>
      <c r="D175" s="214">
        <v>9</v>
      </c>
      <c r="E175" s="214">
        <v>285</v>
      </c>
      <c r="G175" t="s">
        <v>2825</v>
      </c>
      <c r="H175">
        <v>26</v>
      </c>
    </row>
    <row r="176" spans="2:8" x14ac:dyDescent="0.25">
      <c r="B176" s="213" t="s">
        <v>2736</v>
      </c>
      <c r="C176" s="214">
        <v>2019</v>
      </c>
      <c r="D176" s="214">
        <v>1</v>
      </c>
      <c r="E176" s="214">
        <v>283</v>
      </c>
      <c r="G176" t="s">
        <v>2788</v>
      </c>
      <c r="H176">
        <v>24</v>
      </c>
    </row>
    <row r="177" spans="2:8" x14ac:dyDescent="0.25">
      <c r="B177" s="213" t="s">
        <v>2736</v>
      </c>
      <c r="C177" s="214">
        <v>2019</v>
      </c>
      <c r="D177" s="214">
        <v>4</v>
      </c>
      <c r="E177" s="214">
        <v>276</v>
      </c>
      <c r="G177" t="s">
        <v>2927</v>
      </c>
      <c r="H177">
        <v>24</v>
      </c>
    </row>
    <row r="178" spans="2:8" x14ac:dyDescent="0.25">
      <c r="B178" s="213" t="s">
        <v>2736</v>
      </c>
      <c r="C178" s="214">
        <v>2019</v>
      </c>
      <c r="D178" s="214">
        <v>5</v>
      </c>
      <c r="E178" s="214">
        <v>258</v>
      </c>
      <c r="G178" t="s">
        <v>2928</v>
      </c>
      <c r="H178">
        <v>24</v>
      </c>
    </row>
    <row r="179" spans="2:8" x14ac:dyDescent="0.25">
      <c r="B179" s="213" t="s">
        <v>2736</v>
      </c>
      <c r="C179" s="214">
        <v>2019</v>
      </c>
      <c r="D179" s="214">
        <v>2</v>
      </c>
      <c r="E179" s="214">
        <v>195</v>
      </c>
      <c r="G179" t="s">
        <v>2884</v>
      </c>
      <c r="H179">
        <v>23</v>
      </c>
    </row>
    <row r="180" spans="2:8" x14ac:dyDescent="0.25">
      <c r="B180" s="213" t="s">
        <v>2736</v>
      </c>
      <c r="C180" s="214">
        <v>2019</v>
      </c>
      <c r="D180" s="214">
        <v>8</v>
      </c>
      <c r="E180" s="214">
        <v>184</v>
      </c>
      <c r="G180" t="s">
        <v>2774</v>
      </c>
      <c r="H180">
        <v>23</v>
      </c>
    </row>
    <row r="181" spans="2:8" x14ac:dyDescent="0.25">
      <c r="B181" s="213" t="s">
        <v>2736</v>
      </c>
      <c r="C181" s="214">
        <v>2019</v>
      </c>
      <c r="D181" s="214">
        <v>12</v>
      </c>
      <c r="E181" s="214">
        <v>180</v>
      </c>
      <c r="G181" t="s">
        <v>2929</v>
      </c>
      <c r="H181">
        <v>23</v>
      </c>
    </row>
    <row r="182" spans="2:8" x14ac:dyDescent="0.25">
      <c r="B182" s="213" t="s">
        <v>2736</v>
      </c>
      <c r="C182" s="214">
        <v>2019</v>
      </c>
      <c r="D182" s="214">
        <v>10</v>
      </c>
      <c r="E182" s="214">
        <v>171</v>
      </c>
      <c r="G182" t="s">
        <v>2930</v>
      </c>
      <c r="H182">
        <v>23</v>
      </c>
    </row>
    <row r="183" spans="2:8" x14ac:dyDescent="0.25">
      <c r="B183" s="213" t="s">
        <v>2736</v>
      </c>
      <c r="C183" s="214">
        <v>2019</v>
      </c>
      <c r="D183" s="214">
        <v>11</v>
      </c>
      <c r="E183" s="214">
        <v>136</v>
      </c>
      <c r="G183" t="s">
        <v>2735</v>
      </c>
      <c r="H183">
        <v>21</v>
      </c>
    </row>
    <row r="184" spans="2:8" x14ac:dyDescent="0.25">
      <c r="B184" s="213" t="s">
        <v>2736</v>
      </c>
      <c r="C184" s="214">
        <v>2019</v>
      </c>
      <c r="D184" s="214">
        <v>7</v>
      </c>
      <c r="E184" s="214">
        <v>133</v>
      </c>
      <c r="G184" t="s">
        <v>2931</v>
      </c>
      <c r="H184">
        <v>21</v>
      </c>
    </row>
    <row r="185" spans="2:8" x14ac:dyDescent="0.25">
      <c r="B185" s="213" t="s">
        <v>2736</v>
      </c>
      <c r="C185" s="214">
        <v>2019</v>
      </c>
      <c r="D185" s="214">
        <v>6</v>
      </c>
      <c r="E185" s="214">
        <v>131</v>
      </c>
      <c r="G185" t="s">
        <v>2763</v>
      </c>
      <c r="H185">
        <v>21</v>
      </c>
    </row>
    <row r="186" spans="2:8" x14ac:dyDescent="0.25">
      <c r="B186" s="213" t="s">
        <v>2902</v>
      </c>
      <c r="C186" s="214">
        <v>2019</v>
      </c>
      <c r="D186" s="214">
        <v>10</v>
      </c>
      <c r="E186" s="214">
        <v>24</v>
      </c>
      <c r="G186" t="s">
        <v>2932</v>
      </c>
      <c r="H186">
        <v>20</v>
      </c>
    </row>
    <row r="187" spans="2:8" x14ac:dyDescent="0.25">
      <c r="B187" s="213" t="s">
        <v>2902</v>
      </c>
      <c r="C187" s="214">
        <v>2019</v>
      </c>
      <c r="D187" s="214">
        <v>4</v>
      </c>
      <c r="E187" s="214">
        <v>22</v>
      </c>
      <c r="G187" t="s">
        <v>2933</v>
      </c>
      <c r="H187">
        <v>20</v>
      </c>
    </row>
    <row r="188" spans="2:8" x14ac:dyDescent="0.25">
      <c r="B188" s="213" t="s">
        <v>2902</v>
      </c>
      <c r="C188" s="214">
        <v>2019</v>
      </c>
      <c r="D188" s="214">
        <v>3</v>
      </c>
      <c r="E188" s="214">
        <v>17</v>
      </c>
      <c r="G188" t="s">
        <v>2934</v>
      </c>
      <c r="H188">
        <v>19</v>
      </c>
    </row>
    <row r="189" spans="2:8" x14ac:dyDescent="0.25">
      <c r="B189" s="213" t="s">
        <v>2902</v>
      </c>
      <c r="C189" s="214">
        <v>2019</v>
      </c>
      <c r="D189" s="214">
        <v>5</v>
      </c>
      <c r="E189" s="214">
        <v>13</v>
      </c>
      <c r="G189" t="s">
        <v>2817</v>
      </c>
      <c r="H189">
        <v>19</v>
      </c>
    </row>
    <row r="190" spans="2:8" x14ac:dyDescent="0.25">
      <c r="B190" s="213" t="s">
        <v>2902</v>
      </c>
      <c r="C190" s="214">
        <v>2019</v>
      </c>
      <c r="D190" s="214">
        <v>6</v>
      </c>
      <c r="E190" s="214">
        <v>10</v>
      </c>
      <c r="G190" t="s">
        <v>2828</v>
      </c>
      <c r="H190">
        <v>19</v>
      </c>
    </row>
    <row r="191" spans="2:8" x14ac:dyDescent="0.25">
      <c r="B191" s="213" t="s">
        <v>2902</v>
      </c>
      <c r="C191" s="214">
        <v>2019</v>
      </c>
      <c r="D191" s="214">
        <v>7</v>
      </c>
      <c r="E191" s="214">
        <v>10</v>
      </c>
      <c r="G191" t="s">
        <v>2748</v>
      </c>
      <c r="H191">
        <v>15</v>
      </c>
    </row>
    <row r="192" spans="2:8" x14ac:dyDescent="0.25">
      <c r="B192" s="213" t="s">
        <v>2902</v>
      </c>
      <c r="C192" s="214">
        <v>2019</v>
      </c>
      <c r="D192" s="214">
        <v>9</v>
      </c>
      <c r="E192" s="214">
        <v>10</v>
      </c>
      <c r="G192" t="s">
        <v>2935</v>
      </c>
      <c r="H192">
        <v>15</v>
      </c>
    </row>
    <row r="193" spans="2:8" x14ac:dyDescent="0.25">
      <c r="B193" s="213" t="s">
        <v>2902</v>
      </c>
      <c r="C193" s="214">
        <v>2019</v>
      </c>
      <c r="D193" s="214">
        <v>11</v>
      </c>
      <c r="E193" s="214">
        <v>7</v>
      </c>
      <c r="G193" t="s">
        <v>2936</v>
      </c>
      <c r="H193">
        <v>15</v>
      </c>
    </row>
    <row r="194" spans="2:8" x14ac:dyDescent="0.25">
      <c r="B194" s="213" t="s">
        <v>2902</v>
      </c>
      <c r="C194" s="214">
        <v>2019</v>
      </c>
      <c r="D194" s="214">
        <v>8</v>
      </c>
      <c r="E194" s="214">
        <v>5</v>
      </c>
      <c r="G194" t="s">
        <v>2937</v>
      </c>
      <c r="H194">
        <v>13</v>
      </c>
    </row>
    <row r="195" spans="2:8" x14ac:dyDescent="0.25">
      <c r="B195" s="213" t="s">
        <v>2902</v>
      </c>
      <c r="C195" s="214">
        <v>2019</v>
      </c>
      <c r="D195" s="214">
        <v>1</v>
      </c>
      <c r="E195" s="214">
        <v>3</v>
      </c>
      <c r="G195" t="s">
        <v>2777</v>
      </c>
      <c r="H195">
        <v>13</v>
      </c>
    </row>
    <row r="196" spans="2:8" x14ac:dyDescent="0.25">
      <c r="B196" s="213" t="s">
        <v>2902</v>
      </c>
      <c r="C196" s="214">
        <v>2019</v>
      </c>
      <c r="D196" s="214">
        <v>2</v>
      </c>
      <c r="E196" s="214">
        <v>3</v>
      </c>
      <c r="G196" t="s">
        <v>2938</v>
      </c>
      <c r="H196">
        <v>13</v>
      </c>
    </row>
    <row r="197" spans="2:8" x14ac:dyDescent="0.25">
      <c r="B197" s="213" t="s">
        <v>2737</v>
      </c>
      <c r="C197" s="214">
        <v>2019</v>
      </c>
      <c r="D197" s="214">
        <v>3</v>
      </c>
      <c r="E197" s="214">
        <v>39</v>
      </c>
      <c r="G197" t="s">
        <v>2939</v>
      </c>
      <c r="H197">
        <v>13</v>
      </c>
    </row>
    <row r="198" spans="2:8" x14ac:dyDescent="0.25">
      <c r="B198" s="213" t="s">
        <v>2737</v>
      </c>
      <c r="C198" s="214">
        <v>2019</v>
      </c>
      <c r="D198" s="214">
        <v>9</v>
      </c>
      <c r="E198" s="214">
        <v>33</v>
      </c>
      <c r="G198" t="s">
        <v>2940</v>
      </c>
      <c r="H198">
        <v>12</v>
      </c>
    </row>
    <row r="199" spans="2:8" x14ac:dyDescent="0.25">
      <c r="B199" s="213" t="s">
        <v>2737</v>
      </c>
      <c r="C199" s="214">
        <v>2019</v>
      </c>
      <c r="D199" s="214">
        <v>11</v>
      </c>
      <c r="E199" s="214">
        <v>31</v>
      </c>
      <c r="G199" t="s">
        <v>2941</v>
      </c>
      <c r="H199">
        <v>12</v>
      </c>
    </row>
    <row r="200" spans="2:8" x14ac:dyDescent="0.25">
      <c r="B200" s="213" t="s">
        <v>2737</v>
      </c>
      <c r="C200" s="214">
        <v>2019</v>
      </c>
      <c r="D200" s="214">
        <v>2</v>
      </c>
      <c r="E200" s="214">
        <v>29</v>
      </c>
      <c r="G200" t="s">
        <v>2942</v>
      </c>
      <c r="H200">
        <v>11</v>
      </c>
    </row>
    <row r="201" spans="2:8" x14ac:dyDescent="0.25">
      <c r="B201" s="213" t="s">
        <v>2737</v>
      </c>
      <c r="C201" s="214">
        <v>2019</v>
      </c>
      <c r="D201" s="214">
        <v>4</v>
      </c>
      <c r="E201" s="214">
        <v>29</v>
      </c>
      <c r="G201" t="s">
        <v>2797</v>
      </c>
      <c r="H201">
        <v>11</v>
      </c>
    </row>
    <row r="202" spans="2:8" x14ac:dyDescent="0.25">
      <c r="B202" s="213" t="s">
        <v>2737</v>
      </c>
      <c r="C202" s="214">
        <v>2019</v>
      </c>
      <c r="D202" s="214">
        <v>5</v>
      </c>
      <c r="E202" s="214">
        <v>29</v>
      </c>
      <c r="G202" t="s">
        <v>2943</v>
      </c>
      <c r="H202">
        <v>11</v>
      </c>
    </row>
    <row r="203" spans="2:8" x14ac:dyDescent="0.25">
      <c r="B203" s="213" t="s">
        <v>2737</v>
      </c>
      <c r="C203" s="214">
        <v>2019</v>
      </c>
      <c r="D203" s="214">
        <v>8</v>
      </c>
      <c r="E203" s="214">
        <v>28</v>
      </c>
      <c r="G203" t="s">
        <v>2944</v>
      </c>
      <c r="H203">
        <v>10</v>
      </c>
    </row>
    <row r="204" spans="2:8" x14ac:dyDescent="0.25">
      <c r="B204" s="213" t="s">
        <v>2737</v>
      </c>
      <c r="C204" s="214">
        <v>2019</v>
      </c>
      <c r="D204" s="214">
        <v>7</v>
      </c>
      <c r="E204" s="214">
        <v>26</v>
      </c>
      <c r="G204" t="s">
        <v>2945</v>
      </c>
      <c r="H204">
        <v>10</v>
      </c>
    </row>
    <row r="205" spans="2:8" x14ac:dyDescent="0.25">
      <c r="B205" s="213" t="s">
        <v>2737</v>
      </c>
      <c r="C205" s="214">
        <v>2019</v>
      </c>
      <c r="D205" s="214">
        <v>1</v>
      </c>
      <c r="E205" s="214">
        <v>21</v>
      </c>
      <c r="G205" t="s">
        <v>2946</v>
      </c>
      <c r="H205">
        <v>10</v>
      </c>
    </row>
    <row r="206" spans="2:8" x14ac:dyDescent="0.25">
      <c r="B206" s="213" t="s">
        <v>2737</v>
      </c>
      <c r="C206" s="214">
        <v>2019</v>
      </c>
      <c r="D206" s="214">
        <v>12</v>
      </c>
      <c r="E206" s="214">
        <v>20</v>
      </c>
      <c r="G206" t="s">
        <v>2947</v>
      </c>
      <c r="H206">
        <v>10</v>
      </c>
    </row>
    <row r="207" spans="2:8" x14ac:dyDescent="0.25">
      <c r="B207" s="213" t="s">
        <v>2737</v>
      </c>
      <c r="C207" s="214">
        <v>2019</v>
      </c>
      <c r="D207" s="214">
        <v>6</v>
      </c>
      <c r="E207" s="214">
        <v>15</v>
      </c>
      <c r="G207" t="s">
        <v>2948</v>
      </c>
      <c r="H207">
        <v>10</v>
      </c>
    </row>
    <row r="208" spans="2:8" x14ac:dyDescent="0.25">
      <c r="B208" s="213" t="s">
        <v>2737</v>
      </c>
      <c r="C208" s="214">
        <v>2019</v>
      </c>
      <c r="D208" s="214">
        <v>10</v>
      </c>
      <c r="E208" s="214">
        <v>11</v>
      </c>
      <c r="G208" t="s">
        <v>2750</v>
      </c>
      <c r="H208">
        <v>9</v>
      </c>
    </row>
    <row r="209" spans="2:8" x14ac:dyDescent="0.25">
      <c r="B209" s="213" t="s">
        <v>2738</v>
      </c>
      <c r="C209" s="214">
        <v>2019</v>
      </c>
      <c r="D209" s="214">
        <v>6</v>
      </c>
      <c r="E209" s="214">
        <v>23</v>
      </c>
      <c r="G209" t="s">
        <v>2949</v>
      </c>
      <c r="H209">
        <v>9</v>
      </c>
    </row>
    <row r="210" spans="2:8" x14ac:dyDescent="0.25">
      <c r="B210" s="213" t="s">
        <v>2738</v>
      </c>
      <c r="C210" s="214">
        <v>2019</v>
      </c>
      <c r="D210" s="214">
        <v>5</v>
      </c>
      <c r="E210" s="214">
        <v>14</v>
      </c>
      <c r="G210" t="s">
        <v>2849</v>
      </c>
      <c r="H210">
        <v>9</v>
      </c>
    </row>
    <row r="211" spans="2:8" x14ac:dyDescent="0.25">
      <c r="B211" s="213" t="s">
        <v>2738</v>
      </c>
      <c r="C211" s="214">
        <v>2019</v>
      </c>
      <c r="D211" s="214">
        <v>4</v>
      </c>
      <c r="E211" s="214">
        <v>12</v>
      </c>
      <c r="G211" t="s">
        <v>2768</v>
      </c>
      <c r="H211">
        <v>8</v>
      </c>
    </row>
    <row r="212" spans="2:8" x14ac:dyDescent="0.25">
      <c r="B212" s="213" t="s">
        <v>2738</v>
      </c>
      <c r="C212" s="214">
        <v>2019</v>
      </c>
      <c r="D212" s="214">
        <v>8</v>
      </c>
      <c r="E212" s="214">
        <v>11</v>
      </c>
      <c r="G212" t="s">
        <v>2950</v>
      </c>
      <c r="H212">
        <v>8</v>
      </c>
    </row>
    <row r="213" spans="2:8" x14ac:dyDescent="0.25">
      <c r="B213" s="213" t="s">
        <v>2738</v>
      </c>
      <c r="C213" s="214">
        <v>2019</v>
      </c>
      <c r="D213" s="214">
        <v>7</v>
      </c>
      <c r="E213" s="214">
        <v>9</v>
      </c>
      <c r="G213" t="s">
        <v>2951</v>
      </c>
      <c r="H213">
        <v>8</v>
      </c>
    </row>
    <row r="214" spans="2:8" x14ac:dyDescent="0.25">
      <c r="B214" s="213" t="s">
        <v>2738</v>
      </c>
      <c r="C214" s="214">
        <v>2019</v>
      </c>
      <c r="D214" s="214">
        <v>3</v>
      </c>
      <c r="E214" s="214">
        <v>7</v>
      </c>
      <c r="G214" t="s">
        <v>2952</v>
      </c>
      <c r="H214">
        <v>7</v>
      </c>
    </row>
    <row r="215" spans="2:8" x14ac:dyDescent="0.25">
      <c r="B215" s="213" t="s">
        <v>2738</v>
      </c>
      <c r="C215" s="214">
        <v>2019</v>
      </c>
      <c r="D215" s="214">
        <v>1</v>
      </c>
      <c r="E215" s="214">
        <v>6</v>
      </c>
      <c r="G215" t="s">
        <v>2953</v>
      </c>
      <c r="H215">
        <v>7</v>
      </c>
    </row>
    <row r="216" spans="2:8" x14ac:dyDescent="0.25">
      <c r="B216" s="213" t="s">
        <v>2738</v>
      </c>
      <c r="C216" s="214">
        <v>2019</v>
      </c>
      <c r="D216" s="214">
        <v>12</v>
      </c>
      <c r="E216" s="214">
        <v>5</v>
      </c>
      <c r="G216" t="s">
        <v>2954</v>
      </c>
      <c r="H216">
        <v>7</v>
      </c>
    </row>
    <row r="217" spans="2:8" x14ac:dyDescent="0.25">
      <c r="B217" s="213" t="s">
        <v>2738</v>
      </c>
      <c r="C217" s="214">
        <v>2019</v>
      </c>
      <c r="D217" s="214">
        <v>10</v>
      </c>
      <c r="E217" s="214">
        <v>4</v>
      </c>
      <c r="G217" t="s">
        <v>2955</v>
      </c>
      <c r="H217">
        <v>6</v>
      </c>
    </row>
    <row r="218" spans="2:8" x14ac:dyDescent="0.25">
      <c r="B218" s="213" t="s">
        <v>2738</v>
      </c>
      <c r="C218" s="214">
        <v>2019</v>
      </c>
      <c r="D218" s="214">
        <v>2</v>
      </c>
      <c r="E218" s="214">
        <v>3</v>
      </c>
      <c r="G218" t="s">
        <v>2956</v>
      </c>
      <c r="H218">
        <v>6</v>
      </c>
    </row>
    <row r="219" spans="2:8" x14ac:dyDescent="0.25">
      <c r="B219" s="213" t="s">
        <v>2739</v>
      </c>
      <c r="C219" s="214">
        <v>2019</v>
      </c>
      <c r="D219" s="214">
        <v>3</v>
      </c>
      <c r="E219" s="214">
        <v>12</v>
      </c>
      <c r="G219" t="s">
        <v>2957</v>
      </c>
      <c r="H219">
        <v>6</v>
      </c>
    </row>
    <row r="220" spans="2:8" x14ac:dyDescent="0.25">
      <c r="B220" s="213" t="s">
        <v>2739</v>
      </c>
      <c r="C220" s="214">
        <v>2019</v>
      </c>
      <c r="D220" s="214">
        <v>9</v>
      </c>
      <c r="E220" s="214">
        <v>10</v>
      </c>
      <c r="G220" t="s">
        <v>2958</v>
      </c>
      <c r="H220">
        <v>6</v>
      </c>
    </row>
    <row r="221" spans="2:8" x14ac:dyDescent="0.25">
      <c r="B221" s="213" t="s">
        <v>2739</v>
      </c>
      <c r="C221" s="214">
        <v>2019</v>
      </c>
      <c r="D221" s="214">
        <v>6</v>
      </c>
      <c r="E221" s="214">
        <v>9</v>
      </c>
      <c r="G221" t="s">
        <v>2959</v>
      </c>
      <c r="H221">
        <v>6</v>
      </c>
    </row>
    <row r="222" spans="2:8" x14ac:dyDescent="0.25">
      <c r="B222" s="213" t="s">
        <v>2739</v>
      </c>
      <c r="C222" s="214">
        <v>2019</v>
      </c>
      <c r="D222" s="214">
        <v>2</v>
      </c>
      <c r="E222" s="214">
        <v>6</v>
      </c>
      <c r="G222" t="s">
        <v>2960</v>
      </c>
      <c r="H222">
        <v>6</v>
      </c>
    </row>
    <row r="223" spans="2:8" x14ac:dyDescent="0.25">
      <c r="B223" s="213" t="s">
        <v>2739</v>
      </c>
      <c r="C223" s="214">
        <v>2019</v>
      </c>
      <c r="D223" s="214">
        <v>7</v>
      </c>
      <c r="E223" s="214">
        <v>6</v>
      </c>
      <c r="G223" t="s">
        <v>2887</v>
      </c>
      <c r="H223">
        <v>5</v>
      </c>
    </row>
    <row r="224" spans="2:8" x14ac:dyDescent="0.25">
      <c r="B224" s="213" t="s">
        <v>2739</v>
      </c>
      <c r="C224" s="214">
        <v>2019</v>
      </c>
      <c r="D224" s="214">
        <v>12</v>
      </c>
      <c r="E224" s="214">
        <v>6</v>
      </c>
      <c r="G224" t="s">
        <v>2961</v>
      </c>
      <c r="H224">
        <v>5</v>
      </c>
    </row>
    <row r="225" spans="2:8" x14ac:dyDescent="0.25">
      <c r="B225" s="213" t="s">
        <v>2739</v>
      </c>
      <c r="C225" s="214">
        <v>2019</v>
      </c>
      <c r="D225" s="214">
        <v>10</v>
      </c>
      <c r="E225" s="214">
        <v>5</v>
      </c>
      <c r="G225" t="s">
        <v>2962</v>
      </c>
      <c r="H225">
        <v>4</v>
      </c>
    </row>
    <row r="226" spans="2:8" x14ac:dyDescent="0.25">
      <c r="B226" s="213" t="s">
        <v>2739</v>
      </c>
      <c r="C226" s="214">
        <v>2019</v>
      </c>
      <c r="D226" s="214">
        <v>1</v>
      </c>
      <c r="E226" s="214">
        <v>4</v>
      </c>
      <c r="G226" t="s">
        <v>2963</v>
      </c>
      <c r="H226">
        <v>4</v>
      </c>
    </row>
    <row r="227" spans="2:8" x14ac:dyDescent="0.25">
      <c r="B227" s="213" t="s">
        <v>2739</v>
      </c>
      <c r="C227" s="214">
        <v>2019</v>
      </c>
      <c r="D227" s="214">
        <v>5</v>
      </c>
      <c r="E227" s="214">
        <v>4</v>
      </c>
      <c r="G227" t="s">
        <v>2964</v>
      </c>
      <c r="H227">
        <v>4</v>
      </c>
    </row>
    <row r="228" spans="2:8" x14ac:dyDescent="0.25">
      <c r="B228" s="213" t="s">
        <v>2739</v>
      </c>
      <c r="C228" s="214">
        <v>2019</v>
      </c>
      <c r="D228" s="214">
        <v>8</v>
      </c>
      <c r="E228" s="214">
        <v>3</v>
      </c>
      <c r="G228" t="s">
        <v>2965</v>
      </c>
      <c r="H228">
        <v>3</v>
      </c>
    </row>
    <row r="229" spans="2:8" x14ac:dyDescent="0.25">
      <c r="B229" s="213" t="s">
        <v>2739</v>
      </c>
      <c r="C229" s="214">
        <v>2019</v>
      </c>
      <c r="D229" s="214">
        <v>4</v>
      </c>
      <c r="E229" s="214">
        <v>2</v>
      </c>
      <c r="G229" t="s">
        <v>2966</v>
      </c>
      <c r="H229">
        <v>3</v>
      </c>
    </row>
    <row r="230" spans="2:8" x14ac:dyDescent="0.25">
      <c r="B230" s="213" t="s">
        <v>2739</v>
      </c>
      <c r="C230" s="214">
        <v>2019</v>
      </c>
      <c r="D230" s="214">
        <v>11</v>
      </c>
      <c r="E230" s="214">
        <v>1</v>
      </c>
      <c r="G230" t="s">
        <v>2846</v>
      </c>
      <c r="H230">
        <v>3</v>
      </c>
    </row>
    <row r="231" spans="2:8" x14ac:dyDescent="0.25">
      <c r="B231" s="213" t="s">
        <v>2740</v>
      </c>
      <c r="C231" s="214">
        <v>2019</v>
      </c>
      <c r="D231" s="214">
        <v>1</v>
      </c>
      <c r="E231" s="214">
        <v>6</v>
      </c>
      <c r="G231" t="s">
        <v>2967</v>
      </c>
      <c r="H231">
        <v>2</v>
      </c>
    </row>
    <row r="232" spans="2:8" x14ac:dyDescent="0.25">
      <c r="B232" s="213" t="s">
        <v>2740</v>
      </c>
      <c r="C232" s="214">
        <v>2019</v>
      </c>
      <c r="D232" s="214">
        <v>2</v>
      </c>
      <c r="E232" s="214">
        <v>5</v>
      </c>
      <c r="G232" t="s">
        <v>2968</v>
      </c>
      <c r="H232">
        <v>2</v>
      </c>
    </row>
    <row r="233" spans="2:8" x14ac:dyDescent="0.25">
      <c r="B233" s="213" t="s">
        <v>2740</v>
      </c>
      <c r="C233" s="214">
        <v>2019</v>
      </c>
      <c r="D233" s="214">
        <v>8</v>
      </c>
      <c r="E233" s="214">
        <v>5</v>
      </c>
      <c r="G233" t="s">
        <v>2969</v>
      </c>
      <c r="H233">
        <v>2</v>
      </c>
    </row>
    <row r="234" spans="2:8" x14ac:dyDescent="0.25">
      <c r="B234" s="213" t="s">
        <v>2740</v>
      </c>
      <c r="C234" s="214">
        <v>2019</v>
      </c>
      <c r="D234" s="214">
        <v>9</v>
      </c>
      <c r="E234" s="214">
        <v>4</v>
      </c>
      <c r="G234" t="s">
        <v>2970</v>
      </c>
      <c r="H234">
        <v>1</v>
      </c>
    </row>
    <row r="235" spans="2:8" x14ac:dyDescent="0.25">
      <c r="B235" s="213" t="s">
        <v>2740</v>
      </c>
      <c r="C235" s="214">
        <v>2019</v>
      </c>
      <c r="D235" s="214">
        <v>12</v>
      </c>
      <c r="E235" s="214">
        <v>4</v>
      </c>
      <c r="G235" t="s">
        <v>2971</v>
      </c>
      <c r="H235">
        <v>1</v>
      </c>
    </row>
    <row r="236" spans="2:8" x14ac:dyDescent="0.25">
      <c r="B236" s="213" t="s">
        <v>2740</v>
      </c>
      <c r="C236" s="214">
        <v>2019</v>
      </c>
      <c r="D236" s="214">
        <v>4</v>
      </c>
      <c r="E236" s="214">
        <v>3</v>
      </c>
      <c r="G236" t="s">
        <v>2837</v>
      </c>
      <c r="H236">
        <v>1</v>
      </c>
    </row>
    <row r="237" spans="2:8" x14ac:dyDescent="0.25">
      <c r="B237" s="213" t="s">
        <v>2740</v>
      </c>
      <c r="C237" s="214">
        <v>2019</v>
      </c>
      <c r="D237" s="214">
        <v>5</v>
      </c>
      <c r="E237" s="214">
        <v>3</v>
      </c>
      <c r="G237" t="s">
        <v>2972</v>
      </c>
      <c r="H237">
        <v>1</v>
      </c>
    </row>
    <row r="238" spans="2:8" x14ac:dyDescent="0.25">
      <c r="B238" s="213" t="s">
        <v>2740</v>
      </c>
      <c r="C238" s="214">
        <v>2019</v>
      </c>
      <c r="D238" s="214">
        <v>11</v>
      </c>
      <c r="E238" s="214">
        <v>3</v>
      </c>
      <c r="G238" t="s">
        <v>2850</v>
      </c>
      <c r="H238">
        <v>1</v>
      </c>
    </row>
    <row r="239" spans="2:8" x14ac:dyDescent="0.25">
      <c r="B239" s="213" t="s">
        <v>2740</v>
      </c>
      <c r="C239" s="214">
        <v>2019</v>
      </c>
      <c r="D239" s="214">
        <v>3</v>
      </c>
      <c r="E239" s="214">
        <v>2</v>
      </c>
      <c r="G239" t="s">
        <v>2973</v>
      </c>
      <c r="H239">
        <v>1</v>
      </c>
    </row>
    <row r="240" spans="2:8" x14ac:dyDescent="0.25">
      <c r="B240" s="213" t="s">
        <v>2740</v>
      </c>
      <c r="C240" s="214">
        <v>2019</v>
      </c>
      <c r="D240" s="214">
        <v>10</v>
      </c>
      <c r="E240" s="214">
        <v>1</v>
      </c>
    </row>
    <row r="241" spans="2:5" x14ac:dyDescent="0.25">
      <c r="B241" s="213" t="s">
        <v>2741</v>
      </c>
      <c r="C241" s="214">
        <v>2019</v>
      </c>
      <c r="D241" s="214">
        <v>1</v>
      </c>
      <c r="E241" s="214">
        <v>14</v>
      </c>
    </row>
    <row r="242" spans="2:5" x14ac:dyDescent="0.25">
      <c r="B242" s="213" t="s">
        <v>2741</v>
      </c>
      <c r="C242" s="214">
        <v>2019</v>
      </c>
      <c r="D242" s="214">
        <v>3</v>
      </c>
      <c r="E242" s="214">
        <v>7</v>
      </c>
    </row>
    <row r="243" spans="2:5" x14ac:dyDescent="0.25">
      <c r="B243" s="213" t="s">
        <v>2741</v>
      </c>
      <c r="C243" s="214">
        <v>2019</v>
      </c>
      <c r="D243" s="214">
        <v>4</v>
      </c>
      <c r="E243" s="214">
        <v>6</v>
      </c>
    </row>
    <row r="244" spans="2:5" x14ac:dyDescent="0.25">
      <c r="B244" s="213" t="s">
        <v>2741</v>
      </c>
      <c r="C244" s="214">
        <v>2019</v>
      </c>
      <c r="D244" s="214">
        <v>5</v>
      </c>
      <c r="E244" s="214">
        <v>4</v>
      </c>
    </row>
    <row r="245" spans="2:5" x14ac:dyDescent="0.25">
      <c r="B245" s="213" t="s">
        <v>2741</v>
      </c>
      <c r="C245" s="214">
        <v>2019</v>
      </c>
      <c r="D245" s="214">
        <v>6</v>
      </c>
      <c r="E245" s="214">
        <v>4</v>
      </c>
    </row>
    <row r="246" spans="2:5" x14ac:dyDescent="0.25">
      <c r="B246" s="213" t="s">
        <v>2741</v>
      </c>
      <c r="C246" s="214">
        <v>2019</v>
      </c>
      <c r="D246" s="214">
        <v>11</v>
      </c>
      <c r="E246" s="214">
        <v>3</v>
      </c>
    </row>
    <row r="247" spans="2:5" x14ac:dyDescent="0.25">
      <c r="B247" s="213" t="s">
        <v>2741</v>
      </c>
      <c r="C247" s="214">
        <v>2019</v>
      </c>
      <c r="D247" s="214">
        <v>7</v>
      </c>
      <c r="E247" s="214">
        <v>2</v>
      </c>
    </row>
    <row r="248" spans="2:5" x14ac:dyDescent="0.25">
      <c r="B248" s="213" t="s">
        <v>2741</v>
      </c>
      <c r="C248" s="214">
        <v>2019</v>
      </c>
      <c r="D248" s="214">
        <v>2</v>
      </c>
      <c r="E248" s="214">
        <v>1</v>
      </c>
    </row>
    <row r="249" spans="2:5" x14ac:dyDescent="0.25">
      <c r="B249" s="213" t="s">
        <v>2741</v>
      </c>
      <c r="C249" s="214">
        <v>2019</v>
      </c>
      <c r="D249" s="214">
        <v>9</v>
      </c>
      <c r="E249" s="214">
        <v>1</v>
      </c>
    </row>
    <row r="250" spans="2:5" x14ac:dyDescent="0.25">
      <c r="B250" s="213" t="s">
        <v>2741</v>
      </c>
      <c r="C250" s="214">
        <v>2019</v>
      </c>
      <c r="D250" s="214">
        <v>10</v>
      </c>
      <c r="E250" s="214">
        <v>1</v>
      </c>
    </row>
    <row r="251" spans="2:5" x14ac:dyDescent="0.25">
      <c r="B251" s="213" t="s">
        <v>2742</v>
      </c>
      <c r="C251" s="214">
        <v>2019</v>
      </c>
      <c r="D251" s="214">
        <v>5</v>
      </c>
      <c r="E251" s="214">
        <v>13</v>
      </c>
    </row>
    <row r="252" spans="2:5" x14ac:dyDescent="0.25">
      <c r="B252" s="213" t="s">
        <v>2742</v>
      </c>
      <c r="C252" s="214">
        <v>2019</v>
      </c>
      <c r="D252" s="214">
        <v>2</v>
      </c>
      <c r="E252" s="214">
        <v>12</v>
      </c>
    </row>
    <row r="253" spans="2:5" x14ac:dyDescent="0.25">
      <c r="B253" s="213" t="s">
        <v>2742</v>
      </c>
      <c r="C253" s="214">
        <v>2019</v>
      </c>
      <c r="D253" s="214">
        <v>8</v>
      </c>
      <c r="E253" s="214">
        <v>11</v>
      </c>
    </row>
    <row r="254" spans="2:5" x14ac:dyDescent="0.25">
      <c r="B254" s="213" t="s">
        <v>2742</v>
      </c>
      <c r="C254" s="214">
        <v>2019</v>
      </c>
      <c r="D254" s="214">
        <v>9</v>
      </c>
      <c r="E254" s="214">
        <v>11</v>
      </c>
    </row>
    <row r="255" spans="2:5" x14ac:dyDescent="0.25">
      <c r="B255" s="213" t="s">
        <v>2742</v>
      </c>
      <c r="C255" s="214">
        <v>2019</v>
      </c>
      <c r="D255" s="214">
        <v>7</v>
      </c>
      <c r="E255" s="214">
        <v>9</v>
      </c>
    </row>
    <row r="256" spans="2:5" x14ac:dyDescent="0.25">
      <c r="B256" s="213" t="s">
        <v>2742</v>
      </c>
      <c r="C256" s="214">
        <v>2019</v>
      </c>
      <c r="D256" s="214">
        <v>3</v>
      </c>
      <c r="E256" s="214">
        <v>8</v>
      </c>
    </row>
    <row r="257" spans="2:5" x14ac:dyDescent="0.25">
      <c r="B257" s="213" t="s">
        <v>2742</v>
      </c>
      <c r="C257" s="214">
        <v>2019</v>
      </c>
      <c r="D257" s="214">
        <v>10</v>
      </c>
      <c r="E257" s="214">
        <v>8</v>
      </c>
    </row>
    <row r="258" spans="2:5" x14ac:dyDescent="0.25">
      <c r="B258" s="213" t="s">
        <v>2742</v>
      </c>
      <c r="C258" s="214">
        <v>2019</v>
      </c>
      <c r="D258" s="214">
        <v>6</v>
      </c>
      <c r="E258" s="214">
        <v>7</v>
      </c>
    </row>
    <row r="259" spans="2:5" x14ac:dyDescent="0.25">
      <c r="B259" s="213" t="s">
        <v>2742</v>
      </c>
      <c r="C259" s="214">
        <v>2019</v>
      </c>
      <c r="D259" s="214">
        <v>4</v>
      </c>
      <c r="E259" s="214">
        <v>6</v>
      </c>
    </row>
    <row r="260" spans="2:5" x14ac:dyDescent="0.25">
      <c r="B260" s="213" t="s">
        <v>2742</v>
      </c>
      <c r="C260" s="214">
        <v>2019</v>
      </c>
      <c r="D260" s="214">
        <v>12</v>
      </c>
      <c r="E260" s="214">
        <v>6</v>
      </c>
    </row>
    <row r="261" spans="2:5" x14ac:dyDescent="0.25">
      <c r="B261" s="213" t="s">
        <v>2742</v>
      </c>
      <c r="C261" s="214">
        <v>2019</v>
      </c>
      <c r="D261" s="214">
        <v>1</v>
      </c>
      <c r="E261" s="214">
        <v>5</v>
      </c>
    </row>
    <row r="262" spans="2:5" x14ac:dyDescent="0.25">
      <c r="B262" s="213" t="s">
        <v>2742</v>
      </c>
      <c r="C262" s="214">
        <v>2019</v>
      </c>
      <c r="D262" s="214">
        <v>11</v>
      </c>
      <c r="E262" s="214">
        <v>2</v>
      </c>
    </row>
    <row r="263" spans="2:5" x14ac:dyDescent="0.25">
      <c r="B263" s="213" t="s">
        <v>2944</v>
      </c>
      <c r="C263" s="214">
        <v>2019</v>
      </c>
      <c r="D263" s="214">
        <v>6</v>
      </c>
      <c r="E263" s="214">
        <v>4</v>
      </c>
    </row>
    <row r="264" spans="2:5" x14ac:dyDescent="0.25">
      <c r="B264" s="213" t="s">
        <v>2944</v>
      </c>
      <c r="C264" s="214">
        <v>2019</v>
      </c>
      <c r="D264" s="214">
        <v>5</v>
      </c>
      <c r="E264" s="214">
        <v>2</v>
      </c>
    </row>
    <row r="265" spans="2:5" x14ac:dyDescent="0.25">
      <c r="B265" s="213" t="s">
        <v>2944</v>
      </c>
      <c r="C265" s="214">
        <v>2019</v>
      </c>
      <c r="D265" s="214">
        <v>2</v>
      </c>
      <c r="E265" s="214">
        <v>1</v>
      </c>
    </row>
    <row r="266" spans="2:5" x14ac:dyDescent="0.25">
      <c r="B266" s="213" t="s">
        <v>2944</v>
      </c>
      <c r="C266" s="214">
        <v>2019</v>
      </c>
      <c r="D266" s="214">
        <v>4</v>
      </c>
      <c r="E266" s="214">
        <v>1</v>
      </c>
    </row>
    <row r="267" spans="2:5" x14ac:dyDescent="0.25">
      <c r="B267" s="213" t="s">
        <v>2944</v>
      </c>
      <c r="C267" s="214">
        <v>2019</v>
      </c>
      <c r="D267" s="214">
        <v>9</v>
      </c>
      <c r="E267" s="214">
        <v>1</v>
      </c>
    </row>
    <row r="268" spans="2:5" x14ac:dyDescent="0.25">
      <c r="B268" s="213" t="s">
        <v>2944</v>
      </c>
      <c r="C268" s="214">
        <v>2019</v>
      </c>
      <c r="D268" s="214">
        <v>10</v>
      </c>
      <c r="E268" s="214">
        <v>1</v>
      </c>
    </row>
    <row r="269" spans="2:5" x14ac:dyDescent="0.25">
      <c r="B269" s="213" t="s">
        <v>2925</v>
      </c>
      <c r="C269" s="214">
        <v>2019</v>
      </c>
      <c r="D269" s="214">
        <v>5</v>
      </c>
      <c r="E269" s="214">
        <v>8</v>
      </c>
    </row>
    <row r="270" spans="2:5" x14ac:dyDescent="0.25">
      <c r="B270" s="213" t="s">
        <v>2925</v>
      </c>
      <c r="C270" s="214">
        <v>2019</v>
      </c>
      <c r="D270" s="214">
        <v>4</v>
      </c>
      <c r="E270" s="214">
        <v>6</v>
      </c>
    </row>
    <row r="271" spans="2:5" x14ac:dyDescent="0.25">
      <c r="B271" s="213" t="s">
        <v>2925</v>
      </c>
      <c r="C271" s="214">
        <v>2019</v>
      </c>
      <c r="D271" s="214">
        <v>2</v>
      </c>
      <c r="E271" s="214">
        <v>5</v>
      </c>
    </row>
    <row r="272" spans="2:5" x14ac:dyDescent="0.25">
      <c r="B272" s="213" t="s">
        <v>2925</v>
      </c>
      <c r="C272" s="214">
        <v>2019</v>
      </c>
      <c r="D272" s="214">
        <v>6</v>
      </c>
      <c r="E272" s="214">
        <v>5</v>
      </c>
    </row>
    <row r="273" spans="2:5" x14ac:dyDescent="0.25">
      <c r="B273" s="213" t="s">
        <v>2925</v>
      </c>
      <c r="C273" s="214">
        <v>2019</v>
      </c>
      <c r="D273" s="214">
        <v>3</v>
      </c>
      <c r="E273" s="214">
        <v>2</v>
      </c>
    </row>
    <row r="274" spans="2:5" x14ac:dyDescent="0.25">
      <c r="B274" s="213" t="s">
        <v>2925</v>
      </c>
      <c r="C274" s="214">
        <v>2019</v>
      </c>
      <c r="D274" s="214">
        <v>8</v>
      </c>
      <c r="E274" s="214">
        <v>1</v>
      </c>
    </row>
    <row r="275" spans="2:5" x14ac:dyDescent="0.25">
      <c r="B275" s="213" t="s">
        <v>2925</v>
      </c>
      <c r="C275" s="214">
        <v>2019</v>
      </c>
      <c r="D275" s="214">
        <v>9</v>
      </c>
      <c r="E275" s="214">
        <v>1</v>
      </c>
    </row>
    <row r="276" spans="2:5" x14ac:dyDescent="0.25">
      <c r="B276" s="213" t="s">
        <v>2925</v>
      </c>
      <c r="C276" s="214">
        <v>2019</v>
      </c>
      <c r="D276" s="214">
        <v>12</v>
      </c>
      <c r="E276" s="214">
        <v>1</v>
      </c>
    </row>
    <row r="277" spans="2:5" x14ac:dyDescent="0.25">
      <c r="B277" s="213" t="s">
        <v>2743</v>
      </c>
      <c r="C277" s="214">
        <v>2019</v>
      </c>
      <c r="D277" s="214">
        <v>10</v>
      </c>
      <c r="E277" s="214">
        <v>15</v>
      </c>
    </row>
    <row r="278" spans="2:5" x14ac:dyDescent="0.25">
      <c r="B278" s="213" t="s">
        <v>2743</v>
      </c>
      <c r="C278" s="214">
        <v>2019</v>
      </c>
      <c r="D278" s="214">
        <v>4</v>
      </c>
      <c r="E278" s="214">
        <v>8</v>
      </c>
    </row>
    <row r="279" spans="2:5" x14ac:dyDescent="0.25">
      <c r="B279" s="213" t="s">
        <v>2743</v>
      </c>
      <c r="C279" s="214">
        <v>2019</v>
      </c>
      <c r="D279" s="214">
        <v>1</v>
      </c>
      <c r="E279" s="214">
        <v>6</v>
      </c>
    </row>
    <row r="280" spans="2:5" x14ac:dyDescent="0.25">
      <c r="B280" s="213" t="s">
        <v>2743</v>
      </c>
      <c r="C280" s="214">
        <v>2019</v>
      </c>
      <c r="D280" s="214">
        <v>6</v>
      </c>
      <c r="E280" s="214">
        <v>4</v>
      </c>
    </row>
    <row r="281" spans="2:5" x14ac:dyDescent="0.25">
      <c r="B281" s="213" t="s">
        <v>2743</v>
      </c>
      <c r="C281" s="214">
        <v>2019</v>
      </c>
      <c r="D281" s="214">
        <v>11</v>
      </c>
      <c r="E281" s="214">
        <v>4</v>
      </c>
    </row>
    <row r="282" spans="2:5" x14ac:dyDescent="0.25">
      <c r="B282" s="213" t="s">
        <v>2743</v>
      </c>
      <c r="C282" s="214">
        <v>2019</v>
      </c>
      <c r="D282" s="214">
        <v>5</v>
      </c>
      <c r="E282" s="214">
        <v>3</v>
      </c>
    </row>
    <row r="283" spans="2:5" x14ac:dyDescent="0.25">
      <c r="B283" s="213" t="s">
        <v>2743</v>
      </c>
      <c r="C283" s="214">
        <v>2019</v>
      </c>
      <c r="D283" s="214">
        <v>3</v>
      </c>
      <c r="E283" s="214">
        <v>2</v>
      </c>
    </row>
    <row r="284" spans="2:5" x14ac:dyDescent="0.25">
      <c r="B284" s="213" t="s">
        <v>2743</v>
      </c>
      <c r="C284" s="214">
        <v>2019</v>
      </c>
      <c r="D284" s="214">
        <v>7</v>
      </c>
      <c r="E284" s="214">
        <v>1</v>
      </c>
    </row>
    <row r="285" spans="2:5" x14ac:dyDescent="0.25">
      <c r="B285" s="213" t="s">
        <v>2743</v>
      </c>
      <c r="C285" s="214">
        <v>2019</v>
      </c>
      <c r="D285" s="214">
        <v>8</v>
      </c>
      <c r="E285" s="214">
        <v>1</v>
      </c>
    </row>
    <row r="286" spans="2:5" x14ac:dyDescent="0.25">
      <c r="B286" s="213" t="s">
        <v>2743</v>
      </c>
      <c r="C286" s="214">
        <v>2019</v>
      </c>
      <c r="D286" s="214">
        <v>9</v>
      </c>
      <c r="E286" s="214">
        <v>1</v>
      </c>
    </row>
    <row r="287" spans="2:5" x14ac:dyDescent="0.25">
      <c r="B287" s="213" t="s">
        <v>2744</v>
      </c>
      <c r="C287" s="214">
        <v>2019</v>
      </c>
      <c r="D287" s="214">
        <v>4</v>
      </c>
      <c r="E287" s="214">
        <v>57</v>
      </c>
    </row>
    <row r="288" spans="2:5" x14ac:dyDescent="0.25">
      <c r="B288" s="213" t="s">
        <v>2744</v>
      </c>
      <c r="C288" s="214">
        <v>2019</v>
      </c>
      <c r="D288" s="214">
        <v>3</v>
      </c>
      <c r="E288" s="214">
        <v>49</v>
      </c>
    </row>
    <row r="289" spans="2:5" x14ac:dyDescent="0.25">
      <c r="B289" s="213" t="s">
        <v>2744</v>
      </c>
      <c r="C289" s="214">
        <v>2019</v>
      </c>
      <c r="D289" s="214">
        <v>10</v>
      </c>
      <c r="E289" s="214">
        <v>42</v>
      </c>
    </row>
    <row r="290" spans="2:5" x14ac:dyDescent="0.25">
      <c r="B290" s="213" t="s">
        <v>2744</v>
      </c>
      <c r="C290" s="214">
        <v>2019</v>
      </c>
      <c r="D290" s="214">
        <v>9</v>
      </c>
      <c r="E290" s="214">
        <v>41</v>
      </c>
    </row>
    <row r="291" spans="2:5" x14ac:dyDescent="0.25">
      <c r="B291" s="213" t="s">
        <v>2744</v>
      </c>
      <c r="C291" s="214">
        <v>2019</v>
      </c>
      <c r="D291" s="214">
        <v>8</v>
      </c>
      <c r="E291" s="214">
        <v>29</v>
      </c>
    </row>
    <row r="292" spans="2:5" x14ac:dyDescent="0.25">
      <c r="B292" s="213" t="s">
        <v>2744</v>
      </c>
      <c r="C292" s="214">
        <v>2019</v>
      </c>
      <c r="D292" s="214">
        <v>11</v>
      </c>
      <c r="E292" s="214">
        <v>28</v>
      </c>
    </row>
    <row r="293" spans="2:5" x14ac:dyDescent="0.25">
      <c r="B293" s="213" t="s">
        <v>2744</v>
      </c>
      <c r="C293" s="214">
        <v>2019</v>
      </c>
      <c r="D293" s="214">
        <v>12</v>
      </c>
      <c r="E293" s="214">
        <v>27</v>
      </c>
    </row>
    <row r="294" spans="2:5" x14ac:dyDescent="0.25">
      <c r="B294" s="213" t="s">
        <v>2744</v>
      </c>
      <c r="C294" s="214">
        <v>2019</v>
      </c>
      <c r="D294" s="214">
        <v>7</v>
      </c>
      <c r="E294" s="214">
        <v>24</v>
      </c>
    </row>
    <row r="295" spans="2:5" x14ac:dyDescent="0.25">
      <c r="B295" s="213" t="s">
        <v>2744</v>
      </c>
      <c r="C295" s="214">
        <v>2019</v>
      </c>
      <c r="D295" s="214">
        <v>6</v>
      </c>
      <c r="E295" s="214">
        <v>21</v>
      </c>
    </row>
    <row r="296" spans="2:5" x14ac:dyDescent="0.25">
      <c r="B296" s="213" t="s">
        <v>2744</v>
      </c>
      <c r="C296" s="214">
        <v>2019</v>
      </c>
      <c r="D296" s="214">
        <v>5</v>
      </c>
      <c r="E296" s="214">
        <v>19</v>
      </c>
    </row>
    <row r="297" spans="2:5" x14ac:dyDescent="0.25">
      <c r="B297" s="213" t="s">
        <v>2744</v>
      </c>
      <c r="C297" s="214">
        <v>2019</v>
      </c>
      <c r="D297" s="214">
        <v>2</v>
      </c>
      <c r="E297" s="214">
        <v>4</v>
      </c>
    </row>
    <row r="298" spans="2:5" x14ac:dyDescent="0.25">
      <c r="B298" s="213" t="s">
        <v>2744</v>
      </c>
      <c r="C298" s="214">
        <v>2019</v>
      </c>
      <c r="D298" s="214">
        <v>1</v>
      </c>
      <c r="E298" s="214">
        <v>1</v>
      </c>
    </row>
    <row r="299" spans="2:5" x14ac:dyDescent="0.25">
      <c r="B299" s="213" t="s">
        <v>2745</v>
      </c>
      <c r="C299" s="214">
        <v>2019</v>
      </c>
      <c r="D299" s="214">
        <v>3</v>
      </c>
      <c r="E299" s="214">
        <v>13</v>
      </c>
    </row>
    <row r="300" spans="2:5" x14ac:dyDescent="0.25">
      <c r="B300" s="213" t="s">
        <v>2745</v>
      </c>
      <c r="C300" s="214">
        <v>2019</v>
      </c>
      <c r="D300" s="214">
        <v>4</v>
      </c>
      <c r="E300" s="214">
        <v>10</v>
      </c>
    </row>
    <row r="301" spans="2:5" x14ac:dyDescent="0.25">
      <c r="B301" s="213" t="s">
        <v>2745</v>
      </c>
      <c r="C301" s="214">
        <v>2019</v>
      </c>
      <c r="D301" s="214">
        <v>8</v>
      </c>
      <c r="E301" s="214">
        <v>9</v>
      </c>
    </row>
    <row r="302" spans="2:5" x14ac:dyDescent="0.25">
      <c r="B302" s="213" t="s">
        <v>2745</v>
      </c>
      <c r="C302" s="214">
        <v>2019</v>
      </c>
      <c r="D302" s="214">
        <v>5</v>
      </c>
      <c r="E302" s="214">
        <v>4</v>
      </c>
    </row>
    <row r="303" spans="2:5" x14ac:dyDescent="0.25">
      <c r="B303" s="213" t="s">
        <v>2745</v>
      </c>
      <c r="C303" s="214">
        <v>2019</v>
      </c>
      <c r="D303" s="214">
        <v>6</v>
      </c>
      <c r="E303" s="214">
        <v>4</v>
      </c>
    </row>
    <row r="304" spans="2:5" x14ac:dyDescent="0.25">
      <c r="B304" s="213" t="s">
        <v>2745</v>
      </c>
      <c r="C304" s="214">
        <v>2019</v>
      </c>
      <c r="D304" s="214">
        <v>10</v>
      </c>
      <c r="E304" s="214">
        <v>3</v>
      </c>
    </row>
    <row r="305" spans="2:5" x14ac:dyDescent="0.25">
      <c r="B305" s="213" t="s">
        <v>2745</v>
      </c>
      <c r="C305" s="214">
        <v>2019</v>
      </c>
      <c r="D305" s="214">
        <v>9</v>
      </c>
      <c r="E305" s="214">
        <v>1</v>
      </c>
    </row>
    <row r="306" spans="2:5" x14ac:dyDescent="0.25">
      <c r="B306" s="213" t="s">
        <v>2746</v>
      </c>
      <c r="C306" s="214">
        <v>2019</v>
      </c>
      <c r="D306" s="214">
        <v>4</v>
      </c>
      <c r="E306" s="214">
        <v>50</v>
      </c>
    </row>
    <row r="307" spans="2:5" x14ac:dyDescent="0.25">
      <c r="B307" s="213" t="s">
        <v>2746</v>
      </c>
      <c r="C307" s="214">
        <v>2019</v>
      </c>
      <c r="D307" s="214">
        <v>8</v>
      </c>
      <c r="E307" s="214">
        <v>47</v>
      </c>
    </row>
    <row r="308" spans="2:5" x14ac:dyDescent="0.25">
      <c r="B308" s="213" t="s">
        <v>2746</v>
      </c>
      <c r="C308" s="214">
        <v>2019</v>
      </c>
      <c r="D308" s="214">
        <v>5</v>
      </c>
      <c r="E308" s="214">
        <v>41</v>
      </c>
    </row>
    <row r="309" spans="2:5" x14ac:dyDescent="0.25">
      <c r="B309" s="213" t="s">
        <v>2746</v>
      </c>
      <c r="C309" s="214">
        <v>2019</v>
      </c>
      <c r="D309" s="214">
        <v>10</v>
      </c>
      <c r="E309" s="214">
        <v>36</v>
      </c>
    </row>
    <row r="310" spans="2:5" x14ac:dyDescent="0.25">
      <c r="B310" s="213" t="s">
        <v>2746</v>
      </c>
      <c r="C310" s="214">
        <v>2019</v>
      </c>
      <c r="D310" s="214">
        <v>3</v>
      </c>
      <c r="E310" s="214">
        <v>20</v>
      </c>
    </row>
    <row r="311" spans="2:5" x14ac:dyDescent="0.25">
      <c r="B311" s="213" t="s">
        <v>2746</v>
      </c>
      <c r="C311" s="214">
        <v>2019</v>
      </c>
      <c r="D311" s="214">
        <v>12</v>
      </c>
      <c r="E311" s="214">
        <v>14</v>
      </c>
    </row>
    <row r="312" spans="2:5" x14ac:dyDescent="0.25">
      <c r="B312" s="213" t="s">
        <v>2746</v>
      </c>
      <c r="C312" s="214">
        <v>2019</v>
      </c>
      <c r="D312" s="214">
        <v>2</v>
      </c>
      <c r="E312" s="214">
        <v>13</v>
      </c>
    </row>
    <row r="313" spans="2:5" x14ac:dyDescent="0.25">
      <c r="B313" s="213" t="s">
        <v>2746</v>
      </c>
      <c r="C313" s="214">
        <v>2019</v>
      </c>
      <c r="D313" s="214">
        <v>6</v>
      </c>
      <c r="E313" s="214">
        <v>13</v>
      </c>
    </row>
    <row r="314" spans="2:5" x14ac:dyDescent="0.25">
      <c r="B314" s="213" t="s">
        <v>2746</v>
      </c>
      <c r="C314" s="214">
        <v>2019</v>
      </c>
      <c r="D314" s="214">
        <v>11</v>
      </c>
      <c r="E314" s="214">
        <v>6</v>
      </c>
    </row>
    <row r="315" spans="2:5" x14ac:dyDescent="0.25">
      <c r="B315" s="213" t="s">
        <v>2746</v>
      </c>
      <c r="C315" s="214">
        <v>2019</v>
      </c>
      <c r="D315" s="214">
        <v>7</v>
      </c>
      <c r="E315" s="214">
        <v>5</v>
      </c>
    </row>
    <row r="316" spans="2:5" x14ac:dyDescent="0.25">
      <c r="B316" s="213" t="s">
        <v>2746</v>
      </c>
      <c r="C316" s="214">
        <v>2019</v>
      </c>
      <c r="D316" s="214">
        <v>9</v>
      </c>
      <c r="E316" s="214">
        <v>4</v>
      </c>
    </row>
    <row r="317" spans="2:5" x14ac:dyDescent="0.25">
      <c r="B317" s="213" t="s">
        <v>2746</v>
      </c>
      <c r="C317" s="214">
        <v>2019</v>
      </c>
      <c r="D317" s="214">
        <v>1</v>
      </c>
      <c r="E317" s="214">
        <v>3</v>
      </c>
    </row>
    <row r="318" spans="2:5" x14ac:dyDescent="0.25">
      <c r="B318" s="213" t="s">
        <v>2955</v>
      </c>
      <c r="C318" s="214">
        <v>2019</v>
      </c>
      <c r="D318" s="214">
        <v>4</v>
      </c>
      <c r="E318" s="214">
        <v>3</v>
      </c>
    </row>
    <row r="319" spans="2:5" x14ac:dyDescent="0.25">
      <c r="B319" s="213" t="s">
        <v>2955</v>
      </c>
      <c r="C319" s="214">
        <v>2019</v>
      </c>
      <c r="D319" s="214">
        <v>10</v>
      </c>
      <c r="E319" s="214">
        <v>2</v>
      </c>
    </row>
    <row r="320" spans="2:5" x14ac:dyDescent="0.25">
      <c r="B320" s="213" t="s">
        <v>2955</v>
      </c>
      <c r="C320" s="214">
        <v>2019</v>
      </c>
      <c r="D320" s="214">
        <v>5</v>
      </c>
      <c r="E320" s="214">
        <v>1</v>
      </c>
    </row>
    <row r="321" spans="2:5" x14ac:dyDescent="0.25">
      <c r="B321" s="213" t="s">
        <v>2747</v>
      </c>
      <c r="C321" s="214">
        <v>2019</v>
      </c>
      <c r="D321" s="214">
        <v>4</v>
      </c>
      <c r="E321" s="214">
        <v>47</v>
      </c>
    </row>
    <row r="322" spans="2:5" x14ac:dyDescent="0.25">
      <c r="B322" s="213" t="s">
        <v>2747</v>
      </c>
      <c r="C322" s="214">
        <v>2019</v>
      </c>
      <c r="D322" s="214">
        <v>10</v>
      </c>
      <c r="E322" s="214">
        <v>46</v>
      </c>
    </row>
    <row r="323" spans="2:5" x14ac:dyDescent="0.25">
      <c r="B323" s="213" t="s">
        <v>2747</v>
      </c>
      <c r="C323" s="214">
        <v>2019</v>
      </c>
      <c r="D323" s="214">
        <v>2</v>
      </c>
      <c r="E323" s="214">
        <v>38</v>
      </c>
    </row>
    <row r="324" spans="2:5" x14ac:dyDescent="0.25">
      <c r="B324" s="213" t="s">
        <v>2747</v>
      </c>
      <c r="C324" s="214">
        <v>2019</v>
      </c>
      <c r="D324" s="214">
        <v>3</v>
      </c>
      <c r="E324" s="214">
        <v>27</v>
      </c>
    </row>
    <row r="325" spans="2:5" x14ac:dyDescent="0.25">
      <c r="B325" s="213" t="s">
        <v>2747</v>
      </c>
      <c r="C325" s="214">
        <v>2019</v>
      </c>
      <c r="D325" s="214">
        <v>1</v>
      </c>
      <c r="E325" s="214">
        <v>16</v>
      </c>
    </row>
    <row r="326" spans="2:5" x14ac:dyDescent="0.25">
      <c r="B326" s="213" t="s">
        <v>2747</v>
      </c>
      <c r="C326" s="214">
        <v>2019</v>
      </c>
      <c r="D326" s="214">
        <v>6</v>
      </c>
      <c r="E326" s="214">
        <v>16</v>
      </c>
    </row>
    <row r="327" spans="2:5" x14ac:dyDescent="0.25">
      <c r="B327" s="213" t="s">
        <v>2747</v>
      </c>
      <c r="C327" s="214">
        <v>2019</v>
      </c>
      <c r="D327" s="214">
        <v>8</v>
      </c>
      <c r="E327" s="214">
        <v>16</v>
      </c>
    </row>
    <row r="328" spans="2:5" x14ac:dyDescent="0.25">
      <c r="B328" s="213" t="s">
        <v>2747</v>
      </c>
      <c r="C328" s="214">
        <v>2019</v>
      </c>
      <c r="D328" s="214">
        <v>9</v>
      </c>
      <c r="E328" s="214">
        <v>11</v>
      </c>
    </row>
    <row r="329" spans="2:5" x14ac:dyDescent="0.25">
      <c r="B329" s="213" t="s">
        <v>2747</v>
      </c>
      <c r="C329" s="214">
        <v>2019</v>
      </c>
      <c r="D329" s="214">
        <v>12</v>
      </c>
      <c r="E329" s="214">
        <v>11</v>
      </c>
    </row>
    <row r="330" spans="2:5" x14ac:dyDescent="0.25">
      <c r="B330" s="213" t="s">
        <v>2747</v>
      </c>
      <c r="C330" s="214">
        <v>2019</v>
      </c>
      <c r="D330" s="214">
        <v>5</v>
      </c>
      <c r="E330" s="214">
        <v>10</v>
      </c>
    </row>
    <row r="331" spans="2:5" x14ac:dyDescent="0.25">
      <c r="B331" s="213" t="s">
        <v>2747</v>
      </c>
      <c r="C331" s="214">
        <v>2019</v>
      </c>
      <c r="D331" s="214">
        <v>7</v>
      </c>
      <c r="E331" s="214">
        <v>7</v>
      </c>
    </row>
    <row r="332" spans="2:5" x14ac:dyDescent="0.25">
      <c r="B332" s="213" t="s">
        <v>2747</v>
      </c>
      <c r="C332" s="214">
        <v>2019</v>
      </c>
      <c r="D332" s="214">
        <v>11</v>
      </c>
      <c r="E332" s="214">
        <v>1</v>
      </c>
    </row>
    <row r="333" spans="2:5" x14ac:dyDescent="0.25">
      <c r="B333" s="213" t="s">
        <v>2748</v>
      </c>
      <c r="C333" s="214">
        <v>2019</v>
      </c>
      <c r="D333" s="214">
        <v>10</v>
      </c>
      <c r="E333" s="214">
        <v>6</v>
      </c>
    </row>
    <row r="334" spans="2:5" x14ac:dyDescent="0.25">
      <c r="B334" s="213" t="s">
        <v>2748</v>
      </c>
      <c r="C334" s="214">
        <v>2019</v>
      </c>
      <c r="D334" s="214">
        <v>3</v>
      </c>
      <c r="E334" s="214">
        <v>3</v>
      </c>
    </row>
    <row r="335" spans="2:5" x14ac:dyDescent="0.25">
      <c r="B335" s="213" t="s">
        <v>2748</v>
      </c>
      <c r="C335" s="214">
        <v>2019</v>
      </c>
      <c r="D335" s="214">
        <v>8</v>
      </c>
      <c r="E335" s="214">
        <v>2</v>
      </c>
    </row>
    <row r="336" spans="2:5" x14ac:dyDescent="0.25">
      <c r="B336" s="213" t="s">
        <v>2748</v>
      </c>
      <c r="C336" s="214">
        <v>2019</v>
      </c>
      <c r="D336" s="214">
        <v>11</v>
      </c>
      <c r="E336" s="214">
        <v>2</v>
      </c>
    </row>
    <row r="337" spans="2:5" x14ac:dyDescent="0.25">
      <c r="B337" s="213" t="s">
        <v>2748</v>
      </c>
      <c r="C337" s="214">
        <v>2019</v>
      </c>
      <c r="D337" s="214">
        <v>1</v>
      </c>
      <c r="E337" s="214">
        <v>1</v>
      </c>
    </row>
    <row r="338" spans="2:5" x14ac:dyDescent="0.25">
      <c r="B338" s="213" t="s">
        <v>2748</v>
      </c>
      <c r="C338" s="214">
        <v>2019</v>
      </c>
      <c r="D338" s="214">
        <v>6</v>
      </c>
      <c r="E338" s="214">
        <v>1</v>
      </c>
    </row>
    <row r="339" spans="2:5" x14ac:dyDescent="0.25">
      <c r="B339" s="213" t="s">
        <v>2904</v>
      </c>
      <c r="C339" s="214">
        <v>2019</v>
      </c>
      <c r="D339" s="214">
        <v>4</v>
      </c>
      <c r="E339" s="214">
        <v>17</v>
      </c>
    </row>
    <row r="340" spans="2:5" x14ac:dyDescent="0.25">
      <c r="B340" s="213" t="s">
        <v>2904</v>
      </c>
      <c r="C340" s="214">
        <v>2019</v>
      </c>
      <c r="D340" s="214">
        <v>10</v>
      </c>
      <c r="E340" s="214">
        <v>13</v>
      </c>
    </row>
    <row r="341" spans="2:5" x14ac:dyDescent="0.25">
      <c r="B341" s="213" t="s">
        <v>2904</v>
      </c>
      <c r="C341" s="214">
        <v>2019</v>
      </c>
      <c r="D341" s="214">
        <v>7</v>
      </c>
      <c r="E341" s="214">
        <v>12</v>
      </c>
    </row>
    <row r="342" spans="2:5" x14ac:dyDescent="0.25">
      <c r="B342" s="213" t="s">
        <v>2904</v>
      </c>
      <c r="C342" s="214">
        <v>2019</v>
      </c>
      <c r="D342" s="214">
        <v>5</v>
      </c>
      <c r="E342" s="214">
        <v>10</v>
      </c>
    </row>
    <row r="343" spans="2:5" x14ac:dyDescent="0.25">
      <c r="B343" s="213" t="s">
        <v>2904</v>
      </c>
      <c r="C343" s="214">
        <v>2019</v>
      </c>
      <c r="D343" s="214">
        <v>8</v>
      </c>
      <c r="E343" s="214">
        <v>8</v>
      </c>
    </row>
    <row r="344" spans="2:5" x14ac:dyDescent="0.25">
      <c r="B344" s="213" t="s">
        <v>2904</v>
      </c>
      <c r="C344" s="214">
        <v>2019</v>
      </c>
      <c r="D344" s="214">
        <v>1</v>
      </c>
      <c r="E344" s="214">
        <v>5</v>
      </c>
    </row>
    <row r="345" spans="2:5" x14ac:dyDescent="0.25">
      <c r="B345" s="213" t="s">
        <v>2904</v>
      </c>
      <c r="C345" s="214">
        <v>2019</v>
      </c>
      <c r="D345" s="214">
        <v>2</v>
      </c>
      <c r="E345" s="214">
        <v>5</v>
      </c>
    </row>
    <row r="346" spans="2:5" x14ac:dyDescent="0.25">
      <c r="B346" s="213" t="s">
        <v>2904</v>
      </c>
      <c r="C346" s="214">
        <v>2019</v>
      </c>
      <c r="D346" s="214">
        <v>9</v>
      </c>
      <c r="E346" s="214">
        <v>5</v>
      </c>
    </row>
    <row r="347" spans="2:5" x14ac:dyDescent="0.25">
      <c r="B347" s="213" t="s">
        <v>2904</v>
      </c>
      <c r="C347" s="214">
        <v>2019</v>
      </c>
      <c r="D347" s="214">
        <v>12</v>
      </c>
      <c r="E347" s="214">
        <v>5</v>
      </c>
    </row>
    <row r="348" spans="2:5" x14ac:dyDescent="0.25">
      <c r="B348" s="213" t="s">
        <v>2904</v>
      </c>
      <c r="C348" s="214">
        <v>2019</v>
      </c>
      <c r="D348" s="214">
        <v>3</v>
      </c>
      <c r="E348" s="214">
        <v>4</v>
      </c>
    </row>
    <row r="349" spans="2:5" x14ac:dyDescent="0.25">
      <c r="B349" s="213" t="s">
        <v>2904</v>
      </c>
      <c r="C349" s="214">
        <v>2019</v>
      </c>
      <c r="D349" s="214">
        <v>6</v>
      </c>
      <c r="E349" s="214">
        <v>3</v>
      </c>
    </row>
    <row r="350" spans="2:5" x14ac:dyDescent="0.25">
      <c r="B350" s="213" t="s">
        <v>2904</v>
      </c>
      <c r="C350" s="214">
        <v>2019</v>
      </c>
      <c r="D350" s="214">
        <v>11</v>
      </c>
      <c r="E350" s="214">
        <v>2</v>
      </c>
    </row>
    <row r="351" spans="2:5" x14ac:dyDescent="0.25">
      <c r="B351" s="213" t="s">
        <v>2749</v>
      </c>
      <c r="C351" s="214">
        <v>2019</v>
      </c>
      <c r="D351" s="214">
        <v>8</v>
      </c>
      <c r="E351" s="214">
        <v>16</v>
      </c>
    </row>
    <row r="352" spans="2:5" x14ac:dyDescent="0.25">
      <c r="B352" s="213" t="s">
        <v>2749</v>
      </c>
      <c r="C352" s="214">
        <v>2019</v>
      </c>
      <c r="D352" s="214">
        <v>9</v>
      </c>
      <c r="E352" s="214">
        <v>15</v>
      </c>
    </row>
    <row r="353" spans="2:5" x14ac:dyDescent="0.25">
      <c r="B353" s="213" t="s">
        <v>2749</v>
      </c>
      <c r="C353" s="214">
        <v>2019</v>
      </c>
      <c r="D353" s="214">
        <v>3</v>
      </c>
      <c r="E353" s="214">
        <v>10</v>
      </c>
    </row>
    <row r="354" spans="2:5" x14ac:dyDescent="0.25">
      <c r="B354" s="213" t="s">
        <v>2749</v>
      </c>
      <c r="C354" s="214">
        <v>2019</v>
      </c>
      <c r="D354" s="214">
        <v>5</v>
      </c>
      <c r="E354" s="214">
        <v>10</v>
      </c>
    </row>
    <row r="355" spans="2:5" x14ac:dyDescent="0.25">
      <c r="B355" s="213" t="s">
        <v>2749</v>
      </c>
      <c r="C355" s="214">
        <v>2019</v>
      </c>
      <c r="D355" s="214">
        <v>10</v>
      </c>
      <c r="E355" s="214">
        <v>8</v>
      </c>
    </row>
    <row r="356" spans="2:5" x14ac:dyDescent="0.25">
      <c r="B356" s="213" t="s">
        <v>2749</v>
      </c>
      <c r="C356" s="214">
        <v>2019</v>
      </c>
      <c r="D356" s="214">
        <v>4</v>
      </c>
      <c r="E356" s="214">
        <v>6</v>
      </c>
    </row>
    <row r="357" spans="2:5" x14ac:dyDescent="0.25">
      <c r="B357" s="213" t="s">
        <v>2749</v>
      </c>
      <c r="C357" s="214">
        <v>2019</v>
      </c>
      <c r="D357" s="214">
        <v>6</v>
      </c>
      <c r="E357" s="214">
        <v>6</v>
      </c>
    </row>
    <row r="358" spans="2:5" x14ac:dyDescent="0.25">
      <c r="B358" s="213" t="s">
        <v>2749</v>
      </c>
      <c r="C358" s="214">
        <v>2019</v>
      </c>
      <c r="D358" s="214">
        <v>2</v>
      </c>
      <c r="E358" s="214">
        <v>5</v>
      </c>
    </row>
    <row r="359" spans="2:5" x14ac:dyDescent="0.25">
      <c r="B359" s="213" t="s">
        <v>2749</v>
      </c>
      <c r="C359" s="214">
        <v>2019</v>
      </c>
      <c r="D359" s="214">
        <v>7</v>
      </c>
      <c r="E359" s="214">
        <v>5</v>
      </c>
    </row>
    <row r="360" spans="2:5" x14ac:dyDescent="0.25">
      <c r="B360" s="213" t="s">
        <v>2749</v>
      </c>
      <c r="C360" s="214">
        <v>2019</v>
      </c>
      <c r="D360" s="214">
        <v>11</v>
      </c>
      <c r="E360" s="214">
        <v>3</v>
      </c>
    </row>
    <row r="361" spans="2:5" x14ac:dyDescent="0.25">
      <c r="B361" s="213" t="s">
        <v>2749</v>
      </c>
      <c r="C361" s="214">
        <v>2019</v>
      </c>
      <c r="D361" s="214">
        <v>12</v>
      </c>
      <c r="E361" s="214">
        <v>2</v>
      </c>
    </row>
    <row r="362" spans="2:5" x14ac:dyDescent="0.25">
      <c r="B362" s="213" t="s">
        <v>2749</v>
      </c>
      <c r="C362" s="214">
        <v>2019</v>
      </c>
      <c r="D362" s="214">
        <v>1</v>
      </c>
      <c r="E362" s="214">
        <v>1</v>
      </c>
    </row>
    <row r="363" spans="2:5" x14ac:dyDescent="0.25">
      <c r="B363" s="213" t="s">
        <v>2750</v>
      </c>
      <c r="C363" s="214">
        <v>2019</v>
      </c>
      <c r="D363" s="214">
        <v>11</v>
      </c>
      <c r="E363" s="214">
        <v>3</v>
      </c>
    </row>
    <row r="364" spans="2:5" x14ac:dyDescent="0.25">
      <c r="B364" s="213" t="s">
        <v>2750</v>
      </c>
      <c r="C364" s="214">
        <v>2019</v>
      </c>
      <c r="D364" s="214">
        <v>3</v>
      </c>
      <c r="E364" s="214">
        <v>2</v>
      </c>
    </row>
    <row r="365" spans="2:5" x14ac:dyDescent="0.25">
      <c r="B365" s="213" t="s">
        <v>2750</v>
      </c>
      <c r="C365" s="214">
        <v>2019</v>
      </c>
      <c r="D365" s="214">
        <v>5</v>
      </c>
      <c r="E365" s="214">
        <v>2</v>
      </c>
    </row>
    <row r="366" spans="2:5" x14ac:dyDescent="0.25">
      <c r="B366" s="213" t="s">
        <v>2750</v>
      </c>
      <c r="C366" s="214">
        <v>2019</v>
      </c>
      <c r="D366" s="214">
        <v>4</v>
      </c>
      <c r="E366" s="214">
        <v>1</v>
      </c>
    </row>
    <row r="367" spans="2:5" x14ac:dyDescent="0.25">
      <c r="B367" s="213" t="s">
        <v>2750</v>
      </c>
      <c r="C367" s="214">
        <v>2019</v>
      </c>
      <c r="D367" s="214">
        <v>9</v>
      </c>
      <c r="E367" s="214">
        <v>1</v>
      </c>
    </row>
    <row r="368" spans="2:5" x14ac:dyDescent="0.25">
      <c r="B368" s="213" t="s">
        <v>2931</v>
      </c>
      <c r="C368" s="214">
        <v>2019</v>
      </c>
      <c r="D368" s="214">
        <v>4</v>
      </c>
      <c r="E368" s="214">
        <v>4</v>
      </c>
    </row>
    <row r="369" spans="2:5" x14ac:dyDescent="0.25">
      <c r="B369" s="213" t="s">
        <v>2931</v>
      </c>
      <c r="C369" s="214">
        <v>2019</v>
      </c>
      <c r="D369" s="214">
        <v>5</v>
      </c>
      <c r="E369" s="214">
        <v>4</v>
      </c>
    </row>
    <row r="370" spans="2:5" x14ac:dyDescent="0.25">
      <c r="B370" s="213" t="s">
        <v>2931</v>
      </c>
      <c r="C370" s="214">
        <v>2019</v>
      </c>
      <c r="D370" s="214">
        <v>2</v>
      </c>
      <c r="E370" s="214">
        <v>3</v>
      </c>
    </row>
    <row r="371" spans="2:5" x14ac:dyDescent="0.25">
      <c r="B371" s="213" t="s">
        <v>2931</v>
      </c>
      <c r="C371" s="214">
        <v>2019</v>
      </c>
      <c r="D371" s="214">
        <v>1</v>
      </c>
      <c r="E371" s="214">
        <v>2</v>
      </c>
    </row>
    <row r="372" spans="2:5" x14ac:dyDescent="0.25">
      <c r="B372" s="213" t="s">
        <v>2931</v>
      </c>
      <c r="C372" s="214">
        <v>2019</v>
      </c>
      <c r="D372" s="214">
        <v>3</v>
      </c>
      <c r="E372" s="214">
        <v>2</v>
      </c>
    </row>
    <row r="373" spans="2:5" x14ac:dyDescent="0.25">
      <c r="B373" s="213" t="s">
        <v>2931</v>
      </c>
      <c r="C373" s="214">
        <v>2019</v>
      </c>
      <c r="D373" s="214">
        <v>8</v>
      </c>
      <c r="E373" s="214">
        <v>2</v>
      </c>
    </row>
    <row r="374" spans="2:5" x14ac:dyDescent="0.25">
      <c r="B374" s="213" t="s">
        <v>2931</v>
      </c>
      <c r="C374" s="214">
        <v>2019</v>
      </c>
      <c r="D374" s="214">
        <v>6</v>
      </c>
      <c r="E374" s="214">
        <v>1</v>
      </c>
    </row>
    <row r="375" spans="2:5" x14ac:dyDescent="0.25">
      <c r="B375" s="213" t="s">
        <v>2931</v>
      </c>
      <c r="C375" s="214">
        <v>2019</v>
      </c>
      <c r="D375" s="214">
        <v>7</v>
      </c>
      <c r="E375" s="214">
        <v>1</v>
      </c>
    </row>
    <row r="376" spans="2:5" x14ac:dyDescent="0.25">
      <c r="B376" s="213" t="s">
        <v>2931</v>
      </c>
      <c r="C376" s="214">
        <v>2019</v>
      </c>
      <c r="D376" s="214">
        <v>9</v>
      </c>
      <c r="E376" s="214">
        <v>1</v>
      </c>
    </row>
    <row r="377" spans="2:5" x14ac:dyDescent="0.25">
      <c r="B377" s="213" t="s">
        <v>2931</v>
      </c>
      <c r="C377" s="214">
        <v>2019</v>
      </c>
      <c r="D377" s="214">
        <v>10</v>
      </c>
      <c r="E377" s="214">
        <v>1</v>
      </c>
    </row>
    <row r="378" spans="2:5" x14ac:dyDescent="0.25">
      <c r="B378" s="213" t="s">
        <v>2913</v>
      </c>
      <c r="C378" s="214">
        <v>2019</v>
      </c>
      <c r="D378" s="214">
        <v>3</v>
      </c>
      <c r="E378" s="214">
        <v>19</v>
      </c>
    </row>
    <row r="379" spans="2:5" x14ac:dyDescent="0.25">
      <c r="B379" s="213" t="s">
        <v>2913</v>
      </c>
      <c r="C379" s="214">
        <v>2019</v>
      </c>
      <c r="D379" s="214">
        <v>6</v>
      </c>
      <c r="E379" s="214">
        <v>10</v>
      </c>
    </row>
    <row r="380" spans="2:5" x14ac:dyDescent="0.25">
      <c r="B380" s="213" t="s">
        <v>2913</v>
      </c>
      <c r="C380" s="214">
        <v>2019</v>
      </c>
      <c r="D380" s="214">
        <v>11</v>
      </c>
      <c r="E380" s="214">
        <v>8</v>
      </c>
    </row>
    <row r="381" spans="2:5" x14ac:dyDescent="0.25">
      <c r="B381" s="213" t="s">
        <v>2913</v>
      </c>
      <c r="C381" s="214">
        <v>2019</v>
      </c>
      <c r="D381" s="214">
        <v>5</v>
      </c>
      <c r="E381" s="214">
        <v>5</v>
      </c>
    </row>
    <row r="382" spans="2:5" x14ac:dyDescent="0.25">
      <c r="B382" s="213" t="s">
        <v>2913</v>
      </c>
      <c r="C382" s="214">
        <v>2019</v>
      </c>
      <c r="D382" s="214">
        <v>7</v>
      </c>
      <c r="E382" s="214">
        <v>4</v>
      </c>
    </row>
    <row r="383" spans="2:5" x14ac:dyDescent="0.25">
      <c r="B383" s="213" t="s">
        <v>2913</v>
      </c>
      <c r="C383" s="214">
        <v>2019</v>
      </c>
      <c r="D383" s="214">
        <v>1</v>
      </c>
      <c r="E383" s="214">
        <v>2</v>
      </c>
    </row>
    <row r="384" spans="2:5" x14ac:dyDescent="0.25">
      <c r="B384" s="213" t="s">
        <v>2913</v>
      </c>
      <c r="C384" s="214">
        <v>2019</v>
      </c>
      <c r="D384" s="214">
        <v>2</v>
      </c>
      <c r="E384" s="214">
        <v>2</v>
      </c>
    </row>
    <row r="385" spans="2:5" x14ac:dyDescent="0.25">
      <c r="B385" s="213" t="s">
        <v>2913</v>
      </c>
      <c r="C385" s="214">
        <v>2019</v>
      </c>
      <c r="D385" s="214">
        <v>8</v>
      </c>
      <c r="E385" s="214">
        <v>2</v>
      </c>
    </row>
    <row r="386" spans="2:5" x14ac:dyDescent="0.25">
      <c r="B386" s="213" t="s">
        <v>2913</v>
      </c>
      <c r="C386" s="214">
        <v>2019</v>
      </c>
      <c r="D386" s="214">
        <v>10</v>
      </c>
      <c r="E386" s="214">
        <v>2</v>
      </c>
    </row>
    <row r="387" spans="2:5" x14ac:dyDescent="0.25">
      <c r="B387" s="213" t="s">
        <v>2913</v>
      </c>
      <c r="C387" s="214">
        <v>2019</v>
      </c>
      <c r="D387" s="214">
        <v>9</v>
      </c>
      <c r="E387" s="214">
        <v>1</v>
      </c>
    </row>
    <row r="388" spans="2:5" x14ac:dyDescent="0.25">
      <c r="B388" s="213" t="s">
        <v>2751</v>
      </c>
      <c r="C388" s="214">
        <v>2019</v>
      </c>
      <c r="D388" s="214">
        <v>10</v>
      </c>
      <c r="E388" s="214">
        <v>30</v>
      </c>
    </row>
    <row r="389" spans="2:5" x14ac:dyDescent="0.25">
      <c r="B389" s="213" t="s">
        <v>2751</v>
      </c>
      <c r="C389" s="214">
        <v>2019</v>
      </c>
      <c r="D389" s="214">
        <v>5</v>
      </c>
      <c r="E389" s="214">
        <v>22</v>
      </c>
    </row>
    <row r="390" spans="2:5" x14ac:dyDescent="0.25">
      <c r="B390" s="213" t="s">
        <v>2751</v>
      </c>
      <c r="C390" s="214">
        <v>2019</v>
      </c>
      <c r="D390" s="214">
        <v>8</v>
      </c>
      <c r="E390" s="214">
        <v>22</v>
      </c>
    </row>
    <row r="391" spans="2:5" x14ac:dyDescent="0.25">
      <c r="B391" s="213" t="s">
        <v>2751</v>
      </c>
      <c r="C391" s="214">
        <v>2019</v>
      </c>
      <c r="D391" s="214">
        <v>11</v>
      </c>
      <c r="E391" s="214">
        <v>20</v>
      </c>
    </row>
    <row r="392" spans="2:5" x14ac:dyDescent="0.25">
      <c r="B392" s="213" t="s">
        <v>2751</v>
      </c>
      <c r="C392" s="214">
        <v>2019</v>
      </c>
      <c r="D392" s="214">
        <v>4</v>
      </c>
      <c r="E392" s="214">
        <v>18</v>
      </c>
    </row>
    <row r="393" spans="2:5" x14ac:dyDescent="0.25">
      <c r="B393" s="213" t="s">
        <v>2751</v>
      </c>
      <c r="C393" s="214">
        <v>2019</v>
      </c>
      <c r="D393" s="214">
        <v>6</v>
      </c>
      <c r="E393" s="214">
        <v>15</v>
      </c>
    </row>
    <row r="394" spans="2:5" x14ac:dyDescent="0.25">
      <c r="B394" s="213" t="s">
        <v>2751</v>
      </c>
      <c r="C394" s="214">
        <v>2019</v>
      </c>
      <c r="D394" s="214">
        <v>1</v>
      </c>
      <c r="E394" s="214">
        <v>14</v>
      </c>
    </row>
    <row r="395" spans="2:5" x14ac:dyDescent="0.25">
      <c r="B395" s="213" t="s">
        <v>2751</v>
      </c>
      <c r="C395" s="214">
        <v>2019</v>
      </c>
      <c r="D395" s="214">
        <v>2</v>
      </c>
      <c r="E395" s="214">
        <v>14</v>
      </c>
    </row>
    <row r="396" spans="2:5" x14ac:dyDescent="0.25">
      <c r="B396" s="213" t="s">
        <v>2751</v>
      </c>
      <c r="C396" s="214">
        <v>2019</v>
      </c>
      <c r="D396" s="214">
        <v>3</v>
      </c>
      <c r="E396" s="214">
        <v>4</v>
      </c>
    </row>
    <row r="397" spans="2:5" x14ac:dyDescent="0.25">
      <c r="B397" s="213" t="s">
        <v>2751</v>
      </c>
      <c r="C397" s="214">
        <v>2019</v>
      </c>
      <c r="D397" s="214">
        <v>7</v>
      </c>
      <c r="E397" s="214">
        <v>4</v>
      </c>
    </row>
    <row r="398" spans="2:5" x14ac:dyDescent="0.25">
      <c r="B398" s="213" t="s">
        <v>2751</v>
      </c>
      <c r="C398" s="214">
        <v>2019</v>
      </c>
      <c r="D398" s="214">
        <v>9</v>
      </c>
      <c r="E398" s="214">
        <v>3</v>
      </c>
    </row>
    <row r="399" spans="2:5" x14ac:dyDescent="0.25">
      <c r="B399" s="213" t="s">
        <v>2751</v>
      </c>
      <c r="C399" s="214">
        <v>2019</v>
      </c>
      <c r="D399" s="214">
        <v>12</v>
      </c>
      <c r="E399" s="214">
        <v>3</v>
      </c>
    </row>
    <row r="400" spans="2:5" x14ac:dyDescent="0.25">
      <c r="B400" s="213" t="s">
        <v>2752</v>
      </c>
      <c r="C400" s="214">
        <v>2019</v>
      </c>
      <c r="D400" s="214">
        <v>9</v>
      </c>
      <c r="E400" s="214">
        <v>67</v>
      </c>
    </row>
    <row r="401" spans="2:5" x14ac:dyDescent="0.25">
      <c r="B401" s="213" t="s">
        <v>2752</v>
      </c>
      <c r="C401" s="214">
        <v>2019</v>
      </c>
      <c r="D401" s="214">
        <v>4</v>
      </c>
      <c r="E401" s="214">
        <v>35</v>
      </c>
    </row>
    <row r="402" spans="2:5" x14ac:dyDescent="0.25">
      <c r="B402" s="213" t="s">
        <v>2752</v>
      </c>
      <c r="C402" s="214">
        <v>2019</v>
      </c>
      <c r="D402" s="214">
        <v>3</v>
      </c>
      <c r="E402" s="214">
        <v>34</v>
      </c>
    </row>
    <row r="403" spans="2:5" x14ac:dyDescent="0.25">
      <c r="B403" s="213" t="s">
        <v>2752</v>
      </c>
      <c r="C403" s="214">
        <v>2019</v>
      </c>
      <c r="D403" s="214">
        <v>10</v>
      </c>
      <c r="E403" s="214">
        <v>33</v>
      </c>
    </row>
    <row r="404" spans="2:5" x14ac:dyDescent="0.25">
      <c r="B404" s="213" t="s">
        <v>2752</v>
      </c>
      <c r="C404" s="214">
        <v>2019</v>
      </c>
      <c r="D404" s="214">
        <v>8</v>
      </c>
      <c r="E404" s="214">
        <v>31</v>
      </c>
    </row>
    <row r="405" spans="2:5" x14ac:dyDescent="0.25">
      <c r="B405" s="213" t="s">
        <v>2752</v>
      </c>
      <c r="C405" s="214">
        <v>2019</v>
      </c>
      <c r="D405" s="214">
        <v>1</v>
      </c>
      <c r="E405" s="214">
        <v>24</v>
      </c>
    </row>
    <row r="406" spans="2:5" x14ac:dyDescent="0.25">
      <c r="B406" s="213" t="s">
        <v>2752</v>
      </c>
      <c r="C406" s="214">
        <v>2019</v>
      </c>
      <c r="D406" s="214">
        <v>11</v>
      </c>
      <c r="E406" s="214">
        <v>23</v>
      </c>
    </row>
    <row r="407" spans="2:5" x14ac:dyDescent="0.25">
      <c r="B407" s="213" t="s">
        <v>2752</v>
      </c>
      <c r="C407" s="214">
        <v>2019</v>
      </c>
      <c r="D407" s="214">
        <v>7</v>
      </c>
      <c r="E407" s="214">
        <v>21</v>
      </c>
    </row>
    <row r="408" spans="2:5" x14ac:dyDescent="0.25">
      <c r="B408" s="213" t="s">
        <v>2752</v>
      </c>
      <c r="C408" s="214">
        <v>2019</v>
      </c>
      <c r="D408" s="214">
        <v>12</v>
      </c>
      <c r="E408" s="214">
        <v>12</v>
      </c>
    </row>
    <row r="409" spans="2:5" x14ac:dyDescent="0.25">
      <c r="B409" s="213" t="s">
        <v>2752</v>
      </c>
      <c r="C409" s="214">
        <v>2019</v>
      </c>
      <c r="D409" s="214">
        <v>5</v>
      </c>
      <c r="E409" s="214">
        <v>11</v>
      </c>
    </row>
    <row r="410" spans="2:5" x14ac:dyDescent="0.25">
      <c r="B410" s="213" t="s">
        <v>2752</v>
      </c>
      <c r="C410" s="214">
        <v>2019</v>
      </c>
      <c r="D410" s="214">
        <v>6</v>
      </c>
      <c r="E410" s="214">
        <v>11</v>
      </c>
    </row>
    <row r="411" spans="2:5" x14ac:dyDescent="0.25">
      <c r="B411" s="213" t="s">
        <v>2752</v>
      </c>
      <c r="C411" s="214">
        <v>2019</v>
      </c>
      <c r="D411" s="214">
        <v>2</v>
      </c>
      <c r="E411" s="214">
        <v>6</v>
      </c>
    </row>
    <row r="412" spans="2:5" x14ac:dyDescent="0.25">
      <c r="B412" s="213" t="s">
        <v>2753</v>
      </c>
      <c r="C412" s="214">
        <v>2019</v>
      </c>
      <c r="D412" s="214">
        <v>10</v>
      </c>
      <c r="E412" s="214">
        <v>398</v>
      </c>
    </row>
    <row r="413" spans="2:5" x14ac:dyDescent="0.25">
      <c r="B413" s="213" t="s">
        <v>2753</v>
      </c>
      <c r="C413" s="214">
        <v>2019</v>
      </c>
      <c r="D413" s="214">
        <v>4</v>
      </c>
      <c r="E413" s="214">
        <v>371</v>
      </c>
    </row>
    <row r="414" spans="2:5" x14ac:dyDescent="0.25">
      <c r="B414" s="213" t="s">
        <v>2753</v>
      </c>
      <c r="C414" s="214">
        <v>2019</v>
      </c>
      <c r="D414" s="214">
        <v>8</v>
      </c>
      <c r="E414" s="214">
        <v>346</v>
      </c>
    </row>
    <row r="415" spans="2:5" x14ac:dyDescent="0.25">
      <c r="B415" s="213" t="s">
        <v>2753</v>
      </c>
      <c r="C415" s="214">
        <v>2019</v>
      </c>
      <c r="D415" s="214">
        <v>5</v>
      </c>
      <c r="E415" s="214">
        <v>313</v>
      </c>
    </row>
    <row r="416" spans="2:5" x14ac:dyDescent="0.25">
      <c r="B416" s="213" t="s">
        <v>2753</v>
      </c>
      <c r="C416" s="214">
        <v>2019</v>
      </c>
      <c r="D416" s="214">
        <v>6</v>
      </c>
      <c r="E416" s="214">
        <v>266</v>
      </c>
    </row>
    <row r="417" spans="2:5" x14ac:dyDescent="0.25">
      <c r="B417" s="213" t="s">
        <v>2753</v>
      </c>
      <c r="C417" s="214">
        <v>2019</v>
      </c>
      <c r="D417" s="214">
        <v>3</v>
      </c>
      <c r="E417" s="214">
        <v>251</v>
      </c>
    </row>
    <row r="418" spans="2:5" x14ac:dyDescent="0.25">
      <c r="B418" s="213" t="s">
        <v>2753</v>
      </c>
      <c r="C418" s="214">
        <v>2019</v>
      </c>
      <c r="D418" s="214">
        <v>9</v>
      </c>
      <c r="E418" s="214">
        <v>243</v>
      </c>
    </row>
    <row r="419" spans="2:5" x14ac:dyDescent="0.25">
      <c r="B419" s="213" t="s">
        <v>2753</v>
      </c>
      <c r="C419" s="214">
        <v>2019</v>
      </c>
      <c r="D419" s="214">
        <v>2</v>
      </c>
      <c r="E419" s="214">
        <v>193</v>
      </c>
    </row>
    <row r="420" spans="2:5" x14ac:dyDescent="0.25">
      <c r="B420" s="213" t="s">
        <v>2753</v>
      </c>
      <c r="C420" s="214">
        <v>2019</v>
      </c>
      <c r="D420" s="214">
        <v>11</v>
      </c>
      <c r="E420" s="214">
        <v>190</v>
      </c>
    </row>
    <row r="421" spans="2:5" x14ac:dyDescent="0.25">
      <c r="B421" s="213" t="s">
        <v>2753</v>
      </c>
      <c r="C421" s="214">
        <v>2019</v>
      </c>
      <c r="D421" s="214">
        <v>1</v>
      </c>
      <c r="E421" s="214">
        <v>166</v>
      </c>
    </row>
    <row r="422" spans="2:5" x14ac:dyDescent="0.25">
      <c r="B422" s="213" t="s">
        <v>2753</v>
      </c>
      <c r="C422" s="214">
        <v>2019</v>
      </c>
      <c r="D422" s="214">
        <v>7</v>
      </c>
      <c r="E422" s="214">
        <v>157</v>
      </c>
    </row>
    <row r="423" spans="2:5" x14ac:dyDescent="0.25">
      <c r="B423" s="213" t="s">
        <v>2753</v>
      </c>
      <c r="C423" s="214">
        <v>2019</v>
      </c>
      <c r="D423" s="214">
        <v>12</v>
      </c>
      <c r="E423" s="214">
        <v>142</v>
      </c>
    </row>
    <row r="424" spans="2:5" x14ac:dyDescent="0.25">
      <c r="B424" s="213" t="s">
        <v>2890</v>
      </c>
      <c r="C424" s="214">
        <v>2019</v>
      </c>
      <c r="D424" s="214">
        <v>6</v>
      </c>
      <c r="E424" s="214">
        <v>45</v>
      </c>
    </row>
    <row r="425" spans="2:5" x14ac:dyDescent="0.25">
      <c r="B425" s="213" t="s">
        <v>2890</v>
      </c>
      <c r="C425" s="214">
        <v>2019</v>
      </c>
      <c r="D425" s="214">
        <v>5</v>
      </c>
      <c r="E425" s="214">
        <v>40</v>
      </c>
    </row>
    <row r="426" spans="2:5" x14ac:dyDescent="0.25">
      <c r="B426" s="213" t="s">
        <v>2890</v>
      </c>
      <c r="C426" s="214">
        <v>2019</v>
      </c>
      <c r="D426" s="214">
        <v>9</v>
      </c>
      <c r="E426" s="214">
        <v>35</v>
      </c>
    </row>
    <row r="427" spans="2:5" x14ac:dyDescent="0.25">
      <c r="B427" s="213" t="s">
        <v>2890</v>
      </c>
      <c r="C427" s="214">
        <v>2019</v>
      </c>
      <c r="D427" s="214">
        <v>11</v>
      </c>
      <c r="E427" s="214">
        <v>30</v>
      </c>
    </row>
    <row r="428" spans="2:5" x14ac:dyDescent="0.25">
      <c r="B428" s="213" t="s">
        <v>2890</v>
      </c>
      <c r="C428" s="214">
        <v>2019</v>
      </c>
      <c r="D428" s="214">
        <v>10</v>
      </c>
      <c r="E428" s="214">
        <v>18</v>
      </c>
    </row>
    <row r="429" spans="2:5" x14ac:dyDescent="0.25">
      <c r="B429" s="213" t="s">
        <v>2890</v>
      </c>
      <c r="C429" s="214">
        <v>2019</v>
      </c>
      <c r="D429" s="214">
        <v>2</v>
      </c>
      <c r="E429" s="214">
        <v>17</v>
      </c>
    </row>
    <row r="430" spans="2:5" x14ac:dyDescent="0.25">
      <c r="B430" s="213" t="s">
        <v>2890</v>
      </c>
      <c r="C430" s="214">
        <v>2019</v>
      </c>
      <c r="D430" s="214">
        <v>4</v>
      </c>
      <c r="E430" s="214">
        <v>17</v>
      </c>
    </row>
    <row r="431" spans="2:5" x14ac:dyDescent="0.25">
      <c r="B431" s="213" t="s">
        <v>2890</v>
      </c>
      <c r="C431" s="214">
        <v>2019</v>
      </c>
      <c r="D431" s="214">
        <v>7</v>
      </c>
      <c r="E431" s="214">
        <v>13</v>
      </c>
    </row>
    <row r="432" spans="2:5" x14ac:dyDescent="0.25">
      <c r="B432" s="213" t="s">
        <v>2890</v>
      </c>
      <c r="C432" s="214">
        <v>2019</v>
      </c>
      <c r="D432" s="214">
        <v>8</v>
      </c>
      <c r="E432" s="214">
        <v>11</v>
      </c>
    </row>
    <row r="433" spans="2:5" x14ac:dyDescent="0.25">
      <c r="B433" s="213" t="s">
        <v>2890</v>
      </c>
      <c r="C433" s="214">
        <v>2019</v>
      </c>
      <c r="D433" s="214">
        <v>3</v>
      </c>
      <c r="E433" s="214">
        <v>10</v>
      </c>
    </row>
    <row r="434" spans="2:5" x14ac:dyDescent="0.25">
      <c r="B434" s="213" t="s">
        <v>2890</v>
      </c>
      <c r="C434" s="214">
        <v>2019</v>
      </c>
      <c r="D434" s="214">
        <v>12</v>
      </c>
      <c r="E434" s="214">
        <v>7</v>
      </c>
    </row>
    <row r="435" spans="2:5" x14ac:dyDescent="0.25">
      <c r="B435" s="213" t="s">
        <v>2890</v>
      </c>
      <c r="C435" s="214">
        <v>2019</v>
      </c>
      <c r="D435" s="214">
        <v>1</v>
      </c>
      <c r="E435" s="214">
        <v>6</v>
      </c>
    </row>
    <row r="436" spans="2:5" x14ac:dyDescent="0.25">
      <c r="B436" s="213" t="s">
        <v>2754</v>
      </c>
      <c r="C436" s="214">
        <v>2019</v>
      </c>
      <c r="D436" s="214">
        <v>4</v>
      </c>
      <c r="E436" s="214">
        <v>76</v>
      </c>
    </row>
    <row r="437" spans="2:5" x14ac:dyDescent="0.25">
      <c r="B437" s="213" t="s">
        <v>2754</v>
      </c>
      <c r="C437" s="214">
        <v>2019</v>
      </c>
      <c r="D437" s="214">
        <v>7</v>
      </c>
      <c r="E437" s="214">
        <v>22</v>
      </c>
    </row>
    <row r="438" spans="2:5" x14ac:dyDescent="0.25">
      <c r="B438" s="213" t="s">
        <v>2754</v>
      </c>
      <c r="C438" s="214">
        <v>2019</v>
      </c>
      <c r="D438" s="214">
        <v>6</v>
      </c>
      <c r="E438" s="214">
        <v>12</v>
      </c>
    </row>
    <row r="439" spans="2:5" x14ac:dyDescent="0.25">
      <c r="B439" s="213" t="s">
        <v>2754</v>
      </c>
      <c r="C439" s="214">
        <v>2019</v>
      </c>
      <c r="D439" s="214">
        <v>11</v>
      </c>
      <c r="E439" s="214">
        <v>7</v>
      </c>
    </row>
    <row r="440" spans="2:5" x14ac:dyDescent="0.25">
      <c r="B440" s="213" t="s">
        <v>2754</v>
      </c>
      <c r="C440" s="214">
        <v>2019</v>
      </c>
      <c r="D440" s="214">
        <v>1</v>
      </c>
      <c r="E440" s="214">
        <v>6</v>
      </c>
    </row>
    <row r="441" spans="2:5" x14ac:dyDescent="0.25">
      <c r="B441" s="213" t="s">
        <v>2754</v>
      </c>
      <c r="C441" s="214">
        <v>2019</v>
      </c>
      <c r="D441" s="214">
        <v>8</v>
      </c>
      <c r="E441" s="214">
        <v>5</v>
      </c>
    </row>
    <row r="442" spans="2:5" x14ac:dyDescent="0.25">
      <c r="B442" s="213" t="s">
        <v>2754</v>
      </c>
      <c r="C442" s="214">
        <v>2019</v>
      </c>
      <c r="D442" s="214">
        <v>10</v>
      </c>
      <c r="E442" s="214">
        <v>5</v>
      </c>
    </row>
    <row r="443" spans="2:5" x14ac:dyDescent="0.25">
      <c r="B443" s="213" t="s">
        <v>2754</v>
      </c>
      <c r="C443" s="214">
        <v>2019</v>
      </c>
      <c r="D443" s="214">
        <v>2</v>
      </c>
      <c r="E443" s="214">
        <v>2</v>
      </c>
    </row>
    <row r="444" spans="2:5" x14ac:dyDescent="0.25">
      <c r="B444" s="213" t="s">
        <v>2754</v>
      </c>
      <c r="C444" s="214">
        <v>2019</v>
      </c>
      <c r="D444" s="214">
        <v>5</v>
      </c>
      <c r="E444" s="214">
        <v>2</v>
      </c>
    </row>
    <row r="445" spans="2:5" x14ac:dyDescent="0.25">
      <c r="B445" s="213" t="s">
        <v>2754</v>
      </c>
      <c r="C445" s="214">
        <v>2019</v>
      </c>
      <c r="D445" s="214">
        <v>3</v>
      </c>
      <c r="E445" s="214">
        <v>1</v>
      </c>
    </row>
    <row r="446" spans="2:5" x14ac:dyDescent="0.25">
      <c r="B446" s="213" t="s">
        <v>2754</v>
      </c>
      <c r="C446" s="214">
        <v>2019</v>
      </c>
      <c r="D446" s="214">
        <v>12</v>
      </c>
      <c r="E446" s="214">
        <v>1</v>
      </c>
    </row>
    <row r="447" spans="2:5" x14ac:dyDescent="0.25">
      <c r="B447" s="213" t="s">
        <v>2905</v>
      </c>
      <c r="C447" s="214">
        <v>2019</v>
      </c>
      <c r="D447" s="214">
        <v>5</v>
      </c>
      <c r="E447" s="214">
        <v>13</v>
      </c>
    </row>
    <row r="448" spans="2:5" x14ac:dyDescent="0.25">
      <c r="B448" s="213" t="s">
        <v>2905</v>
      </c>
      <c r="C448" s="214">
        <v>2019</v>
      </c>
      <c r="D448" s="214">
        <v>9</v>
      </c>
      <c r="E448" s="214">
        <v>12</v>
      </c>
    </row>
    <row r="449" spans="2:5" x14ac:dyDescent="0.25">
      <c r="B449" s="213" t="s">
        <v>2905</v>
      </c>
      <c r="C449" s="214">
        <v>2019</v>
      </c>
      <c r="D449" s="214">
        <v>4</v>
      </c>
      <c r="E449" s="214">
        <v>11</v>
      </c>
    </row>
    <row r="450" spans="2:5" x14ac:dyDescent="0.25">
      <c r="B450" s="213" t="s">
        <v>2905</v>
      </c>
      <c r="C450" s="214">
        <v>2019</v>
      </c>
      <c r="D450" s="214">
        <v>6</v>
      </c>
      <c r="E450" s="214">
        <v>10</v>
      </c>
    </row>
    <row r="451" spans="2:5" x14ac:dyDescent="0.25">
      <c r="B451" s="213" t="s">
        <v>2905</v>
      </c>
      <c r="C451" s="214">
        <v>2019</v>
      </c>
      <c r="D451" s="214">
        <v>11</v>
      </c>
      <c r="E451" s="214">
        <v>10</v>
      </c>
    </row>
    <row r="452" spans="2:5" x14ac:dyDescent="0.25">
      <c r="B452" s="213" t="s">
        <v>2905</v>
      </c>
      <c r="C452" s="214">
        <v>2019</v>
      </c>
      <c r="D452" s="214">
        <v>2</v>
      </c>
      <c r="E452" s="214">
        <v>7</v>
      </c>
    </row>
    <row r="453" spans="2:5" x14ac:dyDescent="0.25">
      <c r="B453" s="213" t="s">
        <v>2905</v>
      </c>
      <c r="C453" s="214">
        <v>2019</v>
      </c>
      <c r="D453" s="214">
        <v>10</v>
      </c>
      <c r="E453" s="214">
        <v>7</v>
      </c>
    </row>
    <row r="454" spans="2:5" x14ac:dyDescent="0.25">
      <c r="B454" s="213" t="s">
        <v>2905</v>
      </c>
      <c r="C454" s="214">
        <v>2019</v>
      </c>
      <c r="D454" s="214">
        <v>3</v>
      </c>
      <c r="E454" s="214">
        <v>6</v>
      </c>
    </row>
    <row r="455" spans="2:5" x14ac:dyDescent="0.25">
      <c r="B455" s="213" t="s">
        <v>2905</v>
      </c>
      <c r="C455" s="214">
        <v>2019</v>
      </c>
      <c r="D455" s="214">
        <v>1</v>
      </c>
      <c r="E455" s="214">
        <v>5</v>
      </c>
    </row>
    <row r="456" spans="2:5" x14ac:dyDescent="0.25">
      <c r="B456" s="213" t="s">
        <v>2905</v>
      </c>
      <c r="C456" s="214">
        <v>2019</v>
      </c>
      <c r="D456" s="214">
        <v>8</v>
      </c>
      <c r="E456" s="214">
        <v>3</v>
      </c>
    </row>
    <row r="457" spans="2:5" x14ac:dyDescent="0.25">
      <c r="B457" s="213" t="s">
        <v>2905</v>
      </c>
      <c r="C457" s="214">
        <v>2019</v>
      </c>
      <c r="D457" s="214">
        <v>12</v>
      </c>
      <c r="E457" s="214">
        <v>3</v>
      </c>
    </row>
    <row r="458" spans="2:5" x14ac:dyDescent="0.25">
      <c r="B458" s="213" t="s">
        <v>2905</v>
      </c>
      <c r="C458" s="214">
        <v>2019</v>
      </c>
      <c r="D458" s="214">
        <v>7</v>
      </c>
      <c r="E458" s="214">
        <v>2</v>
      </c>
    </row>
    <row r="459" spans="2:5" x14ac:dyDescent="0.25">
      <c r="B459" s="213" t="s">
        <v>2755</v>
      </c>
      <c r="C459" s="214">
        <v>2019</v>
      </c>
      <c r="D459" s="214">
        <v>4</v>
      </c>
      <c r="E459" s="214">
        <v>12</v>
      </c>
    </row>
    <row r="460" spans="2:5" x14ac:dyDescent="0.25">
      <c r="B460" s="213" t="s">
        <v>2755</v>
      </c>
      <c r="C460" s="214">
        <v>2019</v>
      </c>
      <c r="D460" s="214">
        <v>8</v>
      </c>
      <c r="E460" s="214">
        <v>11</v>
      </c>
    </row>
    <row r="461" spans="2:5" x14ac:dyDescent="0.25">
      <c r="B461" s="213" t="s">
        <v>2755</v>
      </c>
      <c r="C461" s="214">
        <v>2019</v>
      </c>
      <c r="D461" s="214">
        <v>10</v>
      </c>
      <c r="E461" s="214">
        <v>11</v>
      </c>
    </row>
    <row r="462" spans="2:5" x14ac:dyDescent="0.25">
      <c r="B462" s="213" t="s">
        <v>2755</v>
      </c>
      <c r="C462" s="214">
        <v>2019</v>
      </c>
      <c r="D462" s="214">
        <v>6</v>
      </c>
      <c r="E462" s="214">
        <v>10</v>
      </c>
    </row>
    <row r="463" spans="2:5" x14ac:dyDescent="0.25">
      <c r="B463" s="213" t="s">
        <v>2755</v>
      </c>
      <c r="C463" s="214">
        <v>2019</v>
      </c>
      <c r="D463" s="214">
        <v>5</v>
      </c>
      <c r="E463" s="214">
        <v>9</v>
      </c>
    </row>
    <row r="464" spans="2:5" x14ac:dyDescent="0.25">
      <c r="B464" s="213" t="s">
        <v>2755</v>
      </c>
      <c r="C464" s="214">
        <v>2019</v>
      </c>
      <c r="D464" s="214">
        <v>3</v>
      </c>
      <c r="E464" s="214">
        <v>4</v>
      </c>
    </row>
    <row r="465" spans="2:5" x14ac:dyDescent="0.25">
      <c r="B465" s="213" t="s">
        <v>2755</v>
      </c>
      <c r="C465" s="214">
        <v>2019</v>
      </c>
      <c r="D465" s="214">
        <v>9</v>
      </c>
      <c r="E465" s="214">
        <v>4</v>
      </c>
    </row>
    <row r="466" spans="2:5" x14ac:dyDescent="0.25">
      <c r="B466" s="213" t="s">
        <v>2756</v>
      </c>
      <c r="C466" s="214">
        <v>2019</v>
      </c>
      <c r="D466" s="214">
        <v>3</v>
      </c>
      <c r="E466" s="214">
        <v>25</v>
      </c>
    </row>
    <row r="467" spans="2:5" x14ac:dyDescent="0.25">
      <c r="B467" s="213" t="s">
        <v>2756</v>
      </c>
      <c r="C467" s="214">
        <v>2019</v>
      </c>
      <c r="D467" s="214">
        <v>2</v>
      </c>
      <c r="E467" s="214">
        <v>12</v>
      </c>
    </row>
    <row r="468" spans="2:5" x14ac:dyDescent="0.25">
      <c r="B468" s="213" t="s">
        <v>2756</v>
      </c>
      <c r="C468" s="214">
        <v>2019</v>
      </c>
      <c r="D468" s="214">
        <v>6</v>
      </c>
      <c r="E468" s="214">
        <v>7</v>
      </c>
    </row>
    <row r="469" spans="2:5" x14ac:dyDescent="0.25">
      <c r="B469" s="213" t="s">
        <v>2756</v>
      </c>
      <c r="C469" s="214">
        <v>2019</v>
      </c>
      <c r="D469" s="214">
        <v>11</v>
      </c>
      <c r="E469" s="214">
        <v>7</v>
      </c>
    </row>
    <row r="470" spans="2:5" x14ac:dyDescent="0.25">
      <c r="B470" s="213" t="s">
        <v>2756</v>
      </c>
      <c r="C470" s="214">
        <v>2019</v>
      </c>
      <c r="D470" s="214">
        <v>5</v>
      </c>
      <c r="E470" s="214">
        <v>6</v>
      </c>
    </row>
    <row r="471" spans="2:5" x14ac:dyDescent="0.25">
      <c r="B471" s="213" t="s">
        <v>2756</v>
      </c>
      <c r="C471" s="214">
        <v>2019</v>
      </c>
      <c r="D471" s="214">
        <v>7</v>
      </c>
      <c r="E471" s="214">
        <v>5</v>
      </c>
    </row>
    <row r="472" spans="2:5" x14ac:dyDescent="0.25">
      <c r="B472" s="213" t="s">
        <v>2756</v>
      </c>
      <c r="C472" s="214">
        <v>2019</v>
      </c>
      <c r="D472" s="214">
        <v>8</v>
      </c>
      <c r="E472" s="214">
        <v>2</v>
      </c>
    </row>
    <row r="473" spans="2:5" x14ac:dyDescent="0.25">
      <c r="B473" s="213" t="s">
        <v>2756</v>
      </c>
      <c r="C473" s="214">
        <v>2019</v>
      </c>
      <c r="D473" s="214">
        <v>9</v>
      </c>
      <c r="E473" s="214">
        <v>2</v>
      </c>
    </row>
    <row r="474" spans="2:5" x14ac:dyDescent="0.25">
      <c r="B474" s="213" t="s">
        <v>2949</v>
      </c>
      <c r="C474" s="214">
        <v>2019</v>
      </c>
      <c r="D474" s="214">
        <v>2</v>
      </c>
      <c r="E474" s="214">
        <v>2</v>
      </c>
    </row>
    <row r="475" spans="2:5" x14ac:dyDescent="0.25">
      <c r="B475" s="213" t="s">
        <v>2949</v>
      </c>
      <c r="C475" s="214">
        <v>2019</v>
      </c>
      <c r="D475" s="214">
        <v>3</v>
      </c>
      <c r="E475" s="214">
        <v>2</v>
      </c>
    </row>
    <row r="476" spans="2:5" x14ac:dyDescent="0.25">
      <c r="B476" s="213" t="s">
        <v>2949</v>
      </c>
      <c r="C476" s="214">
        <v>2019</v>
      </c>
      <c r="D476" s="214">
        <v>4</v>
      </c>
      <c r="E476" s="214">
        <v>2</v>
      </c>
    </row>
    <row r="477" spans="2:5" x14ac:dyDescent="0.25">
      <c r="B477" s="213" t="s">
        <v>2949</v>
      </c>
      <c r="C477" s="214">
        <v>2019</v>
      </c>
      <c r="D477" s="214">
        <v>10</v>
      </c>
      <c r="E477" s="214">
        <v>2</v>
      </c>
    </row>
    <row r="478" spans="2:5" x14ac:dyDescent="0.25">
      <c r="B478" s="213" t="s">
        <v>2949</v>
      </c>
      <c r="C478" s="214">
        <v>2019</v>
      </c>
      <c r="D478" s="214">
        <v>12</v>
      </c>
      <c r="E478" s="214">
        <v>1</v>
      </c>
    </row>
    <row r="479" spans="2:5" x14ac:dyDescent="0.25">
      <c r="B479" s="213" t="s">
        <v>2945</v>
      </c>
      <c r="C479" s="214">
        <v>2019</v>
      </c>
      <c r="D479" s="214">
        <v>3</v>
      </c>
      <c r="E479" s="214">
        <v>2</v>
      </c>
    </row>
    <row r="480" spans="2:5" x14ac:dyDescent="0.25">
      <c r="B480" s="213" t="s">
        <v>2945</v>
      </c>
      <c r="C480" s="214">
        <v>2019</v>
      </c>
      <c r="D480" s="214">
        <v>7</v>
      </c>
      <c r="E480" s="214">
        <v>2</v>
      </c>
    </row>
    <row r="481" spans="2:5" x14ac:dyDescent="0.25">
      <c r="B481" s="213" t="s">
        <v>2945</v>
      </c>
      <c r="C481" s="214">
        <v>2019</v>
      </c>
      <c r="D481" s="214">
        <v>9</v>
      </c>
      <c r="E481" s="214">
        <v>2</v>
      </c>
    </row>
    <row r="482" spans="2:5" x14ac:dyDescent="0.25">
      <c r="B482" s="213" t="s">
        <v>2945</v>
      </c>
      <c r="C482" s="214">
        <v>2019</v>
      </c>
      <c r="D482" s="214">
        <v>1</v>
      </c>
      <c r="E482" s="214">
        <v>1</v>
      </c>
    </row>
    <row r="483" spans="2:5" x14ac:dyDescent="0.25">
      <c r="B483" s="213" t="s">
        <v>2945</v>
      </c>
      <c r="C483" s="214">
        <v>2019</v>
      </c>
      <c r="D483" s="214">
        <v>4</v>
      </c>
      <c r="E483" s="214">
        <v>1</v>
      </c>
    </row>
    <row r="484" spans="2:5" x14ac:dyDescent="0.25">
      <c r="B484" s="213" t="s">
        <v>2945</v>
      </c>
      <c r="C484" s="214">
        <v>2019</v>
      </c>
      <c r="D484" s="214">
        <v>6</v>
      </c>
      <c r="E484" s="214">
        <v>1</v>
      </c>
    </row>
    <row r="485" spans="2:5" x14ac:dyDescent="0.25">
      <c r="B485" s="213" t="s">
        <v>2945</v>
      </c>
      <c r="C485" s="214">
        <v>2019</v>
      </c>
      <c r="D485" s="214">
        <v>10</v>
      </c>
      <c r="E485" s="214">
        <v>1</v>
      </c>
    </row>
    <row r="486" spans="2:5" x14ac:dyDescent="0.25">
      <c r="B486" s="213" t="s">
        <v>2757</v>
      </c>
      <c r="C486" s="214">
        <v>2019</v>
      </c>
      <c r="D486" s="214">
        <v>3</v>
      </c>
      <c r="E486" s="214">
        <v>16</v>
      </c>
    </row>
    <row r="487" spans="2:5" x14ac:dyDescent="0.25">
      <c r="B487" s="213" t="s">
        <v>2757</v>
      </c>
      <c r="C487" s="214">
        <v>2019</v>
      </c>
      <c r="D487" s="214">
        <v>7</v>
      </c>
      <c r="E487" s="214">
        <v>11</v>
      </c>
    </row>
    <row r="488" spans="2:5" x14ac:dyDescent="0.25">
      <c r="B488" s="213" t="s">
        <v>2757</v>
      </c>
      <c r="C488" s="214">
        <v>2019</v>
      </c>
      <c r="D488" s="214">
        <v>5</v>
      </c>
      <c r="E488" s="214">
        <v>7</v>
      </c>
    </row>
    <row r="489" spans="2:5" x14ac:dyDescent="0.25">
      <c r="B489" s="213" t="s">
        <v>2757</v>
      </c>
      <c r="C489" s="214">
        <v>2019</v>
      </c>
      <c r="D489" s="214">
        <v>9</v>
      </c>
      <c r="E489" s="214">
        <v>7</v>
      </c>
    </row>
    <row r="490" spans="2:5" x14ac:dyDescent="0.25">
      <c r="B490" s="213" t="s">
        <v>2757</v>
      </c>
      <c r="C490" s="214">
        <v>2019</v>
      </c>
      <c r="D490" s="214">
        <v>10</v>
      </c>
      <c r="E490" s="214">
        <v>6</v>
      </c>
    </row>
    <row r="491" spans="2:5" x14ac:dyDescent="0.25">
      <c r="B491" s="213" t="s">
        <v>2757</v>
      </c>
      <c r="C491" s="214">
        <v>2019</v>
      </c>
      <c r="D491" s="214">
        <v>11</v>
      </c>
      <c r="E491" s="214">
        <v>6</v>
      </c>
    </row>
    <row r="492" spans="2:5" x14ac:dyDescent="0.25">
      <c r="B492" s="213" t="s">
        <v>2757</v>
      </c>
      <c r="C492" s="214">
        <v>2019</v>
      </c>
      <c r="D492" s="214">
        <v>6</v>
      </c>
      <c r="E492" s="214">
        <v>4</v>
      </c>
    </row>
    <row r="493" spans="2:5" x14ac:dyDescent="0.25">
      <c r="B493" s="213" t="s">
        <v>2757</v>
      </c>
      <c r="C493" s="214">
        <v>2019</v>
      </c>
      <c r="D493" s="214">
        <v>8</v>
      </c>
      <c r="E493" s="214">
        <v>4</v>
      </c>
    </row>
    <row r="494" spans="2:5" x14ac:dyDescent="0.25">
      <c r="B494" s="213" t="s">
        <v>2757</v>
      </c>
      <c r="C494" s="214">
        <v>2019</v>
      </c>
      <c r="D494" s="214">
        <v>1</v>
      </c>
      <c r="E494" s="214">
        <v>3</v>
      </c>
    </row>
    <row r="495" spans="2:5" x14ac:dyDescent="0.25">
      <c r="B495" s="213" t="s">
        <v>2757</v>
      </c>
      <c r="C495" s="214">
        <v>2019</v>
      </c>
      <c r="D495" s="214">
        <v>12</v>
      </c>
      <c r="E495" s="214">
        <v>2</v>
      </c>
    </row>
    <row r="496" spans="2:5" x14ac:dyDescent="0.25">
      <c r="B496" s="213" t="s">
        <v>2757</v>
      </c>
      <c r="C496" s="214">
        <v>2019</v>
      </c>
      <c r="D496" s="214">
        <v>4</v>
      </c>
      <c r="E496" s="214">
        <v>1</v>
      </c>
    </row>
    <row r="497" spans="2:5" x14ac:dyDescent="0.25">
      <c r="B497" s="213" t="s">
        <v>2758</v>
      </c>
      <c r="C497" s="214">
        <v>2019</v>
      </c>
      <c r="D497" s="214">
        <v>4</v>
      </c>
      <c r="E497" s="214">
        <v>12</v>
      </c>
    </row>
    <row r="498" spans="2:5" x14ac:dyDescent="0.25">
      <c r="B498" s="213" t="s">
        <v>2758</v>
      </c>
      <c r="C498" s="214">
        <v>2019</v>
      </c>
      <c r="D498" s="214">
        <v>1</v>
      </c>
      <c r="E498" s="214">
        <v>9</v>
      </c>
    </row>
    <row r="499" spans="2:5" x14ac:dyDescent="0.25">
      <c r="B499" s="213" t="s">
        <v>2758</v>
      </c>
      <c r="C499" s="214">
        <v>2019</v>
      </c>
      <c r="D499" s="214">
        <v>5</v>
      </c>
      <c r="E499" s="214">
        <v>9</v>
      </c>
    </row>
    <row r="500" spans="2:5" x14ac:dyDescent="0.25">
      <c r="B500" s="213" t="s">
        <v>2758</v>
      </c>
      <c r="C500" s="214">
        <v>2019</v>
      </c>
      <c r="D500" s="214">
        <v>10</v>
      </c>
      <c r="E500" s="214">
        <v>7</v>
      </c>
    </row>
    <row r="501" spans="2:5" x14ac:dyDescent="0.25">
      <c r="B501" s="213" t="s">
        <v>2758</v>
      </c>
      <c r="C501" s="214">
        <v>2019</v>
      </c>
      <c r="D501" s="214">
        <v>2</v>
      </c>
      <c r="E501" s="214">
        <v>6</v>
      </c>
    </row>
    <row r="502" spans="2:5" x14ac:dyDescent="0.25">
      <c r="B502" s="213" t="s">
        <v>2758</v>
      </c>
      <c r="C502" s="214">
        <v>2019</v>
      </c>
      <c r="D502" s="214">
        <v>6</v>
      </c>
      <c r="E502" s="214">
        <v>5</v>
      </c>
    </row>
    <row r="503" spans="2:5" x14ac:dyDescent="0.25">
      <c r="B503" s="213" t="s">
        <v>2758</v>
      </c>
      <c r="C503" s="214">
        <v>2019</v>
      </c>
      <c r="D503" s="214">
        <v>3</v>
      </c>
      <c r="E503" s="214">
        <v>4</v>
      </c>
    </row>
    <row r="504" spans="2:5" x14ac:dyDescent="0.25">
      <c r="B504" s="213" t="s">
        <v>2758</v>
      </c>
      <c r="C504" s="214">
        <v>2019</v>
      </c>
      <c r="D504" s="214">
        <v>9</v>
      </c>
      <c r="E504" s="214">
        <v>4</v>
      </c>
    </row>
    <row r="505" spans="2:5" x14ac:dyDescent="0.25">
      <c r="B505" s="213" t="s">
        <v>2758</v>
      </c>
      <c r="C505" s="214">
        <v>2019</v>
      </c>
      <c r="D505" s="214">
        <v>11</v>
      </c>
      <c r="E505" s="214">
        <v>4</v>
      </c>
    </row>
    <row r="506" spans="2:5" x14ac:dyDescent="0.25">
      <c r="B506" s="213" t="s">
        <v>2758</v>
      </c>
      <c r="C506" s="214">
        <v>2019</v>
      </c>
      <c r="D506" s="214">
        <v>7</v>
      </c>
      <c r="E506" s="214">
        <v>2</v>
      </c>
    </row>
    <row r="507" spans="2:5" x14ac:dyDescent="0.25">
      <c r="B507" s="213" t="s">
        <v>2758</v>
      </c>
      <c r="C507" s="214">
        <v>2019</v>
      </c>
      <c r="D507" s="214">
        <v>8</v>
      </c>
      <c r="E507" s="214">
        <v>2</v>
      </c>
    </row>
    <row r="508" spans="2:5" x14ac:dyDescent="0.25">
      <c r="B508" s="213" t="s">
        <v>2758</v>
      </c>
      <c r="C508" s="214">
        <v>2019</v>
      </c>
      <c r="D508" s="214">
        <v>12</v>
      </c>
      <c r="E508" s="214">
        <v>2</v>
      </c>
    </row>
    <row r="509" spans="2:5" x14ac:dyDescent="0.25">
      <c r="B509" s="213" t="s">
        <v>2759</v>
      </c>
      <c r="C509" s="214">
        <v>2019</v>
      </c>
      <c r="D509" s="214">
        <v>5</v>
      </c>
      <c r="E509" s="214">
        <v>45</v>
      </c>
    </row>
    <row r="510" spans="2:5" x14ac:dyDescent="0.25">
      <c r="B510" s="213" t="s">
        <v>2759</v>
      </c>
      <c r="C510" s="214">
        <v>2019</v>
      </c>
      <c r="D510" s="214">
        <v>2</v>
      </c>
      <c r="E510" s="214">
        <v>30</v>
      </c>
    </row>
    <row r="511" spans="2:5" x14ac:dyDescent="0.25">
      <c r="B511" s="213" t="s">
        <v>2759</v>
      </c>
      <c r="C511" s="214">
        <v>2019</v>
      </c>
      <c r="D511" s="214">
        <v>3</v>
      </c>
      <c r="E511" s="214">
        <v>24</v>
      </c>
    </row>
    <row r="512" spans="2:5" x14ac:dyDescent="0.25">
      <c r="B512" s="213" t="s">
        <v>2759</v>
      </c>
      <c r="C512" s="214">
        <v>2019</v>
      </c>
      <c r="D512" s="214">
        <v>6</v>
      </c>
      <c r="E512" s="214">
        <v>20</v>
      </c>
    </row>
    <row r="513" spans="2:5" x14ac:dyDescent="0.25">
      <c r="B513" s="213" t="s">
        <v>2759</v>
      </c>
      <c r="C513" s="214">
        <v>2019</v>
      </c>
      <c r="D513" s="214">
        <v>10</v>
      </c>
      <c r="E513" s="214">
        <v>20</v>
      </c>
    </row>
    <row r="514" spans="2:5" x14ac:dyDescent="0.25">
      <c r="B514" s="213" t="s">
        <v>2759</v>
      </c>
      <c r="C514" s="214">
        <v>2019</v>
      </c>
      <c r="D514" s="214">
        <v>4</v>
      </c>
      <c r="E514" s="214">
        <v>18</v>
      </c>
    </row>
    <row r="515" spans="2:5" x14ac:dyDescent="0.25">
      <c r="B515" s="213" t="s">
        <v>2759</v>
      </c>
      <c r="C515" s="214">
        <v>2019</v>
      </c>
      <c r="D515" s="214">
        <v>1</v>
      </c>
      <c r="E515" s="214">
        <v>14</v>
      </c>
    </row>
    <row r="516" spans="2:5" x14ac:dyDescent="0.25">
      <c r="B516" s="213" t="s">
        <v>2759</v>
      </c>
      <c r="C516" s="214">
        <v>2019</v>
      </c>
      <c r="D516" s="214">
        <v>7</v>
      </c>
      <c r="E516" s="214">
        <v>13</v>
      </c>
    </row>
    <row r="517" spans="2:5" x14ac:dyDescent="0.25">
      <c r="B517" s="213" t="s">
        <v>2759</v>
      </c>
      <c r="C517" s="214">
        <v>2019</v>
      </c>
      <c r="D517" s="214">
        <v>8</v>
      </c>
      <c r="E517" s="214">
        <v>9</v>
      </c>
    </row>
    <row r="518" spans="2:5" x14ac:dyDescent="0.25">
      <c r="B518" s="213" t="s">
        <v>2759</v>
      </c>
      <c r="C518" s="214">
        <v>2019</v>
      </c>
      <c r="D518" s="214">
        <v>12</v>
      </c>
      <c r="E518" s="214">
        <v>6</v>
      </c>
    </row>
    <row r="519" spans="2:5" x14ac:dyDescent="0.25">
      <c r="B519" s="213" t="s">
        <v>2759</v>
      </c>
      <c r="C519" s="214">
        <v>2019</v>
      </c>
      <c r="D519" s="214">
        <v>9</v>
      </c>
      <c r="E519" s="214">
        <v>4</v>
      </c>
    </row>
    <row r="520" spans="2:5" x14ac:dyDescent="0.25">
      <c r="B520" s="213" t="s">
        <v>2759</v>
      </c>
      <c r="C520" s="214">
        <v>2019</v>
      </c>
      <c r="D520" s="214">
        <v>11</v>
      </c>
      <c r="E520" s="214">
        <v>4</v>
      </c>
    </row>
    <row r="521" spans="2:5" x14ac:dyDescent="0.25">
      <c r="B521" s="213" t="s">
        <v>2760</v>
      </c>
      <c r="C521" s="214">
        <v>2019</v>
      </c>
      <c r="D521" s="214">
        <v>1</v>
      </c>
      <c r="E521" s="214">
        <v>343</v>
      </c>
    </row>
    <row r="522" spans="2:5" x14ac:dyDescent="0.25">
      <c r="B522" s="213" t="s">
        <v>2760</v>
      </c>
      <c r="C522" s="214">
        <v>2019</v>
      </c>
      <c r="D522" s="214">
        <v>3</v>
      </c>
      <c r="E522" s="214">
        <v>311</v>
      </c>
    </row>
    <row r="523" spans="2:5" x14ac:dyDescent="0.25">
      <c r="B523" s="213" t="s">
        <v>2760</v>
      </c>
      <c r="C523" s="214">
        <v>2019</v>
      </c>
      <c r="D523" s="214">
        <v>9</v>
      </c>
      <c r="E523" s="214">
        <v>297</v>
      </c>
    </row>
    <row r="524" spans="2:5" x14ac:dyDescent="0.25">
      <c r="B524" s="213" t="s">
        <v>2760</v>
      </c>
      <c r="C524" s="214">
        <v>2019</v>
      </c>
      <c r="D524" s="214">
        <v>4</v>
      </c>
      <c r="E524" s="214">
        <v>287</v>
      </c>
    </row>
    <row r="525" spans="2:5" x14ac:dyDescent="0.25">
      <c r="B525" s="213" t="s">
        <v>2760</v>
      </c>
      <c r="C525" s="214">
        <v>2019</v>
      </c>
      <c r="D525" s="214">
        <v>10</v>
      </c>
      <c r="E525" s="214">
        <v>252</v>
      </c>
    </row>
    <row r="526" spans="2:5" x14ac:dyDescent="0.25">
      <c r="B526" s="213" t="s">
        <v>2760</v>
      </c>
      <c r="C526" s="214">
        <v>2019</v>
      </c>
      <c r="D526" s="214">
        <v>8</v>
      </c>
      <c r="E526" s="214">
        <v>222</v>
      </c>
    </row>
    <row r="527" spans="2:5" x14ac:dyDescent="0.25">
      <c r="B527" s="213" t="s">
        <v>2760</v>
      </c>
      <c r="C527" s="214">
        <v>2019</v>
      </c>
      <c r="D527" s="214">
        <v>7</v>
      </c>
      <c r="E527" s="214">
        <v>217</v>
      </c>
    </row>
    <row r="528" spans="2:5" x14ac:dyDescent="0.25">
      <c r="B528" s="213" t="s">
        <v>2760</v>
      </c>
      <c r="C528" s="214">
        <v>2019</v>
      </c>
      <c r="D528" s="214">
        <v>11</v>
      </c>
      <c r="E528" s="214">
        <v>191</v>
      </c>
    </row>
    <row r="529" spans="2:5" x14ac:dyDescent="0.25">
      <c r="B529" s="213" t="s">
        <v>2760</v>
      </c>
      <c r="C529" s="214">
        <v>2019</v>
      </c>
      <c r="D529" s="214">
        <v>2</v>
      </c>
      <c r="E529" s="214">
        <v>181</v>
      </c>
    </row>
    <row r="530" spans="2:5" x14ac:dyDescent="0.25">
      <c r="B530" s="213" t="s">
        <v>2760</v>
      </c>
      <c r="C530" s="214">
        <v>2019</v>
      </c>
      <c r="D530" s="214">
        <v>12</v>
      </c>
      <c r="E530" s="214">
        <v>174</v>
      </c>
    </row>
    <row r="531" spans="2:5" x14ac:dyDescent="0.25">
      <c r="B531" s="213" t="s">
        <v>2760</v>
      </c>
      <c r="C531" s="214">
        <v>2019</v>
      </c>
      <c r="D531" s="214">
        <v>6</v>
      </c>
      <c r="E531" s="214">
        <v>153</v>
      </c>
    </row>
    <row r="532" spans="2:5" x14ac:dyDescent="0.25">
      <c r="B532" s="213" t="s">
        <v>2760</v>
      </c>
      <c r="C532" s="214">
        <v>2019</v>
      </c>
      <c r="D532" s="214">
        <v>5</v>
      </c>
      <c r="E532" s="214">
        <v>109</v>
      </c>
    </row>
    <row r="533" spans="2:5" x14ac:dyDescent="0.25">
      <c r="B533" s="213" t="s">
        <v>2942</v>
      </c>
      <c r="C533" s="214">
        <v>2019</v>
      </c>
      <c r="D533" s="214">
        <v>7</v>
      </c>
      <c r="E533" s="214">
        <v>3</v>
      </c>
    </row>
    <row r="534" spans="2:5" x14ac:dyDescent="0.25">
      <c r="B534" s="213" t="s">
        <v>2942</v>
      </c>
      <c r="C534" s="214">
        <v>2019</v>
      </c>
      <c r="D534" s="214">
        <v>8</v>
      </c>
      <c r="E534" s="214">
        <v>3</v>
      </c>
    </row>
    <row r="535" spans="2:5" x14ac:dyDescent="0.25">
      <c r="B535" s="213" t="s">
        <v>2942</v>
      </c>
      <c r="C535" s="214">
        <v>2019</v>
      </c>
      <c r="D535" s="214">
        <v>3</v>
      </c>
      <c r="E535" s="214">
        <v>2</v>
      </c>
    </row>
    <row r="536" spans="2:5" x14ac:dyDescent="0.25">
      <c r="B536" s="213" t="s">
        <v>2942</v>
      </c>
      <c r="C536" s="214">
        <v>2019</v>
      </c>
      <c r="D536" s="214">
        <v>5</v>
      </c>
      <c r="E536" s="214">
        <v>1</v>
      </c>
    </row>
    <row r="537" spans="2:5" x14ac:dyDescent="0.25">
      <c r="B537" s="213" t="s">
        <v>2942</v>
      </c>
      <c r="C537" s="214">
        <v>2019</v>
      </c>
      <c r="D537" s="214">
        <v>9</v>
      </c>
      <c r="E537" s="214">
        <v>1</v>
      </c>
    </row>
    <row r="538" spans="2:5" x14ac:dyDescent="0.25">
      <c r="B538" s="213" t="s">
        <v>2942</v>
      </c>
      <c r="C538" s="214">
        <v>2019</v>
      </c>
      <c r="D538" s="214">
        <v>11</v>
      </c>
      <c r="E538" s="214">
        <v>1</v>
      </c>
    </row>
    <row r="539" spans="2:5" x14ac:dyDescent="0.25">
      <c r="B539" s="213" t="s">
        <v>2934</v>
      </c>
      <c r="C539" s="214">
        <v>2019</v>
      </c>
      <c r="D539" s="214">
        <v>4</v>
      </c>
      <c r="E539" s="214">
        <v>4</v>
      </c>
    </row>
    <row r="540" spans="2:5" x14ac:dyDescent="0.25">
      <c r="B540" s="213" t="s">
        <v>2934</v>
      </c>
      <c r="C540" s="214">
        <v>2019</v>
      </c>
      <c r="D540" s="214">
        <v>10</v>
      </c>
      <c r="E540" s="214">
        <v>4</v>
      </c>
    </row>
    <row r="541" spans="2:5" x14ac:dyDescent="0.25">
      <c r="B541" s="213" t="s">
        <v>2934</v>
      </c>
      <c r="C541" s="214">
        <v>2019</v>
      </c>
      <c r="D541" s="214">
        <v>5</v>
      </c>
      <c r="E541" s="214">
        <v>3</v>
      </c>
    </row>
    <row r="542" spans="2:5" x14ac:dyDescent="0.25">
      <c r="B542" s="213" t="s">
        <v>2934</v>
      </c>
      <c r="C542" s="214">
        <v>2019</v>
      </c>
      <c r="D542" s="214">
        <v>2</v>
      </c>
      <c r="E542" s="214">
        <v>2</v>
      </c>
    </row>
    <row r="543" spans="2:5" x14ac:dyDescent="0.25">
      <c r="B543" s="213" t="s">
        <v>2934</v>
      </c>
      <c r="C543" s="214">
        <v>2019</v>
      </c>
      <c r="D543" s="214">
        <v>7</v>
      </c>
      <c r="E543" s="214">
        <v>2</v>
      </c>
    </row>
    <row r="544" spans="2:5" x14ac:dyDescent="0.25">
      <c r="B544" s="213" t="s">
        <v>2934</v>
      </c>
      <c r="C544" s="214">
        <v>2019</v>
      </c>
      <c r="D544" s="214">
        <v>8</v>
      </c>
      <c r="E544" s="214">
        <v>2</v>
      </c>
    </row>
    <row r="545" spans="2:5" x14ac:dyDescent="0.25">
      <c r="B545" s="213" t="s">
        <v>2934</v>
      </c>
      <c r="C545" s="214">
        <v>2019</v>
      </c>
      <c r="D545" s="214">
        <v>6</v>
      </c>
      <c r="E545" s="214">
        <v>1</v>
      </c>
    </row>
    <row r="546" spans="2:5" x14ac:dyDescent="0.25">
      <c r="B546" s="213" t="s">
        <v>2934</v>
      </c>
      <c r="C546" s="214">
        <v>2019</v>
      </c>
      <c r="D546" s="214">
        <v>9</v>
      </c>
      <c r="E546" s="214">
        <v>1</v>
      </c>
    </row>
    <row r="547" spans="2:5" x14ac:dyDescent="0.25">
      <c r="B547" s="213" t="s">
        <v>2761</v>
      </c>
      <c r="C547" s="214">
        <v>2019</v>
      </c>
      <c r="D547" s="214">
        <v>9</v>
      </c>
      <c r="E547" s="214">
        <v>21</v>
      </c>
    </row>
    <row r="548" spans="2:5" x14ac:dyDescent="0.25">
      <c r="B548" s="213" t="s">
        <v>2761</v>
      </c>
      <c r="C548" s="214">
        <v>2019</v>
      </c>
      <c r="D548" s="214">
        <v>5</v>
      </c>
      <c r="E548" s="214">
        <v>15</v>
      </c>
    </row>
    <row r="549" spans="2:5" x14ac:dyDescent="0.25">
      <c r="B549" s="213" t="s">
        <v>2761</v>
      </c>
      <c r="C549" s="214">
        <v>2019</v>
      </c>
      <c r="D549" s="214">
        <v>8</v>
      </c>
      <c r="E549" s="214">
        <v>14</v>
      </c>
    </row>
    <row r="550" spans="2:5" x14ac:dyDescent="0.25">
      <c r="B550" s="213" t="s">
        <v>2761</v>
      </c>
      <c r="C550" s="214">
        <v>2019</v>
      </c>
      <c r="D550" s="214">
        <v>11</v>
      </c>
      <c r="E550" s="214">
        <v>14</v>
      </c>
    </row>
    <row r="551" spans="2:5" x14ac:dyDescent="0.25">
      <c r="B551" s="213" t="s">
        <v>2761</v>
      </c>
      <c r="C551" s="214">
        <v>2019</v>
      </c>
      <c r="D551" s="214">
        <v>7</v>
      </c>
      <c r="E551" s="214">
        <v>11</v>
      </c>
    </row>
    <row r="552" spans="2:5" x14ac:dyDescent="0.25">
      <c r="B552" s="213" t="s">
        <v>2761</v>
      </c>
      <c r="C552" s="214">
        <v>2019</v>
      </c>
      <c r="D552" s="214">
        <v>3</v>
      </c>
      <c r="E552" s="214">
        <v>9</v>
      </c>
    </row>
    <row r="553" spans="2:5" x14ac:dyDescent="0.25">
      <c r="B553" s="213" t="s">
        <v>2761</v>
      </c>
      <c r="C553" s="214">
        <v>2019</v>
      </c>
      <c r="D553" s="214">
        <v>10</v>
      </c>
      <c r="E553" s="214">
        <v>7</v>
      </c>
    </row>
    <row r="554" spans="2:5" x14ac:dyDescent="0.25">
      <c r="B554" s="213" t="s">
        <v>2761</v>
      </c>
      <c r="C554" s="214">
        <v>2019</v>
      </c>
      <c r="D554" s="214">
        <v>6</v>
      </c>
      <c r="E554" s="214">
        <v>6</v>
      </c>
    </row>
    <row r="555" spans="2:5" x14ac:dyDescent="0.25">
      <c r="B555" s="213" t="s">
        <v>2761</v>
      </c>
      <c r="C555" s="214">
        <v>2019</v>
      </c>
      <c r="D555" s="214">
        <v>1</v>
      </c>
      <c r="E555" s="214">
        <v>5</v>
      </c>
    </row>
    <row r="556" spans="2:5" x14ac:dyDescent="0.25">
      <c r="B556" s="213" t="s">
        <v>2761</v>
      </c>
      <c r="C556" s="214">
        <v>2019</v>
      </c>
      <c r="D556" s="214">
        <v>4</v>
      </c>
      <c r="E556" s="214">
        <v>3</v>
      </c>
    </row>
    <row r="557" spans="2:5" x14ac:dyDescent="0.25">
      <c r="B557" s="213" t="s">
        <v>2762</v>
      </c>
      <c r="C557" s="214">
        <v>2019</v>
      </c>
      <c r="D557" s="214">
        <v>4</v>
      </c>
      <c r="E557" s="214">
        <v>28</v>
      </c>
    </row>
    <row r="558" spans="2:5" x14ac:dyDescent="0.25">
      <c r="B558" s="213" t="s">
        <v>2762</v>
      </c>
      <c r="C558" s="214">
        <v>2019</v>
      </c>
      <c r="D558" s="214">
        <v>3</v>
      </c>
      <c r="E558" s="214">
        <v>17</v>
      </c>
    </row>
    <row r="559" spans="2:5" x14ac:dyDescent="0.25">
      <c r="B559" s="213" t="s">
        <v>2762</v>
      </c>
      <c r="C559" s="214">
        <v>2019</v>
      </c>
      <c r="D559" s="214">
        <v>6</v>
      </c>
      <c r="E559" s="214">
        <v>17</v>
      </c>
    </row>
    <row r="560" spans="2:5" x14ac:dyDescent="0.25">
      <c r="B560" s="213" t="s">
        <v>2762</v>
      </c>
      <c r="C560" s="214">
        <v>2019</v>
      </c>
      <c r="D560" s="214">
        <v>10</v>
      </c>
      <c r="E560" s="214">
        <v>17</v>
      </c>
    </row>
    <row r="561" spans="2:5" x14ac:dyDescent="0.25">
      <c r="B561" s="213" t="s">
        <v>2762</v>
      </c>
      <c r="C561" s="214">
        <v>2019</v>
      </c>
      <c r="D561" s="214">
        <v>7</v>
      </c>
      <c r="E561" s="214">
        <v>15</v>
      </c>
    </row>
    <row r="562" spans="2:5" x14ac:dyDescent="0.25">
      <c r="B562" s="213" t="s">
        <v>2762</v>
      </c>
      <c r="C562" s="214">
        <v>2019</v>
      </c>
      <c r="D562" s="214">
        <v>9</v>
      </c>
      <c r="E562" s="214">
        <v>14</v>
      </c>
    </row>
    <row r="563" spans="2:5" x14ac:dyDescent="0.25">
      <c r="B563" s="213" t="s">
        <v>2762</v>
      </c>
      <c r="C563" s="214">
        <v>2019</v>
      </c>
      <c r="D563" s="214">
        <v>5</v>
      </c>
      <c r="E563" s="214">
        <v>11</v>
      </c>
    </row>
    <row r="564" spans="2:5" x14ac:dyDescent="0.25">
      <c r="B564" s="213" t="s">
        <v>2762</v>
      </c>
      <c r="C564" s="214">
        <v>2019</v>
      </c>
      <c r="D564" s="214">
        <v>2</v>
      </c>
      <c r="E564" s="214">
        <v>9</v>
      </c>
    </row>
    <row r="565" spans="2:5" x14ac:dyDescent="0.25">
      <c r="B565" s="213" t="s">
        <v>2762</v>
      </c>
      <c r="C565" s="214">
        <v>2019</v>
      </c>
      <c r="D565" s="214">
        <v>8</v>
      </c>
      <c r="E565" s="214">
        <v>7</v>
      </c>
    </row>
    <row r="566" spans="2:5" x14ac:dyDescent="0.25">
      <c r="B566" s="213" t="s">
        <v>2762</v>
      </c>
      <c r="C566" s="214">
        <v>2019</v>
      </c>
      <c r="D566" s="214">
        <v>11</v>
      </c>
      <c r="E566" s="214">
        <v>3</v>
      </c>
    </row>
    <row r="567" spans="2:5" x14ac:dyDescent="0.25">
      <c r="B567" s="213" t="s">
        <v>2763</v>
      </c>
      <c r="C567" s="214">
        <v>2019</v>
      </c>
      <c r="D567" s="214">
        <v>6</v>
      </c>
      <c r="E567" s="214">
        <v>7</v>
      </c>
    </row>
    <row r="568" spans="2:5" x14ac:dyDescent="0.25">
      <c r="B568" s="213" t="s">
        <v>2763</v>
      </c>
      <c r="C568" s="214">
        <v>2019</v>
      </c>
      <c r="D568" s="214">
        <v>4</v>
      </c>
      <c r="E568" s="214">
        <v>5</v>
      </c>
    </row>
    <row r="569" spans="2:5" x14ac:dyDescent="0.25">
      <c r="B569" s="213" t="s">
        <v>2763</v>
      </c>
      <c r="C569" s="214">
        <v>2019</v>
      </c>
      <c r="D569" s="214">
        <v>1</v>
      </c>
      <c r="E569" s="214">
        <v>4</v>
      </c>
    </row>
    <row r="570" spans="2:5" x14ac:dyDescent="0.25">
      <c r="B570" s="213" t="s">
        <v>2763</v>
      </c>
      <c r="C570" s="214">
        <v>2019</v>
      </c>
      <c r="D570" s="214">
        <v>2</v>
      </c>
      <c r="E570" s="214">
        <v>3</v>
      </c>
    </row>
    <row r="571" spans="2:5" x14ac:dyDescent="0.25">
      <c r="B571" s="213" t="s">
        <v>2763</v>
      </c>
      <c r="C571" s="214">
        <v>2019</v>
      </c>
      <c r="D571" s="214">
        <v>5</v>
      </c>
      <c r="E571" s="214">
        <v>2</v>
      </c>
    </row>
    <row r="572" spans="2:5" x14ac:dyDescent="0.25">
      <c r="B572" s="213" t="s">
        <v>2764</v>
      </c>
      <c r="C572" s="214">
        <v>2019</v>
      </c>
      <c r="D572" s="214">
        <v>9</v>
      </c>
      <c r="E572" s="214">
        <v>36</v>
      </c>
    </row>
    <row r="573" spans="2:5" x14ac:dyDescent="0.25">
      <c r="B573" s="213" t="s">
        <v>2764</v>
      </c>
      <c r="C573" s="214">
        <v>2019</v>
      </c>
      <c r="D573" s="214">
        <v>11</v>
      </c>
      <c r="E573" s="214">
        <v>28</v>
      </c>
    </row>
    <row r="574" spans="2:5" x14ac:dyDescent="0.25">
      <c r="B574" s="213" t="s">
        <v>2764</v>
      </c>
      <c r="C574" s="214">
        <v>2019</v>
      </c>
      <c r="D574" s="214">
        <v>2</v>
      </c>
      <c r="E574" s="214">
        <v>27</v>
      </c>
    </row>
    <row r="575" spans="2:5" x14ac:dyDescent="0.25">
      <c r="B575" s="213" t="s">
        <v>2764</v>
      </c>
      <c r="C575" s="214">
        <v>2019</v>
      </c>
      <c r="D575" s="214">
        <v>8</v>
      </c>
      <c r="E575" s="214">
        <v>24</v>
      </c>
    </row>
    <row r="576" spans="2:5" x14ac:dyDescent="0.25">
      <c r="B576" s="213" t="s">
        <v>2764</v>
      </c>
      <c r="C576" s="214">
        <v>2019</v>
      </c>
      <c r="D576" s="214">
        <v>7</v>
      </c>
      <c r="E576" s="214">
        <v>23</v>
      </c>
    </row>
    <row r="577" spans="2:5" x14ac:dyDescent="0.25">
      <c r="B577" s="213" t="s">
        <v>2764</v>
      </c>
      <c r="C577" s="214">
        <v>2019</v>
      </c>
      <c r="D577" s="214">
        <v>5</v>
      </c>
      <c r="E577" s="214">
        <v>19</v>
      </c>
    </row>
    <row r="578" spans="2:5" x14ac:dyDescent="0.25">
      <c r="B578" s="213" t="s">
        <v>2764</v>
      </c>
      <c r="C578" s="214">
        <v>2019</v>
      </c>
      <c r="D578" s="214">
        <v>6</v>
      </c>
      <c r="E578" s="214">
        <v>14</v>
      </c>
    </row>
    <row r="579" spans="2:5" x14ac:dyDescent="0.25">
      <c r="B579" s="213" t="s">
        <v>2764</v>
      </c>
      <c r="C579" s="214">
        <v>2019</v>
      </c>
      <c r="D579" s="214">
        <v>3</v>
      </c>
      <c r="E579" s="214">
        <v>10</v>
      </c>
    </row>
    <row r="580" spans="2:5" x14ac:dyDescent="0.25">
      <c r="B580" s="213" t="s">
        <v>2764</v>
      </c>
      <c r="C580" s="214">
        <v>2019</v>
      </c>
      <c r="D580" s="214">
        <v>10</v>
      </c>
      <c r="E580" s="214">
        <v>8</v>
      </c>
    </row>
    <row r="581" spans="2:5" x14ac:dyDescent="0.25">
      <c r="B581" s="213" t="s">
        <v>2764</v>
      </c>
      <c r="C581" s="214">
        <v>2019</v>
      </c>
      <c r="D581" s="214">
        <v>4</v>
      </c>
      <c r="E581" s="214">
        <v>4</v>
      </c>
    </row>
    <row r="582" spans="2:5" x14ac:dyDescent="0.25">
      <c r="B582" s="213" t="s">
        <v>2764</v>
      </c>
      <c r="C582" s="214">
        <v>2019</v>
      </c>
      <c r="D582" s="214">
        <v>12</v>
      </c>
      <c r="E582" s="214">
        <v>2</v>
      </c>
    </row>
    <row r="583" spans="2:5" x14ac:dyDescent="0.25">
      <c r="B583" s="213" t="s">
        <v>2764</v>
      </c>
      <c r="C583" s="214">
        <v>2019</v>
      </c>
      <c r="D583" s="214">
        <v>1</v>
      </c>
      <c r="E583" s="214">
        <v>1</v>
      </c>
    </row>
    <row r="584" spans="2:5" x14ac:dyDescent="0.25">
      <c r="B584" s="213" t="s">
        <v>2765</v>
      </c>
      <c r="C584" s="214">
        <v>2019</v>
      </c>
      <c r="D584" s="214">
        <v>3</v>
      </c>
      <c r="E584" s="214">
        <v>216</v>
      </c>
    </row>
    <row r="585" spans="2:5" x14ac:dyDescent="0.25">
      <c r="B585" s="213" t="s">
        <v>2765</v>
      </c>
      <c r="C585" s="214">
        <v>2019</v>
      </c>
      <c r="D585" s="214">
        <v>9</v>
      </c>
      <c r="E585" s="214">
        <v>154</v>
      </c>
    </row>
    <row r="586" spans="2:5" x14ac:dyDescent="0.25">
      <c r="B586" s="213" t="s">
        <v>2765</v>
      </c>
      <c r="C586" s="214">
        <v>2019</v>
      </c>
      <c r="D586" s="214">
        <v>4</v>
      </c>
      <c r="E586" s="214">
        <v>121</v>
      </c>
    </row>
    <row r="587" spans="2:5" x14ac:dyDescent="0.25">
      <c r="B587" s="213" t="s">
        <v>2765</v>
      </c>
      <c r="C587" s="214">
        <v>2019</v>
      </c>
      <c r="D587" s="214">
        <v>10</v>
      </c>
      <c r="E587" s="214">
        <v>121</v>
      </c>
    </row>
    <row r="588" spans="2:5" x14ac:dyDescent="0.25">
      <c r="B588" s="213" t="s">
        <v>2765</v>
      </c>
      <c r="C588" s="214">
        <v>2019</v>
      </c>
      <c r="D588" s="214">
        <v>8</v>
      </c>
      <c r="E588" s="214">
        <v>106</v>
      </c>
    </row>
    <row r="589" spans="2:5" x14ac:dyDescent="0.25">
      <c r="B589" s="213" t="s">
        <v>2765</v>
      </c>
      <c r="C589" s="214">
        <v>2019</v>
      </c>
      <c r="D589" s="214">
        <v>11</v>
      </c>
      <c r="E589" s="214">
        <v>102</v>
      </c>
    </row>
    <row r="590" spans="2:5" x14ac:dyDescent="0.25">
      <c r="B590" s="213" t="s">
        <v>2765</v>
      </c>
      <c r="C590" s="214">
        <v>2019</v>
      </c>
      <c r="D590" s="214">
        <v>5</v>
      </c>
      <c r="E590" s="214">
        <v>96</v>
      </c>
    </row>
    <row r="591" spans="2:5" x14ac:dyDescent="0.25">
      <c r="B591" s="213" t="s">
        <v>2765</v>
      </c>
      <c r="C591" s="214">
        <v>2019</v>
      </c>
      <c r="D591" s="214">
        <v>6</v>
      </c>
      <c r="E591" s="214">
        <v>75</v>
      </c>
    </row>
    <row r="592" spans="2:5" x14ac:dyDescent="0.25">
      <c r="B592" s="213" t="s">
        <v>2765</v>
      </c>
      <c r="C592" s="214">
        <v>2019</v>
      </c>
      <c r="D592" s="214">
        <v>7</v>
      </c>
      <c r="E592" s="214">
        <v>65</v>
      </c>
    </row>
    <row r="593" spans="2:5" x14ac:dyDescent="0.25">
      <c r="B593" s="213" t="s">
        <v>2765</v>
      </c>
      <c r="C593" s="214">
        <v>2019</v>
      </c>
      <c r="D593" s="214">
        <v>1</v>
      </c>
      <c r="E593" s="214">
        <v>11</v>
      </c>
    </row>
    <row r="594" spans="2:5" x14ac:dyDescent="0.25">
      <c r="B594" s="213" t="s">
        <v>2765</v>
      </c>
      <c r="C594" s="214">
        <v>2019</v>
      </c>
      <c r="D594" s="214">
        <v>2</v>
      </c>
      <c r="E594" s="214">
        <v>3</v>
      </c>
    </row>
    <row r="595" spans="2:5" x14ac:dyDescent="0.25">
      <c r="B595" s="213" t="s">
        <v>2766</v>
      </c>
      <c r="C595" s="214">
        <v>2019</v>
      </c>
      <c r="D595" s="214">
        <v>5</v>
      </c>
      <c r="E595" s="214">
        <v>16</v>
      </c>
    </row>
    <row r="596" spans="2:5" x14ac:dyDescent="0.25">
      <c r="B596" s="213" t="s">
        <v>2766</v>
      </c>
      <c r="C596" s="214">
        <v>2019</v>
      </c>
      <c r="D596" s="214">
        <v>6</v>
      </c>
      <c r="E596" s="214">
        <v>8</v>
      </c>
    </row>
    <row r="597" spans="2:5" x14ac:dyDescent="0.25">
      <c r="B597" s="213" t="s">
        <v>2766</v>
      </c>
      <c r="C597" s="214">
        <v>2019</v>
      </c>
      <c r="D597" s="214">
        <v>2</v>
      </c>
      <c r="E597" s="214">
        <v>3</v>
      </c>
    </row>
    <row r="598" spans="2:5" x14ac:dyDescent="0.25">
      <c r="B598" s="213" t="s">
        <v>2766</v>
      </c>
      <c r="C598" s="214">
        <v>2019</v>
      </c>
      <c r="D598" s="214">
        <v>9</v>
      </c>
      <c r="E598" s="214">
        <v>3</v>
      </c>
    </row>
    <row r="599" spans="2:5" x14ac:dyDescent="0.25">
      <c r="B599" s="213" t="s">
        <v>2766</v>
      </c>
      <c r="C599" s="214">
        <v>2019</v>
      </c>
      <c r="D599" s="214">
        <v>3</v>
      </c>
      <c r="E599" s="214">
        <v>1</v>
      </c>
    </row>
    <row r="600" spans="2:5" x14ac:dyDescent="0.25">
      <c r="B600" s="213" t="s">
        <v>2766</v>
      </c>
      <c r="C600" s="214">
        <v>2019</v>
      </c>
      <c r="D600" s="214">
        <v>7</v>
      </c>
      <c r="E600" s="214">
        <v>1</v>
      </c>
    </row>
    <row r="601" spans="2:5" x14ac:dyDescent="0.25">
      <c r="B601" s="213" t="s">
        <v>2766</v>
      </c>
      <c r="C601" s="214">
        <v>2019</v>
      </c>
      <c r="D601" s="214">
        <v>8</v>
      </c>
      <c r="E601" s="214">
        <v>1</v>
      </c>
    </row>
    <row r="602" spans="2:5" x14ac:dyDescent="0.25">
      <c r="B602" s="213" t="s">
        <v>2766</v>
      </c>
      <c r="C602" s="214">
        <v>2019</v>
      </c>
      <c r="D602" s="214">
        <v>12</v>
      </c>
      <c r="E602" s="214">
        <v>1</v>
      </c>
    </row>
    <row r="603" spans="2:5" x14ac:dyDescent="0.25">
      <c r="B603" s="213" t="s">
        <v>2932</v>
      </c>
      <c r="C603" s="214">
        <v>2019</v>
      </c>
      <c r="D603" s="214">
        <v>1</v>
      </c>
      <c r="E603" s="214">
        <v>4</v>
      </c>
    </row>
    <row r="604" spans="2:5" x14ac:dyDescent="0.25">
      <c r="B604" s="213" t="s">
        <v>2932</v>
      </c>
      <c r="C604" s="214">
        <v>2019</v>
      </c>
      <c r="D604" s="214">
        <v>3</v>
      </c>
      <c r="E604" s="214">
        <v>3</v>
      </c>
    </row>
    <row r="605" spans="2:5" x14ac:dyDescent="0.25">
      <c r="B605" s="213" t="s">
        <v>2932</v>
      </c>
      <c r="C605" s="214">
        <v>2019</v>
      </c>
      <c r="D605" s="214">
        <v>10</v>
      </c>
      <c r="E605" s="214">
        <v>3</v>
      </c>
    </row>
    <row r="606" spans="2:5" x14ac:dyDescent="0.25">
      <c r="B606" s="213" t="s">
        <v>2932</v>
      </c>
      <c r="C606" s="214">
        <v>2019</v>
      </c>
      <c r="D606" s="214">
        <v>4</v>
      </c>
      <c r="E606" s="214">
        <v>2</v>
      </c>
    </row>
    <row r="607" spans="2:5" x14ac:dyDescent="0.25">
      <c r="B607" s="213" t="s">
        <v>2932</v>
      </c>
      <c r="C607" s="214">
        <v>2019</v>
      </c>
      <c r="D607" s="214">
        <v>7</v>
      </c>
      <c r="E607" s="214">
        <v>2</v>
      </c>
    </row>
    <row r="608" spans="2:5" x14ac:dyDescent="0.25">
      <c r="B608" s="213" t="s">
        <v>2932</v>
      </c>
      <c r="C608" s="214">
        <v>2019</v>
      </c>
      <c r="D608" s="214">
        <v>8</v>
      </c>
      <c r="E608" s="214">
        <v>2</v>
      </c>
    </row>
    <row r="609" spans="2:5" x14ac:dyDescent="0.25">
      <c r="B609" s="213" t="s">
        <v>2932</v>
      </c>
      <c r="C609" s="214">
        <v>2019</v>
      </c>
      <c r="D609" s="214">
        <v>5</v>
      </c>
      <c r="E609" s="214">
        <v>1</v>
      </c>
    </row>
    <row r="610" spans="2:5" x14ac:dyDescent="0.25">
      <c r="B610" s="213" t="s">
        <v>2932</v>
      </c>
      <c r="C610" s="214">
        <v>2019</v>
      </c>
      <c r="D610" s="214">
        <v>6</v>
      </c>
      <c r="E610" s="214">
        <v>1</v>
      </c>
    </row>
    <row r="611" spans="2:5" x14ac:dyDescent="0.25">
      <c r="B611" s="213" t="s">
        <v>2932</v>
      </c>
      <c r="C611" s="214">
        <v>2019</v>
      </c>
      <c r="D611" s="214">
        <v>9</v>
      </c>
      <c r="E611" s="214">
        <v>1</v>
      </c>
    </row>
    <row r="612" spans="2:5" x14ac:dyDescent="0.25">
      <c r="B612" s="213" t="s">
        <v>2932</v>
      </c>
      <c r="C612" s="214">
        <v>2019</v>
      </c>
      <c r="D612" s="214">
        <v>12</v>
      </c>
      <c r="E612" s="214">
        <v>1</v>
      </c>
    </row>
    <row r="613" spans="2:5" x14ac:dyDescent="0.25">
      <c r="B613" s="213" t="s">
        <v>2767</v>
      </c>
      <c r="C613" s="214">
        <v>2019</v>
      </c>
      <c r="D613" s="214">
        <v>9</v>
      </c>
      <c r="E613" s="214">
        <v>40</v>
      </c>
    </row>
    <row r="614" spans="2:5" x14ac:dyDescent="0.25">
      <c r="B614" s="213" t="s">
        <v>2767</v>
      </c>
      <c r="C614" s="214">
        <v>2019</v>
      </c>
      <c r="D614" s="214">
        <v>5</v>
      </c>
      <c r="E614" s="214">
        <v>36</v>
      </c>
    </row>
    <row r="615" spans="2:5" x14ac:dyDescent="0.25">
      <c r="B615" s="213" t="s">
        <v>2767</v>
      </c>
      <c r="C615" s="214">
        <v>2019</v>
      </c>
      <c r="D615" s="214">
        <v>4</v>
      </c>
      <c r="E615" s="214">
        <v>31</v>
      </c>
    </row>
    <row r="616" spans="2:5" x14ac:dyDescent="0.25">
      <c r="B616" s="213" t="s">
        <v>2767</v>
      </c>
      <c r="C616" s="214">
        <v>2019</v>
      </c>
      <c r="D616" s="214">
        <v>1</v>
      </c>
      <c r="E616" s="214">
        <v>28</v>
      </c>
    </row>
    <row r="617" spans="2:5" x14ac:dyDescent="0.25">
      <c r="B617" s="213" t="s">
        <v>2767</v>
      </c>
      <c r="C617" s="214">
        <v>2019</v>
      </c>
      <c r="D617" s="214">
        <v>10</v>
      </c>
      <c r="E617" s="214">
        <v>17</v>
      </c>
    </row>
    <row r="618" spans="2:5" x14ac:dyDescent="0.25">
      <c r="B618" s="213" t="s">
        <v>2767</v>
      </c>
      <c r="C618" s="214">
        <v>2019</v>
      </c>
      <c r="D618" s="214">
        <v>6</v>
      </c>
      <c r="E618" s="214">
        <v>14</v>
      </c>
    </row>
    <row r="619" spans="2:5" x14ac:dyDescent="0.25">
      <c r="B619" s="213" t="s">
        <v>2767</v>
      </c>
      <c r="C619" s="214">
        <v>2019</v>
      </c>
      <c r="D619" s="214">
        <v>8</v>
      </c>
      <c r="E619" s="214">
        <v>14</v>
      </c>
    </row>
    <row r="620" spans="2:5" x14ac:dyDescent="0.25">
      <c r="B620" s="213" t="s">
        <v>2767</v>
      </c>
      <c r="C620" s="214">
        <v>2019</v>
      </c>
      <c r="D620" s="214">
        <v>12</v>
      </c>
      <c r="E620" s="214">
        <v>14</v>
      </c>
    </row>
    <row r="621" spans="2:5" x14ac:dyDescent="0.25">
      <c r="B621" s="213" t="s">
        <v>2767</v>
      </c>
      <c r="C621" s="214">
        <v>2019</v>
      </c>
      <c r="D621" s="214">
        <v>3</v>
      </c>
      <c r="E621" s="214">
        <v>6</v>
      </c>
    </row>
    <row r="622" spans="2:5" x14ac:dyDescent="0.25">
      <c r="B622" s="213" t="s">
        <v>2767</v>
      </c>
      <c r="C622" s="214">
        <v>2019</v>
      </c>
      <c r="D622" s="214">
        <v>7</v>
      </c>
      <c r="E622" s="214">
        <v>5</v>
      </c>
    </row>
    <row r="623" spans="2:5" x14ac:dyDescent="0.25">
      <c r="B623" s="213" t="s">
        <v>2767</v>
      </c>
      <c r="C623" s="214">
        <v>2019</v>
      </c>
      <c r="D623" s="214">
        <v>11</v>
      </c>
      <c r="E623" s="214">
        <v>4</v>
      </c>
    </row>
    <row r="624" spans="2:5" x14ac:dyDescent="0.25">
      <c r="B624" s="213" t="s">
        <v>2767</v>
      </c>
      <c r="C624" s="214">
        <v>2019</v>
      </c>
      <c r="D624" s="214">
        <v>2</v>
      </c>
      <c r="E624" s="214">
        <v>3</v>
      </c>
    </row>
    <row r="625" spans="2:5" x14ac:dyDescent="0.25">
      <c r="B625" s="213" t="s">
        <v>2768</v>
      </c>
      <c r="C625" s="214">
        <v>2019</v>
      </c>
      <c r="D625" s="214">
        <v>6</v>
      </c>
      <c r="E625" s="214">
        <v>4</v>
      </c>
    </row>
    <row r="626" spans="2:5" x14ac:dyDescent="0.25">
      <c r="B626" s="213" t="s">
        <v>2768</v>
      </c>
      <c r="C626" s="214">
        <v>2019</v>
      </c>
      <c r="D626" s="214">
        <v>5</v>
      </c>
      <c r="E626" s="214">
        <v>1</v>
      </c>
    </row>
    <row r="627" spans="2:5" x14ac:dyDescent="0.25">
      <c r="B627" s="213" t="s">
        <v>2768</v>
      </c>
      <c r="C627" s="214">
        <v>2019</v>
      </c>
      <c r="D627" s="214">
        <v>7</v>
      </c>
      <c r="E627" s="214">
        <v>1</v>
      </c>
    </row>
    <row r="628" spans="2:5" x14ac:dyDescent="0.25">
      <c r="B628" s="213" t="s">
        <v>2768</v>
      </c>
      <c r="C628" s="214">
        <v>2019</v>
      </c>
      <c r="D628" s="214">
        <v>9</v>
      </c>
      <c r="E628" s="214">
        <v>1</v>
      </c>
    </row>
    <row r="629" spans="2:5" x14ac:dyDescent="0.25">
      <c r="B629" s="213" t="s">
        <v>2768</v>
      </c>
      <c r="C629" s="214">
        <v>2019</v>
      </c>
      <c r="D629" s="214">
        <v>10</v>
      </c>
      <c r="E629" s="214">
        <v>1</v>
      </c>
    </row>
    <row r="630" spans="2:5" x14ac:dyDescent="0.25">
      <c r="B630" s="213" t="s">
        <v>2907</v>
      </c>
      <c r="C630" s="214">
        <v>2019</v>
      </c>
      <c r="D630" s="214">
        <v>7</v>
      </c>
      <c r="E630" s="214">
        <v>12</v>
      </c>
    </row>
    <row r="631" spans="2:5" x14ac:dyDescent="0.25">
      <c r="B631" s="213" t="s">
        <v>2907</v>
      </c>
      <c r="C631" s="214">
        <v>2019</v>
      </c>
      <c r="D631" s="214">
        <v>5</v>
      </c>
      <c r="E631" s="214">
        <v>10</v>
      </c>
    </row>
    <row r="632" spans="2:5" x14ac:dyDescent="0.25">
      <c r="B632" s="213" t="s">
        <v>2907</v>
      </c>
      <c r="C632" s="214">
        <v>2019</v>
      </c>
      <c r="D632" s="214">
        <v>6</v>
      </c>
      <c r="E632" s="214">
        <v>9</v>
      </c>
    </row>
    <row r="633" spans="2:5" x14ac:dyDescent="0.25">
      <c r="B633" s="213" t="s">
        <v>2907</v>
      </c>
      <c r="C633" s="214">
        <v>2019</v>
      </c>
      <c r="D633" s="214">
        <v>11</v>
      </c>
      <c r="E633" s="214">
        <v>9</v>
      </c>
    </row>
    <row r="634" spans="2:5" x14ac:dyDescent="0.25">
      <c r="B634" s="213" t="s">
        <v>2907</v>
      </c>
      <c r="C634" s="214">
        <v>2019</v>
      </c>
      <c r="D634" s="214">
        <v>4</v>
      </c>
      <c r="E634" s="214">
        <v>7</v>
      </c>
    </row>
    <row r="635" spans="2:5" x14ac:dyDescent="0.25">
      <c r="B635" s="213" t="s">
        <v>2907</v>
      </c>
      <c r="C635" s="214">
        <v>2019</v>
      </c>
      <c r="D635" s="214">
        <v>8</v>
      </c>
      <c r="E635" s="214">
        <v>7</v>
      </c>
    </row>
    <row r="636" spans="2:5" x14ac:dyDescent="0.25">
      <c r="B636" s="213" t="s">
        <v>2907</v>
      </c>
      <c r="C636" s="214">
        <v>2019</v>
      </c>
      <c r="D636" s="214">
        <v>12</v>
      </c>
      <c r="E636" s="214">
        <v>7</v>
      </c>
    </row>
    <row r="637" spans="2:5" x14ac:dyDescent="0.25">
      <c r="B637" s="213" t="s">
        <v>2907</v>
      </c>
      <c r="C637" s="214">
        <v>2019</v>
      </c>
      <c r="D637" s="214">
        <v>2</v>
      </c>
      <c r="E637" s="214">
        <v>6</v>
      </c>
    </row>
    <row r="638" spans="2:5" x14ac:dyDescent="0.25">
      <c r="B638" s="213" t="s">
        <v>2907</v>
      </c>
      <c r="C638" s="214">
        <v>2019</v>
      </c>
      <c r="D638" s="214">
        <v>9</v>
      </c>
      <c r="E638" s="214">
        <v>6</v>
      </c>
    </row>
    <row r="639" spans="2:5" x14ac:dyDescent="0.25">
      <c r="B639" s="213" t="s">
        <v>2907</v>
      </c>
      <c r="C639" s="214">
        <v>2019</v>
      </c>
      <c r="D639" s="214">
        <v>1</v>
      </c>
      <c r="E639" s="214">
        <v>3</v>
      </c>
    </row>
    <row r="640" spans="2:5" x14ac:dyDescent="0.25">
      <c r="B640" s="213" t="s">
        <v>2907</v>
      </c>
      <c r="C640" s="214">
        <v>2019</v>
      </c>
      <c r="D640" s="214">
        <v>3</v>
      </c>
      <c r="E640" s="214">
        <v>3</v>
      </c>
    </row>
    <row r="641" spans="2:5" x14ac:dyDescent="0.25">
      <c r="B641" s="213" t="s">
        <v>2907</v>
      </c>
      <c r="C641" s="214">
        <v>2019</v>
      </c>
      <c r="D641" s="214">
        <v>10</v>
      </c>
      <c r="E641" s="214">
        <v>2</v>
      </c>
    </row>
    <row r="642" spans="2:5" x14ac:dyDescent="0.25">
      <c r="B642" s="213" t="s">
        <v>2937</v>
      </c>
      <c r="C642" s="214">
        <v>2019</v>
      </c>
      <c r="D642" s="214">
        <v>1</v>
      </c>
      <c r="E642" s="214">
        <v>4</v>
      </c>
    </row>
    <row r="643" spans="2:5" x14ac:dyDescent="0.25">
      <c r="B643" s="213" t="s">
        <v>2937</v>
      </c>
      <c r="C643" s="214">
        <v>2019</v>
      </c>
      <c r="D643" s="214">
        <v>4</v>
      </c>
      <c r="E643" s="214">
        <v>3</v>
      </c>
    </row>
    <row r="644" spans="2:5" x14ac:dyDescent="0.25">
      <c r="B644" s="213" t="s">
        <v>2937</v>
      </c>
      <c r="C644" s="214">
        <v>2019</v>
      </c>
      <c r="D644" s="214">
        <v>11</v>
      </c>
      <c r="E644" s="214">
        <v>3</v>
      </c>
    </row>
    <row r="645" spans="2:5" x14ac:dyDescent="0.25">
      <c r="B645" s="213" t="s">
        <v>2937</v>
      </c>
      <c r="C645" s="214">
        <v>2019</v>
      </c>
      <c r="D645" s="214">
        <v>5</v>
      </c>
      <c r="E645" s="214">
        <v>1</v>
      </c>
    </row>
    <row r="646" spans="2:5" x14ac:dyDescent="0.25">
      <c r="B646" s="213" t="s">
        <v>2937</v>
      </c>
      <c r="C646" s="214">
        <v>2019</v>
      </c>
      <c r="D646" s="214">
        <v>7</v>
      </c>
      <c r="E646" s="214">
        <v>1</v>
      </c>
    </row>
    <row r="647" spans="2:5" x14ac:dyDescent="0.25">
      <c r="B647" s="213" t="s">
        <v>2937</v>
      </c>
      <c r="C647" s="214">
        <v>2019</v>
      </c>
      <c r="D647" s="214">
        <v>10</v>
      </c>
      <c r="E647" s="214">
        <v>1</v>
      </c>
    </row>
    <row r="648" spans="2:5" x14ac:dyDescent="0.25">
      <c r="B648" s="213" t="s">
        <v>2970</v>
      </c>
      <c r="C648" s="214">
        <v>2019</v>
      </c>
      <c r="D648" s="214">
        <v>3</v>
      </c>
      <c r="E648" s="214">
        <v>1</v>
      </c>
    </row>
    <row r="649" spans="2:5" x14ac:dyDescent="0.25">
      <c r="B649" s="213" t="s">
        <v>2769</v>
      </c>
      <c r="C649" s="214">
        <v>2019</v>
      </c>
      <c r="D649" s="214">
        <v>8</v>
      </c>
      <c r="E649" s="214">
        <v>63</v>
      </c>
    </row>
    <row r="650" spans="2:5" x14ac:dyDescent="0.25">
      <c r="B650" s="213" t="s">
        <v>2769</v>
      </c>
      <c r="C650" s="214">
        <v>2019</v>
      </c>
      <c r="D650" s="214">
        <v>10</v>
      </c>
      <c r="E650" s="214">
        <v>46</v>
      </c>
    </row>
    <row r="651" spans="2:5" x14ac:dyDescent="0.25">
      <c r="B651" s="213" t="s">
        <v>2769</v>
      </c>
      <c r="C651" s="214">
        <v>2019</v>
      </c>
      <c r="D651" s="214">
        <v>9</v>
      </c>
      <c r="E651" s="214">
        <v>42</v>
      </c>
    </row>
    <row r="652" spans="2:5" x14ac:dyDescent="0.25">
      <c r="B652" s="213" t="s">
        <v>2769</v>
      </c>
      <c r="C652" s="214">
        <v>2019</v>
      </c>
      <c r="D652" s="214">
        <v>7</v>
      </c>
      <c r="E652" s="214">
        <v>34</v>
      </c>
    </row>
    <row r="653" spans="2:5" x14ac:dyDescent="0.25">
      <c r="B653" s="213" t="s">
        <v>2769</v>
      </c>
      <c r="C653" s="214">
        <v>2019</v>
      </c>
      <c r="D653" s="214">
        <v>11</v>
      </c>
      <c r="E653" s="214">
        <v>33</v>
      </c>
    </row>
    <row r="654" spans="2:5" x14ac:dyDescent="0.25">
      <c r="B654" s="213" t="s">
        <v>2769</v>
      </c>
      <c r="C654" s="214">
        <v>2019</v>
      </c>
      <c r="D654" s="214">
        <v>6</v>
      </c>
      <c r="E654" s="214">
        <v>30</v>
      </c>
    </row>
    <row r="655" spans="2:5" x14ac:dyDescent="0.25">
      <c r="B655" s="213" t="s">
        <v>2769</v>
      </c>
      <c r="C655" s="214">
        <v>2019</v>
      </c>
      <c r="D655" s="214">
        <v>12</v>
      </c>
      <c r="E655" s="214">
        <v>27</v>
      </c>
    </row>
    <row r="656" spans="2:5" x14ac:dyDescent="0.25">
      <c r="B656" s="213" t="s">
        <v>2769</v>
      </c>
      <c r="C656" s="214">
        <v>2019</v>
      </c>
      <c r="D656" s="214">
        <v>3</v>
      </c>
      <c r="E656" s="214">
        <v>23</v>
      </c>
    </row>
    <row r="657" spans="2:5" x14ac:dyDescent="0.25">
      <c r="B657" s="213" t="s">
        <v>2769</v>
      </c>
      <c r="C657" s="214">
        <v>2019</v>
      </c>
      <c r="D657" s="214">
        <v>5</v>
      </c>
      <c r="E657" s="214">
        <v>19</v>
      </c>
    </row>
    <row r="658" spans="2:5" x14ac:dyDescent="0.25">
      <c r="B658" s="213" t="s">
        <v>2769</v>
      </c>
      <c r="C658" s="214">
        <v>2019</v>
      </c>
      <c r="D658" s="214">
        <v>2</v>
      </c>
      <c r="E658" s="214">
        <v>13</v>
      </c>
    </row>
    <row r="659" spans="2:5" x14ac:dyDescent="0.25">
      <c r="B659" s="213" t="s">
        <v>2769</v>
      </c>
      <c r="C659" s="214">
        <v>2019</v>
      </c>
      <c r="D659" s="214">
        <v>4</v>
      </c>
      <c r="E659" s="214">
        <v>9</v>
      </c>
    </row>
    <row r="660" spans="2:5" x14ac:dyDescent="0.25">
      <c r="B660" s="213" t="s">
        <v>2769</v>
      </c>
      <c r="C660" s="214">
        <v>2019</v>
      </c>
      <c r="D660" s="214">
        <v>1</v>
      </c>
      <c r="E660" s="214">
        <v>6</v>
      </c>
    </row>
    <row r="661" spans="2:5" x14ac:dyDescent="0.25">
      <c r="B661" s="213" t="s">
        <v>2770</v>
      </c>
      <c r="C661" s="214">
        <v>2019</v>
      </c>
      <c r="D661" s="214">
        <v>9</v>
      </c>
      <c r="E661" s="214">
        <v>8</v>
      </c>
    </row>
    <row r="662" spans="2:5" x14ac:dyDescent="0.25">
      <c r="B662" s="213" t="s">
        <v>2770</v>
      </c>
      <c r="C662" s="214">
        <v>2019</v>
      </c>
      <c r="D662" s="214">
        <v>10</v>
      </c>
      <c r="E662" s="214">
        <v>8</v>
      </c>
    </row>
    <row r="663" spans="2:5" x14ac:dyDescent="0.25">
      <c r="B663" s="213" t="s">
        <v>2770</v>
      </c>
      <c r="C663" s="214">
        <v>2019</v>
      </c>
      <c r="D663" s="214">
        <v>6</v>
      </c>
      <c r="E663" s="214">
        <v>7</v>
      </c>
    </row>
    <row r="664" spans="2:5" x14ac:dyDescent="0.25">
      <c r="B664" s="213" t="s">
        <v>2770</v>
      </c>
      <c r="C664" s="214">
        <v>2019</v>
      </c>
      <c r="D664" s="214">
        <v>3</v>
      </c>
      <c r="E664" s="214">
        <v>5</v>
      </c>
    </row>
    <row r="665" spans="2:5" x14ac:dyDescent="0.25">
      <c r="B665" s="213" t="s">
        <v>2770</v>
      </c>
      <c r="C665" s="214">
        <v>2019</v>
      </c>
      <c r="D665" s="214">
        <v>2</v>
      </c>
      <c r="E665" s="214">
        <v>3</v>
      </c>
    </row>
    <row r="666" spans="2:5" x14ac:dyDescent="0.25">
      <c r="B666" s="213" t="s">
        <v>2770</v>
      </c>
      <c r="C666" s="214">
        <v>2019</v>
      </c>
      <c r="D666" s="214">
        <v>4</v>
      </c>
      <c r="E666" s="214">
        <v>3</v>
      </c>
    </row>
    <row r="667" spans="2:5" x14ac:dyDescent="0.25">
      <c r="B667" s="213" t="s">
        <v>2770</v>
      </c>
      <c r="C667" s="214">
        <v>2019</v>
      </c>
      <c r="D667" s="214">
        <v>12</v>
      </c>
      <c r="E667" s="214">
        <v>3</v>
      </c>
    </row>
    <row r="668" spans="2:5" x14ac:dyDescent="0.25">
      <c r="B668" s="213" t="s">
        <v>2770</v>
      </c>
      <c r="C668" s="214">
        <v>2019</v>
      </c>
      <c r="D668" s="214">
        <v>5</v>
      </c>
      <c r="E668" s="214">
        <v>2</v>
      </c>
    </row>
    <row r="669" spans="2:5" x14ac:dyDescent="0.25">
      <c r="B669" s="213" t="s">
        <v>2770</v>
      </c>
      <c r="C669" s="214">
        <v>2019</v>
      </c>
      <c r="D669" s="214">
        <v>8</v>
      </c>
      <c r="E669" s="214">
        <v>2</v>
      </c>
    </row>
    <row r="670" spans="2:5" x14ac:dyDescent="0.25">
      <c r="B670" s="213" t="s">
        <v>2770</v>
      </c>
      <c r="C670" s="214">
        <v>2019</v>
      </c>
      <c r="D670" s="214">
        <v>1</v>
      </c>
      <c r="E670" s="214">
        <v>1</v>
      </c>
    </row>
    <row r="671" spans="2:5" x14ac:dyDescent="0.25">
      <c r="B671" s="213" t="s">
        <v>2770</v>
      </c>
      <c r="C671" s="214">
        <v>2019</v>
      </c>
      <c r="D671" s="214">
        <v>11</v>
      </c>
      <c r="E671" s="214">
        <v>1</v>
      </c>
    </row>
    <row r="672" spans="2:5" x14ac:dyDescent="0.25">
      <c r="B672" s="213" t="s">
        <v>2771</v>
      </c>
      <c r="C672" s="214">
        <v>2019</v>
      </c>
      <c r="D672" s="214">
        <v>7</v>
      </c>
      <c r="E672" s="214">
        <v>15</v>
      </c>
    </row>
    <row r="673" spans="2:5" x14ac:dyDescent="0.25">
      <c r="B673" s="213" t="s">
        <v>2771</v>
      </c>
      <c r="C673" s="214">
        <v>2019</v>
      </c>
      <c r="D673" s="214">
        <v>6</v>
      </c>
      <c r="E673" s="214">
        <v>13</v>
      </c>
    </row>
    <row r="674" spans="2:5" x14ac:dyDescent="0.25">
      <c r="B674" s="213" t="s">
        <v>2771</v>
      </c>
      <c r="C674" s="214">
        <v>2019</v>
      </c>
      <c r="D674" s="214">
        <v>10</v>
      </c>
      <c r="E674" s="214">
        <v>13</v>
      </c>
    </row>
    <row r="675" spans="2:5" x14ac:dyDescent="0.25">
      <c r="B675" s="213" t="s">
        <v>2771</v>
      </c>
      <c r="C675" s="214">
        <v>2019</v>
      </c>
      <c r="D675" s="214">
        <v>8</v>
      </c>
      <c r="E675" s="214">
        <v>9</v>
      </c>
    </row>
    <row r="676" spans="2:5" x14ac:dyDescent="0.25">
      <c r="B676" s="213" t="s">
        <v>2771</v>
      </c>
      <c r="C676" s="214">
        <v>2019</v>
      </c>
      <c r="D676" s="214">
        <v>5</v>
      </c>
      <c r="E676" s="214">
        <v>8</v>
      </c>
    </row>
    <row r="677" spans="2:5" x14ac:dyDescent="0.25">
      <c r="B677" s="213" t="s">
        <v>2771</v>
      </c>
      <c r="C677" s="214">
        <v>2019</v>
      </c>
      <c r="D677" s="214">
        <v>11</v>
      </c>
      <c r="E677" s="214">
        <v>6</v>
      </c>
    </row>
    <row r="678" spans="2:5" x14ac:dyDescent="0.25">
      <c r="B678" s="213" t="s">
        <v>2771</v>
      </c>
      <c r="C678" s="214">
        <v>2019</v>
      </c>
      <c r="D678" s="214">
        <v>3</v>
      </c>
      <c r="E678" s="214">
        <v>3</v>
      </c>
    </row>
    <row r="679" spans="2:5" x14ac:dyDescent="0.25">
      <c r="B679" s="213" t="s">
        <v>2771</v>
      </c>
      <c r="C679" s="214">
        <v>2019</v>
      </c>
      <c r="D679" s="214">
        <v>1</v>
      </c>
      <c r="E679" s="214">
        <v>2</v>
      </c>
    </row>
    <row r="680" spans="2:5" x14ac:dyDescent="0.25">
      <c r="B680" s="213" t="s">
        <v>2771</v>
      </c>
      <c r="C680" s="214">
        <v>2019</v>
      </c>
      <c r="D680" s="214">
        <v>12</v>
      </c>
      <c r="E680" s="214">
        <v>2</v>
      </c>
    </row>
    <row r="681" spans="2:5" x14ac:dyDescent="0.25">
      <c r="B681" s="213" t="s">
        <v>2771</v>
      </c>
      <c r="C681" s="214">
        <v>2019</v>
      </c>
      <c r="D681" s="214">
        <v>4</v>
      </c>
      <c r="E681" s="214">
        <v>1</v>
      </c>
    </row>
    <row r="682" spans="2:5" x14ac:dyDescent="0.25">
      <c r="B682" s="213" t="s">
        <v>2772</v>
      </c>
      <c r="C682" s="214">
        <v>2019</v>
      </c>
      <c r="D682" s="214">
        <v>3</v>
      </c>
      <c r="E682" s="214">
        <v>91</v>
      </c>
    </row>
    <row r="683" spans="2:5" x14ac:dyDescent="0.25">
      <c r="B683" s="213" t="s">
        <v>2772</v>
      </c>
      <c r="C683" s="214">
        <v>2019</v>
      </c>
      <c r="D683" s="214">
        <v>9</v>
      </c>
      <c r="E683" s="214">
        <v>66</v>
      </c>
    </row>
    <row r="684" spans="2:5" x14ac:dyDescent="0.25">
      <c r="B684" s="213" t="s">
        <v>2772</v>
      </c>
      <c r="C684" s="214">
        <v>2019</v>
      </c>
      <c r="D684" s="214">
        <v>10</v>
      </c>
      <c r="E684" s="214">
        <v>66</v>
      </c>
    </row>
    <row r="685" spans="2:5" x14ac:dyDescent="0.25">
      <c r="B685" s="213" t="s">
        <v>2772</v>
      </c>
      <c r="C685" s="214">
        <v>2019</v>
      </c>
      <c r="D685" s="214">
        <v>7</v>
      </c>
      <c r="E685" s="214">
        <v>58</v>
      </c>
    </row>
    <row r="686" spans="2:5" x14ac:dyDescent="0.25">
      <c r="B686" s="213" t="s">
        <v>2772</v>
      </c>
      <c r="C686" s="214">
        <v>2019</v>
      </c>
      <c r="D686" s="214">
        <v>5</v>
      </c>
      <c r="E686" s="214">
        <v>52</v>
      </c>
    </row>
    <row r="687" spans="2:5" x14ac:dyDescent="0.25">
      <c r="B687" s="213" t="s">
        <v>2772</v>
      </c>
      <c r="C687" s="214">
        <v>2019</v>
      </c>
      <c r="D687" s="214">
        <v>8</v>
      </c>
      <c r="E687" s="214">
        <v>50</v>
      </c>
    </row>
    <row r="688" spans="2:5" x14ac:dyDescent="0.25">
      <c r="B688" s="213" t="s">
        <v>2772</v>
      </c>
      <c r="C688" s="214">
        <v>2019</v>
      </c>
      <c r="D688" s="214">
        <v>6</v>
      </c>
      <c r="E688" s="214">
        <v>35</v>
      </c>
    </row>
    <row r="689" spans="2:5" x14ac:dyDescent="0.25">
      <c r="B689" s="213" t="s">
        <v>2772</v>
      </c>
      <c r="C689" s="214">
        <v>2019</v>
      </c>
      <c r="D689" s="214">
        <v>11</v>
      </c>
      <c r="E689" s="214">
        <v>23</v>
      </c>
    </row>
    <row r="690" spans="2:5" x14ac:dyDescent="0.25">
      <c r="B690" s="213" t="s">
        <v>2772</v>
      </c>
      <c r="C690" s="214">
        <v>2019</v>
      </c>
      <c r="D690" s="214">
        <v>1</v>
      </c>
      <c r="E690" s="214">
        <v>19</v>
      </c>
    </row>
    <row r="691" spans="2:5" x14ac:dyDescent="0.25">
      <c r="B691" s="213" t="s">
        <v>2772</v>
      </c>
      <c r="C691" s="214">
        <v>2019</v>
      </c>
      <c r="D691" s="214">
        <v>4</v>
      </c>
      <c r="E691" s="214">
        <v>11</v>
      </c>
    </row>
    <row r="692" spans="2:5" x14ac:dyDescent="0.25">
      <c r="B692" s="213" t="s">
        <v>2772</v>
      </c>
      <c r="C692" s="214">
        <v>2019</v>
      </c>
      <c r="D692" s="214">
        <v>2</v>
      </c>
      <c r="E692" s="214">
        <v>2</v>
      </c>
    </row>
    <row r="693" spans="2:5" x14ac:dyDescent="0.25">
      <c r="B693" s="213" t="s">
        <v>2772</v>
      </c>
      <c r="C693" s="214">
        <v>2019</v>
      </c>
      <c r="D693" s="214">
        <v>12</v>
      </c>
      <c r="E693" s="214">
        <v>1</v>
      </c>
    </row>
    <row r="694" spans="2:5" x14ac:dyDescent="0.25">
      <c r="B694" s="213" t="s">
        <v>2773</v>
      </c>
      <c r="C694" s="214">
        <v>2019</v>
      </c>
      <c r="D694" s="214">
        <v>6</v>
      </c>
      <c r="E694" s="214">
        <v>14</v>
      </c>
    </row>
    <row r="695" spans="2:5" x14ac:dyDescent="0.25">
      <c r="B695" s="213" t="s">
        <v>2773</v>
      </c>
      <c r="C695" s="214">
        <v>2019</v>
      </c>
      <c r="D695" s="214">
        <v>5</v>
      </c>
      <c r="E695" s="214">
        <v>13</v>
      </c>
    </row>
    <row r="696" spans="2:5" x14ac:dyDescent="0.25">
      <c r="B696" s="213" t="s">
        <v>2773</v>
      </c>
      <c r="C696" s="214">
        <v>2019</v>
      </c>
      <c r="D696" s="214">
        <v>1</v>
      </c>
      <c r="E696" s="214">
        <v>9</v>
      </c>
    </row>
    <row r="697" spans="2:5" x14ac:dyDescent="0.25">
      <c r="B697" s="213" t="s">
        <v>2773</v>
      </c>
      <c r="C697" s="214">
        <v>2019</v>
      </c>
      <c r="D697" s="214">
        <v>2</v>
      </c>
      <c r="E697" s="214">
        <v>4</v>
      </c>
    </row>
    <row r="698" spans="2:5" x14ac:dyDescent="0.25">
      <c r="B698" s="213" t="s">
        <v>2773</v>
      </c>
      <c r="C698" s="214">
        <v>2019</v>
      </c>
      <c r="D698" s="214">
        <v>4</v>
      </c>
      <c r="E698" s="214">
        <v>4</v>
      </c>
    </row>
    <row r="699" spans="2:5" x14ac:dyDescent="0.25">
      <c r="B699" s="213" t="s">
        <v>2773</v>
      </c>
      <c r="C699" s="214">
        <v>2019</v>
      </c>
      <c r="D699" s="214">
        <v>10</v>
      </c>
      <c r="E699" s="214">
        <v>4</v>
      </c>
    </row>
    <row r="700" spans="2:5" x14ac:dyDescent="0.25">
      <c r="B700" s="213" t="s">
        <v>2773</v>
      </c>
      <c r="C700" s="214">
        <v>2019</v>
      </c>
      <c r="D700" s="214">
        <v>3</v>
      </c>
      <c r="E700" s="214">
        <v>3</v>
      </c>
    </row>
    <row r="701" spans="2:5" x14ac:dyDescent="0.25">
      <c r="B701" s="213" t="s">
        <v>2773</v>
      </c>
      <c r="C701" s="214">
        <v>2019</v>
      </c>
      <c r="D701" s="214">
        <v>12</v>
      </c>
      <c r="E701" s="214">
        <v>3</v>
      </c>
    </row>
    <row r="702" spans="2:5" x14ac:dyDescent="0.25">
      <c r="B702" s="213" t="s">
        <v>2773</v>
      </c>
      <c r="C702" s="214">
        <v>2019</v>
      </c>
      <c r="D702" s="214">
        <v>7</v>
      </c>
      <c r="E702" s="214">
        <v>2</v>
      </c>
    </row>
    <row r="703" spans="2:5" x14ac:dyDescent="0.25">
      <c r="B703" s="213" t="s">
        <v>2773</v>
      </c>
      <c r="C703" s="214">
        <v>2019</v>
      </c>
      <c r="D703" s="214">
        <v>8</v>
      </c>
      <c r="E703" s="214">
        <v>2</v>
      </c>
    </row>
    <row r="704" spans="2:5" x14ac:dyDescent="0.25">
      <c r="B704" s="213" t="s">
        <v>2773</v>
      </c>
      <c r="C704" s="214">
        <v>2019</v>
      </c>
      <c r="D704" s="214">
        <v>9</v>
      </c>
      <c r="E704" s="214">
        <v>2</v>
      </c>
    </row>
    <row r="705" spans="2:5" x14ac:dyDescent="0.25">
      <c r="B705" s="213" t="s">
        <v>2946</v>
      </c>
      <c r="C705" s="214">
        <v>2019</v>
      </c>
      <c r="D705" s="214">
        <v>4</v>
      </c>
      <c r="E705" s="214">
        <v>2</v>
      </c>
    </row>
    <row r="706" spans="2:5" x14ac:dyDescent="0.25">
      <c r="B706" s="213" t="s">
        <v>2946</v>
      </c>
      <c r="C706" s="214">
        <v>2019</v>
      </c>
      <c r="D706" s="214">
        <v>6</v>
      </c>
      <c r="E706" s="214">
        <v>2</v>
      </c>
    </row>
    <row r="707" spans="2:5" x14ac:dyDescent="0.25">
      <c r="B707" s="213" t="s">
        <v>2946</v>
      </c>
      <c r="C707" s="214">
        <v>2019</v>
      </c>
      <c r="D707" s="214">
        <v>10</v>
      </c>
      <c r="E707" s="214">
        <v>2</v>
      </c>
    </row>
    <row r="708" spans="2:5" x14ac:dyDescent="0.25">
      <c r="B708" s="213" t="s">
        <v>2946</v>
      </c>
      <c r="C708" s="214">
        <v>2019</v>
      </c>
      <c r="D708" s="214">
        <v>3</v>
      </c>
      <c r="E708" s="214">
        <v>1</v>
      </c>
    </row>
    <row r="709" spans="2:5" x14ac:dyDescent="0.25">
      <c r="B709" s="213" t="s">
        <v>2946</v>
      </c>
      <c r="C709" s="214">
        <v>2019</v>
      </c>
      <c r="D709" s="214">
        <v>7</v>
      </c>
      <c r="E709" s="214">
        <v>1</v>
      </c>
    </row>
    <row r="710" spans="2:5" x14ac:dyDescent="0.25">
      <c r="B710" s="213" t="s">
        <v>2946</v>
      </c>
      <c r="C710" s="214">
        <v>2019</v>
      </c>
      <c r="D710" s="214">
        <v>9</v>
      </c>
      <c r="E710" s="214">
        <v>1</v>
      </c>
    </row>
    <row r="711" spans="2:5" x14ac:dyDescent="0.25">
      <c r="B711" s="213" t="s">
        <v>2946</v>
      </c>
      <c r="C711" s="214">
        <v>2019</v>
      </c>
      <c r="D711" s="214">
        <v>11</v>
      </c>
      <c r="E711" s="214">
        <v>1</v>
      </c>
    </row>
    <row r="712" spans="2:5" x14ac:dyDescent="0.25">
      <c r="B712" s="213" t="s">
        <v>2774</v>
      </c>
      <c r="C712" s="214">
        <v>2019</v>
      </c>
      <c r="D712" s="214">
        <v>6</v>
      </c>
      <c r="E712" s="214">
        <v>4</v>
      </c>
    </row>
    <row r="713" spans="2:5" x14ac:dyDescent="0.25">
      <c r="B713" s="213" t="s">
        <v>2774</v>
      </c>
      <c r="C713" s="214">
        <v>2019</v>
      </c>
      <c r="D713" s="214">
        <v>8</v>
      </c>
      <c r="E713" s="214">
        <v>4</v>
      </c>
    </row>
    <row r="714" spans="2:5" x14ac:dyDescent="0.25">
      <c r="B714" s="213" t="s">
        <v>2774</v>
      </c>
      <c r="C714" s="214">
        <v>2019</v>
      </c>
      <c r="D714" s="214">
        <v>11</v>
      </c>
      <c r="E714" s="214">
        <v>4</v>
      </c>
    </row>
    <row r="715" spans="2:5" x14ac:dyDescent="0.25">
      <c r="B715" s="213" t="s">
        <v>2774</v>
      </c>
      <c r="C715" s="214">
        <v>2019</v>
      </c>
      <c r="D715" s="214">
        <v>3</v>
      </c>
      <c r="E715" s="214">
        <v>3</v>
      </c>
    </row>
    <row r="716" spans="2:5" x14ac:dyDescent="0.25">
      <c r="B716" s="213" t="s">
        <v>2774</v>
      </c>
      <c r="C716" s="214">
        <v>2019</v>
      </c>
      <c r="D716" s="214">
        <v>7</v>
      </c>
      <c r="E716" s="214">
        <v>3</v>
      </c>
    </row>
    <row r="717" spans="2:5" x14ac:dyDescent="0.25">
      <c r="B717" s="213" t="s">
        <v>2774</v>
      </c>
      <c r="C717" s="214">
        <v>2019</v>
      </c>
      <c r="D717" s="214">
        <v>9</v>
      </c>
      <c r="E717" s="214">
        <v>3</v>
      </c>
    </row>
    <row r="718" spans="2:5" x14ac:dyDescent="0.25">
      <c r="B718" s="213" t="s">
        <v>2774</v>
      </c>
      <c r="C718" s="214">
        <v>2019</v>
      </c>
      <c r="D718" s="214">
        <v>1</v>
      </c>
      <c r="E718" s="214">
        <v>1</v>
      </c>
    </row>
    <row r="719" spans="2:5" x14ac:dyDescent="0.25">
      <c r="B719" s="213" t="s">
        <v>2774</v>
      </c>
      <c r="C719" s="214">
        <v>2019</v>
      </c>
      <c r="D719" s="214">
        <v>2</v>
      </c>
      <c r="E719" s="214">
        <v>1</v>
      </c>
    </row>
    <row r="720" spans="2:5" x14ac:dyDescent="0.25">
      <c r="B720" s="213" t="s">
        <v>2775</v>
      </c>
      <c r="C720" s="214">
        <v>2019</v>
      </c>
      <c r="D720" s="214">
        <v>5</v>
      </c>
      <c r="E720" s="214">
        <v>55</v>
      </c>
    </row>
    <row r="721" spans="2:5" x14ac:dyDescent="0.25">
      <c r="B721" s="213" t="s">
        <v>2775</v>
      </c>
      <c r="C721" s="214">
        <v>2019</v>
      </c>
      <c r="D721" s="214">
        <v>10</v>
      </c>
      <c r="E721" s="214">
        <v>55</v>
      </c>
    </row>
    <row r="722" spans="2:5" x14ac:dyDescent="0.25">
      <c r="B722" s="213" t="s">
        <v>2775</v>
      </c>
      <c r="C722" s="214">
        <v>2019</v>
      </c>
      <c r="D722" s="214">
        <v>3</v>
      </c>
      <c r="E722" s="214">
        <v>37</v>
      </c>
    </row>
    <row r="723" spans="2:5" x14ac:dyDescent="0.25">
      <c r="B723" s="213" t="s">
        <v>2775</v>
      </c>
      <c r="C723" s="214">
        <v>2019</v>
      </c>
      <c r="D723" s="214">
        <v>8</v>
      </c>
      <c r="E723" s="214">
        <v>36</v>
      </c>
    </row>
    <row r="724" spans="2:5" x14ac:dyDescent="0.25">
      <c r="B724" s="213" t="s">
        <v>2775</v>
      </c>
      <c r="C724" s="214">
        <v>2019</v>
      </c>
      <c r="D724" s="214">
        <v>11</v>
      </c>
      <c r="E724" s="214">
        <v>28</v>
      </c>
    </row>
    <row r="725" spans="2:5" x14ac:dyDescent="0.25">
      <c r="B725" s="213" t="s">
        <v>2775</v>
      </c>
      <c r="C725" s="214">
        <v>2019</v>
      </c>
      <c r="D725" s="214">
        <v>6</v>
      </c>
      <c r="E725" s="214">
        <v>18</v>
      </c>
    </row>
    <row r="726" spans="2:5" x14ac:dyDescent="0.25">
      <c r="B726" s="213" t="s">
        <v>2775</v>
      </c>
      <c r="C726" s="214">
        <v>2019</v>
      </c>
      <c r="D726" s="214">
        <v>9</v>
      </c>
      <c r="E726" s="214">
        <v>17</v>
      </c>
    </row>
    <row r="727" spans="2:5" x14ac:dyDescent="0.25">
      <c r="B727" s="213" t="s">
        <v>2775</v>
      </c>
      <c r="C727" s="214">
        <v>2019</v>
      </c>
      <c r="D727" s="214">
        <v>7</v>
      </c>
      <c r="E727" s="214">
        <v>8</v>
      </c>
    </row>
    <row r="728" spans="2:5" x14ac:dyDescent="0.25">
      <c r="B728" s="213" t="s">
        <v>2775</v>
      </c>
      <c r="C728" s="214">
        <v>2019</v>
      </c>
      <c r="D728" s="214">
        <v>2</v>
      </c>
      <c r="E728" s="214">
        <v>7</v>
      </c>
    </row>
    <row r="729" spans="2:5" x14ac:dyDescent="0.25">
      <c r="B729" s="213" t="s">
        <v>2775</v>
      </c>
      <c r="C729" s="214">
        <v>2019</v>
      </c>
      <c r="D729" s="214">
        <v>12</v>
      </c>
      <c r="E729" s="214">
        <v>5</v>
      </c>
    </row>
    <row r="730" spans="2:5" x14ac:dyDescent="0.25">
      <c r="B730" s="213" t="s">
        <v>2775</v>
      </c>
      <c r="C730" s="214">
        <v>2019</v>
      </c>
      <c r="D730" s="214">
        <v>4</v>
      </c>
      <c r="E730" s="214">
        <v>3</v>
      </c>
    </row>
    <row r="731" spans="2:5" x14ac:dyDescent="0.25">
      <c r="B731" s="213" t="s">
        <v>2776</v>
      </c>
      <c r="C731" s="214">
        <v>2019</v>
      </c>
      <c r="D731" s="214">
        <v>3</v>
      </c>
      <c r="E731" s="214">
        <v>7</v>
      </c>
    </row>
    <row r="732" spans="2:5" x14ac:dyDescent="0.25">
      <c r="B732" s="213" t="s">
        <v>2776</v>
      </c>
      <c r="C732" s="214">
        <v>2019</v>
      </c>
      <c r="D732" s="214">
        <v>11</v>
      </c>
      <c r="E732" s="214">
        <v>7</v>
      </c>
    </row>
    <row r="733" spans="2:5" x14ac:dyDescent="0.25">
      <c r="B733" s="213" t="s">
        <v>2776</v>
      </c>
      <c r="C733" s="214">
        <v>2019</v>
      </c>
      <c r="D733" s="214">
        <v>9</v>
      </c>
      <c r="E733" s="214">
        <v>6</v>
      </c>
    </row>
    <row r="734" spans="2:5" x14ac:dyDescent="0.25">
      <c r="B734" s="213" t="s">
        <v>2776</v>
      </c>
      <c r="C734" s="214">
        <v>2019</v>
      </c>
      <c r="D734" s="214">
        <v>10</v>
      </c>
      <c r="E734" s="214">
        <v>5</v>
      </c>
    </row>
    <row r="735" spans="2:5" x14ac:dyDescent="0.25">
      <c r="B735" s="213" t="s">
        <v>2776</v>
      </c>
      <c r="C735" s="214">
        <v>2019</v>
      </c>
      <c r="D735" s="214">
        <v>6</v>
      </c>
      <c r="E735" s="214">
        <v>4</v>
      </c>
    </row>
    <row r="736" spans="2:5" x14ac:dyDescent="0.25">
      <c r="B736" s="213" t="s">
        <v>2776</v>
      </c>
      <c r="C736" s="214">
        <v>2019</v>
      </c>
      <c r="D736" s="214">
        <v>7</v>
      </c>
      <c r="E736" s="214">
        <v>4</v>
      </c>
    </row>
    <row r="737" spans="2:5" x14ac:dyDescent="0.25">
      <c r="B737" s="213" t="s">
        <v>2776</v>
      </c>
      <c r="C737" s="214">
        <v>2019</v>
      </c>
      <c r="D737" s="214">
        <v>8</v>
      </c>
      <c r="E737" s="214">
        <v>4</v>
      </c>
    </row>
    <row r="738" spans="2:5" x14ac:dyDescent="0.25">
      <c r="B738" s="213" t="s">
        <v>2776</v>
      </c>
      <c r="C738" s="214">
        <v>2019</v>
      </c>
      <c r="D738" s="214">
        <v>5</v>
      </c>
      <c r="E738" s="214">
        <v>3</v>
      </c>
    </row>
    <row r="739" spans="2:5" x14ac:dyDescent="0.25">
      <c r="B739" s="213" t="s">
        <v>2965</v>
      </c>
      <c r="C739" s="214">
        <v>2019</v>
      </c>
      <c r="D739" s="214">
        <v>1</v>
      </c>
      <c r="E739" s="214">
        <v>2</v>
      </c>
    </row>
    <row r="740" spans="2:5" x14ac:dyDescent="0.25">
      <c r="B740" s="213" t="s">
        <v>2965</v>
      </c>
      <c r="C740" s="214">
        <v>2019</v>
      </c>
      <c r="D740" s="214">
        <v>9</v>
      </c>
      <c r="E740" s="214">
        <v>1</v>
      </c>
    </row>
    <row r="741" spans="2:5" x14ac:dyDescent="0.25">
      <c r="B741" s="213" t="s">
        <v>2966</v>
      </c>
      <c r="C741" s="214">
        <v>2019</v>
      </c>
      <c r="D741" s="214">
        <v>5</v>
      </c>
      <c r="E741" s="214">
        <v>2</v>
      </c>
    </row>
    <row r="742" spans="2:5" x14ac:dyDescent="0.25">
      <c r="B742" s="213" t="s">
        <v>2966</v>
      </c>
      <c r="C742" s="214">
        <v>2019</v>
      </c>
      <c r="D742" s="214">
        <v>11</v>
      </c>
      <c r="E742" s="214">
        <v>1</v>
      </c>
    </row>
    <row r="743" spans="2:5" x14ac:dyDescent="0.25">
      <c r="B743" s="213" t="s">
        <v>2777</v>
      </c>
      <c r="C743" s="214">
        <v>2019</v>
      </c>
      <c r="D743" s="214">
        <v>1</v>
      </c>
      <c r="E743" s="214">
        <v>4</v>
      </c>
    </row>
    <row r="744" spans="2:5" x14ac:dyDescent="0.25">
      <c r="B744" s="213" t="s">
        <v>2777</v>
      </c>
      <c r="C744" s="214">
        <v>2019</v>
      </c>
      <c r="D744" s="214">
        <v>4</v>
      </c>
      <c r="E744" s="214">
        <v>3</v>
      </c>
    </row>
    <row r="745" spans="2:5" x14ac:dyDescent="0.25">
      <c r="B745" s="213" t="s">
        <v>2777</v>
      </c>
      <c r="C745" s="214">
        <v>2019</v>
      </c>
      <c r="D745" s="214">
        <v>6</v>
      </c>
      <c r="E745" s="214">
        <v>2</v>
      </c>
    </row>
    <row r="746" spans="2:5" x14ac:dyDescent="0.25">
      <c r="B746" s="213" t="s">
        <v>2777</v>
      </c>
      <c r="C746" s="214">
        <v>2019</v>
      </c>
      <c r="D746" s="214">
        <v>12</v>
      </c>
      <c r="E746" s="214">
        <v>2</v>
      </c>
    </row>
    <row r="747" spans="2:5" x14ac:dyDescent="0.25">
      <c r="B747" s="213" t="s">
        <v>2777</v>
      </c>
      <c r="C747" s="214">
        <v>2019</v>
      </c>
      <c r="D747" s="214">
        <v>3</v>
      </c>
      <c r="E747" s="214">
        <v>1</v>
      </c>
    </row>
    <row r="748" spans="2:5" x14ac:dyDescent="0.25">
      <c r="B748" s="213" t="s">
        <v>2777</v>
      </c>
      <c r="C748" s="214">
        <v>2019</v>
      </c>
      <c r="D748" s="214">
        <v>5</v>
      </c>
      <c r="E748" s="214">
        <v>1</v>
      </c>
    </row>
    <row r="749" spans="2:5" x14ac:dyDescent="0.25">
      <c r="B749" s="213" t="s">
        <v>2967</v>
      </c>
      <c r="C749" s="214">
        <v>2019</v>
      </c>
      <c r="D749" s="214">
        <v>9</v>
      </c>
      <c r="E749" s="214">
        <v>2</v>
      </c>
    </row>
    <row r="750" spans="2:5" x14ac:dyDescent="0.25">
      <c r="B750" s="213" t="s">
        <v>979</v>
      </c>
      <c r="C750" s="214">
        <v>2019</v>
      </c>
      <c r="D750" s="214">
        <v>1</v>
      </c>
      <c r="E750" s="214">
        <v>1516</v>
      </c>
    </row>
    <row r="751" spans="2:5" x14ac:dyDescent="0.25">
      <c r="B751" s="213" t="s">
        <v>979</v>
      </c>
      <c r="C751" s="214">
        <v>2019</v>
      </c>
      <c r="D751" s="214">
        <v>4</v>
      </c>
      <c r="E751" s="214">
        <v>1076</v>
      </c>
    </row>
    <row r="752" spans="2:5" x14ac:dyDescent="0.25">
      <c r="B752" s="213" t="s">
        <v>979</v>
      </c>
      <c r="C752" s="214">
        <v>2019</v>
      </c>
      <c r="D752" s="214">
        <v>10</v>
      </c>
      <c r="E752" s="214">
        <v>1049</v>
      </c>
    </row>
    <row r="753" spans="2:5" x14ac:dyDescent="0.25">
      <c r="B753" s="213" t="s">
        <v>979</v>
      </c>
      <c r="C753" s="214">
        <v>2019</v>
      </c>
      <c r="D753" s="214">
        <v>9</v>
      </c>
      <c r="E753" s="214">
        <v>1022</v>
      </c>
    </row>
    <row r="754" spans="2:5" x14ac:dyDescent="0.25">
      <c r="B754" s="213" t="s">
        <v>979</v>
      </c>
      <c r="C754" s="214">
        <v>2019</v>
      </c>
      <c r="D754" s="214">
        <v>2</v>
      </c>
      <c r="E754" s="214">
        <v>914</v>
      </c>
    </row>
    <row r="755" spans="2:5" x14ac:dyDescent="0.25">
      <c r="B755" s="213" t="s">
        <v>979</v>
      </c>
      <c r="C755" s="214">
        <v>2019</v>
      </c>
      <c r="D755" s="214">
        <v>3</v>
      </c>
      <c r="E755" s="214">
        <v>912</v>
      </c>
    </row>
    <row r="756" spans="2:5" x14ac:dyDescent="0.25">
      <c r="B756" s="213" t="s">
        <v>979</v>
      </c>
      <c r="C756" s="214">
        <v>2019</v>
      </c>
      <c r="D756" s="214">
        <v>12</v>
      </c>
      <c r="E756" s="214">
        <v>820</v>
      </c>
    </row>
    <row r="757" spans="2:5" x14ac:dyDescent="0.25">
      <c r="B757" s="213" t="s">
        <v>979</v>
      </c>
      <c r="C757" s="214">
        <v>2019</v>
      </c>
      <c r="D757" s="214">
        <v>8</v>
      </c>
      <c r="E757" s="214">
        <v>750</v>
      </c>
    </row>
    <row r="758" spans="2:5" x14ac:dyDescent="0.25">
      <c r="B758" s="213" t="s">
        <v>979</v>
      </c>
      <c r="C758" s="214">
        <v>2019</v>
      </c>
      <c r="D758" s="214">
        <v>5</v>
      </c>
      <c r="E758" s="214">
        <v>688</v>
      </c>
    </row>
    <row r="759" spans="2:5" x14ac:dyDescent="0.25">
      <c r="B759" s="213" t="s">
        <v>979</v>
      </c>
      <c r="C759" s="214">
        <v>2019</v>
      </c>
      <c r="D759" s="214">
        <v>7</v>
      </c>
      <c r="E759" s="214">
        <v>649</v>
      </c>
    </row>
    <row r="760" spans="2:5" x14ac:dyDescent="0.25">
      <c r="B760" s="213" t="s">
        <v>979</v>
      </c>
      <c r="C760" s="214">
        <v>2019</v>
      </c>
      <c r="D760" s="214">
        <v>11</v>
      </c>
      <c r="E760" s="214">
        <v>596</v>
      </c>
    </row>
    <row r="761" spans="2:5" x14ac:dyDescent="0.25">
      <c r="B761" s="213" t="s">
        <v>979</v>
      </c>
      <c r="C761" s="214">
        <v>2019</v>
      </c>
      <c r="D761" s="214">
        <v>6</v>
      </c>
      <c r="E761" s="214">
        <v>453</v>
      </c>
    </row>
    <row r="762" spans="2:5" x14ac:dyDescent="0.25">
      <c r="B762" s="213" t="s">
        <v>2779</v>
      </c>
      <c r="C762" s="214">
        <v>2019</v>
      </c>
      <c r="D762" s="214">
        <v>2</v>
      </c>
      <c r="E762" s="214">
        <v>14</v>
      </c>
    </row>
    <row r="763" spans="2:5" x14ac:dyDescent="0.25">
      <c r="B763" s="213" t="s">
        <v>2779</v>
      </c>
      <c r="C763" s="214">
        <v>2019</v>
      </c>
      <c r="D763" s="214">
        <v>7</v>
      </c>
      <c r="E763" s="214">
        <v>11</v>
      </c>
    </row>
    <row r="764" spans="2:5" x14ac:dyDescent="0.25">
      <c r="B764" s="213" t="s">
        <v>2779</v>
      </c>
      <c r="C764" s="214">
        <v>2019</v>
      </c>
      <c r="D764" s="214">
        <v>3</v>
      </c>
      <c r="E764" s="214">
        <v>7</v>
      </c>
    </row>
    <row r="765" spans="2:5" x14ac:dyDescent="0.25">
      <c r="B765" s="213" t="s">
        <v>2779</v>
      </c>
      <c r="C765" s="214">
        <v>2019</v>
      </c>
      <c r="D765" s="214">
        <v>1</v>
      </c>
      <c r="E765" s="214">
        <v>6</v>
      </c>
    </row>
    <row r="766" spans="2:5" x14ac:dyDescent="0.25">
      <c r="B766" s="213" t="s">
        <v>2779</v>
      </c>
      <c r="C766" s="214">
        <v>2019</v>
      </c>
      <c r="D766" s="214">
        <v>4</v>
      </c>
      <c r="E766" s="214">
        <v>6</v>
      </c>
    </row>
    <row r="767" spans="2:5" x14ac:dyDescent="0.25">
      <c r="B767" s="213" t="s">
        <v>2779</v>
      </c>
      <c r="C767" s="214">
        <v>2019</v>
      </c>
      <c r="D767" s="214">
        <v>10</v>
      </c>
      <c r="E767" s="214">
        <v>6</v>
      </c>
    </row>
    <row r="768" spans="2:5" x14ac:dyDescent="0.25">
      <c r="B768" s="213" t="s">
        <v>2779</v>
      </c>
      <c r="C768" s="214">
        <v>2019</v>
      </c>
      <c r="D768" s="214">
        <v>5</v>
      </c>
      <c r="E768" s="214">
        <v>5</v>
      </c>
    </row>
    <row r="769" spans="2:5" x14ac:dyDescent="0.25">
      <c r="B769" s="213" t="s">
        <v>2779</v>
      </c>
      <c r="C769" s="214">
        <v>2019</v>
      </c>
      <c r="D769" s="214">
        <v>12</v>
      </c>
      <c r="E769" s="214">
        <v>5</v>
      </c>
    </row>
    <row r="770" spans="2:5" x14ac:dyDescent="0.25">
      <c r="B770" s="213" t="s">
        <v>2779</v>
      </c>
      <c r="C770" s="214">
        <v>2019</v>
      </c>
      <c r="D770" s="214">
        <v>8</v>
      </c>
      <c r="E770" s="214">
        <v>3</v>
      </c>
    </row>
    <row r="771" spans="2:5" x14ac:dyDescent="0.25">
      <c r="B771" s="213" t="s">
        <v>2779</v>
      </c>
      <c r="C771" s="214">
        <v>2019</v>
      </c>
      <c r="D771" s="214">
        <v>9</v>
      </c>
      <c r="E771" s="214">
        <v>3</v>
      </c>
    </row>
    <row r="772" spans="2:5" x14ac:dyDescent="0.25">
      <c r="B772" s="213" t="s">
        <v>2779</v>
      </c>
      <c r="C772" s="214">
        <v>2019</v>
      </c>
      <c r="D772" s="214">
        <v>11</v>
      </c>
      <c r="E772" s="214">
        <v>2</v>
      </c>
    </row>
    <row r="773" spans="2:5" x14ac:dyDescent="0.25">
      <c r="B773" s="213" t="s">
        <v>2780</v>
      </c>
      <c r="C773" s="214">
        <v>2019</v>
      </c>
      <c r="D773" s="214">
        <v>3</v>
      </c>
      <c r="E773" s="214">
        <v>16</v>
      </c>
    </row>
    <row r="774" spans="2:5" x14ac:dyDescent="0.25">
      <c r="B774" s="213" t="s">
        <v>2780</v>
      </c>
      <c r="C774" s="214">
        <v>2019</v>
      </c>
      <c r="D774" s="214">
        <v>9</v>
      </c>
      <c r="E774" s="214">
        <v>16</v>
      </c>
    </row>
    <row r="775" spans="2:5" x14ac:dyDescent="0.25">
      <c r="B775" s="213" t="s">
        <v>2780</v>
      </c>
      <c r="C775" s="214">
        <v>2019</v>
      </c>
      <c r="D775" s="214">
        <v>10</v>
      </c>
      <c r="E775" s="214">
        <v>10</v>
      </c>
    </row>
    <row r="776" spans="2:5" x14ac:dyDescent="0.25">
      <c r="B776" s="213" t="s">
        <v>2780</v>
      </c>
      <c r="C776" s="214">
        <v>2019</v>
      </c>
      <c r="D776" s="214">
        <v>5</v>
      </c>
      <c r="E776" s="214">
        <v>6</v>
      </c>
    </row>
    <row r="777" spans="2:5" x14ac:dyDescent="0.25">
      <c r="B777" s="213" t="s">
        <v>2780</v>
      </c>
      <c r="C777" s="214">
        <v>2019</v>
      </c>
      <c r="D777" s="214">
        <v>6</v>
      </c>
      <c r="E777" s="214">
        <v>3</v>
      </c>
    </row>
    <row r="778" spans="2:5" x14ac:dyDescent="0.25">
      <c r="B778" s="213" t="s">
        <v>2780</v>
      </c>
      <c r="C778" s="214">
        <v>2019</v>
      </c>
      <c r="D778" s="214">
        <v>7</v>
      </c>
      <c r="E778" s="214">
        <v>3</v>
      </c>
    </row>
    <row r="779" spans="2:5" x14ac:dyDescent="0.25">
      <c r="B779" s="213" t="s">
        <v>2780</v>
      </c>
      <c r="C779" s="214">
        <v>2019</v>
      </c>
      <c r="D779" s="214">
        <v>8</v>
      </c>
      <c r="E779" s="214">
        <v>3</v>
      </c>
    </row>
    <row r="780" spans="2:5" x14ac:dyDescent="0.25">
      <c r="B780" s="213" t="s">
        <v>2780</v>
      </c>
      <c r="C780" s="214">
        <v>2019</v>
      </c>
      <c r="D780" s="214">
        <v>2</v>
      </c>
      <c r="E780" s="214">
        <v>2</v>
      </c>
    </row>
    <row r="781" spans="2:5" x14ac:dyDescent="0.25">
      <c r="B781" s="213" t="s">
        <v>2780</v>
      </c>
      <c r="C781" s="214">
        <v>2019</v>
      </c>
      <c r="D781" s="214">
        <v>4</v>
      </c>
      <c r="E781" s="214">
        <v>2</v>
      </c>
    </row>
    <row r="782" spans="2:5" x14ac:dyDescent="0.25">
      <c r="B782" s="213" t="s">
        <v>2780</v>
      </c>
      <c r="C782" s="214">
        <v>2019</v>
      </c>
      <c r="D782" s="214">
        <v>12</v>
      </c>
      <c r="E782" s="214">
        <v>2</v>
      </c>
    </row>
    <row r="783" spans="2:5" x14ac:dyDescent="0.25">
      <c r="B783" s="213" t="s">
        <v>2780</v>
      </c>
      <c r="C783" s="214">
        <v>2019</v>
      </c>
      <c r="D783" s="214">
        <v>1</v>
      </c>
      <c r="E783" s="214">
        <v>1</v>
      </c>
    </row>
    <row r="784" spans="2:5" x14ac:dyDescent="0.25">
      <c r="B784" s="213" t="s">
        <v>2911</v>
      </c>
      <c r="C784" s="214">
        <v>2019</v>
      </c>
      <c r="D784" s="214">
        <v>6</v>
      </c>
      <c r="E784" s="214">
        <v>12</v>
      </c>
    </row>
    <row r="785" spans="2:5" x14ac:dyDescent="0.25">
      <c r="B785" s="213" t="s">
        <v>2911</v>
      </c>
      <c r="C785" s="214">
        <v>2019</v>
      </c>
      <c r="D785" s="214">
        <v>5</v>
      </c>
      <c r="E785" s="214">
        <v>9</v>
      </c>
    </row>
    <row r="786" spans="2:5" x14ac:dyDescent="0.25">
      <c r="B786" s="213" t="s">
        <v>2911</v>
      </c>
      <c r="C786" s="214">
        <v>2019</v>
      </c>
      <c r="D786" s="214">
        <v>10</v>
      </c>
      <c r="E786" s="214">
        <v>9</v>
      </c>
    </row>
    <row r="787" spans="2:5" x14ac:dyDescent="0.25">
      <c r="B787" s="213" t="s">
        <v>2911</v>
      </c>
      <c r="C787" s="214">
        <v>2019</v>
      </c>
      <c r="D787" s="214">
        <v>8</v>
      </c>
      <c r="E787" s="214">
        <v>8</v>
      </c>
    </row>
    <row r="788" spans="2:5" x14ac:dyDescent="0.25">
      <c r="B788" s="213" t="s">
        <v>2911</v>
      </c>
      <c r="C788" s="214">
        <v>2019</v>
      </c>
      <c r="D788" s="214">
        <v>3</v>
      </c>
      <c r="E788" s="214">
        <v>7</v>
      </c>
    </row>
    <row r="789" spans="2:5" x14ac:dyDescent="0.25">
      <c r="B789" s="213" t="s">
        <v>2911</v>
      </c>
      <c r="C789" s="214">
        <v>2019</v>
      </c>
      <c r="D789" s="214">
        <v>4</v>
      </c>
      <c r="E789" s="214">
        <v>7</v>
      </c>
    </row>
    <row r="790" spans="2:5" x14ac:dyDescent="0.25">
      <c r="B790" s="213" t="s">
        <v>2911</v>
      </c>
      <c r="C790" s="214">
        <v>2019</v>
      </c>
      <c r="D790" s="214">
        <v>7</v>
      </c>
      <c r="E790" s="214">
        <v>5</v>
      </c>
    </row>
    <row r="791" spans="2:5" x14ac:dyDescent="0.25">
      <c r="B791" s="213" t="s">
        <v>2911</v>
      </c>
      <c r="C791" s="214">
        <v>2019</v>
      </c>
      <c r="D791" s="214">
        <v>11</v>
      </c>
      <c r="E791" s="214">
        <v>4</v>
      </c>
    </row>
    <row r="792" spans="2:5" x14ac:dyDescent="0.25">
      <c r="B792" s="213" t="s">
        <v>2911</v>
      </c>
      <c r="C792" s="214">
        <v>2019</v>
      </c>
      <c r="D792" s="214">
        <v>9</v>
      </c>
      <c r="E792" s="214">
        <v>1</v>
      </c>
    </row>
    <row r="793" spans="2:5" x14ac:dyDescent="0.25">
      <c r="B793" s="213" t="s">
        <v>2911</v>
      </c>
      <c r="C793" s="214">
        <v>2019</v>
      </c>
      <c r="D793" s="214">
        <v>12</v>
      </c>
      <c r="E793" s="214">
        <v>1</v>
      </c>
    </row>
    <row r="794" spans="2:5" x14ac:dyDescent="0.25">
      <c r="B794" s="213" t="s">
        <v>2926</v>
      </c>
      <c r="C794" s="214">
        <v>2019</v>
      </c>
      <c r="D794" s="214">
        <v>3</v>
      </c>
      <c r="E794" s="214">
        <v>10</v>
      </c>
    </row>
    <row r="795" spans="2:5" x14ac:dyDescent="0.25">
      <c r="B795" s="213" t="s">
        <v>2926</v>
      </c>
      <c r="C795" s="214">
        <v>2019</v>
      </c>
      <c r="D795" s="214">
        <v>5</v>
      </c>
      <c r="E795" s="214">
        <v>10</v>
      </c>
    </row>
    <row r="796" spans="2:5" x14ac:dyDescent="0.25">
      <c r="B796" s="213" t="s">
        <v>2926</v>
      </c>
      <c r="C796" s="214">
        <v>2019</v>
      </c>
      <c r="D796" s="214">
        <v>12</v>
      </c>
      <c r="E796" s="214">
        <v>2</v>
      </c>
    </row>
    <row r="797" spans="2:5" x14ac:dyDescent="0.25">
      <c r="B797" s="213" t="s">
        <v>2926</v>
      </c>
      <c r="C797" s="214">
        <v>2019</v>
      </c>
      <c r="D797" s="214">
        <v>2</v>
      </c>
      <c r="E797" s="214">
        <v>1</v>
      </c>
    </row>
    <row r="798" spans="2:5" x14ac:dyDescent="0.25">
      <c r="B798" s="213" t="s">
        <v>2926</v>
      </c>
      <c r="C798" s="214">
        <v>2019</v>
      </c>
      <c r="D798" s="214">
        <v>4</v>
      </c>
      <c r="E798" s="214">
        <v>1</v>
      </c>
    </row>
    <row r="799" spans="2:5" x14ac:dyDescent="0.25">
      <c r="B799" s="213" t="s">
        <v>2926</v>
      </c>
      <c r="C799" s="214">
        <v>2019</v>
      </c>
      <c r="D799" s="214">
        <v>6</v>
      </c>
      <c r="E799" s="214">
        <v>1</v>
      </c>
    </row>
    <row r="800" spans="2:5" x14ac:dyDescent="0.25">
      <c r="B800" s="213" t="s">
        <v>2926</v>
      </c>
      <c r="C800" s="214">
        <v>2019</v>
      </c>
      <c r="D800" s="214">
        <v>8</v>
      </c>
      <c r="E800" s="214">
        <v>1</v>
      </c>
    </row>
    <row r="801" spans="2:5" x14ac:dyDescent="0.25">
      <c r="B801" s="213" t="s">
        <v>2926</v>
      </c>
      <c r="C801" s="214">
        <v>2019</v>
      </c>
      <c r="D801" s="214">
        <v>9</v>
      </c>
      <c r="E801" s="214">
        <v>1</v>
      </c>
    </row>
    <row r="802" spans="2:5" x14ac:dyDescent="0.25">
      <c r="B802" s="213" t="s">
        <v>2901</v>
      </c>
      <c r="C802" s="214">
        <v>2019</v>
      </c>
      <c r="D802" s="214">
        <v>2</v>
      </c>
      <c r="E802" s="214">
        <v>24</v>
      </c>
    </row>
    <row r="803" spans="2:5" x14ac:dyDescent="0.25">
      <c r="B803" s="213" t="s">
        <v>2901</v>
      </c>
      <c r="C803" s="214">
        <v>2019</v>
      </c>
      <c r="D803" s="214">
        <v>9</v>
      </c>
      <c r="E803" s="214">
        <v>20</v>
      </c>
    </row>
    <row r="804" spans="2:5" x14ac:dyDescent="0.25">
      <c r="B804" s="213" t="s">
        <v>2901</v>
      </c>
      <c r="C804" s="214">
        <v>2019</v>
      </c>
      <c r="D804" s="214">
        <v>11</v>
      </c>
      <c r="E804" s="214">
        <v>20</v>
      </c>
    </row>
    <row r="805" spans="2:5" x14ac:dyDescent="0.25">
      <c r="B805" s="213" t="s">
        <v>2901</v>
      </c>
      <c r="C805" s="214">
        <v>2019</v>
      </c>
      <c r="D805" s="214">
        <v>4</v>
      </c>
      <c r="E805" s="214">
        <v>18</v>
      </c>
    </row>
    <row r="806" spans="2:5" x14ac:dyDescent="0.25">
      <c r="B806" s="213" t="s">
        <v>2901</v>
      </c>
      <c r="C806" s="214">
        <v>2019</v>
      </c>
      <c r="D806" s="214">
        <v>5</v>
      </c>
      <c r="E806" s="214">
        <v>15</v>
      </c>
    </row>
    <row r="807" spans="2:5" x14ac:dyDescent="0.25">
      <c r="B807" s="213" t="s">
        <v>2901</v>
      </c>
      <c r="C807" s="214">
        <v>2019</v>
      </c>
      <c r="D807" s="214">
        <v>8</v>
      </c>
      <c r="E807" s="214">
        <v>14</v>
      </c>
    </row>
    <row r="808" spans="2:5" x14ac:dyDescent="0.25">
      <c r="B808" s="213" t="s">
        <v>2901</v>
      </c>
      <c r="C808" s="214">
        <v>2019</v>
      </c>
      <c r="D808" s="214">
        <v>6</v>
      </c>
      <c r="E808" s="214">
        <v>11</v>
      </c>
    </row>
    <row r="809" spans="2:5" x14ac:dyDescent="0.25">
      <c r="B809" s="213" t="s">
        <v>2901</v>
      </c>
      <c r="C809" s="214">
        <v>2019</v>
      </c>
      <c r="D809" s="214">
        <v>7</v>
      </c>
      <c r="E809" s="214">
        <v>8</v>
      </c>
    </row>
    <row r="810" spans="2:5" x14ac:dyDescent="0.25">
      <c r="B810" s="213" t="s">
        <v>2901</v>
      </c>
      <c r="C810" s="214">
        <v>2019</v>
      </c>
      <c r="D810" s="214">
        <v>10</v>
      </c>
      <c r="E810" s="214">
        <v>3</v>
      </c>
    </row>
    <row r="811" spans="2:5" x14ac:dyDescent="0.25">
      <c r="B811" s="213" t="s">
        <v>2901</v>
      </c>
      <c r="C811" s="214">
        <v>2019</v>
      </c>
      <c r="D811" s="214">
        <v>3</v>
      </c>
      <c r="E811" s="214">
        <v>2</v>
      </c>
    </row>
    <row r="812" spans="2:5" x14ac:dyDescent="0.25">
      <c r="B812" s="213" t="s">
        <v>2781</v>
      </c>
      <c r="C812" s="214">
        <v>2019</v>
      </c>
      <c r="D812" s="214">
        <v>1</v>
      </c>
      <c r="E812" s="214">
        <v>9</v>
      </c>
    </row>
    <row r="813" spans="2:5" x14ac:dyDescent="0.25">
      <c r="B813" s="213" t="s">
        <v>2781</v>
      </c>
      <c r="C813" s="214">
        <v>2019</v>
      </c>
      <c r="D813" s="214">
        <v>10</v>
      </c>
      <c r="E813" s="214">
        <v>9</v>
      </c>
    </row>
    <row r="814" spans="2:5" x14ac:dyDescent="0.25">
      <c r="B814" s="213" t="s">
        <v>2781</v>
      </c>
      <c r="C814" s="214">
        <v>2019</v>
      </c>
      <c r="D814" s="214">
        <v>4</v>
      </c>
      <c r="E814" s="214">
        <v>8</v>
      </c>
    </row>
    <row r="815" spans="2:5" x14ac:dyDescent="0.25">
      <c r="B815" s="213" t="s">
        <v>2781</v>
      </c>
      <c r="C815" s="214">
        <v>2019</v>
      </c>
      <c r="D815" s="214">
        <v>9</v>
      </c>
      <c r="E815" s="214">
        <v>6</v>
      </c>
    </row>
    <row r="816" spans="2:5" x14ac:dyDescent="0.25">
      <c r="B816" s="213" t="s">
        <v>2781</v>
      </c>
      <c r="C816" s="214">
        <v>2019</v>
      </c>
      <c r="D816" s="214">
        <v>8</v>
      </c>
      <c r="E816" s="214">
        <v>5</v>
      </c>
    </row>
    <row r="817" spans="2:5" x14ac:dyDescent="0.25">
      <c r="B817" s="213" t="s">
        <v>2781</v>
      </c>
      <c r="C817" s="214">
        <v>2019</v>
      </c>
      <c r="D817" s="214">
        <v>6</v>
      </c>
      <c r="E817" s="214">
        <v>4</v>
      </c>
    </row>
    <row r="818" spans="2:5" x14ac:dyDescent="0.25">
      <c r="B818" s="213" t="s">
        <v>2781</v>
      </c>
      <c r="C818" s="214">
        <v>2019</v>
      </c>
      <c r="D818" s="214">
        <v>11</v>
      </c>
      <c r="E818" s="214">
        <v>4</v>
      </c>
    </row>
    <row r="819" spans="2:5" x14ac:dyDescent="0.25">
      <c r="B819" s="213" t="s">
        <v>2781</v>
      </c>
      <c r="C819" s="214">
        <v>2019</v>
      </c>
      <c r="D819" s="214">
        <v>12</v>
      </c>
      <c r="E819" s="214">
        <v>4</v>
      </c>
    </row>
    <row r="820" spans="2:5" x14ac:dyDescent="0.25">
      <c r="B820" s="213" t="s">
        <v>2781</v>
      </c>
      <c r="C820" s="214">
        <v>2019</v>
      </c>
      <c r="D820" s="214">
        <v>2</v>
      </c>
      <c r="E820" s="214">
        <v>3</v>
      </c>
    </row>
    <row r="821" spans="2:5" x14ac:dyDescent="0.25">
      <c r="B821" s="213" t="s">
        <v>2781</v>
      </c>
      <c r="C821" s="214">
        <v>2019</v>
      </c>
      <c r="D821" s="214">
        <v>3</v>
      </c>
      <c r="E821" s="214">
        <v>3</v>
      </c>
    </row>
    <row r="822" spans="2:5" x14ac:dyDescent="0.25">
      <c r="B822" s="213" t="s">
        <v>2781</v>
      </c>
      <c r="C822" s="214">
        <v>2019</v>
      </c>
      <c r="D822" s="214">
        <v>7</v>
      </c>
      <c r="E822" s="214">
        <v>3</v>
      </c>
    </row>
    <row r="823" spans="2:5" x14ac:dyDescent="0.25">
      <c r="B823" s="213" t="s">
        <v>2781</v>
      </c>
      <c r="C823" s="214">
        <v>2019</v>
      </c>
      <c r="D823" s="214">
        <v>5</v>
      </c>
      <c r="E823" s="214">
        <v>2</v>
      </c>
    </row>
    <row r="824" spans="2:5" x14ac:dyDescent="0.25">
      <c r="B824" s="213" t="s">
        <v>2782</v>
      </c>
      <c r="C824" s="214">
        <v>2019</v>
      </c>
      <c r="D824" s="214">
        <v>5</v>
      </c>
      <c r="E824" s="214">
        <v>14</v>
      </c>
    </row>
    <row r="825" spans="2:5" x14ac:dyDescent="0.25">
      <c r="B825" s="213" t="s">
        <v>2782</v>
      </c>
      <c r="C825" s="214">
        <v>2019</v>
      </c>
      <c r="D825" s="214">
        <v>6</v>
      </c>
      <c r="E825" s="214">
        <v>3</v>
      </c>
    </row>
    <row r="826" spans="2:5" x14ac:dyDescent="0.25">
      <c r="B826" s="213" t="s">
        <v>2782</v>
      </c>
      <c r="C826" s="214">
        <v>2019</v>
      </c>
      <c r="D826" s="214">
        <v>3</v>
      </c>
      <c r="E826" s="214">
        <v>2</v>
      </c>
    </row>
    <row r="827" spans="2:5" x14ac:dyDescent="0.25">
      <c r="B827" s="213" t="s">
        <v>2782</v>
      </c>
      <c r="C827" s="214">
        <v>2019</v>
      </c>
      <c r="D827" s="214">
        <v>4</v>
      </c>
      <c r="E827" s="214">
        <v>2</v>
      </c>
    </row>
    <row r="828" spans="2:5" x14ac:dyDescent="0.25">
      <c r="B828" s="213" t="s">
        <v>2782</v>
      </c>
      <c r="C828" s="214">
        <v>2019</v>
      </c>
      <c r="D828" s="214">
        <v>7</v>
      </c>
      <c r="E828" s="214">
        <v>2</v>
      </c>
    </row>
    <row r="829" spans="2:5" x14ac:dyDescent="0.25">
      <c r="B829" s="213" t="s">
        <v>2782</v>
      </c>
      <c r="C829" s="214">
        <v>2019</v>
      </c>
      <c r="D829" s="214">
        <v>8</v>
      </c>
      <c r="E829" s="214">
        <v>2</v>
      </c>
    </row>
    <row r="830" spans="2:5" x14ac:dyDescent="0.25">
      <c r="B830" s="213" t="s">
        <v>2782</v>
      </c>
      <c r="C830" s="214">
        <v>2019</v>
      </c>
      <c r="D830" s="214">
        <v>12</v>
      </c>
      <c r="E830" s="214">
        <v>2</v>
      </c>
    </row>
    <row r="831" spans="2:5" x14ac:dyDescent="0.25">
      <c r="B831" s="213" t="s">
        <v>2782</v>
      </c>
      <c r="C831" s="214">
        <v>2019</v>
      </c>
      <c r="D831" s="214">
        <v>9</v>
      </c>
      <c r="E831" s="214">
        <v>1</v>
      </c>
    </row>
    <row r="832" spans="2:5" x14ac:dyDescent="0.25">
      <c r="B832" s="213" t="s">
        <v>2782</v>
      </c>
      <c r="C832" s="214">
        <v>2019</v>
      </c>
      <c r="D832" s="214">
        <v>11</v>
      </c>
      <c r="E832" s="214">
        <v>1</v>
      </c>
    </row>
    <row r="833" spans="2:5" x14ac:dyDescent="0.25">
      <c r="B833" s="213" t="s">
        <v>2783</v>
      </c>
      <c r="C833" s="214">
        <v>2019</v>
      </c>
      <c r="D833" s="214">
        <v>5</v>
      </c>
      <c r="E833" s="214">
        <v>13</v>
      </c>
    </row>
    <row r="834" spans="2:5" x14ac:dyDescent="0.25">
      <c r="B834" s="213" t="s">
        <v>2783</v>
      </c>
      <c r="C834" s="214">
        <v>2019</v>
      </c>
      <c r="D834" s="214">
        <v>8</v>
      </c>
      <c r="E834" s="214">
        <v>6</v>
      </c>
    </row>
    <row r="835" spans="2:5" x14ac:dyDescent="0.25">
      <c r="B835" s="213" t="s">
        <v>2783</v>
      </c>
      <c r="C835" s="214">
        <v>2019</v>
      </c>
      <c r="D835" s="214">
        <v>6</v>
      </c>
      <c r="E835" s="214">
        <v>5</v>
      </c>
    </row>
    <row r="836" spans="2:5" x14ac:dyDescent="0.25">
      <c r="B836" s="213" t="s">
        <v>2783</v>
      </c>
      <c r="C836" s="214">
        <v>2019</v>
      </c>
      <c r="D836" s="214">
        <v>9</v>
      </c>
      <c r="E836" s="214">
        <v>5</v>
      </c>
    </row>
    <row r="837" spans="2:5" x14ac:dyDescent="0.25">
      <c r="B837" s="213" t="s">
        <v>2783</v>
      </c>
      <c r="C837" s="214">
        <v>2019</v>
      </c>
      <c r="D837" s="214">
        <v>10</v>
      </c>
      <c r="E837" s="214">
        <v>5</v>
      </c>
    </row>
    <row r="838" spans="2:5" x14ac:dyDescent="0.25">
      <c r="B838" s="213" t="s">
        <v>2783</v>
      </c>
      <c r="C838" s="214">
        <v>2019</v>
      </c>
      <c r="D838" s="214">
        <v>3</v>
      </c>
      <c r="E838" s="214">
        <v>4</v>
      </c>
    </row>
    <row r="839" spans="2:5" x14ac:dyDescent="0.25">
      <c r="B839" s="213" t="s">
        <v>2783</v>
      </c>
      <c r="C839" s="214">
        <v>2019</v>
      </c>
      <c r="D839" s="214">
        <v>2</v>
      </c>
      <c r="E839" s="214">
        <v>3</v>
      </c>
    </row>
    <row r="840" spans="2:5" x14ac:dyDescent="0.25">
      <c r="B840" s="213" t="s">
        <v>2783</v>
      </c>
      <c r="C840" s="214">
        <v>2019</v>
      </c>
      <c r="D840" s="214">
        <v>4</v>
      </c>
      <c r="E840" s="214">
        <v>3</v>
      </c>
    </row>
    <row r="841" spans="2:5" x14ac:dyDescent="0.25">
      <c r="B841" s="213" t="s">
        <v>2783</v>
      </c>
      <c r="C841" s="214">
        <v>2019</v>
      </c>
      <c r="D841" s="214">
        <v>11</v>
      </c>
      <c r="E841" s="214">
        <v>2</v>
      </c>
    </row>
    <row r="842" spans="2:5" x14ac:dyDescent="0.25">
      <c r="B842" s="213" t="s">
        <v>2783</v>
      </c>
      <c r="C842" s="214">
        <v>2019</v>
      </c>
      <c r="D842" s="214">
        <v>12</v>
      </c>
      <c r="E842" s="214">
        <v>2</v>
      </c>
    </row>
    <row r="843" spans="2:5" x14ac:dyDescent="0.25">
      <c r="B843" s="213" t="s">
        <v>2783</v>
      </c>
      <c r="C843" s="214">
        <v>2019</v>
      </c>
      <c r="D843" s="214">
        <v>7</v>
      </c>
      <c r="E843" s="214">
        <v>1</v>
      </c>
    </row>
    <row r="844" spans="2:5" x14ac:dyDescent="0.25">
      <c r="B844" s="213" t="s">
        <v>2962</v>
      </c>
      <c r="C844" s="214">
        <v>2019</v>
      </c>
      <c r="D844" s="214">
        <v>11</v>
      </c>
      <c r="E844" s="214">
        <v>2</v>
      </c>
    </row>
    <row r="845" spans="2:5" x14ac:dyDescent="0.25">
      <c r="B845" s="213" t="s">
        <v>2962</v>
      </c>
      <c r="C845" s="214">
        <v>2019</v>
      </c>
      <c r="D845" s="214">
        <v>1</v>
      </c>
      <c r="E845" s="214">
        <v>1</v>
      </c>
    </row>
    <row r="846" spans="2:5" x14ac:dyDescent="0.25">
      <c r="B846" s="213" t="s">
        <v>2962</v>
      </c>
      <c r="C846" s="214">
        <v>2019</v>
      </c>
      <c r="D846" s="214">
        <v>4</v>
      </c>
      <c r="E846" s="214">
        <v>1</v>
      </c>
    </row>
    <row r="847" spans="2:5" x14ac:dyDescent="0.25">
      <c r="B847" s="213" t="s">
        <v>2914</v>
      </c>
      <c r="C847" s="214">
        <v>2019</v>
      </c>
      <c r="D847" s="214">
        <v>9</v>
      </c>
      <c r="E847" s="214">
        <v>8</v>
      </c>
    </row>
    <row r="848" spans="2:5" x14ac:dyDescent="0.25">
      <c r="B848" s="213" t="s">
        <v>2914</v>
      </c>
      <c r="C848" s="214">
        <v>2019</v>
      </c>
      <c r="D848" s="214">
        <v>1</v>
      </c>
      <c r="E848" s="214">
        <v>7</v>
      </c>
    </row>
    <row r="849" spans="2:5" x14ac:dyDescent="0.25">
      <c r="B849" s="213" t="s">
        <v>2914</v>
      </c>
      <c r="C849" s="214">
        <v>2019</v>
      </c>
      <c r="D849" s="214">
        <v>3</v>
      </c>
      <c r="E849" s="214">
        <v>6</v>
      </c>
    </row>
    <row r="850" spans="2:5" x14ac:dyDescent="0.25">
      <c r="B850" s="213" t="s">
        <v>2914</v>
      </c>
      <c r="C850" s="214">
        <v>2019</v>
      </c>
      <c r="D850" s="214">
        <v>5</v>
      </c>
      <c r="E850" s="214">
        <v>5</v>
      </c>
    </row>
    <row r="851" spans="2:5" x14ac:dyDescent="0.25">
      <c r="B851" s="213" t="s">
        <v>2914</v>
      </c>
      <c r="C851" s="214">
        <v>2019</v>
      </c>
      <c r="D851" s="214">
        <v>7</v>
      </c>
      <c r="E851" s="214">
        <v>5</v>
      </c>
    </row>
    <row r="852" spans="2:5" x14ac:dyDescent="0.25">
      <c r="B852" s="213" t="s">
        <v>2914</v>
      </c>
      <c r="C852" s="214">
        <v>2019</v>
      </c>
      <c r="D852" s="214">
        <v>10</v>
      </c>
      <c r="E852" s="214">
        <v>5</v>
      </c>
    </row>
    <row r="853" spans="2:5" x14ac:dyDescent="0.25">
      <c r="B853" s="213" t="s">
        <v>2914</v>
      </c>
      <c r="C853" s="214">
        <v>2019</v>
      </c>
      <c r="D853" s="214">
        <v>11</v>
      </c>
      <c r="E853" s="214">
        <v>5</v>
      </c>
    </row>
    <row r="854" spans="2:5" x14ac:dyDescent="0.25">
      <c r="B854" s="213" t="s">
        <v>2914</v>
      </c>
      <c r="C854" s="214">
        <v>2019</v>
      </c>
      <c r="D854" s="214">
        <v>4</v>
      </c>
      <c r="E854" s="214">
        <v>3</v>
      </c>
    </row>
    <row r="855" spans="2:5" x14ac:dyDescent="0.25">
      <c r="B855" s="213" t="s">
        <v>2914</v>
      </c>
      <c r="C855" s="214">
        <v>2019</v>
      </c>
      <c r="D855" s="214">
        <v>2</v>
      </c>
      <c r="E855" s="214">
        <v>2</v>
      </c>
    </row>
    <row r="856" spans="2:5" x14ac:dyDescent="0.25">
      <c r="B856" s="213" t="s">
        <v>2914</v>
      </c>
      <c r="C856" s="214">
        <v>2019</v>
      </c>
      <c r="D856" s="214">
        <v>6</v>
      </c>
      <c r="E856" s="214">
        <v>2</v>
      </c>
    </row>
    <row r="857" spans="2:5" x14ac:dyDescent="0.25">
      <c r="B857" s="213" t="s">
        <v>2914</v>
      </c>
      <c r="C857" s="214">
        <v>2019</v>
      </c>
      <c r="D857" s="214">
        <v>8</v>
      </c>
      <c r="E857" s="214">
        <v>2</v>
      </c>
    </row>
    <row r="858" spans="2:5" x14ac:dyDescent="0.25">
      <c r="B858" s="213" t="s">
        <v>2914</v>
      </c>
      <c r="C858" s="214">
        <v>2019</v>
      </c>
      <c r="D858" s="214">
        <v>12</v>
      </c>
      <c r="E858" s="214">
        <v>2</v>
      </c>
    </row>
    <row r="859" spans="2:5" x14ac:dyDescent="0.25">
      <c r="B859" s="213" t="s">
        <v>2784</v>
      </c>
      <c r="C859" s="214">
        <v>2019</v>
      </c>
      <c r="D859" s="214">
        <v>4</v>
      </c>
      <c r="E859" s="214">
        <v>10</v>
      </c>
    </row>
    <row r="860" spans="2:5" x14ac:dyDescent="0.25">
      <c r="B860" s="213" t="s">
        <v>2784</v>
      </c>
      <c r="C860" s="214">
        <v>2019</v>
      </c>
      <c r="D860" s="214">
        <v>8</v>
      </c>
      <c r="E860" s="214">
        <v>8</v>
      </c>
    </row>
    <row r="861" spans="2:5" x14ac:dyDescent="0.25">
      <c r="B861" s="213" t="s">
        <v>2784</v>
      </c>
      <c r="C861" s="214">
        <v>2019</v>
      </c>
      <c r="D861" s="214">
        <v>3</v>
      </c>
      <c r="E861" s="214">
        <v>7</v>
      </c>
    </row>
    <row r="862" spans="2:5" x14ac:dyDescent="0.25">
      <c r="B862" s="213" t="s">
        <v>2784</v>
      </c>
      <c r="C862" s="214">
        <v>2019</v>
      </c>
      <c r="D862" s="214">
        <v>10</v>
      </c>
      <c r="E862" s="214">
        <v>7</v>
      </c>
    </row>
    <row r="863" spans="2:5" x14ac:dyDescent="0.25">
      <c r="B863" s="213" t="s">
        <v>2784</v>
      </c>
      <c r="C863" s="214">
        <v>2019</v>
      </c>
      <c r="D863" s="214">
        <v>1</v>
      </c>
      <c r="E863" s="214">
        <v>6</v>
      </c>
    </row>
    <row r="864" spans="2:5" x14ac:dyDescent="0.25">
      <c r="B864" s="213" t="s">
        <v>2784</v>
      </c>
      <c r="C864" s="214">
        <v>2019</v>
      </c>
      <c r="D864" s="214">
        <v>2</v>
      </c>
      <c r="E864" s="214">
        <v>5</v>
      </c>
    </row>
    <row r="865" spans="2:5" x14ac:dyDescent="0.25">
      <c r="B865" s="213" t="s">
        <v>2784</v>
      </c>
      <c r="C865" s="214">
        <v>2019</v>
      </c>
      <c r="D865" s="214">
        <v>9</v>
      </c>
      <c r="E865" s="214">
        <v>2</v>
      </c>
    </row>
    <row r="866" spans="2:5" x14ac:dyDescent="0.25">
      <c r="B866" s="213" t="s">
        <v>2784</v>
      </c>
      <c r="C866" s="214">
        <v>2019</v>
      </c>
      <c r="D866" s="214">
        <v>11</v>
      </c>
      <c r="E866" s="214">
        <v>2</v>
      </c>
    </row>
    <row r="867" spans="2:5" x14ac:dyDescent="0.25">
      <c r="B867" s="213" t="s">
        <v>2784</v>
      </c>
      <c r="C867" s="214">
        <v>2019</v>
      </c>
      <c r="D867" s="214">
        <v>5</v>
      </c>
      <c r="E867" s="214">
        <v>1</v>
      </c>
    </row>
    <row r="868" spans="2:5" x14ac:dyDescent="0.25">
      <c r="B868" s="213" t="s">
        <v>2784</v>
      </c>
      <c r="C868" s="214">
        <v>2019</v>
      </c>
      <c r="D868" s="214">
        <v>7</v>
      </c>
      <c r="E868" s="214">
        <v>1</v>
      </c>
    </row>
    <row r="869" spans="2:5" x14ac:dyDescent="0.25">
      <c r="B869" s="213" t="s">
        <v>2785</v>
      </c>
      <c r="C869" s="214">
        <v>2019</v>
      </c>
      <c r="D869" s="214">
        <v>3</v>
      </c>
      <c r="E869" s="214">
        <v>22</v>
      </c>
    </row>
    <row r="870" spans="2:5" x14ac:dyDescent="0.25">
      <c r="B870" s="213" t="s">
        <v>2785</v>
      </c>
      <c r="C870" s="214">
        <v>2019</v>
      </c>
      <c r="D870" s="214">
        <v>6</v>
      </c>
      <c r="E870" s="214">
        <v>22</v>
      </c>
    </row>
    <row r="871" spans="2:5" x14ac:dyDescent="0.25">
      <c r="B871" s="213" t="s">
        <v>2785</v>
      </c>
      <c r="C871" s="214">
        <v>2019</v>
      </c>
      <c r="D871" s="214">
        <v>7</v>
      </c>
      <c r="E871" s="214">
        <v>21</v>
      </c>
    </row>
    <row r="872" spans="2:5" x14ac:dyDescent="0.25">
      <c r="B872" s="213" t="s">
        <v>2785</v>
      </c>
      <c r="C872" s="214">
        <v>2019</v>
      </c>
      <c r="D872" s="214">
        <v>8</v>
      </c>
      <c r="E872" s="214">
        <v>14</v>
      </c>
    </row>
    <row r="873" spans="2:5" x14ac:dyDescent="0.25">
      <c r="B873" s="213" t="s">
        <v>2785</v>
      </c>
      <c r="C873" s="214">
        <v>2019</v>
      </c>
      <c r="D873" s="214">
        <v>9</v>
      </c>
      <c r="E873" s="214">
        <v>12</v>
      </c>
    </row>
    <row r="874" spans="2:5" x14ac:dyDescent="0.25">
      <c r="B874" s="213" t="s">
        <v>2785</v>
      </c>
      <c r="C874" s="214">
        <v>2019</v>
      </c>
      <c r="D874" s="214">
        <v>5</v>
      </c>
      <c r="E874" s="214">
        <v>9</v>
      </c>
    </row>
    <row r="875" spans="2:5" x14ac:dyDescent="0.25">
      <c r="B875" s="213" t="s">
        <v>2785</v>
      </c>
      <c r="C875" s="214">
        <v>2019</v>
      </c>
      <c r="D875" s="214">
        <v>11</v>
      </c>
      <c r="E875" s="214">
        <v>7</v>
      </c>
    </row>
    <row r="876" spans="2:5" x14ac:dyDescent="0.25">
      <c r="B876" s="213" t="s">
        <v>2785</v>
      </c>
      <c r="C876" s="214">
        <v>2019</v>
      </c>
      <c r="D876" s="214">
        <v>4</v>
      </c>
      <c r="E876" s="214">
        <v>5</v>
      </c>
    </row>
    <row r="877" spans="2:5" x14ac:dyDescent="0.25">
      <c r="B877" s="213" t="s">
        <v>2785</v>
      </c>
      <c r="C877" s="214">
        <v>2019</v>
      </c>
      <c r="D877" s="214">
        <v>12</v>
      </c>
      <c r="E877" s="214">
        <v>5</v>
      </c>
    </row>
    <row r="878" spans="2:5" x14ac:dyDescent="0.25">
      <c r="B878" s="213" t="s">
        <v>2785</v>
      </c>
      <c r="C878" s="214">
        <v>2019</v>
      </c>
      <c r="D878" s="214">
        <v>1</v>
      </c>
      <c r="E878" s="214">
        <v>4</v>
      </c>
    </row>
    <row r="879" spans="2:5" x14ac:dyDescent="0.25">
      <c r="B879" s="213" t="s">
        <v>2785</v>
      </c>
      <c r="C879" s="214">
        <v>2019</v>
      </c>
      <c r="D879" s="214">
        <v>10</v>
      </c>
      <c r="E879" s="214">
        <v>4</v>
      </c>
    </row>
    <row r="880" spans="2:5" x14ac:dyDescent="0.25">
      <c r="B880" s="213" t="s">
        <v>2785</v>
      </c>
      <c r="C880" s="214">
        <v>2019</v>
      </c>
      <c r="D880" s="214">
        <v>2</v>
      </c>
      <c r="E880" s="214">
        <v>1</v>
      </c>
    </row>
    <row r="881" spans="2:5" x14ac:dyDescent="0.25">
      <c r="B881" s="213" t="s">
        <v>2786</v>
      </c>
      <c r="C881" s="214">
        <v>2019</v>
      </c>
      <c r="D881" s="214">
        <v>4</v>
      </c>
      <c r="E881" s="214">
        <v>7</v>
      </c>
    </row>
    <row r="882" spans="2:5" x14ac:dyDescent="0.25">
      <c r="B882" s="213" t="s">
        <v>2786</v>
      </c>
      <c r="C882" s="214">
        <v>2019</v>
      </c>
      <c r="D882" s="214">
        <v>6</v>
      </c>
      <c r="E882" s="214">
        <v>7</v>
      </c>
    </row>
    <row r="883" spans="2:5" x14ac:dyDescent="0.25">
      <c r="B883" s="213" t="s">
        <v>2786</v>
      </c>
      <c r="C883" s="214">
        <v>2019</v>
      </c>
      <c r="D883" s="214">
        <v>1</v>
      </c>
      <c r="E883" s="214">
        <v>3</v>
      </c>
    </row>
    <row r="884" spans="2:5" x14ac:dyDescent="0.25">
      <c r="B884" s="213" t="s">
        <v>2786</v>
      </c>
      <c r="C884" s="214">
        <v>2019</v>
      </c>
      <c r="D884" s="214">
        <v>3</v>
      </c>
      <c r="E884" s="214">
        <v>3</v>
      </c>
    </row>
    <row r="885" spans="2:5" x14ac:dyDescent="0.25">
      <c r="B885" s="213" t="s">
        <v>2786</v>
      </c>
      <c r="C885" s="214">
        <v>2019</v>
      </c>
      <c r="D885" s="214">
        <v>5</v>
      </c>
      <c r="E885" s="214">
        <v>3</v>
      </c>
    </row>
    <row r="886" spans="2:5" x14ac:dyDescent="0.25">
      <c r="B886" s="213" t="s">
        <v>2786</v>
      </c>
      <c r="C886" s="214">
        <v>2019</v>
      </c>
      <c r="D886" s="214">
        <v>7</v>
      </c>
      <c r="E886" s="214">
        <v>3</v>
      </c>
    </row>
    <row r="887" spans="2:5" x14ac:dyDescent="0.25">
      <c r="B887" s="213" t="s">
        <v>2786</v>
      </c>
      <c r="C887" s="214">
        <v>2019</v>
      </c>
      <c r="D887" s="214">
        <v>8</v>
      </c>
      <c r="E887" s="214">
        <v>3</v>
      </c>
    </row>
    <row r="888" spans="2:5" x14ac:dyDescent="0.25">
      <c r="B888" s="213" t="s">
        <v>2786</v>
      </c>
      <c r="C888" s="214">
        <v>2019</v>
      </c>
      <c r="D888" s="214">
        <v>2</v>
      </c>
      <c r="E888" s="214">
        <v>1</v>
      </c>
    </row>
    <row r="889" spans="2:5" x14ac:dyDescent="0.25">
      <c r="B889" s="213" t="s">
        <v>2786</v>
      </c>
      <c r="C889" s="214">
        <v>2019</v>
      </c>
      <c r="D889" s="214">
        <v>9</v>
      </c>
      <c r="E889" s="214">
        <v>1</v>
      </c>
    </row>
    <row r="890" spans="2:5" x14ac:dyDescent="0.25">
      <c r="B890" s="213" t="s">
        <v>2786</v>
      </c>
      <c r="C890" s="214">
        <v>2019</v>
      </c>
      <c r="D890" s="214">
        <v>10</v>
      </c>
      <c r="E890" s="214">
        <v>1</v>
      </c>
    </row>
    <row r="891" spans="2:5" x14ac:dyDescent="0.25">
      <c r="B891" s="213" t="s">
        <v>2786</v>
      </c>
      <c r="C891" s="214">
        <v>2019</v>
      </c>
      <c r="D891" s="214">
        <v>12</v>
      </c>
      <c r="E891" s="214">
        <v>1</v>
      </c>
    </row>
    <row r="892" spans="2:5" x14ac:dyDescent="0.25">
      <c r="B892" s="213" t="s">
        <v>2787</v>
      </c>
      <c r="C892" s="214">
        <v>2019</v>
      </c>
      <c r="D892" s="214">
        <v>3</v>
      </c>
      <c r="E892" s="214">
        <v>15</v>
      </c>
    </row>
    <row r="893" spans="2:5" x14ac:dyDescent="0.25">
      <c r="B893" s="213" t="s">
        <v>2787</v>
      </c>
      <c r="C893" s="214">
        <v>2019</v>
      </c>
      <c r="D893" s="214">
        <v>8</v>
      </c>
      <c r="E893" s="214">
        <v>15</v>
      </c>
    </row>
    <row r="894" spans="2:5" x14ac:dyDescent="0.25">
      <c r="B894" s="213" t="s">
        <v>2787</v>
      </c>
      <c r="C894" s="214">
        <v>2019</v>
      </c>
      <c r="D894" s="214">
        <v>9</v>
      </c>
      <c r="E894" s="214">
        <v>11</v>
      </c>
    </row>
    <row r="895" spans="2:5" x14ac:dyDescent="0.25">
      <c r="B895" s="213" t="s">
        <v>2787</v>
      </c>
      <c r="C895" s="214">
        <v>2019</v>
      </c>
      <c r="D895" s="214">
        <v>6</v>
      </c>
      <c r="E895" s="214">
        <v>10</v>
      </c>
    </row>
    <row r="896" spans="2:5" x14ac:dyDescent="0.25">
      <c r="B896" s="213" t="s">
        <v>2787</v>
      </c>
      <c r="C896" s="214">
        <v>2019</v>
      </c>
      <c r="D896" s="214">
        <v>7</v>
      </c>
      <c r="E896" s="214">
        <v>8</v>
      </c>
    </row>
    <row r="897" spans="2:5" x14ac:dyDescent="0.25">
      <c r="B897" s="213" t="s">
        <v>2787</v>
      </c>
      <c r="C897" s="214">
        <v>2019</v>
      </c>
      <c r="D897" s="214">
        <v>5</v>
      </c>
      <c r="E897" s="214">
        <v>7</v>
      </c>
    </row>
    <row r="898" spans="2:5" x14ac:dyDescent="0.25">
      <c r="B898" s="213" t="s">
        <v>2787</v>
      </c>
      <c r="C898" s="214">
        <v>2019</v>
      </c>
      <c r="D898" s="214">
        <v>10</v>
      </c>
      <c r="E898" s="214">
        <v>7</v>
      </c>
    </row>
    <row r="899" spans="2:5" x14ac:dyDescent="0.25">
      <c r="B899" s="213" t="s">
        <v>2787</v>
      </c>
      <c r="C899" s="214">
        <v>2019</v>
      </c>
      <c r="D899" s="214">
        <v>11</v>
      </c>
      <c r="E899" s="214">
        <v>6</v>
      </c>
    </row>
    <row r="900" spans="2:5" x14ac:dyDescent="0.25">
      <c r="B900" s="213" t="s">
        <v>2787</v>
      </c>
      <c r="C900" s="214">
        <v>2019</v>
      </c>
      <c r="D900" s="214">
        <v>1</v>
      </c>
      <c r="E900" s="214">
        <v>5</v>
      </c>
    </row>
    <row r="901" spans="2:5" x14ac:dyDescent="0.25">
      <c r="B901" s="213" t="s">
        <v>2787</v>
      </c>
      <c r="C901" s="214">
        <v>2019</v>
      </c>
      <c r="D901" s="214">
        <v>12</v>
      </c>
      <c r="E901" s="214">
        <v>4</v>
      </c>
    </row>
    <row r="902" spans="2:5" x14ac:dyDescent="0.25">
      <c r="B902" s="213" t="s">
        <v>2787</v>
      </c>
      <c r="C902" s="214">
        <v>2019</v>
      </c>
      <c r="D902" s="214">
        <v>2</v>
      </c>
      <c r="E902" s="214">
        <v>3</v>
      </c>
    </row>
    <row r="903" spans="2:5" x14ac:dyDescent="0.25">
      <c r="B903" s="213" t="s">
        <v>2787</v>
      </c>
      <c r="C903" s="214">
        <v>2019</v>
      </c>
      <c r="D903" s="214">
        <v>4</v>
      </c>
      <c r="E903" s="214">
        <v>2</v>
      </c>
    </row>
    <row r="904" spans="2:5" x14ac:dyDescent="0.25">
      <c r="B904" s="213" t="s">
        <v>2788</v>
      </c>
      <c r="C904" s="214">
        <v>2019</v>
      </c>
      <c r="D904" s="214">
        <v>11</v>
      </c>
      <c r="E904" s="214">
        <v>6</v>
      </c>
    </row>
    <row r="905" spans="2:5" x14ac:dyDescent="0.25">
      <c r="B905" s="213" t="s">
        <v>2788</v>
      </c>
      <c r="C905" s="214">
        <v>2019</v>
      </c>
      <c r="D905" s="214">
        <v>10</v>
      </c>
      <c r="E905" s="214">
        <v>5</v>
      </c>
    </row>
    <row r="906" spans="2:5" x14ac:dyDescent="0.25">
      <c r="B906" s="213" t="s">
        <v>2788</v>
      </c>
      <c r="C906" s="214">
        <v>2019</v>
      </c>
      <c r="D906" s="214">
        <v>4</v>
      </c>
      <c r="E906" s="214">
        <v>3</v>
      </c>
    </row>
    <row r="907" spans="2:5" x14ac:dyDescent="0.25">
      <c r="B907" s="213" t="s">
        <v>2788</v>
      </c>
      <c r="C907" s="214">
        <v>2019</v>
      </c>
      <c r="D907" s="214">
        <v>7</v>
      </c>
      <c r="E907" s="214">
        <v>3</v>
      </c>
    </row>
    <row r="908" spans="2:5" x14ac:dyDescent="0.25">
      <c r="B908" s="213" t="s">
        <v>2788</v>
      </c>
      <c r="C908" s="214">
        <v>2019</v>
      </c>
      <c r="D908" s="214">
        <v>8</v>
      </c>
      <c r="E908" s="214">
        <v>2</v>
      </c>
    </row>
    <row r="909" spans="2:5" x14ac:dyDescent="0.25">
      <c r="B909" s="213" t="s">
        <v>2788</v>
      </c>
      <c r="C909" s="214">
        <v>2019</v>
      </c>
      <c r="D909" s="214">
        <v>9</v>
      </c>
      <c r="E909" s="214">
        <v>2</v>
      </c>
    </row>
    <row r="910" spans="2:5" x14ac:dyDescent="0.25">
      <c r="B910" s="213" t="s">
        <v>2788</v>
      </c>
      <c r="C910" s="214">
        <v>2019</v>
      </c>
      <c r="D910" s="214">
        <v>2</v>
      </c>
      <c r="E910" s="214">
        <v>1</v>
      </c>
    </row>
    <row r="911" spans="2:5" x14ac:dyDescent="0.25">
      <c r="B911" s="213" t="s">
        <v>2788</v>
      </c>
      <c r="C911" s="214">
        <v>2019</v>
      </c>
      <c r="D911" s="214">
        <v>5</v>
      </c>
      <c r="E911" s="214">
        <v>1</v>
      </c>
    </row>
    <row r="912" spans="2:5" x14ac:dyDescent="0.25">
      <c r="B912" s="213" t="s">
        <v>2788</v>
      </c>
      <c r="C912" s="214">
        <v>2019</v>
      </c>
      <c r="D912" s="214">
        <v>12</v>
      </c>
      <c r="E912" s="214">
        <v>1</v>
      </c>
    </row>
    <row r="913" spans="2:5" x14ac:dyDescent="0.25">
      <c r="B913" s="213" t="s">
        <v>2789</v>
      </c>
      <c r="C913" s="214">
        <v>2019</v>
      </c>
      <c r="D913" s="214">
        <v>5</v>
      </c>
      <c r="E913" s="214">
        <v>44</v>
      </c>
    </row>
    <row r="914" spans="2:5" x14ac:dyDescent="0.25">
      <c r="B914" s="213" t="s">
        <v>2789</v>
      </c>
      <c r="C914" s="214">
        <v>2019</v>
      </c>
      <c r="D914" s="214">
        <v>10</v>
      </c>
      <c r="E914" s="214">
        <v>40</v>
      </c>
    </row>
    <row r="915" spans="2:5" x14ac:dyDescent="0.25">
      <c r="B915" s="213" t="s">
        <v>2789</v>
      </c>
      <c r="C915" s="214">
        <v>2019</v>
      </c>
      <c r="D915" s="214">
        <v>4</v>
      </c>
      <c r="E915" s="214">
        <v>23</v>
      </c>
    </row>
    <row r="916" spans="2:5" x14ac:dyDescent="0.25">
      <c r="B916" s="213" t="s">
        <v>2789</v>
      </c>
      <c r="C916" s="214">
        <v>2019</v>
      </c>
      <c r="D916" s="214">
        <v>3</v>
      </c>
      <c r="E916" s="214">
        <v>22</v>
      </c>
    </row>
    <row r="917" spans="2:5" x14ac:dyDescent="0.25">
      <c r="B917" s="213" t="s">
        <v>2789</v>
      </c>
      <c r="C917" s="214">
        <v>2019</v>
      </c>
      <c r="D917" s="214">
        <v>9</v>
      </c>
      <c r="E917" s="214">
        <v>16</v>
      </c>
    </row>
    <row r="918" spans="2:5" x14ac:dyDescent="0.25">
      <c r="B918" s="213" t="s">
        <v>2789</v>
      </c>
      <c r="C918" s="214">
        <v>2019</v>
      </c>
      <c r="D918" s="214">
        <v>6</v>
      </c>
      <c r="E918" s="214">
        <v>15</v>
      </c>
    </row>
    <row r="919" spans="2:5" x14ac:dyDescent="0.25">
      <c r="B919" s="213" t="s">
        <v>2789</v>
      </c>
      <c r="C919" s="214">
        <v>2019</v>
      </c>
      <c r="D919" s="214">
        <v>8</v>
      </c>
      <c r="E919" s="214">
        <v>14</v>
      </c>
    </row>
    <row r="920" spans="2:5" x14ac:dyDescent="0.25">
      <c r="B920" s="213" t="s">
        <v>2789</v>
      </c>
      <c r="C920" s="214">
        <v>2019</v>
      </c>
      <c r="D920" s="214">
        <v>11</v>
      </c>
      <c r="E920" s="214">
        <v>10</v>
      </c>
    </row>
    <row r="921" spans="2:5" x14ac:dyDescent="0.25">
      <c r="B921" s="213" t="s">
        <v>2789</v>
      </c>
      <c r="C921" s="214">
        <v>2019</v>
      </c>
      <c r="D921" s="214">
        <v>7</v>
      </c>
      <c r="E921" s="214">
        <v>6</v>
      </c>
    </row>
    <row r="922" spans="2:5" x14ac:dyDescent="0.25">
      <c r="B922" s="213" t="s">
        <v>2789</v>
      </c>
      <c r="C922" s="214">
        <v>2019</v>
      </c>
      <c r="D922" s="214">
        <v>12</v>
      </c>
      <c r="E922" s="214">
        <v>6</v>
      </c>
    </row>
    <row r="923" spans="2:5" x14ac:dyDescent="0.25">
      <c r="B923" s="213" t="s">
        <v>2789</v>
      </c>
      <c r="C923" s="214">
        <v>2019</v>
      </c>
      <c r="D923" s="214">
        <v>2</v>
      </c>
      <c r="E923" s="214">
        <v>3</v>
      </c>
    </row>
    <row r="924" spans="2:5" x14ac:dyDescent="0.25">
      <c r="B924" s="213" t="s">
        <v>2790</v>
      </c>
      <c r="C924" s="214">
        <v>2019</v>
      </c>
      <c r="D924" s="214">
        <v>3</v>
      </c>
      <c r="E924" s="214">
        <v>270</v>
      </c>
    </row>
    <row r="925" spans="2:5" x14ac:dyDescent="0.25">
      <c r="B925" s="213" t="s">
        <v>2790</v>
      </c>
      <c r="C925" s="214">
        <v>2019</v>
      </c>
      <c r="D925" s="214">
        <v>1</v>
      </c>
      <c r="E925" s="214">
        <v>262</v>
      </c>
    </row>
    <row r="926" spans="2:5" x14ac:dyDescent="0.25">
      <c r="B926" s="213" t="s">
        <v>2790</v>
      </c>
      <c r="C926" s="214">
        <v>2019</v>
      </c>
      <c r="D926" s="214">
        <v>9</v>
      </c>
      <c r="E926" s="214">
        <v>218</v>
      </c>
    </row>
    <row r="927" spans="2:5" x14ac:dyDescent="0.25">
      <c r="B927" s="213" t="s">
        <v>2790</v>
      </c>
      <c r="C927" s="214">
        <v>2019</v>
      </c>
      <c r="D927" s="214">
        <v>8</v>
      </c>
      <c r="E927" s="214">
        <v>211</v>
      </c>
    </row>
    <row r="928" spans="2:5" x14ac:dyDescent="0.25">
      <c r="B928" s="213" t="s">
        <v>2790</v>
      </c>
      <c r="C928" s="214">
        <v>2019</v>
      </c>
      <c r="D928" s="214">
        <v>4</v>
      </c>
      <c r="E928" s="214">
        <v>196</v>
      </c>
    </row>
    <row r="929" spans="2:5" x14ac:dyDescent="0.25">
      <c r="B929" s="213" t="s">
        <v>2790</v>
      </c>
      <c r="C929" s="214">
        <v>2019</v>
      </c>
      <c r="D929" s="214">
        <v>10</v>
      </c>
      <c r="E929" s="214">
        <v>193</v>
      </c>
    </row>
    <row r="930" spans="2:5" x14ac:dyDescent="0.25">
      <c r="B930" s="213" t="s">
        <v>2790</v>
      </c>
      <c r="C930" s="214">
        <v>2019</v>
      </c>
      <c r="D930" s="214">
        <v>12</v>
      </c>
      <c r="E930" s="214">
        <v>165</v>
      </c>
    </row>
    <row r="931" spans="2:5" x14ac:dyDescent="0.25">
      <c r="B931" s="213" t="s">
        <v>2790</v>
      </c>
      <c r="C931" s="214">
        <v>2019</v>
      </c>
      <c r="D931" s="214">
        <v>11</v>
      </c>
      <c r="E931" s="214">
        <v>156</v>
      </c>
    </row>
    <row r="932" spans="2:5" x14ac:dyDescent="0.25">
      <c r="B932" s="213" t="s">
        <v>2790</v>
      </c>
      <c r="C932" s="214">
        <v>2019</v>
      </c>
      <c r="D932" s="214">
        <v>2</v>
      </c>
      <c r="E932" s="214">
        <v>151</v>
      </c>
    </row>
    <row r="933" spans="2:5" x14ac:dyDescent="0.25">
      <c r="B933" s="213" t="s">
        <v>2790</v>
      </c>
      <c r="C933" s="214">
        <v>2019</v>
      </c>
      <c r="D933" s="214">
        <v>7</v>
      </c>
      <c r="E933" s="214">
        <v>149</v>
      </c>
    </row>
    <row r="934" spans="2:5" x14ac:dyDescent="0.25">
      <c r="B934" s="213" t="s">
        <v>2790</v>
      </c>
      <c r="C934" s="214">
        <v>2019</v>
      </c>
      <c r="D934" s="214">
        <v>5</v>
      </c>
      <c r="E934" s="214">
        <v>147</v>
      </c>
    </row>
    <row r="935" spans="2:5" x14ac:dyDescent="0.25">
      <c r="B935" s="213" t="s">
        <v>2790</v>
      </c>
      <c r="C935" s="214">
        <v>2019</v>
      </c>
      <c r="D935" s="214">
        <v>6</v>
      </c>
      <c r="E935" s="214">
        <v>104</v>
      </c>
    </row>
    <row r="936" spans="2:5" x14ac:dyDescent="0.25">
      <c r="B936" s="213" t="s">
        <v>2791</v>
      </c>
      <c r="C936" s="214">
        <v>2019</v>
      </c>
      <c r="D936" s="214">
        <v>3</v>
      </c>
      <c r="E936" s="214">
        <v>32</v>
      </c>
    </row>
    <row r="937" spans="2:5" x14ac:dyDescent="0.25">
      <c r="B937" s="213" t="s">
        <v>2791</v>
      </c>
      <c r="C937" s="214">
        <v>2019</v>
      </c>
      <c r="D937" s="214">
        <v>1</v>
      </c>
      <c r="E937" s="214">
        <v>10</v>
      </c>
    </row>
    <row r="938" spans="2:5" x14ac:dyDescent="0.25">
      <c r="B938" s="213" t="s">
        <v>2791</v>
      </c>
      <c r="C938" s="214">
        <v>2019</v>
      </c>
      <c r="D938" s="214">
        <v>7</v>
      </c>
      <c r="E938" s="214">
        <v>9</v>
      </c>
    </row>
    <row r="939" spans="2:5" x14ac:dyDescent="0.25">
      <c r="B939" s="213" t="s">
        <v>2791</v>
      </c>
      <c r="C939" s="214">
        <v>2019</v>
      </c>
      <c r="D939" s="214">
        <v>8</v>
      </c>
      <c r="E939" s="214">
        <v>6</v>
      </c>
    </row>
    <row r="940" spans="2:5" x14ac:dyDescent="0.25">
      <c r="B940" s="213" t="s">
        <v>2791</v>
      </c>
      <c r="C940" s="214">
        <v>2019</v>
      </c>
      <c r="D940" s="214">
        <v>4</v>
      </c>
      <c r="E940" s="214">
        <v>4</v>
      </c>
    </row>
    <row r="941" spans="2:5" x14ac:dyDescent="0.25">
      <c r="B941" s="213" t="s">
        <v>2791</v>
      </c>
      <c r="C941" s="214">
        <v>2019</v>
      </c>
      <c r="D941" s="214">
        <v>6</v>
      </c>
      <c r="E941" s="214">
        <v>4</v>
      </c>
    </row>
    <row r="942" spans="2:5" x14ac:dyDescent="0.25">
      <c r="B942" s="213" t="s">
        <v>2791</v>
      </c>
      <c r="C942" s="214">
        <v>2019</v>
      </c>
      <c r="D942" s="214">
        <v>5</v>
      </c>
      <c r="E942" s="214">
        <v>3</v>
      </c>
    </row>
    <row r="943" spans="2:5" x14ac:dyDescent="0.25">
      <c r="B943" s="213" t="s">
        <v>2791</v>
      </c>
      <c r="C943" s="214">
        <v>2019</v>
      </c>
      <c r="D943" s="214">
        <v>10</v>
      </c>
      <c r="E943" s="214">
        <v>3</v>
      </c>
    </row>
    <row r="944" spans="2:5" x14ac:dyDescent="0.25">
      <c r="B944" s="213" t="s">
        <v>2924</v>
      </c>
      <c r="C944" s="214">
        <v>2019</v>
      </c>
      <c r="D944" s="214">
        <v>3</v>
      </c>
      <c r="E944" s="214">
        <v>14</v>
      </c>
    </row>
    <row r="945" spans="2:5" x14ac:dyDescent="0.25">
      <c r="B945" s="213" t="s">
        <v>2924</v>
      </c>
      <c r="C945" s="214">
        <v>2019</v>
      </c>
      <c r="D945" s="214">
        <v>6</v>
      </c>
      <c r="E945" s="214">
        <v>5</v>
      </c>
    </row>
    <row r="946" spans="2:5" x14ac:dyDescent="0.25">
      <c r="B946" s="213" t="s">
        <v>2924</v>
      </c>
      <c r="C946" s="214">
        <v>2019</v>
      </c>
      <c r="D946" s="214">
        <v>1</v>
      </c>
      <c r="E946" s="214">
        <v>3</v>
      </c>
    </row>
    <row r="947" spans="2:5" x14ac:dyDescent="0.25">
      <c r="B947" s="213" t="s">
        <v>2924</v>
      </c>
      <c r="C947" s="214">
        <v>2019</v>
      </c>
      <c r="D947" s="214">
        <v>10</v>
      </c>
      <c r="E947" s="214">
        <v>3</v>
      </c>
    </row>
    <row r="948" spans="2:5" x14ac:dyDescent="0.25">
      <c r="B948" s="213" t="s">
        <v>2924</v>
      </c>
      <c r="C948" s="214">
        <v>2019</v>
      </c>
      <c r="D948" s="214">
        <v>4</v>
      </c>
      <c r="E948" s="214">
        <v>2</v>
      </c>
    </row>
    <row r="949" spans="2:5" x14ac:dyDescent="0.25">
      <c r="B949" s="213" t="s">
        <v>2924</v>
      </c>
      <c r="C949" s="214">
        <v>2019</v>
      </c>
      <c r="D949" s="214">
        <v>5</v>
      </c>
      <c r="E949" s="214">
        <v>2</v>
      </c>
    </row>
    <row r="950" spans="2:5" x14ac:dyDescent="0.25">
      <c r="B950" s="213" t="s">
        <v>2924</v>
      </c>
      <c r="C950" s="214">
        <v>2019</v>
      </c>
      <c r="D950" s="214">
        <v>7</v>
      </c>
      <c r="E950" s="214">
        <v>2</v>
      </c>
    </row>
    <row r="951" spans="2:5" x14ac:dyDescent="0.25">
      <c r="B951" s="213" t="s">
        <v>2924</v>
      </c>
      <c r="C951" s="214">
        <v>2019</v>
      </c>
      <c r="D951" s="214">
        <v>8</v>
      </c>
      <c r="E951" s="214">
        <v>2</v>
      </c>
    </row>
    <row r="952" spans="2:5" x14ac:dyDescent="0.25">
      <c r="B952" s="213" t="s">
        <v>2950</v>
      </c>
      <c r="C952" s="214">
        <v>2019</v>
      </c>
      <c r="D952" s="214">
        <v>4</v>
      </c>
      <c r="E952" s="214">
        <v>2</v>
      </c>
    </row>
    <row r="953" spans="2:5" x14ac:dyDescent="0.25">
      <c r="B953" s="213" t="s">
        <v>2950</v>
      </c>
      <c r="C953" s="214">
        <v>2019</v>
      </c>
      <c r="D953" s="214">
        <v>6</v>
      </c>
      <c r="E953" s="214">
        <v>2</v>
      </c>
    </row>
    <row r="954" spans="2:5" x14ac:dyDescent="0.25">
      <c r="B954" s="213" t="s">
        <v>2950</v>
      </c>
      <c r="C954" s="214">
        <v>2019</v>
      </c>
      <c r="D954" s="214">
        <v>2</v>
      </c>
      <c r="E954" s="214">
        <v>1</v>
      </c>
    </row>
    <row r="955" spans="2:5" x14ac:dyDescent="0.25">
      <c r="B955" s="213" t="s">
        <v>2950</v>
      </c>
      <c r="C955" s="214">
        <v>2019</v>
      </c>
      <c r="D955" s="214">
        <v>7</v>
      </c>
      <c r="E955" s="214">
        <v>1</v>
      </c>
    </row>
    <row r="956" spans="2:5" x14ac:dyDescent="0.25">
      <c r="B956" s="213" t="s">
        <v>2950</v>
      </c>
      <c r="C956" s="214">
        <v>2019</v>
      </c>
      <c r="D956" s="214">
        <v>9</v>
      </c>
      <c r="E956" s="214">
        <v>1</v>
      </c>
    </row>
    <row r="957" spans="2:5" x14ac:dyDescent="0.25">
      <c r="B957" s="213" t="s">
        <v>2950</v>
      </c>
      <c r="C957" s="214">
        <v>2019</v>
      </c>
      <c r="D957" s="214">
        <v>11</v>
      </c>
      <c r="E957" s="214">
        <v>1</v>
      </c>
    </row>
    <row r="958" spans="2:5" x14ac:dyDescent="0.25">
      <c r="B958" s="213" t="s">
        <v>2792</v>
      </c>
      <c r="C958" s="214">
        <v>2019</v>
      </c>
      <c r="D958" s="214">
        <v>5</v>
      </c>
      <c r="E958" s="214">
        <v>22</v>
      </c>
    </row>
    <row r="959" spans="2:5" x14ac:dyDescent="0.25">
      <c r="B959" s="213" t="s">
        <v>2792</v>
      </c>
      <c r="C959" s="214">
        <v>2019</v>
      </c>
      <c r="D959" s="214">
        <v>10</v>
      </c>
      <c r="E959" s="214">
        <v>11</v>
      </c>
    </row>
    <row r="960" spans="2:5" x14ac:dyDescent="0.25">
      <c r="B960" s="213" t="s">
        <v>2792</v>
      </c>
      <c r="C960" s="214">
        <v>2019</v>
      </c>
      <c r="D960" s="214">
        <v>2</v>
      </c>
      <c r="E960" s="214">
        <v>6</v>
      </c>
    </row>
    <row r="961" spans="2:5" x14ac:dyDescent="0.25">
      <c r="B961" s="213" t="s">
        <v>2792</v>
      </c>
      <c r="C961" s="214">
        <v>2019</v>
      </c>
      <c r="D961" s="214">
        <v>4</v>
      </c>
      <c r="E961" s="214">
        <v>5</v>
      </c>
    </row>
    <row r="962" spans="2:5" x14ac:dyDescent="0.25">
      <c r="B962" s="213" t="s">
        <v>2792</v>
      </c>
      <c r="C962" s="214">
        <v>2019</v>
      </c>
      <c r="D962" s="214">
        <v>1</v>
      </c>
      <c r="E962" s="214">
        <v>4</v>
      </c>
    </row>
    <row r="963" spans="2:5" x14ac:dyDescent="0.25">
      <c r="B963" s="213" t="s">
        <v>2792</v>
      </c>
      <c r="C963" s="214">
        <v>2019</v>
      </c>
      <c r="D963" s="214">
        <v>6</v>
      </c>
      <c r="E963" s="214">
        <v>3</v>
      </c>
    </row>
    <row r="964" spans="2:5" x14ac:dyDescent="0.25">
      <c r="B964" s="213" t="s">
        <v>2792</v>
      </c>
      <c r="C964" s="214">
        <v>2019</v>
      </c>
      <c r="D964" s="214">
        <v>12</v>
      </c>
      <c r="E964" s="214">
        <v>3</v>
      </c>
    </row>
    <row r="965" spans="2:5" x14ac:dyDescent="0.25">
      <c r="B965" s="213" t="s">
        <v>2792</v>
      </c>
      <c r="C965" s="214">
        <v>2019</v>
      </c>
      <c r="D965" s="214">
        <v>3</v>
      </c>
      <c r="E965" s="214">
        <v>2</v>
      </c>
    </row>
    <row r="966" spans="2:5" x14ac:dyDescent="0.25">
      <c r="B966" s="213" t="s">
        <v>2792</v>
      </c>
      <c r="C966" s="214">
        <v>2019</v>
      </c>
      <c r="D966" s="214">
        <v>8</v>
      </c>
      <c r="E966" s="214">
        <v>2</v>
      </c>
    </row>
    <row r="967" spans="2:5" x14ac:dyDescent="0.25">
      <c r="B967" s="213" t="s">
        <v>2792</v>
      </c>
      <c r="C967" s="214">
        <v>2019</v>
      </c>
      <c r="D967" s="214">
        <v>9</v>
      </c>
      <c r="E967" s="214">
        <v>2</v>
      </c>
    </row>
    <row r="968" spans="2:5" x14ac:dyDescent="0.25">
      <c r="B968" s="213" t="s">
        <v>2792</v>
      </c>
      <c r="C968" s="214">
        <v>2019</v>
      </c>
      <c r="D968" s="214">
        <v>7</v>
      </c>
      <c r="E968" s="214">
        <v>1</v>
      </c>
    </row>
    <row r="969" spans="2:5" x14ac:dyDescent="0.25">
      <c r="B969" s="213" t="s">
        <v>989</v>
      </c>
      <c r="C969" s="214">
        <v>2019</v>
      </c>
      <c r="D969" s="214">
        <v>10</v>
      </c>
      <c r="E969" s="214">
        <v>379</v>
      </c>
    </row>
    <row r="970" spans="2:5" x14ac:dyDescent="0.25">
      <c r="B970" s="213" t="s">
        <v>989</v>
      </c>
      <c r="C970" s="214">
        <v>2019</v>
      </c>
      <c r="D970" s="214">
        <v>4</v>
      </c>
      <c r="E970" s="214">
        <v>365</v>
      </c>
    </row>
    <row r="971" spans="2:5" x14ac:dyDescent="0.25">
      <c r="B971" s="213" t="s">
        <v>989</v>
      </c>
      <c r="C971" s="214">
        <v>2019</v>
      </c>
      <c r="D971" s="214">
        <v>9</v>
      </c>
      <c r="E971" s="214">
        <v>346</v>
      </c>
    </row>
    <row r="972" spans="2:5" x14ac:dyDescent="0.25">
      <c r="B972" s="213" t="s">
        <v>989</v>
      </c>
      <c r="C972" s="214">
        <v>2019</v>
      </c>
      <c r="D972" s="214">
        <v>1</v>
      </c>
      <c r="E972" s="214">
        <v>319</v>
      </c>
    </row>
    <row r="973" spans="2:5" x14ac:dyDescent="0.25">
      <c r="B973" s="213" t="s">
        <v>989</v>
      </c>
      <c r="C973" s="214">
        <v>2019</v>
      </c>
      <c r="D973" s="214">
        <v>3</v>
      </c>
      <c r="E973" s="214">
        <v>303</v>
      </c>
    </row>
    <row r="974" spans="2:5" x14ac:dyDescent="0.25">
      <c r="B974" s="213" t="s">
        <v>989</v>
      </c>
      <c r="C974" s="214">
        <v>2019</v>
      </c>
      <c r="D974" s="214">
        <v>12</v>
      </c>
      <c r="E974" s="214">
        <v>290</v>
      </c>
    </row>
    <row r="975" spans="2:5" x14ac:dyDescent="0.25">
      <c r="B975" s="213" t="s">
        <v>989</v>
      </c>
      <c r="C975" s="214">
        <v>2019</v>
      </c>
      <c r="D975" s="214">
        <v>7</v>
      </c>
      <c r="E975" s="214">
        <v>227</v>
      </c>
    </row>
    <row r="976" spans="2:5" x14ac:dyDescent="0.25">
      <c r="B976" s="213" t="s">
        <v>989</v>
      </c>
      <c r="C976" s="214">
        <v>2019</v>
      </c>
      <c r="D976" s="214">
        <v>2</v>
      </c>
      <c r="E976" s="214">
        <v>223</v>
      </c>
    </row>
    <row r="977" spans="2:5" x14ac:dyDescent="0.25">
      <c r="B977" s="213" t="s">
        <v>989</v>
      </c>
      <c r="C977" s="214">
        <v>2019</v>
      </c>
      <c r="D977" s="214">
        <v>11</v>
      </c>
      <c r="E977" s="214">
        <v>212</v>
      </c>
    </row>
    <row r="978" spans="2:5" x14ac:dyDescent="0.25">
      <c r="B978" s="213" t="s">
        <v>989</v>
      </c>
      <c r="C978" s="214">
        <v>2019</v>
      </c>
      <c r="D978" s="214">
        <v>5</v>
      </c>
      <c r="E978" s="214">
        <v>199</v>
      </c>
    </row>
    <row r="979" spans="2:5" x14ac:dyDescent="0.25">
      <c r="B979" s="213" t="s">
        <v>989</v>
      </c>
      <c r="C979" s="214">
        <v>2019</v>
      </c>
      <c r="D979" s="214">
        <v>8</v>
      </c>
      <c r="E979" s="214">
        <v>175</v>
      </c>
    </row>
    <row r="980" spans="2:5" x14ac:dyDescent="0.25">
      <c r="B980" s="213" t="s">
        <v>989</v>
      </c>
      <c r="C980" s="214">
        <v>2019</v>
      </c>
      <c r="D980" s="214">
        <v>6</v>
      </c>
      <c r="E980" s="214">
        <v>136</v>
      </c>
    </row>
    <row r="981" spans="2:5" x14ac:dyDescent="0.25">
      <c r="B981" s="213" t="s">
        <v>2956</v>
      </c>
      <c r="C981" s="214">
        <v>2019</v>
      </c>
      <c r="D981" s="214">
        <v>5</v>
      </c>
      <c r="E981" s="214">
        <v>3</v>
      </c>
    </row>
    <row r="982" spans="2:5" x14ac:dyDescent="0.25">
      <c r="B982" s="213" t="s">
        <v>2956</v>
      </c>
      <c r="C982" s="214">
        <v>2019</v>
      </c>
      <c r="D982" s="214">
        <v>7</v>
      </c>
      <c r="E982" s="214">
        <v>2</v>
      </c>
    </row>
    <row r="983" spans="2:5" x14ac:dyDescent="0.25">
      <c r="B983" s="213" t="s">
        <v>2956</v>
      </c>
      <c r="C983" s="214">
        <v>2019</v>
      </c>
      <c r="D983" s="214">
        <v>4</v>
      </c>
      <c r="E983" s="214">
        <v>1</v>
      </c>
    </row>
    <row r="984" spans="2:5" x14ac:dyDescent="0.25">
      <c r="B984" s="213" t="s">
        <v>2793</v>
      </c>
      <c r="C984" s="214">
        <v>2019</v>
      </c>
      <c r="D984" s="214">
        <v>9</v>
      </c>
      <c r="E984" s="214">
        <v>15</v>
      </c>
    </row>
    <row r="985" spans="2:5" x14ac:dyDescent="0.25">
      <c r="B985" s="213" t="s">
        <v>2793</v>
      </c>
      <c r="C985" s="214">
        <v>2019</v>
      </c>
      <c r="D985" s="214">
        <v>7</v>
      </c>
      <c r="E985" s="214">
        <v>14</v>
      </c>
    </row>
    <row r="986" spans="2:5" x14ac:dyDescent="0.25">
      <c r="B986" s="213" t="s">
        <v>2793</v>
      </c>
      <c r="C986" s="214">
        <v>2019</v>
      </c>
      <c r="D986" s="214">
        <v>10</v>
      </c>
      <c r="E986" s="214">
        <v>13</v>
      </c>
    </row>
    <row r="987" spans="2:5" x14ac:dyDescent="0.25">
      <c r="B987" s="213" t="s">
        <v>2793</v>
      </c>
      <c r="C987" s="214">
        <v>2019</v>
      </c>
      <c r="D987" s="214">
        <v>3</v>
      </c>
      <c r="E987" s="214">
        <v>6</v>
      </c>
    </row>
    <row r="988" spans="2:5" x14ac:dyDescent="0.25">
      <c r="B988" s="213" t="s">
        <v>2793</v>
      </c>
      <c r="C988" s="214">
        <v>2019</v>
      </c>
      <c r="D988" s="214">
        <v>8</v>
      </c>
      <c r="E988" s="214">
        <v>6</v>
      </c>
    </row>
    <row r="989" spans="2:5" x14ac:dyDescent="0.25">
      <c r="B989" s="213" t="s">
        <v>2793</v>
      </c>
      <c r="C989" s="214">
        <v>2019</v>
      </c>
      <c r="D989" s="214">
        <v>4</v>
      </c>
      <c r="E989" s="214">
        <v>5</v>
      </c>
    </row>
    <row r="990" spans="2:5" x14ac:dyDescent="0.25">
      <c r="B990" s="213" t="s">
        <v>2793</v>
      </c>
      <c r="C990" s="214">
        <v>2019</v>
      </c>
      <c r="D990" s="214">
        <v>6</v>
      </c>
      <c r="E990" s="214">
        <v>5</v>
      </c>
    </row>
    <row r="991" spans="2:5" x14ac:dyDescent="0.25">
      <c r="B991" s="213" t="s">
        <v>2793</v>
      </c>
      <c r="C991" s="214">
        <v>2019</v>
      </c>
      <c r="D991" s="214">
        <v>5</v>
      </c>
      <c r="E991" s="214">
        <v>4</v>
      </c>
    </row>
    <row r="992" spans="2:5" x14ac:dyDescent="0.25">
      <c r="B992" s="213" t="s">
        <v>2793</v>
      </c>
      <c r="C992" s="214">
        <v>2019</v>
      </c>
      <c r="D992" s="214">
        <v>2</v>
      </c>
      <c r="E992" s="214">
        <v>1</v>
      </c>
    </row>
    <row r="993" spans="2:5" x14ac:dyDescent="0.25">
      <c r="B993" s="213" t="s">
        <v>2794</v>
      </c>
      <c r="C993" s="214">
        <v>2019</v>
      </c>
      <c r="D993" s="214">
        <v>4</v>
      </c>
      <c r="E993" s="214">
        <v>15</v>
      </c>
    </row>
    <row r="994" spans="2:5" x14ac:dyDescent="0.25">
      <c r="B994" s="213" t="s">
        <v>2794</v>
      </c>
      <c r="C994" s="214">
        <v>2019</v>
      </c>
      <c r="D994" s="214">
        <v>9</v>
      </c>
      <c r="E994" s="214">
        <v>9</v>
      </c>
    </row>
    <row r="995" spans="2:5" x14ac:dyDescent="0.25">
      <c r="B995" s="213" t="s">
        <v>2794</v>
      </c>
      <c r="C995" s="214">
        <v>2019</v>
      </c>
      <c r="D995" s="214">
        <v>2</v>
      </c>
      <c r="E995" s="214">
        <v>7</v>
      </c>
    </row>
    <row r="996" spans="2:5" x14ac:dyDescent="0.25">
      <c r="B996" s="213" t="s">
        <v>2794</v>
      </c>
      <c r="C996" s="214">
        <v>2019</v>
      </c>
      <c r="D996" s="214">
        <v>3</v>
      </c>
      <c r="E996" s="214">
        <v>6</v>
      </c>
    </row>
    <row r="997" spans="2:5" x14ac:dyDescent="0.25">
      <c r="B997" s="213" t="s">
        <v>2794</v>
      </c>
      <c r="C997" s="214">
        <v>2019</v>
      </c>
      <c r="D997" s="214">
        <v>6</v>
      </c>
      <c r="E997" s="214">
        <v>6</v>
      </c>
    </row>
    <row r="998" spans="2:5" x14ac:dyDescent="0.25">
      <c r="B998" s="213" t="s">
        <v>2794</v>
      </c>
      <c r="C998" s="214">
        <v>2019</v>
      </c>
      <c r="D998" s="214">
        <v>8</v>
      </c>
      <c r="E998" s="214">
        <v>6</v>
      </c>
    </row>
    <row r="999" spans="2:5" x14ac:dyDescent="0.25">
      <c r="B999" s="213" t="s">
        <v>2794</v>
      </c>
      <c r="C999" s="214">
        <v>2019</v>
      </c>
      <c r="D999" s="214">
        <v>11</v>
      </c>
      <c r="E999" s="214">
        <v>5</v>
      </c>
    </row>
    <row r="1000" spans="2:5" x14ac:dyDescent="0.25">
      <c r="B1000" s="213" t="s">
        <v>2794</v>
      </c>
      <c r="C1000" s="214">
        <v>2019</v>
      </c>
      <c r="D1000" s="214">
        <v>7</v>
      </c>
      <c r="E1000" s="214">
        <v>4</v>
      </c>
    </row>
    <row r="1001" spans="2:5" x14ac:dyDescent="0.25">
      <c r="B1001" s="213" t="s">
        <v>2794</v>
      </c>
      <c r="C1001" s="214">
        <v>2019</v>
      </c>
      <c r="D1001" s="214">
        <v>10</v>
      </c>
      <c r="E1001" s="214">
        <v>4</v>
      </c>
    </row>
    <row r="1002" spans="2:5" x14ac:dyDescent="0.25">
      <c r="B1002" s="213" t="s">
        <v>2794</v>
      </c>
      <c r="C1002" s="214">
        <v>2019</v>
      </c>
      <c r="D1002" s="214">
        <v>1</v>
      </c>
      <c r="E1002" s="214">
        <v>1</v>
      </c>
    </row>
    <row r="1003" spans="2:5" x14ac:dyDescent="0.25">
      <c r="B1003" s="213" t="s">
        <v>2794</v>
      </c>
      <c r="C1003" s="214">
        <v>2019</v>
      </c>
      <c r="D1003" s="214">
        <v>5</v>
      </c>
      <c r="E1003" s="214">
        <v>1</v>
      </c>
    </row>
    <row r="1004" spans="2:5" x14ac:dyDescent="0.25">
      <c r="B1004" s="213" t="s">
        <v>2794</v>
      </c>
      <c r="C1004" s="214">
        <v>2019</v>
      </c>
      <c r="D1004" s="214">
        <v>12</v>
      </c>
      <c r="E1004" s="214">
        <v>1</v>
      </c>
    </row>
    <row r="1005" spans="2:5" x14ac:dyDescent="0.25">
      <c r="B1005" s="213" t="s">
        <v>2795</v>
      </c>
      <c r="C1005" s="214">
        <v>2019</v>
      </c>
      <c r="D1005" s="214">
        <v>3</v>
      </c>
      <c r="E1005" s="214">
        <v>231</v>
      </c>
    </row>
    <row r="1006" spans="2:5" x14ac:dyDescent="0.25">
      <c r="B1006" s="213" t="s">
        <v>2795</v>
      </c>
      <c r="C1006" s="214">
        <v>2019</v>
      </c>
      <c r="D1006" s="214">
        <v>9</v>
      </c>
      <c r="E1006" s="214">
        <v>202</v>
      </c>
    </row>
    <row r="1007" spans="2:5" x14ac:dyDescent="0.25">
      <c r="B1007" s="213" t="s">
        <v>2795</v>
      </c>
      <c r="C1007" s="214">
        <v>2019</v>
      </c>
      <c r="D1007" s="214">
        <v>1</v>
      </c>
      <c r="E1007" s="214">
        <v>174</v>
      </c>
    </row>
    <row r="1008" spans="2:5" x14ac:dyDescent="0.25">
      <c r="B1008" s="213" t="s">
        <v>2795</v>
      </c>
      <c r="C1008" s="214">
        <v>2019</v>
      </c>
      <c r="D1008" s="214">
        <v>8</v>
      </c>
      <c r="E1008" s="214">
        <v>160</v>
      </c>
    </row>
    <row r="1009" spans="2:5" x14ac:dyDescent="0.25">
      <c r="B1009" s="213" t="s">
        <v>2795</v>
      </c>
      <c r="C1009" s="214">
        <v>2019</v>
      </c>
      <c r="D1009" s="214">
        <v>4</v>
      </c>
      <c r="E1009" s="214">
        <v>150</v>
      </c>
    </row>
    <row r="1010" spans="2:5" x14ac:dyDescent="0.25">
      <c r="B1010" s="213" t="s">
        <v>2795</v>
      </c>
      <c r="C1010" s="214">
        <v>2019</v>
      </c>
      <c r="D1010" s="214">
        <v>5</v>
      </c>
      <c r="E1010" s="214">
        <v>120</v>
      </c>
    </row>
    <row r="1011" spans="2:5" x14ac:dyDescent="0.25">
      <c r="B1011" s="213" t="s">
        <v>2795</v>
      </c>
      <c r="C1011" s="214">
        <v>2019</v>
      </c>
      <c r="D1011" s="214">
        <v>7</v>
      </c>
      <c r="E1011" s="214">
        <v>109</v>
      </c>
    </row>
    <row r="1012" spans="2:5" x14ac:dyDescent="0.25">
      <c r="B1012" s="213" t="s">
        <v>2795</v>
      </c>
      <c r="C1012" s="214">
        <v>2019</v>
      </c>
      <c r="D1012" s="214">
        <v>6</v>
      </c>
      <c r="E1012" s="214">
        <v>108</v>
      </c>
    </row>
    <row r="1013" spans="2:5" x14ac:dyDescent="0.25">
      <c r="B1013" s="213" t="s">
        <v>2795</v>
      </c>
      <c r="C1013" s="214">
        <v>2019</v>
      </c>
      <c r="D1013" s="214">
        <v>11</v>
      </c>
      <c r="E1013" s="214">
        <v>103</v>
      </c>
    </row>
    <row r="1014" spans="2:5" x14ac:dyDescent="0.25">
      <c r="B1014" s="213" t="s">
        <v>2795</v>
      </c>
      <c r="C1014" s="214">
        <v>2019</v>
      </c>
      <c r="D1014" s="214">
        <v>12</v>
      </c>
      <c r="E1014" s="214">
        <v>102</v>
      </c>
    </row>
    <row r="1015" spans="2:5" x14ac:dyDescent="0.25">
      <c r="B1015" s="213" t="s">
        <v>2795</v>
      </c>
      <c r="C1015" s="214">
        <v>2019</v>
      </c>
      <c r="D1015" s="214">
        <v>10</v>
      </c>
      <c r="E1015" s="214">
        <v>101</v>
      </c>
    </row>
    <row r="1016" spans="2:5" x14ac:dyDescent="0.25">
      <c r="B1016" s="213" t="s">
        <v>2795</v>
      </c>
      <c r="C1016" s="214">
        <v>2019</v>
      </c>
      <c r="D1016" s="214">
        <v>2</v>
      </c>
      <c r="E1016" s="214">
        <v>15</v>
      </c>
    </row>
    <row r="1017" spans="2:5" x14ac:dyDescent="0.25">
      <c r="B1017" s="213" t="s">
        <v>2971</v>
      </c>
      <c r="C1017" s="214">
        <v>2019</v>
      </c>
      <c r="D1017" s="214">
        <v>4</v>
      </c>
      <c r="E1017" s="214">
        <v>1</v>
      </c>
    </row>
    <row r="1018" spans="2:5" x14ac:dyDescent="0.25">
      <c r="B1018" s="213" t="s">
        <v>2796</v>
      </c>
      <c r="C1018" s="214">
        <v>2019</v>
      </c>
      <c r="D1018" s="214">
        <v>7</v>
      </c>
      <c r="E1018" s="214">
        <v>42</v>
      </c>
    </row>
    <row r="1019" spans="2:5" x14ac:dyDescent="0.25">
      <c r="B1019" s="213" t="s">
        <v>2796</v>
      </c>
      <c r="C1019" s="214">
        <v>2019</v>
      </c>
      <c r="D1019" s="214">
        <v>1</v>
      </c>
      <c r="E1019" s="214">
        <v>40</v>
      </c>
    </row>
    <row r="1020" spans="2:5" x14ac:dyDescent="0.25">
      <c r="B1020" s="213" t="s">
        <v>2796</v>
      </c>
      <c r="C1020" s="214">
        <v>2019</v>
      </c>
      <c r="D1020" s="214">
        <v>8</v>
      </c>
      <c r="E1020" s="214">
        <v>40</v>
      </c>
    </row>
    <row r="1021" spans="2:5" x14ac:dyDescent="0.25">
      <c r="B1021" s="213" t="s">
        <v>2796</v>
      </c>
      <c r="C1021" s="214">
        <v>2019</v>
      </c>
      <c r="D1021" s="214">
        <v>10</v>
      </c>
      <c r="E1021" s="214">
        <v>28</v>
      </c>
    </row>
    <row r="1022" spans="2:5" x14ac:dyDescent="0.25">
      <c r="B1022" s="213" t="s">
        <v>2796</v>
      </c>
      <c r="C1022" s="214">
        <v>2019</v>
      </c>
      <c r="D1022" s="214">
        <v>12</v>
      </c>
      <c r="E1022" s="214">
        <v>28</v>
      </c>
    </row>
    <row r="1023" spans="2:5" x14ac:dyDescent="0.25">
      <c r="B1023" s="213" t="s">
        <v>2796</v>
      </c>
      <c r="C1023" s="214">
        <v>2019</v>
      </c>
      <c r="D1023" s="214">
        <v>11</v>
      </c>
      <c r="E1023" s="214">
        <v>23</v>
      </c>
    </row>
    <row r="1024" spans="2:5" x14ac:dyDescent="0.25">
      <c r="B1024" s="213" t="s">
        <v>2796</v>
      </c>
      <c r="C1024" s="214">
        <v>2019</v>
      </c>
      <c r="D1024" s="214">
        <v>5</v>
      </c>
      <c r="E1024" s="214">
        <v>20</v>
      </c>
    </row>
    <row r="1025" spans="2:5" x14ac:dyDescent="0.25">
      <c r="B1025" s="213" t="s">
        <v>2796</v>
      </c>
      <c r="C1025" s="214">
        <v>2019</v>
      </c>
      <c r="D1025" s="214">
        <v>6</v>
      </c>
      <c r="E1025" s="214">
        <v>18</v>
      </c>
    </row>
    <row r="1026" spans="2:5" x14ac:dyDescent="0.25">
      <c r="B1026" s="213" t="s">
        <v>2796</v>
      </c>
      <c r="C1026" s="214">
        <v>2019</v>
      </c>
      <c r="D1026" s="214">
        <v>9</v>
      </c>
      <c r="E1026" s="214">
        <v>15</v>
      </c>
    </row>
    <row r="1027" spans="2:5" x14ac:dyDescent="0.25">
      <c r="B1027" s="213" t="s">
        <v>2796</v>
      </c>
      <c r="C1027" s="214">
        <v>2019</v>
      </c>
      <c r="D1027" s="214">
        <v>4</v>
      </c>
      <c r="E1027" s="214">
        <v>11</v>
      </c>
    </row>
    <row r="1028" spans="2:5" x14ac:dyDescent="0.25">
      <c r="B1028" s="213" t="s">
        <v>2796</v>
      </c>
      <c r="C1028" s="214">
        <v>2019</v>
      </c>
      <c r="D1028" s="214">
        <v>2</v>
      </c>
      <c r="E1028" s="214">
        <v>8</v>
      </c>
    </row>
    <row r="1029" spans="2:5" x14ac:dyDescent="0.25">
      <c r="B1029" s="213" t="s">
        <v>2796</v>
      </c>
      <c r="C1029" s="214">
        <v>2019</v>
      </c>
      <c r="D1029" s="214">
        <v>3</v>
      </c>
      <c r="E1029" s="214">
        <v>7</v>
      </c>
    </row>
    <row r="1030" spans="2:5" x14ac:dyDescent="0.25">
      <c r="B1030" s="213" t="s">
        <v>2797</v>
      </c>
      <c r="C1030" s="214">
        <v>2019</v>
      </c>
      <c r="D1030" s="214">
        <v>6</v>
      </c>
      <c r="E1030" s="214">
        <v>5</v>
      </c>
    </row>
    <row r="1031" spans="2:5" x14ac:dyDescent="0.25">
      <c r="B1031" s="213" t="s">
        <v>2797</v>
      </c>
      <c r="C1031" s="214">
        <v>2019</v>
      </c>
      <c r="D1031" s="214">
        <v>8</v>
      </c>
      <c r="E1031" s="214">
        <v>2</v>
      </c>
    </row>
    <row r="1032" spans="2:5" x14ac:dyDescent="0.25">
      <c r="B1032" s="213" t="s">
        <v>2797</v>
      </c>
      <c r="C1032" s="214">
        <v>2019</v>
      </c>
      <c r="D1032" s="214">
        <v>2</v>
      </c>
      <c r="E1032" s="214">
        <v>1</v>
      </c>
    </row>
    <row r="1033" spans="2:5" x14ac:dyDescent="0.25">
      <c r="B1033" s="213" t="s">
        <v>2797</v>
      </c>
      <c r="C1033" s="214">
        <v>2019</v>
      </c>
      <c r="D1033" s="214">
        <v>3</v>
      </c>
      <c r="E1033" s="214">
        <v>1</v>
      </c>
    </row>
    <row r="1034" spans="2:5" x14ac:dyDescent="0.25">
      <c r="B1034" s="213" t="s">
        <v>2797</v>
      </c>
      <c r="C1034" s="214">
        <v>2019</v>
      </c>
      <c r="D1034" s="214">
        <v>5</v>
      </c>
      <c r="E1034" s="214">
        <v>1</v>
      </c>
    </row>
    <row r="1035" spans="2:5" x14ac:dyDescent="0.25">
      <c r="B1035" s="213" t="s">
        <v>2797</v>
      </c>
      <c r="C1035" s="214">
        <v>2019</v>
      </c>
      <c r="D1035" s="214">
        <v>7</v>
      </c>
      <c r="E1035" s="214">
        <v>1</v>
      </c>
    </row>
    <row r="1036" spans="2:5" x14ac:dyDescent="0.25">
      <c r="B1036" s="213" t="s">
        <v>2915</v>
      </c>
      <c r="C1036" s="214">
        <v>2019</v>
      </c>
      <c r="D1036" s="214">
        <v>1</v>
      </c>
      <c r="E1036" s="214">
        <v>7</v>
      </c>
    </row>
    <row r="1037" spans="2:5" x14ac:dyDescent="0.25">
      <c r="B1037" s="213" t="s">
        <v>2915</v>
      </c>
      <c r="C1037" s="214">
        <v>2019</v>
      </c>
      <c r="D1037" s="214">
        <v>4</v>
      </c>
      <c r="E1037" s="214">
        <v>7</v>
      </c>
    </row>
    <row r="1038" spans="2:5" x14ac:dyDescent="0.25">
      <c r="B1038" s="213" t="s">
        <v>2915</v>
      </c>
      <c r="C1038" s="214">
        <v>2019</v>
      </c>
      <c r="D1038" s="214">
        <v>5</v>
      </c>
      <c r="E1038" s="214">
        <v>7</v>
      </c>
    </row>
    <row r="1039" spans="2:5" x14ac:dyDescent="0.25">
      <c r="B1039" s="213" t="s">
        <v>2915</v>
      </c>
      <c r="C1039" s="214">
        <v>2019</v>
      </c>
      <c r="D1039" s="214">
        <v>7</v>
      </c>
      <c r="E1039" s="214">
        <v>6</v>
      </c>
    </row>
    <row r="1040" spans="2:5" x14ac:dyDescent="0.25">
      <c r="B1040" s="213" t="s">
        <v>2915</v>
      </c>
      <c r="C1040" s="214">
        <v>2019</v>
      </c>
      <c r="D1040" s="214">
        <v>8</v>
      </c>
      <c r="E1040" s="214">
        <v>6</v>
      </c>
    </row>
    <row r="1041" spans="2:5" x14ac:dyDescent="0.25">
      <c r="B1041" s="213" t="s">
        <v>2915</v>
      </c>
      <c r="C1041" s="214">
        <v>2019</v>
      </c>
      <c r="D1041" s="214">
        <v>9</v>
      </c>
      <c r="E1041" s="214">
        <v>6</v>
      </c>
    </row>
    <row r="1042" spans="2:5" x14ac:dyDescent="0.25">
      <c r="B1042" s="213" t="s">
        <v>2915</v>
      </c>
      <c r="C1042" s="214">
        <v>2019</v>
      </c>
      <c r="D1042" s="214">
        <v>2</v>
      </c>
      <c r="E1042" s="214">
        <v>5</v>
      </c>
    </row>
    <row r="1043" spans="2:5" x14ac:dyDescent="0.25">
      <c r="B1043" s="213" t="s">
        <v>2915</v>
      </c>
      <c r="C1043" s="214">
        <v>2019</v>
      </c>
      <c r="D1043" s="214">
        <v>6</v>
      </c>
      <c r="E1043" s="214">
        <v>3</v>
      </c>
    </row>
    <row r="1044" spans="2:5" x14ac:dyDescent="0.25">
      <c r="B1044" s="213" t="s">
        <v>2915</v>
      </c>
      <c r="C1044" s="214">
        <v>2019</v>
      </c>
      <c r="D1044" s="214">
        <v>3</v>
      </c>
      <c r="E1044" s="214">
        <v>2</v>
      </c>
    </row>
    <row r="1045" spans="2:5" x14ac:dyDescent="0.25">
      <c r="B1045" s="213" t="s">
        <v>2915</v>
      </c>
      <c r="C1045" s="214">
        <v>2019</v>
      </c>
      <c r="D1045" s="214">
        <v>10</v>
      </c>
      <c r="E1045" s="214">
        <v>2</v>
      </c>
    </row>
    <row r="1046" spans="2:5" x14ac:dyDescent="0.25">
      <c r="B1046" s="213" t="s">
        <v>2903</v>
      </c>
      <c r="C1046" s="214">
        <v>2019</v>
      </c>
      <c r="D1046" s="214">
        <v>5</v>
      </c>
      <c r="E1046" s="214">
        <v>30</v>
      </c>
    </row>
    <row r="1047" spans="2:5" x14ac:dyDescent="0.25">
      <c r="B1047" s="213" t="s">
        <v>2903</v>
      </c>
      <c r="C1047" s="214">
        <v>2019</v>
      </c>
      <c r="D1047" s="214">
        <v>4</v>
      </c>
      <c r="E1047" s="214">
        <v>19</v>
      </c>
    </row>
    <row r="1048" spans="2:5" x14ac:dyDescent="0.25">
      <c r="B1048" s="213" t="s">
        <v>2903</v>
      </c>
      <c r="C1048" s="214">
        <v>2019</v>
      </c>
      <c r="D1048" s="214">
        <v>6</v>
      </c>
      <c r="E1048" s="214">
        <v>14</v>
      </c>
    </row>
    <row r="1049" spans="2:5" x14ac:dyDescent="0.25">
      <c r="B1049" s="213" t="s">
        <v>2903</v>
      </c>
      <c r="C1049" s="214">
        <v>2019</v>
      </c>
      <c r="D1049" s="214">
        <v>1</v>
      </c>
      <c r="E1049" s="214">
        <v>13</v>
      </c>
    </row>
    <row r="1050" spans="2:5" x14ac:dyDescent="0.25">
      <c r="B1050" s="213" t="s">
        <v>2903</v>
      </c>
      <c r="C1050" s="214">
        <v>2019</v>
      </c>
      <c r="D1050" s="214">
        <v>2</v>
      </c>
      <c r="E1050" s="214">
        <v>8</v>
      </c>
    </row>
    <row r="1051" spans="2:5" x14ac:dyDescent="0.25">
      <c r="B1051" s="213" t="s">
        <v>2903</v>
      </c>
      <c r="C1051" s="214">
        <v>2019</v>
      </c>
      <c r="D1051" s="214">
        <v>3</v>
      </c>
      <c r="E1051" s="214">
        <v>7</v>
      </c>
    </row>
    <row r="1052" spans="2:5" x14ac:dyDescent="0.25">
      <c r="B1052" s="213" t="s">
        <v>2903</v>
      </c>
      <c r="C1052" s="214">
        <v>2019</v>
      </c>
      <c r="D1052" s="214">
        <v>10</v>
      </c>
      <c r="E1052" s="214">
        <v>6</v>
      </c>
    </row>
    <row r="1053" spans="2:5" x14ac:dyDescent="0.25">
      <c r="B1053" s="213" t="s">
        <v>2903</v>
      </c>
      <c r="C1053" s="214">
        <v>2019</v>
      </c>
      <c r="D1053" s="214">
        <v>7</v>
      </c>
      <c r="E1053" s="214">
        <v>4</v>
      </c>
    </row>
    <row r="1054" spans="2:5" x14ac:dyDescent="0.25">
      <c r="B1054" s="213" t="s">
        <v>2903</v>
      </c>
      <c r="C1054" s="214">
        <v>2019</v>
      </c>
      <c r="D1054" s="214">
        <v>12</v>
      </c>
      <c r="E1054" s="214">
        <v>3</v>
      </c>
    </row>
    <row r="1055" spans="2:5" x14ac:dyDescent="0.25">
      <c r="B1055" s="213" t="s">
        <v>2903</v>
      </c>
      <c r="C1055" s="214">
        <v>2019</v>
      </c>
      <c r="D1055" s="214">
        <v>8</v>
      </c>
      <c r="E1055" s="214">
        <v>2</v>
      </c>
    </row>
    <row r="1056" spans="2:5" x14ac:dyDescent="0.25">
      <c r="B1056" s="213" t="s">
        <v>2903</v>
      </c>
      <c r="C1056" s="214">
        <v>2019</v>
      </c>
      <c r="D1056" s="214">
        <v>9</v>
      </c>
      <c r="E1056" s="214">
        <v>2</v>
      </c>
    </row>
    <row r="1057" spans="2:5" x14ac:dyDescent="0.25">
      <c r="B1057" s="213" t="s">
        <v>2903</v>
      </c>
      <c r="C1057" s="214">
        <v>2019</v>
      </c>
      <c r="D1057" s="214">
        <v>11</v>
      </c>
      <c r="E1057" s="214">
        <v>1</v>
      </c>
    </row>
    <row r="1058" spans="2:5" x14ac:dyDescent="0.25">
      <c r="B1058" s="213" t="s">
        <v>2798</v>
      </c>
      <c r="C1058" s="214">
        <v>2019</v>
      </c>
      <c r="D1058" s="214">
        <v>1</v>
      </c>
      <c r="E1058" s="214">
        <v>8</v>
      </c>
    </row>
    <row r="1059" spans="2:5" x14ac:dyDescent="0.25">
      <c r="B1059" s="213" t="s">
        <v>2798</v>
      </c>
      <c r="C1059" s="214">
        <v>2019</v>
      </c>
      <c r="D1059" s="214">
        <v>4</v>
      </c>
      <c r="E1059" s="214">
        <v>7</v>
      </c>
    </row>
    <row r="1060" spans="2:5" x14ac:dyDescent="0.25">
      <c r="B1060" s="213" t="s">
        <v>2798</v>
      </c>
      <c r="C1060" s="214">
        <v>2019</v>
      </c>
      <c r="D1060" s="214">
        <v>3</v>
      </c>
      <c r="E1060" s="214">
        <v>5</v>
      </c>
    </row>
    <row r="1061" spans="2:5" x14ac:dyDescent="0.25">
      <c r="B1061" s="213" t="s">
        <v>2798</v>
      </c>
      <c r="C1061" s="214">
        <v>2019</v>
      </c>
      <c r="D1061" s="214">
        <v>6</v>
      </c>
      <c r="E1061" s="214">
        <v>4</v>
      </c>
    </row>
    <row r="1062" spans="2:5" x14ac:dyDescent="0.25">
      <c r="B1062" s="213" t="s">
        <v>2798</v>
      </c>
      <c r="C1062" s="214">
        <v>2019</v>
      </c>
      <c r="D1062" s="214">
        <v>7</v>
      </c>
      <c r="E1062" s="214">
        <v>4</v>
      </c>
    </row>
    <row r="1063" spans="2:5" x14ac:dyDescent="0.25">
      <c r="B1063" s="213" t="s">
        <v>2798</v>
      </c>
      <c r="C1063" s="214">
        <v>2019</v>
      </c>
      <c r="D1063" s="214">
        <v>9</v>
      </c>
      <c r="E1063" s="214">
        <v>4</v>
      </c>
    </row>
    <row r="1064" spans="2:5" x14ac:dyDescent="0.25">
      <c r="B1064" s="213" t="s">
        <v>2798</v>
      </c>
      <c r="C1064" s="214">
        <v>2019</v>
      </c>
      <c r="D1064" s="214">
        <v>10</v>
      </c>
      <c r="E1064" s="214">
        <v>3</v>
      </c>
    </row>
    <row r="1065" spans="2:5" x14ac:dyDescent="0.25">
      <c r="B1065" s="213" t="s">
        <v>2798</v>
      </c>
      <c r="C1065" s="214">
        <v>2019</v>
      </c>
      <c r="D1065" s="214">
        <v>11</v>
      </c>
      <c r="E1065" s="214">
        <v>3</v>
      </c>
    </row>
    <row r="1066" spans="2:5" x14ac:dyDescent="0.25">
      <c r="B1066" s="213" t="s">
        <v>2798</v>
      </c>
      <c r="C1066" s="214">
        <v>2019</v>
      </c>
      <c r="D1066" s="214">
        <v>8</v>
      </c>
      <c r="E1066" s="214">
        <v>2</v>
      </c>
    </row>
    <row r="1067" spans="2:5" x14ac:dyDescent="0.25">
      <c r="B1067" s="213" t="s">
        <v>2798</v>
      </c>
      <c r="C1067" s="214">
        <v>2019</v>
      </c>
      <c r="D1067" s="214">
        <v>12</v>
      </c>
      <c r="E1067" s="214">
        <v>2</v>
      </c>
    </row>
    <row r="1068" spans="2:5" x14ac:dyDescent="0.25">
      <c r="B1068" s="213" t="s">
        <v>2798</v>
      </c>
      <c r="C1068" s="214">
        <v>2019</v>
      </c>
      <c r="D1068" s="214">
        <v>5</v>
      </c>
      <c r="E1068" s="214">
        <v>1</v>
      </c>
    </row>
    <row r="1069" spans="2:5" x14ac:dyDescent="0.25">
      <c r="B1069" s="213" t="s">
        <v>2899</v>
      </c>
      <c r="C1069" s="214">
        <v>2019</v>
      </c>
      <c r="D1069" s="214">
        <v>6</v>
      </c>
      <c r="E1069" s="214">
        <v>30</v>
      </c>
    </row>
    <row r="1070" spans="2:5" x14ac:dyDescent="0.25">
      <c r="B1070" s="213" t="s">
        <v>2899</v>
      </c>
      <c r="C1070" s="214">
        <v>2019</v>
      </c>
      <c r="D1070" s="214">
        <v>8</v>
      </c>
      <c r="E1070" s="214">
        <v>24</v>
      </c>
    </row>
    <row r="1071" spans="2:5" x14ac:dyDescent="0.25">
      <c r="B1071" s="213" t="s">
        <v>2899</v>
      </c>
      <c r="C1071" s="214">
        <v>2019</v>
      </c>
      <c r="D1071" s="214">
        <v>3</v>
      </c>
      <c r="E1071" s="214">
        <v>20</v>
      </c>
    </row>
    <row r="1072" spans="2:5" x14ac:dyDescent="0.25">
      <c r="B1072" s="213" t="s">
        <v>2899</v>
      </c>
      <c r="C1072" s="214">
        <v>2019</v>
      </c>
      <c r="D1072" s="214">
        <v>7</v>
      </c>
      <c r="E1072" s="214">
        <v>17</v>
      </c>
    </row>
    <row r="1073" spans="2:5" x14ac:dyDescent="0.25">
      <c r="B1073" s="213" t="s">
        <v>2899</v>
      </c>
      <c r="C1073" s="214">
        <v>2019</v>
      </c>
      <c r="D1073" s="214">
        <v>9</v>
      </c>
      <c r="E1073" s="214">
        <v>16</v>
      </c>
    </row>
    <row r="1074" spans="2:5" x14ac:dyDescent="0.25">
      <c r="B1074" s="213" t="s">
        <v>2899</v>
      </c>
      <c r="C1074" s="214">
        <v>2019</v>
      </c>
      <c r="D1074" s="214">
        <v>5</v>
      </c>
      <c r="E1074" s="214">
        <v>15</v>
      </c>
    </row>
    <row r="1075" spans="2:5" x14ac:dyDescent="0.25">
      <c r="B1075" s="213" t="s">
        <v>2899</v>
      </c>
      <c r="C1075" s="214">
        <v>2019</v>
      </c>
      <c r="D1075" s="214">
        <v>11</v>
      </c>
      <c r="E1075" s="214">
        <v>9</v>
      </c>
    </row>
    <row r="1076" spans="2:5" x14ac:dyDescent="0.25">
      <c r="B1076" s="213" t="s">
        <v>2899</v>
      </c>
      <c r="C1076" s="214">
        <v>2019</v>
      </c>
      <c r="D1076" s="214">
        <v>2</v>
      </c>
      <c r="E1076" s="214">
        <v>8</v>
      </c>
    </row>
    <row r="1077" spans="2:5" x14ac:dyDescent="0.25">
      <c r="B1077" s="213" t="s">
        <v>2899</v>
      </c>
      <c r="C1077" s="214">
        <v>2019</v>
      </c>
      <c r="D1077" s="214">
        <v>1</v>
      </c>
      <c r="E1077" s="214">
        <v>6</v>
      </c>
    </row>
    <row r="1078" spans="2:5" x14ac:dyDescent="0.25">
      <c r="B1078" s="213" t="s">
        <v>2899</v>
      </c>
      <c r="C1078" s="214">
        <v>2019</v>
      </c>
      <c r="D1078" s="214">
        <v>4</v>
      </c>
      <c r="E1078" s="214">
        <v>6</v>
      </c>
    </row>
    <row r="1079" spans="2:5" x14ac:dyDescent="0.25">
      <c r="B1079" s="213" t="s">
        <v>2899</v>
      </c>
      <c r="C1079" s="214">
        <v>2019</v>
      </c>
      <c r="D1079" s="214">
        <v>10</v>
      </c>
      <c r="E1079" s="214">
        <v>6</v>
      </c>
    </row>
    <row r="1080" spans="2:5" x14ac:dyDescent="0.25">
      <c r="B1080" s="213" t="s">
        <v>2899</v>
      </c>
      <c r="C1080" s="214">
        <v>2019</v>
      </c>
      <c r="D1080" s="214">
        <v>12</v>
      </c>
      <c r="E1080" s="214">
        <v>6</v>
      </c>
    </row>
    <row r="1081" spans="2:5" x14ac:dyDescent="0.25">
      <c r="B1081" s="213" t="s">
        <v>2799</v>
      </c>
      <c r="C1081" s="214">
        <v>2019</v>
      </c>
      <c r="D1081" s="214">
        <v>9</v>
      </c>
      <c r="E1081" s="214">
        <v>147</v>
      </c>
    </row>
    <row r="1082" spans="2:5" x14ac:dyDescent="0.25">
      <c r="B1082" s="213" t="s">
        <v>2799</v>
      </c>
      <c r="C1082" s="214">
        <v>2019</v>
      </c>
      <c r="D1082" s="214">
        <v>3</v>
      </c>
      <c r="E1082" s="214">
        <v>136</v>
      </c>
    </row>
    <row r="1083" spans="2:5" x14ac:dyDescent="0.25">
      <c r="B1083" s="213" t="s">
        <v>2799</v>
      </c>
      <c r="C1083" s="214">
        <v>2019</v>
      </c>
      <c r="D1083" s="214">
        <v>4</v>
      </c>
      <c r="E1083" s="214">
        <v>136</v>
      </c>
    </row>
    <row r="1084" spans="2:5" x14ac:dyDescent="0.25">
      <c r="B1084" s="213" t="s">
        <v>2799</v>
      </c>
      <c r="C1084" s="214">
        <v>2019</v>
      </c>
      <c r="D1084" s="214">
        <v>8</v>
      </c>
      <c r="E1084" s="214">
        <v>116</v>
      </c>
    </row>
    <row r="1085" spans="2:5" x14ac:dyDescent="0.25">
      <c r="B1085" s="213" t="s">
        <v>2799</v>
      </c>
      <c r="C1085" s="214">
        <v>2019</v>
      </c>
      <c r="D1085" s="214">
        <v>10</v>
      </c>
      <c r="E1085" s="214">
        <v>107</v>
      </c>
    </row>
    <row r="1086" spans="2:5" x14ac:dyDescent="0.25">
      <c r="B1086" s="213" t="s">
        <v>2799</v>
      </c>
      <c r="C1086" s="214">
        <v>2019</v>
      </c>
      <c r="D1086" s="214">
        <v>2</v>
      </c>
      <c r="E1086" s="214">
        <v>82</v>
      </c>
    </row>
    <row r="1087" spans="2:5" x14ac:dyDescent="0.25">
      <c r="B1087" s="213" t="s">
        <v>2799</v>
      </c>
      <c r="C1087" s="214">
        <v>2019</v>
      </c>
      <c r="D1087" s="214">
        <v>11</v>
      </c>
      <c r="E1087" s="214">
        <v>79</v>
      </c>
    </row>
    <row r="1088" spans="2:5" x14ac:dyDescent="0.25">
      <c r="B1088" s="213" t="s">
        <v>2799</v>
      </c>
      <c r="C1088" s="214">
        <v>2019</v>
      </c>
      <c r="D1088" s="214">
        <v>6</v>
      </c>
      <c r="E1088" s="214">
        <v>78</v>
      </c>
    </row>
    <row r="1089" spans="2:5" x14ac:dyDescent="0.25">
      <c r="B1089" s="213" t="s">
        <v>2799</v>
      </c>
      <c r="C1089" s="214">
        <v>2019</v>
      </c>
      <c r="D1089" s="214">
        <v>7</v>
      </c>
      <c r="E1089" s="214">
        <v>72</v>
      </c>
    </row>
    <row r="1090" spans="2:5" x14ac:dyDescent="0.25">
      <c r="B1090" s="213" t="s">
        <v>2799</v>
      </c>
      <c r="C1090" s="214">
        <v>2019</v>
      </c>
      <c r="D1090" s="214">
        <v>12</v>
      </c>
      <c r="E1090" s="214">
        <v>69</v>
      </c>
    </row>
    <row r="1091" spans="2:5" x14ac:dyDescent="0.25">
      <c r="B1091" s="213" t="s">
        <v>2799</v>
      </c>
      <c r="C1091" s="214">
        <v>2019</v>
      </c>
      <c r="D1091" s="214">
        <v>5</v>
      </c>
      <c r="E1091" s="214">
        <v>57</v>
      </c>
    </row>
    <row r="1092" spans="2:5" x14ac:dyDescent="0.25">
      <c r="B1092" s="213" t="s">
        <v>2799</v>
      </c>
      <c r="C1092" s="214">
        <v>2019</v>
      </c>
      <c r="D1092" s="214">
        <v>1</v>
      </c>
      <c r="E1092" s="214">
        <v>34</v>
      </c>
    </row>
    <row r="1093" spans="2:5" x14ac:dyDescent="0.25">
      <c r="B1093" s="213" t="s">
        <v>983</v>
      </c>
      <c r="C1093" s="214">
        <v>2019</v>
      </c>
      <c r="D1093" s="214">
        <v>1</v>
      </c>
      <c r="E1093" s="214">
        <v>577</v>
      </c>
    </row>
    <row r="1094" spans="2:5" x14ac:dyDescent="0.25">
      <c r="B1094" s="213" t="s">
        <v>983</v>
      </c>
      <c r="C1094" s="214">
        <v>2019</v>
      </c>
      <c r="D1094" s="214">
        <v>3</v>
      </c>
      <c r="E1094" s="214">
        <v>496</v>
      </c>
    </row>
    <row r="1095" spans="2:5" x14ac:dyDescent="0.25">
      <c r="B1095" s="213" t="s">
        <v>983</v>
      </c>
      <c r="C1095" s="214">
        <v>2019</v>
      </c>
      <c r="D1095" s="214">
        <v>9</v>
      </c>
      <c r="E1095" s="214">
        <v>495</v>
      </c>
    </row>
    <row r="1096" spans="2:5" x14ac:dyDescent="0.25">
      <c r="B1096" s="213" t="s">
        <v>983</v>
      </c>
      <c r="C1096" s="214">
        <v>2019</v>
      </c>
      <c r="D1096" s="214">
        <v>10</v>
      </c>
      <c r="E1096" s="214">
        <v>475</v>
      </c>
    </row>
    <row r="1097" spans="2:5" x14ac:dyDescent="0.25">
      <c r="B1097" s="213" t="s">
        <v>983</v>
      </c>
      <c r="C1097" s="214">
        <v>2019</v>
      </c>
      <c r="D1097" s="214">
        <v>2</v>
      </c>
      <c r="E1097" s="214">
        <v>462</v>
      </c>
    </row>
    <row r="1098" spans="2:5" x14ac:dyDescent="0.25">
      <c r="B1098" s="213" t="s">
        <v>983</v>
      </c>
      <c r="C1098" s="214">
        <v>2019</v>
      </c>
      <c r="D1098" s="214">
        <v>4</v>
      </c>
      <c r="E1098" s="214">
        <v>456</v>
      </c>
    </row>
    <row r="1099" spans="2:5" x14ac:dyDescent="0.25">
      <c r="B1099" s="213" t="s">
        <v>983</v>
      </c>
      <c r="C1099" s="214">
        <v>2019</v>
      </c>
      <c r="D1099" s="214">
        <v>8</v>
      </c>
      <c r="E1099" s="214">
        <v>385</v>
      </c>
    </row>
    <row r="1100" spans="2:5" x14ac:dyDescent="0.25">
      <c r="B1100" s="213" t="s">
        <v>983</v>
      </c>
      <c r="C1100" s="214">
        <v>2019</v>
      </c>
      <c r="D1100" s="214">
        <v>12</v>
      </c>
      <c r="E1100" s="214">
        <v>346</v>
      </c>
    </row>
    <row r="1101" spans="2:5" x14ac:dyDescent="0.25">
      <c r="B1101" s="213" t="s">
        <v>983</v>
      </c>
      <c r="C1101" s="214">
        <v>2019</v>
      </c>
      <c r="D1101" s="214">
        <v>11</v>
      </c>
      <c r="E1101" s="214">
        <v>330</v>
      </c>
    </row>
    <row r="1102" spans="2:5" x14ac:dyDescent="0.25">
      <c r="B1102" s="213" t="s">
        <v>983</v>
      </c>
      <c r="C1102" s="214">
        <v>2019</v>
      </c>
      <c r="D1102" s="214">
        <v>6</v>
      </c>
      <c r="E1102" s="214">
        <v>261</v>
      </c>
    </row>
    <row r="1103" spans="2:5" x14ac:dyDescent="0.25">
      <c r="B1103" s="213" t="s">
        <v>983</v>
      </c>
      <c r="C1103" s="214">
        <v>2019</v>
      </c>
      <c r="D1103" s="214">
        <v>5</v>
      </c>
      <c r="E1103" s="214">
        <v>255</v>
      </c>
    </row>
    <row r="1104" spans="2:5" x14ac:dyDescent="0.25">
      <c r="B1104" s="213" t="s">
        <v>983</v>
      </c>
      <c r="C1104" s="214">
        <v>2019</v>
      </c>
      <c r="D1104" s="214">
        <v>7</v>
      </c>
      <c r="E1104" s="214">
        <v>248</v>
      </c>
    </row>
    <row r="1105" spans="2:5" x14ac:dyDescent="0.25">
      <c r="B1105" s="213" t="s">
        <v>2800</v>
      </c>
      <c r="C1105" s="214">
        <v>2019</v>
      </c>
      <c r="D1105" s="214">
        <v>9</v>
      </c>
      <c r="E1105" s="214">
        <v>36</v>
      </c>
    </row>
    <row r="1106" spans="2:5" x14ac:dyDescent="0.25">
      <c r="B1106" s="213" t="s">
        <v>2800</v>
      </c>
      <c r="C1106" s="214">
        <v>2019</v>
      </c>
      <c r="D1106" s="214">
        <v>2</v>
      </c>
      <c r="E1106" s="214">
        <v>32</v>
      </c>
    </row>
    <row r="1107" spans="2:5" x14ac:dyDescent="0.25">
      <c r="B1107" s="213" t="s">
        <v>2800</v>
      </c>
      <c r="C1107" s="214">
        <v>2019</v>
      </c>
      <c r="D1107" s="214">
        <v>3</v>
      </c>
      <c r="E1107" s="214">
        <v>32</v>
      </c>
    </row>
    <row r="1108" spans="2:5" x14ac:dyDescent="0.25">
      <c r="B1108" s="213" t="s">
        <v>2800</v>
      </c>
      <c r="C1108" s="214">
        <v>2019</v>
      </c>
      <c r="D1108" s="214">
        <v>4</v>
      </c>
      <c r="E1108" s="214">
        <v>32</v>
      </c>
    </row>
    <row r="1109" spans="2:5" x14ac:dyDescent="0.25">
      <c r="B1109" s="213" t="s">
        <v>2800</v>
      </c>
      <c r="C1109" s="214">
        <v>2019</v>
      </c>
      <c r="D1109" s="214">
        <v>8</v>
      </c>
      <c r="E1109" s="214">
        <v>18</v>
      </c>
    </row>
    <row r="1110" spans="2:5" x14ac:dyDescent="0.25">
      <c r="B1110" s="213" t="s">
        <v>2800</v>
      </c>
      <c r="C1110" s="214">
        <v>2019</v>
      </c>
      <c r="D1110" s="214">
        <v>5</v>
      </c>
      <c r="E1110" s="214">
        <v>17</v>
      </c>
    </row>
    <row r="1111" spans="2:5" x14ac:dyDescent="0.25">
      <c r="B1111" s="213" t="s">
        <v>2800</v>
      </c>
      <c r="C1111" s="214">
        <v>2019</v>
      </c>
      <c r="D1111" s="214">
        <v>7</v>
      </c>
      <c r="E1111" s="214">
        <v>16</v>
      </c>
    </row>
    <row r="1112" spans="2:5" x14ac:dyDescent="0.25">
      <c r="B1112" s="213" t="s">
        <v>2800</v>
      </c>
      <c r="C1112" s="214">
        <v>2019</v>
      </c>
      <c r="D1112" s="214">
        <v>6</v>
      </c>
      <c r="E1112" s="214">
        <v>15</v>
      </c>
    </row>
    <row r="1113" spans="2:5" x14ac:dyDescent="0.25">
      <c r="B1113" s="213" t="s">
        <v>2800</v>
      </c>
      <c r="C1113" s="214">
        <v>2019</v>
      </c>
      <c r="D1113" s="214">
        <v>11</v>
      </c>
      <c r="E1113" s="214">
        <v>15</v>
      </c>
    </row>
    <row r="1114" spans="2:5" x14ac:dyDescent="0.25">
      <c r="B1114" s="213" t="s">
        <v>2800</v>
      </c>
      <c r="C1114" s="214">
        <v>2019</v>
      </c>
      <c r="D1114" s="214">
        <v>1</v>
      </c>
      <c r="E1114" s="214">
        <v>14</v>
      </c>
    </row>
    <row r="1115" spans="2:5" x14ac:dyDescent="0.25">
      <c r="B1115" s="213" t="s">
        <v>2800</v>
      </c>
      <c r="C1115" s="214">
        <v>2019</v>
      </c>
      <c r="D1115" s="214">
        <v>12</v>
      </c>
      <c r="E1115" s="214">
        <v>8</v>
      </c>
    </row>
    <row r="1116" spans="2:5" x14ac:dyDescent="0.25">
      <c r="B1116" s="213" t="s">
        <v>2800</v>
      </c>
      <c r="C1116" s="214">
        <v>2019</v>
      </c>
      <c r="D1116" s="214">
        <v>10</v>
      </c>
      <c r="E1116" s="214">
        <v>3</v>
      </c>
    </row>
    <row r="1117" spans="2:5" x14ac:dyDescent="0.25">
      <c r="B1117" s="213" t="s">
        <v>2801</v>
      </c>
      <c r="C1117" s="214">
        <v>2019</v>
      </c>
      <c r="D1117" s="214">
        <v>5</v>
      </c>
      <c r="E1117" s="214">
        <v>47</v>
      </c>
    </row>
    <row r="1118" spans="2:5" x14ac:dyDescent="0.25">
      <c r="B1118" s="213" t="s">
        <v>2801</v>
      </c>
      <c r="C1118" s="214">
        <v>2019</v>
      </c>
      <c r="D1118" s="214">
        <v>10</v>
      </c>
      <c r="E1118" s="214">
        <v>26</v>
      </c>
    </row>
    <row r="1119" spans="2:5" x14ac:dyDescent="0.25">
      <c r="B1119" s="213" t="s">
        <v>2801</v>
      </c>
      <c r="C1119" s="214">
        <v>2019</v>
      </c>
      <c r="D1119" s="214">
        <v>6</v>
      </c>
      <c r="E1119" s="214">
        <v>25</v>
      </c>
    </row>
    <row r="1120" spans="2:5" x14ac:dyDescent="0.25">
      <c r="B1120" s="213" t="s">
        <v>2801</v>
      </c>
      <c r="C1120" s="214">
        <v>2019</v>
      </c>
      <c r="D1120" s="214">
        <v>8</v>
      </c>
      <c r="E1120" s="214">
        <v>20</v>
      </c>
    </row>
    <row r="1121" spans="2:5" x14ac:dyDescent="0.25">
      <c r="B1121" s="213" t="s">
        <v>2801</v>
      </c>
      <c r="C1121" s="214">
        <v>2019</v>
      </c>
      <c r="D1121" s="214">
        <v>7</v>
      </c>
      <c r="E1121" s="214">
        <v>13</v>
      </c>
    </row>
    <row r="1122" spans="2:5" x14ac:dyDescent="0.25">
      <c r="B1122" s="213" t="s">
        <v>2801</v>
      </c>
      <c r="C1122" s="214">
        <v>2019</v>
      </c>
      <c r="D1122" s="214">
        <v>9</v>
      </c>
      <c r="E1122" s="214">
        <v>11</v>
      </c>
    </row>
    <row r="1123" spans="2:5" x14ac:dyDescent="0.25">
      <c r="B1123" s="213" t="s">
        <v>2801</v>
      </c>
      <c r="C1123" s="214">
        <v>2019</v>
      </c>
      <c r="D1123" s="214">
        <v>12</v>
      </c>
      <c r="E1123" s="214">
        <v>9</v>
      </c>
    </row>
    <row r="1124" spans="2:5" x14ac:dyDescent="0.25">
      <c r="B1124" s="213" t="s">
        <v>2801</v>
      </c>
      <c r="C1124" s="214">
        <v>2019</v>
      </c>
      <c r="D1124" s="214">
        <v>2</v>
      </c>
      <c r="E1124" s="214">
        <v>6</v>
      </c>
    </row>
    <row r="1125" spans="2:5" x14ac:dyDescent="0.25">
      <c r="B1125" s="213" t="s">
        <v>2801</v>
      </c>
      <c r="C1125" s="214">
        <v>2019</v>
      </c>
      <c r="D1125" s="214">
        <v>3</v>
      </c>
      <c r="E1125" s="214">
        <v>5</v>
      </c>
    </row>
    <row r="1126" spans="2:5" x14ac:dyDescent="0.25">
      <c r="B1126" s="213" t="s">
        <v>2801</v>
      </c>
      <c r="C1126" s="214">
        <v>2019</v>
      </c>
      <c r="D1126" s="214">
        <v>4</v>
      </c>
      <c r="E1126" s="214">
        <v>5</v>
      </c>
    </row>
    <row r="1127" spans="2:5" x14ac:dyDescent="0.25">
      <c r="B1127" s="213" t="s">
        <v>2801</v>
      </c>
      <c r="C1127" s="214">
        <v>2019</v>
      </c>
      <c r="D1127" s="214">
        <v>1</v>
      </c>
      <c r="E1127" s="214">
        <v>4</v>
      </c>
    </row>
    <row r="1128" spans="2:5" x14ac:dyDescent="0.25">
      <c r="B1128" s="213" t="s">
        <v>2801</v>
      </c>
      <c r="C1128" s="214">
        <v>2019</v>
      </c>
      <c r="D1128" s="214">
        <v>11</v>
      </c>
      <c r="E1128" s="214">
        <v>1</v>
      </c>
    </row>
    <row r="1129" spans="2:5" x14ac:dyDescent="0.25">
      <c r="B1129" s="213" t="s">
        <v>2802</v>
      </c>
      <c r="C1129" s="214">
        <v>2019</v>
      </c>
      <c r="D1129" s="214">
        <v>6</v>
      </c>
      <c r="E1129" s="214">
        <v>15</v>
      </c>
    </row>
    <row r="1130" spans="2:5" x14ac:dyDescent="0.25">
      <c r="B1130" s="213" t="s">
        <v>2802</v>
      </c>
      <c r="C1130" s="214">
        <v>2019</v>
      </c>
      <c r="D1130" s="214">
        <v>1</v>
      </c>
      <c r="E1130" s="214">
        <v>12</v>
      </c>
    </row>
    <row r="1131" spans="2:5" x14ac:dyDescent="0.25">
      <c r="B1131" s="213" t="s">
        <v>2802</v>
      </c>
      <c r="C1131" s="214">
        <v>2019</v>
      </c>
      <c r="D1131" s="214">
        <v>7</v>
      </c>
      <c r="E1131" s="214">
        <v>11</v>
      </c>
    </row>
    <row r="1132" spans="2:5" x14ac:dyDescent="0.25">
      <c r="B1132" s="213" t="s">
        <v>2802</v>
      </c>
      <c r="C1132" s="214">
        <v>2019</v>
      </c>
      <c r="D1132" s="214">
        <v>9</v>
      </c>
      <c r="E1132" s="214">
        <v>11</v>
      </c>
    </row>
    <row r="1133" spans="2:5" x14ac:dyDescent="0.25">
      <c r="B1133" s="213" t="s">
        <v>2802</v>
      </c>
      <c r="C1133" s="214">
        <v>2019</v>
      </c>
      <c r="D1133" s="214">
        <v>8</v>
      </c>
      <c r="E1133" s="214">
        <v>10</v>
      </c>
    </row>
    <row r="1134" spans="2:5" x14ac:dyDescent="0.25">
      <c r="B1134" s="213" t="s">
        <v>2802</v>
      </c>
      <c r="C1134" s="214">
        <v>2019</v>
      </c>
      <c r="D1134" s="214">
        <v>3</v>
      </c>
      <c r="E1134" s="214">
        <v>9</v>
      </c>
    </row>
    <row r="1135" spans="2:5" x14ac:dyDescent="0.25">
      <c r="B1135" s="213" t="s">
        <v>2802</v>
      </c>
      <c r="C1135" s="214">
        <v>2019</v>
      </c>
      <c r="D1135" s="214">
        <v>12</v>
      </c>
      <c r="E1135" s="214">
        <v>8</v>
      </c>
    </row>
    <row r="1136" spans="2:5" x14ac:dyDescent="0.25">
      <c r="B1136" s="213" t="s">
        <v>2802</v>
      </c>
      <c r="C1136" s="214">
        <v>2019</v>
      </c>
      <c r="D1136" s="214">
        <v>11</v>
      </c>
      <c r="E1136" s="214">
        <v>6</v>
      </c>
    </row>
    <row r="1137" spans="2:5" x14ac:dyDescent="0.25">
      <c r="B1137" s="213" t="s">
        <v>2802</v>
      </c>
      <c r="C1137" s="214">
        <v>2019</v>
      </c>
      <c r="D1137" s="214">
        <v>2</v>
      </c>
      <c r="E1137" s="214">
        <v>4</v>
      </c>
    </row>
    <row r="1138" spans="2:5" x14ac:dyDescent="0.25">
      <c r="B1138" s="213" t="s">
        <v>2802</v>
      </c>
      <c r="C1138" s="214">
        <v>2019</v>
      </c>
      <c r="D1138" s="214">
        <v>10</v>
      </c>
      <c r="E1138" s="214">
        <v>4</v>
      </c>
    </row>
    <row r="1139" spans="2:5" x14ac:dyDescent="0.25">
      <c r="B1139" s="213" t="s">
        <v>2802</v>
      </c>
      <c r="C1139" s="214">
        <v>2019</v>
      </c>
      <c r="D1139" s="214">
        <v>4</v>
      </c>
      <c r="E1139" s="214">
        <v>3</v>
      </c>
    </row>
    <row r="1140" spans="2:5" x14ac:dyDescent="0.25">
      <c r="B1140" s="213" t="s">
        <v>2802</v>
      </c>
      <c r="C1140" s="214">
        <v>2019</v>
      </c>
      <c r="D1140" s="214">
        <v>5</v>
      </c>
      <c r="E1140" s="214">
        <v>2</v>
      </c>
    </row>
    <row r="1141" spans="2:5" x14ac:dyDescent="0.25">
      <c r="B1141" s="213" t="s">
        <v>2803</v>
      </c>
      <c r="C1141" s="214">
        <v>2019</v>
      </c>
      <c r="D1141" s="214">
        <v>10</v>
      </c>
      <c r="E1141" s="214">
        <v>182</v>
      </c>
    </row>
    <row r="1142" spans="2:5" x14ac:dyDescent="0.25">
      <c r="B1142" s="213" t="s">
        <v>2803</v>
      </c>
      <c r="C1142" s="214">
        <v>2019</v>
      </c>
      <c r="D1142" s="214">
        <v>5</v>
      </c>
      <c r="E1142" s="214">
        <v>170</v>
      </c>
    </row>
    <row r="1143" spans="2:5" x14ac:dyDescent="0.25">
      <c r="B1143" s="213" t="s">
        <v>2803</v>
      </c>
      <c r="C1143" s="214">
        <v>2019</v>
      </c>
      <c r="D1143" s="214">
        <v>6</v>
      </c>
      <c r="E1143" s="214">
        <v>164</v>
      </c>
    </row>
    <row r="1144" spans="2:5" x14ac:dyDescent="0.25">
      <c r="B1144" s="213" t="s">
        <v>2803</v>
      </c>
      <c r="C1144" s="214">
        <v>2019</v>
      </c>
      <c r="D1144" s="214">
        <v>8</v>
      </c>
      <c r="E1144" s="214">
        <v>160</v>
      </c>
    </row>
    <row r="1145" spans="2:5" x14ac:dyDescent="0.25">
      <c r="B1145" s="213" t="s">
        <v>2803</v>
      </c>
      <c r="C1145" s="214">
        <v>2019</v>
      </c>
      <c r="D1145" s="214">
        <v>9</v>
      </c>
      <c r="E1145" s="214">
        <v>120</v>
      </c>
    </row>
    <row r="1146" spans="2:5" x14ac:dyDescent="0.25">
      <c r="B1146" s="213" t="s">
        <v>2803</v>
      </c>
      <c r="C1146" s="214">
        <v>2019</v>
      </c>
      <c r="D1146" s="214">
        <v>11</v>
      </c>
      <c r="E1146" s="214">
        <v>113</v>
      </c>
    </row>
    <row r="1147" spans="2:5" x14ac:dyDescent="0.25">
      <c r="B1147" s="213" t="s">
        <v>2803</v>
      </c>
      <c r="C1147" s="214">
        <v>2019</v>
      </c>
      <c r="D1147" s="214">
        <v>4</v>
      </c>
      <c r="E1147" s="214">
        <v>110</v>
      </c>
    </row>
    <row r="1148" spans="2:5" x14ac:dyDescent="0.25">
      <c r="B1148" s="213" t="s">
        <v>2803</v>
      </c>
      <c r="C1148" s="214">
        <v>2019</v>
      </c>
      <c r="D1148" s="214">
        <v>7</v>
      </c>
      <c r="E1148" s="214">
        <v>110</v>
      </c>
    </row>
    <row r="1149" spans="2:5" x14ac:dyDescent="0.25">
      <c r="B1149" s="213" t="s">
        <v>2803</v>
      </c>
      <c r="C1149" s="214">
        <v>2019</v>
      </c>
      <c r="D1149" s="214">
        <v>3</v>
      </c>
      <c r="E1149" s="214">
        <v>92</v>
      </c>
    </row>
    <row r="1150" spans="2:5" x14ac:dyDescent="0.25">
      <c r="B1150" s="213" t="s">
        <v>2803</v>
      </c>
      <c r="C1150" s="214">
        <v>2019</v>
      </c>
      <c r="D1150" s="214">
        <v>2</v>
      </c>
      <c r="E1150" s="214">
        <v>60</v>
      </c>
    </row>
    <row r="1151" spans="2:5" x14ac:dyDescent="0.25">
      <c r="B1151" s="213" t="s">
        <v>2803</v>
      </c>
      <c r="C1151" s="214">
        <v>2019</v>
      </c>
      <c r="D1151" s="214">
        <v>1</v>
      </c>
      <c r="E1151" s="214">
        <v>58</v>
      </c>
    </row>
    <row r="1152" spans="2:5" x14ac:dyDescent="0.25">
      <c r="B1152" s="213" t="s">
        <v>2803</v>
      </c>
      <c r="C1152" s="214">
        <v>2019</v>
      </c>
      <c r="D1152" s="214">
        <v>12</v>
      </c>
      <c r="E1152" s="214">
        <v>7</v>
      </c>
    </row>
    <row r="1153" spans="2:5" x14ac:dyDescent="0.25">
      <c r="B1153" s="213" t="s">
        <v>2804</v>
      </c>
      <c r="C1153" s="214">
        <v>2019</v>
      </c>
      <c r="D1153" s="214">
        <v>5</v>
      </c>
      <c r="E1153" s="214">
        <v>171</v>
      </c>
    </row>
    <row r="1154" spans="2:5" x14ac:dyDescent="0.25">
      <c r="B1154" s="213" t="s">
        <v>2804</v>
      </c>
      <c r="C1154" s="214">
        <v>2019</v>
      </c>
      <c r="D1154" s="214">
        <v>10</v>
      </c>
      <c r="E1154" s="214">
        <v>85</v>
      </c>
    </row>
    <row r="1155" spans="2:5" x14ac:dyDescent="0.25">
      <c r="B1155" s="213" t="s">
        <v>2804</v>
      </c>
      <c r="C1155" s="214">
        <v>2019</v>
      </c>
      <c r="D1155" s="214">
        <v>7</v>
      </c>
      <c r="E1155" s="214">
        <v>74</v>
      </c>
    </row>
    <row r="1156" spans="2:5" x14ac:dyDescent="0.25">
      <c r="B1156" s="213" t="s">
        <v>2804</v>
      </c>
      <c r="C1156" s="214">
        <v>2019</v>
      </c>
      <c r="D1156" s="214">
        <v>6</v>
      </c>
      <c r="E1156" s="214">
        <v>64</v>
      </c>
    </row>
    <row r="1157" spans="2:5" x14ac:dyDescent="0.25">
      <c r="B1157" s="213" t="s">
        <v>2804</v>
      </c>
      <c r="C1157" s="214">
        <v>2019</v>
      </c>
      <c r="D1157" s="214">
        <v>8</v>
      </c>
      <c r="E1157" s="214">
        <v>61</v>
      </c>
    </row>
    <row r="1158" spans="2:5" x14ac:dyDescent="0.25">
      <c r="B1158" s="213" t="s">
        <v>2804</v>
      </c>
      <c r="C1158" s="214">
        <v>2019</v>
      </c>
      <c r="D1158" s="214">
        <v>11</v>
      </c>
      <c r="E1158" s="214">
        <v>49</v>
      </c>
    </row>
    <row r="1159" spans="2:5" x14ac:dyDescent="0.25">
      <c r="B1159" s="213" t="s">
        <v>2804</v>
      </c>
      <c r="C1159" s="214">
        <v>2019</v>
      </c>
      <c r="D1159" s="214">
        <v>1</v>
      </c>
      <c r="E1159" s="214">
        <v>47</v>
      </c>
    </row>
    <row r="1160" spans="2:5" x14ac:dyDescent="0.25">
      <c r="B1160" s="213" t="s">
        <v>2804</v>
      </c>
      <c r="C1160" s="214">
        <v>2019</v>
      </c>
      <c r="D1160" s="214">
        <v>4</v>
      </c>
      <c r="E1160" s="214">
        <v>34</v>
      </c>
    </row>
    <row r="1161" spans="2:5" x14ac:dyDescent="0.25">
      <c r="B1161" s="213" t="s">
        <v>2804</v>
      </c>
      <c r="C1161" s="214">
        <v>2019</v>
      </c>
      <c r="D1161" s="214">
        <v>9</v>
      </c>
      <c r="E1161" s="214">
        <v>34</v>
      </c>
    </row>
    <row r="1162" spans="2:5" x14ac:dyDescent="0.25">
      <c r="B1162" s="213" t="s">
        <v>2804</v>
      </c>
      <c r="C1162" s="214">
        <v>2019</v>
      </c>
      <c r="D1162" s="214">
        <v>3</v>
      </c>
      <c r="E1162" s="214">
        <v>24</v>
      </c>
    </row>
    <row r="1163" spans="2:5" x14ac:dyDescent="0.25">
      <c r="B1163" s="213" t="s">
        <v>2804</v>
      </c>
      <c r="C1163" s="214">
        <v>2019</v>
      </c>
      <c r="D1163" s="214">
        <v>2</v>
      </c>
      <c r="E1163" s="214">
        <v>19</v>
      </c>
    </row>
    <row r="1164" spans="2:5" x14ac:dyDescent="0.25">
      <c r="B1164" s="213" t="s">
        <v>2804</v>
      </c>
      <c r="C1164" s="214">
        <v>2019</v>
      </c>
      <c r="D1164" s="214">
        <v>12</v>
      </c>
      <c r="E1164" s="214">
        <v>17</v>
      </c>
    </row>
    <row r="1165" spans="2:5" x14ac:dyDescent="0.25">
      <c r="B1165" s="213" t="s">
        <v>2938</v>
      </c>
      <c r="C1165" s="214">
        <v>2019</v>
      </c>
      <c r="D1165" s="214">
        <v>4</v>
      </c>
      <c r="E1165" s="214">
        <v>3</v>
      </c>
    </row>
    <row r="1166" spans="2:5" x14ac:dyDescent="0.25">
      <c r="B1166" s="213" t="s">
        <v>2938</v>
      </c>
      <c r="C1166" s="214">
        <v>2019</v>
      </c>
      <c r="D1166" s="214">
        <v>1</v>
      </c>
      <c r="E1166" s="214">
        <v>2</v>
      </c>
    </row>
    <row r="1167" spans="2:5" x14ac:dyDescent="0.25">
      <c r="B1167" s="213" t="s">
        <v>2938</v>
      </c>
      <c r="C1167" s="214">
        <v>2019</v>
      </c>
      <c r="D1167" s="214">
        <v>5</v>
      </c>
      <c r="E1167" s="214">
        <v>2</v>
      </c>
    </row>
    <row r="1168" spans="2:5" x14ac:dyDescent="0.25">
      <c r="B1168" s="213" t="s">
        <v>2938</v>
      </c>
      <c r="C1168" s="214">
        <v>2019</v>
      </c>
      <c r="D1168" s="214">
        <v>8</v>
      </c>
      <c r="E1168" s="214">
        <v>2</v>
      </c>
    </row>
    <row r="1169" spans="2:5" x14ac:dyDescent="0.25">
      <c r="B1169" s="213" t="s">
        <v>2938</v>
      </c>
      <c r="C1169" s="214">
        <v>2019</v>
      </c>
      <c r="D1169" s="214">
        <v>2</v>
      </c>
      <c r="E1169" s="214">
        <v>1</v>
      </c>
    </row>
    <row r="1170" spans="2:5" x14ac:dyDescent="0.25">
      <c r="B1170" s="213" t="s">
        <v>2938</v>
      </c>
      <c r="C1170" s="214">
        <v>2019</v>
      </c>
      <c r="D1170" s="214">
        <v>3</v>
      </c>
      <c r="E1170" s="214">
        <v>1</v>
      </c>
    </row>
    <row r="1171" spans="2:5" x14ac:dyDescent="0.25">
      <c r="B1171" s="213" t="s">
        <v>2938</v>
      </c>
      <c r="C1171" s="214">
        <v>2019</v>
      </c>
      <c r="D1171" s="214">
        <v>7</v>
      </c>
      <c r="E1171" s="214">
        <v>1</v>
      </c>
    </row>
    <row r="1172" spans="2:5" x14ac:dyDescent="0.25">
      <c r="B1172" s="213" t="s">
        <v>2938</v>
      </c>
      <c r="C1172" s="214">
        <v>2019</v>
      </c>
      <c r="D1172" s="214">
        <v>10</v>
      </c>
      <c r="E1172" s="214">
        <v>1</v>
      </c>
    </row>
    <row r="1173" spans="2:5" x14ac:dyDescent="0.25">
      <c r="B1173" s="213" t="s">
        <v>2805</v>
      </c>
      <c r="C1173" s="214">
        <v>2019</v>
      </c>
      <c r="D1173" s="214">
        <v>9</v>
      </c>
      <c r="E1173" s="214">
        <v>85</v>
      </c>
    </row>
    <row r="1174" spans="2:5" x14ac:dyDescent="0.25">
      <c r="B1174" s="213" t="s">
        <v>2805</v>
      </c>
      <c r="C1174" s="214">
        <v>2019</v>
      </c>
      <c r="D1174" s="214">
        <v>10</v>
      </c>
      <c r="E1174" s="214">
        <v>80</v>
      </c>
    </row>
    <row r="1175" spans="2:5" x14ac:dyDescent="0.25">
      <c r="B1175" s="213" t="s">
        <v>2805</v>
      </c>
      <c r="C1175" s="214">
        <v>2019</v>
      </c>
      <c r="D1175" s="214">
        <v>4</v>
      </c>
      <c r="E1175" s="214">
        <v>64</v>
      </c>
    </row>
    <row r="1176" spans="2:5" x14ac:dyDescent="0.25">
      <c r="B1176" s="213" t="s">
        <v>2805</v>
      </c>
      <c r="C1176" s="214">
        <v>2019</v>
      </c>
      <c r="D1176" s="214">
        <v>12</v>
      </c>
      <c r="E1176" s="214">
        <v>60</v>
      </c>
    </row>
    <row r="1177" spans="2:5" x14ac:dyDescent="0.25">
      <c r="B1177" s="213" t="s">
        <v>2805</v>
      </c>
      <c r="C1177" s="214">
        <v>2019</v>
      </c>
      <c r="D1177" s="214">
        <v>2</v>
      </c>
      <c r="E1177" s="214">
        <v>57</v>
      </c>
    </row>
    <row r="1178" spans="2:5" x14ac:dyDescent="0.25">
      <c r="B1178" s="213" t="s">
        <v>2805</v>
      </c>
      <c r="C1178" s="214">
        <v>2019</v>
      </c>
      <c r="D1178" s="214">
        <v>3</v>
      </c>
      <c r="E1178" s="214">
        <v>46</v>
      </c>
    </row>
    <row r="1179" spans="2:5" x14ac:dyDescent="0.25">
      <c r="B1179" s="213" t="s">
        <v>2805</v>
      </c>
      <c r="C1179" s="214">
        <v>2019</v>
      </c>
      <c r="D1179" s="214">
        <v>8</v>
      </c>
      <c r="E1179" s="214">
        <v>45</v>
      </c>
    </row>
    <row r="1180" spans="2:5" x14ac:dyDescent="0.25">
      <c r="B1180" s="213" t="s">
        <v>2805</v>
      </c>
      <c r="C1180" s="214">
        <v>2019</v>
      </c>
      <c r="D1180" s="214">
        <v>5</v>
      </c>
      <c r="E1180" s="214">
        <v>38</v>
      </c>
    </row>
    <row r="1181" spans="2:5" x14ac:dyDescent="0.25">
      <c r="B1181" s="213" t="s">
        <v>2805</v>
      </c>
      <c r="C1181" s="214">
        <v>2019</v>
      </c>
      <c r="D1181" s="214">
        <v>7</v>
      </c>
      <c r="E1181" s="214">
        <v>37</v>
      </c>
    </row>
    <row r="1182" spans="2:5" x14ac:dyDescent="0.25">
      <c r="B1182" s="213" t="s">
        <v>2805</v>
      </c>
      <c r="C1182" s="214">
        <v>2019</v>
      </c>
      <c r="D1182" s="214">
        <v>11</v>
      </c>
      <c r="E1182" s="214">
        <v>37</v>
      </c>
    </row>
    <row r="1183" spans="2:5" x14ac:dyDescent="0.25">
      <c r="B1183" s="213" t="s">
        <v>2805</v>
      </c>
      <c r="C1183" s="214">
        <v>2019</v>
      </c>
      <c r="D1183" s="214">
        <v>1</v>
      </c>
      <c r="E1183" s="214">
        <v>24</v>
      </c>
    </row>
    <row r="1184" spans="2:5" x14ac:dyDescent="0.25">
      <c r="B1184" s="213" t="s">
        <v>2805</v>
      </c>
      <c r="C1184" s="214">
        <v>2019</v>
      </c>
      <c r="D1184" s="214">
        <v>6</v>
      </c>
      <c r="E1184" s="214">
        <v>24</v>
      </c>
    </row>
    <row r="1185" spans="2:5" x14ac:dyDescent="0.25">
      <c r="B1185" s="213" t="s">
        <v>2806</v>
      </c>
      <c r="C1185" s="214">
        <v>2019</v>
      </c>
      <c r="D1185" s="214">
        <v>11</v>
      </c>
      <c r="E1185" s="214">
        <v>36</v>
      </c>
    </row>
    <row r="1186" spans="2:5" x14ac:dyDescent="0.25">
      <c r="B1186" s="213" t="s">
        <v>2806</v>
      </c>
      <c r="C1186" s="214">
        <v>2019</v>
      </c>
      <c r="D1186" s="214">
        <v>3</v>
      </c>
      <c r="E1186" s="214">
        <v>35</v>
      </c>
    </row>
    <row r="1187" spans="2:5" x14ac:dyDescent="0.25">
      <c r="B1187" s="213" t="s">
        <v>2806</v>
      </c>
      <c r="C1187" s="214">
        <v>2019</v>
      </c>
      <c r="D1187" s="214">
        <v>9</v>
      </c>
      <c r="E1187" s="214">
        <v>35</v>
      </c>
    </row>
    <row r="1188" spans="2:5" x14ac:dyDescent="0.25">
      <c r="B1188" s="213" t="s">
        <v>2806</v>
      </c>
      <c r="C1188" s="214">
        <v>2019</v>
      </c>
      <c r="D1188" s="214">
        <v>5</v>
      </c>
      <c r="E1188" s="214">
        <v>29</v>
      </c>
    </row>
    <row r="1189" spans="2:5" x14ac:dyDescent="0.25">
      <c r="B1189" s="213" t="s">
        <v>2806</v>
      </c>
      <c r="C1189" s="214">
        <v>2019</v>
      </c>
      <c r="D1189" s="214">
        <v>7</v>
      </c>
      <c r="E1189" s="214">
        <v>29</v>
      </c>
    </row>
    <row r="1190" spans="2:5" x14ac:dyDescent="0.25">
      <c r="B1190" s="213" t="s">
        <v>2806</v>
      </c>
      <c r="C1190" s="214">
        <v>2019</v>
      </c>
      <c r="D1190" s="214">
        <v>6</v>
      </c>
      <c r="E1190" s="214">
        <v>28</v>
      </c>
    </row>
    <row r="1191" spans="2:5" x14ac:dyDescent="0.25">
      <c r="B1191" s="213" t="s">
        <v>2806</v>
      </c>
      <c r="C1191" s="214">
        <v>2019</v>
      </c>
      <c r="D1191" s="214">
        <v>8</v>
      </c>
      <c r="E1191" s="214">
        <v>27</v>
      </c>
    </row>
    <row r="1192" spans="2:5" x14ac:dyDescent="0.25">
      <c r="B1192" s="213" t="s">
        <v>2806</v>
      </c>
      <c r="C1192" s="214">
        <v>2019</v>
      </c>
      <c r="D1192" s="214">
        <v>12</v>
      </c>
      <c r="E1192" s="214">
        <v>19</v>
      </c>
    </row>
    <row r="1193" spans="2:5" x14ac:dyDescent="0.25">
      <c r="B1193" s="213" t="s">
        <v>2806</v>
      </c>
      <c r="C1193" s="214">
        <v>2019</v>
      </c>
      <c r="D1193" s="214">
        <v>4</v>
      </c>
      <c r="E1193" s="214">
        <v>17</v>
      </c>
    </row>
    <row r="1194" spans="2:5" x14ac:dyDescent="0.25">
      <c r="B1194" s="213" t="s">
        <v>2806</v>
      </c>
      <c r="C1194" s="214">
        <v>2019</v>
      </c>
      <c r="D1194" s="214">
        <v>1</v>
      </c>
      <c r="E1194" s="214">
        <v>11</v>
      </c>
    </row>
    <row r="1195" spans="2:5" x14ac:dyDescent="0.25">
      <c r="B1195" s="213" t="s">
        <v>2806</v>
      </c>
      <c r="C1195" s="214">
        <v>2019</v>
      </c>
      <c r="D1195" s="214">
        <v>10</v>
      </c>
      <c r="E1195" s="214">
        <v>7</v>
      </c>
    </row>
    <row r="1196" spans="2:5" x14ac:dyDescent="0.25">
      <c r="B1196" s="213" t="s">
        <v>2806</v>
      </c>
      <c r="C1196" s="214">
        <v>2019</v>
      </c>
      <c r="D1196" s="214">
        <v>2</v>
      </c>
      <c r="E1196" s="214">
        <v>4</v>
      </c>
    </row>
    <row r="1197" spans="2:5" x14ac:dyDescent="0.25">
      <c r="B1197" s="213" t="s">
        <v>2900</v>
      </c>
      <c r="C1197" s="214">
        <v>2019</v>
      </c>
      <c r="D1197" s="214">
        <v>3</v>
      </c>
      <c r="E1197" s="214">
        <v>25</v>
      </c>
    </row>
    <row r="1198" spans="2:5" x14ac:dyDescent="0.25">
      <c r="B1198" s="213" t="s">
        <v>2900</v>
      </c>
      <c r="C1198" s="214">
        <v>2019</v>
      </c>
      <c r="D1198" s="214">
        <v>7</v>
      </c>
      <c r="E1198" s="214">
        <v>19</v>
      </c>
    </row>
    <row r="1199" spans="2:5" x14ac:dyDescent="0.25">
      <c r="B1199" s="213" t="s">
        <v>2900</v>
      </c>
      <c r="C1199" s="214">
        <v>2019</v>
      </c>
      <c r="D1199" s="214">
        <v>6</v>
      </c>
      <c r="E1199" s="214">
        <v>18</v>
      </c>
    </row>
    <row r="1200" spans="2:5" x14ac:dyDescent="0.25">
      <c r="B1200" s="213" t="s">
        <v>2900</v>
      </c>
      <c r="C1200" s="214">
        <v>2019</v>
      </c>
      <c r="D1200" s="214">
        <v>9</v>
      </c>
      <c r="E1200" s="214">
        <v>18</v>
      </c>
    </row>
    <row r="1201" spans="2:5" x14ac:dyDescent="0.25">
      <c r="B1201" s="213" t="s">
        <v>2900</v>
      </c>
      <c r="C1201" s="214">
        <v>2019</v>
      </c>
      <c r="D1201" s="214">
        <v>8</v>
      </c>
      <c r="E1201" s="214">
        <v>17</v>
      </c>
    </row>
    <row r="1202" spans="2:5" x14ac:dyDescent="0.25">
      <c r="B1202" s="213" t="s">
        <v>2900</v>
      </c>
      <c r="C1202" s="214">
        <v>2019</v>
      </c>
      <c r="D1202" s="214">
        <v>5</v>
      </c>
      <c r="E1202" s="214">
        <v>14</v>
      </c>
    </row>
    <row r="1203" spans="2:5" x14ac:dyDescent="0.25">
      <c r="B1203" s="213" t="s">
        <v>2900</v>
      </c>
      <c r="C1203" s="214">
        <v>2019</v>
      </c>
      <c r="D1203" s="214">
        <v>11</v>
      </c>
      <c r="E1203" s="214">
        <v>13</v>
      </c>
    </row>
    <row r="1204" spans="2:5" x14ac:dyDescent="0.25">
      <c r="B1204" s="213" t="s">
        <v>2900</v>
      </c>
      <c r="C1204" s="214">
        <v>2019</v>
      </c>
      <c r="D1204" s="214">
        <v>1</v>
      </c>
      <c r="E1204" s="214">
        <v>8</v>
      </c>
    </row>
    <row r="1205" spans="2:5" x14ac:dyDescent="0.25">
      <c r="B1205" s="213" t="s">
        <v>2900</v>
      </c>
      <c r="C1205" s="214">
        <v>2019</v>
      </c>
      <c r="D1205" s="214">
        <v>4</v>
      </c>
      <c r="E1205" s="214">
        <v>8</v>
      </c>
    </row>
    <row r="1206" spans="2:5" x14ac:dyDescent="0.25">
      <c r="B1206" s="213" t="s">
        <v>2900</v>
      </c>
      <c r="C1206" s="214">
        <v>2019</v>
      </c>
      <c r="D1206" s="214">
        <v>10</v>
      </c>
      <c r="E1206" s="214">
        <v>8</v>
      </c>
    </row>
    <row r="1207" spans="2:5" x14ac:dyDescent="0.25">
      <c r="B1207" s="213" t="s">
        <v>2900</v>
      </c>
      <c r="C1207" s="214">
        <v>2019</v>
      </c>
      <c r="D1207" s="214">
        <v>12</v>
      </c>
      <c r="E1207" s="214">
        <v>4</v>
      </c>
    </row>
    <row r="1208" spans="2:5" x14ac:dyDescent="0.25">
      <c r="B1208" s="213" t="s">
        <v>2900</v>
      </c>
      <c r="C1208" s="214">
        <v>2019</v>
      </c>
      <c r="D1208" s="214">
        <v>2</v>
      </c>
      <c r="E1208" s="214">
        <v>2</v>
      </c>
    </row>
    <row r="1209" spans="2:5" x14ac:dyDescent="0.25">
      <c r="B1209" s="213" t="s">
        <v>2807</v>
      </c>
      <c r="C1209" s="214">
        <v>2019</v>
      </c>
      <c r="D1209" s="214">
        <v>4</v>
      </c>
      <c r="E1209" s="214">
        <v>7</v>
      </c>
    </row>
    <row r="1210" spans="2:5" x14ac:dyDescent="0.25">
      <c r="B1210" s="213" t="s">
        <v>2807</v>
      </c>
      <c r="C1210" s="214">
        <v>2019</v>
      </c>
      <c r="D1210" s="214">
        <v>5</v>
      </c>
      <c r="E1210" s="214">
        <v>7</v>
      </c>
    </row>
    <row r="1211" spans="2:5" x14ac:dyDescent="0.25">
      <c r="B1211" s="213" t="s">
        <v>2807</v>
      </c>
      <c r="C1211" s="214">
        <v>2019</v>
      </c>
      <c r="D1211" s="214">
        <v>3</v>
      </c>
      <c r="E1211" s="214">
        <v>6</v>
      </c>
    </row>
    <row r="1212" spans="2:5" x14ac:dyDescent="0.25">
      <c r="B1212" s="213" t="s">
        <v>2807</v>
      </c>
      <c r="C1212" s="214">
        <v>2019</v>
      </c>
      <c r="D1212" s="214">
        <v>10</v>
      </c>
      <c r="E1212" s="214">
        <v>5</v>
      </c>
    </row>
    <row r="1213" spans="2:5" x14ac:dyDescent="0.25">
      <c r="B1213" s="213" t="s">
        <v>2807</v>
      </c>
      <c r="C1213" s="214">
        <v>2019</v>
      </c>
      <c r="D1213" s="214">
        <v>6</v>
      </c>
      <c r="E1213" s="214">
        <v>4</v>
      </c>
    </row>
    <row r="1214" spans="2:5" x14ac:dyDescent="0.25">
      <c r="B1214" s="213" t="s">
        <v>2807</v>
      </c>
      <c r="C1214" s="214">
        <v>2019</v>
      </c>
      <c r="D1214" s="214">
        <v>8</v>
      </c>
      <c r="E1214" s="214">
        <v>4</v>
      </c>
    </row>
    <row r="1215" spans="2:5" x14ac:dyDescent="0.25">
      <c r="B1215" s="213" t="s">
        <v>2807</v>
      </c>
      <c r="C1215" s="214">
        <v>2019</v>
      </c>
      <c r="D1215" s="214">
        <v>9</v>
      </c>
      <c r="E1215" s="214">
        <v>4</v>
      </c>
    </row>
    <row r="1216" spans="2:5" x14ac:dyDescent="0.25">
      <c r="B1216" s="213" t="s">
        <v>2807</v>
      </c>
      <c r="C1216" s="214">
        <v>2019</v>
      </c>
      <c r="D1216" s="214">
        <v>7</v>
      </c>
      <c r="E1216" s="214">
        <v>3</v>
      </c>
    </row>
    <row r="1217" spans="2:5" x14ac:dyDescent="0.25">
      <c r="B1217" s="213" t="s">
        <v>2807</v>
      </c>
      <c r="C1217" s="214">
        <v>2019</v>
      </c>
      <c r="D1217" s="214">
        <v>1</v>
      </c>
      <c r="E1217" s="214">
        <v>2</v>
      </c>
    </row>
    <row r="1218" spans="2:5" x14ac:dyDescent="0.25">
      <c r="B1218" s="213" t="s">
        <v>2807</v>
      </c>
      <c r="C1218" s="214">
        <v>2019</v>
      </c>
      <c r="D1218" s="214">
        <v>2</v>
      </c>
      <c r="E1218" s="214">
        <v>2</v>
      </c>
    </row>
    <row r="1219" spans="2:5" x14ac:dyDescent="0.25">
      <c r="B1219" s="213" t="s">
        <v>2807</v>
      </c>
      <c r="C1219" s="214">
        <v>2019</v>
      </c>
      <c r="D1219" s="214">
        <v>11</v>
      </c>
      <c r="E1219" s="214">
        <v>2</v>
      </c>
    </row>
    <row r="1220" spans="2:5" x14ac:dyDescent="0.25">
      <c r="B1220" s="213" t="s">
        <v>2807</v>
      </c>
      <c r="C1220" s="214">
        <v>2019</v>
      </c>
      <c r="D1220" s="214">
        <v>12</v>
      </c>
      <c r="E1220" s="214">
        <v>1</v>
      </c>
    </row>
    <row r="1221" spans="2:5" x14ac:dyDescent="0.25">
      <c r="B1221" s="213" t="s">
        <v>2968</v>
      </c>
      <c r="C1221" s="214">
        <v>2019</v>
      </c>
      <c r="D1221" s="214">
        <v>5</v>
      </c>
      <c r="E1221" s="214">
        <v>2</v>
      </c>
    </row>
    <row r="1222" spans="2:5" x14ac:dyDescent="0.25">
      <c r="B1222" s="213" t="s">
        <v>2808</v>
      </c>
      <c r="C1222" s="214">
        <v>2019</v>
      </c>
      <c r="D1222" s="214">
        <v>2</v>
      </c>
      <c r="E1222" s="214">
        <v>13</v>
      </c>
    </row>
    <row r="1223" spans="2:5" x14ac:dyDescent="0.25">
      <c r="B1223" s="213" t="s">
        <v>2808</v>
      </c>
      <c r="C1223" s="214">
        <v>2019</v>
      </c>
      <c r="D1223" s="214">
        <v>9</v>
      </c>
      <c r="E1223" s="214">
        <v>12</v>
      </c>
    </row>
    <row r="1224" spans="2:5" x14ac:dyDescent="0.25">
      <c r="B1224" s="213" t="s">
        <v>2808</v>
      </c>
      <c r="C1224" s="214">
        <v>2019</v>
      </c>
      <c r="D1224" s="214">
        <v>3</v>
      </c>
      <c r="E1224" s="214">
        <v>10</v>
      </c>
    </row>
    <row r="1225" spans="2:5" x14ac:dyDescent="0.25">
      <c r="B1225" s="213" t="s">
        <v>2808</v>
      </c>
      <c r="C1225" s="214">
        <v>2019</v>
      </c>
      <c r="D1225" s="214">
        <v>1</v>
      </c>
      <c r="E1225" s="214">
        <v>9</v>
      </c>
    </row>
    <row r="1226" spans="2:5" x14ac:dyDescent="0.25">
      <c r="B1226" s="213" t="s">
        <v>2808</v>
      </c>
      <c r="C1226" s="214">
        <v>2019</v>
      </c>
      <c r="D1226" s="214">
        <v>7</v>
      </c>
      <c r="E1226" s="214">
        <v>8</v>
      </c>
    </row>
    <row r="1227" spans="2:5" x14ac:dyDescent="0.25">
      <c r="B1227" s="213" t="s">
        <v>2808</v>
      </c>
      <c r="C1227" s="214">
        <v>2019</v>
      </c>
      <c r="D1227" s="214">
        <v>8</v>
      </c>
      <c r="E1227" s="214">
        <v>8</v>
      </c>
    </row>
    <row r="1228" spans="2:5" x14ac:dyDescent="0.25">
      <c r="B1228" s="213" t="s">
        <v>2808</v>
      </c>
      <c r="C1228" s="214">
        <v>2019</v>
      </c>
      <c r="D1228" s="214">
        <v>12</v>
      </c>
      <c r="E1228" s="214">
        <v>8</v>
      </c>
    </row>
    <row r="1229" spans="2:5" x14ac:dyDescent="0.25">
      <c r="B1229" s="213" t="s">
        <v>2808</v>
      </c>
      <c r="C1229" s="214">
        <v>2019</v>
      </c>
      <c r="D1229" s="214">
        <v>10</v>
      </c>
      <c r="E1229" s="214">
        <v>7</v>
      </c>
    </row>
    <row r="1230" spans="2:5" x14ac:dyDescent="0.25">
      <c r="B1230" s="213" t="s">
        <v>2808</v>
      </c>
      <c r="C1230" s="214">
        <v>2019</v>
      </c>
      <c r="D1230" s="214">
        <v>6</v>
      </c>
      <c r="E1230" s="214">
        <v>6</v>
      </c>
    </row>
    <row r="1231" spans="2:5" x14ac:dyDescent="0.25">
      <c r="B1231" s="213" t="s">
        <v>2808</v>
      </c>
      <c r="C1231" s="214">
        <v>2019</v>
      </c>
      <c r="D1231" s="214">
        <v>4</v>
      </c>
      <c r="E1231" s="214">
        <v>5</v>
      </c>
    </row>
    <row r="1232" spans="2:5" x14ac:dyDescent="0.25">
      <c r="B1232" s="213" t="s">
        <v>2808</v>
      </c>
      <c r="C1232" s="214">
        <v>2019</v>
      </c>
      <c r="D1232" s="214">
        <v>5</v>
      </c>
      <c r="E1232" s="214">
        <v>2</v>
      </c>
    </row>
    <row r="1233" spans="2:5" x14ac:dyDescent="0.25">
      <c r="B1233" s="213" t="s">
        <v>2808</v>
      </c>
      <c r="C1233" s="214">
        <v>2019</v>
      </c>
      <c r="D1233" s="214">
        <v>11</v>
      </c>
      <c r="E1233" s="214">
        <v>2</v>
      </c>
    </row>
    <row r="1234" spans="2:5" x14ac:dyDescent="0.25">
      <c r="B1234" s="213" t="s">
        <v>2940</v>
      </c>
      <c r="C1234" s="214">
        <v>2019</v>
      </c>
      <c r="D1234" s="214">
        <v>6</v>
      </c>
      <c r="E1234" s="214">
        <v>4</v>
      </c>
    </row>
    <row r="1235" spans="2:5" x14ac:dyDescent="0.25">
      <c r="B1235" s="213" t="s">
        <v>2940</v>
      </c>
      <c r="C1235" s="214">
        <v>2019</v>
      </c>
      <c r="D1235" s="214">
        <v>10</v>
      </c>
      <c r="E1235" s="214">
        <v>3</v>
      </c>
    </row>
    <row r="1236" spans="2:5" x14ac:dyDescent="0.25">
      <c r="B1236" s="213" t="s">
        <v>2940</v>
      </c>
      <c r="C1236" s="214">
        <v>2019</v>
      </c>
      <c r="D1236" s="214">
        <v>11</v>
      </c>
      <c r="E1236" s="214">
        <v>3</v>
      </c>
    </row>
    <row r="1237" spans="2:5" x14ac:dyDescent="0.25">
      <c r="B1237" s="213" t="s">
        <v>2940</v>
      </c>
      <c r="C1237" s="214">
        <v>2019</v>
      </c>
      <c r="D1237" s="214">
        <v>9</v>
      </c>
      <c r="E1237" s="214">
        <v>2</v>
      </c>
    </row>
    <row r="1238" spans="2:5" x14ac:dyDescent="0.25">
      <c r="B1238" s="213" t="s">
        <v>2947</v>
      </c>
      <c r="C1238" s="214">
        <v>2019</v>
      </c>
      <c r="D1238" s="214">
        <v>6</v>
      </c>
      <c r="E1238" s="214">
        <v>4</v>
      </c>
    </row>
    <row r="1239" spans="2:5" x14ac:dyDescent="0.25">
      <c r="B1239" s="213" t="s">
        <v>2947</v>
      </c>
      <c r="C1239" s="214">
        <v>2019</v>
      </c>
      <c r="D1239" s="214">
        <v>11</v>
      </c>
      <c r="E1239" s="214">
        <v>3</v>
      </c>
    </row>
    <row r="1240" spans="2:5" x14ac:dyDescent="0.25">
      <c r="B1240" s="213" t="s">
        <v>2947</v>
      </c>
      <c r="C1240" s="214">
        <v>2019</v>
      </c>
      <c r="D1240" s="214">
        <v>8</v>
      </c>
      <c r="E1240" s="214">
        <v>2</v>
      </c>
    </row>
    <row r="1241" spans="2:5" x14ac:dyDescent="0.25">
      <c r="B1241" s="213" t="s">
        <v>2947</v>
      </c>
      <c r="C1241" s="214">
        <v>2019</v>
      </c>
      <c r="D1241" s="214">
        <v>9</v>
      </c>
      <c r="E1241" s="214">
        <v>1</v>
      </c>
    </row>
    <row r="1242" spans="2:5" x14ac:dyDescent="0.25">
      <c r="B1242" s="213" t="s">
        <v>2908</v>
      </c>
      <c r="C1242" s="214">
        <v>2019</v>
      </c>
      <c r="D1242" s="214">
        <v>6</v>
      </c>
      <c r="E1242" s="214">
        <v>16</v>
      </c>
    </row>
    <row r="1243" spans="2:5" x14ac:dyDescent="0.25">
      <c r="B1243" s="213" t="s">
        <v>2908</v>
      </c>
      <c r="C1243" s="214">
        <v>2019</v>
      </c>
      <c r="D1243" s="214">
        <v>7</v>
      </c>
      <c r="E1243" s="214">
        <v>11</v>
      </c>
    </row>
    <row r="1244" spans="2:5" x14ac:dyDescent="0.25">
      <c r="B1244" s="213" t="s">
        <v>2908</v>
      </c>
      <c r="C1244" s="214">
        <v>2019</v>
      </c>
      <c r="D1244" s="214">
        <v>5</v>
      </c>
      <c r="E1244" s="214">
        <v>10</v>
      </c>
    </row>
    <row r="1245" spans="2:5" x14ac:dyDescent="0.25">
      <c r="B1245" s="213" t="s">
        <v>2908</v>
      </c>
      <c r="C1245" s="214">
        <v>2019</v>
      </c>
      <c r="D1245" s="214">
        <v>9</v>
      </c>
      <c r="E1245" s="214">
        <v>9</v>
      </c>
    </row>
    <row r="1246" spans="2:5" x14ac:dyDescent="0.25">
      <c r="B1246" s="213" t="s">
        <v>2908</v>
      </c>
      <c r="C1246" s="214">
        <v>2019</v>
      </c>
      <c r="D1246" s="214">
        <v>4</v>
      </c>
      <c r="E1246" s="214">
        <v>8</v>
      </c>
    </row>
    <row r="1247" spans="2:5" x14ac:dyDescent="0.25">
      <c r="B1247" s="213" t="s">
        <v>2908</v>
      </c>
      <c r="C1247" s="214">
        <v>2019</v>
      </c>
      <c r="D1247" s="214">
        <v>1</v>
      </c>
      <c r="E1247" s="214">
        <v>5</v>
      </c>
    </row>
    <row r="1248" spans="2:5" x14ac:dyDescent="0.25">
      <c r="B1248" s="213" t="s">
        <v>2908</v>
      </c>
      <c r="C1248" s="214">
        <v>2019</v>
      </c>
      <c r="D1248" s="214">
        <v>3</v>
      </c>
      <c r="E1248" s="214">
        <v>5</v>
      </c>
    </row>
    <row r="1249" spans="2:5" x14ac:dyDescent="0.25">
      <c r="B1249" s="213" t="s">
        <v>2908</v>
      </c>
      <c r="C1249" s="214">
        <v>2019</v>
      </c>
      <c r="D1249" s="214">
        <v>11</v>
      </c>
      <c r="E1249" s="214">
        <v>5</v>
      </c>
    </row>
    <row r="1250" spans="2:5" x14ac:dyDescent="0.25">
      <c r="B1250" s="213" t="s">
        <v>2908</v>
      </c>
      <c r="C1250" s="214">
        <v>2019</v>
      </c>
      <c r="D1250" s="214">
        <v>10</v>
      </c>
      <c r="E1250" s="214">
        <v>2</v>
      </c>
    </row>
    <row r="1251" spans="2:5" x14ac:dyDescent="0.25">
      <c r="B1251" s="213" t="s">
        <v>2809</v>
      </c>
      <c r="C1251" s="214">
        <v>2019</v>
      </c>
      <c r="D1251" s="214">
        <v>11</v>
      </c>
      <c r="E1251" s="214">
        <v>20</v>
      </c>
    </row>
    <row r="1252" spans="2:5" x14ac:dyDescent="0.25">
      <c r="B1252" s="213" t="s">
        <v>2809</v>
      </c>
      <c r="C1252" s="214">
        <v>2019</v>
      </c>
      <c r="D1252" s="214">
        <v>9</v>
      </c>
      <c r="E1252" s="214">
        <v>16</v>
      </c>
    </row>
    <row r="1253" spans="2:5" x14ac:dyDescent="0.25">
      <c r="B1253" s="213" t="s">
        <v>2809</v>
      </c>
      <c r="C1253" s="214">
        <v>2019</v>
      </c>
      <c r="D1253" s="214">
        <v>7</v>
      </c>
      <c r="E1253" s="214">
        <v>12</v>
      </c>
    </row>
    <row r="1254" spans="2:5" x14ac:dyDescent="0.25">
      <c r="B1254" s="213" t="s">
        <v>2809</v>
      </c>
      <c r="C1254" s="214">
        <v>2019</v>
      </c>
      <c r="D1254" s="214">
        <v>8</v>
      </c>
      <c r="E1254" s="214">
        <v>11</v>
      </c>
    </row>
    <row r="1255" spans="2:5" x14ac:dyDescent="0.25">
      <c r="B1255" s="213" t="s">
        <v>2809</v>
      </c>
      <c r="C1255" s="214">
        <v>2019</v>
      </c>
      <c r="D1255" s="214">
        <v>1</v>
      </c>
      <c r="E1255" s="214">
        <v>8</v>
      </c>
    </row>
    <row r="1256" spans="2:5" x14ac:dyDescent="0.25">
      <c r="B1256" s="213" t="s">
        <v>2809</v>
      </c>
      <c r="C1256" s="214">
        <v>2019</v>
      </c>
      <c r="D1256" s="214">
        <v>6</v>
      </c>
      <c r="E1256" s="214">
        <v>8</v>
      </c>
    </row>
    <row r="1257" spans="2:5" x14ac:dyDescent="0.25">
      <c r="B1257" s="213" t="s">
        <v>2809</v>
      </c>
      <c r="C1257" s="214">
        <v>2019</v>
      </c>
      <c r="D1257" s="214">
        <v>3</v>
      </c>
      <c r="E1257" s="214">
        <v>6</v>
      </c>
    </row>
    <row r="1258" spans="2:5" x14ac:dyDescent="0.25">
      <c r="B1258" s="213" t="s">
        <v>2809</v>
      </c>
      <c r="C1258" s="214">
        <v>2019</v>
      </c>
      <c r="D1258" s="214">
        <v>5</v>
      </c>
      <c r="E1258" s="214">
        <v>6</v>
      </c>
    </row>
    <row r="1259" spans="2:5" x14ac:dyDescent="0.25">
      <c r="B1259" s="213" t="s">
        <v>2809</v>
      </c>
      <c r="C1259" s="214">
        <v>2019</v>
      </c>
      <c r="D1259" s="214">
        <v>2</v>
      </c>
      <c r="E1259" s="214">
        <v>5</v>
      </c>
    </row>
    <row r="1260" spans="2:5" x14ac:dyDescent="0.25">
      <c r="B1260" s="213" t="s">
        <v>2809</v>
      </c>
      <c r="C1260" s="214">
        <v>2019</v>
      </c>
      <c r="D1260" s="214">
        <v>10</v>
      </c>
      <c r="E1260" s="214">
        <v>5</v>
      </c>
    </row>
    <row r="1261" spans="2:5" x14ac:dyDescent="0.25">
      <c r="B1261" s="213" t="s">
        <v>2809</v>
      </c>
      <c r="C1261" s="214">
        <v>2019</v>
      </c>
      <c r="D1261" s="214">
        <v>4</v>
      </c>
      <c r="E1261" s="214">
        <v>1</v>
      </c>
    </row>
    <row r="1262" spans="2:5" x14ac:dyDescent="0.25">
      <c r="B1262" s="213" t="s">
        <v>2809</v>
      </c>
      <c r="C1262" s="214">
        <v>2019</v>
      </c>
      <c r="D1262" s="214">
        <v>12</v>
      </c>
      <c r="E1262" s="214">
        <v>1</v>
      </c>
    </row>
    <row r="1263" spans="2:5" x14ac:dyDescent="0.25">
      <c r="B1263" s="213" t="s">
        <v>2912</v>
      </c>
      <c r="C1263" s="214">
        <v>2019</v>
      </c>
      <c r="D1263" s="214">
        <v>4</v>
      </c>
      <c r="E1263" s="214">
        <v>13</v>
      </c>
    </row>
    <row r="1264" spans="2:5" x14ac:dyDescent="0.25">
      <c r="B1264" s="213" t="s">
        <v>2912</v>
      </c>
      <c r="C1264" s="214">
        <v>2019</v>
      </c>
      <c r="D1264" s="214">
        <v>10</v>
      </c>
      <c r="E1264" s="214">
        <v>11</v>
      </c>
    </row>
    <row r="1265" spans="2:5" x14ac:dyDescent="0.25">
      <c r="B1265" s="213" t="s">
        <v>2912</v>
      </c>
      <c r="C1265" s="214">
        <v>2019</v>
      </c>
      <c r="D1265" s="214">
        <v>1</v>
      </c>
      <c r="E1265" s="214">
        <v>7</v>
      </c>
    </row>
    <row r="1266" spans="2:5" x14ac:dyDescent="0.25">
      <c r="B1266" s="213" t="s">
        <v>2912</v>
      </c>
      <c r="C1266" s="214">
        <v>2019</v>
      </c>
      <c r="D1266" s="214">
        <v>5</v>
      </c>
      <c r="E1266" s="214">
        <v>7</v>
      </c>
    </row>
    <row r="1267" spans="2:5" x14ac:dyDescent="0.25">
      <c r="B1267" s="213" t="s">
        <v>2912</v>
      </c>
      <c r="C1267" s="214">
        <v>2019</v>
      </c>
      <c r="D1267" s="214">
        <v>6</v>
      </c>
      <c r="E1267" s="214">
        <v>5</v>
      </c>
    </row>
    <row r="1268" spans="2:5" x14ac:dyDescent="0.25">
      <c r="B1268" s="213" t="s">
        <v>2912</v>
      </c>
      <c r="C1268" s="214">
        <v>2019</v>
      </c>
      <c r="D1268" s="214">
        <v>2</v>
      </c>
      <c r="E1268" s="214">
        <v>4</v>
      </c>
    </row>
    <row r="1269" spans="2:5" x14ac:dyDescent="0.25">
      <c r="B1269" s="213" t="s">
        <v>2912</v>
      </c>
      <c r="C1269" s="214">
        <v>2019</v>
      </c>
      <c r="D1269" s="214">
        <v>8</v>
      </c>
      <c r="E1269" s="214">
        <v>3</v>
      </c>
    </row>
    <row r="1270" spans="2:5" x14ac:dyDescent="0.25">
      <c r="B1270" s="213" t="s">
        <v>2912</v>
      </c>
      <c r="C1270" s="214">
        <v>2019</v>
      </c>
      <c r="D1270" s="214">
        <v>3</v>
      </c>
      <c r="E1270" s="214">
        <v>2</v>
      </c>
    </row>
    <row r="1271" spans="2:5" x14ac:dyDescent="0.25">
      <c r="B1271" s="213" t="s">
        <v>2912</v>
      </c>
      <c r="C1271" s="214">
        <v>2019</v>
      </c>
      <c r="D1271" s="214">
        <v>11</v>
      </c>
      <c r="E1271" s="214">
        <v>2</v>
      </c>
    </row>
    <row r="1272" spans="2:5" x14ac:dyDescent="0.25">
      <c r="B1272" s="213" t="s">
        <v>2912</v>
      </c>
      <c r="C1272" s="214">
        <v>2019</v>
      </c>
      <c r="D1272" s="214">
        <v>7</v>
      </c>
      <c r="E1272" s="214">
        <v>1</v>
      </c>
    </row>
    <row r="1273" spans="2:5" x14ac:dyDescent="0.25">
      <c r="B1273" s="213" t="s">
        <v>2912</v>
      </c>
      <c r="C1273" s="214">
        <v>2019</v>
      </c>
      <c r="D1273" s="214">
        <v>9</v>
      </c>
      <c r="E1273" s="214">
        <v>1</v>
      </c>
    </row>
    <row r="1274" spans="2:5" x14ac:dyDescent="0.25">
      <c r="B1274" s="213" t="s">
        <v>2912</v>
      </c>
      <c r="C1274" s="214">
        <v>2019</v>
      </c>
      <c r="D1274" s="214">
        <v>12</v>
      </c>
      <c r="E1274" s="214">
        <v>1</v>
      </c>
    </row>
    <row r="1275" spans="2:5" x14ac:dyDescent="0.25">
      <c r="B1275" s="213" t="s">
        <v>2935</v>
      </c>
      <c r="C1275" s="214">
        <v>2019</v>
      </c>
      <c r="D1275" s="214">
        <v>4</v>
      </c>
      <c r="E1275" s="214">
        <v>3</v>
      </c>
    </row>
    <row r="1276" spans="2:5" x14ac:dyDescent="0.25">
      <c r="B1276" s="213" t="s">
        <v>2935</v>
      </c>
      <c r="C1276" s="214">
        <v>2019</v>
      </c>
      <c r="D1276" s="214">
        <v>9</v>
      </c>
      <c r="E1276" s="214">
        <v>3</v>
      </c>
    </row>
    <row r="1277" spans="2:5" x14ac:dyDescent="0.25">
      <c r="B1277" s="213" t="s">
        <v>2935</v>
      </c>
      <c r="C1277" s="214">
        <v>2019</v>
      </c>
      <c r="D1277" s="214">
        <v>7</v>
      </c>
      <c r="E1277" s="214">
        <v>2</v>
      </c>
    </row>
    <row r="1278" spans="2:5" x14ac:dyDescent="0.25">
      <c r="B1278" s="213" t="s">
        <v>2935</v>
      </c>
      <c r="C1278" s="214">
        <v>2019</v>
      </c>
      <c r="D1278" s="214">
        <v>8</v>
      </c>
      <c r="E1278" s="214">
        <v>2</v>
      </c>
    </row>
    <row r="1279" spans="2:5" x14ac:dyDescent="0.25">
      <c r="B1279" s="213" t="s">
        <v>2935</v>
      </c>
      <c r="C1279" s="214">
        <v>2019</v>
      </c>
      <c r="D1279" s="214">
        <v>2</v>
      </c>
      <c r="E1279" s="214">
        <v>1</v>
      </c>
    </row>
    <row r="1280" spans="2:5" x14ac:dyDescent="0.25">
      <c r="B1280" s="213" t="s">
        <v>2935</v>
      </c>
      <c r="C1280" s="214">
        <v>2019</v>
      </c>
      <c r="D1280" s="214">
        <v>5</v>
      </c>
      <c r="E1280" s="214">
        <v>1</v>
      </c>
    </row>
    <row r="1281" spans="2:5" x14ac:dyDescent="0.25">
      <c r="B1281" s="213" t="s">
        <v>2935</v>
      </c>
      <c r="C1281" s="214">
        <v>2019</v>
      </c>
      <c r="D1281" s="214">
        <v>6</v>
      </c>
      <c r="E1281" s="214">
        <v>1</v>
      </c>
    </row>
    <row r="1282" spans="2:5" x14ac:dyDescent="0.25">
      <c r="B1282" s="213" t="s">
        <v>2935</v>
      </c>
      <c r="C1282" s="214">
        <v>2019</v>
      </c>
      <c r="D1282" s="214">
        <v>11</v>
      </c>
      <c r="E1282" s="214">
        <v>1</v>
      </c>
    </row>
    <row r="1283" spans="2:5" x14ac:dyDescent="0.25">
      <c r="B1283" s="213" t="s">
        <v>2935</v>
      </c>
      <c r="C1283" s="214">
        <v>2019</v>
      </c>
      <c r="D1283" s="214">
        <v>12</v>
      </c>
      <c r="E1283" s="214">
        <v>1</v>
      </c>
    </row>
    <row r="1284" spans="2:5" x14ac:dyDescent="0.25">
      <c r="B1284" s="213" t="s">
        <v>2810</v>
      </c>
      <c r="C1284" s="214">
        <v>2019</v>
      </c>
      <c r="D1284" s="214">
        <v>4</v>
      </c>
      <c r="E1284" s="214">
        <v>344</v>
      </c>
    </row>
    <row r="1285" spans="2:5" x14ac:dyDescent="0.25">
      <c r="B1285" s="213" t="s">
        <v>2810</v>
      </c>
      <c r="C1285" s="214">
        <v>2019</v>
      </c>
      <c r="D1285" s="214">
        <v>1</v>
      </c>
      <c r="E1285" s="214">
        <v>261</v>
      </c>
    </row>
    <row r="1286" spans="2:5" x14ac:dyDescent="0.25">
      <c r="B1286" s="213" t="s">
        <v>2810</v>
      </c>
      <c r="C1286" s="214">
        <v>2019</v>
      </c>
      <c r="D1286" s="214">
        <v>9</v>
      </c>
      <c r="E1286" s="214">
        <v>239</v>
      </c>
    </row>
    <row r="1287" spans="2:5" x14ac:dyDescent="0.25">
      <c r="B1287" s="213" t="s">
        <v>2810</v>
      </c>
      <c r="C1287" s="214">
        <v>2019</v>
      </c>
      <c r="D1287" s="214">
        <v>8</v>
      </c>
      <c r="E1287" s="214">
        <v>194</v>
      </c>
    </row>
    <row r="1288" spans="2:5" x14ac:dyDescent="0.25">
      <c r="B1288" s="213" t="s">
        <v>2810</v>
      </c>
      <c r="C1288" s="214">
        <v>2019</v>
      </c>
      <c r="D1288" s="214">
        <v>3</v>
      </c>
      <c r="E1288" s="214">
        <v>186</v>
      </c>
    </row>
    <row r="1289" spans="2:5" x14ac:dyDescent="0.25">
      <c r="B1289" s="213" t="s">
        <v>2810</v>
      </c>
      <c r="C1289" s="214">
        <v>2019</v>
      </c>
      <c r="D1289" s="214">
        <v>10</v>
      </c>
      <c r="E1289" s="214">
        <v>180</v>
      </c>
    </row>
    <row r="1290" spans="2:5" x14ac:dyDescent="0.25">
      <c r="B1290" s="213" t="s">
        <v>2810</v>
      </c>
      <c r="C1290" s="214">
        <v>2019</v>
      </c>
      <c r="D1290" s="214">
        <v>11</v>
      </c>
      <c r="E1290" s="214">
        <v>173</v>
      </c>
    </row>
    <row r="1291" spans="2:5" x14ac:dyDescent="0.25">
      <c r="B1291" s="213" t="s">
        <v>2810</v>
      </c>
      <c r="C1291" s="214">
        <v>2019</v>
      </c>
      <c r="D1291" s="214">
        <v>5</v>
      </c>
      <c r="E1291" s="214">
        <v>168</v>
      </c>
    </row>
    <row r="1292" spans="2:5" x14ac:dyDescent="0.25">
      <c r="B1292" s="213" t="s">
        <v>2810</v>
      </c>
      <c r="C1292" s="214">
        <v>2019</v>
      </c>
      <c r="D1292" s="214">
        <v>2</v>
      </c>
      <c r="E1292" s="214">
        <v>126</v>
      </c>
    </row>
    <row r="1293" spans="2:5" x14ac:dyDescent="0.25">
      <c r="B1293" s="213" t="s">
        <v>2810</v>
      </c>
      <c r="C1293" s="214">
        <v>2019</v>
      </c>
      <c r="D1293" s="214">
        <v>6</v>
      </c>
      <c r="E1293" s="214">
        <v>114</v>
      </c>
    </row>
    <row r="1294" spans="2:5" x14ac:dyDescent="0.25">
      <c r="B1294" s="213" t="s">
        <v>2810</v>
      </c>
      <c r="C1294" s="214">
        <v>2019</v>
      </c>
      <c r="D1294" s="214">
        <v>7</v>
      </c>
      <c r="E1294" s="214">
        <v>108</v>
      </c>
    </row>
    <row r="1295" spans="2:5" x14ac:dyDescent="0.25">
      <c r="B1295" s="213" t="s">
        <v>2810</v>
      </c>
      <c r="C1295" s="214">
        <v>2019</v>
      </c>
      <c r="D1295" s="214">
        <v>12</v>
      </c>
      <c r="E1295" s="214">
        <v>90</v>
      </c>
    </row>
    <row r="1296" spans="2:5" x14ac:dyDescent="0.25">
      <c r="B1296" s="213" t="s">
        <v>2906</v>
      </c>
      <c r="C1296" s="214">
        <v>2019</v>
      </c>
      <c r="D1296" s="214">
        <v>9</v>
      </c>
      <c r="E1296" s="214">
        <v>13</v>
      </c>
    </row>
    <row r="1297" spans="2:5" x14ac:dyDescent="0.25">
      <c r="B1297" s="213" t="s">
        <v>2906</v>
      </c>
      <c r="C1297" s="214">
        <v>2019</v>
      </c>
      <c r="D1297" s="214">
        <v>6</v>
      </c>
      <c r="E1297" s="214">
        <v>12</v>
      </c>
    </row>
    <row r="1298" spans="2:5" x14ac:dyDescent="0.25">
      <c r="B1298" s="213" t="s">
        <v>2906</v>
      </c>
      <c r="C1298" s="214">
        <v>2019</v>
      </c>
      <c r="D1298" s="214">
        <v>7</v>
      </c>
      <c r="E1298" s="214">
        <v>12</v>
      </c>
    </row>
    <row r="1299" spans="2:5" x14ac:dyDescent="0.25">
      <c r="B1299" s="213" t="s">
        <v>2906</v>
      </c>
      <c r="C1299" s="214">
        <v>2019</v>
      </c>
      <c r="D1299" s="214">
        <v>4</v>
      </c>
      <c r="E1299" s="214">
        <v>11</v>
      </c>
    </row>
    <row r="1300" spans="2:5" x14ac:dyDescent="0.25">
      <c r="B1300" s="213" t="s">
        <v>2906</v>
      </c>
      <c r="C1300" s="214">
        <v>2019</v>
      </c>
      <c r="D1300" s="214">
        <v>8</v>
      </c>
      <c r="E1300" s="214">
        <v>10</v>
      </c>
    </row>
    <row r="1301" spans="2:5" x14ac:dyDescent="0.25">
      <c r="B1301" s="213" t="s">
        <v>2906</v>
      </c>
      <c r="C1301" s="214">
        <v>2019</v>
      </c>
      <c r="D1301" s="214">
        <v>12</v>
      </c>
      <c r="E1301" s="214">
        <v>8</v>
      </c>
    </row>
    <row r="1302" spans="2:5" x14ac:dyDescent="0.25">
      <c r="B1302" s="213" t="s">
        <v>2906</v>
      </c>
      <c r="C1302" s="214">
        <v>2019</v>
      </c>
      <c r="D1302" s="214">
        <v>11</v>
      </c>
      <c r="E1302" s="214">
        <v>6</v>
      </c>
    </row>
    <row r="1303" spans="2:5" x14ac:dyDescent="0.25">
      <c r="B1303" s="213" t="s">
        <v>2906</v>
      </c>
      <c r="C1303" s="214">
        <v>2019</v>
      </c>
      <c r="D1303" s="214">
        <v>2</v>
      </c>
      <c r="E1303" s="214">
        <v>4</v>
      </c>
    </row>
    <row r="1304" spans="2:5" x14ac:dyDescent="0.25">
      <c r="B1304" s="213" t="s">
        <v>2906</v>
      </c>
      <c r="C1304" s="214">
        <v>2019</v>
      </c>
      <c r="D1304" s="214">
        <v>10</v>
      </c>
      <c r="E1304" s="214">
        <v>4</v>
      </c>
    </row>
    <row r="1305" spans="2:5" x14ac:dyDescent="0.25">
      <c r="B1305" s="213" t="s">
        <v>2906</v>
      </c>
      <c r="C1305" s="214">
        <v>2019</v>
      </c>
      <c r="D1305" s="214">
        <v>1</v>
      </c>
      <c r="E1305" s="214">
        <v>3</v>
      </c>
    </row>
    <row r="1306" spans="2:5" x14ac:dyDescent="0.25">
      <c r="B1306" s="213" t="s">
        <v>2906</v>
      </c>
      <c r="C1306" s="214">
        <v>2019</v>
      </c>
      <c r="D1306" s="214">
        <v>5</v>
      </c>
      <c r="E1306" s="214">
        <v>3</v>
      </c>
    </row>
    <row r="1307" spans="2:5" x14ac:dyDescent="0.25">
      <c r="B1307" s="213" t="s">
        <v>2906</v>
      </c>
      <c r="C1307" s="214">
        <v>2019</v>
      </c>
      <c r="D1307" s="214">
        <v>3</v>
      </c>
      <c r="E1307" s="214">
        <v>2</v>
      </c>
    </row>
    <row r="1308" spans="2:5" x14ac:dyDescent="0.25">
      <c r="B1308" s="213" t="s">
        <v>2892</v>
      </c>
      <c r="C1308" s="214">
        <v>2019</v>
      </c>
      <c r="D1308" s="214">
        <v>3</v>
      </c>
      <c r="E1308" s="214">
        <v>46</v>
      </c>
    </row>
    <row r="1309" spans="2:5" x14ac:dyDescent="0.25">
      <c r="B1309" s="213" t="s">
        <v>2892</v>
      </c>
      <c r="C1309" s="214">
        <v>2019</v>
      </c>
      <c r="D1309" s="214">
        <v>8</v>
      </c>
      <c r="E1309" s="214">
        <v>30</v>
      </c>
    </row>
    <row r="1310" spans="2:5" x14ac:dyDescent="0.25">
      <c r="B1310" s="213" t="s">
        <v>2892</v>
      </c>
      <c r="C1310" s="214">
        <v>2019</v>
      </c>
      <c r="D1310" s="214">
        <v>10</v>
      </c>
      <c r="E1310" s="214">
        <v>26</v>
      </c>
    </row>
    <row r="1311" spans="2:5" x14ac:dyDescent="0.25">
      <c r="B1311" s="213" t="s">
        <v>2892</v>
      </c>
      <c r="C1311" s="214">
        <v>2019</v>
      </c>
      <c r="D1311" s="214">
        <v>7</v>
      </c>
      <c r="E1311" s="214">
        <v>25</v>
      </c>
    </row>
    <row r="1312" spans="2:5" x14ac:dyDescent="0.25">
      <c r="B1312" s="213" t="s">
        <v>2892</v>
      </c>
      <c r="C1312" s="214">
        <v>2019</v>
      </c>
      <c r="D1312" s="214">
        <v>6</v>
      </c>
      <c r="E1312" s="214">
        <v>23</v>
      </c>
    </row>
    <row r="1313" spans="2:5" x14ac:dyDescent="0.25">
      <c r="B1313" s="213" t="s">
        <v>2892</v>
      </c>
      <c r="C1313" s="214">
        <v>2019</v>
      </c>
      <c r="D1313" s="214">
        <v>9</v>
      </c>
      <c r="E1313" s="214">
        <v>21</v>
      </c>
    </row>
    <row r="1314" spans="2:5" x14ac:dyDescent="0.25">
      <c r="B1314" s="213" t="s">
        <v>2892</v>
      </c>
      <c r="C1314" s="214">
        <v>2019</v>
      </c>
      <c r="D1314" s="214">
        <v>5</v>
      </c>
      <c r="E1314" s="214">
        <v>19</v>
      </c>
    </row>
    <row r="1315" spans="2:5" x14ac:dyDescent="0.25">
      <c r="B1315" s="213" t="s">
        <v>2892</v>
      </c>
      <c r="C1315" s="214">
        <v>2019</v>
      </c>
      <c r="D1315" s="214">
        <v>11</v>
      </c>
      <c r="E1315" s="214">
        <v>14</v>
      </c>
    </row>
    <row r="1316" spans="2:5" x14ac:dyDescent="0.25">
      <c r="B1316" s="213" t="s">
        <v>2892</v>
      </c>
      <c r="C1316" s="214">
        <v>2019</v>
      </c>
      <c r="D1316" s="214">
        <v>1</v>
      </c>
      <c r="E1316" s="214">
        <v>13</v>
      </c>
    </row>
    <row r="1317" spans="2:5" x14ac:dyDescent="0.25">
      <c r="B1317" s="213" t="s">
        <v>2892</v>
      </c>
      <c r="C1317" s="214">
        <v>2019</v>
      </c>
      <c r="D1317" s="214">
        <v>12</v>
      </c>
      <c r="E1317" s="214">
        <v>9</v>
      </c>
    </row>
    <row r="1318" spans="2:5" x14ac:dyDescent="0.25">
      <c r="B1318" s="213" t="s">
        <v>2892</v>
      </c>
      <c r="C1318" s="214">
        <v>2019</v>
      </c>
      <c r="D1318" s="214">
        <v>2</v>
      </c>
      <c r="E1318" s="214">
        <v>5</v>
      </c>
    </row>
    <row r="1319" spans="2:5" x14ac:dyDescent="0.25">
      <c r="B1319" s="213" t="s">
        <v>2892</v>
      </c>
      <c r="C1319" s="214">
        <v>2019</v>
      </c>
      <c r="D1319" s="214">
        <v>4</v>
      </c>
      <c r="E1319" s="214">
        <v>5</v>
      </c>
    </row>
    <row r="1320" spans="2:5" x14ac:dyDescent="0.25">
      <c r="B1320" s="213" t="s">
        <v>2921</v>
      </c>
      <c r="C1320" s="214">
        <v>2019</v>
      </c>
      <c r="D1320" s="214">
        <v>3</v>
      </c>
      <c r="E1320" s="214">
        <v>10</v>
      </c>
    </row>
    <row r="1321" spans="2:5" x14ac:dyDescent="0.25">
      <c r="B1321" s="213" t="s">
        <v>2921</v>
      </c>
      <c r="C1321" s="214">
        <v>2019</v>
      </c>
      <c r="D1321" s="214">
        <v>5</v>
      </c>
      <c r="E1321" s="214">
        <v>7</v>
      </c>
    </row>
    <row r="1322" spans="2:5" x14ac:dyDescent="0.25">
      <c r="B1322" s="213" t="s">
        <v>2921</v>
      </c>
      <c r="C1322" s="214">
        <v>2019</v>
      </c>
      <c r="D1322" s="214">
        <v>9</v>
      </c>
      <c r="E1322" s="214">
        <v>5</v>
      </c>
    </row>
    <row r="1323" spans="2:5" x14ac:dyDescent="0.25">
      <c r="B1323" s="213" t="s">
        <v>2921</v>
      </c>
      <c r="C1323" s="214">
        <v>2019</v>
      </c>
      <c r="D1323" s="214">
        <v>6</v>
      </c>
      <c r="E1323" s="214">
        <v>4</v>
      </c>
    </row>
    <row r="1324" spans="2:5" x14ac:dyDescent="0.25">
      <c r="B1324" s="213" t="s">
        <v>2921</v>
      </c>
      <c r="C1324" s="214">
        <v>2019</v>
      </c>
      <c r="D1324" s="214">
        <v>7</v>
      </c>
      <c r="E1324" s="214">
        <v>4</v>
      </c>
    </row>
    <row r="1325" spans="2:5" x14ac:dyDescent="0.25">
      <c r="B1325" s="213" t="s">
        <v>2921</v>
      </c>
      <c r="C1325" s="214">
        <v>2019</v>
      </c>
      <c r="D1325" s="214">
        <v>8</v>
      </c>
      <c r="E1325" s="214">
        <v>4</v>
      </c>
    </row>
    <row r="1326" spans="2:5" x14ac:dyDescent="0.25">
      <c r="B1326" s="213" t="s">
        <v>2921</v>
      </c>
      <c r="C1326" s="214">
        <v>2019</v>
      </c>
      <c r="D1326" s="214">
        <v>2</v>
      </c>
      <c r="E1326" s="214">
        <v>3</v>
      </c>
    </row>
    <row r="1327" spans="2:5" x14ac:dyDescent="0.25">
      <c r="B1327" s="213" t="s">
        <v>2921</v>
      </c>
      <c r="C1327" s="214">
        <v>2019</v>
      </c>
      <c r="D1327" s="214">
        <v>10</v>
      </c>
      <c r="E1327" s="214">
        <v>3</v>
      </c>
    </row>
    <row r="1328" spans="2:5" x14ac:dyDescent="0.25">
      <c r="B1328" s="213" t="s">
        <v>2921</v>
      </c>
      <c r="C1328" s="214">
        <v>2019</v>
      </c>
      <c r="D1328" s="214">
        <v>11</v>
      </c>
      <c r="E1328" s="214">
        <v>3</v>
      </c>
    </row>
    <row r="1329" spans="2:5" x14ac:dyDescent="0.25">
      <c r="B1329" s="213" t="s">
        <v>2811</v>
      </c>
      <c r="C1329" s="214">
        <v>2019</v>
      </c>
      <c r="D1329" s="214">
        <v>5</v>
      </c>
      <c r="E1329" s="214">
        <v>30</v>
      </c>
    </row>
    <row r="1330" spans="2:5" x14ac:dyDescent="0.25">
      <c r="B1330" s="213" t="s">
        <v>2811</v>
      </c>
      <c r="C1330" s="214">
        <v>2019</v>
      </c>
      <c r="D1330" s="214">
        <v>11</v>
      </c>
      <c r="E1330" s="214">
        <v>23</v>
      </c>
    </row>
    <row r="1331" spans="2:5" x14ac:dyDescent="0.25">
      <c r="B1331" s="213" t="s">
        <v>2811</v>
      </c>
      <c r="C1331" s="214">
        <v>2019</v>
      </c>
      <c r="D1331" s="214">
        <v>10</v>
      </c>
      <c r="E1331" s="214">
        <v>19</v>
      </c>
    </row>
    <row r="1332" spans="2:5" x14ac:dyDescent="0.25">
      <c r="B1332" s="213" t="s">
        <v>2811</v>
      </c>
      <c r="C1332" s="214">
        <v>2019</v>
      </c>
      <c r="D1332" s="214">
        <v>3</v>
      </c>
      <c r="E1332" s="214">
        <v>15</v>
      </c>
    </row>
    <row r="1333" spans="2:5" x14ac:dyDescent="0.25">
      <c r="B1333" s="213" t="s">
        <v>2811</v>
      </c>
      <c r="C1333" s="214">
        <v>2019</v>
      </c>
      <c r="D1333" s="214">
        <v>9</v>
      </c>
      <c r="E1333" s="214">
        <v>15</v>
      </c>
    </row>
    <row r="1334" spans="2:5" x14ac:dyDescent="0.25">
      <c r="B1334" s="213" t="s">
        <v>2811</v>
      </c>
      <c r="C1334" s="214">
        <v>2019</v>
      </c>
      <c r="D1334" s="214">
        <v>7</v>
      </c>
      <c r="E1334" s="214">
        <v>14</v>
      </c>
    </row>
    <row r="1335" spans="2:5" x14ac:dyDescent="0.25">
      <c r="B1335" s="213" t="s">
        <v>2811</v>
      </c>
      <c r="C1335" s="214">
        <v>2019</v>
      </c>
      <c r="D1335" s="214">
        <v>8</v>
      </c>
      <c r="E1335" s="214">
        <v>14</v>
      </c>
    </row>
    <row r="1336" spans="2:5" x14ac:dyDescent="0.25">
      <c r="B1336" s="213" t="s">
        <v>2811</v>
      </c>
      <c r="C1336" s="214">
        <v>2019</v>
      </c>
      <c r="D1336" s="214">
        <v>6</v>
      </c>
      <c r="E1336" s="214">
        <v>11</v>
      </c>
    </row>
    <row r="1337" spans="2:5" x14ac:dyDescent="0.25">
      <c r="B1337" s="213" t="s">
        <v>2811</v>
      </c>
      <c r="C1337" s="214">
        <v>2019</v>
      </c>
      <c r="D1337" s="214">
        <v>4</v>
      </c>
      <c r="E1337" s="214">
        <v>10</v>
      </c>
    </row>
    <row r="1338" spans="2:5" x14ac:dyDescent="0.25">
      <c r="B1338" s="213" t="s">
        <v>2811</v>
      </c>
      <c r="C1338" s="214">
        <v>2019</v>
      </c>
      <c r="D1338" s="214">
        <v>1</v>
      </c>
      <c r="E1338" s="214">
        <v>8</v>
      </c>
    </row>
    <row r="1339" spans="2:5" x14ac:dyDescent="0.25">
      <c r="B1339" s="213" t="s">
        <v>2811</v>
      </c>
      <c r="C1339" s="214">
        <v>2019</v>
      </c>
      <c r="D1339" s="214">
        <v>2</v>
      </c>
      <c r="E1339" s="214">
        <v>3</v>
      </c>
    </row>
    <row r="1340" spans="2:5" x14ac:dyDescent="0.25">
      <c r="B1340" s="213" t="s">
        <v>2811</v>
      </c>
      <c r="C1340" s="214">
        <v>2019</v>
      </c>
      <c r="D1340" s="214">
        <v>12</v>
      </c>
      <c r="E1340" s="214">
        <v>1</v>
      </c>
    </row>
    <row r="1341" spans="2:5" x14ac:dyDescent="0.25">
      <c r="B1341" s="213" t="s">
        <v>2952</v>
      </c>
      <c r="C1341" s="214">
        <v>2019</v>
      </c>
      <c r="D1341" s="214">
        <v>11</v>
      </c>
      <c r="E1341" s="214">
        <v>3</v>
      </c>
    </row>
    <row r="1342" spans="2:5" x14ac:dyDescent="0.25">
      <c r="B1342" s="213" t="s">
        <v>2952</v>
      </c>
      <c r="C1342" s="214">
        <v>2019</v>
      </c>
      <c r="D1342" s="214">
        <v>1</v>
      </c>
      <c r="E1342" s="214">
        <v>1</v>
      </c>
    </row>
    <row r="1343" spans="2:5" x14ac:dyDescent="0.25">
      <c r="B1343" s="213" t="s">
        <v>2952</v>
      </c>
      <c r="C1343" s="214">
        <v>2019</v>
      </c>
      <c r="D1343" s="214">
        <v>8</v>
      </c>
      <c r="E1343" s="214">
        <v>1</v>
      </c>
    </row>
    <row r="1344" spans="2:5" x14ac:dyDescent="0.25">
      <c r="B1344" s="213" t="s">
        <v>2952</v>
      </c>
      <c r="C1344" s="214">
        <v>2019</v>
      </c>
      <c r="D1344" s="214">
        <v>9</v>
      </c>
      <c r="E1344" s="214">
        <v>1</v>
      </c>
    </row>
    <row r="1345" spans="2:5" x14ac:dyDescent="0.25">
      <c r="B1345" s="213" t="s">
        <v>2952</v>
      </c>
      <c r="C1345" s="214">
        <v>2019</v>
      </c>
      <c r="D1345" s="214">
        <v>12</v>
      </c>
      <c r="E1345" s="214">
        <v>1</v>
      </c>
    </row>
    <row r="1346" spans="2:5" x14ac:dyDescent="0.25">
      <c r="B1346" s="213" t="s">
        <v>2812</v>
      </c>
      <c r="C1346" s="214">
        <v>2019</v>
      </c>
      <c r="D1346" s="214">
        <v>5</v>
      </c>
      <c r="E1346" s="214">
        <v>27</v>
      </c>
    </row>
    <row r="1347" spans="2:5" x14ac:dyDescent="0.25">
      <c r="B1347" s="213" t="s">
        <v>2812</v>
      </c>
      <c r="C1347" s="214">
        <v>2019</v>
      </c>
      <c r="D1347" s="214">
        <v>3</v>
      </c>
      <c r="E1347" s="214">
        <v>16</v>
      </c>
    </row>
    <row r="1348" spans="2:5" x14ac:dyDescent="0.25">
      <c r="B1348" s="213" t="s">
        <v>2812</v>
      </c>
      <c r="C1348" s="214">
        <v>2019</v>
      </c>
      <c r="D1348" s="214">
        <v>8</v>
      </c>
      <c r="E1348" s="214">
        <v>16</v>
      </c>
    </row>
    <row r="1349" spans="2:5" x14ac:dyDescent="0.25">
      <c r="B1349" s="213" t="s">
        <v>2812</v>
      </c>
      <c r="C1349" s="214">
        <v>2019</v>
      </c>
      <c r="D1349" s="214">
        <v>10</v>
      </c>
      <c r="E1349" s="214">
        <v>14</v>
      </c>
    </row>
    <row r="1350" spans="2:5" x14ac:dyDescent="0.25">
      <c r="B1350" s="213" t="s">
        <v>2812</v>
      </c>
      <c r="C1350" s="214">
        <v>2019</v>
      </c>
      <c r="D1350" s="214">
        <v>6</v>
      </c>
      <c r="E1350" s="214">
        <v>13</v>
      </c>
    </row>
    <row r="1351" spans="2:5" x14ac:dyDescent="0.25">
      <c r="B1351" s="213" t="s">
        <v>2812</v>
      </c>
      <c r="C1351" s="214">
        <v>2019</v>
      </c>
      <c r="D1351" s="214">
        <v>11</v>
      </c>
      <c r="E1351" s="214">
        <v>12</v>
      </c>
    </row>
    <row r="1352" spans="2:5" x14ac:dyDescent="0.25">
      <c r="B1352" s="213" t="s">
        <v>2812</v>
      </c>
      <c r="C1352" s="214">
        <v>2019</v>
      </c>
      <c r="D1352" s="214">
        <v>7</v>
      </c>
      <c r="E1352" s="214">
        <v>10</v>
      </c>
    </row>
    <row r="1353" spans="2:5" x14ac:dyDescent="0.25">
      <c r="B1353" s="213" t="s">
        <v>2812</v>
      </c>
      <c r="C1353" s="214">
        <v>2019</v>
      </c>
      <c r="D1353" s="214">
        <v>2</v>
      </c>
      <c r="E1353" s="214">
        <v>8</v>
      </c>
    </row>
    <row r="1354" spans="2:5" x14ac:dyDescent="0.25">
      <c r="B1354" s="213" t="s">
        <v>2812</v>
      </c>
      <c r="C1354" s="214">
        <v>2019</v>
      </c>
      <c r="D1354" s="214">
        <v>12</v>
      </c>
      <c r="E1354" s="214">
        <v>4</v>
      </c>
    </row>
    <row r="1355" spans="2:5" x14ac:dyDescent="0.25">
      <c r="B1355" s="213" t="s">
        <v>2812</v>
      </c>
      <c r="C1355" s="214">
        <v>2019</v>
      </c>
      <c r="D1355" s="214">
        <v>9</v>
      </c>
      <c r="E1355" s="214">
        <v>3</v>
      </c>
    </row>
    <row r="1356" spans="2:5" x14ac:dyDescent="0.25">
      <c r="B1356" s="213" t="s">
        <v>2957</v>
      </c>
      <c r="C1356" s="214">
        <v>2019</v>
      </c>
      <c r="D1356" s="214">
        <v>6</v>
      </c>
      <c r="E1356" s="214">
        <v>2</v>
      </c>
    </row>
    <row r="1357" spans="2:5" x14ac:dyDescent="0.25">
      <c r="B1357" s="213" t="s">
        <v>2957</v>
      </c>
      <c r="C1357" s="214">
        <v>2019</v>
      </c>
      <c r="D1357" s="214">
        <v>2</v>
      </c>
      <c r="E1357" s="214">
        <v>1</v>
      </c>
    </row>
    <row r="1358" spans="2:5" x14ac:dyDescent="0.25">
      <c r="B1358" s="213" t="s">
        <v>2957</v>
      </c>
      <c r="C1358" s="214">
        <v>2019</v>
      </c>
      <c r="D1358" s="214">
        <v>3</v>
      </c>
      <c r="E1358" s="214">
        <v>1</v>
      </c>
    </row>
    <row r="1359" spans="2:5" x14ac:dyDescent="0.25">
      <c r="B1359" s="213" t="s">
        <v>2957</v>
      </c>
      <c r="C1359" s="214">
        <v>2019</v>
      </c>
      <c r="D1359" s="214">
        <v>5</v>
      </c>
      <c r="E1359" s="214">
        <v>1</v>
      </c>
    </row>
    <row r="1360" spans="2:5" x14ac:dyDescent="0.25">
      <c r="B1360" s="213" t="s">
        <v>2957</v>
      </c>
      <c r="C1360" s="214">
        <v>2019</v>
      </c>
      <c r="D1360" s="214">
        <v>7</v>
      </c>
      <c r="E1360" s="214">
        <v>1</v>
      </c>
    </row>
    <row r="1361" spans="2:5" x14ac:dyDescent="0.25">
      <c r="B1361" s="213" t="s">
        <v>2813</v>
      </c>
      <c r="C1361" s="214">
        <v>2019</v>
      </c>
      <c r="D1361" s="214">
        <v>4</v>
      </c>
      <c r="E1361" s="214">
        <v>36</v>
      </c>
    </row>
    <row r="1362" spans="2:5" x14ac:dyDescent="0.25">
      <c r="B1362" s="213" t="s">
        <v>2813</v>
      </c>
      <c r="C1362" s="214">
        <v>2019</v>
      </c>
      <c r="D1362" s="214">
        <v>7</v>
      </c>
      <c r="E1362" s="214">
        <v>29</v>
      </c>
    </row>
    <row r="1363" spans="2:5" x14ac:dyDescent="0.25">
      <c r="B1363" s="213" t="s">
        <v>2813</v>
      </c>
      <c r="C1363" s="214">
        <v>2019</v>
      </c>
      <c r="D1363" s="214">
        <v>5</v>
      </c>
      <c r="E1363" s="214">
        <v>26</v>
      </c>
    </row>
    <row r="1364" spans="2:5" x14ac:dyDescent="0.25">
      <c r="B1364" s="213" t="s">
        <v>2813</v>
      </c>
      <c r="C1364" s="214">
        <v>2019</v>
      </c>
      <c r="D1364" s="214">
        <v>9</v>
      </c>
      <c r="E1364" s="214">
        <v>22</v>
      </c>
    </row>
    <row r="1365" spans="2:5" x14ac:dyDescent="0.25">
      <c r="B1365" s="213" t="s">
        <v>2813</v>
      </c>
      <c r="C1365" s="214">
        <v>2019</v>
      </c>
      <c r="D1365" s="214">
        <v>10</v>
      </c>
      <c r="E1365" s="214">
        <v>19</v>
      </c>
    </row>
    <row r="1366" spans="2:5" x14ac:dyDescent="0.25">
      <c r="B1366" s="213" t="s">
        <v>2813</v>
      </c>
      <c r="C1366" s="214">
        <v>2019</v>
      </c>
      <c r="D1366" s="214">
        <v>6</v>
      </c>
      <c r="E1366" s="214">
        <v>13</v>
      </c>
    </row>
    <row r="1367" spans="2:5" x14ac:dyDescent="0.25">
      <c r="B1367" s="213" t="s">
        <v>2813</v>
      </c>
      <c r="C1367" s="214">
        <v>2019</v>
      </c>
      <c r="D1367" s="214">
        <v>12</v>
      </c>
      <c r="E1367" s="214">
        <v>12</v>
      </c>
    </row>
    <row r="1368" spans="2:5" x14ac:dyDescent="0.25">
      <c r="B1368" s="213" t="s">
        <v>2813</v>
      </c>
      <c r="C1368" s="214">
        <v>2019</v>
      </c>
      <c r="D1368" s="214">
        <v>11</v>
      </c>
      <c r="E1368" s="214">
        <v>11</v>
      </c>
    </row>
    <row r="1369" spans="2:5" x14ac:dyDescent="0.25">
      <c r="B1369" s="213" t="s">
        <v>2813</v>
      </c>
      <c r="C1369" s="214">
        <v>2019</v>
      </c>
      <c r="D1369" s="214">
        <v>8</v>
      </c>
      <c r="E1369" s="214">
        <v>10</v>
      </c>
    </row>
    <row r="1370" spans="2:5" x14ac:dyDescent="0.25">
      <c r="B1370" s="213" t="s">
        <v>2813</v>
      </c>
      <c r="C1370" s="214">
        <v>2019</v>
      </c>
      <c r="D1370" s="214">
        <v>1</v>
      </c>
      <c r="E1370" s="214">
        <v>6</v>
      </c>
    </row>
    <row r="1371" spans="2:5" x14ac:dyDescent="0.25">
      <c r="B1371" s="213" t="s">
        <v>2813</v>
      </c>
      <c r="C1371" s="214">
        <v>2019</v>
      </c>
      <c r="D1371" s="214">
        <v>2</v>
      </c>
      <c r="E1371" s="214">
        <v>4</v>
      </c>
    </row>
    <row r="1372" spans="2:5" x14ac:dyDescent="0.25">
      <c r="B1372" s="213" t="s">
        <v>2898</v>
      </c>
      <c r="C1372" s="214">
        <v>2019</v>
      </c>
      <c r="D1372" s="214">
        <v>8</v>
      </c>
      <c r="E1372" s="214">
        <v>37</v>
      </c>
    </row>
    <row r="1373" spans="2:5" x14ac:dyDescent="0.25">
      <c r="B1373" s="213" t="s">
        <v>2898</v>
      </c>
      <c r="C1373" s="214">
        <v>2019</v>
      </c>
      <c r="D1373" s="214">
        <v>5</v>
      </c>
      <c r="E1373" s="214">
        <v>28</v>
      </c>
    </row>
    <row r="1374" spans="2:5" x14ac:dyDescent="0.25">
      <c r="B1374" s="213" t="s">
        <v>2898</v>
      </c>
      <c r="C1374" s="214">
        <v>2019</v>
      </c>
      <c r="D1374" s="214">
        <v>11</v>
      </c>
      <c r="E1374" s="214">
        <v>25</v>
      </c>
    </row>
    <row r="1375" spans="2:5" x14ac:dyDescent="0.25">
      <c r="B1375" s="213" t="s">
        <v>2898</v>
      </c>
      <c r="C1375" s="214">
        <v>2019</v>
      </c>
      <c r="D1375" s="214">
        <v>3</v>
      </c>
      <c r="E1375" s="214">
        <v>15</v>
      </c>
    </row>
    <row r="1376" spans="2:5" x14ac:dyDescent="0.25">
      <c r="B1376" s="213" t="s">
        <v>2898</v>
      </c>
      <c r="C1376" s="214">
        <v>2019</v>
      </c>
      <c r="D1376" s="214">
        <v>6</v>
      </c>
      <c r="E1376" s="214">
        <v>15</v>
      </c>
    </row>
    <row r="1377" spans="2:5" x14ac:dyDescent="0.25">
      <c r="B1377" s="213" t="s">
        <v>2898</v>
      </c>
      <c r="C1377" s="214">
        <v>2019</v>
      </c>
      <c r="D1377" s="214">
        <v>10</v>
      </c>
      <c r="E1377" s="214">
        <v>14</v>
      </c>
    </row>
    <row r="1378" spans="2:5" x14ac:dyDescent="0.25">
      <c r="B1378" s="213" t="s">
        <v>2898</v>
      </c>
      <c r="C1378" s="214">
        <v>2019</v>
      </c>
      <c r="D1378" s="214">
        <v>9</v>
      </c>
      <c r="E1378" s="214">
        <v>12</v>
      </c>
    </row>
    <row r="1379" spans="2:5" x14ac:dyDescent="0.25">
      <c r="B1379" s="213" t="s">
        <v>2898</v>
      </c>
      <c r="C1379" s="214">
        <v>2019</v>
      </c>
      <c r="D1379" s="214">
        <v>7</v>
      </c>
      <c r="E1379" s="214">
        <v>11</v>
      </c>
    </row>
    <row r="1380" spans="2:5" x14ac:dyDescent="0.25">
      <c r="B1380" s="213" t="s">
        <v>2898</v>
      </c>
      <c r="C1380" s="214">
        <v>2019</v>
      </c>
      <c r="D1380" s="214">
        <v>1</v>
      </c>
      <c r="E1380" s="214">
        <v>10</v>
      </c>
    </row>
    <row r="1381" spans="2:5" x14ac:dyDescent="0.25">
      <c r="B1381" s="213" t="s">
        <v>2898</v>
      </c>
      <c r="C1381" s="214">
        <v>2019</v>
      </c>
      <c r="D1381" s="214">
        <v>4</v>
      </c>
      <c r="E1381" s="214">
        <v>6</v>
      </c>
    </row>
    <row r="1382" spans="2:5" x14ac:dyDescent="0.25">
      <c r="B1382" s="213" t="s">
        <v>2898</v>
      </c>
      <c r="C1382" s="214">
        <v>2019</v>
      </c>
      <c r="D1382" s="214">
        <v>12</v>
      </c>
      <c r="E1382" s="214">
        <v>6</v>
      </c>
    </row>
    <row r="1383" spans="2:5" x14ac:dyDescent="0.25">
      <c r="B1383" s="213" t="s">
        <v>2898</v>
      </c>
      <c r="C1383" s="214">
        <v>2019</v>
      </c>
      <c r="D1383" s="214">
        <v>2</v>
      </c>
      <c r="E1383" s="214">
        <v>2</v>
      </c>
    </row>
    <row r="1384" spans="2:5" x14ac:dyDescent="0.25">
      <c r="B1384" s="213" t="s">
        <v>2958</v>
      </c>
      <c r="C1384" s="214">
        <v>2019</v>
      </c>
      <c r="D1384" s="214">
        <v>1</v>
      </c>
      <c r="E1384" s="214">
        <v>2</v>
      </c>
    </row>
    <row r="1385" spans="2:5" x14ac:dyDescent="0.25">
      <c r="B1385" s="213" t="s">
        <v>2958</v>
      </c>
      <c r="C1385" s="214">
        <v>2019</v>
      </c>
      <c r="D1385" s="214">
        <v>4</v>
      </c>
      <c r="E1385" s="214">
        <v>2</v>
      </c>
    </row>
    <row r="1386" spans="2:5" x14ac:dyDescent="0.25">
      <c r="B1386" s="213" t="s">
        <v>2958</v>
      </c>
      <c r="C1386" s="214">
        <v>2019</v>
      </c>
      <c r="D1386" s="214">
        <v>5</v>
      </c>
      <c r="E1386" s="214">
        <v>1</v>
      </c>
    </row>
    <row r="1387" spans="2:5" x14ac:dyDescent="0.25">
      <c r="B1387" s="213" t="s">
        <v>2958</v>
      </c>
      <c r="C1387" s="214">
        <v>2019</v>
      </c>
      <c r="D1387" s="214">
        <v>6</v>
      </c>
      <c r="E1387" s="214">
        <v>1</v>
      </c>
    </row>
    <row r="1388" spans="2:5" x14ac:dyDescent="0.25">
      <c r="B1388" s="213" t="s">
        <v>2959</v>
      </c>
      <c r="C1388" s="214">
        <v>2019</v>
      </c>
      <c r="D1388" s="214">
        <v>8</v>
      </c>
      <c r="E1388" s="214">
        <v>2</v>
      </c>
    </row>
    <row r="1389" spans="2:5" x14ac:dyDescent="0.25">
      <c r="B1389" s="213" t="s">
        <v>2959</v>
      </c>
      <c r="C1389" s="214">
        <v>2019</v>
      </c>
      <c r="D1389" s="214">
        <v>9</v>
      </c>
      <c r="E1389" s="214">
        <v>1</v>
      </c>
    </row>
    <row r="1390" spans="2:5" x14ac:dyDescent="0.25">
      <c r="B1390" s="213" t="s">
        <v>2959</v>
      </c>
      <c r="C1390" s="214">
        <v>2019</v>
      </c>
      <c r="D1390" s="214">
        <v>10</v>
      </c>
      <c r="E1390" s="214">
        <v>1</v>
      </c>
    </row>
    <row r="1391" spans="2:5" x14ac:dyDescent="0.25">
      <c r="B1391" s="213" t="s">
        <v>2959</v>
      </c>
      <c r="C1391" s="214">
        <v>2019</v>
      </c>
      <c r="D1391" s="214">
        <v>11</v>
      </c>
      <c r="E1391" s="214">
        <v>1</v>
      </c>
    </row>
    <row r="1392" spans="2:5" x14ac:dyDescent="0.25">
      <c r="B1392" s="213" t="s">
        <v>2959</v>
      </c>
      <c r="C1392" s="214">
        <v>2019</v>
      </c>
      <c r="D1392" s="214">
        <v>12</v>
      </c>
      <c r="E1392" s="214">
        <v>1</v>
      </c>
    </row>
    <row r="1393" spans="2:5" x14ac:dyDescent="0.25">
      <c r="B1393" s="213" t="s">
        <v>2814</v>
      </c>
      <c r="C1393" s="214">
        <v>2019</v>
      </c>
      <c r="D1393" s="214">
        <v>5</v>
      </c>
      <c r="E1393" s="214">
        <v>40</v>
      </c>
    </row>
    <row r="1394" spans="2:5" x14ac:dyDescent="0.25">
      <c r="B1394" s="213" t="s">
        <v>2814</v>
      </c>
      <c r="C1394" s="214">
        <v>2019</v>
      </c>
      <c r="D1394" s="214">
        <v>4</v>
      </c>
      <c r="E1394" s="214">
        <v>25</v>
      </c>
    </row>
    <row r="1395" spans="2:5" x14ac:dyDescent="0.25">
      <c r="B1395" s="213" t="s">
        <v>2814</v>
      </c>
      <c r="C1395" s="214">
        <v>2019</v>
      </c>
      <c r="D1395" s="214">
        <v>6</v>
      </c>
      <c r="E1395" s="214">
        <v>23</v>
      </c>
    </row>
    <row r="1396" spans="2:5" x14ac:dyDescent="0.25">
      <c r="B1396" s="213" t="s">
        <v>2814</v>
      </c>
      <c r="C1396" s="214">
        <v>2019</v>
      </c>
      <c r="D1396" s="214">
        <v>7</v>
      </c>
      <c r="E1396" s="214">
        <v>15</v>
      </c>
    </row>
    <row r="1397" spans="2:5" x14ac:dyDescent="0.25">
      <c r="B1397" s="213" t="s">
        <v>2814</v>
      </c>
      <c r="C1397" s="214">
        <v>2019</v>
      </c>
      <c r="D1397" s="214">
        <v>2</v>
      </c>
      <c r="E1397" s="214">
        <v>12</v>
      </c>
    </row>
    <row r="1398" spans="2:5" x14ac:dyDescent="0.25">
      <c r="B1398" s="213" t="s">
        <v>2814</v>
      </c>
      <c r="C1398" s="214">
        <v>2019</v>
      </c>
      <c r="D1398" s="214">
        <v>1</v>
      </c>
      <c r="E1398" s="214">
        <v>7</v>
      </c>
    </row>
    <row r="1399" spans="2:5" x14ac:dyDescent="0.25">
      <c r="B1399" s="213" t="s">
        <v>2814</v>
      </c>
      <c r="C1399" s="214">
        <v>2019</v>
      </c>
      <c r="D1399" s="214">
        <v>8</v>
      </c>
      <c r="E1399" s="214">
        <v>7</v>
      </c>
    </row>
    <row r="1400" spans="2:5" x14ac:dyDescent="0.25">
      <c r="B1400" s="213" t="s">
        <v>2814</v>
      </c>
      <c r="C1400" s="214">
        <v>2019</v>
      </c>
      <c r="D1400" s="214">
        <v>12</v>
      </c>
      <c r="E1400" s="214">
        <v>5</v>
      </c>
    </row>
    <row r="1401" spans="2:5" x14ac:dyDescent="0.25">
      <c r="B1401" s="213" t="s">
        <v>2814</v>
      </c>
      <c r="C1401" s="214">
        <v>2019</v>
      </c>
      <c r="D1401" s="214">
        <v>10</v>
      </c>
      <c r="E1401" s="214">
        <v>3</v>
      </c>
    </row>
    <row r="1402" spans="2:5" x14ac:dyDescent="0.25">
      <c r="B1402" s="213" t="s">
        <v>2814</v>
      </c>
      <c r="C1402" s="214">
        <v>2019</v>
      </c>
      <c r="D1402" s="214">
        <v>9</v>
      </c>
      <c r="E1402" s="214">
        <v>2</v>
      </c>
    </row>
    <row r="1403" spans="2:5" x14ac:dyDescent="0.25">
      <c r="B1403" s="213" t="s">
        <v>2814</v>
      </c>
      <c r="C1403" s="214">
        <v>2019</v>
      </c>
      <c r="D1403" s="214">
        <v>11</v>
      </c>
      <c r="E1403" s="214">
        <v>1</v>
      </c>
    </row>
    <row r="1404" spans="2:5" x14ac:dyDescent="0.25">
      <c r="B1404" s="213" t="s">
        <v>2815</v>
      </c>
      <c r="C1404" s="214">
        <v>2019</v>
      </c>
      <c r="D1404" s="214">
        <v>4</v>
      </c>
      <c r="E1404" s="214">
        <v>74</v>
      </c>
    </row>
    <row r="1405" spans="2:5" x14ac:dyDescent="0.25">
      <c r="B1405" s="213" t="s">
        <v>2815</v>
      </c>
      <c r="C1405" s="214">
        <v>2019</v>
      </c>
      <c r="D1405" s="214">
        <v>3</v>
      </c>
      <c r="E1405" s="214">
        <v>69</v>
      </c>
    </row>
    <row r="1406" spans="2:5" x14ac:dyDescent="0.25">
      <c r="B1406" s="213" t="s">
        <v>2815</v>
      </c>
      <c r="C1406" s="214">
        <v>2019</v>
      </c>
      <c r="D1406" s="214">
        <v>5</v>
      </c>
      <c r="E1406" s="214">
        <v>66</v>
      </c>
    </row>
    <row r="1407" spans="2:5" x14ac:dyDescent="0.25">
      <c r="B1407" s="213" t="s">
        <v>2815</v>
      </c>
      <c r="C1407" s="214">
        <v>2019</v>
      </c>
      <c r="D1407" s="214">
        <v>10</v>
      </c>
      <c r="E1407" s="214">
        <v>62</v>
      </c>
    </row>
    <row r="1408" spans="2:5" x14ac:dyDescent="0.25">
      <c r="B1408" s="213" t="s">
        <v>2815</v>
      </c>
      <c r="C1408" s="214">
        <v>2019</v>
      </c>
      <c r="D1408" s="214">
        <v>9</v>
      </c>
      <c r="E1408" s="214">
        <v>56</v>
      </c>
    </row>
    <row r="1409" spans="2:5" x14ac:dyDescent="0.25">
      <c r="B1409" s="213" t="s">
        <v>2815</v>
      </c>
      <c r="C1409" s="214">
        <v>2019</v>
      </c>
      <c r="D1409" s="214">
        <v>8</v>
      </c>
      <c r="E1409" s="214">
        <v>50</v>
      </c>
    </row>
    <row r="1410" spans="2:5" x14ac:dyDescent="0.25">
      <c r="B1410" s="213" t="s">
        <v>2815</v>
      </c>
      <c r="C1410" s="214">
        <v>2019</v>
      </c>
      <c r="D1410" s="214">
        <v>1</v>
      </c>
      <c r="E1410" s="214">
        <v>47</v>
      </c>
    </row>
    <row r="1411" spans="2:5" x14ac:dyDescent="0.25">
      <c r="B1411" s="213" t="s">
        <v>2815</v>
      </c>
      <c r="C1411" s="214">
        <v>2019</v>
      </c>
      <c r="D1411" s="214">
        <v>2</v>
      </c>
      <c r="E1411" s="214">
        <v>47</v>
      </c>
    </row>
    <row r="1412" spans="2:5" x14ac:dyDescent="0.25">
      <c r="B1412" s="213" t="s">
        <v>2815</v>
      </c>
      <c r="C1412" s="214">
        <v>2019</v>
      </c>
      <c r="D1412" s="214">
        <v>6</v>
      </c>
      <c r="E1412" s="214">
        <v>28</v>
      </c>
    </row>
    <row r="1413" spans="2:5" x14ac:dyDescent="0.25">
      <c r="B1413" s="213" t="s">
        <v>2815</v>
      </c>
      <c r="C1413" s="214">
        <v>2019</v>
      </c>
      <c r="D1413" s="214">
        <v>7</v>
      </c>
      <c r="E1413" s="214">
        <v>26</v>
      </c>
    </row>
    <row r="1414" spans="2:5" x14ac:dyDescent="0.25">
      <c r="B1414" s="213" t="s">
        <v>2815</v>
      </c>
      <c r="C1414" s="214">
        <v>2019</v>
      </c>
      <c r="D1414" s="214">
        <v>11</v>
      </c>
      <c r="E1414" s="214">
        <v>17</v>
      </c>
    </row>
    <row r="1415" spans="2:5" x14ac:dyDescent="0.25">
      <c r="B1415" s="213" t="s">
        <v>2815</v>
      </c>
      <c r="C1415" s="214">
        <v>2019</v>
      </c>
      <c r="D1415" s="214">
        <v>12</v>
      </c>
      <c r="E1415" s="214">
        <v>3</v>
      </c>
    </row>
    <row r="1416" spans="2:5" x14ac:dyDescent="0.25">
      <c r="B1416" s="213" t="s">
        <v>2895</v>
      </c>
      <c r="C1416" s="214">
        <v>2019</v>
      </c>
      <c r="D1416" s="214">
        <v>2</v>
      </c>
      <c r="E1416" s="214">
        <v>30</v>
      </c>
    </row>
    <row r="1417" spans="2:5" x14ac:dyDescent="0.25">
      <c r="B1417" s="213" t="s">
        <v>2895</v>
      </c>
      <c r="C1417" s="214">
        <v>2019</v>
      </c>
      <c r="D1417" s="214">
        <v>3</v>
      </c>
      <c r="E1417" s="214">
        <v>29</v>
      </c>
    </row>
    <row r="1418" spans="2:5" x14ac:dyDescent="0.25">
      <c r="B1418" s="213" t="s">
        <v>2895</v>
      </c>
      <c r="C1418" s="214">
        <v>2019</v>
      </c>
      <c r="D1418" s="214">
        <v>1</v>
      </c>
      <c r="E1418" s="214">
        <v>28</v>
      </c>
    </row>
    <row r="1419" spans="2:5" x14ac:dyDescent="0.25">
      <c r="B1419" s="213" t="s">
        <v>2895</v>
      </c>
      <c r="C1419" s="214">
        <v>2019</v>
      </c>
      <c r="D1419" s="214">
        <v>9</v>
      </c>
      <c r="E1419" s="214">
        <v>24</v>
      </c>
    </row>
    <row r="1420" spans="2:5" x14ac:dyDescent="0.25">
      <c r="B1420" s="213" t="s">
        <v>2895</v>
      </c>
      <c r="C1420" s="214">
        <v>2019</v>
      </c>
      <c r="D1420" s="214">
        <v>4</v>
      </c>
      <c r="E1420" s="214">
        <v>21</v>
      </c>
    </row>
    <row r="1421" spans="2:5" x14ac:dyDescent="0.25">
      <c r="B1421" s="213" t="s">
        <v>2895</v>
      </c>
      <c r="C1421" s="214">
        <v>2019</v>
      </c>
      <c r="D1421" s="214">
        <v>11</v>
      </c>
      <c r="E1421" s="214">
        <v>17</v>
      </c>
    </row>
    <row r="1422" spans="2:5" x14ac:dyDescent="0.25">
      <c r="B1422" s="213" t="s">
        <v>2895</v>
      </c>
      <c r="C1422" s="214">
        <v>2019</v>
      </c>
      <c r="D1422" s="214">
        <v>6</v>
      </c>
      <c r="E1422" s="214">
        <v>16</v>
      </c>
    </row>
    <row r="1423" spans="2:5" x14ac:dyDescent="0.25">
      <c r="B1423" s="213" t="s">
        <v>2895</v>
      </c>
      <c r="C1423" s="214">
        <v>2019</v>
      </c>
      <c r="D1423" s="214">
        <v>8</v>
      </c>
      <c r="E1423" s="214">
        <v>12</v>
      </c>
    </row>
    <row r="1424" spans="2:5" x14ac:dyDescent="0.25">
      <c r="B1424" s="213" t="s">
        <v>2895</v>
      </c>
      <c r="C1424" s="214">
        <v>2019</v>
      </c>
      <c r="D1424" s="214">
        <v>10</v>
      </c>
      <c r="E1424" s="214">
        <v>11</v>
      </c>
    </row>
    <row r="1425" spans="2:5" x14ac:dyDescent="0.25">
      <c r="B1425" s="213" t="s">
        <v>2895</v>
      </c>
      <c r="C1425" s="214">
        <v>2019</v>
      </c>
      <c r="D1425" s="214">
        <v>7</v>
      </c>
      <c r="E1425" s="214">
        <v>10</v>
      </c>
    </row>
    <row r="1426" spans="2:5" x14ac:dyDescent="0.25">
      <c r="B1426" s="213" t="s">
        <v>2895</v>
      </c>
      <c r="C1426" s="214">
        <v>2019</v>
      </c>
      <c r="D1426" s="214">
        <v>12</v>
      </c>
      <c r="E1426" s="214">
        <v>10</v>
      </c>
    </row>
    <row r="1427" spans="2:5" x14ac:dyDescent="0.25">
      <c r="B1427" s="213" t="s">
        <v>2895</v>
      </c>
      <c r="C1427" s="214">
        <v>2019</v>
      </c>
      <c r="D1427" s="214">
        <v>5</v>
      </c>
      <c r="E1427" s="214">
        <v>7</v>
      </c>
    </row>
    <row r="1428" spans="2:5" x14ac:dyDescent="0.25">
      <c r="B1428" s="213" t="s">
        <v>2929</v>
      </c>
      <c r="C1428" s="214">
        <v>2019</v>
      </c>
      <c r="D1428" s="214">
        <v>1</v>
      </c>
      <c r="E1428" s="214">
        <v>4</v>
      </c>
    </row>
    <row r="1429" spans="2:5" x14ac:dyDescent="0.25">
      <c r="B1429" s="213" t="s">
        <v>2929</v>
      </c>
      <c r="C1429" s="214">
        <v>2019</v>
      </c>
      <c r="D1429" s="214">
        <v>9</v>
      </c>
      <c r="E1429" s="214">
        <v>4</v>
      </c>
    </row>
    <row r="1430" spans="2:5" x14ac:dyDescent="0.25">
      <c r="B1430" s="213" t="s">
        <v>2929</v>
      </c>
      <c r="C1430" s="214">
        <v>2019</v>
      </c>
      <c r="D1430" s="214">
        <v>7</v>
      </c>
      <c r="E1430" s="214">
        <v>3</v>
      </c>
    </row>
    <row r="1431" spans="2:5" x14ac:dyDescent="0.25">
      <c r="B1431" s="213" t="s">
        <v>2929</v>
      </c>
      <c r="C1431" s="214">
        <v>2019</v>
      </c>
      <c r="D1431" s="214">
        <v>10</v>
      </c>
      <c r="E1431" s="214">
        <v>3</v>
      </c>
    </row>
    <row r="1432" spans="2:5" x14ac:dyDescent="0.25">
      <c r="B1432" s="213" t="s">
        <v>2929</v>
      </c>
      <c r="C1432" s="214">
        <v>2019</v>
      </c>
      <c r="D1432" s="214">
        <v>3</v>
      </c>
      <c r="E1432" s="214">
        <v>2</v>
      </c>
    </row>
    <row r="1433" spans="2:5" x14ac:dyDescent="0.25">
      <c r="B1433" s="213" t="s">
        <v>2929</v>
      </c>
      <c r="C1433" s="214">
        <v>2019</v>
      </c>
      <c r="D1433" s="214">
        <v>6</v>
      </c>
      <c r="E1433" s="214">
        <v>2</v>
      </c>
    </row>
    <row r="1434" spans="2:5" x14ac:dyDescent="0.25">
      <c r="B1434" s="213" t="s">
        <v>2929</v>
      </c>
      <c r="C1434" s="214">
        <v>2019</v>
      </c>
      <c r="D1434" s="214">
        <v>12</v>
      </c>
      <c r="E1434" s="214">
        <v>2</v>
      </c>
    </row>
    <row r="1435" spans="2:5" x14ac:dyDescent="0.25">
      <c r="B1435" s="213" t="s">
        <v>2929</v>
      </c>
      <c r="C1435" s="214">
        <v>2019</v>
      </c>
      <c r="D1435" s="214">
        <v>5</v>
      </c>
      <c r="E1435" s="214">
        <v>1</v>
      </c>
    </row>
    <row r="1436" spans="2:5" x14ac:dyDescent="0.25">
      <c r="B1436" s="213" t="s">
        <v>2929</v>
      </c>
      <c r="C1436" s="214">
        <v>2019</v>
      </c>
      <c r="D1436" s="214">
        <v>8</v>
      </c>
      <c r="E1436" s="214">
        <v>1</v>
      </c>
    </row>
    <row r="1437" spans="2:5" x14ac:dyDescent="0.25">
      <c r="B1437" s="213" t="s">
        <v>2929</v>
      </c>
      <c r="C1437" s="214">
        <v>2019</v>
      </c>
      <c r="D1437" s="214">
        <v>11</v>
      </c>
      <c r="E1437" s="214">
        <v>1</v>
      </c>
    </row>
    <row r="1438" spans="2:5" x14ac:dyDescent="0.25">
      <c r="B1438" s="213" t="s">
        <v>2816</v>
      </c>
      <c r="C1438" s="214">
        <v>2019</v>
      </c>
      <c r="D1438" s="214">
        <v>9</v>
      </c>
      <c r="E1438" s="214">
        <v>14</v>
      </c>
    </row>
    <row r="1439" spans="2:5" x14ac:dyDescent="0.25">
      <c r="B1439" s="213" t="s">
        <v>2816</v>
      </c>
      <c r="C1439" s="214">
        <v>2019</v>
      </c>
      <c r="D1439" s="214">
        <v>8</v>
      </c>
      <c r="E1439" s="214">
        <v>8</v>
      </c>
    </row>
    <row r="1440" spans="2:5" x14ac:dyDescent="0.25">
      <c r="B1440" s="213" t="s">
        <v>2816</v>
      </c>
      <c r="C1440" s="214">
        <v>2019</v>
      </c>
      <c r="D1440" s="214">
        <v>5</v>
      </c>
      <c r="E1440" s="214">
        <v>5</v>
      </c>
    </row>
    <row r="1441" spans="2:5" x14ac:dyDescent="0.25">
      <c r="B1441" s="213" t="s">
        <v>2816</v>
      </c>
      <c r="C1441" s="214">
        <v>2019</v>
      </c>
      <c r="D1441" s="214">
        <v>7</v>
      </c>
      <c r="E1441" s="214">
        <v>5</v>
      </c>
    </row>
    <row r="1442" spans="2:5" x14ac:dyDescent="0.25">
      <c r="B1442" s="213" t="s">
        <v>2816</v>
      </c>
      <c r="C1442" s="214">
        <v>2019</v>
      </c>
      <c r="D1442" s="214">
        <v>3</v>
      </c>
      <c r="E1442" s="214">
        <v>4</v>
      </c>
    </row>
    <row r="1443" spans="2:5" x14ac:dyDescent="0.25">
      <c r="B1443" s="213" t="s">
        <v>2816</v>
      </c>
      <c r="C1443" s="214">
        <v>2019</v>
      </c>
      <c r="D1443" s="214">
        <v>6</v>
      </c>
      <c r="E1443" s="214">
        <v>4</v>
      </c>
    </row>
    <row r="1444" spans="2:5" x14ac:dyDescent="0.25">
      <c r="B1444" s="213" t="s">
        <v>2816</v>
      </c>
      <c r="C1444" s="214">
        <v>2019</v>
      </c>
      <c r="D1444" s="214">
        <v>10</v>
      </c>
      <c r="E1444" s="214">
        <v>4</v>
      </c>
    </row>
    <row r="1445" spans="2:5" x14ac:dyDescent="0.25">
      <c r="B1445" s="213" t="s">
        <v>2816</v>
      </c>
      <c r="C1445" s="214">
        <v>2019</v>
      </c>
      <c r="D1445" s="214">
        <v>1</v>
      </c>
      <c r="E1445" s="214">
        <v>3</v>
      </c>
    </row>
    <row r="1446" spans="2:5" x14ac:dyDescent="0.25">
      <c r="B1446" s="213" t="s">
        <v>2816</v>
      </c>
      <c r="C1446" s="214">
        <v>2019</v>
      </c>
      <c r="D1446" s="214">
        <v>11</v>
      </c>
      <c r="E1446" s="214">
        <v>2</v>
      </c>
    </row>
    <row r="1447" spans="2:5" x14ac:dyDescent="0.25">
      <c r="B1447" s="213" t="s">
        <v>2816</v>
      </c>
      <c r="C1447" s="214">
        <v>2019</v>
      </c>
      <c r="D1447" s="214">
        <v>2</v>
      </c>
      <c r="E1447" s="214">
        <v>1</v>
      </c>
    </row>
    <row r="1448" spans="2:5" x14ac:dyDescent="0.25">
      <c r="B1448" s="213" t="s">
        <v>2816</v>
      </c>
      <c r="C1448" s="214">
        <v>2019</v>
      </c>
      <c r="D1448" s="214">
        <v>12</v>
      </c>
      <c r="E1448" s="214">
        <v>1</v>
      </c>
    </row>
    <row r="1449" spans="2:5" x14ac:dyDescent="0.25">
      <c r="B1449" s="213" t="s">
        <v>2817</v>
      </c>
      <c r="C1449" s="214">
        <v>2019</v>
      </c>
      <c r="D1449" s="214">
        <v>5</v>
      </c>
      <c r="E1449" s="214">
        <v>5</v>
      </c>
    </row>
    <row r="1450" spans="2:5" x14ac:dyDescent="0.25">
      <c r="B1450" s="213" t="s">
        <v>2817</v>
      </c>
      <c r="C1450" s="214">
        <v>2019</v>
      </c>
      <c r="D1450" s="214">
        <v>7</v>
      </c>
      <c r="E1450" s="214">
        <v>5</v>
      </c>
    </row>
    <row r="1451" spans="2:5" x14ac:dyDescent="0.25">
      <c r="B1451" s="213" t="s">
        <v>2817</v>
      </c>
      <c r="C1451" s="214">
        <v>2019</v>
      </c>
      <c r="D1451" s="214">
        <v>9</v>
      </c>
      <c r="E1451" s="214">
        <v>2</v>
      </c>
    </row>
    <row r="1452" spans="2:5" x14ac:dyDescent="0.25">
      <c r="B1452" s="213" t="s">
        <v>2817</v>
      </c>
      <c r="C1452" s="214">
        <v>2019</v>
      </c>
      <c r="D1452" s="214">
        <v>10</v>
      </c>
      <c r="E1452" s="214">
        <v>2</v>
      </c>
    </row>
    <row r="1453" spans="2:5" x14ac:dyDescent="0.25">
      <c r="B1453" s="213" t="s">
        <v>2817</v>
      </c>
      <c r="C1453" s="214">
        <v>2019</v>
      </c>
      <c r="D1453" s="214">
        <v>1</v>
      </c>
      <c r="E1453" s="214">
        <v>1</v>
      </c>
    </row>
    <row r="1454" spans="2:5" x14ac:dyDescent="0.25">
      <c r="B1454" s="213" t="s">
        <v>2817</v>
      </c>
      <c r="C1454" s="214">
        <v>2019</v>
      </c>
      <c r="D1454" s="214">
        <v>2</v>
      </c>
      <c r="E1454" s="214">
        <v>1</v>
      </c>
    </row>
    <row r="1455" spans="2:5" x14ac:dyDescent="0.25">
      <c r="B1455" s="213" t="s">
        <v>2817</v>
      </c>
      <c r="C1455" s="214">
        <v>2019</v>
      </c>
      <c r="D1455" s="214">
        <v>3</v>
      </c>
      <c r="E1455" s="214">
        <v>1</v>
      </c>
    </row>
    <row r="1456" spans="2:5" x14ac:dyDescent="0.25">
      <c r="B1456" s="213" t="s">
        <v>2817</v>
      </c>
      <c r="C1456" s="214">
        <v>2019</v>
      </c>
      <c r="D1456" s="214">
        <v>6</v>
      </c>
      <c r="E1456" s="214">
        <v>1</v>
      </c>
    </row>
    <row r="1457" spans="2:5" x14ac:dyDescent="0.25">
      <c r="B1457" s="213" t="s">
        <v>2817</v>
      </c>
      <c r="C1457" s="214">
        <v>2019</v>
      </c>
      <c r="D1457" s="214">
        <v>8</v>
      </c>
      <c r="E1457" s="214">
        <v>1</v>
      </c>
    </row>
    <row r="1458" spans="2:5" x14ac:dyDescent="0.25">
      <c r="B1458" s="213" t="s">
        <v>2936</v>
      </c>
      <c r="C1458" s="214">
        <v>2019</v>
      </c>
      <c r="D1458" s="214">
        <v>7</v>
      </c>
      <c r="E1458" s="214">
        <v>5</v>
      </c>
    </row>
    <row r="1459" spans="2:5" x14ac:dyDescent="0.25">
      <c r="B1459" s="213" t="s">
        <v>2936</v>
      </c>
      <c r="C1459" s="214">
        <v>2019</v>
      </c>
      <c r="D1459" s="214">
        <v>1</v>
      </c>
      <c r="E1459" s="214">
        <v>2</v>
      </c>
    </row>
    <row r="1460" spans="2:5" x14ac:dyDescent="0.25">
      <c r="B1460" s="213" t="s">
        <v>2936</v>
      </c>
      <c r="C1460" s="214">
        <v>2019</v>
      </c>
      <c r="D1460" s="214">
        <v>3</v>
      </c>
      <c r="E1460" s="214">
        <v>2</v>
      </c>
    </row>
    <row r="1461" spans="2:5" x14ac:dyDescent="0.25">
      <c r="B1461" s="213" t="s">
        <v>2936</v>
      </c>
      <c r="C1461" s="214">
        <v>2019</v>
      </c>
      <c r="D1461" s="214">
        <v>5</v>
      </c>
      <c r="E1461" s="214">
        <v>2</v>
      </c>
    </row>
    <row r="1462" spans="2:5" x14ac:dyDescent="0.25">
      <c r="B1462" s="213" t="s">
        <v>2936</v>
      </c>
      <c r="C1462" s="214">
        <v>2019</v>
      </c>
      <c r="D1462" s="214">
        <v>2</v>
      </c>
      <c r="E1462" s="214">
        <v>1</v>
      </c>
    </row>
    <row r="1463" spans="2:5" x14ac:dyDescent="0.25">
      <c r="B1463" s="213" t="s">
        <v>2936</v>
      </c>
      <c r="C1463" s="214">
        <v>2019</v>
      </c>
      <c r="D1463" s="214">
        <v>4</v>
      </c>
      <c r="E1463" s="214">
        <v>1</v>
      </c>
    </row>
    <row r="1464" spans="2:5" x14ac:dyDescent="0.25">
      <c r="B1464" s="213" t="s">
        <v>2936</v>
      </c>
      <c r="C1464" s="214">
        <v>2019</v>
      </c>
      <c r="D1464" s="214">
        <v>8</v>
      </c>
      <c r="E1464" s="214">
        <v>1</v>
      </c>
    </row>
    <row r="1465" spans="2:5" x14ac:dyDescent="0.25">
      <c r="B1465" s="213" t="s">
        <v>2936</v>
      </c>
      <c r="C1465" s="214">
        <v>2019</v>
      </c>
      <c r="D1465" s="214">
        <v>10</v>
      </c>
      <c r="E1465" s="214">
        <v>1</v>
      </c>
    </row>
    <row r="1466" spans="2:5" x14ac:dyDescent="0.25">
      <c r="B1466" s="213" t="s">
        <v>2818</v>
      </c>
      <c r="C1466" s="214">
        <v>2019</v>
      </c>
      <c r="D1466" s="214">
        <v>11</v>
      </c>
      <c r="E1466" s="214">
        <v>27</v>
      </c>
    </row>
    <row r="1467" spans="2:5" x14ac:dyDescent="0.25">
      <c r="B1467" s="213" t="s">
        <v>2818</v>
      </c>
      <c r="C1467" s="214">
        <v>2019</v>
      </c>
      <c r="D1467" s="214">
        <v>3</v>
      </c>
      <c r="E1467" s="214">
        <v>22</v>
      </c>
    </row>
    <row r="1468" spans="2:5" x14ac:dyDescent="0.25">
      <c r="B1468" s="213" t="s">
        <v>2818</v>
      </c>
      <c r="C1468" s="214">
        <v>2019</v>
      </c>
      <c r="D1468" s="214">
        <v>7</v>
      </c>
      <c r="E1468" s="214">
        <v>18</v>
      </c>
    </row>
    <row r="1469" spans="2:5" x14ac:dyDescent="0.25">
      <c r="B1469" s="213" t="s">
        <v>2818</v>
      </c>
      <c r="C1469" s="214">
        <v>2019</v>
      </c>
      <c r="D1469" s="214">
        <v>9</v>
      </c>
      <c r="E1469" s="214">
        <v>17</v>
      </c>
    </row>
    <row r="1470" spans="2:5" x14ac:dyDescent="0.25">
      <c r="B1470" s="213" t="s">
        <v>2818</v>
      </c>
      <c r="C1470" s="214">
        <v>2019</v>
      </c>
      <c r="D1470" s="214">
        <v>10</v>
      </c>
      <c r="E1470" s="214">
        <v>16</v>
      </c>
    </row>
    <row r="1471" spans="2:5" x14ac:dyDescent="0.25">
      <c r="B1471" s="213" t="s">
        <v>2818</v>
      </c>
      <c r="C1471" s="214">
        <v>2019</v>
      </c>
      <c r="D1471" s="214">
        <v>5</v>
      </c>
      <c r="E1471" s="214">
        <v>15</v>
      </c>
    </row>
    <row r="1472" spans="2:5" x14ac:dyDescent="0.25">
      <c r="B1472" s="213" t="s">
        <v>2818</v>
      </c>
      <c r="C1472" s="214">
        <v>2019</v>
      </c>
      <c r="D1472" s="214">
        <v>6</v>
      </c>
      <c r="E1472" s="214">
        <v>11</v>
      </c>
    </row>
    <row r="1473" spans="2:5" x14ac:dyDescent="0.25">
      <c r="B1473" s="213" t="s">
        <v>2818</v>
      </c>
      <c r="C1473" s="214">
        <v>2019</v>
      </c>
      <c r="D1473" s="214">
        <v>12</v>
      </c>
      <c r="E1473" s="214">
        <v>11</v>
      </c>
    </row>
    <row r="1474" spans="2:5" x14ac:dyDescent="0.25">
      <c r="B1474" s="213" t="s">
        <v>2818</v>
      </c>
      <c r="C1474" s="214">
        <v>2019</v>
      </c>
      <c r="D1474" s="214">
        <v>8</v>
      </c>
      <c r="E1474" s="214">
        <v>10</v>
      </c>
    </row>
    <row r="1475" spans="2:5" x14ac:dyDescent="0.25">
      <c r="B1475" s="213" t="s">
        <v>2818</v>
      </c>
      <c r="C1475" s="214">
        <v>2019</v>
      </c>
      <c r="D1475" s="214">
        <v>1</v>
      </c>
      <c r="E1475" s="214">
        <v>3</v>
      </c>
    </row>
    <row r="1476" spans="2:5" x14ac:dyDescent="0.25">
      <c r="B1476" s="213" t="s">
        <v>2818</v>
      </c>
      <c r="C1476" s="214">
        <v>2019</v>
      </c>
      <c r="D1476" s="214">
        <v>2</v>
      </c>
      <c r="E1476" s="214">
        <v>1</v>
      </c>
    </row>
    <row r="1477" spans="2:5" x14ac:dyDescent="0.25">
      <c r="B1477" s="213" t="s">
        <v>2819</v>
      </c>
      <c r="C1477" s="214">
        <v>2019</v>
      </c>
      <c r="D1477" s="214">
        <v>8</v>
      </c>
      <c r="E1477" s="214">
        <v>14</v>
      </c>
    </row>
    <row r="1478" spans="2:5" x14ac:dyDescent="0.25">
      <c r="B1478" s="213" t="s">
        <v>2819</v>
      </c>
      <c r="C1478" s="214">
        <v>2019</v>
      </c>
      <c r="D1478" s="214">
        <v>1</v>
      </c>
      <c r="E1478" s="214">
        <v>7</v>
      </c>
    </row>
    <row r="1479" spans="2:5" x14ac:dyDescent="0.25">
      <c r="B1479" s="213" t="s">
        <v>2819</v>
      </c>
      <c r="C1479" s="214">
        <v>2019</v>
      </c>
      <c r="D1479" s="214">
        <v>6</v>
      </c>
      <c r="E1479" s="214">
        <v>7</v>
      </c>
    </row>
    <row r="1480" spans="2:5" x14ac:dyDescent="0.25">
      <c r="B1480" s="213" t="s">
        <v>2819</v>
      </c>
      <c r="C1480" s="214">
        <v>2019</v>
      </c>
      <c r="D1480" s="214">
        <v>7</v>
      </c>
      <c r="E1480" s="214">
        <v>7</v>
      </c>
    </row>
    <row r="1481" spans="2:5" x14ac:dyDescent="0.25">
      <c r="B1481" s="213" t="s">
        <v>2819</v>
      </c>
      <c r="C1481" s="214">
        <v>2019</v>
      </c>
      <c r="D1481" s="214">
        <v>9</v>
      </c>
      <c r="E1481" s="214">
        <v>7</v>
      </c>
    </row>
    <row r="1482" spans="2:5" x14ac:dyDescent="0.25">
      <c r="B1482" s="213" t="s">
        <v>2819</v>
      </c>
      <c r="C1482" s="214">
        <v>2019</v>
      </c>
      <c r="D1482" s="214">
        <v>5</v>
      </c>
      <c r="E1482" s="214">
        <v>5</v>
      </c>
    </row>
    <row r="1483" spans="2:5" x14ac:dyDescent="0.25">
      <c r="B1483" s="213" t="s">
        <v>2819</v>
      </c>
      <c r="C1483" s="214">
        <v>2019</v>
      </c>
      <c r="D1483" s="214">
        <v>11</v>
      </c>
      <c r="E1483" s="214">
        <v>3</v>
      </c>
    </row>
    <row r="1484" spans="2:5" x14ac:dyDescent="0.25">
      <c r="B1484" s="213" t="s">
        <v>2819</v>
      </c>
      <c r="C1484" s="214">
        <v>2019</v>
      </c>
      <c r="D1484" s="214">
        <v>2</v>
      </c>
      <c r="E1484" s="214">
        <v>2</v>
      </c>
    </row>
    <row r="1485" spans="2:5" x14ac:dyDescent="0.25">
      <c r="B1485" s="213" t="s">
        <v>2819</v>
      </c>
      <c r="C1485" s="214">
        <v>2019</v>
      </c>
      <c r="D1485" s="214">
        <v>4</v>
      </c>
      <c r="E1485" s="214">
        <v>2</v>
      </c>
    </row>
    <row r="1486" spans="2:5" x14ac:dyDescent="0.25">
      <c r="B1486" s="213" t="s">
        <v>2819</v>
      </c>
      <c r="C1486" s="214">
        <v>2019</v>
      </c>
      <c r="D1486" s="214">
        <v>3</v>
      </c>
      <c r="E1486" s="214">
        <v>1</v>
      </c>
    </row>
    <row r="1487" spans="2:5" x14ac:dyDescent="0.25">
      <c r="B1487" s="213" t="s">
        <v>2819</v>
      </c>
      <c r="C1487" s="214">
        <v>2019</v>
      </c>
      <c r="D1487" s="214">
        <v>10</v>
      </c>
      <c r="E1487" s="214">
        <v>1</v>
      </c>
    </row>
    <row r="1488" spans="2:5" x14ac:dyDescent="0.25">
      <c r="B1488" s="213" t="s">
        <v>2820</v>
      </c>
      <c r="C1488" s="214">
        <v>2019</v>
      </c>
      <c r="D1488" s="214">
        <v>12</v>
      </c>
      <c r="E1488" s="214">
        <v>23</v>
      </c>
    </row>
    <row r="1489" spans="2:5" x14ac:dyDescent="0.25">
      <c r="B1489" s="213" t="s">
        <v>2820</v>
      </c>
      <c r="C1489" s="214">
        <v>2019</v>
      </c>
      <c r="D1489" s="214">
        <v>9</v>
      </c>
      <c r="E1489" s="214">
        <v>22</v>
      </c>
    </row>
    <row r="1490" spans="2:5" x14ac:dyDescent="0.25">
      <c r="B1490" s="213" t="s">
        <v>2820</v>
      </c>
      <c r="C1490" s="214">
        <v>2019</v>
      </c>
      <c r="D1490" s="214">
        <v>5</v>
      </c>
      <c r="E1490" s="214">
        <v>19</v>
      </c>
    </row>
    <row r="1491" spans="2:5" x14ac:dyDescent="0.25">
      <c r="B1491" s="213" t="s">
        <v>2820</v>
      </c>
      <c r="C1491" s="214">
        <v>2019</v>
      </c>
      <c r="D1491" s="214">
        <v>8</v>
      </c>
      <c r="E1491" s="214">
        <v>18</v>
      </c>
    </row>
    <row r="1492" spans="2:5" x14ac:dyDescent="0.25">
      <c r="B1492" s="213" t="s">
        <v>2820</v>
      </c>
      <c r="C1492" s="214">
        <v>2019</v>
      </c>
      <c r="D1492" s="214">
        <v>2</v>
      </c>
      <c r="E1492" s="214">
        <v>15</v>
      </c>
    </row>
    <row r="1493" spans="2:5" x14ac:dyDescent="0.25">
      <c r="B1493" s="213" t="s">
        <v>2820</v>
      </c>
      <c r="C1493" s="214">
        <v>2019</v>
      </c>
      <c r="D1493" s="214">
        <v>4</v>
      </c>
      <c r="E1493" s="214">
        <v>11</v>
      </c>
    </row>
    <row r="1494" spans="2:5" x14ac:dyDescent="0.25">
      <c r="B1494" s="213" t="s">
        <v>2820</v>
      </c>
      <c r="C1494" s="214">
        <v>2019</v>
      </c>
      <c r="D1494" s="214">
        <v>3</v>
      </c>
      <c r="E1494" s="214">
        <v>10</v>
      </c>
    </row>
    <row r="1495" spans="2:5" x14ac:dyDescent="0.25">
      <c r="B1495" s="213" t="s">
        <v>2820</v>
      </c>
      <c r="C1495" s="214">
        <v>2019</v>
      </c>
      <c r="D1495" s="214">
        <v>6</v>
      </c>
      <c r="E1495" s="214">
        <v>9</v>
      </c>
    </row>
    <row r="1496" spans="2:5" x14ac:dyDescent="0.25">
      <c r="B1496" s="213" t="s">
        <v>2820</v>
      </c>
      <c r="C1496" s="214">
        <v>2019</v>
      </c>
      <c r="D1496" s="214">
        <v>7</v>
      </c>
      <c r="E1496" s="214">
        <v>9</v>
      </c>
    </row>
    <row r="1497" spans="2:5" x14ac:dyDescent="0.25">
      <c r="B1497" s="213" t="s">
        <v>2820</v>
      </c>
      <c r="C1497" s="214">
        <v>2019</v>
      </c>
      <c r="D1497" s="214">
        <v>1</v>
      </c>
      <c r="E1497" s="214">
        <v>6</v>
      </c>
    </row>
    <row r="1498" spans="2:5" x14ac:dyDescent="0.25">
      <c r="B1498" s="213" t="s">
        <v>2820</v>
      </c>
      <c r="C1498" s="214">
        <v>2019</v>
      </c>
      <c r="D1498" s="214">
        <v>10</v>
      </c>
      <c r="E1498" s="214">
        <v>5</v>
      </c>
    </row>
    <row r="1499" spans="2:5" x14ac:dyDescent="0.25">
      <c r="B1499" s="213" t="s">
        <v>2821</v>
      </c>
      <c r="C1499" s="214">
        <v>2019</v>
      </c>
      <c r="D1499" s="214">
        <v>6</v>
      </c>
      <c r="E1499" s="214">
        <v>70</v>
      </c>
    </row>
    <row r="1500" spans="2:5" x14ac:dyDescent="0.25">
      <c r="B1500" s="213" t="s">
        <v>2821</v>
      </c>
      <c r="C1500" s="214">
        <v>2019</v>
      </c>
      <c r="D1500" s="214">
        <v>10</v>
      </c>
      <c r="E1500" s="214">
        <v>41</v>
      </c>
    </row>
    <row r="1501" spans="2:5" x14ac:dyDescent="0.25">
      <c r="B1501" s="213" t="s">
        <v>2821</v>
      </c>
      <c r="C1501" s="214">
        <v>2019</v>
      </c>
      <c r="D1501" s="214">
        <v>7</v>
      </c>
      <c r="E1501" s="214">
        <v>36</v>
      </c>
    </row>
    <row r="1502" spans="2:5" x14ac:dyDescent="0.25">
      <c r="B1502" s="213" t="s">
        <v>2821</v>
      </c>
      <c r="C1502" s="214">
        <v>2019</v>
      </c>
      <c r="D1502" s="214">
        <v>4</v>
      </c>
      <c r="E1502" s="214">
        <v>24</v>
      </c>
    </row>
    <row r="1503" spans="2:5" x14ac:dyDescent="0.25">
      <c r="B1503" s="213" t="s">
        <v>2821</v>
      </c>
      <c r="C1503" s="214">
        <v>2019</v>
      </c>
      <c r="D1503" s="214">
        <v>1</v>
      </c>
      <c r="E1503" s="214">
        <v>22</v>
      </c>
    </row>
    <row r="1504" spans="2:5" x14ac:dyDescent="0.25">
      <c r="B1504" s="213" t="s">
        <v>2821</v>
      </c>
      <c r="C1504" s="214">
        <v>2019</v>
      </c>
      <c r="D1504" s="214">
        <v>9</v>
      </c>
      <c r="E1504" s="214">
        <v>14</v>
      </c>
    </row>
    <row r="1505" spans="2:5" x14ac:dyDescent="0.25">
      <c r="B1505" s="213" t="s">
        <v>2821</v>
      </c>
      <c r="C1505" s="214">
        <v>2019</v>
      </c>
      <c r="D1505" s="214">
        <v>11</v>
      </c>
      <c r="E1505" s="214">
        <v>14</v>
      </c>
    </row>
    <row r="1506" spans="2:5" x14ac:dyDescent="0.25">
      <c r="B1506" s="213" t="s">
        <v>2821</v>
      </c>
      <c r="C1506" s="214">
        <v>2019</v>
      </c>
      <c r="D1506" s="214">
        <v>3</v>
      </c>
      <c r="E1506" s="214">
        <v>12</v>
      </c>
    </row>
    <row r="1507" spans="2:5" x14ac:dyDescent="0.25">
      <c r="B1507" s="213" t="s">
        <v>2821</v>
      </c>
      <c r="C1507" s="214">
        <v>2019</v>
      </c>
      <c r="D1507" s="214">
        <v>12</v>
      </c>
      <c r="E1507" s="214">
        <v>6</v>
      </c>
    </row>
    <row r="1508" spans="2:5" x14ac:dyDescent="0.25">
      <c r="B1508" s="213" t="s">
        <v>2821</v>
      </c>
      <c r="C1508" s="214">
        <v>2019</v>
      </c>
      <c r="D1508" s="214">
        <v>5</v>
      </c>
      <c r="E1508" s="214">
        <v>4</v>
      </c>
    </row>
    <row r="1509" spans="2:5" x14ac:dyDescent="0.25">
      <c r="B1509" s="213" t="s">
        <v>2821</v>
      </c>
      <c r="C1509" s="214">
        <v>2019</v>
      </c>
      <c r="D1509" s="214">
        <v>8</v>
      </c>
      <c r="E1509" s="214">
        <v>4</v>
      </c>
    </row>
    <row r="1510" spans="2:5" x14ac:dyDescent="0.25">
      <c r="B1510" s="213" t="s">
        <v>2821</v>
      </c>
      <c r="C1510" s="214">
        <v>2019</v>
      </c>
      <c r="D1510" s="214">
        <v>2</v>
      </c>
      <c r="E1510" s="214">
        <v>2</v>
      </c>
    </row>
    <row r="1511" spans="2:5" x14ac:dyDescent="0.25">
      <c r="B1511" s="213" t="s">
        <v>2909</v>
      </c>
      <c r="C1511" s="214">
        <v>2019</v>
      </c>
      <c r="D1511" s="214">
        <v>4</v>
      </c>
      <c r="E1511" s="214">
        <v>10</v>
      </c>
    </row>
    <row r="1512" spans="2:5" x14ac:dyDescent="0.25">
      <c r="B1512" s="213" t="s">
        <v>2909</v>
      </c>
      <c r="C1512" s="214">
        <v>2019</v>
      </c>
      <c r="D1512" s="214">
        <v>5</v>
      </c>
      <c r="E1512" s="214">
        <v>10</v>
      </c>
    </row>
    <row r="1513" spans="2:5" x14ac:dyDescent="0.25">
      <c r="B1513" s="213" t="s">
        <v>2909</v>
      </c>
      <c r="C1513" s="214">
        <v>2019</v>
      </c>
      <c r="D1513" s="214">
        <v>3</v>
      </c>
      <c r="E1513" s="214">
        <v>7</v>
      </c>
    </row>
    <row r="1514" spans="2:5" x14ac:dyDescent="0.25">
      <c r="B1514" s="213" t="s">
        <v>2909</v>
      </c>
      <c r="C1514" s="214">
        <v>2019</v>
      </c>
      <c r="D1514" s="214">
        <v>7</v>
      </c>
      <c r="E1514" s="214">
        <v>7</v>
      </c>
    </row>
    <row r="1515" spans="2:5" x14ac:dyDescent="0.25">
      <c r="B1515" s="213" t="s">
        <v>2909</v>
      </c>
      <c r="C1515" s="214">
        <v>2019</v>
      </c>
      <c r="D1515" s="214">
        <v>8</v>
      </c>
      <c r="E1515" s="214">
        <v>7</v>
      </c>
    </row>
    <row r="1516" spans="2:5" x14ac:dyDescent="0.25">
      <c r="B1516" s="213" t="s">
        <v>2909</v>
      </c>
      <c r="C1516" s="214">
        <v>2019</v>
      </c>
      <c r="D1516" s="214">
        <v>12</v>
      </c>
      <c r="E1516" s="214">
        <v>6</v>
      </c>
    </row>
    <row r="1517" spans="2:5" x14ac:dyDescent="0.25">
      <c r="B1517" s="213" t="s">
        <v>2909</v>
      </c>
      <c r="C1517" s="214">
        <v>2019</v>
      </c>
      <c r="D1517" s="214">
        <v>9</v>
      </c>
      <c r="E1517" s="214">
        <v>5</v>
      </c>
    </row>
    <row r="1518" spans="2:5" x14ac:dyDescent="0.25">
      <c r="B1518" s="213" t="s">
        <v>2909</v>
      </c>
      <c r="C1518" s="214">
        <v>2019</v>
      </c>
      <c r="D1518" s="214">
        <v>10</v>
      </c>
      <c r="E1518" s="214">
        <v>5</v>
      </c>
    </row>
    <row r="1519" spans="2:5" x14ac:dyDescent="0.25">
      <c r="B1519" s="213" t="s">
        <v>2909</v>
      </c>
      <c r="C1519" s="214">
        <v>2019</v>
      </c>
      <c r="D1519" s="214">
        <v>11</v>
      </c>
      <c r="E1519" s="214">
        <v>5</v>
      </c>
    </row>
    <row r="1520" spans="2:5" x14ac:dyDescent="0.25">
      <c r="B1520" s="213" t="s">
        <v>2909</v>
      </c>
      <c r="C1520" s="214">
        <v>2019</v>
      </c>
      <c r="D1520" s="214">
        <v>1</v>
      </c>
      <c r="E1520" s="214">
        <v>3</v>
      </c>
    </row>
    <row r="1521" spans="2:5" x14ac:dyDescent="0.25">
      <c r="B1521" s="213" t="s">
        <v>2909</v>
      </c>
      <c r="C1521" s="214">
        <v>2019</v>
      </c>
      <c r="D1521" s="214">
        <v>2</v>
      </c>
      <c r="E1521" s="214">
        <v>3</v>
      </c>
    </row>
    <row r="1522" spans="2:5" x14ac:dyDescent="0.25">
      <c r="B1522" s="213" t="s">
        <v>2909</v>
      </c>
      <c r="C1522" s="214">
        <v>2019</v>
      </c>
      <c r="D1522" s="214">
        <v>6</v>
      </c>
      <c r="E1522" s="214">
        <v>3</v>
      </c>
    </row>
    <row r="1523" spans="2:5" x14ac:dyDescent="0.25">
      <c r="B1523" s="213" t="s">
        <v>2941</v>
      </c>
      <c r="C1523" s="214">
        <v>2019</v>
      </c>
      <c r="D1523" s="214">
        <v>5</v>
      </c>
      <c r="E1523" s="214">
        <v>5</v>
      </c>
    </row>
    <row r="1524" spans="2:5" x14ac:dyDescent="0.25">
      <c r="B1524" s="213" t="s">
        <v>2941</v>
      </c>
      <c r="C1524" s="214">
        <v>2019</v>
      </c>
      <c r="D1524" s="214">
        <v>9</v>
      </c>
      <c r="E1524" s="214">
        <v>3</v>
      </c>
    </row>
    <row r="1525" spans="2:5" x14ac:dyDescent="0.25">
      <c r="B1525" s="213" t="s">
        <v>2941</v>
      </c>
      <c r="C1525" s="214">
        <v>2019</v>
      </c>
      <c r="D1525" s="214">
        <v>4</v>
      </c>
      <c r="E1525" s="214">
        <v>2</v>
      </c>
    </row>
    <row r="1526" spans="2:5" x14ac:dyDescent="0.25">
      <c r="B1526" s="213" t="s">
        <v>2941</v>
      </c>
      <c r="C1526" s="214">
        <v>2019</v>
      </c>
      <c r="D1526" s="214">
        <v>3</v>
      </c>
      <c r="E1526" s="214">
        <v>1</v>
      </c>
    </row>
    <row r="1527" spans="2:5" x14ac:dyDescent="0.25">
      <c r="B1527" s="213" t="s">
        <v>2941</v>
      </c>
      <c r="C1527" s="214">
        <v>2019</v>
      </c>
      <c r="D1527" s="214">
        <v>6</v>
      </c>
      <c r="E1527" s="214">
        <v>1</v>
      </c>
    </row>
    <row r="1528" spans="2:5" x14ac:dyDescent="0.25">
      <c r="B1528" s="213" t="s">
        <v>2822</v>
      </c>
      <c r="C1528" s="214">
        <v>2019</v>
      </c>
      <c r="D1528" s="214">
        <v>6</v>
      </c>
      <c r="E1528" s="214">
        <v>9</v>
      </c>
    </row>
    <row r="1529" spans="2:5" x14ac:dyDescent="0.25">
      <c r="B1529" s="213" t="s">
        <v>2822</v>
      </c>
      <c r="C1529" s="214">
        <v>2019</v>
      </c>
      <c r="D1529" s="214">
        <v>3</v>
      </c>
      <c r="E1529" s="214">
        <v>5</v>
      </c>
    </row>
    <row r="1530" spans="2:5" x14ac:dyDescent="0.25">
      <c r="B1530" s="213" t="s">
        <v>2822</v>
      </c>
      <c r="C1530" s="214">
        <v>2019</v>
      </c>
      <c r="D1530" s="214">
        <v>5</v>
      </c>
      <c r="E1530" s="214">
        <v>5</v>
      </c>
    </row>
    <row r="1531" spans="2:5" x14ac:dyDescent="0.25">
      <c r="B1531" s="213" t="s">
        <v>2822</v>
      </c>
      <c r="C1531" s="214">
        <v>2019</v>
      </c>
      <c r="D1531" s="214">
        <v>10</v>
      </c>
      <c r="E1531" s="214">
        <v>4</v>
      </c>
    </row>
    <row r="1532" spans="2:5" x14ac:dyDescent="0.25">
      <c r="B1532" s="213" t="s">
        <v>2822</v>
      </c>
      <c r="C1532" s="214">
        <v>2019</v>
      </c>
      <c r="D1532" s="214">
        <v>4</v>
      </c>
      <c r="E1532" s="214">
        <v>3</v>
      </c>
    </row>
    <row r="1533" spans="2:5" x14ac:dyDescent="0.25">
      <c r="B1533" s="213" t="s">
        <v>2822</v>
      </c>
      <c r="C1533" s="214">
        <v>2019</v>
      </c>
      <c r="D1533" s="214">
        <v>1</v>
      </c>
      <c r="E1533" s="214">
        <v>2</v>
      </c>
    </row>
    <row r="1534" spans="2:5" x14ac:dyDescent="0.25">
      <c r="B1534" s="213" t="s">
        <v>2822</v>
      </c>
      <c r="C1534" s="214">
        <v>2019</v>
      </c>
      <c r="D1534" s="214">
        <v>9</v>
      </c>
      <c r="E1534" s="214">
        <v>2</v>
      </c>
    </row>
    <row r="1535" spans="2:5" x14ac:dyDescent="0.25">
      <c r="B1535" s="213" t="s">
        <v>2822</v>
      </c>
      <c r="C1535" s="214">
        <v>2019</v>
      </c>
      <c r="D1535" s="214">
        <v>7</v>
      </c>
      <c r="E1535" s="214">
        <v>1</v>
      </c>
    </row>
    <row r="1536" spans="2:5" x14ac:dyDescent="0.25">
      <c r="B1536" s="213" t="s">
        <v>2822</v>
      </c>
      <c r="C1536" s="214">
        <v>2019</v>
      </c>
      <c r="D1536" s="214">
        <v>8</v>
      </c>
      <c r="E1536" s="214">
        <v>1</v>
      </c>
    </row>
    <row r="1537" spans="2:5" x14ac:dyDescent="0.25">
      <c r="B1537" s="213" t="s">
        <v>2953</v>
      </c>
      <c r="C1537" s="214">
        <v>2019</v>
      </c>
      <c r="D1537" s="214">
        <v>3</v>
      </c>
      <c r="E1537" s="214">
        <v>2</v>
      </c>
    </row>
    <row r="1538" spans="2:5" x14ac:dyDescent="0.25">
      <c r="B1538" s="213" t="s">
        <v>2953</v>
      </c>
      <c r="C1538" s="214">
        <v>2019</v>
      </c>
      <c r="D1538" s="214">
        <v>7</v>
      </c>
      <c r="E1538" s="214">
        <v>2</v>
      </c>
    </row>
    <row r="1539" spans="2:5" x14ac:dyDescent="0.25">
      <c r="B1539" s="213" t="s">
        <v>2953</v>
      </c>
      <c r="C1539" s="214">
        <v>2019</v>
      </c>
      <c r="D1539" s="214">
        <v>1</v>
      </c>
      <c r="E1539" s="214">
        <v>1</v>
      </c>
    </row>
    <row r="1540" spans="2:5" x14ac:dyDescent="0.25">
      <c r="B1540" s="213" t="s">
        <v>2953</v>
      </c>
      <c r="C1540" s="214">
        <v>2019</v>
      </c>
      <c r="D1540" s="214">
        <v>5</v>
      </c>
      <c r="E1540" s="214">
        <v>1</v>
      </c>
    </row>
    <row r="1541" spans="2:5" x14ac:dyDescent="0.25">
      <c r="B1541" s="213" t="s">
        <v>2953</v>
      </c>
      <c r="C1541" s="214">
        <v>2019</v>
      </c>
      <c r="D1541" s="214">
        <v>6</v>
      </c>
      <c r="E1541" s="214">
        <v>1</v>
      </c>
    </row>
    <row r="1542" spans="2:5" x14ac:dyDescent="0.25">
      <c r="B1542" s="213" t="s">
        <v>2823</v>
      </c>
      <c r="C1542" s="214">
        <v>2019</v>
      </c>
      <c r="D1542" s="214">
        <v>9</v>
      </c>
      <c r="E1542" s="214">
        <v>39</v>
      </c>
    </row>
    <row r="1543" spans="2:5" x14ac:dyDescent="0.25">
      <c r="B1543" s="213" t="s">
        <v>2823</v>
      </c>
      <c r="C1543" s="214">
        <v>2019</v>
      </c>
      <c r="D1543" s="214">
        <v>3</v>
      </c>
      <c r="E1543" s="214">
        <v>35</v>
      </c>
    </row>
    <row r="1544" spans="2:5" x14ac:dyDescent="0.25">
      <c r="B1544" s="213" t="s">
        <v>2823</v>
      </c>
      <c r="C1544" s="214">
        <v>2019</v>
      </c>
      <c r="D1544" s="214">
        <v>7</v>
      </c>
      <c r="E1544" s="214">
        <v>31</v>
      </c>
    </row>
    <row r="1545" spans="2:5" x14ac:dyDescent="0.25">
      <c r="B1545" s="213" t="s">
        <v>2823</v>
      </c>
      <c r="C1545" s="214">
        <v>2019</v>
      </c>
      <c r="D1545" s="214">
        <v>10</v>
      </c>
      <c r="E1545" s="214">
        <v>28</v>
      </c>
    </row>
    <row r="1546" spans="2:5" x14ac:dyDescent="0.25">
      <c r="B1546" s="213" t="s">
        <v>2823</v>
      </c>
      <c r="C1546" s="214">
        <v>2019</v>
      </c>
      <c r="D1546" s="214">
        <v>8</v>
      </c>
      <c r="E1546" s="214">
        <v>27</v>
      </c>
    </row>
    <row r="1547" spans="2:5" x14ac:dyDescent="0.25">
      <c r="B1547" s="213" t="s">
        <v>2823</v>
      </c>
      <c r="C1547" s="214">
        <v>2019</v>
      </c>
      <c r="D1547" s="214">
        <v>6</v>
      </c>
      <c r="E1547" s="214">
        <v>26</v>
      </c>
    </row>
    <row r="1548" spans="2:5" x14ac:dyDescent="0.25">
      <c r="B1548" s="213" t="s">
        <v>2823</v>
      </c>
      <c r="C1548" s="214">
        <v>2019</v>
      </c>
      <c r="D1548" s="214">
        <v>4</v>
      </c>
      <c r="E1548" s="214">
        <v>25</v>
      </c>
    </row>
    <row r="1549" spans="2:5" x14ac:dyDescent="0.25">
      <c r="B1549" s="213" t="s">
        <v>2823</v>
      </c>
      <c r="C1549" s="214">
        <v>2019</v>
      </c>
      <c r="D1549" s="214">
        <v>5</v>
      </c>
      <c r="E1549" s="214">
        <v>20</v>
      </c>
    </row>
    <row r="1550" spans="2:5" x14ac:dyDescent="0.25">
      <c r="B1550" s="213" t="s">
        <v>2823</v>
      </c>
      <c r="C1550" s="214">
        <v>2019</v>
      </c>
      <c r="D1550" s="214">
        <v>11</v>
      </c>
      <c r="E1550" s="214">
        <v>19</v>
      </c>
    </row>
    <row r="1551" spans="2:5" x14ac:dyDescent="0.25">
      <c r="B1551" s="213" t="s">
        <v>2823</v>
      </c>
      <c r="C1551" s="214">
        <v>2019</v>
      </c>
      <c r="D1551" s="214">
        <v>12</v>
      </c>
      <c r="E1551" s="214">
        <v>19</v>
      </c>
    </row>
    <row r="1552" spans="2:5" x14ac:dyDescent="0.25">
      <c r="B1552" s="213" t="s">
        <v>2823</v>
      </c>
      <c r="C1552" s="214">
        <v>2019</v>
      </c>
      <c r="D1552" s="214">
        <v>2</v>
      </c>
      <c r="E1552" s="214">
        <v>13</v>
      </c>
    </row>
    <row r="1553" spans="2:5" x14ac:dyDescent="0.25">
      <c r="B1553" s="213" t="s">
        <v>2823</v>
      </c>
      <c r="C1553" s="214">
        <v>2019</v>
      </c>
      <c r="D1553" s="214">
        <v>1</v>
      </c>
      <c r="E1553" s="214">
        <v>3</v>
      </c>
    </row>
    <row r="1554" spans="2:5" x14ac:dyDescent="0.25">
      <c r="B1554" s="213" t="s">
        <v>2919</v>
      </c>
      <c r="C1554" s="214">
        <v>2019</v>
      </c>
      <c r="D1554" s="214">
        <v>3</v>
      </c>
      <c r="E1554" s="214">
        <v>17</v>
      </c>
    </row>
    <row r="1555" spans="2:5" x14ac:dyDescent="0.25">
      <c r="B1555" s="213" t="s">
        <v>2919</v>
      </c>
      <c r="C1555" s="214">
        <v>2019</v>
      </c>
      <c r="D1555" s="214">
        <v>6</v>
      </c>
      <c r="E1555" s="214">
        <v>9</v>
      </c>
    </row>
    <row r="1556" spans="2:5" x14ac:dyDescent="0.25">
      <c r="B1556" s="213" t="s">
        <v>2919</v>
      </c>
      <c r="C1556" s="214">
        <v>2019</v>
      </c>
      <c r="D1556" s="214">
        <v>11</v>
      </c>
      <c r="E1556" s="214">
        <v>6</v>
      </c>
    </row>
    <row r="1557" spans="2:5" x14ac:dyDescent="0.25">
      <c r="B1557" s="213" t="s">
        <v>2919</v>
      </c>
      <c r="C1557" s="214">
        <v>2019</v>
      </c>
      <c r="D1557" s="214">
        <v>5</v>
      </c>
      <c r="E1557" s="214">
        <v>4</v>
      </c>
    </row>
    <row r="1558" spans="2:5" x14ac:dyDescent="0.25">
      <c r="B1558" s="213" t="s">
        <v>2919</v>
      </c>
      <c r="C1558" s="214">
        <v>2019</v>
      </c>
      <c r="D1558" s="214">
        <v>7</v>
      </c>
      <c r="E1558" s="214">
        <v>3</v>
      </c>
    </row>
    <row r="1559" spans="2:5" x14ac:dyDescent="0.25">
      <c r="B1559" s="213" t="s">
        <v>2919</v>
      </c>
      <c r="C1559" s="214">
        <v>2019</v>
      </c>
      <c r="D1559" s="214">
        <v>8</v>
      </c>
      <c r="E1559" s="214">
        <v>3</v>
      </c>
    </row>
    <row r="1560" spans="2:5" x14ac:dyDescent="0.25">
      <c r="B1560" s="213" t="s">
        <v>2919</v>
      </c>
      <c r="C1560" s="214">
        <v>2019</v>
      </c>
      <c r="D1560" s="214">
        <v>2</v>
      </c>
      <c r="E1560" s="214">
        <v>2</v>
      </c>
    </row>
    <row r="1561" spans="2:5" x14ac:dyDescent="0.25">
      <c r="B1561" s="213" t="s">
        <v>2919</v>
      </c>
      <c r="C1561" s="214">
        <v>2019</v>
      </c>
      <c r="D1561" s="214">
        <v>9</v>
      </c>
      <c r="E1561" s="214">
        <v>1</v>
      </c>
    </row>
    <row r="1562" spans="2:5" x14ac:dyDescent="0.25">
      <c r="B1562" s="213" t="s">
        <v>2961</v>
      </c>
      <c r="C1562" s="214">
        <v>2019</v>
      </c>
      <c r="D1562" s="214">
        <v>1</v>
      </c>
      <c r="E1562" s="214">
        <v>1</v>
      </c>
    </row>
    <row r="1563" spans="2:5" x14ac:dyDescent="0.25">
      <c r="B1563" s="213" t="s">
        <v>2961</v>
      </c>
      <c r="C1563" s="214">
        <v>2019</v>
      </c>
      <c r="D1563" s="214">
        <v>2</v>
      </c>
      <c r="E1563" s="214">
        <v>1</v>
      </c>
    </row>
    <row r="1564" spans="2:5" x14ac:dyDescent="0.25">
      <c r="B1564" s="213" t="s">
        <v>2961</v>
      </c>
      <c r="C1564" s="214">
        <v>2019</v>
      </c>
      <c r="D1564" s="214">
        <v>7</v>
      </c>
      <c r="E1564" s="214">
        <v>1</v>
      </c>
    </row>
    <row r="1565" spans="2:5" x14ac:dyDescent="0.25">
      <c r="B1565" s="213" t="s">
        <v>2961</v>
      </c>
      <c r="C1565" s="214">
        <v>2019</v>
      </c>
      <c r="D1565" s="214">
        <v>8</v>
      </c>
      <c r="E1565" s="214">
        <v>1</v>
      </c>
    </row>
    <row r="1566" spans="2:5" x14ac:dyDescent="0.25">
      <c r="B1566" s="213" t="s">
        <v>2961</v>
      </c>
      <c r="C1566" s="214">
        <v>2019</v>
      </c>
      <c r="D1566" s="214">
        <v>9</v>
      </c>
      <c r="E1566" s="214">
        <v>1</v>
      </c>
    </row>
    <row r="1567" spans="2:5" x14ac:dyDescent="0.25">
      <c r="B1567" s="213" t="s">
        <v>2954</v>
      </c>
      <c r="C1567" s="214">
        <v>2019</v>
      </c>
      <c r="D1567" s="214">
        <v>2</v>
      </c>
      <c r="E1567" s="214">
        <v>2</v>
      </c>
    </row>
    <row r="1568" spans="2:5" x14ac:dyDescent="0.25">
      <c r="B1568" s="213" t="s">
        <v>2954</v>
      </c>
      <c r="C1568" s="214">
        <v>2019</v>
      </c>
      <c r="D1568" s="214">
        <v>3</v>
      </c>
      <c r="E1568" s="214">
        <v>1</v>
      </c>
    </row>
    <row r="1569" spans="2:5" x14ac:dyDescent="0.25">
      <c r="B1569" s="213" t="s">
        <v>2954</v>
      </c>
      <c r="C1569" s="214">
        <v>2019</v>
      </c>
      <c r="D1569" s="214">
        <v>4</v>
      </c>
      <c r="E1569" s="214">
        <v>1</v>
      </c>
    </row>
    <row r="1570" spans="2:5" x14ac:dyDescent="0.25">
      <c r="B1570" s="213" t="s">
        <v>2954</v>
      </c>
      <c r="C1570" s="214">
        <v>2019</v>
      </c>
      <c r="D1570" s="214">
        <v>7</v>
      </c>
      <c r="E1570" s="214">
        <v>1</v>
      </c>
    </row>
    <row r="1571" spans="2:5" x14ac:dyDescent="0.25">
      <c r="B1571" s="213" t="s">
        <v>2954</v>
      </c>
      <c r="C1571" s="214">
        <v>2019</v>
      </c>
      <c r="D1571" s="214">
        <v>10</v>
      </c>
      <c r="E1571" s="214">
        <v>1</v>
      </c>
    </row>
    <row r="1572" spans="2:5" x14ac:dyDescent="0.25">
      <c r="B1572" s="213" t="s">
        <v>2954</v>
      </c>
      <c r="C1572" s="214">
        <v>2019</v>
      </c>
      <c r="D1572" s="214">
        <v>11</v>
      </c>
      <c r="E1572" s="214">
        <v>1</v>
      </c>
    </row>
    <row r="1573" spans="2:5" x14ac:dyDescent="0.25">
      <c r="B1573" s="213" t="s">
        <v>2824</v>
      </c>
      <c r="C1573" s="214">
        <v>2019</v>
      </c>
      <c r="D1573" s="214">
        <v>3</v>
      </c>
      <c r="E1573" s="214">
        <v>61</v>
      </c>
    </row>
    <row r="1574" spans="2:5" x14ac:dyDescent="0.25">
      <c r="B1574" s="213" t="s">
        <v>2824</v>
      </c>
      <c r="C1574" s="214">
        <v>2019</v>
      </c>
      <c r="D1574" s="214">
        <v>4</v>
      </c>
      <c r="E1574" s="214">
        <v>50</v>
      </c>
    </row>
    <row r="1575" spans="2:5" x14ac:dyDescent="0.25">
      <c r="B1575" s="213" t="s">
        <v>2824</v>
      </c>
      <c r="C1575" s="214">
        <v>2019</v>
      </c>
      <c r="D1575" s="214">
        <v>10</v>
      </c>
      <c r="E1575" s="214">
        <v>46</v>
      </c>
    </row>
    <row r="1576" spans="2:5" x14ac:dyDescent="0.25">
      <c r="B1576" s="213" t="s">
        <v>2824</v>
      </c>
      <c r="C1576" s="214">
        <v>2019</v>
      </c>
      <c r="D1576" s="214">
        <v>9</v>
      </c>
      <c r="E1576" s="214">
        <v>39</v>
      </c>
    </row>
    <row r="1577" spans="2:5" x14ac:dyDescent="0.25">
      <c r="B1577" s="213" t="s">
        <v>2824</v>
      </c>
      <c r="C1577" s="214">
        <v>2019</v>
      </c>
      <c r="D1577" s="214">
        <v>1</v>
      </c>
      <c r="E1577" s="214">
        <v>36</v>
      </c>
    </row>
    <row r="1578" spans="2:5" x14ac:dyDescent="0.25">
      <c r="B1578" s="213" t="s">
        <v>2824</v>
      </c>
      <c r="C1578" s="214">
        <v>2019</v>
      </c>
      <c r="D1578" s="214">
        <v>5</v>
      </c>
      <c r="E1578" s="214">
        <v>27</v>
      </c>
    </row>
    <row r="1579" spans="2:5" x14ac:dyDescent="0.25">
      <c r="B1579" s="213" t="s">
        <v>2824</v>
      </c>
      <c r="C1579" s="214">
        <v>2019</v>
      </c>
      <c r="D1579" s="214">
        <v>8</v>
      </c>
      <c r="E1579" s="214">
        <v>27</v>
      </c>
    </row>
    <row r="1580" spans="2:5" x14ac:dyDescent="0.25">
      <c r="B1580" s="213" t="s">
        <v>2824</v>
      </c>
      <c r="C1580" s="214">
        <v>2019</v>
      </c>
      <c r="D1580" s="214">
        <v>11</v>
      </c>
      <c r="E1580" s="214">
        <v>22</v>
      </c>
    </row>
    <row r="1581" spans="2:5" x14ac:dyDescent="0.25">
      <c r="B1581" s="213" t="s">
        <v>2824</v>
      </c>
      <c r="C1581" s="214">
        <v>2019</v>
      </c>
      <c r="D1581" s="214">
        <v>7</v>
      </c>
      <c r="E1581" s="214">
        <v>19</v>
      </c>
    </row>
    <row r="1582" spans="2:5" x14ac:dyDescent="0.25">
      <c r="B1582" s="213" t="s">
        <v>2824</v>
      </c>
      <c r="C1582" s="214">
        <v>2019</v>
      </c>
      <c r="D1582" s="214">
        <v>6</v>
      </c>
      <c r="E1582" s="214">
        <v>17</v>
      </c>
    </row>
    <row r="1583" spans="2:5" x14ac:dyDescent="0.25">
      <c r="B1583" s="213" t="s">
        <v>2824</v>
      </c>
      <c r="C1583" s="214">
        <v>2019</v>
      </c>
      <c r="D1583" s="214">
        <v>2</v>
      </c>
      <c r="E1583" s="214">
        <v>16</v>
      </c>
    </row>
    <row r="1584" spans="2:5" x14ac:dyDescent="0.25">
      <c r="B1584" s="213" t="s">
        <v>2824</v>
      </c>
      <c r="C1584" s="214">
        <v>2019</v>
      </c>
      <c r="D1584" s="214">
        <v>12</v>
      </c>
      <c r="E1584" s="214">
        <v>10</v>
      </c>
    </row>
    <row r="1585" spans="2:5" x14ac:dyDescent="0.25">
      <c r="B1585" s="213" t="s">
        <v>2927</v>
      </c>
      <c r="C1585" s="214">
        <v>2019</v>
      </c>
      <c r="D1585" s="214">
        <v>6</v>
      </c>
      <c r="E1585" s="214">
        <v>6</v>
      </c>
    </row>
    <row r="1586" spans="2:5" x14ac:dyDescent="0.25">
      <c r="B1586" s="213" t="s">
        <v>2927</v>
      </c>
      <c r="C1586" s="214">
        <v>2019</v>
      </c>
      <c r="D1586" s="214">
        <v>4</v>
      </c>
      <c r="E1586" s="214">
        <v>5</v>
      </c>
    </row>
    <row r="1587" spans="2:5" x14ac:dyDescent="0.25">
      <c r="B1587" s="213" t="s">
        <v>2927</v>
      </c>
      <c r="C1587" s="214">
        <v>2019</v>
      </c>
      <c r="D1587" s="214">
        <v>5</v>
      </c>
      <c r="E1587" s="214">
        <v>4</v>
      </c>
    </row>
    <row r="1588" spans="2:5" x14ac:dyDescent="0.25">
      <c r="B1588" s="213" t="s">
        <v>2927</v>
      </c>
      <c r="C1588" s="214">
        <v>2019</v>
      </c>
      <c r="D1588" s="214">
        <v>2</v>
      </c>
      <c r="E1588" s="214">
        <v>3</v>
      </c>
    </row>
    <row r="1589" spans="2:5" x14ac:dyDescent="0.25">
      <c r="B1589" s="213" t="s">
        <v>2927</v>
      </c>
      <c r="C1589" s="214">
        <v>2019</v>
      </c>
      <c r="D1589" s="214">
        <v>8</v>
      </c>
      <c r="E1589" s="214">
        <v>2</v>
      </c>
    </row>
    <row r="1590" spans="2:5" x14ac:dyDescent="0.25">
      <c r="B1590" s="213" t="s">
        <v>2927</v>
      </c>
      <c r="C1590" s="214">
        <v>2019</v>
      </c>
      <c r="D1590" s="214">
        <v>1</v>
      </c>
      <c r="E1590" s="214">
        <v>1</v>
      </c>
    </row>
    <row r="1591" spans="2:5" x14ac:dyDescent="0.25">
      <c r="B1591" s="213" t="s">
        <v>2927</v>
      </c>
      <c r="C1591" s="214">
        <v>2019</v>
      </c>
      <c r="D1591" s="214">
        <v>3</v>
      </c>
      <c r="E1591" s="214">
        <v>1</v>
      </c>
    </row>
    <row r="1592" spans="2:5" x14ac:dyDescent="0.25">
      <c r="B1592" s="213" t="s">
        <v>2927</v>
      </c>
      <c r="C1592" s="214">
        <v>2019</v>
      </c>
      <c r="D1592" s="214">
        <v>11</v>
      </c>
      <c r="E1592" s="214">
        <v>1</v>
      </c>
    </row>
    <row r="1593" spans="2:5" x14ac:dyDescent="0.25">
      <c r="B1593" s="213" t="s">
        <v>2927</v>
      </c>
      <c r="C1593" s="214">
        <v>2019</v>
      </c>
      <c r="D1593" s="214">
        <v>12</v>
      </c>
      <c r="E1593" s="214">
        <v>1</v>
      </c>
    </row>
    <row r="1594" spans="2:5" x14ac:dyDescent="0.25">
      <c r="B1594" s="213" t="s">
        <v>2825</v>
      </c>
      <c r="C1594" s="214">
        <v>2019</v>
      </c>
      <c r="D1594" s="214">
        <v>5</v>
      </c>
      <c r="E1594" s="214">
        <v>9</v>
      </c>
    </row>
    <row r="1595" spans="2:5" x14ac:dyDescent="0.25">
      <c r="B1595" s="213" t="s">
        <v>2825</v>
      </c>
      <c r="C1595" s="214">
        <v>2019</v>
      </c>
      <c r="D1595" s="214">
        <v>6</v>
      </c>
      <c r="E1595" s="214">
        <v>5</v>
      </c>
    </row>
    <row r="1596" spans="2:5" x14ac:dyDescent="0.25">
      <c r="B1596" s="213" t="s">
        <v>2825</v>
      </c>
      <c r="C1596" s="214">
        <v>2019</v>
      </c>
      <c r="D1596" s="214">
        <v>8</v>
      </c>
      <c r="E1596" s="214">
        <v>4</v>
      </c>
    </row>
    <row r="1597" spans="2:5" x14ac:dyDescent="0.25">
      <c r="B1597" s="213" t="s">
        <v>2825</v>
      </c>
      <c r="C1597" s="214">
        <v>2019</v>
      </c>
      <c r="D1597" s="214">
        <v>7</v>
      </c>
      <c r="E1597" s="214">
        <v>3</v>
      </c>
    </row>
    <row r="1598" spans="2:5" x14ac:dyDescent="0.25">
      <c r="B1598" s="213" t="s">
        <v>2825</v>
      </c>
      <c r="C1598" s="214">
        <v>2019</v>
      </c>
      <c r="D1598" s="214">
        <v>2</v>
      </c>
      <c r="E1598" s="214">
        <v>1</v>
      </c>
    </row>
    <row r="1599" spans="2:5" x14ac:dyDescent="0.25">
      <c r="B1599" s="213" t="s">
        <v>2825</v>
      </c>
      <c r="C1599" s="214">
        <v>2019</v>
      </c>
      <c r="D1599" s="214">
        <v>3</v>
      </c>
      <c r="E1599" s="214">
        <v>1</v>
      </c>
    </row>
    <row r="1600" spans="2:5" x14ac:dyDescent="0.25">
      <c r="B1600" s="213" t="s">
        <v>2825</v>
      </c>
      <c r="C1600" s="214">
        <v>2019</v>
      </c>
      <c r="D1600" s="214">
        <v>4</v>
      </c>
      <c r="E1600" s="214">
        <v>1</v>
      </c>
    </row>
    <row r="1601" spans="2:5" x14ac:dyDescent="0.25">
      <c r="B1601" s="213" t="s">
        <v>2825</v>
      </c>
      <c r="C1601" s="214">
        <v>2019</v>
      </c>
      <c r="D1601" s="214">
        <v>9</v>
      </c>
      <c r="E1601" s="214">
        <v>1</v>
      </c>
    </row>
    <row r="1602" spans="2:5" x14ac:dyDescent="0.25">
      <c r="B1602" s="213" t="s">
        <v>2825</v>
      </c>
      <c r="C1602" s="214">
        <v>2019</v>
      </c>
      <c r="D1602" s="214">
        <v>12</v>
      </c>
      <c r="E1602" s="214">
        <v>1</v>
      </c>
    </row>
    <row r="1603" spans="2:5" x14ac:dyDescent="0.25">
      <c r="B1603" s="213" t="s">
        <v>2826</v>
      </c>
      <c r="C1603" s="214">
        <v>2019</v>
      </c>
      <c r="D1603" s="214">
        <v>2</v>
      </c>
      <c r="E1603" s="214">
        <v>7</v>
      </c>
    </row>
    <row r="1604" spans="2:5" x14ac:dyDescent="0.25">
      <c r="B1604" s="213" t="s">
        <v>2826</v>
      </c>
      <c r="C1604" s="214">
        <v>2019</v>
      </c>
      <c r="D1604" s="214">
        <v>3</v>
      </c>
      <c r="E1604" s="214">
        <v>5</v>
      </c>
    </row>
    <row r="1605" spans="2:5" x14ac:dyDescent="0.25">
      <c r="B1605" s="213" t="s">
        <v>2826</v>
      </c>
      <c r="C1605" s="214">
        <v>2019</v>
      </c>
      <c r="D1605" s="214">
        <v>5</v>
      </c>
      <c r="E1605" s="214">
        <v>4</v>
      </c>
    </row>
    <row r="1606" spans="2:5" x14ac:dyDescent="0.25">
      <c r="B1606" s="213" t="s">
        <v>2826</v>
      </c>
      <c r="C1606" s="214">
        <v>2019</v>
      </c>
      <c r="D1606" s="214">
        <v>6</v>
      </c>
      <c r="E1606" s="214">
        <v>4</v>
      </c>
    </row>
    <row r="1607" spans="2:5" x14ac:dyDescent="0.25">
      <c r="B1607" s="213" t="s">
        <v>2826</v>
      </c>
      <c r="C1607" s="214">
        <v>2019</v>
      </c>
      <c r="D1607" s="214">
        <v>7</v>
      </c>
      <c r="E1607" s="214">
        <v>4</v>
      </c>
    </row>
    <row r="1608" spans="2:5" x14ac:dyDescent="0.25">
      <c r="B1608" s="213" t="s">
        <v>2826</v>
      </c>
      <c r="C1608" s="214">
        <v>2019</v>
      </c>
      <c r="D1608" s="214">
        <v>8</v>
      </c>
      <c r="E1608" s="214">
        <v>4</v>
      </c>
    </row>
    <row r="1609" spans="2:5" x14ac:dyDescent="0.25">
      <c r="B1609" s="213" t="s">
        <v>2826</v>
      </c>
      <c r="C1609" s="214">
        <v>2019</v>
      </c>
      <c r="D1609" s="214">
        <v>9</v>
      </c>
      <c r="E1609" s="214">
        <v>4</v>
      </c>
    </row>
    <row r="1610" spans="2:5" x14ac:dyDescent="0.25">
      <c r="B1610" s="213" t="s">
        <v>2826</v>
      </c>
      <c r="C1610" s="214">
        <v>2019</v>
      </c>
      <c r="D1610" s="214">
        <v>12</v>
      </c>
      <c r="E1610" s="214">
        <v>4</v>
      </c>
    </row>
    <row r="1611" spans="2:5" x14ac:dyDescent="0.25">
      <c r="B1611" s="213" t="s">
        <v>2826</v>
      </c>
      <c r="C1611" s="214">
        <v>2019</v>
      </c>
      <c r="D1611" s="214">
        <v>1</v>
      </c>
      <c r="E1611" s="214">
        <v>3</v>
      </c>
    </row>
    <row r="1612" spans="2:5" x14ac:dyDescent="0.25">
      <c r="B1612" s="213" t="s">
        <v>2826</v>
      </c>
      <c r="C1612" s="214">
        <v>2019</v>
      </c>
      <c r="D1612" s="214">
        <v>4</v>
      </c>
      <c r="E1612" s="214">
        <v>3</v>
      </c>
    </row>
    <row r="1613" spans="2:5" x14ac:dyDescent="0.25">
      <c r="B1613" s="213" t="s">
        <v>2826</v>
      </c>
      <c r="C1613" s="214">
        <v>2019</v>
      </c>
      <c r="D1613" s="214">
        <v>10</v>
      </c>
      <c r="E1613" s="214">
        <v>2</v>
      </c>
    </row>
    <row r="1614" spans="2:5" x14ac:dyDescent="0.25">
      <c r="B1614" s="213" t="s">
        <v>2826</v>
      </c>
      <c r="C1614" s="214">
        <v>2019</v>
      </c>
      <c r="D1614" s="214">
        <v>11</v>
      </c>
      <c r="E1614" s="214">
        <v>1</v>
      </c>
    </row>
    <row r="1615" spans="2:5" x14ac:dyDescent="0.25">
      <c r="B1615" s="213" t="s">
        <v>2827</v>
      </c>
      <c r="C1615" s="214">
        <v>2019</v>
      </c>
      <c r="D1615" s="214">
        <v>3</v>
      </c>
      <c r="E1615" s="214">
        <v>6</v>
      </c>
    </row>
    <row r="1616" spans="2:5" x14ac:dyDescent="0.25">
      <c r="B1616" s="213" t="s">
        <v>2827</v>
      </c>
      <c r="C1616" s="214">
        <v>2019</v>
      </c>
      <c r="D1616" s="214">
        <v>8</v>
      </c>
      <c r="E1616" s="214">
        <v>6</v>
      </c>
    </row>
    <row r="1617" spans="2:5" x14ac:dyDescent="0.25">
      <c r="B1617" s="213" t="s">
        <v>2827</v>
      </c>
      <c r="C1617" s="214">
        <v>2019</v>
      </c>
      <c r="D1617" s="214">
        <v>1</v>
      </c>
      <c r="E1617" s="214">
        <v>5</v>
      </c>
    </row>
    <row r="1618" spans="2:5" x14ac:dyDescent="0.25">
      <c r="B1618" s="213" t="s">
        <v>2827</v>
      </c>
      <c r="C1618" s="214">
        <v>2019</v>
      </c>
      <c r="D1618" s="214">
        <v>10</v>
      </c>
      <c r="E1618" s="214">
        <v>5</v>
      </c>
    </row>
    <row r="1619" spans="2:5" x14ac:dyDescent="0.25">
      <c r="B1619" s="213" t="s">
        <v>2827</v>
      </c>
      <c r="C1619" s="214">
        <v>2019</v>
      </c>
      <c r="D1619" s="214">
        <v>6</v>
      </c>
      <c r="E1619" s="214">
        <v>3</v>
      </c>
    </row>
    <row r="1620" spans="2:5" x14ac:dyDescent="0.25">
      <c r="B1620" s="213" t="s">
        <v>2827</v>
      </c>
      <c r="C1620" s="214">
        <v>2019</v>
      </c>
      <c r="D1620" s="214">
        <v>9</v>
      </c>
      <c r="E1620" s="214">
        <v>3</v>
      </c>
    </row>
    <row r="1621" spans="2:5" x14ac:dyDescent="0.25">
      <c r="B1621" s="213" t="s">
        <v>2827</v>
      </c>
      <c r="C1621" s="214">
        <v>2019</v>
      </c>
      <c r="D1621" s="214">
        <v>11</v>
      </c>
      <c r="E1621" s="214">
        <v>3</v>
      </c>
    </row>
    <row r="1622" spans="2:5" x14ac:dyDescent="0.25">
      <c r="B1622" s="213" t="s">
        <v>2827</v>
      </c>
      <c r="C1622" s="214">
        <v>2019</v>
      </c>
      <c r="D1622" s="214">
        <v>2</v>
      </c>
      <c r="E1622" s="214">
        <v>2</v>
      </c>
    </row>
    <row r="1623" spans="2:5" x14ac:dyDescent="0.25">
      <c r="B1623" s="213" t="s">
        <v>2827</v>
      </c>
      <c r="C1623" s="214">
        <v>2019</v>
      </c>
      <c r="D1623" s="214">
        <v>4</v>
      </c>
      <c r="E1623" s="214">
        <v>2</v>
      </c>
    </row>
    <row r="1624" spans="2:5" x14ac:dyDescent="0.25">
      <c r="B1624" s="213" t="s">
        <v>2827</v>
      </c>
      <c r="C1624" s="214">
        <v>2019</v>
      </c>
      <c r="D1624" s="214">
        <v>5</v>
      </c>
      <c r="E1624" s="214">
        <v>1</v>
      </c>
    </row>
    <row r="1625" spans="2:5" x14ac:dyDescent="0.25">
      <c r="B1625" s="213" t="s">
        <v>2827</v>
      </c>
      <c r="C1625" s="214">
        <v>2019</v>
      </c>
      <c r="D1625" s="214">
        <v>7</v>
      </c>
      <c r="E1625" s="214">
        <v>1</v>
      </c>
    </row>
    <row r="1626" spans="2:5" x14ac:dyDescent="0.25">
      <c r="B1626" s="213" t="s">
        <v>2827</v>
      </c>
      <c r="C1626" s="214">
        <v>2019</v>
      </c>
      <c r="D1626" s="214">
        <v>12</v>
      </c>
      <c r="E1626" s="214">
        <v>1</v>
      </c>
    </row>
    <row r="1627" spans="2:5" x14ac:dyDescent="0.25">
      <c r="B1627" s="213" t="s">
        <v>2894</v>
      </c>
      <c r="C1627" s="214">
        <v>2019</v>
      </c>
      <c r="D1627" s="214">
        <v>9</v>
      </c>
      <c r="E1627" s="214">
        <v>36</v>
      </c>
    </row>
    <row r="1628" spans="2:5" x14ac:dyDescent="0.25">
      <c r="B1628" s="213" t="s">
        <v>2894</v>
      </c>
      <c r="C1628" s="214">
        <v>2019</v>
      </c>
      <c r="D1628" s="214">
        <v>1</v>
      </c>
      <c r="E1628" s="214">
        <v>25</v>
      </c>
    </row>
    <row r="1629" spans="2:5" x14ac:dyDescent="0.25">
      <c r="B1629" s="213" t="s">
        <v>2894</v>
      </c>
      <c r="C1629" s="214">
        <v>2019</v>
      </c>
      <c r="D1629" s="214">
        <v>2</v>
      </c>
      <c r="E1629" s="214">
        <v>24</v>
      </c>
    </row>
    <row r="1630" spans="2:5" x14ac:dyDescent="0.25">
      <c r="B1630" s="213" t="s">
        <v>2894</v>
      </c>
      <c r="C1630" s="214">
        <v>2019</v>
      </c>
      <c r="D1630" s="214">
        <v>3</v>
      </c>
      <c r="E1630" s="214">
        <v>24</v>
      </c>
    </row>
    <row r="1631" spans="2:5" x14ac:dyDescent="0.25">
      <c r="B1631" s="213" t="s">
        <v>2894</v>
      </c>
      <c r="C1631" s="214">
        <v>2019</v>
      </c>
      <c r="D1631" s="214">
        <v>4</v>
      </c>
      <c r="E1631" s="214">
        <v>24</v>
      </c>
    </row>
    <row r="1632" spans="2:5" x14ac:dyDescent="0.25">
      <c r="B1632" s="213" t="s">
        <v>2894</v>
      </c>
      <c r="C1632" s="214">
        <v>2019</v>
      </c>
      <c r="D1632" s="214">
        <v>8</v>
      </c>
      <c r="E1632" s="214">
        <v>16</v>
      </c>
    </row>
    <row r="1633" spans="2:5" x14ac:dyDescent="0.25">
      <c r="B1633" s="213" t="s">
        <v>2894</v>
      </c>
      <c r="C1633" s="214">
        <v>2019</v>
      </c>
      <c r="D1633" s="214">
        <v>12</v>
      </c>
      <c r="E1633" s="214">
        <v>15</v>
      </c>
    </row>
    <row r="1634" spans="2:5" x14ac:dyDescent="0.25">
      <c r="B1634" s="213" t="s">
        <v>2894</v>
      </c>
      <c r="C1634" s="214">
        <v>2019</v>
      </c>
      <c r="D1634" s="214">
        <v>10</v>
      </c>
      <c r="E1634" s="214">
        <v>14</v>
      </c>
    </row>
    <row r="1635" spans="2:5" x14ac:dyDescent="0.25">
      <c r="B1635" s="213" t="s">
        <v>2894</v>
      </c>
      <c r="C1635" s="214">
        <v>2019</v>
      </c>
      <c r="D1635" s="214">
        <v>11</v>
      </c>
      <c r="E1635" s="214">
        <v>13</v>
      </c>
    </row>
    <row r="1636" spans="2:5" x14ac:dyDescent="0.25">
      <c r="B1636" s="213" t="s">
        <v>2894</v>
      </c>
      <c r="C1636" s="214">
        <v>2019</v>
      </c>
      <c r="D1636" s="214">
        <v>6</v>
      </c>
      <c r="E1636" s="214">
        <v>10</v>
      </c>
    </row>
    <row r="1637" spans="2:5" x14ac:dyDescent="0.25">
      <c r="B1637" s="213" t="s">
        <v>2894</v>
      </c>
      <c r="C1637" s="214">
        <v>2019</v>
      </c>
      <c r="D1637" s="214">
        <v>5</v>
      </c>
      <c r="E1637" s="214">
        <v>9</v>
      </c>
    </row>
    <row r="1638" spans="2:5" x14ac:dyDescent="0.25">
      <c r="B1638" s="213" t="s">
        <v>2894</v>
      </c>
      <c r="C1638" s="214">
        <v>2019</v>
      </c>
      <c r="D1638" s="214">
        <v>7</v>
      </c>
      <c r="E1638" s="214">
        <v>9</v>
      </c>
    </row>
    <row r="1639" spans="2:5" x14ac:dyDescent="0.25">
      <c r="B1639" s="213" t="s">
        <v>2828</v>
      </c>
      <c r="C1639" s="214">
        <v>2019</v>
      </c>
      <c r="D1639" s="214">
        <v>10</v>
      </c>
      <c r="E1639" s="214">
        <v>6</v>
      </c>
    </row>
    <row r="1640" spans="2:5" x14ac:dyDescent="0.25">
      <c r="B1640" s="213" t="s">
        <v>2828</v>
      </c>
      <c r="C1640" s="214">
        <v>2019</v>
      </c>
      <c r="D1640" s="214">
        <v>1</v>
      </c>
      <c r="E1640" s="214">
        <v>3</v>
      </c>
    </row>
    <row r="1641" spans="2:5" x14ac:dyDescent="0.25">
      <c r="B1641" s="213" t="s">
        <v>2828</v>
      </c>
      <c r="C1641" s="214">
        <v>2019</v>
      </c>
      <c r="D1641" s="214">
        <v>5</v>
      </c>
      <c r="E1641" s="214">
        <v>3</v>
      </c>
    </row>
    <row r="1642" spans="2:5" x14ac:dyDescent="0.25">
      <c r="B1642" s="213" t="s">
        <v>2828</v>
      </c>
      <c r="C1642" s="214">
        <v>2019</v>
      </c>
      <c r="D1642" s="214">
        <v>4</v>
      </c>
      <c r="E1642" s="214">
        <v>2</v>
      </c>
    </row>
    <row r="1643" spans="2:5" x14ac:dyDescent="0.25">
      <c r="B1643" s="213" t="s">
        <v>2828</v>
      </c>
      <c r="C1643" s="214">
        <v>2019</v>
      </c>
      <c r="D1643" s="214">
        <v>6</v>
      </c>
      <c r="E1643" s="214">
        <v>2</v>
      </c>
    </row>
    <row r="1644" spans="2:5" x14ac:dyDescent="0.25">
      <c r="B1644" s="213" t="s">
        <v>2828</v>
      </c>
      <c r="C1644" s="214">
        <v>2019</v>
      </c>
      <c r="D1644" s="214">
        <v>3</v>
      </c>
      <c r="E1644" s="214">
        <v>1</v>
      </c>
    </row>
    <row r="1645" spans="2:5" x14ac:dyDescent="0.25">
      <c r="B1645" s="213" t="s">
        <v>2828</v>
      </c>
      <c r="C1645" s="214">
        <v>2019</v>
      </c>
      <c r="D1645" s="214">
        <v>7</v>
      </c>
      <c r="E1645" s="214">
        <v>1</v>
      </c>
    </row>
    <row r="1646" spans="2:5" x14ac:dyDescent="0.25">
      <c r="B1646" s="213" t="s">
        <v>2828</v>
      </c>
      <c r="C1646" s="214">
        <v>2019</v>
      </c>
      <c r="D1646" s="214">
        <v>12</v>
      </c>
      <c r="E1646" s="214">
        <v>1</v>
      </c>
    </row>
    <row r="1647" spans="2:5" x14ac:dyDescent="0.25">
      <c r="B1647" s="213" t="s">
        <v>2829</v>
      </c>
      <c r="C1647" s="214">
        <v>2019</v>
      </c>
      <c r="D1647" s="214">
        <v>3</v>
      </c>
      <c r="E1647" s="214">
        <v>62</v>
      </c>
    </row>
    <row r="1648" spans="2:5" x14ac:dyDescent="0.25">
      <c r="B1648" s="213" t="s">
        <v>2829</v>
      </c>
      <c r="C1648" s="214">
        <v>2019</v>
      </c>
      <c r="D1648" s="214">
        <v>5</v>
      </c>
      <c r="E1648" s="214">
        <v>55</v>
      </c>
    </row>
    <row r="1649" spans="2:5" x14ac:dyDescent="0.25">
      <c r="B1649" s="213" t="s">
        <v>2829</v>
      </c>
      <c r="C1649" s="214">
        <v>2019</v>
      </c>
      <c r="D1649" s="214">
        <v>9</v>
      </c>
      <c r="E1649" s="214">
        <v>54</v>
      </c>
    </row>
    <row r="1650" spans="2:5" x14ac:dyDescent="0.25">
      <c r="B1650" s="213" t="s">
        <v>2829</v>
      </c>
      <c r="C1650" s="214">
        <v>2019</v>
      </c>
      <c r="D1650" s="214">
        <v>10</v>
      </c>
      <c r="E1650" s="214">
        <v>47</v>
      </c>
    </row>
    <row r="1651" spans="2:5" x14ac:dyDescent="0.25">
      <c r="B1651" s="213" t="s">
        <v>2829</v>
      </c>
      <c r="C1651" s="214">
        <v>2019</v>
      </c>
      <c r="D1651" s="214">
        <v>11</v>
      </c>
      <c r="E1651" s="214">
        <v>47</v>
      </c>
    </row>
    <row r="1652" spans="2:5" x14ac:dyDescent="0.25">
      <c r="B1652" s="213" t="s">
        <v>2829</v>
      </c>
      <c r="C1652" s="214">
        <v>2019</v>
      </c>
      <c r="D1652" s="214">
        <v>8</v>
      </c>
      <c r="E1652" s="214">
        <v>44</v>
      </c>
    </row>
    <row r="1653" spans="2:5" x14ac:dyDescent="0.25">
      <c r="B1653" s="213" t="s">
        <v>2829</v>
      </c>
      <c r="C1653" s="214">
        <v>2019</v>
      </c>
      <c r="D1653" s="214">
        <v>4</v>
      </c>
      <c r="E1653" s="214">
        <v>42</v>
      </c>
    </row>
    <row r="1654" spans="2:5" x14ac:dyDescent="0.25">
      <c r="B1654" s="213" t="s">
        <v>2829</v>
      </c>
      <c r="C1654" s="214">
        <v>2019</v>
      </c>
      <c r="D1654" s="214">
        <v>12</v>
      </c>
      <c r="E1654" s="214">
        <v>34</v>
      </c>
    </row>
    <row r="1655" spans="2:5" x14ac:dyDescent="0.25">
      <c r="B1655" s="213" t="s">
        <v>2829</v>
      </c>
      <c r="C1655" s="214">
        <v>2019</v>
      </c>
      <c r="D1655" s="214">
        <v>6</v>
      </c>
      <c r="E1655" s="214">
        <v>28</v>
      </c>
    </row>
    <row r="1656" spans="2:5" x14ac:dyDescent="0.25">
      <c r="B1656" s="213" t="s">
        <v>2829</v>
      </c>
      <c r="C1656" s="214">
        <v>2019</v>
      </c>
      <c r="D1656" s="214">
        <v>7</v>
      </c>
      <c r="E1656" s="214">
        <v>26</v>
      </c>
    </row>
    <row r="1657" spans="2:5" x14ac:dyDescent="0.25">
      <c r="B1657" s="213" t="s">
        <v>2829</v>
      </c>
      <c r="C1657" s="214">
        <v>2019</v>
      </c>
      <c r="D1657" s="214">
        <v>1</v>
      </c>
      <c r="E1657" s="214">
        <v>10</v>
      </c>
    </row>
    <row r="1658" spans="2:5" x14ac:dyDescent="0.25">
      <c r="B1658" s="213" t="s">
        <v>2829</v>
      </c>
      <c r="C1658" s="214">
        <v>2019</v>
      </c>
      <c r="D1658" s="214">
        <v>2</v>
      </c>
      <c r="E1658" s="214">
        <v>3</v>
      </c>
    </row>
    <row r="1659" spans="2:5" x14ac:dyDescent="0.25">
      <c r="B1659" s="213" t="s">
        <v>2830</v>
      </c>
      <c r="C1659" s="214">
        <v>2019</v>
      </c>
      <c r="D1659" s="214">
        <v>4</v>
      </c>
      <c r="E1659" s="214">
        <v>12</v>
      </c>
    </row>
    <row r="1660" spans="2:5" x14ac:dyDescent="0.25">
      <c r="B1660" s="213" t="s">
        <v>2830</v>
      </c>
      <c r="C1660" s="214">
        <v>2019</v>
      </c>
      <c r="D1660" s="214">
        <v>10</v>
      </c>
      <c r="E1660" s="214">
        <v>10</v>
      </c>
    </row>
    <row r="1661" spans="2:5" x14ac:dyDescent="0.25">
      <c r="B1661" s="213" t="s">
        <v>2830</v>
      </c>
      <c r="C1661" s="214">
        <v>2019</v>
      </c>
      <c r="D1661" s="214">
        <v>3</v>
      </c>
      <c r="E1661" s="214">
        <v>8</v>
      </c>
    </row>
    <row r="1662" spans="2:5" x14ac:dyDescent="0.25">
      <c r="B1662" s="213" t="s">
        <v>2830</v>
      </c>
      <c r="C1662" s="214">
        <v>2019</v>
      </c>
      <c r="D1662" s="214">
        <v>1</v>
      </c>
      <c r="E1662" s="214">
        <v>6</v>
      </c>
    </row>
    <row r="1663" spans="2:5" x14ac:dyDescent="0.25">
      <c r="B1663" s="213" t="s">
        <v>2830</v>
      </c>
      <c r="C1663" s="214">
        <v>2019</v>
      </c>
      <c r="D1663" s="214">
        <v>5</v>
      </c>
      <c r="E1663" s="214">
        <v>6</v>
      </c>
    </row>
    <row r="1664" spans="2:5" x14ac:dyDescent="0.25">
      <c r="B1664" s="213" t="s">
        <v>2830</v>
      </c>
      <c r="C1664" s="214">
        <v>2019</v>
      </c>
      <c r="D1664" s="214">
        <v>6</v>
      </c>
      <c r="E1664" s="214">
        <v>5</v>
      </c>
    </row>
    <row r="1665" spans="2:5" x14ac:dyDescent="0.25">
      <c r="B1665" s="213" t="s">
        <v>2830</v>
      </c>
      <c r="C1665" s="214">
        <v>2019</v>
      </c>
      <c r="D1665" s="214">
        <v>9</v>
      </c>
      <c r="E1665" s="214">
        <v>5</v>
      </c>
    </row>
    <row r="1666" spans="2:5" x14ac:dyDescent="0.25">
      <c r="B1666" s="213" t="s">
        <v>2830</v>
      </c>
      <c r="C1666" s="214">
        <v>2019</v>
      </c>
      <c r="D1666" s="214">
        <v>8</v>
      </c>
      <c r="E1666" s="214">
        <v>2</v>
      </c>
    </row>
    <row r="1667" spans="2:5" x14ac:dyDescent="0.25">
      <c r="B1667" s="213" t="s">
        <v>2830</v>
      </c>
      <c r="C1667" s="214">
        <v>2019</v>
      </c>
      <c r="D1667" s="214">
        <v>11</v>
      </c>
      <c r="E1667" s="214">
        <v>2</v>
      </c>
    </row>
    <row r="1668" spans="2:5" x14ac:dyDescent="0.25">
      <c r="B1668" s="213" t="s">
        <v>2830</v>
      </c>
      <c r="C1668" s="214">
        <v>2019</v>
      </c>
      <c r="D1668" s="214">
        <v>12</v>
      </c>
      <c r="E1668" s="214">
        <v>2</v>
      </c>
    </row>
    <row r="1669" spans="2:5" x14ac:dyDescent="0.25">
      <c r="B1669" s="213" t="s">
        <v>2830</v>
      </c>
      <c r="C1669" s="214">
        <v>2019</v>
      </c>
      <c r="D1669" s="214">
        <v>2</v>
      </c>
      <c r="E1669" s="214">
        <v>1</v>
      </c>
    </row>
    <row r="1670" spans="2:5" x14ac:dyDescent="0.25">
      <c r="B1670" s="213" t="s">
        <v>2831</v>
      </c>
      <c r="C1670" s="214">
        <v>2019</v>
      </c>
      <c r="D1670" s="214">
        <v>5</v>
      </c>
      <c r="E1670" s="214">
        <v>8</v>
      </c>
    </row>
    <row r="1671" spans="2:5" x14ac:dyDescent="0.25">
      <c r="B1671" s="213" t="s">
        <v>2831</v>
      </c>
      <c r="C1671" s="214">
        <v>2019</v>
      </c>
      <c r="D1671" s="214">
        <v>8</v>
      </c>
      <c r="E1671" s="214">
        <v>8</v>
      </c>
    </row>
    <row r="1672" spans="2:5" x14ac:dyDescent="0.25">
      <c r="B1672" s="213" t="s">
        <v>2831</v>
      </c>
      <c r="C1672" s="214">
        <v>2019</v>
      </c>
      <c r="D1672" s="214">
        <v>3</v>
      </c>
      <c r="E1672" s="214">
        <v>5</v>
      </c>
    </row>
    <row r="1673" spans="2:5" x14ac:dyDescent="0.25">
      <c r="B1673" s="213" t="s">
        <v>2831</v>
      </c>
      <c r="C1673" s="214">
        <v>2019</v>
      </c>
      <c r="D1673" s="214">
        <v>10</v>
      </c>
      <c r="E1673" s="214">
        <v>4</v>
      </c>
    </row>
    <row r="1674" spans="2:5" x14ac:dyDescent="0.25">
      <c r="B1674" s="213" t="s">
        <v>2831</v>
      </c>
      <c r="C1674" s="214">
        <v>2019</v>
      </c>
      <c r="D1674" s="214">
        <v>7</v>
      </c>
      <c r="E1674" s="214">
        <v>3</v>
      </c>
    </row>
    <row r="1675" spans="2:5" x14ac:dyDescent="0.25">
      <c r="B1675" s="213" t="s">
        <v>2831</v>
      </c>
      <c r="C1675" s="214">
        <v>2019</v>
      </c>
      <c r="D1675" s="214">
        <v>1</v>
      </c>
      <c r="E1675" s="214">
        <v>2</v>
      </c>
    </row>
    <row r="1676" spans="2:5" x14ac:dyDescent="0.25">
      <c r="B1676" s="213" t="s">
        <v>2831</v>
      </c>
      <c r="C1676" s="214">
        <v>2019</v>
      </c>
      <c r="D1676" s="214">
        <v>9</v>
      </c>
      <c r="E1676" s="214">
        <v>2</v>
      </c>
    </row>
    <row r="1677" spans="2:5" x14ac:dyDescent="0.25">
      <c r="B1677" s="213" t="s">
        <v>2831</v>
      </c>
      <c r="C1677" s="214">
        <v>2019</v>
      </c>
      <c r="D1677" s="214">
        <v>2</v>
      </c>
      <c r="E1677" s="214">
        <v>1</v>
      </c>
    </row>
    <row r="1678" spans="2:5" x14ac:dyDescent="0.25">
      <c r="B1678" s="213" t="s">
        <v>2831</v>
      </c>
      <c r="C1678" s="214">
        <v>2019</v>
      </c>
      <c r="D1678" s="214">
        <v>4</v>
      </c>
      <c r="E1678" s="214">
        <v>1</v>
      </c>
    </row>
    <row r="1679" spans="2:5" x14ac:dyDescent="0.25">
      <c r="B1679" s="213" t="s">
        <v>2831</v>
      </c>
      <c r="C1679" s="214">
        <v>2019</v>
      </c>
      <c r="D1679" s="214">
        <v>6</v>
      </c>
      <c r="E1679" s="214">
        <v>1</v>
      </c>
    </row>
    <row r="1680" spans="2:5" x14ac:dyDescent="0.25">
      <c r="B1680" s="213" t="s">
        <v>2831</v>
      </c>
      <c r="C1680" s="214">
        <v>2019</v>
      </c>
      <c r="D1680" s="214">
        <v>11</v>
      </c>
      <c r="E1680" s="214">
        <v>1</v>
      </c>
    </row>
    <row r="1681" spans="2:5" x14ac:dyDescent="0.25">
      <c r="B1681" s="213" t="s">
        <v>2832</v>
      </c>
      <c r="C1681" s="214">
        <v>2019</v>
      </c>
      <c r="D1681" s="214">
        <v>4</v>
      </c>
      <c r="E1681" s="214">
        <v>44</v>
      </c>
    </row>
    <row r="1682" spans="2:5" x14ac:dyDescent="0.25">
      <c r="B1682" s="213" t="s">
        <v>2832</v>
      </c>
      <c r="C1682" s="214">
        <v>2019</v>
      </c>
      <c r="D1682" s="214">
        <v>9</v>
      </c>
      <c r="E1682" s="214">
        <v>18</v>
      </c>
    </row>
    <row r="1683" spans="2:5" x14ac:dyDescent="0.25">
      <c r="B1683" s="213" t="s">
        <v>2832</v>
      </c>
      <c r="C1683" s="214">
        <v>2019</v>
      </c>
      <c r="D1683" s="214">
        <v>8</v>
      </c>
      <c r="E1683" s="214">
        <v>16</v>
      </c>
    </row>
    <row r="1684" spans="2:5" x14ac:dyDescent="0.25">
      <c r="B1684" s="213" t="s">
        <v>2832</v>
      </c>
      <c r="C1684" s="214">
        <v>2019</v>
      </c>
      <c r="D1684" s="214">
        <v>12</v>
      </c>
      <c r="E1684" s="214">
        <v>16</v>
      </c>
    </row>
    <row r="1685" spans="2:5" x14ac:dyDescent="0.25">
      <c r="B1685" s="213" t="s">
        <v>2832</v>
      </c>
      <c r="C1685" s="214">
        <v>2019</v>
      </c>
      <c r="D1685" s="214">
        <v>7</v>
      </c>
      <c r="E1685" s="214">
        <v>14</v>
      </c>
    </row>
    <row r="1686" spans="2:5" x14ac:dyDescent="0.25">
      <c r="B1686" s="213" t="s">
        <v>2832</v>
      </c>
      <c r="C1686" s="214">
        <v>2019</v>
      </c>
      <c r="D1686" s="214">
        <v>5</v>
      </c>
      <c r="E1686" s="214">
        <v>12</v>
      </c>
    </row>
    <row r="1687" spans="2:5" x14ac:dyDescent="0.25">
      <c r="B1687" s="213" t="s">
        <v>2832</v>
      </c>
      <c r="C1687" s="214">
        <v>2019</v>
      </c>
      <c r="D1687" s="214">
        <v>6</v>
      </c>
      <c r="E1687" s="214">
        <v>12</v>
      </c>
    </row>
    <row r="1688" spans="2:5" x14ac:dyDescent="0.25">
      <c r="B1688" s="213" t="s">
        <v>2832</v>
      </c>
      <c r="C1688" s="214">
        <v>2019</v>
      </c>
      <c r="D1688" s="214">
        <v>3</v>
      </c>
      <c r="E1688" s="214">
        <v>11</v>
      </c>
    </row>
    <row r="1689" spans="2:5" x14ac:dyDescent="0.25">
      <c r="B1689" s="213" t="s">
        <v>2832</v>
      </c>
      <c r="C1689" s="214">
        <v>2019</v>
      </c>
      <c r="D1689" s="214">
        <v>11</v>
      </c>
      <c r="E1689" s="214">
        <v>11</v>
      </c>
    </row>
    <row r="1690" spans="2:5" x14ac:dyDescent="0.25">
      <c r="B1690" s="213" t="s">
        <v>2832</v>
      </c>
      <c r="C1690" s="214">
        <v>2019</v>
      </c>
      <c r="D1690" s="214">
        <v>10</v>
      </c>
      <c r="E1690" s="214">
        <v>9</v>
      </c>
    </row>
    <row r="1691" spans="2:5" x14ac:dyDescent="0.25">
      <c r="B1691" s="213" t="s">
        <v>2832</v>
      </c>
      <c r="C1691" s="214">
        <v>2019</v>
      </c>
      <c r="D1691" s="214">
        <v>1</v>
      </c>
      <c r="E1691" s="214">
        <v>7</v>
      </c>
    </row>
    <row r="1692" spans="2:5" x14ac:dyDescent="0.25">
      <c r="B1692" s="213" t="s">
        <v>2833</v>
      </c>
      <c r="C1692" s="214">
        <v>2019</v>
      </c>
      <c r="D1692" s="214">
        <v>8</v>
      </c>
      <c r="E1692" s="214">
        <v>24</v>
      </c>
    </row>
    <row r="1693" spans="2:5" x14ac:dyDescent="0.25">
      <c r="B1693" s="213" t="s">
        <v>2833</v>
      </c>
      <c r="C1693" s="214">
        <v>2019</v>
      </c>
      <c r="D1693" s="214">
        <v>5</v>
      </c>
      <c r="E1693" s="214">
        <v>14</v>
      </c>
    </row>
    <row r="1694" spans="2:5" x14ac:dyDescent="0.25">
      <c r="B1694" s="213" t="s">
        <v>2833</v>
      </c>
      <c r="C1694" s="214">
        <v>2019</v>
      </c>
      <c r="D1694" s="214">
        <v>4</v>
      </c>
      <c r="E1694" s="214">
        <v>13</v>
      </c>
    </row>
    <row r="1695" spans="2:5" x14ac:dyDescent="0.25">
      <c r="B1695" s="213" t="s">
        <v>2833</v>
      </c>
      <c r="C1695" s="214">
        <v>2019</v>
      </c>
      <c r="D1695" s="214">
        <v>7</v>
      </c>
      <c r="E1695" s="214">
        <v>11</v>
      </c>
    </row>
    <row r="1696" spans="2:5" x14ac:dyDescent="0.25">
      <c r="B1696" s="213" t="s">
        <v>2833</v>
      </c>
      <c r="C1696" s="214">
        <v>2019</v>
      </c>
      <c r="D1696" s="214">
        <v>11</v>
      </c>
      <c r="E1696" s="214">
        <v>8</v>
      </c>
    </row>
    <row r="1697" spans="2:5" x14ac:dyDescent="0.25">
      <c r="B1697" s="213" t="s">
        <v>2833</v>
      </c>
      <c r="C1697" s="214">
        <v>2019</v>
      </c>
      <c r="D1697" s="214">
        <v>6</v>
      </c>
      <c r="E1697" s="214">
        <v>6</v>
      </c>
    </row>
    <row r="1698" spans="2:5" x14ac:dyDescent="0.25">
      <c r="B1698" s="213" t="s">
        <v>2833</v>
      </c>
      <c r="C1698" s="214">
        <v>2019</v>
      </c>
      <c r="D1698" s="214">
        <v>1</v>
      </c>
      <c r="E1698" s="214">
        <v>5</v>
      </c>
    </row>
    <row r="1699" spans="2:5" x14ac:dyDescent="0.25">
      <c r="B1699" s="213" t="s">
        <v>2833</v>
      </c>
      <c r="C1699" s="214">
        <v>2019</v>
      </c>
      <c r="D1699" s="214">
        <v>3</v>
      </c>
      <c r="E1699" s="214">
        <v>5</v>
      </c>
    </row>
    <row r="1700" spans="2:5" x14ac:dyDescent="0.25">
      <c r="B1700" s="213" t="s">
        <v>2833</v>
      </c>
      <c r="C1700" s="214">
        <v>2019</v>
      </c>
      <c r="D1700" s="214">
        <v>9</v>
      </c>
      <c r="E1700" s="214">
        <v>5</v>
      </c>
    </row>
    <row r="1701" spans="2:5" x14ac:dyDescent="0.25">
      <c r="B1701" s="213" t="s">
        <v>2833</v>
      </c>
      <c r="C1701" s="214">
        <v>2019</v>
      </c>
      <c r="D1701" s="214">
        <v>10</v>
      </c>
      <c r="E1701" s="214">
        <v>5</v>
      </c>
    </row>
    <row r="1702" spans="2:5" x14ac:dyDescent="0.25">
      <c r="B1702" s="213" t="s">
        <v>2833</v>
      </c>
      <c r="C1702" s="214">
        <v>2019</v>
      </c>
      <c r="D1702" s="214">
        <v>2</v>
      </c>
      <c r="E1702" s="214">
        <v>3</v>
      </c>
    </row>
    <row r="1703" spans="2:5" x14ac:dyDescent="0.25">
      <c r="B1703" s="213" t="s">
        <v>2833</v>
      </c>
      <c r="C1703" s="214">
        <v>2019</v>
      </c>
      <c r="D1703" s="214">
        <v>12</v>
      </c>
      <c r="E1703" s="214">
        <v>1</v>
      </c>
    </row>
    <row r="1704" spans="2:5" x14ac:dyDescent="0.25">
      <c r="B1704" s="213" t="s">
        <v>2920</v>
      </c>
      <c r="C1704" s="214">
        <v>2019</v>
      </c>
      <c r="D1704" s="214">
        <v>11</v>
      </c>
      <c r="E1704" s="214">
        <v>11</v>
      </c>
    </row>
    <row r="1705" spans="2:5" x14ac:dyDescent="0.25">
      <c r="B1705" s="213" t="s">
        <v>2920</v>
      </c>
      <c r="C1705" s="214">
        <v>2019</v>
      </c>
      <c r="D1705" s="214">
        <v>6</v>
      </c>
      <c r="E1705" s="214">
        <v>7</v>
      </c>
    </row>
    <row r="1706" spans="2:5" x14ac:dyDescent="0.25">
      <c r="B1706" s="213" t="s">
        <v>2920</v>
      </c>
      <c r="C1706" s="214">
        <v>2019</v>
      </c>
      <c r="D1706" s="214">
        <v>10</v>
      </c>
      <c r="E1706" s="214">
        <v>5</v>
      </c>
    </row>
    <row r="1707" spans="2:5" x14ac:dyDescent="0.25">
      <c r="B1707" s="213" t="s">
        <v>2920</v>
      </c>
      <c r="C1707" s="214">
        <v>2019</v>
      </c>
      <c r="D1707" s="214">
        <v>5</v>
      </c>
      <c r="E1707" s="214">
        <v>4</v>
      </c>
    </row>
    <row r="1708" spans="2:5" x14ac:dyDescent="0.25">
      <c r="B1708" s="213" t="s">
        <v>2920</v>
      </c>
      <c r="C1708" s="214">
        <v>2019</v>
      </c>
      <c r="D1708" s="214">
        <v>7</v>
      </c>
      <c r="E1708" s="214">
        <v>4</v>
      </c>
    </row>
    <row r="1709" spans="2:5" x14ac:dyDescent="0.25">
      <c r="B1709" s="213" t="s">
        <v>2920</v>
      </c>
      <c r="C1709" s="214">
        <v>2019</v>
      </c>
      <c r="D1709" s="214">
        <v>8</v>
      </c>
      <c r="E1709" s="214">
        <v>4</v>
      </c>
    </row>
    <row r="1710" spans="2:5" x14ac:dyDescent="0.25">
      <c r="B1710" s="213" t="s">
        <v>2920</v>
      </c>
      <c r="C1710" s="214">
        <v>2019</v>
      </c>
      <c r="D1710" s="214">
        <v>9</v>
      </c>
      <c r="E1710" s="214">
        <v>3</v>
      </c>
    </row>
    <row r="1711" spans="2:5" x14ac:dyDescent="0.25">
      <c r="B1711" s="213" t="s">
        <v>2920</v>
      </c>
      <c r="C1711" s="214">
        <v>2019</v>
      </c>
      <c r="D1711" s="214">
        <v>12</v>
      </c>
      <c r="E1711" s="214">
        <v>3</v>
      </c>
    </row>
    <row r="1712" spans="2:5" x14ac:dyDescent="0.25">
      <c r="B1712" s="213" t="s">
        <v>2920</v>
      </c>
      <c r="C1712" s="214">
        <v>2019</v>
      </c>
      <c r="D1712" s="214">
        <v>3</v>
      </c>
      <c r="E1712" s="214">
        <v>2</v>
      </c>
    </row>
    <row r="1713" spans="2:5" x14ac:dyDescent="0.25">
      <c r="B1713" s="213" t="s">
        <v>2920</v>
      </c>
      <c r="C1713" s="214">
        <v>2019</v>
      </c>
      <c r="D1713" s="214">
        <v>1</v>
      </c>
      <c r="E1713" s="214">
        <v>1</v>
      </c>
    </row>
    <row r="1714" spans="2:5" x14ac:dyDescent="0.25">
      <c r="B1714" s="213" t="s">
        <v>2933</v>
      </c>
      <c r="C1714" s="214">
        <v>2019</v>
      </c>
      <c r="D1714" s="214">
        <v>2</v>
      </c>
      <c r="E1714" s="214">
        <v>4</v>
      </c>
    </row>
    <row r="1715" spans="2:5" x14ac:dyDescent="0.25">
      <c r="B1715" s="213" t="s">
        <v>2933</v>
      </c>
      <c r="C1715" s="214">
        <v>2019</v>
      </c>
      <c r="D1715" s="214">
        <v>10</v>
      </c>
      <c r="E1715" s="214">
        <v>4</v>
      </c>
    </row>
    <row r="1716" spans="2:5" x14ac:dyDescent="0.25">
      <c r="B1716" s="213" t="s">
        <v>2933</v>
      </c>
      <c r="C1716" s="214">
        <v>2019</v>
      </c>
      <c r="D1716" s="214">
        <v>1</v>
      </c>
      <c r="E1716" s="214">
        <v>2</v>
      </c>
    </row>
    <row r="1717" spans="2:5" x14ac:dyDescent="0.25">
      <c r="B1717" s="213" t="s">
        <v>2933</v>
      </c>
      <c r="C1717" s="214">
        <v>2019</v>
      </c>
      <c r="D1717" s="214">
        <v>6</v>
      </c>
      <c r="E1717" s="214">
        <v>2</v>
      </c>
    </row>
    <row r="1718" spans="2:5" x14ac:dyDescent="0.25">
      <c r="B1718" s="213" t="s">
        <v>2933</v>
      </c>
      <c r="C1718" s="214">
        <v>2019</v>
      </c>
      <c r="D1718" s="214">
        <v>12</v>
      </c>
      <c r="E1718" s="214">
        <v>2</v>
      </c>
    </row>
    <row r="1719" spans="2:5" x14ac:dyDescent="0.25">
      <c r="B1719" s="213" t="s">
        <v>2933</v>
      </c>
      <c r="C1719" s="214">
        <v>2019</v>
      </c>
      <c r="D1719" s="214">
        <v>3</v>
      </c>
      <c r="E1719" s="214">
        <v>1</v>
      </c>
    </row>
    <row r="1720" spans="2:5" x14ac:dyDescent="0.25">
      <c r="B1720" s="213" t="s">
        <v>2933</v>
      </c>
      <c r="C1720" s="214">
        <v>2019</v>
      </c>
      <c r="D1720" s="214">
        <v>4</v>
      </c>
      <c r="E1720" s="214">
        <v>1</v>
      </c>
    </row>
    <row r="1721" spans="2:5" x14ac:dyDescent="0.25">
      <c r="B1721" s="213" t="s">
        <v>2933</v>
      </c>
      <c r="C1721" s="214">
        <v>2019</v>
      </c>
      <c r="D1721" s="214">
        <v>7</v>
      </c>
      <c r="E1721" s="214">
        <v>1</v>
      </c>
    </row>
    <row r="1722" spans="2:5" x14ac:dyDescent="0.25">
      <c r="B1722" s="213" t="s">
        <v>2933</v>
      </c>
      <c r="C1722" s="214">
        <v>2019</v>
      </c>
      <c r="D1722" s="214">
        <v>8</v>
      </c>
      <c r="E1722" s="214">
        <v>1</v>
      </c>
    </row>
    <row r="1723" spans="2:5" x14ac:dyDescent="0.25">
      <c r="B1723" s="213" t="s">
        <v>2933</v>
      </c>
      <c r="C1723" s="214">
        <v>2019</v>
      </c>
      <c r="D1723" s="214">
        <v>9</v>
      </c>
      <c r="E1723" s="214">
        <v>1</v>
      </c>
    </row>
    <row r="1724" spans="2:5" x14ac:dyDescent="0.25">
      <c r="B1724" s="213" t="s">
        <v>2933</v>
      </c>
      <c r="C1724" s="214">
        <v>2019</v>
      </c>
      <c r="D1724" s="214">
        <v>11</v>
      </c>
      <c r="E1724" s="214">
        <v>1</v>
      </c>
    </row>
    <row r="1725" spans="2:5" x14ac:dyDescent="0.25">
      <c r="B1725" s="213" t="s">
        <v>2939</v>
      </c>
      <c r="C1725" s="214">
        <v>2019</v>
      </c>
      <c r="D1725" s="214">
        <v>3</v>
      </c>
      <c r="E1725" s="214">
        <v>6</v>
      </c>
    </row>
    <row r="1726" spans="2:5" x14ac:dyDescent="0.25">
      <c r="B1726" s="213" t="s">
        <v>2939</v>
      </c>
      <c r="C1726" s="214">
        <v>2019</v>
      </c>
      <c r="D1726" s="214">
        <v>8</v>
      </c>
      <c r="E1726" s="214">
        <v>2</v>
      </c>
    </row>
    <row r="1727" spans="2:5" x14ac:dyDescent="0.25">
      <c r="B1727" s="213" t="s">
        <v>2939</v>
      </c>
      <c r="C1727" s="214">
        <v>2019</v>
      </c>
      <c r="D1727" s="214">
        <v>11</v>
      </c>
      <c r="E1727" s="214">
        <v>2</v>
      </c>
    </row>
    <row r="1728" spans="2:5" x14ac:dyDescent="0.25">
      <c r="B1728" s="213" t="s">
        <v>2939</v>
      </c>
      <c r="C1728" s="214">
        <v>2019</v>
      </c>
      <c r="D1728" s="214">
        <v>4</v>
      </c>
      <c r="E1728" s="214">
        <v>1</v>
      </c>
    </row>
    <row r="1729" spans="2:5" x14ac:dyDescent="0.25">
      <c r="B1729" s="213" t="s">
        <v>2939</v>
      </c>
      <c r="C1729" s="214">
        <v>2019</v>
      </c>
      <c r="D1729" s="214">
        <v>6</v>
      </c>
      <c r="E1729" s="214">
        <v>1</v>
      </c>
    </row>
    <row r="1730" spans="2:5" x14ac:dyDescent="0.25">
      <c r="B1730" s="213" t="s">
        <v>2939</v>
      </c>
      <c r="C1730" s="214">
        <v>2019</v>
      </c>
      <c r="D1730" s="214">
        <v>7</v>
      </c>
      <c r="E1730" s="214">
        <v>1</v>
      </c>
    </row>
    <row r="1731" spans="2:5" x14ac:dyDescent="0.25">
      <c r="B1731" s="213" t="s">
        <v>2834</v>
      </c>
      <c r="C1731" s="214">
        <v>2019</v>
      </c>
      <c r="D1731" s="214">
        <v>10</v>
      </c>
      <c r="E1731" s="214">
        <v>91</v>
      </c>
    </row>
    <row r="1732" spans="2:5" x14ac:dyDescent="0.25">
      <c r="B1732" s="213" t="s">
        <v>2834</v>
      </c>
      <c r="C1732" s="214">
        <v>2019</v>
      </c>
      <c r="D1732" s="214">
        <v>2</v>
      </c>
      <c r="E1732" s="214">
        <v>63</v>
      </c>
    </row>
    <row r="1733" spans="2:5" x14ac:dyDescent="0.25">
      <c r="B1733" s="213" t="s">
        <v>2834</v>
      </c>
      <c r="C1733" s="214">
        <v>2019</v>
      </c>
      <c r="D1733" s="214">
        <v>8</v>
      </c>
      <c r="E1733" s="214">
        <v>55</v>
      </c>
    </row>
    <row r="1734" spans="2:5" x14ac:dyDescent="0.25">
      <c r="B1734" s="213" t="s">
        <v>2834</v>
      </c>
      <c r="C1734" s="214">
        <v>2019</v>
      </c>
      <c r="D1734" s="214">
        <v>4</v>
      </c>
      <c r="E1734" s="214">
        <v>52</v>
      </c>
    </row>
    <row r="1735" spans="2:5" x14ac:dyDescent="0.25">
      <c r="B1735" s="213" t="s">
        <v>2834</v>
      </c>
      <c r="C1735" s="214">
        <v>2019</v>
      </c>
      <c r="D1735" s="214">
        <v>3</v>
      </c>
      <c r="E1735" s="214">
        <v>51</v>
      </c>
    </row>
    <row r="1736" spans="2:5" x14ac:dyDescent="0.25">
      <c r="B1736" s="213" t="s">
        <v>2834</v>
      </c>
      <c r="C1736" s="214">
        <v>2019</v>
      </c>
      <c r="D1736" s="214">
        <v>11</v>
      </c>
      <c r="E1736" s="214">
        <v>30</v>
      </c>
    </row>
    <row r="1737" spans="2:5" x14ac:dyDescent="0.25">
      <c r="B1737" s="213" t="s">
        <v>2834</v>
      </c>
      <c r="C1737" s="214">
        <v>2019</v>
      </c>
      <c r="D1737" s="214">
        <v>7</v>
      </c>
      <c r="E1737" s="214">
        <v>27</v>
      </c>
    </row>
    <row r="1738" spans="2:5" x14ac:dyDescent="0.25">
      <c r="B1738" s="213" t="s">
        <v>2834</v>
      </c>
      <c r="C1738" s="214">
        <v>2019</v>
      </c>
      <c r="D1738" s="214">
        <v>1</v>
      </c>
      <c r="E1738" s="214">
        <v>24</v>
      </c>
    </row>
    <row r="1739" spans="2:5" x14ac:dyDescent="0.25">
      <c r="B1739" s="213" t="s">
        <v>2834</v>
      </c>
      <c r="C1739" s="214">
        <v>2019</v>
      </c>
      <c r="D1739" s="214">
        <v>5</v>
      </c>
      <c r="E1739" s="214">
        <v>22</v>
      </c>
    </row>
    <row r="1740" spans="2:5" x14ac:dyDescent="0.25">
      <c r="B1740" s="213" t="s">
        <v>2834</v>
      </c>
      <c r="C1740" s="214">
        <v>2019</v>
      </c>
      <c r="D1740" s="214">
        <v>9</v>
      </c>
      <c r="E1740" s="214">
        <v>22</v>
      </c>
    </row>
    <row r="1741" spans="2:5" x14ac:dyDescent="0.25">
      <c r="B1741" s="213" t="s">
        <v>2834</v>
      </c>
      <c r="C1741" s="214">
        <v>2019</v>
      </c>
      <c r="D1741" s="214">
        <v>6</v>
      </c>
      <c r="E1741" s="214">
        <v>18</v>
      </c>
    </row>
    <row r="1742" spans="2:5" x14ac:dyDescent="0.25">
      <c r="B1742" s="213" t="s">
        <v>2834</v>
      </c>
      <c r="C1742" s="214">
        <v>2019</v>
      </c>
      <c r="D1742" s="214">
        <v>12</v>
      </c>
      <c r="E1742" s="214">
        <v>4</v>
      </c>
    </row>
    <row r="1743" spans="2:5" x14ac:dyDescent="0.25">
      <c r="B1743" s="213" t="s">
        <v>2835</v>
      </c>
      <c r="C1743" s="214">
        <v>2019</v>
      </c>
      <c r="D1743" s="214">
        <v>10</v>
      </c>
      <c r="E1743" s="214">
        <v>55</v>
      </c>
    </row>
    <row r="1744" spans="2:5" x14ac:dyDescent="0.25">
      <c r="B1744" s="213" t="s">
        <v>2835</v>
      </c>
      <c r="C1744" s="214">
        <v>2019</v>
      </c>
      <c r="D1744" s="214">
        <v>12</v>
      </c>
      <c r="E1744" s="214">
        <v>43</v>
      </c>
    </row>
    <row r="1745" spans="2:5" x14ac:dyDescent="0.25">
      <c r="B1745" s="213" t="s">
        <v>2835</v>
      </c>
      <c r="C1745" s="214">
        <v>2019</v>
      </c>
      <c r="D1745" s="214">
        <v>6</v>
      </c>
      <c r="E1745" s="214">
        <v>20</v>
      </c>
    </row>
    <row r="1746" spans="2:5" x14ac:dyDescent="0.25">
      <c r="B1746" s="213" t="s">
        <v>2835</v>
      </c>
      <c r="C1746" s="214">
        <v>2019</v>
      </c>
      <c r="D1746" s="214">
        <v>5</v>
      </c>
      <c r="E1746" s="214">
        <v>19</v>
      </c>
    </row>
    <row r="1747" spans="2:5" x14ac:dyDescent="0.25">
      <c r="B1747" s="213" t="s">
        <v>2835</v>
      </c>
      <c r="C1747" s="214">
        <v>2019</v>
      </c>
      <c r="D1747" s="214">
        <v>2</v>
      </c>
      <c r="E1747" s="214">
        <v>18</v>
      </c>
    </row>
    <row r="1748" spans="2:5" x14ac:dyDescent="0.25">
      <c r="B1748" s="213" t="s">
        <v>2835</v>
      </c>
      <c r="C1748" s="214">
        <v>2019</v>
      </c>
      <c r="D1748" s="214">
        <v>8</v>
      </c>
      <c r="E1748" s="214">
        <v>17</v>
      </c>
    </row>
    <row r="1749" spans="2:5" x14ac:dyDescent="0.25">
      <c r="B1749" s="213" t="s">
        <v>2835</v>
      </c>
      <c r="C1749" s="214">
        <v>2019</v>
      </c>
      <c r="D1749" s="214">
        <v>7</v>
      </c>
      <c r="E1749" s="214">
        <v>14</v>
      </c>
    </row>
    <row r="1750" spans="2:5" x14ac:dyDescent="0.25">
      <c r="B1750" s="213" t="s">
        <v>2835</v>
      </c>
      <c r="C1750" s="214">
        <v>2019</v>
      </c>
      <c r="D1750" s="214">
        <v>4</v>
      </c>
      <c r="E1750" s="214">
        <v>11</v>
      </c>
    </row>
    <row r="1751" spans="2:5" x14ac:dyDescent="0.25">
      <c r="B1751" s="213" t="s">
        <v>2835</v>
      </c>
      <c r="C1751" s="214">
        <v>2019</v>
      </c>
      <c r="D1751" s="214">
        <v>9</v>
      </c>
      <c r="E1751" s="214">
        <v>10</v>
      </c>
    </row>
    <row r="1752" spans="2:5" x14ac:dyDescent="0.25">
      <c r="B1752" s="213" t="s">
        <v>2835</v>
      </c>
      <c r="C1752" s="214">
        <v>2019</v>
      </c>
      <c r="D1752" s="214">
        <v>1</v>
      </c>
      <c r="E1752" s="214">
        <v>8</v>
      </c>
    </row>
    <row r="1753" spans="2:5" x14ac:dyDescent="0.25">
      <c r="B1753" s="213" t="s">
        <v>2835</v>
      </c>
      <c r="C1753" s="214">
        <v>2019</v>
      </c>
      <c r="D1753" s="214">
        <v>11</v>
      </c>
      <c r="E1753" s="214">
        <v>8</v>
      </c>
    </row>
    <row r="1754" spans="2:5" x14ac:dyDescent="0.25">
      <c r="B1754" s="213" t="s">
        <v>2835</v>
      </c>
      <c r="C1754" s="214">
        <v>2019</v>
      </c>
      <c r="D1754" s="214">
        <v>3</v>
      </c>
      <c r="E1754" s="214">
        <v>2</v>
      </c>
    </row>
    <row r="1755" spans="2:5" x14ac:dyDescent="0.25">
      <c r="B1755" s="213" t="s">
        <v>2836</v>
      </c>
      <c r="C1755" s="214">
        <v>2019</v>
      </c>
      <c r="D1755" s="214">
        <v>3</v>
      </c>
      <c r="E1755" s="214">
        <v>98</v>
      </c>
    </row>
    <row r="1756" spans="2:5" x14ac:dyDescent="0.25">
      <c r="B1756" s="213" t="s">
        <v>2836</v>
      </c>
      <c r="C1756" s="214">
        <v>2019</v>
      </c>
      <c r="D1756" s="214">
        <v>9</v>
      </c>
      <c r="E1756" s="214">
        <v>71</v>
      </c>
    </row>
    <row r="1757" spans="2:5" x14ac:dyDescent="0.25">
      <c r="B1757" s="213" t="s">
        <v>2836</v>
      </c>
      <c r="C1757" s="214">
        <v>2019</v>
      </c>
      <c r="D1757" s="214">
        <v>2</v>
      </c>
      <c r="E1757" s="214">
        <v>67</v>
      </c>
    </row>
    <row r="1758" spans="2:5" x14ac:dyDescent="0.25">
      <c r="B1758" s="213" t="s">
        <v>2836</v>
      </c>
      <c r="C1758" s="214">
        <v>2019</v>
      </c>
      <c r="D1758" s="214">
        <v>8</v>
      </c>
      <c r="E1758" s="214">
        <v>63</v>
      </c>
    </row>
    <row r="1759" spans="2:5" x14ac:dyDescent="0.25">
      <c r="B1759" s="213" t="s">
        <v>2836</v>
      </c>
      <c r="C1759" s="214">
        <v>2019</v>
      </c>
      <c r="D1759" s="214">
        <v>4</v>
      </c>
      <c r="E1759" s="214">
        <v>59</v>
      </c>
    </row>
    <row r="1760" spans="2:5" x14ac:dyDescent="0.25">
      <c r="B1760" s="213" t="s">
        <v>2836</v>
      </c>
      <c r="C1760" s="214">
        <v>2019</v>
      </c>
      <c r="D1760" s="214">
        <v>10</v>
      </c>
      <c r="E1760" s="214">
        <v>59</v>
      </c>
    </row>
    <row r="1761" spans="2:5" x14ac:dyDescent="0.25">
      <c r="B1761" s="213" t="s">
        <v>2836</v>
      </c>
      <c r="C1761" s="214">
        <v>2019</v>
      </c>
      <c r="D1761" s="214">
        <v>11</v>
      </c>
      <c r="E1761" s="214">
        <v>50</v>
      </c>
    </row>
    <row r="1762" spans="2:5" x14ac:dyDescent="0.25">
      <c r="B1762" s="213" t="s">
        <v>2836</v>
      </c>
      <c r="C1762" s="214">
        <v>2019</v>
      </c>
      <c r="D1762" s="214">
        <v>12</v>
      </c>
      <c r="E1762" s="214">
        <v>50</v>
      </c>
    </row>
    <row r="1763" spans="2:5" x14ac:dyDescent="0.25">
      <c r="B1763" s="213" t="s">
        <v>2836</v>
      </c>
      <c r="C1763" s="214">
        <v>2019</v>
      </c>
      <c r="D1763" s="214">
        <v>1</v>
      </c>
      <c r="E1763" s="214">
        <v>47</v>
      </c>
    </row>
    <row r="1764" spans="2:5" x14ac:dyDescent="0.25">
      <c r="B1764" s="213" t="s">
        <v>2836</v>
      </c>
      <c r="C1764" s="214">
        <v>2019</v>
      </c>
      <c r="D1764" s="214">
        <v>6</v>
      </c>
      <c r="E1764" s="214">
        <v>45</v>
      </c>
    </row>
    <row r="1765" spans="2:5" x14ac:dyDescent="0.25">
      <c r="B1765" s="213" t="s">
        <v>2836</v>
      </c>
      <c r="C1765" s="214">
        <v>2019</v>
      </c>
      <c r="D1765" s="214">
        <v>7</v>
      </c>
      <c r="E1765" s="214">
        <v>37</v>
      </c>
    </row>
    <row r="1766" spans="2:5" x14ac:dyDescent="0.25">
      <c r="B1766" s="213" t="s">
        <v>2836</v>
      </c>
      <c r="C1766" s="214">
        <v>2019</v>
      </c>
      <c r="D1766" s="214">
        <v>5</v>
      </c>
      <c r="E1766" s="214">
        <v>27</v>
      </c>
    </row>
    <row r="1767" spans="2:5" x14ac:dyDescent="0.25">
      <c r="B1767" s="213" t="s">
        <v>2837</v>
      </c>
      <c r="C1767" s="214">
        <v>2019</v>
      </c>
      <c r="D1767" s="214">
        <v>6</v>
      </c>
      <c r="E1767" s="214">
        <v>1</v>
      </c>
    </row>
    <row r="1768" spans="2:5" x14ac:dyDescent="0.25">
      <c r="B1768" s="213" t="s">
        <v>2896</v>
      </c>
      <c r="C1768" s="214">
        <v>2019</v>
      </c>
      <c r="D1768" s="214">
        <v>4</v>
      </c>
      <c r="E1768" s="214">
        <v>45</v>
      </c>
    </row>
    <row r="1769" spans="2:5" x14ac:dyDescent="0.25">
      <c r="B1769" s="213" t="s">
        <v>2896</v>
      </c>
      <c r="C1769" s="214">
        <v>2019</v>
      </c>
      <c r="D1769" s="214">
        <v>5</v>
      </c>
      <c r="E1769" s="214">
        <v>43</v>
      </c>
    </row>
    <row r="1770" spans="2:5" x14ac:dyDescent="0.25">
      <c r="B1770" s="213" t="s">
        <v>2896</v>
      </c>
      <c r="C1770" s="214">
        <v>2019</v>
      </c>
      <c r="D1770" s="214">
        <v>7</v>
      </c>
      <c r="E1770" s="214">
        <v>32</v>
      </c>
    </row>
    <row r="1771" spans="2:5" x14ac:dyDescent="0.25">
      <c r="B1771" s="213" t="s">
        <v>2896</v>
      </c>
      <c r="C1771" s="214">
        <v>2019</v>
      </c>
      <c r="D1771" s="214">
        <v>6</v>
      </c>
      <c r="E1771" s="214">
        <v>21</v>
      </c>
    </row>
    <row r="1772" spans="2:5" x14ac:dyDescent="0.25">
      <c r="B1772" s="213" t="s">
        <v>2896</v>
      </c>
      <c r="C1772" s="214">
        <v>2019</v>
      </c>
      <c r="D1772" s="214">
        <v>11</v>
      </c>
      <c r="E1772" s="214">
        <v>20</v>
      </c>
    </row>
    <row r="1773" spans="2:5" x14ac:dyDescent="0.25">
      <c r="B1773" s="213" t="s">
        <v>2896</v>
      </c>
      <c r="C1773" s="214">
        <v>2019</v>
      </c>
      <c r="D1773" s="214">
        <v>8</v>
      </c>
      <c r="E1773" s="214">
        <v>18</v>
      </c>
    </row>
    <row r="1774" spans="2:5" x14ac:dyDescent="0.25">
      <c r="B1774" s="213" t="s">
        <v>2896</v>
      </c>
      <c r="C1774" s="214">
        <v>2019</v>
      </c>
      <c r="D1774" s="214">
        <v>2</v>
      </c>
      <c r="E1774" s="214">
        <v>7</v>
      </c>
    </row>
    <row r="1775" spans="2:5" x14ac:dyDescent="0.25">
      <c r="B1775" s="213" t="s">
        <v>2896</v>
      </c>
      <c r="C1775" s="214">
        <v>2019</v>
      </c>
      <c r="D1775" s="214">
        <v>9</v>
      </c>
      <c r="E1775" s="214">
        <v>7</v>
      </c>
    </row>
    <row r="1776" spans="2:5" x14ac:dyDescent="0.25">
      <c r="B1776" s="213" t="s">
        <v>2896</v>
      </c>
      <c r="C1776" s="214">
        <v>2019</v>
      </c>
      <c r="D1776" s="214">
        <v>10</v>
      </c>
      <c r="E1776" s="214">
        <v>3</v>
      </c>
    </row>
    <row r="1777" spans="2:5" x14ac:dyDescent="0.25">
      <c r="B1777" s="213" t="s">
        <v>2896</v>
      </c>
      <c r="C1777" s="214">
        <v>2019</v>
      </c>
      <c r="D1777" s="214">
        <v>12</v>
      </c>
      <c r="E1777" s="214">
        <v>3</v>
      </c>
    </row>
    <row r="1778" spans="2:5" x14ac:dyDescent="0.25">
      <c r="B1778" s="213" t="s">
        <v>2896</v>
      </c>
      <c r="C1778" s="214">
        <v>2019</v>
      </c>
      <c r="D1778" s="214">
        <v>1</v>
      </c>
      <c r="E1778" s="214">
        <v>2</v>
      </c>
    </row>
    <row r="1779" spans="2:5" x14ac:dyDescent="0.25">
      <c r="B1779" s="213" t="s">
        <v>2896</v>
      </c>
      <c r="C1779" s="214">
        <v>2019</v>
      </c>
      <c r="D1779" s="214">
        <v>3</v>
      </c>
      <c r="E1779" s="214">
        <v>1</v>
      </c>
    </row>
    <row r="1780" spans="2:5" x14ac:dyDescent="0.25">
      <c r="B1780" s="213" t="s">
        <v>986</v>
      </c>
      <c r="C1780" s="214">
        <v>2019</v>
      </c>
      <c r="D1780" s="214">
        <v>10</v>
      </c>
      <c r="E1780" s="214">
        <v>419</v>
      </c>
    </row>
    <row r="1781" spans="2:5" x14ac:dyDescent="0.25">
      <c r="B1781" s="213" t="s">
        <v>986</v>
      </c>
      <c r="C1781" s="214">
        <v>2019</v>
      </c>
      <c r="D1781" s="214">
        <v>4</v>
      </c>
      <c r="E1781" s="214">
        <v>414</v>
      </c>
    </row>
    <row r="1782" spans="2:5" x14ac:dyDescent="0.25">
      <c r="B1782" s="213" t="s">
        <v>986</v>
      </c>
      <c r="C1782" s="214">
        <v>2019</v>
      </c>
      <c r="D1782" s="214">
        <v>5</v>
      </c>
      <c r="E1782" s="214">
        <v>362</v>
      </c>
    </row>
    <row r="1783" spans="2:5" x14ac:dyDescent="0.25">
      <c r="B1783" s="213" t="s">
        <v>986</v>
      </c>
      <c r="C1783" s="214">
        <v>2019</v>
      </c>
      <c r="D1783" s="214">
        <v>8</v>
      </c>
      <c r="E1783" s="214">
        <v>308</v>
      </c>
    </row>
    <row r="1784" spans="2:5" x14ac:dyDescent="0.25">
      <c r="B1784" s="213" t="s">
        <v>986</v>
      </c>
      <c r="C1784" s="214">
        <v>2019</v>
      </c>
      <c r="D1784" s="214">
        <v>1</v>
      </c>
      <c r="E1784" s="214">
        <v>303</v>
      </c>
    </row>
    <row r="1785" spans="2:5" x14ac:dyDescent="0.25">
      <c r="B1785" s="213" t="s">
        <v>986</v>
      </c>
      <c r="C1785" s="214">
        <v>2019</v>
      </c>
      <c r="D1785" s="214">
        <v>9</v>
      </c>
      <c r="E1785" s="214">
        <v>300</v>
      </c>
    </row>
    <row r="1786" spans="2:5" x14ac:dyDescent="0.25">
      <c r="B1786" s="213" t="s">
        <v>986</v>
      </c>
      <c r="C1786" s="214">
        <v>2019</v>
      </c>
      <c r="D1786" s="214">
        <v>3</v>
      </c>
      <c r="E1786" s="214">
        <v>289</v>
      </c>
    </row>
    <row r="1787" spans="2:5" x14ac:dyDescent="0.25">
      <c r="B1787" s="213" t="s">
        <v>986</v>
      </c>
      <c r="C1787" s="214">
        <v>2019</v>
      </c>
      <c r="D1787" s="214">
        <v>11</v>
      </c>
      <c r="E1787" s="214">
        <v>280</v>
      </c>
    </row>
    <row r="1788" spans="2:5" x14ac:dyDescent="0.25">
      <c r="B1788" s="213" t="s">
        <v>986</v>
      </c>
      <c r="C1788" s="214">
        <v>2019</v>
      </c>
      <c r="D1788" s="214">
        <v>2</v>
      </c>
      <c r="E1788" s="214">
        <v>259</v>
      </c>
    </row>
    <row r="1789" spans="2:5" x14ac:dyDescent="0.25">
      <c r="B1789" s="213" t="s">
        <v>986</v>
      </c>
      <c r="C1789" s="214">
        <v>2019</v>
      </c>
      <c r="D1789" s="214">
        <v>7</v>
      </c>
      <c r="E1789" s="214">
        <v>250</v>
      </c>
    </row>
    <row r="1790" spans="2:5" x14ac:dyDescent="0.25">
      <c r="B1790" s="213" t="s">
        <v>986</v>
      </c>
      <c r="C1790" s="214">
        <v>2019</v>
      </c>
      <c r="D1790" s="214">
        <v>6</v>
      </c>
      <c r="E1790" s="214">
        <v>225</v>
      </c>
    </row>
    <row r="1791" spans="2:5" x14ac:dyDescent="0.25">
      <c r="B1791" s="213" t="s">
        <v>986</v>
      </c>
      <c r="C1791" s="214">
        <v>2019</v>
      </c>
      <c r="D1791" s="214">
        <v>12</v>
      </c>
      <c r="E1791" s="214">
        <v>194</v>
      </c>
    </row>
    <row r="1792" spans="2:5" x14ac:dyDescent="0.25">
      <c r="B1792" s="213" t="s">
        <v>2839</v>
      </c>
      <c r="C1792" s="214">
        <v>2019</v>
      </c>
      <c r="D1792" s="214">
        <v>6</v>
      </c>
      <c r="E1792" s="214">
        <v>15</v>
      </c>
    </row>
    <row r="1793" spans="2:5" x14ac:dyDescent="0.25">
      <c r="B1793" s="213" t="s">
        <v>2839</v>
      </c>
      <c r="C1793" s="214">
        <v>2019</v>
      </c>
      <c r="D1793" s="214">
        <v>1</v>
      </c>
      <c r="E1793" s="214">
        <v>14</v>
      </c>
    </row>
    <row r="1794" spans="2:5" x14ac:dyDescent="0.25">
      <c r="B1794" s="213" t="s">
        <v>2839</v>
      </c>
      <c r="C1794" s="214">
        <v>2019</v>
      </c>
      <c r="D1794" s="214">
        <v>3</v>
      </c>
      <c r="E1794" s="214">
        <v>10</v>
      </c>
    </row>
    <row r="1795" spans="2:5" x14ac:dyDescent="0.25">
      <c r="B1795" s="213" t="s">
        <v>2839</v>
      </c>
      <c r="C1795" s="214">
        <v>2019</v>
      </c>
      <c r="D1795" s="214">
        <v>9</v>
      </c>
      <c r="E1795" s="214">
        <v>5</v>
      </c>
    </row>
    <row r="1796" spans="2:5" x14ac:dyDescent="0.25">
      <c r="B1796" s="213" t="s">
        <v>2839</v>
      </c>
      <c r="C1796" s="214">
        <v>2019</v>
      </c>
      <c r="D1796" s="214">
        <v>2</v>
      </c>
      <c r="E1796" s="214">
        <v>4</v>
      </c>
    </row>
    <row r="1797" spans="2:5" x14ac:dyDescent="0.25">
      <c r="B1797" s="213" t="s">
        <v>2839</v>
      </c>
      <c r="C1797" s="214">
        <v>2019</v>
      </c>
      <c r="D1797" s="214">
        <v>11</v>
      </c>
      <c r="E1797" s="214">
        <v>4</v>
      </c>
    </row>
    <row r="1798" spans="2:5" x14ac:dyDescent="0.25">
      <c r="B1798" s="213" t="s">
        <v>2839</v>
      </c>
      <c r="C1798" s="214">
        <v>2019</v>
      </c>
      <c r="D1798" s="214">
        <v>4</v>
      </c>
      <c r="E1798" s="214">
        <v>2</v>
      </c>
    </row>
    <row r="1799" spans="2:5" x14ac:dyDescent="0.25">
      <c r="B1799" s="213" t="s">
        <v>2839</v>
      </c>
      <c r="C1799" s="214">
        <v>2019</v>
      </c>
      <c r="D1799" s="214">
        <v>10</v>
      </c>
      <c r="E1799" s="214">
        <v>2</v>
      </c>
    </row>
    <row r="1800" spans="2:5" x14ac:dyDescent="0.25">
      <c r="B1800" s="213" t="s">
        <v>2839</v>
      </c>
      <c r="C1800" s="214">
        <v>2019</v>
      </c>
      <c r="D1800" s="214">
        <v>7</v>
      </c>
      <c r="E1800" s="214">
        <v>1</v>
      </c>
    </row>
    <row r="1801" spans="2:5" x14ac:dyDescent="0.25">
      <c r="B1801" s="213" t="s">
        <v>2839</v>
      </c>
      <c r="C1801" s="214">
        <v>2019</v>
      </c>
      <c r="D1801" s="214">
        <v>8</v>
      </c>
      <c r="E1801" s="214">
        <v>1</v>
      </c>
    </row>
    <row r="1802" spans="2:5" x14ac:dyDescent="0.25">
      <c r="B1802" s="213" t="s">
        <v>2840</v>
      </c>
      <c r="C1802" s="214">
        <v>2019</v>
      </c>
      <c r="D1802" s="214">
        <v>3</v>
      </c>
      <c r="E1802" s="214">
        <v>9</v>
      </c>
    </row>
    <row r="1803" spans="2:5" x14ac:dyDescent="0.25">
      <c r="B1803" s="213" t="s">
        <v>2840</v>
      </c>
      <c r="C1803" s="214">
        <v>2019</v>
      </c>
      <c r="D1803" s="214">
        <v>8</v>
      </c>
      <c r="E1803" s="214">
        <v>8</v>
      </c>
    </row>
    <row r="1804" spans="2:5" x14ac:dyDescent="0.25">
      <c r="B1804" s="213" t="s">
        <v>2840</v>
      </c>
      <c r="C1804" s="214">
        <v>2019</v>
      </c>
      <c r="D1804" s="214">
        <v>6</v>
      </c>
      <c r="E1804" s="214">
        <v>6</v>
      </c>
    </row>
    <row r="1805" spans="2:5" x14ac:dyDescent="0.25">
      <c r="B1805" s="213" t="s">
        <v>2840</v>
      </c>
      <c r="C1805" s="214">
        <v>2019</v>
      </c>
      <c r="D1805" s="214">
        <v>9</v>
      </c>
      <c r="E1805" s="214">
        <v>6</v>
      </c>
    </row>
    <row r="1806" spans="2:5" x14ac:dyDescent="0.25">
      <c r="B1806" s="213" t="s">
        <v>2840</v>
      </c>
      <c r="C1806" s="214">
        <v>2019</v>
      </c>
      <c r="D1806" s="214">
        <v>1</v>
      </c>
      <c r="E1806" s="214">
        <v>5</v>
      </c>
    </row>
    <row r="1807" spans="2:5" x14ac:dyDescent="0.25">
      <c r="B1807" s="213" t="s">
        <v>2840</v>
      </c>
      <c r="C1807" s="214">
        <v>2019</v>
      </c>
      <c r="D1807" s="214">
        <v>4</v>
      </c>
      <c r="E1807" s="214">
        <v>5</v>
      </c>
    </row>
    <row r="1808" spans="2:5" x14ac:dyDescent="0.25">
      <c r="B1808" s="213" t="s">
        <v>2840</v>
      </c>
      <c r="C1808" s="214">
        <v>2019</v>
      </c>
      <c r="D1808" s="214">
        <v>5</v>
      </c>
      <c r="E1808" s="214">
        <v>5</v>
      </c>
    </row>
    <row r="1809" spans="2:5" x14ac:dyDescent="0.25">
      <c r="B1809" s="213" t="s">
        <v>2840</v>
      </c>
      <c r="C1809" s="214">
        <v>2019</v>
      </c>
      <c r="D1809" s="214">
        <v>10</v>
      </c>
      <c r="E1809" s="214">
        <v>5</v>
      </c>
    </row>
    <row r="1810" spans="2:5" x14ac:dyDescent="0.25">
      <c r="B1810" s="213" t="s">
        <v>2840</v>
      </c>
      <c r="C1810" s="214">
        <v>2019</v>
      </c>
      <c r="D1810" s="214">
        <v>11</v>
      </c>
      <c r="E1810" s="214">
        <v>5</v>
      </c>
    </row>
    <row r="1811" spans="2:5" x14ac:dyDescent="0.25">
      <c r="B1811" s="213" t="s">
        <v>2840</v>
      </c>
      <c r="C1811" s="214">
        <v>2019</v>
      </c>
      <c r="D1811" s="214">
        <v>7</v>
      </c>
      <c r="E1811" s="214">
        <v>4</v>
      </c>
    </row>
    <row r="1812" spans="2:5" x14ac:dyDescent="0.25">
      <c r="B1812" s="213" t="s">
        <v>2840</v>
      </c>
      <c r="C1812" s="214">
        <v>2019</v>
      </c>
      <c r="D1812" s="214">
        <v>12</v>
      </c>
      <c r="E1812" s="214">
        <v>4</v>
      </c>
    </row>
    <row r="1813" spans="2:5" x14ac:dyDescent="0.25">
      <c r="B1813" s="213" t="s">
        <v>2840</v>
      </c>
      <c r="C1813" s="214">
        <v>2019</v>
      </c>
      <c r="D1813" s="214">
        <v>2</v>
      </c>
      <c r="E1813" s="214">
        <v>2</v>
      </c>
    </row>
    <row r="1814" spans="2:5" x14ac:dyDescent="0.25">
      <c r="B1814" s="213" t="s">
        <v>2893</v>
      </c>
      <c r="C1814" s="214">
        <v>2019</v>
      </c>
      <c r="D1814" s="214">
        <v>3</v>
      </c>
      <c r="E1814" s="214">
        <v>95</v>
      </c>
    </row>
    <row r="1815" spans="2:5" x14ac:dyDescent="0.25">
      <c r="B1815" s="213" t="s">
        <v>2893</v>
      </c>
      <c r="C1815" s="214">
        <v>2019</v>
      </c>
      <c r="D1815" s="214">
        <v>4</v>
      </c>
      <c r="E1815" s="214">
        <v>31</v>
      </c>
    </row>
    <row r="1816" spans="2:5" x14ac:dyDescent="0.25">
      <c r="B1816" s="213" t="s">
        <v>2893</v>
      </c>
      <c r="C1816" s="214">
        <v>2019</v>
      </c>
      <c r="D1816" s="214">
        <v>5</v>
      </c>
      <c r="E1816" s="214">
        <v>20</v>
      </c>
    </row>
    <row r="1817" spans="2:5" x14ac:dyDescent="0.25">
      <c r="B1817" s="213" t="s">
        <v>2893</v>
      </c>
      <c r="C1817" s="214">
        <v>2019</v>
      </c>
      <c r="D1817" s="214">
        <v>11</v>
      </c>
      <c r="E1817" s="214">
        <v>19</v>
      </c>
    </row>
    <row r="1818" spans="2:5" x14ac:dyDescent="0.25">
      <c r="B1818" s="213" t="s">
        <v>2893</v>
      </c>
      <c r="C1818" s="214">
        <v>2019</v>
      </c>
      <c r="D1818" s="214">
        <v>6</v>
      </c>
      <c r="E1818" s="214">
        <v>17</v>
      </c>
    </row>
    <row r="1819" spans="2:5" x14ac:dyDescent="0.25">
      <c r="B1819" s="213" t="s">
        <v>2893</v>
      </c>
      <c r="C1819" s="214">
        <v>2019</v>
      </c>
      <c r="D1819" s="214">
        <v>1</v>
      </c>
      <c r="E1819" s="214">
        <v>15</v>
      </c>
    </row>
    <row r="1820" spans="2:5" x14ac:dyDescent="0.25">
      <c r="B1820" s="213" t="s">
        <v>2893</v>
      </c>
      <c r="C1820" s="214">
        <v>2019</v>
      </c>
      <c r="D1820" s="214">
        <v>8</v>
      </c>
      <c r="E1820" s="214">
        <v>14</v>
      </c>
    </row>
    <row r="1821" spans="2:5" x14ac:dyDescent="0.25">
      <c r="B1821" s="213" t="s">
        <v>2893</v>
      </c>
      <c r="C1821" s="214">
        <v>2019</v>
      </c>
      <c r="D1821" s="214">
        <v>7</v>
      </c>
      <c r="E1821" s="214">
        <v>8</v>
      </c>
    </row>
    <row r="1822" spans="2:5" x14ac:dyDescent="0.25">
      <c r="B1822" s="213" t="s">
        <v>2893</v>
      </c>
      <c r="C1822" s="214">
        <v>2019</v>
      </c>
      <c r="D1822" s="214">
        <v>2</v>
      </c>
      <c r="E1822" s="214">
        <v>1</v>
      </c>
    </row>
    <row r="1823" spans="2:5" x14ac:dyDescent="0.25">
      <c r="B1823" s="213" t="s">
        <v>2893</v>
      </c>
      <c r="C1823" s="214">
        <v>2019</v>
      </c>
      <c r="D1823" s="214">
        <v>10</v>
      </c>
      <c r="E1823" s="214">
        <v>1</v>
      </c>
    </row>
    <row r="1824" spans="2:5" x14ac:dyDescent="0.25">
      <c r="B1824" s="213" t="s">
        <v>2893</v>
      </c>
      <c r="C1824" s="214">
        <v>2019</v>
      </c>
      <c r="D1824" s="214">
        <v>12</v>
      </c>
      <c r="E1824" s="214">
        <v>1</v>
      </c>
    </row>
    <row r="1825" spans="2:5" x14ac:dyDescent="0.25">
      <c r="B1825" s="213" t="s">
        <v>2841</v>
      </c>
      <c r="C1825" s="214">
        <v>2019</v>
      </c>
      <c r="D1825" s="214">
        <v>10</v>
      </c>
      <c r="E1825" s="214">
        <v>19</v>
      </c>
    </row>
    <row r="1826" spans="2:5" x14ac:dyDescent="0.25">
      <c r="B1826" s="213" t="s">
        <v>2841</v>
      </c>
      <c r="C1826" s="214">
        <v>2019</v>
      </c>
      <c r="D1826" s="214">
        <v>6</v>
      </c>
      <c r="E1826" s="214">
        <v>14</v>
      </c>
    </row>
    <row r="1827" spans="2:5" x14ac:dyDescent="0.25">
      <c r="B1827" s="213" t="s">
        <v>2841</v>
      </c>
      <c r="C1827" s="214">
        <v>2019</v>
      </c>
      <c r="D1827" s="214">
        <v>7</v>
      </c>
      <c r="E1827" s="214">
        <v>12</v>
      </c>
    </row>
    <row r="1828" spans="2:5" x14ac:dyDescent="0.25">
      <c r="B1828" s="213" t="s">
        <v>2841</v>
      </c>
      <c r="C1828" s="214">
        <v>2019</v>
      </c>
      <c r="D1828" s="214">
        <v>4</v>
      </c>
      <c r="E1828" s="214">
        <v>11</v>
      </c>
    </row>
    <row r="1829" spans="2:5" x14ac:dyDescent="0.25">
      <c r="B1829" s="213" t="s">
        <v>2841</v>
      </c>
      <c r="C1829" s="214">
        <v>2019</v>
      </c>
      <c r="D1829" s="214">
        <v>8</v>
      </c>
      <c r="E1829" s="214">
        <v>11</v>
      </c>
    </row>
    <row r="1830" spans="2:5" x14ac:dyDescent="0.25">
      <c r="B1830" s="213" t="s">
        <v>2841</v>
      </c>
      <c r="C1830" s="214">
        <v>2019</v>
      </c>
      <c r="D1830" s="214">
        <v>5</v>
      </c>
      <c r="E1830" s="214">
        <v>9</v>
      </c>
    </row>
    <row r="1831" spans="2:5" x14ac:dyDescent="0.25">
      <c r="B1831" s="213" t="s">
        <v>2841</v>
      </c>
      <c r="C1831" s="214">
        <v>2019</v>
      </c>
      <c r="D1831" s="214">
        <v>11</v>
      </c>
      <c r="E1831" s="214">
        <v>7</v>
      </c>
    </row>
    <row r="1832" spans="2:5" x14ac:dyDescent="0.25">
      <c r="B1832" s="213" t="s">
        <v>2841</v>
      </c>
      <c r="C1832" s="214">
        <v>2019</v>
      </c>
      <c r="D1832" s="214">
        <v>2</v>
      </c>
      <c r="E1832" s="214">
        <v>6</v>
      </c>
    </row>
    <row r="1833" spans="2:5" x14ac:dyDescent="0.25">
      <c r="B1833" s="213" t="s">
        <v>2841</v>
      </c>
      <c r="C1833" s="214">
        <v>2019</v>
      </c>
      <c r="D1833" s="214">
        <v>9</v>
      </c>
      <c r="E1833" s="214">
        <v>4</v>
      </c>
    </row>
    <row r="1834" spans="2:5" x14ac:dyDescent="0.25">
      <c r="B1834" s="213" t="s">
        <v>2841</v>
      </c>
      <c r="C1834" s="214">
        <v>2019</v>
      </c>
      <c r="D1834" s="214">
        <v>1</v>
      </c>
      <c r="E1834" s="214">
        <v>3</v>
      </c>
    </row>
    <row r="1835" spans="2:5" x14ac:dyDescent="0.25">
      <c r="B1835" s="213" t="s">
        <v>2841</v>
      </c>
      <c r="C1835" s="214">
        <v>2019</v>
      </c>
      <c r="D1835" s="214">
        <v>12</v>
      </c>
      <c r="E1835" s="214">
        <v>2</v>
      </c>
    </row>
    <row r="1836" spans="2:5" x14ac:dyDescent="0.25">
      <c r="B1836" s="213" t="s">
        <v>2841</v>
      </c>
      <c r="C1836" s="214">
        <v>2019</v>
      </c>
      <c r="D1836" s="214">
        <v>3</v>
      </c>
      <c r="E1836" s="214">
        <v>1</v>
      </c>
    </row>
    <row r="1837" spans="2:5" x14ac:dyDescent="0.25">
      <c r="B1837" s="213" t="s">
        <v>2972</v>
      </c>
      <c r="C1837" s="214">
        <v>2019</v>
      </c>
      <c r="D1837" s="214">
        <v>5</v>
      </c>
      <c r="E1837" s="214">
        <v>1</v>
      </c>
    </row>
    <row r="1838" spans="2:5" x14ac:dyDescent="0.25">
      <c r="B1838" s="213" t="s">
        <v>2922</v>
      </c>
      <c r="C1838" s="214">
        <v>2019</v>
      </c>
      <c r="D1838" s="214">
        <v>4</v>
      </c>
      <c r="E1838" s="214">
        <v>10</v>
      </c>
    </row>
    <row r="1839" spans="2:5" x14ac:dyDescent="0.25">
      <c r="B1839" s="213" t="s">
        <v>2922</v>
      </c>
      <c r="C1839" s="214">
        <v>2019</v>
      </c>
      <c r="D1839" s="214">
        <v>8</v>
      </c>
      <c r="E1839" s="214">
        <v>6</v>
      </c>
    </row>
    <row r="1840" spans="2:5" x14ac:dyDescent="0.25">
      <c r="B1840" s="213" t="s">
        <v>2922</v>
      </c>
      <c r="C1840" s="214">
        <v>2019</v>
      </c>
      <c r="D1840" s="214">
        <v>1</v>
      </c>
      <c r="E1840" s="214">
        <v>5</v>
      </c>
    </row>
    <row r="1841" spans="2:5" x14ac:dyDescent="0.25">
      <c r="B1841" s="213" t="s">
        <v>2922</v>
      </c>
      <c r="C1841" s="214">
        <v>2019</v>
      </c>
      <c r="D1841" s="214">
        <v>7</v>
      </c>
      <c r="E1841" s="214">
        <v>4</v>
      </c>
    </row>
    <row r="1842" spans="2:5" x14ac:dyDescent="0.25">
      <c r="B1842" s="213" t="s">
        <v>2922</v>
      </c>
      <c r="C1842" s="214">
        <v>2019</v>
      </c>
      <c r="D1842" s="214">
        <v>9</v>
      </c>
      <c r="E1842" s="214">
        <v>4</v>
      </c>
    </row>
    <row r="1843" spans="2:5" x14ac:dyDescent="0.25">
      <c r="B1843" s="213" t="s">
        <v>2922</v>
      </c>
      <c r="C1843" s="214">
        <v>2019</v>
      </c>
      <c r="D1843" s="214">
        <v>10</v>
      </c>
      <c r="E1843" s="214">
        <v>3</v>
      </c>
    </row>
    <row r="1844" spans="2:5" x14ac:dyDescent="0.25">
      <c r="B1844" s="213" t="s">
        <v>2922</v>
      </c>
      <c r="C1844" s="214">
        <v>2019</v>
      </c>
      <c r="D1844" s="214">
        <v>12</v>
      </c>
      <c r="E1844" s="214">
        <v>3</v>
      </c>
    </row>
    <row r="1845" spans="2:5" x14ac:dyDescent="0.25">
      <c r="B1845" s="213" t="s">
        <v>2922</v>
      </c>
      <c r="C1845" s="214">
        <v>2019</v>
      </c>
      <c r="D1845" s="214">
        <v>3</v>
      </c>
      <c r="E1845" s="214">
        <v>2</v>
      </c>
    </row>
    <row r="1846" spans="2:5" x14ac:dyDescent="0.25">
      <c r="B1846" s="213" t="s">
        <v>2922</v>
      </c>
      <c r="C1846" s="214">
        <v>2019</v>
      </c>
      <c r="D1846" s="214">
        <v>11</v>
      </c>
      <c r="E1846" s="214">
        <v>2</v>
      </c>
    </row>
    <row r="1847" spans="2:5" x14ac:dyDescent="0.25">
      <c r="B1847" s="213" t="s">
        <v>2922</v>
      </c>
      <c r="C1847" s="214">
        <v>2019</v>
      </c>
      <c r="D1847" s="214">
        <v>6</v>
      </c>
      <c r="E1847" s="214">
        <v>1</v>
      </c>
    </row>
    <row r="1848" spans="2:5" x14ac:dyDescent="0.25">
      <c r="B1848" s="213" t="s">
        <v>2889</v>
      </c>
      <c r="C1848" s="214">
        <v>2019</v>
      </c>
      <c r="D1848" s="214">
        <v>11</v>
      </c>
      <c r="E1848" s="214">
        <v>38</v>
      </c>
    </row>
    <row r="1849" spans="2:5" x14ac:dyDescent="0.25">
      <c r="B1849" s="213" t="s">
        <v>2889</v>
      </c>
      <c r="C1849" s="214">
        <v>2019</v>
      </c>
      <c r="D1849" s="214">
        <v>1</v>
      </c>
      <c r="E1849" s="214">
        <v>35</v>
      </c>
    </row>
    <row r="1850" spans="2:5" x14ac:dyDescent="0.25">
      <c r="B1850" s="213" t="s">
        <v>2889</v>
      </c>
      <c r="C1850" s="214">
        <v>2019</v>
      </c>
      <c r="D1850" s="214">
        <v>6</v>
      </c>
      <c r="E1850" s="214">
        <v>35</v>
      </c>
    </row>
    <row r="1851" spans="2:5" x14ac:dyDescent="0.25">
      <c r="B1851" s="213" t="s">
        <v>2889</v>
      </c>
      <c r="C1851" s="214">
        <v>2019</v>
      </c>
      <c r="D1851" s="214">
        <v>8</v>
      </c>
      <c r="E1851" s="214">
        <v>30</v>
      </c>
    </row>
    <row r="1852" spans="2:5" x14ac:dyDescent="0.25">
      <c r="B1852" s="213" t="s">
        <v>2889</v>
      </c>
      <c r="C1852" s="214">
        <v>2019</v>
      </c>
      <c r="D1852" s="214">
        <v>4</v>
      </c>
      <c r="E1852" s="214">
        <v>28</v>
      </c>
    </row>
    <row r="1853" spans="2:5" x14ac:dyDescent="0.25">
      <c r="B1853" s="213" t="s">
        <v>2889</v>
      </c>
      <c r="C1853" s="214">
        <v>2019</v>
      </c>
      <c r="D1853" s="214">
        <v>2</v>
      </c>
      <c r="E1853" s="214">
        <v>26</v>
      </c>
    </row>
    <row r="1854" spans="2:5" x14ac:dyDescent="0.25">
      <c r="B1854" s="213" t="s">
        <v>2889</v>
      </c>
      <c r="C1854" s="214">
        <v>2019</v>
      </c>
      <c r="D1854" s="214">
        <v>5</v>
      </c>
      <c r="E1854" s="214">
        <v>17</v>
      </c>
    </row>
    <row r="1855" spans="2:5" x14ac:dyDescent="0.25">
      <c r="B1855" s="213" t="s">
        <v>2889</v>
      </c>
      <c r="C1855" s="214">
        <v>2019</v>
      </c>
      <c r="D1855" s="214">
        <v>9</v>
      </c>
      <c r="E1855" s="214">
        <v>17</v>
      </c>
    </row>
    <row r="1856" spans="2:5" x14ac:dyDescent="0.25">
      <c r="B1856" s="213" t="s">
        <v>2889</v>
      </c>
      <c r="C1856" s="214">
        <v>2019</v>
      </c>
      <c r="D1856" s="214">
        <v>7</v>
      </c>
      <c r="E1856" s="214">
        <v>16</v>
      </c>
    </row>
    <row r="1857" spans="2:5" x14ac:dyDescent="0.25">
      <c r="B1857" s="213" t="s">
        <v>2889</v>
      </c>
      <c r="C1857" s="214">
        <v>2019</v>
      </c>
      <c r="D1857" s="214">
        <v>10</v>
      </c>
      <c r="E1857" s="214">
        <v>11</v>
      </c>
    </row>
    <row r="1858" spans="2:5" x14ac:dyDescent="0.25">
      <c r="B1858" s="213" t="s">
        <v>2889</v>
      </c>
      <c r="C1858" s="214">
        <v>2019</v>
      </c>
      <c r="D1858" s="214">
        <v>12</v>
      </c>
      <c r="E1858" s="214">
        <v>11</v>
      </c>
    </row>
    <row r="1859" spans="2:5" x14ac:dyDescent="0.25">
      <c r="B1859" s="213" t="s">
        <v>2889</v>
      </c>
      <c r="C1859" s="214">
        <v>2019</v>
      </c>
      <c r="D1859" s="214">
        <v>3</v>
      </c>
      <c r="E1859" s="214">
        <v>1</v>
      </c>
    </row>
    <row r="1860" spans="2:5" x14ac:dyDescent="0.25">
      <c r="B1860" s="213" t="s">
        <v>2842</v>
      </c>
      <c r="C1860" s="214">
        <v>2019</v>
      </c>
      <c r="D1860" s="214">
        <v>11</v>
      </c>
      <c r="E1860" s="214">
        <v>30</v>
      </c>
    </row>
    <row r="1861" spans="2:5" x14ac:dyDescent="0.25">
      <c r="B1861" s="213" t="s">
        <v>2842</v>
      </c>
      <c r="C1861" s="214">
        <v>2019</v>
      </c>
      <c r="D1861" s="214">
        <v>9</v>
      </c>
      <c r="E1861" s="214">
        <v>27</v>
      </c>
    </row>
    <row r="1862" spans="2:5" x14ac:dyDescent="0.25">
      <c r="B1862" s="213" t="s">
        <v>2842</v>
      </c>
      <c r="C1862" s="214">
        <v>2019</v>
      </c>
      <c r="D1862" s="214">
        <v>6</v>
      </c>
      <c r="E1862" s="214">
        <v>26</v>
      </c>
    </row>
    <row r="1863" spans="2:5" x14ac:dyDescent="0.25">
      <c r="B1863" s="213" t="s">
        <v>2842</v>
      </c>
      <c r="C1863" s="214">
        <v>2019</v>
      </c>
      <c r="D1863" s="214">
        <v>5</v>
      </c>
      <c r="E1863" s="214">
        <v>20</v>
      </c>
    </row>
    <row r="1864" spans="2:5" x14ac:dyDescent="0.25">
      <c r="B1864" s="213" t="s">
        <v>2842</v>
      </c>
      <c r="C1864" s="214">
        <v>2019</v>
      </c>
      <c r="D1864" s="214">
        <v>3</v>
      </c>
      <c r="E1864" s="214">
        <v>19</v>
      </c>
    </row>
    <row r="1865" spans="2:5" x14ac:dyDescent="0.25">
      <c r="B1865" s="213" t="s">
        <v>2842</v>
      </c>
      <c r="C1865" s="214">
        <v>2019</v>
      </c>
      <c r="D1865" s="214">
        <v>8</v>
      </c>
      <c r="E1865" s="214">
        <v>17</v>
      </c>
    </row>
    <row r="1866" spans="2:5" x14ac:dyDescent="0.25">
      <c r="B1866" s="213" t="s">
        <v>2842</v>
      </c>
      <c r="C1866" s="214">
        <v>2019</v>
      </c>
      <c r="D1866" s="214">
        <v>7</v>
      </c>
      <c r="E1866" s="214">
        <v>11</v>
      </c>
    </row>
    <row r="1867" spans="2:5" x14ac:dyDescent="0.25">
      <c r="B1867" s="213" t="s">
        <v>2842</v>
      </c>
      <c r="C1867" s="214">
        <v>2019</v>
      </c>
      <c r="D1867" s="214">
        <v>10</v>
      </c>
      <c r="E1867" s="214">
        <v>8</v>
      </c>
    </row>
    <row r="1868" spans="2:5" x14ac:dyDescent="0.25">
      <c r="B1868" s="213" t="s">
        <v>2842</v>
      </c>
      <c r="C1868" s="214">
        <v>2019</v>
      </c>
      <c r="D1868" s="214">
        <v>2</v>
      </c>
      <c r="E1868" s="214">
        <v>7</v>
      </c>
    </row>
    <row r="1869" spans="2:5" x14ac:dyDescent="0.25">
      <c r="B1869" s="213" t="s">
        <v>2842</v>
      </c>
      <c r="C1869" s="214">
        <v>2019</v>
      </c>
      <c r="D1869" s="214">
        <v>12</v>
      </c>
      <c r="E1869" s="214">
        <v>6</v>
      </c>
    </row>
    <row r="1870" spans="2:5" x14ac:dyDescent="0.25">
      <c r="B1870" s="213" t="s">
        <v>2842</v>
      </c>
      <c r="C1870" s="214">
        <v>2019</v>
      </c>
      <c r="D1870" s="214">
        <v>1</v>
      </c>
      <c r="E1870" s="214">
        <v>4</v>
      </c>
    </row>
    <row r="1871" spans="2:5" x14ac:dyDescent="0.25">
      <c r="B1871" s="213" t="s">
        <v>2842</v>
      </c>
      <c r="C1871" s="214">
        <v>2019</v>
      </c>
      <c r="D1871" s="214">
        <v>4</v>
      </c>
      <c r="E1871" s="214">
        <v>3</v>
      </c>
    </row>
    <row r="1872" spans="2:5" x14ac:dyDescent="0.25">
      <c r="B1872" s="213" t="s">
        <v>2843</v>
      </c>
      <c r="C1872" s="214">
        <v>2019</v>
      </c>
      <c r="D1872" s="214">
        <v>10</v>
      </c>
      <c r="E1872" s="214">
        <v>21</v>
      </c>
    </row>
    <row r="1873" spans="2:5" x14ac:dyDescent="0.25">
      <c r="B1873" s="213" t="s">
        <v>2843</v>
      </c>
      <c r="C1873" s="214">
        <v>2019</v>
      </c>
      <c r="D1873" s="214">
        <v>5</v>
      </c>
      <c r="E1873" s="214">
        <v>15</v>
      </c>
    </row>
    <row r="1874" spans="2:5" x14ac:dyDescent="0.25">
      <c r="B1874" s="213" t="s">
        <v>2843</v>
      </c>
      <c r="C1874" s="214">
        <v>2019</v>
      </c>
      <c r="D1874" s="214">
        <v>7</v>
      </c>
      <c r="E1874" s="214">
        <v>14</v>
      </c>
    </row>
    <row r="1875" spans="2:5" x14ac:dyDescent="0.25">
      <c r="B1875" s="213" t="s">
        <v>2843</v>
      </c>
      <c r="C1875" s="214">
        <v>2019</v>
      </c>
      <c r="D1875" s="214">
        <v>6</v>
      </c>
      <c r="E1875" s="214">
        <v>12</v>
      </c>
    </row>
    <row r="1876" spans="2:5" x14ac:dyDescent="0.25">
      <c r="B1876" s="213" t="s">
        <v>2843</v>
      </c>
      <c r="C1876" s="214">
        <v>2019</v>
      </c>
      <c r="D1876" s="214">
        <v>4</v>
      </c>
      <c r="E1876" s="214">
        <v>10</v>
      </c>
    </row>
    <row r="1877" spans="2:5" x14ac:dyDescent="0.25">
      <c r="B1877" s="213" t="s">
        <v>2843</v>
      </c>
      <c r="C1877" s="214">
        <v>2019</v>
      </c>
      <c r="D1877" s="214">
        <v>1</v>
      </c>
      <c r="E1877" s="214">
        <v>5</v>
      </c>
    </row>
    <row r="1878" spans="2:5" x14ac:dyDescent="0.25">
      <c r="B1878" s="213" t="s">
        <v>2843</v>
      </c>
      <c r="C1878" s="214">
        <v>2019</v>
      </c>
      <c r="D1878" s="214">
        <v>8</v>
      </c>
      <c r="E1878" s="214">
        <v>4</v>
      </c>
    </row>
    <row r="1879" spans="2:5" x14ac:dyDescent="0.25">
      <c r="B1879" s="213" t="s">
        <v>2843</v>
      </c>
      <c r="C1879" s="214">
        <v>2019</v>
      </c>
      <c r="D1879" s="214">
        <v>3</v>
      </c>
      <c r="E1879" s="214">
        <v>3</v>
      </c>
    </row>
    <row r="1880" spans="2:5" x14ac:dyDescent="0.25">
      <c r="B1880" s="213" t="s">
        <v>2843</v>
      </c>
      <c r="C1880" s="214">
        <v>2019</v>
      </c>
      <c r="D1880" s="214">
        <v>2</v>
      </c>
      <c r="E1880" s="214">
        <v>2</v>
      </c>
    </row>
    <row r="1881" spans="2:5" x14ac:dyDescent="0.25">
      <c r="B1881" s="213" t="s">
        <v>2843</v>
      </c>
      <c r="C1881" s="214">
        <v>2019</v>
      </c>
      <c r="D1881" s="214">
        <v>9</v>
      </c>
      <c r="E1881" s="214">
        <v>1</v>
      </c>
    </row>
    <row r="1882" spans="2:5" x14ac:dyDescent="0.25">
      <c r="B1882" s="213" t="s">
        <v>2843</v>
      </c>
      <c r="C1882" s="214">
        <v>2019</v>
      </c>
      <c r="D1882" s="214">
        <v>11</v>
      </c>
      <c r="E1882" s="214">
        <v>1</v>
      </c>
    </row>
    <row r="1883" spans="2:5" x14ac:dyDescent="0.25">
      <c r="B1883" s="213" t="s">
        <v>2844</v>
      </c>
      <c r="C1883" s="214">
        <v>2019</v>
      </c>
      <c r="D1883" s="214">
        <v>10</v>
      </c>
      <c r="E1883" s="214">
        <v>26</v>
      </c>
    </row>
    <row r="1884" spans="2:5" x14ac:dyDescent="0.25">
      <c r="B1884" s="213" t="s">
        <v>2844</v>
      </c>
      <c r="C1884" s="214">
        <v>2019</v>
      </c>
      <c r="D1884" s="214">
        <v>6</v>
      </c>
      <c r="E1884" s="214">
        <v>21</v>
      </c>
    </row>
    <row r="1885" spans="2:5" x14ac:dyDescent="0.25">
      <c r="B1885" s="213" t="s">
        <v>2844</v>
      </c>
      <c r="C1885" s="214">
        <v>2019</v>
      </c>
      <c r="D1885" s="214">
        <v>7</v>
      </c>
      <c r="E1885" s="214">
        <v>18</v>
      </c>
    </row>
    <row r="1886" spans="2:5" x14ac:dyDescent="0.25">
      <c r="B1886" s="213" t="s">
        <v>2844</v>
      </c>
      <c r="C1886" s="214">
        <v>2019</v>
      </c>
      <c r="D1886" s="214">
        <v>8</v>
      </c>
      <c r="E1886" s="214">
        <v>18</v>
      </c>
    </row>
    <row r="1887" spans="2:5" x14ac:dyDescent="0.25">
      <c r="B1887" s="213" t="s">
        <v>2844</v>
      </c>
      <c r="C1887" s="214">
        <v>2019</v>
      </c>
      <c r="D1887" s="214">
        <v>9</v>
      </c>
      <c r="E1887" s="214">
        <v>18</v>
      </c>
    </row>
    <row r="1888" spans="2:5" x14ac:dyDescent="0.25">
      <c r="B1888" s="213" t="s">
        <v>2844</v>
      </c>
      <c r="C1888" s="214">
        <v>2019</v>
      </c>
      <c r="D1888" s="214">
        <v>5</v>
      </c>
      <c r="E1888" s="214">
        <v>15</v>
      </c>
    </row>
    <row r="1889" spans="2:5" x14ac:dyDescent="0.25">
      <c r="B1889" s="213" t="s">
        <v>2844</v>
      </c>
      <c r="C1889" s="214">
        <v>2019</v>
      </c>
      <c r="D1889" s="214">
        <v>2</v>
      </c>
      <c r="E1889" s="214">
        <v>11</v>
      </c>
    </row>
    <row r="1890" spans="2:5" x14ac:dyDescent="0.25">
      <c r="B1890" s="213" t="s">
        <v>2844</v>
      </c>
      <c r="C1890" s="214">
        <v>2019</v>
      </c>
      <c r="D1890" s="214">
        <v>11</v>
      </c>
      <c r="E1890" s="214">
        <v>11</v>
      </c>
    </row>
    <row r="1891" spans="2:5" x14ac:dyDescent="0.25">
      <c r="B1891" s="213" t="s">
        <v>2844</v>
      </c>
      <c r="C1891" s="214">
        <v>2019</v>
      </c>
      <c r="D1891" s="214">
        <v>1</v>
      </c>
      <c r="E1891" s="214">
        <v>9</v>
      </c>
    </row>
    <row r="1892" spans="2:5" x14ac:dyDescent="0.25">
      <c r="B1892" s="213" t="s">
        <v>2844</v>
      </c>
      <c r="C1892" s="214">
        <v>2019</v>
      </c>
      <c r="D1892" s="214">
        <v>3</v>
      </c>
      <c r="E1892" s="214">
        <v>7</v>
      </c>
    </row>
    <row r="1893" spans="2:5" x14ac:dyDescent="0.25">
      <c r="B1893" s="213" t="s">
        <v>2844</v>
      </c>
      <c r="C1893" s="214">
        <v>2019</v>
      </c>
      <c r="D1893" s="214">
        <v>12</v>
      </c>
      <c r="E1893" s="214">
        <v>6</v>
      </c>
    </row>
    <row r="1894" spans="2:5" x14ac:dyDescent="0.25">
      <c r="B1894" s="213" t="s">
        <v>2844</v>
      </c>
      <c r="C1894" s="214">
        <v>2019</v>
      </c>
      <c r="D1894" s="214">
        <v>4</v>
      </c>
      <c r="E1894" s="214">
        <v>3</v>
      </c>
    </row>
    <row r="1895" spans="2:5" x14ac:dyDescent="0.25">
      <c r="B1895" s="213" t="s">
        <v>2845</v>
      </c>
      <c r="C1895" s="214">
        <v>2019</v>
      </c>
      <c r="D1895" s="214">
        <v>9</v>
      </c>
      <c r="E1895" s="214">
        <v>183</v>
      </c>
    </row>
    <row r="1896" spans="2:5" x14ac:dyDescent="0.25">
      <c r="B1896" s="213" t="s">
        <v>2845</v>
      </c>
      <c r="C1896" s="214">
        <v>2019</v>
      </c>
      <c r="D1896" s="214">
        <v>3</v>
      </c>
      <c r="E1896" s="214">
        <v>180</v>
      </c>
    </row>
    <row r="1897" spans="2:5" x14ac:dyDescent="0.25">
      <c r="B1897" s="213" t="s">
        <v>2845</v>
      </c>
      <c r="C1897" s="214">
        <v>2019</v>
      </c>
      <c r="D1897" s="214">
        <v>5</v>
      </c>
      <c r="E1897" s="214">
        <v>173</v>
      </c>
    </row>
    <row r="1898" spans="2:5" x14ac:dyDescent="0.25">
      <c r="B1898" s="213" t="s">
        <v>2845</v>
      </c>
      <c r="C1898" s="214">
        <v>2019</v>
      </c>
      <c r="D1898" s="214">
        <v>8</v>
      </c>
      <c r="E1898" s="214">
        <v>145</v>
      </c>
    </row>
    <row r="1899" spans="2:5" x14ac:dyDescent="0.25">
      <c r="B1899" s="213" t="s">
        <v>2845</v>
      </c>
      <c r="C1899" s="214">
        <v>2019</v>
      </c>
      <c r="D1899" s="214">
        <v>10</v>
      </c>
      <c r="E1899" s="214">
        <v>120</v>
      </c>
    </row>
    <row r="1900" spans="2:5" x14ac:dyDescent="0.25">
      <c r="B1900" s="213" t="s">
        <v>2845</v>
      </c>
      <c r="C1900" s="214">
        <v>2019</v>
      </c>
      <c r="D1900" s="214">
        <v>6</v>
      </c>
      <c r="E1900" s="214">
        <v>105</v>
      </c>
    </row>
    <row r="1901" spans="2:5" x14ac:dyDescent="0.25">
      <c r="B1901" s="213" t="s">
        <v>2845</v>
      </c>
      <c r="C1901" s="214">
        <v>2019</v>
      </c>
      <c r="D1901" s="214">
        <v>11</v>
      </c>
      <c r="E1901" s="214">
        <v>77</v>
      </c>
    </row>
    <row r="1902" spans="2:5" x14ac:dyDescent="0.25">
      <c r="B1902" s="213" t="s">
        <v>2845</v>
      </c>
      <c r="C1902" s="214">
        <v>2019</v>
      </c>
      <c r="D1902" s="214">
        <v>7</v>
      </c>
      <c r="E1902" s="214">
        <v>72</v>
      </c>
    </row>
    <row r="1903" spans="2:5" x14ac:dyDescent="0.25">
      <c r="B1903" s="213" t="s">
        <v>2845</v>
      </c>
      <c r="C1903" s="214">
        <v>2019</v>
      </c>
      <c r="D1903" s="214">
        <v>1</v>
      </c>
      <c r="E1903" s="214">
        <v>69</v>
      </c>
    </row>
    <row r="1904" spans="2:5" x14ac:dyDescent="0.25">
      <c r="B1904" s="213" t="s">
        <v>2845</v>
      </c>
      <c r="C1904" s="214">
        <v>2019</v>
      </c>
      <c r="D1904" s="214">
        <v>4</v>
      </c>
      <c r="E1904" s="214">
        <v>69</v>
      </c>
    </row>
    <row r="1905" spans="2:5" x14ac:dyDescent="0.25">
      <c r="B1905" s="213" t="s">
        <v>2845</v>
      </c>
      <c r="C1905" s="214">
        <v>2019</v>
      </c>
      <c r="D1905" s="214">
        <v>12</v>
      </c>
      <c r="E1905" s="214">
        <v>42</v>
      </c>
    </row>
    <row r="1906" spans="2:5" x14ac:dyDescent="0.25">
      <c r="B1906" s="213" t="s">
        <v>2845</v>
      </c>
      <c r="C1906" s="214">
        <v>2019</v>
      </c>
      <c r="D1906" s="214">
        <v>2</v>
      </c>
      <c r="E1906" s="214">
        <v>21</v>
      </c>
    </row>
    <row r="1907" spans="2:5" x14ac:dyDescent="0.25">
      <c r="B1907" s="213" t="s">
        <v>2897</v>
      </c>
      <c r="C1907" s="214">
        <v>2019</v>
      </c>
      <c r="D1907" s="214">
        <v>4</v>
      </c>
      <c r="E1907" s="214">
        <v>29</v>
      </c>
    </row>
    <row r="1908" spans="2:5" x14ac:dyDescent="0.25">
      <c r="B1908" s="213" t="s">
        <v>2897</v>
      </c>
      <c r="C1908" s="214">
        <v>2019</v>
      </c>
      <c r="D1908" s="214">
        <v>6</v>
      </c>
      <c r="E1908" s="214">
        <v>28</v>
      </c>
    </row>
    <row r="1909" spans="2:5" x14ac:dyDescent="0.25">
      <c r="B1909" s="213" t="s">
        <v>2897</v>
      </c>
      <c r="C1909" s="214">
        <v>2019</v>
      </c>
      <c r="D1909" s="214">
        <v>7</v>
      </c>
      <c r="E1909" s="214">
        <v>24</v>
      </c>
    </row>
    <row r="1910" spans="2:5" x14ac:dyDescent="0.25">
      <c r="B1910" s="213" t="s">
        <v>2897</v>
      </c>
      <c r="C1910" s="214">
        <v>2019</v>
      </c>
      <c r="D1910" s="214">
        <v>11</v>
      </c>
      <c r="E1910" s="214">
        <v>16</v>
      </c>
    </row>
    <row r="1911" spans="2:5" x14ac:dyDescent="0.25">
      <c r="B1911" s="213" t="s">
        <v>2897</v>
      </c>
      <c r="C1911" s="214">
        <v>2019</v>
      </c>
      <c r="D1911" s="214">
        <v>1</v>
      </c>
      <c r="E1911" s="214">
        <v>15</v>
      </c>
    </row>
    <row r="1912" spans="2:5" x14ac:dyDescent="0.25">
      <c r="B1912" s="213" t="s">
        <v>2897</v>
      </c>
      <c r="C1912" s="214">
        <v>2019</v>
      </c>
      <c r="D1912" s="214">
        <v>5</v>
      </c>
      <c r="E1912" s="214">
        <v>15</v>
      </c>
    </row>
    <row r="1913" spans="2:5" x14ac:dyDescent="0.25">
      <c r="B1913" s="213" t="s">
        <v>2897</v>
      </c>
      <c r="C1913" s="214">
        <v>2019</v>
      </c>
      <c r="D1913" s="214">
        <v>12</v>
      </c>
      <c r="E1913" s="214">
        <v>14</v>
      </c>
    </row>
    <row r="1914" spans="2:5" x14ac:dyDescent="0.25">
      <c r="B1914" s="213" t="s">
        <v>2897</v>
      </c>
      <c r="C1914" s="214">
        <v>2019</v>
      </c>
      <c r="D1914" s="214">
        <v>8</v>
      </c>
      <c r="E1914" s="214">
        <v>13</v>
      </c>
    </row>
    <row r="1915" spans="2:5" x14ac:dyDescent="0.25">
      <c r="B1915" s="213" t="s">
        <v>2897</v>
      </c>
      <c r="C1915" s="214">
        <v>2019</v>
      </c>
      <c r="D1915" s="214">
        <v>9</v>
      </c>
      <c r="E1915" s="214">
        <v>13</v>
      </c>
    </row>
    <row r="1916" spans="2:5" x14ac:dyDescent="0.25">
      <c r="B1916" s="213" t="s">
        <v>2897</v>
      </c>
      <c r="C1916" s="214">
        <v>2019</v>
      </c>
      <c r="D1916" s="214">
        <v>10</v>
      </c>
      <c r="E1916" s="214">
        <v>13</v>
      </c>
    </row>
    <row r="1917" spans="2:5" x14ac:dyDescent="0.25">
      <c r="B1917" s="213" t="s">
        <v>2897</v>
      </c>
      <c r="C1917" s="214">
        <v>2019</v>
      </c>
      <c r="D1917" s="214">
        <v>2</v>
      </c>
      <c r="E1917" s="214">
        <v>12</v>
      </c>
    </row>
    <row r="1918" spans="2:5" x14ac:dyDescent="0.25">
      <c r="B1918" s="213" t="s">
        <v>2897</v>
      </c>
      <c r="C1918" s="214">
        <v>2019</v>
      </c>
      <c r="D1918" s="214">
        <v>3</v>
      </c>
      <c r="E1918" s="214">
        <v>9</v>
      </c>
    </row>
    <row r="1919" spans="2:5" x14ac:dyDescent="0.25">
      <c r="B1919" s="213" t="s">
        <v>2846</v>
      </c>
      <c r="C1919" s="214">
        <v>2019</v>
      </c>
      <c r="D1919" s="214">
        <v>3</v>
      </c>
      <c r="E1919" s="214">
        <v>1</v>
      </c>
    </row>
    <row r="1920" spans="2:5" x14ac:dyDescent="0.25">
      <c r="B1920" s="213" t="s">
        <v>2846</v>
      </c>
      <c r="C1920" s="214">
        <v>2019</v>
      </c>
      <c r="D1920" s="214">
        <v>4</v>
      </c>
      <c r="E1920" s="214">
        <v>1</v>
      </c>
    </row>
    <row r="1921" spans="2:5" x14ac:dyDescent="0.25">
      <c r="B1921" s="213" t="s">
        <v>2846</v>
      </c>
      <c r="C1921" s="214">
        <v>2019</v>
      </c>
      <c r="D1921" s="214">
        <v>7</v>
      </c>
      <c r="E1921" s="214">
        <v>1</v>
      </c>
    </row>
    <row r="1922" spans="2:5" x14ac:dyDescent="0.25">
      <c r="B1922" s="213" t="s">
        <v>2910</v>
      </c>
      <c r="C1922" s="214">
        <v>2019</v>
      </c>
      <c r="D1922" s="214">
        <v>12</v>
      </c>
      <c r="E1922" s="214">
        <v>15</v>
      </c>
    </row>
    <row r="1923" spans="2:5" x14ac:dyDescent="0.25">
      <c r="B1923" s="213" t="s">
        <v>2910</v>
      </c>
      <c r="C1923" s="214">
        <v>2019</v>
      </c>
      <c r="D1923" s="214">
        <v>5</v>
      </c>
      <c r="E1923" s="214">
        <v>12</v>
      </c>
    </row>
    <row r="1924" spans="2:5" x14ac:dyDescent="0.25">
      <c r="B1924" s="213" t="s">
        <v>2910</v>
      </c>
      <c r="C1924" s="214">
        <v>2019</v>
      </c>
      <c r="D1924" s="214">
        <v>4</v>
      </c>
      <c r="E1924" s="214">
        <v>10</v>
      </c>
    </row>
    <row r="1925" spans="2:5" x14ac:dyDescent="0.25">
      <c r="B1925" s="213" t="s">
        <v>2910</v>
      </c>
      <c r="C1925" s="214">
        <v>2019</v>
      </c>
      <c r="D1925" s="214">
        <v>10</v>
      </c>
      <c r="E1925" s="214">
        <v>7</v>
      </c>
    </row>
    <row r="1926" spans="2:5" x14ac:dyDescent="0.25">
      <c r="B1926" s="213" t="s">
        <v>2910</v>
      </c>
      <c r="C1926" s="214">
        <v>2019</v>
      </c>
      <c r="D1926" s="214">
        <v>3</v>
      </c>
      <c r="E1926" s="214">
        <v>6</v>
      </c>
    </row>
    <row r="1927" spans="2:5" x14ac:dyDescent="0.25">
      <c r="B1927" s="213" t="s">
        <v>2910</v>
      </c>
      <c r="C1927" s="214">
        <v>2019</v>
      </c>
      <c r="D1927" s="214">
        <v>6</v>
      </c>
      <c r="E1927" s="214">
        <v>6</v>
      </c>
    </row>
    <row r="1928" spans="2:5" x14ac:dyDescent="0.25">
      <c r="B1928" s="213" t="s">
        <v>2910</v>
      </c>
      <c r="C1928" s="214">
        <v>2019</v>
      </c>
      <c r="D1928" s="214">
        <v>8</v>
      </c>
      <c r="E1928" s="214">
        <v>5</v>
      </c>
    </row>
    <row r="1929" spans="2:5" x14ac:dyDescent="0.25">
      <c r="B1929" s="213" t="s">
        <v>2910</v>
      </c>
      <c r="C1929" s="214">
        <v>2019</v>
      </c>
      <c r="D1929" s="214">
        <v>1</v>
      </c>
      <c r="E1929" s="214">
        <v>3</v>
      </c>
    </row>
    <row r="1930" spans="2:5" x14ac:dyDescent="0.25">
      <c r="B1930" s="213" t="s">
        <v>2910</v>
      </c>
      <c r="C1930" s="214">
        <v>2019</v>
      </c>
      <c r="D1930" s="214">
        <v>9</v>
      </c>
      <c r="E1930" s="214">
        <v>2</v>
      </c>
    </row>
    <row r="1931" spans="2:5" x14ac:dyDescent="0.25">
      <c r="B1931" s="213" t="s">
        <v>2910</v>
      </c>
      <c r="C1931" s="214">
        <v>2019</v>
      </c>
      <c r="D1931" s="214">
        <v>7</v>
      </c>
      <c r="E1931" s="214">
        <v>1</v>
      </c>
    </row>
    <row r="1932" spans="2:5" x14ac:dyDescent="0.25">
      <c r="B1932" s="213" t="s">
        <v>2847</v>
      </c>
      <c r="C1932" s="214">
        <v>2019</v>
      </c>
      <c r="D1932" s="214">
        <v>3</v>
      </c>
      <c r="E1932" s="214">
        <v>128</v>
      </c>
    </row>
    <row r="1933" spans="2:5" x14ac:dyDescent="0.25">
      <c r="B1933" s="213" t="s">
        <v>2847</v>
      </c>
      <c r="C1933" s="214">
        <v>2019</v>
      </c>
      <c r="D1933" s="214">
        <v>9</v>
      </c>
      <c r="E1933" s="214">
        <v>107</v>
      </c>
    </row>
    <row r="1934" spans="2:5" x14ac:dyDescent="0.25">
      <c r="B1934" s="213" t="s">
        <v>2847</v>
      </c>
      <c r="C1934" s="214">
        <v>2019</v>
      </c>
      <c r="D1934" s="214">
        <v>5</v>
      </c>
      <c r="E1934" s="214">
        <v>105</v>
      </c>
    </row>
    <row r="1935" spans="2:5" x14ac:dyDescent="0.25">
      <c r="B1935" s="213" t="s">
        <v>2847</v>
      </c>
      <c r="C1935" s="214">
        <v>2019</v>
      </c>
      <c r="D1935" s="214">
        <v>1</v>
      </c>
      <c r="E1935" s="214">
        <v>79</v>
      </c>
    </row>
    <row r="1936" spans="2:5" x14ac:dyDescent="0.25">
      <c r="B1936" s="213" t="s">
        <v>2847</v>
      </c>
      <c r="C1936" s="214">
        <v>2019</v>
      </c>
      <c r="D1936" s="214">
        <v>8</v>
      </c>
      <c r="E1936" s="214">
        <v>77</v>
      </c>
    </row>
    <row r="1937" spans="2:5" x14ac:dyDescent="0.25">
      <c r="B1937" s="213" t="s">
        <v>2847</v>
      </c>
      <c r="C1937" s="214">
        <v>2019</v>
      </c>
      <c r="D1937" s="214">
        <v>10</v>
      </c>
      <c r="E1937" s="214">
        <v>67</v>
      </c>
    </row>
    <row r="1938" spans="2:5" x14ac:dyDescent="0.25">
      <c r="B1938" s="213" t="s">
        <v>2847</v>
      </c>
      <c r="C1938" s="214">
        <v>2019</v>
      </c>
      <c r="D1938" s="214">
        <v>6</v>
      </c>
      <c r="E1938" s="214">
        <v>65</v>
      </c>
    </row>
    <row r="1939" spans="2:5" x14ac:dyDescent="0.25">
      <c r="B1939" s="213" t="s">
        <v>2847</v>
      </c>
      <c r="C1939" s="214">
        <v>2019</v>
      </c>
      <c r="D1939" s="214">
        <v>7</v>
      </c>
      <c r="E1939" s="214">
        <v>56</v>
      </c>
    </row>
    <row r="1940" spans="2:5" x14ac:dyDescent="0.25">
      <c r="B1940" s="213" t="s">
        <v>2847</v>
      </c>
      <c r="C1940" s="214">
        <v>2019</v>
      </c>
      <c r="D1940" s="214">
        <v>4</v>
      </c>
      <c r="E1940" s="214">
        <v>50</v>
      </c>
    </row>
    <row r="1941" spans="2:5" x14ac:dyDescent="0.25">
      <c r="B1941" s="213" t="s">
        <v>2847</v>
      </c>
      <c r="C1941" s="214">
        <v>2019</v>
      </c>
      <c r="D1941" s="214">
        <v>12</v>
      </c>
      <c r="E1941" s="214">
        <v>40</v>
      </c>
    </row>
    <row r="1942" spans="2:5" x14ac:dyDescent="0.25">
      <c r="B1942" s="213" t="s">
        <v>2847</v>
      </c>
      <c r="C1942" s="214">
        <v>2019</v>
      </c>
      <c r="D1942" s="214">
        <v>11</v>
      </c>
      <c r="E1942" s="214">
        <v>30</v>
      </c>
    </row>
    <row r="1943" spans="2:5" x14ac:dyDescent="0.25">
      <c r="B1943" s="213" t="s">
        <v>2847</v>
      </c>
      <c r="C1943" s="214">
        <v>2019</v>
      </c>
      <c r="D1943" s="214">
        <v>2</v>
      </c>
      <c r="E1943" s="214">
        <v>10</v>
      </c>
    </row>
    <row r="1944" spans="2:5" x14ac:dyDescent="0.25">
      <c r="B1944" s="213" t="s">
        <v>2963</v>
      </c>
      <c r="C1944" s="214">
        <v>2019</v>
      </c>
      <c r="D1944" s="214">
        <v>3</v>
      </c>
      <c r="E1944" s="214">
        <v>2</v>
      </c>
    </row>
    <row r="1945" spans="2:5" x14ac:dyDescent="0.25">
      <c r="B1945" s="213" t="s">
        <v>2963</v>
      </c>
      <c r="C1945" s="214">
        <v>2019</v>
      </c>
      <c r="D1945" s="214">
        <v>10</v>
      </c>
      <c r="E1945" s="214">
        <v>2</v>
      </c>
    </row>
    <row r="1946" spans="2:5" x14ac:dyDescent="0.25">
      <c r="B1946" s="213" t="s">
        <v>2848</v>
      </c>
      <c r="C1946" s="214">
        <v>2019</v>
      </c>
      <c r="D1946" s="214">
        <v>3</v>
      </c>
      <c r="E1946" s="214">
        <v>7</v>
      </c>
    </row>
    <row r="1947" spans="2:5" x14ac:dyDescent="0.25">
      <c r="B1947" s="213" t="s">
        <v>2848</v>
      </c>
      <c r="C1947" s="214">
        <v>2019</v>
      </c>
      <c r="D1947" s="214">
        <v>1</v>
      </c>
      <c r="E1947" s="214">
        <v>6</v>
      </c>
    </row>
    <row r="1948" spans="2:5" x14ac:dyDescent="0.25">
      <c r="B1948" s="213" t="s">
        <v>2848</v>
      </c>
      <c r="C1948" s="214">
        <v>2019</v>
      </c>
      <c r="D1948" s="214">
        <v>4</v>
      </c>
      <c r="E1948" s="214">
        <v>4</v>
      </c>
    </row>
    <row r="1949" spans="2:5" x14ac:dyDescent="0.25">
      <c r="B1949" s="213" t="s">
        <v>2848</v>
      </c>
      <c r="C1949" s="214">
        <v>2019</v>
      </c>
      <c r="D1949" s="214">
        <v>7</v>
      </c>
      <c r="E1949" s="214">
        <v>3</v>
      </c>
    </row>
    <row r="1950" spans="2:5" x14ac:dyDescent="0.25">
      <c r="B1950" s="213" t="s">
        <v>2848</v>
      </c>
      <c r="C1950" s="214">
        <v>2019</v>
      </c>
      <c r="D1950" s="214">
        <v>10</v>
      </c>
      <c r="E1950" s="214">
        <v>3</v>
      </c>
    </row>
    <row r="1951" spans="2:5" x14ac:dyDescent="0.25">
      <c r="B1951" s="213" t="s">
        <v>2848</v>
      </c>
      <c r="C1951" s="214">
        <v>2019</v>
      </c>
      <c r="D1951" s="214">
        <v>2</v>
      </c>
      <c r="E1951" s="214">
        <v>2</v>
      </c>
    </row>
    <row r="1952" spans="2:5" x14ac:dyDescent="0.25">
      <c r="B1952" s="213" t="s">
        <v>2848</v>
      </c>
      <c r="C1952" s="214">
        <v>2019</v>
      </c>
      <c r="D1952" s="214">
        <v>5</v>
      </c>
      <c r="E1952" s="214">
        <v>2</v>
      </c>
    </row>
    <row r="1953" spans="2:5" x14ac:dyDescent="0.25">
      <c r="B1953" s="213" t="s">
        <v>2848</v>
      </c>
      <c r="C1953" s="214">
        <v>2019</v>
      </c>
      <c r="D1953" s="214">
        <v>6</v>
      </c>
      <c r="E1953" s="214">
        <v>2</v>
      </c>
    </row>
    <row r="1954" spans="2:5" x14ac:dyDescent="0.25">
      <c r="B1954" s="213" t="s">
        <v>2848</v>
      </c>
      <c r="C1954" s="214">
        <v>2019</v>
      </c>
      <c r="D1954" s="214">
        <v>8</v>
      </c>
      <c r="E1954" s="214">
        <v>2</v>
      </c>
    </row>
    <row r="1955" spans="2:5" x14ac:dyDescent="0.25">
      <c r="B1955" s="213" t="s">
        <v>2848</v>
      </c>
      <c r="C1955" s="214">
        <v>2019</v>
      </c>
      <c r="D1955" s="214">
        <v>11</v>
      </c>
      <c r="E1955" s="214">
        <v>1</v>
      </c>
    </row>
    <row r="1956" spans="2:5" x14ac:dyDescent="0.25">
      <c r="B1956" s="213" t="s">
        <v>2848</v>
      </c>
      <c r="C1956" s="214">
        <v>2019</v>
      </c>
      <c r="D1956" s="214">
        <v>12</v>
      </c>
      <c r="E1956" s="214">
        <v>1</v>
      </c>
    </row>
    <row r="1957" spans="2:5" x14ac:dyDescent="0.25">
      <c r="B1957" s="213" t="s">
        <v>2849</v>
      </c>
      <c r="C1957" s="214">
        <v>2019</v>
      </c>
      <c r="D1957" s="214">
        <v>11</v>
      </c>
      <c r="E1957" s="214">
        <v>3</v>
      </c>
    </row>
    <row r="1958" spans="2:5" x14ac:dyDescent="0.25">
      <c r="B1958" s="213" t="s">
        <v>2849</v>
      </c>
      <c r="C1958" s="214">
        <v>2019</v>
      </c>
      <c r="D1958" s="214">
        <v>3</v>
      </c>
      <c r="E1958" s="214">
        <v>2</v>
      </c>
    </row>
    <row r="1959" spans="2:5" x14ac:dyDescent="0.25">
      <c r="B1959" s="213" t="s">
        <v>2849</v>
      </c>
      <c r="C1959" s="214">
        <v>2019</v>
      </c>
      <c r="D1959" s="214">
        <v>7</v>
      </c>
      <c r="E1959" s="214">
        <v>2</v>
      </c>
    </row>
    <row r="1960" spans="2:5" x14ac:dyDescent="0.25">
      <c r="B1960" s="213" t="s">
        <v>2849</v>
      </c>
      <c r="C1960" s="214">
        <v>2019</v>
      </c>
      <c r="D1960" s="214">
        <v>8</v>
      </c>
      <c r="E1960" s="214">
        <v>1</v>
      </c>
    </row>
    <row r="1961" spans="2:5" x14ac:dyDescent="0.25">
      <c r="B1961" s="213" t="s">
        <v>2849</v>
      </c>
      <c r="C1961" s="214">
        <v>2019</v>
      </c>
      <c r="D1961" s="214">
        <v>9</v>
      </c>
      <c r="E1961" s="214">
        <v>1</v>
      </c>
    </row>
    <row r="1962" spans="2:5" x14ac:dyDescent="0.25">
      <c r="B1962" s="213" t="s">
        <v>2850</v>
      </c>
      <c r="C1962" s="214">
        <v>2019</v>
      </c>
      <c r="D1962" s="214">
        <v>9</v>
      </c>
      <c r="E1962" s="214">
        <v>1</v>
      </c>
    </row>
    <row r="1963" spans="2:5" x14ac:dyDescent="0.25">
      <c r="B1963" s="213" t="s">
        <v>2916</v>
      </c>
      <c r="C1963" s="214">
        <v>2019</v>
      </c>
      <c r="D1963" s="214">
        <v>5</v>
      </c>
      <c r="E1963" s="214">
        <v>7</v>
      </c>
    </row>
    <row r="1964" spans="2:5" x14ac:dyDescent="0.25">
      <c r="B1964" s="213" t="s">
        <v>2916</v>
      </c>
      <c r="C1964" s="214">
        <v>2019</v>
      </c>
      <c r="D1964" s="214">
        <v>6</v>
      </c>
      <c r="E1964" s="214">
        <v>7</v>
      </c>
    </row>
    <row r="1965" spans="2:5" x14ac:dyDescent="0.25">
      <c r="B1965" s="213" t="s">
        <v>2916</v>
      </c>
      <c r="C1965" s="214">
        <v>2019</v>
      </c>
      <c r="D1965" s="214">
        <v>9</v>
      </c>
      <c r="E1965" s="214">
        <v>7</v>
      </c>
    </row>
    <row r="1966" spans="2:5" x14ac:dyDescent="0.25">
      <c r="B1966" s="213" t="s">
        <v>2916</v>
      </c>
      <c r="C1966" s="214">
        <v>2019</v>
      </c>
      <c r="D1966" s="214">
        <v>4</v>
      </c>
      <c r="E1966" s="214">
        <v>6</v>
      </c>
    </row>
    <row r="1967" spans="2:5" x14ac:dyDescent="0.25">
      <c r="B1967" s="213" t="s">
        <v>2916</v>
      </c>
      <c r="C1967" s="214">
        <v>2019</v>
      </c>
      <c r="D1967" s="214">
        <v>7</v>
      </c>
      <c r="E1967" s="214">
        <v>6</v>
      </c>
    </row>
    <row r="1968" spans="2:5" x14ac:dyDescent="0.25">
      <c r="B1968" s="213" t="s">
        <v>2916</v>
      </c>
      <c r="C1968" s="214">
        <v>2019</v>
      </c>
      <c r="D1968" s="214">
        <v>11</v>
      </c>
      <c r="E1968" s="214">
        <v>4</v>
      </c>
    </row>
    <row r="1969" spans="2:5" x14ac:dyDescent="0.25">
      <c r="B1969" s="213" t="s">
        <v>2916</v>
      </c>
      <c r="C1969" s="214">
        <v>2019</v>
      </c>
      <c r="D1969" s="214">
        <v>2</v>
      </c>
      <c r="E1969" s="214">
        <v>3</v>
      </c>
    </row>
    <row r="1970" spans="2:5" x14ac:dyDescent="0.25">
      <c r="B1970" s="213" t="s">
        <v>2916</v>
      </c>
      <c r="C1970" s="214">
        <v>2019</v>
      </c>
      <c r="D1970" s="214">
        <v>3</v>
      </c>
      <c r="E1970" s="214">
        <v>3</v>
      </c>
    </row>
    <row r="1971" spans="2:5" x14ac:dyDescent="0.25">
      <c r="B1971" s="213" t="s">
        <v>2916</v>
      </c>
      <c r="C1971" s="214">
        <v>2019</v>
      </c>
      <c r="D1971" s="214">
        <v>8</v>
      </c>
      <c r="E1971" s="214">
        <v>3</v>
      </c>
    </row>
    <row r="1972" spans="2:5" x14ac:dyDescent="0.25">
      <c r="B1972" s="213" t="s">
        <v>2916</v>
      </c>
      <c r="C1972" s="214">
        <v>2019</v>
      </c>
      <c r="D1972" s="214">
        <v>1</v>
      </c>
      <c r="E1972" s="214">
        <v>2</v>
      </c>
    </row>
    <row r="1973" spans="2:5" x14ac:dyDescent="0.25">
      <c r="B1973" s="213" t="s">
        <v>2916</v>
      </c>
      <c r="C1973" s="214">
        <v>2019</v>
      </c>
      <c r="D1973" s="214">
        <v>10</v>
      </c>
      <c r="E1973" s="214">
        <v>2</v>
      </c>
    </row>
    <row r="1974" spans="2:5" x14ac:dyDescent="0.25">
      <c r="B1974" s="213" t="s">
        <v>2916</v>
      </c>
      <c r="C1974" s="214">
        <v>2019</v>
      </c>
      <c r="D1974" s="214">
        <v>12</v>
      </c>
      <c r="E1974" s="214">
        <v>1</v>
      </c>
    </row>
    <row r="1975" spans="2:5" x14ac:dyDescent="0.25">
      <c r="B1975" s="213" t="s">
        <v>981</v>
      </c>
      <c r="C1975" s="214">
        <v>2019</v>
      </c>
      <c r="D1975" s="214">
        <v>4</v>
      </c>
      <c r="E1975" s="214">
        <v>931</v>
      </c>
    </row>
    <row r="1976" spans="2:5" x14ac:dyDescent="0.25">
      <c r="B1976" s="213" t="s">
        <v>981</v>
      </c>
      <c r="C1976" s="214">
        <v>2019</v>
      </c>
      <c r="D1976" s="214">
        <v>9</v>
      </c>
      <c r="E1976" s="214">
        <v>916</v>
      </c>
    </row>
    <row r="1977" spans="2:5" x14ac:dyDescent="0.25">
      <c r="B1977" s="213" t="s">
        <v>981</v>
      </c>
      <c r="C1977" s="214">
        <v>2019</v>
      </c>
      <c r="D1977" s="214">
        <v>1</v>
      </c>
      <c r="E1977" s="214">
        <v>887</v>
      </c>
    </row>
    <row r="1978" spans="2:5" x14ac:dyDescent="0.25">
      <c r="B1978" s="213" t="s">
        <v>981</v>
      </c>
      <c r="C1978" s="214">
        <v>2019</v>
      </c>
      <c r="D1978" s="214">
        <v>6</v>
      </c>
      <c r="E1978" s="214">
        <v>806</v>
      </c>
    </row>
    <row r="1979" spans="2:5" x14ac:dyDescent="0.25">
      <c r="B1979" s="213" t="s">
        <v>981</v>
      </c>
      <c r="C1979" s="214">
        <v>2019</v>
      </c>
      <c r="D1979" s="214">
        <v>10</v>
      </c>
      <c r="E1979" s="214">
        <v>679</v>
      </c>
    </row>
    <row r="1980" spans="2:5" x14ac:dyDescent="0.25">
      <c r="B1980" s="213" t="s">
        <v>981</v>
      </c>
      <c r="C1980" s="214">
        <v>2019</v>
      </c>
      <c r="D1980" s="214">
        <v>2</v>
      </c>
      <c r="E1980" s="214">
        <v>671</v>
      </c>
    </row>
    <row r="1981" spans="2:5" x14ac:dyDescent="0.25">
      <c r="B1981" s="213" t="s">
        <v>981</v>
      </c>
      <c r="C1981" s="214">
        <v>2019</v>
      </c>
      <c r="D1981" s="214">
        <v>3</v>
      </c>
      <c r="E1981" s="214">
        <v>637</v>
      </c>
    </row>
    <row r="1982" spans="2:5" x14ac:dyDescent="0.25">
      <c r="B1982" s="213" t="s">
        <v>981</v>
      </c>
      <c r="C1982" s="214">
        <v>2019</v>
      </c>
      <c r="D1982" s="214">
        <v>8</v>
      </c>
      <c r="E1982" s="214">
        <v>626</v>
      </c>
    </row>
    <row r="1983" spans="2:5" x14ac:dyDescent="0.25">
      <c r="B1983" s="213" t="s">
        <v>981</v>
      </c>
      <c r="C1983" s="214">
        <v>2019</v>
      </c>
      <c r="D1983" s="214">
        <v>5</v>
      </c>
      <c r="E1983" s="214">
        <v>607</v>
      </c>
    </row>
    <row r="1984" spans="2:5" x14ac:dyDescent="0.25">
      <c r="B1984" s="213" t="s">
        <v>981</v>
      </c>
      <c r="C1984" s="214">
        <v>2019</v>
      </c>
      <c r="D1984" s="214">
        <v>12</v>
      </c>
      <c r="E1984" s="214">
        <v>554</v>
      </c>
    </row>
    <row r="1985" spans="2:5" x14ac:dyDescent="0.25">
      <c r="B1985" s="213" t="s">
        <v>981</v>
      </c>
      <c r="C1985" s="214">
        <v>2019</v>
      </c>
      <c r="D1985" s="214">
        <v>7</v>
      </c>
      <c r="E1985" s="214">
        <v>470</v>
      </c>
    </row>
    <row r="1986" spans="2:5" x14ac:dyDescent="0.25">
      <c r="B1986" s="213" t="s">
        <v>981</v>
      </c>
      <c r="C1986" s="214">
        <v>2019</v>
      </c>
      <c r="D1986" s="214">
        <v>11</v>
      </c>
      <c r="E1986" s="214">
        <v>435</v>
      </c>
    </row>
    <row r="1987" spans="2:5" x14ac:dyDescent="0.25">
      <c r="B1987" s="213" t="s">
        <v>2851</v>
      </c>
      <c r="C1987" s="214">
        <v>2019</v>
      </c>
      <c r="D1987" s="214">
        <v>7</v>
      </c>
      <c r="E1987" s="214">
        <v>54</v>
      </c>
    </row>
    <row r="1988" spans="2:5" x14ac:dyDescent="0.25">
      <c r="B1988" s="213" t="s">
        <v>2851</v>
      </c>
      <c r="C1988" s="214">
        <v>2019</v>
      </c>
      <c r="D1988" s="214">
        <v>5</v>
      </c>
      <c r="E1988" s="214">
        <v>47</v>
      </c>
    </row>
    <row r="1989" spans="2:5" x14ac:dyDescent="0.25">
      <c r="B1989" s="213" t="s">
        <v>2851</v>
      </c>
      <c r="C1989" s="214">
        <v>2019</v>
      </c>
      <c r="D1989" s="214">
        <v>10</v>
      </c>
      <c r="E1989" s="214">
        <v>43</v>
      </c>
    </row>
    <row r="1990" spans="2:5" x14ac:dyDescent="0.25">
      <c r="B1990" s="213" t="s">
        <v>2851</v>
      </c>
      <c r="C1990" s="214">
        <v>2019</v>
      </c>
      <c r="D1990" s="214">
        <v>8</v>
      </c>
      <c r="E1990" s="214">
        <v>33</v>
      </c>
    </row>
    <row r="1991" spans="2:5" x14ac:dyDescent="0.25">
      <c r="B1991" s="213" t="s">
        <v>2851</v>
      </c>
      <c r="C1991" s="214">
        <v>2019</v>
      </c>
      <c r="D1991" s="214">
        <v>4</v>
      </c>
      <c r="E1991" s="214">
        <v>28</v>
      </c>
    </row>
    <row r="1992" spans="2:5" x14ac:dyDescent="0.25">
      <c r="B1992" s="213" t="s">
        <v>2851</v>
      </c>
      <c r="C1992" s="214">
        <v>2019</v>
      </c>
      <c r="D1992" s="214">
        <v>3</v>
      </c>
      <c r="E1992" s="214">
        <v>23</v>
      </c>
    </row>
    <row r="1993" spans="2:5" x14ac:dyDescent="0.25">
      <c r="B1993" s="213" t="s">
        <v>2851</v>
      </c>
      <c r="C1993" s="214">
        <v>2019</v>
      </c>
      <c r="D1993" s="214">
        <v>6</v>
      </c>
      <c r="E1993" s="214">
        <v>22</v>
      </c>
    </row>
    <row r="1994" spans="2:5" x14ac:dyDescent="0.25">
      <c r="B1994" s="213" t="s">
        <v>2851</v>
      </c>
      <c r="C1994" s="214">
        <v>2019</v>
      </c>
      <c r="D1994" s="214">
        <v>11</v>
      </c>
      <c r="E1994" s="214">
        <v>20</v>
      </c>
    </row>
    <row r="1995" spans="2:5" x14ac:dyDescent="0.25">
      <c r="B1995" s="213" t="s">
        <v>2851</v>
      </c>
      <c r="C1995" s="214">
        <v>2019</v>
      </c>
      <c r="D1995" s="214">
        <v>9</v>
      </c>
      <c r="E1995" s="214">
        <v>19</v>
      </c>
    </row>
    <row r="1996" spans="2:5" x14ac:dyDescent="0.25">
      <c r="B1996" s="213" t="s">
        <v>2851</v>
      </c>
      <c r="C1996" s="214">
        <v>2019</v>
      </c>
      <c r="D1996" s="214">
        <v>1</v>
      </c>
      <c r="E1996" s="214">
        <v>17</v>
      </c>
    </row>
    <row r="1997" spans="2:5" x14ac:dyDescent="0.25">
      <c r="B1997" s="213" t="s">
        <v>2851</v>
      </c>
      <c r="C1997" s="214">
        <v>2019</v>
      </c>
      <c r="D1997" s="214">
        <v>12</v>
      </c>
      <c r="E1997" s="214">
        <v>7</v>
      </c>
    </row>
    <row r="1998" spans="2:5" x14ac:dyDescent="0.25">
      <c r="B1998" s="213" t="s">
        <v>2851</v>
      </c>
      <c r="C1998" s="214">
        <v>2019</v>
      </c>
      <c r="D1998" s="214">
        <v>2</v>
      </c>
      <c r="E1998" s="214">
        <v>4</v>
      </c>
    </row>
    <row r="1999" spans="2:5" x14ac:dyDescent="0.25">
      <c r="B1999" s="213" t="s">
        <v>2852</v>
      </c>
      <c r="C1999" s="214">
        <v>2019</v>
      </c>
      <c r="D1999" s="214">
        <v>9</v>
      </c>
      <c r="E1999" s="214">
        <v>49</v>
      </c>
    </row>
    <row r="2000" spans="2:5" x14ac:dyDescent="0.25">
      <c r="B2000" s="213" t="s">
        <v>2852</v>
      </c>
      <c r="C2000" s="214">
        <v>2019</v>
      </c>
      <c r="D2000" s="214">
        <v>2</v>
      </c>
      <c r="E2000" s="214">
        <v>40</v>
      </c>
    </row>
    <row r="2001" spans="2:5" x14ac:dyDescent="0.25">
      <c r="B2001" s="213" t="s">
        <v>2852</v>
      </c>
      <c r="C2001" s="214">
        <v>2019</v>
      </c>
      <c r="D2001" s="214">
        <v>5</v>
      </c>
      <c r="E2001" s="214">
        <v>27</v>
      </c>
    </row>
    <row r="2002" spans="2:5" x14ac:dyDescent="0.25">
      <c r="B2002" s="213" t="s">
        <v>2852</v>
      </c>
      <c r="C2002" s="214">
        <v>2019</v>
      </c>
      <c r="D2002" s="214">
        <v>8</v>
      </c>
      <c r="E2002" s="214">
        <v>27</v>
      </c>
    </row>
    <row r="2003" spans="2:5" x14ac:dyDescent="0.25">
      <c r="B2003" s="213" t="s">
        <v>2852</v>
      </c>
      <c r="C2003" s="214">
        <v>2019</v>
      </c>
      <c r="D2003" s="214">
        <v>3</v>
      </c>
      <c r="E2003" s="214">
        <v>26</v>
      </c>
    </row>
    <row r="2004" spans="2:5" x14ac:dyDescent="0.25">
      <c r="B2004" s="213" t="s">
        <v>2852</v>
      </c>
      <c r="C2004" s="214">
        <v>2019</v>
      </c>
      <c r="D2004" s="214">
        <v>10</v>
      </c>
      <c r="E2004" s="214">
        <v>25</v>
      </c>
    </row>
    <row r="2005" spans="2:5" x14ac:dyDescent="0.25">
      <c r="B2005" s="213" t="s">
        <v>2852</v>
      </c>
      <c r="C2005" s="214">
        <v>2019</v>
      </c>
      <c r="D2005" s="214">
        <v>7</v>
      </c>
      <c r="E2005" s="214">
        <v>24</v>
      </c>
    </row>
    <row r="2006" spans="2:5" x14ac:dyDescent="0.25">
      <c r="B2006" s="213" t="s">
        <v>2852</v>
      </c>
      <c r="C2006" s="214">
        <v>2019</v>
      </c>
      <c r="D2006" s="214">
        <v>6</v>
      </c>
      <c r="E2006" s="214">
        <v>23</v>
      </c>
    </row>
    <row r="2007" spans="2:5" x14ac:dyDescent="0.25">
      <c r="B2007" s="213" t="s">
        <v>2852</v>
      </c>
      <c r="C2007" s="214">
        <v>2019</v>
      </c>
      <c r="D2007" s="214">
        <v>11</v>
      </c>
      <c r="E2007" s="214">
        <v>13</v>
      </c>
    </row>
    <row r="2008" spans="2:5" x14ac:dyDescent="0.25">
      <c r="B2008" s="213" t="s">
        <v>2852</v>
      </c>
      <c r="C2008" s="214">
        <v>2019</v>
      </c>
      <c r="D2008" s="214">
        <v>12</v>
      </c>
      <c r="E2008" s="214">
        <v>12</v>
      </c>
    </row>
    <row r="2009" spans="2:5" x14ac:dyDescent="0.25">
      <c r="B2009" s="213" t="s">
        <v>2852</v>
      </c>
      <c r="C2009" s="214">
        <v>2019</v>
      </c>
      <c r="D2009" s="214">
        <v>1</v>
      </c>
      <c r="E2009" s="214">
        <v>10</v>
      </c>
    </row>
    <row r="2010" spans="2:5" x14ac:dyDescent="0.25">
      <c r="B2010" s="213" t="s">
        <v>2852</v>
      </c>
      <c r="C2010" s="214">
        <v>2019</v>
      </c>
      <c r="D2010" s="214">
        <v>4</v>
      </c>
      <c r="E2010" s="214">
        <v>2</v>
      </c>
    </row>
    <row r="2011" spans="2:5" x14ac:dyDescent="0.25">
      <c r="B2011" s="213" t="s">
        <v>2923</v>
      </c>
      <c r="C2011" s="214">
        <v>2019</v>
      </c>
      <c r="D2011" s="214">
        <v>5</v>
      </c>
      <c r="E2011" s="214">
        <v>8</v>
      </c>
    </row>
    <row r="2012" spans="2:5" x14ac:dyDescent="0.25">
      <c r="B2012" s="213" t="s">
        <v>2923</v>
      </c>
      <c r="C2012" s="214">
        <v>2019</v>
      </c>
      <c r="D2012" s="214">
        <v>2</v>
      </c>
      <c r="E2012" s="214">
        <v>6</v>
      </c>
    </row>
    <row r="2013" spans="2:5" x14ac:dyDescent="0.25">
      <c r="B2013" s="213" t="s">
        <v>2923</v>
      </c>
      <c r="C2013" s="214">
        <v>2019</v>
      </c>
      <c r="D2013" s="214">
        <v>4</v>
      </c>
      <c r="E2013" s="214">
        <v>6</v>
      </c>
    </row>
    <row r="2014" spans="2:5" x14ac:dyDescent="0.25">
      <c r="B2014" s="213" t="s">
        <v>2923</v>
      </c>
      <c r="C2014" s="214">
        <v>2019</v>
      </c>
      <c r="D2014" s="214">
        <v>6</v>
      </c>
      <c r="E2014" s="214">
        <v>6</v>
      </c>
    </row>
    <row r="2015" spans="2:5" x14ac:dyDescent="0.25">
      <c r="B2015" s="213" t="s">
        <v>2923</v>
      </c>
      <c r="C2015" s="214">
        <v>2019</v>
      </c>
      <c r="D2015" s="214">
        <v>7</v>
      </c>
      <c r="E2015" s="214">
        <v>4</v>
      </c>
    </row>
    <row r="2016" spans="2:5" x14ac:dyDescent="0.25">
      <c r="B2016" s="213" t="s">
        <v>2923</v>
      </c>
      <c r="C2016" s="214">
        <v>2019</v>
      </c>
      <c r="D2016" s="214">
        <v>3</v>
      </c>
      <c r="E2016" s="214">
        <v>3</v>
      </c>
    </row>
    <row r="2017" spans="2:5" x14ac:dyDescent="0.25">
      <c r="B2017" s="213" t="s">
        <v>2923</v>
      </c>
      <c r="C2017" s="214">
        <v>2019</v>
      </c>
      <c r="D2017" s="214">
        <v>10</v>
      </c>
      <c r="E2017" s="214">
        <v>3</v>
      </c>
    </row>
    <row r="2018" spans="2:5" x14ac:dyDescent="0.25">
      <c r="B2018" s="213" t="s">
        <v>2923</v>
      </c>
      <c r="C2018" s="214">
        <v>2019</v>
      </c>
      <c r="D2018" s="214">
        <v>12</v>
      </c>
      <c r="E2018" s="214">
        <v>3</v>
      </c>
    </row>
    <row r="2019" spans="2:5" x14ac:dyDescent="0.25">
      <c r="B2019" s="213" t="s">
        <v>2923</v>
      </c>
      <c r="C2019" s="214">
        <v>2019</v>
      </c>
      <c r="D2019" s="214">
        <v>8</v>
      </c>
      <c r="E2019" s="214">
        <v>1</v>
      </c>
    </row>
    <row r="2020" spans="2:5" x14ac:dyDescent="0.25">
      <c r="B2020" s="213" t="s">
        <v>2917</v>
      </c>
      <c r="C2020" s="214">
        <v>2019</v>
      </c>
      <c r="D2020" s="214">
        <v>4</v>
      </c>
      <c r="E2020" s="214">
        <v>11</v>
      </c>
    </row>
    <row r="2021" spans="2:5" x14ac:dyDescent="0.25">
      <c r="B2021" s="213" t="s">
        <v>2917</v>
      </c>
      <c r="C2021" s="214">
        <v>2019</v>
      </c>
      <c r="D2021" s="214">
        <v>1</v>
      </c>
      <c r="E2021" s="214">
        <v>10</v>
      </c>
    </row>
    <row r="2022" spans="2:5" x14ac:dyDescent="0.25">
      <c r="B2022" s="213" t="s">
        <v>2917</v>
      </c>
      <c r="C2022" s="214">
        <v>2019</v>
      </c>
      <c r="D2022" s="214">
        <v>3</v>
      </c>
      <c r="E2022" s="214">
        <v>6</v>
      </c>
    </row>
    <row r="2023" spans="2:5" x14ac:dyDescent="0.25">
      <c r="B2023" s="213" t="s">
        <v>2917</v>
      </c>
      <c r="C2023" s="214">
        <v>2019</v>
      </c>
      <c r="D2023" s="214">
        <v>8</v>
      </c>
      <c r="E2023" s="214">
        <v>6</v>
      </c>
    </row>
    <row r="2024" spans="2:5" x14ac:dyDescent="0.25">
      <c r="B2024" s="213" t="s">
        <v>2917</v>
      </c>
      <c r="C2024" s="214">
        <v>2019</v>
      </c>
      <c r="D2024" s="214">
        <v>9</v>
      </c>
      <c r="E2024" s="214">
        <v>5</v>
      </c>
    </row>
    <row r="2025" spans="2:5" x14ac:dyDescent="0.25">
      <c r="B2025" s="213" t="s">
        <v>2917</v>
      </c>
      <c r="C2025" s="214">
        <v>2019</v>
      </c>
      <c r="D2025" s="214">
        <v>12</v>
      </c>
      <c r="E2025" s="214">
        <v>4</v>
      </c>
    </row>
    <row r="2026" spans="2:5" x14ac:dyDescent="0.25">
      <c r="B2026" s="213" t="s">
        <v>2917</v>
      </c>
      <c r="C2026" s="214">
        <v>2019</v>
      </c>
      <c r="D2026" s="214">
        <v>7</v>
      </c>
      <c r="E2026" s="214">
        <v>3</v>
      </c>
    </row>
    <row r="2027" spans="2:5" x14ac:dyDescent="0.25">
      <c r="B2027" s="213" t="s">
        <v>2917</v>
      </c>
      <c r="C2027" s="214">
        <v>2019</v>
      </c>
      <c r="D2027" s="214">
        <v>5</v>
      </c>
      <c r="E2027" s="214">
        <v>2</v>
      </c>
    </row>
    <row r="2028" spans="2:5" x14ac:dyDescent="0.25">
      <c r="B2028" s="213" t="s">
        <v>2917</v>
      </c>
      <c r="C2028" s="214">
        <v>2019</v>
      </c>
      <c r="D2028" s="214">
        <v>10</v>
      </c>
      <c r="E2028" s="214">
        <v>2</v>
      </c>
    </row>
    <row r="2029" spans="2:5" x14ac:dyDescent="0.25">
      <c r="B2029" s="213" t="s">
        <v>2917</v>
      </c>
      <c r="C2029" s="214">
        <v>2019</v>
      </c>
      <c r="D2029" s="214">
        <v>11</v>
      </c>
      <c r="E2029" s="214">
        <v>2</v>
      </c>
    </row>
    <row r="2030" spans="2:5" x14ac:dyDescent="0.25">
      <c r="B2030" s="213" t="s">
        <v>2943</v>
      </c>
      <c r="C2030" s="214">
        <v>2019</v>
      </c>
      <c r="D2030" s="214">
        <v>1</v>
      </c>
      <c r="E2030" s="214">
        <v>2</v>
      </c>
    </row>
    <row r="2031" spans="2:5" x14ac:dyDescent="0.25">
      <c r="B2031" s="213" t="s">
        <v>2943</v>
      </c>
      <c r="C2031" s="214">
        <v>2019</v>
      </c>
      <c r="D2031" s="214">
        <v>6</v>
      </c>
      <c r="E2031" s="214">
        <v>2</v>
      </c>
    </row>
    <row r="2032" spans="2:5" x14ac:dyDescent="0.25">
      <c r="B2032" s="213" t="s">
        <v>2943</v>
      </c>
      <c r="C2032" s="214">
        <v>2019</v>
      </c>
      <c r="D2032" s="214">
        <v>8</v>
      </c>
      <c r="E2032" s="214">
        <v>2</v>
      </c>
    </row>
    <row r="2033" spans="2:5" x14ac:dyDescent="0.25">
      <c r="B2033" s="213" t="s">
        <v>2943</v>
      </c>
      <c r="C2033" s="214">
        <v>2019</v>
      </c>
      <c r="D2033" s="214">
        <v>9</v>
      </c>
      <c r="E2033" s="214">
        <v>2</v>
      </c>
    </row>
    <row r="2034" spans="2:5" x14ac:dyDescent="0.25">
      <c r="B2034" s="213" t="s">
        <v>2943</v>
      </c>
      <c r="C2034" s="214">
        <v>2019</v>
      </c>
      <c r="D2034" s="214">
        <v>5</v>
      </c>
      <c r="E2034" s="214">
        <v>1</v>
      </c>
    </row>
    <row r="2035" spans="2:5" x14ac:dyDescent="0.25">
      <c r="B2035" s="213" t="s">
        <v>2943</v>
      </c>
      <c r="C2035" s="214">
        <v>2019</v>
      </c>
      <c r="D2035" s="214">
        <v>10</v>
      </c>
      <c r="E2035" s="214">
        <v>1</v>
      </c>
    </row>
    <row r="2036" spans="2:5" x14ac:dyDescent="0.25">
      <c r="B2036" s="213" t="s">
        <v>2943</v>
      </c>
      <c r="C2036" s="214">
        <v>2019</v>
      </c>
      <c r="D2036" s="214">
        <v>11</v>
      </c>
      <c r="E2036" s="214">
        <v>1</v>
      </c>
    </row>
    <row r="2037" spans="2:5" x14ac:dyDescent="0.25">
      <c r="B2037" s="213" t="s">
        <v>2948</v>
      </c>
      <c r="C2037" s="214">
        <v>2019</v>
      </c>
      <c r="D2037" s="214">
        <v>8</v>
      </c>
      <c r="E2037" s="214">
        <v>3</v>
      </c>
    </row>
    <row r="2038" spans="2:5" x14ac:dyDescent="0.25">
      <c r="B2038" s="213" t="s">
        <v>2948</v>
      </c>
      <c r="C2038" s="214">
        <v>2019</v>
      </c>
      <c r="D2038" s="214">
        <v>5</v>
      </c>
      <c r="E2038" s="214">
        <v>2</v>
      </c>
    </row>
    <row r="2039" spans="2:5" x14ac:dyDescent="0.25">
      <c r="B2039" s="213" t="s">
        <v>2948</v>
      </c>
      <c r="C2039" s="214">
        <v>2019</v>
      </c>
      <c r="D2039" s="214">
        <v>7</v>
      </c>
      <c r="E2039" s="214">
        <v>2</v>
      </c>
    </row>
    <row r="2040" spans="2:5" x14ac:dyDescent="0.25">
      <c r="B2040" s="213" t="s">
        <v>2948</v>
      </c>
      <c r="C2040" s="214">
        <v>2019</v>
      </c>
      <c r="D2040" s="214">
        <v>10</v>
      </c>
      <c r="E2040" s="214">
        <v>2</v>
      </c>
    </row>
    <row r="2041" spans="2:5" x14ac:dyDescent="0.25">
      <c r="B2041" s="213" t="s">
        <v>2948</v>
      </c>
      <c r="C2041" s="214">
        <v>2019</v>
      </c>
      <c r="D2041" s="214">
        <v>6</v>
      </c>
      <c r="E2041" s="214">
        <v>1</v>
      </c>
    </row>
    <row r="2042" spans="2:5" x14ac:dyDescent="0.25">
      <c r="B2042" s="213" t="s">
        <v>2853</v>
      </c>
      <c r="C2042" s="214">
        <v>2019</v>
      </c>
      <c r="D2042" s="214">
        <v>10</v>
      </c>
      <c r="E2042" s="214">
        <v>190</v>
      </c>
    </row>
    <row r="2043" spans="2:5" x14ac:dyDescent="0.25">
      <c r="B2043" s="213" t="s">
        <v>2853</v>
      </c>
      <c r="C2043" s="214">
        <v>2019</v>
      </c>
      <c r="D2043" s="214">
        <v>4</v>
      </c>
      <c r="E2043" s="214">
        <v>183</v>
      </c>
    </row>
    <row r="2044" spans="2:5" x14ac:dyDescent="0.25">
      <c r="B2044" s="213" t="s">
        <v>2853</v>
      </c>
      <c r="C2044" s="214">
        <v>2019</v>
      </c>
      <c r="D2044" s="214">
        <v>2</v>
      </c>
      <c r="E2044" s="214">
        <v>149</v>
      </c>
    </row>
    <row r="2045" spans="2:5" x14ac:dyDescent="0.25">
      <c r="B2045" s="213" t="s">
        <v>2853</v>
      </c>
      <c r="C2045" s="214">
        <v>2019</v>
      </c>
      <c r="D2045" s="214">
        <v>1</v>
      </c>
      <c r="E2045" s="214">
        <v>123</v>
      </c>
    </row>
    <row r="2046" spans="2:5" x14ac:dyDescent="0.25">
      <c r="B2046" s="213" t="s">
        <v>2853</v>
      </c>
      <c r="C2046" s="214">
        <v>2019</v>
      </c>
      <c r="D2046" s="214">
        <v>3</v>
      </c>
      <c r="E2046" s="214">
        <v>114</v>
      </c>
    </row>
    <row r="2047" spans="2:5" x14ac:dyDescent="0.25">
      <c r="B2047" s="213" t="s">
        <v>2853</v>
      </c>
      <c r="C2047" s="214">
        <v>2019</v>
      </c>
      <c r="D2047" s="214">
        <v>8</v>
      </c>
      <c r="E2047" s="214">
        <v>114</v>
      </c>
    </row>
    <row r="2048" spans="2:5" x14ac:dyDescent="0.25">
      <c r="B2048" s="213" t="s">
        <v>2853</v>
      </c>
      <c r="C2048" s="214">
        <v>2019</v>
      </c>
      <c r="D2048" s="214">
        <v>11</v>
      </c>
      <c r="E2048" s="214">
        <v>95</v>
      </c>
    </row>
    <row r="2049" spans="2:5" x14ac:dyDescent="0.25">
      <c r="B2049" s="213" t="s">
        <v>2853</v>
      </c>
      <c r="C2049" s="214">
        <v>2019</v>
      </c>
      <c r="D2049" s="214">
        <v>9</v>
      </c>
      <c r="E2049" s="214">
        <v>94</v>
      </c>
    </row>
    <row r="2050" spans="2:5" x14ac:dyDescent="0.25">
      <c r="B2050" s="213" t="s">
        <v>2853</v>
      </c>
      <c r="C2050" s="214">
        <v>2019</v>
      </c>
      <c r="D2050" s="214">
        <v>5</v>
      </c>
      <c r="E2050" s="214">
        <v>91</v>
      </c>
    </row>
    <row r="2051" spans="2:5" x14ac:dyDescent="0.25">
      <c r="B2051" s="213" t="s">
        <v>2853</v>
      </c>
      <c r="C2051" s="214">
        <v>2019</v>
      </c>
      <c r="D2051" s="214">
        <v>7</v>
      </c>
      <c r="E2051" s="214">
        <v>83</v>
      </c>
    </row>
    <row r="2052" spans="2:5" x14ac:dyDescent="0.25">
      <c r="B2052" s="213" t="s">
        <v>2853</v>
      </c>
      <c r="C2052" s="214">
        <v>2019</v>
      </c>
      <c r="D2052" s="214">
        <v>12</v>
      </c>
      <c r="E2052" s="214">
        <v>75</v>
      </c>
    </row>
    <row r="2053" spans="2:5" x14ac:dyDescent="0.25">
      <c r="B2053" s="213" t="s">
        <v>2853</v>
      </c>
      <c r="C2053" s="214">
        <v>2019</v>
      </c>
      <c r="D2053" s="214">
        <v>6</v>
      </c>
      <c r="E2053" s="214">
        <v>51</v>
      </c>
    </row>
    <row r="2054" spans="2:5" x14ac:dyDescent="0.25">
      <c r="B2054" s="213" t="s">
        <v>2964</v>
      </c>
      <c r="C2054" s="214">
        <v>2019</v>
      </c>
      <c r="D2054" s="214">
        <v>2</v>
      </c>
      <c r="E2054" s="214">
        <v>1</v>
      </c>
    </row>
    <row r="2055" spans="2:5" x14ac:dyDescent="0.25">
      <c r="B2055" s="213" t="s">
        <v>2964</v>
      </c>
      <c r="C2055" s="214">
        <v>2019</v>
      </c>
      <c r="D2055" s="214">
        <v>5</v>
      </c>
      <c r="E2055" s="214">
        <v>1</v>
      </c>
    </row>
    <row r="2056" spans="2:5" x14ac:dyDescent="0.25">
      <c r="B2056" s="213" t="s">
        <v>2964</v>
      </c>
      <c r="C2056" s="214">
        <v>2019</v>
      </c>
      <c r="D2056" s="214">
        <v>9</v>
      </c>
      <c r="E2056" s="214">
        <v>1</v>
      </c>
    </row>
    <row r="2057" spans="2:5" x14ac:dyDescent="0.25">
      <c r="B2057" s="213" t="s">
        <v>2964</v>
      </c>
      <c r="C2057" s="214">
        <v>2019</v>
      </c>
      <c r="D2057" s="214">
        <v>12</v>
      </c>
      <c r="E2057" s="214">
        <v>1</v>
      </c>
    </row>
    <row r="2058" spans="2:5" x14ac:dyDescent="0.25">
      <c r="B2058" s="213" t="s">
        <v>2918</v>
      </c>
      <c r="C2058" s="214">
        <v>2019</v>
      </c>
      <c r="D2058" s="214">
        <v>3</v>
      </c>
      <c r="E2058" s="214">
        <v>14</v>
      </c>
    </row>
    <row r="2059" spans="2:5" x14ac:dyDescent="0.25">
      <c r="B2059" s="213" t="s">
        <v>2918</v>
      </c>
      <c r="C2059" s="214">
        <v>2019</v>
      </c>
      <c r="D2059" s="214">
        <v>5</v>
      </c>
      <c r="E2059" s="214">
        <v>12</v>
      </c>
    </row>
    <row r="2060" spans="2:5" x14ac:dyDescent="0.25">
      <c r="B2060" s="213" t="s">
        <v>2918</v>
      </c>
      <c r="C2060" s="214">
        <v>2019</v>
      </c>
      <c r="D2060" s="214">
        <v>10</v>
      </c>
      <c r="E2060" s="214">
        <v>7</v>
      </c>
    </row>
    <row r="2061" spans="2:5" x14ac:dyDescent="0.25">
      <c r="B2061" s="213" t="s">
        <v>2918</v>
      </c>
      <c r="C2061" s="214">
        <v>2019</v>
      </c>
      <c r="D2061" s="214">
        <v>7</v>
      </c>
      <c r="E2061" s="214">
        <v>6</v>
      </c>
    </row>
    <row r="2062" spans="2:5" x14ac:dyDescent="0.25">
      <c r="B2062" s="213" t="s">
        <v>2918</v>
      </c>
      <c r="C2062" s="214">
        <v>2019</v>
      </c>
      <c r="D2062" s="214">
        <v>4</v>
      </c>
      <c r="E2062" s="214">
        <v>3</v>
      </c>
    </row>
    <row r="2063" spans="2:5" x14ac:dyDescent="0.25">
      <c r="B2063" s="213" t="s">
        <v>2918</v>
      </c>
      <c r="C2063" s="214">
        <v>2019</v>
      </c>
      <c r="D2063" s="214">
        <v>6</v>
      </c>
      <c r="E2063" s="214">
        <v>2</v>
      </c>
    </row>
    <row r="2064" spans="2:5" x14ac:dyDescent="0.25">
      <c r="B2064" s="213" t="s">
        <v>2918</v>
      </c>
      <c r="C2064" s="214">
        <v>2019</v>
      </c>
      <c r="D2064" s="214">
        <v>1</v>
      </c>
      <c r="E2064" s="214">
        <v>1</v>
      </c>
    </row>
    <row r="2065" spans="2:5" x14ac:dyDescent="0.25">
      <c r="B2065" s="213" t="s">
        <v>2918</v>
      </c>
      <c r="C2065" s="214">
        <v>2019</v>
      </c>
      <c r="D2065" s="214">
        <v>8</v>
      </c>
      <c r="E2065" s="214">
        <v>1</v>
      </c>
    </row>
    <row r="2066" spans="2:5" x14ac:dyDescent="0.25">
      <c r="B2066" s="213" t="s">
        <v>2930</v>
      </c>
      <c r="C2066" s="214">
        <v>2019</v>
      </c>
      <c r="D2066" s="214">
        <v>4</v>
      </c>
      <c r="E2066" s="214">
        <v>6</v>
      </c>
    </row>
    <row r="2067" spans="2:5" x14ac:dyDescent="0.25">
      <c r="B2067" s="213" t="s">
        <v>2930</v>
      </c>
      <c r="C2067" s="214">
        <v>2019</v>
      </c>
      <c r="D2067" s="214">
        <v>3</v>
      </c>
      <c r="E2067" s="214">
        <v>3</v>
      </c>
    </row>
    <row r="2068" spans="2:5" x14ac:dyDescent="0.25">
      <c r="B2068" s="213" t="s">
        <v>2930</v>
      </c>
      <c r="C2068" s="214">
        <v>2019</v>
      </c>
      <c r="D2068" s="214">
        <v>6</v>
      </c>
      <c r="E2068" s="214">
        <v>3</v>
      </c>
    </row>
    <row r="2069" spans="2:5" x14ac:dyDescent="0.25">
      <c r="B2069" s="213" t="s">
        <v>2930</v>
      </c>
      <c r="C2069" s="214">
        <v>2019</v>
      </c>
      <c r="D2069" s="214">
        <v>9</v>
      </c>
      <c r="E2069" s="214">
        <v>3</v>
      </c>
    </row>
    <row r="2070" spans="2:5" x14ac:dyDescent="0.25">
      <c r="B2070" s="213" t="s">
        <v>2930</v>
      </c>
      <c r="C2070" s="214">
        <v>2019</v>
      </c>
      <c r="D2070" s="214">
        <v>5</v>
      </c>
      <c r="E2070" s="214">
        <v>2</v>
      </c>
    </row>
    <row r="2071" spans="2:5" x14ac:dyDescent="0.25">
      <c r="B2071" s="213" t="s">
        <v>2930</v>
      </c>
      <c r="C2071" s="214">
        <v>2019</v>
      </c>
      <c r="D2071" s="214">
        <v>7</v>
      </c>
      <c r="E2071" s="214">
        <v>2</v>
      </c>
    </row>
    <row r="2072" spans="2:5" x14ac:dyDescent="0.25">
      <c r="B2072" s="213" t="s">
        <v>2930</v>
      </c>
      <c r="C2072" s="214">
        <v>2019</v>
      </c>
      <c r="D2072" s="214">
        <v>8</v>
      </c>
      <c r="E2072" s="214">
        <v>2</v>
      </c>
    </row>
    <row r="2073" spans="2:5" x14ac:dyDescent="0.25">
      <c r="B2073" s="213" t="s">
        <v>2930</v>
      </c>
      <c r="C2073" s="214">
        <v>2019</v>
      </c>
      <c r="D2073" s="214">
        <v>10</v>
      </c>
      <c r="E2073" s="214">
        <v>2</v>
      </c>
    </row>
    <row r="2074" spans="2:5" x14ac:dyDescent="0.25">
      <c r="B2074" s="213" t="s">
        <v>2928</v>
      </c>
      <c r="C2074" s="214">
        <v>2019</v>
      </c>
      <c r="D2074" s="214">
        <v>6</v>
      </c>
      <c r="E2074" s="214">
        <v>6</v>
      </c>
    </row>
    <row r="2075" spans="2:5" x14ac:dyDescent="0.25">
      <c r="B2075" s="213" t="s">
        <v>2928</v>
      </c>
      <c r="C2075" s="214">
        <v>2019</v>
      </c>
      <c r="D2075" s="214">
        <v>1</v>
      </c>
      <c r="E2075" s="214">
        <v>4</v>
      </c>
    </row>
    <row r="2076" spans="2:5" x14ac:dyDescent="0.25">
      <c r="B2076" s="213" t="s">
        <v>2928</v>
      </c>
      <c r="C2076" s="214">
        <v>2019</v>
      </c>
      <c r="D2076" s="214">
        <v>5</v>
      </c>
      <c r="E2076" s="214">
        <v>4</v>
      </c>
    </row>
    <row r="2077" spans="2:5" x14ac:dyDescent="0.25">
      <c r="B2077" s="213" t="s">
        <v>2928</v>
      </c>
      <c r="C2077" s="214">
        <v>2019</v>
      </c>
      <c r="D2077" s="214">
        <v>8</v>
      </c>
      <c r="E2077" s="214">
        <v>4</v>
      </c>
    </row>
    <row r="2078" spans="2:5" x14ac:dyDescent="0.25">
      <c r="B2078" s="213" t="s">
        <v>2928</v>
      </c>
      <c r="C2078" s="214">
        <v>2019</v>
      </c>
      <c r="D2078" s="214">
        <v>7</v>
      </c>
      <c r="E2078" s="214">
        <v>2</v>
      </c>
    </row>
    <row r="2079" spans="2:5" x14ac:dyDescent="0.25">
      <c r="B2079" s="213" t="s">
        <v>2928</v>
      </c>
      <c r="C2079" s="214">
        <v>2019</v>
      </c>
      <c r="D2079" s="214">
        <v>4</v>
      </c>
      <c r="E2079" s="214">
        <v>1</v>
      </c>
    </row>
    <row r="2080" spans="2:5" x14ac:dyDescent="0.25">
      <c r="B2080" s="213" t="s">
        <v>2928</v>
      </c>
      <c r="C2080" s="214">
        <v>2019</v>
      </c>
      <c r="D2080" s="214">
        <v>9</v>
      </c>
      <c r="E2080" s="214">
        <v>1</v>
      </c>
    </row>
    <row r="2081" spans="2:5" x14ac:dyDescent="0.25">
      <c r="B2081" s="213" t="s">
        <v>2928</v>
      </c>
      <c r="C2081" s="214">
        <v>2019</v>
      </c>
      <c r="D2081" s="214">
        <v>10</v>
      </c>
      <c r="E2081" s="214">
        <v>1</v>
      </c>
    </row>
    <row r="2082" spans="2:5" x14ac:dyDescent="0.25">
      <c r="B2082" s="213" t="s">
        <v>2928</v>
      </c>
      <c r="C2082" s="214">
        <v>2019</v>
      </c>
      <c r="D2082" s="214">
        <v>11</v>
      </c>
      <c r="E2082" s="214">
        <v>1</v>
      </c>
    </row>
    <row r="2083" spans="2:5" x14ac:dyDescent="0.25">
      <c r="B2083" s="213" t="s">
        <v>2854</v>
      </c>
      <c r="C2083" s="214">
        <v>2019</v>
      </c>
      <c r="D2083" s="214">
        <v>5</v>
      </c>
      <c r="E2083" s="214">
        <v>29</v>
      </c>
    </row>
    <row r="2084" spans="2:5" x14ac:dyDescent="0.25">
      <c r="B2084" s="213" t="s">
        <v>2854</v>
      </c>
      <c r="C2084" s="214">
        <v>2019</v>
      </c>
      <c r="D2084" s="214">
        <v>11</v>
      </c>
      <c r="E2084" s="214">
        <v>24</v>
      </c>
    </row>
    <row r="2085" spans="2:5" x14ac:dyDescent="0.25">
      <c r="B2085" s="213" t="s">
        <v>2854</v>
      </c>
      <c r="C2085" s="214">
        <v>2019</v>
      </c>
      <c r="D2085" s="214">
        <v>3</v>
      </c>
      <c r="E2085" s="214">
        <v>16</v>
      </c>
    </row>
    <row r="2086" spans="2:5" x14ac:dyDescent="0.25">
      <c r="B2086" s="213" t="s">
        <v>2854</v>
      </c>
      <c r="C2086" s="214">
        <v>2019</v>
      </c>
      <c r="D2086" s="214">
        <v>8</v>
      </c>
      <c r="E2086" s="214">
        <v>16</v>
      </c>
    </row>
    <row r="2087" spans="2:5" x14ac:dyDescent="0.25">
      <c r="B2087" s="213" t="s">
        <v>2854</v>
      </c>
      <c r="C2087" s="214">
        <v>2019</v>
      </c>
      <c r="D2087" s="214">
        <v>10</v>
      </c>
      <c r="E2087" s="214">
        <v>13</v>
      </c>
    </row>
    <row r="2088" spans="2:5" x14ac:dyDescent="0.25">
      <c r="B2088" s="213" t="s">
        <v>2854</v>
      </c>
      <c r="C2088" s="214">
        <v>2019</v>
      </c>
      <c r="D2088" s="214">
        <v>4</v>
      </c>
      <c r="E2088" s="214">
        <v>7</v>
      </c>
    </row>
    <row r="2089" spans="2:5" x14ac:dyDescent="0.25">
      <c r="B2089" s="213" t="s">
        <v>2854</v>
      </c>
      <c r="C2089" s="214">
        <v>2019</v>
      </c>
      <c r="D2089" s="214">
        <v>6</v>
      </c>
      <c r="E2089" s="214">
        <v>5</v>
      </c>
    </row>
    <row r="2090" spans="2:5" x14ac:dyDescent="0.25">
      <c r="B2090" s="213" t="s">
        <v>2854</v>
      </c>
      <c r="C2090" s="214">
        <v>2019</v>
      </c>
      <c r="D2090" s="214">
        <v>12</v>
      </c>
      <c r="E2090" s="214">
        <v>4</v>
      </c>
    </row>
    <row r="2091" spans="2:5" x14ac:dyDescent="0.25">
      <c r="B2091" s="213" t="s">
        <v>2854</v>
      </c>
      <c r="C2091" s="214">
        <v>2019</v>
      </c>
      <c r="D2091" s="214">
        <v>2</v>
      </c>
      <c r="E2091" s="214">
        <v>3</v>
      </c>
    </row>
    <row r="2092" spans="2:5" x14ac:dyDescent="0.25">
      <c r="B2092" s="213" t="s">
        <v>2854</v>
      </c>
      <c r="C2092" s="214">
        <v>2019</v>
      </c>
      <c r="D2092" s="214">
        <v>9</v>
      </c>
      <c r="E2092" s="214">
        <v>2</v>
      </c>
    </row>
    <row r="2093" spans="2:5" x14ac:dyDescent="0.25">
      <c r="B2093" s="213" t="s">
        <v>2854</v>
      </c>
      <c r="C2093" s="214">
        <v>2019</v>
      </c>
      <c r="D2093" s="214">
        <v>7</v>
      </c>
      <c r="E2093" s="214">
        <v>1</v>
      </c>
    </row>
    <row r="2094" spans="2:5" x14ac:dyDescent="0.25">
      <c r="B2094" s="213" t="s">
        <v>2855</v>
      </c>
      <c r="C2094" s="214">
        <v>2019</v>
      </c>
      <c r="D2094" s="214">
        <v>5</v>
      </c>
      <c r="E2094" s="214">
        <v>31</v>
      </c>
    </row>
    <row r="2095" spans="2:5" x14ac:dyDescent="0.25">
      <c r="B2095" s="213" t="s">
        <v>2855</v>
      </c>
      <c r="C2095" s="214">
        <v>2019</v>
      </c>
      <c r="D2095" s="214">
        <v>4</v>
      </c>
      <c r="E2095" s="214">
        <v>25</v>
      </c>
    </row>
    <row r="2096" spans="2:5" x14ac:dyDescent="0.25">
      <c r="B2096" s="213" t="s">
        <v>2855</v>
      </c>
      <c r="C2096" s="214">
        <v>2019</v>
      </c>
      <c r="D2096" s="214">
        <v>10</v>
      </c>
      <c r="E2096" s="214">
        <v>21</v>
      </c>
    </row>
    <row r="2097" spans="2:5" x14ac:dyDescent="0.25">
      <c r="B2097" s="213" t="s">
        <v>2855</v>
      </c>
      <c r="C2097" s="214">
        <v>2019</v>
      </c>
      <c r="D2097" s="214">
        <v>1</v>
      </c>
      <c r="E2097" s="214">
        <v>6</v>
      </c>
    </row>
    <row r="2098" spans="2:5" x14ac:dyDescent="0.25">
      <c r="B2098" s="213" t="s">
        <v>2855</v>
      </c>
      <c r="C2098" s="214">
        <v>2019</v>
      </c>
      <c r="D2098" s="214">
        <v>11</v>
      </c>
      <c r="E2098" s="214">
        <v>6</v>
      </c>
    </row>
    <row r="2099" spans="2:5" x14ac:dyDescent="0.25">
      <c r="B2099" s="213" t="s">
        <v>2855</v>
      </c>
      <c r="C2099" s="214">
        <v>2019</v>
      </c>
      <c r="D2099" s="214">
        <v>6</v>
      </c>
      <c r="E2099" s="214">
        <v>5</v>
      </c>
    </row>
    <row r="2100" spans="2:5" x14ac:dyDescent="0.25">
      <c r="B2100" s="213" t="s">
        <v>2855</v>
      </c>
      <c r="C2100" s="214">
        <v>2019</v>
      </c>
      <c r="D2100" s="214">
        <v>9</v>
      </c>
      <c r="E2100" s="214">
        <v>5</v>
      </c>
    </row>
    <row r="2101" spans="2:5" x14ac:dyDescent="0.25">
      <c r="B2101" s="213" t="s">
        <v>2855</v>
      </c>
      <c r="C2101" s="214">
        <v>2019</v>
      </c>
      <c r="D2101" s="214">
        <v>12</v>
      </c>
      <c r="E2101" s="214">
        <v>5</v>
      </c>
    </row>
    <row r="2102" spans="2:5" x14ac:dyDescent="0.25">
      <c r="B2102" s="213" t="s">
        <v>2855</v>
      </c>
      <c r="C2102" s="214">
        <v>2019</v>
      </c>
      <c r="D2102" s="214">
        <v>8</v>
      </c>
      <c r="E2102" s="214">
        <v>3</v>
      </c>
    </row>
    <row r="2103" spans="2:5" x14ac:dyDescent="0.25">
      <c r="B2103" s="213" t="s">
        <v>2855</v>
      </c>
      <c r="C2103" s="214">
        <v>2019</v>
      </c>
      <c r="D2103" s="214">
        <v>7</v>
      </c>
      <c r="E2103" s="214">
        <v>2</v>
      </c>
    </row>
    <row r="2104" spans="2:5" x14ac:dyDescent="0.25">
      <c r="B2104" s="213" t="s">
        <v>2856</v>
      </c>
      <c r="C2104" s="214">
        <v>2019</v>
      </c>
      <c r="D2104" s="214">
        <v>4</v>
      </c>
      <c r="E2104" s="214">
        <v>65</v>
      </c>
    </row>
    <row r="2105" spans="2:5" x14ac:dyDescent="0.25">
      <c r="B2105" s="213" t="s">
        <v>2856</v>
      </c>
      <c r="C2105" s="214">
        <v>2019</v>
      </c>
      <c r="D2105" s="214">
        <v>1</v>
      </c>
      <c r="E2105" s="214">
        <v>50</v>
      </c>
    </row>
    <row r="2106" spans="2:5" x14ac:dyDescent="0.25">
      <c r="B2106" s="213" t="s">
        <v>2856</v>
      </c>
      <c r="C2106" s="214">
        <v>2019</v>
      </c>
      <c r="D2106" s="214">
        <v>10</v>
      </c>
      <c r="E2106" s="214">
        <v>37</v>
      </c>
    </row>
    <row r="2107" spans="2:5" x14ac:dyDescent="0.25">
      <c r="B2107" s="213" t="s">
        <v>2856</v>
      </c>
      <c r="C2107" s="214">
        <v>2019</v>
      </c>
      <c r="D2107" s="214">
        <v>5</v>
      </c>
      <c r="E2107" s="214">
        <v>34</v>
      </c>
    </row>
    <row r="2108" spans="2:5" x14ac:dyDescent="0.25">
      <c r="B2108" s="213" t="s">
        <v>2856</v>
      </c>
      <c r="C2108" s="214">
        <v>2019</v>
      </c>
      <c r="D2108" s="214">
        <v>12</v>
      </c>
      <c r="E2108" s="214">
        <v>34</v>
      </c>
    </row>
    <row r="2109" spans="2:5" x14ac:dyDescent="0.25">
      <c r="B2109" s="213" t="s">
        <v>2856</v>
      </c>
      <c r="C2109" s="214">
        <v>2019</v>
      </c>
      <c r="D2109" s="214">
        <v>2</v>
      </c>
      <c r="E2109" s="214">
        <v>28</v>
      </c>
    </row>
    <row r="2110" spans="2:5" x14ac:dyDescent="0.25">
      <c r="B2110" s="213" t="s">
        <v>2856</v>
      </c>
      <c r="C2110" s="214">
        <v>2019</v>
      </c>
      <c r="D2110" s="214">
        <v>6</v>
      </c>
      <c r="E2110" s="214">
        <v>28</v>
      </c>
    </row>
    <row r="2111" spans="2:5" x14ac:dyDescent="0.25">
      <c r="B2111" s="213" t="s">
        <v>2856</v>
      </c>
      <c r="C2111" s="214">
        <v>2019</v>
      </c>
      <c r="D2111" s="214">
        <v>7</v>
      </c>
      <c r="E2111" s="214">
        <v>28</v>
      </c>
    </row>
    <row r="2112" spans="2:5" x14ac:dyDescent="0.25">
      <c r="B2112" s="213" t="s">
        <v>2856</v>
      </c>
      <c r="C2112" s="214">
        <v>2019</v>
      </c>
      <c r="D2112" s="214">
        <v>3</v>
      </c>
      <c r="E2112" s="214">
        <v>24</v>
      </c>
    </row>
    <row r="2113" spans="2:5" x14ac:dyDescent="0.25">
      <c r="B2113" s="213" t="s">
        <v>2856</v>
      </c>
      <c r="C2113" s="214">
        <v>2019</v>
      </c>
      <c r="D2113" s="214">
        <v>11</v>
      </c>
      <c r="E2113" s="214">
        <v>22</v>
      </c>
    </row>
    <row r="2114" spans="2:5" x14ac:dyDescent="0.25">
      <c r="B2114" s="213" t="s">
        <v>2856</v>
      </c>
      <c r="C2114" s="214">
        <v>2019</v>
      </c>
      <c r="D2114" s="214">
        <v>8</v>
      </c>
      <c r="E2114" s="214">
        <v>19</v>
      </c>
    </row>
    <row r="2115" spans="2:5" x14ac:dyDescent="0.25">
      <c r="B2115" s="213" t="s">
        <v>2856</v>
      </c>
      <c r="C2115" s="214">
        <v>2019</v>
      </c>
      <c r="D2115" s="214">
        <v>9</v>
      </c>
      <c r="E2115" s="214">
        <v>16</v>
      </c>
    </row>
    <row r="2116" spans="2:5" x14ac:dyDescent="0.25">
      <c r="B2116" s="213" t="s">
        <v>2857</v>
      </c>
      <c r="C2116" s="214">
        <v>2019</v>
      </c>
      <c r="D2116" s="214">
        <v>3</v>
      </c>
      <c r="E2116" s="214">
        <v>74</v>
      </c>
    </row>
    <row r="2117" spans="2:5" x14ac:dyDescent="0.25">
      <c r="B2117" s="213" t="s">
        <v>2857</v>
      </c>
      <c r="C2117" s="214">
        <v>2019</v>
      </c>
      <c r="D2117" s="214">
        <v>4</v>
      </c>
      <c r="E2117" s="214">
        <v>64</v>
      </c>
    </row>
    <row r="2118" spans="2:5" x14ac:dyDescent="0.25">
      <c r="B2118" s="213" t="s">
        <v>2857</v>
      </c>
      <c r="C2118" s="214">
        <v>2019</v>
      </c>
      <c r="D2118" s="214">
        <v>1</v>
      </c>
      <c r="E2118" s="214">
        <v>63</v>
      </c>
    </row>
    <row r="2119" spans="2:5" x14ac:dyDescent="0.25">
      <c r="B2119" s="213" t="s">
        <v>2857</v>
      </c>
      <c r="C2119" s="214">
        <v>2019</v>
      </c>
      <c r="D2119" s="214">
        <v>8</v>
      </c>
      <c r="E2119" s="214">
        <v>60</v>
      </c>
    </row>
    <row r="2120" spans="2:5" x14ac:dyDescent="0.25">
      <c r="B2120" s="213" t="s">
        <v>2857</v>
      </c>
      <c r="C2120" s="214">
        <v>2019</v>
      </c>
      <c r="D2120" s="214">
        <v>9</v>
      </c>
      <c r="E2120" s="214">
        <v>55</v>
      </c>
    </row>
    <row r="2121" spans="2:5" x14ac:dyDescent="0.25">
      <c r="B2121" s="213" t="s">
        <v>2857</v>
      </c>
      <c r="C2121" s="214">
        <v>2019</v>
      </c>
      <c r="D2121" s="214">
        <v>10</v>
      </c>
      <c r="E2121" s="214">
        <v>51</v>
      </c>
    </row>
    <row r="2122" spans="2:5" x14ac:dyDescent="0.25">
      <c r="B2122" s="213" t="s">
        <v>2857</v>
      </c>
      <c r="C2122" s="214">
        <v>2019</v>
      </c>
      <c r="D2122" s="214">
        <v>7</v>
      </c>
      <c r="E2122" s="214">
        <v>34</v>
      </c>
    </row>
    <row r="2123" spans="2:5" x14ac:dyDescent="0.25">
      <c r="B2123" s="213" t="s">
        <v>2857</v>
      </c>
      <c r="C2123" s="214">
        <v>2019</v>
      </c>
      <c r="D2123" s="214">
        <v>2</v>
      </c>
      <c r="E2123" s="214">
        <v>24</v>
      </c>
    </row>
    <row r="2124" spans="2:5" x14ac:dyDescent="0.25">
      <c r="B2124" s="213" t="s">
        <v>2857</v>
      </c>
      <c r="C2124" s="214">
        <v>2019</v>
      </c>
      <c r="D2124" s="214">
        <v>6</v>
      </c>
      <c r="E2124" s="214">
        <v>23</v>
      </c>
    </row>
    <row r="2125" spans="2:5" x14ac:dyDescent="0.25">
      <c r="B2125" s="213" t="s">
        <v>2857</v>
      </c>
      <c r="C2125" s="214">
        <v>2019</v>
      </c>
      <c r="D2125" s="214">
        <v>12</v>
      </c>
      <c r="E2125" s="214">
        <v>21</v>
      </c>
    </row>
    <row r="2126" spans="2:5" x14ac:dyDescent="0.25">
      <c r="B2126" s="213" t="s">
        <v>2857</v>
      </c>
      <c r="C2126" s="214">
        <v>2019</v>
      </c>
      <c r="D2126" s="214">
        <v>5</v>
      </c>
      <c r="E2126" s="214">
        <v>19</v>
      </c>
    </row>
    <row r="2127" spans="2:5" x14ac:dyDescent="0.25">
      <c r="B2127" s="213" t="s">
        <v>2857</v>
      </c>
      <c r="C2127" s="214">
        <v>2019</v>
      </c>
      <c r="D2127" s="214">
        <v>11</v>
      </c>
      <c r="E2127" s="214">
        <v>16</v>
      </c>
    </row>
    <row r="2128" spans="2:5" x14ac:dyDescent="0.25">
      <c r="B2128" s="213" t="s">
        <v>2885</v>
      </c>
      <c r="C2128" s="214">
        <v>2019</v>
      </c>
      <c r="D2128" s="214">
        <v>5</v>
      </c>
      <c r="E2128" s="214">
        <v>122</v>
      </c>
    </row>
    <row r="2129" spans="2:5" x14ac:dyDescent="0.25">
      <c r="B2129" s="213" t="s">
        <v>2885</v>
      </c>
      <c r="C2129" s="214">
        <v>2019</v>
      </c>
      <c r="D2129" s="214">
        <v>10</v>
      </c>
      <c r="E2129" s="214">
        <v>117</v>
      </c>
    </row>
    <row r="2130" spans="2:5" x14ac:dyDescent="0.25">
      <c r="B2130" s="213" t="s">
        <v>2885</v>
      </c>
      <c r="C2130" s="214">
        <v>2019</v>
      </c>
      <c r="D2130" s="214">
        <v>3</v>
      </c>
      <c r="E2130" s="214">
        <v>77</v>
      </c>
    </row>
    <row r="2131" spans="2:5" x14ac:dyDescent="0.25">
      <c r="B2131" s="213" t="s">
        <v>2885</v>
      </c>
      <c r="C2131" s="214">
        <v>2019</v>
      </c>
      <c r="D2131" s="214">
        <v>8</v>
      </c>
      <c r="E2131" s="214">
        <v>56</v>
      </c>
    </row>
    <row r="2132" spans="2:5" x14ac:dyDescent="0.25">
      <c r="B2132" s="213" t="s">
        <v>2885</v>
      </c>
      <c r="C2132" s="214">
        <v>2019</v>
      </c>
      <c r="D2132" s="214">
        <v>6</v>
      </c>
      <c r="E2132" s="214">
        <v>53</v>
      </c>
    </row>
    <row r="2133" spans="2:5" x14ac:dyDescent="0.25">
      <c r="B2133" s="213" t="s">
        <v>2885</v>
      </c>
      <c r="C2133" s="214">
        <v>2019</v>
      </c>
      <c r="D2133" s="214">
        <v>7</v>
      </c>
      <c r="E2133" s="214">
        <v>46</v>
      </c>
    </row>
    <row r="2134" spans="2:5" x14ac:dyDescent="0.25">
      <c r="B2134" s="213" t="s">
        <v>2885</v>
      </c>
      <c r="C2134" s="214">
        <v>2019</v>
      </c>
      <c r="D2134" s="214">
        <v>4</v>
      </c>
      <c r="E2134" s="214">
        <v>42</v>
      </c>
    </row>
    <row r="2135" spans="2:5" x14ac:dyDescent="0.25">
      <c r="B2135" s="213" t="s">
        <v>2885</v>
      </c>
      <c r="C2135" s="214">
        <v>2019</v>
      </c>
      <c r="D2135" s="214">
        <v>11</v>
      </c>
      <c r="E2135" s="214">
        <v>38</v>
      </c>
    </row>
    <row r="2136" spans="2:5" x14ac:dyDescent="0.25">
      <c r="B2136" s="213" t="s">
        <v>2885</v>
      </c>
      <c r="C2136" s="214">
        <v>2019</v>
      </c>
      <c r="D2136" s="214">
        <v>9</v>
      </c>
      <c r="E2136" s="214">
        <v>37</v>
      </c>
    </row>
    <row r="2137" spans="2:5" x14ac:dyDescent="0.25">
      <c r="B2137" s="213" t="s">
        <v>2885</v>
      </c>
      <c r="C2137" s="214">
        <v>2019</v>
      </c>
      <c r="D2137" s="214">
        <v>1</v>
      </c>
      <c r="E2137" s="214">
        <v>28</v>
      </c>
    </row>
    <row r="2138" spans="2:5" x14ac:dyDescent="0.25">
      <c r="B2138" s="213" t="s">
        <v>2885</v>
      </c>
      <c r="C2138" s="214">
        <v>2019</v>
      </c>
      <c r="D2138" s="214">
        <v>2</v>
      </c>
      <c r="E2138" s="214">
        <v>23</v>
      </c>
    </row>
    <row r="2139" spans="2:5" x14ac:dyDescent="0.25">
      <c r="B2139" s="213" t="s">
        <v>2885</v>
      </c>
      <c r="C2139" s="214">
        <v>2019</v>
      </c>
      <c r="D2139" s="214">
        <v>12</v>
      </c>
      <c r="E2139" s="214">
        <v>9</v>
      </c>
    </row>
    <row r="2140" spans="2:5" x14ac:dyDescent="0.25">
      <c r="B2140" s="213" t="s">
        <v>2858</v>
      </c>
      <c r="C2140" s="214">
        <v>2019</v>
      </c>
      <c r="D2140" s="214">
        <v>7</v>
      </c>
      <c r="E2140" s="214">
        <v>14</v>
      </c>
    </row>
    <row r="2141" spans="2:5" x14ac:dyDescent="0.25">
      <c r="B2141" s="213" t="s">
        <v>2858</v>
      </c>
      <c r="C2141" s="214">
        <v>2019</v>
      </c>
      <c r="D2141" s="214">
        <v>1</v>
      </c>
      <c r="E2141" s="214">
        <v>13</v>
      </c>
    </row>
    <row r="2142" spans="2:5" x14ac:dyDescent="0.25">
      <c r="B2142" s="213" t="s">
        <v>2858</v>
      </c>
      <c r="C2142" s="214">
        <v>2019</v>
      </c>
      <c r="D2142" s="214">
        <v>6</v>
      </c>
      <c r="E2142" s="214">
        <v>13</v>
      </c>
    </row>
    <row r="2143" spans="2:5" x14ac:dyDescent="0.25">
      <c r="B2143" s="213" t="s">
        <v>2858</v>
      </c>
      <c r="C2143" s="214">
        <v>2019</v>
      </c>
      <c r="D2143" s="214">
        <v>5</v>
      </c>
      <c r="E2143" s="214">
        <v>11</v>
      </c>
    </row>
    <row r="2144" spans="2:5" x14ac:dyDescent="0.25">
      <c r="B2144" s="213" t="s">
        <v>2858</v>
      </c>
      <c r="C2144" s="214">
        <v>2019</v>
      </c>
      <c r="D2144" s="214">
        <v>11</v>
      </c>
      <c r="E2144" s="214">
        <v>11</v>
      </c>
    </row>
    <row r="2145" spans="2:5" x14ac:dyDescent="0.25">
      <c r="B2145" s="213" t="s">
        <v>2858</v>
      </c>
      <c r="C2145" s="214">
        <v>2019</v>
      </c>
      <c r="D2145" s="214">
        <v>4</v>
      </c>
      <c r="E2145" s="214">
        <v>9</v>
      </c>
    </row>
    <row r="2146" spans="2:5" x14ac:dyDescent="0.25">
      <c r="B2146" s="213" t="s">
        <v>2858</v>
      </c>
      <c r="C2146" s="214">
        <v>2019</v>
      </c>
      <c r="D2146" s="214">
        <v>3</v>
      </c>
      <c r="E2146" s="214">
        <v>8</v>
      </c>
    </row>
    <row r="2147" spans="2:5" x14ac:dyDescent="0.25">
      <c r="B2147" s="213" t="s">
        <v>2858</v>
      </c>
      <c r="C2147" s="214">
        <v>2019</v>
      </c>
      <c r="D2147" s="214">
        <v>12</v>
      </c>
      <c r="E2147" s="214">
        <v>5</v>
      </c>
    </row>
    <row r="2148" spans="2:5" x14ac:dyDescent="0.25">
      <c r="B2148" s="213" t="s">
        <v>2858</v>
      </c>
      <c r="C2148" s="214">
        <v>2019</v>
      </c>
      <c r="D2148" s="214">
        <v>10</v>
      </c>
      <c r="E2148" s="214">
        <v>1</v>
      </c>
    </row>
    <row r="2149" spans="2:5" x14ac:dyDescent="0.25">
      <c r="B2149" s="213" t="s">
        <v>2859</v>
      </c>
      <c r="C2149" s="214">
        <v>2019</v>
      </c>
      <c r="D2149" s="214">
        <v>3</v>
      </c>
      <c r="E2149" s="214">
        <v>29</v>
      </c>
    </row>
    <row r="2150" spans="2:5" x14ac:dyDescent="0.25">
      <c r="B2150" s="213" t="s">
        <v>2859</v>
      </c>
      <c r="C2150" s="214">
        <v>2019</v>
      </c>
      <c r="D2150" s="214">
        <v>12</v>
      </c>
      <c r="E2150" s="214">
        <v>24</v>
      </c>
    </row>
    <row r="2151" spans="2:5" x14ac:dyDescent="0.25">
      <c r="B2151" s="213" t="s">
        <v>2859</v>
      </c>
      <c r="C2151" s="214">
        <v>2019</v>
      </c>
      <c r="D2151" s="214">
        <v>5</v>
      </c>
      <c r="E2151" s="214">
        <v>19</v>
      </c>
    </row>
    <row r="2152" spans="2:5" x14ac:dyDescent="0.25">
      <c r="B2152" s="213" t="s">
        <v>2859</v>
      </c>
      <c r="C2152" s="214">
        <v>2019</v>
      </c>
      <c r="D2152" s="214">
        <v>8</v>
      </c>
      <c r="E2152" s="214">
        <v>19</v>
      </c>
    </row>
    <row r="2153" spans="2:5" x14ac:dyDescent="0.25">
      <c r="B2153" s="213" t="s">
        <v>2859</v>
      </c>
      <c r="C2153" s="214">
        <v>2019</v>
      </c>
      <c r="D2153" s="214">
        <v>1</v>
      </c>
      <c r="E2153" s="214">
        <v>18</v>
      </c>
    </row>
    <row r="2154" spans="2:5" x14ac:dyDescent="0.25">
      <c r="B2154" s="213" t="s">
        <v>2859</v>
      </c>
      <c r="C2154" s="214">
        <v>2019</v>
      </c>
      <c r="D2154" s="214">
        <v>4</v>
      </c>
      <c r="E2154" s="214">
        <v>16</v>
      </c>
    </row>
    <row r="2155" spans="2:5" x14ac:dyDescent="0.25">
      <c r="B2155" s="213" t="s">
        <v>2859</v>
      </c>
      <c r="C2155" s="214">
        <v>2019</v>
      </c>
      <c r="D2155" s="214">
        <v>11</v>
      </c>
      <c r="E2155" s="214">
        <v>14</v>
      </c>
    </row>
    <row r="2156" spans="2:5" x14ac:dyDescent="0.25">
      <c r="B2156" s="213" t="s">
        <v>2859</v>
      </c>
      <c r="C2156" s="214">
        <v>2019</v>
      </c>
      <c r="D2156" s="214">
        <v>2</v>
      </c>
      <c r="E2156" s="214">
        <v>13</v>
      </c>
    </row>
    <row r="2157" spans="2:5" x14ac:dyDescent="0.25">
      <c r="B2157" s="213" t="s">
        <v>2859</v>
      </c>
      <c r="C2157" s="214">
        <v>2019</v>
      </c>
      <c r="D2157" s="214">
        <v>6</v>
      </c>
      <c r="E2157" s="214">
        <v>11</v>
      </c>
    </row>
    <row r="2158" spans="2:5" x14ac:dyDescent="0.25">
      <c r="B2158" s="213" t="s">
        <v>2859</v>
      </c>
      <c r="C2158" s="214">
        <v>2019</v>
      </c>
      <c r="D2158" s="214">
        <v>10</v>
      </c>
      <c r="E2158" s="214">
        <v>11</v>
      </c>
    </row>
    <row r="2159" spans="2:5" x14ac:dyDescent="0.25">
      <c r="B2159" s="213" t="s">
        <v>2859</v>
      </c>
      <c r="C2159" s="214">
        <v>2019</v>
      </c>
      <c r="D2159" s="214">
        <v>7</v>
      </c>
      <c r="E2159" s="214">
        <v>8</v>
      </c>
    </row>
    <row r="2160" spans="2:5" x14ac:dyDescent="0.25">
      <c r="B2160" s="213" t="s">
        <v>2859</v>
      </c>
      <c r="C2160" s="214">
        <v>2019</v>
      </c>
      <c r="D2160" s="214">
        <v>9</v>
      </c>
      <c r="E2160" s="214">
        <v>2</v>
      </c>
    </row>
    <row r="2161" spans="2:5" x14ac:dyDescent="0.25">
      <c r="B2161" s="213" t="s">
        <v>2960</v>
      </c>
      <c r="C2161" s="214">
        <v>2019</v>
      </c>
      <c r="D2161" s="214">
        <v>4</v>
      </c>
      <c r="E2161" s="214">
        <v>2</v>
      </c>
    </row>
    <row r="2162" spans="2:5" x14ac:dyDescent="0.25">
      <c r="B2162" s="213" t="s">
        <v>2960</v>
      </c>
      <c r="C2162" s="214">
        <v>2019</v>
      </c>
      <c r="D2162" s="214">
        <v>10</v>
      </c>
      <c r="E2162" s="214">
        <v>2</v>
      </c>
    </row>
    <row r="2163" spans="2:5" x14ac:dyDescent="0.25">
      <c r="B2163" s="213" t="s">
        <v>2960</v>
      </c>
      <c r="C2163" s="214">
        <v>2019</v>
      </c>
      <c r="D2163" s="214">
        <v>6</v>
      </c>
      <c r="E2163" s="214">
        <v>1</v>
      </c>
    </row>
    <row r="2164" spans="2:5" x14ac:dyDescent="0.25">
      <c r="B2164" s="213" t="s">
        <v>2960</v>
      </c>
      <c r="C2164" s="214">
        <v>2019</v>
      </c>
      <c r="D2164" s="214">
        <v>9</v>
      </c>
      <c r="E2164" s="214">
        <v>1</v>
      </c>
    </row>
    <row r="2165" spans="2:5" x14ac:dyDescent="0.25">
      <c r="B2165" s="213" t="s">
        <v>2861</v>
      </c>
      <c r="C2165" s="214">
        <v>2019</v>
      </c>
      <c r="D2165" s="214">
        <v>10</v>
      </c>
      <c r="E2165" s="214">
        <v>13</v>
      </c>
    </row>
    <row r="2166" spans="2:5" x14ac:dyDescent="0.25">
      <c r="B2166" s="213" t="s">
        <v>2861</v>
      </c>
      <c r="C2166" s="214">
        <v>2019</v>
      </c>
      <c r="D2166" s="214">
        <v>11</v>
      </c>
      <c r="E2166" s="214">
        <v>12</v>
      </c>
    </row>
    <row r="2167" spans="2:5" x14ac:dyDescent="0.25">
      <c r="B2167" s="213" t="s">
        <v>2861</v>
      </c>
      <c r="C2167" s="214">
        <v>2019</v>
      </c>
      <c r="D2167" s="214">
        <v>4</v>
      </c>
      <c r="E2167" s="214">
        <v>6</v>
      </c>
    </row>
    <row r="2168" spans="2:5" x14ac:dyDescent="0.25">
      <c r="B2168" s="213" t="s">
        <v>2861</v>
      </c>
      <c r="C2168" s="214">
        <v>2019</v>
      </c>
      <c r="D2168" s="214">
        <v>5</v>
      </c>
      <c r="E2168" s="214">
        <v>6</v>
      </c>
    </row>
    <row r="2169" spans="2:5" x14ac:dyDescent="0.25">
      <c r="B2169" s="213" t="s">
        <v>2861</v>
      </c>
      <c r="C2169" s="214">
        <v>2019</v>
      </c>
      <c r="D2169" s="214">
        <v>6</v>
      </c>
      <c r="E2169" s="214">
        <v>6</v>
      </c>
    </row>
    <row r="2170" spans="2:5" x14ac:dyDescent="0.25">
      <c r="B2170" s="213" t="s">
        <v>2861</v>
      </c>
      <c r="C2170" s="214">
        <v>2019</v>
      </c>
      <c r="D2170" s="214">
        <v>1</v>
      </c>
      <c r="E2170" s="214">
        <v>4</v>
      </c>
    </row>
    <row r="2171" spans="2:5" x14ac:dyDescent="0.25">
      <c r="B2171" s="213" t="s">
        <v>2861</v>
      </c>
      <c r="C2171" s="214">
        <v>2019</v>
      </c>
      <c r="D2171" s="214">
        <v>7</v>
      </c>
      <c r="E2171" s="214">
        <v>4</v>
      </c>
    </row>
    <row r="2172" spans="2:5" x14ac:dyDescent="0.25">
      <c r="B2172" s="213" t="s">
        <v>2861</v>
      </c>
      <c r="C2172" s="214">
        <v>2019</v>
      </c>
      <c r="D2172" s="214">
        <v>9</v>
      </c>
      <c r="E2172" s="214">
        <v>3</v>
      </c>
    </row>
    <row r="2173" spans="2:5" x14ac:dyDescent="0.25">
      <c r="B2173" s="213" t="s">
        <v>2861</v>
      </c>
      <c r="C2173" s="214">
        <v>2019</v>
      </c>
      <c r="D2173" s="214">
        <v>3</v>
      </c>
      <c r="E2173" s="214">
        <v>2</v>
      </c>
    </row>
    <row r="2174" spans="2:5" x14ac:dyDescent="0.25">
      <c r="B2174" s="213" t="s">
        <v>2861</v>
      </c>
      <c r="C2174" s="214">
        <v>2019</v>
      </c>
      <c r="D2174" s="214">
        <v>12</v>
      </c>
      <c r="E2174" s="214">
        <v>2</v>
      </c>
    </row>
    <row r="2175" spans="2:5" x14ac:dyDescent="0.25">
      <c r="B2175" s="213" t="s">
        <v>2861</v>
      </c>
      <c r="C2175" s="214">
        <v>2019</v>
      </c>
      <c r="D2175" s="214">
        <v>8</v>
      </c>
      <c r="E2175" s="214">
        <v>1</v>
      </c>
    </row>
    <row r="2176" spans="2:5" x14ac:dyDescent="0.25">
      <c r="B2176" s="213" t="s">
        <v>2862</v>
      </c>
      <c r="C2176" s="214">
        <v>2019</v>
      </c>
      <c r="D2176" s="214">
        <v>4</v>
      </c>
      <c r="E2176" s="214">
        <v>137</v>
      </c>
    </row>
    <row r="2177" spans="2:5" x14ac:dyDescent="0.25">
      <c r="B2177" s="213" t="s">
        <v>2862</v>
      </c>
      <c r="C2177" s="214">
        <v>2019</v>
      </c>
      <c r="D2177" s="214">
        <v>3</v>
      </c>
      <c r="E2177" s="214">
        <v>108</v>
      </c>
    </row>
    <row r="2178" spans="2:5" x14ac:dyDescent="0.25">
      <c r="B2178" s="213" t="s">
        <v>2862</v>
      </c>
      <c r="C2178" s="214">
        <v>2019</v>
      </c>
      <c r="D2178" s="214">
        <v>1</v>
      </c>
      <c r="E2178" s="214">
        <v>106</v>
      </c>
    </row>
    <row r="2179" spans="2:5" x14ac:dyDescent="0.25">
      <c r="B2179" s="213" t="s">
        <v>2862</v>
      </c>
      <c r="C2179" s="214">
        <v>2019</v>
      </c>
      <c r="D2179" s="214">
        <v>9</v>
      </c>
      <c r="E2179" s="214">
        <v>92</v>
      </c>
    </row>
    <row r="2180" spans="2:5" x14ac:dyDescent="0.25">
      <c r="B2180" s="213" t="s">
        <v>2862</v>
      </c>
      <c r="C2180" s="214">
        <v>2019</v>
      </c>
      <c r="D2180" s="214">
        <v>10</v>
      </c>
      <c r="E2180" s="214">
        <v>90</v>
      </c>
    </row>
    <row r="2181" spans="2:5" x14ac:dyDescent="0.25">
      <c r="B2181" s="213" t="s">
        <v>2862</v>
      </c>
      <c r="C2181" s="214">
        <v>2019</v>
      </c>
      <c r="D2181" s="214">
        <v>2</v>
      </c>
      <c r="E2181" s="214">
        <v>84</v>
      </c>
    </row>
    <row r="2182" spans="2:5" x14ac:dyDescent="0.25">
      <c r="B2182" s="213" t="s">
        <v>2862</v>
      </c>
      <c r="C2182" s="214">
        <v>2019</v>
      </c>
      <c r="D2182" s="214">
        <v>11</v>
      </c>
      <c r="E2182" s="214">
        <v>84</v>
      </c>
    </row>
    <row r="2183" spans="2:5" x14ac:dyDescent="0.25">
      <c r="B2183" s="213" t="s">
        <v>2862</v>
      </c>
      <c r="C2183" s="214">
        <v>2019</v>
      </c>
      <c r="D2183" s="214">
        <v>8</v>
      </c>
      <c r="E2183" s="214">
        <v>76</v>
      </c>
    </row>
    <row r="2184" spans="2:5" x14ac:dyDescent="0.25">
      <c r="B2184" s="213" t="s">
        <v>2862</v>
      </c>
      <c r="C2184" s="214">
        <v>2019</v>
      </c>
      <c r="D2184" s="214">
        <v>6</v>
      </c>
      <c r="E2184" s="214">
        <v>73</v>
      </c>
    </row>
    <row r="2185" spans="2:5" x14ac:dyDescent="0.25">
      <c r="B2185" s="213" t="s">
        <v>2862</v>
      </c>
      <c r="C2185" s="214">
        <v>2019</v>
      </c>
      <c r="D2185" s="214">
        <v>7</v>
      </c>
      <c r="E2185" s="214">
        <v>66</v>
      </c>
    </row>
    <row r="2186" spans="2:5" x14ac:dyDescent="0.25">
      <c r="B2186" s="213" t="s">
        <v>2862</v>
      </c>
      <c r="C2186" s="214">
        <v>2019</v>
      </c>
      <c r="D2186" s="214">
        <v>5</v>
      </c>
      <c r="E2186" s="214">
        <v>51</v>
      </c>
    </row>
    <row r="2187" spans="2:5" x14ac:dyDescent="0.25">
      <c r="B2187" s="213" t="s">
        <v>2862</v>
      </c>
      <c r="C2187" s="214">
        <v>2019</v>
      </c>
      <c r="D2187" s="214">
        <v>12</v>
      </c>
      <c r="E2187" s="214">
        <v>31</v>
      </c>
    </row>
    <row r="2188" spans="2:5" x14ac:dyDescent="0.25">
      <c r="B2188" s="213" t="s">
        <v>2863</v>
      </c>
      <c r="C2188" s="214">
        <v>2019</v>
      </c>
      <c r="D2188" s="214">
        <v>10</v>
      </c>
      <c r="E2188" s="214">
        <v>50</v>
      </c>
    </row>
    <row r="2189" spans="2:5" x14ac:dyDescent="0.25">
      <c r="B2189" s="213" t="s">
        <v>2863</v>
      </c>
      <c r="C2189" s="214">
        <v>2019</v>
      </c>
      <c r="D2189" s="214">
        <v>4</v>
      </c>
      <c r="E2189" s="214">
        <v>47</v>
      </c>
    </row>
    <row r="2190" spans="2:5" x14ac:dyDescent="0.25">
      <c r="B2190" s="213" t="s">
        <v>2863</v>
      </c>
      <c r="C2190" s="214">
        <v>2019</v>
      </c>
      <c r="D2190" s="214">
        <v>9</v>
      </c>
      <c r="E2190" s="214">
        <v>44</v>
      </c>
    </row>
    <row r="2191" spans="2:5" x14ac:dyDescent="0.25">
      <c r="B2191" s="213" t="s">
        <v>2863</v>
      </c>
      <c r="C2191" s="214">
        <v>2019</v>
      </c>
      <c r="D2191" s="214">
        <v>6</v>
      </c>
      <c r="E2191" s="214">
        <v>31</v>
      </c>
    </row>
    <row r="2192" spans="2:5" x14ac:dyDescent="0.25">
      <c r="B2192" s="213" t="s">
        <v>2863</v>
      </c>
      <c r="C2192" s="214">
        <v>2019</v>
      </c>
      <c r="D2192" s="214">
        <v>5</v>
      </c>
      <c r="E2192" s="214">
        <v>30</v>
      </c>
    </row>
    <row r="2193" spans="2:5" x14ac:dyDescent="0.25">
      <c r="B2193" s="213" t="s">
        <v>2863</v>
      </c>
      <c r="C2193" s="214">
        <v>2019</v>
      </c>
      <c r="D2193" s="214">
        <v>8</v>
      </c>
      <c r="E2193" s="214">
        <v>29</v>
      </c>
    </row>
    <row r="2194" spans="2:5" x14ac:dyDescent="0.25">
      <c r="B2194" s="213" t="s">
        <v>2863</v>
      </c>
      <c r="C2194" s="214">
        <v>2019</v>
      </c>
      <c r="D2194" s="214">
        <v>3</v>
      </c>
      <c r="E2194" s="214">
        <v>26</v>
      </c>
    </row>
    <row r="2195" spans="2:5" x14ac:dyDescent="0.25">
      <c r="B2195" s="213" t="s">
        <v>2863</v>
      </c>
      <c r="C2195" s="214">
        <v>2019</v>
      </c>
      <c r="D2195" s="214">
        <v>11</v>
      </c>
      <c r="E2195" s="214">
        <v>22</v>
      </c>
    </row>
    <row r="2196" spans="2:5" x14ac:dyDescent="0.25">
      <c r="B2196" s="213" t="s">
        <v>2863</v>
      </c>
      <c r="C2196" s="214">
        <v>2019</v>
      </c>
      <c r="D2196" s="214">
        <v>7</v>
      </c>
      <c r="E2196" s="214">
        <v>16</v>
      </c>
    </row>
    <row r="2197" spans="2:5" x14ac:dyDescent="0.25">
      <c r="B2197" s="213" t="s">
        <v>2863</v>
      </c>
      <c r="C2197" s="214">
        <v>2019</v>
      </c>
      <c r="D2197" s="214">
        <v>2</v>
      </c>
      <c r="E2197" s="214">
        <v>3</v>
      </c>
    </row>
    <row r="2198" spans="2:5" x14ac:dyDescent="0.25">
      <c r="B2198" s="213" t="s">
        <v>2863</v>
      </c>
      <c r="C2198" s="214">
        <v>2019</v>
      </c>
      <c r="D2198" s="214">
        <v>1</v>
      </c>
      <c r="E2198" s="214">
        <v>2</v>
      </c>
    </row>
    <row r="2199" spans="2:5" x14ac:dyDescent="0.25">
      <c r="B2199" s="213" t="s">
        <v>2863</v>
      </c>
      <c r="C2199" s="214">
        <v>2019</v>
      </c>
      <c r="D2199" s="214">
        <v>12</v>
      </c>
      <c r="E2199" s="214">
        <v>1</v>
      </c>
    </row>
    <row r="2200" spans="2:5" x14ac:dyDescent="0.25">
      <c r="B2200" s="213" t="s">
        <v>2886</v>
      </c>
      <c r="C2200" s="214">
        <v>2019</v>
      </c>
      <c r="D2200" s="214">
        <v>3</v>
      </c>
      <c r="E2200" s="214">
        <v>65</v>
      </c>
    </row>
    <row r="2201" spans="2:5" x14ac:dyDescent="0.25">
      <c r="B2201" s="213" t="s">
        <v>2886</v>
      </c>
      <c r="C2201" s="214">
        <v>2019</v>
      </c>
      <c r="D2201" s="214">
        <v>5</v>
      </c>
      <c r="E2201" s="214">
        <v>50</v>
      </c>
    </row>
    <row r="2202" spans="2:5" x14ac:dyDescent="0.25">
      <c r="B2202" s="213" t="s">
        <v>2886</v>
      </c>
      <c r="C2202" s="214">
        <v>2019</v>
      </c>
      <c r="D2202" s="214">
        <v>9</v>
      </c>
      <c r="E2202" s="214">
        <v>44</v>
      </c>
    </row>
    <row r="2203" spans="2:5" x14ac:dyDescent="0.25">
      <c r="B2203" s="213" t="s">
        <v>2886</v>
      </c>
      <c r="C2203" s="214">
        <v>2019</v>
      </c>
      <c r="D2203" s="214">
        <v>1</v>
      </c>
      <c r="E2203" s="214">
        <v>39</v>
      </c>
    </row>
    <row r="2204" spans="2:5" x14ac:dyDescent="0.25">
      <c r="B2204" s="213" t="s">
        <v>2886</v>
      </c>
      <c r="C2204" s="214">
        <v>2019</v>
      </c>
      <c r="D2204" s="214">
        <v>10</v>
      </c>
      <c r="E2204" s="214">
        <v>39</v>
      </c>
    </row>
    <row r="2205" spans="2:5" x14ac:dyDescent="0.25">
      <c r="B2205" s="213" t="s">
        <v>2886</v>
      </c>
      <c r="C2205" s="214">
        <v>2019</v>
      </c>
      <c r="D2205" s="214">
        <v>6</v>
      </c>
      <c r="E2205" s="214">
        <v>37</v>
      </c>
    </row>
    <row r="2206" spans="2:5" x14ac:dyDescent="0.25">
      <c r="B2206" s="213" t="s">
        <v>2886</v>
      </c>
      <c r="C2206" s="214">
        <v>2019</v>
      </c>
      <c r="D2206" s="214">
        <v>8</v>
      </c>
      <c r="E2206" s="214">
        <v>31</v>
      </c>
    </row>
    <row r="2207" spans="2:5" x14ac:dyDescent="0.25">
      <c r="B2207" s="213" t="s">
        <v>2886</v>
      </c>
      <c r="C2207" s="214">
        <v>2019</v>
      </c>
      <c r="D2207" s="214">
        <v>7</v>
      </c>
      <c r="E2207" s="214">
        <v>26</v>
      </c>
    </row>
    <row r="2208" spans="2:5" x14ac:dyDescent="0.25">
      <c r="B2208" s="213" t="s">
        <v>2886</v>
      </c>
      <c r="C2208" s="214">
        <v>2019</v>
      </c>
      <c r="D2208" s="214">
        <v>11</v>
      </c>
      <c r="E2208" s="214">
        <v>23</v>
      </c>
    </row>
    <row r="2209" spans="2:5" x14ac:dyDescent="0.25">
      <c r="B2209" s="213" t="s">
        <v>2886</v>
      </c>
      <c r="C2209" s="214">
        <v>2019</v>
      </c>
      <c r="D2209" s="214">
        <v>4</v>
      </c>
      <c r="E2209" s="214">
        <v>15</v>
      </c>
    </row>
    <row r="2210" spans="2:5" x14ac:dyDescent="0.25">
      <c r="B2210" s="213" t="s">
        <v>2886</v>
      </c>
      <c r="C2210" s="214">
        <v>2019</v>
      </c>
      <c r="D2210" s="214">
        <v>2</v>
      </c>
      <c r="E2210" s="214">
        <v>8</v>
      </c>
    </row>
    <row r="2211" spans="2:5" x14ac:dyDescent="0.25">
      <c r="B2211" s="213" t="s">
        <v>2886</v>
      </c>
      <c r="C2211" s="214">
        <v>2019</v>
      </c>
      <c r="D2211" s="214">
        <v>12</v>
      </c>
      <c r="E2211" s="214">
        <v>3</v>
      </c>
    </row>
    <row r="2212" spans="2:5" x14ac:dyDescent="0.25">
      <c r="B2212" s="213" t="s">
        <v>2864</v>
      </c>
      <c r="C2212" s="214">
        <v>2019</v>
      </c>
      <c r="D2212" s="214">
        <v>9</v>
      </c>
      <c r="E2212" s="214">
        <v>47</v>
      </c>
    </row>
    <row r="2213" spans="2:5" x14ac:dyDescent="0.25">
      <c r="B2213" s="213" t="s">
        <v>2864</v>
      </c>
      <c r="C2213" s="214">
        <v>2019</v>
      </c>
      <c r="D2213" s="214">
        <v>8</v>
      </c>
      <c r="E2213" s="214">
        <v>38</v>
      </c>
    </row>
    <row r="2214" spans="2:5" x14ac:dyDescent="0.25">
      <c r="B2214" s="213" t="s">
        <v>2864</v>
      </c>
      <c r="C2214" s="214">
        <v>2019</v>
      </c>
      <c r="D2214" s="214">
        <v>4</v>
      </c>
      <c r="E2214" s="214">
        <v>36</v>
      </c>
    </row>
    <row r="2215" spans="2:5" x14ac:dyDescent="0.25">
      <c r="B2215" s="213" t="s">
        <v>2864</v>
      </c>
      <c r="C2215" s="214">
        <v>2019</v>
      </c>
      <c r="D2215" s="214">
        <v>6</v>
      </c>
      <c r="E2215" s="214">
        <v>32</v>
      </c>
    </row>
    <row r="2216" spans="2:5" x14ac:dyDescent="0.25">
      <c r="B2216" s="213" t="s">
        <v>2864</v>
      </c>
      <c r="C2216" s="214">
        <v>2019</v>
      </c>
      <c r="D2216" s="214">
        <v>7</v>
      </c>
      <c r="E2216" s="214">
        <v>24</v>
      </c>
    </row>
    <row r="2217" spans="2:5" x14ac:dyDescent="0.25">
      <c r="B2217" s="213" t="s">
        <v>2864</v>
      </c>
      <c r="C2217" s="214">
        <v>2019</v>
      </c>
      <c r="D2217" s="214">
        <v>10</v>
      </c>
      <c r="E2217" s="214">
        <v>22</v>
      </c>
    </row>
    <row r="2218" spans="2:5" x14ac:dyDescent="0.25">
      <c r="B2218" s="213" t="s">
        <v>2864</v>
      </c>
      <c r="C2218" s="214">
        <v>2019</v>
      </c>
      <c r="D2218" s="214">
        <v>3</v>
      </c>
      <c r="E2218" s="214">
        <v>19</v>
      </c>
    </row>
    <row r="2219" spans="2:5" x14ac:dyDescent="0.25">
      <c r="B2219" s="213" t="s">
        <v>2864</v>
      </c>
      <c r="C2219" s="214">
        <v>2019</v>
      </c>
      <c r="D2219" s="214">
        <v>5</v>
      </c>
      <c r="E2219" s="214">
        <v>19</v>
      </c>
    </row>
    <row r="2220" spans="2:5" x14ac:dyDescent="0.25">
      <c r="B2220" s="213" t="s">
        <v>2864</v>
      </c>
      <c r="C2220" s="214">
        <v>2019</v>
      </c>
      <c r="D2220" s="214">
        <v>12</v>
      </c>
      <c r="E2220" s="214">
        <v>16</v>
      </c>
    </row>
    <row r="2221" spans="2:5" x14ac:dyDescent="0.25">
      <c r="B2221" s="213" t="s">
        <v>2864</v>
      </c>
      <c r="C2221" s="214">
        <v>2019</v>
      </c>
      <c r="D2221" s="214">
        <v>2</v>
      </c>
      <c r="E2221" s="214">
        <v>7</v>
      </c>
    </row>
    <row r="2222" spans="2:5" x14ac:dyDescent="0.25">
      <c r="B2222" s="213" t="s">
        <v>2864</v>
      </c>
      <c r="C2222" s="214">
        <v>2019</v>
      </c>
      <c r="D2222" s="214">
        <v>11</v>
      </c>
      <c r="E2222" s="214">
        <v>7</v>
      </c>
    </row>
    <row r="2223" spans="2:5" x14ac:dyDescent="0.25">
      <c r="B2223" s="213" t="s">
        <v>2969</v>
      </c>
      <c r="C2223" s="214">
        <v>2019</v>
      </c>
      <c r="D2223" s="214">
        <v>4</v>
      </c>
      <c r="E2223" s="214">
        <v>1</v>
      </c>
    </row>
    <row r="2224" spans="2:5" x14ac:dyDescent="0.25">
      <c r="B2224" s="213" t="s">
        <v>2969</v>
      </c>
      <c r="C2224" s="214">
        <v>2019</v>
      </c>
      <c r="D2224" s="214">
        <v>6</v>
      </c>
      <c r="E2224" s="214">
        <v>1</v>
      </c>
    </row>
    <row r="2225" spans="2:5" x14ac:dyDescent="0.25">
      <c r="B2225" s="213" t="s">
        <v>2865</v>
      </c>
      <c r="C2225" s="214">
        <v>2019</v>
      </c>
      <c r="D2225" s="214">
        <v>5</v>
      </c>
      <c r="E2225" s="214">
        <v>31</v>
      </c>
    </row>
    <row r="2226" spans="2:5" x14ac:dyDescent="0.25">
      <c r="B2226" s="213" t="s">
        <v>2865</v>
      </c>
      <c r="C2226" s="214">
        <v>2019</v>
      </c>
      <c r="D2226" s="214">
        <v>12</v>
      </c>
      <c r="E2226" s="214">
        <v>24</v>
      </c>
    </row>
    <row r="2227" spans="2:5" x14ac:dyDescent="0.25">
      <c r="B2227" s="213" t="s">
        <v>2865</v>
      </c>
      <c r="C2227" s="214">
        <v>2019</v>
      </c>
      <c r="D2227" s="214">
        <v>3</v>
      </c>
      <c r="E2227" s="214">
        <v>18</v>
      </c>
    </row>
    <row r="2228" spans="2:5" x14ac:dyDescent="0.25">
      <c r="B2228" s="213" t="s">
        <v>2865</v>
      </c>
      <c r="C2228" s="214">
        <v>2019</v>
      </c>
      <c r="D2228" s="214">
        <v>2</v>
      </c>
      <c r="E2228" s="214">
        <v>14</v>
      </c>
    </row>
    <row r="2229" spans="2:5" x14ac:dyDescent="0.25">
      <c r="B2229" s="213" t="s">
        <v>2865</v>
      </c>
      <c r="C2229" s="214">
        <v>2019</v>
      </c>
      <c r="D2229" s="214">
        <v>6</v>
      </c>
      <c r="E2229" s="214">
        <v>14</v>
      </c>
    </row>
    <row r="2230" spans="2:5" x14ac:dyDescent="0.25">
      <c r="B2230" s="213" t="s">
        <v>2865</v>
      </c>
      <c r="C2230" s="214">
        <v>2019</v>
      </c>
      <c r="D2230" s="214">
        <v>10</v>
      </c>
      <c r="E2230" s="214">
        <v>14</v>
      </c>
    </row>
    <row r="2231" spans="2:5" x14ac:dyDescent="0.25">
      <c r="B2231" s="213" t="s">
        <v>2865</v>
      </c>
      <c r="C2231" s="214">
        <v>2019</v>
      </c>
      <c r="D2231" s="214">
        <v>8</v>
      </c>
      <c r="E2231" s="214">
        <v>13</v>
      </c>
    </row>
    <row r="2232" spans="2:5" x14ac:dyDescent="0.25">
      <c r="B2232" s="213" t="s">
        <v>2865</v>
      </c>
      <c r="C2232" s="214">
        <v>2019</v>
      </c>
      <c r="D2232" s="214">
        <v>4</v>
      </c>
      <c r="E2232" s="214">
        <v>12</v>
      </c>
    </row>
    <row r="2233" spans="2:5" x14ac:dyDescent="0.25">
      <c r="B2233" s="213" t="s">
        <v>2865</v>
      </c>
      <c r="C2233" s="214">
        <v>2019</v>
      </c>
      <c r="D2233" s="214">
        <v>7</v>
      </c>
      <c r="E2233" s="214">
        <v>10</v>
      </c>
    </row>
    <row r="2234" spans="2:5" x14ac:dyDescent="0.25">
      <c r="B2234" s="213" t="s">
        <v>2865</v>
      </c>
      <c r="C2234" s="214">
        <v>2019</v>
      </c>
      <c r="D2234" s="214">
        <v>9</v>
      </c>
      <c r="E2234" s="214">
        <v>9</v>
      </c>
    </row>
    <row r="2235" spans="2:5" x14ac:dyDescent="0.25">
      <c r="B2235" s="213" t="s">
        <v>2865</v>
      </c>
      <c r="C2235" s="214">
        <v>2019</v>
      </c>
      <c r="D2235" s="214">
        <v>11</v>
      </c>
      <c r="E2235" s="214">
        <v>3</v>
      </c>
    </row>
    <row r="2236" spans="2:5" x14ac:dyDescent="0.25">
      <c r="B2236" s="213" t="s">
        <v>2865</v>
      </c>
      <c r="C2236" s="214">
        <v>2019</v>
      </c>
      <c r="D2236" s="214">
        <v>1</v>
      </c>
      <c r="E2236" s="214">
        <v>2</v>
      </c>
    </row>
    <row r="2237" spans="2:5" x14ac:dyDescent="0.25">
      <c r="B2237" s="213" t="s">
        <v>2866</v>
      </c>
      <c r="C2237" s="214">
        <v>2019</v>
      </c>
      <c r="D2237" s="214">
        <v>6</v>
      </c>
      <c r="E2237" s="214">
        <v>24</v>
      </c>
    </row>
    <row r="2238" spans="2:5" x14ac:dyDescent="0.25">
      <c r="B2238" s="213" t="s">
        <v>2866</v>
      </c>
      <c r="C2238" s="214">
        <v>2019</v>
      </c>
      <c r="D2238" s="214">
        <v>7</v>
      </c>
      <c r="E2238" s="214">
        <v>18</v>
      </c>
    </row>
    <row r="2239" spans="2:5" x14ac:dyDescent="0.25">
      <c r="B2239" s="213" t="s">
        <v>2866</v>
      </c>
      <c r="C2239" s="214">
        <v>2019</v>
      </c>
      <c r="D2239" s="214">
        <v>3</v>
      </c>
      <c r="E2239" s="214">
        <v>14</v>
      </c>
    </row>
    <row r="2240" spans="2:5" x14ac:dyDescent="0.25">
      <c r="B2240" s="213" t="s">
        <v>2866</v>
      </c>
      <c r="C2240" s="214">
        <v>2019</v>
      </c>
      <c r="D2240" s="214">
        <v>9</v>
      </c>
      <c r="E2240" s="214">
        <v>7</v>
      </c>
    </row>
    <row r="2241" spans="2:5" x14ac:dyDescent="0.25">
      <c r="B2241" s="213" t="s">
        <v>2866</v>
      </c>
      <c r="C2241" s="214">
        <v>2019</v>
      </c>
      <c r="D2241" s="214">
        <v>5</v>
      </c>
      <c r="E2241" s="214">
        <v>6</v>
      </c>
    </row>
    <row r="2242" spans="2:5" x14ac:dyDescent="0.25">
      <c r="B2242" s="213" t="s">
        <v>2866</v>
      </c>
      <c r="C2242" s="214">
        <v>2019</v>
      </c>
      <c r="D2242" s="214">
        <v>4</v>
      </c>
      <c r="E2242" s="214">
        <v>5</v>
      </c>
    </row>
    <row r="2243" spans="2:5" x14ac:dyDescent="0.25">
      <c r="B2243" s="213" t="s">
        <v>2866</v>
      </c>
      <c r="C2243" s="214">
        <v>2019</v>
      </c>
      <c r="D2243" s="214">
        <v>10</v>
      </c>
      <c r="E2243" s="214">
        <v>4</v>
      </c>
    </row>
    <row r="2244" spans="2:5" x14ac:dyDescent="0.25">
      <c r="B2244" s="213" t="s">
        <v>2866</v>
      </c>
      <c r="C2244" s="214">
        <v>2019</v>
      </c>
      <c r="D2244" s="214">
        <v>2</v>
      </c>
      <c r="E2244" s="214">
        <v>3</v>
      </c>
    </row>
    <row r="2245" spans="2:5" x14ac:dyDescent="0.25">
      <c r="B2245" s="213" t="s">
        <v>2866</v>
      </c>
      <c r="C2245" s="214">
        <v>2019</v>
      </c>
      <c r="D2245" s="214">
        <v>1</v>
      </c>
      <c r="E2245" s="214">
        <v>1</v>
      </c>
    </row>
    <row r="2246" spans="2:5" x14ac:dyDescent="0.25">
      <c r="B2246" s="213" t="s">
        <v>2866</v>
      </c>
      <c r="C2246" s="214">
        <v>2019</v>
      </c>
      <c r="D2246" s="214">
        <v>11</v>
      </c>
      <c r="E2246" s="214">
        <v>1</v>
      </c>
    </row>
    <row r="2247" spans="2:5" x14ac:dyDescent="0.25">
      <c r="B2247" s="213" t="s">
        <v>2866</v>
      </c>
      <c r="C2247" s="214">
        <v>2019</v>
      </c>
      <c r="D2247" s="214">
        <v>12</v>
      </c>
      <c r="E2247" s="214">
        <v>1</v>
      </c>
    </row>
    <row r="2248" spans="2:5" x14ac:dyDescent="0.25">
      <c r="B2248" s="213" t="s">
        <v>2973</v>
      </c>
      <c r="C2248" s="214">
        <v>2019</v>
      </c>
      <c r="D2248" s="214">
        <v>4</v>
      </c>
      <c r="E2248" s="214">
        <v>1</v>
      </c>
    </row>
    <row r="2249" spans="2:5" x14ac:dyDescent="0.25">
      <c r="B2249" s="213" t="s">
        <v>2951</v>
      </c>
      <c r="C2249" s="214">
        <v>2019</v>
      </c>
      <c r="D2249" s="214">
        <v>7</v>
      </c>
      <c r="E2249" s="214">
        <v>3</v>
      </c>
    </row>
    <row r="2250" spans="2:5" x14ac:dyDescent="0.25">
      <c r="B2250" s="213" t="s">
        <v>2951</v>
      </c>
      <c r="C2250" s="214">
        <v>2019</v>
      </c>
      <c r="D2250" s="214">
        <v>5</v>
      </c>
      <c r="E2250" s="214">
        <v>2</v>
      </c>
    </row>
    <row r="2251" spans="2:5" x14ac:dyDescent="0.25">
      <c r="B2251" s="213" t="s">
        <v>2951</v>
      </c>
      <c r="C2251" s="214">
        <v>2019</v>
      </c>
      <c r="D2251" s="214">
        <v>1</v>
      </c>
      <c r="E2251" s="214">
        <v>1</v>
      </c>
    </row>
    <row r="2252" spans="2:5" x14ac:dyDescent="0.25">
      <c r="B2252" s="213" t="s">
        <v>2951</v>
      </c>
      <c r="C2252" s="214">
        <v>2019</v>
      </c>
      <c r="D2252" s="214">
        <v>3</v>
      </c>
      <c r="E2252" s="214">
        <v>1</v>
      </c>
    </row>
    <row r="2253" spans="2:5" x14ac:dyDescent="0.25">
      <c r="B2253" s="213" t="s">
        <v>2951</v>
      </c>
      <c r="C2253" s="214">
        <v>2019</v>
      </c>
      <c r="D2253" s="214">
        <v>9</v>
      </c>
      <c r="E2253" s="214">
        <v>1</v>
      </c>
    </row>
  </sheetData>
  <sortState xmlns:xlrd2="http://schemas.microsoft.com/office/spreadsheetml/2017/richdata2" ref="B3:E2253">
    <sortCondition ref="B3:B2253"/>
  </sortState>
  <mergeCells count="1">
    <mergeCell ref="B1:E1"/>
  </mergeCell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4A6D-0597-4B71-8EA5-CB218458741C}">
  <sheetPr>
    <tabColor rgb="FFFFFF00"/>
  </sheetPr>
  <dimension ref="B1:BV58"/>
  <sheetViews>
    <sheetView tabSelected="1" topLeftCell="AY1" zoomScale="95" zoomScaleNormal="95" workbookViewId="0">
      <selection activeCell="BT14" sqref="BT14"/>
    </sheetView>
  </sheetViews>
  <sheetFormatPr defaultRowHeight="15" x14ac:dyDescent="0.25"/>
  <cols>
    <col min="2" max="2" width="10.7109375" customWidth="1"/>
    <col min="3" max="3" width="16.42578125" customWidth="1"/>
    <col min="4" max="4" width="9.85546875" style="5" customWidth="1"/>
    <col min="5" max="5" width="12.5703125" style="135" bestFit="1" customWidth="1"/>
    <col min="6" max="6" width="13.5703125" style="135" customWidth="1"/>
    <col min="7" max="7" width="12" style="135" bestFit="1" customWidth="1"/>
    <col min="8" max="8" width="18.140625" customWidth="1"/>
    <col min="11" max="11" width="15.85546875" customWidth="1"/>
    <col min="12" max="12" width="10.85546875" customWidth="1"/>
    <col min="13" max="13" width="12.5703125" style="135" bestFit="1" customWidth="1"/>
    <col min="14" max="14" width="14.140625" style="135" customWidth="1"/>
    <col min="15" max="15" width="9.140625" style="135"/>
    <col min="17" max="17" width="12.85546875" bestFit="1" customWidth="1"/>
    <col min="18" max="18" width="21.42578125" bestFit="1" customWidth="1"/>
    <col min="19" max="19" width="16.42578125" bestFit="1" customWidth="1"/>
    <col min="20" max="20" width="11.140625" bestFit="1" customWidth="1"/>
    <col min="21" max="21" width="13.28515625" bestFit="1" customWidth="1"/>
    <col min="22" max="22" width="11.85546875" customWidth="1"/>
    <col min="23" max="23" width="7.7109375" bestFit="1" customWidth="1"/>
    <col min="28" max="28" width="14.5703125" bestFit="1" customWidth="1"/>
    <col min="29" max="29" width="14.5703125" customWidth="1"/>
    <col min="30" max="30" width="13.42578125" bestFit="1" customWidth="1"/>
    <col min="31" max="31" width="13.42578125" customWidth="1"/>
    <col min="32" max="32" width="14.140625" customWidth="1"/>
    <col min="33" max="33" width="13.42578125" customWidth="1"/>
    <col min="34" max="34" width="13.42578125" bestFit="1" customWidth="1"/>
    <col min="35" max="35" width="13.5703125" customWidth="1"/>
    <col min="43" max="43" width="20.42578125" customWidth="1"/>
    <col min="45" max="46" width="15.5703125" customWidth="1"/>
    <col min="47" max="47" width="12.7109375" customWidth="1"/>
    <col min="51" max="51" width="11" customWidth="1"/>
    <col min="52" max="53" width="10.140625" customWidth="1"/>
    <col min="54" max="55" width="13.42578125" bestFit="1" customWidth="1"/>
    <col min="56" max="56" width="10.42578125" bestFit="1" customWidth="1"/>
    <col min="57" max="57" width="13.42578125" bestFit="1" customWidth="1"/>
    <col min="59" max="59" width="10.7109375" bestFit="1" customWidth="1"/>
    <col min="60" max="60" width="21" customWidth="1"/>
    <col min="61" max="61" width="9.7109375" bestFit="1" customWidth="1"/>
    <col min="62" max="62" width="14.5703125" bestFit="1" customWidth="1"/>
    <col min="63" max="63" width="14.42578125" customWidth="1"/>
    <col min="68" max="68" width="10.7109375" customWidth="1"/>
    <col min="69" max="69" width="16" bestFit="1" customWidth="1"/>
    <col min="71" max="71" width="12.85546875" customWidth="1"/>
    <col min="72" max="72" width="14.85546875" customWidth="1"/>
  </cols>
  <sheetData>
    <row r="1" spans="2:74" ht="21" x14ac:dyDescent="0.35">
      <c r="C1" s="345" t="s">
        <v>882</v>
      </c>
      <c r="D1" s="345"/>
      <c r="E1" s="345"/>
      <c r="K1" s="343" t="s">
        <v>883</v>
      </c>
      <c r="L1" s="343"/>
      <c r="M1" s="343"/>
      <c r="R1" s="343" t="s">
        <v>884</v>
      </c>
      <c r="S1" s="343"/>
      <c r="T1" s="343"/>
      <c r="U1" s="343"/>
      <c r="V1" s="343"/>
      <c r="W1" s="343"/>
      <c r="AA1" s="343" t="s">
        <v>3921</v>
      </c>
      <c r="AB1" s="343"/>
      <c r="AC1" s="343"/>
      <c r="AD1" s="343"/>
      <c r="AE1" s="343"/>
      <c r="AF1" s="343"/>
      <c r="AG1" s="343"/>
      <c r="AH1" s="343"/>
      <c r="AI1" s="343"/>
      <c r="AP1" s="343" t="s">
        <v>885</v>
      </c>
      <c r="AQ1" s="343"/>
      <c r="AR1" s="343"/>
      <c r="AS1" s="343"/>
      <c r="AT1" s="343"/>
      <c r="AU1" s="343"/>
      <c r="AY1" s="343" t="s">
        <v>886</v>
      </c>
      <c r="AZ1" s="343"/>
      <c r="BA1" s="343"/>
      <c r="BB1" s="343"/>
      <c r="BC1" s="343"/>
      <c r="BD1" s="343"/>
      <c r="BG1" s="343" t="s">
        <v>3902</v>
      </c>
      <c r="BH1" s="343"/>
      <c r="BI1" s="343"/>
      <c r="BJ1" s="343"/>
      <c r="BK1" s="343"/>
      <c r="BL1" s="343"/>
      <c r="BP1" s="343" t="s">
        <v>12812</v>
      </c>
      <c r="BQ1" s="343"/>
      <c r="BR1" s="343"/>
      <c r="BS1" s="343"/>
      <c r="BT1" s="343"/>
      <c r="BU1" s="343"/>
    </row>
    <row r="2" spans="2:74" x14ac:dyDescent="0.25">
      <c r="D2" s="200"/>
      <c r="Z2" s="164"/>
    </row>
    <row r="3" spans="2:74" ht="15.75" x14ac:dyDescent="0.25">
      <c r="B3" s="11" t="s">
        <v>887</v>
      </c>
      <c r="C3" s="11" t="s">
        <v>888</v>
      </c>
      <c r="D3" s="200"/>
      <c r="J3" s="11" t="s">
        <v>889</v>
      </c>
      <c r="K3" s="11" t="s">
        <v>890</v>
      </c>
      <c r="L3" s="200"/>
      <c r="Z3" s="164"/>
      <c r="AA3" s="11" t="s">
        <v>891</v>
      </c>
      <c r="AB3" s="11" t="s">
        <v>892</v>
      </c>
      <c r="AC3" s="11"/>
      <c r="AP3" t="s">
        <v>893</v>
      </c>
      <c r="AQ3" s="169" t="s">
        <v>894</v>
      </c>
      <c r="AY3" t="s">
        <v>893</v>
      </c>
      <c r="AZ3" t="s">
        <v>895</v>
      </c>
      <c r="BG3" s="11" t="s">
        <v>893</v>
      </c>
      <c r="BH3" s="11" t="s">
        <v>3910</v>
      </c>
      <c r="BI3" s="218"/>
      <c r="BJ3" s="135"/>
      <c r="BK3" s="135"/>
      <c r="BL3" s="135"/>
    </row>
    <row r="4" spans="2:74" x14ac:dyDescent="0.25">
      <c r="D4" s="200"/>
      <c r="H4" t="s">
        <v>896</v>
      </c>
      <c r="L4" s="200"/>
      <c r="R4" s="11" t="s">
        <v>897</v>
      </c>
      <c r="S4" s="11" t="s">
        <v>898</v>
      </c>
      <c r="Z4" s="187" t="s">
        <v>899</v>
      </c>
      <c r="AA4" t="s">
        <v>900</v>
      </c>
      <c r="BH4" t="s">
        <v>3900</v>
      </c>
      <c r="BI4" s="218"/>
      <c r="BJ4" s="135"/>
      <c r="BK4" s="135"/>
      <c r="BL4" s="135"/>
      <c r="BP4" t="s">
        <v>12820</v>
      </c>
    </row>
    <row r="5" spans="2:74" ht="75" x14ac:dyDescent="0.25">
      <c r="B5" s="339" t="s">
        <v>901</v>
      </c>
      <c r="C5" s="339"/>
      <c r="D5" s="339"/>
      <c r="E5" s="190" t="s">
        <v>902</v>
      </c>
      <c r="F5" s="191" t="s">
        <v>903</v>
      </c>
      <c r="G5" s="192" t="s">
        <v>904</v>
      </c>
      <c r="H5" s="202" t="s">
        <v>905</v>
      </c>
      <c r="J5" s="339" t="s">
        <v>906</v>
      </c>
      <c r="K5" s="339"/>
      <c r="L5" s="339"/>
      <c r="M5" s="190" t="s">
        <v>902</v>
      </c>
      <c r="N5" s="193" t="s">
        <v>903</v>
      </c>
      <c r="O5" s="192" t="s">
        <v>907</v>
      </c>
      <c r="P5" s="202" t="s">
        <v>905</v>
      </c>
      <c r="R5" s="202" t="s">
        <v>908</v>
      </c>
      <c r="S5" s="202" t="s">
        <v>909</v>
      </c>
      <c r="T5" s="202" t="s">
        <v>910</v>
      </c>
      <c r="U5" s="202" t="s">
        <v>911</v>
      </c>
      <c r="V5" s="202" t="s">
        <v>912</v>
      </c>
      <c r="W5" s="202" t="s">
        <v>913</v>
      </c>
      <c r="Z5" s="164"/>
      <c r="AA5" s="194" t="s">
        <v>914</v>
      </c>
      <c r="AB5" s="194" t="s">
        <v>915</v>
      </c>
      <c r="AC5" s="194" t="s">
        <v>916</v>
      </c>
      <c r="AD5" s="194" t="s">
        <v>917</v>
      </c>
      <c r="AE5" s="194" t="s">
        <v>916</v>
      </c>
      <c r="AF5" s="194" t="s">
        <v>918</v>
      </c>
      <c r="AG5" s="194" t="s">
        <v>919</v>
      </c>
      <c r="AH5" s="194" t="s">
        <v>920</v>
      </c>
      <c r="AI5" s="194" t="s">
        <v>921</v>
      </c>
      <c r="AP5" s="339" t="s">
        <v>922</v>
      </c>
      <c r="AQ5" s="339"/>
      <c r="AR5" s="339"/>
      <c r="AS5" s="190" t="s">
        <v>902</v>
      </c>
      <c r="AT5" s="191" t="s">
        <v>903</v>
      </c>
      <c r="AY5" s="346" t="s">
        <v>923</v>
      </c>
      <c r="AZ5" s="346"/>
      <c r="BA5" s="206" t="s">
        <v>924</v>
      </c>
      <c r="BB5" s="207" t="s">
        <v>925</v>
      </c>
      <c r="BC5" s="206" t="s">
        <v>926</v>
      </c>
      <c r="BD5" s="206" t="s">
        <v>3920</v>
      </c>
      <c r="BE5" s="207"/>
      <c r="BG5" s="339" t="s">
        <v>3901</v>
      </c>
      <c r="BH5" s="339"/>
      <c r="BI5" s="339"/>
      <c r="BJ5" s="190" t="s">
        <v>902</v>
      </c>
      <c r="BK5" s="193" t="s">
        <v>903</v>
      </c>
      <c r="BL5" s="192" t="s">
        <v>907</v>
      </c>
      <c r="BM5" s="219" t="s">
        <v>905</v>
      </c>
      <c r="BP5" s="339" t="s">
        <v>12813</v>
      </c>
      <c r="BQ5" s="339"/>
      <c r="BR5" s="339"/>
      <c r="BS5" s="190" t="s">
        <v>902</v>
      </c>
      <c r="BT5" s="191" t="s">
        <v>903</v>
      </c>
      <c r="BU5" s="192" t="s">
        <v>904</v>
      </c>
      <c r="BV5" s="262" t="s">
        <v>905</v>
      </c>
    </row>
    <row r="6" spans="2:74" x14ac:dyDescent="0.25">
      <c r="B6" s="340" t="s">
        <v>927</v>
      </c>
      <c r="C6" s="341" t="s">
        <v>928</v>
      </c>
      <c r="D6" s="200" t="s">
        <v>929</v>
      </c>
      <c r="E6" s="135">
        <f>SUMIFS(Table8[CLM $ Collected ],Table8[Distressed Tract1],"Yes")</f>
        <v>3598608.4811999979</v>
      </c>
      <c r="F6" s="135">
        <f>SUMIFS(Table8[Incentive Disbursements],Table8[Distressed Tract1],"Yes")</f>
        <v>0</v>
      </c>
      <c r="G6" s="135">
        <f>(F6/E6)*100</f>
        <v>0</v>
      </c>
      <c r="H6" t="str">
        <f>IF($G$15&lt;=G6, "Yes","No")</f>
        <v>No</v>
      </c>
      <c r="J6" s="340" t="s">
        <v>927</v>
      </c>
      <c r="K6" s="341" t="s">
        <v>928</v>
      </c>
      <c r="L6" s="200" t="s">
        <v>929</v>
      </c>
      <c r="M6" s="135">
        <f>SUMIFS(Table325[CLM $ Collected ],Table325[Distressed Tract1],"Yes")</f>
        <v>3636636.4099000003</v>
      </c>
      <c r="N6" s="135">
        <f>SUMIFS(Table325[Incentive Disbursements],Table325[Distressed Tract1],"Yes")</f>
        <v>0</v>
      </c>
      <c r="O6" s="135">
        <f>(N6/M6)*100</f>
        <v>0</v>
      </c>
      <c r="P6" t="str">
        <f>IF($O$15&lt;=O6, "Yes","No")</f>
        <v>No</v>
      </c>
      <c r="R6" s="340" t="s">
        <v>930</v>
      </c>
      <c r="S6" s="200" t="s">
        <v>931</v>
      </c>
      <c r="T6" s="200">
        <f>SUMIFS(Table3236[Total Units],Table3236[Distressed Tract1],"Yes")</f>
        <v>0</v>
      </c>
      <c r="U6" s="200">
        <f>SUMIFS(Table3236[Single Family],Table3236[Distressed Tract1],"Yes")</f>
        <v>0</v>
      </c>
      <c r="V6" s="200">
        <f>SUMIFS(Table3236[2-4 Units],Table3236[Distressed Tract1],"Yes")</f>
        <v>0</v>
      </c>
      <c r="W6" s="200">
        <f>SUMIFS(Table3236[&gt;4 Units],Table3236[Distressed Tract1],"No")</f>
        <v>41</v>
      </c>
      <c r="Z6" s="164" t="s">
        <v>932</v>
      </c>
      <c r="AA6" s="164">
        <v>1</v>
      </c>
      <c r="AB6" s="168">
        <f>SUMIFS(Table3[CLM $ Collected ],Table3[BIPOC Index],AA6)+SUMIFS(Table32[CLM $ Collected ],Table32[BIPOC Index],AA6)+SUMIFS(Table8[CLM $ Collected ],Table8[BIPOC Index],AA6)+SUMIFS(Table325[CLM $ Collected ],Table325[BIPOC Index],AA6)</f>
        <v>24224802.721830875</v>
      </c>
      <c r="AC6" s="168">
        <f>(AB6/$AB$11)*100</f>
        <v>17.315381952990542</v>
      </c>
      <c r="AD6" s="168">
        <f>SUMIFS(Table3[Incentive Disbursements],Table3[BIPOC Index],AA6)+SUMIFS(Table32[Incentive Disbursements],Table32[BIPOC Index],AA6)+SUMIFS(Table8[Incentive Disbursements],Table8[BIPOC Index],AA6)+SUMIFS(Table325[Incentive Disbursements],Table325[BIPOC Index],AA6)</f>
        <v>16347059.340100002</v>
      </c>
      <c r="AE6" s="168">
        <f>(AD6/$AD$11)*100</f>
        <v>17.407716449547241</v>
      </c>
      <c r="AF6" s="168">
        <f>SUMIFS(Table3[Residential CLM $ Collected],Table3[BIPOC Index],AA6)+SUMIFS(Table32[Residential CLM $ Collected],Table32[BIPOC Index],AA6)+SUMIFS(Table8[Residential CLM $ Collected],Table8[BIPOC Index],AA6)+SUMIFS(Table325[Residential CLM $ Collected],Table325[BIPOC Index],AA6)</f>
        <v>10621629.459361915</v>
      </c>
      <c r="AG6" s="168">
        <f>SUMIFS(Table3[Residential Incentive Disbursements],Table3[BIPOC Index],AA6)+SUMIFS(Table32[Residential Incentive Disbursements],Table32[BIPOC Index],AA6)+SUMIFS(Table8[Residential Incentive Disbursements],Table8[BIPOC Index],AA6)+SUMIFS(Table325[Residential Incentive Disbursements],Table325[BIPOC Index],AA6)</f>
        <v>8542089.3815000001</v>
      </c>
      <c r="AH6" s="168">
        <f>SUMIFS(Table3[C&amp;I CLM $ Collected],Table3[BIPOC Index],AA6)+SUMIFS(Table32[C&amp;I CLM $ Collected],Table32[BIPOC Index],AA6)+SUMIFS(Table8[C&amp;I CLM $ Collected],Table8[BIPOC Index],AA6)+SUMIFS(Table325[C&amp;I CLM $ Collected],Table325[BIPOC Index],AA6)</f>
        <v>13603173.26246896</v>
      </c>
      <c r="AI6" s="168">
        <f>SUMIFS(Table3[C&amp;I Incentive Disbursements],Table3[BIPOC Index],AA6)+SUMIFS(Table32[C&amp;I Incentive Disbursements],Table32[BIPOC Index],AA6)+SUMIFS(Table8[C&amp;I Incentive Disbursements],Table8[BIPOC Index],AA6)+SUMIFS(Table325[C&amp;I Incentive Disbursements],Table325[BIPOC Index],AA6)</f>
        <v>7804969.9585999986</v>
      </c>
      <c r="AP6" s="340" t="s">
        <v>927</v>
      </c>
      <c r="AQ6" s="341" t="s">
        <v>933</v>
      </c>
      <c r="AR6" s="200" t="s">
        <v>929</v>
      </c>
      <c r="AS6" s="52">
        <f>SUMIFS(Table8[CLM $ Collected ],Table8[Energy Burdened?],"Yes")+SUMIFS(Table325[CLM $ Collected ],Table325[Energy Burdened?],"Yes")</f>
        <v>4919178.0636</v>
      </c>
      <c r="AT6" s="52">
        <f>SUMIFS(Table8[Incentive Disbursements],Table8[Energy Burdened?],"Yes")+SUMIFS(Table325[Incentive Disbursements],Table325[Energy Burdened?],"Yes")</f>
        <v>1939969.6800000002</v>
      </c>
      <c r="AY6" t="s">
        <v>934</v>
      </c>
      <c r="AZ6" t="s">
        <v>935</v>
      </c>
      <c r="BA6">
        <v>16799</v>
      </c>
      <c r="BB6" s="52">
        <f>SUMIFS(Table3236[CLM $ Collected ],Table3236[Town],"Bridgeport")</f>
        <v>1823871.2919000003</v>
      </c>
      <c r="BC6" s="52">
        <f>SUMIFS(Table3236[Incentive Disbursements],Table3236[Town],"Bridgeport")</f>
        <v>2137788.8095016163</v>
      </c>
      <c r="BD6">
        <f>SUMIFS(Table3236[Total Units],Table3236[Town],"Bridgeport")+SUMIFS(Table3236[Total Units2],Table3236[Town],"Bridgeport")</f>
        <v>899</v>
      </c>
      <c r="BG6" s="340" t="s">
        <v>927</v>
      </c>
      <c r="BH6" s="341" t="s">
        <v>928</v>
      </c>
      <c r="BI6" s="218" t="s">
        <v>929</v>
      </c>
      <c r="BJ6" s="135">
        <f>SUMIFS(Table3236[CLM $ Collected ],Table3236[Distressed Tract1],"Yes")</f>
        <v>2142093.8969000001</v>
      </c>
      <c r="BK6" s="135">
        <f>SUMIFS(Table3236[Incentive Disbursements],Table3236[Distressed Tract1],"Yes")</f>
        <v>0</v>
      </c>
      <c r="BL6" s="135">
        <f>BK6/BJ6</f>
        <v>0</v>
      </c>
      <c r="BM6" t="s">
        <v>944</v>
      </c>
      <c r="BP6" s="340" t="s">
        <v>927</v>
      </c>
      <c r="BQ6" s="341" t="s">
        <v>928</v>
      </c>
      <c r="BR6" s="260" t="s">
        <v>929</v>
      </c>
      <c r="BS6" s="135">
        <f>SUMIFS(Table8[CLM $ Collected ],Table8[Distressed Tract1],"Yes")+SUMIFS(Table325[CLM $ Collected ],Table325[Distressed Tract1],"Yes")</f>
        <v>7235244.8910999987</v>
      </c>
      <c r="BT6" s="135">
        <f>SUMIFS(Table8[Incentive Disbursements],Table8[Distressed Tract1],"Yes")+SUMIFS(Table325[Incentive Disbursements],Table325[Distressed Tract1],"Yes")</f>
        <v>0</v>
      </c>
      <c r="BU6" s="135"/>
    </row>
    <row r="7" spans="2:74" ht="29.25" customHeight="1" x14ac:dyDescent="0.25">
      <c r="B7" s="340"/>
      <c r="C7" s="341"/>
      <c r="D7" s="200" t="s">
        <v>937</v>
      </c>
      <c r="E7" s="252">
        <f>(E6/'Small Load'!D423)</f>
        <v>0.20507323396539173</v>
      </c>
      <c r="F7" s="252">
        <f>(F6/'Small Load'!F423)</f>
        <v>0</v>
      </c>
      <c r="J7" s="340"/>
      <c r="K7" s="341"/>
      <c r="L7" s="200" t="s">
        <v>937</v>
      </c>
      <c r="M7" s="252">
        <f>(M6/'Large Load'!D210)</f>
        <v>0.31478688063586069</v>
      </c>
      <c r="N7" s="252">
        <f>(N6/'Large Load'!F210)</f>
        <v>0</v>
      </c>
      <c r="R7" s="340"/>
      <c r="S7" s="200" t="s">
        <v>938</v>
      </c>
      <c r="T7" s="200">
        <f>SUMIFS(Table3236[Total Units],Table3236[Distressed Tract1],"No")</f>
        <v>2950</v>
      </c>
      <c r="U7" s="200">
        <f>SUMIFS(Table3236[Single Family],Table3236[Distressed Tract1],"No")</f>
        <v>2732</v>
      </c>
      <c r="V7" s="200">
        <f>SUMIFS(Table3236[2-4 Units],Table3236[Distressed Tract1],"No")</f>
        <v>177</v>
      </c>
      <c r="W7" s="200">
        <f>SUMIFS(Table3236[&gt;4 Units],Table3236[Distressed Tract1],"Yes")</f>
        <v>0</v>
      </c>
      <c r="Z7" s="164"/>
      <c r="AA7" s="164">
        <v>2</v>
      </c>
      <c r="AB7" s="168">
        <f>SUMIFS(Table3[CLM $ Collected ],Table3[BIPOC Index],AA7)+SUMIFS(Table32[CLM $ Collected ],Table32[BIPOC Index],AA7)+SUMIFS(Table8[CLM $ Collected ],Table8[BIPOC Index],AA7)+SUMIFS(Table325[CLM $ Collected ],Table325[BIPOC Index],AA7)</f>
        <v>22888083.758815691</v>
      </c>
      <c r="AC7" s="168">
        <f t="shared" ref="AC7:AC10" si="0">(AB7/$AB$11)*100</f>
        <v>16.35992321616645</v>
      </c>
      <c r="AD7" s="168">
        <f>SUMIFS(Table3[Incentive Disbursements],Table3[BIPOC Index],AA7)+SUMIFS(Table32[Incentive Disbursements],Table32[BIPOC Index],AA7)+SUMIFS(Table8[Incentive Disbursements],Table8[BIPOC Index],AA7)+SUMIFS(Table325[Incentive Disbursements],Table325[BIPOC Index],AA7)</f>
        <v>17258372.461300001</v>
      </c>
      <c r="AE7" s="168">
        <f t="shared" ref="AE7:AE10" si="1">(AD7/$AD$11)*100</f>
        <v>18.378158905315829</v>
      </c>
      <c r="AF7" s="168">
        <f>SUMIFS(Table3[Residential CLM $ Collected],Table3[BIPOC Index],AA7)+SUMIFS(Table32[Residential CLM $ Collected],Table32[BIPOC Index],AA7)+SUMIFS(Table8[Residential CLM $ Collected],Table8[BIPOC Index],AA7)+SUMIFS(Table325[Residential CLM $ Collected],Table325[BIPOC Index],AA7)</f>
        <v>12507064.772951519</v>
      </c>
      <c r="AG7" s="168">
        <f>SUMIFS(Table3[Residential Incentive Disbursements],Table3[BIPOC Index],AA7)+SUMIFS(Table32[Residential Incentive Disbursements],Table32[BIPOC Index],AA7)+SUMIFS(Table8[Residential Incentive Disbursements],Table8[BIPOC Index],AA7)+SUMIFS(Table325[Residential Incentive Disbursements],Table325[BIPOC Index],AA7)</f>
        <v>7136597.4575000033</v>
      </c>
      <c r="AH7" s="168">
        <f>SUMIFS(Table3[C&amp;I CLM $ Collected],Table3[BIPOC Index],AA7)+SUMIFS(Table32[C&amp;I CLM $ Collected],Table32[BIPOC Index],AA7)+SUMIFS(Table8[C&amp;I CLM $ Collected],Table8[BIPOC Index],AA7)+SUMIFS(Table325[C&amp;I CLM $ Collected],Table325[BIPOC Index],AA7)</f>
        <v>10381018.985864161</v>
      </c>
      <c r="AI7" s="168">
        <f>SUMIFS(Table3[C&amp;I Incentive Disbursements],Table3[BIPOC Index],AA7)+SUMIFS(Table32[C&amp;I Incentive Disbursements],Table32[BIPOC Index],AA7)+SUMIFS(Table8[C&amp;I Incentive Disbursements],Table8[BIPOC Index],AA7)+SUMIFS(Table325[C&amp;I Incentive Disbursements],Table325[BIPOC Index],AA7)</f>
        <v>10121775.003799997</v>
      </c>
      <c r="AP7" s="340"/>
      <c r="AQ7" s="341"/>
      <c r="AR7" s="200" t="s">
        <v>937</v>
      </c>
      <c r="AS7" s="135">
        <f>(AS6/(AS6+AS8))*100</f>
        <v>18.033648982149909</v>
      </c>
      <c r="AT7" s="135">
        <f>(AT6/(AT6+AT8))*100</f>
        <v>15.894603328972853</v>
      </c>
      <c r="AW7" s="157"/>
      <c r="AZ7" t="s">
        <v>939</v>
      </c>
      <c r="BA7" s="135"/>
      <c r="BB7" s="252">
        <f>BB6/'CLM from UI'!C4</f>
        <v>0.1484623149598441</v>
      </c>
      <c r="BC7" s="252">
        <f>BC6/'CLM from UI'!C5</f>
        <v>0.25164239806243521</v>
      </c>
      <c r="BD7" s="252">
        <f>BD6/('HES Report UI'!F419+'HES Report UI'!K419)</f>
        <v>0.19955604883462819</v>
      </c>
      <c r="BG7" s="340"/>
      <c r="BH7" s="341"/>
      <c r="BI7" s="218" t="s">
        <v>937</v>
      </c>
      <c r="BJ7" s="135">
        <f>(BJ6/BJ12)*100</f>
        <v>17.65977299944775</v>
      </c>
      <c r="BK7" s="135">
        <f>(BK6/BK12)*100</f>
        <v>0</v>
      </c>
      <c r="BL7" s="135"/>
      <c r="BP7" s="340"/>
      <c r="BQ7" s="341"/>
      <c r="BR7" s="260" t="s">
        <v>937</v>
      </c>
      <c r="BS7" s="252">
        <f>BS6/(BS6+BS8)</f>
        <v>0.24862861099039815</v>
      </c>
      <c r="BT7" s="252">
        <f>BT6/(BT6+BT8)</f>
        <v>0</v>
      </c>
      <c r="BU7" s="135"/>
      <c r="BV7" t="s">
        <v>944</v>
      </c>
    </row>
    <row r="8" spans="2:74" ht="15.75" customHeight="1" x14ac:dyDescent="0.25">
      <c r="B8" s="340"/>
      <c r="C8" s="341" t="s">
        <v>940</v>
      </c>
      <c r="D8" s="200" t="s">
        <v>929</v>
      </c>
      <c r="E8" s="135">
        <f>SUMIFS(Table8[CLM $ Collected ],Table8[Distressed Tract1],"No")</f>
        <v>13949310.433500003</v>
      </c>
      <c r="F8" s="135">
        <f>SUMIFS(Table8[Incentive Disbursements],Table8[Distressed Tract1],"No")</f>
        <v>11650460.610000001</v>
      </c>
      <c r="G8" s="135">
        <f t="shared" ref="G8:G14" si="2">(F8/E8)*100</f>
        <v>83.519975166806859</v>
      </c>
      <c r="H8" t="str">
        <f t="shared" ref="H8:H12" si="3">IF($G$15&lt;=G8, "Yes","No")</f>
        <v>Yes</v>
      </c>
      <c r="J8" s="340"/>
      <c r="K8" s="341" t="s">
        <v>940</v>
      </c>
      <c r="L8" s="200" t="s">
        <v>929</v>
      </c>
      <c r="M8" s="135">
        <f>SUMIFS(Table325[CLM $ Collected ],Table325[Distressed Tract1],"No")</f>
        <v>7916057.2809999986</v>
      </c>
      <c r="N8" s="135">
        <f>SUMIFS(Table325[Incentive Disbursements],Table325[Distressed Tract1],"No")</f>
        <v>5150527.3599999994</v>
      </c>
      <c r="O8" s="135">
        <f t="shared" ref="O8:O14" si="4">(N8/M8)*100</f>
        <v>65.064301295067906</v>
      </c>
      <c r="P8" t="str">
        <f t="shared" ref="P8:P12" si="5">IF($O$15&lt;=O8, "Yes","No")</f>
        <v>No</v>
      </c>
      <c r="R8" s="342" t="s">
        <v>941</v>
      </c>
      <c r="S8" s="200" t="s">
        <v>931</v>
      </c>
      <c r="T8" s="200">
        <f>SUMIFS(Table323[Total Units],Table323[Distressed Tract1],"Yes")</f>
        <v>9</v>
      </c>
      <c r="U8" s="200">
        <f>SUMIFS(Table323[Single Family],Table323[Distressed Tract1],"Yes")</f>
        <v>8</v>
      </c>
      <c r="V8" s="200">
        <f>SUMIFS(Table323[2-4 Units],Table323[Distressed Tract1],"Yes")</f>
        <v>1</v>
      </c>
      <c r="W8" s="200">
        <f>SUMIFS(Table323[&gt;4 Units],Table323[Distressed Tract1],"Yes")</f>
        <v>0</v>
      </c>
      <c r="Z8" s="164"/>
      <c r="AA8" s="164">
        <v>3</v>
      </c>
      <c r="AB8" s="168">
        <f>SUMIFS(Table3[CLM $ Collected ],Table3[BIPOC Index],AA8)+SUMIFS(Table32[CLM $ Collected ],Table32[BIPOC Index],AA8)+SUMIFS(Table8[CLM $ Collected ],Table8[BIPOC Index],AA8)+SUMIFS(Table325[CLM $ Collected ],Table325[BIPOC Index],AA8)</f>
        <v>32602501.891794071</v>
      </c>
      <c r="AC8" s="168">
        <f t="shared" si="0"/>
        <v>23.303585971859057</v>
      </c>
      <c r="AD8" s="168">
        <f>SUMIFS(Table3[Incentive Disbursements],Table3[BIPOC Index],AA8)+SUMIFS(Table32[Incentive Disbursements],Table32[BIPOC Index],AA8)+SUMIFS(Table8[Incentive Disbursements],Table8[BIPOC Index],AA8)+SUMIFS(Table325[Incentive Disbursements],Table325[BIPOC Index],AA8)</f>
        <v>17927125.992000002</v>
      </c>
      <c r="AE8" s="168">
        <f t="shared" si="1"/>
        <v>19.090303615557517</v>
      </c>
      <c r="AF8" s="168">
        <f>SUMIFS(Table3[Residential CLM $ Collected],Table3[BIPOC Index],AA8)+SUMIFS(Table32[Residential CLM $ Collected],Table32[BIPOC Index],AA8)+SUMIFS(Table8[Residential CLM $ Collected],Table8[BIPOC Index],AA8)+SUMIFS(Table325[Residential CLM $ Collected],Table325[BIPOC Index],AA8)</f>
        <v>15153372.850134077</v>
      </c>
      <c r="AG8" s="168">
        <f>SUMIFS(Table3[Residential Incentive Disbursements],Table3[BIPOC Index],AA8)+SUMIFS(Table32[Residential Incentive Disbursements],Table32[BIPOC Index],AA8)+SUMIFS(Table8[Residential Incentive Disbursements],Table8[BIPOC Index],AA8)+SUMIFS(Table325[Residential Incentive Disbursements],Table325[BIPOC Index],AA8)</f>
        <v>8666596.579400003</v>
      </c>
      <c r="AH8" s="168">
        <f>SUMIFS(Table3[C&amp;I CLM $ Collected],Table3[BIPOC Index],AA8)+SUMIFS(Table32[C&amp;I CLM $ Collected],Table32[BIPOC Index],AA8)+SUMIFS(Table8[C&amp;I CLM $ Collected],Table8[BIPOC Index],AA8)+SUMIFS(Table325[C&amp;I CLM $ Collected],Table325[BIPOC Index],AA8)</f>
        <v>17449129.041660003</v>
      </c>
      <c r="AI8" s="168">
        <f>SUMIFS(Table3[C&amp;I Incentive Disbursements],Table3[BIPOC Index],AA8)+SUMIFS(Table32[C&amp;I Incentive Disbursements],Table32[BIPOC Index],AA8)+SUMIFS(Table8[C&amp;I Incentive Disbursements],Table8[BIPOC Index],AA8)+SUMIFS(Table325[C&amp;I Incentive Disbursements],Table325[BIPOC Index],AA8)</f>
        <v>9260529.4126000013</v>
      </c>
      <c r="AP8" s="340"/>
      <c r="AQ8" s="341" t="s">
        <v>942</v>
      </c>
      <c r="AR8" s="200" t="s">
        <v>929</v>
      </c>
      <c r="AS8" s="52">
        <f>SUMIFS(Table8[CLM $ Collected ],Table8[Energy Burdened?],"No")+SUMIFS(Table325[CLM $ Collected ],Table325[Energy Burdened?],"No")</f>
        <v>22358596.215300001</v>
      </c>
      <c r="AT8" s="52">
        <f>SUMIFS(Table8[Incentive Disbursements],Table8[Energy Burdened?],"No")+SUMIFS(Table325[Incentive Disbursements],Table325[Energy Burdened?],"No")</f>
        <v>10265240.1</v>
      </c>
      <c r="AW8" s="157"/>
      <c r="AY8" t="s">
        <v>943</v>
      </c>
      <c r="AZ8" t="s">
        <v>935</v>
      </c>
      <c r="BA8">
        <v>11218</v>
      </c>
      <c r="BB8" s="52">
        <f>SUMIFS(Table3236[CLM $ Collected ],Table3236[Town],"New Haven")</f>
        <v>1599417.5780999996</v>
      </c>
      <c r="BC8" s="52">
        <f>SUMIFS(Table3236[Incentive Disbursements],Table3236[Town],"New Haven")</f>
        <v>894930.477763779</v>
      </c>
      <c r="BD8" s="217">
        <f>SUMIFS(Table3236[Total Units],Table3236[Town],"New Haven")+SUMIFS(Table3236[Total Units2],Table3236[Town],"New Haven")</f>
        <v>593</v>
      </c>
      <c r="BE8" s="52"/>
      <c r="BG8" s="340"/>
      <c r="BH8" s="344" t="s">
        <v>3902</v>
      </c>
      <c r="BI8" s="218" t="s">
        <v>929</v>
      </c>
      <c r="BJ8" s="135">
        <f>SUMIFS(Table3236[CLM $ Collected ],Table3236[Moderately Distressed?],"Yes")</f>
        <v>1805774.541</v>
      </c>
      <c r="BK8" s="135">
        <f>SUMIFS(Table3236[Incentive Disbursements],Table3236[Moderately Distressed?],"Yes")</f>
        <v>850056.60000000009</v>
      </c>
      <c r="BL8" s="135">
        <f t="shared" ref="BL8:BL20" si="6">BK8/BJ8</f>
        <v>0.4707434846928657</v>
      </c>
      <c r="BM8" t="s">
        <v>944</v>
      </c>
      <c r="BP8" s="340"/>
      <c r="BQ8" s="341" t="s">
        <v>940</v>
      </c>
      <c r="BR8" s="260" t="s">
        <v>929</v>
      </c>
      <c r="BS8" s="135">
        <f>SUMIFS(Table8[CLM $ Collected ],Table8[Distressed Tract1],"No")+SUMIFS(Table325[CLM $ Collected ],Table325[Distressed Tract1],"No")</f>
        <v>21865367.714500003</v>
      </c>
      <c r="BT8" s="135">
        <f>SUMIFS(Table8[Incentive Disbursements],Table8[Distressed Tract1],"No")+SUMIFS(Table325[Incentive Disbursements],Table325[Distressed Tract1],"No")</f>
        <v>16800987.969999999</v>
      </c>
      <c r="BU8" s="135"/>
    </row>
    <row r="9" spans="2:74" x14ac:dyDescent="0.25">
      <c r="B9" s="340"/>
      <c r="C9" s="341"/>
      <c r="D9" s="200" t="s">
        <v>937</v>
      </c>
      <c r="E9" s="252">
        <f>(E8/'Small Load'!D423)</f>
        <v>0.79492676603460777</v>
      </c>
      <c r="F9" s="252">
        <f>(F8/'Small Load'!F423)</f>
        <v>1</v>
      </c>
      <c r="J9" s="340"/>
      <c r="K9" s="341"/>
      <c r="L9" s="200" t="s">
        <v>937</v>
      </c>
      <c r="M9" s="252">
        <f>(M8/'Large Load'!D210)</f>
        <v>0.68521311936413887</v>
      </c>
      <c r="N9" s="252">
        <f>(N8/'Large Load'!F210)</f>
        <v>1</v>
      </c>
      <c r="R9" s="342"/>
      <c r="S9" s="200" t="s">
        <v>938</v>
      </c>
      <c r="T9" s="200">
        <f>SUMIFS(Table323[Total Units],Table323[Distressed Tract1],"No")</f>
        <v>17700</v>
      </c>
      <c r="U9" s="200">
        <f>SUMIFS(Table323[Single Family],Table323[Distressed Tract1],"No")</f>
        <v>9973</v>
      </c>
      <c r="V9" s="200">
        <f>SUMIFS(Table323[2-4 Units],Table323[Distressed Tract1],"No")</f>
        <v>168</v>
      </c>
      <c r="W9" s="200">
        <f>SUMIFS(Table323[&gt;4 Units],Table323[Distressed Tract1],"No")</f>
        <v>7559</v>
      </c>
      <c r="Z9" s="164"/>
      <c r="AA9" s="164">
        <v>4</v>
      </c>
      <c r="AB9" s="168">
        <f>SUMIFS(Table3[CLM $ Collected ],Table3[BIPOC Index],AA9)+SUMIFS(Table32[CLM $ Collected ],Table32[BIPOC Index],AA9)+SUMIFS(Table8[CLM $ Collected ],Table8[BIPOC Index],AA9)+SUMIFS(Table325[CLM $ Collected ],Table325[BIPOC Index],AA9)</f>
        <v>30545847.053978246</v>
      </c>
      <c r="AC9" s="168">
        <f t="shared" si="0"/>
        <v>21.833532140206827</v>
      </c>
      <c r="AD9" s="168">
        <f>SUMIFS(Table3[Incentive Disbursements],Table3[BIPOC Index],AA9)+SUMIFS(Table32[Incentive Disbursements],Table32[BIPOC Index],AA9)+SUMIFS(Table8[Incentive Disbursements],Table8[BIPOC Index],AA9)+SUMIFS(Table325[Incentive Disbursements],Table325[BIPOC Index],AA9)</f>
        <v>22986160.8409</v>
      </c>
      <c r="AE9" s="168">
        <f t="shared" si="1"/>
        <v>24.477587182945026</v>
      </c>
      <c r="AF9" s="168">
        <f>SUMIFS(Table3[Residential CLM $ Collected],Table3[BIPOC Index],AA9)+SUMIFS(Table32[Residential CLM $ Collected],Table32[BIPOC Index],AA9)+SUMIFS(Table8[Residential CLM $ Collected],Table8[BIPOC Index],AA9)+SUMIFS(Table325[Residential CLM $ Collected],Table325[BIPOC Index],AA9)</f>
        <v>14545054.423058085</v>
      </c>
      <c r="AG9" s="168">
        <f>SUMIFS(Table3[Residential Incentive Disbursements],Table3[BIPOC Index],AA9)+SUMIFS(Table32[Residential Incentive Disbursements],Table32[BIPOC Index],AA9)+SUMIFS(Table8[Residential Incentive Disbursements],Table8[BIPOC Index],AA9)+SUMIFS(Table325[Residential Incentive Disbursements],Table325[BIPOC Index],AA9)</f>
        <v>9850085.8808999974</v>
      </c>
      <c r="AH9" s="168">
        <f>SUMIFS(Table3[C&amp;I CLM $ Collected],Table3[BIPOC Index],AA9)+SUMIFS(Table32[C&amp;I CLM $ Collected],Table32[BIPOC Index],AA9)+SUMIFS(Table8[C&amp;I CLM $ Collected],Table8[BIPOC Index],AA9)+SUMIFS(Table325[C&amp;I CLM $ Collected],Table325[BIPOC Index],AA9)</f>
        <v>16000792.630920162</v>
      </c>
      <c r="AI9" s="168">
        <f>SUMIFS(Table3[C&amp;I Incentive Disbursements],Table3[BIPOC Index],AA9)+SUMIFS(Table32[C&amp;I Incentive Disbursements],Table32[BIPOC Index],AA9)+SUMIFS(Table8[C&amp;I Incentive Disbursements],Table8[BIPOC Index],AA9)+SUMIFS(Table325[C&amp;I Incentive Disbursements],Table325[BIPOC Index],AA9)</f>
        <v>13136074.960000001</v>
      </c>
      <c r="AP9" s="340"/>
      <c r="AQ9" s="341"/>
      <c r="AR9" s="200" t="s">
        <v>937</v>
      </c>
      <c r="AS9" s="135">
        <f>(AS8/(AS8+AS6))*100</f>
        <v>81.966351017850087</v>
      </c>
      <c r="AT9" s="135">
        <f>(AT8/(AT8+AT6))*100</f>
        <v>84.105396671027151</v>
      </c>
      <c r="AZ9" t="s">
        <v>939</v>
      </c>
      <c r="BA9" s="135"/>
      <c r="BB9" s="252">
        <f>BB8/'CLM from UI'!C4</f>
        <v>0.13019188211731134</v>
      </c>
      <c r="BC9" s="252">
        <f>BC8/'CLM from UI'!C5</f>
        <v>0.10534363849352348</v>
      </c>
      <c r="BD9" s="258">
        <f>BD8/('HES Report UI'!F419+'HES Report UI'!K419)</f>
        <v>0.13163152053274141</v>
      </c>
      <c r="BF9" s="13" t="s">
        <v>945</v>
      </c>
      <c r="BG9" s="340"/>
      <c r="BH9" s="344"/>
      <c r="BI9" s="218" t="s">
        <v>937</v>
      </c>
      <c r="BJ9" s="135">
        <f>(BJ8/BJ12)*100</f>
        <v>14.88710113426492</v>
      </c>
      <c r="BK9" s="135">
        <f>(BK8/BK12)*100</f>
        <v>10.007088914713282</v>
      </c>
      <c r="BL9" s="135"/>
      <c r="BP9" s="340"/>
      <c r="BQ9" s="341"/>
      <c r="BR9" s="260" t="s">
        <v>937</v>
      </c>
      <c r="BS9" s="252">
        <f>BS8/(BS8+BS6)</f>
        <v>0.75137138900960188</v>
      </c>
      <c r="BT9" s="252">
        <f>BT8/(BT8+BT6)</f>
        <v>1</v>
      </c>
      <c r="BU9" s="135"/>
      <c r="BV9" t="s">
        <v>936</v>
      </c>
    </row>
    <row r="10" spans="2:74" ht="15.75" customHeight="1" x14ac:dyDescent="0.25">
      <c r="B10" s="342" t="s">
        <v>946</v>
      </c>
      <c r="C10" s="341" t="s">
        <v>928</v>
      </c>
      <c r="D10" s="200" t="s">
        <v>929</v>
      </c>
      <c r="E10" s="135">
        <f>SUMIFS(Table3[CLM $ Collected ],Table3[Distressed Tract1],"Yes")</f>
        <v>384737.82419232005</v>
      </c>
      <c r="F10" s="135">
        <f>SUMIFS(Table3[Incentive Disbursements],Table3[Distressed Tract1],"Yes")</f>
        <v>52144.1662</v>
      </c>
      <c r="G10" s="135">
        <f t="shared" si="2"/>
        <v>13.553168656985109</v>
      </c>
      <c r="H10" t="str">
        <f t="shared" si="3"/>
        <v>No</v>
      </c>
      <c r="J10" s="342" t="s">
        <v>946</v>
      </c>
      <c r="K10" s="341" t="s">
        <v>928</v>
      </c>
      <c r="L10" s="200" t="s">
        <v>929</v>
      </c>
      <c r="M10" s="135">
        <f>SUMIFS(Table32[CLM $ Collected ],Table32[Distressed Tract1],"Yes")</f>
        <v>94.36843872</v>
      </c>
      <c r="N10" s="135">
        <f>SUMIFS(Table32[Incentive Disbursements],Table32[Distressed Tract1],"Yes")</f>
        <v>0</v>
      </c>
      <c r="O10" s="135">
        <f t="shared" si="4"/>
        <v>0</v>
      </c>
      <c r="P10" t="str">
        <f t="shared" si="5"/>
        <v>No</v>
      </c>
      <c r="R10" s="200" t="s">
        <v>947</v>
      </c>
      <c r="S10" s="200" t="s">
        <v>948</v>
      </c>
      <c r="T10" s="200">
        <f>SUM(T6:T9)</f>
        <v>20659</v>
      </c>
      <c r="U10" s="200">
        <f t="shared" ref="U10:W10" si="7">SUM(U6:U9)</f>
        <v>12713</v>
      </c>
      <c r="V10" s="200">
        <f t="shared" si="7"/>
        <v>346</v>
      </c>
      <c r="W10" s="200">
        <f t="shared" si="7"/>
        <v>7600</v>
      </c>
      <c r="Z10" s="164" t="s">
        <v>949</v>
      </c>
      <c r="AA10" s="164">
        <v>5</v>
      </c>
      <c r="AB10" s="168">
        <f>SUMIFS(Table3[CLM $ Collected ],Table3[BIPOC Index],AA10)+SUMIFS(Table32[CLM $ Collected ],Table32[BIPOC Index],AA10)+SUMIFS(Table8[CLM $ Collected ],Table8[BIPOC Index],AA10)+SUMIFS(Table325[CLM $ Collected ],Table325[BIPOC Index],AA10)</f>
        <v>29642133.656623531</v>
      </c>
      <c r="AC10" s="168">
        <f t="shared" si="0"/>
        <v>21.187576718777127</v>
      </c>
      <c r="AD10" s="168">
        <f>SUMIFS(Table3[Incentive Disbursements],Table3[BIPOC Index],AA10)+SUMIFS(Table32[Incentive Disbursements],Table32[BIPOC Index],AA10)+SUMIFS(Table8[Incentive Disbursements],Table8[BIPOC Index],AA10)+SUMIFS(Table325[Incentive Disbursements],Table325[BIPOC Index],AA10)</f>
        <v>19388252.952</v>
      </c>
      <c r="AE10" s="168">
        <f t="shared" si="1"/>
        <v>20.646233846634377</v>
      </c>
      <c r="AF10" s="168">
        <f>SUMIFS(Table3[Residential CLM $ Collected],Table3[BIPOC Index],AA10)+SUMIFS(Table32[Residential CLM $ Collected],Table32[BIPOC Index],AA10)+SUMIFS(Table8[Residential CLM $ Collected],Table8[BIPOC Index],AA10)+SUMIFS(Table325[Residential CLM $ Collected],Table325[BIPOC Index],AA10)</f>
        <v>10760097.441838078</v>
      </c>
      <c r="AG10" s="168">
        <f>SUMIFS(Table3[Residential Incentive Disbursements],Table3[BIPOC Index],AA10)+SUMIFS(Table32[Residential Incentive Disbursements],Table32[BIPOC Index],AA10)+SUMIFS(Table8[Residential Incentive Disbursements],Table8[BIPOC Index],AA10)+SUMIFS(Table325[Residential Incentive Disbursements],Table325[BIPOC Index],AA10)</f>
        <v>7482923.9676000001</v>
      </c>
      <c r="AH10" s="168">
        <f>SUMIFS(Table3[C&amp;I CLM $ Collected],Table3[BIPOC Index],AA10)+SUMIFS(Table32[C&amp;I CLM $ Collected],Table32[BIPOC Index],AA10)+SUMIFS(Table8[C&amp;I CLM $ Collected],Table8[BIPOC Index],AA10)+SUMIFS(Table325[C&amp;I CLM $ Collected],Table325[BIPOC Index],AA10)</f>
        <v>18882036.214785442</v>
      </c>
      <c r="AI10" s="168">
        <f>SUMIFS(Table3[C&amp;I Incentive Disbursements],Table3[BIPOC Index],AA10)+SUMIFS(Table32[C&amp;I Incentive Disbursements],Table32[BIPOC Index],AA10)+SUMIFS(Table8[C&amp;I Incentive Disbursements],Table8[BIPOC Index],AA10)+SUMIFS(Table325[C&amp;I Incentive Disbursements],Table325[BIPOC Index],AA10)</f>
        <v>11905328.984399999</v>
      </c>
      <c r="AP10" s="342" t="s">
        <v>946</v>
      </c>
      <c r="AQ10" s="341" t="s">
        <v>933</v>
      </c>
      <c r="AR10" s="200" t="s">
        <v>929</v>
      </c>
      <c r="AS10" s="52">
        <f>SUMIFS(Table3[CLM $ Collected ],Table3[Energy Burdened?],"Yes")+SUMIFS(Table32[CLM $ Collected ],Table32[Energy Burdened?],"Yes")</f>
        <v>6813666.8984886408</v>
      </c>
      <c r="AT10" s="52">
        <f>SUMIFS(Table3[Incentive Disbursements],Table3[Energy Burdened?],"Yes")+SUMIFS(Table32[Incentive Disbursements],Table32[Energy Burdened?],"Yes")</f>
        <v>5681348.0652999999</v>
      </c>
      <c r="AV10" s="52"/>
      <c r="AY10" t="s">
        <v>950</v>
      </c>
      <c r="AZ10" t="s">
        <v>935</v>
      </c>
      <c r="BA10">
        <v>4133</v>
      </c>
      <c r="BB10" s="52">
        <f>SUMIFS(Table3236[CLM $ Collected ],Table3236[Town],"West Haven")</f>
        <v>883566.11429999955</v>
      </c>
      <c r="BC10" s="52">
        <f>SUMIFS(Table3236[Incentive Disbursements],Table3236[Town],"West Haven")</f>
        <v>501198.79219178692</v>
      </c>
      <c r="BD10" s="256">
        <f>SUMIFS(Table3236[Total Units],Table3236[Town],"West Haven")+SUMIFS(Table3236[Total Units2],Table3236[Town],"West Haven")</f>
        <v>269</v>
      </c>
      <c r="BE10" s="52"/>
      <c r="BG10" s="340"/>
      <c r="BH10" s="341" t="s">
        <v>3903</v>
      </c>
      <c r="BI10" s="218" t="s">
        <v>929</v>
      </c>
      <c r="BJ10" s="135">
        <f>BJ12-(BJ8+BJ6)</f>
        <v>8181924.4929999998</v>
      </c>
      <c r="BK10" s="135">
        <f>BK12-(BK8+BK6)</f>
        <v>7644487.6900000013</v>
      </c>
      <c r="BL10" s="135">
        <f t="shared" si="6"/>
        <v>0.93431413312848344</v>
      </c>
      <c r="BM10" t="s">
        <v>936</v>
      </c>
      <c r="BP10" s="342" t="s">
        <v>946</v>
      </c>
      <c r="BQ10" s="341" t="s">
        <v>928</v>
      </c>
      <c r="BR10" s="260" t="s">
        <v>929</v>
      </c>
      <c r="BS10" s="135">
        <f>SUMIFS(Table3[CLM $ Collected ],Table3[Distressed Tract1],"Yes")+SUMIFS(Table32[CLM $ Collected ],Table32[Distressed Tract1],"Yes")</f>
        <v>384832.19263104006</v>
      </c>
      <c r="BT10" s="135">
        <f>SUMIFS(Table3[Incentive Disbursements],Table3[Distressed Tract1],"Yes")+SUMIFS(Table32[Incentive Disbursements],Table32[Distressed Tract1],"Yes")</f>
        <v>52144.1662</v>
      </c>
      <c r="BU10" s="135"/>
    </row>
    <row r="11" spans="2:74" x14ac:dyDescent="0.25">
      <c r="B11" s="342"/>
      <c r="C11" s="341"/>
      <c r="D11" s="200" t="s">
        <v>937</v>
      </c>
      <c r="E11" s="252">
        <f>(E10/'2.) Small Load'!D937)</f>
        <v>5.4449824267185564E-3</v>
      </c>
      <c r="F11" s="252">
        <f>(F10/'2.) Small Load'!F937)</f>
        <v>1.1742779562353689E-3</v>
      </c>
      <c r="J11" s="342"/>
      <c r="K11" s="341"/>
      <c r="L11" s="200" t="s">
        <v>937</v>
      </c>
      <c r="M11" s="252">
        <f>(M10/'3.) Large Load'!D233)</f>
        <v>2.2436857363156482E-6</v>
      </c>
      <c r="N11" s="252">
        <f>(N10/'3.) Large Load'!F233)</f>
        <v>0</v>
      </c>
      <c r="Z11" s="164"/>
      <c r="AA11" s="164" t="s">
        <v>951</v>
      </c>
      <c r="AB11" s="168">
        <f>SUM(AB6:AB10)</f>
        <v>139903369.08304241</v>
      </c>
      <c r="AC11" s="168"/>
      <c r="AD11" s="168">
        <f t="shared" ref="AD11:AI11" si="8">SUM(AD6:AD10)</f>
        <v>93906971.586300015</v>
      </c>
      <c r="AE11" s="168"/>
      <c r="AF11" s="168">
        <f t="shared" si="8"/>
        <v>63587218.94734367</v>
      </c>
      <c r="AG11" s="168">
        <f t="shared" si="8"/>
        <v>41678293.266900003</v>
      </c>
      <c r="AH11" s="168">
        <f t="shared" si="8"/>
        <v>76316150.135698736</v>
      </c>
      <c r="AI11" s="168">
        <f t="shared" si="8"/>
        <v>52228678.319399998</v>
      </c>
      <c r="AP11" s="342"/>
      <c r="AQ11" s="341"/>
      <c r="AR11" s="200" t="s">
        <v>937</v>
      </c>
      <c r="AS11" s="135">
        <f>(AS10/(AS10+AS12))*100</f>
        <v>6.0623561743260401</v>
      </c>
      <c r="AT11" s="135">
        <f>(AT10/(AT10+AT12))*100</f>
        <v>6.9581300224284739</v>
      </c>
      <c r="AZ11" t="s">
        <v>939</v>
      </c>
      <c r="BA11" s="135"/>
      <c r="BB11" s="252">
        <f>BB10/'CLM from UI'!C4</f>
        <v>7.1921890174827266E-2</v>
      </c>
      <c r="BC11" s="252">
        <f>BC10/'CLM from UI'!C5</f>
        <v>5.8996878182059752E-2</v>
      </c>
      <c r="BD11" s="258">
        <f>BD10/('HES Report UI'!F419+'HES Report UI'!K419)</f>
        <v>5.9711431742508321E-2</v>
      </c>
      <c r="BF11" s="13" t="s">
        <v>952</v>
      </c>
      <c r="BG11" s="340"/>
      <c r="BH11" s="341"/>
      <c r="BI11" s="218" t="s">
        <v>937</v>
      </c>
      <c r="BJ11" s="135">
        <f>(BJ10/BJ12)*100</f>
        <v>67.453125866287337</v>
      </c>
      <c r="BK11" s="135">
        <f>(BK10/BK12)*100</f>
        <v>89.992911085286721</v>
      </c>
      <c r="BL11" s="135"/>
      <c r="BP11" s="342"/>
      <c r="BQ11" s="341"/>
      <c r="BR11" s="260" t="s">
        <v>937</v>
      </c>
      <c r="BS11" s="252">
        <f>BS10/(BS10+BS12)</f>
        <v>3.4140932805513976E-3</v>
      </c>
      <c r="BT11" s="252">
        <f>BT10/(BT10+BT12)</f>
        <v>6.3796573168330053E-4</v>
      </c>
      <c r="BU11" s="135"/>
      <c r="BV11" t="s">
        <v>944</v>
      </c>
    </row>
    <row r="12" spans="2:74" ht="15.75" customHeight="1" x14ac:dyDescent="0.25">
      <c r="B12" s="342"/>
      <c r="C12" s="341" t="s">
        <v>940</v>
      </c>
      <c r="D12" s="200" t="s">
        <v>929</v>
      </c>
      <c r="E12" s="135">
        <f>SUMIFS(Table3[CLM $ Collected ],Table3[Distressed Tract1],"No")</f>
        <v>70274411.10242486</v>
      </c>
      <c r="F12" s="135">
        <f>SUMIFS(Table3[Incentive Disbursements],Table3[Distressed Tract1],"No")</f>
        <v>44353156.915299967</v>
      </c>
      <c r="G12" s="135">
        <f t="shared" si="2"/>
        <v>63.114234924936326</v>
      </c>
      <c r="H12" t="str">
        <f t="shared" si="3"/>
        <v>Yes</v>
      </c>
      <c r="J12" s="342"/>
      <c r="K12" s="341" t="s">
        <v>940</v>
      </c>
      <c r="L12" s="200" t="s">
        <v>929</v>
      </c>
      <c r="M12" s="135">
        <f>SUMIFS(Table32[CLM $ Collected ],Table32[Distressed Tract1],"No")</f>
        <v>42059467.357421435</v>
      </c>
      <c r="N12" s="135">
        <f>SUMIFS(Table32[Incentive Disbursements],Table32[Distressed Tract1],"No")</f>
        <v>37329757.104799993</v>
      </c>
      <c r="O12" s="135">
        <f t="shared" si="4"/>
        <v>88.754707204377183</v>
      </c>
      <c r="P12" t="str">
        <f t="shared" si="5"/>
        <v>Yes</v>
      </c>
      <c r="Z12" s="164"/>
      <c r="AA12" s="164"/>
      <c r="AB12" s="164"/>
      <c r="AC12" s="164"/>
      <c r="AD12" s="164"/>
      <c r="AE12" s="164"/>
      <c r="AF12" s="164"/>
      <c r="AG12" s="164"/>
      <c r="AH12" s="164"/>
      <c r="AI12" s="164"/>
      <c r="AP12" s="342"/>
      <c r="AQ12" s="341" t="s">
        <v>942</v>
      </c>
      <c r="AR12" s="200" t="s">
        <v>929</v>
      </c>
      <c r="AS12" s="52">
        <f>SUMIFS(Table3[CLM $ Collected ],Table3[Energy Burdened?],"No")+SUMIFS(Table32[CLM $ Collected ],Table32[Energy Burdened?],"No")</f>
        <v>105579381.3249791</v>
      </c>
      <c r="AT12" s="52">
        <f>SUMIFS(Table3[Incentive Disbursements],Table3[Energy Burdened?],"No")+SUMIFS(Table32[Incentive Disbursements],Table32[Energy Burdened?],"No")</f>
        <v>75969153.534799993</v>
      </c>
      <c r="AY12" t="s">
        <v>953</v>
      </c>
      <c r="AZ12" t="s">
        <v>935</v>
      </c>
      <c r="BA12">
        <v>3468</v>
      </c>
      <c r="BB12" s="52">
        <f>SUMIFS(Table3236[CLM $ Collected ],Table3236[Town],"Hamden")</f>
        <v>938887.64010000043</v>
      </c>
      <c r="BC12" s="52">
        <f>SUMIFS(Table3236[Incentive Disbursements],Table3236[Town],"Hamden")</f>
        <v>700074.15852310101</v>
      </c>
      <c r="BD12" s="256">
        <f>SUMIFS(Table3236[Total Units],Table3236[Town],"Hamden")+SUMIFS(Table3236[Total Units2],Table3236[Town],"Hamden")</f>
        <v>426</v>
      </c>
      <c r="BE12" s="52"/>
      <c r="BG12" s="247"/>
      <c r="BH12" s="341" t="s">
        <v>948</v>
      </c>
      <c r="BI12" s="218" t="s">
        <v>929</v>
      </c>
      <c r="BJ12" s="135">
        <v>12129792.9309</v>
      </c>
      <c r="BK12" s="135">
        <v>8494544.290000001</v>
      </c>
      <c r="BL12" s="135">
        <f t="shared" si="6"/>
        <v>0.70030414685485709</v>
      </c>
      <c r="BP12" s="342"/>
      <c r="BQ12" s="341" t="s">
        <v>940</v>
      </c>
      <c r="BR12" s="260" t="s">
        <v>929</v>
      </c>
      <c r="BS12" s="135">
        <f>SUMIFS(Table3[CLM $ Collected ],Table3[Distressed Tract1],"No")+SUMIFS(Table32[CLM $ Collected ],Table32[Distressed Tract1],"No")</f>
        <v>112333878.45984629</v>
      </c>
      <c r="BT12" s="135">
        <f>SUMIFS(Table3[Incentive Disbursements],Table3[Distressed Tract1],"No")+SUMIFS(Table32[Incentive Disbursements],Table32[Distressed Tract1],"No")</f>
        <v>81682914.020099968</v>
      </c>
      <c r="BU12" s="135"/>
    </row>
    <row r="13" spans="2:74" x14ac:dyDescent="0.25">
      <c r="B13" s="342"/>
      <c r="C13" s="341"/>
      <c r="D13" s="200" t="s">
        <v>937</v>
      </c>
      <c r="E13" s="252">
        <f>(E12/'2.) Small Load'!D937)</f>
        <v>0.99455501757328113</v>
      </c>
      <c r="F13" s="252">
        <f>(F12/'2.) Small Load'!F937)</f>
        <v>0.99882572204376452</v>
      </c>
      <c r="J13" s="342"/>
      <c r="K13" s="341"/>
      <c r="L13" s="200" t="s">
        <v>937</v>
      </c>
      <c r="M13" s="252">
        <f>(M12/'3.) Large Load'!D233)</f>
        <v>0.99999775631426369</v>
      </c>
      <c r="N13" s="252">
        <f>(N12/'3.) Large Load'!F233)</f>
        <v>1</v>
      </c>
      <c r="Z13" s="164"/>
      <c r="AP13" s="342"/>
      <c r="AQ13" s="341"/>
      <c r="AR13" s="200" t="s">
        <v>937</v>
      </c>
      <c r="AS13" s="135">
        <f>(AS12/(AS12+AS10))*100</f>
        <v>93.937643825673959</v>
      </c>
      <c r="AT13" s="135">
        <f>(AT12/(AT12+AT10))*100</f>
        <v>93.041869977571523</v>
      </c>
      <c r="AZ13" t="s">
        <v>939</v>
      </c>
      <c r="BA13" s="135"/>
      <c r="BB13" s="252">
        <f>BB12/'CLM from UI'!C4</f>
        <v>7.6425037860661446E-2</v>
      </c>
      <c r="BC13" s="252">
        <f>BC12/'CLM from UI'!C5</f>
        <v>8.2406802434972407E-2</v>
      </c>
      <c r="BD13" s="258">
        <f>BD12/('HES Report UI'!F419+'HES Report UI'!K419)</f>
        <v>9.456159822419534E-2</v>
      </c>
      <c r="BG13" s="247"/>
      <c r="BH13" s="341"/>
      <c r="BI13" s="218" t="s">
        <v>937</v>
      </c>
      <c r="BJ13" s="135" t="s">
        <v>3909</v>
      </c>
      <c r="BK13" s="135" t="s">
        <v>3909</v>
      </c>
      <c r="BL13" s="135" t="s">
        <v>3909</v>
      </c>
      <c r="BM13" s="135" t="s">
        <v>3909</v>
      </c>
      <c r="BP13" s="342"/>
      <c r="BQ13" s="341"/>
      <c r="BR13" s="260" t="s">
        <v>937</v>
      </c>
      <c r="BS13" s="252">
        <f>BS12/(BS12+BS10)</f>
        <v>0.99658590671944869</v>
      </c>
      <c r="BT13" s="252">
        <f>BT12/(BT12+BT10)</f>
        <v>0.99936203426831671</v>
      </c>
      <c r="BU13" s="135"/>
      <c r="BV13" t="s">
        <v>936</v>
      </c>
    </row>
    <row r="14" spans="2:74" ht="15.75" customHeight="1" x14ac:dyDescent="0.25">
      <c r="B14" s="200" t="s">
        <v>947</v>
      </c>
      <c r="C14" s="200" t="s">
        <v>948</v>
      </c>
      <c r="D14" s="200"/>
      <c r="E14" s="135">
        <f>SUM(E6,E8,E10,E12)</f>
        <v>88207067.841317177</v>
      </c>
      <c r="F14" s="135">
        <f>SUM(F6,F8,F10,F12)</f>
        <v>56055761.691499971</v>
      </c>
      <c r="G14" s="171">
        <f t="shared" si="2"/>
        <v>63.550192817137074</v>
      </c>
      <c r="J14" s="200" t="s">
        <v>947</v>
      </c>
      <c r="K14" s="200" t="s">
        <v>948</v>
      </c>
      <c r="L14" s="200"/>
      <c r="M14" s="135">
        <f>SUM(M6,M8,M10,M12)</f>
        <v>53612255.416760154</v>
      </c>
      <c r="N14" s="135">
        <f>SUM(N6,N8,N10,N12)</f>
        <v>42480284.464799993</v>
      </c>
      <c r="O14" s="135">
        <f t="shared" si="4"/>
        <v>79.236145046641511</v>
      </c>
      <c r="R14" s="11" t="s">
        <v>954</v>
      </c>
      <c r="S14" s="11" t="s">
        <v>955</v>
      </c>
      <c r="Z14" s="164"/>
      <c r="AP14" s="341" t="s">
        <v>948</v>
      </c>
      <c r="AQ14" s="341" t="s">
        <v>933</v>
      </c>
      <c r="AR14" s="200" t="s">
        <v>929</v>
      </c>
      <c r="AS14" s="52">
        <f>AS6+AS10</f>
        <v>11732844.962088641</v>
      </c>
      <c r="AT14" s="52">
        <f>AT6+AT10</f>
        <v>7621317.7453000005</v>
      </c>
      <c r="AY14" t="s">
        <v>956</v>
      </c>
      <c r="AZ14" t="s">
        <v>935</v>
      </c>
      <c r="BA14">
        <v>3207</v>
      </c>
      <c r="BB14" s="52">
        <f>SUMIFS(Table3236[CLM $ Collected ],Table3236[Town],"Stratford")</f>
        <v>854665.32409999997</v>
      </c>
      <c r="BC14" s="52">
        <f>SUMIFS(Table3236[Incentive Disbursements],Table3236[Town],"Stratford")</f>
        <v>480760.18335628498</v>
      </c>
      <c r="BD14" s="256">
        <f>SUMIFS(Table3236[Total Units],Table3236[Town],"Stratford")+SUMIFS(Table3236[Total Units2],Table3236[Town],"Stratford")</f>
        <v>406</v>
      </c>
      <c r="BE14" s="52"/>
      <c r="BG14" s="342" t="s">
        <v>946</v>
      </c>
      <c r="BH14" s="341" t="s">
        <v>928</v>
      </c>
      <c r="BI14" s="218" t="s">
        <v>929</v>
      </c>
      <c r="BJ14" s="135">
        <f>SUMIFS(Table323[CLM $ Collected ],Table323[Distressed Tract1],"Yes")</f>
        <v>384701.87284992012</v>
      </c>
      <c r="BK14" s="135">
        <f>SUMIFS(Table323[Incentive Disbursements],Table323[Distressed Tract1],"Yes")</f>
        <v>52144.1662</v>
      </c>
      <c r="BL14" s="135">
        <f t="shared" si="6"/>
        <v>0.13554435234148829</v>
      </c>
      <c r="BM14" t="s">
        <v>944</v>
      </c>
      <c r="BP14" s="351" t="s">
        <v>12814</v>
      </c>
      <c r="BQ14" s="341" t="s">
        <v>928</v>
      </c>
      <c r="BR14" s="260" t="s">
        <v>929</v>
      </c>
      <c r="BS14">
        <f>(BS6+BS10)*(1/6)</f>
        <v>1270012.8472885063</v>
      </c>
      <c r="BT14">
        <f>SUMIFS(Table7[CGBIncentiveAmount2],Table7[Vintage MSA SMI Band],"-60")</f>
        <v>1423984.8299999984</v>
      </c>
    </row>
    <row r="15" spans="2:74" x14ac:dyDescent="0.25">
      <c r="B15" t="s">
        <v>957</v>
      </c>
      <c r="D15" s="200"/>
      <c r="G15" s="135">
        <f>G14-(G14*0.05)</f>
        <v>60.372683176280219</v>
      </c>
      <c r="J15" t="s">
        <v>957</v>
      </c>
      <c r="O15" s="135">
        <f>O14-(O14*0.05)</f>
        <v>75.274337794309432</v>
      </c>
      <c r="R15" s="202" t="s">
        <v>908</v>
      </c>
      <c r="S15" s="202" t="s">
        <v>909</v>
      </c>
      <c r="T15" s="202" t="s">
        <v>958</v>
      </c>
      <c r="U15" s="202" t="s">
        <v>959</v>
      </c>
      <c r="V15" s="202" t="s">
        <v>907</v>
      </c>
      <c r="W15" s="202" t="s">
        <v>905</v>
      </c>
      <c r="Z15" s="164"/>
      <c r="AP15" s="341"/>
      <c r="AQ15" s="341"/>
      <c r="AR15" s="200" t="s">
        <v>937</v>
      </c>
      <c r="AS15" s="135">
        <f>(AS14/AS18)*100</f>
        <v>8.4003550289751754</v>
      </c>
      <c r="AT15" s="135">
        <f>(AT14/AT18)*100</f>
        <v>8.1202492988785036</v>
      </c>
      <c r="AV15" s="52"/>
      <c r="AZ15" t="s">
        <v>939</v>
      </c>
      <c r="BA15" s="135"/>
      <c r="BB15" s="252">
        <f>BB14/'CLM from UI'!C4</f>
        <v>6.9569378659175882E-2</v>
      </c>
      <c r="BC15" s="252">
        <f>BC14/'CLM from UI'!C5</f>
        <v>5.6591018203016812E-2</v>
      </c>
      <c r="BD15" s="258">
        <f>BD14/('HES Report UI'!F419+'HES Report UI'!K419)</f>
        <v>9.0122086570477253E-2</v>
      </c>
      <c r="BG15" s="342"/>
      <c r="BH15" s="341"/>
      <c r="BI15" s="218" t="s">
        <v>937</v>
      </c>
      <c r="BJ15" s="135">
        <f>(BJ14/BJ20)*100</f>
        <v>0.73022674704701873</v>
      </c>
      <c r="BK15" s="135">
        <f>(BK14/BK20)*100</f>
        <v>0.14093073762587785</v>
      </c>
      <c r="BL15" s="135"/>
      <c r="BP15" s="351"/>
      <c r="BQ15" s="341"/>
      <c r="BR15" s="260" t="s">
        <v>937</v>
      </c>
      <c r="BS15" s="252">
        <f>BS14/(BS14+BS16)</f>
        <v>5.3730880310748033E-2</v>
      </c>
      <c r="BT15" s="252">
        <f>BT14/(BT14+BT16)</f>
        <v>0.18890124889000226</v>
      </c>
      <c r="BV15" t="s">
        <v>936</v>
      </c>
    </row>
    <row r="16" spans="2:74" ht="15" customHeight="1" x14ac:dyDescent="0.25">
      <c r="D16" s="200"/>
      <c r="L16" s="200"/>
      <c r="R16" s="340" t="s">
        <v>930</v>
      </c>
      <c r="S16" s="200" t="s">
        <v>931</v>
      </c>
      <c r="T16" s="200">
        <f>SUMIFS(Table3236[CLM $ Collected ],Table3236[Distressed Tract1],"Yes")</f>
        <v>2142093.8969000001</v>
      </c>
      <c r="U16" s="200">
        <f>SUMIFS(Table3236[Incentives],Table3236[Distressed Tract1],"Yes")</f>
        <v>0</v>
      </c>
      <c r="V16" s="135">
        <f t="shared" ref="V16:V20" si="9">(U16/T16)*100</f>
        <v>0</v>
      </c>
      <c r="W16" t="str">
        <f>IF($V$21&lt;=V16, "Yes","No")</f>
        <v>No</v>
      </c>
      <c r="AA16" t="s">
        <v>960</v>
      </c>
      <c r="AB16" t="s">
        <v>961</v>
      </c>
      <c r="AJ16" s="13" t="s">
        <v>962</v>
      </c>
      <c r="AP16" s="341"/>
      <c r="AQ16" s="344" t="s">
        <v>942</v>
      </c>
      <c r="AR16" s="200" t="s">
        <v>929</v>
      </c>
      <c r="AS16" s="52">
        <f>AS8+AS12</f>
        <v>127937977.54027909</v>
      </c>
      <c r="AT16" s="52">
        <f>AT8+AT12</f>
        <v>86234393.634799987</v>
      </c>
      <c r="BD16" s="256"/>
      <c r="BG16" s="342"/>
      <c r="BH16" s="344" t="s">
        <v>3902</v>
      </c>
      <c r="BI16" s="218" t="s">
        <v>929</v>
      </c>
      <c r="BJ16" s="135">
        <f>SUMIFS(Table323[CLM $ Collected ],Table323[Moderately Distressed?],"Yes")</f>
        <v>5825974.8064377597</v>
      </c>
      <c r="BK16" s="135">
        <f>SUMIFS(Table323[Incentive Disbursements],Table323[Moderately Distressed?],"Yes")</f>
        <v>4937516.9850000003</v>
      </c>
      <c r="BL16" s="135">
        <f t="shared" si="6"/>
        <v>0.84750057270141221</v>
      </c>
      <c r="BM16" t="s">
        <v>936</v>
      </c>
      <c r="BP16" s="351"/>
      <c r="BQ16" s="341" t="s">
        <v>940</v>
      </c>
      <c r="BR16" s="260" t="s">
        <v>929</v>
      </c>
      <c r="BS16">
        <f>(BS8+BS12)*(1/6)</f>
        <v>22366541.029057715</v>
      </c>
      <c r="BT16">
        <f>SUMIFS(Table7[CGBIncentiveAmount2],Table7[Vintage MSA SMI Band],"60-80")+SUMIFS(Table7[CGBIncentiveAmount2],Table7[Vintage MSA SMI Band],"100-120")</f>
        <v>6114265.1200000085</v>
      </c>
    </row>
    <row r="17" spans="2:74" x14ac:dyDescent="0.25">
      <c r="B17" s="11" t="s">
        <v>963</v>
      </c>
      <c r="C17" s="11" t="s">
        <v>964</v>
      </c>
      <c r="D17" s="200"/>
      <c r="J17" s="11" t="s">
        <v>965</v>
      </c>
      <c r="K17" s="11" t="s">
        <v>966</v>
      </c>
      <c r="L17" s="200"/>
      <c r="R17" s="340"/>
      <c r="S17" s="200" t="s">
        <v>938</v>
      </c>
      <c r="T17" s="200">
        <f>SUMIFS(Table3236[CLM $ Collected ],Table3236[Distressed Tract1],"No")</f>
        <v>9987699.0340000037</v>
      </c>
      <c r="U17" s="200">
        <f>SUMIFS(Table3236[Incentives],Table3236[Distressed Tract1],"No")</f>
        <v>3161000.9200000009</v>
      </c>
      <c r="V17" s="135">
        <f t="shared" si="9"/>
        <v>31.648940454046119</v>
      </c>
      <c r="W17" t="str">
        <f t="shared" ref="W17:W19" si="10">IF($V$21&lt;=V17, "Yes","No")</f>
        <v>Yes</v>
      </c>
      <c r="AB17" s="347" t="s">
        <v>967</v>
      </c>
      <c r="AC17" s="347"/>
      <c r="AD17" s="347"/>
      <c r="AE17" s="347"/>
      <c r="AF17" s="348" t="s">
        <v>968</v>
      </c>
      <c r="AG17" s="348"/>
      <c r="AH17" s="349" t="s">
        <v>969</v>
      </c>
      <c r="AI17" s="349"/>
      <c r="AJ17" s="350" t="s">
        <v>970</v>
      </c>
      <c r="AK17" s="350"/>
      <c r="AP17" s="341"/>
      <c r="AQ17" s="344"/>
      <c r="AR17" s="200" t="s">
        <v>937</v>
      </c>
      <c r="AS17" s="135">
        <f>(AS16/AS18)*100</f>
        <v>91.599644971024816</v>
      </c>
      <c r="AT17" s="135">
        <f>(AT16/AT18)*100</f>
        <v>91.879750701121495</v>
      </c>
      <c r="BD17" s="256"/>
      <c r="BG17" s="342"/>
      <c r="BH17" s="344"/>
      <c r="BI17" s="218" t="s">
        <v>937</v>
      </c>
      <c r="BJ17" s="135">
        <f>(BJ16/BJ20)*100</f>
        <v>11.058648089666594</v>
      </c>
      <c r="BK17" s="135">
        <f>(BK16/BK20)*100</f>
        <v>13.344693403810732</v>
      </c>
      <c r="BL17" s="135"/>
      <c r="BP17" s="351"/>
      <c r="BQ17" s="341"/>
      <c r="BR17" s="260" t="s">
        <v>937</v>
      </c>
      <c r="BS17" s="252">
        <f>BS16/(BS16+BS14)</f>
        <v>0.94626911968925187</v>
      </c>
      <c r="BT17" s="252">
        <f>BT16/(BT16+BT14)</f>
        <v>0.81109875110999774</v>
      </c>
      <c r="BV17" t="s">
        <v>944</v>
      </c>
    </row>
    <row r="18" spans="2:74" ht="75" x14ac:dyDescent="0.25">
      <c r="B18" s="339" t="s">
        <v>971</v>
      </c>
      <c r="C18" s="339"/>
      <c r="D18" s="339"/>
      <c r="E18" s="190" t="s">
        <v>902</v>
      </c>
      <c r="F18" s="193" t="s">
        <v>903</v>
      </c>
      <c r="G18" s="192" t="s">
        <v>907</v>
      </c>
      <c r="H18" s="202" t="s">
        <v>905</v>
      </c>
      <c r="J18" s="339" t="s">
        <v>972</v>
      </c>
      <c r="K18" s="339"/>
      <c r="L18" s="339"/>
      <c r="M18" s="190" t="s">
        <v>902</v>
      </c>
      <c r="N18" s="193" t="s">
        <v>903</v>
      </c>
      <c r="O18" s="192" t="s">
        <v>907</v>
      </c>
      <c r="P18" s="202" t="s">
        <v>905</v>
      </c>
      <c r="R18" s="342" t="s">
        <v>941</v>
      </c>
      <c r="S18" s="200" t="s">
        <v>931</v>
      </c>
      <c r="T18" s="200">
        <f>SUMIFS(Table323[CLM $ Collected ],Table323[Distressed Tract1],"Yes")</f>
        <v>384701.87284992012</v>
      </c>
      <c r="U18" s="200">
        <f>SUMIFS(Table323[Incentives],Table323[Distressed Tract1],"Yes")</f>
        <v>4462.5061999999998</v>
      </c>
      <c r="V18" s="135">
        <f t="shared" si="9"/>
        <v>1.1599907655611836</v>
      </c>
      <c r="W18" t="str">
        <f t="shared" si="10"/>
        <v>No</v>
      </c>
      <c r="AA18" s="194" t="s">
        <v>914</v>
      </c>
      <c r="AB18" s="194" t="s">
        <v>915</v>
      </c>
      <c r="AC18" s="194" t="s">
        <v>973</v>
      </c>
      <c r="AD18" s="194" t="s">
        <v>917</v>
      </c>
      <c r="AE18" s="194" t="s">
        <v>973</v>
      </c>
      <c r="AF18" s="195" t="s">
        <v>974</v>
      </c>
      <c r="AG18" s="195" t="s">
        <v>973</v>
      </c>
      <c r="AH18" s="195" t="s">
        <v>975</v>
      </c>
      <c r="AI18" s="195" t="s">
        <v>973</v>
      </c>
      <c r="AJ18" s="195" t="s">
        <v>970</v>
      </c>
      <c r="AK18" s="195" t="s">
        <v>976</v>
      </c>
      <c r="AP18" s="200" t="s">
        <v>947</v>
      </c>
      <c r="AQ18" s="200" t="s">
        <v>977</v>
      </c>
      <c r="AR18" s="200" t="s">
        <v>929</v>
      </c>
      <c r="AS18" s="210">
        <f>AS14+AS16</f>
        <v>139670822.50236773</v>
      </c>
      <c r="AT18" s="210">
        <f>AT14+AT16</f>
        <v>93855711.380099982</v>
      </c>
      <c r="AY18" s="346" t="s">
        <v>978</v>
      </c>
      <c r="AZ18" s="346"/>
      <c r="BA18" s="206" t="s">
        <v>924</v>
      </c>
      <c r="BB18" s="207" t="s">
        <v>925</v>
      </c>
      <c r="BC18" s="206" t="s">
        <v>926</v>
      </c>
      <c r="BD18" s="206" t="s">
        <v>3920</v>
      </c>
      <c r="BE18" s="207"/>
      <c r="BG18" s="342"/>
      <c r="BH18" s="341" t="s">
        <v>3903</v>
      </c>
      <c r="BI18" s="218" t="s">
        <v>929</v>
      </c>
      <c r="BJ18" s="135">
        <f>BJ20-(BJ16+BJ14)</f>
        <v>46471846.167982042</v>
      </c>
      <c r="BK18" s="135">
        <f>BK20-(BK16+BK14)</f>
        <v>32010192.1657</v>
      </c>
      <c r="BL18" s="135">
        <f t="shared" si="6"/>
        <v>0.6888082743687991</v>
      </c>
      <c r="BM18" t="s">
        <v>936</v>
      </c>
      <c r="BT18" s="135"/>
    </row>
    <row r="19" spans="2:74" x14ac:dyDescent="0.25">
      <c r="B19" s="340" t="s">
        <v>927</v>
      </c>
      <c r="C19" s="341" t="s">
        <v>928</v>
      </c>
      <c r="D19" s="200" t="s">
        <v>929</v>
      </c>
      <c r="E19" s="135">
        <f>SUMIFS(Table8[Residential CLM $ Collected],Table8[Distressed Tract1],"Yes")</f>
        <v>2142093.8969000001</v>
      </c>
      <c r="F19" s="135">
        <f>SUMIFS(Table8[Residential Incentive Disbursements],Table8[Distressed Tract1],"Yes")</f>
        <v>0</v>
      </c>
      <c r="G19" s="135">
        <f>(F19/E19)*100</f>
        <v>0</v>
      </c>
      <c r="H19" t="str">
        <f>IF($G$28&lt;=G19, "Yes","No")</f>
        <v>No</v>
      </c>
      <c r="J19" s="340" t="s">
        <v>927</v>
      </c>
      <c r="K19" s="341" t="s">
        <v>928</v>
      </c>
      <c r="L19" s="200" t="s">
        <v>929</v>
      </c>
      <c r="M19" s="135">
        <f>SUMIFS(Table325[Residential CLM $ Collected],Table325[Distressed Tract1],"Yes")</f>
        <v>101423.4553</v>
      </c>
      <c r="N19" s="135">
        <f>SUMIFS(Table325[Residential Incentive Disbursements],Table325[Distressed Tract1],"Yes")</f>
        <v>0</v>
      </c>
      <c r="O19" s="135">
        <f>(N19/M19)*100</f>
        <v>0</v>
      </c>
      <c r="P19" t="str">
        <f>IF($O$28&lt;=O19, "Yes","No")</f>
        <v>No</v>
      </c>
      <c r="R19" s="342"/>
      <c r="S19" s="200" t="s">
        <v>938</v>
      </c>
      <c r="T19" s="200">
        <f>SUMIFS(Table323[CLM $ Collected ],Table323[Distressed Tract1],"No")</f>
        <v>52297820.974419802</v>
      </c>
      <c r="U19" s="200">
        <f>SUMIFS(Table323[Incentives],Table323[Distressed Tract1],"No")</f>
        <v>9661673.3014000151</v>
      </c>
      <c r="V19" s="135">
        <f t="shared" si="9"/>
        <v>18.47433243179632</v>
      </c>
      <c r="W19" t="str">
        <f t="shared" si="10"/>
        <v>No</v>
      </c>
      <c r="AA19" s="164">
        <v>1</v>
      </c>
      <c r="AB19" s="188">
        <f>SUMIFS(Table323[CLM $ Collected ],Table323[BIPOC Index],AA19)+SUMIFS(Table3236[CLM $ Collected ],Table3236[BIPOC Index],AA19)</f>
        <v>11080871.434542073</v>
      </c>
      <c r="AC19" s="188">
        <f>(AB19/$AB$24)*100</f>
        <v>17.117232006549813</v>
      </c>
      <c r="AD19" s="188">
        <f>SUMIFS(Table323[Incentive Disbursements],Table323[BIPOC Index],AA19)+SUMIFS(Table3236[Incentive Disbursements],Table3236[BIPOC Index],AA19)</f>
        <v>8610443.6614999995</v>
      </c>
      <c r="AE19" s="188">
        <f>(AD19/$AD$24)*100</f>
        <v>20.509181260549848</v>
      </c>
      <c r="AF19" s="188">
        <f>SUMIFS(Table323[Incentives],Table323[BIPOC Index],AA19)+SUMIFS(Table3236[Incentives],Table3236[BIPOC Index],AA19)</f>
        <v>2315138.2458999995</v>
      </c>
      <c r="AG19" s="188">
        <f>(AF19/$AF$24)*100</f>
        <v>19.595571076710463</v>
      </c>
      <c r="AH19" s="188">
        <f>SUMIFS(Table323[[Incentives ]],Table323[BIPOC Index],AA19)+SUMIFS(Table3236[[Incentives ]],Table3236[BIPOC Index],AA19)</f>
        <v>3793208.5700000003</v>
      </c>
      <c r="AI19" s="188">
        <f>(AH19/$AH$24)*100</f>
        <v>25.056114998657421</v>
      </c>
      <c r="AJ19" s="14">
        <f>SUMIFS(Table323[Total Units],Table323[BIPOC Index],AA19)+SUMIFS(Table3236[Total Units],Table3236[BIPOC Index],AA19)</f>
        <v>3130</v>
      </c>
      <c r="AK19" s="135">
        <f>(AJ19/$AJ$24)*100</f>
        <v>15.177229307084323</v>
      </c>
      <c r="AY19" t="s">
        <v>979</v>
      </c>
      <c r="AZ19" t="s">
        <v>935</v>
      </c>
      <c r="BA19">
        <v>10445</v>
      </c>
      <c r="BB19" s="52">
        <f>SUMIFS(Table323[CLM $ Collected ],Table323[Town],"Hartford")</f>
        <v>1306725.1446988806</v>
      </c>
      <c r="BC19" s="52">
        <f>SUMIFS(Table323[Incentive Disbursements],Table323[Town],"Hartford")</f>
        <v>2063866.1880999997</v>
      </c>
      <c r="BD19" s="14">
        <f>SUMIFS(Table323[Total Units],Table323[Town],"Hartford")+SUMIFS(Table323[Total Units2],Table323[Town],"Hartford")</f>
        <v>2043</v>
      </c>
      <c r="BG19" s="342"/>
      <c r="BH19" s="341"/>
      <c r="BI19" s="218" t="s">
        <v>937</v>
      </c>
      <c r="BJ19" s="135">
        <f>(BJ18/BJ20)*100</f>
        <v>88.211125163286383</v>
      </c>
      <c r="BK19" s="135">
        <f>(BK18/BK20)*100</f>
        <v>86.514375858563383</v>
      </c>
      <c r="BL19" s="135"/>
    </row>
    <row r="20" spans="2:74" x14ac:dyDescent="0.25">
      <c r="B20" s="340"/>
      <c r="C20" s="341"/>
      <c r="D20" s="200" t="s">
        <v>937</v>
      </c>
      <c r="E20" s="252">
        <f>(E19/'Small Load'!J423)</f>
        <v>0.17659772999447751</v>
      </c>
      <c r="F20" s="252">
        <f>(F19/'Small Load'!L423)</f>
        <v>0</v>
      </c>
      <c r="J20" s="340"/>
      <c r="K20" s="341"/>
      <c r="L20" s="200" t="s">
        <v>937</v>
      </c>
      <c r="M20" s="252">
        <f>(M19/'Large Load'!I210)</f>
        <v>0.65313875148882017</v>
      </c>
      <c r="N20" s="252">
        <f>(N19/'Large Load'!K210)</f>
        <v>0</v>
      </c>
      <c r="R20" t="s">
        <v>947</v>
      </c>
      <c r="S20" s="200" t="s">
        <v>948</v>
      </c>
      <c r="T20">
        <f>SUM(T16:T19)</f>
        <v>64812315.778169729</v>
      </c>
      <c r="U20">
        <f>SUM(U16:U19)</f>
        <v>12827136.727600016</v>
      </c>
      <c r="V20" s="135">
        <f t="shared" si="9"/>
        <v>19.791202603380036</v>
      </c>
      <c r="AA20" s="164">
        <v>2</v>
      </c>
      <c r="AB20" s="188">
        <f>SUMIFS(Table323[CLM $ Collected ],Table323[BIPOC Index],AA20)+SUMIFS(Table3236[CLM $ Collected ],Table3236[BIPOC Index],AA20)</f>
        <v>12863153.69866576</v>
      </c>
      <c r="AC20" s="188">
        <f t="shared" ref="AC20:AC23" si="11">(AB20/$AB$24)*100</f>
        <v>19.870421518438125</v>
      </c>
      <c r="AD20" s="188">
        <f>SUMIFS(Table323[Incentive Disbursements],Table323[BIPOC Index],AA20)+SUMIFS(Table3236[Incentive Disbursements],Table3236[BIPOC Index],AA20)</f>
        <v>7195015.5275000026</v>
      </c>
      <c r="AE20" s="188">
        <f t="shared" ref="AE20:AE23" si="12">(AD20/$AD$24)*100</f>
        <v>17.137778658929356</v>
      </c>
      <c r="AF20" s="188">
        <f>SUMIFS(Table323[Incentives],Table323[BIPOC Index],AA20)+SUMIFS(Table3236[Incentives],Table3236[BIPOC Index],AA20)</f>
        <v>2492535.2619000003</v>
      </c>
      <c r="AG20" s="188">
        <f t="shared" ref="AG20:AG23" si="13">(AF20/$AF$24)*100</f>
        <v>21.097077883908927</v>
      </c>
      <c r="AH20" s="188">
        <f>SUMIFS(Table323[[Incentives ]],Table323[BIPOC Index],AA20)+SUMIFS(Table3236[[Incentives ]],Table3236[BIPOC Index],AA20)</f>
        <v>1696355.6599999997</v>
      </c>
      <c r="AI20" s="188">
        <f t="shared" ref="AI20:AI23" si="14">(AH20/$AH$24)*100</f>
        <v>11.205311205859529</v>
      </c>
      <c r="AJ20" s="14">
        <f>SUMIFS(Table323[Total Units],Table323[BIPOC Index],AA20)+SUMIFS(Table3236[Total Units],Table3236[BIPOC Index],AA20)</f>
        <v>3178</v>
      </c>
      <c r="AK20" s="135">
        <f t="shared" ref="AK20:AK23" si="15">(AJ20/$AJ$24)*100</f>
        <v>15.409979149493283</v>
      </c>
      <c r="AZ20" t="s">
        <v>939</v>
      </c>
      <c r="BA20" s="135"/>
      <c r="BB20" s="259">
        <f>BB19/'CLM From Eversource'!C4</f>
        <v>2.4803769366790719E-2</v>
      </c>
      <c r="BC20" s="259">
        <f>BC19/'CLM From Eversource'!C5</f>
        <v>5.5780388382169914E-2</v>
      </c>
      <c r="BD20" s="252">
        <f>BD19/('HES Report ES'!F937+'HES Report ES'!K937)</f>
        <v>6.7566226808215099E-2</v>
      </c>
      <c r="BG20" s="342"/>
      <c r="BH20" s="341" t="s">
        <v>948</v>
      </c>
      <c r="BI20" s="218" t="s">
        <v>929</v>
      </c>
      <c r="BJ20" s="135">
        <v>52682522.847269721</v>
      </c>
      <c r="BK20" s="135">
        <v>36999853.3169</v>
      </c>
      <c r="BL20" s="135">
        <f t="shared" si="6"/>
        <v>0.70231741604640185</v>
      </c>
    </row>
    <row r="21" spans="2:74" x14ac:dyDescent="0.25">
      <c r="B21" s="340"/>
      <c r="C21" s="341" t="s">
        <v>940</v>
      </c>
      <c r="D21" s="200" t="s">
        <v>929</v>
      </c>
      <c r="E21" s="135">
        <f>SUMIFS(Table8[Residential CLM $ Collected],Table8[Distressed Tract1],"No")</f>
        <v>9987699.0340000037</v>
      </c>
      <c r="F21" s="135">
        <f>SUMIFS(Table8[Residential Incentive Disbursements],Table8[Distressed Tract1],"No")</f>
        <v>8494544.290000001</v>
      </c>
      <c r="G21" s="135">
        <f t="shared" ref="G21:G27" si="16">(F21/E21)*100</f>
        <v>85.050062692948359</v>
      </c>
      <c r="H21" t="str">
        <f t="shared" ref="H21:H25" si="17">IF($G$28&lt;=G21, "Yes","No")</f>
        <v>Yes</v>
      </c>
      <c r="J21" s="340"/>
      <c r="K21" s="341" t="s">
        <v>940</v>
      </c>
      <c r="L21" s="200" t="s">
        <v>929</v>
      </c>
      <c r="M21" s="135">
        <f>SUMIFS(Table325[Residential CLM $ Collected],Table325[Distressed Tract1],"No")</f>
        <v>53862.776099999995</v>
      </c>
      <c r="N21" s="135">
        <f>SUMIFS(Table325[Residential Incentive Disbursements],Table325[Distressed Tract1],"No")</f>
        <v>800</v>
      </c>
      <c r="O21" s="135">
        <f t="shared" ref="O21:O27" si="18">(N21/M21)*100</f>
        <v>1.4852557887375584</v>
      </c>
      <c r="P21" t="str">
        <f t="shared" ref="P21:P25" si="19">IF($O$28&lt;=O21, "Yes","No")</f>
        <v>Yes</v>
      </c>
      <c r="R21" t="s">
        <v>980</v>
      </c>
      <c r="V21" s="135">
        <f>V20-(V20*0.05)</f>
        <v>18.801642473211032</v>
      </c>
      <c r="AA21" s="164">
        <v>3</v>
      </c>
      <c r="AB21" s="188">
        <f>SUMIFS(Table323[CLM $ Collected ],Table323[BIPOC Index],AA21)+SUMIFS(Table3236[CLM $ Collected ],Table3236[BIPOC Index],AA21)</f>
        <v>15285214.505451355</v>
      </c>
      <c r="AC21" s="188">
        <f t="shared" si="11"/>
        <v>23.611912159190567</v>
      </c>
      <c r="AD21" s="188">
        <f>SUMIFS(Table323[Incentive Disbursements],Table323[BIPOC Index],AA21)+SUMIFS(Table3236[Incentive Disbursements],Table3236[BIPOC Index],AA21)</f>
        <v>8773240.0494000018</v>
      </c>
      <c r="AE21" s="188">
        <f t="shared" si="12"/>
        <v>20.896945324663392</v>
      </c>
      <c r="AF21" s="188">
        <f>SUMIFS(Table323[Incentives],Table323[BIPOC Index],AA21)+SUMIFS(Table3236[Incentives],Table3236[BIPOC Index],AA21)</f>
        <v>3011041.2424999988</v>
      </c>
      <c r="AG21" s="188">
        <f t="shared" si="13"/>
        <v>25.48576647066626</v>
      </c>
      <c r="AH21" s="188">
        <f>SUMIFS(Table323[[Incentives ]],Table323[BIPOC Index],AA21)+SUMIFS(Table3236[[Incentives ]],Table3236[BIPOC Index],AA21)</f>
        <v>2461336.96</v>
      </c>
      <c r="AI21" s="188">
        <f t="shared" si="14"/>
        <v>16.258410467580973</v>
      </c>
      <c r="AJ21" s="14">
        <f>SUMIFS(Table323[Total Units],Table323[BIPOC Index],AA21)+SUMIFS(Table3236[Total Units],Table3236[BIPOC Index],AA21)</f>
        <v>5540</v>
      </c>
      <c r="AK21" s="135">
        <f t="shared" si="15"/>
        <v>26.863210978034235</v>
      </c>
      <c r="AY21" t="s">
        <v>981</v>
      </c>
      <c r="AZ21" t="s">
        <v>935</v>
      </c>
      <c r="BA21">
        <v>8219</v>
      </c>
      <c r="BB21" s="52">
        <f>SUMIFS(Table323[CLM $ Collected ],Table323[Town],"Waterbury")</f>
        <v>1845386.6902617598</v>
      </c>
      <c r="BC21" s="52">
        <f>SUMIFS(Table323[Incentive Disbursements],Table323[Town],"Waterbury")</f>
        <v>2425063.2431000001</v>
      </c>
      <c r="BD21" s="14">
        <f>SUMIFS(Table323[Total Units],Table323[Town],"Waterbury")+SUMIFS(Table323[Total Units2],Table323[Town],"Waterbury")</f>
        <v>2478</v>
      </c>
      <c r="BG21" s="342"/>
      <c r="BH21" s="341"/>
      <c r="BI21" s="218" t="s">
        <v>937</v>
      </c>
      <c r="BJ21" s="135" t="s">
        <v>3909</v>
      </c>
      <c r="BK21" s="135" t="s">
        <v>3909</v>
      </c>
      <c r="BL21" s="135" t="s">
        <v>3909</v>
      </c>
      <c r="BM21" s="135" t="s">
        <v>3909</v>
      </c>
      <c r="BP21" s="135" t="s">
        <v>12821</v>
      </c>
    </row>
    <row r="22" spans="2:74" ht="15.75" x14ac:dyDescent="0.25">
      <c r="B22" s="340"/>
      <c r="C22" s="341"/>
      <c r="D22" s="200" t="s">
        <v>937</v>
      </c>
      <c r="E22" s="252">
        <f>(E21/'Small Load'!J423)</f>
        <v>0.8234022700055228</v>
      </c>
      <c r="F22" s="252">
        <f>(F21/'Small Load'!L423)</f>
        <v>1</v>
      </c>
      <c r="J22" s="340"/>
      <c r="K22" s="341"/>
      <c r="L22" s="200" t="s">
        <v>937</v>
      </c>
      <c r="M22" s="252">
        <f>(M21/'Large Load'!I210)</f>
        <v>0.34686124851118005</v>
      </c>
      <c r="N22" s="252">
        <f>(N21/'Large Load'!K210)</f>
        <v>1</v>
      </c>
      <c r="AA22" s="164">
        <v>4</v>
      </c>
      <c r="AB22" s="188">
        <f>SUMIFS(Table323[CLM $ Collected ],Table323[BIPOC Index],AA22)+SUMIFS(Table3236[CLM $ Collected ],Table3236[BIPOC Index],AA22)</f>
        <v>14633641.970209444</v>
      </c>
      <c r="AC22" s="188">
        <f t="shared" si="11"/>
        <v>22.605392200835634</v>
      </c>
      <c r="AD22" s="188">
        <f>SUMIFS(Table323[Incentive Disbursements],Table323[BIPOC Index],AA22)+SUMIFS(Table3236[Incentive Disbursements],Table3236[BIPOC Index],AA22)</f>
        <v>9851496.0079999976</v>
      </c>
      <c r="AE22" s="188">
        <f t="shared" si="12"/>
        <v>23.465238872541132</v>
      </c>
      <c r="AF22" s="188">
        <f>SUMIFS(Table323[Incentives],Table323[BIPOC Index],AA22)+SUMIFS(Table3236[Incentives],Table3236[BIPOC Index],AA22)</f>
        <v>2353504.3554000012</v>
      </c>
      <c r="AG22" s="188">
        <f t="shared" si="13"/>
        <v>19.920305820726529</v>
      </c>
      <c r="AH22" s="188">
        <f>SUMIFS(Table323[[Incentives ]],Table323[BIPOC Index],AA22)+SUMIFS(Table3236[[Incentives ]],Table3236[BIPOC Index],AA22)</f>
        <v>3798462.74</v>
      </c>
      <c r="AI22" s="188">
        <f t="shared" si="14"/>
        <v>25.090821523572419</v>
      </c>
      <c r="AJ22" s="14">
        <f>SUMIFS(Table323[Total Units],Table323[BIPOC Index],AA22)+SUMIFS(Table3236[Total Units],Table3236[BIPOC Index],AA22)</f>
        <v>4552</v>
      </c>
      <c r="AK22" s="135">
        <f t="shared" si="15"/>
        <v>22.072443388449788</v>
      </c>
      <c r="AP22" t="s">
        <v>893</v>
      </c>
      <c r="AQ22" s="169" t="s">
        <v>3916</v>
      </c>
      <c r="AZ22" t="s">
        <v>939</v>
      </c>
      <c r="BA22" s="135"/>
      <c r="BB22" s="259">
        <f>BB21/'CLM From Eversource'!C4</f>
        <v>3.502844193630765E-2</v>
      </c>
      <c r="BC22" s="259">
        <f>BC21/'CLM From Eversource'!C5</f>
        <v>6.55425096507702E-2</v>
      </c>
      <c r="BD22" s="252">
        <f>BD21/('HES Report ES'!F937+'HES Report ES'!K937)</f>
        <v>8.1952574660184546E-2</v>
      </c>
    </row>
    <row r="23" spans="2:74" ht="45" x14ac:dyDescent="0.25">
      <c r="B23" s="342" t="s">
        <v>946</v>
      </c>
      <c r="C23" s="341" t="s">
        <v>928</v>
      </c>
      <c r="D23" s="200" t="s">
        <v>929</v>
      </c>
      <c r="E23" s="135">
        <f>SUMIFS(Table3[Residential CLM $ Collected],Table3[Distressed Tract1],"Yes")</f>
        <v>384701.87284992012</v>
      </c>
      <c r="F23" s="135">
        <f>SUMIFS(Table3[Residential Incentive Disbursements],Table3[Distressed Tract1],"Yes")</f>
        <v>52144.1662</v>
      </c>
      <c r="G23" s="135">
        <f t="shared" si="16"/>
        <v>13.554435234148828</v>
      </c>
      <c r="H23" t="str">
        <f t="shared" si="17"/>
        <v>No</v>
      </c>
      <c r="J23" s="342" t="s">
        <v>946</v>
      </c>
      <c r="K23" s="341" t="s">
        <v>928</v>
      </c>
      <c r="L23" s="200" t="s">
        <v>929</v>
      </c>
      <c r="M23" s="135">
        <f>SUMIFS(Table32[Residential CLM $ Collected],Table32[Distressed Tract1],"Yes")</f>
        <v>0</v>
      </c>
      <c r="N23" s="135">
        <f>SUMIFS(Table32[Residential Incentive Disbursements],Table32[Distressed Tract1],"Yes")</f>
        <v>0</v>
      </c>
      <c r="O23" s="135" t="e">
        <f t="shared" si="18"/>
        <v>#DIV/0!</v>
      </c>
      <c r="P23" t="e">
        <f t="shared" si="19"/>
        <v>#DIV/0!</v>
      </c>
      <c r="AA23" s="164">
        <v>5</v>
      </c>
      <c r="AB23" s="188">
        <f>SUMIFS(Table323[CLM $ Collected ],Table323[BIPOC Index],AA23)+SUMIFS(Table3236[CLM $ Collected ],Table3236[BIPOC Index],AA23)</f>
        <v>10872301.219184637</v>
      </c>
      <c r="AC23" s="188">
        <f t="shared" si="11"/>
        <v>16.795042114985854</v>
      </c>
      <c r="AD23" s="188">
        <f>SUMIFS(Table323[Incentive Disbursements],Table323[BIPOC Index],AA23)+SUMIFS(Table3236[Incentive Disbursements],Table3236[BIPOC Index],AA23)</f>
        <v>7553166.0205000006</v>
      </c>
      <c r="AE23" s="188">
        <f t="shared" si="12"/>
        <v>17.990855883316264</v>
      </c>
      <c r="AF23" s="188">
        <f>SUMIFS(Table323[Incentives],Table323[BIPOC Index],AA23)+SUMIFS(Table3236[Incentives],Table3236[BIPOC Index],AA23)</f>
        <v>1642380.4119000006</v>
      </c>
      <c r="AG23" s="188">
        <f t="shared" si="13"/>
        <v>13.901278747987822</v>
      </c>
      <c r="AH23" s="188">
        <f>SUMIFS(Table323[[Incentives ]],Table323[BIPOC Index],AA23)+SUMIFS(Table3236[[Incentives ]],Table3236[BIPOC Index],AA23)</f>
        <v>3389489.6800000006</v>
      </c>
      <c r="AI23" s="188">
        <f t="shared" si="14"/>
        <v>22.389341804329664</v>
      </c>
      <c r="AJ23" s="14">
        <f>SUMIFS(Table323[Total Units],Table323[BIPOC Index],AA23)+SUMIFS(Table3236[Total Units],Table3236[BIPOC Index],AA23)</f>
        <v>4223</v>
      </c>
      <c r="AK23" s="135">
        <f t="shared" si="15"/>
        <v>20.477137176938371</v>
      </c>
      <c r="AP23" s="198" t="s">
        <v>3919</v>
      </c>
      <c r="AQ23" s="196"/>
      <c r="AR23" s="196"/>
      <c r="AS23" s="190" t="s">
        <v>902</v>
      </c>
      <c r="AT23" s="191" t="s">
        <v>903</v>
      </c>
      <c r="AU23" s="197" t="s">
        <v>982</v>
      </c>
      <c r="AV23" s="197"/>
      <c r="AX23">
        <v>52682522.847269721</v>
      </c>
      <c r="AY23" t="s">
        <v>983</v>
      </c>
      <c r="AZ23" t="s">
        <v>935</v>
      </c>
      <c r="BA23">
        <v>4786</v>
      </c>
      <c r="BB23" s="52">
        <f>SUMIFS(Table323[CLM $ Collected ],Table323[Town],"New Britain")</f>
        <v>901771.47806400014</v>
      </c>
      <c r="BC23" s="52">
        <f>SUMIFS(Table323[Incentive Disbursements],Table323[Town],"New Britain")</f>
        <v>752561.01059999992</v>
      </c>
      <c r="BD23" s="14">
        <f>SUMIFS(Table323[Total Units],Table323[Town],"New Britain")+SUMIFS(Table323[Total Units2],Table323[Town],"New Britain")</f>
        <v>1493</v>
      </c>
      <c r="BP23" s="339" t="s">
        <v>12813</v>
      </c>
      <c r="BQ23" s="339"/>
      <c r="BR23" s="339"/>
      <c r="BS23" s="190" t="s">
        <v>902</v>
      </c>
      <c r="BT23" s="191" t="s">
        <v>903</v>
      </c>
      <c r="BU23" s="192" t="s">
        <v>904</v>
      </c>
      <c r="BV23" s="262"/>
    </row>
    <row r="24" spans="2:74" x14ac:dyDescent="0.25">
      <c r="B24" s="342"/>
      <c r="C24" s="341"/>
      <c r="D24" s="200" t="s">
        <v>937</v>
      </c>
      <c r="E24" s="252">
        <f>(E23/'2.) Small Load'!H937)</f>
        <v>7.3095844791820899E-3</v>
      </c>
      <c r="F24" s="252">
        <f>(F23/'2.) Small Load'!J937)</f>
        <v>1.4093073762587785E-3</v>
      </c>
      <c r="J24" s="342"/>
      <c r="K24" s="341"/>
      <c r="L24" s="200" t="s">
        <v>937</v>
      </c>
      <c r="M24" s="263">
        <f>(M23/'3.) Large Load'!H233)</f>
        <v>0</v>
      </c>
      <c r="N24" s="186" t="e">
        <f>(N23/'3.) Large Load'!J233)</f>
        <v>#DIV/0!</v>
      </c>
      <c r="R24" s="11" t="s">
        <v>984</v>
      </c>
      <c r="S24" s="11" t="s">
        <v>985</v>
      </c>
      <c r="AA24" t="s">
        <v>951</v>
      </c>
      <c r="AB24" s="135">
        <f>SUM(AB19:AB23)</f>
        <v>64735182.828053273</v>
      </c>
      <c r="AC24" s="135"/>
      <c r="AD24" s="135">
        <f t="shared" ref="AD24:AH24" si="20">SUM(AD19:AD23)</f>
        <v>41983361.266900003</v>
      </c>
      <c r="AE24" s="135"/>
      <c r="AF24" s="135">
        <f t="shared" si="20"/>
        <v>11814599.5176</v>
      </c>
      <c r="AG24" s="135"/>
      <c r="AH24" s="135">
        <f t="shared" si="20"/>
        <v>15138853.609999999</v>
      </c>
      <c r="AI24" s="135"/>
      <c r="AJ24" s="135">
        <f t="shared" ref="AJ24" si="21">SUM(AJ19:AJ23)</f>
        <v>20623</v>
      </c>
      <c r="AP24" s="340" t="s">
        <v>927</v>
      </c>
      <c r="AQ24" s="341" t="s">
        <v>3914</v>
      </c>
      <c r="AR24" s="200" t="s">
        <v>929</v>
      </c>
      <c r="AS24" s="52">
        <f>SUMIFS(Table3236[CLM $ Collected ],Table3236[Energy Burdened?],"Yes")</f>
        <v>1534129.7640999996</v>
      </c>
      <c r="AT24" s="52">
        <f>SUMIFS(Table3236[Incentives],Table3236[Energy Burdened?],"Yes")</f>
        <v>56261.760000000002</v>
      </c>
      <c r="AU24">
        <f>SUMIFS(Table3236[Total Units],Table3236[Energy Burdened?],"Yes")</f>
        <v>138</v>
      </c>
      <c r="AZ24" t="s">
        <v>939</v>
      </c>
      <c r="BA24" s="135"/>
      <c r="BB24" s="259">
        <f>BB23/'CLM From Eversource'!C4</f>
        <v>1.7117089890088342E-2</v>
      </c>
      <c r="BC24" s="259">
        <f>BC23/'CLM From Eversource'!C5</f>
        <v>2.0339567407318918E-2</v>
      </c>
      <c r="BD24" s="252">
        <f>BD23/('HES Report ES'!F937+'HES Report ES'!K937)</f>
        <v>4.9376591593081325E-2</v>
      </c>
      <c r="BG24" s="11" t="s">
        <v>893</v>
      </c>
      <c r="BH24" s="11" t="s">
        <v>3911</v>
      </c>
      <c r="BI24" s="218"/>
      <c r="BJ24" s="135"/>
      <c r="BK24" s="135"/>
      <c r="BL24" s="135"/>
      <c r="BP24" s="255" t="s">
        <v>927</v>
      </c>
      <c r="BQ24" s="189" t="s">
        <v>948</v>
      </c>
      <c r="BR24" s="260" t="s">
        <v>929</v>
      </c>
      <c r="BS24" s="135">
        <v>29100612.605600007</v>
      </c>
      <c r="BT24" s="135">
        <v>16800987.969999999</v>
      </c>
      <c r="BU24" s="135">
        <f>BT24/BS24</f>
        <v>0.57734138444793026</v>
      </c>
    </row>
    <row r="25" spans="2:74" x14ac:dyDescent="0.25">
      <c r="B25" s="342"/>
      <c r="C25" s="341" t="s">
        <v>940</v>
      </c>
      <c r="D25" s="200" t="s">
        <v>929</v>
      </c>
      <c r="E25" s="135">
        <f>SUMIFS(Table3[Residential CLM $ Collected],Table3[Distressed Tract1],"No")</f>
        <v>52245084.942742981</v>
      </c>
      <c r="F25" s="135">
        <f>SUMIFS(Table3[Residential Incentive Disbursements],Table3[Distressed Tract1],"No")</f>
        <v>36947709.150700003</v>
      </c>
      <c r="G25" s="135">
        <f t="shared" si="16"/>
        <v>70.719971440743464</v>
      </c>
      <c r="H25" t="str">
        <f t="shared" si="17"/>
        <v>Yes</v>
      </c>
      <c r="J25" s="342"/>
      <c r="K25" s="341" t="s">
        <v>940</v>
      </c>
      <c r="L25" s="200" t="s">
        <v>929</v>
      </c>
      <c r="M25" s="135">
        <f>SUMIFS(Table32[Residential CLM $ Collected],Table32[Distressed Tract1],"No")</f>
        <v>52735.964530559999</v>
      </c>
      <c r="N25" s="135">
        <f>SUMIFS(Table32[Residential Incentive Disbursements],Table32[Distressed Tract1],"No")</f>
        <v>0</v>
      </c>
      <c r="O25" s="135">
        <f t="shared" si="18"/>
        <v>0</v>
      </c>
      <c r="P25" t="str">
        <f t="shared" si="19"/>
        <v>No</v>
      </c>
      <c r="R25" s="202" t="s">
        <v>908</v>
      </c>
      <c r="S25" s="202" t="s">
        <v>909</v>
      </c>
      <c r="T25" s="202" t="s">
        <v>910</v>
      </c>
      <c r="U25" s="202" t="s">
        <v>911</v>
      </c>
      <c r="V25" s="202" t="s">
        <v>912</v>
      </c>
      <c r="W25" s="202" t="s">
        <v>913</v>
      </c>
      <c r="AP25" s="340"/>
      <c r="AQ25" s="341"/>
      <c r="AR25" s="200" t="s">
        <v>937</v>
      </c>
      <c r="AS25" s="252">
        <f>AS24/AS28</f>
        <v>0.12647617093214228</v>
      </c>
      <c r="AT25" s="252">
        <f>AT24/AT28</f>
        <v>1.7798716743176395E-2</v>
      </c>
      <c r="AU25" s="252">
        <f>AU24/AU28</f>
        <v>4.6779661016949151E-2</v>
      </c>
      <c r="AY25" t="s">
        <v>986</v>
      </c>
      <c r="AZ25" t="s">
        <v>935</v>
      </c>
      <c r="BA25">
        <v>3603</v>
      </c>
      <c r="BB25" s="52">
        <f>SUMIFS(Table323[CLM $ Collected ],Table323[Town],"Stamford")</f>
        <v>2568651.1349443202</v>
      </c>
      <c r="BC25" s="52">
        <f>SUMIFS(Table323[Incentive Disbursements],Table323[Town],"Stamford")</f>
        <v>1109741.4864000001</v>
      </c>
      <c r="BD25" s="14">
        <f>SUMIFS(Table323[Total Units],Table323[Town],"Stamford")+SUMIFS(Table323[Total Units2],Table323[Town],"Stamford")</f>
        <v>1832</v>
      </c>
      <c r="BH25" t="s">
        <v>3900</v>
      </c>
      <c r="BI25" s="218"/>
      <c r="BJ25" s="135"/>
      <c r="BK25" s="135"/>
      <c r="BL25" s="135"/>
      <c r="BP25" s="253" t="s">
        <v>946</v>
      </c>
      <c r="BQ25" s="189" t="s">
        <v>948</v>
      </c>
      <c r="BR25" s="260" t="s">
        <v>929</v>
      </c>
      <c r="BS25" s="135">
        <v>112718710.6524774</v>
      </c>
      <c r="BT25" s="135">
        <v>81735058.186299995</v>
      </c>
      <c r="BU25" s="135">
        <f t="shared" ref="BU25:BU26" si="22">BT25/BS25</f>
        <v>0.72512414055459717</v>
      </c>
    </row>
    <row r="26" spans="2:74" ht="45" x14ac:dyDescent="0.25">
      <c r="B26" s="342"/>
      <c r="C26" s="341"/>
      <c r="D26" s="200" t="s">
        <v>937</v>
      </c>
      <c r="E26" s="252">
        <f>(E25/'2.) Small Load'!H937)</f>
        <v>0.99269041552081783</v>
      </c>
      <c r="F26" s="252">
        <f>(F25/'2.) Small Load'!J937)</f>
        <v>0.99859069262374134</v>
      </c>
      <c r="J26" s="342"/>
      <c r="K26" s="341"/>
      <c r="L26" s="200" t="s">
        <v>937</v>
      </c>
      <c r="M26" s="252">
        <f>(M25/'3.) Large Load'!H233)</f>
        <v>1</v>
      </c>
      <c r="N26" s="186" t="e">
        <f>(N25/'3.) Large Load'!J233)</f>
        <v>#DIV/0!</v>
      </c>
      <c r="R26" s="340" t="s">
        <v>930</v>
      </c>
      <c r="S26" s="200" t="s">
        <v>931</v>
      </c>
      <c r="T26" s="200">
        <f>SUMIFS(Table3236[Total Units2],Table3236[Distressed Tract1],"Yes")</f>
        <v>0</v>
      </c>
      <c r="U26" s="200">
        <f>SUMIFS(Table3236[[Single Family ]],Table3236[Distressed Tract1],"Yes")</f>
        <v>0</v>
      </c>
      <c r="V26" s="200">
        <f>SUMIFS(Table3236[2-4 Units2],Table3236[Distressed Tract1],"Yes")</f>
        <v>0</v>
      </c>
      <c r="W26" s="200">
        <f>SUMIFS(Table3236[&gt;4 Units ],Table3236[Distressed Tract1],"Yes")</f>
        <v>0</v>
      </c>
      <c r="AB26" t="s">
        <v>987</v>
      </c>
      <c r="AP26" s="340"/>
      <c r="AQ26" s="344" t="s">
        <v>3915</v>
      </c>
      <c r="AR26" s="200" t="s">
        <v>929</v>
      </c>
      <c r="AS26" s="52">
        <f>SUMIFS(Table3236[CLM $ Collected ],Table3236[Energy Burdened?],"No")</f>
        <v>10595663.166800002</v>
      </c>
      <c r="AT26" s="52">
        <f>SUMIFS(Table3236[Incentives],Table3236[Energy Burdened?],"No")</f>
        <v>3104739.1600000006</v>
      </c>
      <c r="AU26">
        <f>SUMIFS(Table3236[Total Units],Table3236[Energy Burdened?],"No")</f>
        <v>2812</v>
      </c>
      <c r="AZ26" t="s">
        <v>939</v>
      </c>
      <c r="BA26" s="135"/>
      <c r="BB26" s="259">
        <f>BB25/'CLM From Eversource'!C4</f>
        <v>4.8757177891136295E-2</v>
      </c>
      <c r="BC26" s="259">
        <f>BC25/'CLM From Eversource'!C5</f>
        <v>2.9993132050961838E-2</v>
      </c>
      <c r="BD26" s="252">
        <f>BD25/('HES Report ES'!F937+'HES Report ES'!K937)</f>
        <v>6.0588021298409234E-2</v>
      </c>
      <c r="BG26" s="339" t="s">
        <v>3901</v>
      </c>
      <c r="BH26" s="339"/>
      <c r="BI26" s="339"/>
      <c r="BJ26" s="190" t="s">
        <v>902</v>
      </c>
      <c r="BK26" s="193" t="s">
        <v>3913</v>
      </c>
      <c r="BL26" s="192" t="s">
        <v>907</v>
      </c>
      <c r="BM26" s="219" t="s">
        <v>905</v>
      </c>
      <c r="BP26" s="275" t="s">
        <v>12814</v>
      </c>
      <c r="BQ26" s="189" t="s">
        <v>948</v>
      </c>
      <c r="BR26" s="260" t="s">
        <v>929</v>
      </c>
      <c r="BS26">
        <v>23636553.876346234</v>
      </c>
      <c r="BT26">
        <v>16497553.699999951</v>
      </c>
      <c r="BU26" s="135">
        <f t="shared" si="22"/>
        <v>0.69796780809530434</v>
      </c>
    </row>
    <row r="27" spans="2:74" x14ac:dyDescent="0.25">
      <c r="B27" s="200" t="s">
        <v>947</v>
      </c>
      <c r="C27" s="200" t="s">
        <v>948</v>
      </c>
      <c r="D27" s="200"/>
      <c r="E27" s="135">
        <f>SUM(E19,E21,E23,E25)</f>
        <v>64759579.746492907</v>
      </c>
      <c r="F27" s="135">
        <f>SUM(F19,F21,F23,F25)</f>
        <v>45494397.606900007</v>
      </c>
      <c r="G27" s="171">
        <f t="shared" si="16"/>
        <v>70.251224274449967</v>
      </c>
      <c r="J27" s="200" t="s">
        <v>947</v>
      </c>
      <c r="K27" s="200" t="s">
        <v>948</v>
      </c>
      <c r="L27" s="200"/>
      <c r="M27" s="135">
        <f>SUM(M19,M21,M23,M25)</f>
        <v>208022.19593056</v>
      </c>
      <c r="N27" s="135">
        <f>SUM(N19,N21,N23,N25)</f>
        <v>800</v>
      </c>
      <c r="O27" s="135">
        <f t="shared" si="18"/>
        <v>0.3845743462236349</v>
      </c>
      <c r="R27" s="340"/>
      <c r="S27" s="200" t="s">
        <v>938</v>
      </c>
      <c r="T27" s="200">
        <f>SUMIFS(Table3236[Total Units2],Table3236[Distressed Tract1],"No")</f>
        <v>1555</v>
      </c>
      <c r="U27" s="200">
        <f>SUMIFS(Table3236[[Single Family ]],Table3236[Distressed Tract1],"No")</f>
        <v>868</v>
      </c>
      <c r="V27" s="200">
        <f>SUMIFS(Table3236[2-4 Units2],Table3236[Distressed Tract1],"No")</f>
        <v>651</v>
      </c>
      <c r="W27" s="200">
        <f>SUMIFS(Table3236[&gt;4 Units ],Table3236[Distressed Tract1],"No")</f>
        <v>36</v>
      </c>
      <c r="AB27" t="s">
        <v>988</v>
      </c>
      <c r="AP27" s="340"/>
      <c r="AQ27" s="344"/>
      <c r="AR27" s="200" t="s">
        <v>937</v>
      </c>
      <c r="AS27" s="252">
        <f>AS26/AS28</f>
        <v>0.87352382906785786</v>
      </c>
      <c r="AT27" s="252">
        <f>AT26/AT28</f>
        <v>0.98220128325682354</v>
      </c>
      <c r="AU27" s="252">
        <f>AU26/AU28</f>
        <v>0.95322033898305081</v>
      </c>
      <c r="AY27" t="s">
        <v>989</v>
      </c>
      <c r="AZ27" t="s">
        <v>935</v>
      </c>
      <c r="BA27">
        <v>3174</v>
      </c>
      <c r="BB27" s="52">
        <f>SUMIFS(Table323[CLM $ Collected ],Table323[Town],"Meriden")</f>
        <v>946505.26191456011</v>
      </c>
      <c r="BC27" s="52">
        <f>SUMIFS(Table323[Incentive Disbursements],Table323[Town],"Meriden")</f>
        <v>1020667.3622999999</v>
      </c>
      <c r="BD27" s="14">
        <f>SUMIFS(Table323[Total Units],Table323[Town],"Meriden")+SUMIFS(Table323[Total Units2],Table323[Town],"Meriden")</f>
        <v>758</v>
      </c>
      <c r="BG27" s="340" t="s">
        <v>927</v>
      </c>
      <c r="BH27" s="341" t="s">
        <v>928</v>
      </c>
      <c r="BI27" s="218" t="s">
        <v>929</v>
      </c>
      <c r="BJ27" s="135">
        <f>SUMIFS(Table3236[CLM $ Collected ],Table3236[Distressed Tract1],"Yes")</f>
        <v>2142093.8969000001</v>
      </c>
      <c r="BK27" s="135">
        <f>SUMIFS(Table3236[Incentives],Table3236[Distressed Tract1],"Yes")</f>
        <v>0</v>
      </c>
      <c r="BL27" s="135">
        <f>BK27/BJ27</f>
        <v>0</v>
      </c>
      <c r="BM27" t="s">
        <v>944</v>
      </c>
      <c r="BU27" s="135"/>
    </row>
    <row r="28" spans="2:74" x14ac:dyDescent="0.25">
      <c r="B28" t="s">
        <v>957</v>
      </c>
      <c r="D28" s="200"/>
      <c r="G28" s="135">
        <f>G27-(G27*0.05)</f>
        <v>66.738663060727475</v>
      </c>
      <c r="J28" t="s">
        <v>957</v>
      </c>
      <c r="O28" s="135">
        <f>O27-(O27*0.05)</f>
        <v>0.36534562891245315</v>
      </c>
      <c r="R28" s="342" t="s">
        <v>941</v>
      </c>
      <c r="S28" s="200" t="s">
        <v>931</v>
      </c>
      <c r="T28" s="200">
        <f>SUMIFS(Table323[Total Units2],Table323[Distressed Tract1],"Yes")</f>
        <v>0</v>
      </c>
      <c r="U28" s="200">
        <f>SUMIFS(Table323[[Single Family ]],Table323[Distressed Tract1],"Yes")</f>
        <v>0</v>
      </c>
      <c r="V28" s="200" t="e">
        <f>SUMIFS(Table323 #REF!,Table323[Distressed Tract1],"Yes")</f>
        <v>#NAME?</v>
      </c>
      <c r="W28" s="200">
        <f>SUMIFS(Table323[&gt;4 Units ],Table323[Distressed Tract1],"Yes")</f>
        <v>0</v>
      </c>
      <c r="AC28" s="13" t="s">
        <v>990</v>
      </c>
      <c r="AP28" s="340"/>
      <c r="AQ28" s="341" t="s">
        <v>948</v>
      </c>
      <c r="AR28" s="218" t="s">
        <v>929</v>
      </c>
      <c r="AS28" s="52">
        <v>12129792.9309</v>
      </c>
      <c r="AT28" s="52">
        <v>3161000.9200000009</v>
      </c>
      <c r="AU28">
        <v>2950</v>
      </c>
      <c r="AZ28" t="s">
        <v>939</v>
      </c>
      <c r="BA28" s="135"/>
      <c r="BB28" s="259">
        <f>BB27/'CLM From Eversource'!C4</f>
        <v>1.7966209892128895E-2</v>
      </c>
      <c r="BC28" s="259">
        <f>BC27/'CLM From Eversource'!C5</f>
        <v>2.7585713747513733E-2</v>
      </c>
      <c r="BD28" s="252">
        <f>BD27/('HES Report ES'!F937+'HES Report ES'!K937)</f>
        <v>2.5068624532857096E-2</v>
      </c>
      <c r="BG28" s="340"/>
      <c r="BH28" s="341"/>
      <c r="BI28" s="218" t="s">
        <v>937</v>
      </c>
      <c r="BJ28" s="135">
        <f>(BJ27/BJ33)*100</f>
        <v>17.65977299944775</v>
      </c>
      <c r="BK28" s="135">
        <f>(BK27/BK33)*100</f>
        <v>0</v>
      </c>
      <c r="BL28" s="135"/>
      <c r="BU28" s="135"/>
    </row>
    <row r="29" spans="2:74" x14ac:dyDescent="0.25">
      <c r="D29" s="200"/>
      <c r="L29" s="200"/>
      <c r="R29" s="342"/>
      <c r="S29" s="200" t="s">
        <v>938</v>
      </c>
      <c r="T29" s="200">
        <f>SUMIFS(Table323[Total Units2],Table323[Distressed Tract1],"No")</f>
        <v>12528</v>
      </c>
      <c r="U29" s="200">
        <f>SUMIFS(Table323[[Single Family ]],Table323[Distressed Tract1],"No")</f>
        <v>4976</v>
      </c>
      <c r="V29" s="200" t="e">
        <f>SUMIFS(Table323 #REF!,Table323[Distressed Tract1],"No")</f>
        <v>#NAME?</v>
      </c>
      <c r="W29" s="200">
        <f>SUMIFS(Table323[&gt;4 Units ],Table323[Distressed Tract1],"No")</f>
        <v>7465</v>
      </c>
      <c r="AC29" s="13" t="s">
        <v>991</v>
      </c>
      <c r="AP29" s="340"/>
      <c r="AQ29" s="341"/>
      <c r="AR29" s="218" t="s">
        <v>937</v>
      </c>
      <c r="AS29" t="s">
        <v>3909</v>
      </c>
      <c r="AT29" t="s">
        <v>3909</v>
      </c>
      <c r="AU29" t="s">
        <v>3909</v>
      </c>
      <c r="BG29" s="340"/>
      <c r="BH29" s="344" t="s">
        <v>3902</v>
      </c>
      <c r="BI29" s="218" t="s">
        <v>929</v>
      </c>
      <c r="BJ29" s="135">
        <f>SUMIFS(Table3236[CLM $ Collected ],Table3236[Moderately Distressed?],"Yes")</f>
        <v>1805774.541</v>
      </c>
      <c r="BK29" s="135">
        <f>SUMIFS(Table3236[Incentives],Table3236[Moderately Distressed?],"Yes")</f>
        <v>189992.6</v>
      </c>
      <c r="BL29" s="135">
        <f>BK29/BJ29</f>
        <v>0.10521390997947401</v>
      </c>
      <c r="BM29" t="s">
        <v>944</v>
      </c>
      <c r="BU29" s="135"/>
    </row>
    <row r="30" spans="2:74" x14ac:dyDescent="0.25">
      <c r="B30" s="11" t="s">
        <v>992</v>
      </c>
      <c r="C30" s="11" t="s">
        <v>993</v>
      </c>
      <c r="D30" s="200"/>
      <c r="J30" s="11" t="s">
        <v>994</v>
      </c>
      <c r="K30" s="11" t="s">
        <v>995</v>
      </c>
      <c r="L30" s="200"/>
      <c r="R30" s="200" t="s">
        <v>947</v>
      </c>
      <c r="S30" s="200" t="s">
        <v>948</v>
      </c>
      <c r="T30" s="200">
        <f>SUM(T26:T29)</f>
        <v>14083</v>
      </c>
      <c r="U30" s="200">
        <f t="shared" ref="U30:W30" si="23">SUM(U26:U29)</f>
        <v>5844</v>
      </c>
      <c r="V30" s="200" t="e">
        <f t="shared" si="23"/>
        <v>#NAME?</v>
      </c>
      <c r="W30" s="200">
        <f t="shared" si="23"/>
        <v>7501</v>
      </c>
      <c r="AC30" s="13" t="s">
        <v>996</v>
      </c>
      <c r="AP30" s="342" t="s">
        <v>946</v>
      </c>
      <c r="AQ30" s="341" t="s">
        <v>933</v>
      </c>
      <c r="AR30" s="200" t="s">
        <v>929</v>
      </c>
      <c r="AS30" s="52">
        <f>SUMIFS(Table323[CLM $ Collected ],Table323[Energy Burdened?],"Yes")</f>
        <v>2477337.5044512013</v>
      </c>
      <c r="AT30" s="52">
        <f>SUMIFS(Table323[Incentives],Table323[Energy Burdened?],"Yes")</f>
        <v>255158.18729999996</v>
      </c>
      <c r="AU30" s="135">
        <f>SUMIFS(Table323[Total Units],Table323[Energy Burdened?],"Yes")</f>
        <v>599</v>
      </c>
      <c r="BG30" s="340"/>
      <c r="BH30" s="344"/>
      <c r="BI30" s="218" t="s">
        <v>937</v>
      </c>
      <c r="BJ30" s="135">
        <f>(BJ29/BJ33)*100</f>
        <v>14.88710113426492</v>
      </c>
      <c r="BK30" s="135">
        <f>(BK29/BK33)*100</f>
        <v>6.0105202373683575</v>
      </c>
      <c r="BL30" s="135"/>
      <c r="BU30" s="135"/>
    </row>
    <row r="31" spans="2:74" ht="45" x14ac:dyDescent="0.25">
      <c r="B31" s="339" t="s">
        <v>997</v>
      </c>
      <c r="C31" s="339"/>
      <c r="D31" s="339"/>
      <c r="E31" s="190" t="s">
        <v>902</v>
      </c>
      <c r="F31" s="193" t="s">
        <v>903</v>
      </c>
      <c r="G31" s="192" t="s">
        <v>907</v>
      </c>
      <c r="H31" s="202" t="s">
        <v>905</v>
      </c>
      <c r="J31" s="339" t="s">
        <v>998</v>
      </c>
      <c r="K31" s="339"/>
      <c r="L31" s="339"/>
      <c r="M31" s="190" t="s">
        <v>902</v>
      </c>
      <c r="N31" s="193" t="s">
        <v>903</v>
      </c>
      <c r="O31" s="192" t="s">
        <v>907</v>
      </c>
      <c r="P31" s="202" t="s">
        <v>905</v>
      </c>
      <c r="AC31" s="13" t="s">
        <v>999</v>
      </c>
      <c r="AP31" s="342"/>
      <c r="AQ31" s="341"/>
      <c r="AR31" s="200" t="s">
        <v>937</v>
      </c>
      <c r="AS31" s="252">
        <f>AS30/AS34</f>
        <v>4.7023896551673772E-2</v>
      </c>
      <c r="AT31" s="252">
        <f t="shared" ref="AT31:AU31" si="24">AT30/AT34</f>
        <v>2.6397124184762793E-2</v>
      </c>
      <c r="AU31" s="252">
        <f t="shared" si="24"/>
        <v>3.3824608955898131E-2</v>
      </c>
      <c r="BB31" s="216"/>
      <c r="BC31" s="215"/>
      <c r="BG31" s="340"/>
      <c r="BH31" s="341" t="s">
        <v>3903</v>
      </c>
      <c r="BI31" s="218" t="s">
        <v>929</v>
      </c>
      <c r="BJ31" s="135">
        <f>BJ33-(BJ29+BJ27)</f>
        <v>8181924.4929999998</v>
      </c>
      <c r="BK31" s="135">
        <f>BK33-(BK29+BK27)</f>
        <v>2971008.3200000008</v>
      </c>
      <c r="BL31" s="135">
        <f>BK31/BJ31</f>
        <v>0.36311852089833274</v>
      </c>
      <c r="BM31" t="s">
        <v>936</v>
      </c>
      <c r="BU31" s="135"/>
    </row>
    <row r="32" spans="2:74" x14ac:dyDescent="0.25">
      <c r="B32" s="340" t="s">
        <v>927</v>
      </c>
      <c r="C32" s="341" t="s">
        <v>928</v>
      </c>
      <c r="D32" s="200" t="s">
        <v>929</v>
      </c>
      <c r="E32" s="135">
        <f>SUMIFS(Table8[C&amp;I CLM $ Collected],Table8[Distressed Tract1],"Yes")</f>
        <v>1456514.5842999998</v>
      </c>
      <c r="F32" s="135">
        <f>SUMIFS(Table8[C&amp;I Incentive Disbursements],Table8[Distressed Tract1],"Yes")</f>
        <v>0</v>
      </c>
      <c r="G32" s="135">
        <f>(F32/E32)*100</f>
        <v>0</v>
      </c>
      <c r="H32" t="str">
        <f>IF($G$41&lt;=G32, "Yes","No")</f>
        <v>No</v>
      </c>
      <c r="J32" s="340" t="s">
        <v>927</v>
      </c>
      <c r="K32" s="341" t="s">
        <v>928</v>
      </c>
      <c r="L32" s="200" t="s">
        <v>929</v>
      </c>
      <c r="M32" s="135">
        <f>SUMIFS(Table325[C&amp;I CLM $ Collected],Table325[Distressed Tract1],"Yes")</f>
        <v>3535212.9545999998</v>
      </c>
      <c r="N32" s="135">
        <f>SUMIFS(Table325[C&amp;I Incentive Disbursements],Table325[Distressed Tract1],"Yes")</f>
        <v>0</v>
      </c>
      <c r="O32" s="135">
        <f>(N32/M32)*100</f>
        <v>0</v>
      </c>
      <c r="P32" t="str">
        <f>IF($O$41&lt;=O32, "Yes","No")</f>
        <v>No</v>
      </c>
      <c r="AP32" s="342"/>
      <c r="AQ32" s="341" t="s">
        <v>942</v>
      </c>
      <c r="AR32" s="200" t="s">
        <v>929</v>
      </c>
      <c r="AS32" s="52">
        <f>SUMIFS(Table323[CLM $ Collected ],Table323[Energy Burdened?],"No")</f>
        <v>49870209.442579165</v>
      </c>
      <c r="AT32" s="52">
        <f>SUMIFS(Table323[Incentives],Table323[Energy Burdened?],"No")</f>
        <v>9396296.9912000112</v>
      </c>
      <c r="AU32" s="135">
        <f>SUMIFS(Table323[Total Units],Table323[Energy Burdened?],"No")</f>
        <v>17088</v>
      </c>
      <c r="BG32" s="340"/>
      <c r="BH32" s="341"/>
      <c r="BI32" s="218" t="s">
        <v>937</v>
      </c>
      <c r="BJ32" s="135">
        <f>(BJ31/BJ33)*100</f>
        <v>67.453125866287337</v>
      </c>
      <c r="BK32" s="135">
        <f>(BK31/BK33)*100</f>
        <v>93.989479762631646</v>
      </c>
      <c r="BL32" s="135"/>
    </row>
    <row r="33" spans="2:65" x14ac:dyDescent="0.25">
      <c r="B33" s="340"/>
      <c r="C33" s="341"/>
      <c r="D33" s="200" t="s">
        <v>937</v>
      </c>
      <c r="E33" s="252">
        <f>(E32/'Small Load'!O423)</f>
        <v>0.26882257604472942</v>
      </c>
      <c r="F33" s="252">
        <f>(F32/'Small Load'!Q423)</f>
        <v>0</v>
      </c>
      <c r="J33" s="340"/>
      <c r="K33" s="341"/>
      <c r="L33" s="200" t="s">
        <v>937</v>
      </c>
      <c r="M33" s="252">
        <f>(M32/'Large Load'!M210)</f>
        <v>0.31017693867330481</v>
      </c>
      <c r="N33" s="252">
        <f>(N32/'Large Load'!O210)</f>
        <v>0</v>
      </c>
      <c r="AP33" s="342"/>
      <c r="AQ33" s="341"/>
      <c r="AR33" s="200" t="s">
        <v>937</v>
      </c>
      <c r="AS33" s="252">
        <f>AS32/AS34</f>
        <v>0.94661771584394983</v>
      </c>
      <c r="AT33" s="252">
        <f t="shared" ref="AT33:AU33" si="25">AT32/AT34</f>
        <v>0.9720841066408521</v>
      </c>
      <c r="AU33" s="252">
        <f t="shared" si="25"/>
        <v>0.96493308487209895</v>
      </c>
      <c r="BG33" s="247"/>
      <c r="BH33" s="341" t="s">
        <v>948</v>
      </c>
      <c r="BI33" s="218" t="s">
        <v>929</v>
      </c>
      <c r="BJ33" s="135">
        <v>12129792.9309</v>
      </c>
      <c r="BK33" s="135">
        <v>3161000.9200000009</v>
      </c>
      <c r="BL33" s="135">
        <f>BK33/BJ33</f>
        <v>0.26059809413131196</v>
      </c>
    </row>
    <row r="34" spans="2:65" ht="30" customHeight="1" x14ac:dyDescent="0.25">
      <c r="B34" s="340"/>
      <c r="C34" s="341" t="s">
        <v>940</v>
      </c>
      <c r="D34" s="200" t="s">
        <v>929</v>
      </c>
      <c r="E34" s="135">
        <f>SUMIFS(Table8[C&amp;I CLM $ Collected],Table8[Distressed Tract1],"No")</f>
        <v>3961611.3995000031</v>
      </c>
      <c r="F34" s="135">
        <f>SUMIFS(Table8[C&amp;I Incentive Disbursements],Table8[Distressed Tract1],"No")</f>
        <v>3155916.3200000003</v>
      </c>
      <c r="G34" s="135">
        <f t="shared" ref="G34:G40" si="26">(F34/E34)*100</f>
        <v>79.662440399841088</v>
      </c>
      <c r="H34" t="str">
        <f t="shared" ref="H34:H38" si="27">IF($G$41&lt;=G34, "Yes","No")</f>
        <v>Yes</v>
      </c>
      <c r="J34" s="340"/>
      <c r="K34" s="341" t="s">
        <v>940</v>
      </c>
      <c r="L34" s="200" t="s">
        <v>929</v>
      </c>
      <c r="M34" s="135">
        <f>SUMIFS(Table325[C&amp;I CLM $ Collected],Table325[Distressed Tract1],"No")</f>
        <v>7862194.5048999991</v>
      </c>
      <c r="N34" s="135">
        <f>SUMIFS(Table325[C&amp;I Incentive Disbursements],Table325[Distressed Tract1],"No")</f>
        <v>5149727.3599999994</v>
      </c>
      <c r="O34" s="135">
        <f t="shared" ref="O34:O40" si="28">(N34/M34)*100</f>
        <v>65.499872291260488</v>
      </c>
      <c r="P34" t="str">
        <f t="shared" ref="P34:P38" si="29">IF($O$41&lt;=O34, "Yes","No")</f>
        <v>No</v>
      </c>
      <c r="R34" s="11" t="s">
        <v>1000</v>
      </c>
      <c r="S34" s="11" t="s">
        <v>1001</v>
      </c>
      <c r="AP34" s="342"/>
      <c r="AQ34" s="344" t="s">
        <v>948</v>
      </c>
      <c r="AR34" s="218" t="s">
        <v>929</v>
      </c>
      <c r="AS34" s="52">
        <v>52682522.847269721</v>
      </c>
      <c r="AT34" s="52">
        <v>9666135.8076000139</v>
      </c>
      <c r="AU34" s="135">
        <v>17709</v>
      </c>
      <c r="AV34" s="135"/>
      <c r="BG34" s="247"/>
      <c r="BH34" s="341"/>
      <c r="BI34" s="218" t="s">
        <v>937</v>
      </c>
      <c r="BJ34" s="135" t="s">
        <v>3909</v>
      </c>
      <c r="BK34" s="135" t="s">
        <v>3909</v>
      </c>
      <c r="BL34" s="135" t="s">
        <v>3909</v>
      </c>
      <c r="BM34" s="135"/>
    </row>
    <row r="35" spans="2:65" ht="15" customHeight="1" x14ac:dyDescent="0.25">
      <c r="B35" s="340"/>
      <c r="C35" s="341"/>
      <c r="D35" s="200" t="s">
        <v>937</v>
      </c>
      <c r="E35" s="252">
        <f>(E34/'Small Load'!O423)</f>
        <v>0.73117742395527119</v>
      </c>
      <c r="F35" s="252">
        <f>(F34/'Small Load'!Q423)</f>
        <v>1</v>
      </c>
      <c r="J35" s="340"/>
      <c r="K35" s="341"/>
      <c r="L35" s="200" t="s">
        <v>937</v>
      </c>
      <c r="M35" s="252">
        <f>(M34/'Large Load'!M210)</f>
        <v>0.68982306132669469</v>
      </c>
      <c r="N35" s="252">
        <f>(N34/'Large Load'!O210)</f>
        <v>1</v>
      </c>
      <c r="R35" s="202" t="s">
        <v>908</v>
      </c>
      <c r="S35" s="202" t="s">
        <v>909</v>
      </c>
      <c r="T35" s="202" t="s">
        <v>958</v>
      </c>
      <c r="U35" s="202" t="s">
        <v>959</v>
      </c>
      <c r="V35" s="202" t="s">
        <v>907</v>
      </c>
      <c r="W35" s="202" t="s">
        <v>905</v>
      </c>
      <c r="AP35" s="342"/>
      <c r="AQ35" s="344"/>
      <c r="AR35" s="218" t="s">
        <v>937</v>
      </c>
      <c r="AS35" s="135" t="s">
        <v>3909</v>
      </c>
      <c r="AT35" s="135" t="s">
        <v>3909</v>
      </c>
      <c r="AU35" s="135" t="s">
        <v>3909</v>
      </c>
      <c r="BG35" s="342" t="s">
        <v>946</v>
      </c>
      <c r="BH35" s="341" t="s">
        <v>928</v>
      </c>
      <c r="BI35" s="218" t="s">
        <v>929</v>
      </c>
      <c r="BJ35" s="135">
        <f>SUMIFS(Table323[CLM $ Collected ],Table323[Distressed Tract1],"Yes")</f>
        <v>384701.87284992012</v>
      </c>
      <c r="BK35" s="135">
        <f>SUMIFS(Table323[Incentives],Table323[Distressed Tract1],"Yes")</f>
        <v>4462.5061999999998</v>
      </c>
      <c r="BL35" s="135">
        <f>BK35/BJ35</f>
        <v>1.1599907655611837E-2</v>
      </c>
      <c r="BM35" t="s">
        <v>944</v>
      </c>
    </row>
    <row r="36" spans="2:65" x14ac:dyDescent="0.25">
      <c r="B36" s="342" t="s">
        <v>946</v>
      </c>
      <c r="C36" s="341" t="s">
        <v>928</v>
      </c>
      <c r="D36" s="200" t="s">
        <v>929</v>
      </c>
      <c r="E36" s="135">
        <f>SUMIFS(Table3[C&amp;I CLM $ Collected],Table3[Distressed Tract1],"Yes")</f>
        <v>35.951342400000001</v>
      </c>
      <c r="F36" s="135">
        <f>SUMIFS(Table3[C&amp;I Incentive Disbursements],Table3[Distressed Tract1],"Yes")</f>
        <v>0</v>
      </c>
      <c r="G36" s="135">
        <f t="shared" si="26"/>
        <v>0</v>
      </c>
      <c r="H36" t="str">
        <f t="shared" si="27"/>
        <v>No</v>
      </c>
      <c r="J36" s="342" t="s">
        <v>946</v>
      </c>
      <c r="K36" s="341" t="s">
        <v>928</v>
      </c>
      <c r="L36" s="200" t="s">
        <v>929</v>
      </c>
      <c r="M36" s="135">
        <f>SUMIFS(Table32[C&amp;I CLM $ Collected],Table32[Distressed Tract1],"Yes")</f>
        <v>94.36843872</v>
      </c>
      <c r="N36" s="135">
        <f>SUMIFS(Table32[C&amp;I Incentive Disbursements],Table32[Distressed Tract1],"Yes")</f>
        <v>0</v>
      </c>
      <c r="O36" s="135">
        <f t="shared" si="28"/>
        <v>0</v>
      </c>
      <c r="P36" t="str">
        <f t="shared" si="29"/>
        <v>No</v>
      </c>
      <c r="R36" s="340" t="s">
        <v>930</v>
      </c>
      <c r="S36" s="200" t="s">
        <v>931</v>
      </c>
      <c r="T36" s="200">
        <f>SUMIFS(Table3236[CLM $ Collected ],Table3236[Distressed Tract1],"Yes")</f>
        <v>2142093.8969000001</v>
      </c>
      <c r="U36" s="200">
        <f>SUMIFS(Table3236[[Incentives ]],Table3236[Distressed Tract1],"Yes")</f>
        <v>0</v>
      </c>
      <c r="V36" s="135">
        <f>(U36/T36)*100</f>
        <v>0</v>
      </c>
      <c r="W36" t="str">
        <f>IF($V$41&lt;=V36, "Yes","No")</f>
        <v>No</v>
      </c>
      <c r="AP36" s="341" t="s">
        <v>2691</v>
      </c>
      <c r="AQ36" s="341" t="s">
        <v>933</v>
      </c>
      <c r="AR36" s="218" t="s">
        <v>929</v>
      </c>
      <c r="AS36" s="135">
        <f>AS24+AS30</f>
        <v>4011467.2685512006</v>
      </c>
      <c r="AT36" s="135">
        <f t="shared" ref="AT36:AU36" si="30">AT24+AT30</f>
        <v>311419.94729999994</v>
      </c>
      <c r="AU36" s="135">
        <f t="shared" si="30"/>
        <v>737</v>
      </c>
      <c r="BG36" s="342"/>
      <c r="BH36" s="341"/>
      <c r="BI36" s="218" t="s">
        <v>937</v>
      </c>
      <c r="BJ36" s="135">
        <f>(BJ35/BJ41)*100</f>
        <v>0.73022674704701873</v>
      </c>
      <c r="BK36" s="135">
        <f>(BK35/BK41)*100</f>
        <v>4.6166392536005414E-2</v>
      </c>
      <c r="BL36" s="135"/>
    </row>
    <row r="37" spans="2:65" x14ac:dyDescent="0.25">
      <c r="B37" s="342"/>
      <c r="C37" s="341"/>
      <c r="D37" s="200" t="s">
        <v>937</v>
      </c>
      <c r="E37" s="252">
        <f>(E36/'2.) Small Load'!L937)</f>
        <v>1.9940440587200248E-6</v>
      </c>
      <c r="F37" s="252">
        <f>(F36/'2.) Small Load'!N937)</f>
        <v>0</v>
      </c>
      <c r="J37" s="342"/>
      <c r="K37" s="341"/>
      <c r="L37" s="200" t="s">
        <v>937</v>
      </c>
      <c r="M37" s="252">
        <f>(M36/'3.) Large Load'!L233)</f>
        <v>2.2465024911944943E-6</v>
      </c>
      <c r="N37" s="252">
        <f>(N36/'3.) Large Load'!N233)</f>
        <v>0</v>
      </c>
      <c r="R37" s="340"/>
      <c r="S37" s="200" t="s">
        <v>938</v>
      </c>
      <c r="T37" s="200">
        <f>SUMIFS(Table3236[CLM $ Collected ],Table3236[Distressed Tract1],"No")</f>
        <v>9987699.0340000037</v>
      </c>
      <c r="U37" s="200">
        <f>SUMIFS(Table3236[[Incentives ]],Table3236[Distressed Tract1],"No")</f>
        <v>3112583.67</v>
      </c>
      <c r="V37" s="135">
        <f t="shared" ref="V37:V40" si="31">(U37/T37)*100</f>
        <v>31.164171641578108</v>
      </c>
      <c r="W37" t="str">
        <f t="shared" ref="W37:W39" si="32">IF($V$41&lt;=V37, "Yes","No")</f>
        <v>Yes</v>
      </c>
      <c r="AP37" s="341"/>
      <c r="AQ37" s="341"/>
      <c r="AR37" s="218" t="s">
        <v>937</v>
      </c>
      <c r="AS37" s="252">
        <f>AS36/(AS28+AS34)</f>
        <v>6.1893595690687461E-2</v>
      </c>
      <c r="AT37" s="252">
        <f t="shared" ref="AT37:AU37" si="33">AT36/(AT28+AT34)</f>
        <v>2.4278212192898895E-2</v>
      </c>
      <c r="AU37" s="252">
        <f t="shared" si="33"/>
        <v>3.5674524420349484E-2</v>
      </c>
      <c r="BG37" s="342"/>
      <c r="BH37" s="344" t="s">
        <v>3902</v>
      </c>
      <c r="BI37" s="218" t="s">
        <v>929</v>
      </c>
      <c r="BJ37" s="135">
        <f>SUMIFS(Table323[CLM $ Collected ],Table323[Moderately Distressed?],"Yes")</f>
        <v>5825974.8064377597</v>
      </c>
      <c r="BK37" s="135">
        <f>SUMIFS(Table323[Incentives],Table323[Moderately Distressed?],"Yes")</f>
        <v>661712.22629999975</v>
      </c>
      <c r="BL37" s="135">
        <f>BK37/BJ37</f>
        <v>0.11357965804603226</v>
      </c>
      <c r="BM37" t="s">
        <v>944</v>
      </c>
    </row>
    <row r="38" spans="2:65" x14ac:dyDescent="0.25">
      <c r="B38" s="342"/>
      <c r="C38" s="341" t="s">
        <v>940</v>
      </c>
      <c r="D38" s="200" t="s">
        <v>929</v>
      </c>
      <c r="E38" s="135">
        <f>SUMIFS(Table3[C&amp;I CLM $ Collected],Table3[Distressed Tract1],"No")</f>
        <v>18029326.159681935</v>
      </c>
      <c r="F38" s="135">
        <f>SUMIFS(Table3[C&amp;I Incentive Disbursements],Table3[Distressed Tract1],"No")</f>
        <v>7405447.7646000003</v>
      </c>
      <c r="G38" s="135">
        <f t="shared" si="26"/>
        <v>41.074456688017698</v>
      </c>
      <c r="H38" t="str">
        <f t="shared" si="27"/>
        <v>No</v>
      </c>
      <c r="J38" s="342"/>
      <c r="K38" s="341" t="s">
        <v>940</v>
      </c>
      <c r="L38" s="200" t="s">
        <v>929</v>
      </c>
      <c r="M38" s="135">
        <f>SUMIFS(Table32[C&amp;I CLM $ Collected],Table32[Distressed Tract1],"No")</f>
        <v>42006731.392890878</v>
      </c>
      <c r="N38" s="135">
        <f>SUMIFS(Table32[C&amp;I Incentive Disbursements],Table32[Distressed Tract1],"No")</f>
        <v>37329757.104799993</v>
      </c>
      <c r="O38" s="135">
        <f t="shared" si="28"/>
        <v>88.866131372262856</v>
      </c>
      <c r="P38" t="str">
        <f t="shared" si="29"/>
        <v>Yes</v>
      </c>
      <c r="R38" s="342" t="s">
        <v>941</v>
      </c>
      <c r="S38" s="200" t="s">
        <v>931</v>
      </c>
      <c r="T38" s="200">
        <f>SUMIFS(Table323[CLM $ Collected ],Table323[Distressed Tract1],"Yes")</f>
        <v>384701.87284992012</v>
      </c>
      <c r="U38" s="200">
        <f>SUMIFS(Table323[[Incentives ]],Table323[Distressed Tract1],"Yes")</f>
        <v>0</v>
      </c>
      <c r="V38" s="135">
        <f t="shared" si="31"/>
        <v>0</v>
      </c>
      <c r="W38" t="str">
        <f t="shared" si="32"/>
        <v>No</v>
      </c>
      <c r="AP38" s="341"/>
      <c r="AQ38" s="341" t="s">
        <v>942</v>
      </c>
      <c r="AR38" s="218" t="s">
        <v>929</v>
      </c>
      <c r="AS38" s="52">
        <f>AS26+AS32</f>
        <v>60465872.609379165</v>
      </c>
      <c r="AT38" s="52">
        <f t="shared" ref="AT38:AU38" si="34">AT26+AT32</f>
        <v>12501036.151200011</v>
      </c>
      <c r="AU38" s="52">
        <f t="shared" si="34"/>
        <v>19900</v>
      </c>
      <c r="BG38" s="342"/>
      <c r="BH38" s="344"/>
      <c r="BI38" s="218" t="s">
        <v>937</v>
      </c>
      <c r="BJ38" s="135">
        <f>(BJ37/BJ41)*100</f>
        <v>11.058648089666594</v>
      </c>
      <c r="BK38" s="135">
        <f>(BK37/BK41)*100</f>
        <v>6.8456748329536961</v>
      </c>
      <c r="BL38" s="135"/>
    </row>
    <row r="39" spans="2:65" x14ac:dyDescent="0.25">
      <c r="B39" s="342"/>
      <c r="C39" s="341"/>
      <c r="D39" s="200" t="s">
        <v>937</v>
      </c>
      <c r="E39" s="252">
        <f>(E38/'2.) Small Load'!L937)</f>
        <v>0.99999800595594124</v>
      </c>
      <c r="F39" s="252">
        <f>(F38/'2.) Small Load'!N937)</f>
        <v>1</v>
      </c>
      <c r="J39" s="342"/>
      <c r="K39" s="341"/>
      <c r="L39" s="200" t="s">
        <v>937</v>
      </c>
      <c r="M39" s="252">
        <f>(M38/'3.) Large Load'!L233)</f>
        <v>0.99999775349750875</v>
      </c>
      <c r="N39" s="252">
        <f>(N38/'3.) Large Load'!N233)</f>
        <v>1</v>
      </c>
      <c r="R39" s="342"/>
      <c r="S39" s="200" t="s">
        <v>938</v>
      </c>
      <c r="T39" s="200">
        <f>SUMIFS(Table323[CLM $ Collected ],Table323[Distressed Tract1],"No")</f>
        <v>52297820.974419802</v>
      </c>
      <c r="U39" s="200">
        <f>SUMIFS(Table323[[Incentives ]],Table323[Distressed Tract1],"No")</f>
        <v>12564514.349999992</v>
      </c>
      <c r="V39" s="135">
        <f t="shared" si="31"/>
        <v>24.024928985369424</v>
      </c>
      <c r="W39" t="str">
        <f t="shared" si="32"/>
        <v>Yes</v>
      </c>
      <c r="AP39" s="341"/>
      <c r="AQ39" s="341"/>
      <c r="AR39" s="218" t="s">
        <v>937</v>
      </c>
      <c r="AS39" s="252">
        <f>AS38/(AS28+AS34)</f>
        <v>0.93293800542991034</v>
      </c>
      <c r="AT39" s="252">
        <f t="shared" ref="AT39:AU39" si="35">AT38/(AT28+AT34)</f>
        <v>0.97457729005894689</v>
      </c>
      <c r="AU39" s="252">
        <f t="shared" si="35"/>
        <v>0.96326056440292362</v>
      </c>
      <c r="BG39" s="342"/>
      <c r="BH39" s="341" t="s">
        <v>3903</v>
      </c>
      <c r="BI39" s="218" t="s">
        <v>929</v>
      </c>
      <c r="BJ39" s="135">
        <f>BJ41-(BJ37+BJ35)</f>
        <v>46471846.167982042</v>
      </c>
      <c r="BK39" s="135">
        <f>BK41-(BK37+BK35)</f>
        <v>8999961.075100014</v>
      </c>
      <c r="BL39" s="135">
        <f>BK39/BJ39</f>
        <v>0.19366480605413877</v>
      </c>
      <c r="BM39" t="s">
        <v>936</v>
      </c>
    </row>
    <row r="40" spans="2:65" x14ac:dyDescent="0.25">
      <c r="B40" s="200" t="s">
        <v>947</v>
      </c>
      <c r="C40" s="200" t="s">
        <v>948</v>
      </c>
      <c r="D40" s="200"/>
      <c r="E40" s="135">
        <f>SUM(E32,E34,E36,E38)</f>
        <v>23447488.094824336</v>
      </c>
      <c r="F40" s="135">
        <f>SUM(F32,F34,F36,F38)</f>
        <v>10561364.084600002</v>
      </c>
      <c r="G40" s="135">
        <f t="shared" si="26"/>
        <v>45.042624787306131</v>
      </c>
      <c r="J40" s="200" t="s">
        <v>947</v>
      </c>
      <c r="K40" s="200" t="s">
        <v>948</v>
      </c>
      <c r="M40" s="135">
        <f>SUM(M32,M34,M36,M38)</f>
        <v>53404233.220829599</v>
      </c>
      <c r="N40" s="135">
        <f>SUM(N32,N34,N36,N38)</f>
        <v>42479484.464799993</v>
      </c>
      <c r="O40" s="135">
        <f t="shared" si="28"/>
        <v>79.543290677248123</v>
      </c>
      <c r="R40" t="s">
        <v>947</v>
      </c>
      <c r="S40" s="200" t="s">
        <v>948</v>
      </c>
      <c r="T40">
        <f>SUM(T36:T39)</f>
        <v>64812315.778169729</v>
      </c>
      <c r="U40">
        <f>SUM(U36:U39)</f>
        <v>15677098.019999992</v>
      </c>
      <c r="V40" s="135">
        <f t="shared" si="31"/>
        <v>24.188455283186158</v>
      </c>
      <c r="BG40" s="342"/>
      <c r="BH40" s="341"/>
      <c r="BI40" s="218" t="s">
        <v>937</v>
      </c>
      <c r="BJ40" s="135">
        <f>(BJ39/BJ41)*100</f>
        <v>88.211125163286383</v>
      </c>
      <c r="BK40" s="135">
        <f>(BK39/BK41)*100</f>
        <v>93.108158774510301</v>
      </c>
      <c r="BL40" s="135"/>
    </row>
    <row r="41" spans="2:65" x14ac:dyDescent="0.25">
      <c r="B41" t="s">
        <v>957</v>
      </c>
      <c r="D41" s="200"/>
      <c r="G41" s="135">
        <f>G40-(G40*0.05)</f>
        <v>42.790493547940827</v>
      </c>
      <c r="J41" t="s">
        <v>957</v>
      </c>
      <c r="O41" s="135">
        <f>O40-(O40*0.05)</f>
        <v>75.566126143385716</v>
      </c>
      <c r="R41" t="s">
        <v>980</v>
      </c>
      <c r="V41" s="135">
        <f>V40-(V40*0.05)</f>
        <v>22.979032519026852</v>
      </c>
      <c r="BG41" s="342"/>
      <c r="BH41" s="341" t="s">
        <v>948</v>
      </c>
      <c r="BI41" s="218" t="s">
        <v>929</v>
      </c>
      <c r="BJ41" s="135">
        <v>52682522.847269721</v>
      </c>
      <c r="BK41" s="135">
        <v>9666135.8076000139</v>
      </c>
      <c r="BL41" s="135">
        <f>BK41/BJ41</f>
        <v>0.18347898477874361</v>
      </c>
    </row>
    <row r="42" spans="2:65" ht="15" customHeight="1" x14ac:dyDescent="0.25">
      <c r="D42" s="200"/>
      <c r="AP42" t="s">
        <v>893</v>
      </c>
      <c r="AQ42" s="169" t="s">
        <v>3917</v>
      </c>
      <c r="BG42" s="342"/>
      <c r="BH42" s="341"/>
      <c r="BI42" s="218" t="s">
        <v>937</v>
      </c>
      <c r="BJ42" s="135" t="s">
        <v>3909</v>
      </c>
      <c r="BK42" s="135" t="s">
        <v>3909</v>
      </c>
      <c r="BL42" s="135" t="s">
        <v>3909</v>
      </c>
      <c r="BM42" s="135"/>
    </row>
    <row r="43" spans="2:65" ht="60" x14ac:dyDescent="0.25">
      <c r="B43" s="339" t="s">
        <v>12822</v>
      </c>
      <c r="C43" s="339"/>
      <c r="D43" s="339"/>
      <c r="E43" s="190" t="s">
        <v>902</v>
      </c>
      <c r="F43" s="191" t="s">
        <v>903</v>
      </c>
      <c r="G43"/>
      <c r="K43" s="135"/>
      <c r="L43" s="135"/>
      <c r="N43"/>
      <c r="O43"/>
      <c r="P43" s="13" t="s">
        <v>3922</v>
      </c>
      <c r="AN43" s="198" t="s">
        <v>3918</v>
      </c>
      <c r="AO43" s="196"/>
      <c r="AP43" s="196"/>
      <c r="AQ43" s="190" t="s">
        <v>902</v>
      </c>
      <c r="AR43" s="191" t="s">
        <v>903</v>
      </c>
      <c r="AS43" s="197" t="s">
        <v>982</v>
      </c>
    </row>
    <row r="44" spans="2:65" x14ac:dyDescent="0.25">
      <c r="B44" s="340" t="s">
        <v>927</v>
      </c>
      <c r="C44" s="341" t="s">
        <v>948</v>
      </c>
      <c r="D44" s="260" t="s">
        <v>929</v>
      </c>
      <c r="E44" s="287">
        <f>SUMIFS(Table8[CLM $ Collected ],Table8[Distressed Tract1],"Yes")+SUMIFS(Table8[CLM $ Collected ],Table8[Distressed Tract1],"No")</f>
        <v>17547918.914700001</v>
      </c>
      <c r="F44" s="287">
        <f>SUMIFS(Table8[Incentive Disbursements],Table8[Distressed Tract1],"Yes")+SUMIFS(Table8[Incentive Disbursements],Table8[Distressed Tract1],"No")</f>
        <v>11650460.610000001</v>
      </c>
      <c r="G44"/>
      <c r="K44" s="135"/>
      <c r="L44" s="135"/>
      <c r="N44"/>
      <c r="O44"/>
      <c r="AN44" s="255" t="s">
        <v>927</v>
      </c>
      <c r="AO44" s="189" t="s">
        <v>3914</v>
      </c>
      <c r="AP44" s="218" t="s">
        <v>929</v>
      </c>
      <c r="AQ44" s="52">
        <f>SUMIFS(Table3236[CLM $ Collected ],Table3236[Energy Burdened?],"Yes")</f>
        <v>1534129.7640999996</v>
      </c>
      <c r="AR44" s="52">
        <f>SUMIFS(Table3236[[Incentives ]],Table3236[Energy Burdened?],"Yes")</f>
        <v>608089.61999999976</v>
      </c>
      <c r="AS44">
        <f>SUMIFS(Table3236[Total Units2],Table3236[Energy Burdened?],"Yes")</f>
        <v>535</v>
      </c>
      <c r="BE44" s="11" t="s">
        <v>893</v>
      </c>
      <c r="BF44" s="11" t="s">
        <v>3912</v>
      </c>
      <c r="BG44" s="218"/>
      <c r="BH44" s="135"/>
      <c r="BI44" s="135"/>
      <c r="BJ44" s="135"/>
    </row>
    <row r="45" spans="2:65" x14ac:dyDescent="0.25">
      <c r="B45" s="340"/>
      <c r="C45" s="341"/>
      <c r="D45" s="260" t="s">
        <v>12823</v>
      </c>
      <c r="E45" s="288">
        <f>E44/'CLM from UI'!B4</f>
        <v>0.60300857416737508</v>
      </c>
      <c r="F45" s="288">
        <f>F44/'CLM from UI'!B5</f>
        <v>0.69343901863409296</v>
      </c>
      <c r="G45"/>
      <c r="K45" s="135"/>
      <c r="L45" s="135"/>
      <c r="N45"/>
      <c r="O45"/>
      <c r="AN45" s="255"/>
      <c r="AO45" s="189"/>
      <c r="AP45" s="218" t="s">
        <v>937</v>
      </c>
      <c r="AQ45" s="252" t="e">
        <f>AQ44/#REF!</f>
        <v>#REF!</v>
      </c>
      <c r="AR45" s="252" t="e">
        <f>AR44/#REF!</f>
        <v>#REF!</v>
      </c>
      <c r="AS45" s="252" t="e">
        <f>AS44/#REF!</f>
        <v>#REF!</v>
      </c>
      <c r="BF45" t="s">
        <v>3900</v>
      </c>
      <c r="BG45" s="218"/>
      <c r="BH45" s="135"/>
      <c r="BI45" s="135"/>
      <c r="BJ45" s="135"/>
    </row>
    <row r="46" spans="2:65" ht="30" x14ac:dyDescent="0.25">
      <c r="B46" s="342" t="s">
        <v>946</v>
      </c>
      <c r="C46" s="341" t="s">
        <v>948</v>
      </c>
      <c r="D46" s="260" t="s">
        <v>929</v>
      </c>
      <c r="E46" s="287">
        <f>SUMIFS(Table3[CLM $ Collected ],Table3[Distressed Tract1],"Yes")+SUMIFS(Table3[CLM $ Collected ],Table3[Distressed Tract1],"No")</f>
        <v>70659148.926617175</v>
      </c>
      <c r="F46" s="287">
        <f>SUMIFS(Table3[Incentive Disbursements],Table3[Distressed Tract1],"Yes")+SUMIFS(Table3[Incentive Disbursements],Table3[Distressed Tract1],"No")</f>
        <v>44405301.081499964</v>
      </c>
      <c r="AP46" s="255"/>
      <c r="AQ46" s="189"/>
      <c r="AR46" s="218" t="s">
        <v>937</v>
      </c>
      <c r="AS46" t="s">
        <v>3909</v>
      </c>
      <c r="AT46" t="s">
        <v>3909</v>
      </c>
      <c r="AU46" t="s">
        <v>3909</v>
      </c>
      <c r="BG46" s="340"/>
      <c r="BH46" s="261" t="s">
        <v>3902</v>
      </c>
      <c r="BI46" s="218" t="s">
        <v>929</v>
      </c>
      <c r="BJ46" s="52">
        <f>SUMIFS(Table3236[CLM $ Collected ],Table3236[Moderately Distressed?],"Yes")</f>
        <v>1805774.541</v>
      </c>
      <c r="BK46" s="52">
        <f>SUMIFS(Table3236[[Incentives ]],Table3236[Moderately Distressed?],"Yes")</f>
        <v>669228.99999999988</v>
      </c>
      <c r="BL46" s="135">
        <f>BK46/BJ46</f>
        <v>0.37060495914921632</v>
      </c>
      <c r="BM46" t="s">
        <v>936</v>
      </c>
    </row>
    <row r="47" spans="2:65" x14ac:dyDescent="0.25">
      <c r="B47" s="342"/>
      <c r="C47" s="341"/>
      <c r="D47" s="260" t="s">
        <v>12823</v>
      </c>
      <c r="E47" s="288">
        <f>E46/'CLM From Eversource'!B4</f>
        <v>0.62686264345647202</v>
      </c>
      <c r="F47" s="288">
        <f>F46/'CLM From Eversource'!B5</f>
        <v>0.54328340943107023</v>
      </c>
      <c r="AP47" s="253"/>
      <c r="AQ47" s="189" t="s">
        <v>942</v>
      </c>
      <c r="AR47" s="218" t="s">
        <v>929</v>
      </c>
      <c r="AS47" s="52">
        <f>SUMIFS(Table323[CLM $ Collected ],Table323[Energy Burdened?],"No")</f>
        <v>49870209.442579165</v>
      </c>
      <c r="AT47" s="52">
        <f>SUMIFS(Table323[[Incentives ]],Table323[Energy Burdened?],"No")</f>
        <v>11492862.149999995</v>
      </c>
      <c r="AU47" s="135">
        <f>SUMIFS(Table323[Total Units2],Table323[Energy Burdened?],"No")</f>
        <v>10983</v>
      </c>
      <c r="BG47" s="340"/>
      <c r="BH47" s="260"/>
      <c r="BI47" s="218" t="s">
        <v>937</v>
      </c>
      <c r="BJ47" s="252" t="e">
        <f>(#REF!/BJ48)</f>
        <v>#REF!</v>
      </c>
      <c r="BK47" s="252" t="e">
        <f>(#REF!/BK48)</f>
        <v>#REF!</v>
      </c>
      <c r="BL47" s="135"/>
    </row>
    <row r="48" spans="2:65" x14ac:dyDescent="0.25">
      <c r="AP48" s="253"/>
      <c r="AQ48" s="189"/>
      <c r="AR48" s="218" t="s">
        <v>937</v>
      </c>
      <c r="AS48" s="252">
        <f>AS47/AS49</f>
        <v>0.94661771584394983</v>
      </c>
      <c r="AT48" s="252">
        <f t="shared" ref="AT48" si="36">AT47/AT49</f>
        <v>0.91470802848818444</v>
      </c>
      <c r="AU48" s="252">
        <f t="shared" ref="AU48" si="37">AU47/AU49</f>
        <v>0.87667624521072796</v>
      </c>
      <c r="BG48" s="247"/>
      <c r="BH48" s="341" t="s">
        <v>948</v>
      </c>
      <c r="BI48" s="218" t="s">
        <v>929</v>
      </c>
      <c r="BJ48" s="52">
        <v>12129792.9309</v>
      </c>
      <c r="BK48" s="52">
        <v>3112583.67</v>
      </c>
      <c r="BL48" s="135">
        <f>BK48/BJ48</f>
        <v>0.25660649672517155</v>
      </c>
    </row>
    <row r="49" spans="2:65" x14ac:dyDescent="0.25">
      <c r="B49" s="11" t="s">
        <v>992</v>
      </c>
      <c r="C49" s="11" t="s">
        <v>12824</v>
      </c>
      <c r="D49" s="265"/>
      <c r="AP49" s="253"/>
      <c r="AQ49" s="254" t="s">
        <v>948</v>
      </c>
      <c r="AR49" s="218" t="s">
        <v>929</v>
      </c>
      <c r="AS49" s="52">
        <v>52682522.847269721</v>
      </c>
      <c r="AT49" s="52">
        <v>12564514.349999992</v>
      </c>
      <c r="AU49" s="135">
        <v>12528</v>
      </c>
      <c r="BG49" s="247"/>
      <c r="BH49" s="341"/>
      <c r="BI49" s="218" t="s">
        <v>937</v>
      </c>
      <c r="BJ49" s="135" t="s">
        <v>3909</v>
      </c>
      <c r="BK49" s="135" t="s">
        <v>3909</v>
      </c>
      <c r="BL49" s="135" t="s">
        <v>3909</v>
      </c>
      <c r="BM49" s="135"/>
    </row>
    <row r="50" spans="2:65" ht="45" x14ac:dyDescent="0.25">
      <c r="B50" s="339" t="s">
        <v>997</v>
      </c>
      <c r="C50" s="339"/>
      <c r="D50" s="339"/>
      <c r="E50" s="190" t="s">
        <v>902</v>
      </c>
      <c r="F50" s="193" t="s">
        <v>903</v>
      </c>
      <c r="G50" s="192" t="s">
        <v>907</v>
      </c>
      <c r="H50" s="264" t="s">
        <v>905</v>
      </c>
      <c r="AP50" s="253"/>
      <c r="AQ50" s="254"/>
      <c r="AR50" s="218" t="s">
        <v>937</v>
      </c>
      <c r="AS50" s="135" t="s">
        <v>3909</v>
      </c>
      <c r="AT50" s="135" t="s">
        <v>3909</v>
      </c>
      <c r="AU50" s="135" t="s">
        <v>3909</v>
      </c>
      <c r="BG50" s="342" t="s">
        <v>946</v>
      </c>
      <c r="BH50" s="341" t="s">
        <v>928</v>
      </c>
      <c r="BI50" s="218" t="s">
        <v>929</v>
      </c>
      <c r="BJ50" s="52">
        <f>SUMIFS(Table323[CLM $ Collected ],Table323[Distressed Tract1],"Yes")</f>
        <v>384701.87284992012</v>
      </c>
      <c r="BK50" s="52">
        <f>SUMIFS(Table323[[Incentives ]],Table323[Distressed Tract1],"Yes")</f>
        <v>0</v>
      </c>
      <c r="BL50" s="135">
        <f>BK50/BJ50</f>
        <v>0</v>
      </c>
      <c r="BM50" t="s">
        <v>944</v>
      </c>
    </row>
    <row r="51" spans="2:65" x14ac:dyDescent="0.25">
      <c r="B51" s="340" t="s">
        <v>927</v>
      </c>
      <c r="C51" s="341" t="s">
        <v>2692</v>
      </c>
      <c r="D51" s="265" t="s">
        <v>929</v>
      </c>
      <c r="E51" s="135">
        <f>SUMIFS(Table8[Residential CLM $ Collected],Table8[Distressed Tract1],"Yes")+SUMIFS(Table8[Residential CLM $ Collected],Table8[Distressed Tract1],"No")</f>
        <v>12129792.930900004</v>
      </c>
      <c r="F51" s="135">
        <f>SUMIFS(Table8[Residential Incentive Disbursements],Table8[Distressed Tract1],"Yes")+SUMIFS(Table8[Residential Incentive Disbursements],Table8[Distressed Tract1],"No")</f>
        <v>8494544.290000001</v>
      </c>
      <c r="AP51" s="301" t="s">
        <v>2691</v>
      </c>
      <c r="AQ51" s="341" t="s">
        <v>933</v>
      </c>
      <c r="AR51" s="218" t="s">
        <v>929</v>
      </c>
      <c r="AS51" s="135" t="e">
        <f>AQ44+#REF!</f>
        <v>#REF!</v>
      </c>
      <c r="AT51" s="135" t="e">
        <f>AR44+#REF!</f>
        <v>#REF!</v>
      </c>
      <c r="AU51" s="135" t="e">
        <f>AS44+#REF!</f>
        <v>#REF!</v>
      </c>
      <c r="BG51" s="342"/>
      <c r="BH51" s="341"/>
      <c r="BI51" s="218" t="s">
        <v>937</v>
      </c>
      <c r="BJ51" s="252">
        <f>(BJ50/BJ56)</f>
        <v>7.3022674704701874E-3</v>
      </c>
      <c r="BK51" s="252">
        <f>(BK50/BK56)</f>
        <v>0</v>
      </c>
      <c r="BL51" s="135"/>
    </row>
    <row r="52" spans="2:65" x14ac:dyDescent="0.25">
      <c r="B52" s="340"/>
      <c r="C52" s="341"/>
      <c r="D52" s="265" t="s">
        <v>937</v>
      </c>
      <c r="E52" s="252">
        <f>E51/(E51+E53)</f>
        <v>0.69123825963993912</v>
      </c>
      <c r="F52" s="252">
        <f>F51/(F51+F53)</f>
        <v>0.72911660528759126</v>
      </c>
      <c r="AP52" s="301"/>
      <c r="AQ52" s="341"/>
      <c r="AR52" s="218" t="s">
        <v>937</v>
      </c>
      <c r="AS52" s="252" t="e">
        <f>AS51/(#REF!+AS49)</f>
        <v>#REF!</v>
      </c>
      <c r="AT52" s="252" t="e">
        <f>AT51/(#REF!+AT49)</f>
        <v>#REF!</v>
      </c>
      <c r="AU52" s="252" t="e">
        <f>AU51/(#REF!+AU49)</f>
        <v>#REF!</v>
      </c>
      <c r="BG52" s="342"/>
      <c r="BH52" s="344" t="s">
        <v>3902</v>
      </c>
      <c r="BI52" s="218" t="s">
        <v>929</v>
      </c>
      <c r="BJ52" s="52">
        <f>SUMIFS(Table323[CLM $ Collected ],Table323[Moderately Distressed?],"Yes")</f>
        <v>5825974.8064377597</v>
      </c>
      <c r="BK52" s="52">
        <f>SUMIFS(Table323[[Incentives ]],Table323[Moderately Distressed?],"Yes")</f>
        <v>2266773.09</v>
      </c>
      <c r="BL52" s="135">
        <f>BK52/BJ52</f>
        <v>0.38908048271942292</v>
      </c>
      <c r="BM52" t="s">
        <v>936</v>
      </c>
    </row>
    <row r="53" spans="2:65" x14ac:dyDescent="0.25">
      <c r="B53" s="340"/>
      <c r="C53" s="341" t="s">
        <v>2693</v>
      </c>
      <c r="D53" s="265" t="s">
        <v>929</v>
      </c>
      <c r="E53" s="135">
        <f>SUMIFS(Table8[C&amp;I CLM $ Collected],Table8[Distressed Tract1],"Yes")+SUMIFS(Table8[C&amp;I CLM $ Collected],Table8[Distressed Tract1],"No")</f>
        <v>5418125.9838000033</v>
      </c>
      <c r="F53" s="135">
        <f>SUMIFS(Table8[C&amp;I Incentive Disbursements],Table8[Distressed Tract1],"Yes")+SUMIFS(Table8[C&amp;I Incentive Disbursements],Table8[Distressed Tract1],"No")</f>
        <v>3155916.3200000003</v>
      </c>
      <c r="AQ53" s="341" t="s">
        <v>942</v>
      </c>
      <c r="AR53" s="218" t="s">
        <v>929</v>
      </c>
      <c r="AS53" s="52" t="e">
        <f>#REF!+AS47</f>
        <v>#REF!</v>
      </c>
      <c r="AT53" s="52" t="e">
        <f>#REF!+AT47</f>
        <v>#REF!</v>
      </c>
      <c r="AU53" s="52" t="e">
        <f>#REF!+AU47</f>
        <v>#REF!</v>
      </c>
      <c r="BG53" s="342"/>
      <c r="BH53" s="344"/>
      <c r="BI53" s="218" t="s">
        <v>937</v>
      </c>
      <c r="BJ53" s="252">
        <f>(BJ52/BJ56)</f>
        <v>0.11058648089666594</v>
      </c>
      <c r="BK53" s="252">
        <f>(BK52/BK56)</f>
        <v>0.18041072076932296</v>
      </c>
      <c r="BL53" s="135"/>
    </row>
    <row r="54" spans="2:65" x14ac:dyDescent="0.25">
      <c r="B54" s="340"/>
      <c r="C54" s="341"/>
      <c r="D54" s="265" t="s">
        <v>937</v>
      </c>
      <c r="E54" s="252">
        <f>E53/(E53+E51)</f>
        <v>0.30876174036006077</v>
      </c>
      <c r="F54" s="252">
        <f>F53/(F53+F51)</f>
        <v>0.27088339471240869</v>
      </c>
      <c r="AQ54" s="341"/>
      <c r="AR54" s="218" t="s">
        <v>937</v>
      </c>
      <c r="AS54" s="252" t="e">
        <f>AS53/(#REF!+AS49)</f>
        <v>#REF!</v>
      </c>
      <c r="AT54" s="252" t="e">
        <f>AT53/(#REF!+AT49)</f>
        <v>#REF!</v>
      </c>
      <c r="AU54" s="252" t="e">
        <f>AU53/(#REF!+AU49)</f>
        <v>#REF!</v>
      </c>
      <c r="BG54" s="342"/>
      <c r="BH54" s="341" t="s">
        <v>3903</v>
      </c>
      <c r="BI54" s="218" t="s">
        <v>929</v>
      </c>
      <c r="BJ54" s="52">
        <f>BJ56-(BJ52+BJ50)</f>
        <v>46471846.167982042</v>
      </c>
      <c r="BK54" s="52">
        <f>BK56-(BK52+BK50)</f>
        <v>10297741.259999992</v>
      </c>
      <c r="BL54" s="135">
        <f>BK54/BJ54</f>
        <v>0.22159096547997448</v>
      </c>
      <c r="BM54" t="s">
        <v>944</v>
      </c>
    </row>
    <row r="55" spans="2:65" x14ac:dyDescent="0.25">
      <c r="B55" s="342" t="s">
        <v>946</v>
      </c>
      <c r="C55" s="341" t="s">
        <v>2692</v>
      </c>
      <c r="D55" s="265" t="s">
        <v>929</v>
      </c>
      <c r="E55" s="135">
        <f>SUMIFS(Table3[Residential CLM $ Collected],Table3[Distressed Tract1],"No")+SUMIFS(Table3[Residential CLM $ Collected],Table3[Distressed Tract1],"Yes")</f>
        <v>52629786.8155929</v>
      </c>
      <c r="F55" s="135">
        <f>SUMIFS(Table3[Residential Incentive Disbursements],Table3[Distressed Tract1],"Yes")+SUMIFS(Table3[Residential Incentive Disbursements],Table3[Distressed Tract1],"No")</f>
        <v>36999853.3169</v>
      </c>
      <c r="BG55" s="342"/>
      <c r="BH55" s="341"/>
      <c r="BI55" s="218" t="s">
        <v>937</v>
      </c>
      <c r="BJ55" s="252">
        <f>(BJ54/BJ56)</f>
        <v>0.88211125163286386</v>
      </c>
      <c r="BK55" s="252">
        <f>(BK54/BK56)</f>
        <v>0.81958927923067704</v>
      </c>
      <c r="BL55" s="135"/>
    </row>
    <row r="56" spans="2:65" x14ac:dyDescent="0.25">
      <c r="B56" s="342"/>
      <c r="C56" s="341"/>
      <c r="D56" s="265" t="s">
        <v>937</v>
      </c>
      <c r="E56" s="252">
        <f>E55/(E57+E55)</f>
        <v>0.74484037262112157</v>
      </c>
      <c r="F56" s="252">
        <f>F55/(F55+F57)</f>
        <v>0.83323054715903644</v>
      </c>
      <c r="BG56" s="342"/>
      <c r="BH56" s="341" t="s">
        <v>948</v>
      </c>
      <c r="BI56" s="218" t="s">
        <v>929</v>
      </c>
      <c r="BJ56" s="52">
        <v>52682522.847269721</v>
      </c>
      <c r="BK56" s="52">
        <v>12564514.349999992</v>
      </c>
      <c r="BL56" s="135">
        <f>BK56/BJ56</f>
        <v>0.23849492527959204</v>
      </c>
    </row>
    <row r="57" spans="2:65" x14ac:dyDescent="0.25">
      <c r="B57" s="342"/>
      <c r="C57" s="341" t="s">
        <v>2693</v>
      </c>
      <c r="D57" s="265" t="s">
        <v>929</v>
      </c>
      <c r="E57" s="135">
        <f>SUMIFS(Table3[C&amp;I CLM $ Collected],Table3[Distressed Tract1],"No")+SUMIFS(Table3[C&amp;I CLM $ Collected],Table3[Distressed Tract1],"Yes")</f>
        <v>18029362.111024335</v>
      </c>
      <c r="F57" s="135">
        <f>SUMIFS(Table3[C&amp;I Incentive Disbursements],Table3[Distressed Tract1],"No")+SUMIFS(Table3[C&amp;I Incentive Disbursements],Table3[Distressed Tract1],"Yes")</f>
        <v>7405447.7646000003</v>
      </c>
      <c r="BG57" s="342"/>
      <c r="BH57" s="341"/>
      <c r="BI57" s="218" t="s">
        <v>937</v>
      </c>
      <c r="BJ57" s="135" t="s">
        <v>3909</v>
      </c>
      <c r="BK57" s="135" t="s">
        <v>3909</v>
      </c>
      <c r="BL57" s="135" t="s">
        <v>3909</v>
      </c>
      <c r="BM57" s="135"/>
    </row>
    <row r="58" spans="2:65" x14ac:dyDescent="0.25">
      <c r="B58" s="342"/>
      <c r="C58" s="341"/>
      <c r="D58" s="265" t="s">
        <v>937</v>
      </c>
      <c r="E58" s="252">
        <f>E57/(E57+E55)</f>
        <v>0.25515962737887848</v>
      </c>
      <c r="F58" s="252">
        <f>F57/(F57+F55)</f>
        <v>0.16676945284096351</v>
      </c>
    </row>
  </sheetData>
  <mergeCells count="140">
    <mergeCell ref="B43:D43"/>
    <mergeCell ref="B44:B45"/>
    <mergeCell ref="C44:C45"/>
    <mergeCell ref="C46:C47"/>
    <mergeCell ref="B46:B47"/>
    <mergeCell ref="BP1:BU1"/>
    <mergeCell ref="BP23:BR23"/>
    <mergeCell ref="BP5:BR5"/>
    <mergeCell ref="BP6:BP9"/>
    <mergeCell ref="BQ6:BQ7"/>
    <mergeCell ref="BQ8:BQ9"/>
    <mergeCell ref="BP10:BP13"/>
    <mergeCell ref="BQ10:BQ11"/>
    <mergeCell ref="BQ12:BQ13"/>
    <mergeCell ref="BP14:BP17"/>
    <mergeCell ref="BQ14:BQ15"/>
    <mergeCell ref="BQ16:BQ17"/>
    <mergeCell ref="BH37:BH38"/>
    <mergeCell ref="BH39:BH40"/>
    <mergeCell ref="BH41:BH42"/>
    <mergeCell ref="BG26:BI26"/>
    <mergeCell ref="BG27:BG32"/>
    <mergeCell ref="BH27:BH28"/>
    <mergeCell ref="BH29:BH30"/>
    <mergeCell ref="AQ53:AQ54"/>
    <mergeCell ref="AY1:BD1"/>
    <mergeCell ref="BG1:BL1"/>
    <mergeCell ref="AQ36:AQ37"/>
    <mergeCell ref="AQ38:AQ39"/>
    <mergeCell ref="AP36:AP39"/>
    <mergeCell ref="AP51:AP52"/>
    <mergeCell ref="AQ51:AQ52"/>
    <mergeCell ref="AQ28:AQ29"/>
    <mergeCell ref="AP24:AP29"/>
    <mergeCell ref="AQ30:AQ31"/>
    <mergeCell ref="AQ32:AQ33"/>
    <mergeCell ref="AP30:AP35"/>
    <mergeCell ref="AQ24:AQ25"/>
    <mergeCell ref="BH48:BH49"/>
    <mergeCell ref="BG50:BG57"/>
    <mergeCell ref="BH50:BH51"/>
    <mergeCell ref="BH52:BH53"/>
    <mergeCell ref="BH54:BH55"/>
    <mergeCell ref="BH56:BH57"/>
    <mergeCell ref="BG46:BG47"/>
    <mergeCell ref="BH33:BH34"/>
    <mergeCell ref="BG35:BG42"/>
    <mergeCell ref="BH35:BH36"/>
    <mergeCell ref="BH31:BH32"/>
    <mergeCell ref="BH12:BH13"/>
    <mergeCell ref="BG14:BG21"/>
    <mergeCell ref="BH14:BH15"/>
    <mergeCell ref="BH16:BH17"/>
    <mergeCell ref="BH18:BH19"/>
    <mergeCell ref="BH20:BH21"/>
    <mergeCell ref="BG5:BI5"/>
    <mergeCell ref="BG6:BG11"/>
    <mergeCell ref="BH6:BH7"/>
    <mergeCell ref="BH8:BH9"/>
    <mergeCell ref="BH10:BH11"/>
    <mergeCell ref="AY18:AZ18"/>
    <mergeCell ref="AA1:AI1"/>
    <mergeCell ref="AB17:AE17"/>
    <mergeCell ref="AF17:AG17"/>
    <mergeCell ref="AH17:AI17"/>
    <mergeCell ref="AY5:AZ5"/>
    <mergeCell ref="AJ17:AK17"/>
    <mergeCell ref="AP1:AU1"/>
    <mergeCell ref="J36:J39"/>
    <mergeCell ref="K36:K37"/>
    <mergeCell ref="K38:K39"/>
    <mergeCell ref="J23:J26"/>
    <mergeCell ref="K23:K24"/>
    <mergeCell ref="K25:K26"/>
    <mergeCell ref="J31:L31"/>
    <mergeCell ref="J32:J35"/>
    <mergeCell ref="K32:K33"/>
    <mergeCell ref="K34:K35"/>
    <mergeCell ref="J10:J13"/>
    <mergeCell ref="K10:K11"/>
    <mergeCell ref="K12:K13"/>
    <mergeCell ref="J18:L18"/>
    <mergeCell ref="J19:J22"/>
    <mergeCell ref="K19:K20"/>
    <mergeCell ref="B36:B39"/>
    <mergeCell ref="C36:C37"/>
    <mergeCell ref="C38:C39"/>
    <mergeCell ref="B18:D18"/>
    <mergeCell ref="B19:B22"/>
    <mergeCell ref="C19:C20"/>
    <mergeCell ref="C21:C22"/>
    <mergeCell ref="B23:B26"/>
    <mergeCell ref="C23:C24"/>
    <mergeCell ref="C25:C26"/>
    <mergeCell ref="B6:B9"/>
    <mergeCell ref="J5:L5"/>
    <mergeCell ref="J6:J9"/>
    <mergeCell ref="K6:K7"/>
    <mergeCell ref="K8:K9"/>
    <mergeCell ref="K21:K22"/>
    <mergeCell ref="B31:D31"/>
    <mergeCell ref="B32:B35"/>
    <mergeCell ref="C32:C33"/>
    <mergeCell ref="C34:C35"/>
    <mergeCell ref="AQ34:AQ35"/>
    <mergeCell ref="AP5:AR5"/>
    <mergeCell ref="AP6:AP9"/>
    <mergeCell ref="AQ6:AQ7"/>
    <mergeCell ref="AQ8:AQ9"/>
    <mergeCell ref="AP10:AP13"/>
    <mergeCell ref="AQ10:AQ11"/>
    <mergeCell ref="AQ12:AQ13"/>
    <mergeCell ref="AQ14:AQ15"/>
    <mergeCell ref="AQ16:AQ17"/>
    <mergeCell ref="AP14:AP17"/>
    <mergeCell ref="AQ26:AQ27"/>
    <mergeCell ref="B50:D50"/>
    <mergeCell ref="B51:B54"/>
    <mergeCell ref="C51:C52"/>
    <mergeCell ref="C53:C54"/>
    <mergeCell ref="B55:B58"/>
    <mergeCell ref="C55:C56"/>
    <mergeCell ref="C57:C58"/>
    <mergeCell ref="R38:R39"/>
    <mergeCell ref="R1:W1"/>
    <mergeCell ref="R26:R27"/>
    <mergeCell ref="R16:R17"/>
    <mergeCell ref="R18:R19"/>
    <mergeCell ref="R28:R29"/>
    <mergeCell ref="R36:R37"/>
    <mergeCell ref="B10:B13"/>
    <mergeCell ref="C6:C7"/>
    <mergeCell ref="C8:C9"/>
    <mergeCell ref="C10:C11"/>
    <mergeCell ref="C12:C13"/>
    <mergeCell ref="C1:E1"/>
    <mergeCell ref="K1:M1"/>
    <mergeCell ref="R6:R7"/>
    <mergeCell ref="R8:R9"/>
    <mergeCell ref="B5:D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E92D0-D444-4773-A300-16D2AA16FFCB}">
  <sheetPr>
    <tabColor theme="7" tint="0.59999389629810485"/>
  </sheetPr>
  <dimension ref="A1"/>
  <sheetViews>
    <sheetView workbookViewId="0">
      <selection activeCell="O18" sqref="O18"/>
    </sheetView>
  </sheetViews>
  <sheetFormatPr defaultRowHeight="15" x14ac:dyDescent="0.25"/>
  <sheetData>
    <row r="1" spans="1:1" x14ac:dyDescent="0.25">
      <c r="A1" t="s">
        <v>2680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7C6C3-0D09-4FA3-85C2-157FDC371D93}">
  <sheetPr>
    <tabColor theme="7" tint="0.59999389629810485"/>
  </sheetPr>
  <dimension ref="A1:J8"/>
  <sheetViews>
    <sheetView workbookViewId="0">
      <selection activeCell="B4" sqref="B4"/>
    </sheetView>
  </sheetViews>
  <sheetFormatPr defaultRowHeight="15" x14ac:dyDescent="0.25"/>
  <cols>
    <col min="1" max="1" width="23.85546875" customWidth="1"/>
    <col min="2" max="6" width="14.5703125" bestFit="1" customWidth="1"/>
    <col min="7" max="7" width="13.5703125" bestFit="1" customWidth="1"/>
    <col min="8" max="8" width="14.5703125" bestFit="1" customWidth="1"/>
    <col min="9" max="9" width="11.85546875" bestFit="1" customWidth="1"/>
    <col min="10" max="10" width="13.85546875" bestFit="1" customWidth="1"/>
  </cols>
  <sheetData>
    <row r="1" spans="1:10" x14ac:dyDescent="0.25">
      <c r="A1" s="15" t="s">
        <v>923</v>
      </c>
    </row>
    <row r="2" spans="1:10" x14ac:dyDescent="0.25">
      <c r="A2" s="352" t="s">
        <v>2687</v>
      </c>
      <c r="B2" s="294" t="s">
        <v>2688</v>
      </c>
      <c r="C2" s="294"/>
      <c r="D2" s="295"/>
      <c r="E2" s="296" t="s">
        <v>2689</v>
      </c>
      <c r="F2" s="297"/>
      <c r="G2" s="297"/>
      <c r="H2" s="298" t="s">
        <v>2690</v>
      </c>
      <c r="I2" s="299"/>
      <c r="J2" s="300"/>
    </row>
    <row r="3" spans="1:10" x14ac:dyDescent="0.25">
      <c r="A3" s="353"/>
      <c r="B3" s="16" t="s">
        <v>2691</v>
      </c>
      <c r="C3" s="17" t="s">
        <v>2692</v>
      </c>
      <c r="D3" s="18" t="s">
        <v>2693</v>
      </c>
      <c r="E3" s="16" t="s">
        <v>2691</v>
      </c>
      <c r="F3" s="18" t="s">
        <v>2692</v>
      </c>
      <c r="G3" s="17" t="s">
        <v>2693</v>
      </c>
      <c r="H3" s="16" t="s">
        <v>2691</v>
      </c>
      <c r="I3" s="17" t="s">
        <v>2692</v>
      </c>
      <c r="J3" s="19" t="s">
        <v>2693</v>
      </c>
    </row>
    <row r="4" spans="1:10" x14ac:dyDescent="0.25">
      <c r="A4" s="20" t="s">
        <v>2694</v>
      </c>
      <c r="B4" s="80">
        <f>SUM(C4:D4)</f>
        <v>29100612.605600007</v>
      </c>
      <c r="C4" s="80">
        <f>F4+I4</f>
        <v>12285079.1623</v>
      </c>
      <c r="D4" s="80">
        <f>G4+J4</f>
        <v>16815533.443300005</v>
      </c>
      <c r="E4" s="80">
        <f>SUM(F4:G4)</f>
        <v>17547918.914700001</v>
      </c>
      <c r="F4" s="80">
        <v>12129792.9309</v>
      </c>
      <c r="G4" s="80">
        <v>5418125.9837999996</v>
      </c>
      <c r="H4" s="80">
        <f>SUM(I4:J4)</f>
        <v>11552693.690900005</v>
      </c>
      <c r="I4" s="80">
        <v>155286.23139999996</v>
      </c>
      <c r="J4" s="81">
        <v>11397407.459500005</v>
      </c>
    </row>
    <row r="5" spans="1:10" x14ac:dyDescent="0.25">
      <c r="A5" s="20" t="s">
        <v>2695</v>
      </c>
      <c r="B5" s="80">
        <f>SUM(C5:D5)</f>
        <v>16800987.969999999</v>
      </c>
      <c r="C5" s="80">
        <f>F5+I5</f>
        <v>8495344.290000001</v>
      </c>
      <c r="D5" s="80">
        <f>G5+J5</f>
        <v>8305643.6799999997</v>
      </c>
      <c r="E5" s="80">
        <f>SUM(F5:G5)</f>
        <v>11650460.610000001</v>
      </c>
      <c r="F5" s="80">
        <v>8494544.290000001</v>
      </c>
      <c r="G5" s="80">
        <v>3155916.3200000003</v>
      </c>
      <c r="H5" s="80">
        <f>SUM(I5:J5)</f>
        <v>5150527.3599999994</v>
      </c>
      <c r="I5" s="80">
        <v>800</v>
      </c>
      <c r="J5" s="80">
        <v>5149727.3599999994</v>
      </c>
    </row>
    <row r="7" spans="1:10" x14ac:dyDescent="0.25">
      <c r="A7" s="82" t="s">
        <v>2974</v>
      </c>
    </row>
    <row r="8" spans="1:10" x14ac:dyDescent="0.25">
      <c r="A8" t="s">
        <v>2975</v>
      </c>
    </row>
  </sheetData>
  <mergeCells count="4">
    <mergeCell ref="A2:A3"/>
    <mergeCell ref="B2:D2"/>
    <mergeCell ref="E2:G2"/>
    <mergeCell ref="H2:J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04FE6-BF13-4141-9C83-4442C7356A54}">
  <sheetPr>
    <tabColor rgb="FFFF0000"/>
  </sheetPr>
  <dimension ref="B1:I20"/>
  <sheetViews>
    <sheetView workbookViewId="0">
      <selection activeCell="D14" sqref="D14"/>
    </sheetView>
  </sheetViews>
  <sheetFormatPr defaultRowHeight="15" x14ac:dyDescent="0.25"/>
  <cols>
    <col min="3" max="3" width="15.5703125" bestFit="1" customWidth="1"/>
    <col min="4" max="5" width="14.5703125" bestFit="1" customWidth="1"/>
    <col min="9" max="9" width="12.5703125" bestFit="1" customWidth="1"/>
  </cols>
  <sheetData>
    <row r="1" spans="2:9" x14ac:dyDescent="0.25">
      <c r="B1" t="s">
        <v>3925</v>
      </c>
    </row>
    <row r="2" spans="2:9" x14ac:dyDescent="0.25">
      <c r="C2" t="s">
        <v>925</v>
      </c>
      <c r="D2" t="s">
        <v>959</v>
      </c>
    </row>
    <row r="3" spans="2:9" x14ac:dyDescent="0.25">
      <c r="B3" t="s">
        <v>3923</v>
      </c>
      <c r="C3" s="257">
        <f>'CLM from UI'!B4</f>
        <v>29100612.605600007</v>
      </c>
      <c r="D3" s="257">
        <f>'CLM from UI'!B5</f>
        <v>16800987.969999999</v>
      </c>
      <c r="E3" s="257"/>
    </row>
    <row r="4" spans="2:9" x14ac:dyDescent="0.25">
      <c r="B4" t="s">
        <v>946</v>
      </c>
      <c r="C4" s="36">
        <f>'CLM From Eversource'!B4</f>
        <v>112718710.6524774</v>
      </c>
      <c r="D4" s="36">
        <f>'CLM From Eversource'!B5</f>
        <v>81735058.186299995</v>
      </c>
    </row>
    <row r="5" spans="2:9" x14ac:dyDescent="0.25">
      <c r="B5" t="s">
        <v>3924</v>
      </c>
      <c r="C5" s="257">
        <f>(C3+C4)*(1/6)</f>
        <v>23636553.876346234</v>
      </c>
      <c r="D5">
        <f>Table7[[#Totals],[CGBIncentiveAmount2]]</f>
        <v>16497553.699999951</v>
      </c>
    </row>
    <row r="7" spans="2:9" x14ac:dyDescent="0.25">
      <c r="B7" t="s">
        <v>12816</v>
      </c>
      <c r="C7" s="257">
        <f>(C3+C4)</f>
        <v>141819323.25807741</v>
      </c>
    </row>
    <row r="9" spans="2:9" x14ac:dyDescent="0.25">
      <c r="D9" t="s">
        <v>925</v>
      </c>
      <c r="E9" t="s">
        <v>959</v>
      </c>
    </row>
    <row r="10" spans="2:9" x14ac:dyDescent="0.25">
      <c r="B10" t="s">
        <v>3923</v>
      </c>
      <c r="C10" t="s">
        <v>12817</v>
      </c>
      <c r="D10" s="135">
        <f>SUMIFS(Table8[CLM $ Collected ],Table8[Distressed Tract1],"Yes")+SUMIFS(Table325[CLM $ Collected ],Table325[Distressed Tract1],"Yes")</f>
        <v>7235244.8910999987</v>
      </c>
    </row>
    <row r="11" spans="2:9" x14ac:dyDescent="0.25">
      <c r="C11" t="s">
        <v>12818</v>
      </c>
      <c r="D11" s="135">
        <f>SUMIFS(Table8[CLM $ Collected ],Table8[Distressed Tract1],"No")+SUMIFS(Table325[CLM $ Collected ],Table325[Distressed Tract1],"No")</f>
        <v>21865367.714500003</v>
      </c>
      <c r="E11" s="135"/>
    </row>
    <row r="12" spans="2:9" x14ac:dyDescent="0.25">
      <c r="C12" t="s">
        <v>947</v>
      </c>
      <c r="D12" s="135">
        <f>SUM(D10:D11)</f>
        <v>29100612.605599999</v>
      </c>
    </row>
    <row r="13" spans="2:9" x14ac:dyDescent="0.25">
      <c r="B13" t="s">
        <v>946</v>
      </c>
      <c r="C13" t="s">
        <v>12817</v>
      </c>
      <c r="D13" s="135">
        <f>SUMIFS(Table3[CLM $ Collected ],Table3[Distressed Tract1],"Yes")+SUMIFS(Table32[CLM $ Collected ],Table32[Distressed Tract1],"Yes")</f>
        <v>384832.19263104006</v>
      </c>
      <c r="E13" s="135"/>
    </row>
    <row r="14" spans="2:9" x14ac:dyDescent="0.25">
      <c r="C14" t="s">
        <v>12818</v>
      </c>
      <c r="D14" s="135">
        <f>SUMIFS(Table3[CLM $ Collected ],Table3[Distressed Tract1],"No")+SUMIFS(Table32[CLM $ Collected ],Table32[Distressed Tract1],"No")</f>
        <v>112333878.45984629</v>
      </c>
    </row>
    <row r="15" spans="2:9" x14ac:dyDescent="0.25">
      <c r="C15" t="s">
        <v>947</v>
      </c>
      <c r="D15" s="135">
        <f>SUM(D13:D14)</f>
        <v>112718710.65247732</v>
      </c>
    </row>
    <row r="16" spans="2:9" x14ac:dyDescent="0.25">
      <c r="B16" t="s">
        <v>12819</v>
      </c>
      <c r="D16" s="135">
        <f>D12+D15</f>
        <v>141819323.25807732</v>
      </c>
      <c r="I16" s="135"/>
    </row>
    <row r="17" spans="2:9" x14ac:dyDescent="0.25">
      <c r="I17" s="135"/>
    </row>
    <row r="18" spans="2:9" x14ac:dyDescent="0.25">
      <c r="B18" t="s">
        <v>3924</v>
      </c>
      <c r="C18" t="s">
        <v>12817</v>
      </c>
      <c r="D18">
        <f>(D10+D13)*(1/6)</f>
        <v>1270012.8472885063</v>
      </c>
    </row>
    <row r="19" spans="2:9" x14ac:dyDescent="0.25">
      <c r="C19" t="s">
        <v>12818</v>
      </c>
      <c r="D19">
        <f>(D11+D14)*(1/6)</f>
        <v>22366541.029057715</v>
      </c>
    </row>
    <row r="20" spans="2:9" x14ac:dyDescent="0.25">
      <c r="C20" t="s">
        <v>947</v>
      </c>
      <c r="D20">
        <f>D16*(1/6)</f>
        <v>23636553.876346219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7EC4F-A7AD-4D1D-A321-20A1D907F1FE}">
  <sheetPr>
    <tabColor rgb="FFFF0000"/>
  </sheetPr>
  <dimension ref="A1:AA7899"/>
  <sheetViews>
    <sheetView workbookViewId="0">
      <selection activeCell="O1" sqref="O1:O1048576"/>
    </sheetView>
  </sheetViews>
  <sheetFormatPr defaultRowHeight="15" x14ac:dyDescent="0.25"/>
  <cols>
    <col min="1" max="1" width="14.85546875" bestFit="1" customWidth="1"/>
    <col min="2" max="2" width="11.42578125" customWidth="1"/>
    <col min="3" max="3" width="11.28515625" customWidth="1"/>
    <col min="4" max="4" width="16.5703125" customWidth="1"/>
    <col min="5" max="5" width="20.42578125" customWidth="1"/>
    <col min="6" max="6" width="11.5703125" customWidth="1"/>
    <col min="8" max="8" width="14" customWidth="1"/>
    <col min="9" max="9" width="14.28515625" customWidth="1"/>
    <col min="12" max="12" width="13.7109375" customWidth="1"/>
    <col min="13" max="13" width="23.28515625" customWidth="1"/>
    <col min="14" max="14" width="18.28515625" customWidth="1"/>
    <col min="15" max="15" width="23.28515625" customWidth="1"/>
    <col min="16" max="16" width="29.7109375" customWidth="1"/>
    <col min="17" max="17" width="22.140625" customWidth="1"/>
    <col min="18" max="18" width="22.42578125" customWidth="1"/>
    <col min="19" max="19" width="25" customWidth="1"/>
    <col min="20" max="20" width="18.7109375" customWidth="1"/>
    <col min="21" max="21" width="15.85546875" customWidth="1"/>
    <col min="24" max="24" width="12" bestFit="1" customWidth="1"/>
    <col min="25" max="25" width="12" customWidth="1"/>
  </cols>
  <sheetData>
    <row r="1" spans="1:22" x14ac:dyDescent="0.25">
      <c r="A1" t="s">
        <v>12791</v>
      </c>
      <c r="B1" t="s">
        <v>12792</v>
      </c>
      <c r="C1" t="s">
        <v>12793</v>
      </c>
      <c r="D1" t="s">
        <v>12794</v>
      </c>
      <c r="E1" t="s">
        <v>12795</v>
      </c>
      <c r="F1" t="s">
        <v>12796</v>
      </c>
      <c r="G1" t="s">
        <v>12797</v>
      </c>
      <c r="H1" t="s">
        <v>12798</v>
      </c>
      <c r="I1" t="s">
        <v>12799</v>
      </c>
      <c r="J1" t="s">
        <v>12800</v>
      </c>
      <c r="K1" t="s">
        <v>12801</v>
      </c>
      <c r="L1" t="s">
        <v>12802</v>
      </c>
      <c r="M1" t="s">
        <v>12803</v>
      </c>
      <c r="N1" t="s">
        <v>12804</v>
      </c>
      <c r="O1" t="s">
        <v>12805</v>
      </c>
      <c r="P1" t="s">
        <v>12806</v>
      </c>
      <c r="Q1" t="s">
        <v>12807</v>
      </c>
      <c r="R1" t="s">
        <v>12808</v>
      </c>
      <c r="S1" t="s">
        <v>12809</v>
      </c>
      <c r="T1" t="s">
        <v>12810</v>
      </c>
      <c r="U1" t="s">
        <v>12811</v>
      </c>
      <c r="V1" t="s">
        <v>12815</v>
      </c>
    </row>
    <row r="2" spans="1:22" x14ac:dyDescent="0.25">
      <c r="A2" s="266">
        <v>43466</v>
      </c>
      <c r="B2" s="267">
        <v>2019</v>
      </c>
      <c r="C2" s="267">
        <v>2019</v>
      </c>
      <c r="D2" s="267">
        <v>1</v>
      </c>
      <c r="E2" s="267">
        <v>1</v>
      </c>
      <c r="F2" s="267" t="s">
        <v>944</v>
      </c>
      <c r="G2" s="267" t="s">
        <v>3926</v>
      </c>
      <c r="H2" s="267" t="s">
        <v>3927</v>
      </c>
      <c r="I2" s="267" t="s">
        <v>934</v>
      </c>
      <c r="J2" s="267" t="s">
        <v>3928</v>
      </c>
      <c r="K2" s="267">
        <v>6610</v>
      </c>
      <c r="L2" s="267">
        <v>73100</v>
      </c>
      <c r="M2" s="267">
        <v>-60</v>
      </c>
      <c r="N2" s="267" t="s">
        <v>3929</v>
      </c>
      <c r="O2" s="267">
        <v>2317.67</v>
      </c>
      <c r="P2" s="267" t="s">
        <v>3930</v>
      </c>
      <c r="Q2" s="267" t="s">
        <v>3931</v>
      </c>
      <c r="R2" s="267">
        <v>7317.67</v>
      </c>
      <c r="S2" s="267">
        <v>34744</v>
      </c>
      <c r="T2" s="267">
        <v>42061.67</v>
      </c>
      <c r="U2" s="268" t="s">
        <v>3932</v>
      </c>
      <c r="V2" s="276" t="s">
        <v>936</v>
      </c>
    </row>
    <row r="3" spans="1:22" hidden="1" x14ac:dyDescent="0.25">
      <c r="A3" s="269">
        <v>43467</v>
      </c>
      <c r="B3" s="270">
        <v>2019</v>
      </c>
      <c r="C3" s="270">
        <v>2019</v>
      </c>
      <c r="D3" s="270">
        <v>1</v>
      </c>
      <c r="E3" s="270">
        <v>1</v>
      </c>
      <c r="F3" s="270" t="s">
        <v>944</v>
      </c>
      <c r="G3" s="270" t="s">
        <v>3926</v>
      </c>
      <c r="H3" s="270" t="s">
        <v>3933</v>
      </c>
      <c r="I3" s="270" t="s">
        <v>3934</v>
      </c>
      <c r="J3" s="270" t="s">
        <v>3928</v>
      </c>
      <c r="K3" s="270">
        <v>6405</v>
      </c>
      <c r="L3" s="270">
        <v>184500</v>
      </c>
      <c r="M3" s="270" t="s">
        <v>3935</v>
      </c>
      <c r="N3" s="270" t="s">
        <v>3936</v>
      </c>
      <c r="O3" s="270">
        <v>0</v>
      </c>
      <c r="P3" s="270" t="s">
        <v>3930</v>
      </c>
      <c r="Q3" s="270" t="s">
        <v>3930</v>
      </c>
      <c r="R3" s="270">
        <v>0</v>
      </c>
      <c r="S3" s="270">
        <v>9550</v>
      </c>
      <c r="T3" s="270">
        <v>9550</v>
      </c>
      <c r="U3" s="271" t="s">
        <v>3937</v>
      </c>
      <c r="V3" s="267" t="s">
        <v>944</v>
      </c>
    </row>
    <row r="4" spans="1:22" hidden="1" x14ac:dyDescent="0.25">
      <c r="A4" s="266">
        <v>43467</v>
      </c>
      <c r="B4" s="267">
        <v>2019</v>
      </c>
      <c r="C4" s="267">
        <v>2019</v>
      </c>
      <c r="D4" s="267">
        <v>1</v>
      </c>
      <c r="E4" s="267">
        <v>1</v>
      </c>
      <c r="F4" s="267" t="s">
        <v>944</v>
      </c>
      <c r="G4" s="267" t="s">
        <v>3926</v>
      </c>
      <c r="H4" s="267" t="s">
        <v>3938</v>
      </c>
      <c r="I4" s="267" t="s">
        <v>3939</v>
      </c>
      <c r="J4" s="267" t="s">
        <v>3928</v>
      </c>
      <c r="K4" s="267">
        <v>6512</v>
      </c>
      <c r="L4" s="267">
        <v>180100</v>
      </c>
      <c r="M4" s="267" t="s">
        <v>3940</v>
      </c>
      <c r="N4" s="267" t="s">
        <v>3941</v>
      </c>
      <c r="O4" s="267">
        <v>0</v>
      </c>
      <c r="P4" s="267" t="s">
        <v>3930</v>
      </c>
      <c r="Q4" s="267" t="s">
        <v>3930</v>
      </c>
      <c r="R4" s="267">
        <v>0</v>
      </c>
      <c r="S4" s="267">
        <v>14850</v>
      </c>
      <c r="T4" s="267">
        <v>14850</v>
      </c>
      <c r="U4" s="268" t="s">
        <v>3937</v>
      </c>
      <c r="V4" s="267" t="s">
        <v>944</v>
      </c>
    </row>
    <row r="5" spans="1:22" hidden="1" x14ac:dyDescent="0.25">
      <c r="A5" s="269">
        <v>43467</v>
      </c>
      <c r="B5" s="270">
        <v>2019</v>
      </c>
      <c r="C5" s="270">
        <v>2019</v>
      </c>
      <c r="D5" s="270">
        <v>1</v>
      </c>
      <c r="E5" s="270">
        <v>1</v>
      </c>
      <c r="F5" s="270" t="s">
        <v>944</v>
      </c>
      <c r="G5" s="270" t="s">
        <v>3926</v>
      </c>
      <c r="H5" s="270" t="s">
        <v>3942</v>
      </c>
      <c r="I5" s="270" t="s">
        <v>3012</v>
      </c>
      <c r="J5" s="270" t="s">
        <v>3928</v>
      </c>
      <c r="K5" s="270">
        <v>6477</v>
      </c>
      <c r="L5" s="270">
        <v>157300</v>
      </c>
      <c r="M5" s="270" t="s">
        <v>3943</v>
      </c>
      <c r="N5" s="270" t="s">
        <v>3944</v>
      </c>
      <c r="O5" s="270">
        <v>4876</v>
      </c>
      <c r="P5" s="270" t="s">
        <v>3944</v>
      </c>
      <c r="Q5" s="270" t="s">
        <v>3944</v>
      </c>
      <c r="R5" s="270">
        <v>4876</v>
      </c>
      <c r="S5" s="270">
        <v>38686.230000000003</v>
      </c>
      <c r="T5" s="270">
        <v>43562.23</v>
      </c>
      <c r="U5" s="271" t="s">
        <v>3945</v>
      </c>
      <c r="V5" s="267" t="s">
        <v>944</v>
      </c>
    </row>
    <row r="6" spans="1:22" hidden="1" x14ac:dyDescent="0.25">
      <c r="A6" s="266">
        <v>43467</v>
      </c>
      <c r="B6" s="267">
        <v>2019</v>
      </c>
      <c r="C6" s="267">
        <v>2019</v>
      </c>
      <c r="D6" s="267">
        <v>1</v>
      </c>
      <c r="E6" s="267">
        <v>1</v>
      </c>
      <c r="F6" s="267" t="s">
        <v>944</v>
      </c>
      <c r="G6" s="267" t="s">
        <v>3926</v>
      </c>
      <c r="H6" s="267" t="s">
        <v>3946</v>
      </c>
      <c r="I6" s="267" t="s">
        <v>3947</v>
      </c>
      <c r="J6" s="267" t="s">
        <v>3928</v>
      </c>
      <c r="K6" s="267">
        <v>6035</v>
      </c>
      <c r="L6" s="267">
        <v>468102</v>
      </c>
      <c r="M6" s="267" t="s">
        <v>3943</v>
      </c>
      <c r="N6" s="267" t="s">
        <v>3944</v>
      </c>
      <c r="O6" s="267">
        <v>4483</v>
      </c>
      <c r="P6" s="267" t="s">
        <v>3944</v>
      </c>
      <c r="Q6" s="267" t="s">
        <v>3944</v>
      </c>
      <c r="R6" s="267">
        <v>4483</v>
      </c>
      <c r="S6" s="267">
        <v>34682.959999999999</v>
      </c>
      <c r="T6" s="267">
        <v>39165.96</v>
      </c>
      <c r="U6" s="268" t="s">
        <v>3945</v>
      </c>
      <c r="V6" s="267" t="s">
        <v>944</v>
      </c>
    </row>
    <row r="7" spans="1:22" hidden="1" x14ac:dyDescent="0.25">
      <c r="A7" s="269">
        <v>43467</v>
      </c>
      <c r="B7" s="270">
        <v>2019</v>
      </c>
      <c r="C7" s="270">
        <v>2019</v>
      </c>
      <c r="D7" s="270">
        <v>1</v>
      </c>
      <c r="E7" s="270">
        <v>1</v>
      </c>
      <c r="F7" s="270" t="s">
        <v>944</v>
      </c>
      <c r="G7" s="270" t="s">
        <v>3926</v>
      </c>
      <c r="H7" s="270" t="s">
        <v>3948</v>
      </c>
      <c r="I7" s="270" t="s">
        <v>3949</v>
      </c>
      <c r="J7" s="270" t="s">
        <v>3928</v>
      </c>
      <c r="K7" s="270">
        <v>6437</v>
      </c>
      <c r="L7" s="270">
        <v>190302</v>
      </c>
      <c r="M7" s="270" t="s">
        <v>3943</v>
      </c>
      <c r="N7" s="270" t="s">
        <v>3944</v>
      </c>
      <c r="O7" s="270">
        <v>4814</v>
      </c>
      <c r="P7" s="270" t="s">
        <v>3944</v>
      </c>
      <c r="Q7" s="270" t="s">
        <v>3944</v>
      </c>
      <c r="R7" s="270">
        <v>4814</v>
      </c>
      <c r="S7" s="270">
        <v>29782</v>
      </c>
      <c r="T7" s="270">
        <v>34596</v>
      </c>
      <c r="U7" s="271" t="s">
        <v>3945</v>
      </c>
      <c r="V7" s="267" t="s">
        <v>944</v>
      </c>
    </row>
    <row r="8" spans="1:22" hidden="1" x14ac:dyDescent="0.25">
      <c r="A8" s="266">
        <v>43467</v>
      </c>
      <c r="B8" s="267">
        <v>2019</v>
      </c>
      <c r="C8" s="267">
        <v>2019</v>
      </c>
      <c r="D8" s="267">
        <v>1</v>
      </c>
      <c r="E8" s="267">
        <v>1</v>
      </c>
      <c r="F8" s="267" t="s">
        <v>944</v>
      </c>
      <c r="G8" s="267" t="s">
        <v>3926</v>
      </c>
      <c r="H8" s="267" t="s">
        <v>3950</v>
      </c>
      <c r="I8" s="267" t="s">
        <v>3934</v>
      </c>
      <c r="J8" s="267" t="s">
        <v>3928</v>
      </c>
      <c r="K8" s="267">
        <v>6405</v>
      </c>
      <c r="L8" s="267">
        <v>184100</v>
      </c>
      <c r="M8" s="267" t="s">
        <v>3940</v>
      </c>
      <c r="N8" s="267" t="s">
        <v>3944</v>
      </c>
      <c r="O8" s="267">
        <v>2269</v>
      </c>
      <c r="P8" s="267" t="s">
        <v>3944</v>
      </c>
      <c r="Q8" s="267" t="s">
        <v>3944</v>
      </c>
      <c r="R8" s="267">
        <v>2269</v>
      </c>
      <c r="S8" s="267">
        <v>15255</v>
      </c>
      <c r="T8" s="267">
        <v>17524</v>
      </c>
      <c r="U8" s="268" t="s">
        <v>3945</v>
      </c>
      <c r="V8" s="267" t="s">
        <v>944</v>
      </c>
    </row>
    <row r="9" spans="1:22" hidden="1" x14ac:dyDescent="0.25">
      <c r="A9" s="269">
        <v>43467</v>
      </c>
      <c r="B9" s="270">
        <v>2019</v>
      </c>
      <c r="C9" s="270">
        <v>2019</v>
      </c>
      <c r="D9" s="270">
        <v>1</v>
      </c>
      <c r="E9" s="270">
        <v>1</v>
      </c>
      <c r="F9" s="270" t="s">
        <v>944</v>
      </c>
      <c r="G9" s="270" t="s">
        <v>3926</v>
      </c>
      <c r="H9" s="270" t="s">
        <v>3951</v>
      </c>
      <c r="I9" s="270" t="s">
        <v>3934</v>
      </c>
      <c r="J9" s="270" t="s">
        <v>3928</v>
      </c>
      <c r="K9" s="270">
        <v>6405</v>
      </c>
      <c r="L9" s="270">
        <v>184400</v>
      </c>
      <c r="M9" s="270" t="s">
        <v>3935</v>
      </c>
      <c r="N9" s="270" t="s">
        <v>3944</v>
      </c>
      <c r="O9" s="270">
        <v>3899</v>
      </c>
      <c r="P9" s="270" t="s">
        <v>3944</v>
      </c>
      <c r="Q9" s="270" t="s">
        <v>3944</v>
      </c>
      <c r="R9" s="270">
        <v>3899</v>
      </c>
      <c r="S9" s="270">
        <v>24451</v>
      </c>
      <c r="T9" s="270">
        <v>28350</v>
      </c>
      <c r="U9" s="271" t="s">
        <v>3945</v>
      </c>
      <c r="V9" s="267" t="s">
        <v>944</v>
      </c>
    </row>
    <row r="10" spans="1:22" hidden="1" x14ac:dyDescent="0.25">
      <c r="A10" s="266">
        <v>43467</v>
      </c>
      <c r="B10" s="267">
        <v>2019</v>
      </c>
      <c r="C10" s="267">
        <v>2019</v>
      </c>
      <c r="D10" s="267">
        <v>1</v>
      </c>
      <c r="E10" s="267">
        <v>1</v>
      </c>
      <c r="F10" s="267" t="s">
        <v>944</v>
      </c>
      <c r="G10" s="267" t="s">
        <v>3926</v>
      </c>
      <c r="H10" s="267" t="s">
        <v>3952</v>
      </c>
      <c r="I10" s="267" t="s">
        <v>3026</v>
      </c>
      <c r="J10" s="267" t="s">
        <v>3928</v>
      </c>
      <c r="K10" s="267">
        <v>6471</v>
      </c>
      <c r="L10" s="267">
        <v>186100</v>
      </c>
      <c r="M10" s="267" t="s">
        <v>3935</v>
      </c>
      <c r="N10" s="267" t="s">
        <v>3944</v>
      </c>
      <c r="O10" s="267">
        <v>1590.33</v>
      </c>
      <c r="P10" s="267" t="s">
        <v>3944</v>
      </c>
      <c r="Q10" s="267" t="s">
        <v>3944</v>
      </c>
      <c r="R10" s="267">
        <v>1590.33</v>
      </c>
      <c r="S10" s="267">
        <v>24509.65</v>
      </c>
      <c r="T10" s="267">
        <v>26099.98</v>
      </c>
      <c r="U10" s="268" t="s">
        <v>3945</v>
      </c>
      <c r="V10" s="267" t="s">
        <v>944</v>
      </c>
    </row>
    <row r="11" spans="1:22" hidden="1" x14ac:dyDescent="0.25">
      <c r="A11" s="269">
        <v>43467</v>
      </c>
      <c r="B11" s="270">
        <v>2019</v>
      </c>
      <c r="C11" s="270">
        <v>2019</v>
      </c>
      <c r="D11" s="270">
        <v>1</v>
      </c>
      <c r="E11" s="270">
        <v>1</v>
      </c>
      <c r="F11" s="270" t="s">
        <v>944</v>
      </c>
      <c r="G11" s="270" t="s">
        <v>3926</v>
      </c>
      <c r="H11" s="270" t="s">
        <v>3953</v>
      </c>
      <c r="I11" s="270" t="s">
        <v>3954</v>
      </c>
      <c r="J11" s="270" t="s">
        <v>3928</v>
      </c>
      <c r="K11" s="270">
        <v>6357</v>
      </c>
      <c r="L11" s="270">
        <v>870703</v>
      </c>
      <c r="M11" s="270" t="s">
        <v>3935</v>
      </c>
      <c r="N11" s="270" t="s">
        <v>3944</v>
      </c>
      <c r="O11" s="270">
        <v>1924.83</v>
      </c>
      <c r="P11" s="270" t="s">
        <v>3944</v>
      </c>
      <c r="Q11" s="270" t="s">
        <v>3944</v>
      </c>
      <c r="R11" s="270">
        <v>1924.83</v>
      </c>
      <c r="S11" s="270">
        <v>28657.97</v>
      </c>
      <c r="T11" s="270">
        <v>30582.799999999999</v>
      </c>
      <c r="U11" s="271" t="s">
        <v>3945</v>
      </c>
      <c r="V11" s="267" t="s">
        <v>944</v>
      </c>
    </row>
    <row r="12" spans="1:22" hidden="1" x14ac:dyDescent="0.25">
      <c r="A12" s="266">
        <v>43467</v>
      </c>
      <c r="B12" s="267">
        <v>2019</v>
      </c>
      <c r="C12" s="267">
        <v>2019</v>
      </c>
      <c r="D12" s="267">
        <v>1</v>
      </c>
      <c r="E12" s="267">
        <v>1</v>
      </c>
      <c r="F12" s="267" t="s">
        <v>944</v>
      </c>
      <c r="G12" s="267" t="s">
        <v>3926</v>
      </c>
      <c r="H12" s="267" t="s">
        <v>3955</v>
      </c>
      <c r="I12" s="267" t="s">
        <v>3956</v>
      </c>
      <c r="J12" s="267" t="s">
        <v>3928</v>
      </c>
      <c r="K12" s="267">
        <v>6112</v>
      </c>
      <c r="L12" s="267">
        <v>503900</v>
      </c>
      <c r="M12" s="267">
        <v>-60</v>
      </c>
      <c r="N12" s="267" t="s">
        <v>3944</v>
      </c>
      <c r="O12" s="267">
        <v>1465.03</v>
      </c>
      <c r="P12" s="267" t="s">
        <v>3944</v>
      </c>
      <c r="Q12" s="267" t="s">
        <v>3944</v>
      </c>
      <c r="R12" s="267">
        <v>1465.03</v>
      </c>
      <c r="S12" s="267">
        <v>19703.96</v>
      </c>
      <c r="T12" s="267">
        <v>21168.99</v>
      </c>
      <c r="U12" s="268" t="s">
        <v>3945</v>
      </c>
      <c r="V12" s="267" t="s">
        <v>944</v>
      </c>
    </row>
    <row r="13" spans="1:22" hidden="1" x14ac:dyDescent="0.25">
      <c r="A13" s="269">
        <v>43467</v>
      </c>
      <c r="B13" s="270">
        <v>2019</v>
      </c>
      <c r="C13" s="270">
        <v>2019</v>
      </c>
      <c r="D13" s="270">
        <v>1</v>
      </c>
      <c r="E13" s="270">
        <v>1</v>
      </c>
      <c r="F13" s="270" t="s">
        <v>944</v>
      </c>
      <c r="G13" s="270" t="s">
        <v>3926</v>
      </c>
      <c r="H13" s="270" t="s">
        <v>3957</v>
      </c>
      <c r="I13" s="270" t="s">
        <v>3956</v>
      </c>
      <c r="J13" s="270" t="s">
        <v>3928</v>
      </c>
      <c r="K13" s="270">
        <v>6114</v>
      </c>
      <c r="L13" s="270">
        <v>502600</v>
      </c>
      <c r="M13" s="270">
        <v>-60</v>
      </c>
      <c r="N13" s="270" t="s">
        <v>3944</v>
      </c>
      <c r="O13" s="270">
        <v>740.81</v>
      </c>
      <c r="P13" s="270" t="s">
        <v>3944</v>
      </c>
      <c r="Q13" s="270" t="s">
        <v>3944</v>
      </c>
      <c r="R13" s="270">
        <v>740.81</v>
      </c>
      <c r="S13" s="270">
        <v>10282.02</v>
      </c>
      <c r="T13" s="270">
        <v>11022.83</v>
      </c>
      <c r="U13" s="271" t="s">
        <v>3945</v>
      </c>
      <c r="V13" s="267" t="s">
        <v>944</v>
      </c>
    </row>
    <row r="14" spans="1:22" hidden="1" x14ac:dyDescent="0.25">
      <c r="A14" s="266">
        <v>43467</v>
      </c>
      <c r="B14" s="267">
        <v>2019</v>
      </c>
      <c r="C14" s="267">
        <v>2019</v>
      </c>
      <c r="D14" s="267">
        <v>1</v>
      </c>
      <c r="E14" s="267">
        <v>1</v>
      </c>
      <c r="F14" s="267" t="s">
        <v>944</v>
      </c>
      <c r="G14" s="267" t="s">
        <v>3926</v>
      </c>
      <c r="H14" s="267" t="s">
        <v>3958</v>
      </c>
      <c r="I14" s="267" t="s">
        <v>3956</v>
      </c>
      <c r="J14" s="267" t="s">
        <v>3928</v>
      </c>
      <c r="K14" s="267">
        <v>6114</v>
      </c>
      <c r="L14" s="267">
        <v>502300</v>
      </c>
      <c r="M14" s="267">
        <v>-60</v>
      </c>
      <c r="N14" s="267" t="s">
        <v>3944</v>
      </c>
      <c r="O14" s="267">
        <v>2807.74</v>
      </c>
      <c r="P14" s="267" t="s">
        <v>3944</v>
      </c>
      <c r="Q14" s="267" t="s">
        <v>3944</v>
      </c>
      <c r="R14" s="267">
        <v>2807.74</v>
      </c>
      <c r="S14" s="267">
        <v>38741.089999999997</v>
      </c>
      <c r="T14" s="267">
        <v>41548.83</v>
      </c>
      <c r="U14" s="268" t="s">
        <v>3945</v>
      </c>
      <c r="V14" s="267" t="s">
        <v>944</v>
      </c>
    </row>
    <row r="15" spans="1:22" hidden="1" x14ac:dyDescent="0.25">
      <c r="A15" s="269">
        <v>43467</v>
      </c>
      <c r="B15" s="270">
        <v>2019</v>
      </c>
      <c r="C15" s="270">
        <v>2019</v>
      </c>
      <c r="D15" s="270">
        <v>1</v>
      </c>
      <c r="E15" s="270">
        <v>1</v>
      </c>
      <c r="F15" s="270" t="s">
        <v>944</v>
      </c>
      <c r="G15" s="270" t="s">
        <v>3926</v>
      </c>
      <c r="H15" s="270" t="s">
        <v>3959</v>
      </c>
      <c r="I15" s="270" t="s">
        <v>3010</v>
      </c>
      <c r="J15" s="270" t="s">
        <v>3928</v>
      </c>
      <c r="K15" s="270">
        <v>6401</v>
      </c>
      <c r="L15" s="270">
        <v>125100</v>
      </c>
      <c r="M15" s="270" t="s">
        <v>3960</v>
      </c>
      <c r="N15" s="270" t="s">
        <v>3944</v>
      </c>
      <c r="O15" s="270">
        <v>2194.89</v>
      </c>
      <c r="P15" s="270" t="s">
        <v>3944</v>
      </c>
      <c r="Q15" s="270" t="s">
        <v>3944</v>
      </c>
      <c r="R15" s="270">
        <v>2194.89</v>
      </c>
      <c r="S15" s="270">
        <v>35510.61</v>
      </c>
      <c r="T15" s="270">
        <v>37705.5</v>
      </c>
      <c r="U15" s="271" t="s">
        <v>3945</v>
      </c>
      <c r="V15" s="267" t="s">
        <v>944</v>
      </c>
    </row>
    <row r="16" spans="1:22" hidden="1" x14ac:dyDescent="0.25">
      <c r="A16" s="266">
        <v>43467</v>
      </c>
      <c r="B16" s="267">
        <v>2019</v>
      </c>
      <c r="C16" s="267">
        <v>2019</v>
      </c>
      <c r="D16" s="267">
        <v>1</v>
      </c>
      <c r="E16" s="267">
        <v>1</v>
      </c>
      <c r="F16" s="267" t="s">
        <v>944</v>
      </c>
      <c r="G16" s="267" t="s">
        <v>3926</v>
      </c>
      <c r="H16" s="267" t="s">
        <v>3961</v>
      </c>
      <c r="I16" s="267" t="s">
        <v>3962</v>
      </c>
      <c r="J16" s="267" t="s">
        <v>3928</v>
      </c>
      <c r="K16" s="267">
        <v>6379</v>
      </c>
      <c r="L16" s="267">
        <v>705102</v>
      </c>
      <c r="M16" s="267" t="s">
        <v>3940</v>
      </c>
      <c r="N16" s="267" t="s">
        <v>3944</v>
      </c>
      <c r="O16" s="267">
        <v>1685.92</v>
      </c>
      <c r="P16" s="267" t="s">
        <v>3944</v>
      </c>
      <c r="Q16" s="267" t="s">
        <v>3944</v>
      </c>
      <c r="R16" s="267">
        <v>1685.92</v>
      </c>
      <c r="S16" s="267">
        <v>26324.19</v>
      </c>
      <c r="T16" s="267">
        <v>28010.11</v>
      </c>
      <c r="U16" s="268" t="s">
        <v>3945</v>
      </c>
      <c r="V16" s="267" t="s">
        <v>944</v>
      </c>
    </row>
    <row r="17" spans="1:22" hidden="1" x14ac:dyDescent="0.25">
      <c r="A17" s="269">
        <v>43467</v>
      </c>
      <c r="B17" s="270">
        <v>2019</v>
      </c>
      <c r="C17" s="270">
        <v>2019</v>
      </c>
      <c r="D17" s="270">
        <v>1</v>
      </c>
      <c r="E17" s="270">
        <v>1</v>
      </c>
      <c r="F17" s="270" t="s">
        <v>944</v>
      </c>
      <c r="G17" s="270" t="s">
        <v>3926</v>
      </c>
      <c r="H17" s="270" t="s">
        <v>3963</v>
      </c>
      <c r="I17" s="270" t="s">
        <v>3964</v>
      </c>
      <c r="J17" s="270" t="s">
        <v>3928</v>
      </c>
      <c r="K17" s="270">
        <v>6033</v>
      </c>
      <c r="L17" s="270">
        <v>520400</v>
      </c>
      <c r="M17" s="270" t="s">
        <v>3943</v>
      </c>
      <c r="N17" s="270" t="s">
        <v>3944</v>
      </c>
      <c r="O17" s="270">
        <v>1153.53</v>
      </c>
      <c r="P17" s="270" t="s">
        <v>3944</v>
      </c>
      <c r="Q17" s="270" t="s">
        <v>3944</v>
      </c>
      <c r="R17" s="270">
        <v>1153.53</v>
      </c>
      <c r="S17" s="270">
        <v>17166.84</v>
      </c>
      <c r="T17" s="270">
        <v>18320.37</v>
      </c>
      <c r="U17" s="271" t="s">
        <v>3945</v>
      </c>
      <c r="V17" s="267" t="s">
        <v>944</v>
      </c>
    </row>
    <row r="18" spans="1:22" hidden="1" x14ac:dyDescent="0.25">
      <c r="A18" s="266">
        <v>43467</v>
      </c>
      <c r="B18" s="267">
        <v>2019</v>
      </c>
      <c r="C18" s="267">
        <v>2019</v>
      </c>
      <c r="D18" s="267">
        <v>1</v>
      </c>
      <c r="E18" s="267">
        <v>1</v>
      </c>
      <c r="F18" s="267" t="s">
        <v>944</v>
      </c>
      <c r="G18" s="267" t="s">
        <v>3926</v>
      </c>
      <c r="H18" s="267" t="s">
        <v>3965</v>
      </c>
      <c r="I18" s="267" t="s">
        <v>3966</v>
      </c>
      <c r="J18" s="267" t="s">
        <v>3928</v>
      </c>
      <c r="K18" s="267">
        <v>6010</v>
      </c>
      <c r="L18" s="267">
        <v>405900</v>
      </c>
      <c r="M18" s="267" t="s">
        <v>3960</v>
      </c>
      <c r="N18" s="267" t="s">
        <v>3944</v>
      </c>
      <c r="O18" s="267">
        <v>2906.65</v>
      </c>
      <c r="P18" s="267" t="s">
        <v>3944</v>
      </c>
      <c r="Q18" s="267" t="s">
        <v>3944</v>
      </c>
      <c r="R18" s="267">
        <v>2906.65</v>
      </c>
      <c r="S18" s="267">
        <v>40131.71</v>
      </c>
      <c r="T18" s="267">
        <v>43038.36</v>
      </c>
      <c r="U18" s="268" t="s">
        <v>3945</v>
      </c>
      <c r="V18" s="267" t="s">
        <v>944</v>
      </c>
    </row>
    <row r="19" spans="1:22" hidden="1" x14ac:dyDescent="0.25">
      <c r="A19" s="269">
        <v>43467</v>
      </c>
      <c r="B19" s="270">
        <v>2019</v>
      </c>
      <c r="C19" s="270">
        <v>2019</v>
      </c>
      <c r="D19" s="270">
        <v>1</v>
      </c>
      <c r="E19" s="270">
        <v>1</v>
      </c>
      <c r="F19" s="270" t="s">
        <v>944</v>
      </c>
      <c r="G19" s="270" t="s">
        <v>3926</v>
      </c>
      <c r="H19" s="270" t="s">
        <v>3967</v>
      </c>
      <c r="I19" s="270" t="s">
        <v>3968</v>
      </c>
      <c r="J19" s="270" t="s">
        <v>3928</v>
      </c>
      <c r="K19" s="270">
        <v>6040</v>
      </c>
      <c r="L19" s="270">
        <v>514300</v>
      </c>
      <c r="M19" s="270" t="s">
        <v>3935</v>
      </c>
      <c r="N19" s="270" t="s">
        <v>3944</v>
      </c>
      <c r="O19" s="270">
        <v>2381.33</v>
      </c>
      <c r="P19" s="270" t="s">
        <v>3944</v>
      </c>
      <c r="Q19" s="270" t="s">
        <v>3944</v>
      </c>
      <c r="R19" s="270">
        <v>2381.33</v>
      </c>
      <c r="S19" s="270">
        <v>30663.59</v>
      </c>
      <c r="T19" s="270">
        <v>33044.92</v>
      </c>
      <c r="U19" s="271" t="s">
        <v>3945</v>
      </c>
      <c r="V19" s="267" t="s">
        <v>944</v>
      </c>
    </row>
    <row r="20" spans="1:22" hidden="1" x14ac:dyDescent="0.25">
      <c r="A20" s="266">
        <v>43467</v>
      </c>
      <c r="B20" s="267">
        <v>2019</v>
      </c>
      <c r="C20" s="267">
        <v>2019</v>
      </c>
      <c r="D20" s="267">
        <v>1</v>
      </c>
      <c r="E20" s="267">
        <v>1</v>
      </c>
      <c r="F20" s="267" t="s">
        <v>944</v>
      </c>
      <c r="G20" s="267" t="s">
        <v>3926</v>
      </c>
      <c r="H20" s="267" t="s">
        <v>3969</v>
      </c>
      <c r="I20" s="267" t="s">
        <v>3026</v>
      </c>
      <c r="J20" s="267" t="s">
        <v>3928</v>
      </c>
      <c r="K20" s="267">
        <v>6471</v>
      </c>
      <c r="L20" s="267">
        <v>186100</v>
      </c>
      <c r="M20" s="267" t="s">
        <v>3935</v>
      </c>
      <c r="N20" s="267" t="s">
        <v>3944</v>
      </c>
      <c r="O20" s="267">
        <v>2022.13</v>
      </c>
      <c r="P20" s="267" t="s">
        <v>3944</v>
      </c>
      <c r="Q20" s="267" t="s">
        <v>3944</v>
      </c>
      <c r="R20" s="267">
        <v>2022.13</v>
      </c>
      <c r="S20" s="267">
        <v>34441.01</v>
      </c>
      <c r="T20" s="267">
        <v>36463.14</v>
      </c>
      <c r="U20" s="268" t="s">
        <v>3945</v>
      </c>
      <c r="V20" s="267" t="s">
        <v>944</v>
      </c>
    </row>
    <row r="21" spans="1:22" hidden="1" x14ac:dyDescent="0.25">
      <c r="A21" s="269">
        <v>43467</v>
      </c>
      <c r="B21" s="270">
        <v>2019</v>
      </c>
      <c r="C21" s="270">
        <v>2019</v>
      </c>
      <c r="D21" s="270">
        <v>1</v>
      </c>
      <c r="E21" s="270">
        <v>1</v>
      </c>
      <c r="F21" s="270" t="s">
        <v>944</v>
      </c>
      <c r="G21" s="270" t="s">
        <v>3926</v>
      </c>
      <c r="H21" s="270" t="s">
        <v>3970</v>
      </c>
      <c r="I21" s="270" t="s">
        <v>3971</v>
      </c>
      <c r="J21" s="270" t="s">
        <v>3928</v>
      </c>
      <c r="K21" s="270">
        <v>6084</v>
      </c>
      <c r="L21" s="270">
        <v>533101</v>
      </c>
      <c r="M21" s="270" t="s">
        <v>3943</v>
      </c>
      <c r="N21" s="270" t="s">
        <v>3944</v>
      </c>
      <c r="O21" s="270">
        <v>3404.42</v>
      </c>
      <c r="P21" s="270" t="s">
        <v>3944</v>
      </c>
      <c r="Q21" s="270" t="s">
        <v>3944</v>
      </c>
      <c r="R21" s="270">
        <v>3404.42</v>
      </c>
      <c r="S21" s="270">
        <v>49417.14</v>
      </c>
      <c r="T21" s="270">
        <v>52821.56</v>
      </c>
      <c r="U21" s="271" t="s">
        <v>3945</v>
      </c>
      <c r="V21" s="267" t="s">
        <v>944</v>
      </c>
    </row>
    <row r="22" spans="1:22" hidden="1" x14ac:dyDescent="0.25">
      <c r="A22" s="266">
        <v>43467</v>
      </c>
      <c r="B22" s="267">
        <v>2019</v>
      </c>
      <c r="C22" s="267">
        <v>2019</v>
      </c>
      <c r="D22" s="267">
        <v>1</v>
      </c>
      <c r="E22" s="267">
        <v>1</v>
      </c>
      <c r="F22" s="267" t="s">
        <v>944</v>
      </c>
      <c r="G22" s="267" t="s">
        <v>3926</v>
      </c>
      <c r="H22" s="267" t="s">
        <v>3972</v>
      </c>
      <c r="I22" s="267" t="s">
        <v>950</v>
      </c>
      <c r="J22" s="267" t="s">
        <v>3928</v>
      </c>
      <c r="K22" s="267">
        <v>6516</v>
      </c>
      <c r="L22" s="267">
        <v>155000</v>
      </c>
      <c r="M22" s="267" t="s">
        <v>3940</v>
      </c>
      <c r="N22" s="267" t="s">
        <v>3944</v>
      </c>
      <c r="O22" s="267">
        <v>1576.61</v>
      </c>
      <c r="P22" s="267" t="s">
        <v>3944</v>
      </c>
      <c r="Q22" s="267" t="s">
        <v>3944</v>
      </c>
      <c r="R22" s="267">
        <v>1576.61</v>
      </c>
      <c r="S22" s="267">
        <v>23982.57</v>
      </c>
      <c r="T22" s="267">
        <v>25559.18</v>
      </c>
      <c r="U22" s="268" t="s">
        <v>3945</v>
      </c>
      <c r="V22" s="267" t="s">
        <v>944</v>
      </c>
    </row>
    <row r="23" spans="1:22" hidden="1" x14ac:dyDescent="0.25">
      <c r="A23" s="269">
        <v>43467</v>
      </c>
      <c r="B23" s="270">
        <v>2019</v>
      </c>
      <c r="C23" s="270">
        <v>2019</v>
      </c>
      <c r="D23" s="270">
        <v>1</v>
      </c>
      <c r="E23" s="270">
        <v>1</v>
      </c>
      <c r="F23" s="270" t="s">
        <v>944</v>
      </c>
      <c r="G23" s="270" t="s">
        <v>3926</v>
      </c>
      <c r="H23" s="270" t="s">
        <v>3973</v>
      </c>
      <c r="I23" s="270" t="s">
        <v>3956</v>
      </c>
      <c r="J23" s="270" t="s">
        <v>3928</v>
      </c>
      <c r="K23" s="270">
        <v>6105</v>
      </c>
      <c r="L23" s="270">
        <v>524501</v>
      </c>
      <c r="M23" s="270">
        <v>-60</v>
      </c>
      <c r="N23" s="270" t="s">
        <v>3944</v>
      </c>
      <c r="O23" s="270">
        <v>805.53</v>
      </c>
      <c r="P23" s="270" t="s">
        <v>3944</v>
      </c>
      <c r="Q23" s="270" t="s">
        <v>3944</v>
      </c>
      <c r="R23" s="270">
        <v>805.53</v>
      </c>
      <c r="S23" s="270">
        <v>12203.98</v>
      </c>
      <c r="T23" s="270">
        <v>13009.51</v>
      </c>
      <c r="U23" s="271" t="s">
        <v>3945</v>
      </c>
      <c r="V23" s="267" t="s">
        <v>944</v>
      </c>
    </row>
    <row r="24" spans="1:22" hidden="1" x14ac:dyDescent="0.25">
      <c r="A24" s="266">
        <v>43467</v>
      </c>
      <c r="B24" s="267">
        <v>2019</v>
      </c>
      <c r="C24" s="267">
        <v>2019</v>
      </c>
      <c r="D24" s="267">
        <v>1</v>
      </c>
      <c r="E24" s="267">
        <v>1</v>
      </c>
      <c r="F24" s="267" t="s">
        <v>944</v>
      </c>
      <c r="G24" s="267" t="s">
        <v>3926</v>
      </c>
      <c r="H24" s="267" t="s">
        <v>3974</v>
      </c>
      <c r="I24" s="267" t="s">
        <v>3975</v>
      </c>
      <c r="J24" s="267" t="s">
        <v>3928</v>
      </c>
      <c r="K24" s="267">
        <v>6489</v>
      </c>
      <c r="L24" s="267">
        <v>430202</v>
      </c>
      <c r="M24" s="267" t="s">
        <v>3943</v>
      </c>
      <c r="N24" s="267" t="s">
        <v>3944</v>
      </c>
      <c r="O24" s="267">
        <v>1976.07</v>
      </c>
      <c r="P24" s="267" t="s">
        <v>3944</v>
      </c>
      <c r="Q24" s="267" t="s">
        <v>3944</v>
      </c>
      <c r="R24" s="267">
        <v>1976.07</v>
      </c>
      <c r="S24" s="267">
        <v>24594.23</v>
      </c>
      <c r="T24" s="267">
        <v>26570.3</v>
      </c>
      <c r="U24" s="268" t="s">
        <v>3945</v>
      </c>
      <c r="V24" s="267" t="s">
        <v>944</v>
      </c>
    </row>
    <row r="25" spans="1:22" hidden="1" x14ac:dyDescent="0.25">
      <c r="A25" s="269">
        <v>43468</v>
      </c>
      <c r="B25" s="270">
        <v>2019</v>
      </c>
      <c r="C25" s="270">
        <v>2019</v>
      </c>
      <c r="D25" s="270">
        <v>1</v>
      </c>
      <c r="E25" s="270">
        <v>1</v>
      </c>
      <c r="F25" s="270" t="s">
        <v>944</v>
      </c>
      <c r="G25" s="270" t="s">
        <v>3926</v>
      </c>
      <c r="H25" s="270" t="s">
        <v>3976</v>
      </c>
      <c r="I25" s="270" t="s">
        <v>3010</v>
      </c>
      <c r="J25" s="270" t="s">
        <v>3928</v>
      </c>
      <c r="K25" s="270">
        <v>6401</v>
      </c>
      <c r="L25" s="270">
        <v>125100</v>
      </c>
      <c r="M25" s="270" t="s">
        <v>3960</v>
      </c>
      <c r="N25" s="270" t="s">
        <v>3977</v>
      </c>
      <c r="O25" s="270">
        <v>0</v>
      </c>
      <c r="P25" s="270" t="s">
        <v>3930</v>
      </c>
      <c r="Q25" s="270" t="s">
        <v>3930</v>
      </c>
      <c r="R25" s="270">
        <v>0</v>
      </c>
      <c r="S25" s="270">
        <v>11697.63</v>
      </c>
      <c r="T25" s="270">
        <v>11697.63</v>
      </c>
      <c r="U25" s="271" t="s">
        <v>3937</v>
      </c>
      <c r="V25" s="267" t="s">
        <v>944</v>
      </c>
    </row>
    <row r="26" spans="1:22" hidden="1" x14ac:dyDescent="0.25">
      <c r="A26" s="266">
        <v>43468</v>
      </c>
      <c r="B26" s="267">
        <v>2019</v>
      </c>
      <c r="C26" s="267">
        <v>2019</v>
      </c>
      <c r="D26" s="267">
        <v>1</v>
      </c>
      <c r="E26" s="267">
        <v>1</v>
      </c>
      <c r="F26" s="267" t="s">
        <v>944</v>
      </c>
      <c r="G26" s="267" t="s">
        <v>3926</v>
      </c>
      <c r="H26" s="267" t="s">
        <v>3978</v>
      </c>
      <c r="I26" s="267" t="s">
        <v>3964</v>
      </c>
      <c r="J26" s="267" t="s">
        <v>3928</v>
      </c>
      <c r="K26" s="267">
        <v>6073</v>
      </c>
      <c r="L26" s="267">
        <v>520501</v>
      </c>
      <c r="M26" s="267" t="s">
        <v>3943</v>
      </c>
      <c r="N26" s="267" t="s">
        <v>3979</v>
      </c>
      <c r="O26" s="267">
        <v>0</v>
      </c>
      <c r="P26" s="267" t="s">
        <v>3930</v>
      </c>
      <c r="Q26" s="267" t="s">
        <v>3930</v>
      </c>
      <c r="R26" s="267">
        <v>0</v>
      </c>
      <c r="S26" s="267">
        <v>17799.259999999998</v>
      </c>
      <c r="T26" s="267">
        <v>17799.259999999998</v>
      </c>
      <c r="U26" s="268" t="s">
        <v>3937</v>
      </c>
      <c r="V26" s="267" t="s">
        <v>944</v>
      </c>
    </row>
    <row r="27" spans="1:22" hidden="1" x14ac:dyDescent="0.25">
      <c r="A27" s="269">
        <v>43468</v>
      </c>
      <c r="B27" s="270">
        <v>2019</v>
      </c>
      <c r="C27" s="270">
        <v>2019</v>
      </c>
      <c r="D27" s="270">
        <v>1</v>
      </c>
      <c r="E27" s="270">
        <v>1</v>
      </c>
      <c r="F27" s="270" t="s">
        <v>944</v>
      </c>
      <c r="G27" s="270" t="s">
        <v>3926</v>
      </c>
      <c r="H27" s="270" t="s">
        <v>3980</v>
      </c>
      <c r="I27" s="270" t="s">
        <v>956</v>
      </c>
      <c r="J27" s="270" t="s">
        <v>3928</v>
      </c>
      <c r="K27" s="270">
        <v>6614</v>
      </c>
      <c r="L27" s="270">
        <v>80800</v>
      </c>
      <c r="M27" s="270" t="s">
        <v>3960</v>
      </c>
      <c r="N27" s="270" t="s">
        <v>3981</v>
      </c>
      <c r="O27" s="270">
        <v>0</v>
      </c>
      <c r="P27" s="270" t="s">
        <v>3930</v>
      </c>
      <c r="Q27" s="270" t="s">
        <v>3930</v>
      </c>
      <c r="R27" s="270">
        <v>0</v>
      </c>
      <c r="S27" s="270">
        <v>11975.07</v>
      </c>
      <c r="T27" s="270">
        <v>11975.07</v>
      </c>
      <c r="U27" s="271" t="s">
        <v>3937</v>
      </c>
      <c r="V27" s="267" t="s">
        <v>944</v>
      </c>
    </row>
    <row r="28" spans="1:22" x14ac:dyDescent="0.25">
      <c r="A28" s="266">
        <v>43468</v>
      </c>
      <c r="B28" s="267">
        <v>2019</v>
      </c>
      <c r="C28" s="267">
        <v>2019</v>
      </c>
      <c r="D28" s="267">
        <v>1</v>
      </c>
      <c r="E28" s="267">
        <v>1</v>
      </c>
      <c r="F28" s="267" t="s">
        <v>944</v>
      </c>
      <c r="G28" s="267" t="s">
        <v>3926</v>
      </c>
      <c r="H28" s="267" t="s">
        <v>3982</v>
      </c>
      <c r="I28" s="267" t="s">
        <v>943</v>
      </c>
      <c r="J28" s="267" t="s">
        <v>3928</v>
      </c>
      <c r="K28" s="267">
        <v>6511</v>
      </c>
      <c r="L28" s="267">
        <v>141500</v>
      </c>
      <c r="M28" s="267">
        <v>-60</v>
      </c>
      <c r="N28" s="267" t="s">
        <v>3983</v>
      </c>
      <c r="O28" s="267">
        <v>0</v>
      </c>
      <c r="P28" s="267" t="s">
        <v>3930</v>
      </c>
      <c r="Q28" s="267" t="s">
        <v>3931</v>
      </c>
      <c r="R28" s="267">
        <v>5000</v>
      </c>
      <c r="S28" s="267">
        <v>16504</v>
      </c>
      <c r="T28" s="267">
        <v>21504</v>
      </c>
      <c r="U28" s="268" t="s">
        <v>3932</v>
      </c>
      <c r="V28" s="276" t="s">
        <v>936</v>
      </c>
    </row>
    <row r="29" spans="1:22" hidden="1" x14ac:dyDescent="0.25">
      <c r="A29" s="269">
        <v>43468</v>
      </c>
      <c r="B29" s="270">
        <v>2019</v>
      </c>
      <c r="C29" s="270">
        <v>2019</v>
      </c>
      <c r="D29" s="270">
        <v>1</v>
      </c>
      <c r="E29" s="270">
        <v>1</v>
      </c>
      <c r="F29" s="270" t="s">
        <v>944</v>
      </c>
      <c r="G29" s="270" t="s">
        <v>3926</v>
      </c>
      <c r="H29" s="270" t="s">
        <v>3984</v>
      </c>
      <c r="I29" s="270" t="s">
        <v>3985</v>
      </c>
      <c r="J29" s="270" t="s">
        <v>3928</v>
      </c>
      <c r="K29" s="270">
        <v>6256</v>
      </c>
      <c r="L29" s="270">
        <v>800500</v>
      </c>
      <c r="M29" s="270" t="s">
        <v>3940</v>
      </c>
      <c r="N29" s="270" t="s">
        <v>3986</v>
      </c>
      <c r="O29" s="270">
        <v>2834.55</v>
      </c>
      <c r="P29" s="270" t="s">
        <v>3930</v>
      </c>
      <c r="Q29" s="270" t="s">
        <v>3931</v>
      </c>
      <c r="R29" s="270">
        <v>7834.55</v>
      </c>
      <c r="S29" s="270">
        <v>16196.8</v>
      </c>
      <c r="T29" s="270">
        <v>24031.35</v>
      </c>
      <c r="U29" s="271" t="s">
        <v>3932</v>
      </c>
      <c r="V29" s="267" t="s">
        <v>944</v>
      </c>
    </row>
    <row r="30" spans="1:22" hidden="1" x14ac:dyDescent="0.25">
      <c r="A30" s="266">
        <v>43468</v>
      </c>
      <c r="B30" s="267">
        <v>2019</v>
      </c>
      <c r="C30" s="267">
        <v>2019</v>
      </c>
      <c r="D30" s="267">
        <v>1</v>
      </c>
      <c r="E30" s="267">
        <v>1</v>
      </c>
      <c r="F30" s="267" t="s">
        <v>944</v>
      </c>
      <c r="G30" s="267" t="s">
        <v>3926</v>
      </c>
      <c r="H30" s="267" t="s">
        <v>3987</v>
      </c>
      <c r="I30" s="267" t="s">
        <v>956</v>
      </c>
      <c r="J30" s="267" t="s">
        <v>3928</v>
      </c>
      <c r="K30" s="267">
        <v>6614</v>
      </c>
      <c r="L30" s="267">
        <v>81100</v>
      </c>
      <c r="M30" s="267" t="s">
        <v>3960</v>
      </c>
      <c r="N30" s="267" t="s">
        <v>3944</v>
      </c>
      <c r="O30" s="267">
        <v>3788</v>
      </c>
      <c r="P30" s="267" t="s">
        <v>3944</v>
      </c>
      <c r="Q30" s="267" t="s">
        <v>3944</v>
      </c>
      <c r="R30" s="267">
        <v>3788</v>
      </c>
      <c r="S30" s="267">
        <v>27785</v>
      </c>
      <c r="T30" s="267">
        <v>31573</v>
      </c>
      <c r="U30" s="268" t="s">
        <v>3945</v>
      </c>
      <c r="V30" s="267" t="s">
        <v>944</v>
      </c>
    </row>
    <row r="31" spans="1:22" hidden="1" x14ac:dyDescent="0.25">
      <c r="A31" s="269">
        <v>43468</v>
      </c>
      <c r="B31" s="270">
        <v>2019</v>
      </c>
      <c r="C31" s="270">
        <v>2019</v>
      </c>
      <c r="D31" s="270">
        <v>1</v>
      </c>
      <c r="E31" s="270">
        <v>1</v>
      </c>
      <c r="F31" s="270" t="s">
        <v>944</v>
      </c>
      <c r="G31" s="270" t="s">
        <v>3926</v>
      </c>
      <c r="H31" s="270" t="s">
        <v>3988</v>
      </c>
      <c r="I31" s="270" t="s">
        <v>3966</v>
      </c>
      <c r="J31" s="270" t="s">
        <v>3928</v>
      </c>
      <c r="K31" s="270">
        <v>6010</v>
      </c>
      <c r="L31" s="270">
        <v>405500</v>
      </c>
      <c r="M31" s="270" t="s">
        <v>3935</v>
      </c>
      <c r="N31" s="270" t="s">
        <v>3944</v>
      </c>
      <c r="O31" s="270">
        <v>1623</v>
      </c>
      <c r="P31" s="270" t="s">
        <v>3944</v>
      </c>
      <c r="Q31" s="270" t="s">
        <v>3944</v>
      </c>
      <c r="R31" s="270">
        <v>1623</v>
      </c>
      <c r="S31" s="270">
        <v>17277</v>
      </c>
      <c r="T31" s="270">
        <v>18900</v>
      </c>
      <c r="U31" s="271" t="s">
        <v>3945</v>
      </c>
      <c r="V31" s="267" t="s">
        <v>944</v>
      </c>
    </row>
    <row r="32" spans="1:22" hidden="1" x14ac:dyDescent="0.25">
      <c r="A32" s="266">
        <v>43468</v>
      </c>
      <c r="B32" s="267">
        <v>2019</v>
      </c>
      <c r="C32" s="267">
        <v>2019</v>
      </c>
      <c r="D32" s="267">
        <v>1</v>
      </c>
      <c r="E32" s="267">
        <v>1</v>
      </c>
      <c r="F32" s="267" t="s">
        <v>944</v>
      </c>
      <c r="G32" s="267" t="s">
        <v>3926</v>
      </c>
      <c r="H32" s="267" t="s">
        <v>3989</v>
      </c>
      <c r="I32" s="267" t="s">
        <v>3990</v>
      </c>
      <c r="J32" s="267" t="s">
        <v>3928</v>
      </c>
      <c r="K32" s="267">
        <v>6804</v>
      </c>
      <c r="L32" s="267">
        <v>205200</v>
      </c>
      <c r="M32" s="267" t="s">
        <v>3943</v>
      </c>
      <c r="N32" s="267" t="s">
        <v>3944</v>
      </c>
      <c r="O32" s="267">
        <v>3366</v>
      </c>
      <c r="P32" s="267" t="s">
        <v>3944</v>
      </c>
      <c r="Q32" s="267" t="s">
        <v>3944</v>
      </c>
      <c r="R32" s="267">
        <v>3366</v>
      </c>
      <c r="S32" s="267">
        <v>24732.400000000001</v>
      </c>
      <c r="T32" s="267">
        <v>28098.400000000001</v>
      </c>
      <c r="U32" s="268" t="s">
        <v>3945</v>
      </c>
      <c r="V32" s="267" t="s">
        <v>944</v>
      </c>
    </row>
    <row r="33" spans="1:22" hidden="1" x14ac:dyDescent="0.25">
      <c r="A33" s="269">
        <v>43468</v>
      </c>
      <c r="B33" s="270">
        <v>2019</v>
      </c>
      <c r="C33" s="270">
        <v>2019</v>
      </c>
      <c r="D33" s="270">
        <v>1</v>
      </c>
      <c r="E33" s="270">
        <v>1</v>
      </c>
      <c r="F33" s="270" t="s">
        <v>944</v>
      </c>
      <c r="G33" s="270" t="s">
        <v>3926</v>
      </c>
      <c r="H33" s="270" t="s">
        <v>3991</v>
      </c>
      <c r="I33" s="270" t="s">
        <v>3968</v>
      </c>
      <c r="J33" s="270" t="s">
        <v>3928</v>
      </c>
      <c r="K33" s="270">
        <v>6040</v>
      </c>
      <c r="L33" s="270">
        <v>515000</v>
      </c>
      <c r="M33" s="270" t="s">
        <v>3943</v>
      </c>
      <c r="N33" s="270" t="s">
        <v>3944</v>
      </c>
      <c r="O33" s="270">
        <v>1558</v>
      </c>
      <c r="P33" s="270" t="s">
        <v>3944</v>
      </c>
      <c r="Q33" s="270" t="s">
        <v>3944</v>
      </c>
      <c r="R33" s="270">
        <v>1558</v>
      </c>
      <c r="S33" s="270">
        <v>17653</v>
      </c>
      <c r="T33" s="270">
        <v>19211</v>
      </c>
      <c r="U33" s="271" t="s">
        <v>3945</v>
      </c>
      <c r="V33" s="267" t="s">
        <v>944</v>
      </c>
    </row>
    <row r="34" spans="1:22" hidden="1" x14ac:dyDescent="0.25">
      <c r="A34" s="266">
        <v>43468</v>
      </c>
      <c r="B34" s="267">
        <v>2019</v>
      </c>
      <c r="C34" s="267">
        <v>2019</v>
      </c>
      <c r="D34" s="267">
        <v>1</v>
      </c>
      <c r="E34" s="267">
        <v>1</v>
      </c>
      <c r="F34" s="267" t="s">
        <v>944</v>
      </c>
      <c r="G34" s="267" t="s">
        <v>3926</v>
      </c>
      <c r="H34" s="267" t="s">
        <v>3992</v>
      </c>
      <c r="I34" s="267" t="s">
        <v>3993</v>
      </c>
      <c r="J34" s="267" t="s">
        <v>3928</v>
      </c>
      <c r="K34" s="267">
        <v>6415</v>
      </c>
      <c r="L34" s="267">
        <v>714104</v>
      </c>
      <c r="M34" s="267" t="s">
        <v>3960</v>
      </c>
      <c r="N34" s="267" t="s">
        <v>3944</v>
      </c>
      <c r="O34" s="267">
        <v>2450</v>
      </c>
      <c r="P34" s="267" t="s">
        <v>3944</v>
      </c>
      <c r="Q34" s="267" t="s">
        <v>3944</v>
      </c>
      <c r="R34" s="267">
        <v>2450</v>
      </c>
      <c r="S34" s="267">
        <v>38941</v>
      </c>
      <c r="T34" s="267">
        <v>41391</v>
      </c>
      <c r="U34" s="268" t="s">
        <v>3945</v>
      </c>
      <c r="V34" s="267" t="s">
        <v>944</v>
      </c>
    </row>
    <row r="35" spans="1:22" hidden="1" x14ac:dyDescent="0.25">
      <c r="A35" s="269">
        <v>43468</v>
      </c>
      <c r="B35" s="270">
        <v>2019</v>
      </c>
      <c r="C35" s="270">
        <v>2019</v>
      </c>
      <c r="D35" s="270">
        <v>1</v>
      </c>
      <c r="E35" s="270">
        <v>1</v>
      </c>
      <c r="F35" s="270" t="s">
        <v>944</v>
      </c>
      <c r="G35" s="270" t="s">
        <v>3926</v>
      </c>
      <c r="H35" s="270" t="s">
        <v>3994</v>
      </c>
      <c r="I35" s="270" t="s">
        <v>3954</v>
      </c>
      <c r="J35" s="270" t="s">
        <v>3928</v>
      </c>
      <c r="K35" s="270">
        <v>6333</v>
      </c>
      <c r="L35" s="270">
        <v>716102</v>
      </c>
      <c r="M35" s="270" t="s">
        <v>3943</v>
      </c>
      <c r="N35" s="270" t="s">
        <v>3944</v>
      </c>
      <c r="O35" s="270">
        <v>4227</v>
      </c>
      <c r="P35" s="270" t="s">
        <v>3944</v>
      </c>
      <c r="Q35" s="270" t="s">
        <v>3944</v>
      </c>
      <c r="R35" s="270">
        <v>4227</v>
      </c>
      <c r="S35" s="270">
        <v>37371</v>
      </c>
      <c r="T35" s="270">
        <v>41598</v>
      </c>
      <c r="U35" s="271" t="s">
        <v>3945</v>
      </c>
      <c r="V35" s="267" t="s">
        <v>944</v>
      </c>
    </row>
    <row r="36" spans="1:22" hidden="1" x14ac:dyDescent="0.25">
      <c r="A36" s="266">
        <v>43468</v>
      </c>
      <c r="B36" s="267">
        <v>2019</v>
      </c>
      <c r="C36" s="267">
        <v>2019</v>
      </c>
      <c r="D36" s="267">
        <v>1</v>
      </c>
      <c r="E36" s="267">
        <v>1</v>
      </c>
      <c r="F36" s="267" t="s">
        <v>944</v>
      </c>
      <c r="G36" s="267" t="s">
        <v>3926</v>
      </c>
      <c r="H36" s="267" t="s">
        <v>3995</v>
      </c>
      <c r="I36" s="267" t="s">
        <v>3996</v>
      </c>
      <c r="J36" s="267" t="s">
        <v>3928</v>
      </c>
      <c r="K36" s="267">
        <v>6790</v>
      </c>
      <c r="L36" s="267">
        <v>310601</v>
      </c>
      <c r="M36" s="267" t="s">
        <v>3960</v>
      </c>
      <c r="N36" s="267" t="s">
        <v>3944</v>
      </c>
      <c r="O36" s="267">
        <v>2491</v>
      </c>
      <c r="P36" s="267" t="s">
        <v>3944</v>
      </c>
      <c r="Q36" s="267" t="s">
        <v>3944</v>
      </c>
      <c r="R36" s="267">
        <v>2491</v>
      </c>
      <c r="S36" s="267">
        <v>34962.5</v>
      </c>
      <c r="T36" s="267">
        <v>37453.5</v>
      </c>
      <c r="U36" s="268" t="s">
        <v>3945</v>
      </c>
      <c r="V36" s="267" t="s">
        <v>944</v>
      </c>
    </row>
    <row r="37" spans="1:22" hidden="1" x14ac:dyDescent="0.25">
      <c r="A37" s="269">
        <v>43468</v>
      </c>
      <c r="B37" s="270">
        <v>2019</v>
      </c>
      <c r="C37" s="270">
        <v>2019</v>
      </c>
      <c r="D37" s="270">
        <v>1</v>
      </c>
      <c r="E37" s="270">
        <v>1</v>
      </c>
      <c r="F37" s="270" t="s">
        <v>944</v>
      </c>
      <c r="G37" s="270" t="s">
        <v>3997</v>
      </c>
      <c r="H37" s="270" t="s">
        <v>3998</v>
      </c>
      <c r="I37" s="270" t="s">
        <v>3999</v>
      </c>
      <c r="J37" s="270" t="s">
        <v>3928</v>
      </c>
      <c r="K37" s="270">
        <v>6450</v>
      </c>
      <c r="L37" s="270">
        <v>171200</v>
      </c>
      <c r="M37" s="270" t="s">
        <v>3960</v>
      </c>
      <c r="N37" s="270" t="s">
        <v>3944</v>
      </c>
      <c r="O37" s="270">
        <v>1169.08</v>
      </c>
      <c r="P37" s="270" t="s">
        <v>3944</v>
      </c>
      <c r="Q37" s="270" t="s">
        <v>3944</v>
      </c>
      <c r="R37" s="270">
        <v>1169.08</v>
      </c>
      <c r="S37" s="270">
        <v>17337.28</v>
      </c>
      <c r="T37" s="270">
        <v>18506.36</v>
      </c>
      <c r="U37" s="271" t="s">
        <v>3945</v>
      </c>
      <c r="V37" s="267" t="s">
        <v>944</v>
      </c>
    </row>
    <row r="38" spans="1:22" hidden="1" x14ac:dyDescent="0.25">
      <c r="A38" s="266">
        <v>43468</v>
      </c>
      <c r="B38" s="267">
        <v>2019</v>
      </c>
      <c r="C38" s="267">
        <v>2019</v>
      </c>
      <c r="D38" s="267">
        <v>1</v>
      </c>
      <c r="E38" s="267">
        <v>1</v>
      </c>
      <c r="F38" s="267" t="s">
        <v>944</v>
      </c>
      <c r="G38" s="267" t="s">
        <v>3997</v>
      </c>
      <c r="H38" s="267" t="s">
        <v>4000</v>
      </c>
      <c r="I38" s="267" t="s">
        <v>943</v>
      </c>
      <c r="J38" s="267" t="s">
        <v>3928</v>
      </c>
      <c r="K38" s="267">
        <v>6512</v>
      </c>
      <c r="L38" s="267">
        <v>142700</v>
      </c>
      <c r="M38" s="267">
        <v>-60</v>
      </c>
      <c r="N38" s="267" t="s">
        <v>3944</v>
      </c>
      <c r="O38" s="267">
        <v>1392.85</v>
      </c>
      <c r="P38" s="267" t="s">
        <v>3944</v>
      </c>
      <c r="Q38" s="267" t="s">
        <v>3944</v>
      </c>
      <c r="R38" s="267">
        <v>1392.85</v>
      </c>
      <c r="S38" s="267">
        <v>21463.89</v>
      </c>
      <c r="T38" s="267">
        <v>22856.74</v>
      </c>
      <c r="U38" s="268" t="s">
        <v>3945</v>
      </c>
      <c r="V38" s="267" t="s">
        <v>944</v>
      </c>
    </row>
    <row r="39" spans="1:22" x14ac:dyDescent="0.25">
      <c r="A39" s="269">
        <v>43468</v>
      </c>
      <c r="B39" s="270">
        <v>2019</v>
      </c>
      <c r="C39" s="270">
        <v>2019</v>
      </c>
      <c r="D39" s="270">
        <v>1</v>
      </c>
      <c r="E39" s="270">
        <v>1</v>
      </c>
      <c r="F39" s="270" t="s">
        <v>944</v>
      </c>
      <c r="G39" s="270" t="s">
        <v>3926</v>
      </c>
      <c r="H39" s="270" t="s">
        <v>4001</v>
      </c>
      <c r="I39" s="270" t="s">
        <v>943</v>
      </c>
      <c r="J39" s="270" t="s">
        <v>3928</v>
      </c>
      <c r="K39" s="270">
        <v>6513</v>
      </c>
      <c r="L39" s="270">
        <v>142300</v>
      </c>
      <c r="M39" s="270">
        <v>-60</v>
      </c>
      <c r="N39" s="270" t="s">
        <v>3944</v>
      </c>
      <c r="O39" s="270">
        <v>1169.32</v>
      </c>
      <c r="P39" s="270" t="s">
        <v>3944</v>
      </c>
      <c r="Q39" s="270" t="s">
        <v>3944</v>
      </c>
      <c r="R39" s="270">
        <v>1169.32</v>
      </c>
      <c r="S39" s="270">
        <v>18489.48</v>
      </c>
      <c r="T39" s="270">
        <v>19658.8</v>
      </c>
      <c r="U39" s="271" t="s">
        <v>3945</v>
      </c>
      <c r="V39" s="276" t="s">
        <v>936</v>
      </c>
    </row>
    <row r="40" spans="1:22" hidden="1" x14ac:dyDescent="0.25">
      <c r="A40" s="266">
        <v>43468</v>
      </c>
      <c r="B40" s="267">
        <v>2019</v>
      </c>
      <c r="C40" s="267">
        <v>2019</v>
      </c>
      <c r="D40" s="267">
        <v>1</v>
      </c>
      <c r="E40" s="267">
        <v>1</v>
      </c>
      <c r="F40" s="267" t="s">
        <v>944</v>
      </c>
      <c r="G40" s="267" t="s">
        <v>3926</v>
      </c>
      <c r="H40" s="267" t="s">
        <v>4002</v>
      </c>
      <c r="I40" s="267" t="s">
        <v>4003</v>
      </c>
      <c r="J40" s="267" t="s">
        <v>3928</v>
      </c>
      <c r="K40" s="267">
        <v>6374</v>
      </c>
      <c r="L40" s="267">
        <v>907300</v>
      </c>
      <c r="M40" s="267" t="s">
        <v>3935</v>
      </c>
      <c r="N40" s="267" t="s">
        <v>3944</v>
      </c>
      <c r="O40" s="267">
        <v>1305.78</v>
      </c>
      <c r="P40" s="267" t="s">
        <v>3944</v>
      </c>
      <c r="Q40" s="267" t="s">
        <v>3944</v>
      </c>
      <c r="R40" s="267">
        <v>1305.78</v>
      </c>
      <c r="S40" s="267">
        <v>17487.12</v>
      </c>
      <c r="T40" s="267">
        <v>18792.900000000001</v>
      </c>
      <c r="U40" s="268" t="s">
        <v>3945</v>
      </c>
      <c r="V40" s="267" t="s">
        <v>944</v>
      </c>
    </row>
    <row r="41" spans="1:22" hidden="1" x14ac:dyDescent="0.25">
      <c r="A41" s="269">
        <v>43468</v>
      </c>
      <c r="B41" s="270">
        <v>2019</v>
      </c>
      <c r="C41" s="270">
        <v>2019</v>
      </c>
      <c r="D41" s="270">
        <v>1</v>
      </c>
      <c r="E41" s="270">
        <v>1</v>
      </c>
      <c r="F41" s="270" t="s">
        <v>944</v>
      </c>
      <c r="G41" s="270" t="s">
        <v>3926</v>
      </c>
      <c r="H41" s="270" t="s">
        <v>4004</v>
      </c>
      <c r="I41" s="270" t="s">
        <v>4005</v>
      </c>
      <c r="J41" s="270" t="s">
        <v>3928</v>
      </c>
      <c r="K41" s="270">
        <v>6118</v>
      </c>
      <c r="L41" s="270">
        <v>511100</v>
      </c>
      <c r="M41" s="270" t="s">
        <v>3960</v>
      </c>
      <c r="N41" s="270" t="s">
        <v>3944</v>
      </c>
      <c r="O41" s="270">
        <v>2060.4899999999998</v>
      </c>
      <c r="P41" s="270" t="s">
        <v>3944</v>
      </c>
      <c r="Q41" s="270" t="s">
        <v>3944</v>
      </c>
      <c r="R41" s="270">
        <v>2060.4899999999998</v>
      </c>
      <c r="S41" s="270">
        <v>24957.26</v>
      </c>
      <c r="T41" s="270">
        <v>27017.75</v>
      </c>
      <c r="U41" s="271" t="s">
        <v>3945</v>
      </c>
      <c r="V41" s="267" t="s">
        <v>944</v>
      </c>
    </row>
    <row r="42" spans="1:22" hidden="1" x14ac:dyDescent="0.25">
      <c r="A42" s="266">
        <v>43468</v>
      </c>
      <c r="B42" s="267">
        <v>2019</v>
      </c>
      <c r="C42" s="267">
        <v>2019</v>
      </c>
      <c r="D42" s="267">
        <v>1</v>
      </c>
      <c r="E42" s="267">
        <v>1</v>
      </c>
      <c r="F42" s="267" t="s">
        <v>944</v>
      </c>
      <c r="G42" s="267" t="s">
        <v>3926</v>
      </c>
      <c r="H42" s="267" t="s">
        <v>4006</v>
      </c>
      <c r="I42" s="267" t="s">
        <v>934</v>
      </c>
      <c r="J42" s="267" t="s">
        <v>3928</v>
      </c>
      <c r="K42" s="267">
        <v>6606</v>
      </c>
      <c r="L42" s="267">
        <v>72900</v>
      </c>
      <c r="M42" s="267" t="s">
        <v>3940</v>
      </c>
      <c r="N42" s="267" t="s">
        <v>3944</v>
      </c>
      <c r="O42" s="267">
        <v>1468.99</v>
      </c>
      <c r="P42" s="267" t="s">
        <v>3944</v>
      </c>
      <c r="Q42" s="267" t="s">
        <v>3944</v>
      </c>
      <c r="R42" s="267">
        <v>1468.99</v>
      </c>
      <c r="S42" s="267">
        <v>17281.7</v>
      </c>
      <c r="T42" s="267">
        <v>18750.689999999999</v>
      </c>
      <c r="U42" s="268" t="s">
        <v>3945</v>
      </c>
      <c r="V42" s="267" t="s">
        <v>944</v>
      </c>
    </row>
    <row r="43" spans="1:22" hidden="1" x14ac:dyDescent="0.25">
      <c r="A43" s="269">
        <v>43468</v>
      </c>
      <c r="B43" s="270">
        <v>2019</v>
      </c>
      <c r="C43" s="270">
        <v>2019</v>
      </c>
      <c r="D43" s="270">
        <v>1</v>
      </c>
      <c r="E43" s="270">
        <v>1</v>
      </c>
      <c r="F43" s="270" t="s">
        <v>944</v>
      </c>
      <c r="G43" s="270" t="s">
        <v>3926</v>
      </c>
      <c r="H43" s="270" t="s">
        <v>4007</v>
      </c>
      <c r="I43" s="270" t="s">
        <v>4008</v>
      </c>
      <c r="J43" s="270" t="s">
        <v>3928</v>
      </c>
      <c r="K43" s="270">
        <v>6320</v>
      </c>
      <c r="L43" s="270">
        <v>690400</v>
      </c>
      <c r="M43" s="270">
        <v>-60</v>
      </c>
      <c r="N43" s="270" t="s">
        <v>3944</v>
      </c>
      <c r="O43" s="270">
        <v>1625.16</v>
      </c>
      <c r="P43" s="270" t="s">
        <v>3944</v>
      </c>
      <c r="Q43" s="270" t="s">
        <v>3944</v>
      </c>
      <c r="R43" s="270">
        <v>1625.16</v>
      </c>
      <c r="S43" s="270">
        <v>23379.200000000001</v>
      </c>
      <c r="T43" s="270">
        <v>25004.36</v>
      </c>
      <c r="U43" s="271" t="s">
        <v>3945</v>
      </c>
      <c r="V43" s="267" t="s">
        <v>944</v>
      </c>
    </row>
    <row r="44" spans="1:22" hidden="1" x14ac:dyDescent="0.25">
      <c r="A44" s="266">
        <v>43468</v>
      </c>
      <c r="B44" s="267">
        <v>2019</v>
      </c>
      <c r="C44" s="267">
        <v>2019</v>
      </c>
      <c r="D44" s="267">
        <v>1</v>
      </c>
      <c r="E44" s="267">
        <v>1</v>
      </c>
      <c r="F44" s="267" t="s">
        <v>944</v>
      </c>
      <c r="G44" s="267" t="s">
        <v>3926</v>
      </c>
      <c r="H44" s="267" t="s">
        <v>4009</v>
      </c>
      <c r="I44" s="267" t="s">
        <v>3010</v>
      </c>
      <c r="J44" s="267" t="s">
        <v>3928</v>
      </c>
      <c r="K44" s="267">
        <v>6401</v>
      </c>
      <c r="L44" s="267">
        <v>125100</v>
      </c>
      <c r="M44" s="267" t="s">
        <v>3960</v>
      </c>
      <c r="N44" s="267" t="s">
        <v>3944</v>
      </c>
      <c r="O44" s="267">
        <v>1986.22</v>
      </c>
      <c r="P44" s="267" t="s">
        <v>3944</v>
      </c>
      <c r="Q44" s="267" t="s">
        <v>3944</v>
      </c>
      <c r="R44" s="267">
        <v>1986.22</v>
      </c>
      <c r="S44" s="267">
        <v>32202.46</v>
      </c>
      <c r="T44" s="267">
        <v>34188.68</v>
      </c>
      <c r="U44" s="268" t="s">
        <v>3945</v>
      </c>
      <c r="V44" s="267" t="s">
        <v>944</v>
      </c>
    </row>
    <row r="45" spans="1:22" hidden="1" x14ac:dyDescent="0.25">
      <c r="A45" s="269">
        <v>43468</v>
      </c>
      <c r="B45" s="270">
        <v>2019</v>
      </c>
      <c r="C45" s="270">
        <v>2019</v>
      </c>
      <c r="D45" s="270">
        <v>1</v>
      </c>
      <c r="E45" s="270">
        <v>1</v>
      </c>
      <c r="F45" s="270" t="s">
        <v>944</v>
      </c>
      <c r="G45" s="270" t="s">
        <v>3926</v>
      </c>
      <c r="H45" s="270" t="s">
        <v>4010</v>
      </c>
      <c r="I45" s="270" t="s">
        <v>4011</v>
      </c>
      <c r="J45" s="270" t="s">
        <v>3928</v>
      </c>
      <c r="K45" s="270">
        <v>6002</v>
      </c>
      <c r="L45" s="270">
        <v>471500</v>
      </c>
      <c r="M45" s="270" t="s">
        <v>3935</v>
      </c>
      <c r="N45" s="270" t="s">
        <v>3944</v>
      </c>
      <c r="O45" s="270">
        <v>1189.2</v>
      </c>
      <c r="P45" s="270" t="s">
        <v>3944</v>
      </c>
      <c r="Q45" s="270" t="s">
        <v>3944</v>
      </c>
      <c r="R45" s="270">
        <v>1189.2</v>
      </c>
      <c r="S45" s="270">
        <v>14387.39</v>
      </c>
      <c r="T45" s="270">
        <v>15576.59</v>
      </c>
      <c r="U45" s="271" t="s">
        <v>3945</v>
      </c>
      <c r="V45" s="267" t="s">
        <v>944</v>
      </c>
    </row>
    <row r="46" spans="1:22" hidden="1" x14ac:dyDescent="0.25">
      <c r="A46" s="266">
        <v>43468</v>
      </c>
      <c r="B46" s="267">
        <v>2019</v>
      </c>
      <c r="C46" s="267">
        <v>2019</v>
      </c>
      <c r="D46" s="267">
        <v>1</v>
      </c>
      <c r="E46" s="267">
        <v>1</v>
      </c>
      <c r="F46" s="267" t="s">
        <v>944</v>
      </c>
      <c r="G46" s="267" t="s">
        <v>3926</v>
      </c>
      <c r="H46" s="267" t="s">
        <v>4012</v>
      </c>
      <c r="I46" s="267" t="s">
        <v>3985</v>
      </c>
      <c r="J46" s="267" t="s">
        <v>3928</v>
      </c>
      <c r="K46" s="267">
        <v>6280</v>
      </c>
      <c r="L46" s="267">
        <v>825000</v>
      </c>
      <c r="M46" s="267" t="s">
        <v>3935</v>
      </c>
      <c r="N46" s="267" t="s">
        <v>3944</v>
      </c>
      <c r="O46" s="267">
        <v>1333.36</v>
      </c>
      <c r="P46" s="267" t="s">
        <v>3944</v>
      </c>
      <c r="Q46" s="267" t="s">
        <v>3944</v>
      </c>
      <c r="R46" s="267">
        <v>1333.36</v>
      </c>
      <c r="S46" s="267">
        <v>20039.39</v>
      </c>
      <c r="T46" s="267">
        <v>21372.75</v>
      </c>
      <c r="U46" s="268" t="s">
        <v>3945</v>
      </c>
      <c r="V46" s="267" t="s">
        <v>944</v>
      </c>
    </row>
    <row r="47" spans="1:22" hidden="1" x14ac:dyDescent="0.25">
      <c r="A47" s="269">
        <v>43468</v>
      </c>
      <c r="B47" s="270">
        <v>2019</v>
      </c>
      <c r="C47" s="270">
        <v>2019</v>
      </c>
      <c r="D47" s="270">
        <v>1</v>
      </c>
      <c r="E47" s="270">
        <v>1</v>
      </c>
      <c r="F47" s="270" t="s">
        <v>944</v>
      </c>
      <c r="G47" s="270" t="s">
        <v>3926</v>
      </c>
      <c r="H47" s="270" t="s">
        <v>4013</v>
      </c>
      <c r="I47" s="270" t="s">
        <v>4014</v>
      </c>
      <c r="J47" s="270" t="s">
        <v>3928</v>
      </c>
      <c r="K47" s="270">
        <v>6420</v>
      </c>
      <c r="L47" s="270">
        <v>715100</v>
      </c>
      <c r="M47" s="270" t="s">
        <v>3943</v>
      </c>
      <c r="N47" s="270" t="s">
        <v>3944</v>
      </c>
      <c r="O47" s="270">
        <v>2602.81</v>
      </c>
      <c r="P47" s="270" t="s">
        <v>3944</v>
      </c>
      <c r="Q47" s="270" t="s">
        <v>3944</v>
      </c>
      <c r="R47" s="270">
        <v>2602.81</v>
      </c>
      <c r="S47" s="270">
        <v>39572.33</v>
      </c>
      <c r="T47" s="270">
        <v>42175.14</v>
      </c>
      <c r="U47" s="271" t="s">
        <v>3945</v>
      </c>
      <c r="V47" s="267" t="s">
        <v>944</v>
      </c>
    </row>
    <row r="48" spans="1:22" hidden="1" x14ac:dyDescent="0.25">
      <c r="A48" s="266">
        <v>43468</v>
      </c>
      <c r="B48" s="267">
        <v>2019</v>
      </c>
      <c r="C48" s="267">
        <v>2019</v>
      </c>
      <c r="D48" s="267">
        <v>1</v>
      </c>
      <c r="E48" s="267">
        <v>1</v>
      </c>
      <c r="F48" s="267" t="s">
        <v>944</v>
      </c>
      <c r="G48" s="267" t="s">
        <v>3926</v>
      </c>
      <c r="H48" s="267" t="s">
        <v>4015</v>
      </c>
      <c r="I48" s="267" t="s">
        <v>4016</v>
      </c>
      <c r="J48" s="267" t="s">
        <v>3928</v>
      </c>
      <c r="K48" s="267">
        <v>6770</v>
      </c>
      <c r="L48" s="267">
        <v>345400</v>
      </c>
      <c r="M48" s="267" t="s">
        <v>3935</v>
      </c>
      <c r="N48" s="267" t="s">
        <v>3944</v>
      </c>
      <c r="O48" s="267">
        <v>2252.9499999999998</v>
      </c>
      <c r="P48" s="267" t="s">
        <v>3944</v>
      </c>
      <c r="Q48" s="267" t="s">
        <v>3944</v>
      </c>
      <c r="R48" s="267">
        <v>2252.9499999999998</v>
      </c>
      <c r="S48" s="267">
        <v>37331.839999999997</v>
      </c>
      <c r="T48" s="267">
        <v>39584.79</v>
      </c>
      <c r="U48" s="268" t="s">
        <v>3945</v>
      </c>
      <c r="V48" s="267" t="s">
        <v>944</v>
      </c>
    </row>
    <row r="49" spans="1:22" hidden="1" x14ac:dyDescent="0.25">
      <c r="A49" s="269">
        <v>43468</v>
      </c>
      <c r="B49" s="270">
        <v>2019</v>
      </c>
      <c r="C49" s="270">
        <v>2019</v>
      </c>
      <c r="D49" s="270">
        <v>1</v>
      </c>
      <c r="E49" s="270">
        <v>1</v>
      </c>
      <c r="F49" s="270" t="s">
        <v>944</v>
      </c>
      <c r="G49" s="270" t="s">
        <v>3926</v>
      </c>
      <c r="H49" s="270" t="s">
        <v>4017</v>
      </c>
      <c r="I49" s="270" t="s">
        <v>3009</v>
      </c>
      <c r="J49" s="270" t="s">
        <v>3928</v>
      </c>
      <c r="K49" s="270">
        <v>6484</v>
      </c>
      <c r="L49" s="270">
        <v>110600</v>
      </c>
      <c r="M49" s="270" t="s">
        <v>3943</v>
      </c>
      <c r="N49" s="270" t="s">
        <v>3944</v>
      </c>
      <c r="O49" s="270">
        <v>2434.64</v>
      </c>
      <c r="P49" s="270" t="s">
        <v>3944</v>
      </c>
      <c r="Q49" s="270" t="s">
        <v>3944</v>
      </c>
      <c r="R49" s="270">
        <v>2434.64</v>
      </c>
      <c r="S49" s="270">
        <v>39233.56</v>
      </c>
      <c r="T49" s="270">
        <v>41668.199999999997</v>
      </c>
      <c r="U49" s="271" t="s">
        <v>3945</v>
      </c>
      <c r="V49" s="267" t="s">
        <v>944</v>
      </c>
    </row>
    <row r="50" spans="1:22" hidden="1" x14ac:dyDescent="0.25">
      <c r="A50" s="266">
        <v>43468</v>
      </c>
      <c r="B50" s="267">
        <v>2019</v>
      </c>
      <c r="C50" s="267">
        <v>2019</v>
      </c>
      <c r="D50" s="267">
        <v>1</v>
      </c>
      <c r="E50" s="267">
        <v>1</v>
      </c>
      <c r="F50" s="267" t="s">
        <v>944</v>
      </c>
      <c r="G50" s="267" t="s">
        <v>3926</v>
      </c>
      <c r="H50" s="267" t="s">
        <v>4018</v>
      </c>
      <c r="I50" s="267" t="s">
        <v>4019</v>
      </c>
      <c r="J50" s="267" t="s">
        <v>3928</v>
      </c>
      <c r="K50" s="267">
        <v>6708</v>
      </c>
      <c r="L50" s="267">
        <v>351800</v>
      </c>
      <c r="M50" s="267" t="s">
        <v>3940</v>
      </c>
      <c r="N50" s="267" t="s">
        <v>3944</v>
      </c>
      <c r="O50" s="267">
        <v>1082.6199999999999</v>
      </c>
      <c r="P50" s="267" t="s">
        <v>3944</v>
      </c>
      <c r="Q50" s="267" t="s">
        <v>3944</v>
      </c>
      <c r="R50" s="267">
        <v>1082.6199999999999</v>
      </c>
      <c r="S50" s="267">
        <v>16573.13</v>
      </c>
      <c r="T50" s="267">
        <v>17655.75</v>
      </c>
      <c r="U50" s="268" t="s">
        <v>3945</v>
      </c>
      <c r="V50" s="267" t="s">
        <v>944</v>
      </c>
    </row>
    <row r="51" spans="1:22" hidden="1" x14ac:dyDescent="0.25">
      <c r="A51" s="269">
        <v>43468</v>
      </c>
      <c r="B51" s="270">
        <v>2019</v>
      </c>
      <c r="C51" s="270">
        <v>2019</v>
      </c>
      <c r="D51" s="270">
        <v>1</v>
      </c>
      <c r="E51" s="270">
        <v>1</v>
      </c>
      <c r="F51" s="270" t="s">
        <v>944</v>
      </c>
      <c r="G51" s="270" t="s">
        <v>3926</v>
      </c>
      <c r="H51" s="270" t="s">
        <v>4020</v>
      </c>
      <c r="I51" s="270" t="s">
        <v>3968</v>
      </c>
      <c r="J51" s="270" t="s">
        <v>3928</v>
      </c>
      <c r="K51" s="270">
        <v>6042</v>
      </c>
      <c r="L51" s="270">
        <v>514101</v>
      </c>
      <c r="M51" s="270" t="s">
        <v>3960</v>
      </c>
      <c r="N51" s="270" t="s">
        <v>3944</v>
      </c>
      <c r="O51" s="270">
        <v>1149.82</v>
      </c>
      <c r="P51" s="270" t="s">
        <v>3944</v>
      </c>
      <c r="Q51" s="270" t="s">
        <v>3944</v>
      </c>
      <c r="R51" s="270">
        <v>1149.82</v>
      </c>
      <c r="S51" s="270">
        <v>15142.88</v>
      </c>
      <c r="T51" s="270">
        <v>16292.7</v>
      </c>
      <c r="U51" s="271" t="s">
        <v>3945</v>
      </c>
      <c r="V51" s="267" t="s">
        <v>944</v>
      </c>
    </row>
    <row r="52" spans="1:22" x14ac:dyDescent="0.25">
      <c r="A52" s="266">
        <v>43468</v>
      </c>
      <c r="B52" s="267">
        <v>2019</v>
      </c>
      <c r="C52" s="267">
        <v>2019</v>
      </c>
      <c r="D52" s="267">
        <v>1</v>
      </c>
      <c r="E52" s="267">
        <v>1</v>
      </c>
      <c r="F52" s="267" t="s">
        <v>944</v>
      </c>
      <c r="G52" s="267" t="s">
        <v>3926</v>
      </c>
      <c r="H52" s="267" t="s">
        <v>4021</v>
      </c>
      <c r="I52" s="267" t="s">
        <v>943</v>
      </c>
      <c r="J52" s="267" t="s">
        <v>3928</v>
      </c>
      <c r="K52" s="267">
        <v>6519</v>
      </c>
      <c r="L52" s="267">
        <v>140500</v>
      </c>
      <c r="M52" s="267">
        <v>-60</v>
      </c>
      <c r="N52" s="267" t="s">
        <v>3944</v>
      </c>
      <c r="O52" s="267">
        <v>1227.17</v>
      </c>
      <c r="P52" s="267" t="s">
        <v>3944</v>
      </c>
      <c r="Q52" s="267" t="s">
        <v>3944</v>
      </c>
      <c r="R52" s="267">
        <v>1227.17</v>
      </c>
      <c r="S52" s="267">
        <v>16230.13</v>
      </c>
      <c r="T52" s="267">
        <v>17457.3</v>
      </c>
      <c r="U52" s="268" t="s">
        <v>3945</v>
      </c>
      <c r="V52" s="276" t="s">
        <v>936</v>
      </c>
    </row>
    <row r="53" spans="1:22" hidden="1" x14ac:dyDescent="0.25">
      <c r="A53" s="269">
        <v>43468</v>
      </c>
      <c r="B53" s="270">
        <v>2019</v>
      </c>
      <c r="C53" s="270">
        <v>2019</v>
      </c>
      <c r="D53" s="270">
        <v>1</v>
      </c>
      <c r="E53" s="270">
        <v>1</v>
      </c>
      <c r="F53" s="270" t="s">
        <v>944</v>
      </c>
      <c r="G53" s="270" t="s">
        <v>3926</v>
      </c>
      <c r="H53" s="270" t="s">
        <v>4022</v>
      </c>
      <c r="I53" s="270" t="s">
        <v>950</v>
      </c>
      <c r="J53" s="270" t="s">
        <v>3928</v>
      </c>
      <c r="K53" s="270">
        <v>6516</v>
      </c>
      <c r="L53" s="270">
        <v>155000</v>
      </c>
      <c r="M53" s="270" t="s">
        <v>3940</v>
      </c>
      <c r="N53" s="270" t="s">
        <v>3944</v>
      </c>
      <c r="O53" s="270">
        <v>881.86</v>
      </c>
      <c r="P53" s="270" t="s">
        <v>3944</v>
      </c>
      <c r="Q53" s="270" t="s">
        <v>3944</v>
      </c>
      <c r="R53" s="270">
        <v>881.86</v>
      </c>
      <c r="S53" s="270">
        <v>12660.32</v>
      </c>
      <c r="T53" s="270">
        <v>13542.18</v>
      </c>
      <c r="U53" s="271" t="s">
        <v>3945</v>
      </c>
      <c r="V53" s="267" t="s">
        <v>944</v>
      </c>
    </row>
    <row r="54" spans="1:22" hidden="1" x14ac:dyDescent="0.25">
      <c r="A54" s="266">
        <v>43468</v>
      </c>
      <c r="B54" s="267">
        <v>2019</v>
      </c>
      <c r="C54" s="267">
        <v>2019</v>
      </c>
      <c r="D54" s="267">
        <v>1</v>
      </c>
      <c r="E54" s="267">
        <v>1</v>
      </c>
      <c r="F54" s="267" t="s">
        <v>944</v>
      </c>
      <c r="G54" s="267" t="s">
        <v>3926</v>
      </c>
      <c r="H54" s="267" t="s">
        <v>4023</v>
      </c>
      <c r="I54" s="267" t="s">
        <v>3962</v>
      </c>
      <c r="J54" s="267" t="s">
        <v>3928</v>
      </c>
      <c r="K54" s="267">
        <v>6379</v>
      </c>
      <c r="L54" s="267">
        <v>705101</v>
      </c>
      <c r="M54" s="267" t="s">
        <v>3935</v>
      </c>
      <c r="N54" s="267" t="s">
        <v>3944</v>
      </c>
      <c r="O54" s="267">
        <v>1576.23</v>
      </c>
      <c r="P54" s="267" t="s">
        <v>3944</v>
      </c>
      <c r="Q54" s="267" t="s">
        <v>3944</v>
      </c>
      <c r="R54" s="267">
        <v>1576.23</v>
      </c>
      <c r="S54" s="267">
        <v>23662.13</v>
      </c>
      <c r="T54" s="267">
        <v>25238.36</v>
      </c>
      <c r="U54" s="268" t="s">
        <v>3945</v>
      </c>
      <c r="V54" s="267" t="s">
        <v>944</v>
      </c>
    </row>
    <row r="55" spans="1:22" hidden="1" x14ac:dyDescent="0.25">
      <c r="A55" s="269">
        <v>43468</v>
      </c>
      <c r="B55" s="270">
        <v>2019</v>
      </c>
      <c r="C55" s="270">
        <v>2019</v>
      </c>
      <c r="D55" s="270">
        <v>1</v>
      </c>
      <c r="E55" s="270">
        <v>1</v>
      </c>
      <c r="F55" s="270" t="s">
        <v>944</v>
      </c>
      <c r="G55" s="270" t="s">
        <v>3926</v>
      </c>
      <c r="H55" s="270" t="s">
        <v>4024</v>
      </c>
      <c r="I55" s="270" t="s">
        <v>950</v>
      </c>
      <c r="J55" s="270" t="s">
        <v>3928</v>
      </c>
      <c r="K55" s="270">
        <v>6516</v>
      </c>
      <c r="L55" s="270">
        <v>361500</v>
      </c>
      <c r="M55" s="270" t="s">
        <v>3940</v>
      </c>
      <c r="N55" s="270" t="s">
        <v>3944</v>
      </c>
      <c r="O55" s="270">
        <v>514.54</v>
      </c>
      <c r="P55" s="270" t="s">
        <v>3944</v>
      </c>
      <c r="Q55" s="270" t="s">
        <v>3944</v>
      </c>
      <c r="R55" s="270">
        <v>514.54</v>
      </c>
      <c r="S55" s="270">
        <v>9767.31</v>
      </c>
      <c r="T55" s="270">
        <v>10281.85</v>
      </c>
      <c r="U55" s="271" t="s">
        <v>3945</v>
      </c>
      <c r="V55" s="267" t="s">
        <v>944</v>
      </c>
    </row>
    <row r="56" spans="1:22" hidden="1" x14ac:dyDescent="0.25">
      <c r="A56" s="266">
        <v>43468</v>
      </c>
      <c r="B56" s="267">
        <v>2019</v>
      </c>
      <c r="C56" s="267">
        <v>2019</v>
      </c>
      <c r="D56" s="267">
        <v>1</v>
      </c>
      <c r="E56" s="267">
        <v>1</v>
      </c>
      <c r="F56" s="267" t="s">
        <v>944</v>
      </c>
      <c r="G56" s="267" t="s">
        <v>3926</v>
      </c>
      <c r="H56" s="267" t="s">
        <v>4025</v>
      </c>
      <c r="I56" s="267" t="s">
        <v>3954</v>
      </c>
      <c r="J56" s="267" t="s">
        <v>3928</v>
      </c>
      <c r="K56" s="267">
        <v>6333</v>
      </c>
      <c r="L56" s="267">
        <v>716102</v>
      </c>
      <c r="M56" s="267" t="s">
        <v>3943</v>
      </c>
      <c r="N56" s="267" t="s">
        <v>3944</v>
      </c>
      <c r="O56" s="267">
        <v>1937.92</v>
      </c>
      <c r="P56" s="267" t="s">
        <v>3944</v>
      </c>
      <c r="Q56" s="267" t="s">
        <v>3944</v>
      </c>
      <c r="R56" s="267">
        <v>1937.92</v>
      </c>
      <c r="S56" s="267">
        <v>28413.39</v>
      </c>
      <c r="T56" s="267">
        <v>30351.31</v>
      </c>
      <c r="U56" s="268" t="s">
        <v>3945</v>
      </c>
      <c r="V56" s="267" t="s">
        <v>944</v>
      </c>
    </row>
    <row r="57" spans="1:22" hidden="1" x14ac:dyDescent="0.25">
      <c r="A57" s="269">
        <v>43468</v>
      </c>
      <c r="B57" s="270">
        <v>2019</v>
      </c>
      <c r="C57" s="270">
        <v>2019</v>
      </c>
      <c r="D57" s="270">
        <v>1</v>
      </c>
      <c r="E57" s="270">
        <v>1</v>
      </c>
      <c r="F57" s="270" t="s">
        <v>944</v>
      </c>
      <c r="G57" s="270" t="s">
        <v>3926</v>
      </c>
      <c r="H57" s="270" t="s">
        <v>4026</v>
      </c>
      <c r="I57" s="270" t="s">
        <v>3968</v>
      </c>
      <c r="J57" s="270" t="s">
        <v>3928</v>
      </c>
      <c r="K57" s="270">
        <v>6040</v>
      </c>
      <c r="L57" s="270">
        <v>514400</v>
      </c>
      <c r="M57" s="270" t="s">
        <v>3940</v>
      </c>
      <c r="N57" s="270" t="s">
        <v>3944</v>
      </c>
      <c r="O57" s="270">
        <v>1247.3</v>
      </c>
      <c r="P57" s="270" t="s">
        <v>3944</v>
      </c>
      <c r="Q57" s="270" t="s">
        <v>3944</v>
      </c>
      <c r="R57" s="270">
        <v>1247.3</v>
      </c>
      <c r="S57" s="270">
        <v>15432.6</v>
      </c>
      <c r="T57" s="270">
        <v>16679.900000000001</v>
      </c>
      <c r="U57" s="271" t="s">
        <v>3945</v>
      </c>
      <c r="V57" s="267" t="s">
        <v>944</v>
      </c>
    </row>
    <row r="58" spans="1:22" hidden="1" x14ac:dyDescent="0.25">
      <c r="A58" s="266">
        <v>43468</v>
      </c>
      <c r="B58" s="267">
        <v>2019</v>
      </c>
      <c r="C58" s="267">
        <v>2019</v>
      </c>
      <c r="D58" s="267">
        <v>1</v>
      </c>
      <c r="E58" s="267">
        <v>1</v>
      </c>
      <c r="F58" s="267" t="s">
        <v>944</v>
      </c>
      <c r="G58" s="267" t="s">
        <v>3926</v>
      </c>
      <c r="H58" s="267" t="s">
        <v>4027</v>
      </c>
      <c r="I58" s="267" t="s">
        <v>4016</v>
      </c>
      <c r="J58" s="267" t="s">
        <v>3928</v>
      </c>
      <c r="K58" s="267">
        <v>6770</v>
      </c>
      <c r="L58" s="267">
        <v>345400</v>
      </c>
      <c r="M58" s="267" t="s">
        <v>3935</v>
      </c>
      <c r="N58" s="267" t="s">
        <v>3944</v>
      </c>
      <c r="O58" s="267">
        <v>913.78</v>
      </c>
      <c r="P58" s="267" t="s">
        <v>3944</v>
      </c>
      <c r="Q58" s="267" t="s">
        <v>3944</v>
      </c>
      <c r="R58" s="267">
        <v>913.78</v>
      </c>
      <c r="S58" s="267">
        <v>12793.21</v>
      </c>
      <c r="T58" s="267">
        <v>13706.99</v>
      </c>
      <c r="U58" s="268" t="s">
        <v>3945</v>
      </c>
      <c r="V58" s="267" t="s">
        <v>944</v>
      </c>
    </row>
    <row r="59" spans="1:22" hidden="1" x14ac:dyDescent="0.25">
      <c r="A59" s="269">
        <v>43468</v>
      </c>
      <c r="B59" s="270">
        <v>2019</v>
      </c>
      <c r="C59" s="270">
        <v>2019</v>
      </c>
      <c r="D59" s="270">
        <v>1</v>
      </c>
      <c r="E59" s="270">
        <v>1</v>
      </c>
      <c r="F59" s="270" t="s">
        <v>944</v>
      </c>
      <c r="G59" s="270" t="s">
        <v>3926</v>
      </c>
      <c r="H59" s="270" t="s">
        <v>4028</v>
      </c>
      <c r="I59" s="270" t="s">
        <v>4029</v>
      </c>
      <c r="J59" s="270" t="s">
        <v>3928</v>
      </c>
      <c r="K59" s="270">
        <v>6854</v>
      </c>
      <c r="L59" s="270">
        <v>43900</v>
      </c>
      <c r="M59" s="270" t="s">
        <v>3960</v>
      </c>
      <c r="N59" s="270" t="s">
        <v>3944</v>
      </c>
      <c r="O59" s="270">
        <v>1391.64</v>
      </c>
      <c r="P59" s="270" t="s">
        <v>3944</v>
      </c>
      <c r="Q59" s="270" t="s">
        <v>3944</v>
      </c>
      <c r="R59" s="270">
        <v>1391.64</v>
      </c>
      <c r="S59" s="270">
        <v>23609.279999999999</v>
      </c>
      <c r="T59" s="270">
        <v>25000.92</v>
      </c>
      <c r="U59" s="271" t="s">
        <v>3945</v>
      </c>
      <c r="V59" s="267" t="s">
        <v>944</v>
      </c>
    </row>
    <row r="60" spans="1:22" hidden="1" x14ac:dyDescent="0.25">
      <c r="A60" s="266">
        <v>43468</v>
      </c>
      <c r="B60" s="267">
        <v>2019</v>
      </c>
      <c r="C60" s="267">
        <v>2019</v>
      </c>
      <c r="D60" s="267">
        <v>1</v>
      </c>
      <c r="E60" s="267">
        <v>1</v>
      </c>
      <c r="F60" s="267" t="s">
        <v>944</v>
      </c>
      <c r="G60" s="267" t="s">
        <v>3926</v>
      </c>
      <c r="H60" s="267" t="s">
        <v>4030</v>
      </c>
      <c r="I60" s="267" t="s">
        <v>4031</v>
      </c>
      <c r="J60" s="267" t="s">
        <v>3928</v>
      </c>
      <c r="K60" s="267">
        <v>6254</v>
      </c>
      <c r="L60" s="267">
        <v>712100</v>
      </c>
      <c r="M60" s="267" t="s">
        <v>3960</v>
      </c>
      <c r="N60" s="267" t="s">
        <v>3944</v>
      </c>
      <c r="O60" s="267">
        <v>2331.56</v>
      </c>
      <c r="P60" s="267" t="s">
        <v>3944</v>
      </c>
      <c r="Q60" s="267" t="s">
        <v>3944</v>
      </c>
      <c r="R60" s="267">
        <v>2331.56</v>
      </c>
      <c r="S60" s="267">
        <v>34366.769999999997</v>
      </c>
      <c r="T60" s="267">
        <v>36698.33</v>
      </c>
      <c r="U60" s="268" t="s">
        <v>3945</v>
      </c>
      <c r="V60" s="267" t="s">
        <v>944</v>
      </c>
    </row>
    <row r="61" spans="1:22" hidden="1" x14ac:dyDescent="0.25">
      <c r="A61" s="269">
        <v>43468</v>
      </c>
      <c r="B61" s="270">
        <v>2019</v>
      </c>
      <c r="C61" s="270">
        <v>2019</v>
      </c>
      <c r="D61" s="270">
        <v>1</v>
      </c>
      <c r="E61" s="270">
        <v>1</v>
      </c>
      <c r="F61" s="270" t="s">
        <v>944</v>
      </c>
      <c r="G61" s="270" t="s">
        <v>3926</v>
      </c>
      <c r="H61" s="270" t="s">
        <v>4032</v>
      </c>
      <c r="I61" s="270" t="s">
        <v>3956</v>
      </c>
      <c r="J61" s="270" t="s">
        <v>3928</v>
      </c>
      <c r="K61" s="270">
        <v>6106</v>
      </c>
      <c r="L61" s="270">
        <v>524700</v>
      </c>
      <c r="M61" s="270" t="s">
        <v>3935</v>
      </c>
      <c r="N61" s="270" t="s">
        <v>3944</v>
      </c>
      <c r="O61" s="270">
        <v>779</v>
      </c>
      <c r="P61" s="270" t="s">
        <v>3944</v>
      </c>
      <c r="Q61" s="270" t="s">
        <v>3944</v>
      </c>
      <c r="R61" s="270">
        <v>779</v>
      </c>
      <c r="S61" s="270">
        <v>10632.13</v>
      </c>
      <c r="T61" s="270">
        <v>11411.13</v>
      </c>
      <c r="U61" s="271" t="s">
        <v>3945</v>
      </c>
      <c r="V61" s="267" t="s">
        <v>944</v>
      </c>
    </row>
    <row r="62" spans="1:22" hidden="1" x14ac:dyDescent="0.25">
      <c r="A62" s="266">
        <v>43468</v>
      </c>
      <c r="B62" s="267">
        <v>2019</v>
      </c>
      <c r="C62" s="267">
        <v>2019</v>
      </c>
      <c r="D62" s="267">
        <v>1</v>
      </c>
      <c r="E62" s="267">
        <v>1</v>
      </c>
      <c r="F62" s="267" t="s">
        <v>944</v>
      </c>
      <c r="G62" s="267" t="s">
        <v>3926</v>
      </c>
      <c r="H62" s="267" t="s">
        <v>4033</v>
      </c>
      <c r="I62" s="267" t="s">
        <v>3956</v>
      </c>
      <c r="J62" s="267" t="s">
        <v>3928</v>
      </c>
      <c r="K62" s="267">
        <v>6114</v>
      </c>
      <c r="L62" s="267">
        <v>502300</v>
      </c>
      <c r="M62" s="267">
        <v>-60</v>
      </c>
      <c r="N62" s="267" t="s">
        <v>3944</v>
      </c>
      <c r="O62" s="267">
        <v>1123.68</v>
      </c>
      <c r="P62" s="267" t="s">
        <v>3944</v>
      </c>
      <c r="Q62" s="267" t="s">
        <v>3944</v>
      </c>
      <c r="R62" s="267">
        <v>1123.68</v>
      </c>
      <c r="S62" s="267">
        <v>15393.85</v>
      </c>
      <c r="T62" s="267">
        <v>16517.53</v>
      </c>
      <c r="U62" s="268" t="s">
        <v>3945</v>
      </c>
      <c r="V62" s="267" t="s">
        <v>944</v>
      </c>
    </row>
    <row r="63" spans="1:22" hidden="1" x14ac:dyDescent="0.25">
      <c r="A63" s="269">
        <v>43468</v>
      </c>
      <c r="B63" s="270">
        <v>2019</v>
      </c>
      <c r="C63" s="270">
        <v>2019</v>
      </c>
      <c r="D63" s="270">
        <v>1</v>
      </c>
      <c r="E63" s="270">
        <v>1</v>
      </c>
      <c r="F63" s="270" t="s">
        <v>944</v>
      </c>
      <c r="G63" s="270" t="s">
        <v>3926</v>
      </c>
      <c r="H63" s="270" t="s">
        <v>4034</v>
      </c>
      <c r="I63" s="270" t="s">
        <v>4035</v>
      </c>
      <c r="J63" s="270" t="s">
        <v>3928</v>
      </c>
      <c r="K63" s="270">
        <v>6074</v>
      </c>
      <c r="L63" s="270">
        <v>487201</v>
      </c>
      <c r="M63" s="270" t="s">
        <v>3943</v>
      </c>
      <c r="N63" s="270" t="s">
        <v>3944</v>
      </c>
      <c r="O63" s="270">
        <v>2726.85</v>
      </c>
      <c r="P63" s="270" t="s">
        <v>3944</v>
      </c>
      <c r="Q63" s="270" t="s">
        <v>3944</v>
      </c>
      <c r="R63" s="270">
        <v>2726.85</v>
      </c>
      <c r="S63" s="270">
        <v>36508.589999999997</v>
      </c>
      <c r="T63" s="270">
        <v>39235.440000000002</v>
      </c>
      <c r="U63" s="271" t="s">
        <v>3945</v>
      </c>
      <c r="V63" s="267" t="s">
        <v>944</v>
      </c>
    </row>
    <row r="64" spans="1:22" hidden="1" x14ac:dyDescent="0.25">
      <c r="A64" s="266">
        <v>43468</v>
      </c>
      <c r="B64" s="267">
        <v>2019</v>
      </c>
      <c r="C64" s="267">
        <v>2019</v>
      </c>
      <c r="D64" s="267">
        <v>1</v>
      </c>
      <c r="E64" s="267">
        <v>1</v>
      </c>
      <c r="F64" s="267" t="s">
        <v>944</v>
      </c>
      <c r="G64" s="267" t="s">
        <v>3926</v>
      </c>
      <c r="H64" s="267" t="s">
        <v>4036</v>
      </c>
      <c r="I64" s="267" t="s">
        <v>4037</v>
      </c>
      <c r="J64" s="267" t="s">
        <v>3928</v>
      </c>
      <c r="K64" s="267">
        <v>6810</v>
      </c>
      <c r="L64" s="267">
        <v>210300</v>
      </c>
      <c r="M64" s="267" t="s">
        <v>3940</v>
      </c>
      <c r="N64" s="267" t="s">
        <v>3944</v>
      </c>
      <c r="O64" s="267">
        <v>2578.56</v>
      </c>
      <c r="P64" s="267" t="s">
        <v>3944</v>
      </c>
      <c r="Q64" s="267" t="s">
        <v>3944</v>
      </c>
      <c r="R64" s="267">
        <v>2578.56</v>
      </c>
      <c r="S64" s="267">
        <v>40131.360000000001</v>
      </c>
      <c r="T64" s="267">
        <v>42709.919999999998</v>
      </c>
      <c r="U64" s="268" t="s">
        <v>3945</v>
      </c>
      <c r="V64" s="267" t="s">
        <v>944</v>
      </c>
    </row>
    <row r="65" spans="1:22" hidden="1" x14ac:dyDescent="0.25">
      <c r="A65" s="269">
        <v>43468</v>
      </c>
      <c r="B65" s="270">
        <v>2019</v>
      </c>
      <c r="C65" s="270">
        <v>2019</v>
      </c>
      <c r="D65" s="270">
        <v>1</v>
      </c>
      <c r="E65" s="270">
        <v>1</v>
      </c>
      <c r="F65" s="270" t="s">
        <v>944</v>
      </c>
      <c r="G65" s="270" t="s">
        <v>3926</v>
      </c>
      <c r="H65" s="270" t="s">
        <v>4038</v>
      </c>
      <c r="I65" s="270" t="s">
        <v>4019</v>
      </c>
      <c r="J65" s="270" t="s">
        <v>3928</v>
      </c>
      <c r="K65" s="270">
        <v>6708</v>
      </c>
      <c r="L65" s="270">
        <v>352000</v>
      </c>
      <c r="M65" s="270" t="s">
        <v>3935</v>
      </c>
      <c r="N65" s="270" t="s">
        <v>3944</v>
      </c>
      <c r="O65" s="270">
        <v>4241.8599999999997</v>
      </c>
      <c r="P65" s="270" t="s">
        <v>3944</v>
      </c>
      <c r="Q65" s="270" t="s">
        <v>3944</v>
      </c>
      <c r="R65" s="270">
        <v>4241.8599999999997</v>
      </c>
      <c r="S65" s="270">
        <v>61798.83</v>
      </c>
      <c r="T65" s="270">
        <v>66040.69</v>
      </c>
      <c r="U65" s="271" t="s">
        <v>3945</v>
      </c>
      <c r="V65" s="267" t="s">
        <v>944</v>
      </c>
    </row>
    <row r="66" spans="1:22" hidden="1" x14ac:dyDescent="0.25">
      <c r="A66" s="266">
        <v>43468</v>
      </c>
      <c r="B66" s="267">
        <v>2019</v>
      </c>
      <c r="C66" s="267">
        <v>2019</v>
      </c>
      <c r="D66" s="267">
        <v>1</v>
      </c>
      <c r="E66" s="267">
        <v>1</v>
      </c>
      <c r="F66" s="267" t="s">
        <v>944</v>
      </c>
      <c r="G66" s="267" t="s">
        <v>3926</v>
      </c>
      <c r="H66" s="267" t="s">
        <v>4039</v>
      </c>
      <c r="I66" s="267" t="s">
        <v>4040</v>
      </c>
      <c r="J66" s="267" t="s">
        <v>3928</v>
      </c>
      <c r="K66" s="267">
        <v>6339</v>
      </c>
      <c r="L66" s="267">
        <v>701200</v>
      </c>
      <c r="M66" s="267" t="s">
        <v>3960</v>
      </c>
      <c r="N66" s="267" t="s">
        <v>3944</v>
      </c>
      <c r="O66" s="267">
        <v>1867.81</v>
      </c>
      <c r="P66" s="267" t="s">
        <v>3944</v>
      </c>
      <c r="Q66" s="267" t="s">
        <v>3944</v>
      </c>
      <c r="R66" s="267">
        <v>1867.81</v>
      </c>
      <c r="S66" s="267">
        <v>27126.92</v>
      </c>
      <c r="T66" s="267">
        <v>28994.73</v>
      </c>
      <c r="U66" s="268" t="s">
        <v>3945</v>
      </c>
      <c r="V66" s="267" t="s">
        <v>944</v>
      </c>
    </row>
    <row r="67" spans="1:22" hidden="1" x14ac:dyDescent="0.25">
      <c r="A67" s="269">
        <v>43468</v>
      </c>
      <c r="B67" s="270">
        <v>2019</v>
      </c>
      <c r="C67" s="270">
        <v>2019</v>
      </c>
      <c r="D67" s="270">
        <v>1</v>
      </c>
      <c r="E67" s="270">
        <v>1</v>
      </c>
      <c r="F67" s="270" t="s">
        <v>944</v>
      </c>
      <c r="G67" s="270" t="s">
        <v>3926</v>
      </c>
      <c r="H67" s="270" t="s">
        <v>4041</v>
      </c>
      <c r="I67" s="270" t="s">
        <v>4042</v>
      </c>
      <c r="J67" s="270" t="s">
        <v>3928</v>
      </c>
      <c r="K67" s="270">
        <v>6370</v>
      </c>
      <c r="L67" s="270">
        <v>695201</v>
      </c>
      <c r="M67" s="270" t="s">
        <v>3935</v>
      </c>
      <c r="N67" s="270" t="s">
        <v>3944</v>
      </c>
      <c r="O67" s="270">
        <v>1839.6</v>
      </c>
      <c r="P67" s="270" t="s">
        <v>3944</v>
      </c>
      <c r="Q67" s="270" t="s">
        <v>3944</v>
      </c>
      <c r="R67" s="270">
        <v>1839.6</v>
      </c>
      <c r="S67" s="270">
        <v>26037.95</v>
      </c>
      <c r="T67" s="270">
        <v>27877.55</v>
      </c>
      <c r="U67" s="271" t="s">
        <v>3945</v>
      </c>
      <c r="V67" s="267" t="s">
        <v>944</v>
      </c>
    </row>
    <row r="68" spans="1:22" hidden="1" x14ac:dyDescent="0.25">
      <c r="A68" s="266">
        <v>43468</v>
      </c>
      <c r="B68" s="267">
        <v>2019</v>
      </c>
      <c r="C68" s="267">
        <v>2019</v>
      </c>
      <c r="D68" s="267">
        <v>1</v>
      </c>
      <c r="E68" s="267">
        <v>1</v>
      </c>
      <c r="F68" s="267" t="s">
        <v>944</v>
      </c>
      <c r="G68" s="267" t="s">
        <v>3926</v>
      </c>
      <c r="H68" s="267" t="s">
        <v>4043</v>
      </c>
      <c r="I68" s="267" t="s">
        <v>3025</v>
      </c>
      <c r="J68" s="267" t="s">
        <v>3928</v>
      </c>
      <c r="K68" s="267">
        <v>6473</v>
      </c>
      <c r="L68" s="267">
        <v>167202</v>
      </c>
      <c r="M68" s="267" t="s">
        <v>3935</v>
      </c>
      <c r="N68" s="267" t="s">
        <v>3944</v>
      </c>
      <c r="O68" s="267">
        <v>2565.29</v>
      </c>
      <c r="P68" s="267" t="s">
        <v>3944</v>
      </c>
      <c r="Q68" s="267" t="s">
        <v>3944</v>
      </c>
      <c r="R68" s="267">
        <v>2565.29</v>
      </c>
      <c r="S68" s="267">
        <v>35287.96</v>
      </c>
      <c r="T68" s="267">
        <v>37853.25</v>
      </c>
      <c r="U68" s="268" t="s">
        <v>3945</v>
      </c>
      <c r="V68" s="267" t="s">
        <v>944</v>
      </c>
    </row>
    <row r="69" spans="1:22" hidden="1" x14ac:dyDescent="0.25">
      <c r="A69" s="269">
        <v>43468</v>
      </c>
      <c r="B69" s="270">
        <v>2019</v>
      </c>
      <c r="C69" s="270">
        <v>2019</v>
      </c>
      <c r="D69" s="270">
        <v>1</v>
      </c>
      <c r="E69" s="270">
        <v>1</v>
      </c>
      <c r="F69" s="270" t="s">
        <v>944</v>
      </c>
      <c r="G69" s="270" t="s">
        <v>3926</v>
      </c>
      <c r="H69" s="270" t="s">
        <v>4044</v>
      </c>
      <c r="I69" s="270" t="s">
        <v>3939</v>
      </c>
      <c r="J69" s="270" t="s">
        <v>3928</v>
      </c>
      <c r="K69" s="270">
        <v>6513</v>
      </c>
      <c r="L69" s="270">
        <v>180500</v>
      </c>
      <c r="M69" s="270" t="s">
        <v>3935</v>
      </c>
      <c r="N69" s="270" t="s">
        <v>3944</v>
      </c>
      <c r="O69" s="270">
        <v>1887.52</v>
      </c>
      <c r="P69" s="270" t="s">
        <v>3944</v>
      </c>
      <c r="Q69" s="270" t="s">
        <v>3944</v>
      </c>
      <c r="R69" s="270">
        <v>1887.52</v>
      </c>
      <c r="S69" s="270">
        <v>31100.29</v>
      </c>
      <c r="T69" s="270">
        <v>32987.81</v>
      </c>
      <c r="U69" s="271" t="s">
        <v>3945</v>
      </c>
      <c r="V69" s="267" t="s">
        <v>944</v>
      </c>
    </row>
    <row r="70" spans="1:22" hidden="1" x14ac:dyDescent="0.25">
      <c r="A70" s="266">
        <v>43468</v>
      </c>
      <c r="B70" s="267">
        <v>2019</v>
      </c>
      <c r="C70" s="267">
        <v>2019</v>
      </c>
      <c r="D70" s="267">
        <v>1</v>
      </c>
      <c r="E70" s="267">
        <v>1</v>
      </c>
      <c r="F70" s="267" t="s">
        <v>944</v>
      </c>
      <c r="G70" s="267" t="s">
        <v>3926</v>
      </c>
      <c r="H70" s="267" t="s">
        <v>4045</v>
      </c>
      <c r="I70" s="267" t="s">
        <v>4046</v>
      </c>
      <c r="J70" s="267" t="s">
        <v>3928</v>
      </c>
      <c r="K70" s="267">
        <v>6281</v>
      </c>
      <c r="L70" s="267">
        <v>901100</v>
      </c>
      <c r="M70" s="267" t="s">
        <v>3960</v>
      </c>
      <c r="N70" s="267" t="s">
        <v>3944</v>
      </c>
      <c r="O70" s="267">
        <v>936.39</v>
      </c>
      <c r="P70" s="267" t="s">
        <v>3944</v>
      </c>
      <c r="Q70" s="267" t="s">
        <v>3944</v>
      </c>
      <c r="R70" s="267">
        <v>936.39</v>
      </c>
      <c r="S70" s="267">
        <v>12807.68</v>
      </c>
      <c r="T70" s="267">
        <v>13744.07</v>
      </c>
      <c r="U70" s="268" t="s">
        <v>3945</v>
      </c>
      <c r="V70" s="267" t="s">
        <v>944</v>
      </c>
    </row>
    <row r="71" spans="1:22" hidden="1" x14ac:dyDescent="0.25">
      <c r="A71" s="269">
        <v>43468</v>
      </c>
      <c r="B71" s="270">
        <v>2019</v>
      </c>
      <c r="C71" s="270">
        <v>2019</v>
      </c>
      <c r="D71" s="270">
        <v>1</v>
      </c>
      <c r="E71" s="270">
        <v>1</v>
      </c>
      <c r="F71" s="270" t="s">
        <v>944</v>
      </c>
      <c r="G71" s="270" t="s">
        <v>3926</v>
      </c>
      <c r="H71" s="270" t="s">
        <v>4047</v>
      </c>
      <c r="I71" s="270" t="s">
        <v>3939</v>
      </c>
      <c r="J71" s="270" t="s">
        <v>3928</v>
      </c>
      <c r="K71" s="270">
        <v>6512</v>
      </c>
      <c r="L71" s="270">
        <v>180200</v>
      </c>
      <c r="M71" s="270" t="s">
        <v>3940</v>
      </c>
      <c r="N71" s="270" t="s">
        <v>3944</v>
      </c>
      <c r="O71" s="270">
        <v>1442.25</v>
      </c>
      <c r="P71" s="270" t="s">
        <v>3944</v>
      </c>
      <c r="Q71" s="270" t="s">
        <v>3944</v>
      </c>
      <c r="R71" s="270">
        <v>1442.25</v>
      </c>
      <c r="S71" s="270">
        <v>22408.5</v>
      </c>
      <c r="T71" s="270">
        <v>23850.75</v>
      </c>
      <c r="U71" s="271" t="s">
        <v>3945</v>
      </c>
      <c r="V71" s="267" t="s">
        <v>944</v>
      </c>
    </row>
    <row r="72" spans="1:22" hidden="1" x14ac:dyDescent="0.25">
      <c r="A72" s="266">
        <v>43469</v>
      </c>
      <c r="B72" s="267">
        <v>2019</v>
      </c>
      <c r="C72" s="267">
        <v>2019</v>
      </c>
      <c r="D72" s="267">
        <v>1</v>
      </c>
      <c r="E72" s="267">
        <v>1</v>
      </c>
      <c r="F72" s="267" t="s">
        <v>944</v>
      </c>
      <c r="G72" s="267" t="s">
        <v>3926</v>
      </c>
      <c r="H72" s="267" t="s">
        <v>4048</v>
      </c>
      <c r="I72" s="267" t="s">
        <v>3975</v>
      </c>
      <c r="J72" s="267" t="s">
        <v>3928</v>
      </c>
      <c r="K72" s="267">
        <v>6489</v>
      </c>
      <c r="L72" s="267">
        <v>430301</v>
      </c>
      <c r="M72" s="267" t="s">
        <v>3943</v>
      </c>
      <c r="N72" s="267" t="s">
        <v>4049</v>
      </c>
      <c r="O72" s="267">
        <v>0</v>
      </c>
      <c r="P72" s="267" t="s">
        <v>3930</v>
      </c>
      <c r="Q72" s="267" t="s">
        <v>3930</v>
      </c>
      <c r="R72" s="267">
        <v>0</v>
      </c>
      <c r="S72" s="267">
        <v>5360</v>
      </c>
      <c r="T72" s="267">
        <v>5360</v>
      </c>
      <c r="U72" s="268" t="s">
        <v>3937</v>
      </c>
      <c r="V72" s="267" t="s">
        <v>944</v>
      </c>
    </row>
    <row r="73" spans="1:22" hidden="1" x14ac:dyDescent="0.25">
      <c r="A73" s="269">
        <v>43469</v>
      </c>
      <c r="B73" s="270">
        <v>2019</v>
      </c>
      <c r="C73" s="270">
        <v>2019</v>
      </c>
      <c r="D73" s="270">
        <v>1</v>
      </c>
      <c r="E73" s="270">
        <v>1</v>
      </c>
      <c r="F73" s="270" t="s">
        <v>944</v>
      </c>
      <c r="G73" s="270" t="s">
        <v>3926</v>
      </c>
      <c r="H73" s="270" t="s">
        <v>4050</v>
      </c>
      <c r="I73" s="270" t="s">
        <v>4037</v>
      </c>
      <c r="J73" s="270" t="s">
        <v>3928</v>
      </c>
      <c r="K73" s="270">
        <v>6811</v>
      </c>
      <c r="L73" s="270">
        <v>210900</v>
      </c>
      <c r="M73" s="270" t="s">
        <v>3943</v>
      </c>
      <c r="N73" s="270" t="s">
        <v>4051</v>
      </c>
      <c r="O73" s="270">
        <v>0</v>
      </c>
      <c r="P73" s="270" t="s">
        <v>3930</v>
      </c>
      <c r="Q73" s="270" t="s">
        <v>3930</v>
      </c>
      <c r="R73" s="270">
        <v>0</v>
      </c>
      <c r="S73" s="270">
        <v>7450</v>
      </c>
      <c r="T73" s="270">
        <v>7450</v>
      </c>
      <c r="U73" s="271" t="s">
        <v>3937</v>
      </c>
      <c r="V73" s="267" t="s">
        <v>944</v>
      </c>
    </row>
    <row r="74" spans="1:22" hidden="1" x14ac:dyDescent="0.25">
      <c r="A74" s="266">
        <v>43469</v>
      </c>
      <c r="B74" s="267">
        <v>2019</v>
      </c>
      <c r="C74" s="267">
        <v>2019</v>
      </c>
      <c r="D74" s="267">
        <v>1</v>
      </c>
      <c r="E74" s="267">
        <v>1</v>
      </c>
      <c r="F74" s="267" t="s">
        <v>944</v>
      </c>
      <c r="G74" s="267" t="s">
        <v>3926</v>
      </c>
      <c r="H74" s="267" t="s">
        <v>4052</v>
      </c>
      <c r="I74" s="267" t="s">
        <v>934</v>
      </c>
      <c r="J74" s="267" t="s">
        <v>3928</v>
      </c>
      <c r="K74" s="267">
        <v>6610</v>
      </c>
      <c r="L74" s="267">
        <v>73000</v>
      </c>
      <c r="M74" s="267" t="s">
        <v>3960</v>
      </c>
      <c r="N74" s="267" t="s">
        <v>4053</v>
      </c>
      <c r="O74" s="267">
        <v>2449.42</v>
      </c>
      <c r="P74" s="267" t="s">
        <v>3930</v>
      </c>
      <c r="Q74" s="267" t="s">
        <v>3931</v>
      </c>
      <c r="R74" s="267">
        <v>7449.42</v>
      </c>
      <c r="S74" s="267">
        <v>18603.2</v>
      </c>
      <c r="T74" s="267">
        <v>26052.62</v>
      </c>
      <c r="U74" s="268" t="s">
        <v>3932</v>
      </c>
      <c r="V74" s="267" t="s">
        <v>944</v>
      </c>
    </row>
    <row r="75" spans="1:22" hidden="1" x14ac:dyDescent="0.25">
      <c r="A75" s="269">
        <v>43469</v>
      </c>
      <c r="B75" s="270">
        <v>2019</v>
      </c>
      <c r="C75" s="270">
        <v>2019</v>
      </c>
      <c r="D75" s="270">
        <v>1</v>
      </c>
      <c r="E75" s="270">
        <v>1</v>
      </c>
      <c r="F75" s="270" t="s">
        <v>944</v>
      </c>
      <c r="G75" s="270" t="s">
        <v>3926</v>
      </c>
      <c r="H75" s="270" t="s">
        <v>4054</v>
      </c>
      <c r="I75" s="270" t="s">
        <v>4055</v>
      </c>
      <c r="J75" s="270" t="s">
        <v>3928</v>
      </c>
      <c r="K75" s="270">
        <v>6092</v>
      </c>
      <c r="L75" s="270">
        <v>466202</v>
      </c>
      <c r="M75" s="270" t="s">
        <v>3943</v>
      </c>
      <c r="N75" s="270" t="s">
        <v>4056</v>
      </c>
      <c r="O75" s="270">
        <v>0</v>
      </c>
      <c r="P75" s="270" t="s">
        <v>3930</v>
      </c>
      <c r="Q75" s="270" t="s">
        <v>3930</v>
      </c>
      <c r="R75" s="270">
        <v>0</v>
      </c>
      <c r="S75" s="270">
        <v>11278</v>
      </c>
      <c r="T75" s="270">
        <v>11278</v>
      </c>
      <c r="U75" s="271" t="s">
        <v>3937</v>
      </c>
      <c r="V75" s="267" t="s">
        <v>944</v>
      </c>
    </row>
    <row r="76" spans="1:22" hidden="1" x14ac:dyDescent="0.25">
      <c r="A76" s="266">
        <v>43469</v>
      </c>
      <c r="B76" s="267">
        <v>2019</v>
      </c>
      <c r="C76" s="267">
        <v>2019</v>
      </c>
      <c r="D76" s="267">
        <v>1</v>
      </c>
      <c r="E76" s="267">
        <v>1</v>
      </c>
      <c r="F76" s="267" t="s">
        <v>944</v>
      </c>
      <c r="G76" s="267" t="s">
        <v>3926</v>
      </c>
      <c r="H76" s="267" t="s">
        <v>4057</v>
      </c>
      <c r="I76" s="267" t="s">
        <v>3939</v>
      </c>
      <c r="J76" s="267" t="s">
        <v>3928</v>
      </c>
      <c r="K76" s="267">
        <v>6512</v>
      </c>
      <c r="L76" s="267">
        <v>180100</v>
      </c>
      <c r="M76" s="267" t="s">
        <v>3940</v>
      </c>
      <c r="N76" s="267" t="s">
        <v>4058</v>
      </c>
      <c r="O76" s="267">
        <v>0</v>
      </c>
      <c r="P76" s="267" t="s">
        <v>3930</v>
      </c>
      <c r="Q76" s="267" t="s">
        <v>3930</v>
      </c>
      <c r="R76" s="267">
        <v>0</v>
      </c>
      <c r="S76" s="267">
        <v>15155</v>
      </c>
      <c r="T76" s="267">
        <v>15155</v>
      </c>
      <c r="U76" s="268" t="s">
        <v>3937</v>
      </c>
      <c r="V76" s="267" t="s">
        <v>944</v>
      </c>
    </row>
    <row r="77" spans="1:22" hidden="1" x14ac:dyDescent="0.25">
      <c r="A77" s="269">
        <v>43469</v>
      </c>
      <c r="B77" s="270">
        <v>2019</v>
      </c>
      <c r="C77" s="270">
        <v>2019</v>
      </c>
      <c r="D77" s="270">
        <v>1</v>
      </c>
      <c r="E77" s="270">
        <v>1</v>
      </c>
      <c r="F77" s="270" t="s">
        <v>944</v>
      </c>
      <c r="G77" s="270" t="s">
        <v>3926</v>
      </c>
      <c r="H77" s="270" t="s">
        <v>4059</v>
      </c>
      <c r="I77" s="270" t="s">
        <v>3985</v>
      </c>
      <c r="J77" s="270" t="s">
        <v>3928</v>
      </c>
      <c r="K77" s="270">
        <v>6226</v>
      </c>
      <c r="L77" s="270">
        <v>800700</v>
      </c>
      <c r="M77" s="270">
        <v>-60</v>
      </c>
      <c r="N77" s="270" t="s">
        <v>4060</v>
      </c>
      <c r="O77" s="270">
        <v>1077</v>
      </c>
      <c r="P77" s="270" t="s">
        <v>3930</v>
      </c>
      <c r="Q77" s="270" t="s">
        <v>3930</v>
      </c>
      <c r="R77" s="270">
        <v>1077</v>
      </c>
      <c r="S77" s="270">
        <v>11432</v>
      </c>
      <c r="T77" s="270">
        <v>12509</v>
      </c>
      <c r="U77" s="271" t="s">
        <v>3937</v>
      </c>
      <c r="V77" s="267" t="s">
        <v>944</v>
      </c>
    </row>
    <row r="78" spans="1:22" hidden="1" x14ac:dyDescent="0.25">
      <c r="A78" s="266">
        <v>43469</v>
      </c>
      <c r="B78" s="267">
        <v>2019</v>
      </c>
      <c r="C78" s="267">
        <v>2019</v>
      </c>
      <c r="D78" s="267">
        <v>1</v>
      </c>
      <c r="E78" s="267">
        <v>1</v>
      </c>
      <c r="F78" s="267" t="s">
        <v>944</v>
      </c>
      <c r="G78" s="267" t="s">
        <v>3926</v>
      </c>
      <c r="H78" s="267" t="s">
        <v>4061</v>
      </c>
      <c r="I78" s="267" t="s">
        <v>4062</v>
      </c>
      <c r="J78" s="267" t="s">
        <v>3928</v>
      </c>
      <c r="K78" s="267">
        <v>6763</v>
      </c>
      <c r="L78" s="267">
        <v>303100</v>
      </c>
      <c r="M78" s="267" t="s">
        <v>3960</v>
      </c>
      <c r="N78" s="267" t="s">
        <v>3944</v>
      </c>
      <c r="O78" s="267">
        <v>3194</v>
      </c>
      <c r="P78" s="267" t="s">
        <v>3944</v>
      </c>
      <c r="Q78" s="267" t="s">
        <v>3944</v>
      </c>
      <c r="R78" s="267">
        <v>3194</v>
      </c>
      <c r="S78" s="267">
        <v>32182</v>
      </c>
      <c r="T78" s="267">
        <v>35376</v>
      </c>
      <c r="U78" s="268" t="s">
        <v>3945</v>
      </c>
      <c r="V78" s="267" t="s">
        <v>944</v>
      </c>
    </row>
    <row r="79" spans="1:22" hidden="1" x14ac:dyDescent="0.25">
      <c r="A79" s="269">
        <v>43469</v>
      </c>
      <c r="B79" s="270">
        <v>2019</v>
      </c>
      <c r="C79" s="270">
        <v>2019</v>
      </c>
      <c r="D79" s="270">
        <v>1</v>
      </c>
      <c r="E79" s="270">
        <v>1</v>
      </c>
      <c r="F79" s="270" t="s">
        <v>944</v>
      </c>
      <c r="G79" s="270" t="s">
        <v>3926</v>
      </c>
      <c r="H79" s="270" t="s">
        <v>4063</v>
      </c>
      <c r="I79" s="270" t="s">
        <v>3996</v>
      </c>
      <c r="J79" s="270" t="s">
        <v>3928</v>
      </c>
      <c r="K79" s="270">
        <v>6790</v>
      </c>
      <c r="L79" s="270">
        <v>310400</v>
      </c>
      <c r="M79" s="270" t="s">
        <v>3935</v>
      </c>
      <c r="N79" s="270" t="s">
        <v>3944</v>
      </c>
      <c r="O79" s="270">
        <v>1046.75</v>
      </c>
      <c r="P79" s="270" t="s">
        <v>3944</v>
      </c>
      <c r="Q79" s="270" t="s">
        <v>3944</v>
      </c>
      <c r="R79" s="270">
        <v>1046.75</v>
      </c>
      <c r="S79" s="270">
        <v>19767.93</v>
      </c>
      <c r="T79" s="270">
        <v>20814.68</v>
      </c>
      <c r="U79" s="271" t="s">
        <v>3945</v>
      </c>
      <c r="V79" s="267" t="s">
        <v>944</v>
      </c>
    </row>
    <row r="80" spans="1:22" hidden="1" x14ac:dyDescent="0.25">
      <c r="A80" s="266">
        <v>43469</v>
      </c>
      <c r="B80" s="267">
        <v>2019</v>
      </c>
      <c r="C80" s="267">
        <v>2019</v>
      </c>
      <c r="D80" s="267">
        <v>1</v>
      </c>
      <c r="E80" s="267">
        <v>1</v>
      </c>
      <c r="F80" s="267" t="s">
        <v>944</v>
      </c>
      <c r="G80" s="267" t="s">
        <v>3926</v>
      </c>
      <c r="H80" s="267" t="s">
        <v>4064</v>
      </c>
      <c r="I80" s="267" t="s">
        <v>4065</v>
      </c>
      <c r="J80" s="267" t="s">
        <v>3928</v>
      </c>
      <c r="K80" s="267">
        <v>6480</v>
      </c>
      <c r="L80" s="267">
        <v>560100</v>
      </c>
      <c r="M80" s="267" t="s">
        <v>3943</v>
      </c>
      <c r="N80" s="267" t="s">
        <v>3944</v>
      </c>
      <c r="O80" s="267">
        <v>2269.75</v>
      </c>
      <c r="P80" s="267" t="s">
        <v>3944</v>
      </c>
      <c r="Q80" s="267" t="s">
        <v>3944</v>
      </c>
      <c r="R80" s="267">
        <v>2269.75</v>
      </c>
      <c r="S80" s="267">
        <v>37643.25</v>
      </c>
      <c r="T80" s="267">
        <v>39913</v>
      </c>
      <c r="U80" s="268" t="s">
        <v>3945</v>
      </c>
      <c r="V80" s="267" t="s">
        <v>944</v>
      </c>
    </row>
    <row r="81" spans="1:22" hidden="1" x14ac:dyDescent="0.25">
      <c r="A81" s="269">
        <v>43469</v>
      </c>
      <c r="B81" s="270">
        <v>2019</v>
      </c>
      <c r="C81" s="270">
        <v>2019</v>
      </c>
      <c r="D81" s="270">
        <v>1</v>
      </c>
      <c r="E81" s="270">
        <v>1</v>
      </c>
      <c r="F81" s="270" t="s">
        <v>944</v>
      </c>
      <c r="G81" s="270" t="s">
        <v>3926</v>
      </c>
      <c r="H81" s="270" t="s">
        <v>4066</v>
      </c>
      <c r="I81" s="270" t="s">
        <v>953</v>
      </c>
      <c r="J81" s="270" t="s">
        <v>3928</v>
      </c>
      <c r="K81" s="270">
        <v>6514</v>
      </c>
      <c r="L81" s="270">
        <v>165801</v>
      </c>
      <c r="M81" s="270" t="s">
        <v>3935</v>
      </c>
      <c r="N81" s="270" t="s">
        <v>3944</v>
      </c>
      <c r="O81" s="270">
        <v>1455.09</v>
      </c>
      <c r="P81" s="270" t="s">
        <v>3944</v>
      </c>
      <c r="Q81" s="270" t="s">
        <v>3944</v>
      </c>
      <c r="R81" s="270">
        <v>1455.09</v>
      </c>
      <c r="S81" s="270">
        <v>23545.83</v>
      </c>
      <c r="T81" s="270">
        <v>25000.92</v>
      </c>
      <c r="U81" s="271" t="s">
        <v>3945</v>
      </c>
      <c r="V81" s="267" t="s">
        <v>944</v>
      </c>
    </row>
    <row r="82" spans="1:22" hidden="1" x14ac:dyDescent="0.25">
      <c r="A82" s="266">
        <v>43469</v>
      </c>
      <c r="B82" s="267">
        <v>2019</v>
      </c>
      <c r="C82" s="267">
        <v>2019</v>
      </c>
      <c r="D82" s="267">
        <v>1</v>
      </c>
      <c r="E82" s="267">
        <v>1</v>
      </c>
      <c r="F82" s="267" t="s">
        <v>944</v>
      </c>
      <c r="G82" s="267" t="s">
        <v>3926</v>
      </c>
      <c r="H82" s="267" t="s">
        <v>4067</v>
      </c>
      <c r="I82" s="267" t="s">
        <v>950</v>
      </c>
      <c r="J82" s="267" t="s">
        <v>3928</v>
      </c>
      <c r="K82" s="267">
        <v>6477</v>
      </c>
      <c r="L82" s="267">
        <v>157100</v>
      </c>
      <c r="M82" s="267" t="s">
        <v>3940</v>
      </c>
      <c r="N82" s="267" t="s">
        <v>3944</v>
      </c>
      <c r="O82" s="267">
        <v>1268.8599999999999</v>
      </c>
      <c r="P82" s="267" t="s">
        <v>3944</v>
      </c>
      <c r="Q82" s="267" t="s">
        <v>3944</v>
      </c>
      <c r="R82" s="267">
        <v>1268.8599999999999</v>
      </c>
      <c r="S82" s="267">
        <v>25604.94</v>
      </c>
      <c r="T82" s="267">
        <v>26873.8</v>
      </c>
      <c r="U82" s="268" t="s">
        <v>3945</v>
      </c>
      <c r="V82" s="267" t="s">
        <v>944</v>
      </c>
    </row>
    <row r="83" spans="1:22" hidden="1" x14ac:dyDescent="0.25">
      <c r="A83" s="269">
        <v>43469</v>
      </c>
      <c r="B83" s="270">
        <v>2019</v>
      </c>
      <c r="C83" s="270">
        <v>2019</v>
      </c>
      <c r="D83" s="270">
        <v>1</v>
      </c>
      <c r="E83" s="270">
        <v>1</v>
      </c>
      <c r="F83" s="270" t="s">
        <v>944</v>
      </c>
      <c r="G83" s="270" t="s">
        <v>3926</v>
      </c>
      <c r="H83" s="270" t="s">
        <v>4068</v>
      </c>
      <c r="I83" s="270" t="s">
        <v>4069</v>
      </c>
      <c r="J83" s="270" t="s">
        <v>3928</v>
      </c>
      <c r="K83" s="270">
        <v>6903</v>
      </c>
      <c r="L83" s="270">
        <v>20200</v>
      </c>
      <c r="M83" s="270" t="s">
        <v>3943</v>
      </c>
      <c r="N83" s="270" t="s">
        <v>3944</v>
      </c>
      <c r="O83" s="270">
        <v>2700.5</v>
      </c>
      <c r="P83" s="270" t="s">
        <v>3944</v>
      </c>
      <c r="Q83" s="270" t="s">
        <v>3944</v>
      </c>
      <c r="R83" s="270">
        <v>2700.5</v>
      </c>
      <c r="S83" s="270">
        <v>40348.089999999997</v>
      </c>
      <c r="T83" s="270">
        <v>43048.59</v>
      </c>
      <c r="U83" s="271" t="s">
        <v>3945</v>
      </c>
      <c r="V83" s="267" t="s">
        <v>944</v>
      </c>
    </row>
    <row r="84" spans="1:22" hidden="1" x14ac:dyDescent="0.25">
      <c r="A84" s="266">
        <v>43469</v>
      </c>
      <c r="B84" s="267">
        <v>2019</v>
      </c>
      <c r="C84" s="267">
        <v>2019</v>
      </c>
      <c r="D84" s="267">
        <v>1</v>
      </c>
      <c r="E84" s="267">
        <v>1</v>
      </c>
      <c r="F84" s="267" t="s">
        <v>944</v>
      </c>
      <c r="G84" s="267" t="s">
        <v>3926</v>
      </c>
      <c r="H84" s="267" t="s">
        <v>4070</v>
      </c>
      <c r="I84" s="267" t="s">
        <v>4042</v>
      </c>
      <c r="J84" s="267" t="s">
        <v>3928</v>
      </c>
      <c r="K84" s="267">
        <v>6382</v>
      </c>
      <c r="L84" s="267">
        <v>695201</v>
      </c>
      <c r="M84" s="267" t="s">
        <v>3935</v>
      </c>
      <c r="N84" s="267" t="s">
        <v>3944</v>
      </c>
      <c r="O84" s="267">
        <v>2529.42</v>
      </c>
      <c r="P84" s="267" t="s">
        <v>3944</v>
      </c>
      <c r="Q84" s="267" t="s">
        <v>3944</v>
      </c>
      <c r="R84" s="267">
        <v>2529.42</v>
      </c>
      <c r="S84" s="267">
        <v>44727.9</v>
      </c>
      <c r="T84" s="267">
        <v>47257.32</v>
      </c>
      <c r="U84" s="268" t="s">
        <v>3945</v>
      </c>
      <c r="V84" s="267" t="s">
        <v>944</v>
      </c>
    </row>
    <row r="85" spans="1:22" hidden="1" x14ac:dyDescent="0.25">
      <c r="A85" s="269">
        <v>43469</v>
      </c>
      <c r="B85" s="270">
        <v>2019</v>
      </c>
      <c r="C85" s="270">
        <v>2019</v>
      </c>
      <c r="D85" s="270">
        <v>1</v>
      </c>
      <c r="E85" s="270">
        <v>1</v>
      </c>
      <c r="F85" s="270" t="s">
        <v>944</v>
      </c>
      <c r="G85" s="270" t="s">
        <v>3926</v>
      </c>
      <c r="H85" s="270" t="s">
        <v>4071</v>
      </c>
      <c r="I85" s="270" t="s">
        <v>4019</v>
      </c>
      <c r="J85" s="270" t="s">
        <v>3928</v>
      </c>
      <c r="K85" s="270">
        <v>6705</v>
      </c>
      <c r="L85" s="270">
        <v>352702</v>
      </c>
      <c r="M85" s="270" t="s">
        <v>3940</v>
      </c>
      <c r="N85" s="270" t="s">
        <v>3944</v>
      </c>
      <c r="O85" s="270">
        <v>2115.44</v>
      </c>
      <c r="P85" s="270" t="s">
        <v>3944</v>
      </c>
      <c r="Q85" s="270" t="s">
        <v>3944</v>
      </c>
      <c r="R85" s="270">
        <v>2115.44</v>
      </c>
      <c r="S85" s="270">
        <v>31772.26</v>
      </c>
      <c r="T85" s="270">
        <v>33887.699999999997</v>
      </c>
      <c r="U85" s="271" t="s">
        <v>3945</v>
      </c>
      <c r="V85" s="267" t="s">
        <v>944</v>
      </c>
    </row>
    <row r="86" spans="1:22" hidden="1" x14ac:dyDescent="0.25">
      <c r="A86" s="266">
        <v>43469</v>
      </c>
      <c r="B86" s="267">
        <v>2019</v>
      </c>
      <c r="C86" s="267">
        <v>2019</v>
      </c>
      <c r="D86" s="267">
        <v>1</v>
      </c>
      <c r="E86" s="267">
        <v>1</v>
      </c>
      <c r="F86" s="267" t="s">
        <v>944</v>
      </c>
      <c r="G86" s="267" t="s">
        <v>3926</v>
      </c>
      <c r="H86" s="267" t="s">
        <v>4072</v>
      </c>
      <c r="I86" s="267" t="s">
        <v>4073</v>
      </c>
      <c r="J86" s="267" t="s">
        <v>3928</v>
      </c>
      <c r="K86" s="267">
        <v>6776</v>
      </c>
      <c r="L86" s="267">
        <v>253200</v>
      </c>
      <c r="M86" s="267" t="s">
        <v>3960</v>
      </c>
      <c r="N86" s="267" t="s">
        <v>3944</v>
      </c>
      <c r="O86" s="267">
        <v>2628.54</v>
      </c>
      <c r="P86" s="267" t="s">
        <v>3944</v>
      </c>
      <c r="Q86" s="267" t="s">
        <v>3944</v>
      </c>
      <c r="R86" s="267">
        <v>2628.54</v>
      </c>
      <c r="S86" s="267">
        <v>39347.99</v>
      </c>
      <c r="T86" s="267">
        <v>41976.53</v>
      </c>
      <c r="U86" s="268" t="s">
        <v>3945</v>
      </c>
      <c r="V86" s="267" t="s">
        <v>944</v>
      </c>
    </row>
    <row r="87" spans="1:22" x14ac:dyDescent="0.25">
      <c r="A87" s="269">
        <v>43469</v>
      </c>
      <c r="B87" s="270">
        <v>2019</v>
      </c>
      <c r="C87" s="270">
        <v>2019</v>
      </c>
      <c r="D87" s="270">
        <v>1</v>
      </c>
      <c r="E87" s="270">
        <v>1</v>
      </c>
      <c r="F87" s="270" t="s">
        <v>944</v>
      </c>
      <c r="G87" s="270" t="s">
        <v>3926</v>
      </c>
      <c r="H87" s="270" t="s">
        <v>4074</v>
      </c>
      <c r="I87" s="270" t="s">
        <v>3010</v>
      </c>
      <c r="J87" s="270" t="s">
        <v>3928</v>
      </c>
      <c r="K87" s="270">
        <v>6401</v>
      </c>
      <c r="L87" s="270">
        <v>125300</v>
      </c>
      <c r="M87" s="270" t="s">
        <v>3940</v>
      </c>
      <c r="N87" s="270" t="s">
        <v>3944</v>
      </c>
      <c r="O87" s="270">
        <v>1265.32</v>
      </c>
      <c r="P87" s="270" t="s">
        <v>3944</v>
      </c>
      <c r="Q87" s="270" t="s">
        <v>3944</v>
      </c>
      <c r="R87" s="270">
        <v>1265.32</v>
      </c>
      <c r="S87" s="270">
        <v>29241.1</v>
      </c>
      <c r="T87" s="270">
        <v>30506.42</v>
      </c>
      <c r="U87" s="271" t="s">
        <v>3945</v>
      </c>
      <c r="V87" s="276" t="s">
        <v>936</v>
      </c>
    </row>
    <row r="88" spans="1:22" hidden="1" x14ac:dyDescent="0.25">
      <c r="A88" s="266">
        <v>43469</v>
      </c>
      <c r="B88" s="267">
        <v>2019</v>
      </c>
      <c r="C88" s="267">
        <v>2019</v>
      </c>
      <c r="D88" s="267">
        <v>1</v>
      </c>
      <c r="E88" s="267">
        <v>1</v>
      </c>
      <c r="F88" s="267" t="s">
        <v>944</v>
      </c>
      <c r="G88" s="267" t="s">
        <v>3926</v>
      </c>
      <c r="H88" s="267" t="s">
        <v>4075</v>
      </c>
      <c r="I88" s="267" t="s">
        <v>3962</v>
      </c>
      <c r="J88" s="267" t="s">
        <v>3928</v>
      </c>
      <c r="K88" s="267">
        <v>6379</v>
      </c>
      <c r="L88" s="267">
        <v>705101</v>
      </c>
      <c r="M88" s="267" t="s">
        <v>3935</v>
      </c>
      <c r="N88" s="267" t="s">
        <v>3944</v>
      </c>
      <c r="O88" s="267">
        <v>1297.8699999999999</v>
      </c>
      <c r="P88" s="267" t="s">
        <v>3944</v>
      </c>
      <c r="Q88" s="267" t="s">
        <v>3944</v>
      </c>
      <c r="R88" s="267">
        <v>1297.8699999999999</v>
      </c>
      <c r="S88" s="267">
        <v>20099.169999999998</v>
      </c>
      <c r="T88" s="267">
        <v>21397.040000000001</v>
      </c>
      <c r="U88" s="268" t="s">
        <v>3945</v>
      </c>
      <c r="V88" s="267" t="s">
        <v>944</v>
      </c>
    </row>
    <row r="89" spans="1:22" hidden="1" x14ac:dyDescent="0.25">
      <c r="A89" s="269">
        <v>43469</v>
      </c>
      <c r="B89" s="270">
        <v>2019</v>
      </c>
      <c r="C89" s="270">
        <v>2019</v>
      </c>
      <c r="D89" s="270">
        <v>1</v>
      </c>
      <c r="E89" s="270">
        <v>1</v>
      </c>
      <c r="F89" s="270" t="s">
        <v>944</v>
      </c>
      <c r="G89" s="270" t="s">
        <v>3926</v>
      </c>
      <c r="H89" s="270" t="s">
        <v>4076</v>
      </c>
      <c r="I89" s="270" t="s">
        <v>4019</v>
      </c>
      <c r="J89" s="270" t="s">
        <v>3928</v>
      </c>
      <c r="K89" s="270">
        <v>6704</v>
      </c>
      <c r="L89" s="270">
        <v>352400</v>
      </c>
      <c r="M89" s="270">
        <v>-60</v>
      </c>
      <c r="N89" s="270" t="s">
        <v>3944</v>
      </c>
      <c r="O89" s="270">
        <v>2850.26</v>
      </c>
      <c r="P89" s="270" t="s">
        <v>3944</v>
      </c>
      <c r="Q89" s="270" t="s">
        <v>3944</v>
      </c>
      <c r="R89" s="270">
        <v>2850.26</v>
      </c>
      <c r="S89" s="270">
        <v>53660.97</v>
      </c>
      <c r="T89" s="270">
        <v>56511.23</v>
      </c>
      <c r="U89" s="271" t="s">
        <v>3945</v>
      </c>
      <c r="V89" s="267" t="s">
        <v>944</v>
      </c>
    </row>
    <row r="90" spans="1:22" hidden="1" x14ac:dyDescent="0.25">
      <c r="A90" s="266">
        <v>43469</v>
      </c>
      <c r="B90" s="267">
        <v>2019</v>
      </c>
      <c r="C90" s="267">
        <v>2019</v>
      </c>
      <c r="D90" s="267">
        <v>1</v>
      </c>
      <c r="E90" s="267">
        <v>1</v>
      </c>
      <c r="F90" s="267" t="s">
        <v>944</v>
      </c>
      <c r="G90" s="267" t="s">
        <v>3926</v>
      </c>
      <c r="H90" s="267" t="s">
        <v>4077</v>
      </c>
      <c r="I90" s="267" t="s">
        <v>934</v>
      </c>
      <c r="J90" s="267" t="s">
        <v>3928</v>
      </c>
      <c r="K90" s="267">
        <v>6606</v>
      </c>
      <c r="L90" s="267">
        <v>72900</v>
      </c>
      <c r="M90" s="267" t="s">
        <v>3940</v>
      </c>
      <c r="N90" s="267" t="s">
        <v>3944</v>
      </c>
      <c r="O90" s="267">
        <v>1476.86</v>
      </c>
      <c r="P90" s="267" t="s">
        <v>3944</v>
      </c>
      <c r="Q90" s="267" t="s">
        <v>3944</v>
      </c>
      <c r="R90" s="267">
        <v>1476.86</v>
      </c>
      <c r="S90" s="267">
        <v>29596.46</v>
      </c>
      <c r="T90" s="267">
        <v>31073.32</v>
      </c>
      <c r="U90" s="268" t="s">
        <v>3945</v>
      </c>
      <c r="V90" s="267" t="s">
        <v>944</v>
      </c>
    </row>
    <row r="91" spans="1:22" hidden="1" x14ac:dyDescent="0.25">
      <c r="A91" s="269">
        <v>43469</v>
      </c>
      <c r="B91" s="270">
        <v>2019</v>
      </c>
      <c r="C91" s="270">
        <v>2019</v>
      </c>
      <c r="D91" s="270">
        <v>1</v>
      </c>
      <c r="E91" s="270">
        <v>1</v>
      </c>
      <c r="F91" s="270" t="s">
        <v>944</v>
      </c>
      <c r="G91" s="270" t="s">
        <v>3926</v>
      </c>
      <c r="H91" s="270" t="s">
        <v>4078</v>
      </c>
      <c r="I91" s="270" t="s">
        <v>4079</v>
      </c>
      <c r="J91" s="270" t="s">
        <v>3928</v>
      </c>
      <c r="K91" s="270">
        <v>6111</v>
      </c>
      <c r="L91" s="270">
        <v>494500</v>
      </c>
      <c r="M91" s="270" t="s">
        <v>3960</v>
      </c>
      <c r="N91" s="270" t="s">
        <v>3944</v>
      </c>
      <c r="O91" s="270">
        <v>1439.94</v>
      </c>
      <c r="P91" s="270" t="s">
        <v>3944</v>
      </c>
      <c r="Q91" s="270" t="s">
        <v>3944</v>
      </c>
      <c r="R91" s="270">
        <v>1439.94</v>
      </c>
      <c r="S91" s="270">
        <v>25060.71</v>
      </c>
      <c r="T91" s="270">
        <v>26500.65</v>
      </c>
      <c r="U91" s="271" t="s">
        <v>3945</v>
      </c>
      <c r="V91" s="267" t="s">
        <v>944</v>
      </c>
    </row>
    <row r="92" spans="1:22" hidden="1" x14ac:dyDescent="0.25">
      <c r="A92" s="266">
        <v>43469</v>
      </c>
      <c r="B92" s="267">
        <v>2019</v>
      </c>
      <c r="C92" s="267">
        <v>2019</v>
      </c>
      <c r="D92" s="267">
        <v>1</v>
      </c>
      <c r="E92" s="267">
        <v>1</v>
      </c>
      <c r="F92" s="267" t="s">
        <v>944</v>
      </c>
      <c r="G92" s="267" t="s">
        <v>3926</v>
      </c>
      <c r="H92" s="267" t="s">
        <v>4080</v>
      </c>
      <c r="I92" s="267" t="s">
        <v>4005</v>
      </c>
      <c r="J92" s="267" t="s">
        <v>3928</v>
      </c>
      <c r="K92" s="267">
        <v>6108</v>
      </c>
      <c r="L92" s="267">
        <v>510300</v>
      </c>
      <c r="M92" s="267" t="s">
        <v>3940</v>
      </c>
      <c r="N92" s="267" t="s">
        <v>3944</v>
      </c>
      <c r="O92" s="267">
        <v>1089.03</v>
      </c>
      <c r="P92" s="267" t="s">
        <v>3944</v>
      </c>
      <c r="Q92" s="267" t="s">
        <v>3944</v>
      </c>
      <c r="R92" s="267">
        <v>1089.03</v>
      </c>
      <c r="S92" s="267">
        <v>22906.34</v>
      </c>
      <c r="T92" s="267">
        <v>23995.37</v>
      </c>
      <c r="U92" s="268" t="s">
        <v>3945</v>
      </c>
      <c r="V92" s="267" t="s">
        <v>944</v>
      </c>
    </row>
    <row r="93" spans="1:22" hidden="1" x14ac:dyDescent="0.25">
      <c r="A93" s="269">
        <v>43469</v>
      </c>
      <c r="B93" s="270">
        <v>2019</v>
      </c>
      <c r="C93" s="270">
        <v>2019</v>
      </c>
      <c r="D93" s="270">
        <v>1</v>
      </c>
      <c r="E93" s="270">
        <v>1</v>
      </c>
      <c r="F93" s="270" t="s">
        <v>944</v>
      </c>
      <c r="G93" s="270" t="s">
        <v>3926</v>
      </c>
      <c r="H93" s="270" t="s">
        <v>4081</v>
      </c>
      <c r="I93" s="270" t="s">
        <v>3026</v>
      </c>
      <c r="J93" s="270" t="s">
        <v>3928</v>
      </c>
      <c r="K93" s="270">
        <v>6471</v>
      </c>
      <c r="L93" s="270">
        <v>186100</v>
      </c>
      <c r="M93" s="270" t="s">
        <v>3935</v>
      </c>
      <c r="N93" s="270" t="s">
        <v>3944</v>
      </c>
      <c r="O93" s="270">
        <v>2227.02</v>
      </c>
      <c r="P93" s="270" t="s">
        <v>3944</v>
      </c>
      <c r="Q93" s="270" t="s">
        <v>3944</v>
      </c>
      <c r="R93" s="270">
        <v>2227.02</v>
      </c>
      <c r="S93" s="270">
        <v>59730.03</v>
      </c>
      <c r="T93" s="270">
        <v>61957.05</v>
      </c>
      <c r="U93" s="271" t="s">
        <v>3945</v>
      </c>
      <c r="V93" s="267" t="s">
        <v>944</v>
      </c>
    </row>
    <row r="94" spans="1:22" hidden="1" x14ac:dyDescent="0.25">
      <c r="A94" s="266">
        <v>43469</v>
      </c>
      <c r="B94" s="267">
        <v>2019</v>
      </c>
      <c r="C94" s="267">
        <v>2019</v>
      </c>
      <c r="D94" s="267">
        <v>1</v>
      </c>
      <c r="E94" s="267">
        <v>1</v>
      </c>
      <c r="F94" s="267" t="s">
        <v>944</v>
      </c>
      <c r="G94" s="267" t="s">
        <v>3926</v>
      </c>
      <c r="H94" s="267" t="s">
        <v>4082</v>
      </c>
      <c r="I94" s="267" t="s">
        <v>4019</v>
      </c>
      <c r="J94" s="267" t="s">
        <v>3928</v>
      </c>
      <c r="K94" s="267">
        <v>6704</v>
      </c>
      <c r="L94" s="267">
        <v>351000</v>
      </c>
      <c r="M94" s="267" t="s">
        <v>3940</v>
      </c>
      <c r="N94" s="267" t="s">
        <v>3944</v>
      </c>
      <c r="O94" s="267">
        <v>1221.99</v>
      </c>
      <c r="P94" s="267" t="s">
        <v>3944</v>
      </c>
      <c r="Q94" s="267" t="s">
        <v>3944</v>
      </c>
      <c r="R94" s="267">
        <v>1221.99</v>
      </c>
      <c r="S94" s="267">
        <v>22368.44</v>
      </c>
      <c r="T94" s="267">
        <v>23590.43</v>
      </c>
      <c r="U94" s="268" t="s">
        <v>3945</v>
      </c>
      <c r="V94" s="267" t="s">
        <v>944</v>
      </c>
    </row>
    <row r="95" spans="1:22" hidden="1" x14ac:dyDescent="0.25">
      <c r="A95" s="269">
        <v>43469</v>
      </c>
      <c r="B95" s="270">
        <v>2019</v>
      </c>
      <c r="C95" s="270">
        <v>2019</v>
      </c>
      <c r="D95" s="270">
        <v>1</v>
      </c>
      <c r="E95" s="270">
        <v>1</v>
      </c>
      <c r="F95" s="270" t="s">
        <v>944</v>
      </c>
      <c r="G95" s="270" t="s">
        <v>3926</v>
      </c>
      <c r="H95" s="270" t="s">
        <v>4083</v>
      </c>
      <c r="I95" s="270" t="s">
        <v>934</v>
      </c>
      <c r="J95" s="270" t="s">
        <v>3928</v>
      </c>
      <c r="K95" s="270">
        <v>6606</v>
      </c>
      <c r="L95" s="270">
        <v>72400</v>
      </c>
      <c r="M95" s="270" t="s">
        <v>3940</v>
      </c>
      <c r="N95" s="270" t="s">
        <v>3944</v>
      </c>
      <c r="O95" s="270">
        <v>1581.2</v>
      </c>
      <c r="P95" s="270" t="s">
        <v>3944</v>
      </c>
      <c r="Q95" s="270" t="s">
        <v>3944</v>
      </c>
      <c r="R95" s="270">
        <v>1581.2</v>
      </c>
      <c r="S95" s="270">
        <v>24338.799999999999</v>
      </c>
      <c r="T95" s="270">
        <v>25920</v>
      </c>
      <c r="U95" s="271" t="s">
        <v>3945</v>
      </c>
      <c r="V95" s="267" t="s">
        <v>944</v>
      </c>
    </row>
    <row r="96" spans="1:22" hidden="1" x14ac:dyDescent="0.25">
      <c r="A96" s="266">
        <v>43469</v>
      </c>
      <c r="B96" s="267">
        <v>2019</v>
      </c>
      <c r="C96" s="267">
        <v>2019</v>
      </c>
      <c r="D96" s="267">
        <v>1</v>
      </c>
      <c r="E96" s="267">
        <v>1</v>
      </c>
      <c r="F96" s="267" t="s">
        <v>944</v>
      </c>
      <c r="G96" s="267" t="s">
        <v>3926</v>
      </c>
      <c r="H96" s="267" t="s">
        <v>4084</v>
      </c>
      <c r="I96" s="267" t="s">
        <v>4085</v>
      </c>
      <c r="J96" s="267" t="s">
        <v>3928</v>
      </c>
      <c r="K96" s="267">
        <v>6351</v>
      </c>
      <c r="L96" s="267">
        <v>709100</v>
      </c>
      <c r="M96" s="267" t="s">
        <v>3935</v>
      </c>
      <c r="N96" s="267" t="s">
        <v>3944</v>
      </c>
      <c r="O96" s="267">
        <v>2065.04</v>
      </c>
      <c r="P96" s="267" t="s">
        <v>3944</v>
      </c>
      <c r="Q96" s="267" t="s">
        <v>3944</v>
      </c>
      <c r="R96" s="267">
        <v>2065.04</v>
      </c>
      <c r="S96" s="267">
        <v>32311.24</v>
      </c>
      <c r="T96" s="267">
        <v>34376.28</v>
      </c>
      <c r="U96" s="268" t="s">
        <v>3945</v>
      </c>
      <c r="V96" s="267" t="s">
        <v>944</v>
      </c>
    </row>
    <row r="97" spans="1:22" hidden="1" x14ac:dyDescent="0.25">
      <c r="A97" s="269">
        <v>43469</v>
      </c>
      <c r="B97" s="270">
        <v>2019</v>
      </c>
      <c r="C97" s="270">
        <v>2019</v>
      </c>
      <c r="D97" s="270">
        <v>1</v>
      </c>
      <c r="E97" s="270">
        <v>1</v>
      </c>
      <c r="F97" s="270" t="s">
        <v>944</v>
      </c>
      <c r="G97" s="270" t="s">
        <v>3926</v>
      </c>
      <c r="H97" s="270" t="s">
        <v>4086</v>
      </c>
      <c r="I97" s="270" t="s">
        <v>4087</v>
      </c>
      <c r="J97" s="270" t="s">
        <v>3928</v>
      </c>
      <c r="K97" s="270">
        <v>6355</v>
      </c>
      <c r="L97" s="270">
        <v>703000</v>
      </c>
      <c r="M97" s="270" t="s">
        <v>3960</v>
      </c>
      <c r="N97" s="270" t="s">
        <v>3944</v>
      </c>
      <c r="O97" s="270">
        <v>1999.73</v>
      </c>
      <c r="P97" s="270" t="s">
        <v>3944</v>
      </c>
      <c r="Q97" s="270" t="s">
        <v>3944</v>
      </c>
      <c r="R97" s="270">
        <v>1999.73</v>
      </c>
      <c r="S97" s="270">
        <v>36701.31</v>
      </c>
      <c r="T97" s="270">
        <v>38701.040000000001</v>
      </c>
      <c r="U97" s="271" t="s">
        <v>3945</v>
      </c>
      <c r="V97" s="267" t="s">
        <v>944</v>
      </c>
    </row>
    <row r="98" spans="1:22" hidden="1" x14ac:dyDescent="0.25">
      <c r="A98" s="266">
        <v>43469</v>
      </c>
      <c r="B98" s="267">
        <v>2019</v>
      </c>
      <c r="C98" s="267">
        <v>2019</v>
      </c>
      <c r="D98" s="267">
        <v>1</v>
      </c>
      <c r="E98" s="267">
        <v>1</v>
      </c>
      <c r="F98" s="267" t="s">
        <v>944</v>
      </c>
      <c r="G98" s="267" t="s">
        <v>3926</v>
      </c>
      <c r="H98" s="267" t="s">
        <v>4088</v>
      </c>
      <c r="I98" s="267" t="s">
        <v>4005</v>
      </c>
      <c r="J98" s="267" t="s">
        <v>3928</v>
      </c>
      <c r="K98" s="267">
        <v>6118</v>
      </c>
      <c r="L98" s="267">
        <v>510900</v>
      </c>
      <c r="M98" s="267" t="s">
        <v>3960</v>
      </c>
      <c r="N98" s="267" t="s">
        <v>3944</v>
      </c>
      <c r="O98" s="267">
        <v>1131.1300000000001</v>
      </c>
      <c r="P98" s="267" t="s">
        <v>3944</v>
      </c>
      <c r="Q98" s="267" t="s">
        <v>3944</v>
      </c>
      <c r="R98" s="267">
        <v>1131.1300000000001</v>
      </c>
      <c r="S98" s="267">
        <v>18694.27</v>
      </c>
      <c r="T98" s="267">
        <v>19825.400000000001</v>
      </c>
      <c r="U98" s="268" t="s">
        <v>3945</v>
      </c>
      <c r="V98" s="267" t="s">
        <v>944</v>
      </c>
    </row>
    <row r="99" spans="1:22" hidden="1" x14ac:dyDescent="0.25">
      <c r="A99" s="269">
        <v>43469</v>
      </c>
      <c r="B99" s="270">
        <v>2019</v>
      </c>
      <c r="C99" s="270">
        <v>2019</v>
      </c>
      <c r="D99" s="270">
        <v>1</v>
      </c>
      <c r="E99" s="270">
        <v>1</v>
      </c>
      <c r="F99" s="270" t="s">
        <v>944</v>
      </c>
      <c r="G99" s="270" t="s">
        <v>3926</v>
      </c>
      <c r="H99" s="270" t="s">
        <v>4089</v>
      </c>
      <c r="I99" s="270" t="s">
        <v>4046</v>
      </c>
      <c r="J99" s="270" t="s">
        <v>3928</v>
      </c>
      <c r="K99" s="270">
        <v>6281</v>
      </c>
      <c r="L99" s="270">
        <v>901100</v>
      </c>
      <c r="M99" s="270" t="s">
        <v>3960</v>
      </c>
      <c r="N99" s="270" t="s">
        <v>3944</v>
      </c>
      <c r="O99" s="270">
        <v>1149.6099999999999</v>
      </c>
      <c r="P99" s="270" t="s">
        <v>3944</v>
      </c>
      <c r="Q99" s="270" t="s">
        <v>3944</v>
      </c>
      <c r="R99" s="270">
        <v>1149.6099999999999</v>
      </c>
      <c r="S99" s="270">
        <v>25399.02</v>
      </c>
      <c r="T99" s="270">
        <v>26548.63</v>
      </c>
      <c r="U99" s="271" t="s">
        <v>3945</v>
      </c>
      <c r="V99" s="267" t="s">
        <v>944</v>
      </c>
    </row>
    <row r="100" spans="1:22" hidden="1" x14ac:dyDescent="0.25">
      <c r="A100" s="266">
        <v>43469</v>
      </c>
      <c r="B100" s="267">
        <v>2019</v>
      </c>
      <c r="C100" s="267">
        <v>2019</v>
      </c>
      <c r="D100" s="267">
        <v>1</v>
      </c>
      <c r="E100" s="267">
        <v>1</v>
      </c>
      <c r="F100" s="267" t="s">
        <v>944</v>
      </c>
      <c r="G100" s="267" t="s">
        <v>3926</v>
      </c>
      <c r="H100" s="267" t="s">
        <v>4090</v>
      </c>
      <c r="I100" s="267" t="s">
        <v>3996</v>
      </c>
      <c r="J100" s="267" t="s">
        <v>3928</v>
      </c>
      <c r="K100" s="267">
        <v>6790</v>
      </c>
      <c r="L100" s="267">
        <v>310601</v>
      </c>
      <c r="M100" s="267" t="s">
        <v>3960</v>
      </c>
      <c r="N100" s="267" t="s">
        <v>3944</v>
      </c>
      <c r="O100" s="267">
        <v>746.83</v>
      </c>
      <c r="P100" s="267" t="s">
        <v>3944</v>
      </c>
      <c r="Q100" s="267" t="s">
        <v>3944</v>
      </c>
      <c r="R100" s="267">
        <v>746.83</v>
      </c>
      <c r="S100" s="267">
        <v>15928.35</v>
      </c>
      <c r="T100" s="267">
        <v>16675.18</v>
      </c>
      <c r="U100" s="268" t="s">
        <v>3945</v>
      </c>
      <c r="V100" s="267" t="s">
        <v>944</v>
      </c>
    </row>
    <row r="101" spans="1:22" hidden="1" x14ac:dyDescent="0.25">
      <c r="A101" s="269">
        <v>43469</v>
      </c>
      <c r="B101" s="270">
        <v>2019</v>
      </c>
      <c r="C101" s="270">
        <v>2019</v>
      </c>
      <c r="D101" s="270">
        <v>1</v>
      </c>
      <c r="E101" s="270">
        <v>1</v>
      </c>
      <c r="F101" s="270" t="s">
        <v>944</v>
      </c>
      <c r="G101" s="270" t="s">
        <v>3926</v>
      </c>
      <c r="H101" s="270" t="s">
        <v>4091</v>
      </c>
      <c r="I101" s="270" t="s">
        <v>3025</v>
      </c>
      <c r="J101" s="270" t="s">
        <v>3928</v>
      </c>
      <c r="K101" s="270">
        <v>6473</v>
      </c>
      <c r="L101" s="270">
        <v>167202</v>
      </c>
      <c r="M101" s="270" t="s">
        <v>3935</v>
      </c>
      <c r="N101" s="270" t="s">
        <v>3944</v>
      </c>
      <c r="O101" s="270">
        <v>2911.02</v>
      </c>
      <c r="P101" s="270" t="s">
        <v>3944</v>
      </c>
      <c r="Q101" s="270" t="s">
        <v>3944</v>
      </c>
      <c r="R101" s="270">
        <v>2911.02</v>
      </c>
      <c r="S101" s="270">
        <v>36673.769999999997</v>
      </c>
      <c r="T101" s="270">
        <v>39584.79</v>
      </c>
      <c r="U101" s="271" t="s">
        <v>3945</v>
      </c>
      <c r="V101" s="267" t="s">
        <v>944</v>
      </c>
    </row>
    <row r="102" spans="1:22" hidden="1" x14ac:dyDescent="0.25">
      <c r="A102" s="266">
        <v>43469</v>
      </c>
      <c r="B102" s="267">
        <v>2019</v>
      </c>
      <c r="C102" s="267">
        <v>2019</v>
      </c>
      <c r="D102" s="267">
        <v>1</v>
      </c>
      <c r="E102" s="267">
        <v>1</v>
      </c>
      <c r="F102" s="267" t="s">
        <v>944</v>
      </c>
      <c r="G102" s="267" t="s">
        <v>3926</v>
      </c>
      <c r="H102" s="267" t="s">
        <v>4092</v>
      </c>
      <c r="I102" s="267" t="s">
        <v>3025</v>
      </c>
      <c r="J102" s="267" t="s">
        <v>3928</v>
      </c>
      <c r="K102" s="267">
        <v>6473</v>
      </c>
      <c r="L102" s="267">
        <v>167100</v>
      </c>
      <c r="M102" s="267" t="s">
        <v>3943</v>
      </c>
      <c r="N102" s="267" t="s">
        <v>3944</v>
      </c>
      <c r="O102" s="267">
        <v>3490.9</v>
      </c>
      <c r="P102" s="267" t="s">
        <v>3944</v>
      </c>
      <c r="Q102" s="267" t="s">
        <v>3944</v>
      </c>
      <c r="R102" s="267">
        <v>3490.9</v>
      </c>
      <c r="S102" s="267">
        <v>51719.48</v>
      </c>
      <c r="T102" s="267">
        <v>55210.38</v>
      </c>
      <c r="U102" s="268" t="s">
        <v>3945</v>
      </c>
      <c r="V102" s="267" t="s">
        <v>944</v>
      </c>
    </row>
    <row r="103" spans="1:22" hidden="1" x14ac:dyDescent="0.25">
      <c r="A103" s="269">
        <v>43469</v>
      </c>
      <c r="B103" s="270">
        <v>2019</v>
      </c>
      <c r="C103" s="270">
        <v>2019</v>
      </c>
      <c r="D103" s="270">
        <v>1</v>
      </c>
      <c r="E103" s="270">
        <v>1</v>
      </c>
      <c r="F103" s="270" t="s">
        <v>944</v>
      </c>
      <c r="G103" s="270" t="s">
        <v>3926</v>
      </c>
      <c r="H103" s="270" t="s">
        <v>4093</v>
      </c>
      <c r="I103" s="270" t="s">
        <v>4094</v>
      </c>
      <c r="J103" s="270" t="s">
        <v>3928</v>
      </c>
      <c r="K103" s="270">
        <v>6096</v>
      </c>
      <c r="L103" s="270">
        <v>476200</v>
      </c>
      <c r="M103" s="270" t="s">
        <v>3935</v>
      </c>
      <c r="N103" s="270" t="s">
        <v>3944</v>
      </c>
      <c r="O103" s="270">
        <v>1393.28</v>
      </c>
      <c r="P103" s="270" t="s">
        <v>3944</v>
      </c>
      <c r="Q103" s="270" t="s">
        <v>3944</v>
      </c>
      <c r="R103" s="270">
        <v>1393.28</v>
      </c>
      <c r="S103" s="270">
        <v>25569.25</v>
      </c>
      <c r="T103" s="270">
        <v>26962.53</v>
      </c>
      <c r="U103" s="271" t="s">
        <v>3945</v>
      </c>
      <c r="V103" s="267" t="s">
        <v>944</v>
      </c>
    </row>
    <row r="104" spans="1:22" hidden="1" x14ac:dyDescent="0.25">
      <c r="A104" s="266">
        <v>43469</v>
      </c>
      <c r="B104" s="267">
        <v>2019</v>
      </c>
      <c r="C104" s="267">
        <v>2019</v>
      </c>
      <c r="D104" s="267">
        <v>1</v>
      </c>
      <c r="E104" s="267">
        <v>1</v>
      </c>
      <c r="F104" s="267" t="s">
        <v>944</v>
      </c>
      <c r="G104" s="267" t="s">
        <v>3926</v>
      </c>
      <c r="H104" s="267" t="s">
        <v>4095</v>
      </c>
      <c r="I104" s="267" t="s">
        <v>4011</v>
      </c>
      <c r="J104" s="267" t="s">
        <v>3928</v>
      </c>
      <c r="K104" s="267">
        <v>6002</v>
      </c>
      <c r="L104" s="267">
        <v>471400</v>
      </c>
      <c r="M104" s="267" t="s">
        <v>3943</v>
      </c>
      <c r="N104" s="267" t="s">
        <v>3944</v>
      </c>
      <c r="O104" s="267">
        <v>1691.94</v>
      </c>
      <c r="P104" s="267" t="s">
        <v>3944</v>
      </c>
      <c r="Q104" s="267" t="s">
        <v>3944</v>
      </c>
      <c r="R104" s="267">
        <v>1691.94</v>
      </c>
      <c r="S104" s="267">
        <v>26813.83</v>
      </c>
      <c r="T104" s="267">
        <v>28505.77</v>
      </c>
      <c r="U104" s="268" t="s">
        <v>3945</v>
      </c>
      <c r="V104" s="267" t="s">
        <v>944</v>
      </c>
    </row>
    <row r="105" spans="1:22" hidden="1" x14ac:dyDescent="0.25">
      <c r="A105" s="269">
        <v>43469</v>
      </c>
      <c r="B105" s="270">
        <v>2019</v>
      </c>
      <c r="C105" s="270">
        <v>2019</v>
      </c>
      <c r="D105" s="270">
        <v>1</v>
      </c>
      <c r="E105" s="270">
        <v>1</v>
      </c>
      <c r="F105" s="270" t="s">
        <v>944</v>
      </c>
      <c r="G105" s="270" t="s">
        <v>3926</v>
      </c>
      <c r="H105" s="270" t="s">
        <v>4096</v>
      </c>
      <c r="I105" s="270" t="s">
        <v>3962</v>
      </c>
      <c r="J105" s="270" t="s">
        <v>3928</v>
      </c>
      <c r="K105" s="270">
        <v>6379</v>
      </c>
      <c r="L105" s="270">
        <v>705101</v>
      </c>
      <c r="M105" s="270" t="s">
        <v>3935</v>
      </c>
      <c r="N105" s="270" t="s">
        <v>3944</v>
      </c>
      <c r="O105" s="270">
        <v>4598.58</v>
      </c>
      <c r="P105" s="270" t="s">
        <v>3944</v>
      </c>
      <c r="Q105" s="270" t="s">
        <v>3944</v>
      </c>
      <c r="R105" s="270">
        <v>4598.58</v>
      </c>
      <c r="S105" s="270">
        <v>66285.64</v>
      </c>
      <c r="T105" s="270">
        <v>70884.22</v>
      </c>
      <c r="U105" s="271" t="s">
        <v>3945</v>
      </c>
      <c r="V105" s="267" t="s">
        <v>944</v>
      </c>
    </row>
    <row r="106" spans="1:22" hidden="1" x14ac:dyDescent="0.25">
      <c r="A106" s="266">
        <v>43469</v>
      </c>
      <c r="B106" s="267">
        <v>2019</v>
      </c>
      <c r="C106" s="267">
        <v>2019</v>
      </c>
      <c r="D106" s="267">
        <v>1</v>
      </c>
      <c r="E106" s="267">
        <v>1</v>
      </c>
      <c r="F106" s="267" t="s">
        <v>944</v>
      </c>
      <c r="G106" s="267" t="s">
        <v>3926</v>
      </c>
      <c r="H106" s="267" t="s">
        <v>4097</v>
      </c>
      <c r="I106" s="267" t="s">
        <v>3956</v>
      </c>
      <c r="J106" s="267" t="s">
        <v>3928</v>
      </c>
      <c r="K106" s="267">
        <v>6120</v>
      </c>
      <c r="L106" s="267">
        <v>524400</v>
      </c>
      <c r="M106" s="267">
        <v>-60</v>
      </c>
      <c r="N106" s="267" t="s">
        <v>4098</v>
      </c>
      <c r="O106" s="267"/>
      <c r="P106" s="267" t="s">
        <v>3944</v>
      </c>
      <c r="Q106" s="267" t="s">
        <v>3930</v>
      </c>
      <c r="R106" s="267">
        <v>0</v>
      </c>
      <c r="S106" s="267">
        <v>390000</v>
      </c>
      <c r="T106" s="267">
        <v>390000</v>
      </c>
      <c r="U106" s="268" t="s">
        <v>4099</v>
      </c>
      <c r="V106" s="267" t="s">
        <v>944</v>
      </c>
    </row>
    <row r="107" spans="1:22" hidden="1" x14ac:dyDescent="0.25">
      <c r="A107" s="269">
        <v>43469</v>
      </c>
      <c r="B107" s="270">
        <v>2019</v>
      </c>
      <c r="C107" s="270">
        <v>2019</v>
      </c>
      <c r="D107" s="270">
        <v>1</v>
      </c>
      <c r="E107" s="270">
        <v>1</v>
      </c>
      <c r="F107" s="270" t="s">
        <v>944</v>
      </c>
      <c r="G107" s="270" t="s">
        <v>3926</v>
      </c>
      <c r="H107" s="270" t="s">
        <v>4100</v>
      </c>
      <c r="I107" s="270" t="s">
        <v>3956</v>
      </c>
      <c r="J107" s="270" t="s">
        <v>3928</v>
      </c>
      <c r="K107" s="270">
        <v>6120</v>
      </c>
      <c r="L107" s="270">
        <v>524400</v>
      </c>
      <c r="M107" s="270">
        <v>-60</v>
      </c>
      <c r="N107" s="270" t="s">
        <v>4101</v>
      </c>
      <c r="O107" s="270"/>
      <c r="P107" s="270" t="s">
        <v>3944</v>
      </c>
      <c r="Q107" s="270" t="s">
        <v>3930</v>
      </c>
      <c r="R107" s="270">
        <v>0</v>
      </c>
      <c r="S107" s="270">
        <v>768074</v>
      </c>
      <c r="T107" s="270">
        <v>768074</v>
      </c>
      <c r="U107" s="271" t="s">
        <v>4099</v>
      </c>
      <c r="V107" s="267" t="s">
        <v>944</v>
      </c>
    </row>
    <row r="108" spans="1:22" hidden="1" x14ac:dyDescent="0.25">
      <c r="A108" s="266">
        <v>43470</v>
      </c>
      <c r="B108" s="267">
        <v>2019</v>
      </c>
      <c r="C108" s="267">
        <v>2019</v>
      </c>
      <c r="D108" s="267">
        <v>1</v>
      </c>
      <c r="E108" s="267">
        <v>1</v>
      </c>
      <c r="F108" s="267" t="s">
        <v>944</v>
      </c>
      <c r="G108" s="267" t="s">
        <v>3926</v>
      </c>
      <c r="H108" s="267" t="s">
        <v>4102</v>
      </c>
      <c r="I108" s="267" t="s">
        <v>4011</v>
      </c>
      <c r="J108" s="267" t="s">
        <v>3928</v>
      </c>
      <c r="K108" s="267">
        <v>6002</v>
      </c>
      <c r="L108" s="267">
        <v>471100</v>
      </c>
      <c r="M108" s="267" t="s">
        <v>3935</v>
      </c>
      <c r="N108" s="267" t="s">
        <v>4103</v>
      </c>
      <c r="O108" s="267">
        <v>1745.24</v>
      </c>
      <c r="P108" s="267" t="s">
        <v>3930</v>
      </c>
      <c r="Q108" s="267" t="s">
        <v>3931</v>
      </c>
      <c r="R108" s="267">
        <v>6745.24</v>
      </c>
      <c r="S108" s="267">
        <v>24145.599999999999</v>
      </c>
      <c r="T108" s="267">
        <v>30890.84</v>
      </c>
      <c r="U108" s="268" t="s">
        <v>3932</v>
      </c>
      <c r="V108" s="267" t="s">
        <v>944</v>
      </c>
    </row>
    <row r="109" spans="1:22" hidden="1" x14ac:dyDescent="0.25">
      <c r="A109" s="269">
        <v>43470</v>
      </c>
      <c r="B109" s="270">
        <v>2019</v>
      </c>
      <c r="C109" s="270">
        <v>2019</v>
      </c>
      <c r="D109" s="270">
        <v>1</v>
      </c>
      <c r="E109" s="270">
        <v>1</v>
      </c>
      <c r="F109" s="270" t="s">
        <v>944</v>
      </c>
      <c r="G109" s="270" t="s">
        <v>3926</v>
      </c>
      <c r="H109" s="270" t="s">
        <v>4104</v>
      </c>
      <c r="I109" s="270" t="s">
        <v>950</v>
      </c>
      <c r="J109" s="270" t="s">
        <v>3928</v>
      </c>
      <c r="K109" s="270">
        <v>6516</v>
      </c>
      <c r="L109" s="270">
        <v>154100</v>
      </c>
      <c r="M109" s="270" t="s">
        <v>3940</v>
      </c>
      <c r="N109" s="270" t="s">
        <v>4103</v>
      </c>
      <c r="O109" s="270">
        <v>1545.11</v>
      </c>
      <c r="P109" s="270" t="s">
        <v>3930</v>
      </c>
      <c r="Q109" s="270" t="s">
        <v>3931</v>
      </c>
      <c r="R109" s="270">
        <v>6545.11</v>
      </c>
      <c r="S109" s="270">
        <v>24145.599999999999</v>
      </c>
      <c r="T109" s="270">
        <v>30690.71</v>
      </c>
      <c r="U109" s="271" t="s">
        <v>3932</v>
      </c>
      <c r="V109" s="267" t="s">
        <v>944</v>
      </c>
    </row>
    <row r="110" spans="1:22" hidden="1" x14ac:dyDescent="0.25">
      <c r="A110" s="266">
        <v>43470</v>
      </c>
      <c r="B110" s="267">
        <v>2019</v>
      </c>
      <c r="C110" s="267">
        <v>2019</v>
      </c>
      <c r="D110" s="267">
        <v>1</v>
      </c>
      <c r="E110" s="267">
        <v>1</v>
      </c>
      <c r="F110" s="267" t="s">
        <v>944</v>
      </c>
      <c r="G110" s="267" t="s">
        <v>3926</v>
      </c>
      <c r="H110" s="267" t="s">
        <v>4105</v>
      </c>
      <c r="I110" s="267" t="s">
        <v>4079</v>
      </c>
      <c r="J110" s="267" t="s">
        <v>3928</v>
      </c>
      <c r="K110" s="267">
        <v>6111</v>
      </c>
      <c r="L110" s="267">
        <v>494201</v>
      </c>
      <c r="M110" s="267" t="s">
        <v>3935</v>
      </c>
      <c r="N110" s="267" t="s">
        <v>3986</v>
      </c>
      <c r="O110" s="267">
        <v>1372.95</v>
      </c>
      <c r="P110" s="267" t="s">
        <v>3930</v>
      </c>
      <c r="Q110" s="267" t="s">
        <v>3931</v>
      </c>
      <c r="R110" s="267">
        <v>6372.95</v>
      </c>
      <c r="S110" s="267">
        <v>16196.8</v>
      </c>
      <c r="T110" s="267">
        <v>22569.75</v>
      </c>
      <c r="U110" s="268" t="s">
        <v>3932</v>
      </c>
      <c r="V110" s="267" t="s">
        <v>944</v>
      </c>
    </row>
    <row r="111" spans="1:22" hidden="1" x14ac:dyDescent="0.25">
      <c r="A111" s="269">
        <v>43471</v>
      </c>
      <c r="B111" s="270">
        <v>2019</v>
      </c>
      <c r="C111" s="270">
        <v>2019</v>
      </c>
      <c r="D111" s="270">
        <v>1</v>
      </c>
      <c r="E111" s="270">
        <v>1</v>
      </c>
      <c r="F111" s="270" t="s">
        <v>944</v>
      </c>
      <c r="G111" s="270" t="s">
        <v>3926</v>
      </c>
      <c r="H111" s="270" t="s">
        <v>4106</v>
      </c>
      <c r="I111" s="270" t="s">
        <v>934</v>
      </c>
      <c r="J111" s="270" t="s">
        <v>3928</v>
      </c>
      <c r="K111" s="270">
        <v>6606</v>
      </c>
      <c r="L111" s="270">
        <v>72300</v>
      </c>
      <c r="M111" s="270" t="s">
        <v>3940</v>
      </c>
      <c r="N111" s="270" t="s">
        <v>4103</v>
      </c>
      <c r="O111" s="270">
        <v>4718.7</v>
      </c>
      <c r="P111" s="270" t="s">
        <v>3930</v>
      </c>
      <c r="Q111" s="270" t="s">
        <v>3931</v>
      </c>
      <c r="R111" s="270">
        <v>9718.7000000000007</v>
      </c>
      <c r="S111" s="270">
        <v>24145.599999999999</v>
      </c>
      <c r="T111" s="270">
        <v>33864.300000000003</v>
      </c>
      <c r="U111" s="271" t="s">
        <v>3932</v>
      </c>
      <c r="V111" s="267" t="s">
        <v>944</v>
      </c>
    </row>
    <row r="112" spans="1:22" hidden="1" x14ac:dyDescent="0.25">
      <c r="A112" s="266">
        <v>43472</v>
      </c>
      <c r="B112" s="267">
        <v>2019</v>
      </c>
      <c r="C112" s="267">
        <v>2019</v>
      </c>
      <c r="D112" s="267">
        <v>1</v>
      </c>
      <c r="E112" s="267">
        <v>1</v>
      </c>
      <c r="F112" s="267" t="s">
        <v>944</v>
      </c>
      <c r="G112" s="267" t="s">
        <v>3926</v>
      </c>
      <c r="H112" s="267" t="s">
        <v>4107</v>
      </c>
      <c r="I112" s="267" t="s">
        <v>4108</v>
      </c>
      <c r="J112" s="267" t="s">
        <v>3928</v>
      </c>
      <c r="K112" s="267">
        <v>6082</v>
      </c>
      <c r="L112" s="267">
        <v>480800</v>
      </c>
      <c r="M112" s="267" t="s">
        <v>3935</v>
      </c>
      <c r="N112" s="267" t="s">
        <v>4109</v>
      </c>
      <c r="O112" s="267">
        <v>0</v>
      </c>
      <c r="P112" s="267" t="s">
        <v>3930</v>
      </c>
      <c r="Q112" s="267" t="s">
        <v>3930</v>
      </c>
      <c r="R112" s="267">
        <v>0</v>
      </c>
      <c r="S112" s="267">
        <v>6100</v>
      </c>
      <c r="T112" s="267">
        <v>6100</v>
      </c>
      <c r="U112" s="268" t="s">
        <v>3937</v>
      </c>
      <c r="V112" s="267" t="s">
        <v>944</v>
      </c>
    </row>
    <row r="113" spans="1:27" hidden="1" x14ac:dyDescent="0.25">
      <c r="A113" s="269">
        <v>43472</v>
      </c>
      <c r="B113" s="270">
        <v>2019</v>
      </c>
      <c r="C113" s="270">
        <v>2019</v>
      </c>
      <c r="D113" s="270">
        <v>1</v>
      </c>
      <c r="E113" s="270">
        <v>1</v>
      </c>
      <c r="F113" s="270" t="s">
        <v>944</v>
      </c>
      <c r="G113" s="270" t="s">
        <v>3926</v>
      </c>
      <c r="H113" s="270" t="s">
        <v>4110</v>
      </c>
      <c r="I113" s="270" t="s">
        <v>4111</v>
      </c>
      <c r="J113" s="270" t="s">
        <v>3928</v>
      </c>
      <c r="K113" s="270">
        <v>6095</v>
      </c>
      <c r="L113" s="270">
        <v>473400</v>
      </c>
      <c r="M113" s="270" t="s">
        <v>3935</v>
      </c>
      <c r="N113" s="270" t="s">
        <v>4112</v>
      </c>
      <c r="O113" s="270">
        <v>0</v>
      </c>
      <c r="P113" s="270" t="s">
        <v>3930</v>
      </c>
      <c r="Q113" s="270" t="s">
        <v>3930</v>
      </c>
      <c r="R113" s="270">
        <v>0</v>
      </c>
      <c r="S113" s="270">
        <v>7527.47</v>
      </c>
      <c r="T113" s="270">
        <v>7527.47</v>
      </c>
      <c r="U113" s="271" t="s">
        <v>3937</v>
      </c>
      <c r="V113" s="267" t="s">
        <v>944</v>
      </c>
    </row>
    <row r="114" spans="1:27" hidden="1" x14ac:dyDescent="0.25">
      <c r="A114" s="266">
        <v>43472</v>
      </c>
      <c r="B114" s="267">
        <v>2019</v>
      </c>
      <c r="C114" s="267">
        <v>2019</v>
      </c>
      <c r="D114" s="267">
        <v>1</v>
      </c>
      <c r="E114" s="267">
        <v>1</v>
      </c>
      <c r="F114" s="267" t="s">
        <v>944</v>
      </c>
      <c r="G114" s="267" t="s">
        <v>3926</v>
      </c>
      <c r="H114" s="267" t="s">
        <v>4113</v>
      </c>
      <c r="I114" s="267" t="s">
        <v>4114</v>
      </c>
      <c r="J114" s="267" t="s">
        <v>3928</v>
      </c>
      <c r="K114" s="267">
        <v>6410</v>
      </c>
      <c r="L114" s="267">
        <v>343300</v>
      </c>
      <c r="M114" s="267" t="s">
        <v>3943</v>
      </c>
      <c r="N114" s="267" t="s">
        <v>4115</v>
      </c>
      <c r="O114" s="267">
        <v>0</v>
      </c>
      <c r="P114" s="267" t="s">
        <v>3930</v>
      </c>
      <c r="Q114" s="267" t="s">
        <v>3930</v>
      </c>
      <c r="R114" s="267">
        <v>0</v>
      </c>
      <c r="S114" s="267">
        <v>11800</v>
      </c>
      <c r="T114" s="267">
        <v>11800</v>
      </c>
      <c r="U114" s="268" t="s">
        <v>3937</v>
      </c>
      <c r="V114" s="267" t="s">
        <v>944</v>
      </c>
    </row>
    <row r="115" spans="1:27" hidden="1" x14ac:dyDescent="0.25">
      <c r="A115" s="269">
        <v>43472</v>
      </c>
      <c r="B115" s="270">
        <v>2019</v>
      </c>
      <c r="C115" s="270">
        <v>2019</v>
      </c>
      <c r="D115" s="270">
        <v>1</v>
      </c>
      <c r="E115" s="270">
        <v>1</v>
      </c>
      <c r="F115" s="270" t="s">
        <v>944</v>
      </c>
      <c r="G115" s="270" t="s">
        <v>3926</v>
      </c>
      <c r="H115" s="270" t="s">
        <v>4116</v>
      </c>
      <c r="I115" s="270" t="s">
        <v>3971</v>
      </c>
      <c r="J115" s="270" t="s">
        <v>3928</v>
      </c>
      <c r="K115" s="270">
        <v>6084</v>
      </c>
      <c r="L115" s="270">
        <v>533102</v>
      </c>
      <c r="M115" s="270" t="s">
        <v>3943</v>
      </c>
      <c r="N115" s="270" t="s">
        <v>4117</v>
      </c>
      <c r="O115" s="270">
        <v>4564</v>
      </c>
      <c r="P115" s="270" t="s">
        <v>3930</v>
      </c>
      <c r="Q115" s="270" t="s">
        <v>3930</v>
      </c>
      <c r="R115" s="270">
        <v>4564</v>
      </c>
      <c r="S115" s="270">
        <v>26413</v>
      </c>
      <c r="T115" s="270">
        <v>30977</v>
      </c>
      <c r="U115" s="271" t="s">
        <v>3937</v>
      </c>
      <c r="V115" s="267" t="s">
        <v>944</v>
      </c>
    </row>
    <row r="116" spans="1:27" hidden="1" x14ac:dyDescent="0.25">
      <c r="A116" s="266">
        <v>43472</v>
      </c>
      <c r="B116" s="267">
        <v>2019</v>
      </c>
      <c r="C116" s="267">
        <v>2019</v>
      </c>
      <c r="D116" s="267">
        <v>1</v>
      </c>
      <c r="E116" s="267">
        <v>1</v>
      </c>
      <c r="F116" s="267" t="s">
        <v>944</v>
      </c>
      <c r="G116" s="267" t="s">
        <v>3926</v>
      </c>
      <c r="H116" s="267" t="s">
        <v>4118</v>
      </c>
      <c r="I116" s="267" t="s">
        <v>4119</v>
      </c>
      <c r="J116" s="267" t="s">
        <v>3928</v>
      </c>
      <c r="K116" s="267">
        <v>6078</v>
      </c>
      <c r="L116" s="267">
        <v>477102</v>
      </c>
      <c r="M116" s="267" t="s">
        <v>3943</v>
      </c>
      <c r="N116" s="267" t="s">
        <v>4120</v>
      </c>
      <c r="O116" s="267">
        <v>4916</v>
      </c>
      <c r="P116" s="267" t="s">
        <v>3930</v>
      </c>
      <c r="Q116" s="267" t="s">
        <v>3930</v>
      </c>
      <c r="R116" s="267">
        <v>4916</v>
      </c>
      <c r="S116" s="267">
        <v>25347</v>
      </c>
      <c r="T116" s="267">
        <v>30263</v>
      </c>
      <c r="U116" s="268" t="s">
        <v>3937</v>
      </c>
      <c r="V116" s="267" t="s">
        <v>944</v>
      </c>
    </row>
    <row r="117" spans="1:27" hidden="1" x14ac:dyDescent="0.25">
      <c r="A117" s="269">
        <v>43472</v>
      </c>
      <c r="B117" s="270">
        <v>2019</v>
      </c>
      <c r="C117" s="270">
        <v>2019</v>
      </c>
      <c r="D117" s="270">
        <v>1</v>
      </c>
      <c r="E117" s="270">
        <v>1</v>
      </c>
      <c r="F117" s="270" t="s">
        <v>944</v>
      </c>
      <c r="G117" s="270" t="s">
        <v>3926</v>
      </c>
      <c r="H117" s="270" t="s">
        <v>4121</v>
      </c>
      <c r="I117" s="270" t="s">
        <v>4114</v>
      </c>
      <c r="J117" s="270" t="s">
        <v>3928</v>
      </c>
      <c r="K117" s="270">
        <v>6410</v>
      </c>
      <c r="L117" s="270">
        <v>343400</v>
      </c>
      <c r="M117" s="270" t="s">
        <v>3943</v>
      </c>
      <c r="N117" s="270" t="s">
        <v>4122</v>
      </c>
      <c r="O117" s="270">
        <v>4437</v>
      </c>
      <c r="P117" s="270" t="s">
        <v>3930</v>
      </c>
      <c r="Q117" s="270" t="s">
        <v>3930</v>
      </c>
      <c r="R117" s="270">
        <v>4437</v>
      </c>
      <c r="S117" s="270">
        <v>25472</v>
      </c>
      <c r="T117" s="270">
        <v>29909</v>
      </c>
      <c r="U117" s="271" t="s">
        <v>3937</v>
      </c>
      <c r="V117" s="267" t="s">
        <v>944</v>
      </c>
    </row>
    <row r="118" spans="1:27" hidden="1" x14ac:dyDescent="0.25">
      <c r="A118" s="266">
        <v>43472</v>
      </c>
      <c r="B118" s="267">
        <v>2019</v>
      </c>
      <c r="C118" s="267">
        <v>2019</v>
      </c>
      <c r="D118" s="267">
        <v>1</v>
      </c>
      <c r="E118" s="267">
        <v>1</v>
      </c>
      <c r="F118" s="267" t="s">
        <v>944</v>
      </c>
      <c r="G118" s="267" t="s">
        <v>3926</v>
      </c>
      <c r="H118" s="267" t="s">
        <v>4123</v>
      </c>
      <c r="I118" s="267" t="s">
        <v>4124</v>
      </c>
      <c r="J118" s="267" t="s">
        <v>3928</v>
      </c>
      <c r="K118" s="267">
        <v>6470</v>
      </c>
      <c r="L118" s="267">
        <v>230300</v>
      </c>
      <c r="M118" s="267" t="s">
        <v>3943</v>
      </c>
      <c r="N118" s="267" t="s">
        <v>3944</v>
      </c>
      <c r="O118" s="267">
        <v>3740</v>
      </c>
      <c r="P118" s="267" t="s">
        <v>3944</v>
      </c>
      <c r="Q118" s="267" t="s">
        <v>3944</v>
      </c>
      <c r="R118" s="267">
        <v>3740</v>
      </c>
      <c r="S118" s="267">
        <v>56757.5</v>
      </c>
      <c r="T118" s="267">
        <v>60497.5</v>
      </c>
      <c r="U118" s="268" t="s">
        <v>3945</v>
      </c>
      <c r="V118" s="267" t="s">
        <v>944</v>
      </c>
    </row>
    <row r="119" spans="1:27" hidden="1" x14ac:dyDescent="0.25">
      <c r="A119" s="269">
        <v>43472</v>
      </c>
      <c r="B119" s="270">
        <v>2019</v>
      </c>
      <c r="C119" s="270">
        <v>2019</v>
      </c>
      <c r="D119" s="270">
        <v>1</v>
      </c>
      <c r="E119" s="270">
        <v>1</v>
      </c>
      <c r="F119" s="270" t="s">
        <v>944</v>
      </c>
      <c r="G119" s="270" t="s">
        <v>3926</v>
      </c>
      <c r="H119" s="270" t="s">
        <v>4125</v>
      </c>
      <c r="I119" s="270" t="s">
        <v>4126</v>
      </c>
      <c r="J119" s="270" t="s">
        <v>3928</v>
      </c>
      <c r="K119" s="270">
        <v>6880</v>
      </c>
      <c r="L119" s="270">
        <v>50400</v>
      </c>
      <c r="M119" s="270" t="s">
        <v>3943</v>
      </c>
      <c r="N119" s="270" t="s">
        <v>3944</v>
      </c>
      <c r="O119" s="270">
        <v>2603</v>
      </c>
      <c r="P119" s="270" t="s">
        <v>3944</v>
      </c>
      <c r="Q119" s="270" t="s">
        <v>3944</v>
      </c>
      <c r="R119" s="270">
        <v>2603</v>
      </c>
      <c r="S119" s="270">
        <v>25756.5</v>
      </c>
      <c r="T119" s="270">
        <v>28359.5</v>
      </c>
      <c r="U119" s="271" t="s">
        <v>3945</v>
      </c>
      <c r="V119" s="267" t="s">
        <v>944</v>
      </c>
    </row>
    <row r="120" spans="1:27" hidden="1" x14ac:dyDescent="0.25">
      <c r="A120" s="266">
        <v>43472</v>
      </c>
      <c r="B120" s="267">
        <v>2019</v>
      </c>
      <c r="C120" s="267">
        <v>2019</v>
      </c>
      <c r="D120" s="267">
        <v>1</v>
      </c>
      <c r="E120" s="267">
        <v>1</v>
      </c>
      <c r="F120" s="267" t="s">
        <v>944</v>
      </c>
      <c r="G120" s="267" t="s">
        <v>3926</v>
      </c>
      <c r="H120" s="267" t="s">
        <v>4127</v>
      </c>
      <c r="I120" s="267" t="s">
        <v>2987</v>
      </c>
      <c r="J120" s="267" t="s">
        <v>3928</v>
      </c>
      <c r="K120" s="267">
        <v>6611</v>
      </c>
      <c r="L120" s="267">
        <v>90100</v>
      </c>
      <c r="M120" s="267" t="s">
        <v>3943</v>
      </c>
      <c r="N120" s="267" t="s">
        <v>3944</v>
      </c>
      <c r="O120" s="267">
        <v>4057</v>
      </c>
      <c r="P120" s="267" t="s">
        <v>3944</v>
      </c>
      <c r="Q120" s="267" t="s">
        <v>3944</v>
      </c>
      <c r="R120" s="267">
        <v>4057</v>
      </c>
      <c r="S120" s="267">
        <v>37005.5</v>
      </c>
      <c r="T120" s="267">
        <v>41062.5</v>
      </c>
      <c r="U120" s="268" t="s">
        <v>3945</v>
      </c>
      <c r="V120" s="267" t="s">
        <v>944</v>
      </c>
    </row>
    <row r="121" spans="1:27" hidden="1" x14ac:dyDescent="0.25">
      <c r="A121" s="269">
        <v>43472</v>
      </c>
      <c r="B121" s="270">
        <v>2019</v>
      </c>
      <c r="C121" s="270">
        <v>2019</v>
      </c>
      <c r="D121" s="270">
        <v>1</v>
      </c>
      <c r="E121" s="270">
        <v>1</v>
      </c>
      <c r="F121" s="270" t="s">
        <v>944</v>
      </c>
      <c r="G121" s="270" t="s">
        <v>3926</v>
      </c>
      <c r="H121" s="270" t="s">
        <v>4128</v>
      </c>
      <c r="I121" s="270" t="s">
        <v>4129</v>
      </c>
      <c r="J121" s="270" t="s">
        <v>3928</v>
      </c>
      <c r="K121" s="270">
        <v>6259</v>
      </c>
      <c r="L121" s="270">
        <v>902500</v>
      </c>
      <c r="M121" s="270" t="s">
        <v>3960</v>
      </c>
      <c r="N121" s="270" t="s">
        <v>3944</v>
      </c>
      <c r="O121" s="270">
        <v>3248</v>
      </c>
      <c r="P121" s="270" t="s">
        <v>3944</v>
      </c>
      <c r="Q121" s="270" t="s">
        <v>3944</v>
      </c>
      <c r="R121" s="270">
        <v>3248</v>
      </c>
      <c r="S121" s="270">
        <v>41451</v>
      </c>
      <c r="T121" s="270">
        <v>44699</v>
      </c>
      <c r="U121" s="271" t="s">
        <v>3945</v>
      </c>
      <c r="V121" s="267" t="s">
        <v>944</v>
      </c>
    </row>
    <row r="122" spans="1:27" hidden="1" x14ac:dyDescent="0.25">
      <c r="A122" s="266">
        <v>43472</v>
      </c>
      <c r="B122" s="267">
        <v>2019</v>
      </c>
      <c r="C122" s="267">
        <v>2019</v>
      </c>
      <c r="D122" s="267">
        <v>1</v>
      </c>
      <c r="E122" s="267">
        <v>1</v>
      </c>
      <c r="F122" s="267" t="s">
        <v>944</v>
      </c>
      <c r="G122" s="267" t="s">
        <v>3926</v>
      </c>
      <c r="H122" s="267" t="s">
        <v>4130</v>
      </c>
      <c r="I122" s="267" t="s">
        <v>2985</v>
      </c>
      <c r="J122" s="267" t="s">
        <v>3928</v>
      </c>
      <c r="K122" s="267">
        <v>6824</v>
      </c>
      <c r="L122" s="267">
        <v>60300</v>
      </c>
      <c r="M122" s="267" t="s">
        <v>3943</v>
      </c>
      <c r="N122" s="267" t="s">
        <v>3944</v>
      </c>
      <c r="O122" s="267">
        <v>5039</v>
      </c>
      <c r="P122" s="267" t="s">
        <v>3944</v>
      </c>
      <c r="Q122" s="267" t="s">
        <v>3944</v>
      </c>
      <c r="R122" s="267">
        <v>5039</v>
      </c>
      <c r="S122" s="267">
        <v>33365</v>
      </c>
      <c r="T122" s="267">
        <v>38404</v>
      </c>
      <c r="U122" s="268" t="s">
        <v>3945</v>
      </c>
      <c r="V122" s="267" t="s">
        <v>944</v>
      </c>
      <c r="X122" s="277"/>
      <c r="Y122" s="285"/>
      <c r="Z122" s="278"/>
      <c r="AA122" s="279"/>
    </row>
    <row r="123" spans="1:27" hidden="1" x14ac:dyDescent="0.25">
      <c r="A123" s="269">
        <v>43472</v>
      </c>
      <c r="B123" s="270">
        <v>2019</v>
      </c>
      <c r="C123" s="270">
        <v>2019</v>
      </c>
      <c r="D123" s="270">
        <v>1</v>
      </c>
      <c r="E123" s="270">
        <v>1</v>
      </c>
      <c r="F123" s="270" t="s">
        <v>944</v>
      </c>
      <c r="G123" s="270" t="s">
        <v>3926</v>
      </c>
      <c r="H123" s="270" t="s">
        <v>4131</v>
      </c>
      <c r="I123" s="270" t="s">
        <v>3975</v>
      </c>
      <c r="J123" s="270" t="s">
        <v>3928</v>
      </c>
      <c r="K123" s="270">
        <v>6479</v>
      </c>
      <c r="L123" s="270">
        <v>430500</v>
      </c>
      <c r="M123" s="270" t="s">
        <v>3943</v>
      </c>
      <c r="N123" s="270" t="s">
        <v>3944</v>
      </c>
      <c r="O123" s="270">
        <v>6605</v>
      </c>
      <c r="P123" s="270" t="s">
        <v>3944</v>
      </c>
      <c r="Q123" s="270" t="s">
        <v>3944</v>
      </c>
      <c r="R123" s="270">
        <v>6605</v>
      </c>
      <c r="S123" s="270">
        <v>54445</v>
      </c>
      <c r="T123" s="270">
        <v>61050</v>
      </c>
      <c r="U123" s="271" t="s">
        <v>3945</v>
      </c>
      <c r="V123" s="267" t="s">
        <v>944</v>
      </c>
      <c r="X123" s="277"/>
      <c r="Y123" s="285"/>
      <c r="Z123" s="280"/>
      <c r="AA123" s="281"/>
    </row>
    <row r="124" spans="1:27" hidden="1" x14ac:dyDescent="0.25">
      <c r="A124" s="266">
        <v>43472</v>
      </c>
      <c r="B124" s="267">
        <v>2019</v>
      </c>
      <c r="C124" s="267">
        <v>2019</v>
      </c>
      <c r="D124" s="267">
        <v>1</v>
      </c>
      <c r="E124" s="267">
        <v>1</v>
      </c>
      <c r="F124" s="267" t="s">
        <v>944</v>
      </c>
      <c r="G124" s="267" t="s">
        <v>3926</v>
      </c>
      <c r="H124" s="267" t="s">
        <v>4132</v>
      </c>
      <c r="I124" s="267" t="s">
        <v>3975</v>
      </c>
      <c r="J124" s="267" t="s">
        <v>3928</v>
      </c>
      <c r="K124" s="267">
        <v>6489</v>
      </c>
      <c r="L124" s="267">
        <v>430201</v>
      </c>
      <c r="M124" s="267" t="s">
        <v>3960</v>
      </c>
      <c r="N124" s="267" t="s">
        <v>3944</v>
      </c>
      <c r="O124" s="267">
        <v>7991</v>
      </c>
      <c r="P124" s="267" t="s">
        <v>3944</v>
      </c>
      <c r="Q124" s="267" t="s">
        <v>3944</v>
      </c>
      <c r="R124" s="267">
        <v>7991</v>
      </c>
      <c r="S124" s="267">
        <v>57539.85</v>
      </c>
      <c r="T124" s="267">
        <v>65530.85</v>
      </c>
      <c r="U124" s="268" t="s">
        <v>3945</v>
      </c>
      <c r="V124" s="267" t="s">
        <v>944</v>
      </c>
      <c r="X124" s="277"/>
      <c r="Y124" s="285"/>
      <c r="Z124" s="278"/>
      <c r="AA124" s="279"/>
    </row>
    <row r="125" spans="1:27" hidden="1" x14ac:dyDescent="0.25">
      <c r="A125" s="269">
        <v>43472</v>
      </c>
      <c r="B125" s="270">
        <v>2019</v>
      </c>
      <c r="C125" s="270">
        <v>2019</v>
      </c>
      <c r="D125" s="270">
        <v>1</v>
      </c>
      <c r="E125" s="270">
        <v>1</v>
      </c>
      <c r="F125" s="270" t="s">
        <v>944</v>
      </c>
      <c r="G125" s="270" t="s">
        <v>3926</v>
      </c>
      <c r="H125" s="270" t="s">
        <v>4133</v>
      </c>
      <c r="I125" s="270" t="s">
        <v>4108</v>
      </c>
      <c r="J125" s="270" t="s">
        <v>3928</v>
      </c>
      <c r="K125" s="270">
        <v>6082</v>
      </c>
      <c r="L125" s="270">
        <v>524300</v>
      </c>
      <c r="M125" s="270" t="s">
        <v>3960</v>
      </c>
      <c r="N125" s="270" t="s">
        <v>3944</v>
      </c>
      <c r="O125" s="270">
        <v>3658</v>
      </c>
      <c r="P125" s="270" t="s">
        <v>3944</v>
      </c>
      <c r="Q125" s="270" t="s">
        <v>3944</v>
      </c>
      <c r="R125" s="270">
        <v>3658</v>
      </c>
      <c r="S125" s="270">
        <v>41649.5</v>
      </c>
      <c r="T125" s="270">
        <v>45307.5</v>
      </c>
      <c r="U125" s="271" t="s">
        <v>3945</v>
      </c>
      <c r="V125" s="267" t="s">
        <v>944</v>
      </c>
      <c r="X125" s="277"/>
      <c r="Y125" s="285"/>
      <c r="Z125" s="280"/>
      <c r="AA125" s="281"/>
    </row>
    <row r="126" spans="1:27" hidden="1" x14ac:dyDescent="0.25">
      <c r="A126" s="266">
        <v>43472</v>
      </c>
      <c r="B126" s="267">
        <v>2019</v>
      </c>
      <c r="C126" s="267">
        <v>2019</v>
      </c>
      <c r="D126" s="267">
        <v>1</v>
      </c>
      <c r="E126" s="267">
        <v>1</v>
      </c>
      <c r="F126" s="267" t="s">
        <v>944</v>
      </c>
      <c r="G126" s="267" t="s">
        <v>3926</v>
      </c>
      <c r="H126" s="267" t="s">
        <v>4134</v>
      </c>
      <c r="I126" s="267" t="s">
        <v>953</v>
      </c>
      <c r="J126" s="267" t="s">
        <v>3928</v>
      </c>
      <c r="K126" s="267">
        <v>6517</v>
      </c>
      <c r="L126" s="267">
        <v>165200</v>
      </c>
      <c r="M126" s="267" t="s">
        <v>3943</v>
      </c>
      <c r="N126" s="267" t="s">
        <v>3944</v>
      </c>
      <c r="O126" s="267">
        <v>3585</v>
      </c>
      <c r="P126" s="267" t="s">
        <v>3944</v>
      </c>
      <c r="Q126" s="267" t="s">
        <v>3944</v>
      </c>
      <c r="R126" s="267">
        <v>3585</v>
      </c>
      <c r="S126" s="267">
        <v>23683.75</v>
      </c>
      <c r="T126" s="267">
        <v>27268.75</v>
      </c>
      <c r="U126" s="268" t="s">
        <v>3945</v>
      </c>
      <c r="V126" s="267" t="s">
        <v>944</v>
      </c>
      <c r="X126" s="277"/>
      <c r="Y126" s="285"/>
      <c r="Z126" s="278"/>
      <c r="AA126" s="279"/>
    </row>
    <row r="127" spans="1:27" hidden="1" x14ac:dyDescent="0.25">
      <c r="A127" s="269">
        <v>43472</v>
      </c>
      <c r="B127" s="270">
        <v>2019</v>
      </c>
      <c r="C127" s="270">
        <v>2019</v>
      </c>
      <c r="D127" s="270">
        <v>1</v>
      </c>
      <c r="E127" s="270">
        <v>1</v>
      </c>
      <c r="F127" s="270" t="s">
        <v>944</v>
      </c>
      <c r="G127" s="270" t="s">
        <v>3926</v>
      </c>
      <c r="H127" s="270" t="s">
        <v>4135</v>
      </c>
      <c r="I127" s="270" t="s">
        <v>3949</v>
      </c>
      <c r="J127" s="270" t="s">
        <v>3928</v>
      </c>
      <c r="K127" s="270">
        <v>6437</v>
      </c>
      <c r="L127" s="270">
        <v>190301</v>
      </c>
      <c r="M127" s="270" t="s">
        <v>3943</v>
      </c>
      <c r="N127" s="270" t="s">
        <v>3944</v>
      </c>
      <c r="O127" s="270">
        <v>6079</v>
      </c>
      <c r="P127" s="270" t="s">
        <v>3944</v>
      </c>
      <c r="Q127" s="270" t="s">
        <v>3944</v>
      </c>
      <c r="R127" s="270">
        <v>6079</v>
      </c>
      <c r="S127" s="270">
        <v>42958.55</v>
      </c>
      <c r="T127" s="270">
        <v>49037.55</v>
      </c>
      <c r="U127" s="271" t="s">
        <v>3945</v>
      </c>
      <c r="V127" s="267" t="s">
        <v>944</v>
      </c>
      <c r="X127" s="277"/>
      <c r="Y127" s="285"/>
      <c r="Z127" s="280"/>
      <c r="AA127" s="281"/>
    </row>
    <row r="128" spans="1:27" hidden="1" x14ac:dyDescent="0.25">
      <c r="A128" s="266">
        <v>43473</v>
      </c>
      <c r="B128" s="267">
        <v>2019</v>
      </c>
      <c r="C128" s="267">
        <v>2019</v>
      </c>
      <c r="D128" s="267">
        <v>1</v>
      </c>
      <c r="E128" s="267">
        <v>1</v>
      </c>
      <c r="F128" s="267" t="s">
        <v>944</v>
      </c>
      <c r="G128" s="267" t="s">
        <v>3926</v>
      </c>
      <c r="H128" s="267" t="s">
        <v>4136</v>
      </c>
      <c r="I128" s="267" t="s">
        <v>4137</v>
      </c>
      <c r="J128" s="267" t="s">
        <v>3928</v>
      </c>
      <c r="K128" s="267">
        <v>6067</v>
      </c>
      <c r="L128" s="267">
        <v>490302</v>
      </c>
      <c r="M128" s="267" t="s">
        <v>3960</v>
      </c>
      <c r="N128" s="267" t="s">
        <v>4138</v>
      </c>
      <c r="O128" s="267">
        <v>0</v>
      </c>
      <c r="P128" s="267" t="s">
        <v>3930</v>
      </c>
      <c r="Q128" s="267" t="s">
        <v>3930</v>
      </c>
      <c r="R128" s="267">
        <v>0</v>
      </c>
      <c r="S128" s="267">
        <v>3052</v>
      </c>
      <c r="T128" s="267">
        <v>3052</v>
      </c>
      <c r="U128" s="268" t="s">
        <v>3937</v>
      </c>
      <c r="V128" s="267" t="s">
        <v>944</v>
      </c>
      <c r="X128" s="277"/>
      <c r="Y128" s="285"/>
      <c r="Z128" s="278"/>
      <c r="AA128" s="279"/>
    </row>
    <row r="129" spans="1:27" hidden="1" x14ac:dyDescent="0.25">
      <c r="A129" s="269">
        <v>43473</v>
      </c>
      <c r="B129" s="270">
        <v>2019</v>
      </c>
      <c r="C129" s="270">
        <v>2019</v>
      </c>
      <c r="D129" s="270">
        <v>1</v>
      </c>
      <c r="E129" s="270">
        <v>1</v>
      </c>
      <c r="F129" s="270" t="s">
        <v>944</v>
      </c>
      <c r="G129" s="270" t="s">
        <v>3926</v>
      </c>
      <c r="H129" s="270" t="s">
        <v>4139</v>
      </c>
      <c r="I129" s="270" t="s">
        <v>4008</v>
      </c>
      <c r="J129" s="270" t="s">
        <v>3928</v>
      </c>
      <c r="K129" s="270">
        <v>6320</v>
      </c>
      <c r="L129" s="270">
        <v>690300</v>
      </c>
      <c r="M129" s="270">
        <v>-60</v>
      </c>
      <c r="N129" s="270" t="s">
        <v>3929</v>
      </c>
      <c r="O129" s="270">
        <v>2277.63</v>
      </c>
      <c r="P129" s="270" t="s">
        <v>3930</v>
      </c>
      <c r="Q129" s="270" t="s">
        <v>3931</v>
      </c>
      <c r="R129" s="270">
        <v>7277.63</v>
      </c>
      <c r="S129" s="270">
        <v>34744</v>
      </c>
      <c r="T129" s="270">
        <v>42021.63</v>
      </c>
      <c r="U129" s="271" t="s">
        <v>3932</v>
      </c>
      <c r="V129" s="267" t="s">
        <v>944</v>
      </c>
      <c r="X129" s="277"/>
      <c r="Y129" s="285"/>
      <c r="Z129" s="280"/>
      <c r="AA129" s="281"/>
    </row>
    <row r="130" spans="1:27" hidden="1" x14ac:dyDescent="0.25">
      <c r="A130" s="266">
        <v>43473</v>
      </c>
      <c r="B130" s="267">
        <v>2019</v>
      </c>
      <c r="C130" s="267">
        <v>2019</v>
      </c>
      <c r="D130" s="267">
        <v>1</v>
      </c>
      <c r="E130" s="267">
        <v>1</v>
      </c>
      <c r="F130" s="267" t="s">
        <v>944</v>
      </c>
      <c r="G130" s="267" t="s">
        <v>3926</v>
      </c>
      <c r="H130" s="267" t="s">
        <v>4140</v>
      </c>
      <c r="I130" s="267" t="s">
        <v>3956</v>
      </c>
      <c r="J130" s="267" t="s">
        <v>3928</v>
      </c>
      <c r="K130" s="267">
        <v>6120</v>
      </c>
      <c r="L130" s="267">
        <v>524400</v>
      </c>
      <c r="M130" s="267">
        <v>-60</v>
      </c>
      <c r="N130" s="267" t="s">
        <v>4103</v>
      </c>
      <c r="O130" s="267">
        <v>3847.14</v>
      </c>
      <c r="P130" s="267" t="s">
        <v>3930</v>
      </c>
      <c r="Q130" s="267" t="s">
        <v>3931</v>
      </c>
      <c r="R130" s="267">
        <v>8847.14</v>
      </c>
      <c r="S130" s="267">
        <v>24145.599999999999</v>
      </c>
      <c r="T130" s="267">
        <v>32992.74</v>
      </c>
      <c r="U130" s="268" t="s">
        <v>3932</v>
      </c>
      <c r="V130" s="267" t="s">
        <v>944</v>
      </c>
      <c r="X130" s="277"/>
      <c r="Y130" s="285"/>
      <c r="Z130" s="278"/>
      <c r="AA130" s="279"/>
    </row>
    <row r="131" spans="1:27" x14ac:dyDescent="0.25">
      <c r="A131" s="269">
        <v>43473</v>
      </c>
      <c r="B131" s="270">
        <v>2019</v>
      </c>
      <c r="C131" s="270">
        <v>2019</v>
      </c>
      <c r="D131" s="270">
        <v>1</v>
      </c>
      <c r="E131" s="270">
        <v>1</v>
      </c>
      <c r="F131" s="270" t="s">
        <v>944</v>
      </c>
      <c r="G131" s="270" t="s">
        <v>3926</v>
      </c>
      <c r="H131" s="270" t="s">
        <v>4141</v>
      </c>
      <c r="I131" s="270" t="s">
        <v>934</v>
      </c>
      <c r="J131" s="270" t="s">
        <v>3928</v>
      </c>
      <c r="K131" s="270">
        <v>6607</v>
      </c>
      <c r="L131" s="270">
        <v>74300</v>
      </c>
      <c r="M131" s="270">
        <v>-60</v>
      </c>
      <c r="N131" s="270" t="s">
        <v>4103</v>
      </c>
      <c r="O131" s="270">
        <v>3449.55</v>
      </c>
      <c r="P131" s="270" t="s">
        <v>3930</v>
      </c>
      <c r="Q131" s="270" t="s">
        <v>3931</v>
      </c>
      <c r="R131" s="270">
        <v>8449.5499999999993</v>
      </c>
      <c r="S131" s="270">
        <v>24145.599999999999</v>
      </c>
      <c r="T131" s="270">
        <v>32595.15</v>
      </c>
      <c r="U131" s="271" t="s">
        <v>3932</v>
      </c>
      <c r="V131" s="276" t="s">
        <v>936</v>
      </c>
      <c r="X131" s="277"/>
      <c r="Y131" s="285"/>
      <c r="Z131" s="280"/>
      <c r="AA131" s="281"/>
    </row>
    <row r="132" spans="1:27" hidden="1" x14ac:dyDescent="0.25">
      <c r="A132" s="266">
        <v>43473</v>
      </c>
      <c r="B132" s="267">
        <v>2019</v>
      </c>
      <c r="C132" s="267">
        <v>2019</v>
      </c>
      <c r="D132" s="267">
        <v>1</v>
      </c>
      <c r="E132" s="267">
        <v>1</v>
      </c>
      <c r="F132" s="267" t="s">
        <v>944</v>
      </c>
      <c r="G132" s="267" t="s">
        <v>3926</v>
      </c>
      <c r="H132" s="267" t="s">
        <v>4142</v>
      </c>
      <c r="I132" s="267" t="s">
        <v>950</v>
      </c>
      <c r="J132" s="267" t="s">
        <v>3928</v>
      </c>
      <c r="K132" s="267">
        <v>6516</v>
      </c>
      <c r="L132" s="267">
        <v>154800</v>
      </c>
      <c r="M132" s="267" t="s">
        <v>3960</v>
      </c>
      <c r="N132" s="267" t="s">
        <v>3944</v>
      </c>
      <c r="O132" s="267">
        <v>2341</v>
      </c>
      <c r="P132" s="267" t="s">
        <v>3944</v>
      </c>
      <c r="Q132" s="267" t="s">
        <v>3944</v>
      </c>
      <c r="R132" s="267">
        <v>2341</v>
      </c>
      <c r="S132" s="267">
        <v>46313.5</v>
      </c>
      <c r="T132" s="267">
        <v>48654.5</v>
      </c>
      <c r="U132" s="268" t="s">
        <v>3945</v>
      </c>
      <c r="V132" s="267" t="s">
        <v>944</v>
      </c>
      <c r="X132" s="282"/>
      <c r="Y132" s="286"/>
      <c r="Z132" s="283"/>
      <c r="AA132" s="284"/>
    </row>
    <row r="133" spans="1:27" hidden="1" x14ac:dyDescent="0.25">
      <c r="A133" s="269">
        <v>43473</v>
      </c>
      <c r="B133" s="270">
        <v>2019</v>
      </c>
      <c r="C133" s="270">
        <v>2019</v>
      </c>
      <c r="D133" s="270">
        <v>1</v>
      </c>
      <c r="E133" s="270">
        <v>1</v>
      </c>
      <c r="F133" s="270" t="s">
        <v>944</v>
      </c>
      <c r="G133" s="270" t="s">
        <v>3926</v>
      </c>
      <c r="H133" s="270" t="s">
        <v>4143</v>
      </c>
      <c r="I133" s="270" t="s">
        <v>956</v>
      </c>
      <c r="J133" s="270" t="s">
        <v>3928</v>
      </c>
      <c r="K133" s="270">
        <v>6615</v>
      </c>
      <c r="L133" s="270">
        <v>80700</v>
      </c>
      <c r="M133" s="270" t="s">
        <v>3935</v>
      </c>
      <c r="N133" s="270" t="s">
        <v>3944</v>
      </c>
      <c r="O133" s="270">
        <v>3625</v>
      </c>
      <c r="P133" s="270" t="s">
        <v>3944</v>
      </c>
      <c r="Q133" s="270" t="s">
        <v>3944</v>
      </c>
      <c r="R133" s="270">
        <v>3625</v>
      </c>
      <c r="S133" s="270">
        <v>24866.75</v>
      </c>
      <c r="T133" s="270">
        <v>28491.75</v>
      </c>
      <c r="U133" s="271" t="s">
        <v>3945</v>
      </c>
      <c r="V133" s="267" t="s">
        <v>944</v>
      </c>
    </row>
    <row r="134" spans="1:27" hidden="1" x14ac:dyDescent="0.25">
      <c r="A134" s="266">
        <v>43473</v>
      </c>
      <c r="B134" s="267">
        <v>2019</v>
      </c>
      <c r="C134" s="267">
        <v>2019</v>
      </c>
      <c r="D134" s="267">
        <v>1</v>
      </c>
      <c r="E134" s="267">
        <v>1</v>
      </c>
      <c r="F134" s="267" t="s">
        <v>944</v>
      </c>
      <c r="G134" s="267" t="s">
        <v>3926</v>
      </c>
      <c r="H134" s="267" t="s">
        <v>4144</v>
      </c>
      <c r="I134" s="267" t="s">
        <v>934</v>
      </c>
      <c r="J134" s="267" t="s">
        <v>3928</v>
      </c>
      <c r="K134" s="267">
        <v>6606</v>
      </c>
      <c r="L134" s="267">
        <v>72300</v>
      </c>
      <c r="M134" s="267" t="s">
        <v>3940</v>
      </c>
      <c r="N134" s="267" t="s">
        <v>3944</v>
      </c>
      <c r="O134" s="267">
        <v>2690</v>
      </c>
      <c r="P134" s="267" t="s">
        <v>3944</v>
      </c>
      <c r="Q134" s="267" t="s">
        <v>3944</v>
      </c>
      <c r="R134" s="267">
        <v>2690</v>
      </c>
      <c r="S134" s="267">
        <v>23542.47</v>
      </c>
      <c r="T134" s="267">
        <v>26232.47</v>
      </c>
      <c r="U134" s="268" t="s">
        <v>3945</v>
      </c>
      <c r="V134" s="267" t="s">
        <v>944</v>
      </c>
    </row>
    <row r="135" spans="1:27" hidden="1" x14ac:dyDescent="0.25">
      <c r="A135" s="269">
        <v>43473</v>
      </c>
      <c r="B135" s="270">
        <v>2019</v>
      </c>
      <c r="C135" s="270">
        <v>2019</v>
      </c>
      <c r="D135" s="270">
        <v>1</v>
      </c>
      <c r="E135" s="270">
        <v>1</v>
      </c>
      <c r="F135" s="270" t="s">
        <v>944</v>
      </c>
      <c r="G135" s="270" t="s">
        <v>3926</v>
      </c>
      <c r="H135" s="270" t="s">
        <v>4145</v>
      </c>
      <c r="I135" s="270" t="s">
        <v>3008</v>
      </c>
      <c r="J135" s="270" t="s">
        <v>3928</v>
      </c>
      <c r="K135" s="270">
        <v>6460</v>
      </c>
      <c r="L135" s="270">
        <v>151200</v>
      </c>
      <c r="M135" s="270" t="s">
        <v>3935</v>
      </c>
      <c r="N135" s="270" t="s">
        <v>3944</v>
      </c>
      <c r="O135" s="270">
        <v>2661</v>
      </c>
      <c r="P135" s="270" t="s">
        <v>3944</v>
      </c>
      <c r="Q135" s="270" t="s">
        <v>3944</v>
      </c>
      <c r="R135" s="270">
        <v>2661</v>
      </c>
      <c r="S135" s="270">
        <v>29239</v>
      </c>
      <c r="T135" s="270">
        <v>31900</v>
      </c>
      <c r="U135" s="271" t="s">
        <v>3945</v>
      </c>
      <c r="V135" s="267" t="s">
        <v>944</v>
      </c>
    </row>
    <row r="136" spans="1:27" hidden="1" x14ac:dyDescent="0.25">
      <c r="A136" s="266">
        <v>43473</v>
      </c>
      <c r="B136" s="267">
        <v>2019</v>
      </c>
      <c r="C136" s="267">
        <v>2019</v>
      </c>
      <c r="D136" s="267">
        <v>1</v>
      </c>
      <c r="E136" s="267">
        <v>1</v>
      </c>
      <c r="F136" s="267" t="s">
        <v>944</v>
      </c>
      <c r="G136" s="267" t="s">
        <v>3926</v>
      </c>
      <c r="H136" s="267" t="s">
        <v>4146</v>
      </c>
      <c r="I136" s="267" t="s">
        <v>4147</v>
      </c>
      <c r="J136" s="267" t="s">
        <v>3928</v>
      </c>
      <c r="K136" s="267">
        <v>6109</v>
      </c>
      <c r="L136" s="267">
        <v>492600</v>
      </c>
      <c r="M136" s="267" t="s">
        <v>3960</v>
      </c>
      <c r="N136" s="267" t="s">
        <v>3944</v>
      </c>
      <c r="O136" s="267">
        <v>2230</v>
      </c>
      <c r="P136" s="267" t="s">
        <v>3944</v>
      </c>
      <c r="Q136" s="267" t="s">
        <v>3944</v>
      </c>
      <c r="R136" s="267">
        <v>2230</v>
      </c>
      <c r="S136" s="267">
        <v>35430</v>
      </c>
      <c r="T136" s="267">
        <v>37660</v>
      </c>
      <c r="U136" s="268" t="s">
        <v>3945</v>
      </c>
      <c r="V136" s="267" t="s">
        <v>944</v>
      </c>
    </row>
    <row r="137" spans="1:27" hidden="1" x14ac:dyDescent="0.25">
      <c r="A137" s="269">
        <v>43473</v>
      </c>
      <c r="B137" s="270">
        <v>2019</v>
      </c>
      <c r="C137" s="270">
        <v>2019</v>
      </c>
      <c r="D137" s="270">
        <v>1</v>
      </c>
      <c r="E137" s="270">
        <v>1</v>
      </c>
      <c r="F137" s="270" t="s">
        <v>944</v>
      </c>
      <c r="G137" s="270" t="s">
        <v>3926</v>
      </c>
      <c r="H137" s="270" t="s">
        <v>4148</v>
      </c>
      <c r="I137" s="270" t="s">
        <v>3012</v>
      </c>
      <c r="J137" s="270" t="s">
        <v>3928</v>
      </c>
      <c r="K137" s="270">
        <v>6477</v>
      </c>
      <c r="L137" s="270">
        <v>157400</v>
      </c>
      <c r="M137" s="270" t="s">
        <v>3943</v>
      </c>
      <c r="N137" s="270" t="s">
        <v>3944</v>
      </c>
      <c r="O137" s="270">
        <v>2575</v>
      </c>
      <c r="P137" s="270" t="s">
        <v>3944</v>
      </c>
      <c r="Q137" s="270" t="s">
        <v>3944</v>
      </c>
      <c r="R137" s="270">
        <v>2575</v>
      </c>
      <c r="S137" s="270">
        <v>34401</v>
      </c>
      <c r="T137" s="270">
        <v>36976</v>
      </c>
      <c r="U137" s="271" t="s">
        <v>3945</v>
      </c>
      <c r="V137" s="267" t="s">
        <v>944</v>
      </c>
    </row>
    <row r="138" spans="1:27" hidden="1" x14ac:dyDescent="0.25">
      <c r="A138" s="266">
        <v>43473</v>
      </c>
      <c r="B138" s="267">
        <v>2019</v>
      </c>
      <c r="C138" s="267">
        <v>2019</v>
      </c>
      <c r="D138" s="267">
        <v>1</v>
      </c>
      <c r="E138" s="267">
        <v>1</v>
      </c>
      <c r="F138" s="267" t="s">
        <v>944</v>
      </c>
      <c r="G138" s="267" t="s">
        <v>3926</v>
      </c>
      <c r="H138" s="267" t="s">
        <v>4149</v>
      </c>
      <c r="I138" s="267" t="s">
        <v>3939</v>
      </c>
      <c r="J138" s="267" t="s">
        <v>3928</v>
      </c>
      <c r="K138" s="267">
        <v>6513</v>
      </c>
      <c r="L138" s="267">
        <v>180602</v>
      </c>
      <c r="M138" s="267" t="s">
        <v>3935</v>
      </c>
      <c r="N138" s="267" t="s">
        <v>3944</v>
      </c>
      <c r="O138" s="267">
        <v>4039</v>
      </c>
      <c r="P138" s="267" t="s">
        <v>3944</v>
      </c>
      <c r="Q138" s="267" t="s">
        <v>3944</v>
      </c>
      <c r="R138" s="267">
        <v>4039</v>
      </c>
      <c r="S138" s="267">
        <v>26673.5</v>
      </c>
      <c r="T138" s="267">
        <v>30712.5</v>
      </c>
      <c r="U138" s="268" t="s">
        <v>3945</v>
      </c>
      <c r="V138" s="267" t="s">
        <v>944</v>
      </c>
    </row>
    <row r="139" spans="1:27" hidden="1" x14ac:dyDescent="0.25">
      <c r="A139" s="269">
        <v>43473</v>
      </c>
      <c r="B139" s="270">
        <v>2019</v>
      </c>
      <c r="C139" s="270">
        <v>2019</v>
      </c>
      <c r="D139" s="270">
        <v>1</v>
      </c>
      <c r="E139" s="270">
        <v>1</v>
      </c>
      <c r="F139" s="270" t="s">
        <v>944</v>
      </c>
      <c r="G139" s="270" t="s">
        <v>3926</v>
      </c>
      <c r="H139" s="270" t="s">
        <v>4150</v>
      </c>
      <c r="I139" s="270" t="s">
        <v>3985</v>
      </c>
      <c r="J139" s="270" t="s">
        <v>3928</v>
      </c>
      <c r="K139" s="270">
        <v>6254</v>
      </c>
      <c r="L139" s="270">
        <v>712100</v>
      </c>
      <c r="M139" s="270" t="s">
        <v>3960</v>
      </c>
      <c r="N139" s="270" t="s">
        <v>3944</v>
      </c>
      <c r="O139" s="270">
        <v>2840</v>
      </c>
      <c r="P139" s="270" t="s">
        <v>3944</v>
      </c>
      <c r="Q139" s="270" t="s">
        <v>3944</v>
      </c>
      <c r="R139" s="270">
        <v>2840</v>
      </c>
      <c r="S139" s="270">
        <v>22627.75</v>
      </c>
      <c r="T139" s="270">
        <v>25467.75</v>
      </c>
      <c r="U139" s="271" t="s">
        <v>3945</v>
      </c>
      <c r="V139" s="267" t="s">
        <v>944</v>
      </c>
    </row>
    <row r="140" spans="1:27" x14ac:dyDescent="0.25">
      <c r="A140" s="266">
        <v>43473</v>
      </c>
      <c r="B140" s="267">
        <v>2019</v>
      </c>
      <c r="C140" s="267">
        <v>2019</v>
      </c>
      <c r="D140" s="267">
        <v>1</v>
      </c>
      <c r="E140" s="267">
        <v>1</v>
      </c>
      <c r="F140" s="267" t="s">
        <v>944</v>
      </c>
      <c r="G140" s="267" t="s">
        <v>3926</v>
      </c>
      <c r="H140" s="267" t="s">
        <v>4151</v>
      </c>
      <c r="I140" s="267" t="s">
        <v>953</v>
      </c>
      <c r="J140" s="267" t="s">
        <v>3928</v>
      </c>
      <c r="K140" s="267">
        <v>6514</v>
      </c>
      <c r="L140" s="267">
        <v>165500</v>
      </c>
      <c r="M140" s="267">
        <v>-60</v>
      </c>
      <c r="N140" s="267" t="s">
        <v>3944</v>
      </c>
      <c r="O140" s="267">
        <v>1485</v>
      </c>
      <c r="P140" s="267" t="s">
        <v>3944</v>
      </c>
      <c r="Q140" s="267" t="s">
        <v>3944</v>
      </c>
      <c r="R140" s="267">
        <v>1485</v>
      </c>
      <c r="S140" s="267">
        <v>31590</v>
      </c>
      <c r="T140" s="267">
        <v>33075</v>
      </c>
      <c r="U140" s="268" t="s">
        <v>3945</v>
      </c>
      <c r="V140" s="276" t="s">
        <v>936</v>
      </c>
    </row>
    <row r="141" spans="1:27" hidden="1" x14ac:dyDescent="0.25">
      <c r="A141" s="269">
        <v>43473</v>
      </c>
      <c r="B141" s="270">
        <v>2019</v>
      </c>
      <c r="C141" s="270">
        <v>2019</v>
      </c>
      <c r="D141" s="270">
        <v>1</v>
      </c>
      <c r="E141" s="270">
        <v>1</v>
      </c>
      <c r="F141" s="270" t="s">
        <v>944</v>
      </c>
      <c r="G141" s="270" t="s">
        <v>3926</v>
      </c>
      <c r="H141" s="270" t="s">
        <v>4152</v>
      </c>
      <c r="I141" s="270" t="s">
        <v>3025</v>
      </c>
      <c r="J141" s="270" t="s">
        <v>3928</v>
      </c>
      <c r="K141" s="270">
        <v>6473</v>
      </c>
      <c r="L141" s="270">
        <v>167100</v>
      </c>
      <c r="M141" s="270" t="s">
        <v>3943</v>
      </c>
      <c r="N141" s="270" t="s">
        <v>3944</v>
      </c>
      <c r="O141" s="270">
        <v>3356</v>
      </c>
      <c r="P141" s="270" t="s">
        <v>3944</v>
      </c>
      <c r="Q141" s="270" t="s">
        <v>3944</v>
      </c>
      <c r="R141" s="270">
        <v>3356</v>
      </c>
      <c r="S141" s="270">
        <v>56887.75</v>
      </c>
      <c r="T141" s="270">
        <v>60243.75</v>
      </c>
      <c r="U141" s="271" t="s">
        <v>3945</v>
      </c>
      <c r="V141" s="267" t="s">
        <v>944</v>
      </c>
    </row>
    <row r="142" spans="1:27" hidden="1" x14ac:dyDescent="0.25">
      <c r="A142" s="266">
        <v>43473</v>
      </c>
      <c r="B142" s="267">
        <v>2019</v>
      </c>
      <c r="C142" s="267">
        <v>2019</v>
      </c>
      <c r="D142" s="267">
        <v>1</v>
      </c>
      <c r="E142" s="267">
        <v>1</v>
      </c>
      <c r="F142" s="267" t="s">
        <v>944</v>
      </c>
      <c r="G142" s="267" t="s">
        <v>3926</v>
      </c>
      <c r="H142" s="267" t="s">
        <v>4153</v>
      </c>
      <c r="I142" s="267" t="s">
        <v>956</v>
      </c>
      <c r="J142" s="267" t="s">
        <v>3928</v>
      </c>
      <c r="K142" s="267">
        <v>6615</v>
      </c>
      <c r="L142" s="267">
        <v>80400</v>
      </c>
      <c r="M142" s="267" t="s">
        <v>3940</v>
      </c>
      <c r="N142" s="267" t="s">
        <v>3944</v>
      </c>
      <c r="O142" s="267">
        <v>2164</v>
      </c>
      <c r="P142" s="267" t="s">
        <v>3944</v>
      </c>
      <c r="Q142" s="267" t="s">
        <v>3944</v>
      </c>
      <c r="R142" s="267">
        <v>2164</v>
      </c>
      <c r="S142" s="267">
        <v>23036</v>
      </c>
      <c r="T142" s="267">
        <v>25200</v>
      </c>
      <c r="U142" s="268" t="s">
        <v>3945</v>
      </c>
      <c r="V142" s="267" t="s">
        <v>944</v>
      </c>
    </row>
    <row r="143" spans="1:27" hidden="1" x14ac:dyDescent="0.25">
      <c r="A143" s="269">
        <v>43473</v>
      </c>
      <c r="B143" s="270">
        <v>2019</v>
      </c>
      <c r="C143" s="270">
        <v>2019</v>
      </c>
      <c r="D143" s="270">
        <v>1</v>
      </c>
      <c r="E143" s="270">
        <v>1</v>
      </c>
      <c r="F143" s="270" t="s">
        <v>944</v>
      </c>
      <c r="G143" s="270" t="s">
        <v>3926</v>
      </c>
      <c r="H143" s="270" t="s">
        <v>4154</v>
      </c>
      <c r="I143" s="270" t="s">
        <v>3025</v>
      </c>
      <c r="J143" s="270" t="s">
        <v>3928</v>
      </c>
      <c r="K143" s="270">
        <v>6473</v>
      </c>
      <c r="L143" s="270">
        <v>167300</v>
      </c>
      <c r="M143" s="270" t="s">
        <v>3943</v>
      </c>
      <c r="N143" s="270" t="s">
        <v>3944</v>
      </c>
      <c r="O143" s="270">
        <v>2358</v>
      </c>
      <c r="P143" s="270" t="s">
        <v>3944</v>
      </c>
      <c r="Q143" s="270" t="s">
        <v>3944</v>
      </c>
      <c r="R143" s="270">
        <v>2358</v>
      </c>
      <c r="S143" s="270">
        <v>35127</v>
      </c>
      <c r="T143" s="270">
        <v>37485</v>
      </c>
      <c r="U143" s="271" t="s">
        <v>3945</v>
      </c>
      <c r="V143" s="267" t="s">
        <v>944</v>
      </c>
    </row>
    <row r="144" spans="1:27" hidden="1" x14ac:dyDescent="0.25">
      <c r="A144" s="266">
        <v>43473</v>
      </c>
      <c r="B144" s="267">
        <v>2019</v>
      </c>
      <c r="C144" s="267">
        <v>2019</v>
      </c>
      <c r="D144" s="267">
        <v>1</v>
      </c>
      <c r="E144" s="267">
        <v>1</v>
      </c>
      <c r="F144" s="267" t="s">
        <v>944</v>
      </c>
      <c r="G144" s="267" t="s">
        <v>3926</v>
      </c>
      <c r="H144" s="267" t="s">
        <v>4155</v>
      </c>
      <c r="I144" s="267" t="s">
        <v>3025</v>
      </c>
      <c r="J144" s="267" t="s">
        <v>3928</v>
      </c>
      <c r="K144" s="267">
        <v>6473</v>
      </c>
      <c r="L144" s="267">
        <v>167201</v>
      </c>
      <c r="M144" s="267" t="s">
        <v>3960</v>
      </c>
      <c r="N144" s="267" t="s">
        <v>3944</v>
      </c>
      <c r="O144" s="267">
        <v>3630</v>
      </c>
      <c r="P144" s="267" t="s">
        <v>3944</v>
      </c>
      <c r="Q144" s="267" t="s">
        <v>3944</v>
      </c>
      <c r="R144" s="267">
        <v>3630</v>
      </c>
      <c r="S144" s="267">
        <v>49321.51</v>
      </c>
      <c r="T144" s="267">
        <v>52951.51</v>
      </c>
      <c r="U144" s="268" t="s">
        <v>3945</v>
      </c>
      <c r="V144" s="267" t="s">
        <v>944</v>
      </c>
    </row>
    <row r="145" spans="1:22" hidden="1" x14ac:dyDescent="0.25">
      <c r="A145" s="269">
        <v>43473</v>
      </c>
      <c r="B145" s="270">
        <v>2019</v>
      </c>
      <c r="C145" s="270">
        <v>2019</v>
      </c>
      <c r="D145" s="270">
        <v>1</v>
      </c>
      <c r="E145" s="270">
        <v>1</v>
      </c>
      <c r="F145" s="270" t="s">
        <v>944</v>
      </c>
      <c r="G145" s="270" t="s">
        <v>3926</v>
      </c>
      <c r="H145" s="270" t="s">
        <v>4156</v>
      </c>
      <c r="I145" s="270" t="s">
        <v>3939</v>
      </c>
      <c r="J145" s="270" t="s">
        <v>3928</v>
      </c>
      <c r="K145" s="270">
        <v>6513</v>
      </c>
      <c r="L145" s="270">
        <v>180500</v>
      </c>
      <c r="M145" s="270" t="s">
        <v>3935</v>
      </c>
      <c r="N145" s="270" t="s">
        <v>3944</v>
      </c>
      <c r="O145" s="270">
        <v>5888</v>
      </c>
      <c r="P145" s="270" t="s">
        <v>3944</v>
      </c>
      <c r="Q145" s="270" t="s">
        <v>3944</v>
      </c>
      <c r="R145" s="270">
        <v>5888</v>
      </c>
      <c r="S145" s="270">
        <v>49394.5</v>
      </c>
      <c r="T145" s="270">
        <v>55282.5</v>
      </c>
      <c r="U145" s="271" t="s">
        <v>3945</v>
      </c>
      <c r="V145" s="267" t="s">
        <v>944</v>
      </c>
    </row>
    <row r="146" spans="1:22" x14ac:dyDescent="0.25">
      <c r="A146" s="266">
        <v>43473</v>
      </c>
      <c r="B146" s="267">
        <v>2019</v>
      </c>
      <c r="C146" s="267">
        <v>2019</v>
      </c>
      <c r="D146" s="267">
        <v>1</v>
      </c>
      <c r="E146" s="267">
        <v>1</v>
      </c>
      <c r="F146" s="267" t="s">
        <v>944</v>
      </c>
      <c r="G146" s="267" t="s">
        <v>3997</v>
      </c>
      <c r="H146" s="267" t="s">
        <v>4157</v>
      </c>
      <c r="I146" s="267" t="s">
        <v>953</v>
      </c>
      <c r="J146" s="267" t="s">
        <v>3928</v>
      </c>
      <c r="K146" s="267">
        <v>6514</v>
      </c>
      <c r="L146" s="267">
        <v>165500</v>
      </c>
      <c r="M146" s="267">
        <v>-60</v>
      </c>
      <c r="N146" s="267" t="s">
        <v>3944</v>
      </c>
      <c r="O146" s="267">
        <v>712.81</v>
      </c>
      <c r="P146" s="267" t="s">
        <v>3944</v>
      </c>
      <c r="Q146" s="267" t="s">
        <v>3944</v>
      </c>
      <c r="R146" s="267">
        <v>712.81</v>
      </c>
      <c r="S146" s="267">
        <v>9990.5</v>
      </c>
      <c r="T146" s="267">
        <v>10703.31</v>
      </c>
      <c r="U146" s="268" t="s">
        <v>3945</v>
      </c>
      <c r="V146" s="276" t="s">
        <v>936</v>
      </c>
    </row>
    <row r="147" spans="1:22" hidden="1" x14ac:dyDescent="0.25">
      <c r="A147" s="269">
        <v>43473</v>
      </c>
      <c r="B147" s="270">
        <v>2019</v>
      </c>
      <c r="C147" s="270">
        <v>2019</v>
      </c>
      <c r="D147" s="270">
        <v>1</v>
      </c>
      <c r="E147" s="270">
        <v>1</v>
      </c>
      <c r="F147" s="270" t="s">
        <v>944</v>
      </c>
      <c r="G147" s="270" t="s">
        <v>3926</v>
      </c>
      <c r="H147" s="270" t="s">
        <v>4158</v>
      </c>
      <c r="I147" s="270" t="s">
        <v>4159</v>
      </c>
      <c r="J147" s="270" t="s">
        <v>3928</v>
      </c>
      <c r="K147" s="270">
        <v>6088</v>
      </c>
      <c r="L147" s="270">
        <v>484100</v>
      </c>
      <c r="M147" s="270" t="s">
        <v>3935</v>
      </c>
      <c r="N147" s="270" t="s">
        <v>3944</v>
      </c>
      <c r="O147" s="270">
        <v>1358.04</v>
      </c>
      <c r="P147" s="270" t="s">
        <v>3944</v>
      </c>
      <c r="Q147" s="270" t="s">
        <v>3944</v>
      </c>
      <c r="R147" s="270">
        <v>1358.04</v>
      </c>
      <c r="S147" s="270">
        <v>9734.9599999999991</v>
      </c>
      <c r="T147" s="270">
        <v>11093</v>
      </c>
      <c r="U147" s="271" t="s">
        <v>3945</v>
      </c>
      <c r="V147" s="267" t="s">
        <v>944</v>
      </c>
    </row>
    <row r="148" spans="1:22" hidden="1" x14ac:dyDescent="0.25">
      <c r="A148" s="266">
        <v>43473</v>
      </c>
      <c r="B148" s="267">
        <v>2019</v>
      </c>
      <c r="C148" s="267">
        <v>2019</v>
      </c>
      <c r="D148" s="267">
        <v>1</v>
      </c>
      <c r="E148" s="267">
        <v>1</v>
      </c>
      <c r="F148" s="267" t="s">
        <v>944</v>
      </c>
      <c r="G148" s="267" t="s">
        <v>3926</v>
      </c>
      <c r="H148" s="267" t="s">
        <v>4160</v>
      </c>
      <c r="I148" s="267" t="s">
        <v>4108</v>
      </c>
      <c r="J148" s="267" t="s">
        <v>3928</v>
      </c>
      <c r="K148" s="267">
        <v>6082</v>
      </c>
      <c r="L148" s="267">
        <v>481300</v>
      </c>
      <c r="M148" s="267" t="s">
        <v>3960</v>
      </c>
      <c r="N148" s="267" t="s">
        <v>3944</v>
      </c>
      <c r="O148" s="267">
        <v>721.95</v>
      </c>
      <c r="P148" s="267" t="s">
        <v>3944</v>
      </c>
      <c r="Q148" s="267" t="s">
        <v>3944</v>
      </c>
      <c r="R148" s="267">
        <v>721.95</v>
      </c>
      <c r="S148" s="267">
        <v>11600.85</v>
      </c>
      <c r="T148" s="267">
        <v>12322.8</v>
      </c>
      <c r="U148" s="268" t="s">
        <v>3945</v>
      </c>
      <c r="V148" s="267" t="s">
        <v>944</v>
      </c>
    </row>
    <row r="149" spans="1:22" hidden="1" x14ac:dyDescent="0.25">
      <c r="A149" s="269">
        <v>43473</v>
      </c>
      <c r="B149" s="270">
        <v>2019</v>
      </c>
      <c r="C149" s="270">
        <v>2019</v>
      </c>
      <c r="D149" s="270">
        <v>1</v>
      </c>
      <c r="E149" s="270">
        <v>1</v>
      </c>
      <c r="F149" s="270" t="s">
        <v>944</v>
      </c>
      <c r="G149" s="270" t="s">
        <v>3926</v>
      </c>
      <c r="H149" s="270" t="s">
        <v>4161</v>
      </c>
      <c r="I149" s="270" t="s">
        <v>3008</v>
      </c>
      <c r="J149" s="270" t="s">
        <v>3928</v>
      </c>
      <c r="K149" s="270">
        <v>6460</v>
      </c>
      <c r="L149" s="270">
        <v>151200</v>
      </c>
      <c r="M149" s="270" t="s">
        <v>3935</v>
      </c>
      <c r="N149" s="270" t="s">
        <v>3944</v>
      </c>
      <c r="O149" s="270">
        <v>2834.69</v>
      </c>
      <c r="P149" s="270" t="s">
        <v>3944</v>
      </c>
      <c r="Q149" s="270" t="s">
        <v>3944</v>
      </c>
      <c r="R149" s="270">
        <v>2834.69</v>
      </c>
      <c r="S149" s="270">
        <v>37791.82</v>
      </c>
      <c r="T149" s="270">
        <v>40626.51</v>
      </c>
      <c r="U149" s="271" t="s">
        <v>3945</v>
      </c>
      <c r="V149" s="267" t="s">
        <v>944</v>
      </c>
    </row>
    <row r="150" spans="1:22" hidden="1" x14ac:dyDescent="0.25">
      <c r="A150" s="266">
        <v>43473</v>
      </c>
      <c r="B150" s="267">
        <v>2019</v>
      </c>
      <c r="C150" s="267">
        <v>2019</v>
      </c>
      <c r="D150" s="267">
        <v>1</v>
      </c>
      <c r="E150" s="267">
        <v>1</v>
      </c>
      <c r="F150" s="267" t="s">
        <v>944</v>
      </c>
      <c r="G150" s="267" t="s">
        <v>3926</v>
      </c>
      <c r="H150" s="267" t="s">
        <v>4162</v>
      </c>
      <c r="I150" s="267" t="s">
        <v>4069</v>
      </c>
      <c r="J150" s="267" t="s">
        <v>3928</v>
      </c>
      <c r="K150" s="267">
        <v>6902</v>
      </c>
      <c r="L150" s="267">
        <v>21900</v>
      </c>
      <c r="M150" s="267" t="s">
        <v>3940</v>
      </c>
      <c r="N150" s="267" t="s">
        <v>3944</v>
      </c>
      <c r="O150" s="267">
        <v>1044.23</v>
      </c>
      <c r="P150" s="267" t="s">
        <v>3944</v>
      </c>
      <c r="Q150" s="267" t="s">
        <v>3944</v>
      </c>
      <c r="R150" s="267">
        <v>1044.23</v>
      </c>
      <c r="S150" s="267">
        <v>11612.77</v>
      </c>
      <c r="T150" s="267">
        <v>12657</v>
      </c>
      <c r="U150" s="268" t="s">
        <v>3945</v>
      </c>
      <c r="V150" s="267" t="s">
        <v>944</v>
      </c>
    </row>
    <row r="151" spans="1:22" hidden="1" x14ac:dyDescent="0.25">
      <c r="A151" s="269">
        <v>43473</v>
      </c>
      <c r="B151" s="270">
        <v>2019</v>
      </c>
      <c r="C151" s="270">
        <v>2019</v>
      </c>
      <c r="D151" s="270">
        <v>1</v>
      </c>
      <c r="E151" s="270">
        <v>1</v>
      </c>
      <c r="F151" s="270" t="s">
        <v>944</v>
      </c>
      <c r="G151" s="270" t="s">
        <v>3926</v>
      </c>
      <c r="H151" s="270" t="s">
        <v>4163</v>
      </c>
      <c r="I151" s="270" t="s">
        <v>953</v>
      </c>
      <c r="J151" s="270" t="s">
        <v>3928</v>
      </c>
      <c r="K151" s="270">
        <v>6517</v>
      </c>
      <c r="L151" s="270">
        <v>165400</v>
      </c>
      <c r="M151" s="270" t="s">
        <v>3935</v>
      </c>
      <c r="N151" s="270" t="s">
        <v>3944</v>
      </c>
      <c r="O151" s="270">
        <v>878.33</v>
      </c>
      <c r="P151" s="270" t="s">
        <v>3944</v>
      </c>
      <c r="Q151" s="270" t="s">
        <v>3944</v>
      </c>
      <c r="R151" s="270">
        <v>878.33</v>
      </c>
      <c r="S151" s="270">
        <v>14747.26</v>
      </c>
      <c r="T151" s="270">
        <v>15625.59</v>
      </c>
      <c r="U151" s="271" t="s">
        <v>3945</v>
      </c>
      <c r="V151" s="267" t="s">
        <v>944</v>
      </c>
    </row>
    <row r="152" spans="1:22" hidden="1" x14ac:dyDescent="0.25">
      <c r="A152" s="266">
        <v>43473</v>
      </c>
      <c r="B152" s="267">
        <v>2019</v>
      </c>
      <c r="C152" s="267">
        <v>2019</v>
      </c>
      <c r="D152" s="267">
        <v>1</v>
      </c>
      <c r="E152" s="267">
        <v>1</v>
      </c>
      <c r="F152" s="267" t="s">
        <v>944</v>
      </c>
      <c r="G152" s="267" t="s">
        <v>3926</v>
      </c>
      <c r="H152" s="267" t="s">
        <v>4164</v>
      </c>
      <c r="I152" s="267" t="s">
        <v>3025</v>
      </c>
      <c r="J152" s="267" t="s">
        <v>3928</v>
      </c>
      <c r="K152" s="267">
        <v>6473</v>
      </c>
      <c r="L152" s="267">
        <v>167300</v>
      </c>
      <c r="M152" s="267" t="s">
        <v>3943</v>
      </c>
      <c r="N152" s="267" t="s">
        <v>3944</v>
      </c>
      <c r="O152" s="267">
        <v>692.9</v>
      </c>
      <c r="P152" s="267" t="s">
        <v>3944</v>
      </c>
      <c r="Q152" s="267" t="s">
        <v>3944</v>
      </c>
      <c r="R152" s="267">
        <v>692.9</v>
      </c>
      <c r="S152" s="267">
        <v>10765.87</v>
      </c>
      <c r="T152" s="267">
        <v>11458.77</v>
      </c>
      <c r="U152" s="268" t="s">
        <v>3945</v>
      </c>
      <c r="V152" s="267" t="s">
        <v>944</v>
      </c>
    </row>
    <row r="153" spans="1:22" hidden="1" x14ac:dyDescent="0.25">
      <c r="A153" s="269">
        <v>43473</v>
      </c>
      <c r="B153" s="270">
        <v>2019</v>
      </c>
      <c r="C153" s="270">
        <v>2019</v>
      </c>
      <c r="D153" s="270">
        <v>1</v>
      </c>
      <c r="E153" s="270">
        <v>1</v>
      </c>
      <c r="F153" s="270" t="s">
        <v>944</v>
      </c>
      <c r="G153" s="270" t="s">
        <v>3926</v>
      </c>
      <c r="H153" s="270" t="s">
        <v>4165</v>
      </c>
      <c r="I153" s="270" t="s">
        <v>3962</v>
      </c>
      <c r="J153" s="270" t="s">
        <v>3928</v>
      </c>
      <c r="K153" s="270">
        <v>6379</v>
      </c>
      <c r="L153" s="270">
        <v>705101</v>
      </c>
      <c r="M153" s="270" t="s">
        <v>3935</v>
      </c>
      <c r="N153" s="270" t="s">
        <v>3944</v>
      </c>
      <c r="O153" s="270">
        <v>1255.98</v>
      </c>
      <c r="P153" s="270" t="s">
        <v>3944</v>
      </c>
      <c r="Q153" s="270" t="s">
        <v>3944</v>
      </c>
      <c r="R153" s="270">
        <v>1255.98</v>
      </c>
      <c r="S153" s="270">
        <v>13470.02</v>
      </c>
      <c r="T153" s="270">
        <v>14726</v>
      </c>
      <c r="U153" s="271" t="s">
        <v>3945</v>
      </c>
      <c r="V153" s="267" t="s">
        <v>944</v>
      </c>
    </row>
    <row r="154" spans="1:22" hidden="1" x14ac:dyDescent="0.25">
      <c r="A154" s="266">
        <v>43473</v>
      </c>
      <c r="B154" s="267">
        <v>2019</v>
      </c>
      <c r="C154" s="267">
        <v>2019</v>
      </c>
      <c r="D154" s="267">
        <v>1</v>
      </c>
      <c r="E154" s="267">
        <v>1</v>
      </c>
      <c r="F154" s="267" t="s">
        <v>944</v>
      </c>
      <c r="G154" s="267" t="s">
        <v>3926</v>
      </c>
      <c r="H154" s="267" t="s">
        <v>4166</v>
      </c>
      <c r="I154" s="267" t="s">
        <v>956</v>
      </c>
      <c r="J154" s="267" t="s">
        <v>3928</v>
      </c>
      <c r="K154" s="267">
        <v>6614</v>
      </c>
      <c r="L154" s="267">
        <v>81200</v>
      </c>
      <c r="M154" s="267" t="s">
        <v>3943</v>
      </c>
      <c r="N154" s="267" t="s">
        <v>3944</v>
      </c>
      <c r="O154" s="267">
        <v>1402.21</v>
      </c>
      <c r="P154" s="267" t="s">
        <v>3944</v>
      </c>
      <c r="Q154" s="267" t="s">
        <v>3944</v>
      </c>
      <c r="R154" s="267">
        <v>1402.21</v>
      </c>
      <c r="S154" s="267">
        <v>12528.79</v>
      </c>
      <c r="T154" s="267">
        <v>13931</v>
      </c>
      <c r="U154" s="268" t="s">
        <v>3945</v>
      </c>
      <c r="V154" s="267" t="s">
        <v>944</v>
      </c>
    </row>
    <row r="155" spans="1:22" hidden="1" x14ac:dyDescent="0.25">
      <c r="A155" s="269">
        <v>43473</v>
      </c>
      <c r="B155" s="270">
        <v>2019</v>
      </c>
      <c r="C155" s="270">
        <v>2019</v>
      </c>
      <c r="D155" s="270">
        <v>1</v>
      </c>
      <c r="E155" s="270">
        <v>1</v>
      </c>
      <c r="F155" s="270" t="s">
        <v>944</v>
      </c>
      <c r="G155" s="270" t="s">
        <v>3926</v>
      </c>
      <c r="H155" s="270" t="s">
        <v>4167</v>
      </c>
      <c r="I155" s="270" t="s">
        <v>4168</v>
      </c>
      <c r="J155" s="270" t="s">
        <v>3928</v>
      </c>
      <c r="K155" s="270">
        <v>6475</v>
      </c>
      <c r="L155" s="270">
        <v>670100</v>
      </c>
      <c r="M155" s="270" t="s">
        <v>3960</v>
      </c>
      <c r="N155" s="270" t="s">
        <v>3944</v>
      </c>
      <c r="O155" s="270">
        <v>2256.87</v>
      </c>
      <c r="P155" s="270" t="s">
        <v>3944</v>
      </c>
      <c r="Q155" s="270" t="s">
        <v>3944</v>
      </c>
      <c r="R155" s="270">
        <v>2256.87</v>
      </c>
      <c r="S155" s="270">
        <v>22768.13</v>
      </c>
      <c r="T155" s="270">
        <v>25025</v>
      </c>
      <c r="U155" s="271" t="s">
        <v>3945</v>
      </c>
      <c r="V155" s="267" t="s">
        <v>944</v>
      </c>
    </row>
    <row r="156" spans="1:22" hidden="1" x14ac:dyDescent="0.25">
      <c r="A156" s="266">
        <v>43473</v>
      </c>
      <c r="B156" s="267">
        <v>2019</v>
      </c>
      <c r="C156" s="267">
        <v>2019</v>
      </c>
      <c r="D156" s="267">
        <v>1</v>
      </c>
      <c r="E156" s="267">
        <v>1</v>
      </c>
      <c r="F156" s="267" t="s">
        <v>944</v>
      </c>
      <c r="G156" s="267" t="s">
        <v>3926</v>
      </c>
      <c r="H156" s="267" t="s">
        <v>4169</v>
      </c>
      <c r="I156" s="267" t="s">
        <v>4170</v>
      </c>
      <c r="J156" s="267" t="s">
        <v>3928</v>
      </c>
      <c r="K156" s="267">
        <v>6498</v>
      </c>
      <c r="L156" s="267">
        <v>680100</v>
      </c>
      <c r="M156" s="267" t="s">
        <v>3935</v>
      </c>
      <c r="N156" s="267" t="s">
        <v>3944</v>
      </c>
      <c r="O156" s="267">
        <v>1815.35</v>
      </c>
      <c r="P156" s="267" t="s">
        <v>3944</v>
      </c>
      <c r="Q156" s="267" t="s">
        <v>3944</v>
      </c>
      <c r="R156" s="267">
        <v>1815.35</v>
      </c>
      <c r="S156" s="267">
        <v>14157.65</v>
      </c>
      <c r="T156" s="267">
        <v>15973</v>
      </c>
      <c r="U156" s="268" t="s">
        <v>3945</v>
      </c>
      <c r="V156" s="267" t="s">
        <v>944</v>
      </c>
    </row>
    <row r="157" spans="1:22" hidden="1" x14ac:dyDescent="0.25">
      <c r="A157" s="269">
        <v>43473</v>
      </c>
      <c r="B157" s="270">
        <v>2019</v>
      </c>
      <c r="C157" s="270">
        <v>2019</v>
      </c>
      <c r="D157" s="270">
        <v>1</v>
      </c>
      <c r="E157" s="270">
        <v>1</v>
      </c>
      <c r="F157" s="270" t="s">
        <v>944</v>
      </c>
      <c r="G157" s="270" t="s">
        <v>3926</v>
      </c>
      <c r="H157" s="270" t="s">
        <v>4171</v>
      </c>
      <c r="I157" s="270" t="s">
        <v>4172</v>
      </c>
      <c r="J157" s="270" t="s">
        <v>3928</v>
      </c>
      <c r="K157" s="270">
        <v>6786</v>
      </c>
      <c r="L157" s="270">
        <v>425300</v>
      </c>
      <c r="M157" s="270" t="s">
        <v>3960</v>
      </c>
      <c r="N157" s="270" t="s">
        <v>3944</v>
      </c>
      <c r="O157" s="270">
        <v>1245.4100000000001</v>
      </c>
      <c r="P157" s="270" t="s">
        <v>3944</v>
      </c>
      <c r="Q157" s="270" t="s">
        <v>3944</v>
      </c>
      <c r="R157" s="270">
        <v>1245.4100000000001</v>
      </c>
      <c r="S157" s="270">
        <v>13421.59</v>
      </c>
      <c r="T157" s="270">
        <v>14667</v>
      </c>
      <c r="U157" s="271" t="s">
        <v>3945</v>
      </c>
      <c r="V157" s="267" t="s">
        <v>944</v>
      </c>
    </row>
    <row r="158" spans="1:22" hidden="1" x14ac:dyDescent="0.25">
      <c r="A158" s="266">
        <v>43473</v>
      </c>
      <c r="B158" s="267">
        <v>2019</v>
      </c>
      <c r="C158" s="267">
        <v>2019</v>
      </c>
      <c r="D158" s="267">
        <v>1</v>
      </c>
      <c r="E158" s="267">
        <v>1</v>
      </c>
      <c r="F158" s="267" t="s">
        <v>944</v>
      </c>
      <c r="G158" s="267" t="s">
        <v>3926</v>
      </c>
      <c r="H158" s="267" t="s">
        <v>4173</v>
      </c>
      <c r="I158" s="267" t="s">
        <v>956</v>
      </c>
      <c r="J158" s="267" t="s">
        <v>3928</v>
      </c>
      <c r="K158" s="267">
        <v>6614</v>
      </c>
      <c r="L158" s="267">
        <v>81100</v>
      </c>
      <c r="M158" s="267" t="s">
        <v>3960</v>
      </c>
      <c r="N158" s="267" t="s">
        <v>3944</v>
      </c>
      <c r="O158" s="267">
        <v>2230.7600000000002</v>
      </c>
      <c r="P158" s="267" t="s">
        <v>3944</v>
      </c>
      <c r="Q158" s="267" t="s">
        <v>3944</v>
      </c>
      <c r="R158" s="267">
        <v>2230.7600000000002</v>
      </c>
      <c r="S158" s="267">
        <v>30062.11</v>
      </c>
      <c r="T158" s="267">
        <v>32292.87</v>
      </c>
      <c r="U158" s="268" t="s">
        <v>3945</v>
      </c>
      <c r="V158" s="267" t="s">
        <v>944</v>
      </c>
    </row>
    <row r="159" spans="1:22" hidden="1" x14ac:dyDescent="0.25">
      <c r="A159" s="269">
        <v>43473</v>
      </c>
      <c r="B159" s="270">
        <v>2019</v>
      </c>
      <c r="C159" s="270">
        <v>2019</v>
      </c>
      <c r="D159" s="270">
        <v>1</v>
      </c>
      <c r="E159" s="270">
        <v>1</v>
      </c>
      <c r="F159" s="270" t="s">
        <v>944</v>
      </c>
      <c r="G159" s="270" t="s">
        <v>3926</v>
      </c>
      <c r="H159" s="270" t="s">
        <v>4174</v>
      </c>
      <c r="I159" s="270" t="s">
        <v>4069</v>
      </c>
      <c r="J159" s="270" t="s">
        <v>3928</v>
      </c>
      <c r="K159" s="270">
        <v>6902</v>
      </c>
      <c r="L159" s="270">
        <v>22000</v>
      </c>
      <c r="M159" s="270" t="s">
        <v>3935</v>
      </c>
      <c r="N159" s="270" t="s">
        <v>3944</v>
      </c>
      <c r="O159" s="270">
        <v>2618.1799999999998</v>
      </c>
      <c r="P159" s="270" t="s">
        <v>3944</v>
      </c>
      <c r="Q159" s="270" t="s">
        <v>3944</v>
      </c>
      <c r="R159" s="270">
        <v>2618.1799999999998</v>
      </c>
      <c r="S159" s="270">
        <v>43216.84</v>
      </c>
      <c r="T159" s="270">
        <v>45835.02</v>
      </c>
      <c r="U159" s="271" t="s">
        <v>3945</v>
      </c>
      <c r="V159" s="267" t="s">
        <v>944</v>
      </c>
    </row>
    <row r="160" spans="1:22" hidden="1" x14ac:dyDescent="0.25">
      <c r="A160" s="266">
        <v>43473</v>
      </c>
      <c r="B160" s="267">
        <v>2019</v>
      </c>
      <c r="C160" s="267">
        <v>2019</v>
      </c>
      <c r="D160" s="267">
        <v>1</v>
      </c>
      <c r="E160" s="267">
        <v>1</v>
      </c>
      <c r="F160" s="267" t="s">
        <v>944</v>
      </c>
      <c r="G160" s="267" t="s">
        <v>3926</v>
      </c>
      <c r="H160" s="267" t="s">
        <v>4175</v>
      </c>
      <c r="I160" s="267" t="s">
        <v>4147</v>
      </c>
      <c r="J160" s="267" t="s">
        <v>3928</v>
      </c>
      <c r="K160" s="267">
        <v>6109</v>
      </c>
      <c r="L160" s="267">
        <v>492500</v>
      </c>
      <c r="M160" s="267" t="s">
        <v>3960</v>
      </c>
      <c r="N160" s="267" t="s">
        <v>3944</v>
      </c>
      <c r="O160" s="267">
        <v>1866.34</v>
      </c>
      <c r="P160" s="267" t="s">
        <v>3944</v>
      </c>
      <c r="Q160" s="267" t="s">
        <v>3944</v>
      </c>
      <c r="R160" s="267">
        <v>1866.34</v>
      </c>
      <c r="S160" s="267">
        <v>19353.66</v>
      </c>
      <c r="T160" s="267">
        <v>21220</v>
      </c>
      <c r="U160" s="268" t="s">
        <v>3945</v>
      </c>
      <c r="V160" s="267" t="s">
        <v>944</v>
      </c>
    </row>
    <row r="161" spans="1:22" hidden="1" x14ac:dyDescent="0.25">
      <c r="A161" s="269">
        <v>43473</v>
      </c>
      <c r="B161" s="270">
        <v>2019</v>
      </c>
      <c r="C161" s="270">
        <v>2019</v>
      </c>
      <c r="D161" s="270">
        <v>1</v>
      </c>
      <c r="E161" s="270">
        <v>1</v>
      </c>
      <c r="F161" s="270" t="s">
        <v>944</v>
      </c>
      <c r="G161" s="270" t="s">
        <v>3926</v>
      </c>
      <c r="H161" s="270" t="s">
        <v>4176</v>
      </c>
      <c r="I161" s="270" t="s">
        <v>956</v>
      </c>
      <c r="J161" s="270" t="s">
        <v>3928</v>
      </c>
      <c r="K161" s="270">
        <v>6614</v>
      </c>
      <c r="L161" s="270">
        <v>80800</v>
      </c>
      <c r="M161" s="270" t="s">
        <v>3960</v>
      </c>
      <c r="N161" s="270" t="s">
        <v>3944</v>
      </c>
      <c r="O161" s="270">
        <v>1787.98</v>
      </c>
      <c r="P161" s="270" t="s">
        <v>3944</v>
      </c>
      <c r="Q161" s="270" t="s">
        <v>3944</v>
      </c>
      <c r="R161" s="270">
        <v>1787.98</v>
      </c>
      <c r="S161" s="270">
        <v>16575.02</v>
      </c>
      <c r="T161" s="270">
        <v>18363</v>
      </c>
      <c r="U161" s="271" t="s">
        <v>3945</v>
      </c>
      <c r="V161" s="267" t="s">
        <v>944</v>
      </c>
    </row>
    <row r="162" spans="1:22" hidden="1" x14ac:dyDescent="0.25">
      <c r="A162" s="266">
        <v>43473</v>
      </c>
      <c r="B162" s="267">
        <v>2019</v>
      </c>
      <c r="C162" s="267">
        <v>2019</v>
      </c>
      <c r="D162" s="267">
        <v>1</v>
      </c>
      <c r="E162" s="267">
        <v>1</v>
      </c>
      <c r="F162" s="267" t="s">
        <v>944</v>
      </c>
      <c r="G162" s="267" t="s">
        <v>3926</v>
      </c>
      <c r="H162" s="267" t="s">
        <v>4177</v>
      </c>
      <c r="I162" s="267" t="s">
        <v>3012</v>
      </c>
      <c r="J162" s="267" t="s">
        <v>3928</v>
      </c>
      <c r="K162" s="267">
        <v>6477</v>
      </c>
      <c r="L162" s="267">
        <v>157200</v>
      </c>
      <c r="M162" s="267" t="s">
        <v>3943</v>
      </c>
      <c r="N162" s="267" t="s">
        <v>3944</v>
      </c>
      <c r="O162" s="267">
        <v>768.39</v>
      </c>
      <c r="P162" s="267" t="s">
        <v>3944</v>
      </c>
      <c r="Q162" s="267" t="s">
        <v>3944</v>
      </c>
      <c r="R162" s="267">
        <v>768.39</v>
      </c>
      <c r="S162" s="267">
        <v>7451.61</v>
      </c>
      <c r="T162" s="267">
        <v>8220</v>
      </c>
      <c r="U162" s="268" t="s">
        <v>3945</v>
      </c>
      <c r="V162" s="267" t="s">
        <v>944</v>
      </c>
    </row>
    <row r="163" spans="1:22" hidden="1" x14ac:dyDescent="0.25">
      <c r="A163" s="269">
        <v>43473</v>
      </c>
      <c r="B163" s="270">
        <v>2019</v>
      </c>
      <c r="C163" s="270">
        <v>2019</v>
      </c>
      <c r="D163" s="270">
        <v>1</v>
      </c>
      <c r="E163" s="270">
        <v>1</v>
      </c>
      <c r="F163" s="270" t="s">
        <v>944</v>
      </c>
      <c r="G163" s="270" t="s">
        <v>3926</v>
      </c>
      <c r="H163" s="270" t="s">
        <v>4178</v>
      </c>
      <c r="I163" s="270" t="s">
        <v>4019</v>
      </c>
      <c r="J163" s="270" t="s">
        <v>3928</v>
      </c>
      <c r="K163" s="270">
        <v>6704</v>
      </c>
      <c r="L163" s="270">
        <v>351000</v>
      </c>
      <c r="M163" s="270" t="s">
        <v>3940</v>
      </c>
      <c r="N163" s="270" t="s">
        <v>3944</v>
      </c>
      <c r="O163" s="270">
        <v>1481.03</v>
      </c>
      <c r="P163" s="270" t="s">
        <v>3944</v>
      </c>
      <c r="Q163" s="270" t="s">
        <v>3944</v>
      </c>
      <c r="R163" s="270">
        <v>1481.03</v>
      </c>
      <c r="S163" s="270">
        <v>21436.48</v>
      </c>
      <c r="T163" s="270">
        <v>22917.51</v>
      </c>
      <c r="U163" s="271" t="s">
        <v>3945</v>
      </c>
      <c r="V163" s="267" t="s">
        <v>944</v>
      </c>
    </row>
    <row r="164" spans="1:22" hidden="1" x14ac:dyDescent="0.25">
      <c r="A164" s="266">
        <v>43473</v>
      </c>
      <c r="B164" s="267">
        <v>2019</v>
      </c>
      <c r="C164" s="267">
        <v>2019</v>
      </c>
      <c r="D164" s="267">
        <v>1</v>
      </c>
      <c r="E164" s="267">
        <v>1</v>
      </c>
      <c r="F164" s="267" t="s">
        <v>944</v>
      </c>
      <c r="G164" s="267" t="s">
        <v>3926</v>
      </c>
      <c r="H164" s="267" t="s">
        <v>4179</v>
      </c>
      <c r="I164" s="267" t="s">
        <v>3985</v>
      </c>
      <c r="J164" s="267" t="s">
        <v>3928</v>
      </c>
      <c r="K164" s="267">
        <v>6226</v>
      </c>
      <c r="L164" s="267">
        <v>800400</v>
      </c>
      <c r="M164" s="267" t="s">
        <v>3940</v>
      </c>
      <c r="N164" s="267" t="s">
        <v>3944</v>
      </c>
      <c r="O164" s="267">
        <v>600.01</v>
      </c>
      <c r="P164" s="267" t="s">
        <v>3944</v>
      </c>
      <c r="Q164" s="267" t="s">
        <v>3944</v>
      </c>
      <c r="R164" s="267">
        <v>600.01</v>
      </c>
      <c r="S164" s="267">
        <v>9326.99</v>
      </c>
      <c r="T164" s="267">
        <v>9927</v>
      </c>
      <c r="U164" s="268" t="s">
        <v>3945</v>
      </c>
      <c r="V164" s="267" t="s">
        <v>944</v>
      </c>
    </row>
    <row r="165" spans="1:22" hidden="1" x14ac:dyDescent="0.25">
      <c r="A165" s="269">
        <v>43473</v>
      </c>
      <c r="B165" s="270">
        <v>2019</v>
      </c>
      <c r="C165" s="270">
        <v>2019</v>
      </c>
      <c r="D165" s="270">
        <v>1</v>
      </c>
      <c r="E165" s="270">
        <v>1</v>
      </c>
      <c r="F165" s="270" t="s">
        <v>944</v>
      </c>
      <c r="G165" s="270" t="s">
        <v>3926</v>
      </c>
      <c r="H165" s="270" t="s">
        <v>4180</v>
      </c>
      <c r="I165" s="270" t="s">
        <v>4111</v>
      </c>
      <c r="J165" s="270" t="s">
        <v>3928</v>
      </c>
      <c r="K165" s="270">
        <v>6095</v>
      </c>
      <c r="L165" s="270">
        <v>473501</v>
      </c>
      <c r="M165" s="270" t="s">
        <v>3943</v>
      </c>
      <c r="N165" s="270" t="s">
        <v>3944</v>
      </c>
      <c r="O165" s="270">
        <v>1342.88</v>
      </c>
      <c r="P165" s="270" t="s">
        <v>3944</v>
      </c>
      <c r="Q165" s="270" t="s">
        <v>3944</v>
      </c>
      <c r="R165" s="270">
        <v>1342.88</v>
      </c>
      <c r="S165" s="270">
        <v>10197.120000000001</v>
      </c>
      <c r="T165" s="270">
        <v>11540</v>
      </c>
      <c r="U165" s="271" t="s">
        <v>3945</v>
      </c>
      <c r="V165" s="267" t="s">
        <v>944</v>
      </c>
    </row>
    <row r="166" spans="1:22" hidden="1" x14ac:dyDescent="0.25">
      <c r="A166" s="266">
        <v>43473</v>
      </c>
      <c r="B166" s="267">
        <v>2019</v>
      </c>
      <c r="C166" s="267">
        <v>2019</v>
      </c>
      <c r="D166" s="267">
        <v>1</v>
      </c>
      <c r="E166" s="267">
        <v>1</v>
      </c>
      <c r="F166" s="267" t="s">
        <v>944</v>
      </c>
      <c r="G166" s="267" t="s">
        <v>3926</v>
      </c>
      <c r="H166" s="267" t="s">
        <v>4181</v>
      </c>
      <c r="I166" s="267" t="s">
        <v>943</v>
      </c>
      <c r="J166" s="267" t="s">
        <v>3928</v>
      </c>
      <c r="K166" s="267">
        <v>6513</v>
      </c>
      <c r="L166" s="267">
        <v>180602</v>
      </c>
      <c r="M166" s="267" t="s">
        <v>3935</v>
      </c>
      <c r="N166" s="267" t="s">
        <v>3944</v>
      </c>
      <c r="O166" s="267">
        <v>2844.84</v>
      </c>
      <c r="P166" s="267" t="s">
        <v>3944</v>
      </c>
      <c r="Q166" s="267" t="s">
        <v>3944</v>
      </c>
      <c r="R166" s="267">
        <v>2844.84</v>
      </c>
      <c r="S166" s="267">
        <v>34656.54</v>
      </c>
      <c r="T166" s="267">
        <v>37501.379999999997</v>
      </c>
      <c r="U166" s="268" t="s">
        <v>3945</v>
      </c>
      <c r="V166" s="267" t="s">
        <v>944</v>
      </c>
    </row>
    <row r="167" spans="1:22" hidden="1" x14ac:dyDescent="0.25">
      <c r="A167" s="269">
        <v>43473</v>
      </c>
      <c r="B167" s="270">
        <v>2019</v>
      </c>
      <c r="C167" s="270">
        <v>2019</v>
      </c>
      <c r="D167" s="270">
        <v>1</v>
      </c>
      <c r="E167" s="270">
        <v>1</v>
      </c>
      <c r="F167" s="270" t="s">
        <v>944</v>
      </c>
      <c r="G167" s="270" t="s">
        <v>3926</v>
      </c>
      <c r="H167" s="270" t="s">
        <v>4182</v>
      </c>
      <c r="I167" s="270" t="s">
        <v>4111</v>
      </c>
      <c r="J167" s="270" t="s">
        <v>3928</v>
      </c>
      <c r="K167" s="270">
        <v>6095</v>
      </c>
      <c r="L167" s="270">
        <v>473501</v>
      </c>
      <c r="M167" s="270" t="s">
        <v>3943</v>
      </c>
      <c r="N167" s="270" t="s">
        <v>3944</v>
      </c>
      <c r="O167" s="270">
        <v>4327.33</v>
      </c>
      <c r="P167" s="270" t="s">
        <v>3944</v>
      </c>
      <c r="Q167" s="270" t="s">
        <v>3944</v>
      </c>
      <c r="R167" s="270">
        <v>4327.33</v>
      </c>
      <c r="S167" s="270">
        <v>59873.3</v>
      </c>
      <c r="T167" s="270">
        <v>64200.63</v>
      </c>
      <c r="U167" s="271" t="s">
        <v>3945</v>
      </c>
      <c r="V167" s="267" t="s">
        <v>944</v>
      </c>
    </row>
    <row r="168" spans="1:22" hidden="1" x14ac:dyDescent="0.25">
      <c r="A168" s="266">
        <v>43473</v>
      </c>
      <c r="B168" s="267">
        <v>2019</v>
      </c>
      <c r="C168" s="267">
        <v>2019</v>
      </c>
      <c r="D168" s="267">
        <v>1</v>
      </c>
      <c r="E168" s="267">
        <v>1</v>
      </c>
      <c r="F168" s="267" t="s">
        <v>944</v>
      </c>
      <c r="G168" s="267" t="s">
        <v>3926</v>
      </c>
      <c r="H168" s="267" t="s">
        <v>4183</v>
      </c>
      <c r="I168" s="267" t="s">
        <v>4029</v>
      </c>
      <c r="J168" s="267" t="s">
        <v>3928</v>
      </c>
      <c r="K168" s="267">
        <v>6850</v>
      </c>
      <c r="L168" s="267">
        <v>43300</v>
      </c>
      <c r="M168" s="267" t="s">
        <v>3935</v>
      </c>
      <c r="N168" s="267" t="s">
        <v>3944</v>
      </c>
      <c r="O168" s="267">
        <v>871.26</v>
      </c>
      <c r="P168" s="267" t="s">
        <v>3944</v>
      </c>
      <c r="Q168" s="267" t="s">
        <v>3944</v>
      </c>
      <c r="R168" s="267">
        <v>871.26</v>
      </c>
      <c r="S168" s="267">
        <v>11248.74</v>
      </c>
      <c r="T168" s="267">
        <v>12120</v>
      </c>
      <c r="U168" s="268" t="s">
        <v>3945</v>
      </c>
      <c r="V168" s="267" t="s">
        <v>944</v>
      </c>
    </row>
    <row r="169" spans="1:22" hidden="1" x14ac:dyDescent="0.25">
      <c r="A169" s="269">
        <v>43473</v>
      </c>
      <c r="B169" s="270">
        <v>2019</v>
      </c>
      <c r="C169" s="270">
        <v>2019</v>
      </c>
      <c r="D169" s="270">
        <v>1</v>
      </c>
      <c r="E169" s="270">
        <v>1</v>
      </c>
      <c r="F169" s="270" t="s">
        <v>944</v>
      </c>
      <c r="G169" s="270" t="s">
        <v>3926</v>
      </c>
      <c r="H169" s="270" t="s">
        <v>4184</v>
      </c>
      <c r="I169" s="270" t="s">
        <v>3999</v>
      </c>
      <c r="J169" s="270" t="s">
        <v>3928</v>
      </c>
      <c r="K169" s="270">
        <v>6451</v>
      </c>
      <c r="L169" s="270">
        <v>170500</v>
      </c>
      <c r="M169" s="270" t="s">
        <v>3935</v>
      </c>
      <c r="N169" s="270" t="s">
        <v>3944</v>
      </c>
      <c r="O169" s="270">
        <v>2088.91</v>
      </c>
      <c r="P169" s="270" t="s">
        <v>3944</v>
      </c>
      <c r="Q169" s="270" t="s">
        <v>3944</v>
      </c>
      <c r="R169" s="270">
        <v>2088.91</v>
      </c>
      <c r="S169" s="270">
        <v>20364.09</v>
      </c>
      <c r="T169" s="270">
        <v>22453</v>
      </c>
      <c r="U169" s="271" t="s">
        <v>3945</v>
      </c>
      <c r="V169" s="267" t="s">
        <v>944</v>
      </c>
    </row>
    <row r="170" spans="1:22" hidden="1" x14ac:dyDescent="0.25">
      <c r="A170" s="266">
        <v>43473</v>
      </c>
      <c r="B170" s="267">
        <v>2019</v>
      </c>
      <c r="C170" s="267">
        <v>2019</v>
      </c>
      <c r="D170" s="267">
        <v>1</v>
      </c>
      <c r="E170" s="267">
        <v>1</v>
      </c>
      <c r="F170" s="267" t="s">
        <v>944</v>
      </c>
      <c r="G170" s="267" t="s">
        <v>3926</v>
      </c>
      <c r="H170" s="267" t="s">
        <v>4185</v>
      </c>
      <c r="I170" s="267" t="s">
        <v>4029</v>
      </c>
      <c r="J170" s="267" t="s">
        <v>3928</v>
      </c>
      <c r="K170" s="267">
        <v>6854</v>
      </c>
      <c r="L170" s="267">
        <v>44400</v>
      </c>
      <c r="M170" s="267" t="s">
        <v>3935</v>
      </c>
      <c r="N170" s="267" t="s">
        <v>4186</v>
      </c>
      <c r="O170" s="267"/>
      <c r="P170" s="267" t="s">
        <v>3944</v>
      </c>
      <c r="Q170" s="267" t="s">
        <v>4186</v>
      </c>
      <c r="R170" s="267">
        <v>1085594.8899999999</v>
      </c>
      <c r="S170" s="267">
        <v>-50330</v>
      </c>
      <c r="T170" s="267">
        <v>1035264.89</v>
      </c>
      <c r="U170" s="268" t="s">
        <v>4099</v>
      </c>
      <c r="V170" s="267" t="s">
        <v>944</v>
      </c>
    </row>
    <row r="171" spans="1:22" hidden="1" x14ac:dyDescent="0.25">
      <c r="A171" s="269">
        <v>43474</v>
      </c>
      <c r="B171" s="270">
        <v>2019</v>
      </c>
      <c r="C171" s="270">
        <v>2019</v>
      </c>
      <c r="D171" s="270">
        <v>1</v>
      </c>
      <c r="E171" s="270">
        <v>1</v>
      </c>
      <c r="F171" s="270" t="s">
        <v>944</v>
      </c>
      <c r="G171" s="270" t="s">
        <v>3926</v>
      </c>
      <c r="H171" s="270" t="s">
        <v>4187</v>
      </c>
      <c r="I171" s="270" t="s">
        <v>3009</v>
      </c>
      <c r="J171" s="270" t="s">
        <v>3928</v>
      </c>
      <c r="K171" s="270">
        <v>6484</v>
      </c>
      <c r="L171" s="270">
        <v>110201</v>
      </c>
      <c r="M171" s="270" t="s">
        <v>3960</v>
      </c>
      <c r="N171" s="270" t="s">
        <v>4188</v>
      </c>
      <c r="O171" s="270">
        <v>0</v>
      </c>
      <c r="P171" s="270" t="s">
        <v>3930</v>
      </c>
      <c r="Q171" s="270" t="s">
        <v>3930</v>
      </c>
      <c r="R171" s="270">
        <v>0</v>
      </c>
      <c r="S171" s="270">
        <v>11900</v>
      </c>
      <c r="T171" s="270">
        <v>11900</v>
      </c>
      <c r="U171" s="271" t="s">
        <v>3937</v>
      </c>
      <c r="V171" s="267" t="s">
        <v>944</v>
      </c>
    </row>
    <row r="172" spans="1:22" hidden="1" x14ac:dyDescent="0.25">
      <c r="A172" s="266">
        <v>43474</v>
      </c>
      <c r="B172" s="267">
        <v>2019</v>
      </c>
      <c r="C172" s="267">
        <v>2019</v>
      </c>
      <c r="D172" s="267">
        <v>1</v>
      </c>
      <c r="E172" s="267">
        <v>1</v>
      </c>
      <c r="F172" s="267" t="s">
        <v>944</v>
      </c>
      <c r="G172" s="267" t="s">
        <v>3926</v>
      </c>
      <c r="H172" s="267" t="s">
        <v>4189</v>
      </c>
      <c r="I172" s="267" t="s">
        <v>3975</v>
      </c>
      <c r="J172" s="267" t="s">
        <v>3928</v>
      </c>
      <c r="K172" s="267">
        <v>6489</v>
      </c>
      <c r="L172" s="267">
        <v>430602</v>
      </c>
      <c r="M172" s="267" t="s">
        <v>3960</v>
      </c>
      <c r="N172" s="267" t="s">
        <v>4103</v>
      </c>
      <c r="O172" s="267">
        <v>1589.7</v>
      </c>
      <c r="P172" s="267" t="s">
        <v>3930</v>
      </c>
      <c r="Q172" s="267" t="s">
        <v>3931</v>
      </c>
      <c r="R172" s="267">
        <v>6589.7</v>
      </c>
      <c r="S172" s="267">
        <v>24145.599999999999</v>
      </c>
      <c r="T172" s="267">
        <v>30735.3</v>
      </c>
      <c r="U172" s="268" t="s">
        <v>3932</v>
      </c>
      <c r="V172" s="267" t="s">
        <v>944</v>
      </c>
    </row>
    <row r="173" spans="1:22" hidden="1" x14ac:dyDescent="0.25">
      <c r="A173" s="269">
        <v>43474</v>
      </c>
      <c r="B173" s="270">
        <v>2019</v>
      </c>
      <c r="C173" s="270">
        <v>2019</v>
      </c>
      <c r="D173" s="270">
        <v>1</v>
      </c>
      <c r="E173" s="270">
        <v>1</v>
      </c>
      <c r="F173" s="270" t="s">
        <v>944</v>
      </c>
      <c r="G173" s="270" t="s">
        <v>3926</v>
      </c>
      <c r="H173" s="270" t="s">
        <v>4190</v>
      </c>
      <c r="I173" s="270" t="s">
        <v>3996</v>
      </c>
      <c r="J173" s="270" t="s">
        <v>3928</v>
      </c>
      <c r="K173" s="270">
        <v>6790</v>
      </c>
      <c r="L173" s="270">
        <v>310602</v>
      </c>
      <c r="M173" s="270" t="s">
        <v>3935</v>
      </c>
      <c r="N173" s="270" t="s">
        <v>4191</v>
      </c>
      <c r="O173" s="270">
        <v>1968.4</v>
      </c>
      <c r="P173" s="270" t="s">
        <v>3930</v>
      </c>
      <c r="Q173" s="270" t="s">
        <v>3931</v>
      </c>
      <c r="R173" s="270">
        <v>6968.4</v>
      </c>
      <c r="S173" s="270">
        <v>38867.199999999997</v>
      </c>
      <c r="T173" s="270">
        <v>45835.6</v>
      </c>
      <c r="U173" s="271" t="s">
        <v>3932</v>
      </c>
      <c r="V173" s="267" t="s">
        <v>944</v>
      </c>
    </row>
    <row r="174" spans="1:22" x14ac:dyDescent="0.25">
      <c r="A174" s="266">
        <v>43474</v>
      </c>
      <c r="B174" s="267">
        <v>2019</v>
      </c>
      <c r="C174" s="267">
        <v>2019</v>
      </c>
      <c r="D174" s="267">
        <v>1</v>
      </c>
      <c r="E174" s="267">
        <v>1</v>
      </c>
      <c r="F174" s="267" t="s">
        <v>944</v>
      </c>
      <c r="G174" s="267" t="s">
        <v>3926</v>
      </c>
      <c r="H174" s="267" t="s">
        <v>4192</v>
      </c>
      <c r="I174" s="267" t="s">
        <v>3010</v>
      </c>
      <c r="J174" s="267" t="s">
        <v>3928</v>
      </c>
      <c r="K174" s="267">
        <v>6401</v>
      </c>
      <c r="L174" s="267">
        <v>125300</v>
      </c>
      <c r="M174" s="267" t="s">
        <v>3940</v>
      </c>
      <c r="N174" s="267" t="s">
        <v>3986</v>
      </c>
      <c r="O174" s="267">
        <v>2910.78</v>
      </c>
      <c r="P174" s="267" t="s">
        <v>3930</v>
      </c>
      <c r="Q174" s="267" t="s">
        <v>3931</v>
      </c>
      <c r="R174" s="267">
        <v>7910.78</v>
      </c>
      <c r="S174" s="267">
        <v>16196.8</v>
      </c>
      <c r="T174" s="267">
        <v>24107.58</v>
      </c>
      <c r="U174" s="268" t="s">
        <v>3932</v>
      </c>
      <c r="V174" s="276" t="s">
        <v>936</v>
      </c>
    </row>
    <row r="175" spans="1:22" hidden="1" x14ac:dyDescent="0.25">
      <c r="A175" s="269">
        <v>43474</v>
      </c>
      <c r="B175" s="270">
        <v>2019</v>
      </c>
      <c r="C175" s="270">
        <v>2019</v>
      </c>
      <c r="D175" s="270">
        <v>1</v>
      </c>
      <c r="E175" s="270">
        <v>1</v>
      </c>
      <c r="F175" s="270" t="s">
        <v>944</v>
      </c>
      <c r="G175" s="270" t="s">
        <v>3926</v>
      </c>
      <c r="H175" s="270" t="s">
        <v>4193</v>
      </c>
      <c r="I175" s="270" t="s">
        <v>2985</v>
      </c>
      <c r="J175" s="270" t="s">
        <v>3928</v>
      </c>
      <c r="K175" s="270">
        <v>6110</v>
      </c>
      <c r="L175" s="270">
        <v>496200</v>
      </c>
      <c r="M175" s="270" t="s">
        <v>3935</v>
      </c>
      <c r="N175" s="270" t="s">
        <v>4103</v>
      </c>
      <c r="O175" s="270">
        <v>1478.33</v>
      </c>
      <c r="P175" s="270" t="s">
        <v>3930</v>
      </c>
      <c r="Q175" s="270" t="s">
        <v>3931</v>
      </c>
      <c r="R175" s="270">
        <v>6478.33</v>
      </c>
      <c r="S175" s="270">
        <v>24145.599999999999</v>
      </c>
      <c r="T175" s="270">
        <v>30623.93</v>
      </c>
      <c r="U175" s="271" t="s">
        <v>3932</v>
      </c>
      <c r="V175" s="267" t="s">
        <v>944</v>
      </c>
    </row>
    <row r="176" spans="1:22" hidden="1" x14ac:dyDescent="0.25">
      <c r="A176" s="266">
        <v>43474</v>
      </c>
      <c r="B176" s="267">
        <v>2019</v>
      </c>
      <c r="C176" s="267">
        <v>2019</v>
      </c>
      <c r="D176" s="267">
        <v>1</v>
      </c>
      <c r="E176" s="267">
        <v>1</v>
      </c>
      <c r="F176" s="267" t="s">
        <v>944</v>
      </c>
      <c r="G176" s="267" t="s">
        <v>3926</v>
      </c>
      <c r="H176" s="267" t="s">
        <v>4194</v>
      </c>
      <c r="I176" s="267" t="s">
        <v>3939</v>
      </c>
      <c r="J176" s="267" t="s">
        <v>3928</v>
      </c>
      <c r="K176" s="267">
        <v>6512</v>
      </c>
      <c r="L176" s="267">
        <v>180200</v>
      </c>
      <c r="M176" s="267" t="s">
        <v>3940</v>
      </c>
      <c r="N176" s="267" t="s">
        <v>3944</v>
      </c>
      <c r="O176" s="267">
        <v>1016</v>
      </c>
      <c r="P176" s="267" t="s">
        <v>3944</v>
      </c>
      <c r="Q176" s="267" t="s">
        <v>3944</v>
      </c>
      <c r="R176" s="267">
        <v>1016</v>
      </c>
      <c r="S176" s="267">
        <v>15399</v>
      </c>
      <c r="T176" s="267">
        <v>16415</v>
      </c>
      <c r="U176" s="268" t="s">
        <v>3945</v>
      </c>
      <c r="V176" s="267" t="s">
        <v>944</v>
      </c>
    </row>
    <row r="177" spans="1:22" hidden="1" x14ac:dyDescent="0.25">
      <c r="A177" s="269">
        <v>43474</v>
      </c>
      <c r="B177" s="270">
        <v>2019</v>
      </c>
      <c r="C177" s="270">
        <v>2019</v>
      </c>
      <c r="D177" s="270">
        <v>1</v>
      </c>
      <c r="E177" s="270">
        <v>1</v>
      </c>
      <c r="F177" s="270" t="s">
        <v>944</v>
      </c>
      <c r="G177" s="270" t="s">
        <v>3926</v>
      </c>
      <c r="H177" s="270" t="s">
        <v>4195</v>
      </c>
      <c r="I177" s="270" t="s">
        <v>4042</v>
      </c>
      <c r="J177" s="270" t="s">
        <v>3928</v>
      </c>
      <c r="K177" s="270">
        <v>6370</v>
      </c>
      <c r="L177" s="270">
        <v>695202</v>
      </c>
      <c r="M177" s="270" t="s">
        <v>3935</v>
      </c>
      <c r="N177" s="270" t="s">
        <v>3944</v>
      </c>
      <c r="O177" s="270">
        <v>2790</v>
      </c>
      <c r="P177" s="270" t="s">
        <v>3944</v>
      </c>
      <c r="Q177" s="270" t="s">
        <v>3944</v>
      </c>
      <c r="R177" s="270">
        <v>2790</v>
      </c>
      <c r="S177" s="270">
        <v>22389</v>
      </c>
      <c r="T177" s="270">
        <v>25179</v>
      </c>
      <c r="U177" s="271" t="s">
        <v>3945</v>
      </c>
      <c r="V177" s="267" t="s">
        <v>944</v>
      </c>
    </row>
    <row r="178" spans="1:22" hidden="1" x14ac:dyDescent="0.25">
      <c r="A178" s="266">
        <v>43474</v>
      </c>
      <c r="B178" s="267">
        <v>2019</v>
      </c>
      <c r="C178" s="267">
        <v>2019</v>
      </c>
      <c r="D178" s="267">
        <v>1</v>
      </c>
      <c r="E178" s="267">
        <v>1</v>
      </c>
      <c r="F178" s="267" t="s">
        <v>944</v>
      </c>
      <c r="G178" s="267" t="s">
        <v>3926</v>
      </c>
      <c r="H178" s="267" t="s">
        <v>4196</v>
      </c>
      <c r="I178" s="267" t="s">
        <v>4197</v>
      </c>
      <c r="J178" s="267" t="s">
        <v>3928</v>
      </c>
      <c r="K178" s="267">
        <v>6812</v>
      </c>
      <c r="L178" s="267">
        <v>220300</v>
      </c>
      <c r="M178" s="267" t="s">
        <v>3943</v>
      </c>
      <c r="N178" s="267" t="s">
        <v>3944</v>
      </c>
      <c r="O178" s="267">
        <v>1564</v>
      </c>
      <c r="P178" s="267" t="s">
        <v>3944</v>
      </c>
      <c r="Q178" s="267" t="s">
        <v>3944</v>
      </c>
      <c r="R178" s="267">
        <v>1564</v>
      </c>
      <c r="S178" s="267">
        <v>41591</v>
      </c>
      <c r="T178" s="267">
        <v>43155</v>
      </c>
      <c r="U178" s="268" t="s">
        <v>3945</v>
      </c>
      <c r="V178" s="267" t="s">
        <v>944</v>
      </c>
    </row>
    <row r="179" spans="1:22" hidden="1" x14ac:dyDescent="0.25">
      <c r="A179" s="269">
        <v>43474</v>
      </c>
      <c r="B179" s="270">
        <v>2019</v>
      </c>
      <c r="C179" s="270">
        <v>2019</v>
      </c>
      <c r="D179" s="270">
        <v>1</v>
      </c>
      <c r="E179" s="270">
        <v>1</v>
      </c>
      <c r="F179" s="270" t="s">
        <v>944</v>
      </c>
      <c r="G179" s="270" t="s">
        <v>3926</v>
      </c>
      <c r="H179" s="270" t="s">
        <v>4198</v>
      </c>
      <c r="I179" s="270" t="s">
        <v>4019</v>
      </c>
      <c r="J179" s="270" t="s">
        <v>3928</v>
      </c>
      <c r="K179" s="270">
        <v>6708</v>
      </c>
      <c r="L179" s="270">
        <v>352000</v>
      </c>
      <c r="M179" s="270" t="s">
        <v>3935</v>
      </c>
      <c r="N179" s="270" t="s">
        <v>3944</v>
      </c>
      <c r="O179" s="270">
        <v>1878.38</v>
      </c>
      <c r="P179" s="270" t="s">
        <v>3944</v>
      </c>
      <c r="Q179" s="270" t="s">
        <v>3944</v>
      </c>
      <c r="R179" s="270">
        <v>1878.38</v>
      </c>
      <c r="S179" s="270">
        <v>34563.69</v>
      </c>
      <c r="T179" s="270">
        <v>36442.07</v>
      </c>
      <c r="U179" s="271" t="s">
        <v>3945</v>
      </c>
      <c r="V179" s="267" t="s">
        <v>944</v>
      </c>
    </row>
    <row r="180" spans="1:22" hidden="1" x14ac:dyDescent="0.25">
      <c r="A180" s="266">
        <v>43474</v>
      </c>
      <c r="B180" s="267">
        <v>2019</v>
      </c>
      <c r="C180" s="267">
        <v>2019</v>
      </c>
      <c r="D180" s="267">
        <v>1</v>
      </c>
      <c r="E180" s="267">
        <v>1</v>
      </c>
      <c r="F180" s="267" t="s">
        <v>944</v>
      </c>
      <c r="G180" s="267" t="s">
        <v>3926</v>
      </c>
      <c r="H180" s="267" t="s">
        <v>4199</v>
      </c>
      <c r="I180" s="267" t="s">
        <v>4200</v>
      </c>
      <c r="J180" s="267" t="s">
        <v>3928</v>
      </c>
      <c r="K180" s="267">
        <v>6779</v>
      </c>
      <c r="L180" s="267">
        <v>360300</v>
      </c>
      <c r="M180" s="267" t="s">
        <v>3935</v>
      </c>
      <c r="N180" s="267" t="s">
        <v>3944</v>
      </c>
      <c r="O180" s="267">
        <v>2139.48</v>
      </c>
      <c r="P180" s="267" t="s">
        <v>3944</v>
      </c>
      <c r="Q180" s="267" t="s">
        <v>3944</v>
      </c>
      <c r="R180" s="267">
        <v>2139.48</v>
      </c>
      <c r="S180" s="267">
        <v>49035.68</v>
      </c>
      <c r="T180" s="267">
        <v>51175.16</v>
      </c>
      <c r="U180" s="268" t="s">
        <v>3945</v>
      </c>
      <c r="V180" s="267" t="s">
        <v>944</v>
      </c>
    </row>
    <row r="181" spans="1:22" hidden="1" x14ac:dyDescent="0.25">
      <c r="A181" s="269">
        <v>43474</v>
      </c>
      <c r="B181" s="270">
        <v>2019</v>
      </c>
      <c r="C181" s="270">
        <v>2019</v>
      </c>
      <c r="D181" s="270">
        <v>1</v>
      </c>
      <c r="E181" s="270">
        <v>1</v>
      </c>
      <c r="F181" s="270" t="s">
        <v>944</v>
      </c>
      <c r="G181" s="270" t="s">
        <v>3926</v>
      </c>
      <c r="H181" s="270" t="s">
        <v>4201</v>
      </c>
      <c r="I181" s="270" t="s">
        <v>3985</v>
      </c>
      <c r="J181" s="270" t="s">
        <v>3928</v>
      </c>
      <c r="K181" s="270">
        <v>6226</v>
      </c>
      <c r="L181" s="270">
        <v>800400</v>
      </c>
      <c r="M181" s="270" t="s">
        <v>3940</v>
      </c>
      <c r="N181" s="270" t="s">
        <v>3944</v>
      </c>
      <c r="O181" s="270">
        <v>1272.99</v>
      </c>
      <c r="P181" s="270" t="s">
        <v>3944</v>
      </c>
      <c r="Q181" s="270" t="s">
        <v>3944</v>
      </c>
      <c r="R181" s="270">
        <v>1272.99</v>
      </c>
      <c r="S181" s="270">
        <v>29773.22</v>
      </c>
      <c r="T181" s="270">
        <v>31046.21</v>
      </c>
      <c r="U181" s="271" t="s">
        <v>3945</v>
      </c>
      <c r="V181" s="267" t="s">
        <v>944</v>
      </c>
    </row>
    <row r="182" spans="1:22" hidden="1" x14ac:dyDescent="0.25">
      <c r="A182" s="266">
        <v>43474</v>
      </c>
      <c r="B182" s="267">
        <v>2019</v>
      </c>
      <c r="C182" s="267">
        <v>2019</v>
      </c>
      <c r="D182" s="267">
        <v>1</v>
      </c>
      <c r="E182" s="267">
        <v>1</v>
      </c>
      <c r="F182" s="267" t="s">
        <v>944</v>
      </c>
      <c r="G182" s="267" t="s">
        <v>3926</v>
      </c>
      <c r="H182" s="267" t="s">
        <v>4202</v>
      </c>
      <c r="I182" s="267" t="s">
        <v>4203</v>
      </c>
      <c r="J182" s="267" t="s">
        <v>3928</v>
      </c>
      <c r="K182" s="267">
        <v>6071</v>
      </c>
      <c r="L182" s="267">
        <v>538201</v>
      </c>
      <c r="M182" s="267" t="s">
        <v>3943</v>
      </c>
      <c r="N182" s="267" t="s">
        <v>3944</v>
      </c>
      <c r="O182" s="267">
        <v>2121.46</v>
      </c>
      <c r="P182" s="267" t="s">
        <v>3944</v>
      </c>
      <c r="Q182" s="267" t="s">
        <v>3944</v>
      </c>
      <c r="R182" s="267">
        <v>2121.46</v>
      </c>
      <c r="S182" s="267">
        <v>32789.49</v>
      </c>
      <c r="T182" s="267">
        <v>34910.949999999997</v>
      </c>
      <c r="U182" s="268" t="s">
        <v>3945</v>
      </c>
      <c r="V182" s="267" t="s">
        <v>944</v>
      </c>
    </row>
    <row r="183" spans="1:22" hidden="1" x14ac:dyDescent="0.25">
      <c r="A183" s="269">
        <v>43474</v>
      </c>
      <c r="B183" s="270">
        <v>2019</v>
      </c>
      <c r="C183" s="270">
        <v>2019</v>
      </c>
      <c r="D183" s="270">
        <v>1</v>
      </c>
      <c r="E183" s="270">
        <v>1</v>
      </c>
      <c r="F183" s="270" t="s">
        <v>944</v>
      </c>
      <c r="G183" s="270" t="s">
        <v>3926</v>
      </c>
      <c r="H183" s="270" t="s">
        <v>4204</v>
      </c>
      <c r="I183" s="270" t="s">
        <v>3956</v>
      </c>
      <c r="J183" s="270" t="s">
        <v>3928</v>
      </c>
      <c r="K183" s="270">
        <v>6106</v>
      </c>
      <c r="L183" s="270">
        <v>502900</v>
      </c>
      <c r="M183" s="270">
        <v>-60</v>
      </c>
      <c r="N183" s="270" t="s">
        <v>3944</v>
      </c>
      <c r="O183" s="270">
        <v>1895.39</v>
      </c>
      <c r="P183" s="270" t="s">
        <v>3944</v>
      </c>
      <c r="Q183" s="270" t="s">
        <v>3944</v>
      </c>
      <c r="R183" s="270">
        <v>1895.39</v>
      </c>
      <c r="S183" s="270">
        <v>37735.81</v>
      </c>
      <c r="T183" s="270">
        <v>39631.199999999997</v>
      </c>
      <c r="U183" s="271" t="s">
        <v>3945</v>
      </c>
      <c r="V183" s="267" t="s">
        <v>944</v>
      </c>
    </row>
    <row r="184" spans="1:22" hidden="1" x14ac:dyDescent="0.25">
      <c r="A184" s="266">
        <v>43474</v>
      </c>
      <c r="B184" s="267">
        <v>2019</v>
      </c>
      <c r="C184" s="267">
        <v>2019</v>
      </c>
      <c r="D184" s="267">
        <v>1</v>
      </c>
      <c r="E184" s="267">
        <v>1</v>
      </c>
      <c r="F184" s="267" t="s">
        <v>944</v>
      </c>
      <c r="G184" s="267" t="s">
        <v>3926</v>
      </c>
      <c r="H184" s="267" t="s">
        <v>4205</v>
      </c>
      <c r="I184" s="267" t="s">
        <v>3999</v>
      </c>
      <c r="J184" s="267" t="s">
        <v>3928</v>
      </c>
      <c r="K184" s="267">
        <v>6450</v>
      </c>
      <c r="L184" s="267">
        <v>171100</v>
      </c>
      <c r="M184" s="267" t="s">
        <v>3940</v>
      </c>
      <c r="N184" s="267" t="s">
        <v>3944</v>
      </c>
      <c r="O184" s="267">
        <v>1939.77</v>
      </c>
      <c r="P184" s="267" t="s">
        <v>3944</v>
      </c>
      <c r="Q184" s="267" t="s">
        <v>3944</v>
      </c>
      <c r="R184" s="267">
        <v>1939.77</v>
      </c>
      <c r="S184" s="267">
        <v>35935.24</v>
      </c>
      <c r="T184" s="267">
        <v>37875.01</v>
      </c>
      <c r="U184" s="268" t="s">
        <v>3945</v>
      </c>
      <c r="V184" s="267" t="s">
        <v>944</v>
      </c>
    </row>
    <row r="185" spans="1:22" hidden="1" x14ac:dyDescent="0.25">
      <c r="A185" s="269">
        <v>43474</v>
      </c>
      <c r="B185" s="270">
        <v>2019</v>
      </c>
      <c r="C185" s="270">
        <v>2019</v>
      </c>
      <c r="D185" s="270">
        <v>1</v>
      </c>
      <c r="E185" s="270">
        <v>1</v>
      </c>
      <c r="F185" s="270" t="s">
        <v>944</v>
      </c>
      <c r="G185" s="270" t="s">
        <v>3926</v>
      </c>
      <c r="H185" s="270" t="s">
        <v>4206</v>
      </c>
      <c r="I185" s="270" t="s">
        <v>3956</v>
      </c>
      <c r="J185" s="270" t="s">
        <v>3928</v>
      </c>
      <c r="K185" s="270">
        <v>6120</v>
      </c>
      <c r="L185" s="270">
        <v>524400</v>
      </c>
      <c r="M185" s="270">
        <v>-60</v>
      </c>
      <c r="N185" s="270" t="s">
        <v>4207</v>
      </c>
      <c r="O185" s="270"/>
      <c r="P185" s="270" t="s">
        <v>3944</v>
      </c>
      <c r="Q185" s="270" t="s">
        <v>3930</v>
      </c>
      <c r="R185" s="270">
        <v>0</v>
      </c>
      <c r="S185" s="270">
        <v>379030</v>
      </c>
      <c r="T185" s="270">
        <v>379030</v>
      </c>
      <c r="U185" s="271" t="s">
        <v>4099</v>
      </c>
      <c r="V185" s="267" t="s">
        <v>944</v>
      </c>
    </row>
    <row r="186" spans="1:22" hidden="1" x14ac:dyDescent="0.25">
      <c r="A186" s="266">
        <v>43475</v>
      </c>
      <c r="B186" s="267">
        <v>2019</v>
      </c>
      <c r="C186" s="267">
        <v>2019</v>
      </c>
      <c r="D186" s="267">
        <v>1</v>
      </c>
      <c r="E186" s="267">
        <v>1</v>
      </c>
      <c r="F186" s="267" t="s">
        <v>944</v>
      </c>
      <c r="G186" s="267" t="s">
        <v>3926</v>
      </c>
      <c r="H186" s="267" t="s">
        <v>4208</v>
      </c>
      <c r="I186" s="267" t="s">
        <v>4079</v>
      </c>
      <c r="J186" s="267" t="s">
        <v>3928</v>
      </c>
      <c r="K186" s="267">
        <v>6111</v>
      </c>
      <c r="L186" s="267">
        <v>494201</v>
      </c>
      <c r="M186" s="267" t="s">
        <v>3935</v>
      </c>
      <c r="N186" s="267" t="s">
        <v>4209</v>
      </c>
      <c r="O186" s="267">
        <v>0</v>
      </c>
      <c r="P186" s="267" t="s">
        <v>3930</v>
      </c>
      <c r="Q186" s="267" t="s">
        <v>3930</v>
      </c>
      <c r="R186" s="267">
        <v>0</v>
      </c>
      <c r="S186" s="267">
        <v>9100</v>
      </c>
      <c r="T186" s="267">
        <v>9100</v>
      </c>
      <c r="U186" s="268" t="s">
        <v>3937</v>
      </c>
      <c r="V186" s="267" t="s">
        <v>944</v>
      </c>
    </row>
    <row r="187" spans="1:22" hidden="1" x14ac:dyDescent="0.25">
      <c r="A187" s="269">
        <v>43475</v>
      </c>
      <c r="B187" s="270">
        <v>2019</v>
      </c>
      <c r="C187" s="270">
        <v>2019</v>
      </c>
      <c r="D187" s="270">
        <v>1</v>
      </c>
      <c r="E187" s="270">
        <v>1</v>
      </c>
      <c r="F187" s="270" t="s">
        <v>944</v>
      </c>
      <c r="G187" s="270" t="s">
        <v>3926</v>
      </c>
      <c r="H187" s="270" t="s">
        <v>4210</v>
      </c>
      <c r="I187" s="270" t="s">
        <v>4079</v>
      </c>
      <c r="J187" s="270" t="s">
        <v>3928</v>
      </c>
      <c r="K187" s="270">
        <v>6111</v>
      </c>
      <c r="L187" s="270">
        <v>494500</v>
      </c>
      <c r="M187" s="270" t="s">
        <v>3960</v>
      </c>
      <c r="N187" s="270" t="s">
        <v>4211</v>
      </c>
      <c r="O187" s="270">
        <v>0</v>
      </c>
      <c r="P187" s="270" t="s">
        <v>3930</v>
      </c>
      <c r="Q187" s="270" t="s">
        <v>3930</v>
      </c>
      <c r="R187" s="270">
        <v>0</v>
      </c>
      <c r="S187" s="270">
        <v>9700</v>
      </c>
      <c r="T187" s="270">
        <v>9700</v>
      </c>
      <c r="U187" s="271" t="s">
        <v>3937</v>
      </c>
      <c r="V187" s="267" t="s">
        <v>944</v>
      </c>
    </row>
    <row r="188" spans="1:22" hidden="1" x14ac:dyDescent="0.25">
      <c r="A188" s="266">
        <v>43475</v>
      </c>
      <c r="B188" s="267">
        <v>2019</v>
      </c>
      <c r="C188" s="267">
        <v>2019</v>
      </c>
      <c r="D188" s="267">
        <v>1</v>
      </c>
      <c r="E188" s="267">
        <v>1</v>
      </c>
      <c r="F188" s="267" t="s">
        <v>944</v>
      </c>
      <c r="G188" s="267" t="s">
        <v>3926</v>
      </c>
      <c r="H188" s="267" t="s">
        <v>4212</v>
      </c>
      <c r="I188" s="267" t="s">
        <v>4213</v>
      </c>
      <c r="J188" s="267" t="s">
        <v>3928</v>
      </c>
      <c r="K188" s="267">
        <v>6051</v>
      </c>
      <c r="L188" s="267">
        <v>415400</v>
      </c>
      <c r="M188" s="267">
        <v>-60</v>
      </c>
      <c r="N188" s="267" t="s">
        <v>4103</v>
      </c>
      <c r="O188" s="267">
        <v>4538.43</v>
      </c>
      <c r="P188" s="267" t="s">
        <v>3930</v>
      </c>
      <c r="Q188" s="267" t="s">
        <v>3931</v>
      </c>
      <c r="R188" s="267">
        <v>9538.43</v>
      </c>
      <c r="S188" s="267">
        <v>24145.599999999999</v>
      </c>
      <c r="T188" s="267">
        <v>33684.03</v>
      </c>
      <c r="U188" s="268" t="s">
        <v>3932</v>
      </c>
      <c r="V188" s="267" t="s">
        <v>944</v>
      </c>
    </row>
    <row r="189" spans="1:22" hidden="1" x14ac:dyDescent="0.25">
      <c r="A189" s="269">
        <v>43475</v>
      </c>
      <c r="B189" s="270">
        <v>2019</v>
      </c>
      <c r="C189" s="270">
        <v>2019</v>
      </c>
      <c r="D189" s="270">
        <v>1</v>
      </c>
      <c r="E189" s="270">
        <v>1</v>
      </c>
      <c r="F189" s="270" t="s">
        <v>944</v>
      </c>
      <c r="G189" s="270" t="s">
        <v>3926</v>
      </c>
      <c r="H189" s="270" t="s">
        <v>4214</v>
      </c>
      <c r="I189" s="270" t="s">
        <v>4005</v>
      </c>
      <c r="J189" s="270" t="s">
        <v>3928</v>
      </c>
      <c r="K189" s="270">
        <v>6118</v>
      </c>
      <c r="L189" s="270">
        <v>511100</v>
      </c>
      <c r="M189" s="270" t="s">
        <v>3960</v>
      </c>
      <c r="N189" s="270" t="s">
        <v>3986</v>
      </c>
      <c r="O189" s="270">
        <v>1418.17</v>
      </c>
      <c r="P189" s="270" t="s">
        <v>3930</v>
      </c>
      <c r="Q189" s="270" t="s">
        <v>3931</v>
      </c>
      <c r="R189" s="270">
        <v>6418.17</v>
      </c>
      <c r="S189" s="270">
        <v>16196.8</v>
      </c>
      <c r="T189" s="270">
        <v>22614.97</v>
      </c>
      <c r="U189" s="271" t="s">
        <v>3932</v>
      </c>
      <c r="V189" s="267" t="s">
        <v>944</v>
      </c>
    </row>
    <row r="190" spans="1:22" hidden="1" x14ac:dyDescent="0.25">
      <c r="A190" s="266">
        <v>43475</v>
      </c>
      <c r="B190" s="267">
        <v>2019</v>
      </c>
      <c r="C190" s="267">
        <v>2019</v>
      </c>
      <c r="D190" s="267">
        <v>1</v>
      </c>
      <c r="E190" s="267">
        <v>1</v>
      </c>
      <c r="F190" s="267" t="s">
        <v>944</v>
      </c>
      <c r="G190" s="267" t="s">
        <v>3926</v>
      </c>
      <c r="H190" s="267" t="s">
        <v>4215</v>
      </c>
      <c r="I190" s="267" t="s">
        <v>3956</v>
      </c>
      <c r="J190" s="267" t="s">
        <v>3928</v>
      </c>
      <c r="K190" s="267">
        <v>6112</v>
      </c>
      <c r="L190" s="267">
        <v>503900</v>
      </c>
      <c r="M190" s="267">
        <v>-60</v>
      </c>
      <c r="N190" s="267" t="s">
        <v>4103</v>
      </c>
      <c r="O190" s="267">
        <v>1575.39</v>
      </c>
      <c r="P190" s="267" t="s">
        <v>3930</v>
      </c>
      <c r="Q190" s="267" t="s">
        <v>3931</v>
      </c>
      <c r="R190" s="267">
        <v>6575.39</v>
      </c>
      <c r="S190" s="267">
        <v>24145.599999999999</v>
      </c>
      <c r="T190" s="267">
        <v>30720.99</v>
      </c>
      <c r="U190" s="268" t="s">
        <v>3932</v>
      </c>
      <c r="V190" s="267" t="s">
        <v>944</v>
      </c>
    </row>
    <row r="191" spans="1:22" hidden="1" x14ac:dyDescent="0.25">
      <c r="A191" s="269">
        <v>43475</v>
      </c>
      <c r="B191" s="270">
        <v>2019</v>
      </c>
      <c r="C191" s="270">
        <v>2019</v>
      </c>
      <c r="D191" s="270">
        <v>1</v>
      </c>
      <c r="E191" s="270">
        <v>1</v>
      </c>
      <c r="F191" s="270" t="s">
        <v>944</v>
      </c>
      <c r="G191" s="270" t="s">
        <v>3926</v>
      </c>
      <c r="H191" s="270" t="s">
        <v>4216</v>
      </c>
      <c r="I191" s="270" t="s">
        <v>4016</v>
      </c>
      <c r="J191" s="270" t="s">
        <v>3928</v>
      </c>
      <c r="K191" s="270">
        <v>6770</v>
      </c>
      <c r="L191" s="270">
        <v>345201</v>
      </c>
      <c r="M191" s="270" t="s">
        <v>3935</v>
      </c>
      <c r="N191" s="270" t="s">
        <v>3929</v>
      </c>
      <c r="O191" s="270">
        <v>6673.77</v>
      </c>
      <c r="P191" s="270" t="s">
        <v>3930</v>
      </c>
      <c r="Q191" s="270" t="s">
        <v>3931</v>
      </c>
      <c r="R191" s="270">
        <v>11673.77</v>
      </c>
      <c r="S191" s="270">
        <v>34744</v>
      </c>
      <c r="T191" s="270">
        <v>46417.77</v>
      </c>
      <c r="U191" s="271" t="s">
        <v>3932</v>
      </c>
      <c r="V191" s="267" t="s">
        <v>944</v>
      </c>
    </row>
    <row r="192" spans="1:22" hidden="1" x14ac:dyDescent="0.25">
      <c r="A192" s="266">
        <v>43475</v>
      </c>
      <c r="B192" s="267">
        <v>2019</v>
      </c>
      <c r="C192" s="267">
        <v>2019</v>
      </c>
      <c r="D192" s="267">
        <v>1</v>
      </c>
      <c r="E192" s="267">
        <v>1</v>
      </c>
      <c r="F192" s="267" t="s">
        <v>944</v>
      </c>
      <c r="G192" s="267" t="s">
        <v>3926</v>
      </c>
      <c r="H192" s="267" t="s">
        <v>4217</v>
      </c>
      <c r="I192" s="267" t="s">
        <v>4200</v>
      </c>
      <c r="J192" s="267" t="s">
        <v>3928</v>
      </c>
      <c r="K192" s="267">
        <v>6795</v>
      </c>
      <c r="L192" s="267">
        <v>360100</v>
      </c>
      <c r="M192" s="267" t="s">
        <v>3935</v>
      </c>
      <c r="N192" s="267" t="s">
        <v>4103</v>
      </c>
      <c r="O192" s="267">
        <v>4178.43</v>
      </c>
      <c r="P192" s="267" t="s">
        <v>3930</v>
      </c>
      <c r="Q192" s="267" t="s">
        <v>3931</v>
      </c>
      <c r="R192" s="267">
        <v>9178.43</v>
      </c>
      <c r="S192" s="267">
        <v>24145.599999999999</v>
      </c>
      <c r="T192" s="267">
        <v>33324.03</v>
      </c>
      <c r="U192" s="268" t="s">
        <v>3932</v>
      </c>
      <c r="V192" s="267" t="s">
        <v>944</v>
      </c>
    </row>
    <row r="193" spans="1:22" hidden="1" x14ac:dyDescent="0.25">
      <c r="A193" s="269">
        <v>43475</v>
      </c>
      <c r="B193" s="270">
        <v>2019</v>
      </c>
      <c r="C193" s="270">
        <v>2019</v>
      </c>
      <c r="D193" s="270">
        <v>1</v>
      </c>
      <c r="E193" s="270">
        <v>1</v>
      </c>
      <c r="F193" s="270" t="s">
        <v>944</v>
      </c>
      <c r="G193" s="270" t="s">
        <v>3926</v>
      </c>
      <c r="H193" s="270" t="s">
        <v>4218</v>
      </c>
      <c r="I193" s="270" t="s">
        <v>4037</v>
      </c>
      <c r="J193" s="270" t="s">
        <v>3928</v>
      </c>
      <c r="K193" s="270">
        <v>6811</v>
      </c>
      <c r="L193" s="270">
        <v>211400</v>
      </c>
      <c r="M193" s="270" t="s">
        <v>3935</v>
      </c>
      <c r="N193" s="270" t="s">
        <v>3944</v>
      </c>
      <c r="O193" s="270">
        <v>2386</v>
      </c>
      <c r="P193" s="270" t="s">
        <v>3944</v>
      </c>
      <c r="Q193" s="270" t="s">
        <v>3944</v>
      </c>
      <c r="R193" s="270">
        <v>2386</v>
      </c>
      <c r="S193" s="270">
        <v>25064</v>
      </c>
      <c r="T193" s="270">
        <v>27450</v>
      </c>
      <c r="U193" s="271" t="s">
        <v>3945</v>
      </c>
      <c r="V193" s="267" t="s">
        <v>944</v>
      </c>
    </row>
    <row r="194" spans="1:22" hidden="1" x14ac:dyDescent="0.25">
      <c r="A194" s="266">
        <v>43475</v>
      </c>
      <c r="B194" s="267">
        <v>2019</v>
      </c>
      <c r="C194" s="267">
        <v>2019</v>
      </c>
      <c r="D194" s="267">
        <v>1</v>
      </c>
      <c r="E194" s="267">
        <v>1</v>
      </c>
      <c r="F194" s="267" t="s">
        <v>944</v>
      </c>
      <c r="G194" s="267" t="s">
        <v>3926</v>
      </c>
      <c r="H194" s="267" t="s">
        <v>4219</v>
      </c>
      <c r="I194" s="267" t="s">
        <v>4220</v>
      </c>
      <c r="J194" s="267" t="s">
        <v>3928</v>
      </c>
      <c r="K194" s="267">
        <v>6455</v>
      </c>
      <c r="L194" s="267">
        <v>580100</v>
      </c>
      <c r="M194" s="267" t="s">
        <v>3960</v>
      </c>
      <c r="N194" s="267" t="s">
        <v>3944</v>
      </c>
      <c r="O194" s="267">
        <v>1783</v>
      </c>
      <c r="P194" s="267" t="s">
        <v>3944</v>
      </c>
      <c r="Q194" s="267" t="s">
        <v>3944</v>
      </c>
      <c r="R194" s="267">
        <v>1783</v>
      </c>
      <c r="S194" s="267">
        <v>14294</v>
      </c>
      <c r="T194" s="267">
        <v>16077</v>
      </c>
      <c r="U194" s="268" t="s">
        <v>3945</v>
      </c>
      <c r="V194" s="267" t="s">
        <v>944</v>
      </c>
    </row>
    <row r="195" spans="1:22" hidden="1" x14ac:dyDescent="0.25">
      <c r="A195" s="269">
        <v>43475</v>
      </c>
      <c r="B195" s="270">
        <v>2019</v>
      </c>
      <c r="C195" s="270">
        <v>2019</v>
      </c>
      <c r="D195" s="270">
        <v>1</v>
      </c>
      <c r="E195" s="270">
        <v>1</v>
      </c>
      <c r="F195" s="270" t="s">
        <v>944</v>
      </c>
      <c r="G195" s="270" t="s">
        <v>3926</v>
      </c>
      <c r="H195" s="270" t="s">
        <v>4221</v>
      </c>
      <c r="I195" s="270" t="s">
        <v>4114</v>
      </c>
      <c r="J195" s="270" t="s">
        <v>3928</v>
      </c>
      <c r="K195" s="270">
        <v>6410</v>
      </c>
      <c r="L195" s="270">
        <v>343101</v>
      </c>
      <c r="M195" s="270" t="s">
        <v>3943</v>
      </c>
      <c r="N195" s="270" t="s">
        <v>3944</v>
      </c>
      <c r="O195" s="270">
        <v>4023</v>
      </c>
      <c r="P195" s="270" t="s">
        <v>3944</v>
      </c>
      <c r="Q195" s="270" t="s">
        <v>3944</v>
      </c>
      <c r="R195" s="270">
        <v>4023</v>
      </c>
      <c r="S195" s="270">
        <v>31171</v>
      </c>
      <c r="T195" s="270">
        <v>35194</v>
      </c>
      <c r="U195" s="271" t="s">
        <v>3945</v>
      </c>
      <c r="V195" s="267" t="s">
        <v>944</v>
      </c>
    </row>
    <row r="196" spans="1:22" hidden="1" x14ac:dyDescent="0.25">
      <c r="A196" s="266">
        <v>43475</v>
      </c>
      <c r="B196" s="267">
        <v>2019</v>
      </c>
      <c r="C196" s="267">
        <v>2019</v>
      </c>
      <c r="D196" s="267">
        <v>1</v>
      </c>
      <c r="E196" s="267">
        <v>1</v>
      </c>
      <c r="F196" s="267" t="s">
        <v>944</v>
      </c>
      <c r="G196" s="267" t="s">
        <v>3926</v>
      </c>
      <c r="H196" s="267" t="s">
        <v>4222</v>
      </c>
      <c r="I196" s="267" t="s">
        <v>3975</v>
      </c>
      <c r="J196" s="267" t="s">
        <v>3928</v>
      </c>
      <c r="K196" s="267">
        <v>6489</v>
      </c>
      <c r="L196" s="267">
        <v>430202</v>
      </c>
      <c r="M196" s="267" t="s">
        <v>3943</v>
      </c>
      <c r="N196" s="267" t="s">
        <v>3944</v>
      </c>
      <c r="O196" s="267">
        <v>5218</v>
      </c>
      <c r="P196" s="267" t="s">
        <v>3944</v>
      </c>
      <c r="Q196" s="267" t="s">
        <v>3944</v>
      </c>
      <c r="R196" s="267">
        <v>5218</v>
      </c>
      <c r="S196" s="267">
        <v>39495</v>
      </c>
      <c r="T196" s="267">
        <v>44713</v>
      </c>
      <c r="U196" s="268" t="s">
        <v>3945</v>
      </c>
      <c r="V196" s="267" t="s">
        <v>944</v>
      </c>
    </row>
    <row r="197" spans="1:22" hidden="1" x14ac:dyDescent="0.25">
      <c r="A197" s="269">
        <v>43475</v>
      </c>
      <c r="B197" s="270">
        <v>2019</v>
      </c>
      <c r="C197" s="270">
        <v>2019</v>
      </c>
      <c r="D197" s="270">
        <v>1</v>
      </c>
      <c r="E197" s="270">
        <v>1</v>
      </c>
      <c r="F197" s="270" t="s">
        <v>944</v>
      </c>
      <c r="G197" s="270" t="s">
        <v>3926</v>
      </c>
      <c r="H197" s="270" t="s">
        <v>4223</v>
      </c>
      <c r="I197" s="270" t="s">
        <v>3012</v>
      </c>
      <c r="J197" s="270" t="s">
        <v>3928</v>
      </c>
      <c r="K197" s="270">
        <v>6477</v>
      </c>
      <c r="L197" s="270">
        <v>157100</v>
      </c>
      <c r="M197" s="270" t="s">
        <v>3940</v>
      </c>
      <c r="N197" s="270" t="s">
        <v>3944</v>
      </c>
      <c r="O197" s="270">
        <v>3396</v>
      </c>
      <c r="P197" s="270" t="s">
        <v>3944</v>
      </c>
      <c r="Q197" s="270" t="s">
        <v>3944</v>
      </c>
      <c r="R197" s="270">
        <v>3396</v>
      </c>
      <c r="S197" s="270">
        <v>23374</v>
      </c>
      <c r="T197" s="270">
        <v>26770</v>
      </c>
      <c r="U197" s="271" t="s">
        <v>3945</v>
      </c>
      <c r="V197" s="267" t="s">
        <v>944</v>
      </c>
    </row>
    <row r="198" spans="1:22" hidden="1" x14ac:dyDescent="0.25">
      <c r="A198" s="266">
        <v>43475</v>
      </c>
      <c r="B198" s="267">
        <v>2019</v>
      </c>
      <c r="C198" s="267">
        <v>2019</v>
      </c>
      <c r="D198" s="267">
        <v>1</v>
      </c>
      <c r="E198" s="267">
        <v>1</v>
      </c>
      <c r="F198" s="267" t="s">
        <v>944</v>
      </c>
      <c r="G198" s="267" t="s">
        <v>3926</v>
      </c>
      <c r="H198" s="267" t="s">
        <v>4224</v>
      </c>
      <c r="I198" s="267" t="s">
        <v>4225</v>
      </c>
      <c r="J198" s="267" t="s">
        <v>3928</v>
      </c>
      <c r="K198" s="267">
        <v>6896</v>
      </c>
      <c r="L198" s="267">
        <v>240200</v>
      </c>
      <c r="M198" s="267" t="s">
        <v>3943</v>
      </c>
      <c r="N198" s="267" t="s">
        <v>3944</v>
      </c>
      <c r="O198" s="267">
        <v>1553</v>
      </c>
      <c r="P198" s="267" t="s">
        <v>3944</v>
      </c>
      <c r="Q198" s="267" t="s">
        <v>3944</v>
      </c>
      <c r="R198" s="267">
        <v>1553</v>
      </c>
      <c r="S198" s="267">
        <v>40312</v>
      </c>
      <c r="T198" s="267">
        <v>41865</v>
      </c>
      <c r="U198" s="268" t="s">
        <v>3945</v>
      </c>
      <c r="V198" s="267" t="s">
        <v>944</v>
      </c>
    </row>
    <row r="199" spans="1:22" hidden="1" x14ac:dyDescent="0.25">
      <c r="A199" s="269">
        <v>43475</v>
      </c>
      <c r="B199" s="270">
        <v>2019</v>
      </c>
      <c r="C199" s="270">
        <v>2019</v>
      </c>
      <c r="D199" s="270">
        <v>1</v>
      </c>
      <c r="E199" s="270">
        <v>1</v>
      </c>
      <c r="F199" s="270" t="s">
        <v>944</v>
      </c>
      <c r="G199" s="270" t="s">
        <v>3926</v>
      </c>
      <c r="H199" s="270" t="s">
        <v>4226</v>
      </c>
      <c r="I199" s="270" t="s">
        <v>943</v>
      </c>
      <c r="J199" s="270" t="s">
        <v>3928</v>
      </c>
      <c r="K199" s="270">
        <v>6515</v>
      </c>
      <c r="L199" s="270">
        <v>141000</v>
      </c>
      <c r="M199" s="270" t="s">
        <v>3960</v>
      </c>
      <c r="N199" s="270" t="s">
        <v>3944</v>
      </c>
      <c r="O199" s="270">
        <v>3969</v>
      </c>
      <c r="P199" s="270" t="s">
        <v>3944</v>
      </c>
      <c r="Q199" s="270" t="s">
        <v>3944</v>
      </c>
      <c r="R199" s="270">
        <v>3969</v>
      </c>
      <c r="S199" s="270">
        <v>27632</v>
      </c>
      <c r="T199" s="270">
        <v>31601</v>
      </c>
      <c r="U199" s="271" t="s">
        <v>3945</v>
      </c>
      <c r="V199" s="267" t="s">
        <v>944</v>
      </c>
    </row>
    <row r="200" spans="1:22" hidden="1" x14ac:dyDescent="0.25">
      <c r="A200" s="266">
        <v>43475</v>
      </c>
      <c r="B200" s="267">
        <v>2019</v>
      </c>
      <c r="C200" s="267">
        <v>2019</v>
      </c>
      <c r="D200" s="267">
        <v>1</v>
      </c>
      <c r="E200" s="267">
        <v>1</v>
      </c>
      <c r="F200" s="267" t="s">
        <v>944</v>
      </c>
      <c r="G200" s="267" t="s">
        <v>3926</v>
      </c>
      <c r="H200" s="267" t="s">
        <v>4227</v>
      </c>
      <c r="I200" s="267" t="s">
        <v>3008</v>
      </c>
      <c r="J200" s="267" t="s">
        <v>3928</v>
      </c>
      <c r="K200" s="267">
        <v>6461</v>
      </c>
      <c r="L200" s="267">
        <v>150700</v>
      </c>
      <c r="M200" s="267" t="s">
        <v>3943</v>
      </c>
      <c r="N200" s="267" t="s">
        <v>3944</v>
      </c>
      <c r="O200" s="267">
        <v>2124</v>
      </c>
      <c r="P200" s="267" t="s">
        <v>3944</v>
      </c>
      <c r="Q200" s="267" t="s">
        <v>3944</v>
      </c>
      <c r="R200" s="267">
        <v>2124</v>
      </c>
      <c r="S200" s="267">
        <v>20243.5</v>
      </c>
      <c r="T200" s="267">
        <v>22367.5</v>
      </c>
      <c r="U200" s="268" t="s">
        <v>3945</v>
      </c>
      <c r="V200" s="267" t="s">
        <v>944</v>
      </c>
    </row>
    <row r="201" spans="1:22" hidden="1" x14ac:dyDescent="0.25">
      <c r="A201" s="269">
        <v>43475</v>
      </c>
      <c r="B201" s="270">
        <v>2019</v>
      </c>
      <c r="C201" s="270">
        <v>2019</v>
      </c>
      <c r="D201" s="270">
        <v>1</v>
      </c>
      <c r="E201" s="270">
        <v>1</v>
      </c>
      <c r="F201" s="270" t="s">
        <v>944</v>
      </c>
      <c r="G201" s="270" t="s">
        <v>3926</v>
      </c>
      <c r="H201" s="270" t="s">
        <v>4228</v>
      </c>
      <c r="I201" s="270" t="s">
        <v>953</v>
      </c>
      <c r="J201" s="270" t="s">
        <v>3928</v>
      </c>
      <c r="K201" s="270">
        <v>6518</v>
      </c>
      <c r="L201" s="270">
        <v>165900</v>
      </c>
      <c r="M201" s="270" t="s">
        <v>3943</v>
      </c>
      <c r="N201" s="270" t="s">
        <v>3944</v>
      </c>
      <c r="O201" s="270">
        <v>3527</v>
      </c>
      <c r="P201" s="270" t="s">
        <v>3944</v>
      </c>
      <c r="Q201" s="270" t="s">
        <v>3944</v>
      </c>
      <c r="R201" s="270">
        <v>3527</v>
      </c>
      <c r="S201" s="270">
        <v>25473</v>
      </c>
      <c r="T201" s="270">
        <v>29000</v>
      </c>
      <c r="U201" s="271" t="s">
        <v>3945</v>
      </c>
      <c r="V201" s="267" t="s">
        <v>944</v>
      </c>
    </row>
    <row r="202" spans="1:22" hidden="1" x14ac:dyDescent="0.25">
      <c r="A202" s="266">
        <v>43475</v>
      </c>
      <c r="B202" s="267">
        <v>2019</v>
      </c>
      <c r="C202" s="267">
        <v>2019</v>
      </c>
      <c r="D202" s="267">
        <v>1</v>
      </c>
      <c r="E202" s="267">
        <v>1</v>
      </c>
      <c r="F202" s="267" t="s">
        <v>944</v>
      </c>
      <c r="G202" s="267" t="s">
        <v>3926</v>
      </c>
      <c r="H202" s="267" t="s">
        <v>4229</v>
      </c>
      <c r="I202" s="267" t="s">
        <v>4019</v>
      </c>
      <c r="J202" s="267" t="s">
        <v>3928</v>
      </c>
      <c r="K202" s="267">
        <v>6705</v>
      </c>
      <c r="L202" s="267">
        <v>351300</v>
      </c>
      <c r="M202" s="267">
        <v>-60</v>
      </c>
      <c r="N202" s="267" t="s">
        <v>3944</v>
      </c>
      <c r="O202" s="267">
        <v>3601</v>
      </c>
      <c r="P202" s="267" t="s">
        <v>3944</v>
      </c>
      <c r="Q202" s="267" t="s">
        <v>3944</v>
      </c>
      <c r="R202" s="267">
        <v>3601</v>
      </c>
      <c r="S202" s="267">
        <v>33467.75</v>
      </c>
      <c r="T202" s="267">
        <v>37068.75</v>
      </c>
      <c r="U202" s="268" t="s">
        <v>3945</v>
      </c>
      <c r="V202" s="267" t="s">
        <v>944</v>
      </c>
    </row>
    <row r="203" spans="1:22" hidden="1" x14ac:dyDescent="0.25">
      <c r="A203" s="269">
        <v>43475</v>
      </c>
      <c r="B203" s="270">
        <v>2019</v>
      </c>
      <c r="C203" s="270">
        <v>2019</v>
      </c>
      <c r="D203" s="270">
        <v>1</v>
      </c>
      <c r="E203" s="270">
        <v>1</v>
      </c>
      <c r="F203" s="270" t="s">
        <v>944</v>
      </c>
      <c r="G203" s="270" t="s">
        <v>3997</v>
      </c>
      <c r="H203" s="270" t="s">
        <v>4230</v>
      </c>
      <c r="I203" s="270" t="s">
        <v>4159</v>
      </c>
      <c r="J203" s="270" t="s">
        <v>3928</v>
      </c>
      <c r="K203" s="270">
        <v>6016</v>
      </c>
      <c r="L203" s="270">
        <v>484200</v>
      </c>
      <c r="M203" s="270" t="s">
        <v>3935</v>
      </c>
      <c r="N203" s="270" t="s">
        <v>3944</v>
      </c>
      <c r="O203" s="270">
        <v>3676.24</v>
      </c>
      <c r="P203" s="270" t="s">
        <v>3944</v>
      </c>
      <c r="Q203" s="270" t="s">
        <v>3944</v>
      </c>
      <c r="R203" s="270">
        <v>3676.24</v>
      </c>
      <c r="S203" s="270">
        <v>55191.95</v>
      </c>
      <c r="T203" s="270">
        <v>58868.19</v>
      </c>
      <c r="U203" s="271" t="s">
        <v>3945</v>
      </c>
      <c r="V203" s="267" t="s">
        <v>944</v>
      </c>
    </row>
    <row r="204" spans="1:22" hidden="1" x14ac:dyDescent="0.25">
      <c r="A204" s="266">
        <v>43475</v>
      </c>
      <c r="B204" s="267">
        <v>2019</v>
      </c>
      <c r="C204" s="267">
        <v>2019</v>
      </c>
      <c r="D204" s="267">
        <v>1</v>
      </c>
      <c r="E204" s="267">
        <v>1</v>
      </c>
      <c r="F204" s="267" t="s">
        <v>944</v>
      </c>
      <c r="G204" s="267" t="s">
        <v>3997</v>
      </c>
      <c r="H204" s="267" t="s">
        <v>4231</v>
      </c>
      <c r="I204" s="267" t="s">
        <v>4232</v>
      </c>
      <c r="J204" s="267" t="s">
        <v>3928</v>
      </c>
      <c r="K204" s="267">
        <v>6483</v>
      </c>
      <c r="L204" s="267">
        <v>130102</v>
      </c>
      <c r="M204" s="267" t="s">
        <v>3935</v>
      </c>
      <c r="N204" s="267" t="s">
        <v>3944</v>
      </c>
      <c r="O204" s="267">
        <v>916.67</v>
      </c>
      <c r="P204" s="267" t="s">
        <v>3944</v>
      </c>
      <c r="Q204" s="267" t="s">
        <v>3944</v>
      </c>
      <c r="R204" s="267">
        <v>916.67</v>
      </c>
      <c r="S204" s="267">
        <v>14309.65</v>
      </c>
      <c r="T204" s="267">
        <v>15226.32</v>
      </c>
      <c r="U204" s="268" t="s">
        <v>3945</v>
      </c>
      <c r="V204" s="267" t="s">
        <v>944</v>
      </c>
    </row>
    <row r="205" spans="1:22" hidden="1" x14ac:dyDescent="0.25">
      <c r="A205" s="269">
        <v>43475</v>
      </c>
      <c r="B205" s="270">
        <v>2019</v>
      </c>
      <c r="C205" s="270">
        <v>2019</v>
      </c>
      <c r="D205" s="270">
        <v>1</v>
      </c>
      <c r="E205" s="270">
        <v>1</v>
      </c>
      <c r="F205" s="270" t="s">
        <v>944</v>
      </c>
      <c r="G205" s="270" t="s">
        <v>3997</v>
      </c>
      <c r="H205" s="270" t="s">
        <v>4233</v>
      </c>
      <c r="I205" s="270" t="s">
        <v>3939</v>
      </c>
      <c r="J205" s="270" t="s">
        <v>3928</v>
      </c>
      <c r="K205" s="270">
        <v>6512</v>
      </c>
      <c r="L205" s="270">
        <v>180400</v>
      </c>
      <c r="M205" s="270" t="s">
        <v>3935</v>
      </c>
      <c r="N205" s="270" t="s">
        <v>3944</v>
      </c>
      <c r="O205" s="270">
        <v>2651.1</v>
      </c>
      <c r="P205" s="270" t="s">
        <v>3944</v>
      </c>
      <c r="Q205" s="270" t="s">
        <v>3944</v>
      </c>
      <c r="R205" s="270">
        <v>2651.1</v>
      </c>
      <c r="S205" s="270">
        <v>41957.52</v>
      </c>
      <c r="T205" s="270">
        <v>44608.62</v>
      </c>
      <c r="U205" s="271" t="s">
        <v>3945</v>
      </c>
      <c r="V205" s="267" t="s">
        <v>944</v>
      </c>
    </row>
    <row r="206" spans="1:22" hidden="1" x14ac:dyDescent="0.25">
      <c r="A206" s="266">
        <v>43475</v>
      </c>
      <c r="B206" s="267">
        <v>2019</v>
      </c>
      <c r="C206" s="267">
        <v>2019</v>
      </c>
      <c r="D206" s="267">
        <v>1</v>
      </c>
      <c r="E206" s="267">
        <v>1</v>
      </c>
      <c r="F206" s="267" t="s">
        <v>944</v>
      </c>
      <c r="G206" s="267" t="s">
        <v>3926</v>
      </c>
      <c r="H206" s="267" t="s">
        <v>4234</v>
      </c>
      <c r="I206" s="267" t="s">
        <v>4235</v>
      </c>
      <c r="J206" s="267" t="s">
        <v>3928</v>
      </c>
      <c r="K206" s="267">
        <v>6066</v>
      </c>
      <c r="L206" s="267">
        <v>530302</v>
      </c>
      <c r="M206" s="267" t="s">
        <v>3935</v>
      </c>
      <c r="N206" s="267" t="s">
        <v>3944</v>
      </c>
      <c r="O206" s="267">
        <v>5350</v>
      </c>
      <c r="P206" s="267" t="s">
        <v>3944</v>
      </c>
      <c r="Q206" s="267" t="s">
        <v>3944</v>
      </c>
      <c r="R206" s="267">
        <v>5350</v>
      </c>
      <c r="S206" s="267">
        <v>38750</v>
      </c>
      <c r="T206" s="267">
        <v>44100</v>
      </c>
      <c r="U206" s="268" t="s">
        <v>3945</v>
      </c>
      <c r="V206" s="267" t="s">
        <v>944</v>
      </c>
    </row>
    <row r="207" spans="1:22" hidden="1" x14ac:dyDescent="0.25">
      <c r="A207" s="269">
        <v>43475</v>
      </c>
      <c r="B207" s="270">
        <v>2019</v>
      </c>
      <c r="C207" s="270">
        <v>2019</v>
      </c>
      <c r="D207" s="270">
        <v>1</v>
      </c>
      <c r="E207" s="270">
        <v>1</v>
      </c>
      <c r="F207" s="270" t="s">
        <v>944</v>
      </c>
      <c r="G207" s="270" t="s">
        <v>3926</v>
      </c>
      <c r="H207" s="270" t="s">
        <v>4236</v>
      </c>
      <c r="I207" s="270" t="s">
        <v>4108</v>
      </c>
      <c r="J207" s="270" t="s">
        <v>3928</v>
      </c>
      <c r="K207" s="270">
        <v>6082</v>
      </c>
      <c r="L207" s="270">
        <v>481000</v>
      </c>
      <c r="M207" s="270" t="s">
        <v>3943</v>
      </c>
      <c r="N207" s="270" t="s">
        <v>3944</v>
      </c>
      <c r="O207" s="270">
        <v>3400</v>
      </c>
      <c r="P207" s="270" t="s">
        <v>3944</v>
      </c>
      <c r="Q207" s="270" t="s">
        <v>3944</v>
      </c>
      <c r="R207" s="270">
        <v>3400</v>
      </c>
      <c r="S207" s="270">
        <v>21300</v>
      </c>
      <c r="T207" s="270">
        <v>24700</v>
      </c>
      <c r="U207" s="271" t="s">
        <v>3945</v>
      </c>
      <c r="V207" s="267" t="s">
        <v>944</v>
      </c>
    </row>
    <row r="208" spans="1:22" hidden="1" x14ac:dyDescent="0.25">
      <c r="A208" s="266">
        <v>43475</v>
      </c>
      <c r="B208" s="267">
        <v>2019</v>
      </c>
      <c r="C208" s="267">
        <v>2019</v>
      </c>
      <c r="D208" s="267">
        <v>1</v>
      </c>
      <c r="E208" s="267">
        <v>1</v>
      </c>
      <c r="F208" s="267" t="s">
        <v>944</v>
      </c>
      <c r="G208" s="267" t="s">
        <v>3926</v>
      </c>
      <c r="H208" s="267" t="s">
        <v>4237</v>
      </c>
      <c r="I208" s="267" t="s">
        <v>3010</v>
      </c>
      <c r="J208" s="267" t="s">
        <v>3928</v>
      </c>
      <c r="K208" s="267">
        <v>6401</v>
      </c>
      <c r="L208" s="267">
        <v>125100</v>
      </c>
      <c r="M208" s="267" t="s">
        <v>3960</v>
      </c>
      <c r="N208" s="267" t="s">
        <v>3944</v>
      </c>
      <c r="O208" s="267">
        <v>2240</v>
      </c>
      <c r="P208" s="267" t="s">
        <v>3944</v>
      </c>
      <c r="Q208" s="267" t="s">
        <v>3944</v>
      </c>
      <c r="R208" s="267">
        <v>2240</v>
      </c>
      <c r="S208" s="267">
        <v>24535</v>
      </c>
      <c r="T208" s="267">
        <v>26775</v>
      </c>
      <c r="U208" s="268" t="s">
        <v>3945</v>
      </c>
      <c r="V208" s="267" t="s">
        <v>944</v>
      </c>
    </row>
    <row r="209" spans="1:22" hidden="1" x14ac:dyDescent="0.25">
      <c r="A209" s="269">
        <v>43475</v>
      </c>
      <c r="B209" s="270">
        <v>2019</v>
      </c>
      <c r="C209" s="270">
        <v>2019</v>
      </c>
      <c r="D209" s="270">
        <v>1</v>
      </c>
      <c r="E209" s="270">
        <v>1</v>
      </c>
      <c r="F209" s="270" t="s">
        <v>944</v>
      </c>
      <c r="G209" s="270" t="s">
        <v>3926</v>
      </c>
      <c r="H209" s="270" t="s">
        <v>4238</v>
      </c>
      <c r="I209" s="270" t="s">
        <v>4239</v>
      </c>
      <c r="J209" s="270" t="s">
        <v>3928</v>
      </c>
      <c r="K209" s="270">
        <v>6032</v>
      </c>
      <c r="L209" s="270">
        <v>460204</v>
      </c>
      <c r="M209" s="270" t="s">
        <v>3935</v>
      </c>
      <c r="N209" s="270" t="s">
        <v>3944</v>
      </c>
      <c r="O209" s="270">
        <v>1795</v>
      </c>
      <c r="P209" s="270" t="s">
        <v>3944</v>
      </c>
      <c r="Q209" s="270" t="s">
        <v>3944</v>
      </c>
      <c r="R209" s="270">
        <v>1795</v>
      </c>
      <c r="S209" s="270">
        <v>19292</v>
      </c>
      <c r="T209" s="270">
        <v>21087</v>
      </c>
      <c r="U209" s="271" t="s">
        <v>3945</v>
      </c>
      <c r="V209" s="267" t="s">
        <v>944</v>
      </c>
    </row>
    <row r="210" spans="1:22" hidden="1" x14ac:dyDescent="0.25">
      <c r="A210" s="266">
        <v>43475</v>
      </c>
      <c r="B210" s="267">
        <v>2019</v>
      </c>
      <c r="C210" s="267">
        <v>2019</v>
      </c>
      <c r="D210" s="267">
        <v>1</v>
      </c>
      <c r="E210" s="267">
        <v>1</v>
      </c>
      <c r="F210" s="267" t="s">
        <v>944</v>
      </c>
      <c r="G210" s="267" t="s">
        <v>3926</v>
      </c>
      <c r="H210" s="267" t="s">
        <v>4240</v>
      </c>
      <c r="I210" s="267" t="s">
        <v>4005</v>
      </c>
      <c r="J210" s="267" t="s">
        <v>3928</v>
      </c>
      <c r="K210" s="267">
        <v>6108</v>
      </c>
      <c r="L210" s="267">
        <v>510100</v>
      </c>
      <c r="M210" s="267" t="s">
        <v>3940</v>
      </c>
      <c r="N210" s="267" t="s">
        <v>3944</v>
      </c>
      <c r="O210" s="267">
        <v>1396.4</v>
      </c>
      <c r="P210" s="267" t="s">
        <v>3944</v>
      </c>
      <c r="Q210" s="267" t="s">
        <v>3944</v>
      </c>
      <c r="R210" s="267">
        <v>1396.4</v>
      </c>
      <c r="S210" s="267">
        <v>16658</v>
      </c>
      <c r="T210" s="267">
        <v>18054.400000000001</v>
      </c>
      <c r="U210" s="268" t="s">
        <v>3945</v>
      </c>
      <c r="V210" s="267" t="s">
        <v>944</v>
      </c>
    </row>
    <row r="211" spans="1:22" hidden="1" x14ac:dyDescent="0.25">
      <c r="A211" s="269">
        <v>43475</v>
      </c>
      <c r="B211" s="270">
        <v>2019</v>
      </c>
      <c r="C211" s="270">
        <v>2019</v>
      </c>
      <c r="D211" s="270">
        <v>1</v>
      </c>
      <c r="E211" s="270">
        <v>1</v>
      </c>
      <c r="F211" s="270" t="s">
        <v>944</v>
      </c>
      <c r="G211" s="270" t="s">
        <v>3926</v>
      </c>
      <c r="H211" s="270" t="s">
        <v>4241</v>
      </c>
      <c r="I211" s="270" t="s">
        <v>4119</v>
      </c>
      <c r="J211" s="270" t="s">
        <v>3928</v>
      </c>
      <c r="K211" s="270">
        <v>6078</v>
      </c>
      <c r="L211" s="270">
        <v>477102</v>
      </c>
      <c r="M211" s="270" t="s">
        <v>3943</v>
      </c>
      <c r="N211" s="270" t="s">
        <v>3944</v>
      </c>
      <c r="O211" s="270">
        <v>4742.54</v>
      </c>
      <c r="P211" s="270" t="s">
        <v>3944</v>
      </c>
      <c r="Q211" s="270" t="s">
        <v>3944</v>
      </c>
      <c r="R211" s="270">
        <v>4742.54</v>
      </c>
      <c r="S211" s="270">
        <v>69507.460000000006</v>
      </c>
      <c r="T211" s="270">
        <v>74250</v>
      </c>
      <c r="U211" s="271" t="s">
        <v>3945</v>
      </c>
      <c r="V211" s="267" t="s">
        <v>944</v>
      </c>
    </row>
    <row r="212" spans="1:22" hidden="1" x14ac:dyDescent="0.25">
      <c r="A212" s="266">
        <v>43475</v>
      </c>
      <c r="B212" s="267">
        <v>2019</v>
      </c>
      <c r="C212" s="267">
        <v>2019</v>
      </c>
      <c r="D212" s="267">
        <v>1</v>
      </c>
      <c r="E212" s="267">
        <v>1</v>
      </c>
      <c r="F212" s="267" t="s">
        <v>944</v>
      </c>
      <c r="G212" s="267" t="s">
        <v>3926</v>
      </c>
      <c r="H212" s="267" t="s">
        <v>4242</v>
      </c>
      <c r="I212" s="267" t="s">
        <v>4035</v>
      </c>
      <c r="J212" s="267" t="s">
        <v>3928</v>
      </c>
      <c r="K212" s="267">
        <v>6074</v>
      </c>
      <c r="L212" s="267">
        <v>487100</v>
      </c>
      <c r="M212" s="267" t="s">
        <v>3943</v>
      </c>
      <c r="N212" s="267" t="s">
        <v>3944</v>
      </c>
      <c r="O212" s="267">
        <v>2738.86</v>
      </c>
      <c r="P212" s="267" t="s">
        <v>3944</v>
      </c>
      <c r="Q212" s="267" t="s">
        <v>3944</v>
      </c>
      <c r="R212" s="267">
        <v>2738.86</v>
      </c>
      <c r="S212" s="267">
        <v>43269.14</v>
      </c>
      <c r="T212" s="267">
        <v>46008</v>
      </c>
      <c r="U212" s="268" t="s">
        <v>3945</v>
      </c>
      <c r="V212" s="267" t="s">
        <v>944</v>
      </c>
    </row>
    <row r="213" spans="1:22" hidden="1" x14ac:dyDescent="0.25">
      <c r="A213" s="269">
        <v>43475</v>
      </c>
      <c r="B213" s="270">
        <v>2019</v>
      </c>
      <c r="C213" s="270">
        <v>2019</v>
      </c>
      <c r="D213" s="270">
        <v>1</v>
      </c>
      <c r="E213" s="270">
        <v>1</v>
      </c>
      <c r="F213" s="270" t="s">
        <v>944</v>
      </c>
      <c r="G213" s="270" t="s">
        <v>3926</v>
      </c>
      <c r="H213" s="270" t="s">
        <v>4243</v>
      </c>
      <c r="I213" s="270" t="s">
        <v>4244</v>
      </c>
      <c r="J213" s="270" t="s">
        <v>3928</v>
      </c>
      <c r="K213" s="270">
        <v>6268</v>
      </c>
      <c r="L213" s="270">
        <v>881100</v>
      </c>
      <c r="M213" s="270" t="s">
        <v>3935</v>
      </c>
      <c r="N213" s="270" t="s">
        <v>3944</v>
      </c>
      <c r="O213" s="270">
        <v>800.77</v>
      </c>
      <c r="P213" s="270" t="s">
        <v>3944</v>
      </c>
      <c r="Q213" s="270" t="s">
        <v>3944</v>
      </c>
      <c r="R213" s="270">
        <v>800.77</v>
      </c>
      <c r="S213" s="270">
        <v>14091.23</v>
      </c>
      <c r="T213" s="270">
        <v>14892</v>
      </c>
      <c r="U213" s="271" t="s">
        <v>3945</v>
      </c>
      <c r="V213" s="267" t="s">
        <v>944</v>
      </c>
    </row>
    <row r="214" spans="1:22" hidden="1" x14ac:dyDescent="0.25">
      <c r="A214" s="266">
        <v>43475</v>
      </c>
      <c r="B214" s="267">
        <v>2019</v>
      </c>
      <c r="C214" s="267">
        <v>2019</v>
      </c>
      <c r="D214" s="267">
        <v>1</v>
      </c>
      <c r="E214" s="267">
        <v>1</v>
      </c>
      <c r="F214" s="267" t="s">
        <v>944</v>
      </c>
      <c r="G214" s="267" t="s">
        <v>3926</v>
      </c>
      <c r="H214" s="267" t="s">
        <v>4245</v>
      </c>
      <c r="I214" s="267" t="s">
        <v>4003</v>
      </c>
      <c r="J214" s="267" t="s">
        <v>3928</v>
      </c>
      <c r="K214" s="267">
        <v>6374</v>
      </c>
      <c r="L214" s="267">
        <v>907100</v>
      </c>
      <c r="M214" s="267" t="s">
        <v>3935</v>
      </c>
      <c r="N214" s="267" t="s">
        <v>3944</v>
      </c>
      <c r="O214" s="267">
        <v>1842.51</v>
      </c>
      <c r="P214" s="267" t="s">
        <v>3944</v>
      </c>
      <c r="Q214" s="267" t="s">
        <v>3944</v>
      </c>
      <c r="R214" s="267">
        <v>1842.51</v>
      </c>
      <c r="S214" s="267">
        <v>23592.99</v>
      </c>
      <c r="T214" s="267">
        <v>25435.5</v>
      </c>
      <c r="U214" s="268" t="s">
        <v>3945</v>
      </c>
      <c r="V214" s="267" t="s">
        <v>944</v>
      </c>
    </row>
    <row r="215" spans="1:22" hidden="1" x14ac:dyDescent="0.25">
      <c r="A215" s="269">
        <v>43475</v>
      </c>
      <c r="B215" s="270">
        <v>2019</v>
      </c>
      <c r="C215" s="270">
        <v>2019</v>
      </c>
      <c r="D215" s="270">
        <v>1</v>
      </c>
      <c r="E215" s="270">
        <v>1</v>
      </c>
      <c r="F215" s="270" t="s">
        <v>944</v>
      </c>
      <c r="G215" s="270" t="s">
        <v>3926</v>
      </c>
      <c r="H215" s="270" t="s">
        <v>4246</v>
      </c>
      <c r="I215" s="270" t="s">
        <v>4019</v>
      </c>
      <c r="J215" s="270" t="s">
        <v>3928</v>
      </c>
      <c r="K215" s="270">
        <v>6708</v>
      </c>
      <c r="L215" s="270">
        <v>351602</v>
      </c>
      <c r="M215" s="270" t="s">
        <v>3940</v>
      </c>
      <c r="N215" s="270" t="s">
        <v>3944</v>
      </c>
      <c r="O215" s="270">
        <v>2191.56</v>
      </c>
      <c r="P215" s="270" t="s">
        <v>3944</v>
      </c>
      <c r="Q215" s="270" t="s">
        <v>3944</v>
      </c>
      <c r="R215" s="270">
        <v>2191.56</v>
      </c>
      <c r="S215" s="270">
        <v>27628.44</v>
      </c>
      <c r="T215" s="270">
        <v>29820</v>
      </c>
      <c r="U215" s="271" t="s">
        <v>3945</v>
      </c>
      <c r="V215" s="267" t="s">
        <v>944</v>
      </c>
    </row>
    <row r="216" spans="1:22" hidden="1" x14ac:dyDescent="0.25">
      <c r="A216" s="266">
        <v>43475</v>
      </c>
      <c r="B216" s="267">
        <v>2019</v>
      </c>
      <c r="C216" s="267">
        <v>2019</v>
      </c>
      <c r="D216" s="267">
        <v>1</v>
      </c>
      <c r="E216" s="267">
        <v>1</v>
      </c>
      <c r="F216" s="267" t="s">
        <v>944</v>
      </c>
      <c r="G216" s="267" t="s">
        <v>3926</v>
      </c>
      <c r="H216" s="267" t="s">
        <v>4247</v>
      </c>
      <c r="I216" s="267" t="s">
        <v>4248</v>
      </c>
      <c r="J216" s="267" t="s">
        <v>3928</v>
      </c>
      <c r="K216" s="267">
        <v>6076</v>
      </c>
      <c r="L216" s="267">
        <v>890201</v>
      </c>
      <c r="M216" s="267" t="s">
        <v>3960</v>
      </c>
      <c r="N216" s="267" t="s">
        <v>3944</v>
      </c>
      <c r="O216" s="267">
        <v>2234.4699999999998</v>
      </c>
      <c r="P216" s="267" t="s">
        <v>3944</v>
      </c>
      <c r="Q216" s="267" t="s">
        <v>3944</v>
      </c>
      <c r="R216" s="267">
        <v>2234.4699999999998</v>
      </c>
      <c r="S216" s="267">
        <v>25364.25</v>
      </c>
      <c r="T216" s="267">
        <v>27598.720000000001</v>
      </c>
      <c r="U216" s="268" t="s">
        <v>3945</v>
      </c>
      <c r="V216" s="267" t="s">
        <v>944</v>
      </c>
    </row>
    <row r="217" spans="1:22" hidden="1" x14ac:dyDescent="0.25">
      <c r="A217" s="269">
        <v>43475</v>
      </c>
      <c r="B217" s="270">
        <v>2019</v>
      </c>
      <c r="C217" s="270">
        <v>2019</v>
      </c>
      <c r="D217" s="270">
        <v>1</v>
      </c>
      <c r="E217" s="270">
        <v>1</v>
      </c>
      <c r="F217" s="270" t="s">
        <v>944</v>
      </c>
      <c r="G217" s="270" t="s">
        <v>3926</v>
      </c>
      <c r="H217" s="270" t="s">
        <v>4249</v>
      </c>
      <c r="I217" s="270" t="s">
        <v>4250</v>
      </c>
      <c r="J217" s="270" t="s">
        <v>3928</v>
      </c>
      <c r="K217" s="270">
        <v>6239</v>
      </c>
      <c r="L217" s="270">
        <v>904500</v>
      </c>
      <c r="M217" s="270" t="s">
        <v>3940</v>
      </c>
      <c r="N217" s="270" t="s">
        <v>3944</v>
      </c>
      <c r="O217" s="270">
        <v>2184.0700000000002</v>
      </c>
      <c r="P217" s="270" t="s">
        <v>3944</v>
      </c>
      <c r="Q217" s="270" t="s">
        <v>3944</v>
      </c>
      <c r="R217" s="270">
        <v>2184.0700000000002</v>
      </c>
      <c r="S217" s="270">
        <v>26180.93</v>
      </c>
      <c r="T217" s="270">
        <v>28365</v>
      </c>
      <c r="U217" s="271" t="s">
        <v>3945</v>
      </c>
      <c r="V217" s="267" t="s">
        <v>944</v>
      </c>
    </row>
    <row r="218" spans="1:22" hidden="1" x14ac:dyDescent="0.25">
      <c r="A218" s="266">
        <v>43475</v>
      </c>
      <c r="B218" s="267">
        <v>2019</v>
      </c>
      <c r="C218" s="267">
        <v>2019</v>
      </c>
      <c r="D218" s="267">
        <v>1</v>
      </c>
      <c r="E218" s="267">
        <v>1</v>
      </c>
      <c r="F218" s="267" t="s">
        <v>944</v>
      </c>
      <c r="G218" s="267" t="s">
        <v>3926</v>
      </c>
      <c r="H218" s="267" t="s">
        <v>4251</v>
      </c>
      <c r="I218" s="267" t="s">
        <v>950</v>
      </c>
      <c r="J218" s="267" t="s">
        <v>3928</v>
      </c>
      <c r="K218" s="267">
        <v>6516</v>
      </c>
      <c r="L218" s="267">
        <v>154600</v>
      </c>
      <c r="M218" s="267">
        <v>-60</v>
      </c>
      <c r="N218" s="267" t="s">
        <v>3944</v>
      </c>
      <c r="O218" s="267">
        <v>2090.13</v>
      </c>
      <c r="P218" s="267" t="s">
        <v>3944</v>
      </c>
      <c r="Q218" s="267" t="s">
        <v>3944</v>
      </c>
      <c r="R218" s="267">
        <v>2090.13</v>
      </c>
      <c r="S218" s="267">
        <v>33565.43</v>
      </c>
      <c r="T218" s="267">
        <v>35655.56</v>
      </c>
      <c r="U218" s="268" t="s">
        <v>3945</v>
      </c>
      <c r="V218" s="267" t="s">
        <v>944</v>
      </c>
    </row>
    <row r="219" spans="1:22" hidden="1" x14ac:dyDescent="0.25">
      <c r="A219" s="269">
        <v>43475</v>
      </c>
      <c r="B219" s="270">
        <v>2019</v>
      </c>
      <c r="C219" s="270">
        <v>2019</v>
      </c>
      <c r="D219" s="270">
        <v>1</v>
      </c>
      <c r="E219" s="270">
        <v>1</v>
      </c>
      <c r="F219" s="270" t="s">
        <v>944</v>
      </c>
      <c r="G219" s="270" t="s">
        <v>3926</v>
      </c>
      <c r="H219" s="270" t="s">
        <v>4252</v>
      </c>
      <c r="I219" s="270" t="s">
        <v>953</v>
      </c>
      <c r="J219" s="270" t="s">
        <v>3928</v>
      </c>
      <c r="K219" s="270">
        <v>6518</v>
      </c>
      <c r="L219" s="270">
        <v>166002</v>
      </c>
      <c r="M219" s="270" t="s">
        <v>3960</v>
      </c>
      <c r="N219" s="270" t="s">
        <v>3944</v>
      </c>
      <c r="O219" s="270">
        <v>1153.95</v>
      </c>
      <c r="P219" s="270" t="s">
        <v>3944</v>
      </c>
      <c r="Q219" s="270" t="s">
        <v>3944</v>
      </c>
      <c r="R219" s="270">
        <v>1153.95</v>
      </c>
      <c r="S219" s="270">
        <v>19319.32</v>
      </c>
      <c r="T219" s="270">
        <v>20473.27</v>
      </c>
      <c r="U219" s="271" t="s">
        <v>3945</v>
      </c>
      <c r="V219" s="267" t="s">
        <v>944</v>
      </c>
    </row>
    <row r="220" spans="1:22" hidden="1" x14ac:dyDescent="0.25">
      <c r="A220" s="266">
        <v>43475</v>
      </c>
      <c r="B220" s="267">
        <v>2019</v>
      </c>
      <c r="C220" s="267">
        <v>2019</v>
      </c>
      <c r="D220" s="267">
        <v>1</v>
      </c>
      <c r="E220" s="267">
        <v>1</v>
      </c>
      <c r="F220" s="267" t="s">
        <v>944</v>
      </c>
      <c r="G220" s="267" t="s">
        <v>3926</v>
      </c>
      <c r="H220" s="267" t="s">
        <v>4253</v>
      </c>
      <c r="I220" s="267" t="s">
        <v>4254</v>
      </c>
      <c r="J220" s="267" t="s">
        <v>3928</v>
      </c>
      <c r="K220" s="267">
        <v>6076</v>
      </c>
      <c r="L220" s="267">
        <v>890100</v>
      </c>
      <c r="M220" s="267" t="s">
        <v>3940</v>
      </c>
      <c r="N220" s="267" t="s">
        <v>3944</v>
      </c>
      <c r="O220" s="267">
        <v>1420.06</v>
      </c>
      <c r="P220" s="267" t="s">
        <v>3944</v>
      </c>
      <c r="Q220" s="267" t="s">
        <v>3944</v>
      </c>
      <c r="R220" s="267">
        <v>1420.06</v>
      </c>
      <c r="S220" s="267">
        <v>12426.94</v>
      </c>
      <c r="T220" s="267">
        <v>13847</v>
      </c>
      <c r="U220" s="268" t="s">
        <v>3945</v>
      </c>
      <c r="V220" s="267" t="s">
        <v>944</v>
      </c>
    </row>
    <row r="221" spans="1:22" hidden="1" x14ac:dyDescent="0.25">
      <c r="A221" s="269">
        <v>43475</v>
      </c>
      <c r="B221" s="270">
        <v>2019</v>
      </c>
      <c r="C221" s="270">
        <v>2019</v>
      </c>
      <c r="D221" s="270">
        <v>1</v>
      </c>
      <c r="E221" s="270">
        <v>1</v>
      </c>
      <c r="F221" s="270" t="s">
        <v>944</v>
      </c>
      <c r="G221" s="270" t="s">
        <v>3926</v>
      </c>
      <c r="H221" s="270" t="s">
        <v>4255</v>
      </c>
      <c r="I221" s="270" t="s">
        <v>4159</v>
      </c>
      <c r="J221" s="270" t="s">
        <v>3928</v>
      </c>
      <c r="K221" s="270">
        <v>6016</v>
      </c>
      <c r="L221" s="270">
        <v>484200</v>
      </c>
      <c r="M221" s="270" t="s">
        <v>3935</v>
      </c>
      <c r="N221" s="270" t="s">
        <v>3944</v>
      </c>
      <c r="O221" s="270">
        <v>1407.81</v>
      </c>
      <c r="P221" s="270" t="s">
        <v>3944</v>
      </c>
      <c r="Q221" s="270" t="s">
        <v>3944</v>
      </c>
      <c r="R221" s="270">
        <v>1407.81</v>
      </c>
      <c r="S221" s="270">
        <v>16505.189999999999</v>
      </c>
      <c r="T221" s="270">
        <v>17913</v>
      </c>
      <c r="U221" s="271" t="s">
        <v>3945</v>
      </c>
      <c r="V221" s="267" t="s">
        <v>944</v>
      </c>
    </row>
    <row r="222" spans="1:22" hidden="1" x14ac:dyDescent="0.25">
      <c r="A222" s="266">
        <v>43475</v>
      </c>
      <c r="B222" s="267">
        <v>2019</v>
      </c>
      <c r="C222" s="267">
        <v>2019</v>
      </c>
      <c r="D222" s="267">
        <v>1</v>
      </c>
      <c r="E222" s="267">
        <v>1</v>
      </c>
      <c r="F222" s="267" t="s">
        <v>944</v>
      </c>
      <c r="G222" s="267" t="s">
        <v>3926</v>
      </c>
      <c r="H222" s="267" t="s">
        <v>4256</v>
      </c>
      <c r="I222" s="267" t="s">
        <v>3939</v>
      </c>
      <c r="J222" s="267" t="s">
        <v>3928</v>
      </c>
      <c r="K222" s="267">
        <v>6513</v>
      </c>
      <c r="L222" s="267">
        <v>180602</v>
      </c>
      <c r="M222" s="267" t="s">
        <v>3935</v>
      </c>
      <c r="N222" s="267" t="s">
        <v>3944</v>
      </c>
      <c r="O222" s="267">
        <v>1882.55</v>
      </c>
      <c r="P222" s="267" t="s">
        <v>3944</v>
      </c>
      <c r="Q222" s="267" t="s">
        <v>3944</v>
      </c>
      <c r="R222" s="267">
        <v>1882.55</v>
      </c>
      <c r="S222" s="267">
        <v>23970.36</v>
      </c>
      <c r="T222" s="267">
        <v>25852.91</v>
      </c>
      <c r="U222" s="268" t="s">
        <v>3945</v>
      </c>
      <c r="V222" s="267" t="s">
        <v>944</v>
      </c>
    </row>
    <row r="223" spans="1:22" hidden="1" x14ac:dyDescent="0.25">
      <c r="A223" s="269">
        <v>43475</v>
      </c>
      <c r="B223" s="270">
        <v>2019</v>
      </c>
      <c r="C223" s="270">
        <v>2019</v>
      </c>
      <c r="D223" s="270">
        <v>1</v>
      </c>
      <c r="E223" s="270">
        <v>1</v>
      </c>
      <c r="F223" s="270" t="s">
        <v>944</v>
      </c>
      <c r="G223" s="270" t="s">
        <v>3926</v>
      </c>
      <c r="H223" s="270" t="s">
        <v>4257</v>
      </c>
      <c r="I223" s="270" t="s">
        <v>4172</v>
      </c>
      <c r="J223" s="270" t="s">
        <v>3928</v>
      </c>
      <c r="K223" s="270">
        <v>6786</v>
      </c>
      <c r="L223" s="270">
        <v>425300</v>
      </c>
      <c r="M223" s="270" t="s">
        <v>3960</v>
      </c>
      <c r="N223" s="270" t="s">
        <v>3944</v>
      </c>
      <c r="O223" s="270">
        <v>1510.67</v>
      </c>
      <c r="P223" s="270" t="s">
        <v>3944</v>
      </c>
      <c r="Q223" s="270" t="s">
        <v>3944</v>
      </c>
      <c r="R223" s="270">
        <v>1510.67</v>
      </c>
      <c r="S223" s="270">
        <v>19681.91</v>
      </c>
      <c r="T223" s="270">
        <v>21192.58</v>
      </c>
      <c r="U223" s="271" t="s">
        <v>3945</v>
      </c>
      <c r="V223" s="267" t="s">
        <v>944</v>
      </c>
    </row>
    <row r="224" spans="1:22" hidden="1" x14ac:dyDescent="0.25">
      <c r="A224" s="266">
        <v>43475</v>
      </c>
      <c r="B224" s="267">
        <v>2019</v>
      </c>
      <c r="C224" s="267">
        <v>2019</v>
      </c>
      <c r="D224" s="267">
        <v>1</v>
      </c>
      <c r="E224" s="267">
        <v>1</v>
      </c>
      <c r="F224" s="267" t="s">
        <v>944</v>
      </c>
      <c r="G224" s="267" t="s">
        <v>3926</v>
      </c>
      <c r="H224" s="267" t="s">
        <v>4258</v>
      </c>
      <c r="I224" s="267" t="s">
        <v>4235</v>
      </c>
      <c r="J224" s="267" t="s">
        <v>3928</v>
      </c>
      <c r="K224" s="267">
        <v>6066</v>
      </c>
      <c r="L224" s="267">
        <v>530600</v>
      </c>
      <c r="M224" s="267" t="s">
        <v>3960</v>
      </c>
      <c r="N224" s="267" t="s">
        <v>3944</v>
      </c>
      <c r="O224" s="267">
        <v>2064.62</v>
      </c>
      <c r="P224" s="267" t="s">
        <v>3944</v>
      </c>
      <c r="Q224" s="267" t="s">
        <v>3944</v>
      </c>
      <c r="R224" s="267">
        <v>2064.62</v>
      </c>
      <c r="S224" s="267">
        <v>34743.94</v>
      </c>
      <c r="T224" s="267">
        <v>36808.559999999998</v>
      </c>
      <c r="U224" s="268" t="s">
        <v>3945</v>
      </c>
      <c r="V224" s="267" t="s">
        <v>944</v>
      </c>
    </row>
    <row r="225" spans="1:22" hidden="1" x14ac:dyDescent="0.25">
      <c r="A225" s="269">
        <v>43475</v>
      </c>
      <c r="B225" s="270">
        <v>2019</v>
      </c>
      <c r="C225" s="270">
        <v>2019</v>
      </c>
      <c r="D225" s="270">
        <v>1</v>
      </c>
      <c r="E225" s="270">
        <v>1</v>
      </c>
      <c r="F225" s="270" t="s">
        <v>944</v>
      </c>
      <c r="G225" s="270" t="s">
        <v>3926</v>
      </c>
      <c r="H225" s="270" t="s">
        <v>4259</v>
      </c>
      <c r="I225" s="270" t="s">
        <v>3962</v>
      </c>
      <c r="J225" s="270" t="s">
        <v>3928</v>
      </c>
      <c r="K225" s="270">
        <v>6355</v>
      </c>
      <c r="L225" s="270">
        <v>705300</v>
      </c>
      <c r="M225" s="270" t="s">
        <v>3960</v>
      </c>
      <c r="N225" s="270" t="s">
        <v>3944</v>
      </c>
      <c r="O225" s="270">
        <v>647.5</v>
      </c>
      <c r="P225" s="270" t="s">
        <v>3944</v>
      </c>
      <c r="Q225" s="270" t="s">
        <v>3944</v>
      </c>
      <c r="R225" s="270">
        <v>647.5</v>
      </c>
      <c r="S225" s="270">
        <v>7567.7</v>
      </c>
      <c r="T225" s="270">
        <v>8215.2000000000007</v>
      </c>
      <c r="U225" s="271" t="s">
        <v>3945</v>
      </c>
      <c r="V225" s="267" t="s">
        <v>944</v>
      </c>
    </row>
    <row r="226" spans="1:22" hidden="1" x14ac:dyDescent="0.25">
      <c r="A226" s="266">
        <v>43475</v>
      </c>
      <c r="B226" s="267">
        <v>2019</v>
      </c>
      <c r="C226" s="267">
        <v>2019</v>
      </c>
      <c r="D226" s="267">
        <v>1</v>
      </c>
      <c r="E226" s="267">
        <v>1</v>
      </c>
      <c r="F226" s="267" t="s">
        <v>944</v>
      </c>
      <c r="G226" s="267" t="s">
        <v>3926</v>
      </c>
      <c r="H226" s="267" t="s">
        <v>4260</v>
      </c>
      <c r="I226" s="267" t="s">
        <v>3996</v>
      </c>
      <c r="J226" s="267" t="s">
        <v>3928</v>
      </c>
      <c r="K226" s="267">
        <v>6790</v>
      </c>
      <c r="L226" s="267">
        <v>310400</v>
      </c>
      <c r="M226" s="267" t="s">
        <v>3935</v>
      </c>
      <c r="N226" s="267" t="s">
        <v>3944</v>
      </c>
      <c r="O226" s="267">
        <v>1077.83</v>
      </c>
      <c r="P226" s="267" t="s">
        <v>3944</v>
      </c>
      <c r="Q226" s="267" t="s">
        <v>3944</v>
      </c>
      <c r="R226" s="267">
        <v>1077.83</v>
      </c>
      <c r="S226" s="267">
        <v>14655.68</v>
      </c>
      <c r="T226" s="267">
        <v>15733.51</v>
      </c>
      <c r="U226" s="268" t="s">
        <v>3945</v>
      </c>
      <c r="V226" s="267" t="s">
        <v>944</v>
      </c>
    </row>
    <row r="227" spans="1:22" hidden="1" x14ac:dyDescent="0.25">
      <c r="A227" s="269">
        <v>43475</v>
      </c>
      <c r="B227" s="270">
        <v>2019</v>
      </c>
      <c r="C227" s="270">
        <v>2019</v>
      </c>
      <c r="D227" s="270">
        <v>1</v>
      </c>
      <c r="E227" s="270">
        <v>1</v>
      </c>
      <c r="F227" s="270" t="s">
        <v>944</v>
      </c>
      <c r="G227" s="270" t="s">
        <v>3926</v>
      </c>
      <c r="H227" s="270" t="s">
        <v>4261</v>
      </c>
      <c r="I227" s="270" t="s">
        <v>4016</v>
      </c>
      <c r="J227" s="270" t="s">
        <v>3928</v>
      </c>
      <c r="K227" s="270">
        <v>6770</v>
      </c>
      <c r="L227" s="270">
        <v>345300</v>
      </c>
      <c r="M227" s="270" t="s">
        <v>3940</v>
      </c>
      <c r="N227" s="270" t="s">
        <v>3944</v>
      </c>
      <c r="O227" s="270">
        <v>2326.98</v>
      </c>
      <c r="P227" s="270" t="s">
        <v>3944</v>
      </c>
      <c r="Q227" s="270" t="s">
        <v>3944</v>
      </c>
      <c r="R227" s="270">
        <v>2326.98</v>
      </c>
      <c r="S227" s="270">
        <v>31509.51</v>
      </c>
      <c r="T227" s="270">
        <v>33836.49</v>
      </c>
      <c r="U227" s="271" t="s">
        <v>3945</v>
      </c>
      <c r="V227" s="267" t="s">
        <v>944</v>
      </c>
    </row>
    <row r="228" spans="1:22" hidden="1" x14ac:dyDescent="0.25">
      <c r="A228" s="266">
        <v>43475</v>
      </c>
      <c r="B228" s="267">
        <v>2019</v>
      </c>
      <c r="C228" s="267">
        <v>2019</v>
      </c>
      <c r="D228" s="267">
        <v>1</v>
      </c>
      <c r="E228" s="267">
        <v>1</v>
      </c>
      <c r="F228" s="267" t="s">
        <v>944</v>
      </c>
      <c r="G228" s="267" t="s">
        <v>3926</v>
      </c>
      <c r="H228" s="267" t="s">
        <v>4262</v>
      </c>
      <c r="I228" s="267" t="s">
        <v>4003</v>
      </c>
      <c r="J228" s="267" t="s">
        <v>3928</v>
      </c>
      <c r="K228" s="267">
        <v>6354</v>
      </c>
      <c r="L228" s="267">
        <v>907200</v>
      </c>
      <c r="M228" s="267" t="s">
        <v>3940</v>
      </c>
      <c r="N228" s="267" t="s">
        <v>3944</v>
      </c>
      <c r="O228" s="267">
        <v>4694.41</v>
      </c>
      <c r="P228" s="267" t="s">
        <v>3944</v>
      </c>
      <c r="Q228" s="267" t="s">
        <v>3944</v>
      </c>
      <c r="R228" s="267">
        <v>4694.41</v>
      </c>
      <c r="S228" s="267">
        <v>56794.51</v>
      </c>
      <c r="T228" s="267">
        <v>61488.92</v>
      </c>
      <c r="U228" s="268" t="s">
        <v>3945</v>
      </c>
      <c r="V228" s="267" t="s">
        <v>944</v>
      </c>
    </row>
    <row r="229" spans="1:22" hidden="1" x14ac:dyDescent="0.25">
      <c r="A229" s="269">
        <v>43475</v>
      </c>
      <c r="B229" s="270">
        <v>2019</v>
      </c>
      <c r="C229" s="270">
        <v>2019</v>
      </c>
      <c r="D229" s="270">
        <v>1</v>
      </c>
      <c r="E229" s="270">
        <v>1</v>
      </c>
      <c r="F229" s="270" t="s">
        <v>944</v>
      </c>
      <c r="G229" s="270" t="s">
        <v>3926</v>
      </c>
      <c r="H229" s="270" t="s">
        <v>4263</v>
      </c>
      <c r="I229" s="270" t="s">
        <v>3934</v>
      </c>
      <c r="J229" s="270" t="s">
        <v>3928</v>
      </c>
      <c r="K229" s="270">
        <v>6405</v>
      </c>
      <c r="L229" s="270">
        <v>184500</v>
      </c>
      <c r="M229" s="270" t="s">
        <v>3935</v>
      </c>
      <c r="N229" s="270" t="s">
        <v>3944</v>
      </c>
      <c r="O229" s="270">
        <v>1608.78</v>
      </c>
      <c r="P229" s="270" t="s">
        <v>3944</v>
      </c>
      <c r="Q229" s="270" t="s">
        <v>3944</v>
      </c>
      <c r="R229" s="270">
        <v>1608.78</v>
      </c>
      <c r="S229" s="270">
        <v>23931.26</v>
      </c>
      <c r="T229" s="270">
        <v>25540.04</v>
      </c>
      <c r="U229" s="271" t="s">
        <v>3945</v>
      </c>
      <c r="V229" s="267" t="s">
        <v>944</v>
      </c>
    </row>
    <row r="230" spans="1:22" hidden="1" x14ac:dyDescent="0.25">
      <c r="A230" s="266">
        <v>43475</v>
      </c>
      <c r="B230" s="267">
        <v>2019</v>
      </c>
      <c r="C230" s="267">
        <v>2019</v>
      </c>
      <c r="D230" s="267">
        <v>1</v>
      </c>
      <c r="E230" s="267">
        <v>1</v>
      </c>
      <c r="F230" s="267" t="s">
        <v>944</v>
      </c>
      <c r="G230" s="267" t="s">
        <v>3926</v>
      </c>
      <c r="H230" s="267" t="s">
        <v>4264</v>
      </c>
      <c r="I230" s="267" t="s">
        <v>4029</v>
      </c>
      <c r="J230" s="267" t="s">
        <v>3928</v>
      </c>
      <c r="K230" s="267">
        <v>6851</v>
      </c>
      <c r="L230" s="267">
        <v>42700</v>
      </c>
      <c r="M230" s="267" t="s">
        <v>3960</v>
      </c>
      <c r="N230" s="267" t="s">
        <v>3944</v>
      </c>
      <c r="O230" s="267">
        <v>3345.93</v>
      </c>
      <c r="P230" s="267" t="s">
        <v>3944</v>
      </c>
      <c r="Q230" s="267" t="s">
        <v>3944</v>
      </c>
      <c r="R230" s="267">
        <v>3345.93</v>
      </c>
      <c r="S230" s="267">
        <v>59294.97</v>
      </c>
      <c r="T230" s="267">
        <v>62640.9</v>
      </c>
      <c r="U230" s="268" t="s">
        <v>3945</v>
      </c>
      <c r="V230" s="267" t="s">
        <v>944</v>
      </c>
    </row>
    <row r="231" spans="1:22" hidden="1" x14ac:dyDescent="0.25">
      <c r="A231" s="269">
        <v>43475</v>
      </c>
      <c r="B231" s="270">
        <v>2019</v>
      </c>
      <c r="C231" s="270">
        <v>2019</v>
      </c>
      <c r="D231" s="270">
        <v>1</v>
      </c>
      <c r="E231" s="270">
        <v>1</v>
      </c>
      <c r="F231" s="270" t="s">
        <v>944</v>
      </c>
      <c r="G231" s="270" t="s">
        <v>3926</v>
      </c>
      <c r="H231" s="270" t="s">
        <v>4265</v>
      </c>
      <c r="I231" s="270" t="s">
        <v>953</v>
      </c>
      <c r="J231" s="270" t="s">
        <v>3928</v>
      </c>
      <c r="K231" s="270">
        <v>6514</v>
      </c>
      <c r="L231" s="270">
        <v>165700</v>
      </c>
      <c r="M231" s="270" t="s">
        <v>3935</v>
      </c>
      <c r="N231" s="270" t="s">
        <v>3944</v>
      </c>
      <c r="O231" s="270">
        <v>2987.74</v>
      </c>
      <c r="P231" s="270" t="s">
        <v>3944</v>
      </c>
      <c r="Q231" s="270" t="s">
        <v>3944</v>
      </c>
      <c r="R231" s="270">
        <v>2987.74</v>
      </c>
      <c r="S231" s="270">
        <v>50947.78</v>
      </c>
      <c r="T231" s="270">
        <v>53935.519999999997</v>
      </c>
      <c r="U231" s="271" t="s">
        <v>3945</v>
      </c>
      <c r="V231" s="267" t="s">
        <v>944</v>
      </c>
    </row>
    <row r="232" spans="1:22" hidden="1" x14ac:dyDescent="0.25">
      <c r="A232" s="266">
        <v>43475</v>
      </c>
      <c r="B232" s="267">
        <v>2019</v>
      </c>
      <c r="C232" s="267">
        <v>2019</v>
      </c>
      <c r="D232" s="267">
        <v>1</v>
      </c>
      <c r="E232" s="267">
        <v>1</v>
      </c>
      <c r="F232" s="267" t="s">
        <v>944</v>
      </c>
      <c r="G232" s="267" t="s">
        <v>3926</v>
      </c>
      <c r="H232" s="267" t="s">
        <v>4266</v>
      </c>
      <c r="I232" s="267" t="s">
        <v>4037</v>
      </c>
      <c r="J232" s="267" t="s">
        <v>3928</v>
      </c>
      <c r="K232" s="267">
        <v>6810</v>
      </c>
      <c r="L232" s="267">
        <v>210200</v>
      </c>
      <c r="M232" s="267">
        <v>-60</v>
      </c>
      <c r="N232" s="267" t="s">
        <v>3944</v>
      </c>
      <c r="O232" s="267">
        <v>1767.22</v>
      </c>
      <c r="P232" s="267" t="s">
        <v>3944</v>
      </c>
      <c r="Q232" s="267" t="s">
        <v>3944</v>
      </c>
      <c r="R232" s="267">
        <v>1767.22</v>
      </c>
      <c r="S232" s="267">
        <v>26386.99</v>
      </c>
      <c r="T232" s="267">
        <v>28154.21</v>
      </c>
      <c r="U232" s="268" t="s">
        <v>3945</v>
      </c>
      <c r="V232" s="267" t="s">
        <v>944</v>
      </c>
    </row>
    <row r="233" spans="1:22" hidden="1" x14ac:dyDescent="0.25">
      <c r="A233" s="269">
        <v>43475</v>
      </c>
      <c r="B233" s="270">
        <v>2019</v>
      </c>
      <c r="C233" s="270">
        <v>2019</v>
      </c>
      <c r="D233" s="270">
        <v>1</v>
      </c>
      <c r="E233" s="270">
        <v>1</v>
      </c>
      <c r="F233" s="270" t="s">
        <v>944</v>
      </c>
      <c r="G233" s="270" t="s">
        <v>3926</v>
      </c>
      <c r="H233" s="270" t="s">
        <v>4267</v>
      </c>
      <c r="I233" s="270" t="s">
        <v>4085</v>
      </c>
      <c r="J233" s="270" t="s">
        <v>3928</v>
      </c>
      <c r="K233" s="270">
        <v>6351</v>
      </c>
      <c r="L233" s="270">
        <v>709200</v>
      </c>
      <c r="M233" s="270" t="s">
        <v>3940</v>
      </c>
      <c r="N233" s="270" t="s">
        <v>3944</v>
      </c>
      <c r="O233" s="270">
        <v>1111.01</v>
      </c>
      <c r="P233" s="270" t="s">
        <v>3944</v>
      </c>
      <c r="Q233" s="270" t="s">
        <v>3944</v>
      </c>
      <c r="R233" s="270">
        <v>1111.01</v>
      </c>
      <c r="S233" s="270">
        <v>14292.49</v>
      </c>
      <c r="T233" s="270">
        <v>15403.5</v>
      </c>
      <c r="U233" s="271" t="s">
        <v>3945</v>
      </c>
      <c r="V233" s="267" t="s">
        <v>944</v>
      </c>
    </row>
    <row r="234" spans="1:22" hidden="1" x14ac:dyDescent="0.25">
      <c r="A234" s="266">
        <v>43475</v>
      </c>
      <c r="B234" s="267">
        <v>2019</v>
      </c>
      <c r="C234" s="267">
        <v>2019</v>
      </c>
      <c r="D234" s="267">
        <v>1</v>
      </c>
      <c r="E234" s="267">
        <v>1</v>
      </c>
      <c r="F234" s="267" t="s">
        <v>944</v>
      </c>
      <c r="G234" s="267" t="s">
        <v>3926</v>
      </c>
      <c r="H234" s="267" t="s">
        <v>4268</v>
      </c>
      <c r="I234" s="267" t="s">
        <v>4269</v>
      </c>
      <c r="J234" s="267" t="s">
        <v>3928</v>
      </c>
      <c r="K234" s="267">
        <v>6107</v>
      </c>
      <c r="L234" s="267">
        <v>497700</v>
      </c>
      <c r="M234" s="267" t="s">
        <v>3943</v>
      </c>
      <c r="N234" s="267" t="s">
        <v>3944</v>
      </c>
      <c r="O234" s="267">
        <v>2008.02</v>
      </c>
      <c r="P234" s="267" t="s">
        <v>3944</v>
      </c>
      <c r="Q234" s="267" t="s">
        <v>3944</v>
      </c>
      <c r="R234" s="267">
        <v>2008.02</v>
      </c>
      <c r="S234" s="267">
        <v>25500.13</v>
      </c>
      <c r="T234" s="267">
        <v>27508.15</v>
      </c>
      <c r="U234" s="268" t="s">
        <v>3945</v>
      </c>
      <c r="V234" s="267" t="s">
        <v>944</v>
      </c>
    </row>
    <row r="235" spans="1:22" hidden="1" x14ac:dyDescent="0.25">
      <c r="A235" s="269">
        <v>43475</v>
      </c>
      <c r="B235" s="270">
        <v>2019</v>
      </c>
      <c r="C235" s="270">
        <v>2019</v>
      </c>
      <c r="D235" s="270">
        <v>1</v>
      </c>
      <c r="E235" s="270">
        <v>1</v>
      </c>
      <c r="F235" s="270" t="s">
        <v>944</v>
      </c>
      <c r="G235" s="270" t="s">
        <v>3926</v>
      </c>
      <c r="H235" s="270" t="s">
        <v>4270</v>
      </c>
      <c r="I235" s="270" t="s">
        <v>3012</v>
      </c>
      <c r="J235" s="270" t="s">
        <v>3928</v>
      </c>
      <c r="K235" s="270">
        <v>6477</v>
      </c>
      <c r="L235" s="270">
        <v>157400</v>
      </c>
      <c r="M235" s="270" t="s">
        <v>3943</v>
      </c>
      <c r="N235" s="270" t="s">
        <v>3944</v>
      </c>
      <c r="O235" s="270">
        <v>1482.88</v>
      </c>
      <c r="P235" s="270" t="s">
        <v>3944</v>
      </c>
      <c r="Q235" s="270" t="s">
        <v>3944</v>
      </c>
      <c r="R235" s="270">
        <v>1482.88</v>
      </c>
      <c r="S235" s="270">
        <v>29371.94</v>
      </c>
      <c r="T235" s="270">
        <v>30854.82</v>
      </c>
      <c r="U235" s="271" t="s">
        <v>3945</v>
      </c>
      <c r="V235" s="267" t="s">
        <v>944</v>
      </c>
    </row>
    <row r="236" spans="1:22" hidden="1" x14ac:dyDescent="0.25">
      <c r="A236" s="266">
        <v>43475</v>
      </c>
      <c r="B236" s="267">
        <v>2019</v>
      </c>
      <c r="C236" s="267">
        <v>2019</v>
      </c>
      <c r="D236" s="267">
        <v>1</v>
      </c>
      <c r="E236" s="267">
        <v>1</v>
      </c>
      <c r="F236" s="267" t="s">
        <v>944</v>
      </c>
      <c r="G236" s="267" t="s">
        <v>3926</v>
      </c>
      <c r="H236" s="267" t="s">
        <v>4271</v>
      </c>
      <c r="I236" s="267" t="s">
        <v>3999</v>
      </c>
      <c r="J236" s="267" t="s">
        <v>3928</v>
      </c>
      <c r="K236" s="267">
        <v>6450</v>
      </c>
      <c r="L236" s="267">
        <v>171700</v>
      </c>
      <c r="M236" s="267" t="s">
        <v>3935</v>
      </c>
      <c r="N236" s="267" t="s">
        <v>3944</v>
      </c>
      <c r="O236" s="267">
        <v>931.42</v>
      </c>
      <c r="P236" s="267" t="s">
        <v>3944</v>
      </c>
      <c r="Q236" s="267" t="s">
        <v>3944</v>
      </c>
      <c r="R236" s="267">
        <v>931.42</v>
      </c>
      <c r="S236" s="267">
        <v>12822.67</v>
      </c>
      <c r="T236" s="267">
        <v>13754.09</v>
      </c>
      <c r="U236" s="268" t="s">
        <v>3945</v>
      </c>
      <c r="V236" s="267" t="s">
        <v>944</v>
      </c>
    </row>
    <row r="237" spans="1:22" hidden="1" x14ac:dyDescent="0.25">
      <c r="A237" s="269">
        <v>43475</v>
      </c>
      <c r="B237" s="270">
        <v>2019</v>
      </c>
      <c r="C237" s="270">
        <v>2019</v>
      </c>
      <c r="D237" s="270">
        <v>1</v>
      </c>
      <c r="E237" s="270">
        <v>1</v>
      </c>
      <c r="F237" s="270" t="s">
        <v>944</v>
      </c>
      <c r="G237" s="270" t="s">
        <v>3926</v>
      </c>
      <c r="H237" s="270" t="s">
        <v>4272</v>
      </c>
      <c r="I237" s="270" t="s">
        <v>3968</v>
      </c>
      <c r="J237" s="270" t="s">
        <v>3928</v>
      </c>
      <c r="K237" s="270">
        <v>6040</v>
      </c>
      <c r="L237" s="270">
        <v>515000</v>
      </c>
      <c r="M237" s="270" t="s">
        <v>3943</v>
      </c>
      <c r="N237" s="270" t="s">
        <v>3944</v>
      </c>
      <c r="O237" s="270">
        <v>1623.09</v>
      </c>
      <c r="P237" s="270" t="s">
        <v>3944</v>
      </c>
      <c r="Q237" s="270" t="s">
        <v>3944</v>
      </c>
      <c r="R237" s="270">
        <v>1623.09</v>
      </c>
      <c r="S237" s="270">
        <v>16744.91</v>
      </c>
      <c r="T237" s="270">
        <v>18368</v>
      </c>
      <c r="U237" s="271" t="s">
        <v>3945</v>
      </c>
      <c r="V237" s="267" t="s">
        <v>944</v>
      </c>
    </row>
    <row r="238" spans="1:22" hidden="1" x14ac:dyDescent="0.25">
      <c r="A238" s="266">
        <v>43475</v>
      </c>
      <c r="B238" s="267">
        <v>2019</v>
      </c>
      <c r="C238" s="267">
        <v>2019</v>
      </c>
      <c r="D238" s="267">
        <v>1</v>
      </c>
      <c r="E238" s="267">
        <v>1</v>
      </c>
      <c r="F238" s="267" t="s">
        <v>944</v>
      </c>
      <c r="G238" s="267" t="s">
        <v>3926</v>
      </c>
      <c r="H238" s="267" t="s">
        <v>4273</v>
      </c>
      <c r="I238" s="267" t="s">
        <v>3939</v>
      </c>
      <c r="J238" s="267" t="s">
        <v>3928</v>
      </c>
      <c r="K238" s="267">
        <v>6512</v>
      </c>
      <c r="L238" s="267">
        <v>180200</v>
      </c>
      <c r="M238" s="267" t="s">
        <v>3940</v>
      </c>
      <c r="N238" s="267" t="s">
        <v>3944</v>
      </c>
      <c r="O238" s="267">
        <v>1310.96</v>
      </c>
      <c r="P238" s="267" t="s">
        <v>3944</v>
      </c>
      <c r="Q238" s="267" t="s">
        <v>3944</v>
      </c>
      <c r="R238" s="267">
        <v>1310.96</v>
      </c>
      <c r="S238" s="267">
        <v>20870.68</v>
      </c>
      <c r="T238" s="267">
        <v>22181.64</v>
      </c>
      <c r="U238" s="268" t="s">
        <v>3945</v>
      </c>
      <c r="V238" s="267" t="s">
        <v>944</v>
      </c>
    </row>
    <row r="239" spans="1:22" hidden="1" x14ac:dyDescent="0.25">
      <c r="A239" s="269">
        <v>43475</v>
      </c>
      <c r="B239" s="270">
        <v>2019</v>
      </c>
      <c r="C239" s="270">
        <v>2019</v>
      </c>
      <c r="D239" s="270">
        <v>1</v>
      </c>
      <c r="E239" s="270">
        <v>1</v>
      </c>
      <c r="F239" s="270" t="s">
        <v>944</v>
      </c>
      <c r="G239" s="270" t="s">
        <v>3926</v>
      </c>
      <c r="H239" s="270" t="s">
        <v>4274</v>
      </c>
      <c r="I239" s="270" t="s">
        <v>950</v>
      </c>
      <c r="J239" s="270" t="s">
        <v>3928</v>
      </c>
      <c r="K239" s="270">
        <v>6516</v>
      </c>
      <c r="L239" s="270">
        <v>154800</v>
      </c>
      <c r="M239" s="270" t="s">
        <v>3960</v>
      </c>
      <c r="N239" s="270" t="s">
        <v>3944</v>
      </c>
      <c r="O239" s="270">
        <v>1492.44</v>
      </c>
      <c r="P239" s="270" t="s">
        <v>3944</v>
      </c>
      <c r="Q239" s="270" t="s">
        <v>3944</v>
      </c>
      <c r="R239" s="270">
        <v>1492.44</v>
      </c>
      <c r="S239" s="270">
        <v>12377.56</v>
      </c>
      <c r="T239" s="270">
        <v>13870</v>
      </c>
      <c r="U239" s="271" t="s">
        <v>3945</v>
      </c>
      <c r="V239" s="267" t="s">
        <v>944</v>
      </c>
    </row>
    <row r="240" spans="1:22" hidden="1" x14ac:dyDescent="0.25">
      <c r="A240" s="266">
        <v>43475</v>
      </c>
      <c r="B240" s="267">
        <v>2019</v>
      </c>
      <c r="C240" s="267">
        <v>2019</v>
      </c>
      <c r="D240" s="267">
        <v>1</v>
      </c>
      <c r="E240" s="267">
        <v>1</v>
      </c>
      <c r="F240" s="267" t="s">
        <v>944</v>
      </c>
      <c r="G240" s="267" t="s">
        <v>3926</v>
      </c>
      <c r="H240" s="267" t="s">
        <v>4275</v>
      </c>
      <c r="I240" s="267" t="s">
        <v>4276</v>
      </c>
      <c r="J240" s="267" t="s">
        <v>3928</v>
      </c>
      <c r="K240" s="267">
        <v>6331</v>
      </c>
      <c r="L240" s="267">
        <v>906100</v>
      </c>
      <c r="M240" s="267" t="s">
        <v>3960</v>
      </c>
      <c r="N240" s="267" t="s">
        <v>3944</v>
      </c>
      <c r="O240" s="267">
        <v>1266.79</v>
      </c>
      <c r="P240" s="267" t="s">
        <v>3944</v>
      </c>
      <c r="Q240" s="267" t="s">
        <v>3944</v>
      </c>
      <c r="R240" s="267">
        <v>1266.79</v>
      </c>
      <c r="S240" s="267">
        <v>15847.93</v>
      </c>
      <c r="T240" s="267">
        <v>17114.72</v>
      </c>
      <c r="U240" s="268" t="s">
        <v>3945</v>
      </c>
      <c r="V240" s="267" t="s">
        <v>944</v>
      </c>
    </row>
    <row r="241" spans="1:22" hidden="1" x14ac:dyDescent="0.25">
      <c r="A241" s="269">
        <v>43475</v>
      </c>
      <c r="B241" s="270">
        <v>2019</v>
      </c>
      <c r="C241" s="270">
        <v>2019</v>
      </c>
      <c r="D241" s="270">
        <v>1</v>
      </c>
      <c r="E241" s="270">
        <v>1</v>
      </c>
      <c r="F241" s="270" t="s">
        <v>944</v>
      </c>
      <c r="G241" s="270" t="s">
        <v>3926</v>
      </c>
      <c r="H241" s="270" t="s">
        <v>4277</v>
      </c>
      <c r="I241" s="270" t="s">
        <v>3954</v>
      </c>
      <c r="J241" s="270" t="s">
        <v>3928</v>
      </c>
      <c r="K241" s="270">
        <v>6357</v>
      </c>
      <c r="L241" s="270">
        <v>870701</v>
      </c>
      <c r="M241" s="270" t="s">
        <v>3960</v>
      </c>
      <c r="N241" s="270" t="s">
        <v>3944</v>
      </c>
      <c r="O241" s="270">
        <v>1012.1</v>
      </c>
      <c r="P241" s="270" t="s">
        <v>3944</v>
      </c>
      <c r="Q241" s="270" t="s">
        <v>3944</v>
      </c>
      <c r="R241" s="270">
        <v>1012.1</v>
      </c>
      <c r="S241" s="270">
        <v>15916.56</v>
      </c>
      <c r="T241" s="270">
        <v>16928.66</v>
      </c>
      <c r="U241" s="271" t="s">
        <v>3945</v>
      </c>
      <c r="V241" s="267" t="s">
        <v>944</v>
      </c>
    </row>
    <row r="242" spans="1:22" hidden="1" x14ac:dyDescent="0.25">
      <c r="A242" s="266">
        <v>43475</v>
      </c>
      <c r="B242" s="267">
        <v>2019</v>
      </c>
      <c r="C242" s="267">
        <v>2019</v>
      </c>
      <c r="D242" s="267">
        <v>1</v>
      </c>
      <c r="E242" s="267">
        <v>1</v>
      </c>
      <c r="F242" s="267" t="s">
        <v>944</v>
      </c>
      <c r="G242" s="267" t="s">
        <v>3926</v>
      </c>
      <c r="H242" s="267" t="s">
        <v>4278</v>
      </c>
      <c r="I242" s="267" t="s">
        <v>2987</v>
      </c>
      <c r="J242" s="267" t="s">
        <v>3928</v>
      </c>
      <c r="K242" s="267">
        <v>6611</v>
      </c>
      <c r="L242" s="267">
        <v>90300</v>
      </c>
      <c r="M242" s="267" t="s">
        <v>3943</v>
      </c>
      <c r="N242" s="267" t="s">
        <v>3944</v>
      </c>
      <c r="O242" s="267">
        <v>1188.18</v>
      </c>
      <c r="P242" s="267" t="s">
        <v>3944</v>
      </c>
      <c r="Q242" s="267" t="s">
        <v>3944</v>
      </c>
      <c r="R242" s="267">
        <v>1188.18</v>
      </c>
      <c r="S242" s="267">
        <v>18322.919999999998</v>
      </c>
      <c r="T242" s="267">
        <v>19511.099999999999</v>
      </c>
      <c r="U242" s="268" t="s">
        <v>3945</v>
      </c>
      <c r="V242" s="267" t="s">
        <v>944</v>
      </c>
    </row>
    <row r="243" spans="1:22" hidden="1" x14ac:dyDescent="0.25">
      <c r="A243" s="269">
        <v>43475</v>
      </c>
      <c r="B243" s="270">
        <v>2019</v>
      </c>
      <c r="C243" s="270">
        <v>2019</v>
      </c>
      <c r="D243" s="270">
        <v>1</v>
      </c>
      <c r="E243" s="270">
        <v>1</v>
      </c>
      <c r="F243" s="270" t="s">
        <v>944</v>
      </c>
      <c r="G243" s="270" t="s">
        <v>3926</v>
      </c>
      <c r="H243" s="270" t="s">
        <v>4279</v>
      </c>
      <c r="I243" s="270" t="s">
        <v>3010</v>
      </c>
      <c r="J243" s="270" t="s">
        <v>3928</v>
      </c>
      <c r="K243" s="270">
        <v>6401</v>
      </c>
      <c r="L243" s="270">
        <v>125100</v>
      </c>
      <c r="M243" s="270" t="s">
        <v>3960</v>
      </c>
      <c r="N243" s="270" t="s">
        <v>3944</v>
      </c>
      <c r="O243" s="270">
        <v>1363.64</v>
      </c>
      <c r="P243" s="270" t="s">
        <v>3944</v>
      </c>
      <c r="Q243" s="270" t="s">
        <v>3944</v>
      </c>
      <c r="R243" s="270">
        <v>1363.64</v>
      </c>
      <c r="S243" s="270">
        <v>19470.46</v>
      </c>
      <c r="T243" s="270">
        <v>20834.099999999999</v>
      </c>
      <c r="U243" s="271" t="s">
        <v>3945</v>
      </c>
      <c r="V243" s="267" t="s">
        <v>944</v>
      </c>
    </row>
    <row r="244" spans="1:22" hidden="1" x14ac:dyDescent="0.25">
      <c r="A244" s="266">
        <v>43476</v>
      </c>
      <c r="B244" s="267">
        <v>2019</v>
      </c>
      <c r="C244" s="267">
        <v>2019</v>
      </c>
      <c r="D244" s="267">
        <v>1</v>
      </c>
      <c r="E244" s="267">
        <v>1</v>
      </c>
      <c r="F244" s="267" t="s">
        <v>944</v>
      </c>
      <c r="G244" s="267" t="s">
        <v>3926</v>
      </c>
      <c r="H244" s="267" t="s">
        <v>4280</v>
      </c>
      <c r="I244" s="267" t="s">
        <v>4069</v>
      </c>
      <c r="J244" s="267" t="s">
        <v>3928</v>
      </c>
      <c r="K244" s="267">
        <v>6907</v>
      </c>
      <c r="L244" s="267">
        <v>20900</v>
      </c>
      <c r="M244" s="267" t="s">
        <v>3940</v>
      </c>
      <c r="N244" s="267" t="s">
        <v>4281</v>
      </c>
      <c r="O244" s="267">
        <v>0</v>
      </c>
      <c r="P244" s="267" t="s">
        <v>3930</v>
      </c>
      <c r="Q244" s="267" t="s">
        <v>3930</v>
      </c>
      <c r="R244" s="267">
        <v>0</v>
      </c>
      <c r="S244" s="267">
        <v>20850</v>
      </c>
      <c r="T244" s="267">
        <v>20850</v>
      </c>
      <c r="U244" s="268" t="s">
        <v>3937</v>
      </c>
      <c r="V244" s="267" t="s">
        <v>944</v>
      </c>
    </row>
    <row r="245" spans="1:22" hidden="1" x14ac:dyDescent="0.25">
      <c r="A245" s="269">
        <v>43476</v>
      </c>
      <c r="B245" s="270">
        <v>2019</v>
      </c>
      <c r="C245" s="270">
        <v>2019</v>
      </c>
      <c r="D245" s="270">
        <v>1</v>
      </c>
      <c r="E245" s="270">
        <v>1</v>
      </c>
      <c r="F245" s="270" t="s">
        <v>944</v>
      </c>
      <c r="G245" s="270" t="s">
        <v>3926</v>
      </c>
      <c r="H245" s="270" t="s">
        <v>4282</v>
      </c>
      <c r="I245" s="270" t="s">
        <v>4276</v>
      </c>
      <c r="J245" s="270" t="s">
        <v>3928</v>
      </c>
      <c r="K245" s="270">
        <v>6331</v>
      </c>
      <c r="L245" s="270">
        <v>906100</v>
      </c>
      <c r="M245" s="270" t="s">
        <v>3960</v>
      </c>
      <c r="N245" s="270" t="s">
        <v>4283</v>
      </c>
      <c r="O245" s="270">
        <v>4736</v>
      </c>
      <c r="P245" s="270" t="s">
        <v>3930</v>
      </c>
      <c r="Q245" s="270" t="s">
        <v>3930</v>
      </c>
      <c r="R245" s="270">
        <v>4736</v>
      </c>
      <c r="S245" s="270">
        <v>28595</v>
      </c>
      <c r="T245" s="270">
        <v>33331</v>
      </c>
      <c r="U245" s="271" t="s">
        <v>3937</v>
      </c>
      <c r="V245" s="267" t="s">
        <v>944</v>
      </c>
    </row>
    <row r="246" spans="1:22" hidden="1" x14ac:dyDescent="0.25">
      <c r="A246" s="266">
        <v>43476</v>
      </c>
      <c r="B246" s="267">
        <v>2019</v>
      </c>
      <c r="C246" s="267">
        <v>2019</v>
      </c>
      <c r="D246" s="267">
        <v>1</v>
      </c>
      <c r="E246" s="267">
        <v>1</v>
      </c>
      <c r="F246" s="267" t="s">
        <v>944</v>
      </c>
      <c r="G246" s="267" t="s">
        <v>3926</v>
      </c>
      <c r="H246" s="267" t="s">
        <v>4284</v>
      </c>
      <c r="I246" s="267" t="s">
        <v>956</v>
      </c>
      <c r="J246" s="267" t="s">
        <v>3928</v>
      </c>
      <c r="K246" s="267">
        <v>6614</v>
      </c>
      <c r="L246" s="267">
        <v>81200</v>
      </c>
      <c r="M246" s="267" t="s">
        <v>3943</v>
      </c>
      <c r="N246" s="267" t="s">
        <v>3986</v>
      </c>
      <c r="O246" s="267">
        <v>3413.73</v>
      </c>
      <c r="P246" s="267" t="s">
        <v>3930</v>
      </c>
      <c r="Q246" s="267" t="s">
        <v>3931</v>
      </c>
      <c r="R246" s="267">
        <v>8413.73</v>
      </c>
      <c r="S246" s="267">
        <v>16196.8</v>
      </c>
      <c r="T246" s="267">
        <v>24610.53</v>
      </c>
      <c r="U246" s="268" t="s">
        <v>3932</v>
      </c>
      <c r="V246" s="267" t="s">
        <v>944</v>
      </c>
    </row>
    <row r="247" spans="1:22" hidden="1" x14ac:dyDescent="0.25">
      <c r="A247" s="269">
        <v>43476</v>
      </c>
      <c r="B247" s="270">
        <v>2019</v>
      </c>
      <c r="C247" s="270">
        <v>2019</v>
      </c>
      <c r="D247" s="270">
        <v>1</v>
      </c>
      <c r="E247" s="270">
        <v>1</v>
      </c>
      <c r="F247" s="270" t="s">
        <v>944</v>
      </c>
      <c r="G247" s="270" t="s">
        <v>3926</v>
      </c>
      <c r="H247" s="270" t="s">
        <v>4285</v>
      </c>
      <c r="I247" s="270" t="s">
        <v>4213</v>
      </c>
      <c r="J247" s="270" t="s">
        <v>3928</v>
      </c>
      <c r="K247" s="270">
        <v>6051</v>
      </c>
      <c r="L247" s="270">
        <v>415400</v>
      </c>
      <c r="M247" s="270">
        <v>-60</v>
      </c>
      <c r="N247" s="270" t="s">
        <v>3986</v>
      </c>
      <c r="O247" s="270">
        <v>3088.89</v>
      </c>
      <c r="P247" s="270" t="s">
        <v>3930</v>
      </c>
      <c r="Q247" s="270" t="s">
        <v>3931</v>
      </c>
      <c r="R247" s="270">
        <v>8088.89</v>
      </c>
      <c r="S247" s="270">
        <v>16196.8</v>
      </c>
      <c r="T247" s="270">
        <v>24285.69</v>
      </c>
      <c r="U247" s="271" t="s">
        <v>3932</v>
      </c>
      <c r="V247" s="267" t="s">
        <v>944</v>
      </c>
    </row>
    <row r="248" spans="1:22" hidden="1" x14ac:dyDescent="0.25">
      <c r="A248" s="266">
        <v>43476</v>
      </c>
      <c r="B248" s="267">
        <v>2019</v>
      </c>
      <c r="C248" s="267">
        <v>2019</v>
      </c>
      <c r="D248" s="267">
        <v>1</v>
      </c>
      <c r="E248" s="267">
        <v>1</v>
      </c>
      <c r="F248" s="267" t="s">
        <v>944</v>
      </c>
      <c r="G248" s="267" t="s">
        <v>3926</v>
      </c>
      <c r="H248" s="267" t="s">
        <v>4286</v>
      </c>
      <c r="I248" s="267" t="s">
        <v>953</v>
      </c>
      <c r="J248" s="267" t="s">
        <v>3928</v>
      </c>
      <c r="K248" s="267">
        <v>6514</v>
      </c>
      <c r="L248" s="267">
        <v>165801</v>
      </c>
      <c r="M248" s="267" t="s">
        <v>3935</v>
      </c>
      <c r="N248" s="267" t="s">
        <v>4103</v>
      </c>
      <c r="O248" s="267">
        <v>1461.74</v>
      </c>
      <c r="P248" s="267" t="s">
        <v>3930</v>
      </c>
      <c r="Q248" s="267" t="s">
        <v>3931</v>
      </c>
      <c r="R248" s="267">
        <v>6461.74</v>
      </c>
      <c r="S248" s="267">
        <v>24145.599999999999</v>
      </c>
      <c r="T248" s="267">
        <v>30607.34</v>
      </c>
      <c r="U248" s="268" t="s">
        <v>3932</v>
      </c>
      <c r="V248" s="267" t="s">
        <v>944</v>
      </c>
    </row>
    <row r="249" spans="1:22" hidden="1" x14ac:dyDescent="0.25">
      <c r="A249" s="269">
        <v>43476</v>
      </c>
      <c r="B249" s="270">
        <v>2019</v>
      </c>
      <c r="C249" s="270">
        <v>2019</v>
      </c>
      <c r="D249" s="270">
        <v>1</v>
      </c>
      <c r="E249" s="270">
        <v>1</v>
      </c>
      <c r="F249" s="270" t="s">
        <v>944</v>
      </c>
      <c r="G249" s="270" t="s">
        <v>3926</v>
      </c>
      <c r="H249" s="270" t="s">
        <v>4287</v>
      </c>
      <c r="I249" s="270" t="s">
        <v>4288</v>
      </c>
      <c r="J249" s="270" t="s">
        <v>3928</v>
      </c>
      <c r="K249" s="270">
        <v>6883</v>
      </c>
      <c r="L249" s="270">
        <v>55100</v>
      </c>
      <c r="M249" s="270" t="s">
        <v>3943</v>
      </c>
      <c r="N249" s="270" t="s">
        <v>3929</v>
      </c>
      <c r="O249" s="270">
        <v>2155.06</v>
      </c>
      <c r="P249" s="270" t="s">
        <v>3930</v>
      </c>
      <c r="Q249" s="270" t="s">
        <v>3931</v>
      </c>
      <c r="R249" s="270">
        <v>7155.06</v>
      </c>
      <c r="S249" s="270">
        <v>34744</v>
      </c>
      <c r="T249" s="270">
        <v>41899.06</v>
      </c>
      <c r="U249" s="271" t="s">
        <v>3932</v>
      </c>
      <c r="V249" s="267" t="s">
        <v>944</v>
      </c>
    </row>
    <row r="250" spans="1:22" hidden="1" x14ac:dyDescent="0.25">
      <c r="A250" s="266">
        <v>43476</v>
      </c>
      <c r="B250" s="267">
        <v>2019</v>
      </c>
      <c r="C250" s="267">
        <v>2019</v>
      </c>
      <c r="D250" s="267">
        <v>1</v>
      </c>
      <c r="E250" s="267">
        <v>1</v>
      </c>
      <c r="F250" s="267" t="s">
        <v>944</v>
      </c>
      <c r="G250" s="267" t="s">
        <v>3926</v>
      </c>
      <c r="H250" s="267" t="s">
        <v>4289</v>
      </c>
      <c r="I250" s="267" t="s">
        <v>4290</v>
      </c>
      <c r="J250" s="267" t="s">
        <v>3928</v>
      </c>
      <c r="K250" s="267">
        <v>6798</v>
      </c>
      <c r="L250" s="267">
        <v>362102</v>
      </c>
      <c r="M250" s="267" t="s">
        <v>3960</v>
      </c>
      <c r="N250" s="267" t="s">
        <v>3944</v>
      </c>
      <c r="O250" s="267">
        <v>2092</v>
      </c>
      <c r="P250" s="267" t="s">
        <v>3944</v>
      </c>
      <c r="Q250" s="267" t="s">
        <v>3944</v>
      </c>
      <c r="R250" s="267">
        <v>2092</v>
      </c>
      <c r="S250" s="267">
        <v>24742</v>
      </c>
      <c r="T250" s="267">
        <v>26834</v>
      </c>
      <c r="U250" s="268" t="s">
        <v>3945</v>
      </c>
      <c r="V250" s="267" t="s">
        <v>944</v>
      </c>
    </row>
    <row r="251" spans="1:22" hidden="1" x14ac:dyDescent="0.25">
      <c r="A251" s="269">
        <v>43476</v>
      </c>
      <c r="B251" s="270">
        <v>2019</v>
      </c>
      <c r="C251" s="270">
        <v>2019</v>
      </c>
      <c r="D251" s="270">
        <v>1</v>
      </c>
      <c r="E251" s="270">
        <v>1</v>
      </c>
      <c r="F251" s="270" t="s">
        <v>944</v>
      </c>
      <c r="G251" s="270" t="s">
        <v>3926</v>
      </c>
      <c r="H251" s="270" t="s">
        <v>4291</v>
      </c>
      <c r="I251" s="270" t="s">
        <v>2985</v>
      </c>
      <c r="J251" s="270" t="s">
        <v>3928</v>
      </c>
      <c r="K251" s="270">
        <v>6825</v>
      </c>
      <c r="L251" s="270">
        <v>61300</v>
      </c>
      <c r="M251" s="270" t="s">
        <v>3960</v>
      </c>
      <c r="N251" s="270" t="s">
        <v>3944</v>
      </c>
      <c r="O251" s="270">
        <v>6404</v>
      </c>
      <c r="P251" s="270" t="s">
        <v>3944</v>
      </c>
      <c r="Q251" s="270" t="s">
        <v>3944</v>
      </c>
      <c r="R251" s="270">
        <v>6404</v>
      </c>
      <c r="S251" s="270">
        <v>60651</v>
      </c>
      <c r="T251" s="270">
        <v>67055</v>
      </c>
      <c r="U251" s="271" t="s">
        <v>3945</v>
      </c>
      <c r="V251" s="267" t="s">
        <v>944</v>
      </c>
    </row>
    <row r="252" spans="1:22" hidden="1" x14ac:dyDescent="0.25">
      <c r="A252" s="266">
        <v>43476</v>
      </c>
      <c r="B252" s="267">
        <v>2019</v>
      </c>
      <c r="C252" s="267">
        <v>2019</v>
      </c>
      <c r="D252" s="267">
        <v>1</v>
      </c>
      <c r="E252" s="267">
        <v>1</v>
      </c>
      <c r="F252" s="267" t="s">
        <v>944</v>
      </c>
      <c r="G252" s="267" t="s">
        <v>3926</v>
      </c>
      <c r="H252" s="267" t="s">
        <v>4292</v>
      </c>
      <c r="I252" s="267" t="s">
        <v>4293</v>
      </c>
      <c r="J252" s="267" t="s">
        <v>3928</v>
      </c>
      <c r="K252" s="267">
        <v>6412</v>
      </c>
      <c r="L252" s="267">
        <v>600100</v>
      </c>
      <c r="M252" s="267" t="s">
        <v>3960</v>
      </c>
      <c r="N252" s="267" t="s">
        <v>3944</v>
      </c>
      <c r="O252" s="267">
        <v>810</v>
      </c>
      <c r="P252" s="267" t="s">
        <v>3944</v>
      </c>
      <c r="Q252" s="267" t="s">
        <v>3944</v>
      </c>
      <c r="R252" s="267">
        <v>810</v>
      </c>
      <c r="S252" s="267">
        <v>7690</v>
      </c>
      <c r="T252" s="267">
        <v>8500</v>
      </c>
      <c r="U252" s="268" t="s">
        <v>3945</v>
      </c>
      <c r="V252" s="267" t="s">
        <v>944</v>
      </c>
    </row>
    <row r="253" spans="1:22" hidden="1" x14ac:dyDescent="0.25">
      <c r="A253" s="269">
        <v>43476</v>
      </c>
      <c r="B253" s="270">
        <v>2019</v>
      </c>
      <c r="C253" s="270">
        <v>2019</v>
      </c>
      <c r="D253" s="270">
        <v>1</v>
      </c>
      <c r="E253" s="270">
        <v>1</v>
      </c>
      <c r="F253" s="270" t="s">
        <v>944</v>
      </c>
      <c r="G253" s="270" t="s">
        <v>3926</v>
      </c>
      <c r="H253" s="270" t="s">
        <v>4294</v>
      </c>
      <c r="I253" s="270" t="s">
        <v>4295</v>
      </c>
      <c r="J253" s="270" t="s">
        <v>3928</v>
      </c>
      <c r="K253" s="270">
        <v>6043</v>
      </c>
      <c r="L253" s="270">
        <v>529100</v>
      </c>
      <c r="M253" s="270" t="s">
        <v>3943</v>
      </c>
      <c r="N253" s="270" t="s">
        <v>3944</v>
      </c>
      <c r="O253" s="270">
        <v>6472</v>
      </c>
      <c r="P253" s="270" t="s">
        <v>3944</v>
      </c>
      <c r="Q253" s="270" t="s">
        <v>3944</v>
      </c>
      <c r="R253" s="270">
        <v>6472</v>
      </c>
      <c r="S253" s="270">
        <v>43470</v>
      </c>
      <c r="T253" s="270">
        <v>49942</v>
      </c>
      <c r="U253" s="271" t="s">
        <v>3945</v>
      </c>
      <c r="V253" s="267" t="s">
        <v>944</v>
      </c>
    </row>
    <row r="254" spans="1:22" hidden="1" x14ac:dyDescent="0.25">
      <c r="A254" s="266">
        <v>43476</v>
      </c>
      <c r="B254" s="267">
        <v>2019</v>
      </c>
      <c r="C254" s="267">
        <v>2019</v>
      </c>
      <c r="D254" s="267">
        <v>1</v>
      </c>
      <c r="E254" s="267">
        <v>1</v>
      </c>
      <c r="F254" s="267" t="s">
        <v>944</v>
      </c>
      <c r="G254" s="267" t="s">
        <v>3926</v>
      </c>
      <c r="H254" s="267" t="s">
        <v>4296</v>
      </c>
      <c r="I254" s="267" t="s">
        <v>4297</v>
      </c>
      <c r="J254" s="267" t="s">
        <v>3928</v>
      </c>
      <c r="K254" s="267">
        <v>6248</v>
      </c>
      <c r="L254" s="267">
        <v>526102</v>
      </c>
      <c r="M254" s="267" t="s">
        <v>3943</v>
      </c>
      <c r="N254" s="267" t="s">
        <v>3944</v>
      </c>
      <c r="O254" s="267">
        <v>2704</v>
      </c>
      <c r="P254" s="267" t="s">
        <v>3944</v>
      </c>
      <c r="Q254" s="267" t="s">
        <v>3944</v>
      </c>
      <c r="R254" s="267">
        <v>2704</v>
      </c>
      <c r="S254" s="267">
        <v>17771</v>
      </c>
      <c r="T254" s="267">
        <v>20475</v>
      </c>
      <c r="U254" s="268" t="s">
        <v>3945</v>
      </c>
      <c r="V254" s="267" t="s">
        <v>944</v>
      </c>
    </row>
    <row r="255" spans="1:22" hidden="1" x14ac:dyDescent="0.25">
      <c r="A255" s="269">
        <v>43476</v>
      </c>
      <c r="B255" s="270">
        <v>2019</v>
      </c>
      <c r="C255" s="270">
        <v>2019</v>
      </c>
      <c r="D255" s="270">
        <v>1</v>
      </c>
      <c r="E255" s="270">
        <v>1</v>
      </c>
      <c r="F255" s="270" t="s">
        <v>944</v>
      </c>
      <c r="G255" s="270" t="s">
        <v>3926</v>
      </c>
      <c r="H255" s="270" t="s">
        <v>4298</v>
      </c>
      <c r="I255" s="270" t="s">
        <v>4040</v>
      </c>
      <c r="J255" s="270" t="s">
        <v>3928</v>
      </c>
      <c r="K255" s="270">
        <v>6339</v>
      </c>
      <c r="L255" s="270">
        <v>701100</v>
      </c>
      <c r="M255" s="270" t="s">
        <v>3960</v>
      </c>
      <c r="N255" s="270" t="s">
        <v>3944</v>
      </c>
      <c r="O255" s="270">
        <v>901.15</v>
      </c>
      <c r="P255" s="270" t="s">
        <v>3944</v>
      </c>
      <c r="Q255" s="270" t="s">
        <v>3944</v>
      </c>
      <c r="R255" s="270">
        <v>901.15</v>
      </c>
      <c r="S255" s="270">
        <v>13242.39</v>
      </c>
      <c r="T255" s="270">
        <v>14143.54</v>
      </c>
      <c r="U255" s="271" t="s">
        <v>3945</v>
      </c>
      <c r="V255" s="267" t="s">
        <v>944</v>
      </c>
    </row>
    <row r="256" spans="1:22" hidden="1" x14ac:dyDescent="0.25">
      <c r="A256" s="266">
        <v>43476</v>
      </c>
      <c r="B256" s="267">
        <v>2019</v>
      </c>
      <c r="C256" s="267">
        <v>2019</v>
      </c>
      <c r="D256" s="267">
        <v>1</v>
      </c>
      <c r="E256" s="267">
        <v>1</v>
      </c>
      <c r="F256" s="267" t="s">
        <v>944</v>
      </c>
      <c r="G256" s="267" t="s">
        <v>3926</v>
      </c>
      <c r="H256" s="267" t="s">
        <v>4299</v>
      </c>
      <c r="I256" s="267" t="s">
        <v>3993</v>
      </c>
      <c r="J256" s="267" t="s">
        <v>3928</v>
      </c>
      <c r="K256" s="267">
        <v>6415</v>
      </c>
      <c r="L256" s="267">
        <v>714103</v>
      </c>
      <c r="M256" s="267" t="s">
        <v>3943</v>
      </c>
      <c r="N256" s="267" t="s">
        <v>3944</v>
      </c>
      <c r="O256" s="267">
        <v>1675.56</v>
      </c>
      <c r="P256" s="267" t="s">
        <v>3944</v>
      </c>
      <c r="Q256" s="267" t="s">
        <v>3944</v>
      </c>
      <c r="R256" s="267">
        <v>1675.56</v>
      </c>
      <c r="S256" s="267">
        <v>26039.03</v>
      </c>
      <c r="T256" s="267">
        <v>27714.59</v>
      </c>
      <c r="U256" s="268" t="s">
        <v>3945</v>
      </c>
      <c r="V256" s="267" t="s">
        <v>944</v>
      </c>
    </row>
    <row r="257" spans="1:22" hidden="1" x14ac:dyDescent="0.25">
      <c r="A257" s="269">
        <v>43476</v>
      </c>
      <c r="B257" s="270">
        <v>2019</v>
      </c>
      <c r="C257" s="270">
        <v>2019</v>
      </c>
      <c r="D257" s="270">
        <v>1</v>
      </c>
      <c r="E257" s="270">
        <v>1</v>
      </c>
      <c r="F257" s="270" t="s">
        <v>944</v>
      </c>
      <c r="G257" s="270" t="s">
        <v>3926</v>
      </c>
      <c r="H257" s="270" t="s">
        <v>4300</v>
      </c>
      <c r="I257" s="270" t="s">
        <v>4301</v>
      </c>
      <c r="J257" s="270" t="s">
        <v>3928</v>
      </c>
      <c r="K257" s="270">
        <v>6359</v>
      </c>
      <c r="L257" s="270">
        <v>707100</v>
      </c>
      <c r="M257" s="270" t="s">
        <v>3935</v>
      </c>
      <c r="N257" s="270" t="s">
        <v>3944</v>
      </c>
      <c r="O257" s="270">
        <v>1185.28</v>
      </c>
      <c r="P257" s="270" t="s">
        <v>3944</v>
      </c>
      <c r="Q257" s="270" t="s">
        <v>3944</v>
      </c>
      <c r="R257" s="270">
        <v>1185.28</v>
      </c>
      <c r="S257" s="270">
        <v>19281.78</v>
      </c>
      <c r="T257" s="270">
        <v>20467.060000000001</v>
      </c>
      <c r="U257" s="271" t="s">
        <v>3945</v>
      </c>
      <c r="V257" s="267" t="s">
        <v>944</v>
      </c>
    </row>
    <row r="258" spans="1:22" hidden="1" x14ac:dyDescent="0.25">
      <c r="A258" s="266">
        <v>43476</v>
      </c>
      <c r="B258" s="267">
        <v>2019</v>
      </c>
      <c r="C258" s="267">
        <v>2019</v>
      </c>
      <c r="D258" s="267">
        <v>1</v>
      </c>
      <c r="E258" s="267">
        <v>1</v>
      </c>
      <c r="F258" s="267" t="s">
        <v>944</v>
      </c>
      <c r="G258" s="267" t="s">
        <v>3926</v>
      </c>
      <c r="H258" s="267" t="s">
        <v>4302</v>
      </c>
      <c r="I258" s="267" t="s">
        <v>3012</v>
      </c>
      <c r="J258" s="267" t="s">
        <v>3928</v>
      </c>
      <c r="K258" s="267">
        <v>6477</v>
      </c>
      <c r="L258" s="267">
        <v>157200</v>
      </c>
      <c r="M258" s="267" t="s">
        <v>3943</v>
      </c>
      <c r="N258" s="267" t="s">
        <v>3944</v>
      </c>
      <c r="O258" s="267">
        <v>1769.71</v>
      </c>
      <c r="P258" s="267" t="s">
        <v>3944</v>
      </c>
      <c r="Q258" s="267" t="s">
        <v>3944</v>
      </c>
      <c r="R258" s="267">
        <v>1769.71</v>
      </c>
      <c r="S258" s="267">
        <v>25021.040000000001</v>
      </c>
      <c r="T258" s="267">
        <v>26790.75</v>
      </c>
      <c r="U258" s="268" t="s">
        <v>3945</v>
      </c>
      <c r="V258" s="267" t="s">
        <v>944</v>
      </c>
    </row>
    <row r="259" spans="1:22" hidden="1" x14ac:dyDescent="0.25">
      <c r="A259" s="269">
        <v>43476</v>
      </c>
      <c r="B259" s="270">
        <v>2019</v>
      </c>
      <c r="C259" s="270">
        <v>2019</v>
      </c>
      <c r="D259" s="270">
        <v>1</v>
      </c>
      <c r="E259" s="270">
        <v>1</v>
      </c>
      <c r="F259" s="270" t="s">
        <v>944</v>
      </c>
      <c r="G259" s="270" t="s">
        <v>3926</v>
      </c>
      <c r="H259" s="270" t="s">
        <v>4303</v>
      </c>
      <c r="I259" s="270" t="s">
        <v>3962</v>
      </c>
      <c r="J259" s="270" t="s">
        <v>3928</v>
      </c>
      <c r="K259" s="270">
        <v>6379</v>
      </c>
      <c r="L259" s="270">
        <v>705101</v>
      </c>
      <c r="M259" s="270" t="s">
        <v>3935</v>
      </c>
      <c r="N259" s="270" t="s">
        <v>3944</v>
      </c>
      <c r="O259" s="270">
        <v>1648.4</v>
      </c>
      <c r="P259" s="270" t="s">
        <v>3944</v>
      </c>
      <c r="Q259" s="270" t="s">
        <v>3944</v>
      </c>
      <c r="R259" s="270">
        <v>1648.4</v>
      </c>
      <c r="S259" s="270">
        <v>27451.52</v>
      </c>
      <c r="T259" s="270">
        <v>29099.919999999998</v>
      </c>
      <c r="U259" s="271" t="s">
        <v>3945</v>
      </c>
      <c r="V259" s="267" t="s">
        <v>944</v>
      </c>
    </row>
    <row r="260" spans="1:22" hidden="1" x14ac:dyDescent="0.25">
      <c r="A260" s="266">
        <v>43476</v>
      </c>
      <c r="B260" s="267">
        <v>2019</v>
      </c>
      <c r="C260" s="267">
        <v>2019</v>
      </c>
      <c r="D260" s="267">
        <v>1</v>
      </c>
      <c r="E260" s="267">
        <v>1</v>
      </c>
      <c r="F260" s="267" t="s">
        <v>944</v>
      </c>
      <c r="G260" s="267" t="s">
        <v>3926</v>
      </c>
      <c r="H260" s="267" t="s">
        <v>4304</v>
      </c>
      <c r="I260" s="267" t="s">
        <v>4042</v>
      </c>
      <c r="J260" s="267" t="s">
        <v>3928</v>
      </c>
      <c r="K260" s="267">
        <v>6370</v>
      </c>
      <c r="L260" s="267">
        <v>695202</v>
      </c>
      <c r="M260" s="267" t="s">
        <v>3935</v>
      </c>
      <c r="N260" s="267" t="s">
        <v>3944</v>
      </c>
      <c r="O260" s="267">
        <v>2714.39</v>
      </c>
      <c r="P260" s="267" t="s">
        <v>3944</v>
      </c>
      <c r="Q260" s="267" t="s">
        <v>3944</v>
      </c>
      <c r="R260" s="267">
        <v>2714.39</v>
      </c>
      <c r="S260" s="267">
        <v>38688.93</v>
      </c>
      <c r="T260" s="267">
        <v>41403.32</v>
      </c>
      <c r="U260" s="268" t="s">
        <v>3945</v>
      </c>
      <c r="V260" s="267" t="s">
        <v>944</v>
      </c>
    </row>
    <row r="261" spans="1:22" hidden="1" x14ac:dyDescent="0.25">
      <c r="A261" s="269">
        <v>43476</v>
      </c>
      <c r="B261" s="270">
        <v>2019</v>
      </c>
      <c r="C261" s="270">
        <v>2019</v>
      </c>
      <c r="D261" s="270">
        <v>1</v>
      </c>
      <c r="E261" s="270">
        <v>1</v>
      </c>
      <c r="F261" s="270" t="s">
        <v>944</v>
      </c>
      <c r="G261" s="270" t="s">
        <v>3926</v>
      </c>
      <c r="H261" s="270" t="s">
        <v>4305</v>
      </c>
      <c r="I261" s="270" t="s">
        <v>4306</v>
      </c>
      <c r="J261" s="270" t="s">
        <v>3928</v>
      </c>
      <c r="K261" s="270">
        <v>6705</v>
      </c>
      <c r="L261" s="270">
        <v>361100</v>
      </c>
      <c r="M261" s="270" t="s">
        <v>3960</v>
      </c>
      <c r="N261" s="270" t="s">
        <v>3944</v>
      </c>
      <c r="O261" s="270">
        <v>1801.24</v>
      </c>
      <c r="P261" s="270" t="s">
        <v>3944</v>
      </c>
      <c r="Q261" s="270" t="s">
        <v>3944</v>
      </c>
      <c r="R261" s="270">
        <v>1801.24</v>
      </c>
      <c r="S261" s="270">
        <v>25147.03</v>
      </c>
      <c r="T261" s="270">
        <v>26948.27</v>
      </c>
      <c r="U261" s="271" t="s">
        <v>3945</v>
      </c>
      <c r="V261" s="267" t="s">
        <v>944</v>
      </c>
    </row>
    <row r="262" spans="1:22" hidden="1" x14ac:dyDescent="0.25">
      <c r="A262" s="266">
        <v>43476</v>
      </c>
      <c r="B262" s="267">
        <v>2019</v>
      </c>
      <c r="C262" s="267">
        <v>2019</v>
      </c>
      <c r="D262" s="267">
        <v>1</v>
      </c>
      <c r="E262" s="267">
        <v>1</v>
      </c>
      <c r="F262" s="267" t="s">
        <v>944</v>
      </c>
      <c r="G262" s="267" t="s">
        <v>3926</v>
      </c>
      <c r="H262" s="267" t="s">
        <v>4307</v>
      </c>
      <c r="I262" s="267" t="s">
        <v>3012</v>
      </c>
      <c r="J262" s="267" t="s">
        <v>3928</v>
      </c>
      <c r="K262" s="267">
        <v>6477</v>
      </c>
      <c r="L262" s="267">
        <v>157400</v>
      </c>
      <c r="M262" s="267" t="s">
        <v>3943</v>
      </c>
      <c r="N262" s="267" t="s">
        <v>3944</v>
      </c>
      <c r="O262" s="267">
        <v>2819.57</v>
      </c>
      <c r="P262" s="267" t="s">
        <v>3944</v>
      </c>
      <c r="Q262" s="267" t="s">
        <v>3944</v>
      </c>
      <c r="R262" s="267">
        <v>2819.57</v>
      </c>
      <c r="S262" s="267">
        <v>45933.39</v>
      </c>
      <c r="T262" s="267">
        <v>48752.959999999999</v>
      </c>
      <c r="U262" s="268" t="s">
        <v>3945</v>
      </c>
      <c r="V262" s="267" t="s">
        <v>944</v>
      </c>
    </row>
    <row r="263" spans="1:22" hidden="1" x14ac:dyDescent="0.25">
      <c r="A263" s="269">
        <v>43476</v>
      </c>
      <c r="B263" s="270">
        <v>2019</v>
      </c>
      <c r="C263" s="270">
        <v>2019</v>
      </c>
      <c r="D263" s="270">
        <v>1</v>
      </c>
      <c r="E263" s="270">
        <v>1</v>
      </c>
      <c r="F263" s="270" t="s">
        <v>944</v>
      </c>
      <c r="G263" s="270" t="s">
        <v>3926</v>
      </c>
      <c r="H263" s="270" t="s">
        <v>4308</v>
      </c>
      <c r="I263" s="270" t="s">
        <v>3026</v>
      </c>
      <c r="J263" s="270" t="s">
        <v>3928</v>
      </c>
      <c r="K263" s="270">
        <v>6471</v>
      </c>
      <c r="L263" s="270">
        <v>186100</v>
      </c>
      <c r="M263" s="270" t="s">
        <v>3935</v>
      </c>
      <c r="N263" s="270" t="s">
        <v>3944</v>
      </c>
      <c r="O263" s="270">
        <v>1516.48</v>
      </c>
      <c r="P263" s="270" t="s">
        <v>3944</v>
      </c>
      <c r="Q263" s="270" t="s">
        <v>3944</v>
      </c>
      <c r="R263" s="270">
        <v>1516.48</v>
      </c>
      <c r="S263" s="270">
        <v>22455.37</v>
      </c>
      <c r="T263" s="270">
        <v>23971.85</v>
      </c>
      <c r="U263" s="271" t="s">
        <v>3945</v>
      </c>
      <c r="V263" s="267" t="s">
        <v>944</v>
      </c>
    </row>
    <row r="264" spans="1:22" hidden="1" x14ac:dyDescent="0.25">
      <c r="A264" s="266">
        <v>43476</v>
      </c>
      <c r="B264" s="267">
        <v>2019</v>
      </c>
      <c r="C264" s="267">
        <v>2019</v>
      </c>
      <c r="D264" s="267">
        <v>1</v>
      </c>
      <c r="E264" s="267">
        <v>1</v>
      </c>
      <c r="F264" s="267" t="s">
        <v>944</v>
      </c>
      <c r="G264" s="267" t="s">
        <v>3926</v>
      </c>
      <c r="H264" s="267" t="s">
        <v>4309</v>
      </c>
      <c r="I264" s="267" t="s">
        <v>4310</v>
      </c>
      <c r="J264" s="267" t="s">
        <v>3928</v>
      </c>
      <c r="K264" s="267">
        <v>6351</v>
      </c>
      <c r="L264" s="267">
        <v>710100</v>
      </c>
      <c r="M264" s="267" t="s">
        <v>3960</v>
      </c>
      <c r="N264" s="267" t="s">
        <v>3944</v>
      </c>
      <c r="O264" s="267">
        <v>1915.1</v>
      </c>
      <c r="P264" s="267" t="s">
        <v>3944</v>
      </c>
      <c r="Q264" s="267" t="s">
        <v>3944</v>
      </c>
      <c r="R264" s="267">
        <v>1915.1</v>
      </c>
      <c r="S264" s="267">
        <v>28674.03</v>
      </c>
      <c r="T264" s="267">
        <v>30589.13</v>
      </c>
      <c r="U264" s="268" t="s">
        <v>3945</v>
      </c>
      <c r="V264" s="267" t="s">
        <v>944</v>
      </c>
    </row>
    <row r="265" spans="1:22" hidden="1" x14ac:dyDescent="0.25">
      <c r="A265" s="269">
        <v>43476</v>
      </c>
      <c r="B265" s="270">
        <v>2019</v>
      </c>
      <c r="C265" s="270">
        <v>2019</v>
      </c>
      <c r="D265" s="270">
        <v>1</v>
      </c>
      <c r="E265" s="270">
        <v>1</v>
      </c>
      <c r="F265" s="270" t="s">
        <v>944</v>
      </c>
      <c r="G265" s="270" t="s">
        <v>3926</v>
      </c>
      <c r="H265" s="270" t="s">
        <v>4311</v>
      </c>
      <c r="I265" s="270" t="s">
        <v>4137</v>
      </c>
      <c r="J265" s="270" t="s">
        <v>3928</v>
      </c>
      <c r="K265" s="270">
        <v>6067</v>
      </c>
      <c r="L265" s="270">
        <v>490302</v>
      </c>
      <c r="M265" s="270" t="s">
        <v>3960</v>
      </c>
      <c r="N265" s="270" t="s">
        <v>3944</v>
      </c>
      <c r="O265" s="270">
        <v>1601.71</v>
      </c>
      <c r="P265" s="270" t="s">
        <v>3944</v>
      </c>
      <c r="Q265" s="270" t="s">
        <v>3944</v>
      </c>
      <c r="R265" s="270">
        <v>1601.71</v>
      </c>
      <c r="S265" s="270">
        <v>19761.59</v>
      </c>
      <c r="T265" s="270">
        <v>21363.3</v>
      </c>
      <c r="U265" s="271" t="s">
        <v>3945</v>
      </c>
      <c r="V265" s="267" t="s">
        <v>944</v>
      </c>
    </row>
    <row r="266" spans="1:22" hidden="1" x14ac:dyDescent="0.25">
      <c r="A266" s="266">
        <v>43476</v>
      </c>
      <c r="B266" s="267">
        <v>2019</v>
      </c>
      <c r="C266" s="267">
        <v>2019</v>
      </c>
      <c r="D266" s="267">
        <v>1</v>
      </c>
      <c r="E266" s="267">
        <v>1</v>
      </c>
      <c r="F266" s="267" t="s">
        <v>944</v>
      </c>
      <c r="G266" s="267" t="s">
        <v>3926</v>
      </c>
      <c r="H266" s="267" t="s">
        <v>4312</v>
      </c>
      <c r="I266" s="267" t="s">
        <v>4005</v>
      </c>
      <c r="J266" s="267" t="s">
        <v>3928</v>
      </c>
      <c r="K266" s="267">
        <v>6108</v>
      </c>
      <c r="L266" s="267">
        <v>510100</v>
      </c>
      <c r="M266" s="267" t="s">
        <v>3940</v>
      </c>
      <c r="N266" s="267" t="s">
        <v>3944</v>
      </c>
      <c r="O266" s="267">
        <v>1357.41</v>
      </c>
      <c r="P266" s="267" t="s">
        <v>3944</v>
      </c>
      <c r="Q266" s="267" t="s">
        <v>3944</v>
      </c>
      <c r="R266" s="267">
        <v>1357.41</v>
      </c>
      <c r="S266" s="267">
        <v>19600.55</v>
      </c>
      <c r="T266" s="267">
        <v>20957.96</v>
      </c>
      <c r="U266" s="268" t="s">
        <v>3945</v>
      </c>
      <c r="V266" s="267" t="s">
        <v>944</v>
      </c>
    </row>
    <row r="267" spans="1:22" hidden="1" x14ac:dyDescent="0.25">
      <c r="A267" s="269">
        <v>43476</v>
      </c>
      <c r="B267" s="270">
        <v>2019</v>
      </c>
      <c r="C267" s="270">
        <v>2019</v>
      </c>
      <c r="D267" s="270">
        <v>1</v>
      </c>
      <c r="E267" s="270">
        <v>1</v>
      </c>
      <c r="F267" s="270" t="s">
        <v>944</v>
      </c>
      <c r="G267" s="270" t="s">
        <v>3926</v>
      </c>
      <c r="H267" s="270" t="s">
        <v>4313</v>
      </c>
      <c r="I267" s="270" t="s">
        <v>3956</v>
      </c>
      <c r="J267" s="270" t="s">
        <v>3928</v>
      </c>
      <c r="K267" s="270">
        <v>6112</v>
      </c>
      <c r="L267" s="270">
        <v>503900</v>
      </c>
      <c r="M267" s="270">
        <v>-60</v>
      </c>
      <c r="N267" s="270" t="s">
        <v>3944</v>
      </c>
      <c r="O267" s="270">
        <v>820.26</v>
      </c>
      <c r="P267" s="270" t="s">
        <v>3944</v>
      </c>
      <c r="Q267" s="270" t="s">
        <v>3944</v>
      </c>
      <c r="R267" s="270">
        <v>820.26</v>
      </c>
      <c r="S267" s="270">
        <v>11653.74</v>
      </c>
      <c r="T267" s="270">
        <v>12474</v>
      </c>
      <c r="U267" s="271" t="s">
        <v>3945</v>
      </c>
      <c r="V267" s="267" t="s">
        <v>944</v>
      </c>
    </row>
    <row r="268" spans="1:22" hidden="1" x14ac:dyDescent="0.25">
      <c r="A268" s="266">
        <v>43476</v>
      </c>
      <c r="B268" s="267">
        <v>2019</v>
      </c>
      <c r="C268" s="267">
        <v>2019</v>
      </c>
      <c r="D268" s="267">
        <v>1</v>
      </c>
      <c r="E268" s="267">
        <v>1</v>
      </c>
      <c r="F268" s="267" t="s">
        <v>944</v>
      </c>
      <c r="G268" s="267" t="s">
        <v>3926</v>
      </c>
      <c r="H268" s="267" t="s">
        <v>4314</v>
      </c>
      <c r="I268" s="267" t="s">
        <v>4147</v>
      </c>
      <c r="J268" s="267" t="s">
        <v>3928</v>
      </c>
      <c r="K268" s="267">
        <v>6109</v>
      </c>
      <c r="L268" s="267">
        <v>492300</v>
      </c>
      <c r="M268" s="267" t="s">
        <v>3940</v>
      </c>
      <c r="N268" s="267" t="s">
        <v>3944</v>
      </c>
      <c r="O268" s="267">
        <v>1186.71</v>
      </c>
      <c r="P268" s="267" t="s">
        <v>3944</v>
      </c>
      <c r="Q268" s="267" t="s">
        <v>3944</v>
      </c>
      <c r="R268" s="267">
        <v>1186.71</v>
      </c>
      <c r="S268" s="267">
        <v>17398.29</v>
      </c>
      <c r="T268" s="267">
        <v>18585</v>
      </c>
      <c r="U268" s="268" t="s">
        <v>3945</v>
      </c>
      <c r="V268" s="267" t="s">
        <v>944</v>
      </c>
    </row>
    <row r="269" spans="1:22" hidden="1" x14ac:dyDescent="0.25">
      <c r="A269" s="269">
        <v>43476</v>
      </c>
      <c r="B269" s="270">
        <v>2019</v>
      </c>
      <c r="C269" s="270">
        <v>2019</v>
      </c>
      <c r="D269" s="270">
        <v>1</v>
      </c>
      <c r="E269" s="270">
        <v>1</v>
      </c>
      <c r="F269" s="270" t="s">
        <v>944</v>
      </c>
      <c r="G269" s="270" t="s">
        <v>3926</v>
      </c>
      <c r="H269" s="270" t="s">
        <v>4315</v>
      </c>
      <c r="I269" s="270" t="s">
        <v>3964</v>
      </c>
      <c r="J269" s="270" t="s">
        <v>3928</v>
      </c>
      <c r="K269" s="270">
        <v>6033</v>
      </c>
      <c r="L269" s="270">
        <v>520100</v>
      </c>
      <c r="M269" s="270" t="s">
        <v>3943</v>
      </c>
      <c r="N269" s="270" t="s">
        <v>3944</v>
      </c>
      <c r="O269" s="270">
        <v>1773.45</v>
      </c>
      <c r="P269" s="270" t="s">
        <v>3944</v>
      </c>
      <c r="Q269" s="270" t="s">
        <v>3944</v>
      </c>
      <c r="R269" s="270">
        <v>1773.45</v>
      </c>
      <c r="S269" s="270">
        <v>23236.19</v>
      </c>
      <c r="T269" s="270">
        <v>25009.64</v>
      </c>
      <c r="U269" s="271" t="s">
        <v>3945</v>
      </c>
      <c r="V269" s="267" t="s">
        <v>944</v>
      </c>
    </row>
    <row r="270" spans="1:22" hidden="1" x14ac:dyDescent="0.25">
      <c r="A270" s="266">
        <v>43476</v>
      </c>
      <c r="B270" s="267">
        <v>2019</v>
      </c>
      <c r="C270" s="267">
        <v>2019</v>
      </c>
      <c r="D270" s="267">
        <v>1</v>
      </c>
      <c r="E270" s="267">
        <v>1</v>
      </c>
      <c r="F270" s="267" t="s">
        <v>944</v>
      </c>
      <c r="G270" s="267" t="s">
        <v>3926</v>
      </c>
      <c r="H270" s="267" t="s">
        <v>4316</v>
      </c>
      <c r="I270" s="267" t="s">
        <v>3011</v>
      </c>
      <c r="J270" s="267" t="s">
        <v>3928</v>
      </c>
      <c r="K270" s="267">
        <v>6418</v>
      </c>
      <c r="L270" s="267">
        <v>120100</v>
      </c>
      <c r="M270" s="267" t="s">
        <v>3940</v>
      </c>
      <c r="N270" s="267" t="s">
        <v>3944</v>
      </c>
      <c r="O270" s="267">
        <v>846.37</v>
      </c>
      <c r="P270" s="267" t="s">
        <v>3944</v>
      </c>
      <c r="Q270" s="267" t="s">
        <v>3944</v>
      </c>
      <c r="R270" s="267">
        <v>846.37</v>
      </c>
      <c r="S270" s="267">
        <v>12578.23</v>
      </c>
      <c r="T270" s="267">
        <v>13424.6</v>
      </c>
      <c r="U270" s="268" t="s">
        <v>3945</v>
      </c>
      <c r="V270" s="267" t="s">
        <v>944</v>
      </c>
    </row>
    <row r="271" spans="1:22" hidden="1" x14ac:dyDescent="0.25">
      <c r="A271" s="269">
        <v>43476</v>
      </c>
      <c r="B271" s="270">
        <v>2019</v>
      </c>
      <c r="C271" s="270">
        <v>2019</v>
      </c>
      <c r="D271" s="270">
        <v>1</v>
      </c>
      <c r="E271" s="270">
        <v>1</v>
      </c>
      <c r="F271" s="270" t="s">
        <v>944</v>
      </c>
      <c r="G271" s="270" t="s">
        <v>3926</v>
      </c>
      <c r="H271" s="270" t="s">
        <v>4317</v>
      </c>
      <c r="I271" s="270" t="s">
        <v>4318</v>
      </c>
      <c r="J271" s="270" t="s">
        <v>3928</v>
      </c>
      <c r="K271" s="270">
        <v>6278</v>
      </c>
      <c r="L271" s="270">
        <v>830100</v>
      </c>
      <c r="M271" s="270" t="s">
        <v>3935</v>
      </c>
      <c r="N271" s="270" t="s">
        <v>3944</v>
      </c>
      <c r="O271" s="270">
        <v>2902.1</v>
      </c>
      <c r="P271" s="270" t="s">
        <v>3944</v>
      </c>
      <c r="Q271" s="270" t="s">
        <v>3944</v>
      </c>
      <c r="R271" s="270">
        <v>2902.1</v>
      </c>
      <c r="S271" s="270">
        <v>36004.720000000001</v>
      </c>
      <c r="T271" s="270">
        <v>38906.82</v>
      </c>
      <c r="U271" s="271" t="s">
        <v>3945</v>
      </c>
      <c r="V271" s="267" t="s">
        <v>944</v>
      </c>
    </row>
    <row r="272" spans="1:22" hidden="1" x14ac:dyDescent="0.25">
      <c r="A272" s="266">
        <v>43476</v>
      </c>
      <c r="B272" s="267">
        <v>2019</v>
      </c>
      <c r="C272" s="267">
        <v>2019</v>
      </c>
      <c r="D272" s="267">
        <v>1</v>
      </c>
      <c r="E272" s="267">
        <v>1</v>
      </c>
      <c r="F272" s="267" t="s">
        <v>944</v>
      </c>
      <c r="G272" s="267" t="s">
        <v>3926</v>
      </c>
      <c r="H272" s="267" t="s">
        <v>4319</v>
      </c>
      <c r="I272" s="267" t="s">
        <v>4019</v>
      </c>
      <c r="J272" s="267" t="s">
        <v>3928</v>
      </c>
      <c r="K272" s="267">
        <v>6705</v>
      </c>
      <c r="L272" s="267">
        <v>352600</v>
      </c>
      <c r="M272" s="267">
        <v>-60</v>
      </c>
      <c r="N272" s="267" t="s">
        <v>3944</v>
      </c>
      <c r="O272" s="267">
        <v>1539.93</v>
      </c>
      <c r="P272" s="267" t="s">
        <v>3944</v>
      </c>
      <c r="Q272" s="267" t="s">
        <v>3944</v>
      </c>
      <c r="R272" s="267">
        <v>1539.93</v>
      </c>
      <c r="S272" s="267">
        <v>21691.14</v>
      </c>
      <c r="T272" s="267">
        <v>23231.07</v>
      </c>
      <c r="U272" s="268" t="s">
        <v>3945</v>
      </c>
      <c r="V272" s="267" t="s">
        <v>944</v>
      </c>
    </row>
    <row r="273" spans="1:22" hidden="1" x14ac:dyDescent="0.25">
      <c r="A273" s="269">
        <v>43476</v>
      </c>
      <c r="B273" s="270">
        <v>2019</v>
      </c>
      <c r="C273" s="270">
        <v>2019</v>
      </c>
      <c r="D273" s="270">
        <v>1</v>
      </c>
      <c r="E273" s="270">
        <v>1</v>
      </c>
      <c r="F273" s="270" t="s">
        <v>944</v>
      </c>
      <c r="G273" s="270" t="s">
        <v>3926</v>
      </c>
      <c r="H273" s="270" t="s">
        <v>4320</v>
      </c>
      <c r="I273" s="270" t="s">
        <v>2985</v>
      </c>
      <c r="J273" s="270" t="s">
        <v>3928</v>
      </c>
      <c r="K273" s="270">
        <v>6825</v>
      </c>
      <c r="L273" s="270">
        <v>61000</v>
      </c>
      <c r="M273" s="270" t="s">
        <v>3935</v>
      </c>
      <c r="N273" s="270" t="s">
        <v>3944</v>
      </c>
      <c r="O273" s="270">
        <v>1682.21</v>
      </c>
      <c r="P273" s="270" t="s">
        <v>3944</v>
      </c>
      <c r="Q273" s="270" t="s">
        <v>3944</v>
      </c>
      <c r="R273" s="270">
        <v>1682.21</v>
      </c>
      <c r="S273" s="270">
        <v>28809.79</v>
      </c>
      <c r="T273" s="270">
        <v>30492</v>
      </c>
      <c r="U273" s="271" t="s">
        <v>3945</v>
      </c>
      <c r="V273" s="267" t="s">
        <v>944</v>
      </c>
    </row>
    <row r="274" spans="1:22" hidden="1" x14ac:dyDescent="0.25">
      <c r="A274" s="266">
        <v>43476</v>
      </c>
      <c r="B274" s="267">
        <v>2019</v>
      </c>
      <c r="C274" s="267">
        <v>2019</v>
      </c>
      <c r="D274" s="267">
        <v>1</v>
      </c>
      <c r="E274" s="267">
        <v>1</v>
      </c>
      <c r="F274" s="267" t="s">
        <v>944</v>
      </c>
      <c r="G274" s="267" t="s">
        <v>3926</v>
      </c>
      <c r="H274" s="267" t="s">
        <v>4321</v>
      </c>
      <c r="I274" s="267" t="s">
        <v>4029</v>
      </c>
      <c r="J274" s="267" t="s">
        <v>3928</v>
      </c>
      <c r="K274" s="267">
        <v>6851</v>
      </c>
      <c r="L274" s="267">
        <v>42500</v>
      </c>
      <c r="M274" s="267" t="s">
        <v>3943</v>
      </c>
      <c r="N274" s="267" t="s">
        <v>3944</v>
      </c>
      <c r="O274" s="267">
        <v>2855.65</v>
      </c>
      <c r="P274" s="267" t="s">
        <v>3944</v>
      </c>
      <c r="Q274" s="267" t="s">
        <v>3944</v>
      </c>
      <c r="R274" s="267">
        <v>2855.65</v>
      </c>
      <c r="S274" s="267">
        <v>41681.629999999997</v>
      </c>
      <c r="T274" s="267">
        <v>44537.279999999999</v>
      </c>
      <c r="U274" s="268" t="s">
        <v>3945</v>
      </c>
      <c r="V274" s="267" t="s">
        <v>944</v>
      </c>
    </row>
    <row r="275" spans="1:22" hidden="1" x14ac:dyDescent="0.25">
      <c r="A275" s="269">
        <v>43476</v>
      </c>
      <c r="B275" s="270">
        <v>2019</v>
      </c>
      <c r="C275" s="270">
        <v>2019</v>
      </c>
      <c r="D275" s="270">
        <v>1</v>
      </c>
      <c r="E275" s="270">
        <v>1</v>
      </c>
      <c r="F275" s="270" t="s">
        <v>944</v>
      </c>
      <c r="G275" s="270" t="s">
        <v>3926</v>
      </c>
      <c r="H275" s="270" t="s">
        <v>4322</v>
      </c>
      <c r="I275" s="270" t="s">
        <v>4323</v>
      </c>
      <c r="J275" s="270" t="s">
        <v>3928</v>
      </c>
      <c r="K275" s="270">
        <v>6385</v>
      </c>
      <c r="L275" s="270">
        <v>693400</v>
      </c>
      <c r="M275" s="270" t="s">
        <v>3940</v>
      </c>
      <c r="N275" s="270" t="s">
        <v>3944</v>
      </c>
      <c r="O275" s="270">
        <v>1657.11</v>
      </c>
      <c r="P275" s="270" t="s">
        <v>3944</v>
      </c>
      <c r="Q275" s="270" t="s">
        <v>3944</v>
      </c>
      <c r="R275" s="270">
        <v>1657.11</v>
      </c>
      <c r="S275" s="270">
        <v>26011.56</v>
      </c>
      <c r="T275" s="270">
        <v>27668.67</v>
      </c>
      <c r="U275" s="271" t="s">
        <v>3945</v>
      </c>
      <c r="V275" s="267" t="s">
        <v>944</v>
      </c>
    </row>
    <row r="276" spans="1:22" hidden="1" x14ac:dyDescent="0.25">
      <c r="A276" s="266">
        <v>43476</v>
      </c>
      <c r="B276" s="267">
        <v>2019</v>
      </c>
      <c r="C276" s="267">
        <v>2019</v>
      </c>
      <c r="D276" s="267">
        <v>1</v>
      </c>
      <c r="E276" s="267">
        <v>1</v>
      </c>
      <c r="F276" s="267" t="s">
        <v>944</v>
      </c>
      <c r="G276" s="267" t="s">
        <v>3926</v>
      </c>
      <c r="H276" s="267" t="s">
        <v>4324</v>
      </c>
      <c r="I276" s="267" t="s">
        <v>4244</v>
      </c>
      <c r="J276" s="267" t="s">
        <v>3928</v>
      </c>
      <c r="K276" s="267">
        <v>6268</v>
      </c>
      <c r="L276" s="267">
        <v>881100</v>
      </c>
      <c r="M276" s="267" t="s">
        <v>3935</v>
      </c>
      <c r="N276" s="267" t="s">
        <v>3944</v>
      </c>
      <c r="O276" s="267">
        <v>1703.77</v>
      </c>
      <c r="P276" s="267" t="s">
        <v>3944</v>
      </c>
      <c r="Q276" s="267" t="s">
        <v>3944</v>
      </c>
      <c r="R276" s="267">
        <v>1703.77</v>
      </c>
      <c r="S276" s="267">
        <v>24899.7</v>
      </c>
      <c r="T276" s="267">
        <v>26603.47</v>
      </c>
      <c r="U276" s="268" t="s">
        <v>3945</v>
      </c>
      <c r="V276" s="267" t="s">
        <v>944</v>
      </c>
    </row>
    <row r="277" spans="1:22" hidden="1" x14ac:dyDescent="0.25">
      <c r="A277" s="269">
        <v>43476</v>
      </c>
      <c r="B277" s="270">
        <v>2019</v>
      </c>
      <c r="C277" s="270">
        <v>2019</v>
      </c>
      <c r="D277" s="270">
        <v>1</v>
      </c>
      <c r="E277" s="270">
        <v>1</v>
      </c>
      <c r="F277" s="270" t="s">
        <v>944</v>
      </c>
      <c r="G277" s="270" t="s">
        <v>3926</v>
      </c>
      <c r="H277" s="270" t="s">
        <v>4325</v>
      </c>
      <c r="I277" s="270" t="s">
        <v>3954</v>
      </c>
      <c r="J277" s="270" t="s">
        <v>3928</v>
      </c>
      <c r="K277" s="270">
        <v>6357</v>
      </c>
      <c r="L277" s="270">
        <v>870704</v>
      </c>
      <c r="M277" s="270" t="s">
        <v>3935</v>
      </c>
      <c r="N277" s="270" t="s">
        <v>3944</v>
      </c>
      <c r="O277" s="270">
        <v>1315.93</v>
      </c>
      <c r="P277" s="270" t="s">
        <v>3944</v>
      </c>
      <c r="Q277" s="270" t="s">
        <v>3944</v>
      </c>
      <c r="R277" s="270">
        <v>1315.93</v>
      </c>
      <c r="S277" s="270">
        <v>19529.48</v>
      </c>
      <c r="T277" s="270">
        <v>20845.41</v>
      </c>
      <c r="U277" s="271" t="s">
        <v>3945</v>
      </c>
      <c r="V277" s="267" t="s">
        <v>944</v>
      </c>
    </row>
    <row r="278" spans="1:22" hidden="1" x14ac:dyDescent="0.25">
      <c r="A278" s="266">
        <v>43476</v>
      </c>
      <c r="B278" s="267">
        <v>2019</v>
      </c>
      <c r="C278" s="267">
        <v>2019</v>
      </c>
      <c r="D278" s="267">
        <v>1</v>
      </c>
      <c r="E278" s="267">
        <v>1</v>
      </c>
      <c r="F278" s="267" t="s">
        <v>944</v>
      </c>
      <c r="G278" s="267" t="s">
        <v>3926</v>
      </c>
      <c r="H278" s="267" t="s">
        <v>4326</v>
      </c>
      <c r="I278" s="267" t="s">
        <v>3964</v>
      </c>
      <c r="J278" s="267" t="s">
        <v>3928</v>
      </c>
      <c r="K278" s="267">
        <v>6033</v>
      </c>
      <c r="L278" s="267">
        <v>520100</v>
      </c>
      <c r="M278" s="267" t="s">
        <v>3943</v>
      </c>
      <c r="N278" s="267" t="s">
        <v>3944</v>
      </c>
      <c r="O278" s="267">
        <v>1938.55</v>
      </c>
      <c r="P278" s="267" t="s">
        <v>3944</v>
      </c>
      <c r="Q278" s="267" t="s">
        <v>3944</v>
      </c>
      <c r="R278" s="267">
        <v>1938.55</v>
      </c>
      <c r="S278" s="267">
        <v>25810.83</v>
      </c>
      <c r="T278" s="267">
        <v>27749.38</v>
      </c>
      <c r="U278" s="268" t="s">
        <v>3945</v>
      </c>
      <c r="V278" s="267" t="s">
        <v>944</v>
      </c>
    </row>
    <row r="279" spans="1:22" hidden="1" x14ac:dyDescent="0.25">
      <c r="A279" s="269">
        <v>43476</v>
      </c>
      <c r="B279" s="270">
        <v>2019</v>
      </c>
      <c r="C279" s="270">
        <v>2019</v>
      </c>
      <c r="D279" s="270">
        <v>1</v>
      </c>
      <c r="E279" s="270">
        <v>1</v>
      </c>
      <c r="F279" s="270" t="s">
        <v>944</v>
      </c>
      <c r="G279" s="270" t="s">
        <v>3926</v>
      </c>
      <c r="H279" s="270" t="s">
        <v>4327</v>
      </c>
      <c r="I279" s="270" t="s">
        <v>3999</v>
      </c>
      <c r="J279" s="270" t="s">
        <v>3928</v>
      </c>
      <c r="K279" s="270">
        <v>6451</v>
      </c>
      <c r="L279" s="270">
        <v>170500</v>
      </c>
      <c r="M279" s="270" t="s">
        <v>3935</v>
      </c>
      <c r="N279" s="270" t="s">
        <v>3944</v>
      </c>
      <c r="O279" s="270">
        <v>1112.9000000000001</v>
      </c>
      <c r="P279" s="270" t="s">
        <v>3944</v>
      </c>
      <c r="Q279" s="270" t="s">
        <v>3944</v>
      </c>
      <c r="R279" s="270">
        <v>1112.9000000000001</v>
      </c>
      <c r="S279" s="270">
        <v>15183.87</v>
      </c>
      <c r="T279" s="270">
        <v>16296.77</v>
      </c>
      <c r="U279" s="271" t="s">
        <v>3945</v>
      </c>
      <c r="V279" s="267" t="s">
        <v>944</v>
      </c>
    </row>
    <row r="280" spans="1:22" hidden="1" x14ac:dyDescent="0.25">
      <c r="A280" s="266">
        <v>43476</v>
      </c>
      <c r="B280" s="267">
        <v>2019</v>
      </c>
      <c r="C280" s="267">
        <v>2019</v>
      </c>
      <c r="D280" s="267">
        <v>1</v>
      </c>
      <c r="E280" s="267">
        <v>1</v>
      </c>
      <c r="F280" s="267" t="s">
        <v>944</v>
      </c>
      <c r="G280" s="267" t="s">
        <v>3926</v>
      </c>
      <c r="H280" s="267" t="s">
        <v>4328</v>
      </c>
      <c r="I280" s="267" t="s">
        <v>4019</v>
      </c>
      <c r="J280" s="267" t="s">
        <v>3928</v>
      </c>
      <c r="K280" s="267">
        <v>6708</v>
      </c>
      <c r="L280" s="267">
        <v>351800</v>
      </c>
      <c r="M280" s="267" t="s">
        <v>3940</v>
      </c>
      <c r="N280" s="267" t="s">
        <v>3944</v>
      </c>
      <c r="O280" s="267">
        <v>1014.16</v>
      </c>
      <c r="P280" s="267" t="s">
        <v>3944</v>
      </c>
      <c r="Q280" s="267" t="s">
        <v>3944</v>
      </c>
      <c r="R280" s="267">
        <v>1014.16</v>
      </c>
      <c r="S280" s="267">
        <v>15712.35</v>
      </c>
      <c r="T280" s="267">
        <v>16726.509999999998</v>
      </c>
      <c r="U280" s="268" t="s">
        <v>3945</v>
      </c>
      <c r="V280" s="267" t="s">
        <v>944</v>
      </c>
    </row>
    <row r="281" spans="1:22" hidden="1" x14ac:dyDescent="0.25">
      <c r="A281" s="269">
        <v>43476</v>
      </c>
      <c r="B281" s="270">
        <v>2019</v>
      </c>
      <c r="C281" s="270">
        <v>2019</v>
      </c>
      <c r="D281" s="270">
        <v>1</v>
      </c>
      <c r="E281" s="270">
        <v>1</v>
      </c>
      <c r="F281" s="270" t="s">
        <v>944</v>
      </c>
      <c r="G281" s="270" t="s">
        <v>3926</v>
      </c>
      <c r="H281" s="270" t="s">
        <v>4329</v>
      </c>
      <c r="I281" s="270" t="s">
        <v>4330</v>
      </c>
      <c r="J281" s="270" t="s">
        <v>3928</v>
      </c>
      <c r="K281" s="270">
        <v>6413</v>
      </c>
      <c r="L281" s="270">
        <v>610400</v>
      </c>
      <c r="M281" s="270" t="s">
        <v>3960</v>
      </c>
      <c r="N281" s="270" t="s">
        <v>3944</v>
      </c>
      <c r="O281" s="270">
        <v>1846.25</v>
      </c>
      <c r="P281" s="270" t="s">
        <v>3944</v>
      </c>
      <c r="Q281" s="270" t="s">
        <v>3944</v>
      </c>
      <c r="R281" s="270">
        <v>1846.25</v>
      </c>
      <c r="S281" s="270">
        <v>26924.75</v>
      </c>
      <c r="T281" s="270">
        <v>28771</v>
      </c>
      <c r="U281" s="271" t="s">
        <v>3945</v>
      </c>
      <c r="V281" s="267" t="s">
        <v>944</v>
      </c>
    </row>
    <row r="282" spans="1:22" x14ac:dyDescent="0.25">
      <c r="A282" s="266">
        <v>43476</v>
      </c>
      <c r="B282" s="267">
        <v>2019</v>
      </c>
      <c r="C282" s="267">
        <v>2019</v>
      </c>
      <c r="D282" s="267">
        <v>1</v>
      </c>
      <c r="E282" s="267">
        <v>1</v>
      </c>
      <c r="F282" s="267" t="s">
        <v>944</v>
      </c>
      <c r="G282" s="267" t="s">
        <v>3926</v>
      </c>
      <c r="H282" s="267" t="s">
        <v>4331</v>
      </c>
      <c r="I282" s="267" t="s">
        <v>943</v>
      </c>
      <c r="J282" s="267" t="s">
        <v>3928</v>
      </c>
      <c r="K282" s="267">
        <v>6513</v>
      </c>
      <c r="L282" s="267">
        <v>142500</v>
      </c>
      <c r="M282" s="267">
        <v>-60</v>
      </c>
      <c r="N282" s="267" t="s">
        <v>3944</v>
      </c>
      <c r="O282" s="267">
        <v>1846.46</v>
      </c>
      <c r="P282" s="267" t="s">
        <v>3944</v>
      </c>
      <c r="Q282" s="267" t="s">
        <v>3944</v>
      </c>
      <c r="R282" s="267">
        <v>1846.46</v>
      </c>
      <c r="S282" s="267">
        <v>30591.48</v>
      </c>
      <c r="T282" s="267">
        <v>32437.94</v>
      </c>
      <c r="U282" s="268" t="s">
        <v>3945</v>
      </c>
      <c r="V282" s="276" t="s">
        <v>936</v>
      </c>
    </row>
    <row r="283" spans="1:22" x14ac:dyDescent="0.25">
      <c r="A283" s="269">
        <v>43476</v>
      </c>
      <c r="B283" s="270">
        <v>2019</v>
      </c>
      <c r="C283" s="270">
        <v>2019</v>
      </c>
      <c r="D283" s="270">
        <v>1</v>
      </c>
      <c r="E283" s="270">
        <v>1</v>
      </c>
      <c r="F283" s="270" t="s">
        <v>944</v>
      </c>
      <c r="G283" s="270" t="s">
        <v>3926</v>
      </c>
      <c r="H283" s="270" t="s">
        <v>4332</v>
      </c>
      <c r="I283" s="270" t="s">
        <v>943</v>
      </c>
      <c r="J283" s="270" t="s">
        <v>3928</v>
      </c>
      <c r="K283" s="270">
        <v>6513</v>
      </c>
      <c r="L283" s="270">
        <v>142400</v>
      </c>
      <c r="M283" s="270">
        <v>-60</v>
      </c>
      <c r="N283" s="270" t="s">
        <v>3944</v>
      </c>
      <c r="O283" s="270">
        <v>3085.43</v>
      </c>
      <c r="P283" s="270" t="s">
        <v>3944</v>
      </c>
      <c r="Q283" s="270" t="s">
        <v>3944</v>
      </c>
      <c r="R283" s="270">
        <v>3085.43</v>
      </c>
      <c r="S283" s="270">
        <v>49428.9</v>
      </c>
      <c r="T283" s="270">
        <v>52514.33</v>
      </c>
      <c r="U283" s="271" t="s">
        <v>3945</v>
      </c>
      <c r="V283" s="276" t="s">
        <v>936</v>
      </c>
    </row>
    <row r="284" spans="1:22" hidden="1" x14ac:dyDescent="0.25">
      <c r="A284" s="266">
        <v>43476</v>
      </c>
      <c r="B284" s="267">
        <v>2019</v>
      </c>
      <c r="C284" s="267">
        <v>2019</v>
      </c>
      <c r="D284" s="267">
        <v>1</v>
      </c>
      <c r="E284" s="267">
        <v>1</v>
      </c>
      <c r="F284" s="267" t="s">
        <v>944</v>
      </c>
      <c r="G284" s="267" t="s">
        <v>3926</v>
      </c>
      <c r="H284" s="267" t="s">
        <v>4333</v>
      </c>
      <c r="I284" s="267" t="s">
        <v>4019</v>
      </c>
      <c r="J284" s="267" t="s">
        <v>3928</v>
      </c>
      <c r="K284" s="267">
        <v>6705</v>
      </c>
      <c r="L284" s="267">
        <v>352600</v>
      </c>
      <c r="M284" s="267">
        <v>-60</v>
      </c>
      <c r="N284" s="267" t="s">
        <v>3944</v>
      </c>
      <c r="O284" s="267">
        <v>1174.5</v>
      </c>
      <c r="P284" s="267" t="s">
        <v>3944</v>
      </c>
      <c r="Q284" s="267" t="s">
        <v>3944</v>
      </c>
      <c r="R284" s="267">
        <v>1174.5</v>
      </c>
      <c r="S284" s="267">
        <v>18611.78</v>
      </c>
      <c r="T284" s="267">
        <v>19786.28</v>
      </c>
      <c r="U284" s="268" t="s">
        <v>3945</v>
      </c>
      <c r="V284" s="267" t="s">
        <v>944</v>
      </c>
    </row>
    <row r="285" spans="1:22" hidden="1" x14ac:dyDescent="0.25">
      <c r="A285" s="269">
        <v>43476</v>
      </c>
      <c r="B285" s="270">
        <v>2019</v>
      </c>
      <c r="C285" s="270">
        <v>2019</v>
      </c>
      <c r="D285" s="270">
        <v>1</v>
      </c>
      <c r="E285" s="270">
        <v>1</v>
      </c>
      <c r="F285" s="270" t="s">
        <v>944</v>
      </c>
      <c r="G285" s="270" t="s">
        <v>3926</v>
      </c>
      <c r="H285" s="270" t="s">
        <v>4334</v>
      </c>
      <c r="I285" s="270" t="s">
        <v>3939</v>
      </c>
      <c r="J285" s="270" t="s">
        <v>3928</v>
      </c>
      <c r="K285" s="270">
        <v>6512</v>
      </c>
      <c r="L285" s="270">
        <v>180602</v>
      </c>
      <c r="M285" s="270" t="s">
        <v>3935</v>
      </c>
      <c r="N285" s="270" t="s">
        <v>3944</v>
      </c>
      <c r="O285" s="270">
        <v>1794.59</v>
      </c>
      <c r="P285" s="270" t="s">
        <v>3944</v>
      </c>
      <c r="Q285" s="270" t="s">
        <v>3944</v>
      </c>
      <c r="R285" s="270">
        <v>1794.59</v>
      </c>
      <c r="S285" s="270">
        <v>29993.45</v>
      </c>
      <c r="T285" s="270">
        <v>31788.04</v>
      </c>
      <c r="U285" s="271" t="s">
        <v>3945</v>
      </c>
      <c r="V285" s="267" t="s">
        <v>944</v>
      </c>
    </row>
    <row r="286" spans="1:22" hidden="1" x14ac:dyDescent="0.25">
      <c r="A286" s="266">
        <v>43476</v>
      </c>
      <c r="B286" s="267">
        <v>2019</v>
      </c>
      <c r="C286" s="267">
        <v>2019</v>
      </c>
      <c r="D286" s="267">
        <v>1</v>
      </c>
      <c r="E286" s="267">
        <v>1</v>
      </c>
      <c r="F286" s="267" t="s">
        <v>944</v>
      </c>
      <c r="G286" s="267" t="s">
        <v>3926</v>
      </c>
      <c r="H286" s="267" t="s">
        <v>4335</v>
      </c>
      <c r="I286" s="267" t="s">
        <v>4108</v>
      </c>
      <c r="J286" s="267" t="s">
        <v>3928</v>
      </c>
      <c r="K286" s="267">
        <v>6082</v>
      </c>
      <c r="L286" s="267">
        <v>481000</v>
      </c>
      <c r="M286" s="267" t="s">
        <v>3943</v>
      </c>
      <c r="N286" s="267" t="s">
        <v>3944</v>
      </c>
      <c r="O286" s="267">
        <v>1698.8</v>
      </c>
      <c r="P286" s="267" t="s">
        <v>3944</v>
      </c>
      <c r="Q286" s="267" t="s">
        <v>3944</v>
      </c>
      <c r="R286" s="267">
        <v>1698.8</v>
      </c>
      <c r="S286" s="267">
        <v>21875.94</v>
      </c>
      <c r="T286" s="267">
        <v>23574.74</v>
      </c>
      <c r="U286" s="268" t="s">
        <v>3945</v>
      </c>
      <c r="V286" s="267" t="s">
        <v>944</v>
      </c>
    </row>
    <row r="287" spans="1:22" hidden="1" x14ac:dyDescent="0.25">
      <c r="A287" s="269">
        <v>43476</v>
      </c>
      <c r="B287" s="270">
        <v>2019</v>
      </c>
      <c r="C287" s="270">
        <v>2019</v>
      </c>
      <c r="D287" s="270">
        <v>1</v>
      </c>
      <c r="E287" s="270">
        <v>1</v>
      </c>
      <c r="F287" s="270" t="s">
        <v>944</v>
      </c>
      <c r="G287" s="270" t="s">
        <v>3926</v>
      </c>
      <c r="H287" s="270" t="s">
        <v>4336</v>
      </c>
      <c r="I287" s="270" t="s">
        <v>4005</v>
      </c>
      <c r="J287" s="270" t="s">
        <v>3928</v>
      </c>
      <c r="K287" s="270">
        <v>6118</v>
      </c>
      <c r="L287" s="270">
        <v>510700</v>
      </c>
      <c r="M287" s="270" t="s">
        <v>3940</v>
      </c>
      <c r="N287" s="270" t="s">
        <v>3944</v>
      </c>
      <c r="O287" s="270">
        <v>1775.1</v>
      </c>
      <c r="P287" s="270" t="s">
        <v>3944</v>
      </c>
      <c r="Q287" s="270" t="s">
        <v>3944</v>
      </c>
      <c r="R287" s="270">
        <v>1775.1</v>
      </c>
      <c r="S287" s="270">
        <v>29867.09</v>
      </c>
      <c r="T287" s="270">
        <v>31642.19</v>
      </c>
      <c r="U287" s="271" t="s">
        <v>3945</v>
      </c>
      <c r="V287" s="267" t="s">
        <v>944</v>
      </c>
    </row>
    <row r="288" spans="1:22" hidden="1" x14ac:dyDescent="0.25">
      <c r="A288" s="266">
        <v>43476</v>
      </c>
      <c r="B288" s="267">
        <v>2019</v>
      </c>
      <c r="C288" s="267">
        <v>2019</v>
      </c>
      <c r="D288" s="267">
        <v>1</v>
      </c>
      <c r="E288" s="267">
        <v>1</v>
      </c>
      <c r="F288" s="267" t="s">
        <v>944</v>
      </c>
      <c r="G288" s="267" t="s">
        <v>3926</v>
      </c>
      <c r="H288" s="267" t="s">
        <v>4337</v>
      </c>
      <c r="I288" s="267" t="s">
        <v>4108</v>
      </c>
      <c r="J288" s="267" t="s">
        <v>3928</v>
      </c>
      <c r="K288" s="267">
        <v>6082</v>
      </c>
      <c r="L288" s="267">
        <v>480800</v>
      </c>
      <c r="M288" s="267" t="s">
        <v>3935</v>
      </c>
      <c r="N288" s="267" t="s">
        <v>3944</v>
      </c>
      <c r="O288" s="267">
        <v>2058.42</v>
      </c>
      <c r="P288" s="267" t="s">
        <v>3944</v>
      </c>
      <c r="Q288" s="267" t="s">
        <v>3944</v>
      </c>
      <c r="R288" s="267">
        <v>2058.42</v>
      </c>
      <c r="S288" s="267">
        <v>26900.44</v>
      </c>
      <c r="T288" s="267">
        <v>28958.86</v>
      </c>
      <c r="U288" s="268" t="s">
        <v>3945</v>
      </c>
      <c r="V288" s="267" t="s">
        <v>944</v>
      </c>
    </row>
    <row r="289" spans="1:22" x14ac:dyDescent="0.25">
      <c r="A289" s="269">
        <v>43476</v>
      </c>
      <c r="B289" s="270">
        <v>2019</v>
      </c>
      <c r="C289" s="270">
        <v>2019</v>
      </c>
      <c r="D289" s="270">
        <v>1</v>
      </c>
      <c r="E289" s="270">
        <v>1</v>
      </c>
      <c r="F289" s="270" t="s">
        <v>944</v>
      </c>
      <c r="G289" s="270" t="s">
        <v>3926</v>
      </c>
      <c r="H289" s="270" t="s">
        <v>4338</v>
      </c>
      <c r="I289" s="270" t="s">
        <v>943</v>
      </c>
      <c r="J289" s="270" t="s">
        <v>3928</v>
      </c>
      <c r="K289" s="270">
        <v>6513</v>
      </c>
      <c r="L289" s="270">
        <v>142400</v>
      </c>
      <c r="M289" s="270">
        <v>-60</v>
      </c>
      <c r="N289" s="270" t="s">
        <v>3944</v>
      </c>
      <c r="O289" s="270">
        <v>1067.47</v>
      </c>
      <c r="P289" s="270" t="s">
        <v>3944</v>
      </c>
      <c r="Q289" s="270" t="s">
        <v>3944</v>
      </c>
      <c r="R289" s="270">
        <v>1067.47</v>
      </c>
      <c r="S289" s="270">
        <v>14619.53</v>
      </c>
      <c r="T289" s="270">
        <v>15687</v>
      </c>
      <c r="U289" s="271" t="s">
        <v>3945</v>
      </c>
      <c r="V289" s="276" t="s">
        <v>936</v>
      </c>
    </row>
    <row r="290" spans="1:22" hidden="1" x14ac:dyDescent="0.25">
      <c r="A290" s="266">
        <v>43476</v>
      </c>
      <c r="B290" s="267">
        <v>2019</v>
      </c>
      <c r="C290" s="267">
        <v>2019</v>
      </c>
      <c r="D290" s="267">
        <v>1</v>
      </c>
      <c r="E290" s="267">
        <v>1</v>
      </c>
      <c r="F290" s="267" t="s">
        <v>944</v>
      </c>
      <c r="G290" s="267" t="s">
        <v>3926</v>
      </c>
      <c r="H290" s="267" t="s">
        <v>4339</v>
      </c>
      <c r="I290" s="267" t="s">
        <v>953</v>
      </c>
      <c r="J290" s="267" t="s">
        <v>3928</v>
      </c>
      <c r="K290" s="267">
        <v>6517</v>
      </c>
      <c r="L290" s="267">
        <v>165400</v>
      </c>
      <c r="M290" s="267" t="s">
        <v>3935</v>
      </c>
      <c r="N290" s="267" t="s">
        <v>3944</v>
      </c>
      <c r="O290" s="267">
        <v>1559.43</v>
      </c>
      <c r="P290" s="267" t="s">
        <v>3944</v>
      </c>
      <c r="Q290" s="267" t="s">
        <v>3944</v>
      </c>
      <c r="R290" s="267">
        <v>1559.43</v>
      </c>
      <c r="S290" s="267">
        <v>23029.46</v>
      </c>
      <c r="T290" s="267">
        <v>24588.89</v>
      </c>
      <c r="U290" s="268" t="s">
        <v>3945</v>
      </c>
      <c r="V290" s="267" t="s">
        <v>944</v>
      </c>
    </row>
    <row r="291" spans="1:22" hidden="1" x14ac:dyDescent="0.25">
      <c r="A291" s="269">
        <v>43476</v>
      </c>
      <c r="B291" s="270">
        <v>2019</v>
      </c>
      <c r="C291" s="270">
        <v>2019</v>
      </c>
      <c r="D291" s="270">
        <v>1</v>
      </c>
      <c r="E291" s="270">
        <v>1</v>
      </c>
      <c r="F291" s="270" t="s">
        <v>944</v>
      </c>
      <c r="G291" s="270" t="s">
        <v>3926</v>
      </c>
      <c r="H291" s="270" t="s">
        <v>4340</v>
      </c>
      <c r="I291" s="270" t="s">
        <v>4168</v>
      </c>
      <c r="J291" s="270" t="s">
        <v>3928</v>
      </c>
      <c r="K291" s="270">
        <v>6475</v>
      </c>
      <c r="L291" s="270">
        <v>670100</v>
      </c>
      <c r="M291" s="270" t="s">
        <v>3960</v>
      </c>
      <c r="N291" s="270" t="s">
        <v>3944</v>
      </c>
      <c r="O291" s="270">
        <v>2616.11</v>
      </c>
      <c r="P291" s="270" t="s">
        <v>3944</v>
      </c>
      <c r="Q291" s="270" t="s">
        <v>3944</v>
      </c>
      <c r="R291" s="270">
        <v>2616.11</v>
      </c>
      <c r="S291" s="270">
        <v>42386.81</v>
      </c>
      <c r="T291" s="270">
        <v>45002.92</v>
      </c>
      <c r="U291" s="271" t="s">
        <v>3945</v>
      </c>
      <c r="V291" s="267" t="s">
        <v>944</v>
      </c>
    </row>
    <row r="292" spans="1:22" hidden="1" x14ac:dyDescent="0.25">
      <c r="A292" s="266">
        <v>43476</v>
      </c>
      <c r="B292" s="267">
        <v>2019</v>
      </c>
      <c r="C292" s="267">
        <v>2019</v>
      </c>
      <c r="D292" s="267">
        <v>1</v>
      </c>
      <c r="E292" s="267">
        <v>1</v>
      </c>
      <c r="F292" s="267" t="s">
        <v>944</v>
      </c>
      <c r="G292" s="267" t="s">
        <v>3926</v>
      </c>
      <c r="H292" s="267" t="s">
        <v>4341</v>
      </c>
      <c r="I292" s="267" t="s">
        <v>934</v>
      </c>
      <c r="J292" s="267" t="s">
        <v>3928</v>
      </c>
      <c r="K292" s="267">
        <v>6606</v>
      </c>
      <c r="L292" s="267">
        <v>72500</v>
      </c>
      <c r="M292" s="267" t="s">
        <v>3940</v>
      </c>
      <c r="N292" s="267" t="s">
        <v>3944</v>
      </c>
      <c r="O292" s="267">
        <v>1843.77</v>
      </c>
      <c r="P292" s="267" t="s">
        <v>3944</v>
      </c>
      <c r="Q292" s="267" t="s">
        <v>3944</v>
      </c>
      <c r="R292" s="267">
        <v>1843.77</v>
      </c>
      <c r="S292" s="267">
        <v>30737.03</v>
      </c>
      <c r="T292" s="267">
        <v>32580.799999999999</v>
      </c>
      <c r="U292" s="268" t="s">
        <v>3945</v>
      </c>
      <c r="V292" s="267" t="s">
        <v>944</v>
      </c>
    </row>
    <row r="293" spans="1:22" hidden="1" x14ac:dyDescent="0.25">
      <c r="A293" s="269">
        <v>43476</v>
      </c>
      <c r="B293" s="270">
        <v>2019</v>
      </c>
      <c r="C293" s="270">
        <v>2019</v>
      </c>
      <c r="D293" s="270">
        <v>1</v>
      </c>
      <c r="E293" s="270">
        <v>1</v>
      </c>
      <c r="F293" s="270" t="s">
        <v>944</v>
      </c>
      <c r="G293" s="270" t="s">
        <v>3926</v>
      </c>
      <c r="H293" s="270" t="s">
        <v>4342</v>
      </c>
      <c r="I293" s="270" t="s">
        <v>3026</v>
      </c>
      <c r="J293" s="270" t="s">
        <v>3928</v>
      </c>
      <c r="K293" s="270">
        <v>6471</v>
      </c>
      <c r="L293" s="270">
        <v>186100</v>
      </c>
      <c r="M293" s="270" t="s">
        <v>3935</v>
      </c>
      <c r="N293" s="270" t="s">
        <v>3944</v>
      </c>
      <c r="O293" s="270">
        <v>3906.74</v>
      </c>
      <c r="P293" s="270" t="s">
        <v>3944</v>
      </c>
      <c r="Q293" s="270" t="s">
        <v>3944</v>
      </c>
      <c r="R293" s="270">
        <v>3906.74</v>
      </c>
      <c r="S293" s="270">
        <v>61398.04</v>
      </c>
      <c r="T293" s="270">
        <v>65304.78</v>
      </c>
      <c r="U293" s="271" t="s">
        <v>3945</v>
      </c>
      <c r="V293" s="267" t="s">
        <v>944</v>
      </c>
    </row>
    <row r="294" spans="1:22" hidden="1" x14ac:dyDescent="0.25">
      <c r="A294" s="266">
        <v>43476</v>
      </c>
      <c r="B294" s="267">
        <v>2019</v>
      </c>
      <c r="C294" s="267">
        <v>2019</v>
      </c>
      <c r="D294" s="267">
        <v>1</v>
      </c>
      <c r="E294" s="267">
        <v>1</v>
      </c>
      <c r="F294" s="267" t="s">
        <v>944</v>
      </c>
      <c r="G294" s="267" t="s">
        <v>3926</v>
      </c>
      <c r="H294" s="267" t="s">
        <v>4343</v>
      </c>
      <c r="I294" s="267" t="s">
        <v>4019</v>
      </c>
      <c r="J294" s="267" t="s">
        <v>3928</v>
      </c>
      <c r="K294" s="267">
        <v>6704</v>
      </c>
      <c r="L294" s="267">
        <v>352500</v>
      </c>
      <c r="M294" s="267">
        <v>-60</v>
      </c>
      <c r="N294" s="267" t="s">
        <v>3944</v>
      </c>
      <c r="O294" s="267">
        <v>1510.67</v>
      </c>
      <c r="P294" s="267" t="s">
        <v>3944</v>
      </c>
      <c r="Q294" s="267" t="s">
        <v>3944</v>
      </c>
      <c r="R294" s="267">
        <v>1510.67</v>
      </c>
      <c r="S294" s="267">
        <v>19685.71</v>
      </c>
      <c r="T294" s="267">
        <v>21196.38</v>
      </c>
      <c r="U294" s="268" t="s">
        <v>3945</v>
      </c>
      <c r="V294" s="267" t="s">
        <v>944</v>
      </c>
    </row>
    <row r="295" spans="1:22" hidden="1" x14ac:dyDescent="0.25">
      <c r="A295" s="269">
        <v>43476</v>
      </c>
      <c r="B295" s="270">
        <v>2019</v>
      </c>
      <c r="C295" s="270">
        <v>2019</v>
      </c>
      <c r="D295" s="270">
        <v>1</v>
      </c>
      <c r="E295" s="270">
        <v>1</v>
      </c>
      <c r="F295" s="270" t="s">
        <v>944</v>
      </c>
      <c r="G295" s="270" t="s">
        <v>3926</v>
      </c>
      <c r="H295" s="270" t="s">
        <v>4344</v>
      </c>
      <c r="I295" s="270" t="s">
        <v>4011</v>
      </c>
      <c r="J295" s="270" t="s">
        <v>3928</v>
      </c>
      <c r="K295" s="270">
        <v>6002</v>
      </c>
      <c r="L295" s="270">
        <v>471300</v>
      </c>
      <c r="M295" s="270" t="s">
        <v>3935</v>
      </c>
      <c r="N295" s="270" t="s">
        <v>3944</v>
      </c>
      <c r="O295" s="270">
        <v>2674.18</v>
      </c>
      <c r="P295" s="270" t="s">
        <v>3944</v>
      </c>
      <c r="Q295" s="270" t="s">
        <v>3944</v>
      </c>
      <c r="R295" s="270">
        <v>2674.18</v>
      </c>
      <c r="S295" s="270">
        <v>39829.230000000003</v>
      </c>
      <c r="T295" s="270">
        <v>42503.41</v>
      </c>
      <c r="U295" s="271" t="s">
        <v>3945</v>
      </c>
      <c r="V295" s="267" t="s">
        <v>944</v>
      </c>
    </row>
    <row r="296" spans="1:22" hidden="1" x14ac:dyDescent="0.25">
      <c r="A296" s="266">
        <v>43476</v>
      </c>
      <c r="B296" s="267">
        <v>2019</v>
      </c>
      <c r="C296" s="267">
        <v>2019</v>
      </c>
      <c r="D296" s="267">
        <v>1</v>
      </c>
      <c r="E296" s="267">
        <v>1</v>
      </c>
      <c r="F296" s="267" t="s">
        <v>944</v>
      </c>
      <c r="G296" s="267" t="s">
        <v>3926</v>
      </c>
      <c r="H296" s="267" t="s">
        <v>4345</v>
      </c>
      <c r="I296" s="267" t="s">
        <v>4005</v>
      </c>
      <c r="J296" s="267" t="s">
        <v>3928</v>
      </c>
      <c r="K296" s="267">
        <v>6118</v>
      </c>
      <c r="L296" s="267">
        <v>511000</v>
      </c>
      <c r="M296" s="267" t="s">
        <v>3935</v>
      </c>
      <c r="N296" s="267" t="s">
        <v>3944</v>
      </c>
      <c r="O296" s="267">
        <v>2305.84</v>
      </c>
      <c r="P296" s="267" t="s">
        <v>3944</v>
      </c>
      <c r="Q296" s="267" t="s">
        <v>3944</v>
      </c>
      <c r="R296" s="267">
        <v>2305.84</v>
      </c>
      <c r="S296" s="267">
        <v>33322.51</v>
      </c>
      <c r="T296" s="267">
        <v>35628.35</v>
      </c>
      <c r="U296" s="268" t="s">
        <v>3945</v>
      </c>
      <c r="V296" s="267" t="s">
        <v>944</v>
      </c>
    </row>
    <row r="297" spans="1:22" hidden="1" x14ac:dyDescent="0.25">
      <c r="A297" s="269">
        <v>43476</v>
      </c>
      <c r="B297" s="270">
        <v>2019</v>
      </c>
      <c r="C297" s="270">
        <v>2019</v>
      </c>
      <c r="D297" s="270">
        <v>1</v>
      </c>
      <c r="E297" s="270">
        <v>1</v>
      </c>
      <c r="F297" s="270" t="s">
        <v>944</v>
      </c>
      <c r="G297" s="270" t="s">
        <v>3926</v>
      </c>
      <c r="H297" s="270" t="s">
        <v>4346</v>
      </c>
      <c r="I297" s="270" t="s">
        <v>953</v>
      </c>
      <c r="J297" s="270" t="s">
        <v>3928</v>
      </c>
      <c r="K297" s="270">
        <v>6517</v>
      </c>
      <c r="L297" s="270">
        <v>165400</v>
      </c>
      <c r="M297" s="270" t="s">
        <v>3935</v>
      </c>
      <c r="N297" s="270" t="s">
        <v>3944</v>
      </c>
      <c r="O297" s="270">
        <v>1092.1400000000001</v>
      </c>
      <c r="P297" s="270" t="s">
        <v>3944</v>
      </c>
      <c r="Q297" s="270" t="s">
        <v>3944</v>
      </c>
      <c r="R297" s="270">
        <v>1092.1400000000001</v>
      </c>
      <c r="S297" s="270">
        <v>15962.09</v>
      </c>
      <c r="T297" s="270">
        <v>17054.23</v>
      </c>
      <c r="U297" s="271" t="s">
        <v>3945</v>
      </c>
      <c r="V297" s="267" t="s">
        <v>944</v>
      </c>
    </row>
    <row r="298" spans="1:22" hidden="1" x14ac:dyDescent="0.25">
      <c r="A298" s="266">
        <v>43476</v>
      </c>
      <c r="B298" s="267">
        <v>2019</v>
      </c>
      <c r="C298" s="267">
        <v>2019</v>
      </c>
      <c r="D298" s="267">
        <v>1</v>
      </c>
      <c r="E298" s="267">
        <v>1</v>
      </c>
      <c r="F298" s="267" t="s">
        <v>944</v>
      </c>
      <c r="G298" s="267" t="s">
        <v>3926</v>
      </c>
      <c r="H298" s="267" t="s">
        <v>4347</v>
      </c>
      <c r="I298" s="267" t="s">
        <v>3999</v>
      </c>
      <c r="J298" s="267" t="s">
        <v>3928</v>
      </c>
      <c r="K298" s="267">
        <v>6450</v>
      </c>
      <c r="L298" s="267">
        <v>170800</v>
      </c>
      <c r="M298" s="267" t="s">
        <v>3940</v>
      </c>
      <c r="N298" s="267" t="s">
        <v>3944</v>
      </c>
      <c r="O298" s="267">
        <v>2947.53</v>
      </c>
      <c r="P298" s="267" t="s">
        <v>3944</v>
      </c>
      <c r="Q298" s="267" t="s">
        <v>3944</v>
      </c>
      <c r="R298" s="267">
        <v>2947.53</v>
      </c>
      <c r="S298" s="267">
        <v>39711.39</v>
      </c>
      <c r="T298" s="267">
        <v>42658.92</v>
      </c>
      <c r="U298" s="268" t="s">
        <v>3945</v>
      </c>
      <c r="V298" s="267" t="s">
        <v>944</v>
      </c>
    </row>
    <row r="299" spans="1:22" hidden="1" x14ac:dyDescent="0.25">
      <c r="A299" s="269">
        <v>43476</v>
      </c>
      <c r="B299" s="270">
        <v>2019</v>
      </c>
      <c r="C299" s="270">
        <v>2019</v>
      </c>
      <c r="D299" s="270">
        <v>1</v>
      </c>
      <c r="E299" s="270">
        <v>1</v>
      </c>
      <c r="F299" s="270" t="s">
        <v>944</v>
      </c>
      <c r="G299" s="270" t="s">
        <v>3926</v>
      </c>
      <c r="H299" s="270" t="s">
        <v>4348</v>
      </c>
      <c r="I299" s="270" t="s">
        <v>3999</v>
      </c>
      <c r="J299" s="270" t="s">
        <v>3928</v>
      </c>
      <c r="K299" s="270">
        <v>6450</v>
      </c>
      <c r="L299" s="270">
        <v>171700</v>
      </c>
      <c r="M299" s="270" t="s">
        <v>3935</v>
      </c>
      <c r="N299" s="270" t="s">
        <v>3944</v>
      </c>
      <c r="O299" s="270">
        <v>3272.71</v>
      </c>
      <c r="P299" s="270" t="s">
        <v>3944</v>
      </c>
      <c r="Q299" s="270" t="s">
        <v>3944</v>
      </c>
      <c r="R299" s="270">
        <v>3272.71</v>
      </c>
      <c r="S299" s="270">
        <v>46309.75</v>
      </c>
      <c r="T299" s="270">
        <v>49582.46</v>
      </c>
      <c r="U299" s="271" t="s">
        <v>3945</v>
      </c>
      <c r="V299" s="267" t="s">
        <v>944</v>
      </c>
    </row>
    <row r="300" spans="1:22" hidden="1" x14ac:dyDescent="0.25">
      <c r="A300" s="266">
        <v>43476</v>
      </c>
      <c r="B300" s="267">
        <v>2019</v>
      </c>
      <c r="C300" s="267">
        <v>2019</v>
      </c>
      <c r="D300" s="267">
        <v>1</v>
      </c>
      <c r="E300" s="267">
        <v>1</v>
      </c>
      <c r="F300" s="267" t="s">
        <v>944</v>
      </c>
      <c r="G300" s="267" t="s">
        <v>3926</v>
      </c>
      <c r="H300" s="267" t="s">
        <v>4349</v>
      </c>
      <c r="I300" s="267" t="s">
        <v>4019</v>
      </c>
      <c r="J300" s="267" t="s">
        <v>3928</v>
      </c>
      <c r="K300" s="267">
        <v>6705</v>
      </c>
      <c r="L300" s="267">
        <v>351300</v>
      </c>
      <c r="M300" s="267">
        <v>-60</v>
      </c>
      <c r="N300" s="267" t="s">
        <v>3944</v>
      </c>
      <c r="O300" s="267">
        <v>1194.2</v>
      </c>
      <c r="P300" s="267" t="s">
        <v>3944</v>
      </c>
      <c r="Q300" s="267" t="s">
        <v>3944</v>
      </c>
      <c r="R300" s="267">
        <v>1194.2</v>
      </c>
      <c r="S300" s="267">
        <v>18281.79</v>
      </c>
      <c r="T300" s="267">
        <v>19475.990000000002</v>
      </c>
      <c r="U300" s="268" t="s">
        <v>3945</v>
      </c>
      <c r="V300" s="267" t="s">
        <v>944</v>
      </c>
    </row>
    <row r="301" spans="1:22" hidden="1" x14ac:dyDescent="0.25">
      <c r="A301" s="269">
        <v>43476</v>
      </c>
      <c r="B301" s="270">
        <v>2019</v>
      </c>
      <c r="C301" s="270">
        <v>2019</v>
      </c>
      <c r="D301" s="270">
        <v>1</v>
      </c>
      <c r="E301" s="270">
        <v>1</v>
      </c>
      <c r="F301" s="270" t="s">
        <v>944</v>
      </c>
      <c r="G301" s="270" t="s">
        <v>3926</v>
      </c>
      <c r="H301" s="270" t="s">
        <v>4350</v>
      </c>
      <c r="I301" s="270" t="s">
        <v>4323</v>
      </c>
      <c r="J301" s="270" t="s">
        <v>3928</v>
      </c>
      <c r="K301" s="270">
        <v>6375</v>
      </c>
      <c r="L301" s="270">
        <v>693600</v>
      </c>
      <c r="M301" s="270" t="s">
        <v>3960</v>
      </c>
      <c r="N301" s="270" t="s">
        <v>3944</v>
      </c>
      <c r="O301" s="270">
        <v>2349.8000000000002</v>
      </c>
      <c r="P301" s="270" t="s">
        <v>3944</v>
      </c>
      <c r="Q301" s="270" t="s">
        <v>3944</v>
      </c>
      <c r="R301" s="270">
        <v>2349.8000000000002</v>
      </c>
      <c r="S301" s="270">
        <v>33320</v>
      </c>
      <c r="T301" s="270">
        <v>35669.800000000003</v>
      </c>
      <c r="U301" s="271" t="s">
        <v>3945</v>
      </c>
      <c r="V301" s="267" t="s">
        <v>944</v>
      </c>
    </row>
    <row r="302" spans="1:22" hidden="1" x14ac:dyDescent="0.25">
      <c r="A302" s="266">
        <v>43476</v>
      </c>
      <c r="B302" s="267">
        <v>2019</v>
      </c>
      <c r="C302" s="267">
        <v>2019</v>
      </c>
      <c r="D302" s="267">
        <v>1</v>
      </c>
      <c r="E302" s="267">
        <v>1</v>
      </c>
      <c r="F302" s="267" t="s">
        <v>944</v>
      </c>
      <c r="G302" s="267" t="s">
        <v>3926</v>
      </c>
      <c r="H302" s="267" t="s">
        <v>4351</v>
      </c>
      <c r="I302" s="267" t="s">
        <v>3962</v>
      </c>
      <c r="J302" s="267" t="s">
        <v>3928</v>
      </c>
      <c r="K302" s="267">
        <v>6379</v>
      </c>
      <c r="L302" s="267">
        <v>705101</v>
      </c>
      <c r="M302" s="267" t="s">
        <v>3935</v>
      </c>
      <c r="N302" s="267" t="s">
        <v>3944</v>
      </c>
      <c r="O302" s="267">
        <v>1738.17</v>
      </c>
      <c r="P302" s="267" t="s">
        <v>3944</v>
      </c>
      <c r="Q302" s="267" t="s">
        <v>3944</v>
      </c>
      <c r="R302" s="267">
        <v>1738.17</v>
      </c>
      <c r="S302" s="267">
        <v>26503.919999999998</v>
      </c>
      <c r="T302" s="267">
        <v>28242.09</v>
      </c>
      <c r="U302" s="268" t="s">
        <v>3945</v>
      </c>
      <c r="V302" s="267" t="s">
        <v>944</v>
      </c>
    </row>
    <row r="303" spans="1:22" hidden="1" x14ac:dyDescent="0.25">
      <c r="A303" s="269">
        <v>43476</v>
      </c>
      <c r="B303" s="270">
        <v>2019</v>
      </c>
      <c r="C303" s="270">
        <v>2019</v>
      </c>
      <c r="D303" s="270">
        <v>1</v>
      </c>
      <c r="E303" s="270">
        <v>1</v>
      </c>
      <c r="F303" s="270" t="s">
        <v>944</v>
      </c>
      <c r="G303" s="270" t="s">
        <v>3926</v>
      </c>
      <c r="H303" s="270" t="s">
        <v>4352</v>
      </c>
      <c r="I303" s="270" t="s">
        <v>4353</v>
      </c>
      <c r="J303" s="270" t="s">
        <v>3928</v>
      </c>
      <c r="K303" s="270">
        <v>6416</v>
      </c>
      <c r="L303" s="270">
        <v>570200</v>
      </c>
      <c r="M303" s="270" t="s">
        <v>3943</v>
      </c>
      <c r="N303" s="270" t="s">
        <v>3944</v>
      </c>
      <c r="O303" s="270">
        <v>1295.5999999999999</v>
      </c>
      <c r="P303" s="270" t="s">
        <v>3944</v>
      </c>
      <c r="Q303" s="270" t="s">
        <v>3944</v>
      </c>
      <c r="R303" s="270">
        <v>1295.5999999999999</v>
      </c>
      <c r="S303" s="270">
        <v>17697.57</v>
      </c>
      <c r="T303" s="270">
        <v>18993.169999999998</v>
      </c>
      <c r="U303" s="271" t="s">
        <v>3945</v>
      </c>
      <c r="V303" s="267" t="s">
        <v>944</v>
      </c>
    </row>
    <row r="304" spans="1:22" hidden="1" x14ac:dyDescent="0.25">
      <c r="A304" s="266">
        <v>43476</v>
      </c>
      <c r="B304" s="267">
        <v>2019</v>
      </c>
      <c r="C304" s="267">
        <v>2019</v>
      </c>
      <c r="D304" s="267">
        <v>1</v>
      </c>
      <c r="E304" s="267">
        <v>1</v>
      </c>
      <c r="F304" s="267" t="s">
        <v>944</v>
      </c>
      <c r="G304" s="267" t="s">
        <v>3926</v>
      </c>
      <c r="H304" s="267" t="s">
        <v>4354</v>
      </c>
      <c r="I304" s="267" t="s">
        <v>3966</v>
      </c>
      <c r="J304" s="267" t="s">
        <v>3928</v>
      </c>
      <c r="K304" s="267">
        <v>6010</v>
      </c>
      <c r="L304" s="267">
        <v>405300</v>
      </c>
      <c r="M304" s="267" t="s">
        <v>3940</v>
      </c>
      <c r="N304" s="267" t="s">
        <v>3944</v>
      </c>
      <c r="O304" s="267">
        <v>954.03</v>
      </c>
      <c r="P304" s="267" t="s">
        <v>3944</v>
      </c>
      <c r="Q304" s="267" t="s">
        <v>3944</v>
      </c>
      <c r="R304" s="267">
        <v>954.03</v>
      </c>
      <c r="S304" s="267">
        <v>12741.61</v>
      </c>
      <c r="T304" s="267">
        <v>13695.64</v>
      </c>
      <c r="U304" s="268" t="s">
        <v>3945</v>
      </c>
      <c r="V304" s="267" t="s">
        <v>944</v>
      </c>
    </row>
    <row r="305" spans="1:22" hidden="1" x14ac:dyDescent="0.25">
      <c r="A305" s="269">
        <v>43476</v>
      </c>
      <c r="B305" s="270">
        <v>2019</v>
      </c>
      <c r="C305" s="270">
        <v>2019</v>
      </c>
      <c r="D305" s="270">
        <v>1</v>
      </c>
      <c r="E305" s="270">
        <v>1</v>
      </c>
      <c r="F305" s="270" t="s">
        <v>944</v>
      </c>
      <c r="G305" s="270" t="s">
        <v>3926</v>
      </c>
      <c r="H305" s="270" t="s">
        <v>4355</v>
      </c>
      <c r="I305" s="270" t="s">
        <v>3968</v>
      </c>
      <c r="J305" s="270" t="s">
        <v>3928</v>
      </c>
      <c r="K305" s="270">
        <v>6042</v>
      </c>
      <c r="L305" s="270">
        <v>514300</v>
      </c>
      <c r="M305" s="270" t="s">
        <v>3935</v>
      </c>
      <c r="N305" s="270" t="s">
        <v>3944</v>
      </c>
      <c r="O305" s="270">
        <v>622.41</v>
      </c>
      <c r="P305" s="270" t="s">
        <v>3944</v>
      </c>
      <c r="Q305" s="270" t="s">
        <v>3944</v>
      </c>
      <c r="R305" s="270">
        <v>622.41</v>
      </c>
      <c r="S305" s="270">
        <v>9599.34</v>
      </c>
      <c r="T305" s="270">
        <v>10221.75</v>
      </c>
      <c r="U305" s="271" t="s">
        <v>3945</v>
      </c>
      <c r="V305" s="267" t="s">
        <v>944</v>
      </c>
    </row>
    <row r="306" spans="1:22" hidden="1" x14ac:dyDescent="0.25">
      <c r="A306" s="266">
        <v>43476</v>
      </c>
      <c r="B306" s="267">
        <v>2019</v>
      </c>
      <c r="C306" s="267">
        <v>2019</v>
      </c>
      <c r="D306" s="267">
        <v>1</v>
      </c>
      <c r="E306" s="267">
        <v>1</v>
      </c>
      <c r="F306" s="267" t="s">
        <v>944</v>
      </c>
      <c r="G306" s="267" t="s">
        <v>3926</v>
      </c>
      <c r="H306" s="267" t="s">
        <v>4356</v>
      </c>
      <c r="I306" s="267" t="s">
        <v>4323</v>
      </c>
      <c r="J306" s="267" t="s">
        <v>3928</v>
      </c>
      <c r="K306" s="267">
        <v>6385</v>
      </c>
      <c r="L306" s="267">
        <v>693400</v>
      </c>
      <c r="M306" s="267" t="s">
        <v>3940</v>
      </c>
      <c r="N306" s="267" t="s">
        <v>3944</v>
      </c>
      <c r="O306" s="267">
        <v>2741.76</v>
      </c>
      <c r="P306" s="267" t="s">
        <v>3944</v>
      </c>
      <c r="Q306" s="267" t="s">
        <v>3944</v>
      </c>
      <c r="R306" s="267">
        <v>2741.76</v>
      </c>
      <c r="S306" s="267">
        <v>40026.89</v>
      </c>
      <c r="T306" s="267">
        <v>42768.65</v>
      </c>
      <c r="U306" s="268" t="s">
        <v>3945</v>
      </c>
      <c r="V306" s="267" t="s">
        <v>944</v>
      </c>
    </row>
    <row r="307" spans="1:22" hidden="1" x14ac:dyDescent="0.25">
      <c r="A307" s="269">
        <v>43476</v>
      </c>
      <c r="B307" s="270">
        <v>2019</v>
      </c>
      <c r="C307" s="270">
        <v>2019</v>
      </c>
      <c r="D307" s="270">
        <v>1</v>
      </c>
      <c r="E307" s="270">
        <v>1</v>
      </c>
      <c r="F307" s="270" t="s">
        <v>944</v>
      </c>
      <c r="G307" s="270" t="s">
        <v>3926</v>
      </c>
      <c r="H307" s="270" t="s">
        <v>4357</v>
      </c>
      <c r="I307" s="270" t="s">
        <v>3011</v>
      </c>
      <c r="J307" s="270" t="s">
        <v>3928</v>
      </c>
      <c r="K307" s="270">
        <v>6492</v>
      </c>
      <c r="L307" s="270">
        <v>175700</v>
      </c>
      <c r="M307" s="270" t="s">
        <v>3960</v>
      </c>
      <c r="N307" s="270" t="s">
        <v>3944</v>
      </c>
      <c r="O307" s="270">
        <v>645.23</v>
      </c>
      <c r="P307" s="270" t="s">
        <v>3944</v>
      </c>
      <c r="Q307" s="270" t="s">
        <v>3944</v>
      </c>
      <c r="R307" s="270">
        <v>645.23</v>
      </c>
      <c r="S307" s="270">
        <v>9931.09</v>
      </c>
      <c r="T307" s="270">
        <v>10576.32</v>
      </c>
      <c r="U307" s="271" t="s">
        <v>3945</v>
      </c>
      <c r="V307" s="267" t="s">
        <v>944</v>
      </c>
    </row>
    <row r="308" spans="1:22" hidden="1" x14ac:dyDescent="0.25">
      <c r="A308" s="266">
        <v>43476</v>
      </c>
      <c r="B308" s="267">
        <v>2019</v>
      </c>
      <c r="C308" s="267">
        <v>2019</v>
      </c>
      <c r="D308" s="267">
        <v>1</v>
      </c>
      <c r="E308" s="267">
        <v>1</v>
      </c>
      <c r="F308" s="267" t="s">
        <v>944</v>
      </c>
      <c r="G308" s="267" t="s">
        <v>3926</v>
      </c>
      <c r="H308" s="267" t="s">
        <v>4358</v>
      </c>
      <c r="I308" s="267" t="s">
        <v>950</v>
      </c>
      <c r="J308" s="267" t="s">
        <v>3928</v>
      </c>
      <c r="K308" s="267">
        <v>6516</v>
      </c>
      <c r="L308" s="267">
        <v>154800</v>
      </c>
      <c r="M308" s="267" t="s">
        <v>3960</v>
      </c>
      <c r="N308" s="267" t="s">
        <v>3944</v>
      </c>
      <c r="O308" s="267">
        <v>1756.23</v>
      </c>
      <c r="P308" s="267" t="s">
        <v>3944</v>
      </c>
      <c r="Q308" s="267" t="s">
        <v>3944</v>
      </c>
      <c r="R308" s="267">
        <v>1756.23</v>
      </c>
      <c r="S308" s="267">
        <v>27344.16</v>
      </c>
      <c r="T308" s="267">
        <v>29100.39</v>
      </c>
      <c r="U308" s="268" t="s">
        <v>3945</v>
      </c>
      <c r="V308" s="267" t="s">
        <v>944</v>
      </c>
    </row>
    <row r="309" spans="1:22" hidden="1" x14ac:dyDescent="0.25">
      <c r="A309" s="269">
        <v>43477</v>
      </c>
      <c r="B309" s="270">
        <v>2019</v>
      </c>
      <c r="C309" s="270">
        <v>2019</v>
      </c>
      <c r="D309" s="270">
        <v>1</v>
      </c>
      <c r="E309" s="270">
        <v>1</v>
      </c>
      <c r="F309" s="270" t="s">
        <v>944</v>
      </c>
      <c r="G309" s="270" t="s">
        <v>3926</v>
      </c>
      <c r="H309" s="270" t="s">
        <v>4359</v>
      </c>
      <c r="I309" s="270" t="s">
        <v>3956</v>
      </c>
      <c r="J309" s="270" t="s">
        <v>3928</v>
      </c>
      <c r="K309" s="270">
        <v>6120</v>
      </c>
      <c r="L309" s="270">
        <v>524400</v>
      </c>
      <c r="M309" s="270">
        <v>-60</v>
      </c>
      <c r="N309" s="270" t="s">
        <v>4103</v>
      </c>
      <c r="O309" s="270">
        <v>4041.9</v>
      </c>
      <c r="P309" s="270" t="s">
        <v>3930</v>
      </c>
      <c r="Q309" s="270" t="s">
        <v>3931</v>
      </c>
      <c r="R309" s="270">
        <v>9041.9</v>
      </c>
      <c r="S309" s="270">
        <v>24145.599999999999</v>
      </c>
      <c r="T309" s="270">
        <v>33187.5</v>
      </c>
      <c r="U309" s="271" t="s">
        <v>3932</v>
      </c>
      <c r="V309" s="267" t="s">
        <v>944</v>
      </c>
    </row>
    <row r="310" spans="1:22" hidden="1" x14ac:dyDescent="0.25">
      <c r="A310" s="266">
        <v>43477</v>
      </c>
      <c r="B310" s="267">
        <v>2019</v>
      </c>
      <c r="C310" s="267">
        <v>2019</v>
      </c>
      <c r="D310" s="267">
        <v>1</v>
      </c>
      <c r="E310" s="267">
        <v>1</v>
      </c>
      <c r="F310" s="267" t="s">
        <v>944</v>
      </c>
      <c r="G310" s="267" t="s">
        <v>3926</v>
      </c>
      <c r="H310" s="267" t="s">
        <v>4360</v>
      </c>
      <c r="I310" s="267" t="s">
        <v>956</v>
      </c>
      <c r="J310" s="267" t="s">
        <v>3928</v>
      </c>
      <c r="K310" s="267">
        <v>6614</v>
      </c>
      <c r="L310" s="267">
        <v>80100</v>
      </c>
      <c r="M310" s="267" t="s">
        <v>3935</v>
      </c>
      <c r="N310" s="267" t="s">
        <v>4361</v>
      </c>
      <c r="O310" s="267">
        <v>1036.3499999999999</v>
      </c>
      <c r="P310" s="267" t="s">
        <v>3930</v>
      </c>
      <c r="Q310" s="267" t="s">
        <v>3931</v>
      </c>
      <c r="R310" s="267">
        <v>6036.35</v>
      </c>
      <c r="S310" s="267">
        <v>19627.2</v>
      </c>
      <c r="T310" s="267">
        <v>25663.55</v>
      </c>
      <c r="U310" s="268" t="s">
        <v>3932</v>
      </c>
      <c r="V310" s="267" t="s">
        <v>944</v>
      </c>
    </row>
    <row r="311" spans="1:22" hidden="1" x14ac:dyDescent="0.25">
      <c r="A311" s="269">
        <v>43477</v>
      </c>
      <c r="B311" s="270">
        <v>2019</v>
      </c>
      <c r="C311" s="270">
        <v>2019</v>
      </c>
      <c r="D311" s="270">
        <v>1</v>
      </c>
      <c r="E311" s="270">
        <v>1</v>
      </c>
      <c r="F311" s="270" t="s">
        <v>944</v>
      </c>
      <c r="G311" s="270" t="s">
        <v>3926</v>
      </c>
      <c r="H311" s="270" t="s">
        <v>4362</v>
      </c>
      <c r="I311" s="270" t="s">
        <v>4137</v>
      </c>
      <c r="J311" s="270" t="s">
        <v>3928</v>
      </c>
      <c r="K311" s="270">
        <v>6067</v>
      </c>
      <c r="L311" s="270">
        <v>524200</v>
      </c>
      <c r="M311" s="270" t="s">
        <v>3960</v>
      </c>
      <c r="N311" s="270" t="s">
        <v>4103</v>
      </c>
      <c r="O311" s="270">
        <v>1653.79</v>
      </c>
      <c r="P311" s="270" t="s">
        <v>3930</v>
      </c>
      <c r="Q311" s="270" t="s">
        <v>3931</v>
      </c>
      <c r="R311" s="270">
        <v>6653.79</v>
      </c>
      <c r="S311" s="270">
        <v>24145.599999999999</v>
      </c>
      <c r="T311" s="270">
        <v>30799.39</v>
      </c>
      <c r="U311" s="271" t="s">
        <v>3932</v>
      </c>
      <c r="V311" s="267" t="s">
        <v>944</v>
      </c>
    </row>
    <row r="312" spans="1:22" hidden="1" x14ac:dyDescent="0.25">
      <c r="A312" s="266">
        <v>43478</v>
      </c>
      <c r="B312" s="267">
        <v>2019</v>
      </c>
      <c r="C312" s="267">
        <v>2019</v>
      </c>
      <c r="D312" s="267">
        <v>1</v>
      </c>
      <c r="E312" s="267">
        <v>1</v>
      </c>
      <c r="F312" s="267" t="s">
        <v>944</v>
      </c>
      <c r="G312" s="267" t="s">
        <v>3926</v>
      </c>
      <c r="H312" s="267" t="s">
        <v>4363</v>
      </c>
      <c r="I312" s="267" t="s">
        <v>950</v>
      </c>
      <c r="J312" s="267" t="s">
        <v>3928</v>
      </c>
      <c r="K312" s="267">
        <v>6516</v>
      </c>
      <c r="L312" s="267">
        <v>154200</v>
      </c>
      <c r="M312" s="267" t="s">
        <v>3940</v>
      </c>
      <c r="N312" s="267" t="s">
        <v>4103</v>
      </c>
      <c r="O312" s="267">
        <v>1301.83</v>
      </c>
      <c r="P312" s="267" t="s">
        <v>3930</v>
      </c>
      <c r="Q312" s="267" t="s">
        <v>3931</v>
      </c>
      <c r="R312" s="267">
        <v>6301.83</v>
      </c>
      <c r="S312" s="267">
        <v>24145.599999999999</v>
      </c>
      <c r="T312" s="267">
        <v>30447.43</v>
      </c>
      <c r="U312" s="268" t="s">
        <v>3932</v>
      </c>
      <c r="V312" s="267" t="s">
        <v>944</v>
      </c>
    </row>
    <row r="313" spans="1:22" hidden="1" x14ac:dyDescent="0.25">
      <c r="A313" s="269">
        <v>43478</v>
      </c>
      <c r="B313" s="270">
        <v>2019</v>
      </c>
      <c r="C313" s="270">
        <v>2019</v>
      </c>
      <c r="D313" s="270">
        <v>1</v>
      </c>
      <c r="E313" s="270">
        <v>1</v>
      </c>
      <c r="F313" s="270" t="s">
        <v>944</v>
      </c>
      <c r="G313" s="270" t="s">
        <v>3926</v>
      </c>
      <c r="H313" s="270" t="s">
        <v>4364</v>
      </c>
      <c r="I313" s="270" t="s">
        <v>956</v>
      </c>
      <c r="J313" s="270" t="s">
        <v>3928</v>
      </c>
      <c r="K313" s="270">
        <v>6615</v>
      </c>
      <c r="L313" s="270">
        <v>80400</v>
      </c>
      <c r="M313" s="270" t="s">
        <v>3940</v>
      </c>
      <c r="N313" s="270" t="s">
        <v>4103</v>
      </c>
      <c r="O313" s="270">
        <v>1541.37</v>
      </c>
      <c r="P313" s="270" t="s">
        <v>3930</v>
      </c>
      <c r="Q313" s="270" t="s">
        <v>3931</v>
      </c>
      <c r="R313" s="270">
        <v>6541.37</v>
      </c>
      <c r="S313" s="270">
        <v>24145.599999999999</v>
      </c>
      <c r="T313" s="270">
        <v>30686.97</v>
      </c>
      <c r="U313" s="271" t="s">
        <v>3932</v>
      </c>
      <c r="V313" s="267" t="s">
        <v>944</v>
      </c>
    </row>
    <row r="314" spans="1:22" hidden="1" x14ac:dyDescent="0.25">
      <c r="A314" s="266">
        <v>43478</v>
      </c>
      <c r="B314" s="267">
        <v>2019</v>
      </c>
      <c r="C314" s="267">
        <v>2019</v>
      </c>
      <c r="D314" s="267">
        <v>1</v>
      </c>
      <c r="E314" s="267">
        <v>1</v>
      </c>
      <c r="F314" s="267" t="s">
        <v>944</v>
      </c>
      <c r="G314" s="267" t="s">
        <v>3926</v>
      </c>
      <c r="H314" s="267" t="s">
        <v>4365</v>
      </c>
      <c r="I314" s="267" t="s">
        <v>4019</v>
      </c>
      <c r="J314" s="267" t="s">
        <v>3928</v>
      </c>
      <c r="K314" s="267">
        <v>6708</v>
      </c>
      <c r="L314" s="267">
        <v>352000</v>
      </c>
      <c r="M314" s="267" t="s">
        <v>3935</v>
      </c>
      <c r="N314" s="267" t="s">
        <v>4103</v>
      </c>
      <c r="O314" s="267">
        <v>3861.63</v>
      </c>
      <c r="P314" s="267" t="s">
        <v>3930</v>
      </c>
      <c r="Q314" s="267" t="s">
        <v>3931</v>
      </c>
      <c r="R314" s="267">
        <v>8861.6299999999992</v>
      </c>
      <c r="S314" s="267">
        <v>24145.599999999999</v>
      </c>
      <c r="T314" s="267">
        <v>33007.230000000003</v>
      </c>
      <c r="U314" s="268" t="s">
        <v>3932</v>
      </c>
      <c r="V314" s="267" t="s">
        <v>944</v>
      </c>
    </row>
    <row r="315" spans="1:22" hidden="1" x14ac:dyDescent="0.25">
      <c r="A315" s="269">
        <v>43479</v>
      </c>
      <c r="B315" s="270">
        <v>2019</v>
      </c>
      <c r="C315" s="270">
        <v>2019</v>
      </c>
      <c r="D315" s="270">
        <v>1</v>
      </c>
      <c r="E315" s="270">
        <v>1</v>
      </c>
      <c r="F315" s="270" t="s">
        <v>944</v>
      </c>
      <c r="G315" s="270" t="s">
        <v>3926</v>
      </c>
      <c r="H315" s="270" t="s">
        <v>4366</v>
      </c>
      <c r="I315" s="270" t="s">
        <v>3990</v>
      </c>
      <c r="J315" s="270" t="s">
        <v>3928</v>
      </c>
      <c r="K315" s="270">
        <v>6804</v>
      </c>
      <c r="L315" s="270">
        <v>205300</v>
      </c>
      <c r="M315" s="270" t="s">
        <v>3960</v>
      </c>
      <c r="N315" s="270" t="s">
        <v>4367</v>
      </c>
      <c r="O315" s="270">
        <v>0</v>
      </c>
      <c r="P315" s="270" t="s">
        <v>3930</v>
      </c>
      <c r="Q315" s="270" t="s">
        <v>3930</v>
      </c>
      <c r="R315" s="270">
        <v>0</v>
      </c>
      <c r="S315" s="270">
        <v>18867.5</v>
      </c>
      <c r="T315" s="270">
        <v>18867.5</v>
      </c>
      <c r="U315" s="271" t="s">
        <v>3937</v>
      </c>
      <c r="V315" s="267" t="s">
        <v>944</v>
      </c>
    </row>
    <row r="316" spans="1:22" hidden="1" x14ac:dyDescent="0.25">
      <c r="A316" s="266">
        <v>43479</v>
      </c>
      <c r="B316" s="267">
        <v>2019</v>
      </c>
      <c r="C316" s="267">
        <v>2019</v>
      </c>
      <c r="D316" s="267">
        <v>1</v>
      </c>
      <c r="E316" s="267">
        <v>1</v>
      </c>
      <c r="F316" s="267" t="s">
        <v>944</v>
      </c>
      <c r="G316" s="267" t="s">
        <v>3926</v>
      </c>
      <c r="H316" s="267" t="s">
        <v>4368</v>
      </c>
      <c r="I316" s="267" t="s">
        <v>4008</v>
      </c>
      <c r="J316" s="267" t="s">
        <v>3928</v>
      </c>
      <c r="K316" s="267">
        <v>6320</v>
      </c>
      <c r="L316" s="267">
        <v>870300</v>
      </c>
      <c r="M316" s="267">
        <v>-60</v>
      </c>
      <c r="N316" s="267" t="s">
        <v>4369</v>
      </c>
      <c r="O316" s="267">
        <v>0</v>
      </c>
      <c r="P316" s="267" t="s">
        <v>3930</v>
      </c>
      <c r="Q316" s="267" t="s">
        <v>3930</v>
      </c>
      <c r="R316" s="267">
        <v>0</v>
      </c>
      <c r="S316" s="267">
        <v>22051.65</v>
      </c>
      <c r="T316" s="267">
        <v>22051.65</v>
      </c>
      <c r="U316" s="268" t="s">
        <v>3937</v>
      </c>
      <c r="V316" s="267" t="s">
        <v>944</v>
      </c>
    </row>
    <row r="317" spans="1:22" hidden="1" x14ac:dyDescent="0.25">
      <c r="A317" s="269">
        <v>43479</v>
      </c>
      <c r="B317" s="270">
        <v>2019</v>
      </c>
      <c r="C317" s="270">
        <v>2019</v>
      </c>
      <c r="D317" s="270">
        <v>1</v>
      </c>
      <c r="E317" s="270">
        <v>1</v>
      </c>
      <c r="F317" s="270" t="s">
        <v>944</v>
      </c>
      <c r="G317" s="270" t="s">
        <v>3926</v>
      </c>
      <c r="H317" s="270" t="s">
        <v>4370</v>
      </c>
      <c r="I317" s="270" t="s">
        <v>4200</v>
      </c>
      <c r="J317" s="270" t="s">
        <v>3928</v>
      </c>
      <c r="K317" s="270">
        <v>6795</v>
      </c>
      <c r="L317" s="270">
        <v>360200</v>
      </c>
      <c r="M317" s="270" t="s">
        <v>3943</v>
      </c>
      <c r="N317" s="270" t="s">
        <v>4371</v>
      </c>
      <c r="O317" s="270">
        <v>0</v>
      </c>
      <c r="P317" s="270" t="s">
        <v>3930</v>
      </c>
      <c r="Q317" s="270" t="s">
        <v>3930</v>
      </c>
      <c r="R317" s="270">
        <v>0</v>
      </c>
      <c r="S317" s="270">
        <v>6152.41</v>
      </c>
      <c r="T317" s="270">
        <v>6152.41</v>
      </c>
      <c r="U317" s="271" t="s">
        <v>3937</v>
      </c>
      <c r="V317" s="267" t="s">
        <v>944</v>
      </c>
    </row>
    <row r="318" spans="1:22" hidden="1" x14ac:dyDescent="0.25">
      <c r="A318" s="266">
        <v>43479</v>
      </c>
      <c r="B318" s="267">
        <v>2019</v>
      </c>
      <c r="C318" s="267">
        <v>2019</v>
      </c>
      <c r="D318" s="267">
        <v>1</v>
      </c>
      <c r="E318" s="267">
        <v>1</v>
      </c>
      <c r="F318" s="267" t="s">
        <v>944</v>
      </c>
      <c r="G318" s="267" t="s">
        <v>3926</v>
      </c>
      <c r="H318" s="267" t="s">
        <v>4372</v>
      </c>
      <c r="I318" s="267" t="s">
        <v>934</v>
      </c>
      <c r="J318" s="267" t="s">
        <v>3928</v>
      </c>
      <c r="K318" s="267">
        <v>6606</v>
      </c>
      <c r="L318" s="267">
        <v>72800</v>
      </c>
      <c r="M318" s="267" t="s">
        <v>3940</v>
      </c>
      <c r="N318" s="267" t="s">
        <v>4103</v>
      </c>
      <c r="O318" s="267">
        <v>1635.94</v>
      </c>
      <c r="P318" s="267" t="s">
        <v>3930</v>
      </c>
      <c r="Q318" s="267" t="s">
        <v>3931</v>
      </c>
      <c r="R318" s="267">
        <v>6635.94</v>
      </c>
      <c r="S318" s="267">
        <v>24145.599999999999</v>
      </c>
      <c r="T318" s="267">
        <v>30781.54</v>
      </c>
      <c r="U318" s="268" t="s">
        <v>3932</v>
      </c>
      <c r="V318" s="267" t="s">
        <v>944</v>
      </c>
    </row>
    <row r="319" spans="1:22" hidden="1" x14ac:dyDescent="0.25">
      <c r="A319" s="269">
        <v>43479</v>
      </c>
      <c r="B319" s="270">
        <v>2019</v>
      </c>
      <c r="C319" s="270">
        <v>2019</v>
      </c>
      <c r="D319" s="270">
        <v>1</v>
      </c>
      <c r="E319" s="270">
        <v>1</v>
      </c>
      <c r="F319" s="270" t="s">
        <v>944</v>
      </c>
      <c r="G319" s="270" t="s">
        <v>3926</v>
      </c>
      <c r="H319" s="270" t="s">
        <v>4373</v>
      </c>
      <c r="I319" s="270" t="s">
        <v>4374</v>
      </c>
      <c r="J319" s="270" t="s">
        <v>3928</v>
      </c>
      <c r="K319" s="270">
        <v>6438</v>
      </c>
      <c r="L319" s="270">
        <v>590100</v>
      </c>
      <c r="M319" s="270" t="s">
        <v>3943</v>
      </c>
      <c r="N319" s="270" t="s">
        <v>4375</v>
      </c>
      <c r="O319" s="270">
        <v>0</v>
      </c>
      <c r="P319" s="270" t="s">
        <v>3930</v>
      </c>
      <c r="Q319" s="270" t="s">
        <v>3930</v>
      </c>
      <c r="R319" s="270">
        <v>0</v>
      </c>
      <c r="S319" s="270">
        <v>20950</v>
      </c>
      <c r="T319" s="270">
        <v>20950</v>
      </c>
      <c r="U319" s="271" t="s">
        <v>3937</v>
      </c>
      <c r="V319" s="267" t="s">
        <v>944</v>
      </c>
    </row>
    <row r="320" spans="1:22" hidden="1" x14ac:dyDescent="0.25">
      <c r="A320" s="266">
        <v>43479</v>
      </c>
      <c r="B320" s="267">
        <v>2019</v>
      </c>
      <c r="C320" s="267">
        <v>2019</v>
      </c>
      <c r="D320" s="267">
        <v>1</v>
      </c>
      <c r="E320" s="267">
        <v>1</v>
      </c>
      <c r="F320" s="267" t="s">
        <v>944</v>
      </c>
      <c r="G320" s="267" t="s">
        <v>3926</v>
      </c>
      <c r="H320" s="267" t="s">
        <v>4376</v>
      </c>
      <c r="I320" s="267" t="s">
        <v>4170</v>
      </c>
      <c r="J320" s="267" t="s">
        <v>3928</v>
      </c>
      <c r="K320" s="267">
        <v>6498</v>
      </c>
      <c r="L320" s="267">
        <v>680100</v>
      </c>
      <c r="M320" s="267" t="s">
        <v>3935</v>
      </c>
      <c r="N320" s="267" t="s">
        <v>4377</v>
      </c>
      <c r="O320" s="267">
        <v>0</v>
      </c>
      <c r="P320" s="267" t="s">
        <v>3930</v>
      </c>
      <c r="Q320" s="267" t="s">
        <v>3930</v>
      </c>
      <c r="R320" s="267">
        <v>0</v>
      </c>
      <c r="S320" s="267">
        <v>23044.89</v>
      </c>
      <c r="T320" s="267">
        <v>23044.89</v>
      </c>
      <c r="U320" s="268" t="s">
        <v>3937</v>
      </c>
      <c r="V320" s="267" t="s">
        <v>944</v>
      </c>
    </row>
    <row r="321" spans="1:22" hidden="1" x14ac:dyDescent="0.25">
      <c r="A321" s="269">
        <v>43479</v>
      </c>
      <c r="B321" s="270">
        <v>2019</v>
      </c>
      <c r="C321" s="270">
        <v>2019</v>
      </c>
      <c r="D321" s="270">
        <v>1</v>
      </c>
      <c r="E321" s="270">
        <v>1</v>
      </c>
      <c r="F321" s="270" t="s">
        <v>944</v>
      </c>
      <c r="G321" s="270" t="s">
        <v>3926</v>
      </c>
      <c r="H321" s="270" t="s">
        <v>4378</v>
      </c>
      <c r="I321" s="270" t="s">
        <v>943</v>
      </c>
      <c r="J321" s="270" t="s">
        <v>3928</v>
      </c>
      <c r="K321" s="270">
        <v>6513</v>
      </c>
      <c r="L321" s="270">
        <v>142604</v>
      </c>
      <c r="M321" s="270" t="s">
        <v>3935</v>
      </c>
      <c r="N321" s="270" t="s">
        <v>3944</v>
      </c>
      <c r="O321" s="270">
        <v>2638</v>
      </c>
      <c r="P321" s="270" t="s">
        <v>3944</v>
      </c>
      <c r="Q321" s="270" t="s">
        <v>3944</v>
      </c>
      <c r="R321" s="270">
        <v>2638</v>
      </c>
      <c r="S321" s="270">
        <v>36062</v>
      </c>
      <c r="T321" s="270">
        <v>38700</v>
      </c>
      <c r="U321" s="271" t="s">
        <v>3945</v>
      </c>
      <c r="V321" s="267" t="s">
        <v>944</v>
      </c>
    </row>
    <row r="322" spans="1:22" x14ac:dyDescent="0.25">
      <c r="A322" s="266">
        <v>43479</v>
      </c>
      <c r="B322" s="267">
        <v>2019</v>
      </c>
      <c r="C322" s="267">
        <v>2019</v>
      </c>
      <c r="D322" s="267">
        <v>1</v>
      </c>
      <c r="E322" s="267">
        <v>1</v>
      </c>
      <c r="F322" s="267" t="s">
        <v>944</v>
      </c>
      <c r="G322" s="267" t="s">
        <v>3926</v>
      </c>
      <c r="H322" s="267" t="s">
        <v>4379</v>
      </c>
      <c r="I322" s="267" t="s">
        <v>953</v>
      </c>
      <c r="J322" s="267" t="s">
        <v>3928</v>
      </c>
      <c r="K322" s="267">
        <v>6514</v>
      </c>
      <c r="L322" s="267">
        <v>165500</v>
      </c>
      <c r="M322" s="267">
        <v>-60</v>
      </c>
      <c r="N322" s="267" t="s">
        <v>3944</v>
      </c>
      <c r="O322" s="267">
        <v>2631</v>
      </c>
      <c r="P322" s="267" t="s">
        <v>3944</v>
      </c>
      <c r="Q322" s="267" t="s">
        <v>3944</v>
      </c>
      <c r="R322" s="267">
        <v>2631</v>
      </c>
      <c r="S322" s="267">
        <v>22635</v>
      </c>
      <c r="T322" s="267">
        <v>25266</v>
      </c>
      <c r="U322" s="268" t="s">
        <v>3945</v>
      </c>
      <c r="V322" s="276" t="s">
        <v>936</v>
      </c>
    </row>
    <row r="323" spans="1:22" hidden="1" x14ac:dyDescent="0.25">
      <c r="A323" s="269">
        <v>43479</v>
      </c>
      <c r="B323" s="270">
        <v>2019</v>
      </c>
      <c r="C323" s="270">
        <v>2019</v>
      </c>
      <c r="D323" s="270">
        <v>1</v>
      </c>
      <c r="E323" s="270">
        <v>1</v>
      </c>
      <c r="F323" s="270" t="s">
        <v>944</v>
      </c>
      <c r="G323" s="270" t="s">
        <v>3926</v>
      </c>
      <c r="H323" s="270" t="s">
        <v>4380</v>
      </c>
      <c r="I323" s="270" t="s">
        <v>3008</v>
      </c>
      <c r="J323" s="270" t="s">
        <v>3928</v>
      </c>
      <c r="K323" s="270">
        <v>6460</v>
      </c>
      <c r="L323" s="270">
        <v>150100</v>
      </c>
      <c r="M323" s="270" t="s">
        <v>3960</v>
      </c>
      <c r="N323" s="270" t="s">
        <v>3944</v>
      </c>
      <c r="O323" s="270">
        <v>2790</v>
      </c>
      <c r="P323" s="270" t="s">
        <v>3944</v>
      </c>
      <c r="Q323" s="270" t="s">
        <v>3944</v>
      </c>
      <c r="R323" s="270">
        <v>2790</v>
      </c>
      <c r="S323" s="270">
        <v>36702</v>
      </c>
      <c r="T323" s="270">
        <v>39492</v>
      </c>
      <c r="U323" s="271" t="s">
        <v>3945</v>
      </c>
      <c r="V323" s="267" t="s">
        <v>944</v>
      </c>
    </row>
    <row r="324" spans="1:22" hidden="1" x14ac:dyDescent="0.25">
      <c r="A324" s="266">
        <v>43479</v>
      </c>
      <c r="B324" s="267">
        <v>2019</v>
      </c>
      <c r="C324" s="267">
        <v>2019</v>
      </c>
      <c r="D324" s="267">
        <v>1</v>
      </c>
      <c r="E324" s="267">
        <v>1</v>
      </c>
      <c r="F324" s="267" t="s">
        <v>944</v>
      </c>
      <c r="G324" s="267" t="s">
        <v>3926</v>
      </c>
      <c r="H324" s="267" t="s">
        <v>4381</v>
      </c>
      <c r="I324" s="267" t="s">
        <v>934</v>
      </c>
      <c r="J324" s="267" t="s">
        <v>3928</v>
      </c>
      <c r="K324" s="267">
        <v>6610</v>
      </c>
      <c r="L324" s="267">
        <v>73000</v>
      </c>
      <c r="M324" s="267" t="s">
        <v>3960</v>
      </c>
      <c r="N324" s="267" t="s">
        <v>3944</v>
      </c>
      <c r="O324" s="267">
        <v>2102</v>
      </c>
      <c r="P324" s="267" t="s">
        <v>3944</v>
      </c>
      <c r="Q324" s="267" t="s">
        <v>3944</v>
      </c>
      <c r="R324" s="267">
        <v>2102</v>
      </c>
      <c r="S324" s="267">
        <v>17170.09</v>
      </c>
      <c r="T324" s="267">
        <v>19272.09</v>
      </c>
      <c r="U324" s="268" t="s">
        <v>3945</v>
      </c>
      <c r="V324" s="267" t="s">
        <v>944</v>
      </c>
    </row>
    <row r="325" spans="1:22" hidden="1" x14ac:dyDescent="0.25">
      <c r="A325" s="269">
        <v>43479</v>
      </c>
      <c r="B325" s="270">
        <v>2019</v>
      </c>
      <c r="C325" s="270">
        <v>2019</v>
      </c>
      <c r="D325" s="270">
        <v>1</v>
      </c>
      <c r="E325" s="270">
        <v>1</v>
      </c>
      <c r="F325" s="270" t="s">
        <v>944</v>
      </c>
      <c r="G325" s="270" t="s">
        <v>3926</v>
      </c>
      <c r="H325" s="270" t="s">
        <v>4382</v>
      </c>
      <c r="I325" s="270" t="s">
        <v>2985</v>
      </c>
      <c r="J325" s="270" t="s">
        <v>3928</v>
      </c>
      <c r="K325" s="270">
        <v>6432</v>
      </c>
      <c r="L325" s="270">
        <v>60200</v>
      </c>
      <c r="M325" s="270" t="s">
        <v>3943</v>
      </c>
      <c r="N325" s="270" t="s">
        <v>3944</v>
      </c>
      <c r="O325" s="270">
        <v>2089</v>
      </c>
      <c r="P325" s="270" t="s">
        <v>3944</v>
      </c>
      <c r="Q325" s="270" t="s">
        <v>3944</v>
      </c>
      <c r="R325" s="270">
        <v>2089</v>
      </c>
      <c r="S325" s="270">
        <v>27962.7</v>
      </c>
      <c r="T325" s="270">
        <v>30051.7</v>
      </c>
      <c r="U325" s="271" t="s">
        <v>3945</v>
      </c>
      <c r="V325" s="267" t="s">
        <v>944</v>
      </c>
    </row>
    <row r="326" spans="1:22" hidden="1" x14ac:dyDescent="0.25">
      <c r="A326" s="266">
        <v>43479</v>
      </c>
      <c r="B326" s="267">
        <v>2019</v>
      </c>
      <c r="C326" s="267">
        <v>2019</v>
      </c>
      <c r="D326" s="267">
        <v>1</v>
      </c>
      <c r="E326" s="267">
        <v>1</v>
      </c>
      <c r="F326" s="267" t="s">
        <v>944</v>
      </c>
      <c r="G326" s="267" t="s">
        <v>3926</v>
      </c>
      <c r="H326" s="267" t="s">
        <v>4383</v>
      </c>
      <c r="I326" s="267" t="s">
        <v>3010</v>
      </c>
      <c r="J326" s="267" t="s">
        <v>3928</v>
      </c>
      <c r="K326" s="267">
        <v>6401</v>
      </c>
      <c r="L326" s="267">
        <v>125100</v>
      </c>
      <c r="M326" s="267" t="s">
        <v>3960</v>
      </c>
      <c r="N326" s="267" t="s">
        <v>3944</v>
      </c>
      <c r="O326" s="267">
        <v>2684</v>
      </c>
      <c r="P326" s="267" t="s">
        <v>3944</v>
      </c>
      <c r="Q326" s="267" t="s">
        <v>3944</v>
      </c>
      <c r="R326" s="267">
        <v>2684</v>
      </c>
      <c r="S326" s="267">
        <v>28816</v>
      </c>
      <c r="T326" s="267">
        <v>31500</v>
      </c>
      <c r="U326" s="268" t="s">
        <v>3945</v>
      </c>
      <c r="V326" s="267" t="s">
        <v>944</v>
      </c>
    </row>
    <row r="327" spans="1:22" hidden="1" x14ac:dyDescent="0.25">
      <c r="A327" s="269">
        <v>43479</v>
      </c>
      <c r="B327" s="270">
        <v>2019</v>
      </c>
      <c r="C327" s="270">
        <v>2019</v>
      </c>
      <c r="D327" s="270">
        <v>1</v>
      </c>
      <c r="E327" s="270">
        <v>1</v>
      </c>
      <c r="F327" s="270" t="s">
        <v>944</v>
      </c>
      <c r="G327" s="270" t="s">
        <v>3926</v>
      </c>
      <c r="H327" s="270" t="s">
        <v>4384</v>
      </c>
      <c r="I327" s="270" t="s">
        <v>3934</v>
      </c>
      <c r="J327" s="270" t="s">
        <v>3928</v>
      </c>
      <c r="K327" s="270">
        <v>6405</v>
      </c>
      <c r="L327" s="270">
        <v>184100</v>
      </c>
      <c r="M327" s="270" t="s">
        <v>3940</v>
      </c>
      <c r="N327" s="270" t="s">
        <v>3944</v>
      </c>
      <c r="O327" s="270">
        <v>1243</v>
      </c>
      <c r="P327" s="270" t="s">
        <v>3944</v>
      </c>
      <c r="Q327" s="270" t="s">
        <v>3944</v>
      </c>
      <c r="R327" s="270">
        <v>1243</v>
      </c>
      <c r="S327" s="270">
        <v>24036.2</v>
      </c>
      <c r="T327" s="270">
        <v>25279.200000000001</v>
      </c>
      <c r="U327" s="271" t="s">
        <v>3945</v>
      </c>
      <c r="V327" s="267" t="s">
        <v>944</v>
      </c>
    </row>
    <row r="328" spans="1:22" hidden="1" x14ac:dyDescent="0.25">
      <c r="A328" s="266">
        <v>43479</v>
      </c>
      <c r="B328" s="267">
        <v>2019</v>
      </c>
      <c r="C328" s="267">
        <v>2019</v>
      </c>
      <c r="D328" s="267">
        <v>1</v>
      </c>
      <c r="E328" s="267">
        <v>1</v>
      </c>
      <c r="F328" s="267" t="s">
        <v>944</v>
      </c>
      <c r="G328" s="267" t="s">
        <v>3997</v>
      </c>
      <c r="H328" s="267" t="s">
        <v>4385</v>
      </c>
      <c r="I328" s="267" t="s">
        <v>4069</v>
      </c>
      <c r="J328" s="267" t="s">
        <v>3928</v>
      </c>
      <c r="K328" s="267">
        <v>6905</v>
      </c>
      <c r="L328" s="267">
        <v>21200</v>
      </c>
      <c r="M328" s="267" t="s">
        <v>3943</v>
      </c>
      <c r="N328" s="267" t="s">
        <v>3944</v>
      </c>
      <c r="O328" s="267">
        <v>2247.92</v>
      </c>
      <c r="P328" s="267" t="s">
        <v>3944</v>
      </c>
      <c r="Q328" s="267" t="s">
        <v>3944</v>
      </c>
      <c r="R328" s="267">
        <v>2247.92</v>
      </c>
      <c r="S328" s="267">
        <v>35213.65</v>
      </c>
      <c r="T328" s="267">
        <v>37461.57</v>
      </c>
      <c r="U328" s="268" t="s">
        <v>3945</v>
      </c>
      <c r="V328" s="267" t="s">
        <v>944</v>
      </c>
    </row>
    <row r="329" spans="1:22" hidden="1" x14ac:dyDescent="0.25">
      <c r="A329" s="269">
        <v>43479</v>
      </c>
      <c r="B329" s="270">
        <v>2019</v>
      </c>
      <c r="C329" s="270">
        <v>2019</v>
      </c>
      <c r="D329" s="270">
        <v>1</v>
      </c>
      <c r="E329" s="270">
        <v>1</v>
      </c>
      <c r="F329" s="270" t="s">
        <v>944</v>
      </c>
      <c r="G329" s="270" t="s">
        <v>3926</v>
      </c>
      <c r="H329" s="270" t="s">
        <v>4386</v>
      </c>
      <c r="I329" s="270" t="s">
        <v>4387</v>
      </c>
      <c r="J329" s="270" t="s">
        <v>3928</v>
      </c>
      <c r="K329" s="270">
        <v>6751</v>
      </c>
      <c r="L329" s="270">
        <v>342100</v>
      </c>
      <c r="M329" s="270" t="s">
        <v>3960</v>
      </c>
      <c r="N329" s="270" t="s">
        <v>3944</v>
      </c>
      <c r="O329" s="270">
        <v>2276</v>
      </c>
      <c r="P329" s="270" t="s">
        <v>3944</v>
      </c>
      <c r="Q329" s="270" t="s">
        <v>3944</v>
      </c>
      <c r="R329" s="270">
        <v>2276</v>
      </c>
      <c r="S329" s="270">
        <v>20825</v>
      </c>
      <c r="T329" s="270">
        <v>23101</v>
      </c>
      <c r="U329" s="271" t="s">
        <v>3945</v>
      </c>
      <c r="V329" s="267" t="s">
        <v>944</v>
      </c>
    </row>
    <row r="330" spans="1:22" hidden="1" x14ac:dyDescent="0.25">
      <c r="A330" s="266">
        <v>43479</v>
      </c>
      <c r="B330" s="267">
        <v>2019</v>
      </c>
      <c r="C330" s="267">
        <v>2019</v>
      </c>
      <c r="D330" s="267">
        <v>1</v>
      </c>
      <c r="E330" s="267">
        <v>1</v>
      </c>
      <c r="F330" s="267" t="s">
        <v>944</v>
      </c>
      <c r="G330" s="267" t="s">
        <v>3926</v>
      </c>
      <c r="H330" s="267" t="s">
        <v>4388</v>
      </c>
      <c r="I330" s="267" t="s">
        <v>943</v>
      </c>
      <c r="J330" s="267" t="s">
        <v>3928</v>
      </c>
      <c r="K330" s="267">
        <v>6511</v>
      </c>
      <c r="L330" s="267">
        <v>141800</v>
      </c>
      <c r="M330" s="267" t="s">
        <v>3940</v>
      </c>
      <c r="N330" s="267" t="s">
        <v>3944</v>
      </c>
      <c r="O330" s="267">
        <v>1344.56</v>
      </c>
      <c r="P330" s="267" t="s">
        <v>3944</v>
      </c>
      <c r="Q330" s="267" t="s">
        <v>3944</v>
      </c>
      <c r="R330" s="267">
        <v>1344.56</v>
      </c>
      <c r="S330" s="267">
        <v>30268.44</v>
      </c>
      <c r="T330" s="267">
        <v>31613</v>
      </c>
      <c r="U330" s="268" t="s">
        <v>3945</v>
      </c>
      <c r="V330" s="267" t="s">
        <v>944</v>
      </c>
    </row>
    <row r="331" spans="1:22" hidden="1" x14ac:dyDescent="0.25">
      <c r="A331" s="269">
        <v>43479</v>
      </c>
      <c r="B331" s="270">
        <v>2019</v>
      </c>
      <c r="C331" s="270">
        <v>2019</v>
      </c>
      <c r="D331" s="270">
        <v>1</v>
      </c>
      <c r="E331" s="270">
        <v>1</v>
      </c>
      <c r="F331" s="270" t="s">
        <v>944</v>
      </c>
      <c r="G331" s="270" t="s">
        <v>3926</v>
      </c>
      <c r="H331" s="270" t="s">
        <v>4389</v>
      </c>
      <c r="I331" s="270" t="s">
        <v>3025</v>
      </c>
      <c r="J331" s="270" t="s">
        <v>3928</v>
      </c>
      <c r="K331" s="270">
        <v>6473</v>
      </c>
      <c r="L331" s="270">
        <v>167100</v>
      </c>
      <c r="M331" s="270" t="s">
        <v>3943</v>
      </c>
      <c r="N331" s="270" t="s">
        <v>3944</v>
      </c>
      <c r="O331" s="270">
        <v>1566.46</v>
      </c>
      <c r="P331" s="270" t="s">
        <v>3944</v>
      </c>
      <c r="Q331" s="270" t="s">
        <v>3944</v>
      </c>
      <c r="R331" s="270">
        <v>1566.46</v>
      </c>
      <c r="S331" s="270">
        <v>18723</v>
      </c>
      <c r="T331" s="270">
        <v>20289.46</v>
      </c>
      <c r="U331" s="271" t="s">
        <v>3945</v>
      </c>
      <c r="V331" s="267" t="s">
        <v>944</v>
      </c>
    </row>
    <row r="332" spans="1:22" hidden="1" x14ac:dyDescent="0.25">
      <c r="A332" s="266">
        <v>43479</v>
      </c>
      <c r="B332" s="267">
        <v>2019</v>
      </c>
      <c r="C332" s="267">
        <v>2019</v>
      </c>
      <c r="D332" s="267">
        <v>1</v>
      </c>
      <c r="E332" s="267">
        <v>1</v>
      </c>
      <c r="F332" s="267" t="s">
        <v>944</v>
      </c>
      <c r="G332" s="267" t="s">
        <v>3926</v>
      </c>
      <c r="H332" s="267" t="s">
        <v>4390</v>
      </c>
      <c r="I332" s="267" t="s">
        <v>4037</v>
      </c>
      <c r="J332" s="267" t="s">
        <v>3928</v>
      </c>
      <c r="K332" s="267">
        <v>6811</v>
      </c>
      <c r="L332" s="267">
        <v>211300</v>
      </c>
      <c r="M332" s="267" t="s">
        <v>3943</v>
      </c>
      <c r="N332" s="267" t="s">
        <v>3944</v>
      </c>
      <c r="O332" s="267">
        <v>1974.21</v>
      </c>
      <c r="P332" s="267" t="s">
        <v>3944</v>
      </c>
      <c r="Q332" s="267" t="s">
        <v>3944</v>
      </c>
      <c r="R332" s="267">
        <v>1974.21</v>
      </c>
      <c r="S332" s="267">
        <v>30713.81</v>
      </c>
      <c r="T332" s="267">
        <v>32688.02</v>
      </c>
      <c r="U332" s="268" t="s">
        <v>3945</v>
      </c>
      <c r="V332" s="267" t="s">
        <v>944</v>
      </c>
    </row>
    <row r="333" spans="1:22" hidden="1" x14ac:dyDescent="0.25">
      <c r="A333" s="269">
        <v>43479</v>
      </c>
      <c r="B333" s="270">
        <v>2019</v>
      </c>
      <c r="C333" s="270">
        <v>2019</v>
      </c>
      <c r="D333" s="270">
        <v>1</v>
      </c>
      <c r="E333" s="270">
        <v>1</v>
      </c>
      <c r="F333" s="270" t="s">
        <v>944</v>
      </c>
      <c r="G333" s="270" t="s">
        <v>3926</v>
      </c>
      <c r="H333" s="270" t="s">
        <v>4391</v>
      </c>
      <c r="I333" s="270" t="s">
        <v>4392</v>
      </c>
      <c r="J333" s="270" t="s">
        <v>3928</v>
      </c>
      <c r="K333" s="270">
        <v>6457</v>
      </c>
      <c r="L333" s="270">
        <v>680200</v>
      </c>
      <c r="M333" s="270" t="s">
        <v>3935</v>
      </c>
      <c r="N333" s="270" t="s">
        <v>3944</v>
      </c>
      <c r="O333" s="270">
        <v>1711.01</v>
      </c>
      <c r="P333" s="270" t="s">
        <v>3944</v>
      </c>
      <c r="Q333" s="270" t="s">
        <v>3944</v>
      </c>
      <c r="R333" s="270">
        <v>1711.01</v>
      </c>
      <c r="S333" s="270">
        <v>35288.92</v>
      </c>
      <c r="T333" s="270">
        <v>36999.93</v>
      </c>
      <c r="U333" s="271" t="s">
        <v>3945</v>
      </c>
      <c r="V333" s="267" t="s">
        <v>944</v>
      </c>
    </row>
    <row r="334" spans="1:22" x14ac:dyDescent="0.25">
      <c r="A334" s="266">
        <v>43479</v>
      </c>
      <c r="B334" s="267">
        <v>2019</v>
      </c>
      <c r="C334" s="267">
        <v>2019</v>
      </c>
      <c r="D334" s="267">
        <v>1</v>
      </c>
      <c r="E334" s="267">
        <v>1</v>
      </c>
      <c r="F334" s="267" t="s">
        <v>944</v>
      </c>
      <c r="G334" s="267" t="s">
        <v>3926</v>
      </c>
      <c r="H334" s="267" t="s">
        <v>4393</v>
      </c>
      <c r="I334" s="267" t="s">
        <v>950</v>
      </c>
      <c r="J334" s="267" t="s">
        <v>3928</v>
      </c>
      <c r="K334" s="267">
        <v>6516</v>
      </c>
      <c r="L334" s="267">
        <v>155100</v>
      </c>
      <c r="M334" s="267">
        <v>-60</v>
      </c>
      <c r="N334" s="267" t="s">
        <v>3944</v>
      </c>
      <c r="O334" s="267">
        <v>1684.06</v>
      </c>
      <c r="P334" s="267" t="s">
        <v>3944</v>
      </c>
      <c r="Q334" s="267" t="s">
        <v>3944</v>
      </c>
      <c r="R334" s="267">
        <v>1684.06</v>
      </c>
      <c r="S334" s="267">
        <v>28955.39</v>
      </c>
      <c r="T334" s="267">
        <v>30639.45</v>
      </c>
      <c r="U334" s="268" t="s">
        <v>3945</v>
      </c>
      <c r="V334" s="276" t="s">
        <v>936</v>
      </c>
    </row>
    <row r="335" spans="1:22" hidden="1" x14ac:dyDescent="0.25">
      <c r="A335" s="269">
        <v>43479</v>
      </c>
      <c r="B335" s="270">
        <v>2019</v>
      </c>
      <c r="C335" s="270">
        <v>2019</v>
      </c>
      <c r="D335" s="270">
        <v>1</v>
      </c>
      <c r="E335" s="270">
        <v>1</v>
      </c>
      <c r="F335" s="270" t="s">
        <v>944</v>
      </c>
      <c r="G335" s="270" t="s">
        <v>3926</v>
      </c>
      <c r="H335" s="270" t="s">
        <v>4394</v>
      </c>
      <c r="I335" s="270" t="s">
        <v>934</v>
      </c>
      <c r="J335" s="270" t="s">
        <v>3928</v>
      </c>
      <c r="K335" s="270">
        <v>6606</v>
      </c>
      <c r="L335" s="270">
        <v>72500</v>
      </c>
      <c r="M335" s="270" t="s">
        <v>3940</v>
      </c>
      <c r="N335" s="270" t="s">
        <v>3944</v>
      </c>
      <c r="O335" s="270">
        <v>1659.18</v>
      </c>
      <c r="P335" s="270" t="s">
        <v>3944</v>
      </c>
      <c r="Q335" s="270" t="s">
        <v>3944</v>
      </c>
      <c r="R335" s="270">
        <v>1659.18</v>
      </c>
      <c r="S335" s="270">
        <v>19174.919999999998</v>
      </c>
      <c r="T335" s="270">
        <v>20834.099999999999</v>
      </c>
      <c r="U335" s="271" t="s">
        <v>3945</v>
      </c>
      <c r="V335" s="267" t="s">
        <v>944</v>
      </c>
    </row>
    <row r="336" spans="1:22" hidden="1" x14ac:dyDescent="0.25">
      <c r="A336" s="266">
        <v>43479</v>
      </c>
      <c r="B336" s="267">
        <v>2019</v>
      </c>
      <c r="C336" s="267">
        <v>2019</v>
      </c>
      <c r="D336" s="267">
        <v>1</v>
      </c>
      <c r="E336" s="267">
        <v>1</v>
      </c>
      <c r="F336" s="267" t="s">
        <v>944</v>
      </c>
      <c r="G336" s="267" t="s">
        <v>3926</v>
      </c>
      <c r="H336" s="267" t="s">
        <v>4395</v>
      </c>
      <c r="I336" s="267" t="s">
        <v>4244</v>
      </c>
      <c r="J336" s="267" t="s">
        <v>3928</v>
      </c>
      <c r="K336" s="267">
        <v>6250</v>
      </c>
      <c r="L336" s="267">
        <v>881500</v>
      </c>
      <c r="M336" s="267" t="s">
        <v>3940</v>
      </c>
      <c r="N336" s="267" t="s">
        <v>3944</v>
      </c>
      <c r="O336" s="267">
        <v>1504.65</v>
      </c>
      <c r="P336" s="267" t="s">
        <v>3944</v>
      </c>
      <c r="Q336" s="267" t="s">
        <v>3944</v>
      </c>
      <c r="R336" s="267">
        <v>1504.65</v>
      </c>
      <c r="S336" s="267">
        <v>22546.82</v>
      </c>
      <c r="T336" s="267">
        <v>24051.47</v>
      </c>
      <c r="U336" s="268" t="s">
        <v>3945</v>
      </c>
      <c r="V336" s="267" t="s">
        <v>944</v>
      </c>
    </row>
    <row r="337" spans="1:22" hidden="1" x14ac:dyDescent="0.25">
      <c r="A337" s="269">
        <v>43479</v>
      </c>
      <c r="B337" s="270">
        <v>2019</v>
      </c>
      <c r="C337" s="270">
        <v>2019</v>
      </c>
      <c r="D337" s="270">
        <v>1</v>
      </c>
      <c r="E337" s="270">
        <v>1</v>
      </c>
      <c r="F337" s="270" t="s">
        <v>944</v>
      </c>
      <c r="G337" s="270" t="s">
        <v>3926</v>
      </c>
      <c r="H337" s="270" t="s">
        <v>4396</v>
      </c>
      <c r="I337" s="270" t="s">
        <v>3025</v>
      </c>
      <c r="J337" s="270" t="s">
        <v>3928</v>
      </c>
      <c r="K337" s="270">
        <v>6473</v>
      </c>
      <c r="L337" s="270">
        <v>167202</v>
      </c>
      <c r="M337" s="270" t="s">
        <v>3935</v>
      </c>
      <c r="N337" s="270" t="s">
        <v>3944</v>
      </c>
      <c r="O337" s="270">
        <v>2365.16</v>
      </c>
      <c r="P337" s="270" t="s">
        <v>3944</v>
      </c>
      <c r="Q337" s="270" t="s">
        <v>3944</v>
      </c>
      <c r="R337" s="270">
        <v>2365.16</v>
      </c>
      <c r="S337" s="270">
        <v>34724.980000000003</v>
      </c>
      <c r="T337" s="270">
        <v>37090.14</v>
      </c>
      <c r="U337" s="271" t="s">
        <v>3945</v>
      </c>
      <c r="V337" s="267" t="s">
        <v>944</v>
      </c>
    </row>
    <row r="338" spans="1:22" hidden="1" x14ac:dyDescent="0.25">
      <c r="A338" s="266">
        <v>43479</v>
      </c>
      <c r="B338" s="267">
        <v>2019</v>
      </c>
      <c r="C338" s="267">
        <v>2019</v>
      </c>
      <c r="D338" s="267">
        <v>1</v>
      </c>
      <c r="E338" s="267">
        <v>1</v>
      </c>
      <c r="F338" s="267" t="s">
        <v>944</v>
      </c>
      <c r="G338" s="267" t="s">
        <v>3926</v>
      </c>
      <c r="H338" s="267" t="s">
        <v>4397</v>
      </c>
      <c r="I338" s="267" t="s">
        <v>4323</v>
      </c>
      <c r="J338" s="267" t="s">
        <v>3928</v>
      </c>
      <c r="K338" s="267">
        <v>6375</v>
      </c>
      <c r="L338" s="267">
        <v>693600</v>
      </c>
      <c r="M338" s="267" t="s">
        <v>3960</v>
      </c>
      <c r="N338" s="267" t="s">
        <v>3944</v>
      </c>
      <c r="O338" s="267">
        <v>1310.96</v>
      </c>
      <c r="P338" s="267" t="s">
        <v>3944</v>
      </c>
      <c r="Q338" s="267" t="s">
        <v>3944</v>
      </c>
      <c r="R338" s="267">
        <v>1310.96</v>
      </c>
      <c r="S338" s="267">
        <v>18735.900000000001</v>
      </c>
      <c r="T338" s="267">
        <v>20046.86</v>
      </c>
      <c r="U338" s="268" t="s">
        <v>3945</v>
      </c>
      <c r="V338" s="267" t="s">
        <v>944</v>
      </c>
    </row>
    <row r="339" spans="1:22" hidden="1" x14ac:dyDescent="0.25">
      <c r="A339" s="269">
        <v>43479</v>
      </c>
      <c r="B339" s="270">
        <v>2019</v>
      </c>
      <c r="C339" s="270">
        <v>2019</v>
      </c>
      <c r="D339" s="270">
        <v>1</v>
      </c>
      <c r="E339" s="270">
        <v>1</v>
      </c>
      <c r="F339" s="270" t="s">
        <v>944</v>
      </c>
      <c r="G339" s="270" t="s">
        <v>3926</v>
      </c>
      <c r="H339" s="270" t="s">
        <v>4398</v>
      </c>
      <c r="I339" s="270" t="s">
        <v>956</v>
      </c>
      <c r="J339" s="270" t="s">
        <v>3928</v>
      </c>
      <c r="K339" s="270">
        <v>6614</v>
      </c>
      <c r="L339" s="270">
        <v>81200</v>
      </c>
      <c r="M339" s="270" t="s">
        <v>3943</v>
      </c>
      <c r="N339" s="270" t="s">
        <v>3944</v>
      </c>
      <c r="O339" s="270">
        <v>1127.81</v>
      </c>
      <c r="P339" s="270" t="s">
        <v>3944</v>
      </c>
      <c r="Q339" s="270" t="s">
        <v>3944</v>
      </c>
      <c r="R339" s="270">
        <v>1127.81</v>
      </c>
      <c r="S339" s="270">
        <v>8871.19</v>
      </c>
      <c r="T339" s="270">
        <v>9999</v>
      </c>
      <c r="U339" s="271" t="s">
        <v>3945</v>
      </c>
      <c r="V339" s="267" t="s">
        <v>944</v>
      </c>
    </row>
    <row r="340" spans="1:22" hidden="1" x14ac:dyDescent="0.25">
      <c r="A340" s="266">
        <v>43479</v>
      </c>
      <c r="B340" s="267">
        <v>2019</v>
      </c>
      <c r="C340" s="267">
        <v>2019</v>
      </c>
      <c r="D340" s="267">
        <v>1</v>
      </c>
      <c r="E340" s="267">
        <v>1</v>
      </c>
      <c r="F340" s="267" t="s">
        <v>944</v>
      </c>
      <c r="G340" s="267" t="s">
        <v>3926</v>
      </c>
      <c r="H340" s="267" t="s">
        <v>4399</v>
      </c>
      <c r="I340" s="267" t="s">
        <v>950</v>
      </c>
      <c r="J340" s="267" t="s">
        <v>3928</v>
      </c>
      <c r="K340" s="267">
        <v>6516</v>
      </c>
      <c r="L340" s="267">
        <v>155000</v>
      </c>
      <c r="M340" s="267" t="s">
        <v>3940</v>
      </c>
      <c r="N340" s="267" t="s">
        <v>3944</v>
      </c>
      <c r="O340" s="267">
        <v>1536.19</v>
      </c>
      <c r="P340" s="267" t="s">
        <v>3944</v>
      </c>
      <c r="Q340" s="267" t="s">
        <v>3944</v>
      </c>
      <c r="R340" s="267">
        <v>1536.19</v>
      </c>
      <c r="S340" s="267">
        <v>23411.81</v>
      </c>
      <c r="T340" s="267">
        <v>24948</v>
      </c>
      <c r="U340" s="268" t="s">
        <v>3945</v>
      </c>
      <c r="V340" s="267" t="s">
        <v>944</v>
      </c>
    </row>
    <row r="341" spans="1:22" hidden="1" x14ac:dyDescent="0.25">
      <c r="A341" s="269">
        <v>43479</v>
      </c>
      <c r="B341" s="270">
        <v>2019</v>
      </c>
      <c r="C341" s="270">
        <v>2019</v>
      </c>
      <c r="D341" s="270">
        <v>1</v>
      </c>
      <c r="E341" s="270">
        <v>1</v>
      </c>
      <c r="F341" s="270" t="s">
        <v>944</v>
      </c>
      <c r="G341" s="270" t="s">
        <v>3926</v>
      </c>
      <c r="H341" s="270" t="s">
        <v>4400</v>
      </c>
      <c r="I341" s="270" t="s">
        <v>3012</v>
      </c>
      <c r="J341" s="270" t="s">
        <v>3928</v>
      </c>
      <c r="K341" s="270">
        <v>6477</v>
      </c>
      <c r="L341" s="270">
        <v>157400</v>
      </c>
      <c r="M341" s="270" t="s">
        <v>3943</v>
      </c>
      <c r="N341" s="270" t="s">
        <v>3944</v>
      </c>
      <c r="O341" s="270">
        <v>1150.6300000000001</v>
      </c>
      <c r="P341" s="270" t="s">
        <v>3944</v>
      </c>
      <c r="Q341" s="270" t="s">
        <v>3944</v>
      </c>
      <c r="R341" s="270">
        <v>1150.6300000000001</v>
      </c>
      <c r="S341" s="270">
        <v>18208.759999999998</v>
      </c>
      <c r="T341" s="270">
        <v>19359.39</v>
      </c>
      <c r="U341" s="271" t="s">
        <v>3945</v>
      </c>
      <c r="V341" s="267" t="s">
        <v>944</v>
      </c>
    </row>
    <row r="342" spans="1:22" hidden="1" x14ac:dyDescent="0.25">
      <c r="A342" s="266">
        <v>43479</v>
      </c>
      <c r="B342" s="267">
        <v>2019</v>
      </c>
      <c r="C342" s="267">
        <v>2019</v>
      </c>
      <c r="D342" s="267">
        <v>1</v>
      </c>
      <c r="E342" s="267">
        <v>1</v>
      </c>
      <c r="F342" s="267" t="s">
        <v>944</v>
      </c>
      <c r="G342" s="267" t="s">
        <v>3926</v>
      </c>
      <c r="H342" s="267" t="s">
        <v>4401</v>
      </c>
      <c r="I342" s="267" t="s">
        <v>4005</v>
      </c>
      <c r="J342" s="267" t="s">
        <v>3928</v>
      </c>
      <c r="K342" s="267">
        <v>6118</v>
      </c>
      <c r="L342" s="267">
        <v>511100</v>
      </c>
      <c r="M342" s="267" t="s">
        <v>3960</v>
      </c>
      <c r="N342" s="267" t="s">
        <v>3944</v>
      </c>
      <c r="O342" s="267">
        <v>4694.2</v>
      </c>
      <c r="P342" s="267" t="s">
        <v>3944</v>
      </c>
      <c r="Q342" s="267" t="s">
        <v>3944</v>
      </c>
      <c r="R342" s="267">
        <v>4694.2</v>
      </c>
      <c r="S342" s="267">
        <v>66046.12</v>
      </c>
      <c r="T342" s="267">
        <v>70740.320000000007</v>
      </c>
      <c r="U342" s="268" t="s">
        <v>3945</v>
      </c>
      <c r="V342" s="267" t="s">
        <v>944</v>
      </c>
    </row>
    <row r="343" spans="1:22" hidden="1" x14ac:dyDescent="0.25">
      <c r="A343" s="269">
        <v>43479</v>
      </c>
      <c r="B343" s="270">
        <v>2019</v>
      </c>
      <c r="C343" s="270">
        <v>2019</v>
      </c>
      <c r="D343" s="270">
        <v>1</v>
      </c>
      <c r="E343" s="270">
        <v>1</v>
      </c>
      <c r="F343" s="270" t="s">
        <v>944</v>
      </c>
      <c r="G343" s="270" t="s">
        <v>3926</v>
      </c>
      <c r="H343" s="270" t="s">
        <v>4402</v>
      </c>
      <c r="I343" s="270" t="s">
        <v>4213</v>
      </c>
      <c r="J343" s="270" t="s">
        <v>3928</v>
      </c>
      <c r="K343" s="270">
        <v>6052</v>
      </c>
      <c r="L343" s="270">
        <v>416400</v>
      </c>
      <c r="M343" s="270" t="s">
        <v>3960</v>
      </c>
      <c r="N343" s="270" t="s">
        <v>3944</v>
      </c>
      <c r="O343" s="270">
        <v>1630.55</v>
      </c>
      <c r="P343" s="270" t="s">
        <v>3944</v>
      </c>
      <c r="Q343" s="270" t="s">
        <v>3944</v>
      </c>
      <c r="R343" s="270">
        <v>1630.55</v>
      </c>
      <c r="S343" s="270">
        <v>23815.32</v>
      </c>
      <c r="T343" s="270">
        <v>25445.87</v>
      </c>
      <c r="U343" s="271" t="s">
        <v>3945</v>
      </c>
      <c r="V343" s="267" t="s">
        <v>944</v>
      </c>
    </row>
    <row r="344" spans="1:22" hidden="1" x14ac:dyDescent="0.25">
      <c r="A344" s="266">
        <v>43479</v>
      </c>
      <c r="B344" s="267">
        <v>2019</v>
      </c>
      <c r="C344" s="267">
        <v>2019</v>
      </c>
      <c r="D344" s="267">
        <v>1</v>
      </c>
      <c r="E344" s="267">
        <v>1</v>
      </c>
      <c r="F344" s="267" t="s">
        <v>944</v>
      </c>
      <c r="G344" s="267" t="s">
        <v>3926</v>
      </c>
      <c r="H344" s="267" t="s">
        <v>4403</v>
      </c>
      <c r="I344" s="267" t="s">
        <v>3954</v>
      </c>
      <c r="J344" s="267" t="s">
        <v>3928</v>
      </c>
      <c r="K344" s="267">
        <v>6357</v>
      </c>
      <c r="L344" s="267">
        <v>870701</v>
      </c>
      <c r="M344" s="267" t="s">
        <v>3960</v>
      </c>
      <c r="N344" s="267" t="s">
        <v>3944</v>
      </c>
      <c r="O344" s="267">
        <v>1997.24</v>
      </c>
      <c r="P344" s="267" t="s">
        <v>3944</v>
      </c>
      <c r="Q344" s="267" t="s">
        <v>3944</v>
      </c>
      <c r="R344" s="267">
        <v>1997.24</v>
      </c>
      <c r="S344" s="267">
        <v>27158.89</v>
      </c>
      <c r="T344" s="267">
        <v>29156.13</v>
      </c>
      <c r="U344" s="268" t="s">
        <v>3945</v>
      </c>
      <c r="V344" s="267" t="s">
        <v>944</v>
      </c>
    </row>
    <row r="345" spans="1:22" hidden="1" x14ac:dyDescent="0.25">
      <c r="A345" s="269">
        <v>43479</v>
      </c>
      <c r="B345" s="270">
        <v>2019</v>
      </c>
      <c r="C345" s="270">
        <v>2019</v>
      </c>
      <c r="D345" s="270">
        <v>1</v>
      </c>
      <c r="E345" s="270">
        <v>1</v>
      </c>
      <c r="F345" s="270" t="s">
        <v>944</v>
      </c>
      <c r="G345" s="270" t="s">
        <v>3926</v>
      </c>
      <c r="H345" s="270" t="s">
        <v>4404</v>
      </c>
      <c r="I345" s="270" t="s">
        <v>3010</v>
      </c>
      <c r="J345" s="270" t="s">
        <v>3928</v>
      </c>
      <c r="K345" s="270">
        <v>6401</v>
      </c>
      <c r="L345" s="270">
        <v>125200</v>
      </c>
      <c r="M345" s="270">
        <v>-60</v>
      </c>
      <c r="N345" s="270" t="s">
        <v>3944</v>
      </c>
      <c r="O345" s="270">
        <v>1675.77</v>
      </c>
      <c r="P345" s="270" t="s">
        <v>3944</v>
      </c>
      <c r="Q345" s="270" t="s">
        <v>3944</v>
      </c>
      <c r="R345" s="270">
        <v>1675.77</v>
      </c>
      <c r="S345" s="270">
        <v>26953.040000000001</v>
      </c>
      <c r="T345" s="270">
        <v>28628.81</v>
      </c>
      <c r="U345" s="271" t="s">
        <v>3945</v>
      </c>
      <c r="V345" s="267" t="s">
        <v>944</v>
      </c>
    </row>
    <row r="346" spans="1:22" hidden="1" x14ac:dyDescent="0.25">
      <c r="A346" s="266">
        <v>43479</v>
      </c>
      <c r="B346" s="267">
        <v>2019</v>
      </c>
      <c r="C346" s="267">
        <v>2019</v>
      </c>
      <c r="D346" s="267">
        <v>1</v>
      </c>
      <c r="E346" s="267">
        <v>1</v>
      </c>
      <c r="F346" s="267" t="s">
        <v>944</v>
      </c>
      <c r="G346" s="267" t="s">
        <v>3926</v>
      </c>
      <c r="H346" s="267" t="s">
        <v>4405</v>
      </c>
      <c r="I346" s="267" t="s">
        <v>3939</v>
      </c>
      <c r="J346" s="267" t="s">
        <v>3928</v>
      </c>
      <c r="K346" s="267">
        <v>6512</v>
      </c>
      <c r="L346" s="267">
        <v>180601</v>
      </c>
      <c r="M346" s="267" t="s">
        <v>3940</v>
      </c>
      <c r="N346" s="267" t="s">
        <v>3944</v>
      </c>
      <c r="O346" s="267">
        <v>3307.15</v>
      </c>
      <c r="P346" s="267" t="s">
        <v>3944</v>
      </c>
      <c r="Q346" s="267" t="s">
        <v>3944</v>
      </c>
      <c r="R346" s="267">
        <v>3307.15</v>
      </c>
      <c r="S346" s="267">
        <v>54750.19</v>
      </c>
      <c r="T346" s="267">
        <v>58057.34</v>
      </c>
      <c r="U346" s="268" t="s">
        <v>3945</v>
      </c>
      <c r="V346" s="267" t="s">
        <v>944</v>
      </c>
    </row>
    <row r="347" spans="1:22" hidden="1" x14ac:dyDescent="0.25">
      <c r="A347" s="269">
        <v>43479</v>
      </c>
      <c r="B347" s="270">
        <v>2019</v>
      </c>
      <c r="C347" s="270">
        <v>2019</v>
      </c>
      <c r="D347" s="270">
        <v>1</v>
      </c>
      <c r="E347" s="270">
        <v>1</v>
      </c>
      <c r="F347" s="270" t="s">
        <v>944</v>
      </c>
      <c r="G347" s="270" t="s">
        <v>3926</v>
      </c>
      <c r="H347" s="270" t="s">
        <v>4406</v>
      </c>
      <c r="I347" s="270" t="s">
        <v>4407</v>
      </c>
      <c r="J347" s="270" t="s">
        <v>3928</v>
      </c>
      <c r="K347" s="270">
        <v>6238</v>
      </c>
      <c r="L347" s="270">
        <v>850200</v>
      </c>
      <c r="M347" s="270" t="s">
        <v>3960</v>
      </c>
      <c r="N347" s="270" t="s">
        <v>3944</v>
      </c>
      <c r="O347" s="270">
        <v>1624.74</v>
      </c>
      <c r="P347" s="270" t="s">
        <v>3944</v>
      </c>
      <c r="Q347" s="270" t="s">
        <v>3944</v>
      </c>
      <c r="R347" s="270">
        <v>1624.74</v>
      </c>
      <c r="S347" s="270">
        <v>17922.259999999998</v>
      </c>
      <c r="T347" s="270">
        <v>19547</v>
      </c>
      <c r="U347" s="271" t="s">
        <v>3945</v>
      </c>
      <c r="V347" s="267" t="s">
        <v>944</v>
      </c>
    </row>
    <row r="348" spans="1:22" x14ac:dyDescent="0.25">
      <c r="A348" s="266">
        <v>43479</v>
      </c>
      <c r="B348" s="267">
        <v>2019</v>
      </c>
      <c r="C348" s="267">
        <v>2019</v>
      </c>
      <c r="D348" s="267">
        <v>1</v>
      </c>
      <c r="E348" s="267">
        <v>1</v>
      </c>
      <c r="F348" s="267" t="s">
        <v>944</v>
      </c>
      <c r="G348" s="267" t="s">
        <v>3926</v>
      </c>
      <c r="H348" s="267" t="s">
        <v>4408</v>
      </c>
      <c r="I348" s="267" t="s">
        <v>943</v>
      </c>
      <c r="J348" s="267" t="s">
        <v>3928</v>
      </c>
      <c r="K348" s="267">
        <v>6519</v>
      </c>
      <c r="L348" s="267">
        <v>140500</v>
      </c>
      <c r="M348" s="267">
        <v>-60</v>
      </c>
      <c r="N348" s="267" t="s">
        <v>3944</v>
      </c>
      <c r="O348" s="267">
        <v>2041.83</v>
      </c>
      <c r="P348" s="267" t="s">
        <v>3944</v>
      </c>
      <c r="Q348" s="267" t="s">
        <v>3944</v>
      </c>
      <c r="R348" s="267">
        <v>2041.83</v>
      </c>
      <c r="S348" s="267">
        <v>29720.26</v>
      </c>
      <c r="T348" s="267">
        <v>31762.09</v>
      </c>
      <c r="U348" s="268" t="s">
        <v>3945</v>
      </c>
      <c r="V348" s="276" t="s">
        <v>936</v>
      </c>
    </row>
    <row r="349" spans="1:22" hidden="1" x14ac:dyDescent="0.25">
      <c r="A349" s="269">
        <v>43479</v>
      </c>
      <c r="B349" s="270">
        <v>2019</v>
      </c>
      <c r="C349" s="270">
        <v>2019</v>
      </c>
      <c r="D349" s="270">
        <v>1</v>
      </c>
      <c r="E349" s="270">
        <v>1</v>
      </c>
      <c r="F349" s="270" t="s">
        <v>944</v>
      </c>
      <c r="G349" s="270" t="s">
        <v>3926</v>
      </c>
      <c r="H349" s="270" t="s">
        <v>4409</v>
      </c>
      <c r="I349" s="270" t="s">
        <v>3025</v>
      </c>
      <c r="J349" s="270" t="s">
        <v>3928</v>
      </c>
      <c r="K349" s="270">
        <v>6473</v>
      </c>
      <c r="L349" s="270">
        <v>167100</v>
      </c>
      <c r="M349" s="270" t="s">
        <v>3943</v>
      </c>
      <c r="N349" s="270" t="s">
        <v>3944</v>
      </c>
      <c r="O349" s="270">
        <v>2741.59</v>
      </c>
      <c r="P349" s="270" t="s">
        <v>3944</v>
      </c>
      <c r="Q349" s="270" t="s">
        <v>3944</v>
      </c>
      <c r="R349" s="270">
        <v>2741.59</v>
      </c>
      <c r="S349" s="270">
        <v>43217.760000000002</v>
      </c>
      <c r="T349" s="270">
        <v>45959.35</v>
      </c>
      <c r="U349" s="271" t="s">
        <v>3945</v>
      </c>
      <c r="V349" s="267" t="s">
        <v>944</v>
      </c>
    </row>
    <row r="350" spans="1:22" hidden="1" x14ac:dyDescent="0.25">
      <c r="A350" s="266">
        <v>43479</v>
      </c>
      <c r="B350" s="267">
        <v>2019</v>
      </c>
      <c r="C350" s="267">
        <v>2019</v>
      </c>
      <c r="D350" s="267">
        <v>1</v>
      </c>
      <c r="E350" s="267">
        <v>1</v>
      </c>
      <c r="F350" s="267" t="s">
        <v>944</v>
      </c>
      <c r="G350" s="267" t="s">
        <v>3926</v>
      </c>
      <c r="H350" s="267" t="s">
        <v>4410</v>
      </c>
      <c r="I350" s="267" t="s">
        <v>953</v>
      </c>
      <c r="J350" s="267" t="s">
        <v>3928</v>
      </c>
      <c r="K350" s="267">
        <v>6517</v>
      </c>
      <c r="L350" s="267">
        <v>165400</v>
      </c>
      <c r="M350" s="267" t="s">
        <v>3935</v>
      </c>
      <c r="N350" s="267" t="s">
        <v>3944</v>
      </c>
      <c r="O350" s="267">
        <v>1179.8900000000001</v>
      </c>
      <c r="P350" s="267" t="s">
        <v>3944</v>
      </c>
      <c r="Q350" s="267" t="s">
        <v>3944</v>
      </c>
      <c r="R350" s="267">
        <v>1179.8900000000001</v>
      </c>
      <c r="S350" s="267">
        <v>17888.25</v>
      </c>
      <c r="T350" s="267">
        <v>19068.14</v>
      </c>
      <c r="U350" s="268" t="s">
        <v>3945</v>
      </c>
      <c r="V350" s="267" t="s">
        <v>944</v>
      </c>
    </row>
    <row r="351" spans="1:22" hidden="1" x14ac:dyDescent="0.25">
      <c r="A351" s="269">
        <v>43479</v>
      </c>
      <c r="B351" s="270">
        <v>2019</v>
      </c>
      <c r="C351" s="270">
        <v>2019</v>
      </c>
      <c r="D351" s="270">
        <v>1</v>
      </c>
      <c r="E351" s="270">
        <v>1</v>
      </c>
      <c r="F351" s="270" t="s">
        <v>944</v>
      </c>
      <c r="G351" s="270" t="s">
        <v>3926</v>
      </c>
      <c r="H351" s="270" t="s">
        <v>4411</v>
      </c>
      <c r="I351" s="270" t="s">
        <v>4114</v>
      </c>
      <c r="J351" s="270" t="s">
        <v>3928</v>
      </c>
      <c r="K351" s="270">
        <v>6410</v>
      </c>
      <c r="L351" s="270">
        <v>343200</v>
      </c>
      <c r="M351" s="270" t="s">
        <v>3943</v>
      </c>
      <c r="N351" s="270" t="s">
        <v>3944</v>
      </c>
      <c r="O351" s="270">
        <v>2294.4299999999998</v>
      </c>
      <c r="P351" s="270" t="s">
        <v>3944</v>
      </c>
      <c r="Q351" s="270" t="s">
        <v>3944</v>
      </c>
      <c r="R351" s="270">
        <v>2294.4299999999998</v>
      </c>
      <c r="S351" s="270">
        <v>33715.1</v>
      </c>
      <c r="T351" s="270">
        <v>36009.53</v>
      </c>
      <c r="U351" s="271" t="s">
        <v>3945</v>
      </c>
      <c r="V351" s="267" t="s">
        <v>944</v>
      </c>
    </row>
    <row r="352" spans="1:22" hidden="1" x14ac:dyDescent="0.25">
      <c r="A352" s="266">
        <v>43480</v>
      </c>
      <c r="B352" s="267">
        <v>2019</v>
      </c>
      <c r="C352" s="267">
        <v>2019</v>
      </c>
      <c r="D352" s="267">
        <v>1</v>
      </c>
      <c r="E352" s="267">
        <v>1</v>
      </c>
      <c r="F352" s="267" t="s">
        <v>944</v>
      </c>
      <c r="G352" s="267" t="s">
        <v>3926</v>
      </c>
      <c r="H352" s="267" t="s">
        <v>4412</v>
      </c>
      <c r="I352" s="267" t="s">
        <v>956</v>
      </c>
      <c r="J352" s="267" t="s">
        <v>3928</v>
      </c>
      <c r="K352" s="267">
        <v>6615</v>
      </c>
      <c r="L352" s="267">
        <v>80500</v>
      </c>
      <c r="M352" s="267" t="s">
        <v>3960</v>
      </c>
      <c r="N352" s="267" t="s">
        <v>4413</v>
      </c>
      <c r="O352" s="267">
        <v>0</v>
      </c>
      <c r="P352" s="267" t="s">
        <v>3930</v>
      </c>
      <c r="Q352" s="267" t="s">
        <v>3930</v>
      </c>
      <c r="R352" s="267">
        <v>0</v>
      </c>
      <c r="S352" s="267">
        <v>7300</v>
      </c>
      <c r="T352" s="267">
        <v>7300</v>
      </c>
      <c r="U352" s="268" t="s">
        <v>3937</v>
      </c>
      <c r="V352" s="267" t="s">
        <v>944</v>
      </c>
    </row>
    <row r="353" spans="1:22" hidden="1" x14ac:dyDescent="0.25">
      <c r="A353" s="269">
        <v>43480</v>
      </c>
      <c r="B353" s="270">
        <v>2019</v>
      </c>
      <c r="C353" s="270">
        <v>2019</v>
      </c>
      <c r="D353" s="270">
        <v>1</v>
      </c>
      <c r="E353" s="270">
        <v>1</v>
      </c>
      <c r="F353" s="270" t="s">
        <v>944</v>
      </c>
      <c r="G353" s="270" t="s">
        <v>3926</v>
      </c>
      <c r="H353" s="270" t="s">
        <v>4414</v>
      </c>
      <c r="I353" s="270" t="s">
        <v>3968</v>
      </c>
      <c r="J353" s="270" t="s">
        <v>3928</v>
      </c>
      <c r="K353" s="270">
        <v>6040</v>
      </c>
      <c r="L353" s="270">
        <v>514600</v>
      </c>
      <c r="M353" s="270" t="s">
        <v>3940</v>
      </c>
      <c r="N353" s="270" t="s">
        <v>4415</v>
      </c>
      <c r="O353" s="270">
        <v>0</v>
      </c>
      <c r="P353" s="270" t="s">
        <v>3930</v>
      </c>
      <c r="Q353" s="270" t="s">
        <v>3930</v>
      </c>
      <c r="R353" s="270">
        <v>0</v>
      </c>
      <c r="S353" s="270">
        <v>7521</v>
      </c>
      <c r="T353" s="270">
        <v>7521</v>
      </c>
      <c r="U353" s="271" t="s">
        <v>3937</v>
      </c>
      <c r="V353" s="267" t="s">
        <v>944</v>
      </c>
    </row>
    <row r="354" spans="1:22" x14ac:dyDescent="0.25">
      <c r="A354" s="266">
        <v>43480</v>
      </c>
      <c r="B354" s="267">
        <v>2019</v>
      </c>
      <c r="C354" s="267">
        <v>2019</v>
      </c>
      <c r="D354" s="267">
        <v>1</v>
      </c>
      <c r="E354" s="267">
        <v>1</v>
      </c>
      <c r="F354" s="267" t="s">
        <v>944</v>
      </c>
      <c r="G354" s="267" t="s">
        <v>3997</v>
      </c>
      <c r="H354" s="267" t="s">
        <v>4416</v>
      </c>
      <c r="I354" s="267" t="s">
        <v>934</v>
      </c>
      <c r="J354" s="267" t="s">
        <v>3928</v>
      </c>
      <c r="K354" s="267">
        <v>6607</v>
      </c>
      <c r="L354" s="267">
        <v>74400</v>
      </c>
      <c r="M354" s="267">
        <v>-60</v>
      </c>
      <c r="N354" s="267" t="s">
        <v>3983</v>
      </c>
      <c r="O354" s="267">
        <v>0</v>
      </c>
      <c r="P354" s="267" t="s">
        <v>3930</v>
      </c>
      <c r="Q354" s="267" t="s">
        <v>3931</v>
      </c>
      <c r="R354" s="267">
        <v>5000</v>
      </c>
      <c r="S354" s="267">
        <v>16504</v>
      </c>
      <c r="T354" s="267">
        <v>21504</v>
      </c>
      <c r="U354" s="268" t="s">
        <v>3932</v>
      </c>
      <c r="V354" s="276" t="s">
        <v>936</v>
      </c>
    </row>
    <row r="355" spans="1:22" hidden="1" x14ac:dyDescent="0.25">
      <c r="A355" s="269">
        <v>43480</v>
      </c>
      <c r="B355" s="270">
        <v>2019</v>
      </c>
      <c r="C355" s="270">
        <v>2019</v>
      </c>
      <c r="D355" s="270">
        <v>1</v>
      </c>
      <c r="E355" s="270">
        <v>1</v>
      </c>
      <c r="F355" s="270" t="s">
        <v>944</v>
      </c>
      <c r="G355" s="270" t="s">
        <v>3926</v>
      </c>
      <c r="H355" s="270" t="s">
        <v>4417</v>
      </c>
      <c r="I355" s="270" t="s">
        <v>3026</v>
      </c>
      <c r="J355" s="270" t="s">
        <v>3928</v>
      </c>
      <c r="K355" s="270">
        <v>6472</v>
      </c>
      <c r="L355" s="270">
        <v>186200</v>
      </c>
      <c r="M355" s="270" t="s">
        <v>3960</v>
      </c>
      <c r="N355" s="270" t="s">
        <v>4418</v>
      </c>
      <c r="O355" s="270">
        <v>0</v>
      </c>
      <c r="P355" s="270" t="s">
        <v>3930</v>
      </c>
      <c r="Q355" s="270" t="s">
        <v>3930</v>
      </c>
      <c r="R355" s="270">
        <v>0</v>
      </c>
      <c r="S355" s="270">
        <v>9406</v>
      </c>
      <c r="T355" s="270">
        <v>9406</v>
      </c>
      <c r="U355" s="271" t="s">
        <v>3937</v>
      </c>
      <c r="V355" s="267" t="s">
        <v>944</v>
      </c>
    </row>
    <row r="356" spans="1:22" hidden="1" x14ac:dyDescent="0.25">
      <c r="A356" s="266">
        <v>43480</v>
      </c>
      <c r="B356" s="267">
        <v>2019</v>
      </c>
      <c r="C356" s="267">
        <v>2019</v>
      </c>
      <c r="D356" s="267">
        <v>1</v>
      </c>
      <c r="E356" s="267">
        <v>1</v>
      </c>
      <c r="F356" s="267" t="s">
        <v>944</v>
      </c>
      <c r="G356" s="267" t="s">
        <v>3926</v>
      </c>
      <c r="H356" s="267" t="s">
        <v>4419</v>
      </c>
      <c r="I356" s="267" t="s">
        <v>4124</v>
      </c>
      <c r="J356" s="267" t="s">
        <v>3928</v>
      </c>
      <c r="K356" s="267">
        <v>6470</v>
      </c>
      <c r="L356" s="267">
        <v>230400</v>
      </c>
      <c r="M356" s="267" t="s">
        <v>3943</v>
      </c>
      <c r="N356" s="267" t="s">
        <v>4420</v>
      </c>
      <c r="O356" s="267">
        <v>0</v>
      </c>
      <c r="P356" s="267" t="s">
        <v>3930</v>
      </c>
      <c r="Q356" s="267" t="s">
        <v>3930</v>
      </c>
      <c r="R356" s="267">
        <v>0</v>
      </c>
      <c r="S356" s="267">
        <v>14565</v>
      </c>
      <c r="T356" s="267">
        <v>14565</v>
      </c>
      <c r="U356" s="268" t="s">
        <v>3937</v>
      </c>
      <c r="V356" s="267" t="s">
        <v>944</v>
      </c>
    </row>
    <row r="357" spans="1:22" hidden="1" x14ac:dyDescent="0.25">
      <c r="A357" s="269">
        <v>43480</v>
      </c>
      <c r="B357" s="270">
        <v>2019</v>
      </c>
      <c r="C357" s="270">
        <v>2019</v>
      </c>
      <c r="D357" s="270">
        <v>1</v>
      </c>
      <c r="E357" s="270">
        <v>1</v>
      </c>
      <c r="F357" s="270" t="s">
        <v>944</v>
      </c>
      <c r="G357" s="270" t="s">
        <v>3926</v>
      </c>
      <c r="H357" s="270" t="s">
        <v>4421</v>
      </c>
      <c r="I357" s="270" t="s">
        <v>4422</v>
      </c>
      <c r="J357" s="270" t="s">
        <v>3928</v>
      </c>
      <c r="K357" s="270">
        <v>6801</v>
      </c>
      <c r="L357" s="270">
        <v>200302</v>
      </c>
      <c r="M357" s="270" t="s">
        <v>3943</v>
      </c>
      <c r="N357" s="270" t="s">
        <v>4103</v>
      </c>
      <c r="O357" s="270">
        <v>3744.36</v>
      </c>
      <c r="P357" s="270" t="s">
        <v>3930</v>
      </c>
      <c r="Q357" s="270" t="s">
        <v>3931</v>
      </c>
      <c r="R357" s="270">
        <v>8744.36</v>
      </c>
      <c r="S357" s="270">
        <v>24145.599999999999</v>
      </c>
      <c r="T357" s="270">
        <v>32889.96</v>
      </c>
      <c r="U357" s="271" t="s">
        <v>3932</v>
      </c>
      <c r="V357" s="267" t="s">
        <v>944</v>
      </c>
    </row>
    <row r="358" spans="1:22" hidden="1" x14ac:dyDescent="0.25">
      <c r="A358" s="266">
        <v>43480</v>
      </c>
      <c r="B358" s="267">
        <v>2019</v>
      </c>
      <c r="C358" s="267">
        <v>2019</v>
      </c>
      <c r="D358" s="267">
        <v>1</v>
      </c>
      <c r="E358" s="267">
        <v>1</v>
      </c>
      <c r="F358" s="267" t="s">
        <v>944</v>
      </c>
      <c r="G358" s="267" t="s">
        <v>3926</v>
      </c>
      <c r="H358" s="267" t="s">
        <v>4423</v>
      </c>
      <c r="I358" s="267" t="s">
        <v>4424</v>
      </c>
      <c r="J358" s="267" t="s">
        <v>3928</v>
      </c>
      <c r="K358" s="267">
        <v>6417</v>
      </c>
      <c r="L358" s="267">
        <v>620100</v>
      </c>
      <c r="M358" s="267" t="s">
        <v>3935</v>
      </c>
      <c r="N358" s="267" t="s">
        <v>4103</v>
      </c>
      <c r="O358" s="267">
        <v>1570</v>
      </c>
      <c r="P358" s="267" t="s">
        <v>3930</v>
      </c>
      <c r="Q358" s="267" t="s">
        <v>3931</v>
      </c>
      <c r="R358" s="267">
        <v>6570</v>
      </c>
      <c r="S358" s="267">
        <v>24145.599999999999</v>
      </c>
      <c r="T358" s="267">
        <v>30715.599999999999</v>
      </c>
      <c r="U358" s="268" t="s">
        <v>3932</v>
      </c>
      <c r="V358" s="267" t="s">
        <v>944</v>
      </c>
    </row>
    <row r="359" spans="1:22" hidden="1" x14ac:dyDescent="0.25">
      <c r="A359" s="269">
        <v>43480</v>
      </c>
      <c r="B359" s="270">
        <v>2019</v>
      </c>
      <c r="C359" s="270">
        <v>2019</v>
      </c>
      <c r="D359" s="270">
        <v>1</v>
      </c>
      <c r="E359" s="270">
        <v>1</v>
      </c>
      <c r="F359" s="270" t="s">
        <v>944</v>
      </c>
      <c r="G359" s="270" t="s">
        <v>3926</v>
      </c>
      <c r="H359" s="270" t="s">
        <v>4425</v>
      </c>
      <c r="I359" s="270" t="s">
        <v>4029</v>
      </c>
      <c r="J359" s="270" t="s">
        <v>3928</v>
      </c>
      <c r="K359" s="270">
        <v>6854</v>
      </c>
      <c r="L359" s="270">
        <v>44400</v>
      </c>
      <c r="M359" s="270" t="s">
        <v>3935</v>
      </c>
      <c r="N359" s="270" t="s">
        <v>3944</v>
      </c>
      <c r="O359" s="270">
        <v>4179</v>
      </c>
      <c r="P359" s="270" t="s">
        <v>3944</v>
      </c>
      <c r="Q359" s="270" t="s">
        <v>3944</v>
      </c>
      <c r="R359" s="270">
        <v>4179</v>
      </c>
      <c r="S359" s="270">
        <v>38438</v>
      </c>
      <c r="T359" s="270">
        <v>42617</v>
      </c>
      <c r="U359" s="271" t="s">
        <v>3945</v>
      </c>
      <c r="V359" s="267" t="s">
        <v>944</v>
      </c>
    </row>
    <row r="360" spans="1:22" hidden="1" x14ac:dyDescent="0.25">
      <c r="A360" s="266">
        <v>43480</v>
      </c>
      <c r="B360" s="267">
        <v>2019</v>
      </c>
      <c r="C360" s="267">
        <v>2019</v>
      </c>
      <c r="D360" s="267">
        <v>1</v>
      </c>
      <c r="E360" s="267">
        <v>1</v>
      </c>
      <c r="F360" s="267" t="s">
        <v>944</v>
      </c>
      <c r="G360" s="267" t="s">
        <v>3926</v>
      </c>
      <c r="H360" s="267" t="s">
        <v>4426</v>
      </c>
      <c r="I360" s="267" t="s">
        <v>3949</v>
      </c>
      <c r="J360" s="267" t="s">
        <v>3928</v>
      </c>
      <c r="K360" s="267">
        <v>6437</v>
      </c>
      <c r="L360" s="267">
        <v>190200</v>
      </c>
      <c r="M360" s="267" t="s">
        <v>3943</v>
      </c>
      <c r="N360" s="267" t="s">
        <v>3944</v>
      </c>
      <c r="O360" s="267">
        <v>2046</v>
      </c>
      <c r="P360" s="267" t="s">
        <v>3944</v>
      </c>
      <c r="Q360" s="267" t="s">
        <v>3944</v>
      </c>
      <c r="R360" s="267">
        <v>2046</v>
      </c>
      <c r="S360" s="267">
        <v>31488</v>
      </c>
      <c r="T360" s="267">
        <v>33534</v>
      </c>
      <c r="U360" s="268" t="s">
        <v>3945</v>
      </c>
      <c r="V360" s="267" t="s">
        <v>944</v>
      </c>
    </row>
    <row r="361" spans="1:22" hidden="1" x14ac:dyDescent="0.25">
      <c r="A361" s="269">
        <v>43480</v>
      </c>
      <c r="B361" s="270">
        <v>2019</v>
      </c>
      <c r="C361" s="270">
        <v>2019</v>
      </c>
      <c r="D361" s="270">
        <v>1</v>
      </c>
      <c r="E361" s="270">
        <v>1</v>
      </c>
      <c r="F361" s="270" t="s">
        <v>944</v>
      </c>
      <c r="G361" s="270" t="s">
        <v>3926</v>
      </c>
      <c r="H361" s="270" t="s">
        <v>4427</v>
      </c>
      <c r="I361" s="270" t="s">
        <v>3962</v>
      </c>
      <c r="J361" s="270" t="s">
        <v>3928</v>
      </c>
      <c r="K361" s="270">
        <v>6355</v>
      </c>
      <c r="L361" s="270">
        <v>705300</v>
      </c>
      <c r="M361" s="270" t="s">
        <v>3960</v>
      </c>
      <c r="N361" s="270" t="s">
        <v>3944</v>
      </c>
      <c r="O361" s="270">
        <v>7187</v>
      </c>
      <c r="P361" s="270" t="s">
        <v>3944</v>
      </c>
      <c r="Q361" s="270" t="s">
        <v>3944</v>
      </c>
      <c r="R361" s="270">
        <v>7187</v>
      </c>
      <c r="S361" s="270">
        <v>60838</v>
      </c>
      <c r="T361" s="270">
        <v>68025</v>
      </c>
      <c r="U361" s="271" t="s">
        <v>3945</v>
      </c>
      <c r="V361" s="267" t="s">
        <v>944</v>
      </c>
    </row>
    <row r="362" spans="1:22" hidden="1" x14ac:dyDescent="0.25">
      <c r="A362" s="266">
        <v>43480</v>
      </c>
      <c r="B362" s="267">
        <v>2019</v>
      </c>
      <c r="C362" s="267">
        <v>2019</v>
      </c>
      <c r="D362" s="267">
        <v>1</v>
      </c>
      <c r="E362" s="267">
        <v>1</v>
      </c>
      <c r="F362" s="267" t="s">
        <v>944</v>
      </c>
      <c r="G362" s="267" t="s">
        <v>3926</v>
      </c>
      <c r="H362" s="267" t="s">
        <v>4428</v>
      </c>
      <c r="I362" s="267" t="s">
        <v>3012</v>
      </c>
      <c r="J362" s="267" t="s">
        <v>3928</v>
      </c>
      <c r="K362" s="267">
        <v>6477</v>
      </c>
      <c r="L362" s="267">
        <v>157200</v>
      </c>
      <c r="M362" s="267" t="s">
        <v>3943</v>
      </c>
      <c r="N362" s="267" t="s">
        <v>3944</v>
      </c>
      <c r="O362" s="267">
        <v>4082</v>
      </c>
      <c r="P362" s="267" t="s">
        <v>3944</v>
      </c>
      <c r="Q362" s="267" t="s">
        <v>3944</v>
      </c>
      <c r="R362" s="267">
        <v>4082</v>
      </c>
      <c r="S362" s="267">
        <v>30180</v>
      </c>
      <c r="T362" s="267">
        <v>34262</v>
      </c>
      <c r="U362" s="268" t="s">
        <v>3945</v>
      </c>
      <c r="V362" s="267" t="s">
        <v>944</v>
      </c>
    </row>
    <row r="363" spans="1:22" hidden="1" x14ac:dyDescent="0.25">
      <c r="A363" s="269">
        <v>43480</v>
      </c>
      <c r="B363" s="270">
        <v>2019</v>
      </c>
      <c r="C363" s="270">
        <v>2019</v>
      </c>
      <c r="D363" s="270">
        <v>1</v>
      </c>
      <c r="E363" s="270">
        <v>1</v>
      </c>
      <c r="F363" s="270" t="s">
        <v>944</v>
      </c>
      <c r="G363" s="270" t="s">
        <v>3926</v>
      </c>
      <c r="H363" s="270" t="s">
        <v>4429</v>
      </c>
      <c r="I363" s="270" t="s">
        <v>3012</v>
      </c>
      <c r="J363" s="270" t="s">
        <v>3928</v>
      </c>
      <c r="K363" s="270">
        <v>6477</v>
      </c>
      <c r="L363" s="270">
        <v>157300</v>
      </c>
      <c r="M363" s="270" t="s">
        <v>3943</v>
      </c>
      <c r="N363" s="270" t="s">
        <v>3944</v>
      </c>
      <c r="O363" s="270">
        <v>1720</v>
      </c>
      <c r="P363" s="270" t="s">
        <v>3944</v>
      </c>
      <c r="Q363" s="270" t="s">
        <v>3944</v>
      </c>
      <c r="R363" s="270">
        <v>1720</v>
      </c>
      <c r="S363" s="270">
        <v>20555</v>
      </c>
      <c r="T363" s="270">
        <v>22275</v>
      </c>
      <c r="U363" s="271" t="s">
        <v>3945</v>
      </c>
      <c r="V363" s="267" t="s">
        <v>944</v>
      </c>
    </row>
    <row r="364" spans="1:22" hidden="1" x14ac:dyDescent="0.25">
      <c r="A364" s="266">
        <v>43480</v>
      </c>
      <c r="B364" s="267">
        <v>2019</v>
      </c>
      <c r="C364" s="267">
        <v>2019</v>
      </c>
      <c r="D364" s="267">
        <v>1</v>
      </c>
      <c r="E364" s="267">
        <v>1</v>
      </c>
      <c r="F364" s="267" t="s">
        <v>944</v>
      </c>
      <c r="G364" s="267" t="s">
        <v>3926</v>
      </c>
      <c r="H364" s="267" t="s">
        <v>4430</v>
      </c>
      <c r="I364" s="267" t="s">
        <v>956</v>
      </c>
      <c r="J364" s="267" t="s">
        <v>3928</v>
      </c>
      <c r="K364" s="267">
        <v>6615</v>
      </c>
      <c r="L364" s="267">
        <v>80500</v>
      </c>
      <c r="M364" s="267" t="s">
        <v>3960</v>
      </c>
      <c r="N364" s="267" t="s">
        <v>3944</v>
      </c>
      <c r="O364" s="267">
        <v>2752</v>
      </c>
      <c r="P364" s="267" t="s">
        <v>3944</v>
      </c>
      <c r="Q364" s="267" t="s">
        <v>3944</v>
      </c>
      <c r="R364" s="267">
        <v>2752</v>
      </c>
      <c r="S364" s="267">
        <v>24377</v>
      </c>
      <c r="T364" s="267">
        <v>27129</v>
      </c>
      <c r="U364" s="268" t="s">
        <v>3945</v>
      </c>
      <c r="V364" s="267" t="s">
        <v>944</v>
      </c>
    </row>
    <row r="365" spans="1:22" hidden="1" x14ac:dyDescent="0.25">
      <c r="A365" s="269">
        <v>43480</v>
      </c>
      <c r="B365" s="270">
        <v>2019</v>
      </c>
      <c r="C365" s="270">
        <v>2019</v>
      </c>
      <c r="D365" s="270">
        <v>1</v>
      </c>
      <c r="E365" s="270">
        <v>1</v>
      </c>
      <c r="F365" s="270" t="s">
        <v>944</v>
      </c>
      <c r="G365" s="270" t="s">
        <v>3926</v>
      </c>
      <c r="H365" s="270" t="s">
        <v>4431</v>
      </c>
      <c r="I365" s="270" t="s">
        <v>4069</v>
      </c>
      <c r="J365" s="270" t="s">
        <v>3928</v>
      </c>
      <c r="K365" s="270">
        <v>6906</v>
      </c>
      <c r="L365" s="270">
        <v>21100</v>
      </c>
      <c r="M365" s="270" t="s">
        <v>3943</v>
      </c>
      <c r="N365" s="270" t="s">
        <v>3944</v>
      </c>
      <c r="O365" s="270">
        <v>2977</v>
      </c>
      <c r="P365" s="270" t="s">
        <v>3944</v>
      </c>
      <c r="Q365" s="270" t="s">
        <v>3944</v>
      </c>
      <c r="R365" s="270">
        <v>2977</v>
      </c>
      <c r="S365" s="270">
        <v>20173</v>
      </c>
      <c r="T365" s="270">
        <v>23150</v>
      </c>
      <c r="U365" s="271" t="s">
        <v>3945</v>
      </c>
      <c r="V365" s="267" t="s">
        <v>944</v>
      </c>
    </row>
    <row r="366" spans="1:22" hidden="1" x14ac:dyDescent="0.25">
      <c r="A366" s="266">
        <v>43480</v>
      </c>
      <c r="B366" s="267">
        <v>2019</v>
      </c>
      <c r="C366" s="267">
        <v>2019</v>
      </c>
      <c r="D366" s="267">
        <v>1</v>
      </c>
      <c r="E366" s="267">
        <v>1</v>
      </c>
      <c r="F366" s="267" t="s">
        <v>944</v>
      </c>
      <c r="G366" s="267" t="s">
        <v>3926</v>
      </c>
      <c r="H366" s="267" t="s">
        <v>4432</v>
      </c>
      <c r="I366" s="267" t="s">
        <v>4055</v>
      </c>
      <c r="J366" s="267" t="s">
        <v>3928</v>
      </c>
      <c r="K366" s="267">
        <v>6081</v>
      </c>
      <c r="L366" s="267">
        <v>466400</v>
      </c>
      <c r="M366" s="267" t="s">
        <v>3960</v>
      </c>
      <c r="N366" s="267" t="s">
        <v>3944</v>
      </c>
      <c r="O366" s="267">
        <v>2642.64</v>
      </c>
      <c r="P366" s="267" t="s">
        <v>3944</v>
      </c>
      <c r="Q366" s="267" t="s">
        <v>3944</v>
      </c>
      <c r="R366" s="267">
        <v>2642.64</v>
      </c>
      <c r="S366" s="267">
        <v>40197.360000000001</v>
      </c>
      <c r="T366" s="267">
        <v>42840</v>
      </c>
      <c r="U366" s="268" t="s">
        <v>3945</v>
      </c>
      <c r="V366" s="267" t="s">
        <v>944</v>
      </c>
    </row>
    <row r="367" spans="1:22" hidden="1" x14ac:dyDescent="0.25">
      <c r="A367" s="269">
        <v>43480</v>
      </c>
      <c r="B367" s="270">
        <v>2019</v>
      </c>
      <c r="C367" s="270">
        <v>2019</v>
      </c>
      <c r="D367" s="270">
        <v>1</v>
      </c>
      <c r="E367" s="270">
        <v>1</v>
      </c>
      <c r="F367" s="270" t="s">
        <v>944</v>
      </c>
      <c r="G367" s="270" t="s">
        <v>3926</v>
      </c>
      <c r="H367" s="270" t="s">
        <v>4433</v>
      </c>
      <c r="I367" s="270" t="s">
        <v>3934</v>
      </c>
      <c r="J367" s="270" t="s">
        <v>3928</v>
      </c>
      <c r="K367" s="270">
        <v>6405</v>
      </c>
      <c r="L367" s="270">
        <v>184300</v>
      </c>
      <c r="M367" s="270" t="s">
        <v>3960</v>
      </c>
      <c r="N367" s="270" t="s">
        <v>3944</v>
      </c>
      <c r="O367" s="270">
        <v>3343.66</v>
      </c>
      <c r="P367" s="270" t="s">
        <v>3944</v>
      </c>
      <c r="Q367" s="270" t="s">
        <v>3944</v>
      </c>
      <c r="R367" s="270">
        <v>3343.66</v>
      </c>
      <c r="S367" s="270">
        <v>51436.17</v>
      </c>
      <c r="T367" s="270">
        <v>54779.83</v>
      </c>
      <c r="U367" s="271" t="s">
        <v>3945</v>
      </c>
      <c r="V367" s="267" t="s">
        <v>944</v>
      </c>
    </row>
    <row r="368" spans="1:22" hidden="1" x14ac:dyDescent="0.25">
      <c r="A368" s="266">
        <v>43480</v>
      </c>
      <c r="B368" s="267">
        <v>2019</v>
      </c>
      <c r="C368" s="267">
        <v>2019</v>
      </c>
      <c r="D368" s="267">
        <v>1</v>
      </c>
      <c r="E368" s="267">
        <v>1</v>
      </c>
      <c r="F368" s="267" t="s">
        <v>944</v>
      </c>
      <c r="G368" s="267" t="s">
        <v>3926</v>
      </c>
      <c r="H368" s="267" t="s">
        <v>4434</v>
      </c>
      <c r="I368" s="267" t="s">
        <v>4435</v>
      </c>
      <c r="J368" s="267" t="s">
        <v>3928</v>
      </c>
      <c r="K368" s="267">
        <v>6249</v>
      </c>
      <c r="L368" s="267">
        <v>870100</v>
      </c>
      <c r="M368" s="267" t="s">
        <v>3960</v>
      </c>
      <c r="N368" s="267" t="s">
        <v>3944</v>
      </c>
      <c r="O368" s="267">
        <v>2230.9699999999998</v>
      </c>
      <c r="P368" s="267" t="s">
        <v>3944</v>
      </c>
      <c r="Q368" s="267" t="s">
        <v>3944</v>
      </c>
      <c r="R368" s="267">
        <v>2230.9699999999998</v>
      </c>
      <c r="S368" s="267">
        <v>28912.61</v>
      </c>
      <c r="T368" s="267">
        <v>31143.58</v>
      </c>
      <c r="U368" s="268" t="s">
        <v>3945</v>
      </c>
      <c r="V368" s="267" t="s">
        <v>944</v>
      </c>
    </row>
    <row r="369" spans="1:22" hidden="1" x14ac:dyDescent="0.25">
      <c r="A369" s="269">
        <v>43480</v>
      </c>
      <c r="B369" s="270">
        <v>2019</v>
      </c>
      <c r="C369" s="270">
        <v>2019</v>
      </c>
      <c r="D369" s="270">
        <v>1</v>
      </c>
      <c r="E369" s="270">
        <v>1</v>
      </c>
      <c r="F369" s="270" t="s">
        <v>944</v>
      </c>
      <c r="G369" s="270" t="s">
        <v>3926</v>
      </c>
      <c r="H369" s="270" t="s">
        <v>4436</v>
      </c>
      <c r="I369" s="270" t="s">
        <v>4374</v>
      </c>
      <c r="J369" s="270" t="s">
        <v>3928</v>
      </c>
      <c r="K369" s="270">
        <v>6441</v>
      </c>
      <c r="L369" s="270">
        <v>590100</v>
      </c>
      <c r="M369" s="270" t="s">
        <v>3943</v>
      </c>
      <c r="N369" s="270" t="s">
        <v>3944</v>
      </c>
      <c r="O369" s="270">
        <v>1347.05</v>
      </c>
      <c r="P369" s="270" t="s">
        <v>3944</v>
      </c>
      <c r="Q369" s="270" t="s">
        <v>3944</v>
      </c>
      <c r="R369" s="270">
        <v>1347.05</v>
      </c>
      <c r="S369" s="270">
        <v>18685.89</v>
      </c>
      <c r="T369" s="270">
        <v>20032.939999999999</v>
      </c>
      <c r="U369" s="271" t="s">
        <v>3945</v>
      </c>
      <c r="V369" s="267" t="s">
        <v>944</v>
      </c>
    </row>
    <row r="370" spans="1:22" hidden="1" x14ac:dyDescent="0.25">
      <c r="A370" s="266">
        <v>43480</v>
      </c>
      <c r="B370" s="267">
        <v>2019</v>
      </c>
      <c r="C370" s="267">
        <v>2019</v>
      </c>
      <c r="D370" s="267">
        <v>1</v>
      </c>
      <c r="E370" s="267">
        <v>1</v>
      </c>
      <c r="F370" s="267" t="s">
        <v>944</v>
      </c>
      <c r="G370" s="267" t="s">
        <v>3926</v>
      </c>
      <c r="H370" s="267" t="s">
        <v>4437</v>
      </c>
      <c r="I370" s="267" t="s">
        <v>4035</v>
      </c>
      <c r="J370" s="267" t="s">
        <v>3928</v>
      </c>
      <c r="K370" s="267">
        <v>6074</v>
      </c>
      <c r="L370" s="267">
        <v>487500</v>
      </c>
      <c r="M370" s="267" t="s">
        <v>3935</v>
      </c>
      <c r="N370" s="267" t="s">
        <v>3944</v>
      </c>
      <c r="O370" s="267">
        <v>768.39</v>
      </c>
      <c r="P370" s="267" t="s">
        <v>3944</v>
      </c>
      <c r="Q370" s="267" t="s">
        <v>3944</v>
      </c>
      <c r="R370" s="267">
        <v>768.39</v>
      </c>
      <c r="S370" s="267">
        <v>9645.61</v>
      </c>
      <c r="T370" s="267">
        <v>10414</v>
      </c>
      <c r="U370" s="268" t="s">
        <v>3945</v>
      </c>
      <c r="V370" s="267" t="s">
        <v>944</v>
      </c>
    </row>
    <row r="371" spans="1:22" hidden="1" x14ac:dyDescent="0.25">
      <c r="A371" s="269">
        <v>43480</v>
      </c>
      <c r="B371" s="270">
        <v>2019</v>
      </c>
      <c r="C371" s="270">
        <v>2019</v>
      </c>
      <c r="D371" s="270">
        <v>1</v>
      </c>
      <c r="E371" s="270">
        <v>1</v>
      </c>
      <c r="F371" s="270" t="s">
        <v>944</v>
      </c>
      <c r="G371" s="270" t="s">
        <v>3926</v>
      </c>
      <c r="H371" s="270" t="s">
        <v>4438</v>
      </c>
      <c r="I371" s="270" t="s">
        <v>3962</v>
      </c>
      <c r="J371" s="270" t="s">
        <v>3928</v>
      </c>
      <c r="K371" s="270">
        <v>6379</v>
      </c>
      <c r="L371" s="270">
        <v>705101</v>
      </c>
      <c r="M371" s="270" t="s">
        <v>3935</v>
      </c>
      <c r="N371" s="270" t="s">
        <v>3944</v>
      </c>
      <c r="O371" s="270">
        <v>2896.92</v>
      </c>
      <c r="P371" s="270" t="s">
        <v>3944</v>
      </c>
      <c r="Q371" s="270" t="s">
        <v>3944</v>
      </c>
      <c r="R371" s="270">
        <v>2896.92</v>
      </c>
      <c r="S371" s="270">
        <v>45798.080000000002</v>
      </c>
      <c r="T371" s="270">
        <v>48695</v>
      </c>
      <c r="U371" s="271" t="s">
        <v>3945</v>
      </c>
      <c r="V371" s="267" t="s">
        <v>944</v>
      </c>
    </row>
    <row r="372" spans="1:22" hidden="1" x14ac:dyDescent="0.25">
      <c r="A372" s="266">
        <v>43480</v>
      </c>
      <c r="B372" s="267">
        <v>2019</v>
      </c>
      <c r="C372" s="267">
        <v>2019</v>
      </c>
      <c r="D372" s="267">
        <v>1</v>
      </c>
      <c r="E372" s="267">
        <v>1</v>
      </c>
      <c r="F372" s="267" t="s">
        <v>944</v>
      </c>
      <c r="G372" s="267" t="s">
        <v>3926</v>
      </c>
      <c r="H372" s="267" t="s">
        <v>4439</v>
      </c>
      <c r="I372" s="267" t="s">
        <v>3985</v>
      </c>
      <c r="J372" s="267" t="s">
        <v>3928</v>
      </c>
      <c r="K372" s="267">
        <v>6226</v>
      </c>
      <c r="L372" s="267">
        <v>800400</v>
      </c>
      <c r="M372" s="267" t="s">
        <v>3940</v>
      </c>
      <c r="N372" s="267" t="s">
        <v>3944</v>
      </c>
      <c r="O372" s="267">
        <v>1780.07</v>
      </c>
      <c r="P372" s="267" t="s">
        <v>3944</v>
      </c>
      <c r="Q372" s="267" t="s">
        <v>3944</v>
      </c>
      <c r="R372" s="267">
        <v>1780.07</v>
      </c>
      <c r="S372" s="267">
        <v>24524.29</v>
      </c>
      <c r="T372" s="267">
        <v>26304.36</v>
      </c>
      <c r="U372" s="268" t="s">
        <v>3945</v>
      </c>
      <c r="V372" s="267" t="s">
        <v>944</v>
      </c>
    </row>
    <row r="373" spans="1:22" hidden="1" x14ac:dyDescent="0.25">
      <c r="A373" s="269">
        <v>43480</v>
      </c>
      <c r="B373" s="270">
        <v>2019</v>
      </c>
      <c r="C373" s="270">
        <v>2019</v>
      </c>
      <c r="D373" s="270">
        <v>1</v>
      </c>
      <c r="E373" s="270">
        <v>1</v>
      </c>
      <c r="F373" s="270" t="s">
        <v>944</v>
      </c>
      <c r="G373" s="270" t="s">
        <v>3926</v>
      </c>
      <c r="H373" s="270" t="s">
        <v>4440</v>
      </c>
      <c r="I373" s="270" t="s">
        <v>4200</v>
      </c>
      <c r="J373" s="270" t="s">
        <v>3928</v>
      </c>
      <c r="K373" s="270">
        <v>6779</v>
      </c>
      <c r="L373" s="270">
        <v>360400</v>
      </c>
      <c r="M373" s="270" t="s">
        <v>3940</v>
      </c>
      <c r="N373" s="270" t="s">
        <v>3944</v>
      </c>
      <c r="O373" s="270">
        <v>717.82</v>
      </c>
      <c r="P373" s="270" t="s">
        <v>3944</v>
      </c>
      <c r="Q373" s="270" t="s">
        <v>3944</v>
      </c>
      <c r="R373" s="270">
        <v>717.82</v>
      </c>
      <c r="S373" s="270">
        <v>11036.67</v>
      </c>
      <c r="T373" s="270">
        <v>11754.49</v>
      </c>
      <c r="U373" s="271" t="s">
        <v>3945</v>
      </c>
      <c r="V373" s="267" t="s">
        <v>944</v>
      </c>
    </row>
    <row r="374" spans="1:22" hidden="1" x14ac:dyDescent="0.25">
      <c r="A374" s="266">
        <v>43480</v>
      </c>
      <c r="B374" s="267">
        <v>2019</v>
      </c>
      <c r="C374" s="267">
        <v>2019</v>
      </c>
      <c r="D374" s="267">
        <v>1</v>
      </c>
      <c r="E374" s="267">
        <v>1</v>
      </c>
      <c r="F374" s="267" t="s">
        <v>944</v>
      </c>
      <c r="G374" s="267" t="s">
        <v>3926</v>
      </c>
      <c r="H374" s="267" t="s">
        <v>4441</v>
      </c>
      <c r="I374" s="267" t="s">
        <v>4037</v>
      </c>
      <c r="J374" s="267" t="s">
        <v>3928</v>
      </c>
      <c r="K374" s="267">
        <v>6810</v>
      </c>
      <c r="L374" s="267">
        <v>210300</v>
      </c>
      <c r="M374" s="267" t="s">
        <v>3940</v>
      </c>
      <c r="N374" s="267" t="s">
        <v>3944</v>
      </c>
      <c r="O374" s="267">
        <v>3106.78</v>
      </c>
      <c r="P374" s="267" t="s">
        <v>3944</v>
      </c>
      <c r="Q374" s="267" t="s">
        <v>3944</v>
      </c>
      <c r="R374" s="267">
        <v>3106.78</v>
      </c>
      <c r="S374" s="267">
        <v>45034.36</v>
      </c>
      <c r="T374" s="267">
        <v>48141.14</v>
      </c>
      <c r="U374" s="268" t="s">
        <v>3945</v>
      </c>
      <c r="V374" s="267" t="s">
        <v>944</v>
      </c>
    </row>
    <row r="375" spans="1:22" hidden="1" x14ac:dyDescent="0.25">
      <c r="A375" s="269">
        <v>43480</v>
      </c>
      <c r="B375" s="270">
        <v>2019</v>
      </c>
      <c r="C375" s="270">
        <v>2019</v>
      </c>
      <c r="D375" s="270">
        <v>1</v>
      </c>
      <c r="E375" s="270">
        <v>1</v>
      </c>
      <c r="F375" s="270" t="s">
        <v>944</v>
      </c>
      <c r="G375" s="270" t="s">
        <v>3926</v>
      </c>
      <c r="H375" s="270" t="s">
        <v>4442</v>
      </c>
      <c r="I375" s="270" t="s">
        <v>3008</v>
      </c>
      <c r="J375" s="270" t="s">
        <v>3928</v>
      </c>
      <c r="K375" s="270">
        <v>6460</v>
      </c>
      <c r="L375" s="270">
        <v>151200</v>
      </c>
      <c r="M375" s="270" t="s">
        <v>3935</v>
      </c>
      <c r="N375" s="270" t="s">
        <v>3944</v>
      </c>
      <c r="O375" s="270">
        <v>1506.93</v>
      </c>
      <c r="P375" s="270" t="s">
        <v>3944</v>
      </c>
      <c r="Q375" s="270" t="s">
        <v>3944</v>
      </c>
      <c r="R375" s="270">
        <v>1506.93</v>
      </c>
      <c r="S375" s="270">
        <v>22452.3</v>
      </c>
      <c r="T375" s="270">
        <v>23959.23</v>
      </c>
      <c r="U375" s="271" t="s">
        <v>3945</v>
      </c>
      <c r="V375" s="267" t="s">
        <v>944</v>
      </c>
    </row>
    <row r="376" spans="1:22" hidden="1" x14ac:dyDescent="0.25">
      <c r="A376" s="266">
        <v>43480</v>
      </c>
      <c r="B376" s="267">
        <v>2019</v>
      </c>
      <c r="C376" s="267">
        <v>2019</v>
      </c>
      <c r="D376" s="267">
        <v>1</v>
      </c>
      <c r="E376" s="267">
        <v>1</v>
      </c>
      <c r="F376" s="267" t="s">
        <v>944</v>
      </c>
      <c r="G376" s="267" t="s">
        <v>3926</v>
      </c>
      <c r="H376" s="267" t="s">
        <v>4443</v>
      </c>
      <c r="I376" s="267" t="s">
        <v>4108</v>
      </c>
      <c r="J376" s="267" t="s">
        <v>3928</v>
      </c>
      <c r="K376" s="267">
        <v>6082</v>
      </c>
      <c r="L376" s="267">
        <v>480700</v>
      </c>
      <c r="M376" s="267" t="s">
        <v>3940</v>
      </c>
      <c r="N376" s="267" t="s">
        <v>3944</v>
      </c>
      <c r="O376" s="267">
        <v>1157.7</v>
      </c>
      <c r="P376" s="267" t="s">
        <v>3944</v>
      </c>
      <c r="Q376" s="267" t="s">
        <v>3944</v>
      </c>
      <c r="R376" s="267">
        <v>1157.7</v>
      </c>
      <c r="S376" s="267">
        <v>16498.349999999999</v>
      </c>
      <c r="T376" s="267">
        <v>17656.05</v>
      </c>
      <c r="U376" s="268" t="s">
        <v>3945</v>
      </c>
      <c r="V376" s="267" t="s">
        <v>944</v>
      </c>
    </row>
    <row r="377" spans="1:22" hidden="1" x14ac:dyDescent="0.25">
      <c r="A377" s="269">
        <v>43480</v>
      </c>
      <c r="B377" s="270">
        <v>2019</v>
      </c>
      <c r="C377" s="270">
        <v>2019</v>
      </c>
      <c r="D377" s="270">
        <v>1</v>
      </c>
      <c r="E377" s="270">
        <v>1</v>
      </c>
      <c r="F377" s="270" t="s">
        <v>944</v>
      </c>
      <c r="G377" s="270" t="s">
        <v>3926</v>
      </c>
      <c r="H377" s="270" t="s">
        <v>4444</v>
      </c>
      <c r="I377" s="270" t="s">
        <v>4213</v>
      </c>
      <c r="J377" s="270" t="s">
        <v>3928</v>
      </c>
      <c r="K377" s="270">
        <v>6053</v>
      </c>
      <c r="L377" s="270">
        <v>417500</v>
      </c>
      <c r="M377" s="270" t="s">
        <v>3940</v>
      </c>
      <c r="N377" s="270" t="s">
        <v>3944</v>
      </c>
      <c r="O377" s="270">
        <v>2940.04</v>
      </c>
      <c r="P377" s="270" t="s">
        <v>3944</v>
      </c>
      <c r="Q377" s="270" t="s">
        <v>3944</v>
      </c>
      <c r="R377" s="270">
        <v>2940.04</v>
      </c>
      <c r="S377" s="270">
        <v>37965.879999999997</v>
      </c>
      <c r="T377" s="270">
        <v>40905.919999999998</v>
      </c>
      <c r="U377" s="271" t="s">
        <v>3945</v>
      </c>
      <c r="V377" s="267" t="s">
        <v>944</v>
      </c>
    </row>
    <row r="378" spans="1:22" hidden="1" x14ac:dyDescent="0.25">
      <c r="A378" s="266">
        <v>43480</v>
      </c>
      <c r="B378" s="267">
        <v>2019</v>
      </c>
      <c r="C378" s="267">
        <v>2019</v>
      </c>
      <c r="D378" s="267">
        <v>1</v>
      </c>
      <c r="E378" s="267">
        <v>1</v>
      </c>
      <c r="F378" s="267" t="s">
        <v>944</v>
      </c>
      <c r="G378" s="267" t="s">
        <v>3926</v>
      </c>
      <c r="H378" s="267" t="s">
        <v>4445</v>
      </c>
      <c r="I378" s="267" t="s">
        <v>2987</v>
      </c>
      <c r="J378" s="267" t="s">
        <v>3928</v>
      </c>
      <c r="K378" s="267">
        <v>6611</v>
      </c>
      <c r="L378" s="267">
        <v>90600</v>
      </c>
      <c r="M378" s="267" t="s">
        <v>3960</v>
      </c>
      <c r="N378" s="267" t="s">
        <v>3944</v>
      </c>
      <c r="O378" s="267">
        <v>1789.41</v>
      </c>
      <c r="P378" s="267" t="s">
        <v>3944</v>
      </c>
      <c r="Q378" s="267" t="s">
        <v>3944</v>
      </c>
      <c r="R378" s="267">
        <v>1789.41</v>
      </c>
      <c r="S378" s="267">
        <v>31072.32</v>
      </c>
      <c r="T378" s="267">
        <v>32861.730000000003</v>
      </c>
      <c r="U378" s="268" t="s">
        <v>3945</v>
      </c>
      <c r="V378" s="267" t="s">
        <v>944</v>
      </c>
    </row>
    <row r="379" spans="1:22" hidden="1" x14ac:dyDescent="0.25">
      <c r="A379" s="269">
        <v>43480</v>
      </c>
      <c r="B379" s="270">
        <v>2019</v>
      </c>
      <c r="C379" s="270">
        <v>2019</v>
      </c>
      <c r="D379" s="270">
        <v>1</v>
      </c>
      <c r="E379" s="270">
        <v>1</v>
      </c>
      <c r="F379" s="270" t="s">
        <v>944</v>
      </c>
      <c r="G379" s="270" t="s">
        <v>3926</v>
      </c>
      <c r="H379" s="270" t="s">
        <v>4446</v>
      </c>
      <c r="I379" s="270" t="s">
        <v>3025</v>
      </c>
      <c r="J379" s="270" t="s">
        <v>3928</v>
      </c>
      <c r="K379" s="270">
        <v>6473</v>
      </c>
      <c r="L379" s="270">
        <v>167202</v>
      </c>
      <c r="M379" s="270" t="s">
        <v>3935</v>
      </c>
      <c r="N379" s="270" t="s">
        <v>3944</v>
      </c>
      <c r="O379" s="270">
        <v>1434.97</v>
      </c>
      <c r="P379" s="270" t="s">
        <v>3944</v>
      </c>
      <c r="Q379" s="270" t="s">
        <v>3944</v>
      </c>
      <c r="R379" s="270">
        <v>1434.97</v>
      </c>
      <c r="S379" s="270">
        <v>21248.66</v>
      </c>
      <c r="T379" s="270">
        <v>22683.63</v>
      </c>
      <c r="U379" s="271" t="s">
        <v>3945</v>
      </c>
      <c r="V379" s="267" t="s">
        <v>944</v>
      </c>
    </row>
    <row r="380" spans="1:22" hidden="1" x14ac:dyDescent="0.25">
      <c r="A380" s="266">
        <v>43480</v>
      </c>
      <c r="B380" s="267">
        <v>2019</v>
      </c>
      <c r="C380" s="267">
        <v>2019</v>
      </c>
      <c r="D380" s="267">
        <v>1</v>
      </c>
      <c r="E380" s="267">
        <v>1</v>
      </c>
      <c r="F380" s="267" t="s">
        <v>944</v>
      </c>
      <c r="G380" s="267" t="s">
        <v>3926</v>
      </c>
      <c r="H380" s="267" t="s">
        <v>4447</v>
      </c>
      <c r="I380" s="267" t="s">
        <v>953</v>
      </c>
      <c r="J380" s="267" t="s">
        <v>3928</v>
      </c>
      <c r="K380" s="267">
        <v>6518</v>
      </c>
      <c r="L380" s="267">
        <v>165900</v>
      </c>
      <c r="M380" s="267" t="s">
        <v>3943</v>
      </c>
      <c r="N380" s="267" t="s">
        <v>3944</v>
      </c>
      <c r="O380" s="267">
        <v>1282.1199999999999</v>
      </c>
      <c r="P380" s="267" t="s">
        <v>3944</v>
      </c>
      <c r="Q380" s="267" t="s">
        <v>3944</v>
      </c>
      <c r="R380" s="267">
        <v>1282.1199999999999</v>
      </c>
      <c r="S380" s="267">
        <v>18889.79</v>
      </c>
      <c r="T380" s="267">
        <v>20171.91</v>
      </c>
      <c r="U380" s="268" t="s">
        <v>3945</v>
      </c>
      <c r="V380" s="267" t="s">
        <v>944</v>
      </c>
    </row>
    <row r="381" spans="1:22" hidden="1" x14ac:dyDescent="0.25">
      <c r="A381" s="269">
        <v>43480</v>
      </c>
      <c r="B381" s="270">
        <v>2019</v>
      </c>
      <c r="C381" s="270">
        <v>2019</v>
      </c>
      <c r="D381" s="270">
        <v>1</v>
      </c>
      <c r="E381" s="270">
        <v>1</v>
      </c>
      <c r="F381" s="270" t="s">
        <v>944</v>
      </c>
      <c r="G381" s="270" t="s">
        <v>3926</v>
      </c>
      <c r="H381" s="270" t="s">
        <v>4448</v>
      </c>
      <c r="I381" s="270" t="s">
        <v>3968</v>
      </c>
      <c r="J381" s="270" t="s">
        <v>3928</v>
      </c>
      <c r="K381" s="270">
        <v>6040</v>
      </c>
      <c r="L381" s="270">
        <v>514800</v>
      </c>
      <c r="M381" s="270" t="s">
        <v>3940</v>
      </c>
      <c r="N381" s="270" t="s">
        <v>3944</v>
      </c>
      <c r="O381" s="270">
        <v>1278.17</v>
      </c>
      <c r="P381" s="270" t="s">
        <v>3944</v>
      </c>
      <c r="Q381" s="270" t="s">
        <v>3944</v>
      </c>
      <c r="R381" s="270">
        <v>1278.17</v>
      </c>
      <c r="S381" s="270">
        <v>16865.830000000002</v>
      </c>
      <c r="T381" s="270">
        <v>18144</v>
      </c>
      <c r="U381" s="271" t="s">
        <v>3945</v>
      </c>
      <c r="V381" s="267" t="s">
        <v>944</v>
      </c>
    </row>
    <row r="382" spans="1:22" hidden="1" x14ac:dyDescent="0.25">
      <c r="A382" s="266">
        <v>43480</v>
      </c>
      <c r="B382" s="267">
        <v>2019</v>
      </c>
      <c r="C382" s="267">
        <v>2019</v>
      </c>
      <c r="D382" s="267">
        <v>1</v>
      </c>
      <c r="E382" s="267">
        <v>1</v>
      </c>
      <c r="F382" s="267" t="s">
        <v>944</v>
      </c>
      <c r="G382" s="267" t="s">
        <v>3926</v>
      </c>
      <c r="H382" s="267" t="s">
        <v>4449</v>
      </c>
      <c r="I382" s="267" t="s">
        <v>3009</v>
      </c>
      <c r="J382" s="267" t="s">
        <v>3928</v>
      </c>
      <c r="K382" s="267">
        <v>6484</v>
      </c>
      <c r="L382" s="267">
        <v>110202</v>
      </c>
      <c r="M382" s="267" t="s">
        <v>3935</v>
      </c>
      <c r="N382" s="267" t="s">
        <v>3944</v>
      </c>
      <c r="O382" s="267">
        <v>2214.77</v>
      </c>
      <c r="P382" s="267" t="s">
        <v>3944</v>
      </c>
      <c r="Q382" s="267" t="s">
        <v>3944</v>
      </c>
      <c r="R382" s="267">
        <v>2214.77</v>
      </c>
      <c r="S382" s="267">
        <v>34453.699999999997</v>
      </c>
      <c r="T382" s="267">
        <v>36668.47</v>
      </c>
      <c r="U382" s="268" t="s">
        <v>3945</v>
      </c>
      <c r="V382" s="267" t="s">
        <v>944</v>
      </c>
    </row>
    <row r="383" spans="1:22" hidden="1" x14ac:dyDescent="0.25">
      <c r="A383" s="269">
        <v>43480</v>
      </c>
      <c r="B383" s="270">
        <v>2019</v>
      </c>
      <c r="C383" s="270">
        <v>2019</v>
      </c>
      <c r="D383" s="270">
        <v>1</v>
      </c>
      <c r="E383" s="270">
        <v>1</v>
      </c>
      <c r="F383" s="270" t="s">
        <v>944</v>
      </c>
      <c r="G383" s="270" t="s">
        <v>3926</v>
      </c>
      <c r="H383" s="270" t="s">
        <v>4450</v>
      </c>
      <c r="I383" s="270" t="s">
        <v>4114</v>
      </c>
      <c r="J383" s="270" t="s">
        <v>3928</v>
      </c>
      <c r="K383" s="270">
        <v>6410</v>
      </c>
      <c r="L383" s="270">
        <v>343101</v>
      </c>
      <c r="M383" s="270" t="s">
        <v>3943</v>
      </c>
      <c r="N383" s="270" t="s">
        <v>3944</v>
      </c>
      <c r="O383" s="270">
        <v>3142.06</v>
      </c>
      <c r="P383" s="270" t="s">
        <v>3944</v>
      </c>
      <c r="Q383" s="270" t="s">
        <v>3944</v>
      </c>
      <c r="R383" s="270">
        <v>3142.06</v>
      </c>
      <c r="S383" s="270">
        <v>39900.550000000003</v>
      </c>
      <c r="T383" s="270">
        <v>43042.61</v>
      </c>
      <c r="U383" s="271" t="s">
        <v>3945</v>
      </c>
      <c r="V383" s="267" t="s">
        <v>944</v>
      </c>
    </row>
    <row r="384" spans="1:22" hidden="1" x14ac:dyDescent="0.25">
      <c r="A384" s="266">
        <v>43480</v>
      </c>
      <c r="B384" s="267">
        <v>2019</v>
      </c>
      <c r="C384" s="267">
        <v>2019</v>
      </c>
      <c r="D384" s="267">
        <v>1</v>
      </c>
      <c r="E384" s="267">
        <v>1</v>
      </c>
      <c r="F384" s="267" t="s">
        <v>944</v>
      </c>
      <c r="G384" s="267" t="s">
        <v>3926</v>
      </c>
      <c r="H384" s="267" t="s">
        <v>4451</v>
      </c>
      <c r="I384" s="267" t="s">
        <v>4213</v>
      </c>
      <c r="J384" s="267" t="s">
        <v>3928</v>
      </c>
      <c r="K384" s="267">
        <v>6052</v>
      </c>
      <c r="L384" s="267">
        <v>415800</v>
      </c>
      <c r="M384" s="267">
        <v>-60</v>
      </c>
      <c r="N384" s="267" t="s">
        <v>3944</v>
      </c>
      <c r="O384" s="267">
        <v>2148.41</v>
      </c>
      <c r="P384" s="267" t="s">
        <v>3944</v>
      </c>
      <c r="Q384" s="267" t="s">
        <v>3944</v>
      </c>
      <c r="R384" s="267">
        <v>2148.41</v>
      </c>
      <c r="S384" s="267">
        <v>27869.51</v>
      </c>
      <c r="T384" s="267">
        <v>30017.919999999998</v>
      </c>
      <c r="U384" s="268" t="s">
        <v>3945</v>
      </c>
      <c r="V384" s="267" t="s">
        <v>944</v>
      </c>
    </row>
    <row r="385" spans="1:22" hidden="1" x14ac:dyDescent="0.25">
      <c r="A385" s="269">
        <v>43480</v>
      </c>
      <c r="B385" s="270">
        <v>2019</v>
      </c>
      <c r="C385" s="270">
        <v>2019</v>
      </c>
      <c r="D385" s="270">
        <v>1</v>
      </c>
      <c r="E385" s="270">
        <v>1</v>
      </c>
      <c r="F385" s="270" t="s">
        <v>944</v>
      </c>
      <c r="G385" s="270" t="s">
        <v>3926</v>
      </c>
      <c r="H385" s="270" t="s">
        <v>4452</v>
      </c>
      <c r="I385" s="270" t="s">
        <v>3962</v>
      </c>
      <c r="J385" s="270" t="s">
        <v>3928</v>
      </c>
      <c r="K385" s="270">
        <v>6379</v>
      </c>
      <c r="L385" s="270">
        <v>705101</v>
      </c>
      <c r="M385" s="270" t="s">
        <v>3935</v>
      </c>
      <c r="N385" s="270" t="s">
        <v>3944</v>
      </c>
      <c r="O385" s="270">
        <v>2496.83</v>
      </c>
      <c r="P385" s="270" t="s">
        <v>3944</v>
      </c>
      <c r="Q385" s="270" t="s">
        <v>3944</v>
      </c>
      <c r="R385" s="270">
        <v>2496.83</v>
      </c>
      <c r="S385" s="270">
        <v>37539.68</v>
      </c>
      <c r="T385" s="270">
        <v>40036.51</v>
      </c>
      <c r="U385" s="271" t="s">
        <v>3945</v>
      </c>
      <c r="V385" s="267" t="s">
        <v>944</v>
      </c>
    </row>
    <row r="386" spans="1:22" hidden="1" x14ac:dyDescent="0.25">
      <c r="A386" s="266">
        <v>43480</v>
      </c>
      <c r="B386" s="267">
        <v>2019</v>
      </c>
      <c r="C386" s="267">
        <v>2019</v>
      </c>
      <c r="D386" s="267">
        <v>1</v>
      </c>
      <c r="E386" s="267">
        <v>1</v>
      </c>
      <c r="F386" s="267" t="s">
        <v>944</v>
      </c>
      <c r="G386" s="267" t="s">
        <v>3926</v>
      </c>
      <c r="H386" s="267" t="s">
        <v>4453</v>
      </c>
      <c r="I386" s="267" t="s">
        <v>3934</v>
      </c>
      <c r="J386" s="267" t="s">
        <v>3928</v>
      </c>
      <c r="K386" s="267">
        <v>6405</v>
      </c>
      <c r="L386" s="267">
        <v>184100</v>
      </c>
      <c r="M386" s="267" t="s">
        <v>3940</v>
      </c>
      <c r="N386" s="267" t="s">
        <v>3944</v>
      </c>
      <c r="O386" s="267">
        <v>1656.69</v>
      </c>
      <c r="P386" s="267" t="s">
        <v>3944</v>
      </c>
      <c r="Q386" s="267" t="s">
        <v>3944</v>
      </c>
      <c r="R386" s="267">
        <v>1656.69</v>
      </c>
      <c r="S386" s="267">
        <v>22531.759999999998</v>
      </c>
      <c r="T386" s="267">
        <v>24188.45</v>
      </c>
      <c r="U386" s="268" t="s">
        <v>3945</v>
      </c>
      <c r="V386" s="267" t="s">
        <v>944</v>
      </c>
    </row>
    <row r="387" spans="1:22" hidden="1" x14ac:dyDescent="0.25">
      <c r="A387" s="269">
        <v>43480</v>
      </c>
      <c r="B387" s="270">
        <v>2019</v>
      </c>
      <c r="C387" s="270">
        <v>2019</v>
      </c>
      <c r="D387" s="270">
        <v>1</v>
      </c>
      <c r="E387" s="270">
        <v>1</v>
      </c>
      <c r="F387" s="270" t="s">
        <v>944</v>
      </c>
      <c r="G387" s="270" t="s">
        <v>3926</v>
      </c>
      <c r="H387" s="270" t="s">
        <v>4454</v>
      </c>
      <c r="I387" s="270" t="s">
        <v>3008</v>
      </c>
      <c r="J387" s="270" t="s">
        <v>3928</v>
      </c>
      <c r="K387" s="270">
        <v>6460</v>
      </c>
      <c r="L387" s="270">
        <v>151000</v>
      </c>
      <c r="M387" s="270" t="s">
        <v>3960</v>
      </c>
      <c r="N387" s="270" t="s">
        <v>3944</v>
      </c>
      <c r="O387" s="270">
        <v>2432.15</v>
      </c>
      <c r="P387" s="270" t="s">
        <v>3944</v>
      </c>
      <c r="Q387" s="270" t="s">
        <v>3944</v>
      </c>
      <c r="R387" s="270">
        <v>2432.15</v>
      </c>
      <c r="S387" s="270">
        <v>29860.720000000001</v>
      </c>
      <c r="T387" s="270">
        <v>32292.87</v>
      </c>
      <c r="U387" s="271" t="s">
        <v>3945</v>
      </c>
      <c r="V387" s="267" t="s">
        <v>944</v>
      </c>
    </row>
    <row r="388" spans="1:22" hidden="1" x14ac:dyDescent="0.25">
      <c r="A388" s="266">
        <v>43481</v>
      </c>
      <c r="B388" s="267">
        <v>2019</v>
      </c>
      <c r="C388" s="267">
        <v>2019</v>
      </c>
      <c r="D388" s="267">
        <v>1</v>
      </c>
      <c r="E388" s="267">
        <v>1</v>
      </c>
      <c r="F388" s="267" t="s">
        <v>944</v>
      </c>
      <c r="G388" s="267" t="s">
        <v>3926</v>
      </c>
      <c r="H388" s="267" t="s">
        <v>4455</v>
      </c>
      <c r="I388" s="267" t="s">
        <v>950</v>
      </c>
      <c r="J388" s="267" t="s">
        <v>3928</v>
      </c>
      <c r="K388" s="267">
        <v>6516</v>
      </c>
      <c r="L388" s="267">
        <v>154800</v>
      </c>
      <c r="M388" s="267" t="s">
        <v>3960</v>
      </c>
      <c r="N388" s="267" t="s">
        <v>4456</v>
      </c>
      <c r="O388" s="267">
        <v>0</v>
      </c>
      <c r="P388" s="267" t="s">
        <v>3930</v>
      </c>
      <c r="Q388" s="267" t="s">
        <v>3930</v>
      </c>
      <c r="R388" s="267">
        <v>0</v>
      </c>
      <c r="S388" s="267">
        <v>8135</v>
      </c>
      <c r="T388" s="267">
        <v>8135</v>
      </c>
      <c r="U388" s="268" t="s">
        <v>3937</v>
      </c>
      <c r="V388" s="267" t="s">
        <v>944</v>
      </c>
    </row>
    <row r="389" spans="1:22" hidden="1" x14ac:dyDescent="0.25">
      <c r="A389" s="269">
        <v>43481</v>
      </c>
      <c r="B389" s="270">
        <v>2019</v>
      </c>
      <c r="C389" s="270">
        <v>2019</v>
      </c>
      <c r="D389" s="270">
        <v>1</v>
      </c>
      <c r="E389" s="270">
        <v>1</v>
      </c>
      <c r="F389" s="270" t="s">
        <v>944</v>
      </c>
      <c r="G389" s="270" t="s">
        <v>3926</v>
      </c>
      <c r="H389" s="270" t="s">
        <v>4457</v>
      </c>
      <c r="I389" s="270" t="s">
        <v>956</v>
      </c>
      <c r="J389" s="270" t="s">
        <v>3928</v>
      </c>
      <c r="K389" s="270">
        <v>6614</v>
      </c>
      <c r="L389" s="270">
        <v>81300</v>
      </c>
      <c r="M389" s="270" t="s">
        <v>3935</v>
      </c>
      <c r="N389" s="270" t="s">
        <v>4367</v>
      </c>
      <c r="O389" s="270">
        <v>0</v>
      </c>
      <c r="P389" s="270" t="s">
        <v>3930</v>
      </c>
      <c r="Q389" s="270" t="s">
        <v>3930</v>
      </c>
      <c r="R389" s="270">
        <v>0</v>
      </c>
      <c r="S389" s="270">
        <v>16000</v>
      </c>
      <c r="T389" s="270">
        <v>16000</v>
      </c>
      <c r="U389" s="271" t="s">
        <v>3937</v>
      </c>
      <c r="V389" s="267" t="s">
        <v>944</v>
      </c>
    </row>
    <row r="390" spans="1:22" hidden="1" x14ac:dyDescent="0.25">
      <c r="A390" s="266">
        <v>43481</v>
      </c>
      <c r="B390" s="267">
        <v>2019</v>
      </c>
      <c r="C390" s="267">
        <v>2019</v>
      </c>
      <c r="D390" s="267">
        <v>1</v>
      </c>
      <c r="E390" s="267">
        <v>1</v>
      </c>
      <c r="F390" s="267" t="s">
        <v>944</v>
      </c>
      <c r="G390" s="267" t="s">
        <v>3926</v>
      </c>
      <c r="H390" s="267" t="s">
        <v>4458</v>
      </c>
      <c r="I390" s="267" t="s">
        <v>4111</v>
      </c>
      <c r="J390" s="267" t="s">
        <v>3928</v>
      </c>
      <c r="K390" s="267">
        <v>6095</v>
      </c>
      <c r="L390" s="267">
        <v>473100</v>
      </c>
      <c r="M390" s="267" t="s">
        <v>3960</v>
      </c>
      <c r="N390" s="267" t="s">
        <v>4459</v>
      </c>
      <c r="O390" s="267">
        <v>0</v>
      </c>
      <c r="P390" s="267" t="s">
        <v>3930</v>
      </c>
      <c r="Q390" s="267" t="s">
        <v>3930</v>
      </c>
      <c r="R390" s="267">
        <v>0</v>
      </c>
      <c r="S390" s="267">
        <v>20919.73</v>
      </c>
      <c r="T390" s="267">
        <v>20919.73</v>
      </c>
      <c r="U390" s="268" t="s">
        <v>3937</v>
      </c>
      <c r="V390" s="267" t="s">
        <v>944</v>
      </c>
    </row>
    <row r="391" spans="1:22" hidden="1" x14ac:dyDescent="0.25">
      <c r="A391" s="269">
        <v>43481</v>
      </c>
      <c r="B391" s="270">
        <v>2019</v>
      </c>
      <c r="C391" s="270">
        <v>2019</v>
      </c>
      <c r="D391" s="270">
        <v>1</v>
      </c>
      <c r="E391" s="270">
        <v>1</v>
      </c>
      <c r="F391" s="270" t="s">
        <v>944</v>
      </c>
      <c r="G391" s="270" t="s">
        <v>3926</v>
      </c>
      <c r="H391" s="270" t="s">
        <v>4460</v>
      </c>
      <c r="I391" s="270" t="s">
        <v>4461</v>
      </c>
      <c r="J391" s="270" t="s">
        <v>3928</v>
      </c>
      <c r="K391" s="270">
        <v>6830</v>
      </c>
      <c r="L391" s="270">
        <v>10500</v>
      </c>
      <c r="M391" s="270" t="s">
        <v>3960</v>
      </c>
      <c r="N391" s="270" t="s">
        <v>4462</v>
      </c>
      <c r="O391" s="270">
        <v>3000</v>
      </c>
      <c r="P391" s="270" t="s">
        <v>3930</v>
      </c>
      <c r="Q391" s="270" t="s">
        <v>3930</v>
      </c>
      <c r="R391" s="270">
        <v>3000</v>
      </c>
      <c r="S391" s="270">
        <v>15847</v>
      </c>
      <c r="T391" s="270">
        <v>18847</v>
      </c>
      <c r="U391" s="271" t="s">
        <v>3937</v>
      </c>
      <c r="V391" s="267" t="s">
        <v>944</v>
      </c>
    </row>
    <row r="392" spans="1:22" hidden="1" x14ac:dyDescent="0.25">
      <c r="A392" s="266">
        <v>43481</v>
      </c>
      <c r="B392" s="267">
        <v>2019</v>
      </c>
      <c r="C392" s="267">
        <v>2019</v>
      </c>
      <c r="D392" s="267">
        <v>1</v>
      </c>
      <c r="E392" s="267">
        <v>1</v>
      </c>
      <c r="F392" s="267" t="s">
        <v>944</v>
      </c>
      <c r="G392" s="267" t="s">
        <v>3926</v>
      </c>
      <c r="H392" s="267" t="s">
        <v>4463</v>
      </c>
      <c r="I392" s="267" t="s">
        <v>956</v>
      </c>
      <c r="J392" s="267" t="s">
        <v>3928</v>
      </c>
      <c r="K392" s="267">
        <v>6615</v>
      </c>
      <c r="L392" s="267">
        <v>80400</v>
      </c>
      <c r="M392" s="267" t="s">
        <v>3940</v>
      </c>
      <c r="N392" s="267" t="s">
        <v>4464</v>
      </c>
      <c r="O392" s="267">
        <v>0</v>
      </c>
      <c r="P392" s="267" t="s">
        <v>3930</v>
      </c>
      <c r="Q392" s="267" t="s">
        <v>3930</v>
      </c>
      <c r="R392" s="267">
        <v>0</v>
      </c>
      <c r="S392" s="267">
        <v>8500</v>
      </c>
      <c r="T392" s="267">
        <v>8500</v>
      </c>
      <c r="U392" s="268" t="s">
        <v>3937</v>
      </c>
      <c r="V392" s="267" t="s">
        <v>944</v>
      </c>
    </row>
    <row r="393" spans="1:22" hidden="1" x14ac:dyDescent="0.25">
      <c r="A393" s="269">
        <v>43481</v>
      </c>
      <c r="B393" s="270">
        <v>2019</v>
      </c>
      <c r="C393" s="270">
        <v>2019</v>
      </c>
      <c r="D393" s="270">
        <v>1</v>
      </c>
      <c r="E393" s="270">
        <v>1</v>
      </c>
      <c r="F393" s="270" t="s">
        <v>944</v>
      </c>
      <c r="G393" s="270" t="s">
        <v>3926</v>
      </c>
      <c r="H393" s="270" t="s">
        <v>4465</v>
      </c>
      <c r="I393" s="270" t="s">
        <v>3999</v>
      </c>
      <c r="J393" s="270" t="s">
        <v>3928</v>
      </c>
      <c r="K393" s="270">
        <v>6450</v>
      </c>
      <c r="L393" s="270">
        <v>171200</v>
      </c>
      <c r="M393" s="270" t="s">
        <v>3960</v>
      </c>
      <c r="N393" s="270" t="s">
        <v>3986</v>
      </c>
      <c r="O393" s="270">
        <v>2966.76</v>
      </c>
      <c r="P393" s="270" t="s">
        <v>3930</v>
      </c>
      <c r="Q393" s="270" t="s">
        <v>3931</v>
      </c>
      <c r="R393" s="270">
        <v>7966.76</v>
      </c>
      <c r="S393" s="270">
        <v>16196.8</v>
      </c>
      <c r="T393" s="270">
        <v>24163.56</v>
      </c>
      <c r="U393" s="271" t="s">
        <v>3932</v>
      </c>
      <c r="V393" s="267" t="s">
        <v>944</v>
      </c>
    </row>
    <row r="394" spans="1:22" hidden="1" x14ac:dyDescent="0.25">
      <c r="A394" s="266">
        <v>43481</v>
      </c>
      <c r="B394" s="267">
        <v>2019</v>
      </c>
      <c r="C394" s="267">
        <v>2019</v>
      </c>
      <c r="D394" s="267">
        <v>1</v>
      </c>
      <c r="E394" s="267">
        <v>1</v>
      </c>
      <c r="F394" s="267" t="s">
        <v>944</v>
      </c>
      <c r="G394" s="267" t="s">
        <v>3926</v>
      </c>
      <c r="H394" s="267" t="s">
        <v>4466</v>
      </c>
      <c r="I394" s="267" t="s">
        <v>3010</v>
      </c>
      <c r="J394" s="267" t="s">
        <v>3928</v>
      </c>
      <c r="K394" s="267">
        <v>6401</v>
      </c>
      <c r="L394" s="267">
        <v>125200</v>
      </c>
      <c r="M394" s="267">
        <v>-60</v>
      </c>
      <c r="N394" s="267" t="s">
        <v>3944</v>
      </c>
      <c r="O394" s="267">
        <v>3966</v>
      </c>
      <c r="P394" s="267" t="s">
        <v>3944</v>
      </c>
      <c r="Q394" s="267" t="s">
        <v>3944</v>
      </c>
      <c r="R394" s="267">
        <v>3966</v>
      </c>
      <c r="S394" s="267">
        <v>27635</v>
      </c>
      <c r="T394" s="267">
        <v>31601</v>
      </c>
      <c r="U394" s="268" t="s">
        <v>3945</v>
      </c>
      <c r="V394" s="267" t="s">
        <v>944</v>
      </c>
    </row>
    <row r="395" spans="1:22" hidden="1" x14ac:dyDescent="0.25">
      <c r="A395" s="269">
        <v>43481</v>
      </c>
      <c r="B395" s="270">
        <v>2019</v>
      </c>
      <c r="C395" s="270">
        <v>2019</v>
      </c>
      <c r="D395" s="270">
        <v>1</v>
      </c>
      <c r="E395" s="270">
        <v>1</v>
      </c>
      <c r="F395" s="270" t="s">
        <v>944</v>
      </c>
      <c r="G395" s="270" t="s">
        <v>3926</v>
      </c>
      <c r="H395" s="270" t="s">
        <v>4467</v>
      </c>
      <c r="I395" s="270" t="s">
        <v>3014</v>
      </c>
      <c r="J395" s="270" t="s">
        <v>3928</v>
      </c>
      <c r="K395" s="270">
        <v>6525</v>
      </c>
      <c r="L395" s="270">
        <v>160100</v>
      </c>
      <c r="M395" s="270" t="s">
        <v>3943</v>
      </c>
      <c r="N395" s="270" t="s">
        <v>3944</v>
      </c>
      <c r="O395" s="270">
        <v>2908</v>
      </c>
      <c r="P395" s="270" t="s">
        <v>3944</v>
      </c>
      <c r="Q395" s="270" t="s">
        <v>3944</v>
      </c>
      <c r="R395" s="270">
        <v>2908</v>
      </c>
      <c r="S395" s="270">
        <v>25367.25</v>
      </c>
      <c r="T395" s="270">
        <v>28275.25</v>
      </c>
      <c r="U395" s="271" t="s">
        <v>3945</v>
      </c>
      <c r="V395" s="267" t="s">
        <v>944</v>
      </c>
    </row>
    <row r="396" spans="1:22" hidden="1" x14ac:dyDescent="0.25">
      <c r="A396" s="266">
        <v>43481</v>
      </c>
      <c r="B396" s="267">
        <v>2019</v>
      </c>
      <c r="C396" s="267">
        <v>2019</v>
      </c>
      <c r="D396" s="267">
        <v>1</v>
      </c>
      <c r="E396" s="267">
        <v>1</v>
      </c>
      <c r="F396" s="267" t="s">
        <v>944</v>
      </c>
      <c r="G396" s="267" t="s">
        <v>3926</v>
      </c>
      <c r="H396" s="267" t="s">
        <v>4468</v>
      </c>
      <c r="I396" s="267" t="s">
        <v>4129</v>
      </c>
      <c r="J396" s="267" t="s">
        <v>3928</v>
      </c>
      <c r="K396" s="267">
        <v>6259</v>
      </c>
      <c r="L396" s="267">
        <v>902500</v>
      </c>
      <c r="M396" s="267" t="s">
        <v>3960</v>
      </c>
      <c r="N396" s="267" t="s">
        <v>3944</v>
      </c>
      <c r="O396" s="267">
        <v>2644</v>
      </c>
      <c r="P396" s="267" t="s">
        <v>3944</v>
      </c>
      <c r="Q396" s="267" t="s">
        <v>3944</v>
      </c>
      <c r="R396" s="267">
        <v>2644</v>
      </c>
      <c r="S396" s="267">
        <v>22596</v>
      </c>
      <c r="T396" s="267">
        <v>25240</v>
      </c>
      <c r="U396" s="268" t="s">
        <v>3945</v>
      </c>
      <c r="V396" s="267" t="s">
        <v>944</v>
      </c>
    </row>
    <row r="397" spans="1:22" hidden="1" x14ac:dyDescent="0.25">
      <c r="A397" s="269">
        <v>43481</v>
      </c>
      <c r="B397" s="270">
        <v>2019</v>
      </c>
      <c r="C397" s="270">
        <v>2019</v>
      </c>
      <c r="D397" s="270">
        <v>1</v>
      </c>
      <c r="E397" s="270">
        <v>1</v>
      </c>
      <c r="F397" s="270" t="s">
        <v>944</v>
      </c>
      <c r="G397" s="270" t="s">
        <v>3926</v>
      </c>
      <c r="H397" s="270" t="s">
        <v>4469</v>
      </c>
      <c r="I397" s="270" t="s">
        <v>3999</v>
      </c>
      <c r="J397" s="270" t="s">
        <v>3928</v>
      </c>
      <c r="K397" s="270">
        <v>6451</v>
      </c>
      <c r="L397" s="270">
        <v>170900</v>
      </c>
      <c r="M397" s="270">
        <v>-60</v>
      </c>
      <c r="N397" s="270" t="s">
        <v>3944</v>
      </c>
      <c r="O397" s="270">
        <v>3157</v>
      </c>
      <c r="P397" s="270" t="s">
        <v>3944</v>
      </c>
      <c r="Q397" s="270" t="s">
        <v>3944</v>
      </c>
      <c r="R397" s="270">
        <v>3157</v>
      </c>
      <c r="S397" s="270">
        <v>33067.93</v>
      </c>
      <c r="T397" s="270">
        <v>36224.93</v>
      </c>
      <c r="U397" s="271" t="s">
        <v>3945</v>
      </c>
      <c r="V397" s="267" t="s">
        <v>944</v>
      </c>
    </row>
    <row r="398" spans="1:22" hidden="1" x14ac:dyDescent="0.25">
      <c r="A398" s="266">
        <v>43481</v>
      </c>
      <c r="B398" s="267">
        <v>2019</v>
      </c>
      <c r="C398" s="267">
        <v>2019</v>
      </c>
      <c r="D398" s="267">
        <v>1</v>
      </c>
      <c r="E398" s="267">
        <v>1</v>
      </c>
      <c r="F398" s="267" t="s">
        <v>944</v>
      </c>
      <c r="G398" s="267" t="s">
        <v>3926</v>
      </c>
      <c r="H398" s="267" t="s">
        <v>4470</v>
      </c>
      <c r="I398" s="267" t="s">
        <v>3999</v>
      </c>
      <c r="J398" s="267" t="s">
        <v>3928</v>
      </c>
      <c r="K398" s="267">
        <v>6450</v>
      </c>
      <c r="L398" s="267">
        <v>171200</v>
      </c>
      <c r="M398" s="267" t="s">
        <v>3960</v>
      </c>
      <c r="N398" s="267" t="s">
        <v>3944</v>
      </c>
      <c r="O398" s="267">
        <v>1778</v>
      </c>
      <c r="P398" s="267" t="s">
        <v>3944</v>
      </c>
      <c r="Q398" s="267" t="s">
        <v>3944</v>
      </c>
      <c r="R398" s="267">
        <v>1778</v>
      </c>
      <c r="S398" s="267">
        <v>18650.13</v>
      </c>
      <c r="T398" s="267">
        <v>20428.13</v>
      </c>
      <c r="U398" s="268" t="s">
        <v>3945</v>
      </c>
      <c r="V398" s="267" t="s">
        <v>944</v>
      </c>
    </row>
    <row r="399" spans="1:22" hidden="1" x14ac:dyDescent="0.25">
      <c r="A399" s="269">
        <v>43481</v>
      </c>
      <c r="B399" s="270">
        <v>2019</v>
      </c>
      <c r="C399" s="270">
        <v>2019</v>
      </c>
      <c r="D399" s="270">
        <v>1</v>
      </c>
      <c r="E399" s="270">
        <v>1</v>
      </c>
      <c r="F399" s="270" t="s">
        <v>944</v>
      </c>
      <c r="G399" s="270" t="s">
        <v>3926</v>
      </c>
      <c r="H399" s="270" t="s">
        <v>4471</v>
      </c>
      <c r="I399" s="270" t="s">
        <v>4019</v>
      </c>
      <c r="J399" s="270" t="s">
        <v>3928</v>
      </c>
      <c r="K399" s="270">
        <v>6704</v>
      </c>
      <c r="L399" s="270">
        <v>352300</v>
      </c>
      <c r="M399" s="270">
        <v>-60</v>
      </c>
      <c r="N399" s="270" t="s">
        <v>3944</v>
      </c>
      <c r="O399" s="270">
        <v>2429</v>
      </c>
      <c r="P399" s="270" t="s">
        <v>3944</v>
      </c>
      <c r="Q399" s="270" t="s">
        <v>3944</v>
      </c>
      <c r="R399" s="270">
        <v>2429</v>
      </c>
      <c r="S399" s="270">
        <v>21913.8</v>
      </c>
      <c r="T399" s="270">
        <v>24342.799999999999</v>
      </c>
      <c r="U399" s="271" t="s">
        <v>3945</v>
      </c>
      <c r="V399" s="267" t="s">
        <v>944</v>
      </c>
    </row>
    <row r="400" spans="1:22" hidden="1" x14ac:dyDescent="0.25">
      <c r="A400" s="266">
        <v>43481</v>
      </c>
      <c r="B400" s="267">
        <v>2019</v>
      </c>
      <c r="C400" s="267">
        <v>2019</v>
      </c>
      <c r="D400" s="267">
        <v>1</v>
      </c>
      <c r="E400" s="267">
        <v>1</v>
      </c>
      <c r="F400" s="267" t="s">
        <v>944</v>
      </c>
      <c r="G400" s="267" t="s">
        <v>3926</v>
      </c>
      <c r="H400" s="267" t="s">
        <v>4472</v>
      </c>
      <c r="I400" s="267" t="s">
        <v>4220</v>
      </c>
      <c r="J400" s="267" t="s">
        <v>3928</v>
      </c>
      <c r="K400" s="267">
        <v>6455</v>
      </c>
      <c r="L400" s="267">
        <v>580100</v>
      </c>
      <c r="M400" s="267" t="s">
        <v>3960</v>
      </c>
      <c r="N400" s="267" t="s">
        <v>3944</v>
      </c>
      <c r="O400" s="267">
        <v>3866.91</v>
      </c>
      <c r="P400" s="267" t="s">
        <v>3944</v>
      </c>
      <c r="Q400" s="267" t="s">
        <v>3944</v>
      </c>
      <c r="R400" s="267">
        <v>3866.91</v>
      </c>
      <c r="S400" s="267">
        <v>59483.08</v>
      </c>
      <c r="T400" s="267">
        <v>63349.99</v>
      </c>
      <c r="U400" s="268" t="s">
        <v>3945</v>
      </c>
      <c r="V400" s="267" t="s">
        <v>944</v>
      </c>
    </row>
    <row r="401" spans="1:22" hidden="1" x14ac:dyDescent="0.25">
      <c r="A401" s="269">
        <v>43481</v>
      </c>
      <c r="B401" s="270">
        <v>2019</v>
      </c>
      <c r="C401" s="270">
        <v>2019</v>
      </c>
      <c r="D401" s="270">
        <v>1</v>
      </c>
      <c r="E401" s="270">
        <v>1</v>
      </c>
      <c r="F401" s="270" t="s">
        <v>944</v>
      </c>
      <c r="G401" s="270" t="s">
        <v>3926</v>
      </c>
      <c r="H401" s="270" t="s">
        <v>4473</v>
      </c>
      <c r="I401" s="270" t="s">
        <v>3934</v>
      </c>
      <c r="J401" s="270" t="s">
        <v>3928</v>
      </c>
      <c r="K401" s="270">
        <v>6405</v>
      </c>
      <c r="L401" s="270">
        <v>184700</v>
      </c>
      <c r="M401" s="270" t="s">
        <v>3935</v>
      </c>
      <c r="N401" s="270" t="s">
        <v>3944</v>
      </c>
      <c r="O401" s="270">
        <v>652.67999999999995</v>
      </c>
      <c r="P401" s="270" t="s">
        <v>3944</v>
      </c>
      <c r="Q401" s="270" t="s">
        <v>3944</v>
      </c>
      <c r="R401" s="270">
        <v>652.67999999999995</v>
      </c>
      <c r="S401" s="270">
        <v>9219.2800000000007</v>
      </c>
      <c r="T401" s="270">
        <v>9871.9599999999991</v>
      </c>
      <c r="U401" s="271" t="s">
        <v>3945</v>
      </c>
      <c r="V401" s="267" t="s">
        <v>944</v>
      </c>
    </row>
    <row r="402" spans="1:22" hidden="1" x14ac:dyDescent="0.25">
      <c r="A402" s="266">
        <v>43481</v>
      </c>
      <c r="B402" s="267">
        <v>2019</v>
      </c>
      <c r="C402" s="267">
        <v>2019</v>
      </c>
      <c r="D402" s="267">
        <v>1</v>
      </c>
      <c r="E402" s="267">
        <v>1</v>
      </c>
      <c r="F402" s="267" t="s">
        <v>944</v>
      </c>
      <c r="G402" s="267" t="s">
        <v>3926</v>
      </c>
      <c r="H402" s="267" t="s">
        <v>4474</v>
      </c>
      <c r="I402" s="267" t="s">
        <v>4019</v>
      </c>
      <c r="J402" s="267" t="s">
        <v>3928</v>
      </c>
      <c r="K402" s="267">
        <v>6708</v>
      </c>
      <c r="L402" s="267">
        <v>351602</v>
      </c>
      <c r="M402" s="267" t="s">
        <v>3940</v>
      </c>
      <c r="N402" s="267" t="s">
        <v>3944</v>
      </c>
      <c r="O402" s="267">
        <v>1630.34</v>
      </c>
      <c r="P402" s="267" t="s">
        <v>3944</v>
      </c>
      <c r="Q402" s="267" t="s">
        <v>3944</v>
      </c>
      <c r="R402" s="267">
        <v>1630.34</v>
      </c>
      <c r="S402" s="267">
        <v>23183.99</v>
      </c>
      <c r="T402" s="267">
        <v>24814.33</v>
      </c>
      <c r="U402" s="268" t="s">
        <v>3945</v>
      </c>
      <c r="V402" s="267" t="s">
        <v>944</v>
      </c>
    </row>
    <row r="403" spans="1:22" hidden="1" x14ac:dyDescent="0.25">
      <c r="A403" s="269">
        <v>43481</v>
      </c>
      <c r="B403" s="270">
        <v>2019</v>
      </c>
      <c r="C403" s="270">
        <v>2019</v>
      </c>
      <c r="D403" s="270">
        <v>1</v>
      </c>
      <c r="E403" s="270">
        <v>1</v>
      </c>
      <c r="F403" s="270" t="s">
        <v>944</v>
      </c>
      <c r="G403" s="270" t="s">
        <v>3926</v>
      </c>
      <c r="H403" s="270" t="s">
        <v>4475</v>
      </c>
      <c r="I403" s="270" t="s">
        <v>4079</v>
      </c>
      <c r="J403" s="270" t="s">
        <v>3928</v>
      </c>
      <c r="K403" s="270">
        <v>6111</v>
      </c>
      <c r="L403" s="270">
        <v>494400</v>
      </c>
      <c r="M403" s="270" t="s">
        <v>3935</v>
      </c>
      <c r="N403" s="270" t="s">
        <v>3944</v>
      </c>
      <c r="O403" s="270">
        <v>1806.21</v>
      </c>
      <c r="P403" s="270" t="s">
        <v>3944</v>
      </c>
      <c r="Q403" s="270" t="s">
        <v>3944</v>
      </c>
      <c r="R403" s="270">
        <v>1806.21</v>
      </c>
      <c r="S403" s="270">
        <v>25457.62</v>
      </c>
      <c r="T403" s="270">
        <v>27263.83</v>
      </c>
      <c r="U403" s="271" t="s">
        <v>3945</v>
      </c>
      <c r="V403" s="267" t="s">
        <v>944</v>
      </c>
    </row>
    <row r="404" spans="1:22" hidden="1" x14ac:dyDescent="0.25">
      <c r="A404" s="266">
        <v>43481</v>
      </c>
      <c r="B404" s="267">
        <v>2019</v>
      </c>
      <c r="C404" s="267">
        <v>2019</v>
      </c>
      <c r="D404" s="267">
        <v>1</v>
      </c>
      <c r="E404" s="267">
        <v>1</v>
      </c>
      <c r="F404" s="267" t="s">
        <v>944</v>
      </c>
      <c r="G404" s="267" t="s">
        <v>3926</v>
      </c>
      <c r="H404" s="267" t="s">
        <v>4476</v>
      </c>
      <c r="I404" s="267" t="s">
        <v>2985</v>
      </c>
      <c r="J404" s="267" t="s">
        <v>3928</v>
      </c>
      <c r="K404" s="267">
        <v>6890</v>
      </c>
      <c r="L404" s="267">
        <v>60600</v>
      </c>
      <c r="M404" s="267" t="s">
        <v>3943</v>
      </c>
      <c r="N404" s="267" t="s">
        <v>3944</v>
      </c>
      <c r="O404" s="267">
        <v>2268.91</v>
      </c>
      <c r="P404" s="267" t="s">
        <v>3944</v>
      </c>
      <c r="Q404" s="267" t="s">
        <v>3944</v>
      </c>
      <c r="R404" s="267">
        <v>2268.91</v>
      </c>
      <c r="S404" s="267">
        <v>37173.519999999997</v>
      </c>
      <c r="T404" s="267">
        <v>39442.43</v>
      </c>
      <c r="U404" s="268" t="s">
        <v>3945</v>
      </c>
      <c r="V404" s="267" t="s">
        <v>944</v>
      </c>
    </row>
    <row r="405" spans="1:22" hidden="1" x14ac:dyDescent="0.25">
      <c r="A405" s="269">
        <v>43481</v>
      </c>
      <c r="B405" s="270">
        <v>2019</v>
      </c>
      <c r="C405" s="270">
        <v>2019</v>
      </c>
      <c r="D405" s="270">
        <v>1</v>
      </c>
      <c r="E405" s="270">
        <v>1</v>
      </c>
      <c r="F405" s="270" t="s">
        <v>944</v>
      </c>
      <c r="G405" s="270" t="s">
        <v>3926</v>
      </c>
      <c r="H405" s="270" t="s">
        <v>4477</v>
      </c>
      <c r="I405" s="270" t="s">
        <v>3968</v>
      </c>
      <c r="J405" s="270" t="s">
        <v>3928</v>
      </c>
      <c r="K405" s="270">
        <v>6040</v>
      </c>
      <c r="L405" s="270">
        <v>514800</v>
      </c>
      <c r="M405" s="270" t="s">
        <v>3940</v>
      </c>
      <c r="N405" s="270" t="s">
        <v>3944</v>
      </c>
      <c r="O405" s="270">
        <v>2124.36</v>
      </c>
      <c r="P405" s="270" t="s">
        <v>3944</v>
      </c>
      <c r="Q405" s="270" t="s">
        <v>3944</v>
      </c>
      <c r="R405" s="270">
        <v>2124.36</v>
      </c>
      <c r="S405" s="270">
        <v>35879.410000000003</v>
      </c>
      <c r="T405" s="270">
        <v>38003.769999999997</v>
      </c>
      <c r="U405" s="271" t="s">
        <v>3945</v>
      </c>
      <c r="V405" s="267" t="s">
        <v>944</v>
      </c>
    </row>
    <row r="406" spans="1:22" hidden="1" x14ac:dyDescent="0.25">
      <c r="A406" s="266">
        <v>43481</v>
      </c>
      <c r="B406" s="267">
        <v>2019</v>
      </c>
      <c r="C406" s="267">
        <v>2019</v>
      </c>
      <c r="D406" s="267">
        <v>1</v>
      </c>
      <c r="E406" s="267">
        <v>1</v>
      </c>
      <c r="F406" s="267" t="s">
        <v>944</v>
      </c>
      <c r="G406" s="267" t="s">
        <v>3926</v>
      </c>
      <c r="H406" s="267" t="s">
        <v>4478</v>
      </c>
      <c r="I406" s="267" t="s">
        <v>4005</v>
      </c>
      <c r="J406" s="267" t="s">
        <v>3928</v>
      </c>
      <c r="K406" s="267">
        <v>6118</v>
      </c>
      <c r="L406" s="267">
        <v>510700</v>
      </c>
      <c r="M406" s="267" t="s">
        <v>3940</v>
      </c>
      <c r="N406" s="267" t="s">
        <v>3944</v>
      </c>
      <c r="O406" s="267">
        <v>1122</v>
      </c>
      <c r="P406" s="267" t="s">
        <v>3944</v>
      </c>
      <c r="Q406" s="267" t="s">
        <v>3944</v>
      </c>
      <c r="R406" s="267">
        <v>1122</v>
      </c>
      <c r="S406" s="267">
        <v>14538</v>
      </c>
      <c r="T406" s="267">
        <v>15660</v>
      </c>
      <c r="U406" s="268" t="s">
        <v>3945</v>
      </c>
      <c r="V406" s="267" t="s">
        <v>944</v>
      </c>
    </row>
    <row r="407" spans="1:22" hidden="1" x14ac:dyDescent="0.25">
      <c r="A407" s="269">
        <v>43481</v>
      </c>
      <c r="B407" s="270">
        <v>2019</v>
      </c>
      <c r="C407" s="270">
        <v>2019</v>
      </c>
      <c r="D407" s="270">
        <v>1</v>
      </c>
      <c r="E407" s="270">
        <v>1</v>
      </c>
      <c r="F407" s="270" t="s">
        <v>944</v>
      </c>
      <c r="G407" s="270" t="s">
        <v>3926</v>
      </c>
      <c r="H407" s="270" t="s">
        <v>4479</v>
      </c>
      <c r="I407" s="270" t="s">
        <v>3966</v>
      </c>
      <c r="J407" s="270" t="s">
        <v>3928</v>
      </c>
      <c r="K407" s="270">
        <v>6010</v>
      </c>
      <c r="L407" s="270">
        <v>405200</v>
      </c>
      <c r="M407" s="270" t="s">
        <v>3940</v>
      </c>
      <c r="N407" s="270" t="s">
        <v>3944</v>
      </c>
      <c r="O407" s="270">
        <v>3395.7</v>
      </c>
      <c r="P407" s="270" t="s">
        <v>3944</v>
      </c>
      <c r="Q407" s="270" t="s">
        <v>3944</v>
      </c>
      <c r="R407" s="270">
        <v>3395.7</v>
      </c>
      <c r="S407" s="270">
        <v>51178.51</v>
      </c>
      <c r="T407" s="270">
        <v>54574.21</v>
      </c>
      <c r="U407" s="271" t="s">
        <v>3945</v>
      </c>
      <c r="V407" s="267" t="s">
        <v>944</v>
      </c>
    </row>
    <row r="408" spans="1:22" hidden="1" x14ac:dyDescent="0.25">
      <c r="A408" s="266">
        <v>43481</v>
      </c>
      <c r="B408" s="267">
        <v>2019</v>
      </c>
      <c r="C408" s="267">
        <v>2019</v>
      </c>
      <c r="D408" s="267">
        <v>1</v>
      </c>
      <c r="E408" s="267">
        <v>1</v>
      </c>
      <c r="F408" s="267" t="s">
        <v>944</v>
      </c>
      <c r="G408" s="267" t="s">
        <v>3926</v>
      </c>
      <c r="H408" s="267" t="s">
        <v>4480</v>
      </c>
      <c r="I408" s="267" t="s">
        <v>4094</v>
      </c>
      <c r="J408" s="267" t="s">
        <v>3928</v>
      </c>
      <c r="K408" s="267">
        <v>6096</v>
      </c>
      <c r="L408" s="267">
        <v>476100</v>
      </c>
      <c r="M408" s="267" t="s">
        <v>3940</v>
      </c>
      <c r="N408" s="267" t="s">
        <v>3944</v>
      </c>
      <c r="O408" s="267">
        <v>1674.93</v>
      </c>
      <c r="P408" s="267" t="s">
        <v>3944</v>
      </c>
      <c r="Q408" s="267" t="s">
        <v>3944</v>
      </c>
      <c r="R408" s="267">
        <v>1674.93</v>
      </c>
      <c r="S408" s="267">
        <v>26078.880000000001</v>
      </c>
      <c r="T408" s="267">
        <v>27753.81</v>
      </c>
      <c r="U408" s="268" t="s">
        <v>3945</v>
      </c>
      <c r="V408" s="267" t="s">
        <v>944</v>
      </c>
    </row>
    <row r="409" spans="1:22" hidden="1" x14ac:dyDescent="0.25">
      <c r="A409" s="269">
        <v>43481</v>
      </c>
      <c r="B409" s="270">
        <v>2019</v>
      </c>
      <c r="C409" s="270">
        <v>2019</v>
      </c>
      <c r="D409" s="270">
        <v>1</v>
      </c>
      <c r="E409" s="270">
        <v>1</v>
      </c>
      <c r="F409" s="270" t="s">
        <v>944</v>
      </c>
      <c r="G409" s="270" t="s">
        <v>3926</v>
      </c>
      <c r="H409" s="270" t="s">
        <v>4481</v>
      </c>
      <c r="I409" s="270" t="s">
        <v>4016</v>
      </c>
      <c r="J409" s="270" t="s">
        <v>3928</v>
      </c>
      <c r="K409" s="270">
        <v>6770</v>
      </c>
      <c r="L409" s="270">
        <v>345201</v>
      </c>
      <c r="M409" s="270" t="s">
        <v>3935</v>
      </c>
      <c r="N409" s="270" t="s">
        <v>3944</v>
      </c>
      <c r="O409" s="270">
        <v>2459.1</v>
      </c>
      <c r="P409" s="270" t="s">
        <v>3944</v>
      </c>
      <c r="Q409" s="270" t="s">
        <v>3944</v>
      </c>
      <c r="R409" s="270">
        <v>2459.1</v>
      </c>
      <c r="S409" s="270">
        <v>39499.1</v>
      </c>
      <c r="T409" s="270">
        <v>41958.2</v>
      </c>
      <c r="U409" s="271" t="s">
        <v>3945</v>
      </c>
      <c r="V409" s="267" t="s">
        <v>944</v>
      </c>
    </row>
    <row r="410" spans="1:22" hidden="1" x14ac:dyDescent="0.25">
      <c r="A410" s="266">
        <v>43481</v>
      </c>
      <c r="B410" s="267">
        <v>2019</v>
      </c>
      <c r="C410" s="267">
        <v>2019</v>
      </c>
      <c r="D410" s="267">
        <v>1</v>
      </c>
      <c r="E410" s="267">
        <v>1</v>
      </c>
      <c r="F410" s="267" t="s">
        <v>944</v>
      </c>
      <c r="G410" s="267" t="s">
        <v>3926</v>
      </c>
      <c r="H410" s="267" t="s">
        <v>4482</v>
      </c>
      <c r="I410" s="267" t="s">
        <v>4137</v>
      </c>
      <c r="J410" s="267" t="s">
        <v>3928</v>
      </c>
      <c r="K410" s="267">
        <v>6067</v>
      </c>
      <c r="L410" s="267">
        <v>490100</v>
      </c>
      <c r="M410" s="267" t="s">
        <v>3935</v>
      </c>
      <c r="N410" s="267" t="s">
        <v>3944</v>
      </c>
      <c r="O410" s="267">
        <v>2048.4499999999998</v>
      </c>
      <c r="P410" s="267" t="s">
        <v>3944</v>
      </c>
      <c r="Q410" s="267" t="s">
        <v>3944</v>
      </c>
      <c r="R410" s="267">
        <v>2048.4499999999998</v>
      </c>
      <c r="S410" s="267">
        <v>30550.38</v>
      </c>
      <c r="T410" s="267">
        <v>32598.83</v>
      </c>
      <c r="U410" s="268" t="s">
        <v>3945</v>
      </c>
      <c r="V410" s="267" t="s">
        <v>944</v>
      </c>
    </row>
    <row r="411" spans="1:22" hidden="1" x14ac:dyDescent="0.25">
      <c r="A411" s="269">
        <v>43481</v>
      </c>
      <c r="B411" s="270">
        <v>2019</v>
      </c>
      <c r="C411" s="270">
        <v>2019</v>
      </c>
      <c r="D411" s="270">
        <v>1</v>
      </c>
      <c r="E411" s="270">
        <v>1</v>
      </c>
      <c r="F411" s="270" t="s">
        <v>944</v>
      </c>
      <c r="G411" s="270" t="s">
        <v>3926</v>
      </c>
      <c r="H411" s="270" t="s">
        <v>4483</v>
      </c>
      <c r="I411" s="270" t="s">
        <v>3964</v>
      </c>
      <c r="J411" s="270" t="s">
        <v>3928</v>
      </c>
      <c r="K411" s="270">
        <v>6033</v>
      </c>
      <c r="L411" s="270">
        <v>520201</v>
      </c>
      <c r="M411" s="270" t="s">
        <v>3943</v>
      </c>
      <c r="N411" s="270" t="s">
        <v>3944</v>
      </c>
      <c r="O411" s="270">
        <v>4634.67</v>
      </c>
      <c r="P411" s="270" t="s">
        <v>3944</v>
      </c>
      <c r="Q411" s="270" t="s">
        <v>3944</v>
      </c>
      <c r="R411" s="270">
        <v>4634.67</v>
      </c>
      <c r="S411" s="270">
        <v>61452.42</v>
      </c>
      <c r="T411" s="270">
        <v>66087.09</v>
      </c>
      <c r="U411" s="271" t="s">
        <v>3945</v>
      </c>
      <c r="V411" s="267" t="s">
        <v>944</v>
      </c>
    </row>
    <row r="412" spans="1:22" hidden="1" x14ac:dyDescent="0.25">
      <c r="A412" s="266">
        <v>43481</v>
      </c>
      <c r="B412" s="267">
        <v>2019</v>
      </c>
      <c r="C412" s="267">
        <v>2019</v>
      </c>
      <c r="D412" s="267">
        <v>1</v>
      </c>
      <c r="E412" s="267">
        <v>1</v>
      </c>
      <c r="F412" s="267" t="s">
        <v>944</v>
      </c>
      <c r="G412" s="267" t="s">
        <v>3926</v>
      </c>
      <c r="H412" s="267" t="s">
        <v>4484</v>
      </c>
      <c r="I412" s="267" t="s">
        <v>4005</v>
      </c>
      <c r="J412" s="267" t="s">
        <v>3928</v>
      </c>
      <c r="K412" s="267">
        <v>6118</v>
      </c>
      <c r="L412" s="267">
        <v>510700</v>
      </c>
      <c r="M412" s="267" t="s">
        <v>3940</v>
      </c>
      <c r="N412" s="267" t="s">
        <v>3944</v>
      </c>
      <c r="O412" s="267">
        <v>1385.83</v>
      </c>
      <c r="P412" s="267" t="s">
        <v>3944</v>
      </c>
      <c r="Q412" s="267" t="s">
        <v>3944</v>
      </c>
      <c r="R412" s="267">
        <v>1385.83</v>
      </c>
      <c r="S412" s="267">
        <v>28102.93</v>
      </c>
      <c r="T412" s="267">
        <v>29488.76</v>
      </c>
      <c r="U412" s="268" t="s">
        <v>3945</v>
      </c>
      <c r="V412" s="267" t="s">
        <v>944</v>
      </c>
    </row>
    <row r="413" spans="1:22" hidden="1" x14ac:dyDescent="0.25">
      <c r="A413" s="269">
        <v>43481</v>
      </c>
      <c r="B413" s="270">
        <v>2019</v>
      </c>
      <c r="C413" s="270">
        <v>2019</v>
      </c>
      <c r="D413" s="270">
        <v>1</v>
      </c>
      <c r="E413" s="270">
        <v>1</v>
      </c>
      <c r="F413" s="270" t="s">
        <v>944</v>
      </c>
      <c r="G413" s="270" t="s">
        <v>3926</v>
      </c>
      <c r="H413" s="270" t="s">
        <v>4485</v>
      </c>
      <c r="I413" s="270" t="s">
        <v>4124</v>
      </c>
      <c r="J413" s="270" t="s">
        <v>3928</v>
      </c>
      <c r="K413" s="270">
        <v>6482</v>
      </c>
      <c r="L413" s="270">
        <v>230100</v>
      </c>
      <c r="M413" s="270" t="s">
        <v>3943</v>
      </c>
      <c r="N413" s="270" t="s">
        <v>3944</v>
      </c>
      <c r="O413" s="270">
        <v>1915.94</v>
      </c>
      <c r="P413" s="270" t="s">
        <v>3944</v>
      </c>
      <c r="Q413" s="270" t="s">
        <v>3944</v>
      </c>
      <c r="R413" s="270">
        <v>1915.94</v>
      </c>
      <c r="S413" s="270">
        <v>25632.39</v>
      </c>
      <c r="T413" s="270">
        <v>27548.33</v>
      </c>
      <c r="U413" s="271" t="s">
        <v>3945</v>
      </c>
      <c r="V413" s="267" t="s">
        <v>944</v>
      </c>
    </row>
    <row r="414" spans="1:22" hidden="1" x14ac:dyDescent="0.25">
      <c r="A414" s="266">
        <v>43481</v>
      </c>
      <c r="B414" s="267">
        <v>2019</v>
      </c>
      <c r="C414" s="267">
        <v>2019</v>
      </c>
      <c r="D414" s="267">
        <v>1</v>
      </c>
      <c r="E414" s="267">
        <v>1</v>
      </c>
      <c r="F414" s="267" t="s">
        <v>944</v>
      </c>
      <c r="G414" s="267" t="s">
        <v>3926</v>
      </c>
      <c r="H414" s="267" t="s">
        <v>4486</v>
      </c>
      <c r="I414" s="267" t="s">
        <v>4029</v>
      </c>
      <c r="J414" s="267" t="s">
        <v>3928</v>
      </c>
      <c r="K414" s="267">
        <v>6851</v>
      </c>
      <c r="L414" s="267">
        <v>42800</v>
      </c>
      <c r="M414" s="267" t="s">
        <v>3960</v>
      </c>
      <c r="N414" s="267" t="s">
        <v>3944</v>
      </c>
      <c r="O414" s="267">
        <v>1672.23</v>
      </c>
      <c r="P414" s="267" t="s">
        <v>3944</v>
      </c>
      <c r="Q414" s="267" t="s">
        <v>3944</v>
      </c>
      <c r="R414" s="267">
        <v>1672.23</v>
      </c>
      <c r="S414" s="267">
        <v>24400.46</v>
      </c>
      <c r="T414" s="267">
        <v>26072.69</v>
      </c>
      <c r="U414" s="268" t="s">
        <v>3945</v>
      </c>
      <c r="V414" s="267" t="s">
        <v>944</v>
      </c>
    </row>
    <row r="415" spans="1:22" hidden="1" x14ac:dyDescent="0.25">
      <c r="A415" s="269">
        <v>43481</v>
      </c>
      <c r="B415" s="270">
        <v>2019</v>
      </c>
      <c r="C415" s="270">
        <v>2019</v>
      </c>
      <c r="D415" s="270">
        <v>1</v>
      </c>
      <c r="E415" s="270">
        <v>1</v>
      </c>
      <c r="F415" s="270" t="s">
        <v>944</v>
      </c>
      <c r="G415" s="270" t="s">
        <v>3926</v>
      </c>
      <c r="H415" s="270" t="s">
        <v>4487</v>
      </c>
      <c r="I415" s="270" t="s">
        <v>4019</v>
      </c>
      <c r="J415" s="270" t="s">
        <v>3928</v>
      </c>
      <c r="K415" s="270">
        <v>6708</v>
      </c>
      <c r="L415" s="270">
        <v>352100</v>
      </c>
      <c r="M415" s="270" t="s">
        <v>3940</v>
      </c>
      <c r="N415" s="270" t="s">
        <v>3944</v>
      </c>
      <c r="O415" s="270">
        <v>1857.45</v>
      </c>
      <c r="P415" s="270" t="s">
        <v>3944</v>
      </c>
      <c r="Q415" s="270" t="s">
        <v>3944</v>
      </c>
      <c r="R415" s="270">
        <v>1857.45</v>
      </c>
      <c r="S415" s="270">
        <v>28358.55</v>
      </c>
      <c r="T415" s="270">
        <v>30216</v>
      </c>
      <c r="U415" s="271" t="s">
        <v>3945</v>
      </c>
      <c r="V415" s="267" t="s">
        <v>944</v>
      </c>
    </row>
    <row r="416" spans="1:22" hidden="1" x14ac:dyDescent="0.25">
      <c r="A416" s="266">
        <v>43481</v>
      </c>
      <c r="B416" s="267">
        <v>2019</v>
      </c>
      <c r="C416" s="267">
        <v>2019</v>
      </c>
      <c r="D416" s="267">
        <v>1</v>
      </c>
      <c r="E416" s="267">
        <v>1</v>
      </c>
      <c r="F416" s="267" t="s">
        <v>944</v>
      </c>
      <c r="G416" s="267" t="s">
        <v>3926</v>
      </c>
      <c r="H416" s="267" t="s">
        <v>4488</v>
      </c>
      <c r="I416" s="267" t="s">
        <v>2985</v>
      </c>
      <c r="J416" s="267" t="s">
        <v>3928</v>
      </c>
      <c r="K416" s="267">
        <v>6890</v>
      </c>
      <c r="L416" s="267">
        <v>60600</v>
      </c>
      <c r="M416" s="267" t="s">
        <v>3943</v>
      </c>
      <c r="N416" s="267" t="s">
        <v>3944</v>
      </c>
      <c r="O416" s="267">
        <v>2907.49</v>
      </c>
      <c r="P416" s="267" t="s">
        <v>3944</v>
      </c>
      <c r="Q416" s="267" t="s">
        <v>3944</v>
      </c>
      <c r="R416" s="267">
        <v>2907.49</v>
      </c>
      <c r="S416" s="267">
        <v>45602.51</v>
      </c>
      <c r="T416" s="267">
        <v>48510</v>
      </c>
      <c r="U416" s="268" t="s">
        <v>3945</v>
      </c>
      <c r="V416" s="267" t="s">
        <v>944</v>
      </c>
    </row>
    <row r="417" spans="1:22" hidden="1" x14ac:dyDescent="0.25">
      <c r="A417" s="269">
        <v>43482</v>
      </c>
      <c r="B417" s="270">
        <v>2019</v>
      </c>
      <c r="C417" s="270">
        <v>2019</v>
      </c>
      <c r="D417" s="270">
        <v>1</v>
      </c>
      <c r="E417" s="270">
        <v>1</v>
      </c>
      <c r="F417" s="270" t="s">
        <v>944</v>
      </c>
      <c r="G417" s="270" t="s">
        <v>3926</v>
      </c>
      <c r="H417" s="270" t="s">
        <v>4489</v>
      </c>
      <c r="I417" s="270" t="s">
        <v>4490</v>
      </c>
      <c r="J417" s="270" t="s">
        <v>3928</v>
      </c>
      <c r="K417" s="270">
        <v>6442</v>
      </c>
      <c r="L417" s="270">
        <v>630100</v>
      </c>
      <c r="M417" s="270" t="s">
        <v>3960</v>
      </c>
      <c r="N417" s="270" t="s">
        <v>4491</v>
      </c>
      <c r="O417" s="270">
        <v>0</v>
      </c>
      <c r="P417" s="270" t="s">
        <v>3930</v>
      </c>
      <c r="Q417" s="270" t="s">
        <v>3930</v>
      </c>
      <c r="R417" s="270">
        <v>0</v>
      </c>
      <c r="S417" s="270">
        <v>11145</v>
      </c>
      <c r="T417" s="270">
        <v>11145</v>
      </c>
      <c r="U417" s="271" t="s">
        <v>3937</v>
      </c>
      <c r="V417" s="267" t="s">
        <v>944</v>
      </c>
    </row>
    <row r="418" spans="1:22" hidden="1" x14ac:dyDescent="0.25">
      <c r="A418" s="266">
        <v>43482</v>
      </c>
      <c r="B418" s="267">
        <v>2019</v>
      </c>
      <c r="C418" s="267">
        <v>2019</v>
      </c>
      <c r="D418" s="267">
        <v>1</v>
      </c>
      <c r="E418" s="267">
        <v>1</v>
      </c>
      <c r="F418" s="267" t="s">
        <v>944</v>
      </c>
      <c r="G418" s="267" t="s">
        <v>3926</v>
      </c>
      <c r="H418" s="267" t="s">
        <v>4492</v>
      </c>
      <c r="I418" s="267" t="s">
        <v>3954</v>
      </c>
      <c r="J418" s="267" t="s">
        <v>3928</v>
      </c>
      <c r="K418" s="267">
        <v>6357</v>
      </c>
      <c r="L418" s="267">
        <v>870704</v>
      </c>
      <c r="M418" s="267" t="s">
        <v>3935</v>
      </c>
      <c r="N418" s="267" t="s">
        <v>4493</v>
      </c>
      <c r="O418" s="267">
        <v>1477.91</v>
      </c>
      <c r="P418" s="267" t="s">
        <v>3930</v>
      </c>
      <c r="Q418" s="267" t="s">
        <v>3931</v>
      </c>
      <c r="R418" s="267">
        <v>6477.91</v>
      </c>
      <c r="S418" s="267">
        <v>27900.400000000001</v>
      </c>
      <c r="T418" s="267">
        <v>34378.31</v>
      </c>
      <c r="U418" s="268" t="s">
        <v>3932</v>
      </c>
      <c r="V418" s="267" t="s">
        <v>944</v>
      </c>
    </row>
    <row r="419" spans="1:22" hidden="1" x14ac:dyDescent="0.25">
      <c r="A419" s="269">
        <v>43482</v>
      </c>
      <c r="B419" s="270">
        <v>2019</v>
      </c>
      <c r="C419" s="270">
        <v>2019</v>
      </c>
      <c r="D419" s="270">
        <v>1</v>
      </c>
      <c r="E419" s="270">
        <v>1</v>
      </c>
      <c r="F419" s="270" t="s">
        <v>944</v>
      </c>
      <c r="G419" s="270" t="s">
        <v>3926</v>
      </c>
      <c r="H419" s="270" t="s">
        <v>4494</v>
      </c>
      <c r="I419" s="270" t="s">
        <v>3999</v>
      </c>
      <c r="J419" s="270" t="s">
        <v>3928</v>
      </c>
      <c r="K419" s="270">
        <v>6451</v>
      </c>
      <c r="L419" s="270">
        <v>170600</v>
      </c>
      <c r="M419" s="270" t="s">
        <v>3940</v>
      </c>
      <c r="N419" s="270" t="s">
        <v>4495</v>
      </c>
      <c r="O419" s="270">
        <v>1836.18</v>
      </c>
      <c r="P419" s="270" t="s">
        <v>3930</v>
      </c>
      <c r="Q419" s="270" t="s">
        <v>3931</v>
      </c>
      <c r="R419" s="270">
        <v>6836.18</v>
      </c>
      <c r="S419" s="270">
        <v>33976</v>
      </c>
      <c r="T419" s="270">
        <v>40812.18</v>
      </c>
      <c r="U419" s="271" t="s">
        <v>3932</v>
      </c>
      <c r="V419" s="267" t="s">
        <v>944</v>
      </c>
    </row>
    <row r="420" spans="1:22" hidden="1" x14ac:dyDescent="0.25">
      <c r="A420" s="266">
        <v>43482</v>
      </c>
      <c r="B420" s="267">
        <v>2019</v>
      </c>
      <c r="C420" s="267">
        <v>2019</v>
      </c>
      <c r="D420" s="267">
        <v>1</v>
      </c>
      <c r="E420" s="267">
        <v>1</v>
      </c>
      <c r="F420" s="267" t="s">
        <v>944</v>
      </c>
      <c r="G420" s="267" t="s">
        <v>3997</v>
      </c>
      <c r="H420" s="267" t="s">
        <v>4496</v>
      </c>
      <c r="I420" s="267" t="s">
        <v>4497</v>
      </c>
      <c r="J420" s="267" t="s">
        <v>3928</v>
      </c>
      <c r="K420" s="267">
        <v>6260</v>
      </c>
      <c r="L420" s="267">
        <v>903200</v>
      </c>
      <c r="M420" s="267" t="s">
        <v>3935</v>
      </c>
      <c r="N420" s="267" t="s">
        <v>4498</v>
      </c>
      <c r="O420" s="267">
        <v>1444.53</v>
      </c>
      <c r="P420" s="267" t="s">
        <v>3930</v>
      </c>
      <c r="Q420" s="267" t="s">
        <v>3931</v>
      </c>
      <c r="R420" s="267">
        <v>6444.53</v>
      </c>
      <c r="S420" s="267">
        <v>21752</v>
      </c>
      <c r="T420" s="267">
        <v>28196.53</v>
      </c>
      <c r="U420" s="268" t="s">
        <v>3932</v>
      </c>
      <c r="V420" s="267" t="s">
        <v>944</v>
      </c>
    </row>
    <row r="421" spans="1:22" hidden="1" x14ac:dyDescent="0.25">
      <c r="A421" s="269">
        <v>43482</v>
      </c>
      <c r="B421" s="270">
        <v>2019</v>
      </c>
      <c r="C421" s="270">
        <v>2019</v>
      </c>
      <c r="D421" s="270">
        <v>1</v>
      </c>
      <c r="E421" s="270">
        <v>1</v>
      </c>
      <c r="F421" s="270" t="s">
        <v>944</v>
      </c>
      <c r="G421" s="270" t="s">
        <v>3926</v>
      </c>
      <c r="H421" s="270" t="s">
        <v>4499</v>
      </c>
      <c r="I421" s="270" t="s">
        <v>4005</v>
      </c>
      <c r="J421" s="270" t="s">
        <v>3928</v>
      </c>
      <c r="K421" s="270">
        <v>6118</v>
      </c>
      <c r="L421" s="270">
        <v>511100</v>
      </c>
      <c r="M421" s="270" t="s">
        <v>3960</v>
      </c>
      <c r="N421" s="270" t="s">
        <v>4500</v>
      </c>
      <c r="O421" s="270">
        <v>0</v>
      </c>
      <c r="P421" s="270" t="s">
        <v>3930</v>
      </c>
      <c r="Q421" s="270" t="s">
        <v>3930</v>
      </c>
      <c r="R421" s="270">
        <v>0</v>
      </c>
      <c r="S421" s="270">
        <v>9356</v>
      </c>
      <c r="T421" s="270">
        <v>9356</v>
      </c>
      <c r="U421" s="271" t="s">
        <v>3937</v>
      </c>
      <c r="V421" s="267" t="s">
        <v>944</v>
      </c>
    </row>
    <row r="422" spans="1:22" hidden="1" x14ac:dyDescent="0.25">
      <c r="A422" s="266">
        <v>43482</v>
      </c>
      <c r="B422" s="267">
        <v>2019</v>
      </c>
      <c r="C422" s="267">
        <v>2019</v>
      </c>
      <c r="D422" s="267">
        <v>1</v>
      </c>
      <c r="E422" s="267">
        <v>1</v>
      </c>
      <c r="F422" s="267" t="s">
        <v>944</v>
      </c>
      <c r="G422" s="267" t="s">
        <v>3926</v>
      </c>
      <c r="H422" s="267" t="s">
        <v>4501</v>
      </c>
      <c r="I422" s="267" t="s">
        <v>4108</v>
      </c>
      <c r="J422" s="267" t="s">
        <v>3928</v>
      </c>
      <c r="K422" s="267">
        <v>6082</v>
      </c>
      <c r="L422" s="267">
        <v>481300</v>
      </c>
      <c r="M422" s="267" t="s">
        <v>3960</v>
      </c>
      <c r="N422" s="267" t="s">
        <v>3944</v>
      </c>
      <c r="O422" s="267">
        <v>4113</v>
      </c>
      <c r="P422" s="267" t="s">
        <v>3944</v>
      </c>
      <c r="Q422" s="267" t="s">
        <v>3944</v>
      </c>
      <c r="R422" s="267">
        <v>4113</v>
      </c>
      <c r="S422" s="267">
        <v>32337</v>
      </c>
      <c r="T422" s="267">
        <v>36450</v>
      </c>
      <c r="U422" s="268" t="s">
        <v>3945</v>
      </c>
      <c r="V422" s="267" t="s">
        <v>944</v>
      </c>
    </row>
    <row r="423" spans="1:22" hidden="1" x14ac:dyDescent="0.25">
      <c r="A423" s="269">
        <v>43482</v>
      </c>
      <c r="B423" s="270">
        <v>2019</v>
      </c>
      <c r="C423" s="270">
        <v>2019</v>
      </c>
      <c r="D423" s="270">
        <v>1</v>
      </c>
      <c r="E423" s="270">
        <v>1</v>
      </c>
      <c r="F423" s="270" t="s">
        <v>944</v>
      </c>
      <c r="G423" s="270" t="s">
        <v>3926</v>
      </c>
      <c r="H423" s="270" t="s">
        <v>4502</v>
      </c>
      <c r="I423" s="270" t="s">
        <v>4062</v>
      </c>
      <c r="J423" s="270" t="s">
        <v>3928</v>
      </c>
      <c r="K423" s="270">
        <v>6758</v>
      </c>
      <c r="L423" s="270">
        <v>303100</v>
      </c>
      <c r="M423" s="270" t="s">
        <v>3960</v>
      </c>
      <c r="N423" s="270" t="s">
        <v>3944</v>
      </c>
      <c r="O423" s="270">
        <v>3879</v>
      </c>
      <c r="P423" s="270" t="s">
        <v>3944</v>
      </c>
      <c r="Q423" s="270" t="s">
        <v>3944</v>
      </c>
      <c r="R423" s="270">
        <v>3879</v>
      </c>
      <c r="S423" s="270">
        <v>35919</v>
      </c>
      <c r="T423" s="270">
        <v>39798</v>
      </c>
      <c r="U423" s="271" t="s">
        <v>3945</v>
      </c>
      <c r="V423" s="267" t="s">
        <v>944</v>
      </c>
    </row>
    <row r="424" spans="1:22" hidden="1" x14ac:dyDescent="0.25">
      <c r="A424" s="266">
        <v>43482</v>
      </c>
      <c r="B424" s="267">
        <v>2019</v>
      </c>
      <c r="C424" s="267">
        <v>2019</v>
      </c>
      <c r="D424" s="267">
        <v>1</v>
      </c>
      <c r="E424" s="267">
        <v>1</v>
      </c>
      <c r="F424" s="267" t="s">
        <v>944</v>
      </c>
      <c r="G424" s="267" t="s">
        <v>3926</v>
      </c>
      <c r="H424" s="267" t="s">
        <v>4503</v>
      </c>
      <c r="I424" s="267" t="s">
        <v>4504</v>
      </c>
      <c r="J424" s="267" t="s">
        <v>3928</v>
      </c>
      <c r="K424" s="267">
        <v>6279</v>
      </c>
      <c r="L424" s="267">
        <v>840100</v>
      </c>
      <c r="M424" s="267" t="s">
        <v>3935</v>
      </c>
      <c r="N424" s="267" t="s">
        <v>3944</v>
      </c>
      <c r="O424" s="267">
        <v>4468</v>
      </c>
      <c r="P424" s="267" t="s">
        <v>3944</v>
      </c>
      <c r="Q424" s="267" t="s">
        <v>3944</v>
      </c>
      <c r="R424" s="267">
        <v>4468</v>
      </c>
      <c r="S424" s="267">
        <v>29640.799999999999</v>
      </c>
      <c r="T424" s="267">
        <v>34108.800000000003</v>
      </c>
      <c r="U424" s="268" t="s">
        <v>3945</v>
      </c>
      <c r="V424" s="267" t="s">
        <v>944</v>
      </c>
    </row>
    <row r="425" spans="1:22" hidden="1" x14ac:dyDescent="0.25">
      <c r="A425" s="269">
        <v>43482</v>
      </c>
      <c r="B425" s="270">
        <v>2019</v>
      </c>
      <c r="C425" s="270">
        <v>2019</v>
      </c>
      <c r="D425" s="270">
        <v>1</v>
      </c>
      <c r="E425" s="270">
        <v>1</v>
      </c>
      <c r="F425" s="270" t="s">
        <v>944</v>
      </c>
      <c r="G425" s="270" t="s">
        <v>3926</v>
      </c>
      <c r="H425" s="270" t="s">
        <v>4505</v>
      </c>
      <c r="I425" s="270" t="s">
        <v>4232</v>
      </c>
      <c r="J425" s="270" t="s">
        <v>3928</v>
      </c>
      <c r="K425" s="270">
        <v>6483</v>
      </c>
      <c r="L425" s="270">
        <v>130101</v>
      </c>
      <c r="M425" s="270" t="s">
        <v>3940</v>
      </c>
      <c r="N425" s="270" t="s">
        <v>3944</v>
      </c>
      <c r="O425" s="270">
        <v>1674</v>
      </c>
      <c r="P425" s="270" t="s">
        <v>3944</v>
      </c>
      <c r="Q425" s="270" t="s">
        <v>3944</v>
      </c>
      <c r="R425" s="270">
        <v>1674</v>
      </c>
      <c r="S425" s="270">
        <v>13238</v>
      </c>
      <c r="T425" s="270">
        <v>14912</v>
      </c>
      <c r="U425" s="271" t="s">
        <v>3945</v>
      </c>
      <c r="V425" s="267" t="s">
        <v>944</v>
      </c>
    </row>
    <row r="426" spans="1:22" hidden="1" x14ac:dyDescent="0.25">
      <c r="A426" s="266">
        <v>43482</v>
      </c>
      <c r="B426" s="267">
        <v>2019</v>
      </c>
      <c r="C426" s="267">
        <v>2019</v>
      </c>
      <c r="D426" s="267">
        <v>1</v>
      </c>
      <c r="E426" s="267">
        <v>1</v>
      </c>
      <c r="F426" s="267" t="s">
        <v>944</v>
      </c>
      <c r="G426" s="267" t="s">
        <v>3926</v>
      </c>
      <c r="H426" s="267" t="s">
        <v>4506</v>
      </c>
      <c r="I426" s="267" t="s">
        <v>4124</v>
      </c>
      <c r="J426" s="267" t="s">
        <v>3928</v>
      </c>
      <c r="K426" s="267">
        <v>6470</v>
      </c>
      <c r="L426" s="267">
        <v>230400</v>
      </c>
      <c r="M426" s="267" t="s">
        <v>3943</v>
      </c>
      <c r="N426" s="267" t="s">
        <v>3944</v>
      </c>
      <c r="O426" s="267">
        <v>5644</v>
      </c>
      <c r="P426" s="267" t="s">
        <v>3944</v>
      </c>
      <c r="Q426" s="267" t="s">
        <v>3944</v>
      </c>
      <c r="R426" s="267">
        <v>5644</v>
      </c>
      <c r="S426" s="267">
        <v>41792</v>
      </c>
      <c r="T426" s="267">
        <v>47436</v>
      </c>
      <c r="U426" s="268" t="s">
        <v>3945</v>
      </c>
      <c r="V426" s="267" t="s">
        <v>944</v>
      </c>
    </row>
    <row r="427" spans="1:22" hidden="1" x14ac:dyDescent="0.25">
      <c r="A427" s="269">
        <v>43482</v>
      </c>
      <c r="B427" s="270">
        <v>2019</v>
      </c>
      <c r="C427" s="270">
        <v>2019</v>
      </c>
      <c r="D427" s="270">
        <v>1</v>
      </c>
      <c r="E427" s="270">
        <v>1</v>
      </c>
      <c r="F427" s="270" t="s">
        <v>944</v>
      </c>
      <c r="G427" s="270" t="s">
        <v>3926</v>
      </c>
      <c r="H427" s="270" t="s">
        <v>4507</v>
      </c>
      <c r="I427" s="270" t="s">
        <v>4111</v>
      </c>
      <c r="J427" s="270" t="s">
        <v>3928</v>
      </c>
      <c r="K427" s="270">
        <v>6095</v>
      </c>
      <c r="L427" s="270">
        <v>473700</v>
      </c>
      <c r="M427" s="270" t="s">
        <v>3935</v>
      </c>
      <c r="N427" s="270" t="s">
        <v>3944</v>
      </c>
      <c r="O427" s="270">
        <v>1646.93</v>
      </c>
      <c r="P427" s="270" t="s">
        <v>3944</v>
      </c>
      <c r="Q427" s="270" t="s">
        <v>3944</v>
      </c>
      <c r="R427" s="270">
        <v>1646.93</v>
      </c>
      <c r="S427" s="270">
        <v>36552.699999999997</v>
      </c>
      <c r="T427" s="270">
        <v>38199.629999999997</v>
      </c>
      <c r="U427" s="271" t="s">
        <v>3945</v>
      </c>
      <c r="V427" s="267" t="s">
        <v>944</v>
      </c>
    </row>
    <row r="428" spans="1:22" hidden="1" x14ac:dyDescent="0.25">
      <c r="A428" s="266">
        <v>43482</v>
      </c>
      <c r="B428" s="267">
        <v>2019</v>
      </c>
      <c r="C428" s="267">
        <v>2019</v>
      </c>
      <c r="D428" s="267">
        <v>1</v>
      </c>
      <c r="E428" s="267">
        <v>1</v>
      </c>
      <c r="F428" s="267" t="s">
        <v>944</v>
      </c>
      <c r="G428" s="267" t="s">
        <v>3926</v>
      </c>
      <c r="H428" s="267" t="s">
        <v>4508</v>
      </c>
      <c r="I428" s="267" t="s">
        <v>4147</v>
      </c>
      <c r="J428" s="267" t="s">
        <v>3928</v>
      </c>
      <c r="K428" s="267">
        <v>6109</v>
      </c>
      <c r="L428" s="267">
        <v>492200</v>
      </c>
      <c r="M428" s="267" t="s">
        <v>3960</v>
      </c>
      <c r="N428" s="267" t="s">
        <v>3944</v>
      </c>
      <c r="O428" s="267">
        <v>512.89</v>
      </c>
      <c r="P428" s="267" t="s">
        <v>3944</v>
      </c>
      <c r="Q428" s="267" t="s">
        <v>3944</v>
      </c>
      <c r="R428" s="267">
        <v>512.89</v>
      </c>
      <c r="S428" s="267">
        <v>10917.77</v>
      </c>
      <c r="T428" s="267">
        <v>11430.66</v>
      </c>
      <c r="U428" s="268" t="s">
        <v>3945</v>
      </c>
      <c r="V428" s="267" t="s">
        <v>944</v>
      </c>
    </row>
    <row r="429" spans="1:22" hidden="1" x14ac:dyDescent="0.25">
      <c r="A429" s="269">
        <v>43482</v>
      </c>
      <c r="B429" s="270">
        <v>2019</v>
      </c>
      <c r="C429" s="270">
        <v>2019</v>
      </c>
      <c r="D429" s="270">
        <v>1</v>
      </c>
      <c r="E429" s="270">
        <v>1</v>
      </c>
      <c r="F429" s="270" t="s">
        <v>944</v>
      </c>
      <c r="G429" s="270" t="s">
        <v>3926</v>
      </c>
      <c r="H429" s="270" t="s">
        <v>4509</v>
      </c>
      <c r="I429" s="270" t="s">
        <v>4016</v>
      </c>
      <c r="J429" s="270" t="s">
        <v>3928</v>
      </c>
      <c r="K429" s="270">
        <v>6770</v>
      </c>
      <c r="L429" s="270">
        <v>345201</v>
      </c>
      <c r="M429" s="270" t="s">
        <v>3935</v>
      </c>
      <c r="N429" s="270" t="s">
        <v>3944</v>
      </c>
      <c r="O429" s="270">
        <v>1080.1400000000001</v>
      </c>
      <c r="P429" s="270" t="s">
        <v>3944</v>
      </c>
      <c r="Q429" s="270" t="s">
        <v>3944</v>
      </c>
      <c r="R429" s="270">
        <v>1080.1400000000001</v>
      </c>
      <c r="S429" s="270">
        <v>19095.669999999998</v>
      </c>
      <c r="T429" s="270">
        <v>20175.810000000001</v>
      </c>
      <c r="U429" s="271" t="s">
        <v>3945</v>
      </c>
      <c r="V429" s="267" t="s">
        <v>944</v>
      </c>
    </row>
    <row r="430" spans="1:22" hidden="1" x14ac:dyDescent="0.25">
      <c r="A430" s="266">
        <v>43482</v>
      </c>
      <c r="B430" s="267">
        <v>2019</v>
      </c>
      <c r="C430" s="267">
        <v>2019</v>
      </c>
      <c r="D430" s="267">
        <v>1</v>
      </c>
      <c r="E430" s="267">
        <v>1</v>
      </c>
      <c r="F430" s="267" t="s">
        <v>944</v>
      </c>
      <c r="G430" s="267" t="s">
        <v>3926</v>
      </c>
      <c r="H430" s="267" t="s">
        <v>4510</v>
      </c>
      <c r="I430" s="267" t="s">
        <v>4213</v>
      </c>
      <c r="J430" s="267" t="s">
        <v>3928</v>
      </c>
      <c r="K430" s="267">
        <v>6053</v>
      </c>
      <c r="L430" s="267">
        <v>416700</v>
      </c>
      <c r="M430" s="267">
        <v>-60</v>
      </c>
      <c r="N430" s="267" t="s">
        <v>3944</v>
      </c>
      <c r="O430" s="267">
        <v>1482.67</v>
      </c>
      <c r="P430" s="267" t="s">
        <v>3944</v>
      </c>
      <c r="Q430" s="267" t="s">
        <v>3944</v>
      </c>
      <c r="R430" s="267">
        <v>1482.67</v>
      </c>
      <c r="S430" s="267">
        <v>33720.94</v>
      </c>
      <c r="T430" s="267">
        <v>35203.61</v>
      </c>
      <c r="U430" s="268" t="s">
        <v>3945</v>
      </c>
      <c r="V430" s="267" t="s">
        <v>944</v>
      </c>
    </row>
    <row r="431" spans="1:22" hidden="1" x14ac:dyDescent="0.25">
      <c r="A431" s="269">
        <v>43483</v>
      </c>
      <c r="B431" s="270">
        <v>2019</v>
      </c>
      <c r="C431" s="270">
        <v>2019</v>
      </c>
      <c r="D431" s="270">
        <v>1</v>
      </c>
      <c r="E431" s="270">
        <v>1</v>
      </c>
      <c r="F431" s="270" t="s">
        <v>944</v>
      </c>
      <c r="G431" s="270" t="s">
        <v>3926</v>
      </c>
      <c r="H431" s="270" t="s">
        <v>4511</v>
      </c>
      <c r="I431" s="270" t="s">
        <v>4235</v>
      </c>
      <c r="J431" s="270" t="s">
        <v>3928</v>
      </c>
      <c r="K431" s="270">
        <v>6066</v>
      </c>
      <c r="L431" s="270">
        <v>530500</v>
      </c>
      <c r="M431" s="270" t="s">
        <v>3935</v>
      </c>
      <c r="N431" s="270" t="s">
        <v>4512</v>
      </c>
      <c r="O431" s="270">
        <v>0</v>
      </c>
      <c r="P431" s="270" t="s">
        <v>3930</v>
      </c>
      <c r="Q431" s="270" t="s">
        <v>3930</v>
      </c>
      <c r="R431" s="270">
        <v>0</v>
      </c>
      <c r="S431" s="270">
        <v>8668</v>
      </c>
      <c r="T431" s="270">
        <v>8668</v>
      </c>
      <c r="U431" s="271" t="s">
        <v>3937</v>
      </c>
      <c r="V431" s="267" t="s">
        <v>944</v>
      </c>
    </row>
    <row r="432" spans="1:22" hidden="1" x14ac:dyDescent="0.25">
      <c r="A432" s="266">
        <v>43483</v>
      </c>
      <c r="B432" s="267">
        <v>2019</v>
      </c>
      <c r="C432" s="267">
        <v>2019</v>
      </c>
      <c r="D432" s="267">
        <v>1</v>
      </c>
      <c r="E432" s="267">
        <v>1</v>
      </c>
      <c r="F432" s="267" t="s">
        <v>944</v>
      </c>
      <c r="G432" s="267" t="s">
        <v>3926</v>
      </c>
      <c r="H432" s="267" t="s">
        <v>4513</v>
      </c>
      <c r="I432" s="267" t="s">
        <v>4069</v>
      </c>
      <c r="J432" s="267" t="s">
        <v>3928</v>
      </c>
      <c r="K432" s="267">
        <v>6902</v>
      </c>
      <c r="L432" s="267">
        <v>22400</v>
      </c>
      <c r="M432" s="267" t="s">
        <v>3943</v>
      </c>
      <c r="N432" s="267" t="s">
        <v>4514</v>
      </c>
      <c r="O432" s="267">
        <v>0</v>
      </c>
      <c r="P432" s="267" t="s">
        <v>3930</v>
      </c>
      <c r="Q432" s="267" t="s">
        <v>3930</v>
      </c>
      <c r="R432" s="267">
        <v>0</v>
      </c>
      <c r="S432" s="267">
        <v>28563</v>
      </c>
      <c r="T432" s="267">
        <v>28563</v>
      </c>
      <c r="U432" s="268" t="s">
        <v>3937</v>
      </c>
      <c r="V432" s="267" t="s">
        <v>944</v>
      </c>
    </row>
    <row r="433" spans="1:22" hidden="1" x14ac:dyDescent="0.25">
      <c r="A433" s="269">
        <v>43483</v>
      </c>
      <c r="B433" s="270">
        <v>2019</v>
      </c>
      <c r="C433" s="270">
        <v>2019</v>
      </c>
      <c r="D433" s="270">
        <v>1</v>
      </c>
      <c r="E433" s="270">
        <v>1</v>
      </c>
      <c r="F433" s="270" t="s">
        <v>944</v>
      </c>
      <c r="G433" s="270" t="s">
        <v>3926</v>
      </c>
      <c r="H433" s="270" t="s">
        <v>4515</v>
      </c>
      <c r="I433" s="270" t="s">
        <v>4516</v>
      </c>
      <c r="J433" s="270" t="s">
        <v>3928</v>
      </c>
      <c r="K433" s="270">
        <v>6371</v>
      </c>
      <c r="L433" s="270">
        <v>650100</v>
      </c>
      <c r="M433" s="270" t="s">
        <v>3960</v>
      </c>
      <c r="N433" s="270" t="s">
        <v>4517</v>
      </c>
      <c r="O433" s="270">
        <v>0</v>
      </c>
      <c r="P433" s="270" t="s">
        <v>3930</v>
      </c>
      <c r="Q433" s="270" t="s">
        <v>3930</v>
      </c>
      <c r="R433" s="270">
        <v>0</v>
      </c>
      <c r="S433" s="270">
        <v>12651</v>
      </c>
      <c r="T433" s="270">
        <v>12651</v>
      </c>
      <c r="U433" s="271" t="s">
        <v>3937</v>
      </c>
      <c r="V433" s="267" t="s">
        <v>944</v>
      </c>
    </row>
    <row r="434" spans="1:22" hidden="1" x14ac:dyDescent="0.25">
      <c r="A434" s="266">
        <v>43483</v>
      </c>
      <c r="B434" s="267">
        <v>2019</v>
      </c>
      <c r="C434" s="267">
        <v>2019</v>
      </c>
      <c r="D434" s="267">
        <v>1</v>
      </c>
      <c r="E434" s="267">
        <v>1</v>
      </c>
      <c r="F434" s="267" t="s">
        <v>944</v>
      </c>
      <c r="G434" s="267" t="s">
        <v>3926</v>
      </c>
      <c r="H434" s="267" t="s">
        <v>4518</v>
      </c>
      <c r="I434" s="267" t="s">
        <v>4519</v>
      </c>
      <c r="J434" s="267" t="s">
        <v>3928</v>
      </c>
      <c r="K434" s="267">
        <v>6840</v>
      </c>
      <c r="L434" s="267">
        <v>35100</v>
      </c>
      <c r="M434" s="267" t="s">
        <v>3943</v>
      </c>
      <c r="N434" s="267" t="s">
        <v>4520</v>
      </c>
      <c r="O434" s="267">
        <v>0</v>
      </c>
      <c r="P434" s="267" t="s">
        <v>3930</v>
      </c>
      <c r="Q434" s="267" t="s">
        <v>3930</v>
      </c>
      <c r="R434" s="267">
        <v>0</v>
      </c>
      <c r="S434" s="267">
        <v>6865</v>
      </c>
      <c r="T434" s="267">
        <v>6865</v>
      </c>
      <c r="U434" s="268" t="s">
        <v>3937</v>
      </c>
      <c r="V434" s="267" t="s">
        <v>944</v>
      </c>
    </row>
    <row r="435" spans="1:22" hidden="1" x14ac:dyDescent="0.25">
      <c r="A435" s="269">
        <v>43483</v>
      </c>
      <c r="B435" s="270">
        <v>2019</v>
      </c>
      <c r="C435" s="270">
        <v>2019</v>
      </c>
      <c r="D435" s="270">
        <v>1</v>
      </c>
      <c r="E435" s="270">
        <v>1</v>
      </c>
      <c r="F435" s="270" t="s">
        <v>944</v>
      </c>
      <c r="G435" s="270" t="s">
        <v>3926</v>
      </c>
      <c r="H435" s="270" t="s">
        <v>4521</v>
      </c>
      <c r="I435" s="270" t="s">
        <v>956</v>
      </c>
      <c r="J435" s="270" t="s">
        <v>3928</v>
      </c>
      <c r="K435" s="270">
        <v>6615</v>
      </c>
      <c r="L435" s="270">
        <v>80600</v>
      </c>
      <c r="M435" s="270" t="s">
        <v>3935</v>
      </c>
      <c r="N435" s="270" t="s">
        <v>3986</v>
      </c>
      <c r="O435" s="270">
        <v>2837.16</v>
      </c>
      <c r="P435" s="270" t="s">
        <v>3930</v>
      </c>
      <c r="Q435" s="270" t="s">
        <v>3931</v>
      </c>
      <c r="R435" s="270">
        <v>7837.16</v>
      </c>
      <c r="S435" s="270">
        <v>16196.8</v>
      </c>
      <c r="T435" s="270">
        <v>24033.96</v>
      </c>
      <c r="U435" s="271" t="s">
        <v>3932</v>
      </c>
      <c r="V435" s="267" t="s">
        <v>944</v>
      </c>
    </row>
    <row r="436" spans="1:22" hidden="1" x14ac:dyDescent="0.25">
      <c r="A436" s="266">
        <v>43483</v>
      </c>
      <c r="B436" s="267">
        <v>2019</v>
      </c>
      <c r="C436" s="267">
        <v>2019</v>
      </c>
      <c r="D436" s="267">
        <v>1</v>
      </c>
      <c r="E436" s="267">
        <v>1</v>
      </c>
      <c r="F436" s="267" t="s">
        <v>944</v>
      </c>
      <c r="G436" s="267" t="s">
        <v>3926</v>
      </c>
      <c r="H436" s="267" t="s">
        <v>4522</v>
      </c>
      <c r="I436" s="267" t="s">
        <v>950</v>
      </c>
      <c r="J436" s="267" t="s">
        <v>3928</v>
      </c>
      <c r="K436" s="267">
        <v>6516</v>
      </c>
      <c r="L436" s="267">
        <v>154100</v>
      </c>
      <c r="M436" s="267" t="s">
        <v>3940</v>
      </c>
      <c r="N436" s="267" t="s">
        <v>4523</v>
      </c>
      <c r="O436" s="267">
        <v>4048.83</v>
      </c>
      <c r="P436" s="267" t="s">
        <v>3930</v>
      </c>
      <c r="Q436" s="267" t="s">
        <v>3931</v>
      </c>
      <c r="R436" s="267">
        <v>9048.83</v>
      </c>
      <c r="S436" s="267">
        <v>25412.799999999999</v>
      </c>
      <c r="T436" s="267">
        <v>34461.629999999997</v>
      </c>
      <c r="U436" s="268" t="s">
        <v>3932</v>
      </c>
      <c r="V436" s="267" t="s">
        <v>944</v>
      </c>
    </row>
    <row r="437" spans="1:22" hidden="1" x14ac:dyDescent="0.25">
      <c r="A437" s="269">
        <v>43483</v>
      </c>
      <c r="B437" s="270">
        <v>2019</v>
      </c>
      <c r="C437" s="270">
        <v>2019</v>
      </c>
      <c r="D437" s="270">
        <v>1</v>
      </c>
      <c r="E437" s="270">
        <v>1</v>
      </c>
      <c r="F437" s="270" t="s">
        <v>944</v>
      </c>
      <c r="G437" s="270" t="s">
        <v>3926</v>
      </c>
      <c r="H437" s="270" t="s">
        <v>4524</v>
      </c>
      <c r="I437" s="270" t="s">
        <v>953</v>
      </c>
      <c r="J437" s="270" t="s">
        <v>3928</v>
      </c>
      <c r="K437" s="270">
        <v>6517</v>
      </c>
      <c r="L437" s="270">
        <v>165400</v>
      </c>
      <c r="M437" s="270" t="s">
        <v>3935</v>
      </c>
      <c r="N437" s="270" t="s">
        <v>4103</v>
      </c>
      <c r="O437" s="270">
        <v>1915.52</v>
      </c>
      <c r="P437" s="270" t="s">
        <v>3930</v>
      </c>
      <c r="Q437" s="270" t="s">
        <v>3931</v>
      </c>
      <c r="R437" s="270">
        <v>6915.52</v>
      </c>
      <c r="S437" s="270">
        <v>24145.599999999999</v>
      </c>
      <c r="T437" s="270">
        <v>31061.119999999999</v>
      </c>
      <c r="U437" s="271" t="s">
        <v>3932</v>
      </c>
      <c r="V437" s="267" t="s">
        <v>944</v>
      </c>
    </row>
    <row r="438" spans="1:22" hidden="1" x14ac:dyDescent="0.25">
      <c r="A438" s="266">
        <v>43483</v>
      </c>
      <c r="B438" s="267">
        <v>2019</v>
      </c>
      <c r="C438" s="267">
        <v>2019</v>
      </c>
      <c r="D438" s="267">
        <v>1</v>
      </c>
      <c r="E438" s="267">
        <v>1</v>
      </c>
      <c r="F438" s="267" t="s">
        <v>944</v>
      </c>
      <c r="G438" s="267" t="s">
        <v>3926</v>
      </c>
      <c r="H438" s="267" t="s">
        <v>4525</v>
      </c>
      <c r="I438" s="267" t="s">
        <v>943</v>
      </c>
      <c r="J438" s="267" t="s">
        <v>3928</v>
      </c>
      <c r="K438" s="267">
        <v>6512</v>
      </c>
      <c r="L438" s="267">
        <v>142700</v>
      </c>
      <c r="M438" s="267">
        <v>-60</v>
      </c>
      <c r="N438" s="267" t="s">
        <v>3944</v>
      </c>
      <c r="O438" s="267">
        <v>2492</v>
      </c>
      <c r="P438" s="267" t="s">
        <v>3944</v>
      </c>
      <c r="Q438" s="267" t="s">
        <v>3944</v>
      </c>
      <c r="R438" s="267">
        <v>2492</v>
      </c>
      <c r="S438" s="267">
        <v>22624.720000000001</v>
      </c>
      <c r="T438" s="267">
        <v>25116.720000000001</v>
      </c>
      <c r="U438" s="268" t="s">
        <v>3945</v>
      </c>
      <c r="V438" s="267" t="s">
        <v>944</v>
      </c>
    </row>
    <row r="439" spans="1:22" hidden="1" x14ac:dyDescent="0.25">
      <c r="A439" s="269">
        <v>43483</v>
      </c>
      <c r="B439" s="270">
        <v>2019</v>
      </c>
      <c r="C439" s="270">
        <v>2019</v>
      </c>
      <c r="D439" s="270">
        <v>1</v>
      </c>
      <c r="E439" s="270">
        <v>1</v>
      </c>
      <c r="F439" s="270" t="s">
        <v>944</v>
      </c>
      <c r="G439" s="270" t="s">
        <v>3926</v>
      </c>
      <c r="H439" s="270" t="s">
        <v>4526</v>
      </c>
      <c r="I439" s="270" t="s">
        <v>4037</v>
      </c>
      <c r="J439" s="270" t="s">
        <v>3928</v>
      </c>
      <c r="K439" s="270">
        <v>6810</v>
      </c>
      <c r="L439" s="270">
        <v>210500</v>
      </c>
      <c r="M439" s="270" t="s">
        <v>3960</v>
      </c>
      <c r="N439" s="270" t="s">
        <v>3944</v>
      </c>
      <c r="O439" s="270">
        <v>3789</v>
      </c>
      <c r="P439" s="270" t="s">
        <v>3944</v>
      </c>
      <c r="Q439" s="270" t="s">
        <v>3944</v>
      </c>
      <c r="R439" s="270">
        <v>3789</v>
      </c>
      <c r="S439" s="270">
        <v>39024.46</v>
      </c>
      <c r="T439" s="270">
        <v>42813.46</v>
      </c>
      <c r="U439" s="271" t="s">
        <v>3945</v>
      </c>
      <c r="V439" s="267" t="s">
        <v>944</v>
      </c>
    </row>
    <row r="440" spans="1:22" hidden="1" x14ac:dyDescent="0.25">
      <c r="A440" s="266">
        <v>43483</v>
      </c>
      <c r="B440" s="267">
        <v>2019</v>
      </c>
      <c r="C440" s="267">
        <v>2019</v>
      </c>
      <c r="D440" s="267">
        <v>1</v>
      </c>
      <c r="E440" s="267">
        <v>1</v>
      </c>
      <c r="F440" s="267" t="s">
        <v>944</v>
      </c>
      <c r="G440" s="267" t="s">
        <v>3926</v>
      </c>
      <c r="H440" s="267" t="s">
        <v>4527</v>
      </c>
      <c r="I440" s="267" t="s">
        <v>3008</v>
      </c>
      <c r="J440" s="267" t="s">
        <v>3928</v>
      </c>
      <c r="K440" s="267">
        <v>6460</v>
      </c>
      <c r="L440" s="267">
        <v>151100</v>
      </c>
      <c r="M440" s="267" t="s">
        <v>3960</v>
      </c>
      <c r="N440" s="267" t="s">
        <v>3944</v>
      </c>
      <c r="O440" s="267">
        <v>2107</v>
      </c>
      <c r="P440" s="267" t="s">
        <v>3944</v>
      </c>
      <c r="Q440" s="267" t="s">
        <v>3944</v>
      </c>
      <c r="R440" s="267">
        <v>2107</v>
      </c>
      <c r="S440" s="267">
        <v>26722.12</v>
      </c>
      <c r="T440" s="267">
        <v>28829.119999999999</v>
      </c>
      <c r="U440" s="268" t="s">
        <v>3945</v>
      </c>
      <c r="V440" s="267" t="s">
        <v>944</v>
      </c>
    </row>
    <row r="441" spans="1:22" hidden="1" x14ac:dyDescent="0.25">
      <c r="A441" s="269">
        <v>43484</v>
      </c>
      <c r="B441" s="270">
        <v>2019</v>
      </c>
      <c r="C441" s="270">
        <v>2019</v>
      </c>
      <c r="D441" s="270">
        <v>1</v>
      </c>
      <c r="E441" s="270">
        <v>1</v>
      </c>
      <c r="F441" s="270" t="s">
        <v>944</v>
      </c>
      <c r="G441" s="270" t="s">
        <v>3926</v>
      </c>
      <c r="H441" s="270" t="s">
        <v>4528</v>
      </c>
      <c r="I441" s="270" t="s">
        <v>4073</v>
      </c>
      <c r="J441" s="270" t="s">
        <v>3928</v>
      </c>
      <c r="K441" s="270">
        <v>6755</v>
      </c>
      <c r="L441" s="270">
        <v>253400</v>
      </c>
      <c r="M441" s="270" t="s">
        <v>3943</v>
      </c>
      <c r="N441" s="270" t="s">
        <v>4529</v>
      </c>
      <c r="O441" s="270">
        <v>0</v>
      </c>
      <c r="P441" s="270" t="s">
        <v>3930</v>
      </c>
      <c r="Q441" s="270" t="s">
        <v>3930</v>
      </c>
      <c r="R441" s="270">
        <v>0</v>
      </c>
      <c r="S441" s="270">
        <v>11273</v>
      </c>
      <c r="T441" s="270">
        <v>11273</v>
      </c>
      <c r="U441" s="271" t="s">
        <v>3937</v>
      </c>
      <c r="V441" s="267" t="s">
        <v>944</v>
      </c>
    </row>
    <row r="442" spans="1:22" hidden="1" x14ac:dyDescent="0.25">
      <c r="A442" s="266">
        <v>43484</v>
      </c>
      <c r="B442" s="267">
        <v>2019</v>
      </c>
      <c r="C442" s="267">
        <v>2019</v>
      </c>
      <c r="D442" s="267">
        <v>1</v>
      </c>
      <c r="E442" s="267">
        <v>1</v>
      </c>
      <c r="F442" s="267" t="s">
        <v>944</v>
      </c>
      <c r="G442" s="267" t="s">
        <v>3926</v>
      </c>
      <c r="H442" s="267" t="s">
        <v>4530</v>
      </c>
      <c r="I442" s="267" t="s">
        <v>934</v>
      </c>
      <c r="J442" s="267" t="s">
        <v>3928</v>
      </c>
      <c r="K442" s="267">
        <v>6604</v>
      </c>
      <c r="L442" s="267">
        <v>72100</v>
      </c>
      <c r="M442" s="267" t="s">
        <v>3940</v>
      </c>
      <c r="N442" s="267" t="s">
        <v>3986</v>
      </c>
      <c r="O442" s="267">
        <v>2631.19</v>
      </c>
      <c r="P442" s="267" t="s">
        <v>3930</v>
      </c>
      <c r="Q442" s="267" t="s">
        <v>3931</v>
      </c>
      <c r="R442" s="267">
        <v>7631.19</v>
      </c>
      <c r="S442" s="267">
        <v>16196.8</v>
      </c>
      <c r="T442" s="267">
        <v>23827.99</v>
      </c>
      <c r="U442" s="268" t="s">
        <v>3932</v>
      </c>
      <c r="V442" s="267" t="s">
        <v>944</v>
      </c>
    </row>
    <row r="443" spans="1:22" hidden="1" x14ac:dyDescent="0.25">
      <c r="A443" s="269">
        <v>43484</v>
      </c>
      <c r="B443" s="270">
        <v>2019</v>
      </c>
      <c r="C443" s="270">
        <v>2019</v>
      </c>
      <c r="D443" s="270">
        <v>1</v>
      </c>
      <c r="E443" s="270">
        <v>1</v>
      </c>
      <c r="F443" s="270" t="s">
        <v>944</v>
      </c>
      <c r="G443" s="270" t="s">
        <v>3926</v>
      </c>
      <c r="H443" s="270" t="s">
        <v>4531</v>
      </c>
      <c r="I443" s="270" t="s">
        <v>3996</v>
      </c>
      <c r="J443" s="270" t="s">
        <v>3928</v>
      </c>
      <c r="K443" s="270">
        <v>6790</v>
      </c>
      <c r="L443" s="270">
        <v>310804</v>
      </c>
      <c r="M443" s="270" t="s">
        <v>3935</v>
      </c>
      <c r="N443" s="270" t="s">
        <v>3986</v>
      </c>
      <c r="O443" s="270">
        <v>1412.78</v>
      </c>
      <c r="P443" s="270" t="s">
        <v>3930</v>
      </c>
      <c r="Q443" s="270" t="s">
        <v>3931</v>
      </c>
      <c r="R443" s="270">
        <v>6412.78</v>
      </c>
      <c r="S443" s="270">
        <v>16196.8</v>
      </c>
      <c r="T443" s="270">
        <v>22609.58</v>
      </c>
      <c r="U443" s="271" t="s">
        <v>3932</v>
      </c>
      <c r="V443" s="267" t="s">
        <v>944</v>
      </c>
    </row>
    <row r="444" spans="1:22" hidden="1" x14ac:dyDescent="0.25">
      <c r="A444" s="266">
        <v>43485</v>
      </c>
      <c r="B444" s="267">
        <v>2019</v>
      </c>
      <c r="C444" s="267">
        <v>2019</v>
      </c>
      <c r="D444" s="267">
        <v>1</v>
      </c>
      <c r="E444" s="267">
        <v>1</v>
      </c>
      <c r="F444" s="267" t="s">
        <v>944</v>
      </c>
      <c r="G444" s="267" t="s">
        <v>3997</v>
      </c>
      <c r="H444" s="267" t="s">
        <v>4532</v>
      </c>
      <c r="I444" s="267" t="s">
        <v>934</v>
      </c>
      <c r="J444" s="267" t="s">
        <v>3928</v>
      </c>
      <c r="K444" s="267">
        <v>6606</v>
      </c>
      <c r="L444" s="267">
        <v>257200</v>
      </c>
      <c r="M444" s="267">
        <v>-60</v>
      </c>
      <c r="N444" s="267" t="s">
        <v>4053</v>
      </c>
      <c r="O444" s="267">
        <v>975.24</v>
      </c>
      <c r="P444" s="267" t="s">
        <v>3930</v>
      </c>
      <c r="Q444" s="267" t="s">
        <v>3931</v>
      </c>
      <c r="R444" s="267">
        <v>5975.24</v>
      </c>
      <c r="S444" s="267">
        <v>18603.2</v>
      </c>
      <c r="T444" s="267">
        <v>24578.44</v>
      </c>
      <c r="U444" s="268" t="s">
        <v>3932</v>
      </c>
      <c r="V444" s="267" t="s">
        <v>944</v>
      </c>
    </row>
    <row r="445" spans="1:22" hidden="1" x14ac:dyDescent="0.25">
      <c r="A445" s="269">
        <v>43485</v>
      </c>
      <c r="B445" s="270">
        <v>2019</v>
      </c>
      <c r="C445" s="270">
        <v>2019</v>
      </c>
      <c r="D445" s="270">
        <v>1</v>
      </c>
      <c r="E445" s="270">
        <v>1</v>
      </c>
      <c r="F445" s="270" t="s">
        <v>944</v>
      </c>
      <c r="G445" s="270" t="s">
        <v>3926</v>
      </c>
      <c r="H445" s="270" t="s">
        <v>4533</v>
      </c>
      <c r="I445" s="270" t="s">
        <v>4213</v>
      </c>
      <c r="J445" s="270" t="s">
        <v>3928</v>
      </c>
      <c r="K445" s="270">
        <v>6051</v>
      </c>
      <c r="L445" s="270">
        <v>416300</v>
      </c>
      <c r="M445" s="270">
        <v>-60</v>
      </c>
      <c r="N445" s="270" t="s">
        <v>4534</v>
      </c>
      <c r="O445" s="270">
        <v>0</v>
      </c>
      <c r="P445" s="270" t="s">
        <v>3930</v>
      </c>
      <c r="Q445" s="270" t="s">
        <v>3930</v>
      </c>
      <c r="R445" s="270">
        <v>0</v>
      </c>
      <c r="S445" s="270">
        <v>10243.52</v>
      </c>
      <c r="T445" s="270">
        <v>10243.52</v>
      </c>
      <c r="U445" s="271" t="s">
        <v>3937</v>
      </c>
      <c r="V445" s="267" t="s">
        <v>944</v>
      </c>
    </row>
    <row r="446" spans="1:22" hidden="1" x14ac:dyDescent="0.25">
      <c r="A446" s="266">
        <v>43486</v>
      </c>
      <c r="B446" s="267">
        <v>2019</v>
      </c>
      <c r="C446" s="267">
        <v>2019</v>
      </c>
      <c r="D446" s="267">
        <v>1</v>
      </c>
      <c r="E446" s="267">
        <v>1</v>
      </c>
      <c r="F446" s="267" t="s">
        <v>944</v>
      </c>
      <c r="G446" s="267" t="s">
        <v>3926</v>
      </c>
      <c r="H446" s="267" t="s">
        <v>4535</v>
      </c>
      <c r="I446" s="267" t="s">
        <v>3939</v>
      </c>
      <c r="J446" s="267" t="s">
        <v>3928</v>
      </c>
      <c r="K446" s="267">
        <v>6512</v>
      </c>
      <c r="L446" s="267">
        <v>180100</v>
      </c>
      <c r="M446" s="267" t="s">
        <v>3940</v>
      </c>
      <c r="N446" s="267" t="s">
        <v>3929</v>
      </c>
      <c r="O446" s="267">
        <v>2704.03</v>
      </c>
      <c r="P446" s="267" t="s">
        <v>3930</v>
      </c>
      <c r="Q446" s="267" t="s">
        <v>3931</v>
      </c>
      <c r="R446" s="267">
        <v>7704.03</v>
      </c>
      <c r="S446" s="267">
        <v>34744</v>
      </c>
      <c r="T446" s="267">
        <v>42448.03</v>
      </c>
      <c r="U446" s="268" t="s">
        <v>3932</v>
      </c>
      <c r="V446" s="267" t="s">
        <v>944</v>
      </c>
    </row>
    <row r="447" spans="1:22" hidden="1" x14ac:dyDescent="0.25">
      <c r="A447" s="269">
        <v>43486</v>
      </c>
      <c r="B447" s="270">
        <v>2019</v>
      </c>
      <c r="C447" s="270">
        <v>2019</v>
      </c>
      <c r="D447" s="270">
        <v>1</v>
      </c>
      <c r="E447" s="270">
        <v>1</v>
      </c>
      <c r="F447" s="270" t="s">
        <v>944</v>
      </c>
      <c r="G447" s="270" t="s">
        <v>3926</v>
      </c>
      <c r="H447" s="270" t="s">
        <v>4536</v>
      </c>
      <c r="I447" s="270" t="s">
        <v>956</v>
      </c>
      <c r="J447" s="270" t="s">
        <v>3928</v>
      </c>
      <c r="K447" s="270">
        <v>6614</v>
      </c>
      <c r="L447" s="270">
        <v>80800</v>
      </c>
      <c r="M447" s="270" t="s">
        <v>3960</v>
      </c>
      <c r="N447" s="270" t="s">
        <v>3986</v>
      </c>
      <c r="O447" s="270">
        <v>1432.27</v>
      </c>
      <c r="P447" s="270" t="s">
        <v>3930</v>
      </c>
      <c r="Q447" s="270" t="s">
        <v>3931</v>
      </c>
      <c r="R447" s="270">
        <v>6432.27</v>
      </c>
      <c r="S447" s="270">
        <v>16196.8</v>
      </c>
      <c r="T447" s="270">
        <v>22629.07</v>
      </c>
      <c r="U447" s="271" t="s">
        <v>3932</v>
      </c>
      <c r="V447" s="267" t="s">
        <v>944</v>
      </c>
    </row>
    <row r="448" spans="1:22" hidden="1" x14ac:dyDescent="0.25">
      <c r="A448" s="266">
        <v>43486</v>
      </c>
      <c r="B448" s="267">
        <v>2019</v>
      </c>
      <c r="C448" s="267">
        <v>2019</v>
      </c>
      <c r="D448" s="267">
        <v>1</v>
      </c>
      <c r="E448" s="267">
        <v>1</v>
      </c>
      <c r="F448" s="267" t="s">
        <v>944</v>
      </c>
      <c r="G448" s="267" t="s">
        <v>3926</v>
      </c>
      <c r="H448" s="267" t="s">
        <v>4537</v>
      </c>
      <c r="I448" s="267" t="s">
        <v>3956</v>
      </c>
      <c r="J448" s="267" t="s">
        <v>3928</v>
      </c>
      <c r="K448" s="267">
        <v>6106</v>
      </c>
      <c r="L448" s="267">
        <v>524700</v>
      </c>
      <c r="M448" s="267" t="s">
        <v>3935</v>
      </c>
      <c r="N448" s="267" t="s">
        <v>3986</v>
      </c>
      <c r="O448" s="267">
        <v>1193.3599999999999</v>
      </c>
      <c r="P448" s="267" t="s">
        <v>3930</v>
      </c>
      <c r="Q448" s="267" t="s">
        <v>3931</v>
      </c>
      <c r="R448" s="267">
        <v>6193.36</v>
      </c>
      <c r="S448" s="267">
        <v>16196.8</v>
      </c>
      <c r="T448" s="267">
        <v>22390.16</v>
      </c>
      <c r="U448" s="268" t="s">
        <v>3932</v>
      </c>
      <c r="V448" s="267" t="s">
        <v>944</v>
      </c>
    </row>
    <row r="449" spans="1:22" hidden="1" x14ac:dyDescent="0.25">
      <c r="A449" s="269">
        <v>43486</v>
      </c>
      <c r="B449" s="270">
        <v>2019</v>
      </c>
      <c r="C449" s="270">
        <v>2019</v>
      </c>
      <c r="D449" s="270">
        <v>1</v>
      </c>
      <c r="E449" s="270">
        <v>1</v>
      </c>
      <c r="F449" s="270" t="s">
        <v>944</v>
      </c>
      <c r="G449" s="270" t="s">
        <v>3926</v>
      </c>
      <c r="H449" s="270" t="s">
        <v>4538</v>
      </c>
      <c r="I449" s="270" t="s">
        <v>934</v>
      </c>
      <c r="J449" s="270" t="s">
        <v>3928</v>
      </c>
      <c r="K449" s="270">
        <v>6606</v>
      </c>
      <c r="L449" s="270">
        <v>72700</v>
      </c>
      <c r="M449" s="270" t="s">
        <v>3935</v>
      </c>
      <c r="N449" s="270" t="s">
        <v>3929</v>
      </c>
      <c r="O449" s="270">
        <v>0</v>
      </c>
      <c r="P449" s="270" t="s">
        <v>3930</v>
      </c>
      <c r="Q449" s="270" t="s">
        <v>3931</v>
      </c>
      <c r="R449" s="270">
        <v>5000</v>
      </c>
      <c r="S449" s="270">
        <v>34744</v>
      </c>
      <c r="T449" s="270">
        <v>39744</v>
      </c>
      <c r="U449" s="271" t="s">
        <v>3932</v>
      </c>
      <c r="V449" s="267" t="s">
        <v>944</v>
      </c>
    </row>
    <row r="450" spans="1:22" hidden="1" x14ac:dyDescent="0.25">
      <c r="A450" s="266">
        <v>43486</v>
      </c>
      <c r="B450" s="267">
        <v>2019</v>
      </c>
      <c r="C450" s="267">
        <v>2019</v>
      </c>
      <c r="D450" s="267">
        <v>1</v>
      </c>
      <c r="E450" s="267">
        <v>1</v>
      </c>
      <c r="F450" s="267" t="s">
        <v>944</v>
      </c>
      <c r="G450" s="267" t="s">
        <v>3926</v>
      </c>
      <c r="H450" s="267" t="s">
        <v>4539</v>
      </c>
      <c r="I450" s="267" t="s">
        <v>4005</v>
      </c>
      <c r="J450" s="267" t="s">
        <v>3928</v>
      </c>
      <c r="K450" s="267">
        <v>6118</v>
      </c>
      <c r="L450" s="267">
        <v>510700</v>
      </c>
      <c r="M450" s="267" t="s">
        <v>3940</v>
      </c>
      <c r="N450" s="267" t="s">
        <v>4540</v>
      </c>
      <c r="O450" s="267">
        <v>0</v>
      </c>
      <c r="P450" s="267" t="s">
        <v>3930</v>
      </c>
      <c r="Q450" s="267" t="s">
        <v>3930</v>
      </c>
      <c r="R450" s="267">
        <v>0</v>
      </c>
      <c r="S450" s="267">
        <v>7280</v>
      </c>
      <c r="T450" s="267">
        <v>7280</v>
      </c>
      <c r="U450" s="268" t="s">
        <v>3937</v>
      </c>
      <c r="V450" s="267" t="s">
        <v>944</v>
      </c>
    </row>
    <row r="451" spans="1:22" hidden="1" x14ac:dyDescent="0.25">
      <c r="A451" s="269">
        <v>43487</v>
      </c>
      <c r="B451" s="270">
        <v>2019</v>
      </c>
      <c r="C451" s="270">
        <v>2019</v>
      </c>
      <c r="D451" s="270">
        <v>1</v>
      </c>
      <c r="E451" s="270">
        <v>1</v>
      </c>
      <c r="F451" s="270" t="s">
        <v>944</v>
      </c>
      <c r="G451" s="270" t="s">
        <v>3926</v>
      </c>
      <c r="H451" s="270" t="s">
        <v>4541</v>
      </c>
      <c r="I451" s="270" t="s">
        <v>4114</v>
      </c>
      <c r="J451" s="270" t="s">
        <v>3928</v>
      </c>
      <c r="K451" s="270">
        <v>6410</v>
      </c>
      <c r="L451" s="270">
        <v>343400</v>
      </c>
      <c r="M451" s="270" t="s">
        <v>3943</v>
      </c>
      <c r="N451" s="270" t="s">
        <v>4542</v>
      </c>
      <c r="O451" s="270">
        <v>0</v>
      </c>
      <c r="P451" s="270" t="s">
        <v>3930</v>
      </c>
      <c r="Q451" s="270" t="s">
        <v>3930</v>
      </c>
      <c r="R451" s="270">
        <v>0</v>
      </c>
      <c r="S451" s="270">
        <v>14253.86</v>
      </c>
      <c r="T451" s="270">
        <v>14253.86</v>
      </c>
      <c r="U451" s="271" t="s">
        <v>3937</v>
      </c>
      <c r="V451" s="267" t="s">
        <v>944</v>
      </c>
    </row>
    <row r="452" spans="1:22" hidden="1" x14ac:dyDescent="0.25">
      <c r="A452" s="266">
        <v>43487</v>
      </c>
      <c r="B452" s="267">
        <v>2019</v>
      </c>
      <c r="C452" s="267">
        <v>2019</v>
      </c>
      <c r="D452" s="267">
        <v>1</v>
      </c>
      <c r="E452" s="267">
        <v>1</v>
      </c>
      <c r="F452" s="267" t="s">
        <v>944</v>
      </c>
      <c r="G452" s="267" t="s">
        <v>3926</v>
      </c>
      <c r="H452" s="267" t="s">
        <v>4543</v>
      </c>
      <c r="I452" s="267" t="s">
        <v>3956</v>
      </c>
      <c r="J452" s="267" t="s">
        <v>3928</v>
      </c>
      <c r="K452" s="267">
        <v>6112</v>
      </c>
      <c r="L452" s="267">
        <v>504000</v>
      </c>
      <c r="M452" s="267" t="s">
        <v>3940</v>
      </c>
      <c r="N452" s="267" t="s">
        <v>3929</v>
      </c>
      <c r="O452" s="267">
        <v>4793.3100000000004</v>
      </c>
      <c r="P452" s="267" t="s">
        <v>3930</v>
      </c>
      <c r="Q452" s="267" t="s">
        <v>3931</v>
      </c>
      <c r="R452" s="267">
        <v>9793.31</v>
      </c>
      <c r="S452" s="267">
        <v>34744</v>
      </c>
      <c r="T452" s="267">
        <v>44537.31</v>
      </c>
      <c r="U452" s="268" t="s">
        <v>3932</v>
      </c>
      <c r="V452" s="267" t="s">
        <v>944</v>
      </c>
    </row>
    <row r="453" spans="1:22" hidden="1" x14ac:dyDescent="0.25">
      <c r="A453" s="269">
        <v>43487</v>
      </c>
      <c r="B453" s="270">
        <v>2019</v>
      </c>
      <c r="C453" s="270">
        <v>2019</v>
      </c>
      <c r="D453" s="270">
        <v>1</v>
      </c>
      <c r="E453" s="270">
        <v>1</v>
      </c>
      <c r="F453" s="270" t="s">
        <v>944</v>
      </c>
      <c r="G453" s="270" t="s">
        <v>3926</v>
      </c>
      <c r="H453" s="270" t="s">
        <v>4544</v>
      </c>
      <c r="I453" s="270" t="s">
        <v>956</v>
      </c>
      <c r="J453" s="270" t="s">
        <v>3928</v>
      </c>
      <c r="K453" s="270">
        <v>6614</v>
      </c>
      <c r="L453" s="270">
        <v>80900</v>
      </c>
      <c r="M453" s="270" t="s">
        <v>3960</v>
      </c>
      <c r="N453" s="270" t="s">
        <v>4103</v>
      </c>
      <c r="O453" s="270">
        <v>4582.33</v>
      </c>
      <c r="P453" s="270" t="s">
        <v>3930</v>
      </c>
      <c r="Q453" s="270" t="s">
        <v>3931</v>
      </c>
      <c r="R453" s="270">
        <v>9582.33</v>
      </c>
      <c r="S453" s="270">
        <v>24145.599999999999</v>
      </c>
      <c r="T453" s="270">
        <v>33727.93</v>
      </c>
      <c r="U453" s="271" t="s">
        <v>3932</v>
      </c>
      <c r="V453" s="267" t="s">
        <v>944</v>
      </c>
    </row>
    <row r="454" spans="1:22" hidden="1" x14ac:dyDescent="0.25">
      <c r="A454" s="266">
        <v>43487</v>
      </c>
      <c r="B454" s="267">
        <v>2019</v>
      </c>
      <c r="C454" s="267">
        <v>2019</v>
      </c>
      <c r="D454" s="267">
        <v>1</v>
      </c>
      <c r="E454" s="267">
        <v>1</v>
      </c>
      <c r="F454" s="267" t="s">
        <v>944</v>
      </c>
      <c r="G454" s="267" t="s">
        <v>3926</v>
      </c>
      <c r="H454" s="267" t="s">
        <v>4545</v>
      </c>
      <c r="I454" s="267" t="s">
        <v>4546</v>
      </c>
      <c r="J454" s="267" t="s">
        <v>3928</v>
      </c>
      <c r="K454" s="267">
        <v>6235</v>
      </c>
      <c r="L454" s="267">
        <v>815000</v>
      </c>
      <c r="M454" s="267" t="s">
        <v>3935</v>
      </c>
      <c r="N454" s="267" t="s">
        <v>3944</v>
      </c>
      <c r="O454" s="267">
        <v>2782</v>
      </c>
      <c r="P454" s="267" t="s">
        <v>3944</v>
      </c>
      <c r="Q454" s="267" t="s">
        <v>3944</v>
      </c>
      <c r="R454" s="267">
        <v>2782</v>
      </c>
      <c r="S454" s="267">
        <v>19884</v>
      </c>
      <c r="T454" s="267">
        <v>22666</v>
      </c>
      <c r="U454" s="268" t="s">
        <v>3945</v>
      </c>
      <c r="V454" s="267" t="s">
        <v>944</v>
      </c>
    </row>
    <row r="455" spans="1:22" hidden="1" x14ac:dyDescent="0.25">
      <c r="A455" s="269">
        <v>43487</v>
      </c>
      <c r="B455" s="270">
        <v>2019</v>
      </c>
      <c r="C455" s="270">
        <v>2019</v>
      </c>
      <c r="D455" s="270">
        <v>1</v>
      </c>
      <c r="E455" s="270">
        <v>1</v>
      </c>
      <c r="F455" s="270" t="s">
        <v>944</v>
      </c>
      <c r="G455" s="270" t="s">
        <v>3926</v>
      </c>
      <c r="H455" s="270" t="s">
        <v>4547</v>
      </c>
      <c r="I455" s="270" t="s">
        <v>4548</v>
      </c>
      <c r="J455" s="270" t="s">
        <v>3928</v>
      </c>
      <c r="K455" s="270">
        <v>6037</v>
      </c>
      <c r="L455" s="270">
        <v>400300</v>
      </c>
      <c r="M455" s="270" t="s">
        <v>3960</v>
      </c>
      <c r="N455" s="270" t="s">
        <v>3944</v>
      </c>
      <c r="O455" s="270">
        <v>4610</v>
      </c>
      <c r="P455" s="270" t="s">
        <v>3944</v>
      </c>
      <c r="Q455" s="270" t="s">
        <v>3944</v>
      </c>
      <c r="R455" s="270">
        <v>4610</v>
      </c>
      <c r="S455" s="270">
        <v>27014</v>
      </c>
      <c r="T455" s="270">
        <v>31624</v>
      </c>
      <c r="U455" s="271" t="s">
        <v>3945</v>
      </c>
      <c r="V455" s="267" t="s">
        <v>944</v>
      </c>
    </row>
    <row r="456" spans="1:22" hidden="1" x14ac:dyDescent="0.25">
      <c r="A456" s="266">
        <v>43487</v>
      </c>
      <c r="B456" s="267">
        <v>2019</v>
      </c>
      <c r="C456" s="267">
        <v>2019</v>
      </c>
      <c r="D456" s="267">
        <v>1</v>
      </c>
      <c r="E456" s="267">
        <v>1</v>
      </c>
      <c r="F456" s="267" t="s">
        <v>944</v>
      </c>
      <c r="G456" s="267" t="s">
        <v>3926</v>
      </c>
      <c r="H456" s="267" t="s">
        <v>4549</v>
      </c>
      <c r="I456" s="267" t="s">
        <v>4239</v>
      </c>
      <c r="J456" s="267" t="s">
        <v>3928</v>
      </c>
      <c r="K456" s="267">
        <v>6032</v>
      </c>
      <c r="L456" s="267">
        <v>460203</v>
      </c>
      <c r="M456" s="267" t="s">
        <v>3935</v>
      </c>
      <c r="N456" s="267" t="s">
        <v>3944</v>
      </c>
      <c r="O456" s="267">
        <v>5284</v>
      </c>
      <c r="P456" s="267" t="s">
        <v>3944</v>
      </c>
      <c r="Q456" s="267" t="s">
        <v>3944</v>
      </c>
      <c r="R456" s="267">
        <v>5284</v>
      </c>
      <c r="S456" s="267">
        <v>41263.120000000003</v>
      </c>
      <c r="T456" s="267">
        <v>46547.12</v>
      </c>
      <c r="U456" s="268" t="s">
        <v>3945</v>
      </c>
      <c r="V456" s="267" t="s">
        <v>944</v>
      </c>
    </row>
    <row r="457" spans="1:22" hidden="1" x14ac:dyDescent="0.25">
      <c r="A457" s="269">
        <v>43487</v>
      </c>
      <c r="B457" s="270">
        <v>2019</v>
      </c>
      <c r="C457" s="270">
        <v>2019</v>
      </c>
      <c r="D457" s="270">
        <v>1</v>
      </c>
      <c r="E457" s="270">
        <v>1</v>
      </c>
      <c r="F457" s="270" t="s">
        <v>944</v>
      </c>
      <c r="G457" s="270" t="s">
        <v>3926</v>
      </c>
      <c r="H457" s="270" t="s">
        <v>4550</v>
      </c>
      <c r="I457" s="270" t="s">
        <v>3010</v>
      </c>
      <c r="J457" s="270" t="s">
        <v>3928</v>
      </c>
      <c r="K457" s="270">
        <v>6401</v>
      </c>
      <c r="L457" s="270">
        <v>125100</v>
      </c>
      <c r="M457" s="270" t="s">
        <v>3960</v>
      </c>
      <c r="N457" s="270" t="s">
        <v>3944</v>
      </c>
      <c r="O457" s="270">
        <v>3364</v>
      </c>
      <c r="P457" s="270" t="s">
        <v>3944</v>
      </c>
      <c r="Q457" s="270" t="s">
        <v>3944</v>
      </c>
      <c r="R457" s="270">
        <v>3364</v>
      </c>
      <c r="S457" s="270">
        <v>51761</v>
      </c>
      <c r="T457" s="270">
        <v>55125</v>
      </c>
      <c r="U457" s="271" t="s">
        <v>3945</v>
      </c>
      <c r="V457" s="267" t="s">
        <v>944</v>
      </c>
    </row>
    <row r="458" spans="1:22" hidden="1" x14ac:dyDescent="0.25">
      <c r="A458" s="266">
        <v>43487</v>
      </c>
      <c r="B458" s="267">
        <v>2019</v>
      </c>
      <c r="C458" s="267">
        <v>2019</v>
      </c>
      <c r="D458" s="267">
        <v>1</v>
      </c>
      <c r="E458" s="267">
        <v>1</v>
      </c>
      <c r="F458" s="267" t="s">
        <v>944</v>
      </c>
      <c r="G458" s="267" t="s">
        <v>3926</v>
      </c>
      <c r="H458" s="267" t="s">
        <v>4551</v>
      </c>
      <c r="I458" s="267" t="s">
        <v>4552</v>
      </c>
      <c r="J458" s="267" t="s">
        <v>3928</v>
      </c>
      <c r="K458" s="267">
        <v>6423</v>
      </c>
      <c r="L458" s="267">
        <v>595102</v>
      </c>
      <c r="M458" s="267" t="s">
        <v>3960</v>
      </c>
      <c r="N458" s="267" t="s">
        <v>3944</v>
      </c>
      <c r="O458" s="267">
        <v>3593</v>
      </c>
      <c r="P458" s="267" t="s">
        <v>3944</v>
      </c>
      <c r="Q458" s="267" t="s">
        <v>3944</v>
      </c>
      <c r="R458" s="267">
        <v>3593</v>
      </c>
      <c r="S458" s="267">
        <v>32240.639999999999</v>
      </c>
      <c r="T458" s="267">
        <v>35833.64</v>
      </c>
      <c r="U458" s="268" t="s">
        <v>3945</v>
      </c>
      <c r="V458" s="267" t="s">
        <v>944</v>
      </c>
    </row>
    <row r="459" spans="1:22" hidden="1" x14ac:dyDescent="0.25">
      <c r="A459" s="269">
        <v>43487</v>
      </c>
      <c r="B459" s="270">
        <v>2019</v>
      </c>
      <c r="C459" s="270">
        <v>2019</v>
      </c>
      <c r="D459" s="270">
        <v>1</v>
      </c>
      <c r="E459" s="270">
        <v>1</v>
      </c>
      <c r="F459" s="270" t="s">
        <v>944</v>
      </c>
      <c r="G459" s="270" t="s">
        <v>3926</v>
      </c>
      <c r="H459" s="270" t="s">
        <v>4553</v>
      </c>
      <c r="I459" s="270" t="s">
        <v>3012</v>
      </c>
      <c r="J459" s="270" t="s">
        <v>3928</v>
      </c>
      <c r="K459" s="270">
        <v>6477</v>
      </c>
      <c r="L459" s="270">
        <v>157400</v>
      </c>
      <c r="M459" s="270" t="s">
        <v>3943</v>
      </c>
      <c r="N459" s="270" t="s">
        <v>3944</v>
      </c>
      <c r="O459" s="270">
        <v>4597</v>
      </c>
      <c r="P459" s="270" t="s">
        <v>3944</v>
      </c>
      <c r="Q459" s="270" t="s">
        <v>3944</v>
      </c>
      <c r="R459" s="270">
        <v>4597</v>
      </c>
      <c r="S459" s="270">
        <v>38243</v>
      </c>
      <c r="T459" s="270">
        <v>42840</v>
      </c>
      <c r="U459" s="271" t="s">
        <v>3945</v>
      </c>
      <c r="V459" s="267" t="s">
        <v>944</v>
      </c>
    </row>
    <row r="460" spans="1:22" hidden="1" x14ac:dyDescent="0.25">
      <c r="A460" s="266">
        <v>43487</v>
      </c>
      <c r="B460" s="267">
        <v>2019</v>
      </c>
      <c r="C460" s="267">
        <v>2019</v>
      </c>
      <c r="D460" s="267">
        <v>1</v>
      </c>
      <c r="E460" s="267">
        <v>1</v>
      </c>
      <c r="F460" s="267" t="s">
        <v>944</v>
      </c>
      <c r="G460" s="267" t="s">
        <v>3926</v>
      </c>
      <c r="H460" s="267" t="s">
        <v>4554</v>
      </c>
      <c r="I460" s="267" t="s">
        <v>950</v>
      </c>
      <c r="J460" s="267" t="s">
        <v>3928</v>
      </c>
      <c r="K460" s="267">
        <v>6516</v>
      </c>
      <c r="L460" s="267">
        <v>154600</v>
      </c>
      <c r="M460" s="267">
        <v>-60</v>
      </c>
      <c r="N460" s="267" t="s">
        <v>3944</v>
      </c>
      <c r="O460" s="267">
        <v>2379</v>
      </c>
      <c r="P460" s="267" t="s">
        <v>3944</v>
      </c>
      <c r="Q460" s="267" t="s">
        <v>3944</v>
      </c>
      <c r="R460" s="267">
        <v>2379</v>
      </c>
      <c r="S460" s="267">
        <v>23276</v>
      </c>
      <c r="T460" s="267">
        <v>25655</v>
      </c>
      <c r="U460" s="268" t="s">
        <v>3945</v>
      </c>
      <c r="V460" s="267" t="s">
        <v>944</v>
      </c>
    </row>
    <row r="461" spans="1:22" hidden="1" x14ac:dyDescent="0.25">
      <c r="A461" s="269">
        <v>43487</v>
      </c>
      <c r="B461" s="270">
        <v>2019</v>
      </c>
      <c r="C461" s="270">
        <v>2019</v>
      </c>
      <c r="D461" s="270">
        <v>1</v>
      </c>
      <c r="E461" s="270">
        <v>1</v>
      </c>
      <c r="F461" s="270" t="s">
        <v>944</v>
      </c>
      <c r="G461" s="270" t="s">
        <v>3926</v>
      </c>
      <c r="H461" s="270" t="s">
        <v>4555</v>
      </c>
      <c r="I461" s="270" t="s">
        <v>4556</v>
      </c>
      <c r="J461" s="270" t="s">
        <v>3928</v>
      </c>
      <c r="K461" s="270">
        <v>6029</v>
      </c>
      <c r="L461" s="270">
        <v>535200</v>
      </c>
      <c r="M461" s="270" t="s">
        <v>3960</v>
      </c>
      <c r="N461" s="270" t="s">
        <v>3944</v>
      </c>
      <c r="O461" s="270">
        <v>4488</v>
      </c>
      <c r="P461" s="270" t="s">
        <v>3944</v>
      </c>
      <c r="Q461" s="270" t="s">
        <v>3944</v>
      </c>
      <c r="R461" s="270">
        <v>4488</v>
      </c>
      <c r="S461" s="270">
        <v>34662</v>
      </c>
      <c r="T461" s="270">
        <v>39150</v>
      </c>
      <c r="U461" s="271" t="s">
        <v>3945</v>
      </c>
      <c r="V461" s="267" t="s">
        <v>944</v>
      </c>
    </row>
    <row r="462" spans="1:22" hidden="1" x14ac:dyDescent="0.25">
      <c r="A462" s="266">
        <v>43487</v>
      </c>
      <c r="B462" s="267">
        <v>2019</v>
      </c>
      <c r="C462" s="267">
        <v>2019</v>
      </c>
      <c r="D462" s="267">
        <v>1</v>
      </c>
      <c r="E462" s="267">
        <v>1</v>
      </c>
      <c r="F462" s="267" t="s">
        <v>944</v>
      </c>
      <c r="G462" s="267" t="s">
        <v>3926</v>
      </c>
      <c r="H462" s="267" t="s">
        <v>4557</v>
      </c>
      <c r="I462" s="267" t="s">
        <v>934</v>
      </c>
      <c r="J462" s="267" t="s">
        <v>3928</v>
      </c>
      <c r="K462" s="267">
        <v>6606</v>
      </c>
      <c r="L462" s="267">
        <v>72600</v>
      </c>
      <c r="M462" s="267" t="s">
        <v>3940</v>
      </c>
      <c r="N462" s="267" t="s">
        <v>3944</v>
      </c>
      <c r="O462" s="267">
        <v>2380</v>
      </c>
      <c r="P462" s="267" t="s">
        <v>3944</v>
      </c>
      <c r="Q462" s="267" t="s">
        <v>3944</v>
      </c>
      <c r="R462" s="267">
        <v>2380</v>
      </c>
      <c r="S462" s="267">
        <v>21644</v>
      </c>
      <c r="T462" s="267">
        <v>24024</v>
      </c>
      <c r="U462" s="268" t="s">
        <v>3945</v>
      </c>
      <c r="V462" s="267" t="s">
        <v>944</v>
      </c>
    </row>
    <row r="463" spans="1:22" hidden="1" x14ac:dyDescent="0.25">
      <c r="A463" s="269">
        <v>43487</v>
      </c>
      <c r="B463" s="270">
        <v>2019</v>
      </c>
      <c r="C463" s="270">
        <v>2019</v>
      </c>
      <c r="D463" s="270">
        <v>1</v>
      </c>
      <c r="E463" s="270">
        <v>1</v>
      </c>
      <c r="F463" s="270" t="s">
        <v>944</v>
      </c>
      <c r="G463" s="270" t="s">
        <v>3926</v>
      </c>
      <c r="H463" s="270" t="s">
        <v>4558</v>
      </c>
      <c r="I463" s="270" t="s">
        <v>956</v>
      </c>
      <c r="J463" s="270" t="s">
        <v>3928</v>
      </c>
      <c r="K463" s="270">
        <v>6614</v>
      </c>
      <c r="L463" s="270">
        <v>80900</v>
      </c>
      <c r="M463" s="270" t="s">
        <v>3960</v>
      </c>
      <c r="N463" s="270" t="s">
        <v>3944</v>
      </c>
      <c r="O463" s="270">
        <v>0</v>
      </c>
      <c r="P463" s="270" t="s">
        <v>3944</v>
      </c>
      <c r="Q463" s="270" t="s">
        <v>3944</v>
      </c>
      <c r="R463" s="270">
        <v>0</v>
      </c>
      <c r="S463" s="270">
        <v>14620</v>
      </c>
      <c r="T463" s="270">
        <v>14620</v>
      </c>
      <c r="U463" s="271" t="s">
        <v>3945</v>
      </c>
      <c r="V463" s="267" t="s">
        <v>944</v>
      </c>
    </row>
    <row r="464" spans="1:22" hidden="1" x14ac:dyDescent="0.25">
      <c r="A464" s="266">
        <v>43487</v>
      </c>
      <c r="B464" s="267">
        <v>2019</v>
      </c>
      <c r="C464" s="267">
        <v>2019</v>
      </c>
      <c r="D464" s="267">
        <v>1</v>
      </c>
      <c r="E464" s="267">
        <v>1</v>
      </c>
      <c r="F464" s="267" t="s">
        <v>944</v>
      </c>
      <c r="G464" s="267" t="s">
        <v>3926</v>
      </c>
      <c r="H464" s="267" t="s">
        <v>4559</v>
      </c>
      <c r="I464" s="267" t="s">
        <v>4065</v>
      </c>
      <c r="J464" s="267" t="s">
        <v>3928</v>
      </c>
      <c r="K464" s="267">
        <v>6480</v>
      </c>
      <c r="L464" s="267">
        <v>560100</v>
      </c>
      <c r="M464" s="267" t="s">
        <v>3943</v>
      </c>
      <c r="N464" s="267" t="s">
        <v>3944</v>
      </c>
      <c r="O464" s="267">
        <v>2084</v>
      </c>
      <c r="P464" s="267" t="s">
        <v>3944</v>
      </c>
      <c r="Q464" s="267" t="s">
        <v>3944</v>
      </c>
      <c r="R464" s="267">
        <v>2084</v>
      </c>
      <c r="S464" s="267">
        <v>15868</v>
      </c>
      <c r="T464" s="267">
        <v>17952</v>
      </c>
      <c r="U464" s="268" t="s">
        <v>3945</v>
      </c>
      <c r="V464" s="267" t="s">
        <v>944</v>
      </c>
    </row>
    <row r="465" spans="1:22" hidden="1" x14ac:dyDescent="0.25">
      <c r="A465" s="269">
        <v>43487</v>
      </c>
      <c r="B465" s="270">
        <v>2019</v>
      </c>
      <c r="C465" s="270">
        <v>2019</v>
      </c>
      <c r="D465" s="270">
        <v>1</v>
      </c>
      <c r="E465" s="270">
        <v>1</v>
      </c>
      <c r="F465" s="270" t="s">
        <v>944</v>
      </c>
      <c r="G465" s="270" t="s">
        <v>3926</v>
      </c>
      <c r="H465" s="270" t="s">
        <v>4560</v>
      </c>
      <c r="I465" s="270" t="s">
        <v>3010</v>
      </c>
      <c r="J465" s="270" t="s">
        <v>3928</v>
      </c>
      <c r="K465" s="270">
        <v>6401</v>
      </c>
      <c r="L465" s="270">
        <v>125200</v>
      </c>
      <c r="M465" s="270">
        <v>-60</v>
      </c>
      <c r="N465" s="270" t="s">
        <v>3944</v>
      </c>
      <c r="O465" s="270">
        <v>3113</v>
      </c>
      <c r="P465" s="270" t="s">
        <v>3944</v>
      </c>
      <c r="Q465" s="270" t="s">
        <v>3944</v>
      </c>
      <c r="R465" s="270">
        <v>3113</v>
      </c>
      <c r="S465" s="270">
        <v>27187</v>
      </c>
      <c r="T465" s="270">
        <v>30300</v>
      </c>
      <c r="U465" s="271" t="s">
        <v>3945</v>
      </c>
      <c r="V465" s="267" t="s">
        <v>944</v>
      </c>
    </row>
    <row r="466" spans="1:22" hidden="1" x14ac:dyDescent="0.25">
      <c r="A466" s="266">
        <v>43487</v>
      </c>
      <c r="B466" s="267">
        <v>2019</v>
      </c>
      <c r="C466" s="267">
        <v>2019</v>
      </c>
      <c r="D466" s="267">
        <v>1</v>
      </c>
      <c r="E466" s="267">
        <v>1</v>
      </c>
      <c r="F466" s="267" t="s">
        <v>944</v>
      </c>
      <c r="G466" s="267" t="s">
        <v>3926</v>
      </c>
      <c r="H466" s="267" t="s">
        <v>4561</v>
      </c>
      <c r="I466" s="267" t="s">
        <v>4461</v>
      </c>
      <c r="J466" s="267" t="s">
        <v>3928</v>
      </c>
      <c r="K466" s="267">
        <v>6807</v>
      </c>
      <c r="L466" s="267">
        <v>10202</v>
      </c>
      <c r="M466" s="267" t="s">
        <v>3943</v>
      </c>
      <c r="N466" s="267" t="s">
        <v>3944</v>
      </c>
      <c r="O466" s="267">
        <v>826.88</v>
      </c>
      <c r="P466" s="267" t="s">
        <v>3944</v>
      </c>
      <c r="Q466" s="267" t="s">
        <v>3944</v>
      </c>
      <c r="R466" s="267">
        <v>826.88</v>
      </c>
      <c r="S466" s="267">
        <v>8402.1200000000008</v>
      </c>
      <c r="T466" s="267">
        <v>9229</v>
      </c>
      <c r="U466" s="268" t="s">
        <v>3945</v>
      </c>
      <c r="V466" s="267" t="s">
        <v>944</v>
      </c>
    </row>
    <row r="467" spans="1:22" hidden="1" x14ac:dyDescent="0.25">
      <c r="A467" s="269">
        <v>43487</v>
      </c>
      <c r="B467" s="270">
        <v>2019</v>
      </c>
      <c r="C467" s="270">
        <v>2019</v>
      </c>
      <c r="D467" s="270">
        <v>1</v>
      </c>
      <c r="E467" s="270">
        <v>1</v>
      </c>
      <c r="F467" s="270" t="s">
        <v>944</v>
      </c>
      <c r="G467" s="270" t="s">
        <v>3926</v>
      </c>
      <c r="H467" s="270" t="s">
        <v>4562</v>
      </c>
      <c r="I467" s="270" t="s">
        <v>4019</v>
      </c>
      <c r="J467" s="270" t="s">
        <v>3928</v>
      </c>
      <c r="K467" s="270">
        <v>6704</v>
      </c>
      <c r="L467" s="270">
        <v>352400</v>
      </c>
      <c r="M467" s="270">
        <v>-60</v>
      </c>
      <c r="N467" s="270" t="s">
        <v>3944</v>
      </c>
      <c r="O467" s="270">
        <v>2290.2600000000002</v>
      </c>
      <c r="P467" s="270" t="s">
        <v>3944</v>
      </c>
      <c r="Q467" s="270" t="s">
        <v>3944</v>
      </c>
      <c r="R467" s="270">
        <v>2290.2600000000002</v>
      </c>
      <c r="S467" s="270">
        <v>29376.52</v>
      </c>
      <c r="T467" s="270">
        <v>31666.78</v>
      </c>
      <c r="U467" s="271" t="s">
        <v>3945</v>
      </c>
      <c r="V467" s="267" t="s">
        <v>944</v>
      </c>
    </row>
    <row r="468" spans="1:22" hidden="1" x14ac:dyDescent="0.25">
      <c r="A468" s="266">
        <v>43487</v>
      </c>
      <c r="B468" s="267">
        <v>2019</v>
      </c>
      <c r="C468" s="267">
        <v>2019</v>
      </c>
      <c r="D468" s="267">
        <v>1</v>
      </c>
      <c r="E468" s="267">
        <v>1</v>
      </c>
      <c r="F468" s="267" t="s">
        <v>944</v>
      </c>
      <c r="G468" s="267" t="s">
        <v>3926</v>
      </c>
      <c r="H468" s="267" t="s">
        <v>4563</v>
      </c>
      <c r="I468" s="267" t="s">
        <v>4203</v>
      </c>
      <c r="J468" s="267" t="s">
        <v>3928</v>
      </c>
      <c r="K468" s="267">
        <v>6071</v>
      </c>
      <c r="L468" s="267">
        <v>538201</v>
      </c>
      <c r="M468" s="267" t="s">
        <v>3943</v>
      </c>
      <c r="N468" s="267" t="s">
        <v>3944</v>
      </c>
      <c r="O468" s="267">
        <v>1121.19</v>
      </c>
      <c r="P468" s="267" t="s">
        <v>3944</v>
      </c>
      <c r="Q468" s="267" t="s">
        <v>3944</v>
      </c>
      <c r="R468" s="267">
        <v>1121.19</v>
      </c>
      <c r="S468" s="267">
        <v>11737.81</v>
      </c>
      <c r="T468" s="267">
        <v>12859</v>
      </c>
      <c r="U468" s="268" t="s">
        <v>3945</v>
      </c>
      <c r="V468" s="267" t="s">
        <v>944</v>
      </c>
    </row>
    <row r="469" spans="1:22" hidden="1" x14ac:dyDescent="0.25">
      <c r="A469" s="269">
        <v>43487</v>
      </c>
      <c r="B469" s="270">
        <v>2019</v>
      </c>
      <c r="C469" s="270">
        <v>2019</v>
      </c>
      <c r="D469" s="270">
        <v>1</v>
      </c>
      <c r="E469" s="270">
        <v>1</v>
      </c>
      <c r="F469" s="270" t="s">
        <v>944</v>
      </c>
      <c r="G469" s="270" t="s">
        <v>3926</v>
      </c>
      <c r="H469" s="270" t="s">
        <v>4564</v>
      </c>
      <c r="I469" s="270" t="s">
        <v>4556</v>
      </c>
      <c r="J469" s="270" t="s">
        <v>3928</v>
      </c>
      <c r="K469" s="270">
        <v>6029</v>
      </c>
      <c r="L469" s="270">
        <v>535200</v>
      </c>
      <c r="M469" s="270" t="s">
        <v>3960</v>
      </c>
      <c r="N469" s="270" t="s">
        <v>3944</v>
      </c>
      <c r="O469" s="270">
        <v>2414.7199999999998</v>
      </c>
      <c r="P469" s="270" t="s">
        <v>3944</v>
      </c>
      <c r="Q469" s="270" t="s">
        <v>3944</v>
      </c>
      <c r="R469" s="270">
        <v>2414.7199999999998</v>
      </c>
      <c r="S469" s="270">
        <v>35586.44</v>
      </c>
      <c r="T469" s="270">
        <v>38001.160000000003</v>
      </c>
      <c r="U469" s="271" t="s">
        <v>3945</v>
      </c>
      <c r="V469" s="267" t="s">
        <v>944</v>
      </c>
    </row>
    <row r="470" spans="1:22" hidden="1" x14ac:dyDescent="0.25">
      <c r="A470" s="266">
        <v>43487</v>
      </c>
      <c r="B470" s="267">
        <v>2019</v>
      </c>
      <c r="C470" s="267">
        <v>2019</v>
      </c>
      <c r="D470" s="267">
        <v>1</v>
      </c>
      <c r="E470" s="267">
        <v>1</v>
      </c>
      <c r="F470" s="267" t="s">
        <v>944</v>
      </c>
      <c r="G470" s="267" t="s">
        <v>3926</v>
      </c>
      <c r="H470" s="267" t="s">
        <v>4565</v>
      </c>
      <c r="I470" s="267" t="s">
        <v>3025</v>
      </c>
      <c r="J470" s="267" t="s">
        <v>3928</v>
      </c>
      <c r="K470" s="267">
        <v>6473</v>
      </c>
      <c r="L470" s="267">
        <v>167100</v>
      </c>
      <c r="M470" s="267" t="s">
        <v>3943</v>
      </c>
      <c r="N470" s="267" t="s">
        <v>3944</v>
      </c>
      <c r="O470" s="267">
        <v>2841.13</v>
      </c>
      <c r="P470" s="267" t="s">
        <v>3944</v>
      </c>
      <c r="Q470" s="267" t="s">
        <v>3944</v>
      </c>
      <c r="R470" s="267">
        <v>2841.13</v>
      </c>
      <c r="S470" s="267">
        <v>38234.870000000003</v>
      </c>
      <c r="T470" s="267">
        <v>41076</v>
      </c>
      <c r="U470" s="268" t="s">
        <v>3945</v>
      </c>
      <c r="V470" s="267" t="s">
        <v>944</v>
      </c>
    </row>
    <row r="471" spans="1:22" hidden="1" x14ac:dyDescent="0.25">
      <c r="A471" s="269">
        <v>43487</v>
      </c>
      <c r="B471" s="270">
        <v>2019</v>
      </c>
      <c r="C471" s="270">
        <v>2019</v>
      </c>
      <c r="D471" s="270">
        <v>1</v>
      </c>
      <c r="E471" s="270">
        <v>1</v>
      </c>
      <c r="F471" s="270" t="s">
        <v>944</v>
      </c>
      <c r="G471" s="270" t="s">
        <v>3926</v>
      </c>
      <c r="H471" s="270" t="s">
        <v>4566</v>
      </c>
      <c r="I471" s="270" t="s">
        <v>3939</v>
      </c>
      <c r="J471" s="270" t="s">
        <v>3928</v>
      </c>
      <c r="K471" s="270">
        <v>6512</v>
      </c>
      <c r="L471" s="270">
        <v>180200</v>
      </c>
      <c r="M471" s="270" t="s">
        <v>3940</v>
      </c>
      <c r="N471" s="270" t="s">
        <v>3944</v>
      </c>
      <c r="O471" s="270">
        <v>951.34</v>
      </c>
      <c r="P471" s="270" t="s">
        <v>3944</v>
      </c>
      <c r="Q471" s="270" t="s">
        <v>3944</v>
      </c>
      <c r="R471" s="270">
        <v>951.34</v>
      </c>
      <c r="S471" s="270">
        <v>8861.66</v>
      </c>
      <c r="T471" s="270">
        <v>9813</v>
      </c>
      <c r="U471" s="271" t="s">
        <v>3945</v>
      </c>
      <c r="V471" s="267" t="s">
        <v>944</v>
      </c>
    </row>
    <row r="472" spans="1:22" hidden="1" x14ac:dyDescent="0.25">
      <c r="A472" s="266">
        <v>43487</v>
      </c>
      <c r="B472" s="267">
        <v>2019</v>
      </c>
      <c r="C472" s="267">
        <v>2019</v>
      </c>
      <c r="D472" s="267">
        <v>1</v>
      </c>
      <c r="E472" s="267">
        <v>1</v>
      </c>
      <c r="F472" s="267" t="s">
        <v>944</v>
      </c>
      <c r="G472" s="267" t="s">
        <v>3926</v>
      </c>
      <c r="H472" s="267" t="s">
        <v>4567</v>
      </c>
      <c r="I472" s="267" t="s">
        <v>3975</v>
      </c>
      <c r="J472" s="267" t="s">
        <v>3928</v>
      </c>
      <c r="K472" s="267">
        <v>6479</v>
      </c>
      <c r="L472" s="267">
        <v>430302</v>
      </c>
      <c r="M472" s="267" t="s">
        <v>3960</v>
      </c>
      <c r="N472" s="267" t="s">
        <v>3944</v>
      </c>
      <c r="O472" s="267">
        <v>2350.85</v>
      </c>
      <c r="P472" s="267" t="s">
        <v>3944</v>
      </c>
      <c r="Q472" s="267" t="s">
        <v>3944</v>
      </c>
      <c r="R472" s="267">
        <v>2350.85</v>
      </c>
      <c r="S472" s="267">
        <v>30837.54</v>
      </c>
      <c r="T472" s="267">
        <v>33188.39</v>
      </c>
      <c r="U472" s="268" t="s">
        <v>3945</v>
      </c>
      <c r="V472" s="267" t="s">
        <v>944</v>
      </c>
    </row>
    <row r="473" spans="1:22" hidden="1" x14ac:dyDescent="0.25">
      <c r="A473" s="269">
        <v>43487</v>
      </c>
      <c r="B473" s="270">
        <v>2019</v>
      </c>
      <c r="C473" s="270">
        <v>2019</v>
      </c>
      <c r="D473" s="270">
        <v>1</v>
      </c>
      <c r="E473" s="270">
        <v>1</v>
      </c>
      <c r="F473" s="270" t="s">
        <v>944</v>
      </c>
      <c r="G473" s="270" t="s">
        <v>3926</v>
      </c>
      <c r="H473" s="270" t="s">
        <v>4568</v>
      </c>
      <c r="I473" s="270" t="s">
        <v>4005</v>
      </c>
      <c r="J473" s="270" t="s">
        <v>3928</v>
      </c>
      <c r="K473" s="270">
        <v>6118</v>
      </c>
      <c r="L473" s="270">
        <v>510700</v>
      </c>
      <c r="M473" s="270" t="s">
        <v>3940</v>
      </c>
      <c r="N473" s="270" t="s">
        <v>3944</v>
      </c>
      <c r="O473" s="270">
        <v>2424.2399999999998</v>
      </c>
      <c r="P473" s="270" t="s">
        <v>3944</v>
      </c>
      <c r="Q473" s="270" t="s">
        <v>3944</v>
      </c>
      <c r="R473" s="270">
        <v>2424.2399999999998</v>
      </c>
      <c r="S473" s="270">
        <v>35654.58</v>
      </c>
      <c r="T473" s="270">
        <v>38078.82</v>
      </c>
      <c r="U473" s="271" t="s">
        <v>3945</v>
      </c>
      <c r="V473" s="267" t="s">
        <v>944</v>
      </c>
    </row>
    <row r="474" spans="1:22" hidden="1" x14ac:dyDescent="0.25">
      <c r="A474" s="266">
        <v>43487</v>
      </c>
      <c r="B474" s="267">
        <v>2019</v>
      </c>
      <c r="C474" s="267">
        <v>2019</v>
      </c>
      <c r="D474" s="267">
        <v>1</v>
      </c>
      <c r="E474" s="267">
        <v>1</v>
      </c>
      <c r="F474" s="267" t="s">
        <v>944</v>
      </c>
      <c r="G474" s="267" t="s">
        <v>3926</v>
      </c>
      <c r="H474" s="267" t="s">
        <v>4569</v>
      </c>
      <c r="I474" s="267" t="s">
        <v>934</v>
      </c>
      <c r="J474" s="267" t="s">
        <v>3928</v>
      </c>
      <c r="K474" s="267">
        <v>6606</v>
      </c>
      <c r="L474" s="267">
        <v>72300</v>
      </c>
      <c r="M474" s="267" t="s">
        <v>3940</v>
      </c>
      <c r="N474" s="267" t="s">
        <v>3944</v>
      </c>
      <c r="O474" s="267">
        <v>823.17</v>
      </c>
      <c r="P474" s="267" t="s">
        <v>3944</v>
      </c>
      <c r="Q474" s="267" t="s">
        <v>3944</v>
      </c>
      <c r="R474" s="267">
        <v>823.17</v>
      </c>
      <c r="S474" s="267">
        <v>13542.36</v>
      </c>
      <c r="T474" s="267">
        <v>14365.53</v>
      </c>
      <c r="U474" s="268" t="s">
        <v>3945</v>
      </c>
      <c r="V474" s="267" t="s">
        <v>944</v>
      </c>
    </row>
    <row r="475" spans="1:22" hidden="1" x14ac:dyDescent="0.25">
      <c r="A475" s="269">
        <v>43487</v>
      </c>
      <c r="B475" s="270">
        <v>2019</v>
      </c>
      <c r="C475" s="270">
        <v>2019</v>
      </c>
      <c r="D475" s="270">
        <v>1</v>
      </c>
      <c r="E475" s="270">
        <v>1</v>
      </c>
      <c r="F475" s="270" t="s">
        <v>944</v>
      </c>
      <c r="G475" s="270" t="s">
        <v>3926</v>
      </c>
      <c r="H475" s="270" t="s">
        <v>4570</v>
      </c>
      <c r="I475" s="270" t="s">
        <v>3966</v>
      </c>
      <c r="J475" s="270" t="s">
        <v>3928</v>
      </c>
      <c r="K475" s="270">
        <v>6010</v>
      </c>
      <c r="L475" s="270">
        <v>405800</v>
      </c>
      <c r="M475" s="270" t="s">
        <v>3935</v>
      </c>
      <c r="N475" s="270" t="s">
        <v>3944</v>
      </c>
      <c r="O475" s="270">
        <v>3973.52</v>
      </c>
      <c r="P475" s="270" t="s">
        <v>3944</v>
      </c>
      <c r="Q475" s="270" t="s">
        <v>3944</v>
      </c>
      <c r="R475" s="270">
        <v>3973.52</v>
      </c>
      <c r="S475" s="270">
        <v>66622.48</v>
      </c>
      <c r="T475" s="270">
        <v>70596</v>
      </c>
      <c r="U475" s="271" t="s">
        <v>3945</v>
      </c>
      <c r="V475" s="267" t="s">
        <v>944</v>
      </c>
    </row>
    <row r="476" spans="1:22" hidden="1" x14ac:dyDescent="0.25">
      <c r="A476" s="266">
        <v>43487</v>
      </c>
      <c r="B476" s="267">
        <v>2019</v>
      </c>
      <c r="C476" s="267">
        <v>2019</v>
      </c>
      <c r="D476" s="267">
        <v>1</v>
      </c>
      <c r="E476" s="267">
        <v>1</v>
      </c>
      <c r="F476" s="267" t="s">
        <v>944</v>
      </c>
      <c r="G476" s="267" t="s">
        <v>3926</v>
      </c>
      <c r="H476" s="267" t="s">
        <v>4571</v>
      </c>
      <c r="I476" s="267" t="s">
        <v>3939</v>
      </c>
      <c r="J476" s="267" t="s">
        <v>3928</v>
      </c>
      <c r="K476" s="267">
        <v>6513</v>
      </c>
      <c r="L476" s="267">
        <v>180500</v>
      </c>
      <c r="M476" s="267" t="s">
        <v>3935</v>
      </c>
      <c r="N476" s="267" t="s">
        <v>3944</v>
      </c>
      <c r="O476" s="267">
        <v>1017.91</v>
      </c>
      <c r="P476" s="267" t="s">
        <v>3944</v>
      </c>
      <c r="Q476" s="267" t="s">
        <v>3944</v>
      </c>
      <c r="R476" s="267">
        <v>1017.91</v>
      </c>
      <c r="S476" s="267">
        <v>17466.29</v>
      </c>
      <c r="T476" s="267">
        <v>18484.2</v>
      </c>
      <c r="U476" s="268" t="s">
        <v>3945</v>
      </c>
      <c r="V476" s="267" t="s">
        <v>944</v>
      </c>
    </row>
    <row r="477" spans="1:22" x14ac:dyDescent="0.25">
      <c r="A477" s="269">
        <v>43487</v>
      </c>
      <c r="B477" s="270">
        <v>2019</v>
      </c>
      <c r="C477" s="270">
        <v>2019</v>
      </c>
      <c r="D477" s="270">
        <v>1</v>
      </c>
      <c r="E477" s="270">
        <v>1</v>
      </c>
      <c r="F477" s="270" t="s">
        <v>944</v>
      </c>
      <c r="G477" s="270" t="s">
        <v>3926</v>
      </c>
      <c r="H477" s="270" t="s">
        <v>4572</v>
      </c>
      <c r="I477" s="270" t="s">
        <v>934</v>
      </c>
      <c r="J477" s="270" t="s">
        <v>3928</v>
      </c>
      <c r="K477" s="270">
        <v>6605</v>
      </c>
      <c r="L477" s="270">
        <v>70100</v>
      </c>
      <c r="M477" s="270" t="s">
        <v>3960</v>
      </c>
      <c r="N477" s="270" t="s">
        <v>3944</v>
      </c>
      <c r="O477" s="270">
        <v>1302.67</v>
      </c>
      <c r="P477" s="270" t="s">
        <v>3944</v>
      </c>
      <c r="Q477" s="270" t="s">
        <v>3944</v>
      </c>
      <c r="R477" s="270">
        <v>1302.67</v>
      </c>
      <c r="S477" s="270">
        <v>13024.33</v>
      </c>
      <c r="T477" s="270">
        <v>14327</v>
      </c>
      <c r="U477" s="271" t="s">
        <v>3945</v>
      </c>
      <c r="V477" s="276" t="s">
        <v>936</v>
      </c>
    </row>
    <row r="478" spans="1:22" hidden="1" x14ac:dyDescent="0.25">
      <c r="A478" s="266">
        <v>43487</v>
      </c>
      <c r="B478" s="267">
        <v>2019</v>
      </c>
      <c r="C478" s="267">
        <v>2019</v>
      </c>
      <c r="D478" s="267">
        <v>1</v>
      </c>
      <c r="E478" s="267">
        <v>1</v>
      </c>
      <c r="F478" s="267" t="s">
        <v>944</v>
      </c>
      <c r="G478" s="267" t="s">
        <v>3926</v>
      </c>
      <c r="H478" s="267" t="s">
        <v>4573</v>
      </c>
      <c r="I478" s="267" t="s">
        <v>934</v>
      </c>
      <c r="J478" s="267" t="s">
        <v>3928</v>
      </c>
      <c r="K478" s="267">
        <v>6606</v>
      </c>
      <c r="L478" s="267">
        <v>72700</v>
      </c>
      <c r="M478" s="267" t="s">
        <v>3935</v>
      </c>
      <c r="N478" s="267" t="s">
        <v>3944</v>
      </c>
      <c r="O478" s="267">
        <v>968.73</v>
      </c>
      <c r="P478" s="267" t="s">
        <v>3944</v>
      </c>
      <c r="Q478" s="267" t="s">
        <v>3944</v>
      </c>
      <c r="R478" s="267">
        <v>968.73</v>
      </c>
      <c r="S478" s="267">
        <v>13615.27</v>
      </c>
      <c r="T478" s="267">
        <v>14584</v>
      </c>
      <c r="U478" s="268" t="s">
        <v>3945</v>
      </c>
      <c r="V478" s="267" t="s">
        <v>944</v>
      </c>
    </row>
    <row r="479" spans="1:22" x14ac:dyDescent="0.25">
      <c r="A479" s="269">
        <v>43487</v>
      </c>
      <c r="B479" s="270">
        <v>2019</v>
      </c>
      <c r="C479" s="270">
        <v>2019</v>
      </c>
      <c r="D479" s="270">
        <v>1</v>
      </c>
      <c r="E479" s="270">
        <v>1</v>
      </c>
      <c r="F479" s="270" t="s">
        <v>944</v>
      </c>
      <c r="G479" s="270" t="s">
        <v>3926</v>
      </c>
      <c r="H479" s="270" t="s">
        <v>4574</v>
      </c>
      <c r="I479" s="270" t="s">
        <v>934</v>
      </c>
      <c r="J479" s="270" t="s">
        <v>3928</v>
      </c>
      <c r="K479" s="270">
        <v>6610</v>
      </c>
      <c r="L479" s="270">
        <v>73400</v>
      </c>
      <c r="M479" s="270" t="s">
        <v>3940</v>
      </c>
      <c r="N479" s="270" t="s">
        <v>3944</v>
      </c>
      <c r="O479" s="270">
        <v>2110.2600000000002</v>
      </c>
      <c r="P479" s="270" t="s">
        <v>3944</v>
      </c>
      <c r="Q479" s="270" t="s">
        <v>3944</v>
      </c>
      <c r="R479" s="270">
        <v>2110.2600000000002</v>
      </c>
      <c r="S479" s="270">
        <v>29198.68</v>
      </c>
      <c r="T479" s="270">
        <v>31308.94</v>
      </c>
      <c r="U479" s="271" t="s">
        <v>3945</v>
      </c>
      <c r="V479" s="276" t="s">
        <v>936</v>
      </c>
    </row>
    <row r="480" spans="1:22" hidden="1" x14ac:dyDescent="0.25">
      <c r="A480" s="266">
        <v>43487</v>
      </c>
      <c r="B480" s="267">
        <v>2019</v>
      </c>
      <c r="C480" s="267">
        <v>2019</v>
      </c>
      <c r="D480" s="267">
        <v>1</v>
      </c>
      <c r="E480" s="267">
        <v>1</v>
      </c>
      <c r="F480" s="267" t="s">
        <v>944</v>
      </c>
      <c r="G480" s="267" t="s">
        <v>3926</v>
      </c>
      <c r="H480" s="267" t="s">
        <v>4575</v>
      </c>
      <c r="I480" s="267" t="s">
        <v>4069</v>
      </c>
      <c r="J480" s="267" t="s">
        <v>3928</v>
      </c>
      <c r="K480" s="267">
        <v>6905</v>
      </c>
      <c r="L480" s="267">
        <v>21000</v>
      </c>
      <c r="M480" s="267" t="s">
        <v>3943</v>
      </c>
      <c r="N480" s="267" t="s">
        <v>3944</v>
      </c>
      <c r="O480" s="267">
        <v>2390.4299999999998</v>
      </c>
      <c r="P480" s="267" t="s">
        <v>3944</v>
      </c>
      <c r="Q480" s="267" t="s">
        <v>3944</v>
      </c>
      <c r="R480" s="267">
        <v>2390.4299999999998</v>
      </c>
      <c r="S480" s="267">
        <v>19238.57</v>
      </c>
      <c r="T480" s="267">
        <v>21629</v>
      </c>
      <c r="U480" s="268" t="s">
        <v>3945</v>
      </c>
      <c r="V480" s="267" t="s">
        <v>944</v>
      </c>
    </row>
    <row r="481" spans="1:22" hidden="1" x14ac:dyDescent="0.25">
      <c r="A481" s="269">
        <v>43487</v>
      </c>
      <c r="B481" s="270">
        <v>2019</v>
      </c>
      <c r="C481" s="270">
        <v>2019</v>
      </c>
      <c r="D481" s="270">
        <v>1</v>
      </c>
      <c r="E481" s="270">
        <v>1</v>
      </c>
      <c r="F481" s="270" t="s">
        <v>944</v>
      </c>
      <c r="G481" s="270" t="s">
        <v>3926</v>
      </c>
      <c r="H481" s="270" t="s">
        <v>4576</v>
      </c>
      <c r="I481" s="270" t="s">
        <v>3008</v>
      </c>
      <c r="J481" s="270" t="s">
        <v>3928</v>
      </c>
      <c r="K481" s="270">
        <v>6460</v>
      </c>
      <c r="L481" s="270">
        <v>150200</v>
      </c>
      <c r="M481" s="270" t="s">
        <v>3935</v>
      </c>
      <c r="N481" s="270" t="s">
        <v>3944</v>
      </c>
      <c r="O481" s="270">
        <v>1847.9</v>
      </c>
      <c r="P481" s="270" t="s">
        <v>3944</v>
      </c>
      <c r="Q481" s="270" t="s">
        <v>3944</v>
      </c>
      <c r="R481" s="270">
        <v>1847.9</v>
      </c>
      <c r="S481" s="270">
        <v>23153.02</v>
      </c>
      <c r="T481" s="270">
        <v>25000.92</v>
      </c>
      <c r="U481" s="271" t="s">
        <v>3945</v>
      </c>
      <c r="V481" s="267" t="s">
        <v>944</v>
      </c>
    </row>
    <row r="482" spans="1:22" hidden="1" x14ac:dyDescent="0.25">
      <c r="A482" s="266">
        <v>43488</v>
      </c>
      <c r="B482" s="267">
        <v>2019</v>
      </c>
      <c r="C482" s="267">
        <v>2019</v>
      </c>
      <c r="D482" s="267">
        <v>1</v>
      </c>
      <c r="E482" s="267">
        <v>1</v>
      </c>
      <c r="F482" s="267" t="s">
        <v>944</v>
      </c>
      <c r="G482" s="267" t="s">
        <v>3926</v>
      </c>
      <c r="H482" s="267" t="s">
        <v>4577</v>
      </c>
      <c r="I482" s="267" t="s">
        <v>4019</v>
      </c>
      <c r="J482" s="267" t="s">
        <v>3928</v>
      </c>
      <c r="K482" s="267">
        <v>6708</v>
      </c>
      <c r="L482" s="267">
        <v>352100</v>
      </c>
      <c r="M482" s="267" t="s">
        <v>3940</v>
      </c>
      <c r="N482" s="267" t="s">
        <v>4578</v>
      </c>
      <c r="O482" s="267">
        <v>0</v>
      </c>
      <c r="P482" s="267" t="s">
        <v>3930</v>
      </c>
      <c r="Q482" s="267" t="s">
        <v>3930</v>
      </c>
      <c r="R482" s="267">
        <v>0</v>
      </c>
      <c r="S482" s="267">
        <v>9375</v>
      </c>
      <c r="T482" s="267">
        <v>9375</v>
      </c>
      <c r="U482" s="268" t="s">
        <v>3937</v>
      </c>
      <c r="V482" s="267" t="s">
        <v>944</v>
      </c>
    </row>
    <row r="483" spans="1:22" hidden="1" x14ac:dyDescent="0.25">
      <c r="A483" s="269">
        <v>43488</v>
      </c>
      <c r="B483" s="270">
        <v>2019</v>
      </c>
      <c r="C483" s="270">
        <v>2019</v>
      </c>
      <c r="D483" s="270">
        <v>1</v>
      </c>
      <c r="E483" s="270">
        <v>1</v>
      </c>
      <c r="F483" s="270" t="s">
        <v>944</v>
      </c>
      <c r="G483" s="270" t="s">
        <v>3926</v>
      </c>
      <c r="H483" s="270" t="s">
        <v>4579</v>
      </c>
      <c r="I483" s="270" t="s">
        <v>2987</v>
      </c>
      <c r="J483" s="270" t="s">
        <v>3928</v>
      </c>
      <c r="K483" s="270">
        <v>6611</v>
      </c>
      <c r="L483" s="270">
        <v>90400</v>
      </c>
      <c r="M483" s="270" t="s">
        <v>3943</v>
      </c>
      <c r="N483" s="270" t="s">
        <v>4580</v>
      </c>
      <c r="O483" s="270">
        <v>0</v>
      </c>
      <c r="P483" s="270" t="s">
        <v>3930</v>
      </c>
      <c r="Q483" s="270" t="s">
        <v>3930</v>
      </c>
      <c r="R483" s="270">
        <v>0</v>
      </c>
      <c r="S483" s="270">
        <v>13600</v>
      </c>
      <c r="T483" s="270">
        <v>13600</v>
      </c>
      <c r="U483" s="271" t="s">
        <v>3937</v>
      </c>
      <c r="V483" s="267" t="s">
        <v>944</v>
      </c>
    </row>
    <row r="484" spans="1:22" hidden="1" x14ac:dyDescent="0.25">
      <c r="A484" s="266">
        <v>43488</v>
      </c>
      <c r="B484" s="267">
        <v>2019</v>
      </c>
      <c r="C484" s="267">
        <v>2019</v>
      </c>
      <c r="D484" s="267">
        <v>1</v>
      </c>
      <c r="E484" s="267">
        <v>1</v>
      </c>
      <c r="F484" s="267" t="s">
        <v>944</v>
      </c>
      <c r="G484" s="267" t="s">
        <v>3926</v>
      </c>
      <c r="H484" s="267" t="s">
        <v>4581</v>
      </c>
      <c r="I484" s="267" t="s">
        <v>3939</v>
      </c>
      <c r="J484" s="267" t="s">
        <v>3928</v>
      </c>
      <c r="K484" s="267">
        <v>6512</v>
      </c>
      <c r="L484" s="267">
        <v>180601</v>
      </c>
      <c r="M484" s="267" t="s">
        <v>3940</v>
      </c>
      <c r="N484" s="267" t="s">
        <v>4582</v>
      </c>
      <c r="O484" s="267">
        <v>2214.17</v>
      </c>
      <c r="P484" s="267" t="s">
        <v>3930</v>
      </c>
      <c r="Q484" s="267" t="s">
        <v>3931</v>
      </c>
      <c r="R484" s="267">
        <v>7214.17</v>
      </c>
      <c r="S484" s="267">
        <v>34785.4</v>
      </c>
      <c r="T484" s="267">
        <v>41999.57</v>
      </c>
      <c r="U484" s="268" t="s">
        <v>3932</v>
      </c>
      <c r="V484" s="267" t="s">
        <v>944</v>
      </c>
    </row>
    <row r="485" spans="1:22" hidden="1" x14ac:dyDescent="0.25">
      <c r="A485" s="269">
        <v>43488</v>
      </c>
      <c r="B485" s="270">
        <v>2019</v>
      </c>
      <c r="C485" s="270">
        <v>2019</v>
      </c>
      <c r="D485" s="270">
        <v>1</v>
      </c>
      <c r="E485" s="270">
        <v>1</v>
      </c>
      <c r="F485" s="270" t="s">
        <v>944</v>
      </c>
      <c r="G485" s="270" t="s">
        <v>3926</v>
      </c>
      <c r="H485" s="270" t="s">
        <v>4583</v>
      </c>
      <c r="I485" s="270" t="s">
        <v>953</v>
      </c>
      <c r="J485" s="270" t="s">
        <v>3928</v>
      </c>
      <c r="K485" s="270">
        <v>6518</v>
      </c>
      <c r="L485" s="270">
        <v>166001</v>
      </c>
      <c r="M485" s="270" t="s">
        <v>3935</v>
      </c>
      <c r="N485" s="270" t="s">
        <v>3944</v>
      </c>
      <c r="O485" s="270">
        <v>2422.39</v>
      </c>
      <c r="P485" s="270" t="s">
        <v>3944</v>
      </c>
      <c r="Q485" s="270" t="s">
        <v>3944</v>
      </c>
      <c r="R485" s="270">
        <v>2422.39</v>
      </c>
      <c r="S485" s="270">
        <v>34616.01</v>
      </c>
      <c r="T485" s="270">
        <v>37038.400000000001</v>
      </c>
      <c r="U485" s="271" t="s">
        <v>3945</v>
      </c>
      <c r="V485" s="267" t="s">
        <v>944</v>
      </c>
    </row>
    <row r="486" spans="1:22" hidden="1" x14ac:dyDescent="0.25">
      <c r="A486" s="266">
        <v>43488</v>
      </c>
      <c r="B486" s="267">
        <v>2019</v>
      </c>
      <c r="C486" s="267">
        <v>2019</v>
      </c>
      <c r="D486" s="267">
        <v>1</v>
      </c>
      <c r="E486" s="267">
        <v>1</v>
      </c>
      <c r="F486" s="267" t="s">
        <v>944</v>
      </c>
      <c r="G486" s="267" t="s">
        <v>3926</v>
      </c>
      <c r="H486" s="267" t="s">
        <v>4584</v>
      </c>
      <c r="I486" s="267" t="s">
        <v>934</v>
      </c>
      <c r="J486" s="267" t="s">
        <v>3928</v>
      </c>
      <c r="K486" s="267">
        <v>6606</v>
      </c>
      <c r="L486" s="267">
        <v>72500</v>
      </c>
      <c r="M486" s="267" t="s">
        <v>3940</v>
      </c>
      <c r="N486" s="267" t="s">
        <v>3944</v>
      </c>
      <c r="O486" s="267">
        <v>876.86</v>
      </c>
      <c r="P486" s="267" t="s">
        <v>3944</v>
      </c>
      <c r="Q486" s="267" t="s">
        <v>3944</v>
      </c>
      <c r="R486" s="267">
        <v>876.86</v>
      </c>
      <c r="S486" s="267">
        <v>12234.25</v>
      </c>
      <c r="T486" s="267">
        <v>13111.11</v>
      </c>
      <c r="U486" s="268" t="s">
        <v>3945</v>
      </c>
      <c r="V486" s="267" t="s">
        <v>944</v>
      </c>
    </row>
    <row r="487" spans="1:22" hidden="1" x14ac:dyDescent="0.25">
      <c r="A487" s="269">
        <v>43488</v>
      </c>
      <c r="B487" s="270">
        <v>2019</v>
      </c>
      <c r="C487" s="270">
        <v>2019</v>
      </c>
      <c r="D487" s="270">
        <v>1</v>
      </c>
      <c r="E487" s="270">
        <v>1</v>
      </c>
      <c r="F487" s="270" t="s">
        <v>944</v>
      </c>
      <c r="G487" s="270" t="s">
        <v>3926</v>
      </c>
      <c r="H487" s="270" t="s">
        <v>4585</v>
      </c>
      <c r="I487" s="270" t="s">
        <v>3009</v>
      </c>
      <c r="J487" s="270" t="s">
        <v>3928</v>
      </c>
      <c r="K487" s="270">
        <v>6484</v>
      </c>
      <c r="L487" s="270">
        <v>110202</v>
      </c>
      <c r="M487" s="270" t="s">
        <v>3935</v>
      </c>
      <c r="N487" s="270" t="s">
        <v>3944</v>
      </c>
      <c r="O487" s="270">
        <v>1726.59</v>
      </c>
      <c r="P487" s="270" t="s">
        <v>3944</v>
      </c>
      <c r="Q487" s="270" t="s">
        <v>3944</v>
      </c>
      <c r="R487" s="270">
        <v>1726.59</v>
      </c>
      <c r="S487" s="270">
        <v>27921.74</v>
      </c>
      <c r="T487" s="270">
        <v>29648.33</v>
      </c>
      <c r="U487" s="271" t="s">
        <v>3945</v>
      </c>
      <c r="V487" s="267" t="s">
        <v>944</v>
      </c>
    </row>
    <row r="488" spans="1:22" hidden="1" x14ac:dyDescent="0.25">
      <c r="A488" s="266">
        <v>43488</v>
      </c>
      <c r="B488" s="267">
        <v>2019</v>
      </c>
      <c r="C488" s="267">
        <v>2019</v>
      </c>
      <c r="D488" s="267">
        <v>1</v>
      </c>
      <c r="E488" s="267">
        <v>1</v>
      </c>
      <c r="F488" s="267" t="s">
        <v>944</v>
      </c>
      <c r="G488" s="267" t="s">
        <v>3926</v>
      </c>
      <c r="H488" s="267" t="s">
        <v>4586</v>
      </c>
      <c r="I488" s="267" t="s">
        <v>4042</v>
      </c>
      <c r="J488" s="267" t="s">
        <v>3928</v>
      </c>
      <c r="K488" s="267">
        <v>6382</v>
      </c>
      <c r="L488" s="267">
        <v>695201</v>
      </c>
      <c r="M488" s="267" t="s">
        <v>3935</v>
      </c>
      <c r="N488" s="267" t="s">
        <v>3944</v>
      </c>
      <c r="O488" s="267">
        <v>1118.71</v>
      </c>
      <c r="P488" s="267" t="s">
        <v>3944</v>
      </c>
      <c r="Q488" s="267" t="s">
        <v>3944</v>
      </c>
      <c r="R488" s="267">
        <v>1118.71</v>
      </c>
      <c r="S488" s="267">
        <v>15812.99</v>
      </c>
      <c r="T488" s="267">
        <v>16931.7</v>
      </c>
      <c r="U488" s="268" t="s">
        <v>3945</v>
      </c>
      <c r="V488" s="267" t="s">
        <v>944</v>
      </c>
    </row>
    <row r="489" spans="1:22" hidden="1" x14ac:dyDescent="0.25">
      <c r="A489" s="269">
        <v>43488</v>
      </c>
      <c r="B489" s="270">
        <v>2019</v>
      </c>
      <c r="C489" s="270">
        <v>2019</v>
      </c>
      <c r="D489" s="270">
        <v>1</v>
      </c>
      <c r="E489" s="270">
        <v>1</v>
      </c>
      <c r="F489" s="270" t="s">
        <v>944</v>
      </c>
      <c r="G489" s="270" t="s">
        <v>3926</v>
      </c>
      <c r="H489" s="270" t="s">
        <v>4587</v>
      </c>
      <c r="I489" s="270" t="s">
        <v>4548</v>
      </c>
      <c r="J489" s="270" t="s">
        <v>3928</v>
      </c>
      <c r="K489" s="270">
        <v>6037</v>
      </c>
      <c r="L489" s="270">
        <v>400300</v>
      </c>
      <c r="M489" s="270" t="s">
        <v>3960</v>
      </c>
      <c r="N489" s="270" t="s">
        <v>3944</v>
      </c>
      <c r="O489" s="270">
        <v>1548.02</v>
      </c>
      <c r="P489" s="270" t="s">
        <v>3944</v>
      </c>
      <c r="Q489" s="270" t="s">
        <v>3944</v>
      </c>
      <c r="R489" s="270">
        <v>1548.02</v>
      </c>
      <c r="S489" s="270">
        <v>25483.63</v>
      </c>
      <c r="T489" s="270">
        <v>27031.65</v>
      </c>
      <c r="U489" s="271" t="s">
        <v>3945</v>
      </c>
      <c r="V489" s="267" t="s">
        <v>944</v>
      </c>
    </row>
    <row r="490" spans="1:22" hidden="1" x14ac:dyDescent="0.25">
      <c r="A490" s="266">
        <v>43488</v>
      </c>
      <c r="B490" s="267">
        <v>2019</v>
      </c>
      <c r="C490" s="267">
        <v>2019</v>
      </c>
      <c r="D490" s="267">
        <v>1</v>
      </c>
      <c r="E490" s="267">
        <v>1</v>
      </c>
      <c r="F490" s="267" t="s">
        <v>944</v>
      </c>
      <c r="G490" s="267" t="s">
        <v>3926</v>
      </c>
      <c r="H490" s="267" t="s">
        <v>4588</v>
      </c>
      <c r="I490" s="267" t="s">
        <v>3966</v>
      </c>
      <c r="J490" s="267" t="s">
        <v>3928</v>
      </c>
      <c r="K490" s="267">
        <v>6010</v>
      </c>
      <c r="L490" s="267">
        <v>406100</v>
      </c>
      <c r="M490" s="267">
        <v>-60</v>
      </c>
      <c r="N490" s="267" t="s">
        <v>3944</v>
      </c>
      <c r="O490" s="267">
        <v>4580.5600000000004</v>
      </c>
      <c r="P490" s="267" t="s">
        <v>3944</v>
      </c>
      <c r="Q490" s="267" t="s">
        <v>3944</v>
      </c>
      <c r="R490" s="267">
        <v>4580.5600000000004</v>
      </c>
      <c r="S490" s="267">
        <v>63628.68</v>
      </c>
      <c r="T490" s="267">
        <v>68209.240000000005</v>
      </c>
      <c r="U490" s="268" t="s">
        <v>3945</v>
      </c>
      <c r="V490" s="267" t="s">
        <v>944</v>
      </c>
    </row>
    <row r="491" spans="1:22" hidden="1" x14ac:dyDescent="0.25">
      <c r="A491" s="269">
        <v>43488</v>
      </c>
      <c r="B491" s="270">
        <v>2019</v>
      </c>
      <c r="C491" s="270">
        <v>2019</v>
      </c>
      <c r="D491" s="270">
        <v>1</v>
      </c>
      <c r="E491" s="270">
        <v>1</v>
      </c>
      <c r="F491" s="270" t="s">
        <v>944</v>
      </c>
      <c r="G491" s="270" t="s">
        <v>3926</v>
      </c>
      <c r="H491" s="270" t="s">
        <v>4589</v>
      </c>
      <c r="I491" s="270" t="s">
        <v>4170</v>
      </c>
      <c r="J491" s="270" t="s">
        <v>3928</v>
      </c>
      <c r="K491" s="270">
        <v>6498</v>
      </c>
      <c r="L491" s="270">
        <v>680100</v>
      </c>
      <c r="M491" s="270" t="s">
        <v>3935</v>
      </c>
      <c r="N491" s="270" t="s">
        <v>3944</v>
      </c>
      <c r="O491" s="270">
        <v>1686.97</v>
      </c>
      <c r="P491" s="270" t="s">
        <v>3944</v>
      </c>
      <c r="Q491" s="270" t="s">
        <v>3944</v>
      </c>
      <c r="R491" s="270">
        <v>1686.97</v>
      </c>
      <c r="S491" s="270">
        <v>19843.61</v>
      </c>
      <c r="T491" s="270">
        <v>21530.58</v>
      </c>
      <c r="U491" s="271" t="s">
        <v>3945</v>
      </c>
      <c r="V491" s="267" t="s">
        <v>944</v>
      </c>
    </row>
    <row r="492" spans="1:22" hidden="1" x14ac:dyDescent="0.25">
      <c r="A492" s="266">
        <v>43488</v>
      </c>
      <c r="B492" s="267">
        <v>2019</v>
      </c>
      <c r="C492" s="267">
        <v>2019</v>
      </c>
      <c r="D492" s="267">
        <v>1</v>
      </c>
      <c r="E492" s="267">
        <v>1</v>
      </c>
      <c r="F492" s="267" t="s">
        <v>944</v>
      </c>
      <c r="G492" s="267" t="s">
        <v>3926</v>
      </c>
      <c r="H492" s="267" t="s">
        <v>4590</v>
      </c>
      <c r="I492" s="267" t="s">
        <v>4011</v>
      </c>
      <c r="J492" s="267" t="s">
        <v>3928</v>
      </c>
      <c r="K492" s="267">
        <v>6002</v>
      </c>
      <c r="L492" s="267">
        <v>471500</v>
      </c>
      <c r="M492" s="267" t="s">
        <v>3935</v>
      </c>
      <c r="N492" s="267" t="s">
        <v>3944</v>
      </c>
      <c r="O492" s="267">
        <v>2386.3000000000002</v>
      </c>
      <c r="P492" s="267" t="s">
        <v>3944</v>
      </c>
      <c r="Q492" s="267" t="s">
        <v>3944</v>
      </c>
      <c r="R492" s="267">
        <v>2386.3000000000002</v>
      </c>
      <c r="S492" s="267">
        <v>30988.639999999999</v>
      </c>
      <c r="T492" s="267">
        <v>33374.94</v>
      </c>
      <c r="U492" s="268" t="s">
        <v>3945</v>
      </c>
      <c r="V492" s="267" t="s">
        <v>944</v>
      </c>
    </row>
    <row r="493" spans="1:22" hidden="1" x14ac:dyDescent="0.25">
      <c r="A493" s="269">
        <v>43488</v>
      </c>
      <c r="B493" s="270">
        <v>2019</v>
      </c>
      <c r="C493" s="270">
        <v>2019</v>
      </c>
      <c r="D493" s="270">
        <v>1</v>
      </c>
      <c r="E493" s="270">
        <v>1</v>
      </c>
      <c r="F493" s="270" t="s">
        <v>944</v>
      </c>
      <c r="G493" s="270" t="s">
        <v>3926</v>
      </c>
      <c r="H493" s="270" t="s">
        <v>4591</v>
      </c>
      <c r="I493" s="270" t="s">
        <v>4548</v>
      </c>
      <c r="J493" s="270" t="s">
        <v>3928</v>
      </c>
      <c r="K493" s="270">
        <v>6037</v>
      </c>
      <c r="L493" s="270">
        <v>400100</v>
      </c>
      <c r="M493" s="270" t="s">
        <v>3935</v>
      </c>
      <c r="N493" s="270" t="s">
        <v>3944</v>
      </c>
      <c r="O493" s="270">
        <v>2692.2</v>
      </c>
      <c r="P493" s="270" t="s">
        <v>3944</v>
      </c>
      <c r="Q493" s="270" t="s">
        <v>3944</v>
      </c>
      <c r="R493" s="270">
        <v>2692.2</v>
      </c>
      <c r="S493" s="270">
        <v>36100.68</v>
      </c>
      <c r="T493" s="270">
        <v>38792.879999999997</v>
      </c>
      <c r="U493" s="271" t="s">
        <v>3945</v>
      </c>
      <c r="V493" s="267" t="s">
        <v>944</v>
      </c>
    </row>
    <row r="494" spans="1:22" hidden="1" x14ac:dyDescent="0.25">
      <c r="A494" s="266">
        <v>43488</v>
      </c>
      <c r="B494" s="267">
        <v>2019</v>
      </c>
      <c r="C494" s="267">
        <v>2019</v>
      </c>
      <c r="D494" s="267">
        <v>1</v>
      </c>
      <c r="E494" s="267">
        <v>1</v>
      </c>
      <c r="F494" s="267" t="s">
        <v>944</v>
      </c>
      <c r="G494" s="267" t="s">
        <v>3926</v>
      </c>
      <c r="H494" s="267" t="s">
        <v>4592</v>
      </c>
      <c r="I494" s="267" t="s">
        <v>4031</v>
      </c>
      <c r="J494" s="267" t="s">
        <v>3928</v>
      </c>
      <c r="K494" s="267">
        <v>6254</v>
      </c>
      <c r="L494" s="267">
        <v>712100</v>
      </c>
      <c r="M494" s="267" t="s">
        <v>3960</v>
      </c>
      <c r="N494" s="267" t="s">
        <v>3944</v>
      </c>
      <c r="O494" s="267">
        <v>2096.5700000000002</v>
      </c>
      <c r="P494" s="267" t="s">
        <v>3944</v>
      </c>
      <c r="Q494" s="267" t="s">
        <v>3944</v>
      </c>
      <c r="R494" s="267">
        <v>2096.5700000000002</v>
      </c>
      <c r="S494" s="267">
        <v>28480.16</v>
      </c>
      <c r="T494" s="267">
        <v>30576.73</v>
      </c>
      <c r="U494" s="268" t="s">
        <v>3945</v>
      </c>
      <c r="V494" s="267" t="s">
        <v>944</v>
      </c>
    </row>
    <row r="495" spans="1:22" hidden="1" x14ac:dyDescent="0.25">
      <c r="A495" s="269">
        <v>43488</v>
      </c>
      <c r="B495" s="270">
        <v>2019</v>
      </c>
      <c r="C495" s="270">
        <v>2019</v>
      </c>
      <c r="D495" s="270">
        <v>1</v>
      </c>
      <c r="E495" s="270">
        <v>1</v>
      </c>
      <c r="F495" s="270" t="s">
        <v>944</v>
      </c>
      <c r="G495" s="270" t="s">
        <v>3926</v>
      </c>
      <c r="H495" s="270" t="s">
        <v>4593</v>
      </c>
      <c r="I495" s="270" t="s">
        <v>4594</v>
      </c>
      <c r="J495" s="270" t="s">
        <v>3928</v>
      </c>
      <c r="K495" s="270">
        <v>6488</v>
      </c>
      <c r="L495" s="270">
        <v>348111</v>
      </c>
      <c r="M495" s="270" t="s">
        <v>3943</v>
      </c>
      <c r="N495" s="270" t="s">
        <v>3944</v>
      </c>
      <c r="O495" s="270">
        <v>3766.95</v>
      </c>
      <c r="P495" s="270" t="s">
        <v>3944</v>
      </c>
      <c r="Q495" s="270" t="s">
        <v>3944</v>
      </c>
      <c r="R495" s="270">
        <v>3766.95</v>
      </c>
      <c r="S495" s="270">
        <v>50024.7</v>
      </c>
      <c r="T495" s="270">
        <v>53791.65</v>
      </c>
      <c r="U495" s="271" t="s">
        <v>3945</v>
      </c>
      <c r="V495" s="267" t="s">
        <v>944</v>
      </c>
    </row>
    <row r="496" spans="1:22" hidden="1" x14ac:dyDescent="0.25">
      <c r="A496" s="266">
        <v>43488</v>
      </c>
      <c r="B496" s="267">
        <v>2019</v>
      </c>
      <c r="C496" s="267">
        <v>2019</v>
      </c>
      <c r="D496" s="267">
        <v>1</v>
      </c>
      <c r="E496" s="267">
        <v>1</v>
      </c>
      <c r="F496" s="267" t="s">
        <v>944</v>
      </c>
      <c r="G496" s="267" t="s">
        <v>3926</v>
      </c>
      <c r="H496" s="267" t="s">
        <v>4595</v>
      </c>
      <c r="I496" s="267" t="s">
        <v>2985</v>
      </c>
      <c r="J496" s="267" t="s">
        <v>3928</v>
      </c>
      <c r="K496" s="267">
        <v>6890</v>
      </c>
      <c r="L496" s="267">
        <v>60600</v>
      </c>
      <c r="M496" s="267" t="s">
        <v>3943</v>
      </c>
      <c r="N496" s="267" t="s">
        <v>3944</v>
      </c>
      <c r="O496" s="267">
        <v>2986.31</v>
      </c>
      <c r="P496" s="267" t="s">
        <v>3944</v>
      </c>
      <c r="Q496" s="267" t="s">
        <v>3944</v>
      </c>
      <c r="R496" s="267">
        <v>2986.31</v>
      </c>
      <c r="S496" s="267">
        <v>47618.86</v>
      </c>
      <c r="T496" s="267">
        <v>50605.17</v>
      </c>
      <c r="U496" s="268" t="s">
        <v>3945</v>
      </c>
      <c r="V496" s="267" t="s">
        <v>944</v>
      </c>
    </row>
    <row r="497" spans="1:22" hidden="1" x14ac:dyDescent="0.25">
      <c r="A497" s="269">
        <v>43488</v>
      </c>
      <c r="B497" s="270">
        <v>2019</v>
      </c>
      <c r="C497" s="270">
        <v>2019</v>
      </c>
      <c r="D497" s="270">
        <v>1</v>
      </c>
      <c r="E497" s="270">
        <v>1</v>
      </c>
      <c r="F497" s="270" t="s">
        <v>944</v>
      </c>
      <c r="G497" s="270" t="s">
        <v>3926</v>
      </c>
      <c r="H497" s="270" t="s">
        <v>4596</v>
      </c>
      <c r="I497" s="270" t="s">
        <v>3999</v>
      </c>
      <c r="J497" s="270" t="s">
        <v>3928</v>
      </c>
      <c r="K497" s="270">
        <v>6450</v>
      </c>
      <c r="L497" s="270">
        <v>171300</v>
      </c>
      <c r="M497" s="270" t="s">
        <v>3935</v>
      </c>
      <c r="N497" s="270" t="s">
        <v>3944</v>
      </c>
      <c r="O497" s="270">
        <v>1099.21</v>
      </c>
      <c r="P497" s="270" t="s">
        <v>3944</v>
      </c>
      <c r="Q497" s="270" t="s">
        <v>3944</v>
      </c>
      <c r="R497" s="270">
        <v>1099.21</v>
      </c>
      <c r="S497" s="270">
        <v>14698.06</v>
      </c>
      <c r="T497" s="270">
        <v>15797.27</v>
      </c>
      <c r="U497" s="271" t="s">
        <v>3945</v>
      </c>
      <c r="V497" s="267" t="s">
        <v>944</v>
      </c>
    </row>
    <row r="498" spans="1:22" hidden="1" x14ac:dyDescent="0.25">
      <c r="A498" s="266">
        <v>43488</v>
      </c>
      <c r="B498" s="267">
        <v>2019</v>
      </c>
      <c r="C498" s="267">
        <v>2019</v>
      </c>
      <c r="D498" s="267">
        <v>1</v>
      </c>
      <c r="E498" s="267">
        <v>1</v>
      </c>
      <c r="F498" s="267" t="s">
        <v>944</v>
      </c>
      <c r="G498" s="267" t="s">
        <v>3926</v>
      </c>
      <c r="H498" s="267" t="s">
        <v>4597</v>
      </c>
      <c r="I498" s="267" t="s">
        <v>4323</v>
      </c>
      <c r="J498" s="267" t="s">
        <v>3928</v>
      </c>
      <c r="K498" s="267">
        <v>6385</v>
      </c>
      <c r="L498" s="267">
        <v>693300</v>
      </c>
      <c r="M498" s="267" t="s">
        <v>3935</v>
      </c>
      <c r="N498" s="267" t="s">
        <v>3944</v>
      </c>
      <c r="O498" s="267">
        <v>1231.93</v>
      </c>
      <c r="P498" s="267" t="s">
        <v>3944</v>
      </c>
      <c r="Q498" s="267" t="s">
        <v>3944</v>
      </c>
      <c r="R498" s="267">
        <v>1231.93</v>
      </c>
      <c r="S498" s="267">
        <v>17319.57</v>
      </c>
      <c r="T498" s="267">
        <v>18551.5</v>
      </c>
      <c r="U498" s="268" t="s">
        <v>3945</v>
      </c>
      <c r="V498" s="267" t="s">
        <v>944</v>
      </c>
    </row>
    <row r="499" spans="1:22" hidden="1" x14ac:dyDescent="0.25">
      <c r="A499" s="269">
        <v>43488</v>
      </c>
      <c r="B499" s="270">
        <v>2019</v>
      </c>
      <c r="C499" s="270">
        <v>2019</v>
      </c>
      <c r="D499" s="270">
        <v>1</v>
      </c>
      <c r="E499" s="270">
        <v>1</v>
      </c>
      <c r="F499" s="270" t="s">
        <v>944</v>
      </c>
      <c r="G499" s="270" t="s">
        <v>3926</v>
      </c>
      <c r="H499" s="270" t="s">
        <v>4598</v>
      </c>
      <c r="I499" s="270" t="s">
        <v>934</v>
      </c>
      <c r="J499" s="270" t="s">
        <v>3928</v>
      </c>
      <c r="K499" s="270">
        <v>6606</v>
      </c>
      <c r="L499" s="270">
        <v>72500</v>
      </c>
      <c r="M499" s="270" t="s">
        <v>3940</v>
      </c>
      <c r="N499" s="270" t="s">
        <v>3944</v>
      </c>
      <c r="O499" s="270">
        <v>2581.88</v>
      </c>
      <c r="P499" s="270" t="s">
        <v>3944</v>
      </c>
      <c r="Q499" s="270" t="s">
        <v>3944</v>
      </c>
      <c r="R499" s="270">
        <v>2581.88</v>
      </c>
      <c r="S499" s="270">
        <v>38998.120000000003</v>
      </c>
      <c r="T499" s="270">
        <v>41580</v>
      </c>
      <c r="U499" s="271" t="s">
        <v>3945</v>
      </c>
      <c r="V499" s="267" t="s">
        <v>944</v>
      </c>
    </row>
    <row r="500" spans="1:22" hidden="1" x14ac:dyDescent="0.25">
      <c r="A500" s="266">
        <v>43488</v>
      </c>
      <c r="B500" s="267">
        <v>2019</v>
      </c>
      <c r="C500" s="267">
        <v>2019</v>
      </c>
      <c r="D500" s="267">
        <v>1</v>
      </c>
      <c r="E500" s="267">
        <v>1</v>
      </c>
      <c r="F500" s="267" t="s">
        <v>944</v>
      </c>
      <c r="G500" s="267" t="s">
        <v>3926</v>
      </c>
      <c r="H500" s="267" t="s">
        <v>4599</v>
      </c>
      <c r="I500" s="267" t="s">
        <v>3956</v>
      </c>
      <c r="J500" s="267" t="s">
        <v>3928</v>
      </c>
      <c r="K500" s="267">
        <v>6106</v>
      </c>
      <c r="L500" s="267">
        <v>504500</v>
      </c>
      <c r="M500" s="267">
        <v>-60</v>
      </c>
      <c r="N500" s="267" t="s">
        <v>3944</v>
      </c>
      <c r="O500" s="267">
        <v>877.49</v>
      </c>
      <c r="P500" s="267" t="s">
        <v>3944</v>
      </c>
      <c r="Q500" s="267" t="s">
        <v>3944</v>
      </c>
      <c r="R500" s="267">
        <v>877.49</v>
      </c>
      <c r="S500" s="267">
        <v>13503.73</v>
      </c>
      <c r="T500" s="267">
        <v>14381.22</v>
      </c>
      <c r="U500" s="268" t="s">
        <v>3945</v>
      </c>
      <c r="V500" s="267" t="s">
        <v>944</v>
      </c>
    </row>
    <row r="501" spans="1:22" hidden="1" x14ac:dyDescent="0.25">
      <c r="A501" s="269">
        <v>43488</v>
      </c>
      <c r="B501" s="270">
        <v>2019</v>
      </c>
      <c r="C501" s="270">
        <v>2019</v>
      </c>
      <c r="D501" s="270">
        <v>1</v>
      </c>
      <c r="E501" s="270">
        <v>1</v>
      </c>
      <c r="F501" s="270" t="s">
        <v>944</v>
      </c>
      <c r="G501" s="270" t="s">
        <v>3926</v>
      </c>
      <c r="H501" s="270" t="s">
        <v>4600</v>
      </c>
      <c r="I501" s="270" t="s">
        <v>3964</v>
      </c>
      <c r="J501" s="270" t="s">
        <v>3928</v>
      </c>
      <c r="K501" s="270">
        <v>6033</v>
      </c>
      <c r="L501" s="270">
        <v>520201</v>
      </c>
      <c r="M501" s="270" t="s">
        <v>3943</v>
      </c>
      <c r="N501" s="270" t="s">
        <v>3944</v>
      </c>
      <c r="O501" s="270">
        <v>2932.16</v>
      </c>
      <c r="P501" s="270" t="s">
        <v>3944</v>
      </c>
      <c r="Q501" s="270" t="s">
        <v>3944</v>
      </c>
      <c r="R501" s="270">
        <v>2932.16</v>
      </c>
      <c r="S501" s="270">
        <v>37918</v>
      </c>
      <c r="T501" s="270">
        <v>40850.160000000003</v>
      </c>
      <c r="U501" s="271" t="s">
        <v>3945</v>
      </c>
      <c r="V501" s="267" t="s">
        <v>944</v>
      </c>
    </row>
    <row r="502" spans="1:22" x14ac:dyDescent="0.25">
      <c r="A502" s="266">
        <v>43488</v>
      </c>
      <c r="B502" s="267">
        <v>2019</v>
      </c>
      <c r="C502" s="267">
        <v>2019</v>
      </c>
      <c r="D502" s="267">
        <v>1</v>
      </c>
      <c r="E502" s="267">
        <v>1</v>
      </c>
      <c r="F502" s="267" t="s">
        <v>944</v>
      </c>
      <c r="G502" s="267" t="s">
        <v>3926</v>
      </c>
      <c r="H502" s="267" t="s">
        <v>4601</v>
      </c>
      <c r="I502" s="267" t="s">
        <v>934</v>
      </c>
      <c r="J502" s="267" t="s">
        <v>3928</v>
      </c>
      <c r="K502" s="267">
        <v>6606</v>
      </c>
      <c r="L502" s="267">
        <v>72000</v>
      </c>
      <c r="M502" s="267" t="s">
        <v>3940</v>
      </c>
      <c r="N502" s="267" t="s">
        <v>3944</v>
      </c>
      <c r="O502" s="267">
        <v>688.56</v>
      </c>
      <c r="P502" s="267" t="s">
        <v>3944</v>
      </c>
      <c r="Q502" s="267" t="s">
        <v>3944</v>
      </c>
      <c r="R502" s="267">
        <v>688.56</v>
      </c>
      <c r="S502" s="267">
        <v>9692.5300000000007</v>
      </c>
      <c r="T502" s="267">
        <v>10381.09</v>
      </c>
      <c r="U502" s="268" t="s">
        <v>3945</v>
      </c>
      <c r="V502" s="276" t="s">
        <v>936</v>
      </c>
    </row>
    <row r="503" spans="1:22" hidden="1" x14ac:dyDescent="0.25">
      <c r="A503" s="269">
        <v>43488</v>
      </c>
      <c r="B503" s="270">
        <v>2019</v>
      </c>
      <c r="C503" s="270">
        <v>2019</v>
      </c>
      <c r="D503" s="270">
        <v>1</v>
      </c>
      <c r="E503" s="270">
        <v>1</v>
      </c>
      <c r="F503" s="270" t="s">
        <v>944</v>
      </c>
      <c r="G503" s="270" t="s">
        <v>3926</v>
      </c>
      <c r="H503" s="270" t="s">
        <v>4602</v>
      </c>
      <c r="I503" s="270" t="s">
        <v>4129</v>
      </c>
      <c r="J503" s="270" t="s">
        <v>3928</v>
      </c>
      <c r="K503" s="270">
        <v>6259</v>
      </c>
      <c r="L503" s="270">
        <v>902500</v>
      </c>
      <c r="M503" s="270" t="s">
        <v>3960</v>
      </c>
      <c r="N503" s="270" t="s">
        <v>3944</v>
      </c>
      <c r="O503" s="270">
        <v>2295.48</v>
      </c>
      <c r="P503" s="270" t="s">
        <v>3944</v>
      </c>
      <c r="Q503" s="270" t="s">
        <v>3944</v>
      </c>
      <c r="R503" s="270">
        <v>2295.48</v>
      </c>
      <c r="S503" s="270">
        <v>32239.38</v>
      </c>
      <c r="T503" s="270">
        <v>34534.86</v>
      </c>
      <c r="U503" s="271" t="s">
        <v>3945</v>
      </c>
      <c r="V503" s="267" t="s">
        <v>944</v>
      </c>
    </row>
    <row r="504" spans="1:22" hidden="1" x14ac:dyDescent="0.25">
      <c r="A504" s="266">
        <v>43488</v>
      </c>
      <c r="B504" s="267">
        <v>2019</v>
      </c>
      <c r="C504" s="267">
        <v>2019</v>
      </c>
      <c r="D504" s="267">
        <v>1</v>
      </c>
      <c r="E504" s="267">
        <v>1</v>
      </c>
      <c r="F504" s="267" t="s">
        <v>944</v>
      </c>
      <c r="G504" s="267" t="s">
        <v>3926</v>
      </c>
      <c r="H504" s="267" t="s">
        <v>4603</v>
      </c>
      <c r="I504" s="267" t="s">
        <v>3939</v>
      </c>
      <c r="J504" s="267" t="s">
        <v>3928</v>
      </c>
      <c r="K504" s="267">
        <v>6512</v>
      </c>
      <c r="L504" s="267">
        <v>180300</v>
      </c>
      <c r="M504" s="267">
        <v>-60</v>
      </c>
      <c r="N504" s="267" t="s">
        <v>3944</v>
      </c>
      <c r="O504" s="267">
        <v>2585.21</v>
      </c>
      <c r="P504" s="267" t="s">
        <v>3944</v>
      </c>
      <c r="Q504" s="267" t="s">
        <v>3944</v>
      </c>
      <c r="R504" s="267">
        <v>2585.21</v>
      </c>
      <c r="S504" s="267">
        <v>36730.660000000003</v>
      </c>
      <c r="T504" s="267">
        <v>39315.870000000003</v>
      </c>
      <c r="U504" s="268" t="s">
        <v>3945</v>
      </c>
      <c r="V504" s="267" t="s">
        <v>944</v>
      </c>
    </row>
    <row r="505" spans="1:22" hidden="1" x14ac:dyDescent="0.25">
      <c r="A505" s="269">
        <v>43488</v>
      </c>
      <c r="B505" s="270">
        <v>2019</v>
      </c>
      <c r="C505" s="270">
        <v>2019</v>
      </c>
      <c r="D505" s="270">
        <v>1</v>
      </c>
      <c r="E505" s="270">
        <v>1</v>
      </c>
      <c r="F505" s="270" t="s">
        <v>944</v>
      </c>
      <c r="G505" s="270" t="s">
        <v>3926</v>
      </c>
      <c r="H505" s="270" t="s">
        <v>4604</v>
      </c>
      <c r="I505" s="270" t="s">
        <v>4200</v>
      </c>
      <c r="J505" s="270" t="s">
        <v>3928</v>
      </c>
      <c r="K505" s="270">
        <v>6779</v>
      </c>
      <c r="L505" s="270">
        <v>360300</v>
      </c>
      <c r="M505" s="270" t="s">
        <v>3935</v>
      </c>
      <c r="N505" s="270" t="s">
        <v>3944</v>
      </c>
      <c r="O505" s="270">
        <v>3663.66</v>
      </c>
      <c r="P505" s="270" t="s">
        <v>3944</v>
      </c>
      <c r="Q505" s="270" t="s">
        <v>3944</v>
      </c>
      <c r="R505" s="270">
        <v>3663.66</v>
      </c>
      <c r="S505" s="270">
        <v>51297.67</v>
      </c>
      <c r="T505" s="270">
        <v>54961.33</v>
      </c>
      <c r="U505" s="271" t="s">
        <v>3945</v>
      </c>
      <c r="V505" s="267" t="s">
        <v>944</v>
      </c>
    </row>
    <row r="506" spans="1:22" hidden="1" x14ac:dyDescent="0.25">
      <c r="A506" s="266">
        <v>43488</v>
      </c>
      <c r="B506" s="267">
        <v>2019</v>
      </c>
      <c r="C506" s="267">
        <v>2019</v>
      </c>
      <c r="D506" s="267">
        <v>1</v>
      </c>
      <c r="E506" s="267">
        <v>1</v>
      </c>
      <c r="F506" s="267" t="s">
        <v>944</v>
      </c>
      <c r="G506" s="267" t="s">
        <v>3926</v>
      </c>
      <c r="H506" s="267" t="s">
        <v>4605</v>
      </c>
      <c r="I506" s="267" t="s">
        <v>4323</v>
      </c>
      <c r="J506" s="267" t="s">
        <v>3928</v>
      </c>
      <c r="K506" s="267">
        <v>6385</v>
      </c>
      <c r="L506" s="267">
        <v>693700</v>
      </c>
      <c r="M506" s="267" t="s">
        <v>3943</v>
      </c>
      <c r="N506" s="267" t="s">
        <v>3944</v>
      </c>
      <c r="O506" s="267">
        <v>1202.8800000000001</v>
      </c>
      <c r="P506" s="267" t="s">
        <v>3944</v>
      </c>
      <c r="Q506" s="267" t="s">
        <v>3944</v>
      </c>
      <c r="R506" s="267">
        <v>1202.8800000000001</v>
      </c>
      <c r="S506" s="267">
        <v>17784.43</v>
      </c>
      <c r="T506" s="267">
        <v>18987.310000000001</v>
      </c>
      <c r="U506" s="268" t="s">
        <v>3945</v>
      </c>
      <c r="V506" s="267" t="s">
        <v>944</v>
      </c>
    </row>
    <row r="507" spans="1:22" hidden="1" x14ac:dyDescent="0.25">
      <c r="A507" s="269">
        <v>43488</v>
      </c>
      <c r="B507" s="270">
        <v>2019</v>
      </c>
      <c r="C507" s="270">
        <v>2019</v>
      </c>
      <c r="D507" s="270">
        <v>1</v>
      </c>
      <c r="E507" s="270">
        <v>1</v>
      </c>
      <c r="F507" s="270" t="s">
        <v>944</v>
      </c>
      <c r="G507" s="270" t="s">
        <v>3926</v>
      </c>
      <c r="H507" s="270" t="s">
        <v>4606</v>
      </c>
      <c r="I507" s="270" t="s">
        <v>3962</v>
      </c>
      <c r="J507" s="270" t="s">
        <v>3928</v>
      </c>
      <c r="K507" s="270">
        <v>6379</v>
      </c>
      <c r="L507" s="270">
        <v>705101</v>
      </c>
      <c r="M507" s="270" t="s">
        <v>3935</v>
      </c>
      <c r="N507" s="270" t="s">
        <v>3944</v>
      </c>
      <c r="O507" s="270">
        <v>1189.2</v>
      </c>
      <c r="P507" s="270" t="s">
        <v>3944</v>
      </c>
      <c r="Q507" s="270" t="s">
        <v>3944</v>
      </c>
      <c r="R507" s="270">
        <v>1189.2</v>
      </c>
      <c r="S507" s="270">
        <v>17160.63</v>
      </c>
      <c r="T507" s="270">
        <v>18349.830000000002</v>
      </c>
      <c r="U507" s="271" t="s">
        <v>3945</v>
      </c>
      <c r="V507" s="267" t="s">
        <v>944</v>
      </c>
    </row>
    <row r="508" spans="1:22" hidden="1" x14ac:dyDescent="0.25">
      <c r="A508" s="266">
        <v>43488</v>
      </c>
      <c r="B508" s="267">
        <v>2019</v>
      </c>
      <c r="C508" s="267">
        <v>2019</v>
      </c>
      <c r="D508" s="267">
        <v>1</v>
      </c>
      <c r="E508" s="267">
        <v>1</v>
      </c>
      <c r="F508" s="267" t="s">
        <v>944</v>
      </c>
      <c r="G508" s="267" t="s">
        <v>3926</v>
      </c>
      <c r="H508" s="267" t="s">
        <v>4607</v>
      </c>
      <c r="I508" s="267" t="s">
        <v>4323</v>
      </c>
      <c r="J508" s="267" t="s">
        <v>3928</v>
      </c>
      <c r="K508" s="267">
        <v>6385</v>
      </c>
      <c r="L508" s="267">
        <v>693400</v>
      </c>
      <c r="M508" s="267" t="s">
        <v>3940</v>
      </c>
      <c r="N508" s="267" t="s">
        <v>3944</v>
      </c>
      <c r="O508" s="267">
        <v>1134.46</v>
      </c>
      <c r="P508" s="267" t="s">
        <v>3944</v>
      </c>
      <c r="Q508" s="267" t="s">
        <v>3944</v>
      </c>
      <c r="R508" s="267">
        <v>1134.46</v>
      </c>
      <c r="S508" s="267">
        <v>16687.849999999999</v>
      </c>
      <c r="T508" s="267">
        <v>17822.310000000001</v>
      </c>
      <c r="U508" s="268" t="s">
        <v>3945</v>
      </c>
      <c r="V508" s="267" t="s">
        <v>944</v>
      </c>
    </row>
    <row r="509" spans="1:22" hidden="1" x14ac:dyDescent="0.25">
      <c r="A509" s="269">
        <v>43488</v>
      </c>
      <c r="B509" s="270">
        <v>2019</v>
      </c>
      <c r="C509" s="270">
        <v>2019</v>
      </c>
      <c r="D509" s="270">
        <v>1</v>
      </c>
      <c r="E509" s="270">
        <v>1</v>
      </c>
      <c r="F509" s="270" t="s">
        <v>944</v>
      </c>
      <c r="G509" s="270" t="s">
        <v>3926</v>
      </c>
      <c r="H509" s="270" t="s">
        <v>4608</v>
      </c>
      <c r="I509" s="270" t="s">
        <v>953</v>
      </c>
      <c r="J509" s="270" t="s">
        <v>3928</v>
      </c>
      <c r="K509" s="270">
        <v>6518</v>
      </c>
      <c r="L509" s="270">
        <v>166001</v>
      </c>
      <c r="M509" s="270" t="s">
        <v>3935</v>
      </c>
      <c r="N509" s="270" t="s">
        <v>3944</v>
      </c>
      <c r="O509" s="270">
        <v>2278.2600000000002</v>
      </c>
      <c r="P509" s="270" t="s">
        <v>3944</v>
      </c>
      <c r="Q509" s="270" t="s">
        <v>3944</v>
      </c>
      <c r="R509" s="270">
        <v>2278.2600000000002</v>
      </c>
      <c r="S509" s="270">
        <v>36234.129999999997</v>
      </c>
      <c r="T509" s="270">
        <v>38512.39</v>
      </c>
      <c r="U509" s="271" t="s">
        <v>3945</v>
      </c>
      <c r="V509" s="267" t="s">
        <v>944</v>
      </c>
    </row>
    <row r="510" spans="1:22" hidden="1" x14ac:dyDescent="0.25">
      <c r="A510" s="266">
        <v>43488</v>
      </c>
      <c r="B510" s="267">
        <v>2019</v>
      </c>
      <c r="C510" s="267">
        <v>2019</v>
      </c>
      <c r="D510" s="267">
        <v>1</v>
      </c>
      <c r="E510" s="267">
        <v>1</v>
      </c>
      <c r="F510" s="267" t="s">
        <v>944</v>
      </c>
      <c r="G510" s="267" t="s">
        <v>3926</v>
      </c>
      <c r="H510" s="267" t="s">
        <v>4609</v>
      </c>
      <c r="I510" s="267" t="s">
        <v>3954</v>
      </c>
      <c r="J510" s="267" t="s">
        <v>3928</v>
      </c>
      <c r="K510" s="267">
        <v>6357</v>
      </c>
      <c r="L510" s="267">
        <v>716101</v>
      </c>
      <c r="M510" s="267" t="s">
        <v>3935</v>
      </c>
      <c r="N510" s="267" t="s">
        <v>3944</v>
      </c>
      <c r="O510" s="267">
        <v>2234.09</v>
      </c>
      <c r="P510" s="267" t="s">
        <v>3944</v>
      </c>
      <c r="Q510" s="267" t="s">
        <v>3944</v>
      </c>
      <c r="R510" s="267">
        <v>2234.09</v>
      </c>
      <c r="S510" s="267">
        <v>29856.77</v>
      </c>
      <c r="T510" s="267">
        <v>32090.86</v>
      </c>
      <c r="U510" s="268" t="s">
        <v>3945</v>
      </c>
      <c r="V510" s="267" t="s">
        <v>944</v>
      </c>
    </row>
    <row r="511" spans="1:22" hidden="1" x14ac:dyDescent="0.25">
      <c r="A511" s="269">
        <v>43489</v>
      </c>
      <c r="B511" s="270">
        <v>2019</v>
      </c>
      <c r="C511" s="270">
        <v>2019</v>
      </c>
      <c r="D511" s="270">
        <v>1</v>
      </c>
      <c r="E511" s="270">
        <v>1</v>
      </c>
      <c r="F511" s="270" t="s">
        <v>944</v>
      </c>
      <c r="G511" s="270" t="s">
        <v>3926</v>
      </c>
      <c r="H511" s="270" t="s">
        <v>4610</v>
      </c>
      <c r="I511" s="270" t="s">
        <v>934</v>
      </c>
      <c r="J511" s="270" t="s">
        <v>3928</v>
      </c>
      <c r="K511" s="270">
        <v>6606</v>
      </c>
      <c r="L511" s="270">
        <v>257200</v>
      </c>
      <c r="M511" s="270">
        <v>-60</v>
      </c>
      <c r="N511" s="270" t="s">
        <v>4103</v>
      </c>
      <c r="O511" s="270">
        <v>1549.24</v>
      </c>
      <c r="P511" s="270" t="s">
        <v>3930</v>
      </c>
      <c r="Q511" s="270" t="s">
        <v>3931</v>
      </c>
      <c r="R511" s="270">
        <v>6549.24</v>
      </c>
      <c r="S511" s="270">
        <v>24145.599999999999</v>
      </c>
      <c r="T511" s="270">
        <v>30694.84</v>
      </c>
      <c r="U511" s="271" t="s">
        <v>3932</v>
      </c>
      <c r="V511" s="267" t="s">
        <v>944</v>
      </c>
    </row>
    <row r="512" spans="1:22" hidden="1" x14ac:dyDescent="0.25">
      <c r="A512" s="266">
        <v>43489</v>
      </c>
      <c r="B512" s="267">
        <v>2019</v>
      </c>
      <c r="C512" s="267">
        <v>2019</v>
      </c>
      <c r="D512" s="267">
        <v>1</v>
      </c>
      <c r="E512" s="267">
        <v>1</v>
      </c>
      <c r="F512" s="267" t="s">
        <v>944</v>
      </c>
      <c r="G512" s="267" t="s">
        <v>3926</v>
      </c>
      <c r="H512" s="267" t="s">
        <v>4611</v>
      </c>
      <c r="I512" s="267" t="s">
        <v>4011</v>
      </c>
      <c r="J512" s="267" t="s">
        <v>3928</v>
      </c>
      <c r="K512" s="267">
        <v>6002</v>
      </c>
      <c r="L512" s="267">
        <v>471100</v>
      </c>
      <c r="M512" s="267" t="s">
        <v>3935</v>
      </c>
      <c r="N512" s="267" t="s">
        <v>4103</v>
      </c>
      <c r="O512" s="267">
        <v>4687.74</v>
      </c>
      <c r="P512" s="267" t="s">
        <v>3930</v>
      </c>
      <c r="Q512" s="267" t="s">
        <v>3931</v>
      </c>
      <c r="R512" s="267">
        <v>9687.74</v>
      </c>
      <c r="S512" s="267">
        <v>24145.599999999999</v>
      </c>
      <c r="T512" s="267">
        <v>33833.339999999997</v>
      </c>
      <c r="U512" s="268" t="s">
        <v>3932</v>
      </c>
      <c r="V512" s="267" t="s">
        <v>944</v>
      </c>
    </row>
    <row r="513" spans="1:22" hidden="1" x14ac:dyDescent="0.25">
      <c r="A513" s="269">
        <v>43489</v>
      </c>
      <c r="B513" s="270">
        <v>2019</v>
      </c>
      <c r="C513" s="270">
        <v>2019</v>
      </c>
      <c r="D513" s="270">
        <v>1</v>
      </c>
      <c r="E513" s="270">
        <v>1</v>
      </c>
      <c r="F513" s="270" t="s">
        <v>944</v>
      </c>
      <c r="G513" s="270" t="s">
        <v>3926</v>
      </c>
      <c r="H513" s="270" t="s">
        <v>4612</v>
      </c>
      <c r="I513" s="270" t="s">
        <v>3008</v>
      </c>
      <c r="J513" s="270" t="s">
        <v>3928</v>
      </c>
      <c r="K513" s="270">
        <v>6460</v>
      </c>
      <c r="L513" s="270">
        <v>150400</v>
      </c>
      <c r="M513" s="270" t="s">
        <v>3940</v>
      </c>
      <c r="N513" s="270" t="s">
        <v>4103</v>
      </c>
      <c r="O513" s="270">
        <v>4694.4799999999996</v>
      </c>
      <c r="P513" s="270" t="s">
        <v>3930</v>
      </c>
      <c r="Q513" s="270" t="s">
        <v>3931</v>
      </c>
      <c r="R513" s="270">
        <v>9694.48</v>
      </c>
      <c r="S513" s="270">
        <v>24145.599999999999</v>
      </c>
      <c r="T513" s="270">
        <v>33840.080000000002</v>
      </c>
      <c r="U513" s="271" t="s">
        <v>3932</v>
      </c>
      <c r="V513" s="267" t="s">
        <v>944</v>
      </c>
    </row>
    <row r="514" spans="1:22" hidden="1" x14ac:dyDescent="0.25">
      <c r="A514" s="266">
        <v>43489</v>
      </c>
      <c r="B514" s="267">
        <v>2019</v>
      </c>
      <c r="C514" s="267">
        <v>2019</v>
      </c>
      <c r="D514" s="267">
        <v>1</v>
      </c>
      <c r="E514" s="267">
        <v>1</v>
      </c>
      <c r="F514" s="267" t="s">
        <v>944</v>
      </c>
      <c r="G514" s="267" t="s">
        <v>3926</v>
      </c>
      <c r="H514" s="267" t="s">
        <v>4613</v>
      </c>
      <c r="I514" s="267" t="s">
        <v>4548</v>
      </c>
      <c r="J514" s="267" t="s">
        <v>3928</v>
      </c>
      <c r="K514" s="267">
        <v>6037</v>
      </c>
      <c r="L514" s="267">
        <v>400100</v>
      </c>
      <c r="M514" s="267" t="s">
        <v>3935</v>
      </c>
      <c r="N514" s="267" t="s">
        <v>3929</v>
      </c>
      <c r="O514" s="267">
        <v>2229.29</v>
      </c>
      <c r="P514" s="267" t="s">
        <v>3930</v>
      </c>
      <c r="Q514" s="267" t="s">
        <v>3931</v>
      </c>
      <c r="R514" s="267">
        <v>7229.29</v>
      </c>
      <c r="S514" s="267">
        <v>34744</v>
      </c>
      <c r="T514" s="267">
        <v>41973.29</v>
      </c>
      <c r="U514" s="268" t="s">
        <v>3932</v>
      </c>
      <c r="V514" s="267" t="s">
        <v>944</v>
      </c>
    </row>
    <row r="515" spans="1:22" hidden="1" x14ac:dyDescent="0.25">
      <c r="A515" s="269">
        <v>43489</v>
      </c>
      <c r="B515" s="270">
        <v>2019</v>
      </c>
      <c r="C515" s="270">
        <v>2019</v>
      </c>
      <c r="D515" s="270">
        <v>1</v>
      </c>
      <c r="E515" s="270">
        <v>1</v>
      </c>
      <c r="F515" s="270" t="s">
        <v>944</v>
      </c>
      <c r="G515" s="270" t="s">
        <v>3926</v>
      </c>
      <c r="H515" s="270" t="s">
        <v>4614</v>
      </c>
      <c r="I515" s="270" t="s">
        <v>4035</v>
      </c>
      <c r="J515" s="270" t="s">
        <v>3928</v>
      </c>
      <c r="K515" s="270">
        <v>6074</v>
      </c>
      <c r="L515" s="270">
        <v>487100</v>
      </c>
      <c r="M515" s="270" t="s">
        <v>3943</v>
      </c>
      <c r="N515" s="270" t="s">
        <v>4615</v>
      </c>
      <c r="O515" s="270">
        <v>0</v>
      </c>
      <c r="P515" s="270" t="s">
        <v>3930</v>
      </c>
      <c r="Q515" s="270" t="s">
        <v>3930</v>
      </c>
      <c r="R515" s="270">
        <v>0</v>
      </c>
      <c r="S515" s="270">
        <v>2850</v>
      </c>
      <c r="T515" s="270">
        <v>2850</v>
      </c>
      <c r="U515" s="271" t="s">
        <v>3937</v>
      </c>
      <c r="V515" s="267" t="s">
        <v>944</v>
      </c>
    </row>
    <row r="516" spans="1:22" hidden="1" x14ac:dyDescent="0.25">
      <c r="A516" s="266">
        <v>43489</v>
      </c>
      <c r="B516" s="267">
        <v>2019</v>
      </c>
      <c r="C516" s="267">
        <v>2019</v>
      </c>
      <c r="D516" s="267">
        <v>1</v>
      </c>
      <c r="E516" s="267">
        <v>1</v>
      </c>
      <c r="F516" s="267" t="s">
        <v>944</v>
      </c>
      <c r="G516" s="267" t="s">
        <v>3926</v>
      </c>
      <c r="H516" s="267" t="s">
        <v>4616</v>
      </c>
      <c r="I516" s="267" t="s">
        <v>934</v>
      </c>
      <c r="J516" s="267" t="s">
        <v>3928</v>
      </c>
      <c r="K516" s="267">
        <v>6606</v>
      </c>
      <c r="L516" s="267">
        <v>72900</v>
      </c>
      <c r="M516" s="267" t="s">
        <v>3940</v>
      </c>
      <c r="N516" s="267" t="s">
        <v>4103</v>
      </c>
      <c r="O516" s="267">
        <v>1832.78</v>
      </c>
      <c r="P516" s="267" t="s">
        <v>3930</v>
      </c>
      <c r="Q516" s="267" t="s">
        <v>3931</v>
      </c>
      <c r="R516" s="267">
        <v>6832.78</v>
      </c>
      <c r="S516" s="267">
        <v>24145.599999999999</v>
      </c>
      <c r="T516" s="267">
        <v>30978.38</v>
      </c>
      <c r="U516" s="268" t="s">
        <v>3932</v>
      </c>
      <c r="V516" s="267" t="s">
        <v>944</v>
      </c>
    </row>
    <row r="517" spans="1:22" hidden="1" x14ac:dyDescent="0.25">
      <c r="A517" s="269">
        <v>43489</v>
      </c>
      <c r="B517" s="270">
        <v>2019</v>
      </c>
      <c r="C517" s="270">
        <v>2019</v>
      </c>
      <c r="D517" s="270">
        <v>1</v>
      </c>
      <c r="E517" s="270">
        <v>1</v>
      </c>
      <c r="F517" s="270" t="s">
        <v>944</v>
      </c>
      <c r="G517" s="270" t="s">
        <v>3926</v>
      </c>
      <c r="H517" s="270" t="s">
        <v>4617</v>
      </c>
      <c r="I517" s="270" t="s">
        <v>4159</v>
      </c>
      <c r="J517" s="270" t="s">
        <v>3928</v>
      </c>
      <c r="K517" s="270">
        <v>6016</v>
      </c>
      <c r="L517" s="270">
        <v>484200</v>
      </c>
      <c r="M517" s="270" t="s">
        <v>3935</v>
      </c>
      <c r="N517" s="270" t="s">
        <v>3944</v>
      </c>
      <c r="O517" s="270">
        <v>3264</v>
      </c>
      <c r="P517" s="270" t="s">
        <v>3944</v>
      </c>
      <c r="Q517" s="270" t="s">
        <v>3944</v>
      </c>
      <c r="R517" s="270">
        <v>3264</v>
      </c>
      <c r="S517" s="270">
        <v>20104</v>
      </c>
      <c r="T517" s="270">
        <v>23368</v>
      </c>
      <c r="U517" s="271" t="s">
        <v>3945</v>
      </c>
      <c r="V517" s="267" t="s">
        <v>944</v>
      </c>
    </row>
    <row r="518" spans="1:22" hidden="1" x14ac:dyDescent="0.25">
      <c r="A518" s="266">
        <v>43489</v>
      </c>
      <c r="B518" s="267">
        <v>2019</v>
      </c>
      <c r="C518" s="267">
        <v>2019</v>
      </c>
      <c r="D518" s="267">
        <v>1</v>
      </c>
      <c r="E518" s="267">
        <v>1</v>
      </c>
      <c r="F518" s="267" t="s">
        <v>944</v>
      </c>
      <c r="G518" s="267" t="s">
        <v>3926</v>
      </c>
      <c r="H518" s="267" t="s">
        <v>4618</v>
      </c>
      <c r="I518" s="267" t="s">
        <v>3012</v>
      </c>
      <c r="J518" s="267" t="s">
        <v>3928</v>
      </c>
      <c r="K518" s="267">
        <v>6477</v>
      </c>
      <c r="L518" s="267">
        <v>157400</v>
      </c>
      <c r="M518" s="267" t="s">
        <v>3943</v>
      </c>
      <c r="N518" s="267" t="s">
        <v>3944</v>
      </c>
      <c r="O518" s="267">
        <v>4061</v>
      </c>
      <c r="P518" s="267" t="s">
        <v>3944</v>
      </c>
      <c r="Q518" s="267" t="s">
        <v>3944</v>
      </c>
      <c r="R518" s="267">
        <v>4061</v>
      </c>
      <c r="S518" s="267">
        <v>27946</v>
      </c>
      <c r="T518" s="267">
        <v>32007</v>
      </c>
      <c r="U518" s="268" t="s">
        <v>3945</v>
      </c>
      <c r="V518" s="267" t="s">
        <v>944</v>
      </c>
    </row>
    <row r="519" spans="1:22" hidden="1" x14ac:dyDescent="0.25">
      <c r="A519" s="269">
        <v>43489</v>
      </c>
      <c r="B519" s="270">
        <v>2019</v>
      </c>
      <c r="C519" s="270">
        <v>2019</v>
      </c>
      <c r="D519" s="270">
        <v>1</v>
      </c>
      <c r="E519" s="270">
        <v>1</v>
      </c>
      <c r="F519" s="270" t="s">
        <v>944</v>
      </c>
      <c r="G519" s="270" t="s">
        <v>3926</v>
      </c>
      <c r="H519" s="270" t="s">
        <v>4619</v>
      </c>
      <c r="I519" s="270" t="s">
        <v>4016</v>
      </c>
      <c r="J519" s="270" t="s">
        <v>3928</v>
      </c>
      <c r="K519" s="270">
        <v>6770</v>
      </c>
      <c r="L519" s="270">
        <v>345201</v>
      </c>
      <c r="M519" s="270" t="s">
        <v>3935</v>
      </c>
      <c r="N519" s="270" t="s">
        <v>3944</v>
      </c>
      <c r="O519" s="270">
        <v>1493</v>
      </c>
      <c r="P519" s="270" t="s">
        <v>3944</v>
      </c>
      <c r="Q519" s="270" t="s">
        <v>3944</v>
      </c>
      <c r="R519" s="270">
        <v>1493</v>
      </c>
      <c r="S519" s="270">
        <v>34732</v>
      </c>
      <c r="T519" s="270">
        <v>36225</v>
      </c>
      <c r="U519" s="271" t="s">
        <v>3945</v>
      </c>
      <c r="V519" s="267" t="s">
        <v>944</v>
      </c>
    </row>
    <row r="520" spans="1:22" hidden="1" x14ac:dyDescent="0.25">
      <c r="A520" s="266">
        <v>43489</v>
      </c>
      <c r="B520" s="267">
        <v>2019</v>
      </c>
      <c r="C520" s="267">
        <v>2019</v>
      </c>
      <c r="D520" s="267">
        <v>1</v>
      </c>
      <c r="E520" s="267">
        <v>1</v>
      </c>
      <c r="F520" s="267" t="s">
        <v>944</v>
      </c>
      <c r="G520" s="267" t="s">
        <v>3926</v>
      </c>
      <c r="H520" s="267" t="s">
        <v>4620</v>
      </c>
      <c r="I520" s="267" t="s">
        <v>4621</v>
      </c>
      <c r="J520" s="267" t="s">
        <v>3928</v>
      </c>
      <c r="K520" s="267">
        <v>6443</v>
      </c>
      <c r="L520" s="267">
        <v>194201</v>
      </c>
      <c r="M520" s="267" t="s">
        <v>3943</v>
      </c>
      <c r="N520" s="267" t="s">
        <v>3944</v>
      </c>
      <c r="O520" s="267">
        <v>1654</v>
      </c>
      <c r="P520" s="267" t="s">
        <v>3944</v>
      </c>
      <c r="Q520" s="267" t="s">
        <v>3944</v>
      </c>
      <c r="R520" s="267">
        <v>1654</v>
      </c>
      <c r="S520" s="267">
        <v>22741.49</v>
      </c>
      <c r="T520" s="267">
        <v>24395.49</v>
      </c>
      <c r="U520" s="268" t="s">
        <v>3945</v>
      </c>
      <c r="V520" s="267" t="s">
        <v>944</v>
      </c>
    </row>
    <row r="521" spans="1:22" hidden="1" x14ac:dyDescent="0.25">
      <c r="A521" s="269">
        <v>43489</v>
      </c>
      <c r="B521" s="270">
        <v>2019</v>
      </c>
      <c r="C521" s="270">
        <v>2019</v>
      </c>
      <c r="D521" s="270">
        <v>1</v>
      </c>
      <c r="E521" s="270">
        <v>1</v>
      </c>
      <c r="F521" s="270" t="s">
        <v>944</v>
      </c>
      <c r="G521" s="270" t="s">
        <v>3926</v>
      </c>
      <c r="H521" s="270" t="s">
        <v>4622</v>
      </c>
      <c r="I521" s="270" t="s">
        <v>956</v>
      </c>
      <c r="J521" s="270" t="s">
        <v>3928</v>
      </c>
      <c r="K521" s="270">
        <v>6614</v>
      </c>
      <c r="L521" s="270">
        <v>80800</v>
      </c>
      <c r="M521" s="270" t="s">
        <v>3960</v>
      </c>
      <c r="N521" s="270" t="s">
        <v>3944</v>
      </c>
      <c r="O521" s="270">
        <v>1141.7</v>
      </c>
      <c r="P521" s="270" t="s">
        <v>3944</v>
      </c>
      <c r="Q521" s="270" t="s">
        <v>3944</v>
      </c>
      <c r="R521" s="270">
        <v>1141.7</v>
      </c>
      <c r="S521" s="270">
        <v>16840.21</v>
      </c>
      <c r="T521" s="270">
        <v>17981.91</v>
      </c>
      <c r="U521" s="271" t="s">
        <v>3945</v>
      </c>
      <c r="V521" s="267" t="s">
        <v>944</v>
      </c>
    </row>
    <row r="522" spans="1:22" hidden="1" x14ac:dyDescent="0.25">
      <c r="A522" s="266">
        <v>43489</v>
      </c>
      <c r="B522" s="267">
        <v>2019</v>
      </c>
      <c r="C522" s="267">
        <v>2019</v>
      </c>
      <c r="D522" s="267">
        <v>1</v>
      </c>
      <c r="E522" s="267">
        <v>1</v>
      </c>
      <c r="F522" s="267" t="s">
        <v>944</v>
      </c>
      <c r="G522" s="267" t="s">
        <v>3926</v>
      </c>
      <c r="H522" s="267" t="s">
        <v>4623</v>
      </c>
      <c r="I522" s="267" t="s">
        <v>4137</v>
      </c>
      <c r="J522" s="267" t="s">
        <v>3928</v>
      </c>
      <c r="K522" s="267">
        <v>6067</v>
      </c>
      <c r="L522" s="267">
        <v>524200</v>
      </c>
      <c r="M522" s="267" t="s">
        <v>3960</v>
      </c>
      <c r="N522" s="267" t="s">
        <v>3944</v>
      </c>
      <c r="O522" s="267">
        <v>2447.48</v>
      </c>
      <c r="P522" s="267" t="s">
        <v>3944</v>
      </c>
      <c r="Q522" s="267" t="s">
        <v>3944</v>
      </c>
      <c r="R522" s="267">
        <v>2447.48</v>
      </c>
      <c r="S522" s="267">
        <v>35053.660000000003</v>
      </c>
      <c r="T522" s="267">
        <v>37501.14</v>
      </c>
      <c r="U522" s="268" t="s">
        <v>3945</v>
      </c>
      <c r="V522" s="267" t="s">
        <v>944</v>
      </c>
    </row>
    <row r="523" spans="1:22" x14ac:dyDescent="0.25">
      <c r="A523" s="269">
        <v>43489</v>
      </c>
      <c r="B523" s="270">
        <v>2019</v>
      </c>
      <c r="C523" s="270">
        <v>2019</v>
      </c>
      <c r="D523" s="270">
        <v>1</v>
      </c>
      <c r="E523" s="270">
        <v>1</v>
      </c>
      <c r="F523" s="270" t="s">
        <v>944</v>
      </c>
      <c r="G523" s="270" t="s">
        <v>3926</v>
      </c>
      <c r="H523" s="270" t="s">
        <v>4624</v>
      </c>
      <c r="I523" s="270" t="s">
        <v>943</v>
      </c>
      <c r="J523" s="270" t="s">
        <v>3928</v>
      </c>
      <c r="K523" s="270">
        <v>6511</v>
      </c>
      <c r="L523" s="270">
        <v>141500</v>
      </c>
      <c r="M523" s="270">
        <v>-60</v>
      </c>
      <c r="N523" s="270" t="s">
        <v>3944</v>
      </c>
      <c r="O523" s="270">
        <v>1347.68</v>
      </c>
      <c r="P523" s="270" t="s">
        <v>3944</v>
      </c>
      <c r="Q523" s="270" t="s">
        <v>3944</v>
      </c>
      <c r="R523" s="270">
        <v>1347.68</v>
      </c>
      <c r="S523" s="270">
        <v>22521.32</v>
      </c>
      <c r="T523" s="270">
        <v>23869</v>
      </c>
      <c r="U523" s="271" t="s">
        <v>3945</v>
      </c>
      <c r="V523" s="276" t="s">
        <v>936</v>
      </c>
    </row>
    <row r="524" spans="1:22" hidden="1" x14ac:dyDescent="0.25">
      <c r="A524" s="266">
        <v>43489</v>
      </c>
      <c r="B524" s="267">
        <v>2019</v>
      </c>
      <c r="C524" s="267">
        <v>2019</v>
      </c>
      <c r="D524" s="267">
        <v>1</v>
      </c>
      <c r="E524" s="267">
        <v>1</v>
      </c>
      <c r="F524" s="267" t="s">
        <v>944</v>
      </c>
      <c r="G524" s="267" t="s">
        <v>3926</v>
      </c>
      <c r="H524" s="267" t="s">
        <v>4625</v>
      </c>
      <c r="I524" s="267" t="s">
        <v>4548</v>
      </c>
      <c r="J524" s="267" t="s">
        <v>3928</v>
      </c>
      <c r="K524" s="267">
        <v>6037</v>
      </c>
      <c r="L524" s="267">
        <v>400100</v>
      </c>
      <c r="M524" s="267" t="s">
        <v>3935</v>
      </c>
      <c r="N524" s="267" t="s">
        <v>3944</v>
      </c>
      <c r="O524" s="267">
        <v>1742.13</v>
      </c>
      <c r="P524" s="267" t="s">
        <v>3944</v>
      </c>
      <c r="Q524" s="267" t="s">
        <v>3944</v>
      </c>
      <c r="R524" s="267">
        <v>1742.13</v>
      </c>
      <c r="S524" s="267">
        <v>23890.34</v>
      </c>
      <c r="T524" s="267">
        <v>25632.47</v>
      </c>
      <c r="U524" s="268" t="s">
        <v>3945</v>
      </c>
      <c r="V524" s="267" t="s">
        <v>944</v>
      </c>
    </row>
    <row r="525" spans="1:22" hidden="1" x14ac:dyDescent="0.25">
      <c r="A525" s="269">
        <v>43489</v>
      </c>
      <c r="B525" s="270">
        <v>2019</v>
      </c>
      <c r="C525" s="270">
        <v>2019</v>
      </c>
      <c r="D525" s="270">
        <v>1</v>
      </c>
      <c r="E525" s="270">
        <v>1</v>
      </c>
      <c r="F525" s="270" t="s">
        <v>944</v>
      </c>
      <c r="G525" s="270" t="s">
        <v>3926</v>
      </c>
      <c r="H525" s="270" t="s">
        <v>4626</v>
      </c>
      <c r="I525" s="270" t="s">
        <v>4407</v>
      </c>
      <c r="J525" s="270" t="s">
        <v>3928</v>
      </c>
      <c r="K525" s="270">
        <v>6238</v>
      </c>
      <c r="L525" s="270">
        <v>850200</v>
      </c>
      <c r="M525" s="270" t="s">
        <v>3960</v>
      </c>
      <c r="N525" s="270" t="s">
        <v>3944</v>
      </c>
      <c r="O525" s="270">
        <v>2056.9499999999998</v>
      </c>
      <c r="P525" s="270" t="s">
        <v>3944</v>
      </c>
      <c r="Q525" s="270" t="s">
        <v>3944</v>
      </c>
      <c r="R525" s="270">
        <v>2056.9499999999998</v>
      </c>
      <c r="S525" s="270">
        <v>18979.05</v>
      </c>
      <c r="T525" s="270">
        <v>21036</v>
      </c>
      <c r="U525" s="271" t="s">
        <v>3945</v>
      </c>
      <c r="V525" s="267" t="s">
        <v>944</v>
      </c>
    </row>
    <row r="526" spans="1:22" hidden="1" x14ac:dyDescent="0.25">
      <c r="A526" s="266">
        <v>43489</v>
      </c>
      <c r="B526" s="267">
        <v>2019</v>
      </c>
      <c r="C526" s="267">
        <v>2019</v>
      </c>
      <c r="D526" s="267">
        <v>1</v>
      </c>
      <c r="E526" s="267">
        <v>1</v>
      </c>
      <c r="F526" s="267" t="s">
        <v>944</v>
      </c>
      <c r="G526" s="267" t="s">
        <v>3926</v>
      </c>
      <c r="H526" s="267" t="s">
        <v>4627</v>
      </c>
      <c r="I526" s="267" t="s">
        <v>956</v>
      </c>
      <c r="J526" s="267" t="s">
        <v>3928</v>
      </c>
      <c r="K526" s="267">
        <v>6614</v>
      </c>
      <c r="L526" s="267">
        <v>80800</v>
      </c>
      <c r="M526" s="267" t="s">
        <v>3960</v>
      </c>
      <c r="N526" s="267" t="s">
        <v>3944</v>
      </c>
      <c r="O526" s="267">
        <v>1375.85</v>
      </c>
      <c r="P526" s="267" t="s">
        <v>3944</v>
      </c>
      <c r="Q526" s="267" t="s">
        <v>3944</v>
      </c>
      <c r="R526" s="267">
        <v>1375.85</v>
      </c>
      <c r="S526" s="267">
        <v>21243.43</v>
      </c>
      <c r="T526" s="267">
        <v>22619.279999999999</v>
      </c>
      <c r="U526" s="268" t="s">
        <v>3945</v>
      </c>
      <c r="V526" s="267" t="s">
        <v>944</v>
      </c>
    </row>
    <row r="527" spans="1:22" hidden="1" x14ac:dyDescent="0.25">
      <c r="A527" s="269">
        <v>43489</v>
      </c>
      <c r="B527" s="270">
        <v>2019</v>
      </c>
      <c r="C527" s="270">
        <v>2019</v>
      </c>
      <c r="D527" s="270">
        <v>1</v>
      </c>
      <c r="E527" s="270">
        <v>1</v>
      </c>
      <c r="F527" s="270" t="s">
        <v>944</v>
      </c>
      <c r="G527" s="270" t="s">
        <v>3926</v>
      </c>
      <c r="H527" s="270" t="s">
        <v>4628</v>
      </c>
      <c r="I527" s="270" t="s">
        <v>3934</v>
      </c>
      <c r="J527" s="270" t="s">
        <v>3928</v>
      </c>
      <c r="K527" s="270">
        <v>6405</v>
      </c>
      <c r="L527" s="270">
        <v>184600</v>
      </c>
      <c r="M527" s="270" t="s">
        <v>3943</v>
      </c>
      <c r="N527" s="270" t="s">
        <v>3944</v>
      </c>
      <c r="O527" s="270">
        <v>1075.55</v>
      </c>
      <c r="P527" s="270" t="s">
        <v>3944</v>
      </c>
      <c r="Q527" s="270" t="s">
        <v>3944</v>
      </c>
      <c r="R527" s="270">
        <v>1075.55</v>
      </c>
      <c r="S527" s="270">
        <v>13134.64</v>
      </c>
      <c r="T527" s="270">
        <v>14210.19</v>
      </c>
      <c r="U527" s="271" t="s">
        <v>3945</v>
      </c>
      <c r="V527" s="267" t="s">
        <v>944</v>
      </c>
    </row>
    <row r="528" spans="1:22" hidden="1" x14ac:dyDescent="0.25">
      <c r="A528" s="266">
        <v>43489</v>
      </c>
      <c r="B528" s="267">
        <v>2019</v>
      </c>
      <c r="C528" s="267">
        <v>2019</v>
      </c>
      <c r="D528" s="267">
        <v>1</v>
      </c>
      <c r="E528" s="267">
        <v>1</v>
      </c>
      <c r="F528" s="267" t="s">
        <v>944</v>
      </c>
      <c r="G528" s="267" t="s">
        <v>3926</v>
      </c>
      <c r="H528" s="267" t="s">
        <v>4629</v>
      </c>
      <c r="I528" s="267" t="s">
        <v>4037</v>
      </c>
      <c r="J528" s="267" t="s">
        <v>3928</v>
      </c>
      <c r="K528" s="267">
        <v>6810</v>
      </c>
      <c r="L528" s="267">
        <v>210300</v>
      </c>
      <c r="M528" s="267" t="s">
        <v>3940</v>
      </c>
      <c r="N528" s="267" t="s">
        <v>3944</v>
      </c>
      <c r="O528" s="267">
        <v>1360.52</v>
      </c>
      <c r="P528" s="267" t="s">
        <v>3944</v>
      </c>
      <c r="Q528" s="267" t="s">
        <v>3944</v>
      </c>
      <c r="R528" s="267">
        <v>1360.52</v>
      </c>
      <c r="S528" s="267">
        <v>19094.97</v>
      </c>
      <c r="T528" s="267">
        <v>20455.490000000002</v>
      </c>
      <c r="U528" s="268" t="s">
        <v>3945</v>
      </c>
      <c r="V528" s="267" t="s">
        <v>944</v>
      </c>
    </row>
    <row r="529" spans="1:22" hidden="1" x14ac:dyDescent="0.25">
      <c r="A529" s="269">
        <v>43489</v>
      </c>
      <c r="B529" s="270">
        <v>2019</v>
      </c>
      <c r="C529" s="270">
        <v>2019</v>
      </c>
      <c r="D529" s="270">
        <v>1</v>
      </c>
      <c r="E529" s="270">
        <v>1</v>
      </c>
      <c r="F529" s="270" t="s">
        <v>944</v>
      </c>
      <c r="G529" s="270" t="s">
        <v>3926</v>
      </c>
      <c r="H529" s="270" t="s">
        <v>4630</v>
      </c>
      <c r="I529" s="270" t="s">
        <v>4197</v>
      </c>
      <c r="J529" s="270" t="s">
        <v>3928</v>
      </c>
      <c r="K529" s="270">
        <v>6812</v>
      </c>
      <c r="L529" s="270">
        <v>220100</v>
      </c>
      <c r="M529" s="270" t="s">
        <v>3943</v>
      </c>
      <c r="N529" s="270" t="s">
        <v>3944</v>
      </c>
      <c r="O529" s="270">
        <v>2519.65</v>
      </c>
      <c r="P529" s="270" t="s">
        <v>3944</v>
      </c>
      <c r="Q529" s="270" t="s">
        <v>3944</v>
      </c>
      <c r="R529" s="270">
        <v>2519.65</v>
      </c>
      <c r="S529" s="270">
        <v>22643.35</v>
      </c>
      <c r="T529" s="270">
        <v>25163</v>
      </c>
      <c r="U529" s="271" t="s">
        <v>3945</v>
      </c>
      <c r="V529" s="267" t="s">
        <v>944</v>
      </c>
    </row>
    <row r="530" spans="1:22" hidden="1" x14ac:dyDescent="0.25">
      <c r="A530" s="266">
        <v>43489</v>
      </c>
      <c r="B530" s="267">
        <v>2019</v>
      </c>
      <c r="C530" s="267">
        <v>2019</v>
      </c>
      <c r="D530" s="267">
        <v>1</v>
      </c>
      <c r="E530" s="267">
        <v>1</v>
      </c>
      <c r="F530" s="267" t="s">
        <v>944</v>
      </c>
      <c r="G530" s="267" t="s">
        <v>3926</v>
      </c>
      <c r="H530" s="267" t="s">
        <v>4631</v>
      </c>
      <c r="I530" s="267" t="s">
        <v>4019</v>
      </c>
      <c r="J530" s="267" t="s">
        <v>3928</v>
      </c>
      <c r="K530" s="267">
        <v>6708</v>
      </c>
      <c r="L530" s="267">
        <v>351602</v>
      </c>
      <c r="M530" s="267" t="s">
        <v>3940</v>
      </c>
      <c r="N530" s="267" t="s">
        <v>3944</v>
      </c>
      <c r="O530" s="267">
        <v>2780.75</v>
      </c>
      <c r="P530" s="267" t="s">
        <v>3944</v>
      </c>
      <c r="Q530" s="267" t="s">
        <v>3944</v>
      </c>
      <c r="R530" s="267">
        <v>2780.75</v>
      </c>
      <c r="S530" s="267">
        <v>38417.839999999997</v>
      </c>
      <c r="T530" s="267">
        <v>41198.589999999997</v>
      </c>
      <c r="U530" s="268" t="s">
        <v>3945</v>
      </c>
      <c r="V530" s="267" t="s">
        <v>944</v>
      </c>
    </row>
    <row r="531" spans="1:22" hidden="1" x14ac:dyDescent="0.25">
      <c r="A531" s="269">
        <v>43489</v>
      </c>
      <c r="B531" s="270">
        <v>2019</v>
      </c>
      <c r="C531" s="270">
        <v>2019</v>
      </c>
      <c r="D531" s="270">
        <v>1</v>
      </c>
      <c r="E531" s="270">
        <v>1</v>
      </c>
      <c r="F531" s="270" t="s">
        <v>944</v>
      </c>
      <c r="G531" s="270" t="s">
        <v>3926</v>
      </c>
      <c r="H531" s="270" t="s">
        <v>4632</v>
      </c>
      <c r="I531" s="270" t="s">
        <v>4621</v>
      </c>
      <c r="J531" s="270" t="s">
        <v>3928</v>
      </c>
      <c r="K531" s="270">
        <v>6443</v>
      </c>
      <c r="L531" s="270">
        <v>194201</v>
      </c>
      <c r="M531" s="270" t="s">
        <v>3943</v>
      </c>
      <c r="N531" s="270" t="s">
        <v>3944</v>
      </c>
      <c r="O531" s="270">
        <v>2846.31</v>
      </c>
      <c r="P531" s="270" t="s">
        <v>3944</v>
      </c>
      <c r="Q531" s="270" t="s">
        <v>3944</v>
      </c>
      <c r="R531" s="270">
        <v>2846.31</v>
      </c>
      <c r="S531" s="270">
        <v>44618.03</v>
      </c>
      <c r="T531" s="270">
        <v>47464.34</v>
      </c>
      <c r="U531" s="271" t="s">
        <v>3945</v>
      </c>
      <c r="V531" s="267" t="s">
        <v>944</v>
      </c>
    </row>
    <row r="532" spans="1:22" hidden="1" x14ac:dyDescent="0.25">
      <c r="A532" s="266">
        <v>43489</v>
      </c>
      <c r="B532" s="267">
        <v>2019</v>
      </c>
      <c r="C532" s="267">
        <v>2019</v>
      </c>
      <c r="D532" s="267">
        <v>1</v>
      </c>
      <c r="E532" s="267">
        <v>1</v>
      </c>
      <c r="F532" s="267" t="s">
        <v>944</v>
      </c>
      <c r="G532" s="267" t="s">
        <v>3926</v>
      </c>
      <c r="H532" s="267" t="s">
        <v>4633</v>
      </c>
      <c r="I532" s="267" t="s">
        <v>3964</v>
      </c>
      <c r="J532" s="267" t="s">
        <v>3928</v>
      </c>
      <c r="K532" s="267">
        <v>6033</v>
      </c>
      <c r="L532" s="267">
        <v>520301</v>
      </c>
      <c r="M532" s="267" t="s">
        <v>3960</v>
      </c>
      <c r="N532" s="267" t="s">
        <v>3944</v>
      </c>
      <c r="O532" s="267">
        <v>764.47</v>
      </c>
      <c r="P532" s="267" t="s">
        <v>3944</v>
      </c>
      <c r="Q532" s="267" t="s">
        <v>3944</v>
      </c>
      <c r="R532" s="267">
        <v>764.47</v>
      </c>
      <c r="S532" s="267">
        <v>12367.89</v>
      </c>
      <c r="T532" s="267">
        <v>13132.36</v>
      </c>
      <c r="U532" s="268" t="s">
        <v>3945</v>
      </c>
      <c r="V532" s="267" t="s">
        <v>944</v>
      </c>
    </row>
    <row r="533" spans="1:22" hidden="1" x14ac:dyDescent="0.25">
      <c r="A533" s="269">
        <v>43489</v>
      </c>
      <c r="B533" s="270">
        <v>2019</v>
      </c>
      <c r="C533" s="270">
        <v>2019</v>
      </c>
      <c r="D533" s="270">
        <v>1</v>
      </c>
      <c r="E533" s="270">
        <v>1</v>
      </c>
      <c r="F533" s="270" t="s">
        <v>944</v>
      </c>
      <c r="G533" s="270" t="s">
        <v>3926</v>
      </c>
      <c r="H533" s="270" t="s">
        <v>4634</v>
      </c>
      <c r="I533" s="270" t="s">
        <v>3934</v>
      </c>
      <c r="J533" s="270" t="s">
        <v>3928</v>
      </c>
      <c r="K533" s="270">
        <v>6405</v>
      </c>
      <c r="L533" s="270">
        <v>184500</v>
      </c>
      <c r="M533" s="270" t="s">
        <v>3935</v>
      </c>
      <c r="N533" s="270" t="s">
        <v>3944</v>
      </c>
      <c r="O533" s="270">
        <v>2751.32</v>
      </c>
      <c r="P533" s="270" t="s">
        <v>3944</v>
      </c>
      <c r="Q533" s="270" t="s">
        <v>3944</v>
      </c>
      <c r="R533" s="270">
        <v>2751.32</v>
      </c>
      <c r="S533" s="270">
        <v>37595.480000000003</v>
      </c>
      <c r="T533" s="270">
        <v>40346.800000000003</v>
      </c>
      <c r="U533" s="271" t="s">
        <v>3945</v>
      </c>
      <c r="V533" s="267" t="s">
        <v>944</v>
      </c>
    </row>
    <row r="534" spans="1:22" x14ac:dyDescent="0.25">
      <c r="A534" s="266">
        <v>43489</v>
      </c>
      <c r="B534" s="267">
        <v>2019</v>
      </c>
      <c r="C534" s="267">
        <v>2019</v>
      </c>
      <c r="D534" s="267">
        <v>1</v>
      </c>
      <c r="E534" s="267">
        <v>1</v>
      </c>
      <c r="F534" s="267" t="s">
        <v>944</v>
      </c>
      <c r="G534" s="267" t="s">
        <v>3926</v>
      </c>
      <c r="H534" s="267" t="s">
        <v>4635</v>
      </c>
      <c r="I534" s="267" t="s">
        <v>943</v>
      </c>
      <c r="J534" s="267" t="s">
        <v>3928</v>
      </c>
      <c r="K534" s="267">
        <v>6513</v>
      </c>
      <c r="L534" s="267">
        <v>142500</v>
      </c>
      <c r="M534" s="267">
        <v>-60</v>
      </c>
      <c r="N534" s="267" t="s">
        <v>3944</v>
      </c>
      <c r="O534" s="267">
        <v>1068.0999999999999</v>
      </c>
      <c r="P534" s="267" t="s">
        <v>3944</v>
      </c>
      <c r="Q534" s="267" t="s">
        <v>3944</v>
      </c>
      <c r="R534" s="267">
        <v>1068.0999999999999</v>
      </c>
      <c r="S534" s="267">
        <v>11871.63</v>
      </c>
      <c r="T534" s="267">
        <v>12939.73</v>
      </c>
      <c r="U534" s="268" t="s">
        <v>3945</v>
      </c>
      <c r="V534" s="276" t="s">
        <v>936</v>
      </c>
    </row>
    <row r="535" spans="1:22" hidden="1" x14ac:dyDescent="0.25">
      <c r="A535" s="269">
        <v>43489</v>
      </c>
      <c r="B535" s="270">
        <v>2019</v>
      </c>
      <c r="C535" s="270">
        <v>2019</v>
      </c>
      <c r="D535" s="270">
        <v>1</v>
      </c>
      <c r="E535" s="270">
        <v>1</v>
      </c>
      <c r="F535" s="270" t="s">
        <v>944</v>
      </c>
      <c r="G535" s="270" t="s">
        <v>3926</v>
      </c>
      <c r="H535" s="270" t="s">
        <v>4636</v>
      </c>
      <c r="I535" s="270" t="s">
        <v>4200</v>
      </c>
      <c r="J535" s="270" t="s">
        <v>3928</v>
      </c>
      <c r="K535" s="270">
        <v>6779</v>
      </c>
      <c r="L535" s="270">
        <v>360400</v>
      </c>
      <c r="M535" s="270" t="s">
        <v>3940</v>
      </c>
      <c r="N535" s="270" t="s">
        <v>3944</v>
      </c>
      <c r="O535" s="270">
        <v>625.30999999999995</v>
      </c>
      <c r="P535" s="270" t="s">
        <v>3944</v>
      </c>
      <c r="Q535" s="270" t="s">
        <v>3944</v>
      </c>
      <c r="R535" s="270">
        <v>625.30999999999995</v>
      </c>
      <c r="S535" s="270">
        <v>9643.69</v>
      </c>
      <c r="T535" s="270">
        <v>10269</v>
      </c>
      <c r="U535" s="271" t="s">
        <v>3945</v>
      </c>
      <c r="V535" s="267" t="s">
        <v>944</v>
      </c>
    </row>
    <row r="536" spans="1:22" hidden="1" x14ac:dyDescent="0.25">
      <c r="A536" s="266">
        <v>43489</v>
      </c>
      <c r="B536" s="267">
        <v>2019</v>
      </c>
      <c r="C536" s="267">
        <v>2019</v>
      </c>
      <c r="D536" s="267">
        <v>1</v>
      </c>
      <c r="E536" s="267">
        <v>1</v>
      </c>
      <c r="F536" s="267" t="s">
        <v>944</v>
      </c>
      <c r="G536" s="267" t="s">
        <v>3926</v>
      </c>
      <c r="H536" s="267" t="s">
        <v>4637</v>
      </c>
      <c r="I536" s="267" t="s">
        <v>4124</v>
      </c>
      <c r="J536" s="267" t="s">
        <v>3928</v>
      </c>
      <c r="K536" s="267">
        <v>6470</v>
      </c>
      <c r="L536" s="267">
        <v>230300</v>
      </c>
      <c r="M536" s="267" t="s">
        <v>3943</v>
      </c>
      <c r="N536" s="267" t="s">
        <v>3944</v>
      </c>
      <c r="O536" s="267">
        <v>494.83</v>
      </c>
      <c r="P536" s="267" t="s">
        <v>3944</v>
      </c>
      <c r="Q536" s="267" t="s">
        <v>3944</v>
      </c>
      <c r="R536" s="267">
        <v>494.83</v>
      </c>
      <c r="S536" s="267">
        <v>7776.17</v>
      </c>
      <c r="T536" s="267">
        <v>8271</v>
      </c>
      <c r="U536" s="268" t="s">
        <v>3945</v>
      </c>
      <c r="V536" s="267" t="s">
        <v>944</v>
      </c>
    </row>
    <row r="537" spans="1:22" hidden="1" x14ac:dyDescent="0.25">
      <c r="A537" s="269">
        <v>43489</v>
      </c>
      <c r="B537" s="270">
        <v>2019</v>
      </c>
      <c r="C537" s="270">
        <v>2019</v>
      </c>
      <c r="D537" s="270">
        <v>1</v>
      </c>
      <c r="E537" s="270">
        <v>1</v>
      </c>
      <c r="F537" s="270" t="s">
        <v>944</v>
      </c>
      <c r="G537" s="270" t="s">
        <v>3926</v>
      </c>
      <c r="H537" s="270" t="s">
        <v>4638</v>
      </c>
      <c r="I537" s="270" t="s">
        <v>4556</v>
      </c>
      <c r="J537" s="270" t="s">
        <v>3928</v>
      </c>
      <c r="K537" s="270">
        <v>6029</v>
      </c>
      <c r="L537" s="270">
        <v>535200</v>
      </c>
      <c r="M537" s="270" t="s">
        <v>3960</v>
      </c>
      <c r="N537" s="270" t="s">
        <v>3944</v>
      </c>
      <c r="O537" s="270">
        <v>2190.3000000000002</v>
      </c>
      <c r="P537" s="270" t="s">
        <v>3944</v>
      </c>
      <c r="Q537" s="270" t="s">
        <v>3944</v>
      </c>
      <c r="R537" s="270">
        <v>2190.3000000000002</v>
      </c>
      <c r="S537" s="270">
        <v>28113.39</v>
      </c>
      <c r="T537" s="270">
        <v>30303.69</v>
      </c>
      <c r="U537" s="271" t="s">
        <v>3945</v>
      </c>
      <c r="V537" s="267" t="s">
        <v>944</v>
      </c>
    </row>
    <row r="538" spans="1:22" hidden="1" x14ac:dyDescent="0.25">
      <c r="A538" s="266">
        <v>43489</v>
      </c>
      <c r="B538" s="267">
        <v>2019</v>
      </c>
      <c r="C538" s="267">
        <v>2019</v>
      </c>
      <c r="D538" s="267">
        <v>1</v>
      </c>
      <c r="E538" s="267">
        <v>1</v>
      </c>
      <c r="F538" s="267" t="s">
        <v>944</v>
      </c>
      <c r="G538" s="267" t="s">
        <v>3926</v>
      </c>
      <c r="H538" s="267" t="s">
        <v>4639</v>
      </c>
      <c r="I538" s="267" t="s">
        <v>3010</v>
      </c>
      <c r="J538" s="267" t="s">
        <v>3928</v>
      </c>
      <c r="K538" s="267">
        <v>6401</v>
      </c>
      <c r="L538" s="267">
        <v>125100</v>
      </c>
      <c r="M538" s="267" t="s">
        <v>3960</v>
      </c>
      <c r="N538" s="267" t="s">
        <v>3944</v>
      </c>
      <c r="O538" s="267">
        <v>4904.8999999999996</v>
      </c>
      <c r="P538" s="267" t="s">
        <v>3944</v>
      </c>
      <c r="Q538" s="267" t="s">
        <v>3944</v>
      </c>
      <c r="R538" s="267">
        <v>4904.8999999999996</v>
      </c>
      <c r="S538" s="267">
        <v>81705.3</v>
      </c>
      <c r="T538" s="267">
        <v>86610.2</v>
      </c>
      <c r="U538" s="268" t="s">
        <v>3945</v>
      </c>
      <c r="V538" s="267" t="s">
        <v>944</v>
      </c>
    </row>
    <row r="539" spans="1:22" hidden="1" x14ac:dyDescent="0.25">
      <c r="A539" s="269">
        <v>43489</v>
      </c>
      <c r="B539" s="270">
        <v>2019</v>
      </c>
      <c r="C539" s="270">
        <v>2019</v>
      </c>
      <c r="D539" s="270">
        <v>1</v>
      </c>
      <c r="E539" s="270">
        <v>1</v>
      </c>
      <c r="F539" s="270" t="s">
        <v>944</v>
      </c>
      <c r="G539" s="270" t="s">
        <v>3926</v>
      </c>
      <c r="H539" s="270" t="s">
        <v>4640</v>
      </c>
      <c r="I539" s="270" t="s">
        <v>4250</v>
      </c>
      <c r="J539" s="270" t="s">
        <v>3928</v>
      </c>
      <c r="K539" s="270">
        <v>6241</v>
      </c>
      <c r="L539" s="270">
        <v>904400</v>
      </c>
      <c r="M539" s="270" t="s">
        <v>3940</v>
      </c>
      <c r="N539" s="270" t="s">
        <v>3944</v>
      </c>
      <c r="O539" s="270">
        <v>729.82</v>
      </c>
      <c r="P539" s="270" t="s">
        <v>3944</v>
      </c>
      <c r="Q539" s="270" t="s">
        <v>3944</v>
      </c>
      <c r="R539" s="270">
        <v>729.82</v>
      </c>
      <c r="S539" s="270">
        <v>9615.09</v>
      </c>
      <c r="T539" s="270">
        <v>10344.91</v>
      </c>
      <c r="U539" s="271" t="s">
        <v>3945</v>
      </c>
      <c r="V539" s="267" t="s">
        <v>944</v>
      </c>
    </row>
    <row r="540" spans="1:22" hidden="1" x14ac:dyDescent="0.25">
      <c r="A540" s="266">
        <v>43489</v>
      </c>
      <c r="B540" s="267">
        <v>2019</v>
      </c>
      <c r="C540" s="267">
        <v>2019</v>
      </c>
      <c r="D540" s="267">
        <v>1</v>
      </c>
      <c r="E540" s="267">
        <v>1</v>
      </c>
      <c r="F540" s="267" t="s">
        <v>944</v>
      </c>
      <c r="G540" s="267" t="s">
        <v>3926</v>
      </c>
      <c r="H540" s="267" t="s">
        <v>4641</v>
      </c>
      <c r="I540" s="267" t="s">
        <v>956</v>
      </c>
      <c r="J540" s="267" t="s">
        <v>3928</v>
      </c>
      <c r="K540" s="267">
        <v>6614</v>
      </c>
      <c r="L540" s="267">
        <v>80100</v>
      </c>
      <c r="M540" s="267" t="s">
        <v>3935</v>
      </c>
      <c r="N540" s="267" t="s">
        <v>3944</v>
      </c>
      <c r="O540" s="267">
        <v>548.35</v>
      </c>
      <c r="P540" s="267" t="s">
        <v>3944</v>
      </c>
      <c r="Q540" s="267" t="s">
        <v>3944</v>
      </c>
      <c r="R540" s="267">
        <v>548.35</v>
      </c>
      <c r="S540" s="267">
        <v>10519.96</v>
      </c>
      <c r="T540" s="267">
        <v>11068.31</v>
      </c>
      <c r="U540" s="268" t="s">
        <v>3945</v>
      </c>
      <c r="V540" s="267" t="s">
        <v>944</v>
      </c>
    </row>
    <row r="541" spans="1:22" hidden="1" x14ac:dyDescent="0.25">
      <c r="A541" s="269">
        <v>43489</v>
      </c>
      <c r="B541" s="270">
        <v>2019</v>
      </c>
      <c r="C541" s="270">
        <v>2019</v>
      </c>
      <c r="D541" s="270">
        <v>1</v>
      </c>
      <c r="E541" s="270">
        <v>1</v>
      </c>
      <c r="F541" s="270" t="s">
        <v>944</v>
      </c>
      <c r="G541" s="270" t="s">
        <v>3926</v>
      </c>
      <c r="H541" s="270" t="s">
        <v>4642</v>
      </c>
      <c r="I541" s="270" t="s">
        <v>3934</v>
      </c>
      <c r="J541" s="270" t="s">
        <v>3928</v>
      </c>
      <c r="K541" s="270">
        <v>6405</v>
      </c>
      <c r="L541" s="270">
        <v>184700</v>
      </c>
      <c r="M541" s="270" t="s">
        <v>3935</v>
      </c>
      <c r="N541" s="270" t="s">
        <v>3944</v>
      </c>
      <c r="O541" s="270">
        <v>1359.47</v>
      </c>
      <c r="P541" s="270" t="s">
        <v>3944</v>
      </c>
      <c r="Q541" s="270" t="s">
        <v>3944</v>
      </c>
      <c r="R541" s="270">
        <v>1359.47</v>
      </c>
      <c r="S541" s="270">
        <v>17379.73</v>
      </c>
      <c r="T541" s="270">
        <v>18739.2</v>
      </c>
      <c r="U541" s="271" t="s">
        <v>3945</v>
      </c>
      <c r="V541" s="267" t="s">
        <v>944</v>
      </c>
    </row>
    <row r="542" spans="1:22" hidden="1" x14ac:dyDescent="0.25">
      <c r="A542" s="266">
        <v>43489</v>
      </c>
      <c r="B542" s="267">
        <v>2019</v>
      </c>
      <c r="C542" s="267">
        <v>2019</v>
      </c>
      <c r="D542" s="267">
        <v>1</v>
      </c>
      <c r="E542" s="267">
        <v>1</v>
      </c>
      <c r="F542" s="267" t="s">
        <v>944</v>
      </c>
      <c r="G542" s="267" t="s">
        <v>3926</v>
      </c>
      <c r="H542" s="267" t="s">
        <v>4643</v>
      </c>
      <c r="I542" s="267" t="s">
        <v>4019</v>
      </c>
      <c r="J542" s="267" t="s">
        <v>3928</v>
      </c>
      <c r="K542" s="267">
        <v>6705</v>
      </c>
      <c r="L542" s="267">
        <v>352600</v>
      </c>
      <c r="M542" s="267">
        <v>-60</v>
      </c>
      <c r="N542" s="267" t="s">
        <v>3944</v>
      </c>
      <c r="O542" s="267">
        <v>1740.87</v>
      </c>
      <c r="P542" s="267" t="s">
        <v>3944</v>
      </c>
      <c r="Q542" s="267" t="s">
        <v>3944</v>
      </c>
      <c r="R542" s="267">
        <v>1740.87</v>
      </c>
      <c r="S542" s="267">
        <v>22267.51</v>
      </c>
      <c r="T542" s="267">
        <v>24008.38</v>
      </c>
      <c r="U542" s="268" t="s">
        <v>3945</v>
      </c>
      <c r="V542" s="267" t="s">
        <v>944</v>
      </c>
    </row>
    <row r="543" spans="1:22" hidden="1" x14ac:dyDescent="0.25">
      <c r="A543" s="269">
        <v>43489</v>
      </c>
      <c r="B543" s="270">
        <v>2019</v>
      </c>
      <c r="C543" s="270">
        <v>2019</v>
      </c>
      <c r="D543" s="270">
        <v>1</v>
      </c>
      <c r="E543" s="270">
        <v>1</v>
      </c>
      <c r="F543" s="270" t="s">
        <v>944</v>
      </c>
      <c r="G543" s="270" t="s">
        <v>3926</v>
      </c>
      <c r="H543" s="270" t="s">
        <v>4644</v>
      </c>
      <c r="I543" s="270" t="s">
        <v>4005</v>
      </c>
      <c r="J543" s="270" t="s">
        <v>3928</v>
      </c>
      <c r="K543" s="270">
        <v>6108</v>
      </c>
      <c r="L543" s="270">
        <v>511200</v>
      </c>
      <c r="M543" s="270">
        <v>-60</v>
      </c>
      <c r="N543" s="270" t="s">
        <v>3944</v>
      </c>
      <c r="O543" s="270">
        <v>1400.77</v>
      </c>
      <c r="P543" s="270" t="s">
        <v>3944</v>
      </c>
      <c r="Q543" s="270" t="s">
        <v>3944</v>
      </c>
      <c r="R543" s="270">
        <v>1400.77</v>
      </c>
      <c r="S543" s="270">
        <v>18019.27</v>
      </c>
      <c r="T543" s="270">
        <v>19420.04</v>
      </c>
      <c r="U543" s="271" t="s">
        <v>3945</v>
      </c>
      <c r="V543" s="267" t="s">
        <v>944</v>
      </c>
    </row>
    <row r="544" spans="1:22" hidden="1" x14ac:dyDescent="0.25">
      <c r="A544" s="266">
        <v>43489</v>
      </c>
      <c r="B544" s="267">
        <v>2019</v>
      </c>
      <c r="C544" s="267">
        <v>2019</v>
      </c>
      <c r="D544" s="267">
        <v>1</v>
      </c>
      <c r="E544" s="267">
        <v>1</v>
      </c>
      <c r="F544" s="267" t="s">
        <v>944</v>
      </c>
      <c r="G544" s="267" t="s">
        <v>3926</v>
      </c>
      <c r="H544" s="267" t="s">
        <v>4645</v>
      </c>
      <c r="I544" s="267" t="s">
        <v>953</v>
      </c>
      <c r="J544" s="267" t="s">
        <v>3928</v>
      </c>
      <c r="K544" s="267">
        <v>6518</v>
      </c>
      <c r="L544" s="267">
        <v>166001</v>
      </c>
      <c r="M544" s="267" t="s">
        <v>3935</v>
      </c>
      <c r="N544" s="267" t="s">
        <v>3944</v>
      </c>
      <c r="O544" s="267">
        <v>3498.36</v>
      </c>
      <c r="P544" s="267" t="s">
        <v>3944</v>
      </c>
      <c r="Q544" s="267" t="s">
        <v>3944</v>
      </c>
      <c r="R544" s="267">
        <v>3498.36</v>
      </c>
      <c r="S544" s="267">
        <v>57604.29</v>
      </c>
      <c r="T544" s="267">
        <v>61102.65</v>
      </c>
      <c r="U544" s="268" t="s">
        <v>3945</v>
      </c>
      <c r="V544" s="267" t="s">
        <v>944</v>
      </c>
    </row>
    <row r="545" spans="1:22" hidden="1" x14ac:dyDescent="0.25">
      <c r="A545" s="269">
        <v>43490</v>
      </c>
      <c r="B545" s="270">
        <v>2019</v>
      </c>
      <c r="C545" s="270">
        <v>2019</v>
      </c>
      <c r="D545" s="270">
        <v>1</v>
      </c>
      <c r="E545" s="270">
        <v>1</v>
      </c>
      <c r="F545" s="270" t="s">
        <v>944</v>
      </c>
      <c r="G545" s="270" t="s">
        <v>3926</v>
      </c>
      <c r="H545" s="270" t="s">
        <v>4646</v>
      </c>
      <c r="I545" s="270" t="s">
        <v>4621</v>
      </c>
      <c r="J545" s="270" t="s">
        <v>3928</v>
      </c>
      <c r="K545" s="270">
        <v>6443</v>
      </c>
      <c r="L545" s="270">
        <v>194201</v>
      </c>
      <c r="M545" s="270" t="s">
        <v>3943</v>
      </c>
      <c r="N545" s="270" t="s">
        <v>4647</v>
      </c>
      <c r="O545" s="270">
        <v>0</v>
      </c>
      <c r="P545" s="270" t="s">
        <v>3930</v>
      </c>
      <c r="Q545" s="270" t="s">
        <v>3930</v>
      </c>
      <c r="R545" s="270">
        <v>0</v>
      </c>
      <c r="S545" s="270">
        <v>9050</v>
      </c>
      <c r="T545" s="270">
        <v>9050</v>
      </c>
      <c r="U545" s="271" t="s">
        <v>3937</v>
      </c>
      <c r="V545" s="267" t="s">
        <v>944</v>
      </c>
    </row>
    <row r="546" spans="1:22" hidden="1" x14ac:dyDescent="0.25">
      <c r="A546" s="266">
        <v>43490</v>
      </c>
      <c r="B546" s="267">
        <v>2019</v>
      </c>
      <c r="C546" s="267">
        <v>2019</v>
      </c>
      <c r="D546" s="267">
        <v>1</v>
      </c>
      <c r="E546" s="267">
        <v>1</v>
      </c>
      <c r="F546" s="267" t="s">
        <v>944</v>
      </c>
      <c r="G546" s="267" t="s">
        <v>3926</v>
      </c>
      <c r="H546" s="267" t="s">
        <v>4648</v>
      </c>
      <c r="I546" s="267" t="s">
        <v>3968</v>
      </c>
      <c r="J546" s="267" t="s">
        <v>3928</v>
      </c>
      <c r="K546" s="267">
        <v>6040</v>
      </c>
      <c r="L546" s="267">
        <v>514400</v>
      </c>
      <c r="M546" s="267" t="s">
        <v>3940</v>
      </c>
      <c r="N546" s="267" t="s">
        <v>3931</v>
      </c>
      <c r="O546" s="267">
        <v>0</v>
      </c>
      <c r="P546" s="267" t="s">
        <v>3930</v>
      </c>
      <c r="Q546" s="267" t="s">
        <v>3930</v>
      </c>
      <c r="R546" s="267">
        <v>0</v>
      </c>
      <c r="S546" s="267">
        <v>7231</v>
      </c>
      <c r="T546" s="267">
        <v>7231</v>
      </c>
      <c r="U546" s="268" t="s">
        <v>3937</v>
      </c>
      <c r="V546" s="267" t="s">
        <v>944</v>
      </c>
    </row>
    <row r="547" spans="1:22" hidden="1" x14ac:dyDescent="0.25">
      <c r="A547" s="269">
        <v>43490</v>
      </c>
      <c r="B547" s="270">
        <v>2019</v>
      </c>
      <c r="C547" s="270">
        <v>2019</v>
      </c>
      <c r="D547" s="270">
        <v>1</v>
      </c>
      <c r="E547" s="270">
        <v>1</v>
      </c>
      <c r="F547" s="270" t="s">
        <v>944</v>
      </c>
      <c r="G547" s="270" t="s">
        <v>3926</v>
      </c>
      <c r="H547" s="270" t="s">
        <v>4649</v>
      </c>
      <c r="I547" s="270" t="s">
        <v>4197</v>
      </c>
      <c r="J547" s="270" t="s">
        <v>3928</v>
      </c>
      <c r="K547" s="270">
        <v>6776</v>
      </c>
      <c r="L547" s="270">
        <v>253400</v>
      </c>
      <c r="M547" s="270" t="s">
        <v>3943</v>
      </c>
      <c r="N547" s="270" t="s">
        <v>4495</v>
      </c>
      <c r="O547" s="270">
        <v>1980.51</v>
      </c>
      <c r="P547" s="270" t="s">
        <v>3930</v>
      </c>
      <c r="Q547" s="270" t="s">
        <v>3931</v>
      </c>
      <c r="R547" s="270">
        <v>6980.51</v>
      </c>
      <c r="S547" s="270">
        <v>33976</v>
      </c>
      <c r="T547" s="270">
        <v>40956.51</v>
      </c>
      <c r="U547" s="271" t="s">
        <v>3932</v>
      </c>
      <c r="V547" s="267" t="s">
        <v>944</v>
      </c>
    </row>
    <row r="548" spans="1:22" hidden="1" x14ac:dyDescent="0.25">
      <c r="A548" s="266">
        <v>43490</v>
      </c>
      <c r="B548" s="267">
        <v>2019</v>
      </c>
      <c r="C548" s="267">
        <v>2019</v>
      </c>
      <c r="D548" s="267">
        <v>1</v>
      </c>
      <c r="E548" s="267">
        <v>1</v>
      </c>
      <c r="F548" s="267" t="s">
        <v>944</v>
      </c>
      <c r="G548" s="267" t="s">
        <v>3926</v>
      </c>
      <c r="H548" s="267" t="s">
        <v>4650</v>
      </c>
      <c r="I548" s="267" t="s">
        <v>3975</v>
      </c>
      <c r="J548" s="267" t="s">
        <v>3928</v>
      </c>
      <c r="K548" s="267">
        <v>6489</v>
      </c>
      <c r="L548" s="267">
        <v>430500</v>
      </c>
      <c r="M548" s="267" t="s">
        <v>3943</v>
      </c>
      <c r="N548" s="267" t="s">
        <v>3944</v>
      </c>
      <c r="O548" s="267">
        <v>3080</v>
      </c>
      <c r="P548" s="267" t="s">
        <v>3944</v>
      </c>
      <c r="Q548" s="267" t="s">
        <v>3944</v>
      </c>
      <c r="R548" s="267">
        <v>3080</v>
      </c>
      <c r="S548" s="267">
        <v>45105.82</v>
      </c>
      <c r="T548" s="267">
        <v>48185.82</v>
      </c>
      <c r="U548" s="268" t="s">
        <v>3945</v>
      </c>
      <c r="V548" s="267" t="s">
        <v>944</v>
      </c>
    </row>
    <row r="549" spans="1:22" hidden="1" x14ac:dyDescent="0.25">
      <c r="A549" s="269">
        <v>43490</v>
      </c>
      <c r="B549" s="270">
        <v>2019</v>
      </c>
      <c r="C549" s="270">
        <v>2019</v>
      </c>
      <c r="D549" s="270">
        <v>1</v>
      </c>
      <c r="E549" s="270">
        <v>1</v>
      </c>
      <c r="F549" s="270" t="s">
        <v>944</v>
      </c>
      <c r="G549" s="270" t="s">
        <v>3926</v>
      </c>
      <c r="H549" s="270" t="s">
        <v>4651</v>
      </c>
      <c r="I549" s="270" t="s">
        <v>956</v>
      </c>
      <c r="J549" s="270" t="s">
        <v>3928</v>
      </c>
      <c r="K549" s="270">
        <v>6614</v>
      </c>
      <c r="L549" s="270">
        <v>81000</v>
      </c>
      <c r="M549" s="270" t="s">
        <v>3940</v>
      </c>
      <c r="N549" s="270" t="s">
        <v>3944</v>
      </c>
      <c r="O549" s="270">
        <v>2729</v>
      </c>
      <c r="P549" s="270" t="s">
        <v>3944</v>
      </c>
      <c r="Q549" s="270" t="s">
        <v>3944</v>
      </c>
      <c r="R549" s="270">
        <v>2729</v>
      </c>
      <c r="S549" s="270">
        <v>33959.980000000003</v>
      </c>
      <c r="T549" s="270">
        <v>36688.980000000003</v>
      </c>
      <c r="U549" s="271" t="s">
        <v>3945</v>
      </c>
      <c r="V549" s="267" t="s">
        <v>944</v>
      </c>
    </row>
    <row r="550" spans="1:22" hidden="1" x14ac:dyDescent="0.25">
      <c r="A550" s="266">
        <v>43490</v>
      </c>
      <c r="B550" s="267">
        <v>2019</v>
      </c>
      <c r="C550" s="267">
        <v>2019</v>
      </c>
      <c r="D550" s="267">
        <v>1</v>
      </c>
      <c r="E550" s="267">
        <v>1</v>
      </c>
      <c r="F550" s="267" t="s">
        <v>944</v>
      </c>
      <c r="G550" s="267" t="s">
        <v>3926</v>
      </c>
      <c r="H550" s="267" t="s">
        <v>4652</v>
      </c>
      <c r="I550" s="267" t="s">
        <v>3962</v>
      </c>
      <c r="J550" s="267" t="s">
        <v>3928</v>
      </c>
      <c r="K550" s="267">
        <v>6355</v>
      </c>
      <c r="L550" s="267">
        <v>702100</v>
      </c>
      <c r="M550" s="267" t="s">
        <v>3960</v>
      </c>
      <c r="N550" s="267" t="s">
        <v>3944</v>
      </c>
      <c r="O550" s="267">
        <v>1618.12</v>
      </c>
      <c r="P550" s="267" t="s">
        <v>3944</v>
      </c>
      <c r="Q550" s="267" t="s">
        <v>3944</v>
      </c>
      <c r="R550" s="267">
        <v>1618.12</v>
      </c>
      <c r="S550" s="267">
        <v>23098.55</v>
      </c>
      <c r="T550" s="267">
        <v>24716.67</v>
      </c>
      <c r="U550" s="268" t="s">
        <v>3945</v>
      </c>
      <c r="V550" s="267" t="s">
        <v>944</v>
      </c>
    </row>
    <row r="551" spans="1:22" x14ac:dyDescent="0.25">
      <c r="A551" s="269">
        <v>43490</v>
      </c>
      <c r="B551" s="270">
        <v>2019</v>
      </c>
      <c r="C551" s="270">
        <v>2019</v>
      </c>
      <c r="D551" s="270">
        <v>1</v>
      </c>
      <c r="E551" s="270">
        <v>1</v>
      </c>
      <c r="F551" s="270" t="s">
        <v>944</v>
      </c>
      <c r="G551" s="270" t="s">
        <v>3926</v>
      </c>
      <c r="H551" s="270" t="s">
        <v>4653</v>
      </c>
      <c r="I551" s="270" t="s">
        <v>950</v>
      </c>
      <c r="J551" s="270" t="s">
        <v>3928</v>
      </c>
      <c r="K551" s="270">
        <v>6516</v>
      </c>
      <c r="L551" s="270">
        <v>155100</v>
      </c>
      <c r="M551" s="270">
        <v>-60</v>
      </c>
      <c r="N551" s="270" t="s">
        <v>3944</v>
      </c>
      <c r="O551" s="270">
        <v>1126.1600000000001</v>
      </c>
      <c r="P551" s="270" t="s">
        <v>3944</v>
      </c>
      <c r="Q551" s="270" t="s">
        <v>3944</v>
      </c>
      <c r="R551" s="270">
        <v>1126.1600000000001</v>
      </c>
      <c r="S551" s="270">
        <v>16891.84</v>
      </c>
      <c r="T551" s="270">
        <v>18018</v>
      </c>
      <c r="U551" s="271" t="s">
        <v>3945</v>
      </c>
      <c r="V551" s="276" t="s">
        <v>936</v>
      </c>
    </row>
    <row r="552" spans="1:22" x14ac:dyDescent="0.25">
      <c r="A552" s="266">
        <v>43490</v>
      </c>
      <c r="B552" s="267">
        <v>2019</v>
      </c>
      <c r="C552" s="267">
        <v>2019</v>
      </c>
      <c r="D552" s="267">
        <v>1</v>
      </c>
      <c r="E552" s="267">
        <v>1</v>
      </c>
      <c r="F552" s="267" t="s">
        <v>944</v>
      </c>
      <c r="G552" s="267" t="s">
        <v>3926</v>
      </c>
      <c r="H552" s="267" t="s">
        <v>4654</v>
      </c>
      <c r="I552" s="267" t="s">
        <v>950</v>
      </c>
      <c r="J552" s="267" t="s">
        <v>3928</v>
      </c>
      <c r="K552" s="267">
        <v>6516</v>
      </c>
      <c r="L552" s="267">
        <v>155100</v>
      </c>
      <c r="M552" s="267">
        <v>-60</v>
      </c>
      <c r="N552" s="267" t="s">
        <v>3944</v>
      </c>
      <c r="O552" s="267">
        <v>1282.96</v>
      </c>
      <c r="P552" s="267" t="s">
        <v>3944</v>
      </c>
      <c r="Q552" s="267" t="s">
        <v>3944</v>
      </c>
      <c r="R552" s="267">
        <v>1282.96</v>
      </c>
      <c r="S552" s="267">
        <v>20009.71</v>
      </c>
      <c r="T552" s="267">
        <v>21292.67</v>
      </c>
      <c r="U552" s="268" t="s">
        <v>3945</v>
      </c>
      <c r="V552" s="276" t="s">
        <v>936</v>
      </c>
    </row>
    <row r="553" spans="1:22" hidden="1" x14ac:dyDescent="0.25">
      <c r="A553" s="269">
        <v>43490</v>
      </c>
      <c r="B553" s="270">
        <v>2019</v>
      </c>
      <c r="C553" s="270">
        <v>2019</v>
      </c>
      <c r="D553" s="270">
        <v>1</v>
      </c>
      <c r="E553" s="270">
        <v>1</v>
      </c>
      <c r="F553" s="270" t="s">
        <v>944</v>
      </c>
      <c r="G553" s="270" t="s">
        <v>3926</v>
      </c>
      <c r="H553" s="270" t="s">
        <v>4655</v>
      </c>
      <c r="I553" s="270" t="s">
        <v>3966</v>
      </c>
      <c r="J553" s="270" t="s">
        <v>3928</v>
      </c>
      <c r="K553" s="270">
        <v>6010</v>
      </c>
      <c r="L553" s="270">
        <v>405100</v>
      </c>
      <c r="M553" s="270" t="s">
        <v>3935</v>
      </c>
      <c r="N553" s="270" t="s">
        <v>3944</v>
      </c>
      <c r="O553" s="270">
        <v>2135.77</v>
      </c>
      <c r="P553" s="270" t="s">
        <v>3944</v>
      </c>
      <c r="Q553" s="270" t="s">
        <v>3944</v>
      </c>
      <c r="R553" s="270">
        <v>2135.77</v>
      </c>
      <c r="S553" s="270">
        <v>26579.23</v>
      </c>
      <c r="T553" s="270">
        <v>28715</v>
      </c>
      <c r="U553" s="271" t="s">
        <v>3945</v>
      </c>
      <c r="V553" s="267" t="s">
        <v>944</v>
      </c>
    </row>
    <row r="554" spans="1:22" hidden="1" x14ac:dyDescent="0.25">
      <c r="A554" s="266">
        <v>43490</v>
      </c>
      <c r="B554" s="267">
        <v>2019</v>
      </c>
      <c r="C554" s="267">
        <v>2019</v>
      </c>
      <c r="D554" s="267">
        <v>1</v>
      </c>
      <c r="E554" s="267">
        <v>1</v>
      </c>
      <c r="F554" s="267" t="s">
        <v>944</v>
      </c>
      <c r="G554" s="267" t="s">
        <v>3926</v>
      </c>
      <c r="H554" s="267" t="s">
        <v>4656</v>
      </c>
      <c r="I554" s="267" t="s">
        <v>4008</v>
      </c>
      <c r="J554" s="267" t="s">
        <v>3928</v>
      </c>
      <c r="K554" s="267">
        <v>6320</v>
      </c>
      <c r="L554" s="267">
        <v>690800</v>
      </c>
      <c r="M554" s="267">
        <v>-60</v>
      </c>
      <c r="N554" s="267" t="s">
        <v>3944</v>
      </c>
      <c r="O554" s="267">
        <v>1100.8599999999999</v>
      </c>
      <c r="P554" s="267" t="s">
        <v>3944</v>
      </c>
      <c r="Q554" s="267" t="s">
        <v>3944</v>
      </c>
      <c r="R554" s="267">
        <v>1100.8599999999999</v>
      </c>
      <c r="S554" s="267">
        <v>15123.62</v>
      </c>
      <c r="T554" s="267">
        <v>16224.48</v>
      </c>
      <c r="U554" s="268" t="s">
        <v>3945</v>
      </c>
      <c r="V554" s="267" t="s">
        <v>944</v>
      </c>
    </row>
    <row r="555" spans="1:22" hidden="1" x14ac:dyDescent="0.25">
      <c r="A555" s="269">
        <v>43490</v>
      </c>
      <c r="B555" s="270">
        <v>2019</v>
      </c>
      <c r="C555" s="270">
        <v>2019</v>
      </c>
      <c r="D555" s="270">
        <v>1</v>
      </c>
      <c r="E555" s="270">
        <v>1</v>
      </c>
      <c r="F555" s="270" t="s">
        <v>944</v>
      </c>
      <c r="G555" s="270" t="s">
        <v>3926</v>
      </c>
      <c r="H555" s="270" t="s">
        <v>4657</v>
      </c>
      <c r="I555" s="270" t="s">
        <v>3009</v>
      </c>
      <c r="J555" s="270" t="s">
        <v>3928</v>
      </c>
      <c r="K555" s="270">
        <v>6484</v>
      </c>
      <c r="L555" s="270">
        <v>110202</v>
      </c>
      <c r="M555" s="270" t="s">
        <v>3935</v>
      </c>
      <c r="N555" s="270" t="s">
        <v>3944</v>
      </c>
      <c r="O555" s="270">
        <v>2694.27</v>
      </c>
      <c r="P555" s="270" t="s">
        <v>3944</v>
      </c>
      <c r="Q555" s="270" t="s">
        <v>3944</v>
      </c>
      <c r="R555" s="270">
        <v>2694.27</v>
      </c>
      <c r="S555" s="270">
        <v>36782.559999999998</v>
      </c>
      <c r="T555" s="270">
        <v>39476.83</v>
      </c>
      <c r="U555" s="271" t="s">
        <v>3945</v>
      </c>
      <c r="V555" s="267" t="s">
        <v>944</v>
      </c>
    </row>
    <row r="556" spans="1:22" hidden="1" x14ac:dyDescent="0.25">
      <c r="A556" s="266">
        <v>43490</v>
      </c>
      <c r="B556" s="267">
        <v>2019</v>
      </c>
      <c r="C556" s="267">
        <v>2019</v>
      </c>
      <c r="D556" s="267">
        <v>1</v>
      </c>
      <c r="E556" s="267">
        <v>1</v>
      </c>
      <c r="F556" s="267" t="s">
        <v>944</v>
      </c>
      <c r="G556" s="267" t="s">
        <v>3926</v>
      </c>
      <c r="H556" s="267" t="s">
        <v>4658</v>
      </c>
      <c r="I556" s="267" t="s">
        <v>3964</v>
      </c>
      <c r="J556" s="267" t="s">
        <v>3928</v>
      </c>
      <c r="K556" s="267">
        <v>6033</v>
      </c>
      <c r="L556" s="267">
        <v>520202</v>
      </c>
      <c r="M556" s="267" t="s">
        <v>3943</v>
      </c>
      <c r="N556" s="267" t="s">
        <v>3944</v>
      </c>
      <c r="O556" s="267">
        <v>4347.42</v>
      </c>
      <c r="P556" s="267" t="s">
        <v>3944</v>
      </c>
      <c r="Q556" s="267" t="s">
        <v>3944</v>
      </c>
      <c r="R556" s="267">
        <v>4347.42</v>
      </c>
      <c r="S556" s="267">
        <v>58173.78</v>
      </c>
      <c r="T556" s="267">
        <v>62521.2</v>
      </c>
      <c r="U556" s="268" t="s">
        <v>3945</v>
      </c>
      <c r="V556" s="267" t="s">
        <v>944</v>
      </c>
    </row>
    <row r="557" spans="1:22" hidden="1" x14ac:dyDescent="0.25">
      <c r="A557" s="269">
        <v>43490</v>
      </c>
      <c r="B557" s="270">
        <v>2019</v>
      </c>
      <c r="C557" s="270">
        <v>2019</v>
      </c>
      <c r="D557" s="270">
        <v>1</v>
      </c>
      <c r="E557" s="270">
        <v>1</v>
      </c>
      <c r="F557" s="270" t="s">
        <v>944</v>
      </c>
      <c r="G557" s="270" t="s">
        <v>3926</v>
      </c>
      <c r="H557" s="270" t="s">
        <v>4659</v>
      </c>
      <c r="I557" s="270" t="s">
        <v>4108</v>
      </c>
      <c r="J557" s="270" t="s">
        <v>3928</v>
      </c>
      <c r="K557" s="270">
        <v>6082</v>
      </c>
      <c r="L557" s="270">
        <v>481200</v>
      </c>
      <c r="M557" s="270" t="s">
        <v>3960</v>
      </c>
      <c r="N557" s="270" t="s">
        <v>3944</v>
      </c>
      <c r="O557" s="270">
        <v>2858.14</v>
      </c>
      <c r="P557" s="270" t="s">
        <v>3944</v>
      </c>
      <c r="Q557" s="270" t="s">
        <v>3944</v>
      </c>
      <c r="R557" s="270">
        <v>2858.14</v>
      </c>
      <c r="S557" s="270">
        <v>42089.3</v>
      </c>
      <c r="T557" s="270">
        <v>44947.44</v>
      </c>
      <c r="U557" s="271" t="s">
        <v>3945</v>
      </c>
      <c r="V557" s="267" t="s">
        <v>944</v>
      </c>
    </row>
    <row r="558" spans="1:22" hidden="1" x14ac:dyDescent="0.25">
      <c r="A558" s="266">
        <v>43490</v>
      </c>
      <c r="B558" s="267">
        <v>2019</v>
      </c>
      <c r="C558" s="267">
        <v>2019</v>
      </c>
      <c r="D558" s="267">
        <v>1</v>
      </c>
      <c r="E558" s="267">
        <v>1</v>
      </c>
      <c r="F558" s="267" t="s">
        <v>944</v>
      </c>
      <c r="G558" s="267" t="s">
        <v>3926</v>
      </c>
      <c r="H558" s="267" t="s">
        <v>4660</v>
      </c>
      <c r="I558" s="267" t="s">
        <v>3966</v>
      </c>
      <c r="J558" s="267" t="s">
        <v>3928</v>
      </c>
      <c r="K558" s="267">
        <v>6010</v>
      </c>
      <c r="L558" s="267">
        <v>405600</v>
      </c>
      <c r="M558" s="267" t="s">
        <v>3940</v>
      </c>
      <c r="N558" s="267" t="s">
        <v>3944</v>
      </c>
      <c r="O558" s="267">
        <v>2026.26</v>
      </c>
      <c r="P558" s="267" t="s">
        <v>3944</v>
      </c>
      <c r="Q558" s="267" t="s">
        <v>3944</v>
      </c>
      <c r="R558" s="267">
        <v>2026.26</v>
      </c>
      <c r="S558" s="267">
        <v>27020.37</v>
      </c>
      <c r="T558" s="267">
        <v>29046.63</v>
      </c>
      <c r="U558" s="268" t="s">
        <v>3945</v>
      </c>
      <c r="V558" s="267" t="s">
        <v>944</v>
      </c>
    </row>
    <row r="559" spans="1:22" hidden="1" x14ac:dyDescent="0.25">
      <c r="A559" s="269">
        <v>43490</v>
      </c>
      <c r="B559" s="270">
        <v>2019</v>
      </c>
      <c r="C559" s="270">
        <v>2019</v>
      </c>
      <c r="D559" s="270">
        <v>1</v>
      </c>
      <c r="E559" s="270">
        <v>1</v>
      </c>
      <c r="F559" s="270" t="s">
        <v>944</v>
      </c>
      <c r="G559" s="270" t="s">
        <v>3926</v>
      </c>
      <c r="H559" s="270" t="s">
        <v>4661</v>
      </c>
      <c r="I559" s="270" t="s">
        <v>950</v>
      </c>
      <c r="J559" s="270" t="s">
        <v>3928</v>
      </c>
      <c r="K559" s="270">
        <v>6516</v>
      </c>
      <c r="L559" s="270">
        <v>154100</v>
      </c>
      <c r="M559" s="270" t="s">
        <v>3940</v>
      </c>
      <c r="N559" s="270" t="s">
        <v>3944</v>
      </c>
      <c r="O559" s="270">
        <v>2029.37</v>
      </c>
      <c r="P559" s="270" t="s">
        <v>3944</v>
      </c>
      <c r="Q559" s="270" t="s">
        <v>3944</v>
      </c>
      <c r="R559" s="270">
        <v>2029.37</v>
      </c>
      <c r="S559" s="270">
        <v>32358.21</v>
      </c>
      <c r="T559" s="270">
        <v>34387.58</v>
      </c>
      <c r="U559" s="271" t="s">
        <v>3945</v>
      </c>
      <c r="V559" s="267" t="s">
        <v>944</v>
      </c>
    </row>
    <row r="560" spans="1:22" hidden="1" x14ac:dyDescent="0.25">
      <c r="A560" s="266">
        <v>43490</v>
      </c>
      <c r="B560" s="267">
        <v>2019</v>
      </c>
      <c r="C560" s="267">
        <v>2019</v>
      </c>
      <c r="D560" s="267">
        <v>1</v>
      </c>
      <c r="E560" s="267">
        <v>1</v>
      </c>
      <c r="F560" s="267" t="s">
        <v>944</v>
      </c>
      <c r="G560" s="267" t="s">
        <v>3926</v>
      </c>
      <c r="H560" s="267" t="s">
        <v>4662</v>
      </c>
      <c r="I560" s="267" t="s">
        <v>4200</v>
      </c>
      <c r="J560" s="267" t="s">
        <v>3928</v>
      </c>
      <c r="K560" s="267">
        <v>6795</v>
      </c>
      <c r="L560" s="267">
        <v>360300</v>
      </c>
      <c r="M560" s="267" t="s">
        <v>3935</v>
      </c>
      <c r="N560" s="267" t="s">
        <v>4663</v>
      </c>
      <c r="O560" s="267"/>
      <c r="P560" s="267" t="s">
        <v>3944</v>
      </c>
      <c r="Q560" s="267" t="s">
        <v>3930</v>
      </c>
      <c r="R560" s="267">
        <v>0</v>
      </c>
      <c r="S560" s="267">
        <v>428520</v>
      </c>
      <c r="T560" s="267">
        <v>428520</v>
      </c>
      <c r="U560" s="268" t="s">
        <v>4099</v>
      </c>
      <c r="V560" s="267" t="s">
        <v>944</v>
      </c>
    </row>
    <row r="561" spans="1:22" hidden="1" x14ac:dyDescent="0.25">
      <c r="A561" s="269">
        <v>43491</v>
      </c>
      <c r="B561" s="270">
        <v>2019</v>
      </c>
      <c r="C561" s="270">
        <v>2019</v>
      </c>
      <c r="D561" s="270">
        <v>1</v>
      </c>
      <c r="E561" s="270">
        <v>1</v>
      </c>
      <c r="F561" s="270" t="s">
        <v>944</v>
      </c>
      <c r="G561" s="270" t="s">
        <v>3926</v>
      </c>
      <c r="H561" s="270" t="s">
        <v>4664</v>
      </c>
      <c r="I561" s="270" t="s">
        <v>4665</v>
      </c>
      <c r="J561" s="270" t="s">
        <v>3928</v>
      </c>
      <c r="K561" s="270">
        <v>6013</v>
      </c>
      <c r="L561" s="270">
        <v>410101</v>
      </c>
      <c r="M561" s="270" t="s">
        <v>3943</v>
      </c>
      <c r="N561" s="270" t="s">
        <v>3929</v>
      </c>
      <c r="O561" s="270">
        <v>6314.31</v>
      </c>
      <c r="P561" s="270" t="s">
        <v>3930</v>
      </c>
      <c r="Q561" s="270" t="s">
        <v>3931</v>
      </c>
      <c r="R561" s="270">
        <v>11314.31</v>
      </c>
      <c r="S561" s="270">
        <v>34744</v>
      </c>
      <c r="T561" s="270">
        <v>46058.31</v>
      </c>
      <c r="U561" s="271" t="s">
        <v>3932</v>
      </c>
      <c r="V561" s="267" t="s">
        <v>944</v>
      </c>
    </row>
    <row r="562" spans="1:22" x14ac:dyDescent="0.25">
      <c r="A562" s="266">
        <v>43491</v>
      </c>
      <c r="B562" s="267">
        <v>2019</v>
      </c>
      <c r="C562" s="267">
        <v>2019</v>
      </c>
      <c r="D562" s="267">
        <v>1</v>
      </c>
      <c r="E562" s="267">
        <v>1</v>
      </c>
      <c r="F562" s="267" t="s">
        <v>944</v>
      </c>
      <c r="G562" s="267" t="s">
        <v>3926</v>
      </c>
      <c r="H562" s="267" t="s">
        <v>4666</v>
      </c>
      <c r="I562" s="267" t="s">
        <v>4213</v>
      </c>
      <c r="J562" s="267" t="s">
        <v>3928</v>
      </c>
      <c r="K562" s="267">
        <v>6053</v>
      </c>
      <c r="L562" s="267">
        <v>415900</v>
      </c>
      <c r="M562" s="267">
        <v>-60</v>
      </c>
      <c r="N562" s="267" t="s">
        <v>3929</v>
      </c>
      <c r="O562" s="267">
        <v>5618.88</v>
      </c>
      <c r="P562" s="267" t="s">
        <v>3930</v>
      </c>
      <c r="Q562" s="267" t="s">
        <v>3931</v>
      </c>
      <c r="R562" s="267">
        <v>10618.88</v>
      </c>
      <c r="S562" s="267">
        <v>34744</v>
      </c>
      <c r="T562" s="267">
        <v>45362.879999999997</v>
      </c>
      <c r="U562" s="268" t="s">
        <v>3932</v>
      </c>
      <c r="V562" s="267" t="s">
        <v>936</v>
      </c>
    </row>
    <row r="563" spans="1:22" hidden="1" x14ac:dyDescent="0.25">
      <c r="A563" s="269">
        <v>43491</v>
      </c>
      <c r="B563" s="270">
        <v>2019</v>
      </c>
      <c r="C563" s="270">
        <v>2019</v>
      </c>
      <c r="D563" s="270">
        <v>1</v>
      </c>
      <c r="E563" s="270">
        <v>1</v>
      </c>
      <c r="F563" s="270" t="s">
        <v>944</v>
      </c>
      <c r="G563" s="270" t="s">
        <v>3926</v>
      </c>
      <c r="H563" s="270" t="s">
        <v>4667</v>
      </c>
      <c r="I563" s="270" t="s">
        <v>3956</v>
      </c>
      <c r="J563" s="270" t="s">
        <v>3928</v>
      </c>
      <c r="K563" s="270">
        <v>6106</v>
      </c>
      <c r="L563" s="270">
        <v>504800</v>
      </c>
      <c r="M563" s="270" t="s">
        <v>3940</v>
      </c>
      <c r="N563" s="270" t="s">
        <v>3986</v>
      </c>
      <c r="O563" s="270">
        <v>1182.1600000000001</v>
      </c>
      <c r="P563" s="270" t="s">
        <v>3930</v>
      </c>
      <c r="Q563" s="270" t="s">
        <v>3931</v>
      </c>
      <c r="R563" s="270">
        <v>6182.16</v>
      </c>
      <c r="S563" s="270">
        <v>16196.8</v>
      </c>
      <c r="T563" s="270">
        <v>22378.959999999999</v>
      </c>
      <c r="U563" s="271" t="s">
        <v>3932</v>
      </c>
      <c r="V563" s="267" t="s">
        <v>944</v>
      </c>
    </row>
    <row r="564" spans="1:22" hidden="1" x14ac:dyDescent="0.25">
      <c r="A564" s="266">
        <v>43491</v>
      </c>
      <c r="B564" s="267">
        <v>2019</v>
      </c>
      <c r="C564" s="267">
        <v>2019</v>
      </c>
      <c r="D564" s="267">
        <v>1</v>
      </c>
      <c r="E564" s="267">
        <v>1</v>
      </c>
      <c r="F564" s="267" t="s">
        <v>944</v>
      </c>
      <c r="G564" s="267" t="s">
        <v>3926</v>
      </c>
      <c r="H564" s="267" t="s">
        <v>4668</v>
      </c>
      <c r="I564" s="267" t="s">
        <v>3999</v>
      </c>
      <c r="J564" s="267" t="s">
        <v>3928</v>
      </c>
      <c r="K564" s="267">
        <v>6451</v>
      </c>
      <c r="L564" s="267">
        <v>170600</v>
      </c>
      <c r="M564" s="267" t="s">
        <v>3940</v>
      </c>
      <c r="N564" s="267" t="s">
        <v>4103</v>
      </c>
      <c r="O564" s="267">
        <v>3820.69</v>
      </c>
      <c r="P564" s="267" t="s">
        <v>3930</v>
      </c>
      <c r="Q564" s="267" t="s">
        <v>3931</v>
      </c>
      <c r="R564" s="267">
        <v>8820.69</v>
      </c>
      <c r="S564" s="267">
        <v>24145.599999999999</v>
      </c>
      <c r="T564" s="267">
        <v>32966.29</v>
      </c>
      <c r="U564" s="268" t="s">
        <v>3932</v>
      </c>
      <c r="V564" s="267" t="s">
        <v>944</v>
      </c>
    </row>
    <row r="565" spans="1:22" hidden="1" x14ac:dyDescent="0.25">
      <c r="A565" s="269">
        <v>43491</v>
      </c>
      <c r="B565" s="270">
        <v>2019</v>
      </c>
      <c r="C565" s="270">
        <v>2019</v>
      </c>
      <c r="D565" s="270">
        <v>1</v>
      </c>
      <c r="E565" s="270">
        <v>1</v>
      </c>
      <c r="F565" s="270" t="s">
        <v>944</v>
      </c>
      <c r="G565" s="270" t="s">
        <v>3926</v>
      </c>
      <c r="H565" s="270" t="s">
        <v>4669</v>
      </c>
      <c r="I565" s="270" t="s">
        <v>4005</v>
      </c>
      <c r="J565" s="270" t="s">
        <v>3928</v>
      </c>
      <c r="K565" s="270">
        <v>6118</v>
      </c>
      <c r="L565" s="270">
        <v>510900</v>
      </c>
      <c r="M565" s="270" t="s">
        <v>3960</v>
      </c>
      <c r="N565" s="270" t="s">
        <v>4103</v>
      </c>
      <c r="O565" s="270">
        <v>1785.88</v>
      </c>
      <c r="P565" s="270" t="s">
        <v>3930</v>
      </c>
      <c r="Q565" s="270" t="s">
        <v>3931</v>
      </c>
      <c r="R565" s="270">
        <v>6785.88</v>
      </c>
      <c r="S565" s="270">
        <v>24145.599999999999</v>
      </c>
      <c r="T565" s="270">
        <v>30931.48</v>
      </c>
      <c r="U565" s="271" t="s">
        <v>3932</v>
      </c>
      <c r="V565" s="267" t="s">
        <v>944</v>
      </c>
    </row>
    <row r="566" spans="1:22" hidden="1" x14ac:dyDescent="0.25">
      <c r="A566" s="266">
        <v>43492</v>
      </c>
      <c r="B566" s="267">
        <v>2019</v>
      </c>
      <c r="C566" s="267">
        <v>2019</v>
      </c>
      <c r="D566" s="267">
        <v>1</v>
      </c>
      <c r="E566" s="267">
        <v>1</v>
      </c>
      <c r="F566" s="267" t="s">
        <v>944</v>
      </c>
      <c r="G566" s="267" t="s">
        <v>3926</v>
      </c>
      <c r="H566" s="267" t="s">
        <v>4670</v>
      </c>
      <c r="I566" s="267" t="s">
        <v>950</v>
      </c>
      <c r="J566" s="267" t="s">
        <v>3928</v>
      </c>
      <c r="K566" s="267">
        <v>6516</v>
      </c>
      <c r="L566" s="267">
        <v>154900</v>
      </c>
      <c r="M566" s="267" t="s">
        <v>3935</v>
      </c>
      <c r="N566" s="267" t="s">
        <v>4103</v>
      </c>
      <c r="O566" s="267">
        <v>1561.28</v>
      </c>
      <c r="P566" s="267" t="s">
        <v>3930</v>
      </c>
      <c r="Q566" s="267" t="s">
        <v>3931</v>
      </c>
      <c r="R566" s="267">
        <v>6561.28</v>
      </c>
      <c r="S566" s="267">
        <v>24145.599999999999</v>
      </c>
      <c r="T566" s="267">
        <v>30706.880000000001</v>
      </c>
      <c r="U566" s="268" t="s">
        <v>3932</v>
      </c>
      <c r="V566" s="267" t="s">
        <v>944</v>
      </c>
    </row>
    <row r="567" spans="1:22" hidden="1" x14ac:dyDescent="0.25">
      <c r="A567" s="269">
        <v>43492</v>
      </c>
      <c r="B567" s="270">
        <v>2019</v>
      </c>
      <c r="C567" s="270">
        <v>2019</v>
      </c>
      <c r="D567" s="270">
        <v>1</v>
      </c>
      <c r="E567" s="270">
        <v>1</v>
      </c>
      <c r="F567" s="270" t="s">
        <v>944</v>
      </c>
      <c r="G567" s="270" t="s">
        <v>3926</v>
      </c>
      <c r="H567" s="270" t="s">
        <v>4671</v>
      </c>
      <c r="I567" s="270" t="s">
        <v>4232</v>
      </c>
      <c r="J567" s="270" t="s">
        <v>3928</v>
      </c>
      <c r="K567" s="270">
        <v>6483</v>
      </c>
      <c r="L567" s="270">
        <v>130200</v>
      </c>
      <c r="M567" s="270" t="s">
        <v>3935</v>
      </c>
      <c r="N567" s="270" t="s">
        <v>4493</v>
      </c>
      <c r="O567" s="270">
        <v>1633.24</v>
      </c>
      <c r="P567" s="270" t="s">
        <v>3930</v>
      </c>
      <c r="Q567" s="270" t="s">
        <v>3931</v>
      </c>
      <c r="R567" s="270">
        <v>6633.24</v>
      </c>
      <c r="S567" s="270">
        <v>27900.400000000001</v>
      </c>
      <c r="T567" s="270">
        <v>34533.64</v>
      </c>
      <c r="U567" s="271" t="s">
        <v>3932</v>
      </c>
      <c r="V567" s="267" t="s">
        <v>944</v>
      </c>
    </row>
    <row r="568" spans="1:22" hidden="1" x14ac:dyDescent="0.25">
      <c r="A568" s="266">
        <v>43493</v>
      </c>
      <c r="B568" s="267">
        <v>2019</v>
      </c>
      <c r="C568" s="267">
        <v>2019</v>
      </c>
      <c r="D568" s="267">
        <v>1</v>
      </c>
      <c r="E568" s="267">
        <v>1</v>
      </c>
      <c r="F568" s="267" t="s">
        <v>944</v>
      </c>
      <c r="G568" s="267" t="s">
        <v>3926</v>
      </c>
      <c r="H568" s="267" t="s">
        <v>4672</v>
      </c>
      <c r="I568" s="267" t="s">
        <v>3008</v>
      </c>
      <c r="J568" s="267" t="s">
        <v>3928</v>
      </c>
      <c r="K568" s="267">
        <v>6460</v>
      </c>
      <c r="L568" s="267">
        <v>150400</v>
      </c>
      <c r="M568" s="267" t="s">
        <v>3940</v>
      </c>
      <c r="N568" s="267" t="s">
        <v>4673</v>
      </c>
      <c r="O568" s="267">
        <v>0</v>
      </c>
      <c r="P568" s="267" t="s">
        <v>3930</v>
      </c>
      <c r="Q568" s="267" t="s">
        <v>3930</v>
      </c>
      <c r="R568" s="267">
        <v>0</v>
      </c>
      <c r="S568" s="267">
        <v>9500</v>
      </c>
      <c r="T568" s="267">
        <v>9500</v>
      </c>
      <c r="U568" s="268" t="s">
        <v>3937</v>
      </c>
      <c r="V568" s="267" t="s">
        <v>944</v>
      </c>
    </row>
    <row r="569" spans="1:22" x14ac:dyDescent="0.25">
      <c r="A569" s="269">
        <v>43493</v>
      </c>
      <c r="B569" s="270">
        <v>2019</v>
      </c>
      <c r="C569" s="270">
        <v>2019</v>
      </c>
      <c r="D569" s="270">
        <v>1</v>
      </c>
      <c r="E569" s="270">
        <v>1</v>
      </c>
      <c r="F569" s="270" t="s">
        <v>944</v>
      </c>
      <c r="G569" s="270" t="s">
        <v>3926</v>
      </c>
      <c r="H569" s="270" t="s">
        <v>4674</v>
      </c>
      <c r="I569" s="270" t="s">
        <v>943</v>
      </c>
      <c r="J569" s="270" t="s">
        <v>3928</v>
      </c>
      <c r="K569" s="270">
        <v>6511</v>
      </c>
      <c r="L569" s="270">
        <v>141500</v>
      </c>
      <c r="M569" s="270">
        <v>-60</v>
      </c>
      <c r="N569" s="270" t="s">
        <v>3983</v>
      </c>
      <c r="O569" s="270">
        <v>2985.93</v>
      </c>
      <c r="P569" s="270" t="s">
        <v>3930</v>
      </c>
      <c r="Q569" s="270" t="s">
        <v>3931</v>
      </c>
      <c r="R569" s="270">
        <v>7985.93</v>
      </c>
      <c r="S569" s="270">
        <v>16504</v>
      </c>
      <c r="T569" s="270">
        <v>24489.93</v>
      </c>
      <c r="U569" s="271" t="s">
        <v>3932</v>
      </c>
      <c r="V569" s="276" t="s">
        <v>936</v>
      </c>
    </row>
    <row r="570" spans="1:22" hidden="1" x14ac:dyDescent="0.25">
      <c r="A570" s="266">
        <v>43493</v>
      </c>
      <c r="B570" s="267">
        <v>2019</v>
      </c>
      <c r="C570" s="267">
        <v>2019</v>
      </c>
      <c r="D570" s="267">
        <v>1</v>
      </c>
      <c r="E570" s="267">
        <v>1</v>
      </c>
      <c r="F570" s="267" t="s">
        <v>944</v>
      </c>
      <c r="G570" s="267" t="s">
        <v>3926</v>
      </c>
      <c r="H570" s="267" t="s">
        <v>4675</v>
      </c>
      <c r="I570" s="267" t="s">
        <v>956</v>
      </c>
      <c r="J570" s="267" t="s">
        <v>3928</v>
      </c>
      <c r="K570" s="267">
        <v>6615</v>
      </c>
      <c r="L570" s="267">
        <v>80200</v>
      </c>
      <c r="M570" s="267" t="s">
        <v>3935</v>
      </c>
      <c r="N570" s="267" t="s">
        <v>4103</v>
      </c>
      <c r="O570" s="267">
        <v>4462.6499999999996</v>
      </c>
      <c r="P570" s="267" t="s">
        <v>3930</v>
      </c>
      <c r="Q570" s="267" t="s">
        <v>3931</v>
      </c>
      <c r="R570" s="267">
        <v>9462.65</v>
      </c>
      <c r="S570" s="267">
        <v>24145.599999999999</v>
      </c>
      <c r="T570" s="267">
        <v>33608.25</v>
      </c>
      <c r="U570" s="268" t="s">
        <v>3932</v>
      </c>
      <c r="V570" s="267" t="s">
        <v>944</v>
      </c>
    </row>
    <row r="571" spans="1:22" hidden="1" x14ac:dyDescent="0.25">
      <c r="A571" s="269">
        <v>43493</v>
      </c>
      <c r="B571" s="270">
        <v>2019</v>
      </c>
      <c r="C571" s="270">
        <v>2019</v>
      </c>
      <c r="D571" s="270">
        <v>1</v>
      </c>
      <c r="E571" s="270">
        <v>1</v>
      </c>
      <c r="F571" s="270" t="s">
        <v>944</v>
      </c>
      <c r="G571" s="270" t="s">
        <v>3926</v>
      </c>
      <c r="H571" s="270" t="s">
        <v>4676</v>
      </c>
      <c r="I571" s="270" t="s">
        <v>3968</v>
      </c>
      <c r="J571" s="270" t="s">
        <v>3928</v>
      </c>
      <c r="K571" s="270">
        <v>6040</v>
      </c>
      <c r="L571" s="270">
        <v>514600</v>
      </c>
      <c r="M571" s="270" t="s">
        <v>3940</v>
      </c>
      <c r="N571" s="270" t="s">
        <v>4103</v>
      </c>
      <c r="O571" s="270">
        <v>1666.84</v>
      </c>
      <c r="P571" s="270" t="s">
        <v>3930</v>
      </c>
      <c r="Q571" s="270" t="s">
        <v>3931</v>
      </c>
      <c r="R571" s="270">
        <v>6666.84</v>
      </c>
      <c r="S571" s="270">
        <v>24145.599999999999</v>
      </c>
      <c r="T571" s="270">
        <v>30812.44</v>
      </c>
      <c r="U571" s="271" t="s">
        <v>3932</v>
      </c>
      <c r="V571" s="267" t="s">
        <v>944</v>
      </c>
    </row>
    <row r="572" spans="1:22" hidden="1" x14ac:dyDescent="0.25">
      <c r="A572" s="266">
        <v>43493</v>
      </c>
      <c r="B572" s="267">
        <v>2019</v>
      </c>
      <c r="C572" s="267">
        <v>2019</v>
      </c>
      <c r="D572" s="267">
        <v>1</v>
      </c>
      <c r="E572" s="267">
        <v>1</v>
      </c>
      <c r="F572" s="267" t="s">
        <v>944</v>
      </c>
      <c r="G572" s="267" t="s">
        <v>3926</v>
      </c>
      <c r="H572" s="267" t="s">
        <v>4677</v>
      </c>
      <c r="I572" s="267" t="s">
        <v>4137</v>
      </c>
      <c r="J572" s="267" t="s">
        <v>3928</v>
      </c>
      <c r="K572" s="267">
        <v>6067</v>
      </c>
      <c r="L572" s="267">
        <v>490302</v>
      </c>
      <c r="M572" s="267" t="s">
        <v>3960</v>
      </c>
      <c r="N572" s="267" t="s">
        <v>3944</v>
      </c>
      <c r="O572" s="267">
        <v>2343</v>
      </c>
      <c r="P572" s="267" t="s">
        <v>3944</v>
      </c>
      <c r="Q572" s="267" t="s">
        <v>3944</v>
      </c>
      <c r="R572" s="267">
        <v>2343</v>
      </c>
      <c r="S572" s="267">
        <v>19537.009999999998</v>
      </c>
      <c r="T572" s="267">
        <v>21880.01</v>
      </c>
      <c r="U572" s="268" t="s">
        <v>3945</v>
      </c>
      <c r="V572" s="267" t="s">
        <v>944</v>
      </c>
    </row>
    <row r="573" spans="1:22" hidden="1" x14ac:dyDescent="0.25">
      <c r="A573" s="269">
        <v>43493</v>
      </c>
      <c r="B573" s="270">
        <v>2019</v>
      </c>
      <c r="C573" s="270">
        <v>2019</v>
      </c>
      <c r="D573" s="270">
        <v>1</v>
      </c>
      <c r="E573" s="270">
        <v>1</v>
      </c>
      <c r="F573" s="270" t="s">
        <v>944</v>
      </c>
      <c r="G573" s="270" t="s">
        <v>3926</v>
      </c>
      <c r="H573" s="270" t="s">
        <v>4678</v>
      </c>
      <c r="I573" s="270" t="s">
        <v>3008</v>
      </c>
      <c r="J573" s="270" t="s">
        <v>3928</v>
      </c>
      <c r="K573" s="270">
        <v>6460</v>
      </c>
      <c r="L573" s="270">
        <v>150400</v>
      </c>
      <c r="M573" s="270" t="s">
        <v>3940</v>
      </c>
      <c r="N573" s="270" t="s">
        <v>3944</v>
      </c>
      <c r="O573" s="270">
        <v>2824</v>
      </c>
      <c r="P573" s="270" t="s">
        <v>3944</v>
      </c>
      <c r="Q573" s="270" t="s">
        <v>3944</v>
      </c>
      <c r="R573" s="270">
        <v>2824</v>
      </c>
      <c r="S573" s="270">
        <v>21226</v>
      </c>
      <c r="T573" s="270">
        <v>24050</v>
      </c>
      <c r="U573" s="271" t="s">
        <v>3945</v>
      </c>
      <c r="V573" s="267" t="s">
        <v>944</v>
      </c>
    </row>
    <row r="574" spans="1:22" hidden="1" x14ac:dyDescent="0.25">
      <c r="A574" s="266">
        <v>43493</v>
      </c>
      <c r="B574" s="267">
        <v>2019</v>
      </c>
      <c r="C574" s="267">
        <v>2019</v>
      </c>
      <c r="D574" s="267">
        <v>1</v>
      </c>
      <c r="E574" s="267">
        <v>1</v>
      </c>
      <c r="F574" s="267" t="s">
        <v>944</v>
      </c>
      <c r="G574" s="267" t="s">
        <v>3926</v>
      </c>
      <c r="H574" s="267" t="s">
        <v>4679</v>
      </c>
      <c r="I574" s="267" t="s">
        <v>3939</v>
      </c>
      <c r="J574" s="267" t="s">
        <v>3928</v>
      </c>
      <c r="K574" s="267">
        <v>6512</v>
      </c>
      <c r="L574" s="267">
        <v>180500</v>
      </c>
      <c r="M574" s="267" t="s">
        <v>3935</v>
      </c>
      <c r="N574" s="267" t="s">
        <v>3944</v>
      </c>
      <c r="O574" s="267">
        <v>2677</v>
      </c>
      <c r="P574" s="267" t="s">
        <v>3944</v>
      </c>
      <c r="Q574" s="267" t="s">
        <v>3944</v>
      </c>
      <c r="R574" s="267">
        <v>2677</v>
      </c>
      <c r="S574" s="267">
        <v>53960.34</v>
      </c>
      <c r="T574" s="267">
        <v>56637.34</v>
      </c>
      <c r="U574" s="268" t="s">
        <v>3945</v>
      </c>
      <c r="V574" s="267" t="s">
        <v>944</v>
      </c>
    </row>
    <row r="575" spans="1:22" hidden="1" x14ac:dyDescent="0.25">
      <c r="A575" s="269">
        <v>43493</v>
      </c>
      <c r="B575" s="270">
        <v>2019</v>
      </c>
      <c r="C575" s="270">
        <v>2019</v>
      </c>
      <c r="D575" s="270">
        <v>1</v>
      </c>
      <c r="E575" s="270">
        <v>1</v>
      </c>
      <c r="F575" s="270" t="s">
        <v>944</v>
      </c>
      <c r="G575" s="270" t="s">
        <v>3926</v>
      </c>
      <c r="H575" s="270" t="s">
        <v>4680</v>
      </c>
      <c r="I575" s="270" t="s">
        <v>4129</v>
      </c>
      <c r="J575" s="270" t="s">
        <v>3928</v>
      </c>
      <c r="K575" s="270">
        <v>6259</v>
      </c>
      <c r="L575" s="270">
        <v>902500</v>
      </c>
      <c r="M575" s="270" t="s">
        <v>3960</v>
      </c>
      <c r="N575" s="270" t="s">
        <v>3944</v>
      </c>
      <c r="O575" s="270">
        <v>6030</v>
      </c>
      <c r="P575" s="270" t="s">
        <v>3944</v>
      </c>
      <c r="Q575" s="270" t="s">
        <v>3944</v>
      </c>
      <c r="R575" s="270">
        <v>6030</v>
      </c>
      <c r="S575" s="270">
        <v>45584</v>
      </c>
      <c r="T575" s="270">
        <v>51614</v>
      </c>
      <c r="U575" s="271" t="s">
        <v>3945</v>
      </c>
      <c r="V575" s="267" t="s">
        <v>944</v>
      </c>
    </row>
    <row r="576" spans="1:22" hidden="1" x14ac:dyDescent="0.25">
      <c r="A576" s="266">
        <v>43493</v>
      </c>
      <c r="B576" s="267">
        <v>2019</v>
      </c>
      <c r="C576" s="267">
        <v>2019</v>
      </c>
      <c r="D576" s="267">
        <v>1</v>
      </c>
      <c r="E576" s="267">
        <v>1</v>
      </c>
      <c r="F576" s="267" t="s">
        <v>944</v>
      </c>
      <c r="G576" s="267" t="s">
        <v>3926</v>
      </c>
      <c r="H576" s="267" t="s">
        <v>4681</v>
      </c>
      <c r="I576" s="267" t="s">
        <v>4244</v>
      </c>
      <c r="J576" s="267" t="s">
        <v>3928</v>
      </c>
      <c r="K576" s="267">
        <v>6250</v>
      </c>
      <c r="L576" s="267">
        <v>881100</v>
      </c>
      <c r="M576" s="267" t="s">
        <v>3935</v>
      </c>
      <c r="N576" s="267" t="s">
        <v>3944</v>
      </c>
      <c r="O576" s="267">
        <v>2028</v>
      </c>
      <c r="P576" s="267" t="s">
        <v>3944</v>
      </c>
      <c r="Q576" s="267" t="s">
        <v>3944</v>
      </c>
      <c r="R576" s="267">
        <v>2028</v>
      </c>
      <c r="S576" s="267">
        <v>15927</v>
      </c>
      <c r="T576" s="267">
        <v>17955</v>
      </c>
      <c r="U576" s="268" t="s">
        <v>3945</v>
      </c>
      <c r="V576" s="267" t="s">
        <v>944</v>
      </c>
    </row>
    <row r="577" spans="1:22" hidden="1" x14ac:dyDescent="0.25">
      <c r="A577" s="269">
        <v>43493</v>
      </c>
      <c r="B577" s="270">
        <v>2019</v>
      </c>
      <c r="C577" s="270">
        <v>2019</v>
      </c>
      <c r="D577" s="270">
        <v>1</v>
      </c>
      <c r="E577" s="270">
        <v>1</v>
      </c>
      <c r="F577" s="270" t="s">
        <v>944</v>
      </c>
      <c r="G577" s="270" t="s">
        <v>3926</v>
      </c>
      <c r="H577" s="270" t="s">
        <v>4682</v>
      </c>
      <c r="I577" s="270" t="s">
        <v>4683</v>
      </c>
      <c r="J577" s="270" t="s">
        <v>3928</v>
      </c>
      <c r="K577" s="270">
        <v>6762</v>
      </c>
      <c r="L577" s="270">
        <v>351800</v>
      </c>
      <c r="M577" s="270" t="s">
        <v>3940</v>
      </c>
      <c r="N577" s="270" t="s">
        <v>3944</v>
      </c>
      <c r="O577" s="270">
        <v>2959</v>
      </c>
      <c r="P577" s="270" t="s">
        <v>3944</v>
      </c>
      <c r="Q577" s="270" t="s">
        <v>3944</v>
      </c>
      <c r="R577" s="270">
        <v>2959</v>
      </c>
      <c r="S577" s="270">
        <v>24691</v>
      </c>
      <c r="T577" s="270">
        <v>27650</v>
      </c>
      <c r="U577" s="271" t="s">
        <v>3945</v>
      </c>
      <c r="V577" s="267" t="s">
        <v>944</v>
      </c>
    </row>
    <row r="578" spans="1:22" hidden="1" x14ac:dyDescent="0.25">
      <c r="A578" s="266">
        <v>43493</v>
      </c>
      <c r="B578" s="267">
        <v>2019</v>
      </c>
      <c r="C578" s="267">
        <v>2019</v>
      </c>
      <c r="D578" s="267">
        <v>1</v>
      </c>
      <c r="E578" s="267">
        <v>1</v>
      </c>
      <c r="F578" s="267" t="s">
        <v>944</v>
      </c>
      <c r="G578" s="267" t="s">
        <v>3926</v>
      </c>
      <c r="H578" s="267" t="s">
        <v>4684</v>
      </c>
      <c r="I578" s="267" t="s">
        <v>3939</v>
      </c>
      <c r="J578" s="267" t="s">
        <v>3928</v>
      </c>
      <c r="K578" s="267">
        <v>6513</v>
      </c>
      <c r="L578" s="267">
        <v>180602</v>
      </c>
      <c r="M578" s="267" t="s">
        <v>3935</v>
      </c>
      <c r="N578" s="267" t="s">
        <v>3944</v>
      </c>
      <c r="O578" s="267">
        <v>1406.76</v>
      </c>
      <c r="P578" s="267" t="s">
        <v>3944</v>
      </c>
      <c r="Q578" s="267" t="s">
        <v>3944</v>
      </c>
      <c r="R578" s="267">
        <v>1406.76</v>
      </c>
      <c r="S578" s="267">
        <v>20027.060000000001</v>
      </c>
      <c r="T578" s="267">
        <v>21433.82</v>
      </c>
      <c r="U578" s="268" t="s">
        <v>3945</v>
      </c>
      <c r="V578" s="267" t="s">
        <v>944</v>
      </c>
    </row>
    <row r="579" spans="1:22" hidden="1" x14ac:dyDescent="0.25">
      <c r="A579" s="269">
        <v>43493</v>
      </c>
      <c r="B579" s="270">
        <v>2019</v>
      </c>
      <c r="C579" s="270">
        <v>2019</v>
      </c>
      <c r="D579" s="270">
        <v>1</v>
      </c>
      <c r="E579" s="270">
        <v>1</v>
      </c>
      <c r="F579" s="270" t="s">
        <v>944</v>
      </c>
      <c r="G579" s="270" t="s">
        <v>3926</v>
      </c>
      <c r="H579" s="270" t="s">
        <v>4685</v>
      </c>
      <c r="I579" s="270" t="s">
        <v>4232</v>
      </c>
      <c r="J579" s="270" t="s">
        <v>3928</v>
      </c>
      <c r="K579" s="270">
        <v>6483</v>
      </c>
      <c r="L579" s="270">
        <v>130200</v>
      </c>
      <c r="M579" s="270" t="s">
        <v>3935</v>
      </c>
      <c r="N579" s="270" t="s">
        <v>3944</v>
      </c>
      <c r="O579" s="270">
        <v>1605.24</v>
      </c>
      <c r="P579" s="270" t="s">
        <v>3944</v>
      </c>
      <c r="Q579" s="270" t="s">
        <v>3944</v>
      </c>
      <c r="R579" s="270">
        <v>1605.24</v>
      </c>
      <c r="S579" s="270">
        <v>21642.53</v>
      </c>
      <c r="T579" s="270">
        <v>23247.77</v>
      </c>
      <c r="U579" s="271" t="s">
        <v>3945</v>
      </c>
      <c r="V579" s="267" t="s">
        <v>944</v>
      </c>
    </row>
    <row r="580" spans="1:22" hidden="1" x14ac:dyDescent="0.25">
      <c r="A580" s="266">
        <v>43493</v>
      </c>
      <c r="B580" s="267">
        <v>2019</v>
      </c>
      <c r="C580" s="267">
        <v>2019</v>
      </c>
      <c r="D580" s="267">
        <v>1</v>
      </c>
      <c r="E580" s="267">
        <v>1</v>
      </c>
      <c r="F580" s="267" t="s">
        <v>944</v>
      </c>
      <c r="G580" s="267" t="s">
        <v>3926</v>
      </c>
      <c r="H580" s="267" t="s">
        <v>4686</v>
      </c>
      <c r="I580" s="267" t="s">
        <v>4687</v>
      </c>
      <c r="J580" s="267" t="s">
        <v>3928</v>
      </c>
      <c r="K580" s="267">
        <v>6424</v>
      </c>
      <c r="L580" s="267">
        <v>550201</v>
      </c>
      <c r="M580" s="267" t="s">
        <v>3943</v>
      </c>
      <c r="N580" s="267" t="s">
        <v>3944</v>
      </c>
      <c r="O580" s="267">
        <v>1479.98</v>
      </c>
      <c r="P580" s="267" t="s">
        <v>3944</v>
      </c>
      <c r="Q580" s="267" t="s">
        <v>3944</v>
      </c>
      <c r="R580" s="267">
        <v>1479.98</v>
      </c>
      <c r="S580" s="267">
        <v>24801.02</v>
      </c>
      <c r="T580" s="267">
        <v>26281</v>
      </c>
      <c r="U580" s="268" t="s">
        <v>3945</v>
      </c>
      <c r="V580" s="267" t="s">
        <v>944</v>
      </c>
    </row>
    <row r="581" spans="1:22" hidden="1" x14ac:dyDescent="0.25">
      <c r="A581" s="269">
        <v>43493</v>
      </c>
      <c r="B581" s="270">
        <v>2019</v>
      </c>
      <c r="C581" s="270">
        <v>2019</v>
      </c>
      <c r="D581" s="270">
        <v>1</v>
      </c>
      <c r="E581" s="270">
        <v>1</v>
      </c>
      <c r="F581" s="270" t="s">
        <v>944</v>
      </c>
      <c r="G581" s="270" t="s">
        <v>3926</v>
      </c>
      <c r="H581" s="270" t="s">
        <v>4688</v>
      </c>
      <c r="I581" s="270" t="s">
        <v>4168</v>
      </c>
      <c r="J581" s="270" t="s">
        <v>3928</v>
      </c>
      <c r="K581" s="270">
        <v>6475</v>
      </c>
      <c r="L581" s="270">
        <v>670100</v>
      </c>
      <c r="M581" s="270" t="s">
        <v>3960</v>
      </c>
      <c r="N581" s="270" t="s">
        <v>3944</v>
      </c>
      <c r="O581" s="270">
        <v>2004.7</v>
      </c>
      <c r="P581" s="270" t="s">
        <v>3944</v>
      </c>
      <c r="Q581" s="270" t="s">
        <v>3944</v>
      </c>
      <c r="R581" s="270">
        <v>2004.7</v>
      </c>
      <c r="S581" s="270">
        <v>26399.38</v>
      </c>
      <c r="T581" s="270">
        <v>28404.080000000002</v>
      </c>
      <c r="U581" s="271" t="s">
        <v>3945</v>
      </c>
      <c r="V581" s="267" t="s">
        <v>944</v>
      </c>
    </row>
    <row r="582" spans="1:22" hidden="1" x14ac:dyDescent="0.25">
      <c r="A582" s="266">
        <v>43493</v>
      </c>
      <c r="B582" s="267">
        <v>2019</v>
      </c>
      <c r="C582" s="267">
        <v>2019</v>
      </c>
      <c r="D582" s="267">
        <v>1</v>
      </c>
      <c r="E582" s="267">
        <v>1</v>
      </c>
      <c r="F582" s="267" t="s">
        <v>944</v>
      </c>
      <c r="G582" s="267" t="s">
        <v>3926</v>
      </c>
      <c r="H582" s="267" t="s">
        <v>4689</v>
      </c>
      <c r="I582" s="267" t="s">
        <v>3939</v>
      </c>
      <c r="J582" s="267" t="s">
        <v>3928</v>
      </c>
      <c r="K582" s="267">
        <v>6512</v>
      </c>
      <c r="L582" s="267">
        <v>180601</v>
      </c>
      <c r="M582" s="267" t="s">
        <v>3940</v>
      </c>
      <c r="N582" s="267" t="s">
        <v>3944</v>
      </c>
      <c r="O582" s="267">
        <v>1696.1</v>
      </c>
      <c r="P582" s="267" t="s">
        <v>3944</v>
      </c>
      <c r="Q582" s="267" t="s">
        <v>3944</v>
      </c>
      <c r="R582" s="267">
        <v>1696.1</v>
      </c>
      <c r="S582" s="267">
        <v>30266.04</v>
      </c>
      <c r="T582" s="267">
        <v>31962.14</v>
      </c>
      <c r="U582" s="268" t="s">
        <v>3945</v>
      </c>
      <c r="V582" s="267" t="s">
        <v>944</v>
      </c>
    </row>
    <row r="583" spans="1:22" hidden="1" x14ac:dyDescent="0.25">
      <c r="A583" s="269">
        <v>43493</v>
      </c>
      <c r="B583" s="270">
        <v>2019</v>
      </c>
      <c r="C583" s="270">
        <v>2019</v>
      </c>
      <c r="D583" s="270">
        <v>1</v>
      </c>
      <c r="E583" s="270">
        <v>1</v>
      </c>
      <c r="F583" s="270" t="s">
        <v>944</v>
      </c>
      <c r="G583" s="270" t="s">
        <v>3926</v>
      </c>
      <c r="H583" s="270" t="s">
        <v>4690</v>
      </c>
      <c r="I583" s="270" t="s">
        <v>4691</v>
      </c>
      <c r="J583" s="270" t="s">
        <v>3928</v>
      </c>
      <c r="K583" s="270">
        <v>6242</v>
      </c>
      <c r="L583" s="270">
        <v>902200</v>
      </c>
      <c r="M583" s="270" t="s">
        <v>3960</v>
      </c>
      <c r="N583" s="270" t="s">
        <v>3944</v>
      </c>
      <c r="O583" s="270">
        <v>2530.4299999999998</v>
      </c>
      <c r="P583" s="270" t="s">
        <v>3944</v>
      </c>
      <c r="Q583" s="270" t="s">
        <v>3944</v>
      </c>
      <c r="R583" s="270">
        <v>2530.4299999999998</v>
      </c>
      <c r="S583" s="270">
        <v>34221.31</v>
      </c>
      <c r="T583" s="270">
        <v>36751.74</v>
      </c>
      <c r="U583" s="271" t="s">
        <v>3945</v>
      </c>
      <c r="V583" s="267" t="s">
        <v>944</v>
      </c>
    </row>
    <row r="584" spans="1:22" hidden="1" x14ac:dyDescent="0.25">
      <c r="A584" s="266">
        <v>43494</v>
      </c>
      <c r="B584" s="267">
        <v>2019</v>
      </c>
      <c r="C584" s="267">
        <v>2019</v>
      </c>
      <c r="D584" s="267">
        <v>1</v>
      </c>
      <c r="E584" s="267">
        <v>1</v>
      </c>
      <c r="F584" s="267" t="s">
        <v>944</v>
      </c>
      <c r="G584" s="267" t="s">
        <v>3926</v>
      </c>
      <c r="H584" s="267" t="s">
        <v>4692</v>
      </c>
      <c r="I584" s="267" t="s">
        <v>3939</v>
      </c>
      <c r="J584" s="267" t="s">
        <v>3928</v>
      </c>
      <c r="K584" s="267">
        <v>6512</v>
      </c>
      <c r="L584" s="267">
        <v>180100</v>
      </c>
      <c r="M584" s="267" t="s">
        <v>3940</v>
      </c>
      <c r="N584" s="267" t="s">
        <v>4693</v>
      </c>
      <c r="O584" s="267">
        <v>0</v>
      </c>
      <c r="P584" s="267" t="s">
        <v>3930</v>
      </c>
      <c r="Q584" s="267" t="s">
        <v>3930</v>
      </c>
      <c r="R584" s="267">
        <v>0</v>
      </c>
      <c r="S584" s="267">
        <v>8530</v>
      </c>
      <c r="T584" s="267">
        <v>8530</v>
      </c>
      <c r="U584" s="268" t="s">
        <v>3937</v>
      </c>
      <c r="V584" s="267" t="s">
        <v>944</v>
      </c>
    </row>
    <row r="585" spans="1:22" hidden="1" x14ac:dyDescent="0.25">
      <c r="A585" s="269">
        <v>43494</v>
      </c>
      <c r="B585" s="270">
        <v>2019</v>
      </c>
      <c r="C585" s="270">
        <v>2019</v>
      </c>
      <c r="D585" s="270">
        <v>1</v>
      </c>
      <c r="E585" s="270">
        <v>1</v>
      </c>
      <c r="F585" s="270" t="s">
        <v>944</v>
      </c>
      <c r="G585" s="270" t="s">
        <v>3926</v>
      </c>
      <c r="H585" s="270" t="s">
        <v>4694</v>
      </c>
      <c r="I585" s="270" t="s">
        <v>4695</v>
      </c>
      <c r="J585" s="270" t="s">
        <v>3928</v>
      </c>
      <c r="K585" s="270">
        <v>6234</v>
      </c>
      <c r="L585" s="270">
        <v>905100</v>
      </c>
      <c r="M585" s="270" t="s">
        <v>3935</v>
      </c>
      <c r="N585" s="270" t="s">
        <v>3929</v>
      </c>
      <c r="O585" s="270">
        <v>0</v>
      </c>
      <c r="P585" s="270" t="s">
        <v>3930</v>
      </c>
      <c r="Q585" s="270" t="s">
        <v>3931</v>
      </c>
      <c r="R585" s="270">
        <v>5000</v>
      </c>
      <c r="S585" s="270">
        <v>34744</v>
      </c>
      <c r="T585" s="270">
        <v>39744</v>
      </c>
      <c r="U585" s="271" t="s">
        <v>3932</v>
      </c>
      <c r="V585" s="267" t="s">
        <v>944</v>
      </c>
    </row>
    <row r="586" spans="1:22" hidden="1" x14ac:dyDescent="0.25">
      <c r="A586" s="266">
        <v>43494</v>
      </c>
      <c r="B586" s="267">
        <v>2019</v>
      </c>
      <c r="C586" s="267">
        <v>2019</v>
      </c>
      <c r="D586" s="267">
        <v>1</v>
      </c>
      <c r="E586" s="267">
        <v>1</v>
      </c>
      <c r="F586" s="267" t="s">
        <v>944</v>
      </c>
      <c r="G586" s="267" t="s">
        <v>3926</v>
      </c>
      <c r="H586" s="267" t="s">
        <v>4696</v>
      </c>
      <c r="I586" s="267" t="s">
        <v>3012</v>
      </c>
      <c r="J586" s="267" t="s">
        <v>3928</v>
      </c>
      <c r="K586" s="267">
        <v>6477</v>
      </c>
      <c r="L586" s="267">
        <v>157300</v>
      </c>
      <c r="M586" s="267" t="s">
        <v>3943</v>
      </c>
      <c r="N586" s="267" t="s">
        <v>3929</v>
      </c>
      <c r="O586" s="267">
        <v>2511.5700000000002</v>
      </c>
      <c r="P586" s="267" t="s">
        <v>3930</v>
      </c>
      <c r="Q586" s="267" t="s">
        <v>3931</v>
      </c>
      <c r="R586" s="267">
        <v>7511.57</v>
      </c>
      <c r="S586" s="267">
        <v>34744</v>
      </c>
      <c r="T586" s="267">
        <v>42255.57</v>
      </c>
      <c r="U586" s="268" t="s">
        <v>3932</v>
      </c>
      <c r="V586" s="267" t="s">
        <v>944</v>
      </c>
    </row>
    <row r="587" spans="1:22" hidden="1" x14ac:dyDescent="0.25">
      <c r="A587" s="269">
        <v>43494</v>
      </c>
      <c r="B587" s="270">
        <v>2019</v>
      </c>
      <c r="C587" s="270">
        <v>2019</v>
      </c>
      <c r="D587" s="270">
        <v>1</v>
      </c>
      <c r="E587" s="270">
        <v>1</v>
      </c>
      <c r="F587" s="270" t="s">
        <v>944</v>
      </c>
      <c r="G587" s="270" t="s">
        <v>3926</v>
      </c>
      <c r="H587" s="270" t="s">
        <v>4697</v>
      </c>
      <c r="I587" s="270" t="s">
        <v>3966</v>
      </c>
      <c r="J587" s="270" t="s">
        <v>3928</v>
      </c>
      <c r="K587" s="270">
        <v>6010</v>
      </c>
      <c r="L587" s="270">
        <v>405900</v>
      </c>
      <c r="M587" s="270" t="s">
        <v>3960</v>
      </c>
      <c r="N587" s="270" t="s">
        <v>4103</v>
      </c>
      <c r="O587" s="270">
        <v>1875.69</v>
      </c>
      <c r="P587" s="270" t="s">
        <v>3930</v>
      </c>
      <c r="Q587" s="270" t="s">
        <v>3931</v>
      </c>
      <c r="R587" s="270">
        <v>6875.69</v>
      </c>
      <c r="S587" s="270">
        <v>24145.599999999999</v>
      </c>
      <c r="T587" s="270">
        <v>31021.29</v>
      </c>
      <c r="U587" s="271" t="s">
        <v>3932</v>
      </c>
      <c r="V587" s="267" t="s">
        <v>944</v>
      </c>
    </row>
    <row r="588" spans="1:22" hidden="1" x14ac:dyDescent="0.25">
      <c r="A588" s="266">
        <v>43494</v>
      </c>
      <c r="B588" s="267">
        <v>2019</v>
      </c>
      <c r="C588" s="267">
        <v>2019</v>
      </c>
      <c r="D588" s="267">
        <v>1</v>
      </c>
      <c r="E588" s="267">
        <v>1</v>
      </c>
      <c r="F588" s="267" t="s">
        <v>944</v>
      </c>
      <c r="G588" s="267" t="s">
        <v>3926</v>
      </c>
      <c r="H588" s="267" t="s">
        <v>4698</v>
      </c>
      <c r="I588" s="267" t="s">
        <v>4699</v>
      </c>
      <c r="J588" s="267" t="s">
        <v>3928</v>
      </c>
      <c r="K588" s="267">
        <v>6377</v>
      </c>
      <c r="L588" s="267">
        <v>908100</v>
      </c>
      <c r="M588" s="267" t="s">
        <v>3935</v>
      </c>
      <c r="N588" s="267" t="s">
        <v>4103</v>
      </c>
      <c r="O588" s="267">
        <v>4109.67</v>
      </c>
      <c r="P588" s="267" t="s">
        <v>3930</v>
      </c>
      <c r="Q588" s="267" t="s">
        <v>3931</v>
      </c>
      <c r="R588" s="267">
        <v>9109.67</v>
      </c>
      <c r="S588" s="267">
        <v>24145.599999999999</v>
      </c>
      <c r="T588" s="267">
        <v>33255.269999999997</v>
      </c>
      <c r="U588" s="268" t="s">
        <v>3932</v>
      </c>
      <c r="V588" s="267" t="s">
        <v>944</v>
      </c>
    </row>
    <row r="589" spans="1:22" hidden="1" x14ac:dyDescent="0.25">
      <c r="A589" s="269">
        <v>43494</v>
      </c>
      <c r="B589" s="270">
        <v>2019</v>
      </c>
      <c r="C589" s="270">
        <v>2019</v>
      </c>
      <c r="D589" s="270">
        <v>1</v>
      </c>
      <c r="E589" s="270">
        <v>1</v>
      </c>
      <c r="F589" s="270" t="s">
        <v>944</v>
      </c>
      <c r="G589" s="270" t="s">
        <v>3926</v>
      </c>
      <c r="H589" s="270" t="s">
        <v>4700</v>
      </c>
      <c r="I589" s="270" t="s">
        <v>934</v>
      </c>
      <c r="J589" s="270" t="s">
        <v>3928</v>
      </c>
      <c r="K589" s="270">
        <v>6604</v>
      </c>
      <c r="L589" s="270">
        <v>72600</v>
      </c>
      <c r="M589" s="270" t="s">
        <v>3940</v>
      </c>
      <c r="N589" s="270" t="s">
        <v>4701</v>
      </c>
      <c r="O589" s="270">
        <v>2322.2199999999998</v>
      </c>
      <c r="P589" s="270" t="s">
        <v>3930</v>
      </c>
      <c r="Q589" s="270" t="s">
        <v>3931</v>
      </c>
      <c r="R589" s="270">
        <v>7322.22</v>
      </c>
      <c r="S589" s="270">
        <v>34648</v>
      </c>
      <c r="T589" s="270">
        <v>41970.22</v>
      </c>
      <c r="U589" s="271" t="s">
        <v>3932</v>
      </c>
      <c r="V589" s="267" t="s">
        <v>944</v>
      </c>
    </row>
    <row r="590" spans="1:22" hidden="1" x14ac:dyDescent="0.25">
      <c r="A590" s="266">
        <v>43494</v>
      </c>
      <c r="B590" s="267">
        <v>2019</v>
      </c>
      <c r="C590" s="267">
        <v>2019</v>
      </c>
      <c r="D590" s="267">
        <v>1</v>
      </c>
      <c r="E590" s="267">
        <v>1</v>
      </c>
      <c r="F590" s="267" t="s">
        <v>944</v>
      </c>
      <c r="G590" s="267" t="s">
        <v>3926</v>
      </c>
      <c r="H590" s="267" t="s">
        <v>4702</v>
      </c>
      <c r="I590" s="267" t="s">
        <v>3964</v>
      </c>
      <c r="J590" s="267" t="s">
        <v>3928</v>
      </c>
      <c r="K590" s="267">
        <v>6033</v>
      </c>
      <c r="L590" s="267">
        <v>520501</v>
      </c>
      <c r="M590" s="267" t="s">
        <v>3943</v>
      </c>
      <c r="N590" s="267" t="s">
        <v>3944</v>
      </c>
      <c r="O590" s="267">
        <v>3045</v>
      </c>
      <c r="P590" s="267" t="s">
        <v>3944</v>
      </c>
      <c r="Q590" s="267" t="s">
        <v>3944</v>
      </c>
      <c r="R590" s="267">
        <v>3045</v>
      </c>
      <c r="S590" s="267">
        <v>27555</v>
      </c>
      <c r="T590" s="267">
        <v>30600</v>
      </c>
      <c r="U590" s="268" t="s">
        <v>3945</v>
      </c>
      <c r="V590" s="267" t="s">
        <v>944</v>
      </c>
    </row>
    <row r="591" spans="1:22" hidden="1" x14ac:dyDescent="0.25">
      <c r="A591" s="269">
        <v>43494</v>
      </c>
      <c r="B591" s="270">
        <v>2019</v>
      </c>
      <c r="C591" s="270">
        <v>2019</v>
      </c>
      <c r="D591" s="270">
        <v>1</v>
      </c>
      <c r="E591" s="270">
        <v>1</v>
      </c>
      <c r="F591" s="270" t="s">
        <v>944</v>
      </c>
      <c r="G591" s="270" t="s">
        <v>3926</v>
      </c>
      <c r="H591" s="270" t="s">
        <v>4703</v>
      </c>
      <c r="I591" s="270" t="s">
        <v>950</v>
      </c>
      <c r="J591" s="270" t="s">
        <v>3928</v>
      </c>
      <c r="K591" s="270">
        <v>6516</v>
      </c>
      <c r="L591" s="270">
        <v>154200</v>
      </c>
      <c r="M591" s="270" t="s">
        <v>3940</v>
      </c>
      <c r="N591" s="270" t="s">
        <v>3944</v>
      </c>
      <c r="O591" s="270">
        <v>3393</v>
      </c>
      <c r="P591" s="270" t="s">
        <v>3944</v>
      </c>
      <c r="Q591" s="270" t="s">
        <v>3944</v>
      </c>
      <c r="R591" s="270">
        <v>3393</v>
      </c>
      <c r="S591" s="270">
        <v>37250.25</v>
      </c>
      <c r="T591" s="270">
        <v>40643.25</v>
      </c>
      <c r="U591" s="271" t="s">
        <v>3945</v>
      </c>
      <c r="V591" s="267" t="s">
        <v>944</v>
      </c>
    </row>
    <row r="592" spans="1:22" hidden="1" x14ac:dyDescent="0.25">
      <c r="A592" s="266">
        <v>43494</v>
      </c>
      <c r="B592" s="267">
        <v>2019</v>
      </c>
      <c r="C592" s="267">
        <v>2019</v>
      </c>
      <c r="D592" s="267">
        <v>1</v>
      </c>
      <c r="E592" s="267">
        <v>1</v>
      </c>
      <c r="F592" s="267" t="s">
        <v>944</v>
      </c>
      <c r="G592" s="267" t="s">
        <v>3926</v>
      </c>
      <c r="H592" s="267" t="s">
        <v>4704</v>
      </c>
      <c r="I592" s="267" t="s">
        <v>4665</v>
      </c>
      <c r="J592" s="267" t="s">
        <v>3928</v>
      </c>
      <c r="K592" s="267">
        <v>6013</v>
      </c>
      <c r="L592" s="267">
        <v>410102</v>
      </c>
      <c r="M592" s="267" t="s">
        <v>3943</v>
      </c>
      <c r="N592" s="267" t="s">
        <v>3944</v>
      </c>
      <c r="O592" s="267">
        <v>4358</v>
      </c>
      <c r="P592" s="267" t="s">
        <v>3944</v>
      </c>
      <c r="Q592" s="267" t="s">
        <v>3944</v>
      </c>
      <c r="R592" s="267">
        <v>4358</v>
      </c>
      <c r="S592" s="267">
        <v>28955</v>
      </c>
      <c r="T592" s="267">
        <v>33313</v>
      </c>
      <c r="U592" s="268" t="s">
        <v>3945</v>
      </c>
      <c r="V592" s="267" t="s">
        <v>944</v>
      </c>
    </row>
    <row r="593" spans="1:22" hidden="1" x14ac:dyDescent="0.25">
      <c r="A593" s="269">
        <v>43494</v>
      </c>
      <c r="B593" s="270">
        <v>2019</v>
      </c>
      <c r="C593" s="270">
        <v>2019</v>
      </c>
      <c r="D593" s="270">
        <v>1</v>
      </c>
      <c r="E593" s="270">
        <v>1</v>
      </c>
      <c r="F593" s="270" t="s">
        <v>944</v>
      </c>
      <c r="G593" s="270" t="s">
        <v>3926</v>
      </c>
      <c r="H593" s="270" t="s">
        <v>4705</v>
      </c>
      <c r="I593" s="270" t="s">
        <v>4114</v>
      </c>
      <c r="J593" s="270" t="s">
        <v>3928</v>
      </c>
      <c r="K593" s="270">
        <v>6410</v>
      </c>
      <c r="L593" s="270">
        <v>343101</v>
      </c>
      <c r="M593" s="270" t="s">
        <v>3943</v>
      </c>
      <c r="N593" s="270" t="s">
        <v>3944</v>
      </c>
      <c r="O593" s="270">
        <v>4986</v>
      </c>
      <c r="P593" s="270" t="s">
        <v>3944</v>
      </c>
      <c r="Q593" s="270" t="s">
        <v>3944</v>
      </c>
      <c r="R593" s="270">
        <v>4986</v>
      </c>
      <c r="S593" s="270">
        <v>29222</v>
      </c>
      <c r="T593" s="270">
        <v>34208</v>
      </c>
      <c r="U593" s="271" t="s">
        <v>3945</v>
      </c>
      <c r="V593" s="267" t="s">
        <v>944</v>
      </c>
    </row>
    <row r="594" spans="1:22" hidden="1" x14ac:dyDescent="0.25">
      <c r="A594" s="266">
        <v>43494</v>
      </c>
      <c r="B594" s="267">
        <v>2019</v>
      </c>
      <c r="C594" s="267">
        <v>2019</v>
      </c>
      <c r="D594" s="267">
        <v>1</v>
      </c>
      <c r="E594" s="267">
        <v>1</v>
      </c>
      <c r="F594" s="267" t="s">
        <v>944</v>
      </c>
      <c r="G594" s="267" t="s">
        <v>3926</v>
      </c>
      <c r="H594" s="267" t="s">
        <v>4706</v>
      </c>
      <c r="I594" s="267" t="s">
        <v>4435</v>
      </c>
      <c r="J594" s="267" t="s">
        <v>3928</v>
      </c>
      <c r="K594" s="267">
        <v>6249</v>
      </c>
      <c r="L594" s="267">
        <v>870100</v>
      </c>
      <c r="M594" s="267" t="s">
        <v>3960</v>
      </c>
      <c r="N594" s="267" t="s">
        <v>3944</v>
      </c>
      <c r="O594" s="267">
        <v>2985.68</v>
      </c>
      <c r="P594" s="267" t="s">
        <v>3944</v>
      </c>
      <c r="Q594" s="267" t="s">
        <v>3944</v>
      </c>
      <c r="R594" s="267">
        <v>2985.68</v>
      </c>
      <c r="S594" s="267">
        <v>38414.32</v>
      </c>
      <c r="T594" s="267">
        <v>41400</v>
      </c>
      <c r="U594" s="268" t="s">
        <v>3945</v>
      </c>
      <c r="V594" s="267" t="s">
        <v>944</v>
      </c>
    </row>
    <row r="595" spans="1:22" hidden="1" x14ac:dyDescent="0.25">
      <c r="A595" s="269">
        <v>43494</v>
      </c>
      <c r="B595" s="270">
        <v>2019</v>
      </c>
      <c r="C595" s="270">
        <v>2019</v>
      </c>
      <c r="D595" s="270">
        <v>1</v>
      </c>
      <c r="E595" s="270">
        <v>1</v>
      </c>
      <c r="F595" s="270" t="s">
        <v>944</v>
      </c>
      <c r="G595" s="270" t="s">
        <v>3926</v>
      </c>
      <c r="H595" s="270" t="s">
        <v>4707</v>
      </c>
      <c r="I595" s="270" t="s">
        <v>4016</v>
      </c>
      <c r="J595" s="270" t="s">
        <v>3928</v>
      </c>
      <c r="K595" s="270">
        <v>6770</v>
      </c>
      <c r="L595" s="270">
        <v>345400</v>
      </c>
      <c r="M595" s="270" t="s">
        <v>3935</v>
      </c>
      <c r="N595" s="270" t="s">
        <v>3944</v>
      </c>
      <c r="O595" s="270">
        <v>1685.5</v>
      </c>
      <c r="P595" s="270" t="s">
        <v>3944</v>
      </c>
      <c r="Q595" s="270" t="s">
        <v>3944</v>
      </c>
      <c r="R595" s="270">
        <v>1685.5</v>
      </c>
      <c r="S595" s="270">
        <v>22960.1</v>
      </c>
      <c r="T595" s="270">
        <v>24645.599999999999</v>
      </c>
      <c r="U595" s="271" t="s">
        <v>3945</v>
      </c>
      <c r="V595" s="267" t="s">
        <v>944</v>
      </c>
    </row>
    <row r="596" spans="1:22" hidden="1" x14ac:dyDescent="0.25">
      <c r="A596" s="266">
        <v>43494</v>
      </c>
      <c r="B596" s="267">
        <v>2019</v>
      </c>
      <c r="C596" s="267">
        <v>2019</v>
      </c>
      <c r="D596" s="267">
        <v>1</v>
      </c>
      <c r="E596" s="267">
        <v>1</v>
      </c>
      <c r="F596" s="267" t="s">
        <v>944</v>
      </c>
      <c r="G596" s="267" t="s">
        <v>3926</v>
      </c>
      <c r="H596" s="267" t="s">
        <v>4708</v>
      </c>
      <c r="I596" s="267" t="s">
        <v>4269</v>
      </c>
      <c r="J596" s="267" t="s">
        <v>3928</v>
      </c>
      <c r="K596" s="267">
        <v>6117</v>
      </c>
      <c r="L596" s="267">
        <v>497200</v>
      </c>
      <c r="M596" s="267" t="s">
        <v>3943</v>
      </c>
      <c r="N596" s="267" t="s">
        <v>3944</v>
      </c>
      <c r="O596" s="267">
        <v>1256.19</v>
      </c>
      <c r="P596" s="267" t="s">
        <v>3944</v>
      </c>
      <c r="Q596" s="267" t="s">
        <v>3944</v>
      </c>
      <c r="R596" s="267">
        <v>1256.19</v>
      </c>
      <c r="S596" s="267">
        <v>16201.11</v>
      </c>
      <c r="T596" s="267">
        <v>17457.3</v>
      </c>
      <c r="U596" s="268" t="s">
        <v>3945</v>
      </c>
      <c r="V596" s="267" t="s">
        <v>944</v>
      </c>
    </row>
    <row r="597" spans="1:22" hidden="1" x14ac:dyDescent="0.25">
      <c r="A597" s="269">
        <v>43494</v>
      </c>
      <c r="B597" s="270">
        <v>2019</v>
      </c>
      <c r="C597" s="270">
        <v>2019</v>
      </c>
      <c r="D597" s="270">
        <v>1</v>
      </c>
      <c r="E597" s="270">
        <v>1</v>
      </c>
      <c r="F597" s="270" t="s">
        <v>944</v>
      </c>
      <c r="G597" s="270" t="s">
        <v>3926</v>
      </c>
      <c r="H597" s="270" t="s">
        <v>4709</v>
      </c>
      <c r="I597" s="270" t="s">
        <v>4035</v>
      </c>
      <c r="J597" s="270" t="s">
        <v>3928</v>
      </c>
      <c r="K597" s="270">
        <v>6074</v>
      </c>
      <c r="L597" s="270">
        <v>487100</v>
      </c>
      <c r="M597" s="270" t="s">
        <v>3943</v>
      </c>
      <c r="N597" s="270" t="s">
        <v>3944</v>
      </c>
      <c r="O597" s="270">
        <v>2415.7399999999998</v>
      </c>
      <c r="P597" s="270" t="s">
        <v>3944</v>
      </c>
      <c r="Q597" s="270" t="s">
        <v>3944</v>
      </c>
      <c r="R597" s="270">
        <v>2415.7399999999998</v>
      </c>
      <c r="S597" s="270">
        <v>21957.26</v>
      </c>
      <c r="T597" s="270">
        <v>24373</v>
      </c>
      <c r="U597" s="271" t="s">
        <v>3945</v>
      </c>
      <c r="V597" s="267" t="s">
        <v>944</v>
      </c>
    </row>
    <row r="598" spans="1:22" hidden="1" x14ac:dyDescent="0.25">
      <c r="A598" s="266">
        <v>43494</v>
      </c>
      <c r="B598" s="267">
        <v>2019</v>
      </c>
      <c r="C598" s="267">
        <v>2019</v>
      </c>
      <c r="D598" s="267">
        <v>1</v>
      </c>
      <c r="E598" s="267">
        <v>1</v>
      </c>
      <c r="F598" s="267" t="s">
        <v>944</v>
      </c>
      <c r="G598" s="267" t="s">
        <v>3926</v>
      </c>
      <c r="H598" s="267" t="s">
        <v>4710</v>
      </c>
      <c r="I598" s="267" t="s">
        <v>4069</v>
      </c>
      <c r="J598" s="267" t="s">
        <v>3928</v>
      </c>
      <c r="K598" s="267">
        <v>6902</v>
      </c>
      <c r="L598" s="267">
        <v>21400</v>
      </c>
      <c r="M598" s="267">
        <v>-60</v>
      </c>
      <c r="N598" s="267" t="s">
        <v>3944</v>
      </c>
      <c r="O598" s="267">
        <v>1767.22</v>
      </c>
      <c r="P598" s="267" t="s">
        <v>3944</v>
      </c>
      <c r="Q598" s="267" t="s">
        <v>3944</v>
      </c>
      <c r="R598" s="267">
        <v>1767.22</v>
      </c>
      <c r="S598" s="267">
        <v>11753.78</v>
      </c>
      <c r="T598" s="267">
        <v>13521</v>
      </c>
      <c r="U598" s="268" t="s">
        <v>3945</v>
      </c>
      <c r="V598" s="267" t="s">
        <v>944</v>
      </c>
    </row>
    <row r="599" spans="1:22" hidden="1" x14ac:dyDescent="0.25">
      <c r="A599" s="269">
        <v>43495</v>
      </c>
      <c r="B599" s="270">
        <v>2019</v>
      </c>
      <c r="C599" s="270">
        <v>2019</v>
      </c>
      <c r="D599" s="270">
        <v>1</v>
      </c>
      <c r="E599" s="270">
        <v>1</v>
      </c>
      <c r="F599" s="270" t="s">
        <v>944</v>
      </c>
      <c r="G599" s="270" t="s">
        <v>3997</v>
      </c>
      <c r="H599" s="270" t="s">
        <v>4711</v>
      </c>
      <c r="I599" s="270" t="s">
        <v>4037</v>
      </c>
      <c r="J599" s="270" t="s">
        <v>3928</v>
      </c>
      <c r="K599" s="270">
        <v>6811</v>
      </c>
      <c r="L599" s="270">
        <v>211300</v>
      </c>
      <c r="M599" s="270" t="s">
        <v>3943</v>
      </c>
      <c r="N599" s="270" t="s">
        <v>3986</v>
      </c>
      <c r="O599" s="270">
        <v>0</v>
      </c>
      <c r="P599" s="270" t="s">
        <v>3930</v>
      </c>
      <c r="Q599" s="270" t="s">
        <v>3931</v>
      </c>
      <c r="R599" s="270">
        <v>5000</v>
      </c>
      <c r="S599" s="270">
        <v>16196.8</v>
      </c>
      <c r="T599" s="270">
        <v>21196.799999999999</v>
      </c>
      <c r="U599" s="271" t="s">
        <v>3932</v>
      </c>
      <c r="V599" s="267" t="s">
        <v>944</v>
      </c>
    </row>
    <row r="600" spans="1:22" hidden="1" x14ac:dyDescent="0.25">
      <c r="A600" s="266">
        <v>43495</v>
      </c>
      <c r="B600" s="267">
        <v>2019</v>
      </c>
      <c r="C600" s="267">
        <v>2019</v>
      </c>
      <c r="D600" s="267">
        <v>1</v>
      </c>
      <c r="E600" s="267">
        <v>1</v>
      </c>
      <c r="F600" s="267" t="s">
        <v>944</v>
      </c>
      <c r="G600" s="267" t="s">
        <v>3926</v>
      </c>
      <c r="H600" s="267" t="s">
        <v>4712</v>
      </c>
      <c r="I600" s="267" t="s">
        <v>934</v>
      </c>
      <c r="J600" s="267" t="s">
        <v>3928</v>
      </c>
      <c r="K600" s="267">
        <v>6606</v>
      </c>
      <c r="L600" s="267">
        <v>72900</v>
      </c>
      <c r="M600" s="267" t="s">
        <v>3940</v>
      </c>
      <c r="N600" s="267" t="s">
        <v>4103</v>
      </c>
      <c r="O600" s="267">
        <v>3995.01</v>
      </c>
      <c r="P600" s="267" t="s">
        <v>3930</v>
      </c>
      <c r="Q600" s="267" t="s">
        <v>3931</v>
      </c>
      <c r="R600" s="267">
        <v>8995.01</v>
      </c>
      <c r="S600" s="267">
        <v>24145.599999999999</v>
      </c>
      <c r="T600" s="267">
        <v>33140.61</v>
      </c>
      <c r="U600" s="268" t="s">
        <v>3932</v>
      </c>
      <c r="V600" s="267" t="s">
        <v>944</v>
      </c>
    </row>
    <row r="601" spans="1:22" hidden="1" x14ac:dyDescent="0.25">
      <c r="A601" s="269">
        <v>43495</v>
      </c>
      <c r="B601" s="270">
        <v>2019</v>
      </c>
      <c r="C601" s="270">
        <v>2019</v>
      </c>
      <c r="D601" s="270">
        <v>1</v>
      </c>
      <c r="E601" s="270">
        <v>1</v>
      </c>
      <c r="F601" s="270" t="s">
        <v>944</v>
      </c>
      <c r="G601" s="270" t="s">
        <v>3926</v>
      </c>
      <c r="H601" s="270" t="s">
        <v>4713</v>
      </c>
      <c r="I601" s="270" t="s">
        <v>934</v>
      </c>
      <c r="J601" s="270" t="s">
        <v>3928</v>
      </c>
      <c r="K601" s="270">
        <v>6606</v>
      </c>
      <c r="L601" s="270">
        <v>72700</v>
      </c>
      <c r="M601" s="270" t="s">
        <v>3935</v>
      </c>
      <c r="N601" s="270" t="s">
        <v>4714</v>
      </c>
      <c r="O601" s="270">
        <v>3914.46</v>
      </c>
      <c r="P601" s="270" t="s">
        <v>3930</v>
      </c>
      <c r="Q601" s="270" t="s">
        <v>3931</v>
      </c>
      <c r="R601" s="270">
        <v>8914.4599999999991</v>
      </c>
      <c r="S601" s="270">
        <v>24518.2</v>
      </c>
      <c r="T601" s="270">
        <v>33432.660000000003</v>
      </c>
      <c r="U601" s="271" t="s">
        <v>3932</v>
      </c>
      <c r="V601" s="267" t="s">
        <v>944</v>
      </c>
    </row>
    <row r="602" spans="1:22" hidden="1" x14ac:dyDescent="0.25">
      <c r="A602" s="266">
        <v>43496</v>
      </c>
      <c r="B602" s="267">
        <v>2019</v>
      </c>
      <c r="C602" s="267">
        <v>2019</v>
      </c>
      <c r="D602" s="267">
        <v>1</v>
      </c>
      <c r="E602" s="267">
        <v>1</v>
      </c>
      <c r="F602" s="267" t="s">
        <v>944</v>
      </c>
      <c r="G602" s="267" t="s">
        <v>3926</v>
      </c>
      <c r="H602" s="267" t="s">
        <v>4715</v>
      </c>
      <c r="I602" s="267" t="s">
        <v>4621</v>
      </c>
      <c r="J602" s="267" t="s">
        <v>3928</v>
      </c>
      <c r="K602" s="267">
        <v>6443</v>
      </c>
      <c r="L602" s="267">
        <v>194201</v>
      </c>
      <c r="M602" s="267" t="s">
        <v>3943</v>
      </c>
      <c r="N602" s="267" t="s">
        <v>4716</v>
      </c>
      <c r="O602" s="267">
        <v>0</v>
      </c>
      <c r="P602" s="267" t="s">
        <v>3930</v>
      </c>
      <c r="Q602" s="267" t="s">
        <v>3930</v>
      </c>
      <c r="R602" s="267">
        <v>0</v>
      </c>
      <c r="S602" s="267">
        <v>8205.83</v>
      </c>
      <c r="T602" s="267">
        <v>8205.83</v>
      </c>
      <c r="U602" s="268" t="s">
        <v>3937</v>
      </c>
      <c r="V602" s="267" t="s">
        <v>944</v>
      </c>
    </row>
    <row r="603" spans="1:22" hidden="1" x14ac:dyDescent="0.25">
      <c r="A603" s="269">
        <v>43496</v>
      </c>
      <c r="B603" s="270">
        <v>2019</v>
      </c>
      <c r="C603" s="270">
        <v>2019</v>
      </c>
      <c r="D603" s="270">
        <v>1</v>
      </c>
      <c r="E603" s="270">
        <v>1</v>
      </c>
      <c r="F603" s="270" t="s">
        <v>944</v>
      </c>
      <c r="G603" s="270" t="s">
        <v>3926</v>
      </c>
      <c r="H603" s="270" t="s">
        <v>4717</v>
      </c>
      <c r="I603" s="270" t="s">
        <v>4269</v>
      </c>
      <c r="J603" s="270" t="s">
        <v>3928</v>
      </c>
      <c r="K603" s="270">
        <v>6117</v>
      </c>
      <c r="L603" s="270">
        <v>497300</v>
      </c>
      <c r="M603" s="270" t="s">
        <v>3943</v>
      </c>
      <c r="N603" s="270" t="s">
        <v>3929</v>
      </c>
      <c r="O603" s="270">
        <v>2356.0300000000002</v>
      </c>
      <c r="P603" s="270" t="s">
        <v>3930</v>
      </c>
      <c r="Q603" s="270" t="s">
        <v>3931</v>
      </c>
      <c r="R603" s="270">
        <v>7356.03</v>
      </c>
      <c r="S603" s="270">
        <v>34744</v>
      </c>
      <c r="T603" s="270">
        <v>42100.03</v>
      </c>
      <c r="U603" s="271" t="s">
        <v>3932</v>
      </c>
      <c r="V603" s="267" t="s">
        <v>944</v>
      </c>
    </row>
    <row r="604" spans="1:22" hidden="1" x14ac:dyDescent="0.25">
      <c r="A604" s="266">
        <v>43496</v>
      </c>
      <c r="B604" s="267">
        <v>2019</v>
      </c>
      <c r="C604" s="267">
        <v>2019</v>
      </c>
      <c r="D604" s="267">
        <v>1</v>
      </c>
      <c r="E604" s="267">
        <v>1</v>
      </c>
      <c r="F604" s="267" t="s">
        <v>944</v>
      </c>
      <c r="G604" s="267" t="s">
        <v>3926</v>
      </c>
      <c r="H604" s="267" t="s">
        <v>4718</v>
      </c>
      <c r="I604" s="267" t="s">
        <v>4250</v>
      </c>
      <c r="J604" s="267" t="s">
        <v>3928</v>
      </c>
      <c r="K604" s="267">
        <v>6239</v>
      </c>
      <c r="L604" s="267">
        <v>904500</v>
      </c>
      <c r="M604" s="267" t="s">
        <v>3940</v>
      </c>
      <c r="N604" s="267" t="s">
        <v>4719</v>
      </c>
      <c r="O604" s="267">
        <v>4255.74</v>
      </c>
      <c r="P604" s="267" t="s">
        <v>3930</v>
      </c>
      <c r="Q604" s="267" t="s">
        <v>3931</v>
      </c>
      <c r="R604" s="267">
        <v>9255.74</v>
      </c>
      <c r="S604" s="267">
        <v>25015</v>
      </c>
      <c r="T604" s="267">
        <v>34270.74</v>
      </c>
      <c r="U604" s="268" t="s">
        <v>3932</v>
      </c>
      <c r="V604" s="267" t="s">
        <v>944</v>
      </c>
    </row>
    <row r="605" spans="1:22" hidden="1" x14ac:dyDescent="0.25">
      <c r="A605" s="269">
        <v>43496</v>
      </c>
      <c r="B605" s="270">
        <v>2019</v>
      </c>
      <c r="C605" s="270">
        <v>2019</v>
      </c>
      <c r="D605" s="270">
        <v>1</v>
      </c>
      <c r="E605" s="270">
        <v>1</v>
      </c>
      <c r="F605" s="270" t="s">
        <v>944</v>
      </c>
      <c r="G605" s="270" t="s">
        <v>3926</v>
      </c>
      <c r="H605" s="270" t="s">
        <v>4720</v>
      </c>
      <c r="I605" s="270" t="s">
        <v>4019</v>
      </c>
      <c r="J605" s="270" t="s">
        <v>3928</v>
      </c>
      <c r="K605" s="270">
        <v>6704</v>
      </c>
      <c r="L605" s="270">
        <v>352500</v>
      </c>
      <c r="M605" s="270">
        <v>-60</v>
      </c>
      <c r="N605" s="270" t="s">
        <v>3929</v>
      </c>
      <c r="O605" s="270">
        <v>6525.54</v>
      </c>
      <c r="P605" s="270" t="s">
        <v>3930</v>
      </c>
      <c r="Q605" s="270" t="s">
        <v>3931</v>
      </c>
      <c r="R605" s="270">
        <v>11525.54</v>
      </c>
      <c r="S605" s="270">
        <v>34744</v>
      </c>
      <c r="T605" s="270">
        <v>46269.54</v>
      </c>
      <c r="U605" s="271" t="s">
        <v>3932</v>
      </c>
      <c r="V605" s="267" t="s">
        <v>944</v>
      </c>
    </row>
    <row r="606" spans="1:22" hidden="1" x14ac:dyDescent="0.25">
      <c r="A606" s="266">
        <v>43496</v>
      </c>
      <c r="B606" s="267">
        <v>2019</v>
      </c>
      <c r="C606" s="267">
        <v>2019</v>
      </c>
      <c r="D606" s="267">
        <v>1</v>
      </c>
      <c r="E606" s="267">
        <v>1</v>
      </c>
      <c r="F606" s="267" t="s">
        <v>944</v>
      </c>
      <c r="G606" s="267" t="s">
        <v>3926</v>
      </c>
      <c r="H606" s="267" t="s">
        <v>4721</v>
      </c>
      <c r="I606" s="267" t="s">
        <v>4147</v>
      </c>
      <c r="J606" s="267" t="s">
        <v>3928</v>
      </c>
      <c r="K606" s="267">
        <v>6109</v>
      </c>
      <c r="L606" s="267">
        <v>492300</v>
      </c>
      <c r="M606" s="267" t="s">
        <v>3940</v>
      </c>
      <c r="N606" s="267" t="s">
        <v>3944</v>
      </c>
      <c r="O606" s="267">
        <v>1893</v>
      </c>
      <c r="P606" s="267" t="s">
        <v>3944</v>
      </c>
      <c r="Q606" s="267" t="s">
        <v>3944</v>
      </c>
      <c r="R606" s="267">
        <v>1893</v>
      </c>
      <c r="S606" s="267">
        <v>16629</v>
      </c>
      <c r="T606" s="267">
        <v>18522</v>
      </c>
      <c r="U606" s="268" t="s">
        <v>3945</v>
      </c>
      <c r="V606" s="267" t="s">
        <v>944</v>
      </c>
    </row>
    <row r="607" spans="1:22" hidden="1" x14ac:dyDescent="0.25">
      <c r="A607" s="269">
        <v>43496</v>
      </c>
      <c r="B607" s="270">
        <v>2019</v>
      </c>
      <c r="C607" s="270">
        <v>2019</v>
      </c>
      <c r="D607" s="270">
        <v>1</v>
      </c>
      <c r="E607" s="270">
        <v>1</v>
      </c>
      <c r="F607" s="270" t="s">
        <v>944</v>
      </c>
      <c r="G607" s="270" t="s">
        <v>3926</v>
      </c>
      <c r="H607" s="270" t="s">
        <v>4722</v>
      </c>
      <c r="I607" s="270" t="s">
        <v>3012</v>
      </c>
      <c r="J607" s="270" t="s">
        <v>3928</v>
      </c>
      <c r="K607" s="270">
        <v>6477</v>
      </c>
      <c r="L607" s="270">
        <v>157200</v>
      </c>
      <c r="M607" s="270" t="s">
        <v>3943</v>
      </c>
      <c r="N607" s="270" t="s">
        <v>3944</v>
      </c>
      <c r="O607" s="270">
        <v>3288</v>
      </c>
      <c r="P607" s="270" t="s">
        <v>3944</v>
      </c>
      <c r="Q607" s="270" t="s">
        <v>3944</v>
      </c>
      <c r="R607" s="270">
        <v>3288</v>
      </c>
      <c r="S607" s="270">
        <v>24460</v>
      </c>
      <c r="T607" s="270">
        <v>27748</v>
      </c>
      <c r="U607" s="271" t="s">
        <v>3945</v>
      </c>
      <c r="V607" s="267" t="s">
        <v>944</v>
      </c>
    </row>
    <row r="608" spans="1:22" hidden="1" x14ac:dyDescent="0.25">
      <c r="A608" s="266">
        <v>43496</v>
      </c>
      <c r="B608" s="267">
        <v>2019</v>
      </c>
      <c r="C608" s="267">
        <v>2019</v>
      </c>
      <c r="D608" s="267">
        <v>1</v>
      </c>
      <c r="E608" s="267">
        <v>1</v>
      </c>
      <c r="F608" s="267" t="s">
        <v>944</v>
      </c>
      <c r="G608" s="267" t="s">
        <v>3926</v>
      </c>
      <c r="H608" s="267" t="s">
        <v>4723</v>
      </c>
      <c r="I608" s="267" t="s">
        <v>3956</v>
      </c>
      <c r="J608" s="267" t="s">
        <v>3928</v>
      </c>
      <c r="K608" s="267">
        <v>6114</v>
      </c>
      <c r="L608" s="267">
        <v>502300</v>
      </c>
      <c r="M608" s="267">
        <v>-60</v>
      </c>
      <c r="N608" s="267" t="s">
        <v>3944</v>
      </c>
      <c r="O608" s="267">
        <v>1367.17</v>
      </c>
      <c r="P608" s="267" t="s">
        <v>3944</v>
      </c>
      <c r="Q608" s="267" t="s">
        <v>3944</v>
      </c>
      <c r="R608" s="267">
        <v>1367.17</v>
      </c>
      <c r="S608" s="267">
        <v>19611.830000000002</v>
      </c>
      <c r="T608" s="267">
        <v>20979</v>
      </c>
      <c r="U608" s="268" t="s">
        <v>3945</v>
      </c>
      <c r="V608" s="267" t="s">
        <v>944</v>
      </c>
    </row>
    <row r="609" spans="1:22" hidden="1" x14ac:dyDescent="0.25">
      <c r="A609" s="269">
        <v>43496</v>
      </c>
      <c r="B609" s="270">
        <v>2019</v>
      </c>
      <c r="C609" s="270">
        <v>2019</v>
      </c>
      <c r="D609" s="270">
        <v>1</v>
      </c>
      <c r="E609" s="270">
        <v>1</v>
      </c>
      <c r="F609" s="270" t="s">
        <v>944</v>
      </c>
      <c r="G609" s="270" t="s">
        <v>3926</v>
      </c>
      <c r="H609" s="270" t="s">
        <v>4724</v>
      </c>
      <c r="I609" s="270" t="s">
        <v>3010</v>
      </c>
      <c r="J609" s="270" t="s">
        <v>3928</v>
      </c>
      <c r="K609" s="270">
        <v>6401</v>
      </c>
      <c r="L609" s="270">
        <v>125100</v>
      </c>
      <c r="M609" s="270" t="s">
        <v>3960</v>
      </c>
      <c r="N609" s="270" t="s">
        <v>3944</v>
      </c>
      <c r="O609" s="270">
        <v>2238.4299999999998</v>
      </c>
      <c r="P609" s="270" t="s">
        <v>3944</v>
      </c>
      <c r="Q609" s="270" t="s">
        <v>3944</v>
      </c>
      <c r="R609" s="270">
        <v>2238.4299999999998</v>
      </c>
      <c r="S609" s="270">
        <v>34221.26</v>
      </c>
      <c r="T609" s="270">
        <v>36459.69</v>
      </c>
      <c r="U609" s="271" t="s">
        <v>3945</v>
      </c>
      <c r="V609" s="267" t="s">
        <v>944</v>
      </c>
    </row>
    <row r="610" spans="1:22" hidden="1" x14ac:dyDescent="0.25">
      <c r="A610" s="266">
        <v>43496</v>
      </c>
      <c r="B610" s="267">
        <v>2019</v>
      </c>
      <c r="C610" s="267">
        <v>2019</v>
      </c>
      <c r="D610" s="267">
        <v>1</v>
      </c>
      <c r="E610" s="267">
        <v>1</v>
      </c>
      <c r="F610" s="267" t="s">
        <v>944</v>
      </c>
      <c r="G610" s="267" t="s">
        <v>3926</v>
      </c>
      <c r="H610" s="267" t="s">
        <v>4725</v>
      </c>
      <c r="I610" s="267" t="s">
        <v>3962</v>
      </c>
      <c r="J610" s="267" t="s">
        <v>3928</v>
      </c>
      <c r="K610" s="267">
        <v>6379</v>
      </c>
      <c r="L610" s="267">
        <v>705102</v>
      </c>
      <c r="M610" s="267" t="s">
        <v>3940</v>
      </c>
      <c r="N610" s="267" t="s">
        <v>3944</v>
      </c>
      <c r="O610" s="267">
        <v>2137.21</v>
      </c>
      <c r="P610" s="267" t="s">
        <v>3944</v>
      </c>
      <c r="Q610" s="267" t="s">
        <v>3944</v>
      </c>
      <c r="R610" s="267">
        <v>2137.21</v>
      </c>
      <c r="S610" s="267">
        <v>32762.16</v>
      </c>
      <c r="T610" s="267">
        <v>34899.370000000003</v>
      </c>
      <c r="U610" s="268" t="s">
        <v>3945</v>
      </c>
      <c r="V610" s="267" t="s">
        <v>944</v>
      </c>
    </row>
    <row r="611" spans="1:22" hidden="1" x14ac:dyDescent="0.25">
      <c r="A611" s="269">
        <v>43496</v>
      </c>
      <c r="B611" s="270">
        <v>2019</v>
      </c>
      <c r="C611" s="270">
        <v>2019</v>
      </c>
      <c r="D611" s="270">
        <v>1</v>
      </c>
      <c r="E611" s="270">
        <v>1</v>
      </c>
      <c r="F611" s="270" t="s">
        <v>944</v>
      </c>
      <c r="G611" s="270" t="s">
        <v>3926</v>
      </c>
      <c r="H611" s="270" t="s">
        <v>4726</v>
      </c>
      <c r="I611" s="270" t="s">
        <v>3025</v>
      </c>
      <c r="J611" s="270" t="s">
        <v>3928</v>
      </c>
      <c r="K611" s="270">
        <v>6473</v>
      </c>
      <c r="L611" s="270">
        <v>167300</v>
      </c>
      <c r="M611" s="270" t="s">
        <v>3943</v>
      </c>
      <c r="N611" s="270" t="s">
        <v>3944</v>
      </c>
      <c r="O611" s="270">
        <v>2532.3200000000002</v>
      </c>
      <c r="P611" s="270" t="s">
        <v>3944</v>
      </c>
      <c r="Q611" s="270" t="s">
        <v>3944</v>
      </c>
      <c r="R611" s="270">
        <v>2532.3200000000002</v>
      </c>
      <c r="S611" s="270">
        <v>36010.78</v>
      </c>
      <c r="T611" s="270">
        <v>38543.1</v>
      </c>
      <c r="U611" s="271" t="s">
        <v>3945</v>
      </c>
      <c r="V611" s="267" t="s">
        <v>944</v>
      </c>
    </row>
    <row r="612" spans="1:22" hidden="1" x14ac:dyDescent="0.25">
      <c r="A612" s="266">
        <v>43496</v>
      </c>
      <c r="B612" s="267">
        <v>2019</v>
      </c>
      <c r="C612" s="267">
        <v>2019</v>
      </c>
      <c r="D612" s="267">
        <v>1</v>
      </c>
      <c r="E612" s="267">
        <v>1</v>
      </c>
      <c r="F612" s="267" t="s">
        <v>944</v>
      </c>
      <c r="G612" s="267" t="s">
        <v>3926</v>
      </c>
      <c r="H612" s="267" t="s">
        <v>4727</v>
      </c>
      <c r="I612" s="267" t="s">
        <v>4069</v>
      </c>
      <c r="J612" s="267" t="s">
        <v>3928</v>
      </c>
      <c r="K612" s="267">
        <v>6906</v>
      </c>
      <c r="L612" s="267">
        <v>21801</v>
      </c>
      <c r="M612" s="267" t="s">
        <v>3960</v>
      </c>
      <c r="N612" s="267" t="s">
        <v>3944</v>
      </c>
      <c r="O612" s="267">
        <v>1146.29</v>
      </c>
      <c r="P612" s="267" t="s">
        <v>3944</v>
      </c>
      <c r="Q612" s="267" t="s">
        <v>3944</v>
      </c>
      <c r="R612" s="267">
        <v>1146.29</v>
      </c>
      <c r="S612" s="267">
        <v>15520.99</v>
      </c>
      <c r="T612" s="267">
        <v>16667.28</v>
      </c>
      <c r="U612" s="268" t="s">
        <v>3945</v>
      </c>
      <c r="V612" s="267" t="s">
        <v>944</v>
      </c>
    </row>
    <row r="613" spans="1:22" hidden="1" x14ac:dyDescent="0.25">
      <c r="A613" s="269">
        <v>43496</v>
      </c>
      <c r="B613" s="270">
        <v>2019</v>
      </c>
      <c r="C613" s="270">
        <v>2019</v>
      </c>
      <c r="D613" s="270">
        <v>1</v>
      </c>
      <c r="E613" s="270">
        <v>1</v>
      </c>
      <c r="F613" s="270" t="s">
        <v>944</v>
      </c>
      <c r="G613" s="270" t="s">
        <v>3926</v>
      </c>
      <c r="H613" s="270" t="s">
        <v>4728</v>
      </c>
      <c r="I613" s="270" t="s">
        <v>4035</v>
      </c>
      <c r="J613" s="270" t="s">
        <v>3928</v>
      </c>
      <c r="K613" s="270">
        <v>6074</v>
      </c>
      <c r="L613" s="270">
        <v>487400</v>
      </c>
      <c r="M613" s="270" t="s">
        <v>3943</v>
      </c>
      <c r="N613" s="270" t="s">
        <v>3944</v>
      </c>
      <c r="O613" s="270">
        <v>1026.4100000000001</v>
      </c>
      <c r="P613" s="270" t="s">
        <v>3944</v>
      </c>
      <c r="Q613" s="270" t="s">
        <v>3944</v>
      </c>
      <c r="R613" s="270">
        <v>1026.4100000000001</v>
      </c>
      <c r="S613" s="270">
        <v>14278.45</v>
      </c>
      <c r="T613" s="270">
        <v>15304.86</v>
      </c>
      <c r="U613" s="271" t="s">
        <v>3945</v>
      </c>
      <c r="V613" s="267" t="s">
        <v>944</v>
      </c>
    </row>
    <row r="614" spans="1:22" hidden="1" x14ac:dyDescent="0.25">
      <c r="A614" s="266">
        <v>43496</v>
      </c>
      <c r="B614" s="267">
        <v>2019</v>
      </c>
      <c r="C614" s="267">
        <v>2019</v>
      </c>
      <c r="D614" s="267">
        <v>1</v>
      </c>
      <c r="E614" s="267">
        <v>1</v>
      </c>
      <c r="F614" s="267" t="s">
        <v>944</v>
      </c>
      <c r="G614" s="267" t="s">
        <v>3926</v>
      </c>
      <c r="H614" s="267" t="s">
        <v>4729</v>
      </c>
      <c r="I614" s="267" t="s">
        <v>4029</v>
      </c>
      <c r="J614" s="267" t="s">
        <v>3928</v>
      </c>
      <c r="K614" s="267">
        <v>6851</v>
      </c>
      <c r="L614" s="267">
        <v>42600</v>
      </c>
      <c r="M614" s="267" t="s">
        <v>3943</v>
      </c>
      <c r="N614" s="267" t="s">
        <v>3944</v>
      </c>
      <c r="O614" s="267">
        <v>2492.2800000000002</v>
      </c>
      <c r="P614" s="267" t="s">
        <v>3944</v>
      </c>
      <c r="Q614" s="267" t="s">
        <v>3944</v>
      </c>
      <c r="R614" s="267">
        <v>2492.2800000000002</v>
      </c>
      <c r="S614" s="267">
        <v>36106.699999999997</v>
      </c>
      <c r="T614" s="267">
        <v>38598.980000000003</v>
      </c>
      <c r="U614" s="268" t="s">
        <v>3945</v>
      </c>
      <c r="V614" s="267" t="s">
        <v>944</v>
      </c>
    </row>
    <row r="615" spans="1:22" hidden="1" x14ac:dyDescent="0.25">
      <c r="A615" s="269">
        <v>43497</v>
      </c>
      <c r="B615" s="270">
        <v>2019</v>
      </c>
      <c r="C615" s="270">
        <v>2019</v>
      </c>
      <c r="D615" s="270">
        <v>1</v>
      </c>
      <c r="E615" s="270">
        <v>1</v>
      </c>
      <c r="F615" s="270" t="s">
        <v>944</v>
      </c>
      <c r="G615" s="270" t="s">
        <v>3926</v>
      </c>
      <c r="H615" s="270" t="s">
        <v>4730</v>
      </c>
      <c r="I615" s="270" t="s">
        <v>4731</v>
      </c>
      <c r="J615" s="270" t="s">
        <v>3928</v>
      </c>
      <c r="K615" s="270">
        <v>6478</v>
      </c>
      <c r="L615" s="270">
        <v>346101</v>
      </c>
      <c r="M615" s="270" t="s">
        <v>3943</v>
      </c>
      <c r="N615" s="270" t="s">
        <v>4732</v>
      </c>
      <c r="O615" s="270">
        <v>0</v>
      </c>
      <c r="P615" s="270" t="s">
        <v>3930</v>
      </c>
      <c r="Q615" s="270" t="s">
        <v>3930</v>
      </c>
      <c r="R615" s="270">
        <v>0</v>
      </c>
      <c r="S615" s="270">
        <v>11700</v>
      </c>
      <c r="T615" s="270">
        <v>11700</v>
      </c>
      <c r="U615" s="271" t="s">
        <v>3937</v>
      </c>
      <c r="V615" s="267" t="s">
        <v>944</v>
      </c>
    </row>
    <row r="616" spans="1:22" hidden="1" x14ac:dyDescent="0.25">
      <c r="A616" s="266">
        <v>43497</v>
      </c>
      <c r="B616" s="267">
        <v>2019</v>
      </c>
      <c r="C616" s="267">
        <v>2019</v>
      </c>
      <c r="D616" s="267">
        <v>1</v>
      </c>
      <c r="E616" s="267">
        <v>1</v>
      </c>
      <c r="F616" s="267" t="s">
        <v>944</v>
      </c>
      <c r="G616" s="267" t="s">
        <v>3926</v>
      </c>
      <c r="H616" s="267" t="s">
        <v>4733</v>
      </c>
      <c r="I616" s="267" t="s">
        <v>4330</v>
      </c>
      <c r="J616" s="267" t="s">
        <v>3928</v>
      </c>
      <c r="K616" s="267">
        <v>6413</v>
      </c>
      <c r="L616" s="267">
        <v>610300</v>
      </c>
      <c r="M616" s="267" t="s">
        <v>3960</v>
      </c>
      <c r="N616" s="267" t="s">
        <v>4734</v>
      </c>
      <c r="O616" s="267">
        <v>0</v>
      </c>
      <c r="P616" s="267" t="s">
        <v>3930</v>
      </c>
      <c r="Q616" s="267" t="s">
        <v>3930</v>
      </c>
      <c r="R616" s="267">
        <v>0</v>
      </c>
      <c r="S616" s="267">
        <v>12500</v>
      </c>
      <c r="T616" s="267">
        <v>12500</v>
      </c>
      <c r="U616" s="268" t="s">
        <v>3937</v>
      </c>
      <c r="V616" s="267" t="s">
        <v>944</v>
      </c>
    </row>
    <row r="617" spans="1:22" hidden="1" x14ac:dyDescent="0.25">
      <c r="A617" s="269">
        <v>43497</v>
      </c>
      <c r="B617" s="270">
        <v>2019</v>
      </c>
      <c r="C617" s="270">
        <v>2019</v>
      </c>
      <c r="D617" s="270">
        <v>1</v>
      </c>
      <c r="E617" s="270">
        <v>1</v>
      </c>
      <c r="F617" s="270" t="s">
        <v>944</v>
      </c>
      <c r="G617" s="270" t="s">
        <v>3926</v>
      </c>
      <c r="H617" s="270" t="s">
        <v>4735</v>
      </c>
      <c r="I617" s="270" t="s">
        <v>953</v>
      </c>
      <c r="J617" s="270" t="s">
        <v>3928</v>
      </c>
      <c r="K617" s="270">
        <v>6517</v>
      </c>
      <c r="L617" s="270">
        <v>165100</v>
      </c>
      <c r="M617" s="270" t="s">
        <v>3935</v>
      </c>
      <c r="N617" s="270" t="s">
        <v>3986</v>
      </c>
      <c r="O617" s="270">
        <v>2953.23</v>
      </c>
      <c r="P617" s="270" t="s">
        <v>3930</v>
      </c>
      <c r="Q617" s="270" t="s">
        <v>3931</v>
      </c>
      <c r="R617" s="270">
        <v>7953.23</v>
      </c>
      <c r="S617" s="270">
        <v>16196.8</v>
      </c>
      <c r="T617" s="270">
        <v>24150.03</v>
      </c>
      <c r="U617" s="271" t="s">
        <v>3932</v>
      </c>
      <c r="V617" s="267" t="s">
        <v>944</v>
      </c>
    </row>
    <row r="618" spans="1:22" x14ac:dyDescent="0.25">
      <c r="A618" s="266">
        <v>43497</v>
      </c>
      <c r="B618" s="267">
        <v>2019</v>
      </c>
      <c r="C618" s="267">
        <v>2019</v>
      </c>
      <c r="D618" s="267">
        <v>1</v>
      </c>
      <c r="E618" s="267">
        <v>1</v>
      </c>
      <c r="F618" s="267" t="s">
        <v>944</v>
      </c>
      <c r="G618" s="267" t="s">
        <v>3926</v>
      </c>
      <c r="H618" s="267" t="s">
        <v>4736</v>
      </c>
      <c r="I618" s="267" t="s">
        <v>934</v>
      </c>
      <c r="J618" s="267" t="s">
        <v>3928</v>
      </c>
      <c r="K618" s="267">
        <v>6605</v>
      </c>
      <c r="L618" s="267">
        <v>70200</v>
      </c>
      <c r="M618" s="267">
        <v>-60</v>
      </c>
      <c r="N618" s="267" t="s">
        <v>3986</v>
      </c>
      <c r="O618" s="267">
        <v>3611.52</v>
      </c>
      <c r="P618" s="267" t="s">
        <v>3930</v>
      </c>
      <c r="Q618" s="267" t="s">
        <v>3931</v>
      </c>
      <c r="R618" s="267">
        <v>8611.52</v>
      </c>
      <c r="S618" s="267">
        <v>16196.8</v>
      </c>
      <c r="T618" s="267">
        <v>24808.32</v>
      </c>
      <c r="U618" s="268" t="s">
        <v>3932</v>
      </c>
      <c r="V618" s="276" t="s">
        <v>936</v>
      </c>
    </row>
    <row r="619" spans="1:22" hidden="1" x14ac:dyDescent="0.25">
      <c r="A619" s="269">
        <v>43497</v>
      </c>
      <c r="B619" s="270">
        <v>2019</v>
      </c>
      <c r="C619" s="270">
        <v>2019</v>
      </c>
      <c r="D619" s="270">
        <v>1</v>
      </c>
      <c r="E619" s="270">
        <v>1</v>
      </c>
      <c r="F619" s="270" t="s">
        <v>944</v>
      </c>
      <c r="G619" s="270" t="s">
        <v>3926</v>
      </c>
      <c r="H619" s="270" t="s">
        <v>4737</v>
      </c>
      <c r="I619" s="270" t="s">
        <v>3968</v>
      </c>
      <c r="J619" s="270" t="s">
        <v>3928</v>
      </c>
      <c r="K619" s="270">
        <v>6040</v>
      </c>
      <c r="L619" s="270">
        <v>515102</v>
      </c>
      <c r="M619" s="270" t="s">
        <v>3935</v>
      </c>
      <c r="N619" s="270" t="s">
        <v>3944</v>
      </c>
      <c r="O619" s="270">
        <v>3642</v>
      </c>
      <c r="P619" s="270" t="s">
        <v>3944</v>
      </c>
      <c r="Q619" s="270" t="s">
        <v>3944</v>
      </c>
      <c r="R619" s="270">
        <v>3642</v>
      </c>
      <c r="S619" s="270">
        <v>24850</v>
      </c>
      <c r="T619" s="270">
        <v>28492</v>
      </c>
      <c r="U619" s="271" t="s">
        <v>3945</v>
      </c>
      <c r="V619" s="267" t="s">
        <v>944</v>
      </c>
    </row>
    <row r="620" spans="1:22" hidden="1" x14ac:dyDescent="0.25">
      <c r="A620" s="266">
        <v>43497</v>
      </c>
      <c r="B620" s="267">
        <v>2019</v>
      </c>
      <c r="C620" s="267">
        <v>2019</v>
      </c>
      <c r="D620" s="267">
        <v>1</v>
      </c>
      <c r="E620" s="267">
        <v>1</v>
      </c>
      <c r="F620" s="267" t="s">
        <v>944</v>
      </c>
      <c r="G620" s="267" t="s">
        <v>3926</v>
      </c>
      <c r="H620" s="267" t="s">
        <v>4738</v>
      </c>
      <c r="I620" s="267" t="s">
        <v>4079</v>
      </c>
      <c r="J620" s="267" t="s">
        <v>3928</v>
      </c>
      <c r="K620" s="267">
        <v>6111</v>
      </c>
      <c r="L620" s="267">
        <v>494100</v>
      </c>
      <c r="M620" s="267" t="s">
        <v>3935</v>
      </c>
      <c r="N620" s="267" t="s">
        <v>3944</v>
      </c>
      <c r="O620" s="267">
        <v>1208</v>
      </c>
      <c r="P620" s="267" t="s">
        <v>3944</v>
      </c>
      <c r="Q620" s="267" t="s">
        <v>3944</v>
      </c>
      <c r="R620" s="267">
        <v>1208</v>
      </c>
      <c r="S620" s="267">
        <v>13943.5</v>
      </c>
      <c r="T620" s="267">
        <v>15151.5</v>
      </c>
      <c r="U620" s="268" t="s">
        <v>3945</v>
      </c>
      <c r="V620" s="267" t="s">
        <v>944</v>
      </c>
    </row>
    <row r="621" spans="1:22" hidden="1" x14ac:dyDescent="0.25">
      <c r="A621" s="269">
        <v>43497</v>
      </c>
      <c r="B621" s="270">
        <v>2019</v>
      </c>
      <c r="C621" s="270">
        <v>2019</v>
      </c>
      <c r="D621" s="270">
        <v>1</v>
      </c>
      <c r="E621" s="270">
        <v>1</v>
      </c>
      <c r="F621" s="270" t="s">
        <v>944</v>
      </c>
      <c r="G621" s="270" t="s">
        <v>3926</v>
      </c>
      <c r="H621" s="270" t="s">
        <v>4739</v>
      </c>
      <c r="I621" s="270" t="s">
        <v>3975</v>
      </c>
      <c r="J621" s="270" t="s">
        <v>3928</v>
      </c>
      <c r="K621" s="270">
        <v>6032</v>
      </c>
      <c r="L621" s="270">
        <v>460202</v>
      </c>
      <c r="M621" s="270" t="s">
        <v>3960</v>
      </c>
      <c r="N621" s="270" t="s">
        <v>3944</v>
      </c>
      <c r="O621" s="270">
        <v>2704</v>
      </c>
      <c r="P621" s="270" t="s">
        <v>3944</v>
      </c>
      <c r="Q621" s="270" t="s">
        <v>3944</v>
      </c>
      <c r="R621" s="270">
        <v>2704</v>
      </c>
      <c r="S621" s="270">
        <v>25016</v>
      </c>
      <c r="T621" s="270">
        <v>27720</v>
      </c>
      <c r="U621" s="271" t="s">
        <v>3945</v>
      </c>
      <c r="V621" s="267" t="s">
        <v>944</v>
      </c>
    </row>
    <row r="622" spans="1:22" hidden="1" x14ac:dyDescent="0.25">
      <c r="A622" s="266">
        <v>43497</v>
      </c>
      <c r="B622" s="267">
        <v>2019</v>
      </c>
      <c r="C622" s="267">
        <v>2019</v>
      </c>
      <c r="D622" s="267">
        <v>1</v>
      </c>
      <c r="E622" s="267">
        <v>1</v>
      </c>
      <c r="F622" s="267" t="s">
        <v>944</v>
      </c>
      <c r="G622" s="267" t="s">
        <v>3926</v>
      </c>
      <c r="H622" s="267" t="s">
        <v>4740</v>
      </c>
      <c r="I622" s="267" t="s">
        <v>4323</v>
      </c>
      <c r="J622" s="267" t="s">
        <v>3928</v>
      </c>
      <c r="K622" s="267">
        <v>6385</v>
      </c>
      <c r="L622" s="267">
        <v>693400</v>
      </c>
      <c r="M622" s="267" t="s">
        <v>3940</v>
      </c>
      <c r="N622" s="267" t="s">
        <v>3944</v>
      </c>
      <c r="O622" s="267">
        <v>2966</v>
      </c>
      <c r="P622" s="267" t="s">
        <v>3944</v>
      </c>
      <c r="Q622" s="267" t="s">
        <v>3944</v>
      </c>
      <c r="R622" s="267">
        <v>2966</v>
      </c>
      <c r="S622" s="267">
        <v>21289</v>
      </c>
      <c r="T622" s="267">
        <v>24255</v>
      </c>
      <c r="U622" s="268" t="s">
        <v>3945</v>
      </c>
      <c r="V622" s="267" t="s">
        <v>944</v>
      </c>
    </row>
    <row r="623" spans="1:22" hidden="1" x14ac:dyDescent="0.25">
      <c r="A623" s="269">
        <v>43497</v>
      </c>
      <c r="B623" s="270">
        <v>2019</v>
      </c>
      <c r="C623" s="270">
        <v>2019</v>
      </c>
      <c r="D623" s="270">
        <v>1</v>
      </c>
      <c r="E623" s="270">
        <v>1</v>
      </c>
      <c r="F623" s="270" t="s">
        <v>944</v>
      </c>
      <c r="G623" s="270" t="s">
        <v>3926</v>
      </c>
      <c r="H623" s="270" t="s">
        <v>4741</v>
      </c>
      <c r="I623" s="270" t="s">
        <v>3008</v>
      </c>
      <c r="J623" s="270" t="s">
        <v>3928</v>
      </c>
      <c r="K623" s="270">
        <v>6460</v>
      </c>
      <c r="L623" s="270">
        <v>150200</v>
      </c>
      <c r="M623" s="270" t="s">
        <v>3935</v>
      </c>
      <c r="N623" s="270" t="s">
        <v>3944</v>
      </c>
      <c r="O623" s="270">
        <v>2533</v>
      </c>
      <c r="P623" s="270" t="s">
        <v>3944</v>
      </c>
      <c r="Q623" s="270" t="s">
        <v>3944</v>
      </c>
      <c r="R623" s="270">
        <v>2533</v>
      </c>
      <c r="S623" s="270">
        <v>14867</v>
      </c>
      <c r="T623" s="270">
        <v>17400</v>
      </c>
      <c r="U623" s="271" t="s">
        <v>3945</v>
      </c>
      <c r="V623" s="267" t="s">
        <v>944</v>
      </c>
    </row>
    <row r="624" spans="1:22" hidden="1" x14ac:dyDescent="0.25">
      <c r="A624" s="266">
        <v>43497</v>
      </c>
      <c r="B624" s="267">
        <v>2019</v>
      </c>
      <c r="C624" s="267">
        <v>2019</v>
      </c>
      <c r="D624" s="267">
        <v>1</v>
      </c>
      <c r="E624" s="267">
        <v>1</v>
      </c>
      <c r="F624" s="267" t="s">
        <v>944</v>
      </c>
      <c r="G624" s="267" t="s">
        <v>3926</v>
      </c>
      <c r="H624" s="267" t="s">
        <v>4742</v>
      </c>
      <c r="I624" s="267" t="s">
        <v>3939</v>
      </c>
      <c r="J624" s="267" t="s">
        <v>3928</v>
      </c>
      <c r="K624" s="267">
        <v>6512</v>
      </c>
      <c r="L624" s="267">
        <v>180400</v>
      </c>
      <c r="M624" s="267" t="s">
        <v>3935</v>
      </c>
      <c r="N624" s="267" t="s">
        <v>3944</v>
      </c>
      <c r="O624" s="267">
        <v>3516</v>
      </c>
      <c r="P624" s="267" t="s">
        <v>3944</v>
      </c>
      <c r="Q624" s="267" t="s">
        <v>3944</v>
      </c>
      <c r="R624" s="267">
        <v>3516</v>
      </c>
      <c r="S624" s="267">
        <v>24411</v>
      </c>
      <c r="T624" s="267">
        <v>27927</v>
      </c>
      <c r="U624" s="268" t="s">
        <v>3945</v>
      </c>
      <c r="V624" s="267" t="s">
        <v>944</v>
      </c>
    </row>
    <row r="625" spans="1:22" hidden="1" x14ac:dyDescent="0.25">
      <c r="A625" s="269">
        <v>43497</v>
      </c>
      <c r="B625" s="270">
        <v>2019</v>
      </c>
      <c r="C625" s="270">
        <v>2019</v>
      </c>
      <c r="D625" s="270">
        <v>1</v>
      </c>
      <c r="E625" s="270">
        <v>1</v>
      </c>
      <c r="F625" s="270" t="s">
        <v>944</v>
      </c>
      <c r="G625" s="270" t="s">
        <v>3926</v>
      </c>
      <c r="H625" s="270" t="s">
        <v>4743</v>
      </c>
      <c r="I625" s="270" t="s">
        <v>943</v>
      </c>
      <c r="J625" s="270" t="s">
        <v>3928</v>
      </c>
      <c r="K625" s="270">
        <v>6512</v>
      </c>
      <c r="L625" s="270">
        <v>142800</v>
      </c>
      <c r="M625" s="270" t="s">
        <v>3940</v>
      </c>
      <c r="N625" s="270" t="s">
        <v>3944</v>
      </c>
      <c r="O625" s="270">
        <v>2840</v>
      </c>
      <c r="P625" s="270" t="s">
        <v>3944</v>
      </c>
      <c r="Q625" s="270" t="s">
        <v>3944</v>
      </c>
      <c r="R625" s="270">
        <v>2840</v>
      </c>
      <c r="S625" s="270">
        <v>22958.5</v>
      </c>
      <c r="T625" s="270">
        <v>25798.5</v>
      </c>
      <c r="U625" s="271" t="s">
        <v>3945</v>
      </c>
      <c r="V625" s="267" t="s">
        <v>944</v>
      </c>
    </row>
    <row r="626" spans="1:22" x14ac:dyDescent="0.25">
      <c r="A626" s="266">
        <v>43497</v>
      </c>
      <c r="B626" s="267">
        <v>2019</v>
      </c>
      <c r="C626" s="267">
        <v>2019</v>
      </c>
      <c r="D626" s="267">
        <v>1</v>
      </c>
      <c r="E626" s="267">
        <v>1</v>
      </c>
      <c r="F626" s="267" t="s">
        <v>944</v>
      </c>
      <c r="G626" s="267" t="s">
        <v>3926</v>
      </c>
      <c r="H626" s="267" t="s">
        <v>4744</v>
      </c>
      <c r="I626" s="267" t="s">
        <v>943</v>
      </c>
      <c r="J626" s="267" t="s">
        <v>3928</v>
      </c>
      <c r="K626" s="267">
        <v>6513</v>
      </c>
      <c r="L626" s="267">
        <v>142400</v>
      </c>
      <c r="M626" s="267">
        <v>-60</v>
      </c>
      <c r="N626" s="267" t="s">
        <v>3944</v>
      </c>
      <c r="O626" s="267">
        <v>3754</v>
      </c>
      <c r="P626" s="267" t="s">
        <v>3944</v>
      </c>
      <c r="Q626" s="267" t="s">
        <v>3944</v>
      </c>
      <c r="R626" s="267">
        <v>3754</v>
      </c>
      <c r="S626" s="267">
        <v>31061.5</v>
      </c>
      <c r="T626" s="267">
        <v>34815.5</v>
      </c>
      <c r="U626" s="268" t="s">
        <v>3945</v>
      </c>
      <c r="V626" s="276" t="s">
        <v>936</v>
      </c>
    </row>
    <row r="627" spans="1:22" hidden="1" x14ac:dyDescent="0.25">
      <c r="A627" s="269">
        <v>43497</v>
      </c>
      <c r="B627" s="270">
        <v>2019</v>
      </c>
      <c r="C627" s="270">
        <v>2019</v>
      </c>
      <c r="D627" s="270">
        <v>1</v>
      </c>
      <c r="E627" s="270">
        <v>1</v>
      </c>
      <c r="F627" s="270" t="s">
        <v>944</v>
      </c>
      <c r="G627" s="270" t="s">
        <v>3926</v>
      </c>
      <c r="H627" s="270" t="s">
        <v>4745</v>
      </c>
      <c r="I627" s="270" t="s">
        <v>4213</v>
      </c>
      <c r="J627" s="270" t="s">
        <v>3928</v>
      </c>
      <c r="K627" s="270">
        <v>6053</v>
      </c>
      <c r="L627" s="270">
        <v>417500</v>
      </c>
      <c r="M627" s="270" t="s">
        <v>3940</v>
      </c>
      <c r="N627" s="270" t="s">
        <v>3944</v>
      </c>
      <c r="O627" s="270">
        <v>1348</v>
      </c>
      <c r="P627" s="270" t="s">
        <v>3944</v>
      </c>
      <c r="Q627" s="270" t="s">
        <v>3944</v>
      </c>
      <c r="R627" s="270">
        <v>1348</v>
      </c>
      <c r="S627" s="270">
        <v>14087</v>
      </c>
      <c r="T627" s="270">
        <v>15435</v>
      </c>
      <c r="U627" s="271" t="s">
        <v>3945</v>
      </c>
      <c r="V627" s="267" t="s">
        <v>944</v>
      </c>
    </row>
    <row r="628" spans="1:22" hidden="1" x14ac:dyDescent="0.25">
      <c r="A628" s="266">
        <v>43497</v>
      </c>
      <c r="B628" s="267">
        <v>2019</v>
      </c>
      <c r="C628" s="267">
        <v>2019</v>
      </c>
      <c r="D628" s="267">
        <v>1</v>
      </c>
      <c r="E628" s="267">
        <v>1</v>
      </c>
      <c r="F628" s="267" t="s">
        <v>944</v>
      </c>
      <c r="G628" s="267" t="s">
        <v>3926</v>
      </c>
      <c r="H628" s="267" t="s">
        <v>4746</v>
      </c>
      <c r="I628" s="267" t="s">
        <v>3025</v>
      </c>
      <c r="J628" s="267" t="s">
        <v>3928</v>
      </c>
      <c r="K628" s="267">
        <v>6473</v>
      </c>
      <c r="L628" s="267">
        <v>167202</v>
      </c>
      <c r="M628" s="267" t="s">
        <v>3935</v>
      </c>
      <c r="N628" s="267" t="s">
        <v>3944</v>
      </c>
      <c r="O628" s="267">
        <v>5771</v>
      </c>
      <c r="P628" s="267" t="s">
        <v>3944</v>
      </c>
      <c r="Q628" s="267" t="s">
        <v>3944</v>
      </c>
      <c r="R628" s="267">
        <v>5771</v>
      </c>
      <c r="S628" s="267">
        <v>49669</v>
      </c>
      <c r="T628" s="267">
        <v>55440</v>
      </c>
      <c r="U628" s="268" t="s">
        <v>3945</v>
      </c>
      <c r="V628" s="267" t="s">
        <v>944</v>
      </c>
    </row>
    <row r="629" spans="1:22" hidden="1" x14ac:dyDescent="0.25">
      <c r="A629" s="269">
        <v>43497</v>
      </c>
      <c r="B629" s="270">
        <v>2019</v>
      </c>
      <c r="C629" s="270">
        <v>2019</v>
      </c>
      <c r="D629" s="270">
        <v>1</v>
      </c>
      <c r="E629" s="270">
        <v>1</v>
      </c>
      <c r="F629" s="270" t="s">
        <v>944</v>
      </c>
      <c r="G629" s="270" t="s">
        <v>3926</v>
      </c>
      <c r="H629" s="270" t="s">
        <v>4747</v>
      </c>
      <c r="I629" s="270" t="s">
        <v>3968</v>
      </c>
      <c r="J629" s="270" t="s">
        <v>3928</v>
      </c>
      <c r="K629" s="270">
        <v>6040</v>
      </c>
      <c r="L629" s="270">
        <v>514600</v>
      </c>
      <c r="M629" s="270" t="s">
        <v>3940</v>
      </c>
      <c r="N629" s="270" t="s">
        <v>3944</v>
      </c>
      <c r="O629" s="270">
        <v>1495.73</v>
      </c>
      <c r="P629" s="270" t="s">
        <v>3944</v>
      </c>
      <c r="Q629" s="270" t="s">
        <v>3944</v>
      </c>
      <c r="R629" s="270">
        <v>1495.73</v>
      </c>
      <c r="S629" s="270">
        <v>20957.47</v>
      </c>
      <c r="T629" s="270">
        <v>22453.200000000001</v>
      </c>
      <c r="U629" s="271" t="s">
        <v>3945</v>
      </c>
      <c r="V629" s="267" t="s">
        <v>944</v>
      </c>
    </row>
    <row r="630" spans="1:22" hidden="1" x14ac:dyDescent="0.25">
      <c r="A630" s="266">
        <v>43497</v>
      </c>
      <c r="B630" s="267">
        <v>2019</v>
      </c>
      <c r="C630" s="267">
        <v>2019</v>
      </c>
      <c r="D630" s="267">
        <v>1</v>
      </c>
      <c r="E630" s="267">
        <v>1</v>
      </c>
      <c r="F630" s="267" t="s">
        <v>944</v>
      </c>
      <c r="G630" s="267" t="s">
        <v>3926</v>
      </c>
      <c r="H630" s="267" t="s">
        <v>4748</v>
      </c>
      <c r="I630" s="267" t="s">
        <v>4016</v>
      </c>
      <c r="J630" s="267" t="s">
        <v>3928</v>
      </c>
      <c r="K630" s="267">
        <v>6770</v>
      </c>
      <c r="L630" s="267">
        <v>345201</v>
      </c>
      <c r="M630" s="267" t="s">
        <v>3935</v>
      </c>
      <c r="N630" s="267" t="s">
        <v>3944</v>
      </c>
      <c r="O630" s="267">
        <v>3124</v>
      </c>
      <c r="P630" s="267" t="s">
        <v>3944</v>
      </c>
      <c r="Q630" s="267" t="s">
        <v>3944</v>
      </c>
      <c r="R630" s="267">
        <v>3124</v>
      </c>
      <c r="S630" s="267">
        <v>46733.77</v>
      </c>
      <c r="T630" s="267">
        <v>49857.77</v>
      </c>
      <c r="U630" s="268" t="s">
        <v>3945</v>
      </c>
      <c r="V630" s="267" t="s">
        <v>944</v>
      </c>
    </row>
    <row r="631" spans="1:22" hidden="1" x14ac:dyDescent="0.25">
      <c r="A631" s="269">
        <v>43497</v>
      </c>
      <c r="B631" s="270">
        <v>2019</v>
      </c>
      <c r="C631" s="270">
        <v>2019</v>
      </c>
      <c r="D631" s="270">
        <v>1</v>
      </c>
      <c r="E631" s="270">
        <v>1</v>
      </c>
      <c r="F631" s="270" t="s">
        <v>944</v>
      </c>
      <c r="G631" s="270" t="s">
        <v>3926</v>
      </c>
      <c r="H631" s="270" t="s">
        <v>4749</v>
      </c>
      <c r="I631" s="270" t="s">
        <v>4301</v>
      </c>
      <c r="J631" s="270" t="s">
        <v>3928</v>
      </c>
      <c r="K631" s="270">
        <v>6359</v>
      </c>
      <c r="L631" s="270">
        <v>707100</v>
      </c>
      <c r="M631" s="270" t="s">
        <v>3935</v>
      </c>
      <c r="N631" s="270" t="s">
        <v>4750</v>
      </c>
      <c r="O631" s="270"/>
      <c r="P631" s="270" t="s">
        <v>3944</v>
      </c>
      <c r="Q631" s="270" t="s">
        <v>3930</v>
      </c>
      <c r="R631" s="270">
        <v>0</v>
      </c>
      <c r="S631" s="270">
        <v>818031.55</v>
      </c>
      <c r="T631" s="270">
        <v>818031.55</v>
      </c>
      <c r="U631" s="271" t="s">
        <v>4099</v>
      </c>
      <c r="V631" s="267" t="s">
        <v>944</v>
      </c>
    </row>
    <row r="632" spans="1:22" hidden="1" x14ac:dyDescent="0.25">
      <c r="A632" s="266">
        <v>43498</v>
      </c>
      <c r="B632" s="267">
        <v>2019</v>
      </c>
      <c r="C632" s="267">
        <v>2019</v>
      </c>
      <c r="D632" s="267">
        <v>1</v>
      </c>
      <c r="E632" s="267">
        <v>1</v>
      </c>
      <c r="F632" s="267" t="s">
        <v>944</v>
      </c>
      <c r="G632" s="267" t="s">
        <v>3926</v>
      </c>
      <c r="H632" s="267" t="s">
        <v>4751</v>
      </c>
      <c r="I632" s="267" t="s">
        <v>4108</v>
      </c>
      <c r="J632" s="267" t="s">
        <v>3928</v>
      </c>
      <c r="K632" s="267">
        <v>6082</v>
      </c>
      <c r="L632" s="267">
        <v>480500</v>
      </c>
      <c r="M632" s="267" t="s">
        <v>3935</v>
      </c>
      <c r="N632" s="267" t="s">
        <v>4103</v>
      </c>
      <c r="O632" s="267">
        <v>1594.25</v>
      </c>
      <c r="P632" s="267" t="s">
        <v>3930</v>
      </c>
      <c r="Q632" s="267" t="s">
        <v>3931</v>
      </c>
      <c r="R632" s="267">
        <v>6594.25</v>
      </c>
      <c r="S632" s="267">
        <v>24145.599999999999</v>
      </c>
      <c r="T632" s="267">
        <v>30739.85</v>
      </c>
      <c r="U632" s="268" t="s">
        <v>3932</v>
      </c>
      <c r="V632" s="267" t="s">
        <v>944</v>
      </c>
    </row>
    <row r="633" spans="1:22" hidden="1" x14ac:dyDescent="0.25">
      <c r="A633" s="269">
        <v>43498</v>
      </c>
      <c r="B633" s="270">
        <v>2019</v>
      </c>
      <c r="C633" s="270">
        <v>2019</v>
      </c>
      <c r="D633" s="270">
        <v>1</v>
      </c>
      <c r="E633" s="270">
        <v>1</v>
      </c>
      <c r="F633" s="270" t="s">
        <v>944</v>
      </c>
      <c r="G633" s="270" t="s">
        <v>3926</v>
      </c>
      <c r="H633" s="270" t="s">
        <v>4752</v>
      </c>
      <c r="I633" s="270" t="s">
        <v>943</v>
      </c>
      <c r="J633" s="270" t="s">
        <v>3928</v>
      </c>
      <c r="K633" s="270">
        <v>6511</v>
      </c>
      <c r="L633" s="270">
        <v>141400</v>
      </c>
      <c r="M633" s="270">
        <v>-60</v>
      </c>
      <c r="N633" s="270" t="s">
        <v>3986</v>
      </c>
      <c r="O633" s="270">
        <v>2976.39</v>
      </c>
      <c r="P633" s="270" t="s">
        <v>3930</v>
      </c>
      <c r="Q633" s="270" t="s">
        <v>3931</v>
      </c>
      <c r="R633" s="270">
        <v>7976.39</v>
      </c>
      <c r="S633" s="270">
        <v>16196.8</v>
      </c>
      <c r="T633" s="270">
        <v>24173.19</v>
      </c>
      <c r="U633" s="271" t="s">
        <v>3932</v>
      </c>
      <c r="V633" s="267" t="s">
        <v>944</v>
      </c>
    </row>
    <row r="634" spans="1:22" hidden="1" x14ac:dyDescent="0.25">
      <c r="A634" s="266">
        <v>43498</v>
      </c>
      <c r="B634" s="267">
        <v>2019</v>
      </c>
      <c r="C634" s="267">
        <v>2019</v>
      </c>
      <c r="D634" s="267">
        <v>1</v>
      </c>
      <c r="E634" s="267">
        <v>1</v>
      </c>
      <c r="F634" s="267" t="s">
        <v>944</v>
      </c>
      <c r="G634" s="267" t="s">
        <v>3926</v>
      </c>
      <c r="H634" s="267" t="s">
        <v>4753</v>
      </c>
      <c r="I634" s="267" t="s">
        <v>3968</v>
      </c>
      <c r="J634" s="267" t="s">
        <v>3928</v>
      </c>
      <c r="K634" s="267">
        <v>6042</v>
      </c>
      <c r="L634" s="267">
        <v>514101</v>
      </c>
      <c r="M634" s="267" t="s">
        <v>3960</v>
      </c>
      <c r="N634" s="267" t="s">
        <v>3983</v>
      </c>
      <c r="O634" s="267">
        <v>1355.55</v>
      </c>
      <c r="P634" s="267" t="s">
        <v>3930</v>
      </c>
      <c r="Q634" s="267" t="s">
        <v>3931</v>
      </c>
      <c r="R634" s="267">
        <v>6355.55</v>
      </c>
      <c r="S634" s="267">
        <v>16504</v>
      </c>
      <c r="T634" s="267">
        <v>22859.55</v>
      </c>
      <c r="U634" s="268" t="s">
        <v>3932</v>
      </c>
      <c r="V634" s="267" t="s">
        <v>944</v>
      </c>
    </row>
    <row r="635" spans="1:22" hidden="1" x14ac:dyDescent="0.25">
      <c r="A635" s="269">
        <v>43499</v>
      </c>
      <c r="B635" s="270">
        <v>2019</v>
      </c>
      <c r="C635" s="270">
        <v>2019</v>
      </c>
      <c r="D635" s="270">
        <v>1</v>
      </c>
      <c r="E635" s="270">
        <v>1</v>
      </c>
      <c r="F635" s="270" t="s">
        <v>944</v>
      </c>
      <c r="G635" s="270" t="s">
        <v>3926</v>
      </c>
      <c r="H635" s="270" t="s">
        <v>4754</v>
      </c>
      <c r="I635" s="270" t="s">
        <v>4055</v>
      </c>
      <c r="J635" s="270" t="s">
        <v>3928</v>
      </c>
      <c r="K635" s="270">
        <v>6070</v>
      </c>
      <c r="L635" s="270">
        <v>466300</v>
      </c>
      <c r="M635" s="270" t="s">
        <v>3943</v>
      </c>
      <c r="N635" s="270" t="s">
        <v>4755</v>
      </c>
      <c r="O635" s="270">
        <v>0</v>
      </c>
      <c r="P635" s="270" t="s">
        <v>3930</v>
      </c>
      <c r="Q635" s="270" t="s">
        <v>3930</v>
      </c>
      <c r="R635" s="270">
        <v>0</v>
      </c>
      <c r="S635" s="270">
        <v>12990</v>
      </c>
      <c r="T635" s="270">
        <v>12990</v>
      </c>
      <c r="U635" s="271" t="s">
        <v>3937</v>
      </c>
      <c r="V635" s="267" t="s">
        <v>944</v>
      </c>
    </row>
    <row r="636" spans="1:22" hidden="1" x14ac:dyDescent="0.25">
      <c r="A636" s="266">
        <v>43500</v>
      </c>
      <c r="B636" s="267">
        <v>2019</v>
      </c>
      <c r="C636" s="267">
        <v>2019</v>
      </c>
      <c r="D636" s="267">
        <v>1</v>
      </c>
      <c r="E636" s="267">
        <v>1</v>
      </c>
      <c r="F636" s="267" t="s">
        <v>944</v>
      </c>
      <c r="G636" s="267" t="s">
        <v>3926</v>
      </c>
      <c r="H636" s="267" t="s">
        <v>4756</v>
      </c>
      <c r="I636" s="267" t="s">
        <v>4757</v>
      </c>
      <c r="J636" s="267" t="s">
        <v>3928</v>
      </c>
      <c r="K636" s="267">
        <v>6063</v>
      </c>
      <c r="L636" s="267">
        <v>290100</v>
      </c>
      <c r="M636" s="267" t="s">
        <v>3943</v>
      </c>
      <c r="N636" s="267" t="s">
        <v>4534</v>
      </c>
      <c r="O636" s="267">
        <v>0</v>
      </c>
      <c r="P636" s="267" t="s">
        <v>3930</v>
      </c>
      <c r="Q636" s="267" t="s">
        <v>3930</v>
      </c>
      <c r="R636" s="267">
        <v>0</v>
      </c>
      <c r="S636" s="267">
        <v>29059</v>
      </c>
      <c r="T636" s="267">
        <v>29059</v>
      </c>
      <c r="U636" s="268" t="s">
        <v>3937</v>
      </c>
      <c r="V636" s="267" t="s">
        <v>944</v>
      </c>
    </row>
    <row r="637" spans="1:22" hidden="1" x14ac:dyDescent="0.25">
      <c r="A637" s="269">
        <v>43500</v>
      </c>
      <c r="B637" s="270">
        <v>2019</v>
      </c>
      <c r="C637" s="270">
        <v>2019</v>
      </c>
      <c r="D637" s="270">
        <v>1</v>
      </c>
      <c r="E637" s="270">
        <v>1</v>
      </c>
      <c r="F637" s="270" t="s">
        <v>944</v>
      </c>
      <c r="G637" s="270" t="s">
        <v>3926</v>
      </c>
      <c r="H637" s="270" t="s">
        <v>4758</v>
      </c>
      <c r="I637" s="270" t="s">
        <v>4497</v>
      </c>
      <c r="J637" s="270" t="s">
        <v>3928</v>
      </c>
      <c r="K637" s="270">
        <v>6260</v>
      </c>
      <c r="L637" s="270">
        <v>903100</v>
      </c>
      <c r="M637" s="270" t="s">
        <v>3940</v>
      </c>
      <c r="N637" s="270" t="s">
        <v>4759</v>
      </c>
      <c r="O637" s="270">
        <v>0</v>
      </c>
      <c r="P637" s="270" t="s">
        <v>3930</v>
      </c>
      <c r="Q637" s="270" t="s">
        <v>3930</v>
      </c>
      <c r="R637" s="270">
        <v>0</v>
      </c>
      <c r="S637" s="270">
        <v>18618</v>
      </c>
      <c r="T637" s="270">
        <v>18618</v>
      </c>
      <c r="U637" s="271" t="s">
        <v>3937</v>
      </c>
      <c r="V637" s="267" t="s">
        <v>944</v>
      </c>
    </row>
    <row r="638" spans="1:22" hidden="1" x14ac:dyDescent="0.25">
      <c r="A638" s="266">
        <v>43500</v>
      </c>
      <c r="B638" s="267">
        <v>2019</v>
      </c>
      <c r="C638" s="267">
        <v>2019</v>
      </c>
      <c r="D638" s="267">
        <v>1</v>
      </c>
      <c r="E638" s="267">
        <v>1</v>
      </c>
      <c r="F638" s="267" t="s">
        <v>944</v>
      </c>
      <c r="G638" s="267" t="s">
        <v>3926</v>
      </c>
      <c r="H638" s="267" t="s">
        <v>4760</v>
      </c>
      <c r="I638" s="267" t="s">
        <v>3996</v>
      </c>
      <c r="J638" s="267" t="s">
        <v>3928</v>
      </c>
      <c r="K638" s="267">
        <v>6790</v>
      </c>
      <c r="L638" s="267">
        <v>310700</v>
      </c>
      <c r="M638" s="267" t="s">
        <v>3940</v>
      </c>
      <c r="N638" s="267" t="s">
        <v>3929</v>
      </c>
      <c r="O638" s="267">
        <v>2186.8000000000002</v>
      </c>
      <c r="P638" s="267" t="s">
        <v>3930</v>
      </c>
      <c r="Q638" s="267" t="s">
        <v>3931</v>
      </c>
      <c r="R638" s="267">
        <v>7186.8</v>
      </c>
      <c r="S638" s="267">
        <v>34744</v>
      </c>
      <c r="T638" s="267">
        <v>41930.800000000003</v>
      </c>
      <c r="U638" s="268" t="s">
        <v>3932</v>
      </c>
      <c r="V638" s="267" t="s">
        <v>944</v>
      </c>
    </row>
    <row r="639" spans="1:22" hidden="1" x14ac:dyDescent="0.25">
      <c r="A639" s="269">
        <v>43500</v>
      </c>
      <c r="B639" s="270">
        <v>2019</v>
      </c>
      <c r="C639" s="270">
        <v>2019</v>
      </c>
      <c r="D639" s="270">
        <v>1</v>
      </c>
      <c r="E639" s="270">
        <v>1</v>
      </c>
      <c r="F639" s="270" t="s">
        <v>944</v>
      </c>
      <c r="G639" s="270" t="s">
        <v>3926</v>
      </c>
      <c r="H639" s="270" t="s">
        <v>4761</v>
      </c>
      <c r="I639" s="270" t="s">
        <v>3962</v>
      </c>
      <c r="J639" s="270" t="s">
        <v>3928</v>
      </c>
      <c r="K639" s="270">
        <v>6378</v>
      </c>
      <c r="L639" s="270">
        <v>705400</v>
      </c>
      <c r="M639" s="270" t="s">
        <v>3943</v>
      </c>
      <c r="N639" s="270" t="s">
        <v>3944</v>
      </c>
      <c r="O639" s="270">
        <v>5403</v>
      </c>
      <c r="P639" s="270" t="s">
        <v>3944</v>
      </c>
      <c r="Q639" s="270" t="s">
        <v>3944</v>
      </c>
      <c r="R639" s="270">
        <v>5403</v>
      </c>
      <c r="S639" s="270">
        <v>50824.5</v>
      </c>
      <c r="T639" s="270">
        <v>56227.5</v>
      </c>
      <c r="U639" s="271" t="s">
        <v>3945</v>
      </c>
      <c r="V639" s="267" t="s">
        <v>944</v>
      </c>
    </row>
    <row r="640" spans="1:22" hidden="1" x14ac:dyDescent="0.25">
      <c r="A640" s="266">
        <v>43500</v>
      </c>
      <c r="B640" s="267">
        <v>2019</v>
      </c>
      <c r="C640" s="267">
        <v>2019</v>
      </c>
      <c r="D640" s="267">
        <v>1</v>
      </c>
      <c r="E640" s="267">
        <v>1</v>
      </c>
      <c r="F640" s="267" t="s">
        <v>944</v>
      </c>
      <c r="G640" s="267" t="s">
        <v>3926</v>
      </c>
      <c r="H640" s="267" t="s">
        <v>4762</v>
      </c>
      <c r="I640" s="267" t="s">
        <v>4029</v>
      </c>
      <c r="J640" s="267" t="s">
        <v>3928</v>
      </c>
      <c r="K640" s="267">
        <v>6851</v>
      </c>
      <c r="L640" s="267">
        <v>42600</v>
      </c>
      <c r="M640" s="267" t="s">
        <v>3943</v>
      </c>
      <c r="N640" s="267" t="s">
        <v>3944</v>
      </c>
      <c r="O640" s="267">
        <v>1423.56</v>
      </c>
      <c r="P640" s="267" t="s">
        <v>3944</v>
      </c>
      <c r="Q640" s="267" t="s">
        <v>3944</v>
      </c>
      <c r="R640" s="267">
        <v>1423.56</v>
      </c>
      <c r="S640" s="267">
        <v>22323.47</v>
      </c>
      <c r="T640" s="267">
        <v>23747.03</v>
      </c>
      <c r="U640" s="268" t="s">
        <v>3945</v>
      </c>
      <c r="V640" s="267" t="s">
        <v>944</v>
      </c>
    </row>
    <row r="641" spans="1:22" hidden="1" x14ac:dyDescent="0.25">
      <c r="A641" s="269">
        <v>43500</v>
      </c>
      <c r="B641" s="270">
        <v>2019</v>
      </c>
      <c r="C641" s="270">
        <v>2019</v>
      </c>
      <c r="D641" s="270">
        <v>1</v>
      </c>
      <c r="E641" s="270">
        <v>1</v>
      </c>
      <c r="F641" s="270" t="s">
        <v>944</v>
      </c>
      <c r="G641" s="270" t="s">
        <v>3926</v>
      </c>
      <c r="H641" s="270" t="s">
        <v>4763</v>
      </c>
      <c r="I641" s="270" t="s">
        <v>4005</v>
      </c>
      <c r="J641" s="270" t="s">
        <v>3928</v>
      </c>
      <c r="K641" s="270">
        <v>6108</v>
      </c>
      <c r="L641" s="270">
        <v>511200</v>
      </c>
      <c r="M641" s="270">
        <v>-60</v>
      </c>
      <c r="N641" s="270" t="s">
        <v>3944</v>
      </c>
      <c r="O641" s="270">
        <v>1622.04</v>
      </c>
      <c r="P641" s="270" t="s">
        <v>3944</v>
      </c>
      <c r="Q641" s="270" t="s">
        <v>3944</v>
      </c>
      <c r="R641" s="270">
        <v>1622.04</v>
      </c>
      <c r="S641" s="270">
        <v>21770.02</v>
      </c>
      <c r="T641" s="270">
        <v>23392.06</v>
      </c>
      <c r="U641" s="271" t="s">
        <v>3945</v>
      </c>
      <c r="V641" s="267" t="s">
        <v>944</v>
      </c>
    </row>
    <row r="642" spans="1:22" hidden="1" x14ac:dyDescent="0.25">
      <c r="A642" s="266">
        <v>43500</v>
      </c>
      <c r="B642" s="267">
        <v>2019</v>
      </c>
      <c r="C642" s="267">
        <v>2019</v>
      </c>
      <c r="D642" s="267">
        <v>1</v>
      </c>
      <c r="E642" s="267">
        <v>1</v>
      </c>
      <c r="F642" s="267" t="s">
        <v>944</v>
      </c>
      <c r="G642" s="267" t="s">
        <v>3926</v>
      </c>
      <c r="H642" s="267" t="s">
        <v>4764</v>
      </c>
      <c r="I642" s="267" t="s">
        <v>3956</v>
      </c>
      <c r="J642" s="267" t="s">
        <v>3928</v>
      </c>
      <c r="K642" s="267">
        <v>6114</v>
      </c>
      <c r="L642" s="267">
        <v>502300</v>
      </c>
      <c r="M642" s="267">
        <v>-60</v>
      </c>
      <c r="N642" s="267" t="s">
        <v>3944</v>
      </c>
      <c r="O642" s="267">
        <v>1184.8599999999999</v>
      </c>
      <c r="P642" s="267" t="s">
        <v>3944</v>
      </c>
      <c r="Q642" s="267" t="s">
        <v>3944</v>
      </c>
      <c r="R642" s="267">
        <v>1184.8599999999999</v>
      </c>
      <c r="S642" s="267">
        <v>16152.74</v>
      </c>
      <c r="T642" s="267">
        <v>17337.599999999999</v>
      </c>
      <c r="U642" s="268" t="s">
        <v>3945</v>
      </c>
      <c r="V642" s="267" t="s">
        <v>944</v>
      </c>
    </row>
    <row r="643" spans="1:22" hidden="1" x14ac:dyDescent="0.25">
      <c r="A643" s="269">
        <v>43500</v>
      </c>
      <c r="B643" s="270">
        <v>2019</v>
      </c>
      <c r="C643" s="270">
        <v>2019</v>
      </c>
      <c r="D643" s="270">
        <v>1</v>
      </c>
      <c r="E643" s="270">
        <v>1</v>
      </c>
      <c r="F643" s="270" t="s">
        <v>944</v>
      </c>
      <c r="G643" s="270" t="s">
        <v>3926</v>
      </c>
      <c r="H643" s="270" t="s">
        <v>4765</v>
      </c>
      <c r="I643" s="270" t="s">
        <v>956</v>
      </c>
      <c r="J643" s="270" t="s">
        <v>3928</v>
      </c>
      <c r="K643" s="270">
        <v>6614</v>
      </c>
      <c r="L643" s="270">
        <v>80100</v>
      </c>
      <c r="M643" s="270" t="s">
        <v>3935</v>
      </c>
      <c r="N643" s="270" t="s">
        <v>3944</v>
      </c>
      <c r="O643" s="270">
        <v>1030.33</v>
      </c>
      <c r="P643" s="270" t="s">
        <v>3944</v>
      </c>
      <c r="Q643" s="270" t="s">
        <v>3944</v>
      </c>
      <c r="R643" s="270">
        <v>1030.33</v>
      </c>
      <c r="S643" s="270">
        <v>17720.36</v>
      </c>
      <c r="T643" s="270">
        <v>18750.689999999999</v>
      </c>
      <c r="U643" s="271" t="s">
        <v>3945</v>
      </c>
      <c r="V643" s="267" t="s">
        <v>944</v>
      </c>
    </row>
    <row r="644" spans="1:22" hidden="1" x14ac:dyDescent="0.25">
      <c r="A644" s="266">
        <v>43500</v>
      </c>
      <c r="B644" s="267">
        <v>2019</v>
      </c>
      <c r="C644" s="267">
        <v>2019</v>
      </c>
      <c r="D644" s="267">
        <v>1</v>
      </c>
      <c r="E644" s="267">
        <v>1</v>
      </c>
      <c r="F644" s="267" t="s">
        <v>944</v>
      </c>
      <c r="G644" s="267" t="s">
        <v>3926</v>
      </c>
      <c r="H644" s="267" t="s">
        <v>4766</v>
      </c>
      <c r="I644" s="267" t="s">
        <v>4019</v>
      </c>
      <c r="J644" s="267" t="s">
        <v>3928</v>
      </c>
      <c r="K644" s="267">
        <v>6708</v>
      </c>
      <c r="L644" s="267">
        <v>352000</v>
      </c>
      <c r="M644" s="267" t="s">
        <v>3935</v>
      </c>
      <c r="N644" s="267" t="s">
        <v>3944</v>
      </c>
      <c r="O644" s="267">
        <v>728.18</v>
      </c>
      <c r="P644" s="267" t="s">
        <v>3944</v>
      </c>
      <c r="Q644" s="267" t="s">
        <v>3944</v>
      </c>
      <c r="R644" s="267">
        <v>728.18</v>
      </c>
      <c r="S644" s="267">
        <v>11352.09</v>
      </c>
      <c r="T644" s="267">
        <v>12080.27</v>
      </c>
      <c r="U644" s="268" t="s">
        <v>3945</v>
      </c>
      <c r="V644" s="267" t="s">
        <v>944</v>
      </c>
    </row>
    <row r="645" spans="1:22" hidden="1" x14ac:dyDescent="0.25">
      <c r="A645" s="269">
        <v>43500</v>
      </c>
      <c r="B645" s="270">
        <v>2019</v>
      </c>
      <c r="C645" s="270">
        <v>2019</v>
      </c>
      <c r="D645" s="270">
        <v>1</v>
      </c>
      <c r="E645" s="270">
        <v>1</v>
      </c>
      <c r="F645" s="270" t="s">
        <v>944</v>
      </c>
      <c r="G645" s="270" t="s">
        <v>3926</v>
      </c>
      <c r="H645" s="270" t="s">
        <v>4767</v>
      </c>
      <c r="I645" s="270" t="s">
        <v>3966</v>
      </c>
      <c r="J645" s="270" t="s">
        <v>3928</v>
      </c>
      <c r="K645" s="270">
        <v>6010</v>
      </c>
      <c r="L645" s="270">
        <v>405100</v>
      </c>
      <c r="M645" s="270" t="s">
        <v>3935</v>
      </c>
      <c r="N645" s="270" t="s">
        <v>3944</v>
      </c>
      <c r="O645" s="270">
        <v>1994.34</v>
      </c>
      <c r="P645" s="270" t="s">
        <v>3944</v>
      </c>
      <c r="Q645" s="270" t="s">
        <v>3944</v>
      </c>
      <c r="R645" s="270">
        <v>1994.34</v>
      </c>
      <c r="S645" s="270">
        <v>24030.94</v>
      </c>
      <c r="T645" s="270">
        <v>26025.279999999999</v>
      </c>
      <c r="U645" s="271" t="s">
        <v>3945</v>
      </c>
      <c r="V645" s="267" t="s">
        <v>944</v>
      </c>
    </row>
    <row r="646" spans="1:22" hidden="1" x14ac:dyDescent="0.25">
      <c r="A646" s="266">
        <v>43500</v>
      </c>
      <c r="B646" s="267">
        <v>2019</v>
      </c>
      <c r="C646" s="267">
        <v>2019</v>
      </c>
      <c r="D646" s="267">
        <v>1</v>
      </c>
      <c r="E646" s="267">
        <v>1</v>
      </c>
      <c r="F646" s="267" t="s">
        <v>944</v>
      </c>
      <c r="G646" s="267" t="s">
        <v>3926</v>
      </c>
      <c r="H646" s="267" t="s">
        <v>4768</v>
      </c>
      <c r="I646" s="267" t="s">
        <v>4548</v>
      </c>
      <c r="J646" s="267" t="s">
        <v>3928</v>
      </c>
      <c r="K646" s="267">
        <v>6037</v>
      </c>
      <c r="L646" s="267">
        <v>400200</v>
      </c>
      <c r="M646" s="267" t="s">
        <v>3943</v>
      </c>
      <c r="N646" s="267" t="s">
        <v>3944</v>
      </c>
      <c r="O646" s="267">
        <v>1952.65</v>
      </c>
      <c r="P646" s="267" t="s">
        <v>3944</v>
      </c>
      <c r="Q646" s="267" t="s">
        <v>3944</v>
      </c>
      <c r="R646" s="267">
        <v>1952.65</v>
      </c>
      <c r="S646" s="267">
        <v>30328.87</v>
      </c>
      <c r="T646" s="267">
        <v>32281.52</v>
      </c>
      <c r="U646" s="268" t="s">
        <v>3945</v>
      </c>
      <c r="V646" s="267" t="s">
        <v>944</v>
      </c>
    </row>
    <row r="647" spans="1:22" hidden="1" x14ac:dyDescent="0.25">
      <c r="A647" s="269">
        <v>43500</v>
      </c>
      <c r="B647" s="270">
        <v>2019</v>
      </c>
      <c r="C647" s="270">
        <v>2019</v>
      </c>
      <c r="D647" s="270">
        <v>1</v>
      </c>
      <c r="E647" s="270">
        <v>1</v>
      </c>
      <c r="F647" s="270" t="s">
        <v>944</v>
      </c>
      <c r="G647" s="270" t="s">
        <v>3926</v>
      </c>
      <c r="H647" s="270" t="s">
        <v>4769</v>
      </c>
      <c r="I647" s="270" t="s">
        <v>3966</v>
      </c>
      <c r="J647" s="270" t="s">
        <v>3928</v>
      </c>
      <c r="K647" s="270">
        <v>6010</v>
      </c>
      <c r="L647" s="270">
        <v>406002</v>
      </c>
      <c r="M647" s="270" t="s">
        <v>3935</v>
      </c>
      <c r="N647" s="270" t="s">
        <v>3944</v>
      </c>
      <c r="O647" s="270">
        <v>2463.23</v>
      </c>
      <c r="P647" s="270" t="s">
        <v>3944</v>
      </c>
      <c r="Q647" s="270" t="s">
        <v>3944</v>
      </c>
      <c r="R647" s="270">
        <v>2463.23</v>
      </c>
      <c r="S647" s="270">
        <v>33089.79</v>
      </c>
      <c r="T647" s="270">
        <v>35553.019999999997</v>
      </c>
      <c r="U647" s="271" t="s">
        <v>3945</v>
      </c>
      <c r="V647" s="267" t="s">
        <v>944</v>
      </c>
    </row>
    <row r="648" spans="1:22" hidden="1" x14ac:dyDescent="0.25">
      <c r="A648" s="266">
        <v>43500</v>
      </c>
      <c r="B648" s="267">
        <v>2019</v>
      </c>
      <c r="C648" s="267">
        <v>2019</v>
      </c>
      <c r="D648" s="267">
        <v>1</v>
      </c>
      <c r="E648" s="267">
        <v>1</v>
      </c>
      <c r="F648" s="267" t="s">
        <v>944</v>
      </c>
      <c r="G648" s="267" t="s">
        <v>3926</v>
      </c>
      <c r="H648" s="267" t="s">
        <v>4770</v>
      </c>
      <c r="I648" s="267" t="s">
        <v>3012</v>
      </c>
      <c r="J648" s="267" t="s">
        <v>3928</v>
      </c>
      <c r="K648" s="267">
        <v>6477</v>
      </c>
      <c r="L648" s="267">
        <v>157200</v>
      </c>
      <c r="M648" s="267" t="s">
        <v>3943</v>
      </c>
      <c r="N648" s="267" t="s">
        <v>3944</v>
      </c>
      <c r="O648" s="267">
        <v>1658.97</v>
      </c>
      <c r="P648" s="267" t="s">
        <v>3944</v>
      </c>
      <c r="Q648" s="267" t="s">
        <v>3944</v>
      </c>
      <c r="R648" s="267">
        <v>1658.97</v>
      </c>
      <c r="S648" s="267">
        <v>20554.61</v>
      </c>
      <c r="T648" s="267">
        <v>22213.58</v>
      </c>
      <c r="U648" s="268" t="s">
        <v>3945</v>
      </c>
      <c r="V648" s="267" t="s">
        <v>944</v>
      </c>
    </row>
    <row r="649" spans="1:22" hidden="1" x14ac:dyDescent="0.25">
      <c r="A649" s="269">
        <v>43500</v>
      </c>
      <c r="B649" s="270">
        <v>2019</v>
      </c>
      <c r="C649" s="270">
        <v>2019</v>
      </c>
      <c r="D649" s="270">
        <v>1</v>
      </c>
      <c r="E649" s="270">
        <v>1</v>
      </c>
      <c r="F649" s="270" t="s">
        <v>944</v>
      </c>
      <c r="G649" s="270" t="s">
        <v>3926</v>
      </c>
      <c r="H649" s="270" t="s">
        <v>4771</v>
      </c>
      <c r="I649" s="270" t="s">
        <v>4124</v>
      </c>
      <c r="J649" s="270" t="s">
        <v>3928</v>
      </c>
      <c r="K649" s="270">
        <v>6482</v>
      </c>
      <c r="L649" s="270">
        <v>230501</v>
      </c>
      <c r="M649" s="270" t="s">
        <v>3943</v>
      </c>
      <c r="N649" s="270" t="s">
        <v>3944</v>
      </c>
      <c r="O649" s="270">
        <v>1354.92</v>
      </c>
      <c r="P649" s="270" t="s">
        <v>3944</v>
      </c>
      <c r="Q649" s="270" t="s">
        <v>3944</v>
      </c>
      <c r="R649" s="270">
        <v>1354.92</v>
      </c>
      <c r="S649" s="270">
        <v>23646</v>
      </c>
      <c r="T649" s="270">
        <v>25000.92</v>
      </c>
      <c r="U649" s="271" t="s">
        <v>3945</v>
      </c>
      <c r="V649" s="267" t="s">
        <v>944</v>
      </c>
    </row>
    <row r="650" spans="1:22" hidden="1" x14ac:dyDescent="0.25">
      <c r="A650" s="266">
        <v>43500</v>
      </c>
      <c r="B650" s="267">
        <v>2019</v>
      </c>
      <c r="C650" s="267">
        <v>2019</v>
      </c>
      <c r="D650" s="267">
        <v>1</v>
      </c>
      <c r="E650" s="267">
        <v>1</v>
      </c>
      <c r="F650" s="267" t="s">
        <v>944</v>
      </c>
      <c r="G650" s="267" t="s">
        <v>3926</v>
      </c>
      <c r="H650" s="267" t="s">
        <v>4772</v>
      </c>
      <c r="I650" s="267" t="s">
        <v>4005</v>
      </c>
      <c r="J650" s="267" t="s">
        <v>3928</v>
      </c>
      <c r="K650" s="267">
        <v>6118</v>
      </c>
      <c r="L650" s="267">
        <v>510900</v>
      </c>
      <c r="M650" s="267" t="s">
        <v>3960</v>
      </c>
      <c r="N650" s="267" t="s">
        <v>3944</v>
      </c>
      <c r="O650" s="267">
        <v>1779.86</v>
      </c>
      <c r="P650" s="267" t="s">
        <v>3944</v>
      </c>
      <c r="Q650" s="267" t="s">
        <v>3944</v>
      </c>
      <c r="R650" s="267">
        <v>1779.86</v>
      </c>
      <c r="S650" s="267">
        <v>24163.55</v>
      </c>
      <c r="T650" s="267">
        <v>25943.41</v>
      </c>
      <c r="U650" s="268" t="s">
        <v>3945</v>
      </c>
      <c r="V650" s="267" t="s">
        <v>944</v>
      </c>
    </row>
    <row r="651" spans="1:22" hidden="1" x14ac:dyDescent="0.25">
      <c r="A651" s="269">
        <v>43500</v>
      </c>
      <c r="B651" s="270">
        <v>2019</v>
      </c>
      <c r="C651" s="270">
        <v>2019</v>
      </c>
      <c r="D651" s="270">
        <v>1</v>
      </c>
      <c r="E651" s="270">
        <v>1</v>
      </c>
      <c r="F651" s="270" t="s">
        <v>944</v>
      </c>
      <c r="G651" s="270" t="s">
        <v>3926</v>
      </c>
      <c r="H651" s="270" t="s">
        <v>4773</v>
      </c>
      <c r="I651" s="270" t="s">
        <v>934</v>
      </c>
      <c r="J651" s="270" t="s">
        <v>3928</v>
      </c>
      <c r="K651" s="270">
        <v>6606</v>
      </c>
      <c r="L651" s="270">
        <v>72500</v>
      </c>
      <c r="M651" s="270" t="s">
        <v>3940</v>
      </c>
      <c r="N651" s="270" t="s">
        <v>3944</v>
      </c>
      <c r="O651" s="270">
        <v>1203.93</v>
      </c>
      <c r="P651" s="270" t="s">
        <v>3944</v>
      </c>
      <c r="Q651" s="270" t="s">
        <v>3944</v>
      </c>
      <c r="R651" s="270">
        <v>1203.93</v>
      </c>
      <c r="S651" s="270">
        <v>18374.25</v>
      </c>
      <c r="T651" s="270">
        <v>19578.18</v>
      </c>
      <c r="U651" s="271" t="s">
        <v>3945</v>
      </c>
      <c r="V651" s="267" t="s">
        <v>944</v>
      </c>
    </row>
    <row r="652" spans="1:22" hidden="1" x14ac:dyDescent="0.25">
      <c r="A652" s="266">
        <v>43501</v>
      </c>
      <c r="B652" s="267">
        <v>2019</v>
      </c>
      <c r="C652" s="267">
        <v>2019</v>
      </c>
      <c r="D652" s="267">
        <v>1</v>
      </c>
      <c r="E652" s="267">
        <v>1</v>
      </c>
      <c r="F652" s="267" t="s">
        <v>944</v>
      </c>
      <c r="G652" s="267" t="s">
        <v>3926</v>
      </c>
      <c r="H652" s="267" t="s">
        <v>4774</v>
      </c>
      <c r="I652" s="267" t="s">
        <v>953</v>
      </c>
      <c r="J652" s="267" t="s">
        <v>3928</v>
      </c>
      <c r="K652" s="267">
        <v>6518</v>
      </c>
      <c r="L652" s="267">
        <v>166002</v>
      </c>
      <c r="M652" s="267" t="s">
        <v>3960</v>
      </c>
      <c r="N652" s="267" t="s">
        <v>4775</v>
      </c>
      <c r="O652" s="267">
        <v>0</v>
      </c>
      <c r="P652" s="267" t="s">
        <v>3930</v>
      </c>
      <c r="Q652" s="267" t="s">
        <v>3930</v>
      </c>
      <c r="R652" s="267">
        <v>0</v>
      </c>
      <c r="S652" s="267">
        <v>5300</v>
      </c>
      <c r="T652" s="267">
        <v>5300</v>
      </c>
      <c r="U652" s="268" t="s">
        <v>3937</v>
      </c>
      <c r="V652" s="267" t="s">
        <v>944</v>
      </c>
    </row>
    <row r="653" spans="1:22" hidden="1" x14ac:dyDescent="0.25">
      <c r="A653" s="269">
        <v>43501</v>
      </c>
      <c r="B653" s="270">
        <v>2019</v>
      </c>
      <c r="C653" s="270">
        <v>2019</v>
      </c>
      <c r="D653" s="270">
        <v>1</v>
      </c>
      <c r="E653" s="270">
        <v>1</v>
      </c>
      <c r="F653" s="270" t="s">
        <v>944</v>
      </c>
      <c r="G653" s="270" t="s">
        <v>3997</v>
      </c>
      <c r="H653" s="270" t="s">
        <v>4776</v>
      </c>
      <c r="I653" s="270" t="s">
        <v>4232</v>
      </c>
      <c r="J653" s="270" t="s">
        <v>3928</v>
      </c>
      <c r="K653" s="270">
        <v>6601</v>
      </c>
      <c r="L653" s="270">
        <v>240200</v>
      </c>
      <c r="M653" s="270" t="s">
        <v>3943</v>
      </c>
      <c r="N653" s="270" t="s">
        <v>4777</v>
      </c>
      <c r="O653" s="270">
        <v>763.35</v>
      </c>
      <c r="P653" s="270" t="s">
        <v>3930</v>
      </c>
      <c r="Q653" s="270" t="s">
        <v>3931</v>
      </c>
      <c r="R653" s="270">
        <v>5763.35</v>
      </c>
      <c r="S653" s="270">
        <v>9136</v>
      </c>
      <c r="T653" s="270">
        <v>14899.35</v>
      </c>
      <c r="U653" s="271" t="s">
        <v>3932</v>
      </c>
      <c r="V653" s="267" t="s">
        <v>944</v>
      </c>
    </row>
    <row r="654" spans="1:22" hidden="1" x14ac:dyDescent="0.25">
      <c r="A654" s="266">
        <v>43501</v>
      </c>
      <c r="B654" s="267">
        <v>2019</v>
      </c>
      <c r="C654" s="267">
        <v>2019</v>
      </c>
      <c r="D654" s="267">
        <v>1</v>
      </c>
      <c r="E654" s="267">
        <v>1</v>
      </c>
      <c r="F654" s="267" t="s">
        <v>944</v>
      </c>
      <c r="G654" s="267" t="s">
        <v>3926</v>
      </c>
      <c r="H654" s="267" t="s">
        <v>4778</v>
      </c>
      <c r="I654" s="267" t="s">
        <v>3012</v>
      </c>
      <c r="J654" s="267" t="s">
        <v>3928</v>
      </c>
      <c r="K654" s="267">
        <v>6477</v>
      </c>
      <c r="L654" s="267">
        <v>157200</v>
      </c>
      <c r="M654" s="267" t="s">
        <v>3943</v>
      </c>
      <c r="N654" s="267" t="s">
        <v>3929</v>
      </c>
      <c r="O654" s="267">
        <v>2134.09</v>
      </c>
      <c r="P654" s="267" t="s">
        <v>3930</v>
      </c>
      <c r="Q654" s="267" t="s">
        <v>3931</v>
      </c>
      <c r="R654" s="267">
        <v>7134.09</v>
      </c>
      <c r="S654" s="267">
        <v>34744</v>
      </c>
      <c r="T654" s="267">
        <v>41878.089999999997</v>
      </c>
      <c r="U654" s="268" t="s">
        <v>3932</v>
      </c>
      <c r="V654" s="267" t="s">
        <v>944</v>
      </c>
    </row>
    <row r="655" spans="1:22" hidden="1" x14ac:dyDescent="0.25">
      <c r="A655" s="269">
        <v>43501</v>
      </c>
      <c r="B655" s="270">
        <v>2019</v>
      </c>
      <c r="C655" s="270">
        <v>2019</v>
      </c>
      <c r="D655" s="270">
        <v>1</v>
      </c>
      <c r="E655" s="270">
        <v>1</v>
      </c>
      <c r="F655" s="270" t="s">
        <v>944</v>
      </c>
      <c r="G655" s="270" t="s">
        <v>3926</v>
      </c>
      <c r="H655" s="270" t="s">
        <v>4779</v>
      </c>
      <c r="I655" s="270" t="s">
        <v>4323</v>
      </c>
      <c r="J655" s="270" t="s">
        <v>3928</v>
      </c>
      <c r="K655" s="270">
        <v>6375</v>
      </c>
      <c r="L655" s="270">
        <v>693600</v>
      </c>
      <c r="M655" s="270" t="s">
        <v>3960</v>
      </c>
      <c r="N655" s="270" t="s">
        <v>4780</v>
      </c>
      <c r="O655" s="270">
        <v>3455</v>
      </c>
      <c r="P655" s="270" t="s">
        <v>3930</v>
      </c>
      <c r="Q655" s="270" t="s">
        <v>3930</v>
      </c>
      <c r="R655" s="270">
        <v>3455</v>
      </c>
      <c r="S655" s="270">
        <v>22853</v>
      </c>
      <c r="T655" s="270">
        <v>26308</v>
      </c>
      <c r="U655" s="271" t="s">
        <v>3937</v>
      </c>
      <c r="V655" s="267" t="s">
        <v>944</v>
      </c>
    </row>
    <row r="656" spans="1:22" hidden="1" x14ac:dyDescent="0.25">
      <c r="A656" s="266">
        <v>43501</v>
      </c>
      <c r="B656" s="267">
        <v>2019</v>
      </c>
      <c r="C656" s="267">
        <v>2019</v>
      </c>
      <c r="D656" s="267">
        <v>1</v>
      </c>
      <c r="E656" s="267">
        <v>1</v>
      </c>
      <c r="F656" s="267" t="s">
        <v>944</v>
      </c>
      <c r="G656" s="267" t="s">
        <v>3926</v>
      </c>
      <c r="H656" s="267" t="s">
        <v>4781</v>
      </c>
      <c r="I656" s="267" t="s">
        <v>3999</v>
      </c>
      <c r="J656" s="267" t="s">
        <v>3928</v>
      </c>
      <c r="K656" s="267">
        <v>6451</v>
      </c>
      <c r="L656" s="267">
        <v>170500</v>
      </c>
      <c r="M656" s="267" t="s">
        <v>3935</v>
      </c>
      <c r="N656" s="267" t="s">
        <v>3944</v>
      </c>
      <c r="O656" s="267">
        <v>2616</v>
      </c>
      <c r="P656" s="267" t="s">
        <v>3944</v>
      </c>
      <c r="Q656" s="267" t="s">
        <v>3944</v>
      </c>
      <c r="R656" s="267">
        <v>2616</v>
      </c>
      <c r="S656" s="267">
        <v>23804</v>
      </c>
      <c r="T656" s="267">
        <v>26420</v>
      </c>
      <c r="U656" s="268" t="s">
        <v>3945</v>
      </c>
      <c r="V656" s="267" t="s">
        <v>944</v>
      </c>
    </row>
    <row r="657" spans="1:22" hidden="1" x14ac:dyDescent="0.25">
      <c r="A657" s="269">
        <v>43501</v>
      </c>
      <c r="B657" s="270">
        <v>2019</v>
      </c>
      <c r="C657" s="270">
        <v>2019</v>
      </c>
      <c r="D657" s="270">
        <v>1</v>
      </c>
      <c r="E657" s="270">
        <v>1</v>
      </c>
      <c r="F657" s="270" t="s">
        <v>944</v>
      </c>
      <c r="G657" s="270" t="s">
        <v>3926</v>
      </c>
      <c r="H657" s="270" t="s">
        <v>4782</v>
      </c>
      <c r="I657" s="270" t="s">
        <v>3993</v>
      </c>
      <c r="J657" s="270" t="s">
        <v>3928</v>
      </c>
      <c r="K657" s="270">
        <v>6415</v>
      </c>
      <c r="L657" s="270">
        <v>714104</v>
      </c>
      <c r="M657" s="270" t="s">
        <v>3960</v>
      </c>
      <c r="N657" s="270" t="s">
        <v>3944</v>
      </c>
      <c r="O657" s="270">
        <v>1912</v>
      </c>
      <c r="P657" s="270" t="s">
        <v>3944</v>
      </c>
      <c r="Q657" s="270" t="s">
        <v>3944</v>
      </c>
      <c r="R657" s="270">
        <v>1912</v>
      </c>
      <c r="S657" s="270">
        <v>15007.68</v>
      </c>
      <c r="T657" s="270">
        <v>16919.68</v>
      </c>
      <c r="U657" s="271" t="s">
        <v>3945</v>
      </c>
      <c r="V657" s="267" t="s">
        <v>944</v>
      </c>
    </row>
    <row r="658" spans="1:22" hidden="1" x14ac:dyDescent="0.25">
      <c r="A658" s="266">
        <v>43501</v>
      </c>
      <c r="B658" s="267">
        <v>2019</v>
      </c>
      <c r="C658" s="267">
        <v>2019</v>
      </c>
      <c r="D658" s="267">
        <v>1</v>
      </c>
      <c r="E658" s="267">
        <v>1</v>
      </c>
      <c r="F658" s="267" t="s">
        <v>944</v>
      </c>
      <c r="G658" s="267" t="s">
        <v>3926</v>
      </c>
      <c r="H658" s="267" t="s">
        <v>4783</v>
      </c>
      <c r="I658" s="267" t="s">
        <v>4306</v>
      </c>
      <c r="J658" s="267" t="s">
        <v>3928</v>
      </c>
      <c r="K658" s="267">
        <v>6716</v>
      </c>
      <c r="L658" s="267">
        <v>361100</v>
      </c>
      <c r="M658" s="267" t="s">
        <v>3960</v>
      </c>
      <c r="N658" s="267" t="s">
        <v>3944</v>
      </c>
      <c r="O658" s="267">
        <v>2314</v>
      </c>
      <c r="P658" s="267" t="s">
        <v>3944</v>
      </c>
      <c r="Q658" s="267" t="s">
        <v>3944</v>
      </c>
      <c r="R658" s="267">
        <v>2314</v>
      </c>
      <c r="S658" s="267">
        <v>26461.25</v>
      </c>
      <c r="T658" s="267">
        <v>28775.25</v>
      </c>
      <c r="U658" s="268" t="s">
        <v>3945</v>
      </c>
      <c r="V658" s="267" t="s">
        <v>944</v>
      </c>
    </row>
    <row r="659" spans="1:22" hidden="1" x14ac:dyDescent="0.25">
      <c r="A659" s="269">
        <v>43501</v>
      </c>
      <c r="B659" s="270">
        <v>2019</v>
      </c>
      <c r="C659" s="270">
        <v>2019</v>
      </c>
      <c r="D659" s="270">
        <v>1</v>
      </c>
      <c r="E659" s="270">
        <v>1</v>
      </c>
      <c r="F659" s="270" t="s">
        <v>944</v>
      </c>
      <c r="G659" s="270" t="s">
        <v>3926</v>
      </c>
      <c r="H659" s="270" t="s">
        <v>4784</v>
      </c>
      <c r="I659" s="270" t="s">
        <v>3962</v>
      </c>
      <c r="J659" s="270" t="s">
        <v>3928</v>
      </c>
      <c r="K659" s="270">
        <v>6371</v>
      </c>
      <c r="L659" s="270">
        <v>660101</v>
      </c>
      <c r="M659" s="270" t="s">
        <v>3960</v>
      </c>
      <c r="N659" s="270" t="s">
        <v>3944</v>
      </c>
      <c r="O659" s="270">
        <v>2728</v>
      </c>
      <c r="P659" s="270" t="s">
        <v>3944</v>
      </c>
      <c r="Q659" s="270" t="s">
        <v>3944</v>
      </c>
      <c r="R659" s="270">
        <v>2728</v>
      </c>
      <c r="S659" s="270">
        <v>19675.59</v>
      </c>
      <c r="T659" s="270">
        <v>22403.59</v>
      </c>
      <c r="U659" s="271" t="s">
        <v>3945</v>
      </c>
      <c r="V659" s="267" t="s">
        <v>944</v>
      </c>
    </row>
    <row r="660" spans="1:22" hidden="1" x14ac:dyDescent="0.25">
      <c r="A660" s="266">
        <v>43501</v>
      </c>
      <c r="B660" s="267">
        <v>2019</v>
      </c>
      <c r="C660" s="267">
        <v>2019</v>
      </c>
      <c r="D660" s="267">
        <v>1</v>
      </c>
      <c r="E660" s="267">
        <v>1</v>
      </c>
      <c r="F660" s="267" t="s">
        <v>944</v>
      </c>
      <c r="G660" s="267" t="s">
        <v>3926</v>
      </c>
      <c r="H660" s="267" t="s">
        <v>4785</v>
      </c>
      <c r="I660" s="267" t="s">
        <v>3993</v>
      </c>
      <c r="J660" s="267" t="s">
        <v>3928</v>
      </c>
      <c r="K660" s="267">
        <v>6415</v>
      </c>
      <c r="L660" s="267">
        <v>714104</v>
      </c>
      <c r="M660" s="267" t="s">
        <v>3960</v>
      </c>
      <c r="N660" s="267" t="s">
        <v>3944</v>
      </c>
      <c r="O660" s="267">
        <v>2935.07</v>
      </c>
      <c r="P660" s="267" t="s">
        <v>3944</v>
      </c>
      <c r="Q660" s="267" t="s">
        <v>3944</v>
      </c>
      <c r="R660" s="267">
        <v>2935.07</v>
      </c>
      <c r="S660" s="267">
        <v>41564.29</v>
      </c>
      <c r="T660" s="267">
        <v>44499.360000000001</v>
      </c>
      <c r="U660" s="268" t="s">
        <v>3945</v>
      </c>
      <c r="V660" s="267" t="s">
        <v>944</v>
      </c>
    </row>
    <row r="661" spans="1:22" hidden="1" x14ac:dyDescent="0.25">
      <c r="A661" s="269">
        <v>43501</v>
      </c>
      <c r="B661" s="270">
        <v>2019</v>
      </c>
      <c r="C661" s="270">
        <v>2019</v>
      </c>
      <c r="D661" s="270">
        <v>1</v>
      </c>
      <c r="E661" s="270">
        <v>1</v>
      </c>
      <c r="F661" s="270" t="s">
        <v>944</v>
      </c>
      <c r="G661" s="270" t="s">
        <v>3926</v>
      </c>
      <c r="H661" s="270" t="s">
        <v>4786</v>
      </c>
      <c r="I661" s="270" t="s">
        <v>3025</v>
      </c>
      <c r="J661" s="270" t="s">
        <v>3928</v>
      </c>
      <c r="K661" s="270">
        <v>6473</v>
      </c>
      <c r="L661" s="270">
        <v>167202</v>
      </c>
      <c r="M661" s="270" t="s">
        <v>3935</v>
      </c>
      <c r="N661" s="270" t="s">
        <v>3944</v>
      </c>
      <c r="O661" s="270">
        <v>2521.33</v>
      </c>
      <c r="P661" s="270" t="s">
        <v>3944</v>
      </c>
      <c r="Q661" s="270" t="s">
        <v>3944</v>
      </c>
      <c r="R661" s="270">
        <v>2521.33</v>
      </c>
      <c r="S661" s="270">
        <v>45000.5</v>
      </c>
      <c r="T661" s="270">
        <v>47521.83</v>
      </c>
      <c r="U661" s="271" t="s">
        <v>3945</v>
      </c>
      <c r="V661" s="267" t="s">
        <v>944</v>
      </c>
    </row>
    <row r="662" spans="1:22" hidden="1" x14ac:dyDescent="0.25">
      <c r="A662" s="266">
        <v>43501</v>
      </c>
      <c r="B662" s="267">
        <v>2019</v>
      </c>
      <c r="C662" s="267">
        <v>2019</v>
      </c>
      <c r="D662" s="267">
        <v>1</v>
      </c>
      <c r="E662" s="267">
        <v>1</v>
      </c>
      <c r="F662" s="267" t="s">
        <v>944</v>
      </c>
      <c r="G662" s="267" t="s">
        <v>3926</v>
      </c>
      <c r="H662" s="267" t="s">
        <v>4787</v>
      </c>
      <c r="I662" s="267" t="s">
        <v>3968</v>
      </c>
      <c r="J662" s="267" t="s">
        <v>3928</v>
      </c>
      <c r="K662" s="267">
        <v>6042</v>
      </c>
      <c r="L662" s="267">
        <v>514101</v>
      </c>
      <c r="M662" s="267" t="s">
        <v>3960</v>
      </c>
      <c r="N662" s="267" t="s">
        <v>3944</v>
      </c>
      <c r="O662" s="267">
        <v>1650.88</v>
      </c>
      <c r="P662" s="267" t="s">
        <v>3944</v>
      </c>
      <c r="Q662" s="267" t="s">
        <v>3944</v>
      </c>
      <c r="R662" s="267">
        <v>1650.88</v>
      </c>
      <c r="S662" s="267">
        <v>21971.96</v>
      </c>
      <c r="T662" s="267">
        <v>23622.84</v>
      </c>
      <c r="U662" s="268" t="s">
        <v>3945</v>
      </c>
      <c r="V662" s="267" t="s">
        <v>944</v>
      </c>
    </row>
    <row r="663" spans="1:22" hidden="1" x14ac:dyDescent="0.25">
      <c r="A663" s="269">
        <v>43501</v>
      </c>
      <c r="B663" s="270">
        <v>2019</v>
      </c>
      <c r="C663" s="270">
        <v>2019</v>
      </c>
      <c r="D663" s="270">
        <v>1</v>
      </c>
      <c r="E663" s="270">
        <v>1</v>
      </c>
      <c r="F663" s="270" t="s">
        <v>944</v>
      </c>
      <c r="G663" s="270" t="s">
        <v>3926</v>
      </c>
      <c r="H663" s="270" t="s">
        <v>4788</v>
      </c>
      <c r="I663" s="270" t="s">
        <v>4042</v>
      </c>
      <c r="J663" s="270" t="s">
        <v>3928</v>
      </c>
      <c r="K663" s="270">
        <v>6370</v>
      </c>
      <c r="L663" s="270">
        <v>695202</v>
      </c>
      <c r="M663" s="270" t="s">
        <v>3935</v>
      </c>
      <c r="N663" s="270" t="s">
        <v>3944</v>
      </c>
      <c r="O663" s="270">
        <v>3654.74</v>
      </c>
      <c r="P663" s="270" t="s">
        <v>3944</v>
      </c>
      <c r="Q663" s="270" t="s">
        <v>3944</v>
      </c>
      <c r="R663" s="270">
        <v>3654.74</v>
      </c>
      <c r="S663" s="270">
        <v>53007.26</v>
      </c>
      <c r="T663" s="270">
        <v>56662</v>
      </c>
      <c r="U663" s="271" t="s">
        <v>3945</v>
      </c>
      <c r="V663" s="267" t="s">
        <v>944</v>
      </c>
    </row>
    <row r="664" spans="1:22" x14ac:dyDescent="0.25">
      <c r="A664" s="266">
        <v>43501</v>
      </c>
      <c r="B664" s="267">
        <v>2019</v>
      </c>
      <c r="C664" s="267">
        <v>2019</v>
      </c>
      <c r="D664" s="267">
        <v>1</v>
      </c>
      <c r="E664" s="267">
        <v>1</v>
      </c>
      <c r="F664" s="267" t="s">
        <v>944</v>
      </c>
      <c r="G664" s="267" t="s">
        <v>3926</v>
      </c>
      <c r="H664" s="267" t="s">
        <v>4789</v>
      </c>
      <c r="I664" s="267" t="s">
        <v>943</v>
      </c>
      <c r="J664" s="267" t="s">
        <v>3928</v>
      </c>
      <c r="K664" s="267">
        <v>6513</v>
      </c>
      <c r="L664" s="267">
        <v>142500</v>
      </c>
      <c r="M664" s="267">
        <v>-60</v>
      </c>
      <c r="N664" s="267" t="s">
        <v>3944</v>
      </c>
      <c r="O664" s="267">
        <v>1173.03</v>
      </c>
      <c r="P664" s="267" t="s">
        <v>3944</v>
      </c>
      <c r="Q664" s="267" t="s">
        <v>3944</v>
      </c>
      <c r="R664" s="267">
        <v>1173.03</v>
      </c>
      <c r="S664" s="267">
        <v>19794.03</v>
      </c>
      <c r="T664" s="267">
        <v>20967.060000000001</v>
      </c>
      <c r="U664" s="268" t="s">
        <v>3945</v>
      </c>
      <c r="V664" s="276" t="s">
        <v>936</v>
      </c>
    </row>
    <row r="665" spans="1:22" hidden="1" x14ac:dyDescent="0.25">
      <c r="A665" s="269">
        <v>43501</v>
      </c>
      <c r="B665" s="270">
        <v>2019</v>
      </c>
      <c r="C665" s="270">
        <v>2019</v>
      </c>
      <c r="D665" s="270">
        <v>1</v>
      </c>
      <c r="E665" s="270">
        <v>1</v>
      </c>
      <c r="F665" s="270" t="s">
        <v>944</v>
      </c>
      <c r="G665" s="270" t="s">
        <v>3926</v>
      </c>
      <c r="H665" s="270" t="s">
        <v>4790</v>
      </c>
      <c r="I665" s="270" t="s">
        <v>3962</v>
      </c>
      <c r="J665" s="270" t="s">
        <v>3928</v>
      </c>
      <c r="K665" s="270">
        <v>6379</v>
      </c>
      <c r="L665" s="270">
        <v>705102</v>
      </c>
      <c r="M665" s="270" t="s">
        <v>3940</v>
      </c>
      <c r="N665" s="270" t="s">
        <v>3944</v>
      </c>
      <c r="O665" s="270">
        <v>1001.74</v>
      </c>
      <c r="P665" s="270" t="s">
        <v>3944</v>
      </c>
      <c r="Q665" s="270" t="s">
        <v>3944</v>
      </c>
      <c r="R665" s="270">
        <v>1001.74</v>
      </c>
      <c r="S665" s="270">
        <v>14538.53</v>
      </c>
      <c r="T665" s="270">
        <v>15540.27</v>
      </c>
      <c r="U665" s="271" t="s">
        <v>3945</v>
      </c>
      <c r="V665" s="267" t="s">
        <v>944</v>
      </c>
    </row>
    <row r="666" spans="1:22" hidden="1" x14ac:dyDescent="0.25">
      <c r="A666" s="266">
        <v>43501</v>
      </c>
      <c r="B666" s="267">
        <v>2019</v>
      </c>
      <c r="C666" s="267">
        <v>2019</v>
      </c>
      <c r="D666" s="267">
        <v>1</v>
      </c>
      <c r="E666" s="267">
        <v>1</v>
      </c>
      <c r="F666" s="267" t="s">
        <v>944</v>
      </c>
      <c r="G666" s="267" t="s">
        <v>3926</v>
      </c>
      <c r="H666" s="267" t="s">
        <v>4791</v>
      </c>
      <c r="I666" s="267" t="s">
        <v>4019</v>
      </c>
      <c r="J666" s="267" t="s">
        <v>3928</v>
      </c>
      <c r="K666" s="267">
        <v>6705</v>
      </c>
      <c r="L666" s="267">
        <v>351300</v>
      </c>
      <c r="M666" s="267">
        <v>-60</v>
      </c>
      <c r="N666" s="267" t="s">
        <v>3944</v>
      </c>
      <c r="O666" s="267">
        <v>2491.02</v>
      </c>
      <c r="P666" s="267" t="s">
        <v>3944</v>
      </c>
      <c r="Q666" s="267" t="s">
        <v>3944</v>
      </c>
      <c r="R666" s="267">
        <v>2491.02</v>
      </c>
      <c r="S666" s="267">
        <v>32749.81</v>
      </c>
      <c r="T666" s="267">
        <v>35240.83</v>
      </c>
      <c r="U666" s="268" t="s">
        <v>3945</v>
      </c>
      <c r="V666" s="267" t="s">
        <v>944</v>
      </c>
    </row>
    <row r="667" spans="1:22" hidden="1" x14ac:dyDescent="0.25">
      <c r="A667" s="269">
        <v>43501</v>
      </c>
      <c r="B667" s="270">
        <v>2019</v>
      </c>
      <c r="C667" s="270">
        <v>2019</v>
      </c>
      <c r="D667" s="270">
        <v>1</v>
      </c>
      <c r="E667" s="270">
        <v>1</v>
      </c>
      <c r="F667" s="270" t="s">
        <v>944</v>
      </c>
      <c r="G667" s="270" t="s">
        <v>3926</v>
      </c>
      <c r="H667" s="270" t="s">
        <v>4792</v>
      </c>
      <c r="I667" s="270" t="s">
        <v>4621</v>
      </c>
      <c r="J667" s="270" t="s">
        <v>3928</v>
      </c>
      <c r="K667" s="270">
        <v>6443</v>
      </c>
      <c r="L667" s="270">
        <v>194100</v>
      </c>
      <c r="M667" s="270" t="s">
        <v>3935</v>
      </c>
      <c r="N667" s="270" t="s">
        <v>3944</v>
      </c>
      <c r="O667" s="270">
        <v>1392.44</v>
      </c>
      <c r="P667" s="270" t="s">
        <v>3944</v>
      </c>
      <c r="Q667" s="270" t="s">
        <v>3944</v>
      </c>
      <c r="R667" s="270">
        <v>1392.44</v>
      </c>
      <c r="S667" s="270">
        <v>19051.060000000001</v>
      </c>
      <c r="T667" s="270">
        <v>20443.5</v>
      </c>
      <c r="U667" s="271" t="s">
        <v>3945</v>
      </c>
      <c r="V667" s="267" t="s">
        <v>944</v>
      </c>
    </row>
    <row r="668" spans="1:22" hidden="1" x14ac:dyDescent="0.25">
      <c r="A668" s="266">
        <v>43501</v>
      </c>
      <c r="B668" s="267">
        <v>2019</v>
      </c>
      <c r="C668" s="267">
        <v>2019</v>
      </c>
      <c r="D668" s="267">
        <v>1</v>
      </c>
      <c r="E668" s="267">
        <v>1</v>
      </c>
      <c r="F668" s="267" t="s">
        <v>944</v>
      </c>
      <c r="G668" s="267" t="s">
        <v>3926</v>
      </c>
      <c r="H668" s="267" t="s">
        <v>4793</v>
      </c>
      <c r="I668" s="267" t="s">
        <v>950</v>
      </c>
      <c r="J668" s="267" t="s">
        <v>3928</v>
      </c>
      <c r="K668" s="267">
        <v>6516</v>
      </c>
      <c r="L668" s="267">
        <v>154800</v>
      </c>
      <c r="M668" s="267" t="s">
        <v>3960</v>
      </c>
      <c r="N668" s="267" t="s">
        <v>3944</v>
      </c>
      <c r="O668" s="267">
        <v>1474.38</v>
      </c>
      <c r="P668" s="267" t="s">
        <v>3944</v>
      </c>
      <c r="Q668" s="267" t="s">
        <v>3944</v>
      </c>
      <c r="R668" s="267">
        <v>1474.38</v>
      </c>
      <c r="S668" s="267">
        <v>25800.25</v>
      </c>
      <c r="T668" s="267">
        <v>27274.63</v>
      </c>
      <c r="U668" s="268" t="s">
        <v>3945</v>
      </c>
      <c r="V668" s="267" t="s">
        <v>944</v>
      </c>
    </row>
    <row r="669" spans="1:22" hidden="1" x14ac:dyDescent="0.25">
      <c r="A669" s="269">
        <v>43501</v>
      </c>
      <c r="B669" s="270">
        <v>2019</v>
      </c>
      <c r="C669" s="270">
        <v>2019</v>
      </c>
      <c r="D669" s="270">
        <v>1</v>
      </c>
      <c r="E669" s="270">
        <v>1</v>
      </c>
      <c r="F669" s="270" t="s">
        <v>944</v>
      </c>
      <c r="G669" s="270" t="s">
        <v>3926</v>
      </c>
      <c r="H669" s="270" t="s">
        <v>4794</v>
      </c>
      <c r="I669" s="270" t="s">
        <v>950</v>
      </c>
      <c r="J669" s="270" t="s">
        <v>3928</v>
      </c>
      <c r="K669" s="270">
        <v>6516</v>
      </c>
      <c r="L669" s="270">
        <v>154100</v>
      </c>
      <c r="M669" s="270" t="s">
        <v>3940</v>
      </c>
      <c r="N669" s="270" t="s">
        <v>3944</v>
      </c>
      <c r="O669" s="270">
        <v>1293.32</v>
      </c>
      <c r="P669" s="270" t="s">
        <v>3944</v>
      </c>
      <c r="Q669" s="270" t="s">
        <v>3944</v>
      </c>
      <c r="R669" s="270">
        <v>1293.32</v>
      </c>
      <c r="S669" s="270">
        <v>19496.68</v>
      </c>
      <c r="T669" s="270">
        <v>20790</v>
      </c>
      <c r="U669" s="271" t="s">
        <v>3945</v>
      </c>
      <c r="V669" s="267" t="s">
        <v>944</v>
      </c>
    </row>
    <row r="670" spans="1:22" x14ac:dyDescent="0.25">
      <c r="A670" s="266">
        <v>43501</v>
      </c>
      <c r="B670" s="267">
        <v>2019</v>
      </c>
      <c r="C670" s="267">
        <v>2019</v>
      </c>
      <c r="D670" s="267">
        <v>1</v>
      </c>
      <c r="E670" s="267">
        <v>1</v>
      </c>
      <c r="F670" s="267" t="s">
        <v>944</v>
      </c>
      <c r="G670" s="267" t="s">
        <v>3926</v>
      </c>
      <c r="H670" s="267" t="s">
        <v>4795</v>
      </c>
      <c r="I670" s="267" t="s">
        <v>943</v>
      </c>
      <c r="J670" s="267" t="s">
        <v>3928</v>
      </c>
      <c r="K670" s="267">
        <v>6513</v>
      </c>
      <c r="L670" s="267">
        <v>142500</v>
      </c>
      <c r="M670" s="267">
        <v>-60</v>
      </c>
      <c r="N670" s="267" t="s">
        <v>3944</v>
      </c>
      <c r="O670" s="267">
        <v>2769.76</v>
      </c>
      <c r="P670" s="267" t="s">
        <v>3944</v>
      </c>
      <c r="Q670" s="267" t="s">
        <v>3944</v>
      </c>
      <c r="R670" s="267">
        <v>2769.76</v>
      </c>
      <c r="S670" s="267">
        <v>36043.97</v>
      </c>
      <c r="T670" s="267">
        <v>38813.730000000003</v>
      </c>
      <c r="U670" s="268" t="s">
        <v>3945</v>
      </c>
      <c r="V670" s="276" t="s">
        <v>936</v>
      </c>
    </row>
    <row r="671" spans="1:22" hidden="1" x14ac:dyDescent="0.25">
      <c r="A671" s="269">
        <v>43501</v>
      </c>
      <c r="B671" s="270">
        <v>2019</v>
      </c>
      <c r="C671" s="270">
        <v>2019</v>
      </c>
      <c r="D671" s="270">
        <v>1</v>
      </c>
      <c r="E671" s="270">
        <v>1</v>
      </c>
      <c r="F671" s="270" t="s">
        <v>944</v>
      </c>
      <c r="G671" s="270" t="s">
        <v>3926</v>
      </c>
      <c r="H671" s="270" t="s">
        <v>4796</v>
      </c>
      <c r="I671" s="270" t="s">
        <v>4040</v>
      </c>
      <c r="J671" s="270" t="s">
        <v>3928</v>
      </c>
      <c r="K671" s="270">
        <v>6339</v>
      </c>
      <c r="L671" s="270">
        <v>701100</v>
      </c>
      <c r="M671" s="270" t="s">
        <v>3960</v>
      </c>
      <c r="N671" s="270" t="s">
        <v>3944</v>
      </c>
      <c r="O671" s="270">
        <v>1729.07</v>
      </c>
      <c r="P671" s="270" t="s">
        <v>3944</v>
      </c>
      <c r="Q671" s="270" t="s">
        <v>3944</v>
      </c>
      <c r="R671" s="270">
        <v>1729.07</v>
      </c>
      <c r="S671" s="270">
        <v>28288.99</v>
      </c>
      <c r="T671" s="270">
        <v>30018.06</v>
      </c>
      <c r="U671" s="271" t="s">
        <v>3945</v>
      </c>
      <c r="V671" s="267" t="s">
        <v>944</v>
      </c>
    </row>
    <row r="672" spans="1:22" hidden="1" x14ac:dyDescent="0.25">
      <c r="A672" s="266">
        <v>43501</v>
      </c>
      <c r="B672" s="267">
        <v>2019</v>
      </c>
      <c r="C672" s="267">
        <v>2019</v>
      </c>
      <c r="D672" s="267">
        <v>1</v>
      </c>
      <c r="E672" s="267">
        <v>1</v>
      </c>
      <c r="F672" s="267" t="s">
        <v>944</v>
      </c>
      <c r="G672" s="267" t="s">
        <v>3926</v>
      </c>
      <c r="H672" s="267" t="s">
        <v>4797</v>
      </c>
      <c r="I672" s="267" t="s">
        <v>956</v>
      </c>
      <c r="J672" s="267" t="s">
        <v>3928</v>
      </c>
      <c r="K672" s="267">
        <v>6615</v>
      </c>
      <c r="L672" s="267">
        <v>80500</v>
      </c>
      <c r="M672" s="267" t="s">
        <v>3960</v>
      </c>
      <c r="N672" s="267" t="s">
        <v>3944</v>
      </c>
      <c r="O672" s="267">
        <v>1942.26</v>
      </c>
      <c r="P672" s="267" t="s">
        <v>3944</v>
      </c>
      <c r="Q672" s="267" t="s">
        <v>3944</v>
      </c>
      <c r="R672" s="267">
        <v>1942.26</v>
      </c>
      <c r="S672" s="267">
        <v>25596.06</v>
      </c>
      <c r="T672" s="267">
        <v>27538.32</v>
      </c>
      <c r="U672" s="268" t="s">
        <v>3945</v>
      </c>
      <c r="V672" s="267" t="s">
        <v>944</v>
      </c>
    </row>
    <row r="673" spans="1:22" hidden="1" x14ac:dyDescent="0.25">
      <c r="A673" s="269">
        <v>43501</v>
      </c>
      <c r="B673" s="270">
        <v>2019</v>
      </c>
      <c r="C673" s="270">
        <v>2019</v>
      </c>
      <c r="D673" s="270">
        <v>1</v>
      </c>
      <c r="E673" s="270">
        <v>1</v>
      </c>
      <c r="F673" s="270" t="s">
        <v>944</v>
      </c>
      <c r="G673" s="270" t="s">
        <v>3926</v>
      </c>
      <c r="H673" s="270" t="s">
        <v>4798</v>
      </c>
      <c r="I673" s="270" t="s">
        <v>953</v>
      </c>
      <c r="J673" s="270" t="s">
        <v>3928</v>
      </c>
      <c r="K673" s="270">
        <v>6514</v>
      </c>
      <c r="L673" s="270">
        <v>165600</v>
      </c>
      <c r="M673" s="270" t="s">
        <v>3940</v>
      </c>
      <c r="N673" s="270" t="s">
        <v>3944</v>
      </c>
      <c r="O673" s="270">
        <v>1896.44</v>
      </c>
      <c r="P673" s="270" t="s">
        <v>3944</v>
      </c>
      <c r="Q673" s="270" t="s">
        <v>3944</v>
      </c>
      <c r="R673" s="270">
        <v>1896.44</v>
      </c>
      <c r="S673" s="270">
        <v>23043.95</v>
      </c>
      <c r="T673" s="270">
        <v>24940.39</v>
      </c>
      <c r="U673" s="271" t="s">
        <v>3945</v>
      </c>
      <c r="V673" s="267" t="s">
        <v>944</v>
      </c>
    </row>
    <row r="674" spans="1:22" hidden="1" x14ac:dyDescent="0.25">
      <c r="A674" s="266">
        <v>43501</v>
      </c>
      <c r="B674" s="267">
        <v>2019</v>
      </c>
      <c r="C674" s="267">
        <v>2019</v>
      </c>
      <c r="D674" s="267">
        <v>1</v>
      </c>
      <c r="E674" s="267">
        <v>1</v>
      </c>
      <c r="F674" s="267" t="s">
        <v>944</v>
      </c>
      <c r="G674" s="267" t="s">
        <v>3926</v>
      </c>
      <c r="H674" s="267" t="s">
        <v>4799</v>
      </c>
      <c r="I674" s="267" t="s">
        <v>4323</v>
      </c>
      <c r="J674" s="267" t="s">
        <v>3928</v>
      </c>
      <c r="K674" s="267">
        <v>6385</v>
      </c>
      <c r="L674" s="267">
        <v>693400</v>
      </c>
      <c r="M674" s="267" t="s">
        <v>3940</v>
      </c>
      <c r="N674" s="267" t="s">
        <v>3944</v>
      </c>
      <c r="O674" s="267">
        <v>1352.65</v>
      </c>
      <c r="P674" s="267" t="s">
        <v>3944</v>
      </c>
      <c r="Q674" s="267" t="s">
        <v>3944</v>
      </c>
      <c r="R674" s="267">
        <v>1352.65</v>
      </c>
      <c r="S674" s="267">
        <v>21516.35</v>
      </c>
      <c r="T674" s="267">
        <v>22869</v>
      </c>
      <c r="U674" s="268" t="s">
        <v>3945</v>
      </c>
      <c r="V674" s="267" t="s">
        <v>944</v>
      </c>
    </row>
    <row r="675" spans="1:22" hidden="1" x14ac:dyDescent="0.25">
      <c r="A675" s="269">
        <v>43501</v>
      </c>
      <c r="B675" s="270">
        <v>2019</v>
      </c>
      <c r="C675" s="270">
        <v>2019</v>
      </c>
      <c r="D675" s="270">
        <v>1</v>
      </c>
      <c r="E675" s="270">
        <v>1</v>
      </c>
      <c r="F675" s="270" t="s">
        <v>944</v>
      </c>
      <c r="G675" s="270" t="s">
        <v>3926</v>
      </c>
      <c r="H675" s="270" t="s">
        <v>4800</v>
      </c>
      <c r="I675" s="270" t="s">
        <v>943</v>
      </c>
      <c r="J675" s="270" t="s">
        <v>3928</v>
      </c>
      <c r="K675" s="270">
        <v>6512</v>
      </c>
      <c r="L675" s="270">
        <v>142800</v>
      </c>
      <c r="M675" s="270" t="s">
        <v>3940</v>
      </c>
      <c r="N675" s="270" t="s">
        <v>3944</v>
      </c>
      <c r="O675" s="270">
        <v>551.25</v>
      </c>
      <c r="P675" s="270" t="s">
        <v>3944</v>
      </c>
      <c r="Q675" s="270" t="s">
        <v>3944</v>
      </c>
      <c r="R675" s="270">
        <v>551.25</v>
      </c>
      <c r="S675" s="270">
        <v>8183.5</v>
      </c>
      <c r="T675" s="270">
        <v>8734.75</v>
      </c>
      <c r="U675" s="271" t="s">
        <v>3945</v>
      </c>
      <c r="V675" s="267" t="s">
        <v>944</v>
      </c>
    </row>
    <row r="676" spans="1:22" hidden="1" x14ac:dyDescent="0.25">
      <c r="A676" s="266">
        <v>43501</v>
      </c>
      <c r="B676" s="267">
        <v>2019</v>
      </c>
      <c r="C676" s="267">
        <v>2019</v>
      </c>
      <c r="D676" s="267">
        <v>1</v>
      </c>
      <c r="E676" s="267">
        <v>1</v>
      </c>
      <c r="F676" s="267" t="s">
        <v>944</v>
      </c>
      <c r="G676" s="267" t="s">
        <v>3926</v>
      </c>
      <c r="H676" s="267" t="s">
        <v>4801</v>
      </c>
      <c r="I676" s="267" t="s">
        <v>943</v>
      </c>
      <c r="J676" s="267" t="s">
        <v>3928</v>
      </c>
      <c r="K676" s="267">
        <v>6512</v>
      </c>
      <c r="L676" s="267">
        <v>142700</v>
      </c>
      <c r="M676" s="267">
        <v>-60</v>
      </c>
      <c r="N676" s="267" t="s">
        <v>3944</v>
      </c>
      <c r="O676" s="267">
        <v>1857.66</v>
      </c>
      <c r="P676" s="267" t="s">
        <v>3944</v>
      </c>
      <c r="Q676" s="267" t="s">
        <v>3944</v>
      </c>
      <c r="R676" s="267">
        <v>1857.66</v>
      </c>
      <c r="S676" s="267">
        <v>27191.43</v>
      </c>
      <c r="T676" s="267">
        <v>29049.09</v>
      </c>
      <c r="U676" s="268" t="s">
        <v>3945</v>
      </c>
      <c r="V676" s="267" t="s">
        <v>944</v>
      </c>
    </row>
    <row r="677" spans="1:22" hidden="1" x14ac:dyDescent="0.25">
      <c r="A677" s="269">
        <v>43501</v>
      </c>
      <c r="B677" s="270">
        <v>2019</v>
      </c>
      <c r="C677" s="270">
        <v>2019</v>
      </c>
      <c r="D677" s="270">
        <v>1</v>
      </c>
      <c r="E677" s="270">
        <v>1</v>
      </c>
      <c r="F677" s="270" t="s">
        <v>944</v>
      </c>
      <c r="G677" s="270" t="s">
        <v>3926</v>
      </c>
      <c r="H677" s="270" t="s">
        <v>4802</v>
      </c>
      <c r="I677" s="270" t="s">
        <v>4330</v>
      </c>
      <c r="J677" s="270" t="s">
        <v>3928</v>
      </c>
      <c r="K677" s="270">
        <v>6413</v>
      </c>
      <c r="L677" s="270">
        <v>610100</v>
      </c>
      <c r="M677" s="270" t="s">
        <v>3935</v>
      </c>
      <c r="N677" s="270" t="s">
        <v>3944</v>
      </c>
      <c r="O677" s="270">
        <v>1172.4000000000001</v>
      </c>
      <c r="P677" s="270" t="s">
        <v>3944</v>
      </c>
      <c r="Q677" s="270" t="s">
        <v>3944</v>
      </c>
      <c r="R677" s="270">
        <v>1172.4000000000001</v>
      </c>
      <c r="S677" s="270">
        <v>16214.08</v>
      </c>
      <c r="T677" s="270">
        <v>17386.48</v>
      </c>
      <c r="U677" s="271" t="s">
        <v>3945</v>
      </c>
      <c r="V677" s="267" t="s">
        <v>944</v>
      </c>
    </row>
    <row r="678" spans="1:22" hidden="1" x14ac:dyDescent="0.25">
      <c r="A678" s="266">
        <v>43501</v>
      </c>
      <c r="B678" s="267">
        <v>2019</v>
      </c>
      <c r="C678" s="267">
        <v>2019</v>
      </c>
      <c r="D678" s="267">
        <v>1</v>
      </c>
      <c r="E678" s="267">
        <v>1</v>
      </c>
      <c r="F678" s="267" t="s">
        <v>944</v>
      </c>
      <c r="G678" s="267" t="s">
        <v>3926</v>
      </c>
      <c r="H678" s="267" t="s">
        <v>4803</v>
      </c>
      <c r="I678" s="267" t="s">
        <v>950</v>
      </c>
      <c r="J678" s="267" t="s">
        <v>3928</v>
      </c>
      <c r="K678" s="267">
        <v>6516</v>
      </c>
      <c r="L678" s="267">
        <v>154700</v>
      </c>
      <c r="M678" s="267" t="s">
        <v>3960</v>
      </c>
      <c r="N678" s="267" t="s">
        <v>3944</v>
      </c>
      <c r="O678" s="267">
        <v>1327.76</v>
      </c>
      <c r="P678" s="267" t="s">
        <v>3944</v>
      </c>
      <c r="Q678" s="267" t="s">
        <v>3944</v>
      </c>
      <c r="R678" s="267">
        <v>1327.76</v>
      </c>
      <c r="S678" s="267">
        <v>21844.73</v>
      </c>
      <c r="T678" s="267">
        <v>23172.49</v>
      </c>
      <c r="U678" s="268" t="s">
        <v>3945</v>
      </c>
      <c r="V678" s="267" t="s">
        <v>944</v>
      </c>
    </row>
    <row r="679" spans="1:22" hidden="1" x14ac:dyDescent="0.25">
      <c r="A679" s="269">
        <v>43501</v>
      </c>
      <c r="B679" s="270">
        <v>2019</v>
      </c>
      <c r="C679" s="270">
        <v>2019</v>
      </c>
      <c r="D679" s="270">
        <v>1</v>
      </c>
      <c r="E679" s="270">
        <v>1</v>
      </c>
      <c r="F679" s="270" t="s">
        <v>944</v>
      </c>
      <c r="G679" s="270" t="s">
        <v>3926</v>
      </c>
      <c r="H679" s="270" t="s">
        <v>4804</v>
      </c>
      <c r="I679" s="270" t="s">
        <v>3968</v>
      </c>
      <c r="J679" s="270" t="s">
        <v>3928</v>
      </c>
      <c r="K679" s="270">
        <v>6042</v>
      </c>
      <c r="L679" s="270">
        <v>514102</v>
      </c>
      <c r="M679" s="270" t="s">
        <v>3935</v>
      </c>
      <c r="N679" s="270" t="s">
        <v>3944</v>
      </c>
      <c r="O679" s="270">
        <v>2100.91</v>
      </c>
      <c r="P679" s="270" t="s">
        <v>3944</v>
      </c>
      <c r="Q679" s="270" t="s">
        <v>3944</v>
      </c>
      <c r="R679" s="270">
        <v>2100.91</v>
      </c>
      <c r="S679" s="270">
        <v>25571.64</v>
      </c>
      <c r="T679" s="270">
        <v>27672.55</v>
      </c>
      <c r="U679" s="271" t="s">
        <v>3945</v>
      </c>
      <c r="V679" s="267" t="s">
        <v>944</v>
      </c>
    </row>
    <row r="680" spans="1:22" hidden="1" x14ac:dyDescent="0.25">
      <c r="A680" s="266">
        <v>43501</v>
      </c>
      <c r="B680" s="267">
        <v>2019</v>
      </c>
      <c r="C680" s="267">
        <v>2019</v>
      </c>
      <c r="D680" s="267">
        <v>1</v>
      </c>
      <c r="E680" s="267">
        <v>1</v>
      </c>
      <c r="F680" s="267" t="s">
        <v>944</v>
      </c>
      <c r="G680" s="267" t="s">
        <v>3926</v>
      </c>
      <c r="H680" s="267" t="s">
        <v>4805</v>
      </c>
      <c r="I680" s="267" t="s">
        <v>3008</v>
      </c>
      <c r="J680" s="267" t="s">
        <v>3928</v>
      </c>
      <c r="K680" s="267">
        <v>6460</v>
      </c>
      <c r="L680" s="267">
        <v>151200</v>
      </c>
      <c r="M680" s="267" t="s">
        <v>3935</v>
      </c>
      <c r="N680" s="267" t="s">
        <v>3944</v>
      </c>
      <c r="O680" s="267">
        <v>1934.8</v>
      </c>
      <c r="P680" s="267" t="s">
        <v>3944</v>
      </c>
      <c r="Q680" s="267" t="s">
        <v>3944</v>
      </c>
      <c r="R680" s="267">
        <v>1934.8</v>
      </c>
      <c r="S680" s="267">
        <v>30830.75</v>
      </c>
      <c r="T680" s="267">
        <v>32765.55</v>
      </c>
      <c r="U680" s="268" t="s">
        <v>3945</v>
      </c>
      <c r="V680" s="267" t="s">
        <v>944</v>
      </c>
    </row>
    <row r="681" spans="1:22" hidden="1" x14ac:dyDescent="0.25">
      <c r="A681" s="269">
        <v>43501</v>
      </c>
      <c r="B681" s="270">
        <v>2019</v>
      </c>
      <c r="C681" s="270">
        <v>2019</v>
      </c>
      <c r="D681" s="270">
        <v>1</v>
      </c>
      <c r="E681" s="270">
        <v>1</v>
      </c>
      <c r="F681" s="270" t="s">
        <v>944</v>
      </c>
      <c r="G681" s="270" t="s">
        <v>3926</v>
      </c>
      <c r="H681" s="270" t="s">
        <v>4806</v>
      </c>
      <c r="I681" s="270" t="s">
        <v>4552</v>
      </c>
      <c r="J681" s="270" t="s">
        <v>3928</v>
      </c>
      <c r="K681" s="270">
        <v>6469</v>
      </c>
      <c r="L681" s="270">
        <v>595102</v>
      </c>
      <c r="M681" s="270" t="s">
        <v>3960</v>
      </c>
      <c r="N681" s="270" t="s">
        <v>3944</v>
      </c>
      <c r="O681" s="270">
        <v>1443.89</v>
      </c>
      <c r="P681" s="270" t="s">
        <v>3944</v>
      </c>
      <c r="Q681" s="270" t="s">
        <v>3944</v>
      </c>
      <c r="R681" s="270">
        <v>1443.89</v>
      </c>
      <c r="S681" s="270">
        <v>22108.1</v>
      </c>
      <c r="T681" s="270">
        <v>23551.99</v>
      </c>
      <c r="U681" s="271" t="s">
        <v>3945</v>
      </c>
      <c r="V681" s="267" t="s">
        <v>944</v>
      </c>
    </row>
    <row r="682" spans="1:22" hidden="1" x14ac:dyDescent="0.25">
      <c r="A682" s="266">
        <v>43501</v>
      </c>
      <c r="B682" s="267">
        <v>2019</v>
      </c>
      <c r="C682" s="267">
        <v>2019</v>
      </c>
      <c r="D682" s="267">
        <v>1</v>
      </c>
      <c r="E682" s="267">
        <v>1</v>
      </c>
      <c r="F682" s="267" t="s">
        <v>944</v>
      </c>
      <c r="G682" s="267" t="s">
        <v>3926</v>
      </c>
      <c r="H682" s="267" t="s">
        <v>4807</v>
      </c>
      <c r="I682" s="267" t="s">
        <v>4295</v>
      </c>
      <c r="J682" s="267" t="s">
        <v>3928</v>
      </c>
      <c r="K682" s="267">
        <v>6043</v>
      </c>
      <c r="L682" s="267">
        <v>529100</v>
      </c>
      <c r="M682" s="267" t="s">
        <v>3943</v>
      </c>
      <c r="N682" s="267" t="s">
        <v>3944</v>
      </c>
      <c r="O682" s="267">
        <v>791.21</v>
      </c>
      <c r="P682" s="267" t="s">
        <v>3944</v>
      </c>
      <c r="Q682" s="267" t="s">
        <v>3944</v>
      </c>
      <c r="R682" s="267">
        <v>791.21</v>
      </c>
      <c r="S682" s="267">
        <v>11796.3</v>
      </c>
      <c r="T682" s="267">
        <v>12587.51</v>
      </c>
      <c r="U682" s="268" t="s">
        <v>3945</v>
      </c>
      <c r="V682" s="267" t="s">
        <v>944</v>
      </c>
    </row>
    <row r="683" spans="1:22" hidden="1" x14ac:dyDescent="0.25">
      <c r="A683" s="269">
        <v>43501</v>
      </c>
      <c r="B683" s="270">
        <v>2019</v>
      </c>
      <c r="C683" s="270">
        <v>2019</v>
      </c>
      <c r="D683" s="270">
        <v>1</v>
      </c>
      <c r="E683" s="270">
        <v>1</v>
      </c>
      <c r="F683" s="270" t="s">
        <v>944</v>
      </c>
      <c r="G683" s="270" t="s">
        <v>3926</v>
      </c>
      <c r="H683" s="270" t="s">
        <v>4808</v>
      </c>
      <c r="I683" s="270" t="s">
        <v>4111</v>
      </c>
      <c r="J683" s="270" t="s">
        <v>3928</v>
      </c>
      <c r="K683" s="270">
        <v>6095</v>
      </c>
      <c r="L683" s="270">
        <v>473700</v>
      </c>
      <c r="M683" s="270" t="s">
        <v>3935</v>
      </c>
      <c r="N683" s="270" t="s">
        <v>3944</v>
      </c>
      <c r="O683" s="270">
        <v>1642.8</v>
      </c>
      <c r="P683" s="270" t="s">
        <v>3944</v>
      </c>
      <c r="Q683" s="270" t="s">
        <v>3944</v>
      </c>
      <c r="R683" s="270">
        <v>1642.8</v>
      </c>
      <c r="S683" s="270">
        <v>20871.66</v>
      </c>
      <c r="T683" s="270">
        <v>22514.46</v>
      </c>
      <c r="U683" s="271" t="s">
        <v>3945</v>
      </c>
      <c r="V683" s="267" t="s">
        <v>944</v>
      </c>
    </row>
    <row r="684" spans="1:22" hidden="1" x14ac:dyDescent="0.25">
      <c r="A684" s="266">
        <v>43501</v>
      </c>
      <c r="B684" s="267">
        <v>2019</v>
      </c>
      <c r="C684" s="267">
        <v>2019</v>
      </c>
      <c r="D684" s="267">
        <v>1</v>
      </c>
      <c r="E684" s="267">
        <v>1</v>
      </c>
      <c r="F684" s="267" t="s">
        <v>944</v>
      </c>
      <c r="G684" s="267" t="s">
        <v>3926</v>
      </c>
      <c r="H684" s="267" t="s">
        <v>4809</v>
      </c>
      <c r="I684" s="267" t="s">
        <v>3956</v>
      </c>
      <c r="J684" s="267" t="s">
        <v>3928</v>
      </c>
      <c r="K684" s="267">
        <v>6114</v>
      </c>
      <c r="L684" s="267">
        <v>502600</v>
      </c>
      <c r="M684" s="267">
        <v>-60</v>
      </c>
      <c r="N684" s="267" t="s">
        <v>3944</v>
      </c>
      <c r="O684" s="267">
        <v>876.05</v>
      </c>
      <c r="P684" s="267" t="s">
        <v>3944</v>
      </c>
      <c r="Q684" s="267" t="s">
        <v>3944</v>
      </c>
      <c r="R684" s="267">
        <v>876.05</v>
      </c>
      <c r="S684" s="267">
        <v>13052.73</v>
      </c>
      <c r="T684" s="267">
        <v>13928.78</v>
      </c>
      <c r="U684" s="268" t="s">
        <v>3945</v>
      </c>
      <c r="V684" s="267" t="s">
        <v>944</v>
      </c>
    </row>
    <row r="685" spans="1:22" hidden="1" x14ac:dyDescent="0.25">
      <c r="A685" s="269">
        <v>43501</v>
      </c>
      <c r="B685" s="270">
        <v>2019</v>
      </c>
      <c r="C685" s="270">
        <v>2019</v>
      </c>
      <c r="D685" s="270">
        <v>1</v>
      </c>
      <c r="E685" s="270">
        <v>1</v>
      </c>
      <c r="F685" s="270" t="s">
        <v>944</v>
      </c>
      <c r="G685" s="270" t="s">
        <v>3926</v>
      </c>
      <c r="H685" s="270" t="s">
        <v>4810</v>
      </c>
      <c r="I685" s="270" t="s">
        <v>3999</v>
      </c>
      <c r="J685" s="270" t="s">
        <v>3928</v>
      </c>
      <c r="K685" s="270">
        <v>6450</v>
      </c>
      <c r="L685" s="270">
        <v>171700</v>
      </c>
      <c r="M685" s="270" t="s">
        <v>3935</v>
      </c>
      <c r="N685" s="270" t="s">
        <v>3944</v>
      </c>
      <c r="O685" s="270">
        <v>3026.52</v>
      </c>
      <c r="P685" s="270" t="s">
        <v>3944</v>
      </c>
      <c r="Q685" s="270" t="s">
        <v>3944</v>
      </c>
      <c r="R685" s="270">
        <v>3026.52</v>
      </c>
      <c r="S685" s="270">
        <v>42180.41</v>
      </c>
      <c r="T685" s="270">
        <v>45206.93</v>
      </c>
      <c r="U685" s="271" t="s">
        <v>3945</v>
      </c>
      <c r="V685" s="267" t="s">
        <v>944</v>
      </c>
    </row>
    <row r="686" spans="1:22" hidden="1" x14ac:dyDescent="0.25">
      <c r="A686" s="266">
        <v>43501</v>
      </c>
      <c r="B686" s="267">
        <v>2019</v>
      </c>
      <c r="C686" s="267">
        <v>2019</v>
      </c>
      <c r="D686" s="267">
        <v>1</v>
      </c>
      <c r="E686" s="267">
        <v>1</v>
      </c>
      <c r="F686" s="267" t="s">
        <v>944</v>
      </c>
      <c r="G686" s="267" t="s">
        <v>3926</v>
      </c>
      <c r="H686" s="267" t="s">
        <v>4811</v>
      </c>
      <c r="I686" s="267" t="s">
        <v>4731</v>
      </c>
      <c r="J686" s="267" t="s">
        <v>3928</v>
      </c>
      <c r="K686" s="267">
        <v>6478</v>
      </c>
      <c r="L686" s="267">
        <v>346101</v>
      </c>
      <c r="M686" s="267" t="s">
        <v>3943</v>
      </c>
      <c r="N686" s="267" t="s">
        <v>3944</v>
      </c>
      <c r="O686" s="267">
        <v>2894.22</v>
      </c>
      <c r="P686" s="267" t="s">
        <v>3944</v>
      </c>
      <c r="Q686" s="267" t="s">
        <v>3944</v>
      </c>
      <c r="R686" s="267">
        <v>2894.22</v>
      </c>
      <c r="S686" s="267">
        <v>44221.14</v>
      </c>
      <c r="T686" s="267">
        <v>47115.360000000001</v>
      </c>
      <c r="U686" s="268" t="s">
        <v>3945</v>
      </c>
      <c r="V686" s="267" t="s">
        <v>944</v>
      </c>
    </row>
    <row r="687" spans="1:22" hidden="1" x14ac:dyDescent="0.25">
      <c r="A687" s="269">
        <v>43501</v>
      </c>
      <c r="B687" s="270">
        <v>2019</v>
      </c>
      <c r="C687" s="270">
        <v>2019</v>
      </c>
      <c r="D687" s="270">
        <v>1</v>
      </c>
      <c r="E687" s="270">
        <v>1</v>
      </c>
      <c r="F687" s="270" t="s">
        <v>944</v>
      </c>
      <c r="G687" s="270" t="s">
        <v>3926</v>
      </c>
      <c r="H687" s="270" t="s">
        <v>4812</v>
      </c>
      <c r="I687" s="270" t="s">
        <v>3939</v>
      </c>
      <c r="J687" s="270" t="s">
        <v>3928</v>
      </c>
      <c r="K687" s="270">
        <v>6512</v>
      </c>
      <c r="L687" s="270">
        <v>180100</v>
      </c>
      <c r="M687" s="270" t="s">
        <v>3940</v>
      </c>
      <c r="N687" s="270" t="s">
        <v>3944</v>
      </c>
      <c r="O687" s="270">
        <v>1302.8800000000001</v>
      </c>
      <c r="P687" s="270" t="s">
        <v>3944</v>
      </c>
      <c r="Q687" s="270" t="s">
        <v>3944</v>
      </c>
      <c r="R687" s="270">
        <v>1302.8800000000001</v>
      </c>
      <c r="S687" s="270">
        <v>20240.02</v>
      </c>
      <c r="T687" s="270">
        <v>21542.9</v>
      </c>
      <c r="U687" s="271" t="s">
        <v>3945</v>
      </c>
      <c r="V687" s="267" t="s">
        <v>944</v>
      </c>
    </row>
    <row r="688" spans="1:22" hidden="1" x14ac:dyDescent="0.25">
      <c r="A688" s="266">
        <v>43501</v>
      </c>
      <c r="B688" s="267">
        <v>2019</v>
      </c>
      <c r="C688" s="267">
        <v>2019</v>
      </c>
      <c r="D688" s="267">
        <v>1</v>
      </c>
      <c r="E688" s="267">
        <v>1</v>
      </c>
      <c r="F688" s="267" t="s">
        <v>944</v>
      </c>
      <c r="G688" s="267" t="s">
        <v>3926</v>
      </c>
      <c r="H688" s="267" t="s">
        <v>4813</v>
      </c>
      <c r="I688" s="267" t="s">
        <v>4330</v>
      </c>
      <c r="J688" s="267" t="s">
        <v>3928</v>
      </c>
      <c r="K688" s="267">
        <v>6413</v>
      </c>
      <c r="L688" s="267">
        <v>610400</v>
      </c>
      <c r="M688" s="267" t="s">
        <v>3960</v>
      </c>
      <c r="N688" s="267" t="s">
        <v>3944</v>
      </c>
      <c r="O688" s="267">
        <v>1788.57</v>
      </c>
      <c r="P688" s="267" t="s">
        <v>3944</v>
      </c>
      <c r="Q688" s="267" t="s">
        <v>3944</v>
      </c>
      <c r="R688" s="267">
        <v>1788.57</v>
      </c>
      <c r="S688" s="267">
        <v>25081.31</v>
      </c>
      <c r="T688" s="267">
        <v>26869.88</v>
      </c>
      <c r="U688" s="268" t="s">
        <v>3945</v>
      </c>
      <c r="V688" s="267" t="s">
        <v>944</v>
      </c>
    </row>
    <row r="689" spans="1:22" hidden="1" x14ac:dyDescent="0.25">
      <c r="A689" s="269">
        <v>43501</v>
      </c>
      <c r="B689" s="270">
        <v>2019</v>
      </c>
      <c r="C689" s="270">
        <v>2019</v>
      </c>
      <c r="D689" s="270">
        <v>1</v>
      </c>
      <c r="E689" s="270">
        <v>1</v>
      </c>
      <c r="F689" s="270" t="s">
        <v>944</v>
      </c>
      <c r="G689" s="270" t="s">
        <v>3926</v>
      </c>
      <c r="H689" s="270" t="s">
        <v>4814</v>
      </c>
      <c r="I689" s="270" t="s">
        <v>4687</v>
      </c>
      <c r="J689" s="270" t="s">
        <v>3928</v>
      </c>
      <c r="K689" s="270">
        <v>6424</v>
      </c>
      <c r="L689" s="270">
        <v>550100</v>
      </c>
      <c r="M689" s="270" t="s">
        <v>3960</v>
      </c>
      <c r="N689" s="270" t="s">
        <v>3944</v>
      </c>
      <c r="O689" s="270">
        <v>2367.86</v>
      </c>
      <c r="P689" s="270" t="s">
        <v>3944</v>
      </c>
      <c r="Q689" s="270" t="s">
        <v>3944</v>
      </c>
      <c r="R689" s="270">
        <v>2367.86</v>
      </c>
      <c r="S689" s="270">
        <v>31868.62</v>
      </c>
      <c r="T689" s="270">
        <v>34236.480000000003</v>
      </c>
      <c r="U689" s="271" t="s">
        <v>3945</v>
      </c>
      <c r="V689" s="267" t="s">
        <v>944</v>
      </c>
    </row>
    <row r="690" spans="1:22" hidden="1" x14ac:dyDescent="0.25">
      <c r="A690" s="266">
        <v>43501</v>
      </c>
      <c r="B690" s="267">
        <v>2019</v>
      </c>
      <c r="C690" s="267">
        <v>2019</v>
      </c>
      <c r="D690" s="267">
        <v>1</v>
      </c>
      <c r="E690" s="267">
        <v>1</v>
      </c>
      <c r="F690" s="267" t="s">
        <v>944</v>
      </c>
      <c r="G690" s="267" t="s">
        <v>3926</v>
      </c>
      <c r="H690" s="267" t="s">
        <v>4815</v>
      </c>
      <c r="I690" s="267" t="s">
        <v>3964</v>
      </c>
      <c r="J690" s="267" t="s">
        <v>3928</v>
      </c>
      <c r="K690" s="267">
        <v>6033</v>
      </c>
      <c r="L690" s="267">
        <v>520100</v>
      </c>
      <c r="M690" s="267" t="s">
        <v>3943</v>
      </c>
      <c r="N690" s="267" t="s">
        <v>3944</v>
      </c>
      <c r="O690" s="267">
        <v>1339.77</v>
      </c>
      <c r="P690" s="267" t="s">
        <v>3944</v>
      </c>
      <c r="Q690" s="267" t="s">
        <v>3944</v>
      </c>
      <c r="R690" s="267">
        <v>1339.77</v>
      </c>
      <c r="S690" s="267">
        <v>20628.71</v>
      </c>
      <c r="T690" s="267">
        <v>21968.48</v>
      </c>
      <c r="U690" s="268" t="s">
        <v>3945</v>
      </c>
      <c r="V690" s="267" t="s">
        <v>944</v>
      </c>
    </row>
    <row r="691" spans="1:22" hidden="1" x14ac:dyDescent="0.25">
      <c r="A691" s="269">
        <v>43501</v>
      </c>
      <c r="B691" s="270">
        <v>2019</v>
      </c>
      <c r="C691" s="270">
        <v>2019</v>
      </c>
      <c r="D691" s="270">
        <v>1</v>
      </c>
      <c r="E691" s="270">
        <v>1</v>
      </c>
      <c r="F691" s="270" t="s">
        <v>944</v>
      </c>
      <c r="G691" s="270" t="s">
        <v>3926</v>
      </c>
      <c r="H691" s="270" t="s">
        <v>4816</v>
      </c>
      <c r="I691" s="270" t="s">
        <v>953</v>
      </c>
      <c r="J691" s="270" t="s">
        <v>3928</v>
      </c>
      <c r="K691" s="270">
        <v>6517</v>
      </c>
      <c r="L691" s="270">
        <v>165400</v>
      </c>
      <c r="M691" s="270" t="s">
        <v>3935</v>
      </c>
      <c r="N691" s="270" t="s">
        <v>3944</v>
      </c>
      <c r="O691" s="270">
        <v>1697.75</v>
      </c>
      <c r="P691" s="270" t="s">
        <v>3944</v>
      </c>
      <c r="Q691" s="270" t="s">
        <v>3944</v>
      </c>
      <c r="R691" s="270">
        <v>1697.75</v>
      </c>
      <c r="S691" s="270">
        <v>27431.07</v>
      </c>
      <c r="T691" s="270">
        <v>29128.82</v>
      </c>
      <c r="U691" s="271" t="s">
        <v>3945</v>
      </c>
      <c r="V691" s="267" t="s">
        <v>944</v>
      </c>
    </row>
    <row r="692" spans="1:22" hidden="1" x14ac:dyDescent="0.25">
      <c r="A692" s="266">
        <v>43502</v>
      </c>
      <c r="B692" s="267">
        <v>2019</v>
      </c>
      <c r="C692" s="267">
        <v>2019</v>
      </c>
      <c r="D692" s="267">
        <v>1</v>
      </c>
      <c r="E692" s="267">
        <v>1</v>
      </c>
      <c r="F692" s="267" t="s">
        <v>944</v>
      </c>
      <c r="G692" s="267" t="s">
        <v>3926</v>
      </c>
      <c r="H692" s="267" t="s">
        <v>4817</v>
      </c>
      <c r="I692" s="267" t="s">
        <v>4019</v>
      </c>
      <c r="J692" s="267" t="s">
        <v>3928</v>
      </c>
      <c r="K692" s="267">
        <v>6705</v>
      </c>
      <c r="L692" s="267">
        <v>351300</v>
      </c>
      <c r="M692" s="267">
        <v>-60</v>
      </c>
      <c r="N692" s="267" t="s">
        <v>3931</v>
      </c>
      <c r="O692" s="267">
        <v>0</v>
      </c>
      <c r="P692" s="267" t="s">
        <v>3930</v>
      </c>
      <c r="Q692" s="267" t="s">
        <v>3930</v>
      </c>
      <c r="R692" s="267">
        <v>0</v>
      </c>
      <c r="S692" s="267">
        <v>5000</v>
      </c>
      <c r="T692" s="267">
        <v>5000</v>
      </c>
      <c r="U692" s="268" t="s">
        <v>3937</v>
      </c>
      <c r="V692" s="267" t="s">
        <v>944</v>
      </c>
    </row>
    <row r="693" spans="1:22" hidden="1" x14ac:dyDescent="0.25">
      <c r="A693" s="269">
        <v>43502</v>
      </c>
      <c r="B693" s="270">
        <v>2019</v>
      </c>
      <c r="C693" s="270">
        <v>2019</v>
      </c>
      <c r="D693" s="270">
        <v>1</v>
      </c>
      <c r="E693" s="270">
        <v>1</v>
      </c>
      <c r="F693" s="270" t="s">
        <v>944</v>
      </c>
      <c r="G693" s="270" t="s">
        <v>3926</v>
      </c>
      <c r="H693" s="270" t="s">
        <v>4818</v>
      </c>
      <c r="I693" s="270" t="s">
        <v>4239</v>
      </c>
      <c r="J693" s="270" t="s">
        <v>3928</v>
      </c>
      <c r="K693" s="270">
        <v>6032</v>
      </c>
      <c r="L693" s="270">
        <v>460204</v>
      </c>
      <c r="M693" s="270" t="s">
        <v>3935</v>
      </c>
      <c r="N693" s="270" t="s">
        <v>4819</v>
      </c>
      <c r="O693" s="270">
        <v>4518</v>
      </c>
      <c r="P693" s="270" t="s">
        <v>3930</v>
      </c>
      <c r="Q693" s="270" t="s">
        <v>3930</v>
      </c>
      <c r="R693" s="270">
        <v>4518</v>
      </c>
      <c r="S693" s="270">
        <v>29812</v>
      </c>
      <c r="T693" s="270">
        <v>34330</v>
      </c>
      <c r="U693" s="271" t="s">
        <v>3937</v>
      </c>
      <c r="V693" s="267" t="s">
        <v>944</v>
      </c>
    </row>
    <row r="694" spans="1:22" hidden="1" x14ac:dyDescent="0.25">
      <c r="A694" s="266">
        <v>43502</v>
      </c>
      <c r="B694" s="267">
        <v>2019</v>
      </c>
      <c r="C694" s="267">
        <v>2019</v>
      </c>
      <c r="D694" s="267">
        <v>1</v>
      </c>
      <c r="E694" s="267">
        <v>1</v>
      </c>
      <c r="F694" s="267" t="s">
        <v>944</v>
      </c>
      <c r="G694" s="267" t="s">
        <v>3926</v>
      </c>
      <c r="H694" s="267" t="s">
        <v>4820</v>
      </c>
      <c r="I694" s="267" t="s">
        <v>4821</v>
      </c>
      <c r="J694" s="267" t="s">
        <v>3928</v>
      </c>
      <c r="K694" s="267">
        <v>6784</v>
      </c>
      <c r="L694" s="267">
        <v>257100</v>
      </c>
      <c r="M694" s="267" t="s">
        <v>3960</v>
      </c>
      <c r="N694" s="267" t="s">
        <v>3929</v>
      </c>
      <c r="O694" s="267">
        <v>5374.08</v>
      </c>
      <c r="P694" s="267" t="s">
        <v>3930</v>
      </c>
      <c r="Q694" s="267" t="s">
        <v>3931</v>
      </c>
      <c r="R694" s="267">
        <v>10374.08</v>
      </c>
      <c r="S694" s="267">
        <v>34744</v>
      </c>
      <c r="T694" s="267">
        <v>45118.080000000002</v>
      </c>
      <c r="U694" s="268" t="s">
        <v>3932</v>
      </c>
      <c r="V694" s="267" t="s">
        <v>944</v>
      </c>
    </row>
    <row r="695" spans="1:22" hidden="1" x14ac:dyDescent="0.25">
      <c r="A695" s="269">
        <v>43502</v>
      </c>
      <c r="B695" s="270">
        <v>2019</v>
      </c>
      <c r="C695" s="270">
        <v>2019</v>
      </c>
      <c r="D695" s="270">
        <v>1</v>
      </c>
      <c r="E695" s="270">
        <v>1</v>
      </c>
      <c r="F695" s="270" t="s">
        <v>944</v>
      </c>
      <c r="G695" s="270" t="s">
        <v>3926</v>
      </c>
      <c r="H695" s="270" t="s">
        <v>4822</v>
      </c>
      <c r="I695" s="270" t="s">
        <v>934</v>
      </c>
      <c r="J695" s="270" t="s">
        <v>3928</v>
      </c>
      <c r="K695" s="270">
        <v>6606</v>
      </c>
      <c r="L695" s="270">
        <v>72400</v>
      </c>
      <c r="M695" s="270" t="s">
        <v>3940</v>
      </c>
      <c r="N695" s="270" t="s">
        <v>4701</v>
      </c>
      <c r="O695" s="270">
        <v>5937.84</v>
      </c>
      <c r="P695" s="270" t="s">
        <v>3930</v>
      </c>
      <c r="Q695" s="270" t="s">
        <v>3931</v>
      </c>
      <c r="R695" s="270">
        <v>10937.84</v>
      </c>
      <c r="S695" s="270">
        <v>34648</v>
      </c>
      <c r="T695" s="270">
        <v>45585.84</v>
      </c>
      <c r="U695" s="271" t="s">
        <v>3932</v>
      </c>
      <c r="V695" s="267" t="s">
        <v>944</v>
      </c>
    </row>
    <row r="696" spans="1:22" hidden="1" x14ac:dyDescent="0.25">
      <c r="A696" s="266">
        <v>43502</v>
      </c>
      <c r="B696" s="267">
        <v>2019</v>
      </c>
      <c r="C696" s="267">
        <v>2019</v>
      </c>
      <c r="D696" s="267">
        <v>1</v>
      </c>
      <c r="E696" s="267">
        <v>1</v>
      </c>
      <c r="F696" s="267" t="s">
        <v>944</v>
      </c>
      <c r="G696" s="267" t="s">
        <v>3926</v>
      </c>
      <c r="H696" s="267" t="s">
        <v>4823</v>
      </c>
      <c r="I696" s="267" t="s">
        <v>4392</v>
      </c>
      <c r="J696" s="267" t="s">
        <v>3928</v>
      </c>
      <c r="K696" s="267">
        <v>6457</v>
      </c>
      <c r="L696" s="267">
        <v>542200</v>
      </c>
      <c r="M696" s="267" t="s">
        <v>3960</v>
      </c>
      <c r="N696" s="267" t="s">
        <v>3929</v>
      </c>
      <c r="O696" s="267">
        <v>2264.5700000000002</v>
      </c>
      <c r="P696" s="267" t="s">
        <v>3930</v>
      </c>
      <c r="Q696" s="267" t="s">
        <v>3931</v>
      </c>
      <c r="R696" s="267">
        <v>7264.57</v>
      </c>
      <c r="S696" s="267">
        <v>34744</v>
      </c>
      <c r="T696" s="267">
        <v>42008.57</v>
      </c>
      <c r="U696" s="268" t="s">
        <v>3932</v>
      </c>
      <c r="V696" s="267" t="s">
        <v>944</v>
      </c>
    </row>
    <row r="697" spans="1:22" hidden="1" x14ac:dyDescent="0.25">
      <c r="A697" s="269">
        <v>43502</v>
      </c>
      <c r="B697" s="270">
        <v>2019</v>
      </c>
      <c r="C697" s="270">
        <v>2019</v>
      </c>
      <c r="D697" s="270">
        <v>1</v>
      </c>
      <c r="E697" s="270">
        <v>1</v>
      </c>
      <c r="F697" s="270" t="s">
        <v>944</v>
      </c>
      <c r="G697" s="270" t="s">
        <v>3926</v>
      </c>
      <c r="H697" s="270" t="s">
        <v>4824</v>
      </c>
      <c r="I697" s="270" t="s">
        <v>950</v>
      </c>
      <c r="J697" s="270" t="s">
        <v>3928</v>
      </c>
      <c r="K697" s="270">
        <v>6516</v>
      </c>
      <c r="L697" s="270">
        <v>154100</v>
      </c>
      <c r="M697" s="270" t="s">
        <v>3940</v>
      </c>
      <c r="N697" s="270" t="s">
        <v>3986</v>
      </c>
      <c r="O697" s="270">
        <v>1233.79</v>
      </c>
      <c r="P697" s="270" t="s">
        <v>3930</v>
      </c>
      <c r="Q697" s="270" t="s">
        <v>3931</v>
      </c>
      <c r="R697" s="270">
        <v>6233.79</v>
      </c>
      <c r="S697" s="270">
        <v>16196.8</v>
      </c>
      <c r="T697" s="270">
        <v>22430.59</v>
      </c>
      <c r="U697" s="271" t="s">
        <v>3932</v>
      </c>
      <c r="V697" s="267" t="s">
        <v>944</v>
      </c>
    </row>
    <row r="698" spans="1:22" hidden="1" x14ac:dyDescent="0.25">
      <c r="A698" s="266">
        <v>43502</v>
      </c>
      <c r="B698" s="267">
        <v>2019</v>
      </c>
      <c r="C698" s="267">
        <v>2019</v>
      </c>
      <c r="D698" s="267">
        <v>1</v>
      </c>
      <c r="E698" s="267">
        <v>1</v>
      </c>
      <c r="F698" s="267" t="s">
        <v>944</v>
      </c>
      <c r="G698" s="267" t="s">
        <v>3926</v>
      </c>
      <c r="H698" s="267" t="s">
        <v>4825</v>
      </c>
      <c r="I698" s="267" t="s">
        <v>953</v>
      </c>
      <c r="J698" s="267" t="s">
        <v>3928</v>
      </c>
      <c r="K698" s="267">
        <v>6514</v>
      </c>
      <c r="L698" s="267">
        <v>165700</v>
      </c>
      <c r="M698" s="267" t="s">
        <v>3935</v>
      </c>
      <c r="N698" s="267" t="s">
        <v>3944</v>
      </c>
      <c r="O698" s="267">
        <v>2299</v>
      </c>
      <c r="P698" s="267" t="s">
        <v>3944</v>
      </c>
      <c r="Q698" s="267" t="s">
        <v>3944</v>
      </c>
      <c r="R698" s="267">
        <v>2299</v>
      </c>
      <c r="S698" s="267">
        <v>19121</v>
      </c>
      <c r="T698" s="267">
        <v>21420</v>
      </c>
      <c r="U698" s="268" t="s">
        <v>3945</v>
      </c>
      <c r="V698" s="267" t="s">
        <v>944</v>
      </c>
    </row>
    <row r="699" spans="1:22" hidden="1" x14ac:dyDescent="0.25">
      <c r="A699" s="269">
        <v>43502</v>
      </c>
      <c r="B699" s="270">
        <v>2019</v>
      </c>
      <c r="C699" s="270">
        <v>2019</v>
      </c>
      <c r="D699" s="270">
        <v>1</v>
      </c>
      <c r="E699" s="270">
        <v>1</v>
      </c>
      <c r="F699" s="270" t="s">
        <v>944</v>
      </c>
      <c r="G699" s="270" t="s">
        <v>3926</v>
      </c>
      <c r="H699" s="270" t="s">
        <v>4826</v>
      </c>
      <c r="I699" s="270" t="s">
        <v>956</v>
      </c>
      <c r="J699" s="270" t="s">
        <v>3928</v>
      </c>
      <c r="K699" s="270">
        <v>6614</v>
      </c>
      <c r="L699" s="270">
        <v>80900</v>
      </c>
      <c r="M699" s="270" t="s">
        <v>3960</v>
      </c>
      <c r="N699" s="270" t="s">
        <v>3944</v>
      </c>
      <c r="O699" s="270">
        <v>2367</v>
      </c>
      <c r="P699" s="270" t="s">
        <v>3944</v>
      </c>
      <c r="Q699" s="270" t="s">
        <v>3944</v>
      </c>
      <c r="R699" s="270">
        <v>2367</v>
      </c>
      <c r="S699" s="270">
        <v>20033</v>
      </c>
      <c r="T699" s="270">
        <v>22400</v>
      </c>
      <c r="U699" s="271" t="s">
        <v>3945</v>
      </c>
      <c r="V699" s="267" t="s">
        <v>944</v>
      </c>
    </row>
    <row r="700" spans="1:22" hidden="1" x14ac:dyDescent="0.25">
      <c r="A700" s="266">
        <v>43502</v>
      </c>
      <c r="B700" s="267">
        <v>2019</v>
      </c>
      <c r="C700" s="267">
        <v>2019</v>
      </c>
      <c r="D700" s="267">
        <v>1</v>
      </c>
      <c r="E700" s="267">
        <v>1</v>
      </c>
      <c r="F700" s="267" t="s">
        <v>944</v>
      </c>
      <c r="G700" s="267" t="s">
        <v>3926</v>
      </c>
      <c r="H700" s="267" t="s">
        <v>4827</v>
      </c>
      <c r="I700" s="267" t="s">
        <v>4392</v>
      </c>
      <c r="J700" s="267" t="s">
        <v>3928</v>
      </c>
      <c r="K700" s="267">
        <v>6457</v>
      </c>
      <c r="L700" s="267">
        <v>541200</v>
      </c>
      <c r="M700" s="267" t="s">
        <v>3935</v>
      </c>
      <c r="N700" s="267" t="s">
        <v>3944</v>
      </c>
      <c r="O700" s="267">
        <v>1623</v>
      </c>
      <c r="P700" s="267" t="s">
        <v>3944</v>
      </c>
      <c r="Q700" s="267" t="s">
        <v>3944</v>
      </c>
      <c r="R700" s="267">
        <v>1623</v>
      </c>
      <c r="S700" s="267">
        <v>11607</v>
      </c>
      <c r="T700" s="267">
        <v>13230</v>
      </c>
      <c r="U700" s="268" t="s">
        <v>3945</v>
      </c>
      <c r="V700" s="267" t="s">
        <v>944</v>
      </c>
    </row>
    <row r="701" spans="1:22" hidden="1" x14ac:dyDescent="0.25">
      <c r="A701" s="269">
        <v>43502</v>
      </c>
      <c r="B701" s="270">
        <v>2019</v>
      </c>
      <c r="C701" s="270">
        <v>2019</v>
      </c>
      <c r="D701" s="270">
        <v>1</v>
      </c>
      <c r="E701" s="270">
        <v>1</v>
      </c>
      <c r="F701" s="270" t="s">
        <v>944</v>
      </c>
      <c r="G701" s="270" t="s">
        <v>3926</v>
      </c>
      <c r="H701" s="270" t="s">
        <v>4828</v>
      </c>
      <c r="I701" s="270" t="s">
        <v>4073</v>
      </c>
      <c r="J701" s="270" t="s">
        <v>3928</v>
      </c>
      <c r="K701" s="270">
        <v>6776</v>
      </c>
      <c r="L701" s="270">
        <v>253500</v>
      </c>
      <c r="M701" s="270" t="s">
        <v>3943</v>
      </c>
      <c r="N701" s="270" t="s">
        <v>3944</v>
      </c>
      <c r="O701" s="270">
        <v>3536.09</v>
      </c>
      <c r="P701" s="270" t="s">
        <v>3944</v>
      </c>
      <c r="Q701" s="270" t="s">
        <v>3944</v>
      </c>
      <c r="R701" s="270">
        <v>3536.09</v>
      </c>
      <c r="S701" s="270">
        <v>79762.759999999995</v>
      </c>
      <c r="T701" s="270">
        <v>83298.850000000006</v>
      </c>
      <c r="U701" s="271" t="s">
        <v>3945</v>
      </c>
      <c r="V701" s="267" t="s">
        <v>944</v>
      </c>
    </row>
    <row r="702" spans="1:22" hidden="1" x14ac:dyDescent="0.25">
      <c r="A702" s="266">
        <v>43502</v>
      </c>
      <c r="B702" s="267">
        <v>2019</v>
      </c>
      <c r="C702" s="267">
        <v>2019</v>
      </c>
      <c r="D702" s="267">
        <v>1</v>
      </c>
      <c r="E702" s="267">
        <v>1</v>
      </c>
      <c r="F702" s="267" t="s">
        <v>944</v>
      </c>
      <c r="G702" s="267" t="s">
        <v>3926</v>
      </c>
      <c r="H702" s="267" t="s">
        <v>4829</v>
      </c>
      <c r="I702" s="267" t="s">
        <v>934</v>
      </c>
      <c r="J702" s="267" t="s">
        <v>3928</v>
      </c>
      <c r="K702" s="267">
        <v>6606</v>
      </c>
      <c r="L702" s="267">
        <v>257200</v>
      </c>
      <c r="M702" s="267">
        <v>-60</v>
      </c>
      <c r="N702" s="267" t="s">
        <v>3944</v>
      </c>
      <c r="O702" s="267">
        <v>1205.6099999999999</v>
      </c>
      <c r="P702" s="267" t="s">
        <v>3944</v>
      </c>
      <c r="Q702" s="267" t="s">
        <v>3944</v>
      </c>
      <c r="R702" s="267">
        <v>1205.6099999999999</v>
      </c>
      <c r="S702" s="267">
        <v>23887.89</v>
      </c>
      <c r="T702" s="267">
        <v>25093.5</v>
      </c>
      <c r="U702" s="268" t="s">
        <v>3945</v>
      </c>
      <c r="V702" s="267" t="s">
        <v>944</v>
      </c>
    </row>
    <row r="703" spans="1:22" hidden="1" x14ac:dyDescent="0.25">
      <c r="A703" s="269">
        <v>43502</v>
      </c>
      <c r="B703" s="270">
        <v>2019</v>
      </c>
      <c r="C703" s="270">
        <v>2019</v>
      </c>
      <c r="D703" s="270">
        <v>1</v>
      </c>
      <c r="E703" s="270">
        <v>1</v>
      </c>
      <c r="F703" s="270" t="s">
        <v>944</v>
      </c>
      <c r="G703" s="270" t="s">
        <v>3926</v>
      </c>
      <c r="H703" s="270" t="s">
        <v>4830</v>
      </c>
      <c r="I703" s="270" t="s">
        <v>4108</v>
      </c>
      <c r="J703" s="270" t="s">
        <v>3928</v>
      </c>
      <c r="K703" s="270">
        <v>6082</v>
      </c>
      <c r="L703" s="270">
        <v>481200</v>
      </c>
      <c r="M703" s="270" t="s">
        <v>3960</v>
      </c>
      <c r="N703" s="270" t="s">
        <v>3944</v>
      </c>
      <c r="O703" s="270">
        <v>3033.8</v>
      </c>
      <c r="P703" s="270" t="s">
        <v>3944</v>
      </c>
      <c r="Q703" s="270" t="s">
        <v>3944</v>
      </c>
      <c r="R703" s="270">
        <v>3033.8</v>
      </c>
      <c r="S703" s="270">
        <v>42437.72</v>
      </c>
      <c r="T703" s="270">
        <v>45471.519999999997</v>
      </c>
      <c r="U703" s="271" t="s">
        <v>3945</v>
      </c>
      <c r="V703" s="267" t="s">
        <v>944</v>
      </c>
    </row>
    <row r="704" spans="1:22" hidden="1" x14ac:dyDescent="0.25">
      <c r="A704" s="266">
        <v>43502</v>
      </c>
      <c r="B704" s="267">
        <v>2019</v>
      </c>
      <c r="C704" s="267">
        <v>2019</v>
      </c>
      <c r="D704" s="267">
        <v>1</v>
      </c>
      <c r="E704" s="267">
        <v>1</v>
      </c>
      <c r="F704" s="267" t="s">
        <v>944</v>
      </c>
      <c r="G704" s="267" t="s">
        <v>3926</v>
      </c>
      <c r="H704" s="267" t="s">
        <v>4831</v>
      </c>
      <c r="I704" s="267" t="s">
        <v>950</v>
      </c>
      <c r="J704" s="267" t="s">
        <v>3928</v>
      </c>
      <c r="K704" s="267">
        <v>6516</v>
      </c>
      <c r="L704" s="267">
        <v>154700</v>
      </c>
      <c r="M704" s="267" t="s">
        <v>3960</v>
      </c>
      <c r="N704" s="267" t="s">
        <v>3944</v>
      </c>
      <c r="O704" s="267">
        <v>2268.4899999999998</v>
      </c>
      <c r="P704" s="267" t="s">
        <v>3944</v>
      </c>
      <c r="Q704" s="267" t="s">
        <v>3944</v>
      </c>
      <c r="R704" s="267">
        <v>2268.4899999999998</v>
      </c>
      <c r="S704" s="267">
        <v>36443.879999999997</v>
      </c>
      <c r="T704" s="267">
        <v>38712.370000000003</v>
      </c>
      <c r="U704" s="268" t="s">
        <v>3945</v>
      </c>
      <c r="V704" s="267" t="s">
        <v>944</v>
      </c>
    </row>
    <row r="705" spans="1:22" hidden="1" x14ac:dyDescent="0.25">
      <c r="A705" s="269">
        <v>43502</v>
      </c>
      <c r="B705" s="270">
        <v>2019</v>
      </c>
      <c r="C705" s="270">
        <v>2019</v>
      </c>
      <c r="D705" s="270">
        <v>1</v>
      </c>
      <c r="E705" s="270">
        <v>1</v>
      </c>
      <c r="F705" s="270" t="s">
        <v>944</v>
      </c>
      <c r="G705" s="270" t="s">
        <v>3926</v>
      </c>
      <c r="H705" s="270" t="s">
        <v>4832</v>
      </c>
      <c r="I705" s="270" t="s">
        <v>953</v>
      </c>
      <c r="J705" s="270" t="s">
        <v>3928</v>
      </c>
      <c r="K705" s="270">
        <v>6518</v>
      </c>
      <c r="L705" s="270">
        <v>166002</v>
      </c>
      <c r="M705" s="270" t="s">
        <v>3960</v>
      </c>
      <c r="N705" s="270" t="s">
        <v>3944</v>
      </c>
      <c r="O705" s="270">
        <v>1505.28</v>
      </c>
      <c r="P705" s="270" t="s">
        <v>3944</v>
      </c>
      <c r="Q705" s="270" t="s">
        <v>3944</v>
      </c>
      <c r="R705" s="270">
        <v>1505.28</v>
      </c>
      <c r="S705" s="270">
        <v>35427.72</v>
      </c>
      <c r="T705" s="270">
        <v>36933</v>
      </c>
      <c r="U705" s="271" t="s">
        <v>3945</v>
      </c>
      <c r="V705" s="267" t="s">
        <v>944</v>
      </c>
    </row>
    <row r="706" spans="1:22" hidden="1" x14ac:dyDescent="0.25">
      <c r="A706" s="266">
        <v>43502</v>
      </c>
      <c r="B706" s="267">
        <v>2019</v>
      </c>
      <c r="C706" s="267">
        <v>2019</v>
      </c>
      <c r="D706" s="267">
        <v>1</v>
      </c>
      <c r="E706" s="267">
        <v>1</v>
      </c>
      <c r="F706" s="267" t="s">
        <v>944</v>
      </c>
      <c r="G706" s="267" t="s">
        <v>3926</v>
      </c>
      <c r="H706" s="267" t="s">
        <v>4833</v>
      </c>
      <c r="I706" s="267" t="s">
        <v>3962</v>
      </c>
      <c r="J706" s="267" t="s">
        <v>3928</v>
      </c>
      <c r="K706" s="267">
        <v>6378</v>
      </c>
      <c r="L706" s="267">
        <v>705200</v>
      </c>
      <c r="M706" s="267" t="s">
        <v>3960</v>
      </c>
      <c r="N706" s="267" t="s">
        <v>3944</v>
      </c>
      <c r="O706" s="267">
        <v>1918.21</v>
      </c>
      <c r="P706" s="267" t="s">
        <v>3944</v>
      </c>
      <c r="Q706" s="267" t="s">
        <v>3944</v>
      </c>
      <c r="R706" s="267">
        <v>1918.21</v>
      </c>
      <c r="S706" s="267">
        <v>35970.629999999997</v>
      </c>
      <c r="T706" s="267">
        <v>37888.839999999997</v>
      </c>
      <c r="U706" s="268" t="s">
        <v>3945</v>
      </c>
      <c r="V706" s="267" t="s">
        <v>944</v>
      </c>
    </row>
    <row r="707" spans="1:22" hidden="1" x14ac:dyDescent="0.25">
      <c r="A707" s="269">
        <v>43502</v>
      </c>
      <c r="B707" s="270">
        <v>2019</v>
      </c>
      <c r="C707" s="270">
        <v>2019</v>
      </c>
      <c r="D707" s="270">
        <v>1</v>
      </c>
      <c r="E707" s="270">
        <v>1</v>
      </c>
      <c r="F707" s="270" t="s">
        <v>944</v>
      </c>
      <c r="G707" s="270" t="s">
        <v>3926</v>
      </c>
      <c r="H707" s="270" t="s">
        <v>4834</v>
      </c>
      <c r="I707" s="270" t="s">
        <v>4129</v>
      </c>
      <c r="J707" s="270" t="s">
        <v>3928</v>
      </c>
      <c r="K707" s="270">
        <v>6259</v>
      </c>
      <c r="L707" s="270">
        <v>902500</v>
      </c>
      <c r="M707" s="270" t="s">
        <v>3960</v>
      </c>
      <c r="N707" s="270" t="s">
        <v>3944</v>
      </c>
      <c r="O707" s="270">
        <v>2816.03</v>
      </c>
      <c r="P707" s="270" t="s">
        <v>3944</v>
      </c>
      <c r="Q707" s="270" t="s">
        <v>3944</v>
      </c>
      <c r="R707" s="270">
        <v>2816.03</v>
      </c>
      <c r="S707" s="270">
        <v>38691.58</v>
      </c>
      <c r="T707" s="270">
        <v>41507.61</v>
      </c>
      <c r="U707" s="271" t="s">
        <v>3945</v>
      </c>
      <c r="V707" s="267" t="s">
        <v>944</v>
      </c>
    </row>
    <row r="708" spans="1:22" hidden="1" x14ac:dyDescent="0.25">
      <c r="A708" s="266">
        <v>43502</v>
      </c>
      <c r="B708" s="267">
        <v>2019</v>
      </c>
      <c r="C708" s="267">
        <v>2019</v>
      </c>
      <c r="D708" s="267">
        <v>1</v>
      </c>
      <c r="E708" s="267">
        <v>1</v>
      </c>
      <c r="F708" s="267" t="s">
        <v>944</v>
      </c>
      <c r="G708" s="267" t="s">
        <v>3926</v>
      </c>
      <c r="H708" s="267" t="s">
        <v>4835</v>
      </c>
      <c r="I708" s="267" t="s">
        <v>4129</v>
      </c>
      <c r="J708" s="267" t="s">
        <v>3928</v>
      </c>
      <c r="K708" s="267">
        <v>6259</v>
      </c>
      <c r="L708" s="267">
        <v>902500</v>
      </c>
      <c r="M708" s="267" t="s">
        <v>3960</v>
      </c>
      <c r="N708" s="267" t="s">
        <v>3944</v>
      </c>
      <c r="O708" s="267">
        <v>2096.7800000000002</v>
      </c>
      <c r="P708" s="267" t="s">
        <v>3944</v>
      </c>
      <c r="Q708" s="267" t="s">
        <v>3944</v>
      </c>
      <c r="R708" s="267">
        <v>2096.7800000000002</v>
      </c>
      <c r="S708" s="267">
        <v>28384.12</v>
      </c>
      <c r="T708" s="267">
        <v>30480.9</v>
      </c>
      <c r="U708" s="268" t="s">
        <v>3945</v>
      </c>
      <c r="V708" s="267" t="s">
        <v>944</v>
      </c>
    </row>
    <row r="709" spans="1:22" hidden="1" x14ac:dyDescent="0.25">
      <c r="A709" s="269">
        <v>43502</v>
      </c>
      <c r="B709" s="270">
        <v>2019</v>
      </c>
      <c r="C709" s="270">
        <v>2019</v>
      </c>
      <c r="D709" s="270">
        <v>1</v>
      </c>
      <c r="E709" s="270">
        <v>1</v>
      </c>
      <c r="F709" s="270" t="s">
        <v>944</v>
      </c>
      <c r="G709" s="270" t="s">
        <v>3926</v>
      </c>
      <c r="H709" s="270" t="s">
        <v>4836</v>
      </c>
      <c r="I709" s="270" t="s">
        <v>4087</v>
      </c>
      <c r="J709" s="270" t="s">
        <v>3928</v>
      </c>
      <c r="K709" s="270">
        <v>6355</v>
      </c>
      <c r="L709" s="270">
        <v>703000</v>
      </c>
      <c r="M709" s="270" t="s">
        <v>3960</v>
      </c>
      <c r="N709" s="270" t="s">
        <v>3944</v>
      </c>
      <c r="O709" s="270">
        <v>1493.24</v>
      </c>
      <c r="P709" s="270" t="s">
        <v>3944</v>
      </c>
      <c r="Q709" s="270" t="s">
        <v>3944</v>
      </c>
      <c r="R709" s="270">
        <v>1493.24</v>
      </c>
      <c r="S709" s="270">
        <v>25755.06</v>
      </c>
      <c r="T709" s="270">
        <v>27248.3</v>
      </c>
      <c r="U709" s="271" t="s">
        <v>3945</v>
      </c>
      <c r="V709" s="267" t="s">
        <v>944</v>
      </c>
    </row>
    <row r="710" spans="1:22" hidden="1" x14ac:dyDescent="0.25">
      <c r="A710" s="266">
        <v>43502</v>
      </c>
      <c r="B710" s="267">
        <v>2019</v>
      </c>
      <c r="C710" s="267">
        <v>2019</v>
      </c>
      <c r="D710" s="267">
        <v>1</v>
      </c>
      <c r="E710" s="267">
        <v>1</v>
      </c>
      <c r="F710" s="267" t="s">
        <v>944</v>
      </c>
      <c r="G710" s="267" t="s">
        <v>3926</v>
      </c>
      <c r="H710" s="267" t="s">
        <v>4837</v>
      </c>
      <c r="I710" s="267" t="s">
        <v>4621</v>
      </c>
      <c r="J710" s="267" t="s">
        <v>3928</v>
      </c>
      <c r="K710" s="267">
        <v>6443</v>
      </c>
      <c r="L710" s="267">
        <v>194201</v>
      </c>
      <c r="M710" s="267" t="s">
        <v>3943</v>
      </c>
      <c r="N710" s="267" t="s">
        <v>3944</v>
      </c>
      <c r="O710" s="267">
        <v>2231.7800000000002</v>
      </c>
      <c r="P710" s="267" t="s">
        <v>3944</v>
      </c>
      <c r="Q710" s="267" t="s">
        <v>3944</v>
      </c>
      <c r="R710" s="267">
        <v>2231.7800000000002</v>
      </c>
      <c r="S710" s="267">
        <v>18671.22</v>
      </c>
      <c r="T710" s="267">
        <v>20903</v>
      </c>
      <c r="U710" s="268" t="s">
        <v>3945</v>
      </c>
      <c r="V710" s="267" t="s">
        <v>944</v>
      </c>
    </row>
    <row r="711" spans="1:22" hidden="1" x14ac:dyDescent="0.25">
      <c r="A711" s="269">
        <v>43502</v>
      </c>
      <c r="B711" s="270">
        <v>2019</v>
      </c>
      <c r="C711" s="270">
        <v>2019</v>
      </c>
      <c r="D711" s="270">
        <v>1</v>
      </c>
      <c r="E711" s="270">
        <v>1</v>
      </c>
      <c r="F711" s="270" t="s">
        <v>944</v>
      </c>
      <c r="G711" s="270" t="s">
        <v>3926</v>
      </c>
      <c r="H711" s="270" t="s">
        <v>4838</v>
      </c>
      <c r="I711" s="270" t="s">
        <v>4839</v>
      </c>
      <c r="J711" s="270" t="s">
        <v>3928</v>
      </c>
      <c r="K711" s="270">
        <v>6524</v>
      </c>
      <c r="L711" s="270">
        <v>161100</v>
      </c>
      <c r="M711" s="270" t="s">
        <v>3943</v>
      </c>
      <c r="N711" s="270" t="s">
        <v>3944</v>
      </c>
      <c r="O711" s="270">
        <v>1858.47</v>
      </c>
      <c r="P711" s="270" t="s">
        <v>3944</v>
      </c>
      <c r="Q711" s="270" t="s">
        <v>3944</v>
      </c>
      <c r="R711" s="270">
        <v>1858.47</v>
      </c>
      <c r="S711" s="270">
        <v>28687.33</v>
      </c>
      <c r="T711" s="270">
        <v>30545.8</v>
      </c>
      <c r="U711" s="271" t="s">
        <v>3945</v>
      </c>
      <c r="V711" s="267" t="s">
        <v>944</v>
      </c>
    </row>
    <row r="712" spans="1:22" hidden="1" x14ac:dyDescent="0.25">
      <c r="A712" s="266">
        <v>43502</v>
      </c>
      <c r="B712" s="267">
        <v>2019</v>
      </c>
      <c r="C712" s="267">
        <v>2019</v>
      </c>
      <c r="D712" s="267">
        <v>1</v>
      </c>
      <c r="E712" s="267">
        <v>1</v>
      </c>
      <c r="F712" s="267" t="s">
        <v>944</v>
      </c>
      <c r="G712" s="267" t="s">
        <v>3926</v>
      </c>
      <c r="H712" s="267" t="s">
        <v>4840</v>
      </c>
      <c r="I712" s="267" t="s">
        <v>4269</v>
      </c>
      <c r="J712" s="267" t="s">
        <v>3928</v>
      </c>
      <c r="K712" s="267">
        <v>6119</v>
      </c>
      <c r="L712" s="267">
        <v>496900</v>
      </c>
      <c r="M712" s="267" t="s">
        <v>3960</v>
      </c>
      <c r="N712" s="267" t="s">
        <v>3944</v>
      </c>
      <c r="O712" s="267">
        <v>1268.6500000000001</v>
      </c>
      <c r="P712" s="267" t="s">
        <v>3944</v>
      </c>
      <c r="Q712" s="267" t="s">
        <v>3944</v>
      </c>
      <c r="R712" s="267">
        <v>1268.6500000000001</v>
      </c>
      <c r="S712" s="267">
        <v>15481.75</v>
      </c>
      <c r="T712" s="267">
        <v>16750.400000000001</v>
      </c>
      <c r="U712" s="268" t="s">
        <v>3945</v>
      </c>
      <c r="V712" s="267" t="s">
        <v>944</v>
      </c>
    </row>
    <row r="713" spans="1:22" hidden="1" x14ac:dyDescent="0.25">
      <c r="A713" s="269">
        <v>43502</v>
      </c>
      <c r="B713" s="270">
        <v>2019</v>
      </c>
      <c r="C713" s="270">
        <v>2019</v>
      </c>
      <c r="D713" s="270">
        <v>1</v>
      </c>
      <c r="E713" s="270">
        <v>1</v>
      </c>
      <c r="F713" s="270" t="s">
        <v>944</v>
      </c>
      <c r="G713" s="270" t="s">
        <v>3926</v>
      </c>
      <c r="H713" s="270" t="s">
        <v>4841</v>
      </c>
      <c r="I713" s="270" t="s">
        <v>4126</v>
      </c>
      <c r="J713" s="270" t="s">
        <v>3928</v>
      </c>
      <c r="K713" s="270">
        <v>6880</v>
      </c>
      <c r="L713" s="270">
        <v>50600</v>
      </c>
      <c r="M713" s="270" t="s">
        <v>3943</v>
      </c>
      <c r="N713" s="270" t="s">
        <v>3944</v>
      </c>
      <c r="O713" s="270">
        <v>1431.85</v>
      </c>
      <c r="P713" s="270" t="s">
        <v>3944</v>
      </c>
      <c r="Q713" s="270" t="s">
        <v>3944</v>
      </c>
      <c r="R713" s="270">
        <v>1431.85</v>
      </c>
      <c r="S713" s="270">
        <v>22386.43</v>
      </c>
      <c r="T713" s="270">
        <v>23818.28</v>
      </c>
      <c r="U713" s="271" t="s">
        <v>3945</v>
      </c>
      <c r="V713" s="267" t="s">
        <v>944</v>
      </c>
    </row>
    <row r="714" spans="1:22" hidden="1" x14ac:dyDescent="0.25">
      <c r="A714" s="266">
        <v>43502</v>
      </c>
      <c r="B714" s="267">
        <v>2019</v>
      </c>
      <c r="C714" s="267">
        <v>2019</v>
      </c>
      <c r="D714" s="267">
        <v>1</v>
      </c>
      <c r="E714" s="267">
        <v>1</v>
      </c>
      <c r="F714" s="267" t="s">
        <v>944</v>
      </c>
      <c r="G714" s="267" t="s">
        <v>3926</v>
      </c>
      <c r="H714" s="267" t="s">
        <v>4842</v>
      </c>
      <c r="I714" s="267" t="s">
        <v>3956</v>
      </c>
      <c r="J714" s="267" t="s">
        <v>3928</v>
      </c>
      <c r="K714" s="267">
        <v>6112</v>
      </c>
      <c r="L714" s="267">
        <v>503900</v>
      </c>
      <c r="M714" s="267">
        <v>-60</v>
      </c>
      <c r="N714" s="267" t="s">
        <v>3944</v>
      </c>
      <c r="O714" s="267">
        <v>1683.85</v>
      </c>
      <c r="P714" s="267" t="s">
        <v>3944</v>
      </c>
      <c r="Q714" s="267" t="s">
        <v>3944</v>
      </c>
      <c r="R714" s="267">
        <v>1683.85</v>
      </c>
      <c r="S714" s="267">
        <v>37771.160000000003</v>
      </c>
      <c r="T714" s="267">
        <v>39455.01</v>
      </c>
      <c r="U714" s="268" t="s">
        <v>3945</v>
      </c>
      <c r="V714" s="267" t="s">
        <v>944</v>
      </c>
    </row>
    <row r="715" spans="1:22" hidden="1" x14ac:dyDescent="0.25">
      <c r="A715" s="269">
        <v>43502</v>
      </c>
      <c r="B715" s="270">
        <v>2019</v>
      </c>
      <c r="C715" s="270">
        <v>2019</v>
      </c>
      <c r="D715" s="270">
        <v>1</v>
      </c>
      <c r="E715" s="270">
        <v>1</v>
      </c>
      <c r="F715" s="270" t="s">
        <v>944</v>
      </c>
      <c r="G715" s="270" t="s">
        <v>3926</v>
      </c>
      <c r="H715" s="270" t="s">
        <v>4843</v>
      </c>
      <c r="I715" s="270" t="s">
        <v>3025</v>
      </c>
      <c r="J715" s="270" t="s">
        <v>3928</v>
      </c>
      <c r="K715" s="270">
        <v>6473</v>
      </c>
      <c r="L715" s="270">
        <v>167201</v>
      </c>
      <c r="M715" s="270" t="s">
        <v>3960</v>
      </c>
      <c r="N715" s="270" t="s">
        <v>3944</v>
      </c>
      <c r="O715" s="270">
        <v>3257.17</v>
      </c>
      <c r="P715" s="270" t="s">
        <v>3944</v>
      </c>
      <c r="Q715" s="270" t="s">
        <v>3944</v>
      </c>
      <c r="R715" s="270">
        <v>3257.17</v>
      </c>
      <c r="S715" s="270">
        <v>51527.83</v>
      </c>
      <c r="T715" s="270">
        <v>54785</v>
      </c>
      <c r="U715" s="271" t="s">
        <v>3945</v>
      </c>
      <c r="V715" s="267" t="s">
        <v>944</v>
      </c>
    </row>
    <row r="716" spans="1:22" hidden="1" x14ac:dyDescent="0.25">
      <c r="A716" s="266">
        <v>43502</v>
      </c>
      <c r="B716" s="267">
        <v>2019</v>
      </c>
      <c r="C716" s="267">
        <v>2019</v>
      </c>
      <c r="D716" s="267">
        <v>1</v>
      </c>
      <c r="E716" s="267">
        <v>1</v>
      </c>
      <c r="F716" s="267" t="s">
        <v>944</v>
      </c>
      <c r="G716" s="267" t="s">
        <v>3926</v>
      </c>
      <c r="H716" s="267" t="s">
        <v>4844</v>
      </c>
      <c r="I716" s="267" t="s">
        <v>4019</v>
      </c>
      <c r="J716" s="267" t="s">
        <v>3928</v>
      </c>
      <c r="K716" s="267">
        <v>6706</v>
      </c>
      <c r="L716" s="267">
        <v>351500</v>
      </c>
      <c r="M716" s="267" t="s">
        <v>3940</v>
      </c>
      <c r="N716" s="267" t="s">
        <v>3944</v>
      </c>
      <c r="O716" s="267">
        <v>1079.3</v>
      </c>
      <c r="P716" s="267" t="s">
        <v>3944</v>
      </c>
      <c r="Q716" s="267" t="s">
        <v>3944</v>
      </c>
      <c r="R716" s="267">
        <v>1079.3</v>
      </c>
      <c r="S716" s="267">
        <v>20812.099999999999</v>
      </c>
      <c r="T716" s="267">
        <v>21891.4</v>
      </c>
      <c r="U716" s="268" t="s">
        <v>3945</v>
      </c>
      <c r="V716" s="267" t="s">
        <v>944</v>
      </c>
    </row>
    <row r="717" spans="1:22" hidden="1" x14ac:dyDescent="0.25">
      <c r="A717" s="269">
        <v>43502</v>
      </c>
      <c r="B717" s="270">
        <v>2019</v>
      </c>
      <c r="C717" s="270">
        <v>2019</v>
      </c>
      <c r="D717" s="270">
        <v>1</v>
      </c>
      <c r="E717" s="270">
        <v>1</v>
      </c>
      <c r="F717" s="270" t="s">
        <v>944</v>
      </c>
      <c r="G717" s="270" t="s">
        <v>3926</v>
      </c>
      <c r="H717" s="270" t="s">
        <v>4845</v>
      </c>
      <c r="I717" s="270" t="s">
        <v>4042</v>
      </c>
      <c r="J717" s="270" t="s">
        <v>3928</v>
      </c>
      <c r="K717" s="270">
        <v>6370</v>
      </c>
      <c r="L717" s="270">
        <v>695202</v>
      </c>
      <c r="M717" s="270" t="s">
        <v>3935</v>
      </c>
      <c r="N717" s="270" t="s">
        <v>3944</v>
      </c>
      <c r="O717" s="270">
        <v>2913.3</v>
      </c>
      <c r="P717" s="270" t="s">
        <v>3944</v>
      </c>
      <c r="Q717" s="270" t="s">
        <v>3944</v>
      </c>
      <c r="R717" s="270">
        <v>2913.3</v>
      </c>
      <c r="S717" s="270">
        <v>44156.59</v>
      </c>
      <c r="T717" s="270">
        <v>47069.89</v>
      </c>
      <c r="U717" s="271" t="s">
        <v>3945</v>
      </c>
      <c r="V717" s="267" t="s">
        <v>944</v>
      </c>
    </row>
    <row r="718" spans="1:22" hidden="1" x14ac:dyDescent="0.25">
      <c r="A718" s="266">
        <v>43502</v>
      </c>
      <c r="B718" s="267">
        <v>2019</v>
      </c>
      <c r="C718" s="267">
        <v>2019</v>
      </c>
      <c r="D718" s="267">
        <v>1</v>
      </c>
      <c r="E718" s="267">
        <v>1</v>
      </c>
      <c r="F718" s="267" t="s">
        <v>944</v>
      </c>
      <c r="G718" s="267" t="s">
        <v>3926</v>
      </c>
      <c r="H718" s="267" t="s">
        <v>4846</v>
      </c>
      <c r="I718" s="267" t="s">
        <v>4111</v>
      </c>
      <c r="J718" s="267" t="s">
        <v>3928</v>
      </c>
      <c r="K718" s="267">
        <v>6095</v>
      </c>
      <c r="L718" s="267">
        <v>473100</v>
      </c>
      <c r="M718" s="267" t="s">
        <v>3960</v>
      </c>
      <c r="N718" s="267" t="s">
        <v>3944</v>
      </c>
      <c r="O718" s="267">
        <v>1005.45</v>
      </c>
      <c r="P718" s="267" t="s">
        <v>3944</v>
      </c>
      <c r="Q718" s="267" t="s">
        <v>3944</v>
      </c>
      <c r="R718" s="267">
        <v>1005.45</v>
      </c>
      <c r="S718" s="267">
        <v>11080.55</v>
      </c>
      <c r="T718" s="267">
        <v>12086</v>
      </c>
      <c r="U718" s="268" t="s">
        <v>3945</v>
      </c>
      <c r="V718" s="267" t="s">
        <v>944</v>
      </c>
    </row>
    <row r="719" spans="1:22" hidden="1" x14ac:dyDescent="0.25">
      <c r="A719" s="269">
        <v>43502</v>
      </c>
      <c r="B719" s="270">
        <v>2019</v>
      </c>
      <c r="C719" s="270">
        <v>2019</v>
      </c>
      <c r="D719" s="270">
        <v>1</v>
      </c>
      <c r="E719" s="270">
        <v>1</v>
      </c>
      <c r="F719" s="270" t="s">
        <v>944</v>
      </c>
      <c r="G719" s="270" t="s">
        <v>3926</v>
      </c>
      <c r="H719" s="270" t="s">
        <v>4847</v>
      </c>
      <c r="I719" s="270" t="s">
        <v>4046</v>
      </c>
      <c r="J719" s="270" t="s">
        <v>3928</v>
      </c>
      <c r="K719" s="270">
        <v>6282</v>
      </c>
      <c r="L719" s="270">
        <v>901100</v>
      </c>
      <c r="M719" s="270" t="s">
        <v>3960</v>
      </c>
      <c r="N719" s="270" t="s">
        <v>3944</v>
      </c>
      <c r="O719" s="270">
        <v>1408.23</v>
      </c>
      <c r="P719" s="270" t="s">
        <v>3944</v>
      </c>
      <c r="Q719" s="270" t="s">
        <v>3944</v>
      </c>
      <c r="R719" s="270">
        <v>1408.23</v>
      </c>
      <c r="S719" s="270">
        <v>26938.959999999999</v>
      </c>
      <c r="T719" s="270">
        <v>28347.19</v>
      </c>
      <c r="U719" s="271" t="s">
        <v>3945</v>
      </c>
      <c r="V719" s="267" t="s">
        <v>944</v>
      </c>
    </row>
    <row r="720" spans="1:22" hidden="1" x14ac:dyDescent="0.25">
      <c r="A720" s="266">
        <v>43502</v>
      </c>
      <c r="B720" s="267">
        <v>2019</v>
      </c>
      <c r="C720" s="267">
        <v>2019</v>
      </c>
      <c r="D720" s="267">
        <v>1</v>
      </c>
      <c r="E720" s="267">
        <v>1</v>
      </c>
      <c r="F720" s="267" t="s">
        <v>944</v>
      </c>
      <c r="G720" s="267" t="s">
        <v>3926</v>
      </c>
      <c r="H720" s="267" t="s">
        <v>4848</v>
      </c>
      <c r="I720" s="267" t="s">
        <v>3954</v>
      </c>
      <c r="J720" s="267" t="s">
        <v>3928</v>
      </c>
      <c r="K720" s="267">
        <v>6357</v>
      </c>
      <c r="L720" s="267">
        <v>870704</v>
      </c>
      <c r="M720" s="267" t="s">
        <v>3935</v>
      </c>
      <c r="N720" s="267" t="s">
        <v>3944</v>
      </c>
      <c r="O720" s="267">
        <v>2939.23</v>
      </c>
      <c r="P720" s="267" t="s">
        <v>3944</v>
      </c>
      <c r="Q720" s="267" t="s">
        <v>3944</v>
      </c>
      <c r="R720" s="267">
        <v>2939.23</v>
      </c>
      <c r="S720" s="267">
        <v>50340.83</v>
      </c>
      <c r="T720" s="267">
        <v>53280.06</v>
      </c>
      <c r="U720" s="268" t="s">
        <v>3945</v>
      </c>
      <c r="V720" s="267" t="s">
        <v>944</v>
      </c>
    </row>
    <row r="721" spans="1:22" hidden="1" x14ac:dyDescent="0.25">
      <c r="A721" s="269">
        <v>43502</v>
      </c>
      <c r="B721" s="270">
        <v>2019</v>
      </c>
      <c r="C721" s="270">
        <v>2019</v>
      </c>
      <c r="D721" s="270">
        <v>1</v>
      </c>
      <c r="E721" s="270">
        <v>1</v>
      </c>
      <c r="F721" s="270" t="s">
        <v>944</v>
      </c>
      <c r="G721" s="270" t="s">
        <v>3926</v>
      </c>
      <c r="H721" s="270" t="s">
        <v>4849</v>
      </c>
      <c r="I721" s="270" t="s">
        <v>3962</v>
      </c>
      <c r="J721" s="270" t="s">
        <v>3928</v>
      </c>
      <c r="K721" s="270">
        <v>6379</v>
      </c>
      <c r="L721" s="270">
        <v>705102</v>
      </c>
      <c r="M721" s="270" t="s">
        <v>3940</v>
      </c>
      <c r="N721" s="270" t="s">
        <v>3944</v>
      </c>
      <c r="O721" s="270">
        <v>1146.29</v>
      </c>
      <c r="P721" s="270" t="s">
        <v>3944</v>
      </c>
      <c r="Q721" s="270" t="s">
        <v>3944</v>
      </c>
      <c r="R721" s="270">
        <v>1146.29</v>
      </c>
      <c r="S721" s="270">
        <v>17094.990000000002</v>
      </c>
      <c r="T721" s="270">
        <v>18241.28</v>
      </c>
      <c r="U721" s="271" t="s">
        <v>3945</v>
      </c>
      <c r="V721" s="267" t="s">
        <v>944</v>
      </c>
    </row>
    <row r="722" spans="1:22" hidden="1" x14ac:dyDescent="0.25">
      <c r="A722" s="266">
        <v>43502</v>
      </c>
      <c r="B722" s="267">
        <v>2019</v>
      </c>
      <c r="C722" s="267">
        <v>2019</v>
      </c>
      <c r="D722" s="267">
        <v>1</v>
      </c>
      <c r="E722" s="267">
        <v>1</v>
      </c>
      <c r="F722" s="267" t="s">
        <v>944</v>
      </c>
      <c r="G722" s="267" t="s">
        <v>3926</v>
      </c>
      <c r="H722" s="267" t="s">
        <v>4850</v>
      </c>
      <c r="I722" s="267" t="s">
        <v>4087</v>
      </c>
      <c r="J722" s="267" t="s">
        <v>3928</v>
      </c>
      <c r="K722" s="267">
        <v>6340</v>
      </c>
      <c r="L722" s="267">
        <v>702900</v>
      </c>
      <c r="M722" s="267" t="s">
        <v>3943</v>
      </c>
      <c r="N722" s="267" t="s">
        <v>3944</v>
      </c>
      <c r="O722" s="267">
        <v>1409.66</v>
      </c>
      <c r="P722" s="267" t="s">
        <v>3944</v>
      </c>
      <c r="Q722" s="267" t="s">
        <v>3944</v>
      </c>
      <c r="R722" s="267">
        <v>1409.66</v>
      </c>
      <c r="S722" s="267">
        <v>23759.279999999999</v>
      </c>
      <c r="T722" s="267">
        <v>25168.94</v>
      </c>
      <c r="U722" s="268" t="s">
        <v>3945</v>
      </c>
      <c r="V722" s="267" t="s">
        <v>944</v>
      </c>
    </row>
    <row r="723" spans="1:22" hidden="1" x14ac:dyDescent="0.25">
      <c r="A723" s="269">
        <v>43502</v>
      </c>
      <c r="B723" s="270">
        <v>2019</v>
      </c>
      <c r="C723" s="270">
        <v>2019</v>
      </c>
      <c r="D723" s="270">
        <v>1</v>
      </c>
      <c r="E723" s="270">
        <v>1</v>
      </c>
      <c r="F723" s="270" t="s">
        <v>944</v>
      </c>
      <c r="G723" s="270" t="s">
        <v>3926</v>
      </c>
      <c r="H723" s="270" t="s">
        <v>4851</v>
      </c>
      <c r="I723" s="270" t="s">
        <v>4019</v>
      </c>
      <c r="J723" s="270" t="s">
        <v>3928</v>
      </c>
      <c r="K723" s="270">
        <v>6705</v>
      </c>
      <c r="L723" s="270">
        <v>352600</v>
      </c>
      <c r="M723" s="270">
        <v>-60</v>
      </c>
      <c r="N723" s="270" t="s">
        <v>3944</v>
      </c>
      <c r="O723" s="270">
        <v>2363.48</v>
      </c>
      <c r="P723" s="270" t="s">
        <v>3944</v>
      </c>
      <c r="Q723" s="270" t="s">
        <v>3944</v>
      </c>
      <c r="R723" s="270">
        <v>2363.48</v>
      </c>
      <c r="S723" s="270">
        <v>33669.24</v>
      </c>
      <c r="T723" s="270">
        <v>36032.720000000001</v>
      </c>
      <c r="U723" s="271" t="s">
        <v>3945</v>
      </c>
      <c r="V723" s="267" t="s">
        <v>944</v>
      </c>
    </row>
    <row r="724" spans="1:22" hidden="1" x14ac:dyDescent="0.25">
      <c r="A724" s="266">
        <v>43502</v>
      </c>
      <c r="B724" s="267">
        <v>2019</v>
      </c>
      <c r="C724" s="267">
        <v>2019</v>
      </c>
      <c r="D724" s="267">
        <v>1</v>
      </c>
      <c r="E724" s="267">
        <v>1</v>
      </c>
      <c r="F724" s="267" t="s">
        <v>944</v>
      </c>
      <c r="G724" s="267" t="s">
        <v>3926</v>
      </c>
      <c r="H724" s="267" t="s">
        <v>4852</v>
      </c>
      <c r="I724" s="267" t="s">
        <v>4069</v>
      </c>
      <c r="J724" s="267" t="s">
        <v>3928</v>
      </c>
      <c r="K724" s="267">
        <v>6902</v>
      </c>
      <c r="L724" s="267">
        <v>22000</v>
      </c>
      <c r="M724" s="267" t="s">
        <v>3935</v>
      </c>
      <c r="N724" s="267" t="s">
        <v>3944</v>
      </c>
      <c r="O724" s="267">
        <v>763.63</v>
      </c>
      <c r="P724" s="267" t="s">
        <v>3944</v>
      </c>
      <c r="Q724" s="267" t="s">
        <v>3944</v>
      </c>
      <c r="R724" s="267">
        <v>763.63</v>
      </c>
      <c r="S724" s="267">
        <v>9319.48</v>
      </c>
      <c r="T724" s="267">
        <v>10083.11</v>
      </c>
      <c r="U724" s="268" t="s">
        <v>3945</v>
      </c>
      <c r="V724" s="267" t="s">
        <v>944</v>
      </c>
    </row>
    <row r="725" spans="1:22" hidden="1" x14ac:dyDescent="0.25">
      <c r="A725" s="269">
        <v>43502</v>
      </c>
      <c r="B725" s="270">
        <v>2019</v>
      </c>
      <c r="C725" s="270">
        <v>2019</v>
      </c>
      <c r="D725" s="270">
        <v>1</v>
      </c>
      <c r="E725" s="270">
        <v>1</v>
      </c>
      <c r="F725" s="270" t="s">
        <v>944</v>
      </c>
      <c r="G725" s="270" t="s">
        <v>3926</v>
      </c>
      <c r="H725" s="270" t="s">
        <v>4853</v>
      </c>
      <c r="I725" s="270" t="s">
        <v>2985</v>
      </c>
      <c r="J725" s="270" t="s">
        <v>3928</v>
      </c>
      <c r="K725" s="270">
        <v>6825</v>
      </c>
      <c r="L725" s="270">
        <v>61200</v>
      </c>
      <c r="M725" s="270" t="s">
        <v>3935</v>
      </c>
      <c r="N725" s="270" t="s">
        <v>3944</v>
      </c>
      <c r="O725" s="270">
        <v>1344.14</v>
      </c>
      <c r="P725" s="270" t="s">
        <v>3944</v>
      </c>
      <c r="Q725" s="270" t="s">
        <v>3944</v>
      </c>
      <c r="R725" s="270">
        <v>1344.14</v>
      </c>
      <c r="S725" s="270">
        <v>28360.06</v>
      </c>
      <c r="T725" s="270">
        <v>29704.2</v>
      </c>
      <c r="U725" s="271" t="s">
        <v>3945</v>
      </c>
      <c r="V725" s="267" t="s">
        <v>944</v>
      </c>
    </row>
    <row r="726" spans="1:22" hidden="1" x14ac:dyDescent="0.25">
      <c r="A726" s="266">
        <v>43502</v>
      </c>
      <c r="B726" s="267">
        <v>2019</v>
      </c>
      <c r="C726" s="267">
        <v>2019</v>
      </c>
      <c r="D726" s="267">
        <v>1</v>
      </c>
      <c r="E726" s="267">
        <v>1</v>
      </c>
      <c r="F726" s="267" t="s">
        <v>944</v>
      </c>
      <c r="G726" s="267" t="s">
        <v>3926</v>
      </c>
      <c r="H726" s="267" t="s">
        <v>4854</v>
      </c>
      <c r="I726" s="267" t="s">
        <v>3954</v>
      </c>
      <c r="J726" s="267" t="s">
        <v>3928</v>
      </c>
      <c r="K726" s="267">
        <v>6333</v>
      </c>
      <c r="L726" s="267">
        <v>716102</v>
      </c>
      <c r="M726" s="267" t="s">
        <v>3943</v>
      </c>
      <c r="N726" s="267" t="s">
        <v>3944</v>
      </c>
      <c r="O726" s="267">
        <v>3328.29</v>
      </c>
      <c r="P726" s="267" t="s">
        <v>3944</v>
      </c>
      <c r="Q726" s="267" t="s">
        <v>3944</v>
      </c>
      <c r="R726" s="267">
        <v>3328.29</v>
      </c>
      <c r="S726" s="267">
        <v>52277.32</v>
      </c>
      <c r="T726" s="267">
        <v>55605.61</v>
      </c>
      <c r="U726" s="268" t="s">
        <v>3945</v>
      </c>
      <c r="V726" s="267" t="s">
        <v>944</v>
      </c>
    </row>
    <row r="727" spans="1:22" hidden="1" x14ac:dyDescent="0.25">
      <c r="A727" s="269">
        <v>43502</v>
      </c>
      <c r="B727" s="270">
        <v>2019</v>
      </c>
      <c r="C727" s="270">
        <v>2019</v>
      </c>
      <c r="D727" s="270">
        <v>1</v>
      </c>
      <c r="E727" s="270">
        <v>1</v>
      </c>
      <c r="F727" s="270" t="s">
        <v>944</v>
      </c>
      <c r="G727" s="270" t="s">
        <v>3926</v>
      </c>
      <c r="H727" s="270" t="s">
        <v>4855</v>
      </c>
      <c r="I727" s="270" t="s">
        <v>4683</v>
      </c>
      <c r="J727" s="270" t="s">
        <v>3928</v>
      </c>
      <c r="K727" s="270">
        <v>6762</v>
      </c>
      <c r="L727" s="270">
        <v>344100</v>
      </c>
      <c r="M727" s="270" t="s">
        <v>3943</v>
      </c>
      <c r="N727" s="270" t="s">
        <v>3944</v>
      </c>
      <c r="O727" s="270">
        <v>1757.07</v>
      </c>
      <c r="P727" s="270" t="s">
        <v>3944</v>
      </c>
      <c r="Q727" s="270" t="s">
        <v>3944</v>
      </c>
      <c r="R727" s="270">
        <v>1757.07</v>
      </c>
      <c r="S727" s="270">
        <v>29552.880000000001</v>
      </c>
      <c r="T727" s="270">
        <v>31309.95</v>
      </c>
      <c r="U727" s="271" t="s">
        <v>3945</v>
      </c>
      <c r="V727" s="267" t="s">
        <v>944</v>
      </c>
    </row>
    <row r="728" spans="1:22" hidden="1" x14ac:dyDescent="0.25">
      <c r="A728" s="266">
        <v>43502</v>
      </c>
      <c r="B728" s="267">
        <v>2019</v>
      </c>
      <c r="C728" s="267">
        <v>2019</v>
      </c>
      <c r="D728" s="267">
        <v>1</v>
      </c>
      <c r="E728" s="267">
        <v>1</v>
      </c>
      <c r="F728" s="267" t="s">
        <v>944</v>
      </c>
      <c r="G728" s="267" t="s">
        <v>3926</v>
      </c>
      <c r="H728" s="267" t="s">
        <v>4856</v>
      </c>
      <c r="I728" s="267" t="s">
        <v>3962</v>
      </c>
      <c r="J728" s="267" t="s">
        <v>3928</v>
      </c>
      <c r="K728" s="267">
        <v>6379</v>
      </c>
      <c r="L728" s="267">
        <v>705101</v>
      </c>
      <c r="M728" s="267" t="s">
        <v>3935</v>
      </c>
      <c r="N728" s="267" t="s">
        <v>3944</v>
      </c>
      <c r="O728" s="267">
        <v>2508.87</v>
      </c>
      <c r="P728" s="267" t="s">
        <v>3944</v>
      </c>
      <c r="Q728" s="267" t="s">
        <v>3944</v>
      </c>
      <c r="R728" s="267">
        <v>2508.87</v>
      </c>
      <c r="S728" s="267">
        <v>37797.910000000003</v>
      </c>
      <c r="T728" s="267">
        <v>40306.78</v>
      </c>
      <c r="U728" s="268" t="s">
        <v>3945</v>
      </c>
      <c r="V728" s="267" t="s">
        <v>944</v>
      </c>
    </row>
    <row r="729" spans="1:22" hidden="1" x14ac:dyDescent="0.25">
      <c r="A729" s="269">
        <v>43502</v>
      </c>
      <c r="B729" s="270">
        <v>2019</v>
      </c>
      <c r="C729" s="270">
        <v>2019</v>
      </c>
      <c r="D729" s="270">
        <v>1</v>
      </c>
      <c r="E729" s="270">
        <v>1</v>
      </c>
      <c r="F729" s="270" t="s">
        <v>944</v>
      </c>
      <c r="G729" s="270" t="s">
        <v>3926</v>
      </c>
      <c r="H729" s="270" t="s">
        <v>4857</v>
      </c>
      <c r="I729" s="270" t="s">
        <v>3996</v>
      </c>
      <c r="J729" s="270" t="s">
        <v>3928</v>
      </c>
      <c r="K729" s="270">
        <v>6790</v>
      </c>
      <c r="L729" s="270">
        <v>310601</v>
      </c>
      <c r="M729" s="270" t="s">
        <v>3960</v>
      </c>
      <c r="N729" s="270" t="s">
        <v>3944</v>
      </c>
      <c r="O729" s="270">
        <v>1436.44</v>
      </c>
      <c r="P729" s="270" t="s">
        <v>3944</v>
      </c>
      <c r="Q729" s="270" t="s">
        <v>3944</v>
      </c>
      <c r="R729" s="270">
        <v>1436.44</v>
      </c>
      <c r="S729" s="270">
        <v>20163.560000000001</v>
      </c>
      <c r="T729" s="270">
        <v>21600</v>
      </c>
      <c r="U729" s="271" t="s">
        <v>3945</v>
      </c>
      <c r="V729" s="267" t="s">
        <v>944</v>
      </c>
    </row>
    <row r="730" spans="1:22" hidden="1" x14ac:dyDescent="0.25">
      <c r="A730" s="266">
        <v>43503</v>
      </c>
      <c r="B730" s="267">
        <v>2019</v>
      </c>
      <c r="C730" s="267">
        <v>2019</v>
      </c>
      <c r="D730" s="267">
        <v>1</v>
      </c>
      <c r="E730" s="267">
        <v>1</v>
      </c>
      <c r="F730" s="267" t="s">
        <v>944</v>
      </c>
      <c r="G730" s="267" t="s">
        <v>3926</v>
      </c>
      <c r="H730" s="267" t="s">
        <v>4858</v>
      </c>
      <c r="I730" s="267" t="s">
        <v>4519</v>
      </c>
      <c r="J730" s="267" t="s">
        <v>3928</v>
      </c>
      <c r="K730" s="267">
        <v>6840</v>
      </c>
      <c r="L730" s="267">
        <v>35100</v>
      </c>
      <c r="M730" s="267" t="s">
        <v>3943</v>
      </c>
      <c r="N730" s="267" t="s">
        <v>4859</v>
      </c>
      <c r="O730" s="267">
        <v>0</v>
      </c>
      <c r="P730" s="267" t="s">
        <v>3930</v>
      </c>
      <c r="Q730" s="267" t="s">
        <v>3930</v>
      </c>
      <c r="R730" s="267">
        <v>0</v>
      </c>
      <c r="S730" s="267">
        <v>15525</v>
      </c>
      <c r="T730" s="267">
        <v>15525</v>
      </c>
      <c r="U730" s="268" t="s">
        <v>3937</v>
      </c>
      <c r="V730" s="267" t="s">
        <v>944</v>
      </c>
    </row>
    <row r="731" spans="1:22" hidden="1" x14ac:dyDescent="0.25">
      <c r="A731" s="269">
        <v>43503</v>
      </c>
      <c r="B731" s="270">
        <v>2019</v>
      </c>
      <c r="C731" s="270">
        <v>2019</v>
      </c>
      <c r="D731" s="270">
        <v>1</v>
      </c>
      <c r="E731" s="270">
        <v>1</v>
      </c>
      <c r="F731" s="270" t="s">
        <v>944</v>
      </c>
      <c r="G731" s="270" t="s">
        <v>3926</v>
      </c>
      <c r="H731" s="270" t="s">
        <v>4860</v>
      </c>
      <c r="I731" s="270" t="s">
        <v>950</v>
      </c>
      <c r="J731" s="270" t="s">
        <v>3928</v>
      </c>
      <c r="K731" s="270">
        <v>6516</v>
      </c>
      <c r="L731" s="270">
        <v>154100</v>
      </c>
      <c r="M731" s="270" t="s">
        <v>3940</v>
      </c>
      <c r="N731" s="270" t="s">
        <v>4861</v>
      </c>
      <c r="O731" s="270">
        <v>0</v>
      </c>
      <c r="P731" s="270" t="s">
        <v>3930</v>
      </c>
      <c r="Q731" s="270" t="s">
        <v>3930</v>
      </c>
      <c r="R731" s="270">
        <v>0</v>
      </c>
      <c r="S731" s="270">
        <v>8720.7000000000007</v>
      </c>
      <c r="T731" s="270">
        <v>8720.7000000000007</v>
      </c>
      <c r="U731" s="271" t="s">
        <v>3937</v>
      </c>
      <c r="V731" s="267" t="s">
        <v>944</v>
      </c>
    </row>
    <row r="732" spans="1:22" hidden="1" x14ac:dyDescent="0.25">
      <c r="A732" s="266">
        <v>43503</v>
      </c>
      <c r="B732" s="267">
        <v>2019</v>
      </c>
      <c r="C732" s="267">
        <v>2019</v>
      </c>
      <c r="D732" s="267">
        <v>1</v>
      </c>
      <c r="E732" s="267">
        <v>1</v>
      </c>
      <c r="F732" s="267" t="s">
        <v>944</v>
      </c>
      <c r="G732" s="267" t="s">
        <v>3926</v>
      </c>
      <c r="H732" s="267" t="s">
        <v>4862</v>
      </c>
      <c r="I732" s="267" t="s">
        <v>3026</v>
      </c>
      <c r="J732" s="267" t="s">
        <v>3928</v>
      </c>
      <c r="K732" s="267">
        <v>6472</v>
      </c>
      <c r="L732" s="267">
        <v>186200</v>
      </c>
      <c r="M732" s="267" t="s">
        <v>3960</v>
      </c>
      <c r="N732" s="267" t="s">
        <v>4863</v>
      </c>
      <c r="O732" s="267">
        <v>0</v>
      </c>
      <c r="P732" s="267" t="s">
        <v>3930</v>
      </c>
      <c r="Q732" s="267" t="s">
        <v>3930</v>
      </c>
      <c r="R732" s="267">
        <v>0</v>
      </c>
      <c r="S732" s="267">
        <v>4150</v>
      </c>
      <c r="T732" s="267">
        <v>4150</v>
      </c>
      <c r="U732" s="268" t="s">
        <v>3937</v>
      </c>
      <c r="V732" s="267" t="s">
        <v>944</v>
      </c>
    </row>
    <row r="733" spans="1:22" hidden="1" x14ac:dyDescent="0.25">
      <c r="A733" s="269">
        <v>43503</v>
      </c>
      <c r="B733" s="270">
        <v>2019</v>
      </c>
      <c r="C733" s="270">
        <v>2019</v>
      </c>
      <c r="D733" s="270">
        <v>1</v>
      </c>
      <c r="E733" s="270">
        <v>1</v>
      </c>
      <c r="F733" s="270" t="s">
        <v>944</v>
      </c>
      <c r="G733" s="270" t="s">
        <v>3926</v>
      </c>
      <c r="H733" s="270" t="s">
        <v>4864</v>
      </c>
      <c r="I733" s="270" t="s">
        <v>4011</v>
      </c>
      <c r="J733" s="270" t="s">
        <v>3928</v>
      </c>
      <c r="K733" s="270">
        <v>6002</v>
      </c>
      <c r="L733" s="270">
        <v>471200</v>
      </c>
      <c r="M733" s="270" t="s">
        <v>3940</v>
      </c>
      <c r="N733" s="270" t="s">
        <v>4865</v>
      </c>
      <c r="O733" s="270">
        <v>3674.68</v>
      </c>
      <c r="P733" s="270" t="s">
        <v>3930</v>
      </c>
      <c r="Q733" s="270" t="s">
        <v>3931</v>
      </c>
      <c r="R733" s="270">
        <v>8674.68</v>
      </c>
      <c r="S733" s="270">
        <v>15276.8</v>
      </c>
      <c r="T733" s="270">
        <v>23951.48</v>
      </c>
      <c r="U733" s="271" t="s">
        <v>3932</v>
      </c>
      <c r="V733" s="267" t="s">
        <v>944</v>
      </c>
    </row>
    <row r="734" spans="1:22" hidden="1" x14ac:dyDescent="0.25">
      <c r="A734" s="266">
        <v>43503</v>
      </c>
      <c r="B734" s="267">
        <v>2019</v>
      </c>
      <c r="C734" s="267">
        <v>2019</v>
      </c>
      <c r="D734" s="267">
        <v>1</v>
      </c>
      <c r="E734" s="267">
        <v>1</v>
      </c>
      <c r="F734" s="267" t="s">
        <v>944</v>
      </c>
      <c r="G734" s="267" t="s">
        <v>3926</v>
      </c>
      <c r="H734" s="267" t="s">
        <v>4866</v>
      </c>
      <c r="I734" s="267" t="s">
        <v>3956</v>
      </c>
      <c r="J734" s="267" t="s">
        <v>3928</v>
      </c>
      <c r="K734" s="267">
        <v>6106</v>
      </c>
      <c r="L734" s="267">
        <v>504800</v>
      </c>
      <c r="M734" s="267" t="s">
        <v>3940</v>
      </c>
      <c r="N734" s="267" t="s">
        <v>4103</v>
      </c>
      <c r="O734" s="267">
        <v>0</v>
      </c>
      <c r="P734" s="267" t="s">
        <v>3930</v>
      </c>
      <c r="Q734" s="267" t="s">
        <v>3931</v>
      </c>
      <c r="R734" s="267">
        <v>5000</v>
      </c>
      <c r="S734" s="267">
        <v>24145.599999999999</v>
      </c>
      <c r="T734" s="267">
        <v>29145.599999999999</v>
      </c>
      <c r="U734" s="268" t="s">
        <v>3932</v>
      </c>
      <c r="V734" s="267" t="s">
        <v>944</v>
      </c>
    </row>
    <row r="735" spans="1:22" hidden="1" x14ac:dyDescent="0.25">
      <c r="A735" s="269">
        <v>43503</v>
      </c>
      <c r="B735" s="270">
        <v>2019</v>
      </c>
      <c r="C735" s="270">
        <v>2019</v>
      </c>
      <c r="D735" s="270">
        <v>1</v>
      </c>
      <c r="E735" s="270">
        <v>1</v>
      </c>
      <c r="F735" s="270" t="s">
        <v>944</v>
      </c>
      <c r="G735" s="270" t="s">
        <v>3926</v>
      </c>
      <c r="H735" s="270" t="s">
        <v>4867</v>
      </c>
      <c r="I735" s="270" t="s">
        <v>4126</v>
      </c>
      <c r="J735" s="270" t="s">
        <v>3928</v>
      </c>
      <c r="K735" s="270">
        <v>6880</v>
      </c>
      <c r="L735" s="270">
        <v>50100</v>
      </c>
      <c r="M735" s="270" t="s">
        <v>3943</v>
      </c>
      <c r="N735" s="270" t="s">
        <v>3944</v>
      </c>
      <c r="O735" s="270">
        <v>2097</v>
      </c>
      <c r="P735" s="270" t="s">
        <v>3944</v>
      </c>
      <c r="Q735" s="270" t="s">
        <v>3944</v>
      </c>
      <c r="R735" s="270">
        <v>2097</v>
      </c>
      <c r="S735" s="270">
        <v>42959</v>
      </c>
      <c r="T735" s="270">
        <v>45056</v>
      </c>
      <c r="U735" s="271" t="s">
        <v>3945</v>
      </c>
      <c r="V735" s="267" t="s">
        <v>944</v>
      </c>
    </row>
    <row r="736" spans="1:22" hidden="1" x14ac:dyDescent="0.25">
      <c r="A736" s="266">
        <v>43503</v>
      </c>
      <c r="B736" s="267">
        <v>2019</v>
      </c>
      <c r="C736" s="267">
        <v>2019</v>
      </c>
      <c r="D736" s="267">
        <v>1</v>
      </c>
      <c r="E736" s="267">
        <v>1</v>
      </c>
      <c r="F736" s="267" t="s">
        <v>944</v>
      </c>
      <c r="G736" s="267" t="s">
        <v>3926</v>
      </c>
      <c r="H736" s="267" t="s">
        <v>4868</v>
      </c>
      <c r="I736" s="267" t="s">
        <v>3934</v>
      </c>
      <c r="J736" s="267" t="s">
        <v>3928</v>
      </c>
      <c r="K736" s="267">
        <v>6405</v>
      </c>
      <c r="L736" s="267">
        <v>184400</v>
      </c>
      <c r="M736" s="267" t="s">
        <v>3935</v>
      </c>
      <c r="N736" s="267" t="s">
        <v>3944</v>
      </c>
      <c r="O736" s="267">
        <v>1399</v>
      </c>
      <c r="P736" s="267" t="s">
        <v>3944</v>
      </c>
      <c r="Q736" s="267" t="s">
        <v>3944</v>
      </c>
      <c r="R736" s="267">
        <v>1399</v>
      </c>
      <c r="S736" s="267">
        <v>20651</v>
      </c>
      <c r="T736" s="267">
        <v>22050</v>
      </c>
      <c r="U736" s="268" t="s">
        <v>3945</v>
      </c>
      <c r="V736" s="267" t="s">
        <v>944</v>
      </c>
    </row>
    <row r="737" spans="1:22" hidden="1" x14ac:dyDescent="0.25">
      <c r="A737" s="269">
        <v>43503</v>
      </c>
      <c r="B737" s="270">
        <v>2019</v>
      </c>
      <c r="C737" s="270">
        <v>2019</v>
      </c>
      <c r="D737" s="270">
        <v>1</v>
      </c>
      <c r="E737" s="270">
        <v>1</v>
      </c>
      <c r="F737" s="270" t="s">
        <v>944</v>
      </c>
      <c r="G737" s="270" t="s">
        <v>3926</v>
      </c>
      <c r="H737" s="270" t="s">
        <v>4869</v>
      </c>
      <c r="I737" s="270" t="s">
        <v>3008</v>
      </c>
      <c r="J737" s="270" t="s">
        <v>3928</v>
      </c>
      <c r="K737" s="270">
        <v>6460</v>
      </c>
      <c r="L737" s="270">
        <v>151000</v>
      </c>
      <c r="M737" s="270" t="s">
        <v>3960</v>
      </c>
      <c r="N737" s="270" t="s">
        <v>3944</v>
      </c>
      <c r="O737" s="270">
        <v>1486</v>
      </c>
      <c r="P737" s="270" t="s">
        <v>3944</v>
      </c>
      <c r="Q737" s="270" t="s">
        <v>3944</v>
      </c>
      <c r="R737" s="270">
        <v>1486</v>
      </c>
      <c r="S737" s="270">
        <v>19518.080000000002</v>
      </c>
      <c r="T737" s="270">
        <v>21004.080000000002</v>
      </c>
      <c r="U737" s="271" t="s">
        <v>3945</v>
      </c>
      <c r="V737" s="267" t="s">
        <v>944</v>
      </c>
    </row>
    <row r="738" spans="1:22" hidden="1" x14ac:dyDescent="0.25">
      <c r="A738" s="266">
        <v>43503</v>
      </c>
      <c r="B738" s="267">
        <v>2019</v>
      </c>
      <c r="C738" s="267">
        <v>2019</v>
      </c>
      <c r="D738" s="267">
        <v>1</v>
      </c>
      <c r="E738" s="267">
        <v>1</v>
      </c>
      <c r="F738" s="267" t="s">
        <v>944</v>
      </c>
      <c r="G738" s="267" t="s">
        <v>3926</v>
      </c>
      <c r="H738" s="267" t="s">
        <v>4870</v>
      </c>
      <c r="I738" s="267" t="s">
        <v>4871</v>
      </c>
      <c r="J738" s="267" t="s">
        <v>3928</v>
      </c>
      <c r="K738" s="267">
        <v>6877</v>
      </c>
      <c r="L738" s="267">
        <v>245300</v>
      </c>
      <c r="M738" s="267" t="s">
        <v>3943</v>
      </c>
      <c r="N738" s="267" t="s">
        <v>3944</v>
      </c>
      <c r="O738" s="267">
        <v>4400</v>
      </c>
      <c r="P738" s="267" t="s">
        <v>3944</v>
      </c>
      <c r="Q738" s="267" t="s">
        <v>3944</v>
      </c>
      <c r="R738" s="267">
        <v>4400</v>
      </c>
      <c r="S738" s="267">
        <v>32648</v>
      </c>
      <c r="T738" s="267">
        <v>37048</v>
      </c>
      <c r="U738" s="268" t="s">
        <v>3945</v>
      </c>
      <c r="V738" s="267" t="s">
        <v>944</v>
      </c>
    </row>
    <row r="739" spans="1:22" hidden="1" x14ac:dyDescent="0.25">
      <c r="A739" s="269">
        <v>43503</v>
      </c>
      <c r="B739" s="270">
        <v>2019</v>
      </c>
      <c r="C739" s="270">
        <v>2019</v>
      </c>
      <c r="D739" s="270">
        <v>1</v>
      </c>
      <c r="E739" s="270">
        <v>1</v>
      </c>
      <c r="F739" s="270" t="s">
        <v>944</v>
      </c>
      <c r="G739" s="270" t="s">
        <v>3926</v>
      </c>
      <c r="H739" s="270" t="s">
        <v>4872</v>
      </c>
      <c r="I739" s="270" t="s">
        <v>4387</v>
      </c>
      <c r="J739" s="270" t="s">
        <v>3928</v>
      </c>
      <c r="K739" s="270">
        <v>6751</v>
      </c>
      <c r="L739" s="270">
        <v>342100</v>
      </c>
      <c r="M739" s="270" t="s">
        <v>3960</v>
      </c>
      <c r="N739" s="270" t="s">
        <v>3944</v>
      </c>
      <c r="O739" s="270">
        <v>3751</v>
      </c>
      <c r="P739" s="270" t="s">
        <v>3944</v>
      </c>
      <c r="Q739" s="270" t="s">
        <v>3944</v>
      </c>
      <c r="R739" s="270">
        <v>3751</v>
      </c>
      <c r="S739" s="270">
        <v>26267.599999999999</v>
      </c>
      <c r="T739" s="270">
        <v>30018.6</v>
      </c>
      <c r="U739" s="271" t="s">
        <v>3945</v>
      </c>
      <c r="V739" s="267" t="s">
        <v>944</v>
      </c>
    </row>
    <row r="740" spans="1:22" hidden="1" x14ac:dyDescent="0.25">
      <c r="A740" s="266">
        <v>43503</v>
      </c>
      <c r="B740" s="267">
        <v>2019</v>
      </c>
      <c r="C740" s="267">
        <v>2019</v>
      </c>
      <c r="D740" s="267">
        <v>1</v>
      </c>
      <c r="E740" s="267">
        <v>1</v>
      </c>
      <c r="F740" s="267" t="s">
        <v>944</v>
      </c>
      <c r="G740" s="267" t="s">
        <v>3926</v>
      </c>
      <c r="H740" s="267" t="s">
        <v>4873</v>
      </c>
      <c r="I740" s="267" t="s">
        <v>4330</v>
      </c>
      <c r="J740" s="267" t="s">
        <v>3928</v>
      </c>
      <c r="K740" s="267">
        <v>6413</v>
      </c>
      <c r="L740" s="267">
        <v>610100</v>
      </c>
      <c r="M740" s="267" t="s">
        <v>3935</v>
      </c>
      <c r="N740" s="267" t="s">
        <v>3944</v>
      </c>
      <c r="O740" s="267">
        <v>2839</v>
      </c>
      <c r="P740" s="267" t="s">
        <v>3944</v>
      </c>
      <c r="Q740" s="267" t="s">
        <v>3944</v>
      </c>
      <c r="R740" s="267">
        <v>2839</v>
      </c>
      <c r="S740" s="267">
        <v>22768</v>
      </c>
      <c r="T740" s="267">
        <v>25607</v>
      </c>
      <c r="U740" s="268" t="s">
        <v>3945</v>
      </c>
      <c r="V740" s="267" t="s">
        <v>944</v>
      </c>
    </row>
    <row r="741" spans="1:22" hidden="1" x14ac:dyDescent="0.25">
      <c r="A741" s="269">
        <v>43503</v>
      </c>
      <c r="B741" s="270">
        <v>2019</v>
      </c>
      <c r="C741" s="270">
        <v>2019</v>
      </c>
      <c r="D741" s="270">
        <v>1</v>
      </c>
      <c r="E741" s="270">
        <v>1</v>
      </c>
      <c r="F741" s="270" t="s">
        <v>944</v>
      </c>
      <c r="G741" s="270" t="s">
        <v>3926</v>
      </c>
      <c r="H741" s="270" t="s">
        <v>4874</v>
      </c>
      <c r="I741" s="270" t="s">
        <v>3934</v>
      </c>
      <c r="J741" s="270" t="s">
        <v>3928</v>
      </c>
      <c r="K741" s="270">
        <v>6762</v>
      </c>
      <c r="L741" s="270">
        <v>344100</v>
      </c>
      <c r="M741" s="270" t="s">
        <v>3943</v>
      </c>
      <c r="N741" s="270" t="s">
        <v>3944</v>
      </c>
      <c r="O741" s="270">
        <v>5309</v>
      </c>
      <c r="P741" s="270" t="s">
        <v>3944</v>
      </c>
      <c r="Q741" s="270" t="s">
        <v>3944</v>
      </c>
      <c r="R741" s="270">
        <v>5309</v>
      </c>
      <c r="S741" s="270">
        <v>40051</v>
      </c>
      <c r="T741" s="270">
        <v>45360</v>
      </c>
      <c r="U741" s="271" t="s">
        <v>3945</v>
      </c>
      <c r="V741" s="267" t="s">
        <v>944</v>
      </c>
    </row>
    <row r="742" spans="1:22" hidden="1" x14ac:dyDescent="0.25">
      <c r="A742" s="266">
        <v>43503</v>
      </c>
      <c r="B742" s="267">
        <v>2019</v>
      </c>
      <c r="C742" s="267">
        <v>2019</v>
      </c>
      <c r="D742" s="267">
        <v>1</v>
      </c>
      <c r="E742" s="267">
        <v>1</v>
      </c>
      <c r="F742" s="267" t="s">
        <v>944</v>
      </c>
      <c r="G742" s="267" t="s">
        <v>3926</v>
      </c>
      <c r="H742" s="267" t="s">
        <v>4875</v>
      </c>
      <c r="I742" s="267" t="s">
        <v>3009</v>
      </c>
      <c r="J742" s="267" t="s">
        <v>3928</v>
      </c>
      <c r="K742" s="267">
        <v>6484</v>
      </c>
      <c r="L742" s="267">
        <v>110302</v>
      </c>
      <c r="M742" s="267" t="s">
        <v>3943</v>
      </c>
      <c r="N742" s="267" t="s">
        <v>3944</v>
      </c>
      <c r="O742" s="267">
        <v>1958</v>
      </c>
      <c r="P742" s="267" t="s">
        <v>3944</v>
      </c>
      <c r="Q742" s="267" t="s">
        <v>3944</v>
      </c>
      <c r="R742" s="267">
        <v>1958</v>
      </c>
      <c r="S742" s="267">
        <v>19390</v>
      </c>
      <c r="T742" s="267">
        <v>21348</v>
      </c>
      <c r="U742" s="268" t="s">
        <v>3945</v>
      </c>
      <c r="V742" s="267" t="s">
        <v>944</v>
      </c>
    </row>
    <row r="743" spans="1:22" hidden="1" x14ac:dyDescent="0.25">
      <c r="A743" s="269">
        <v>43503</v>
      </c>
      <c r="B743" s="270">
        <v>2019</v>
      </c>
      <c r="C743" s="270">
        <v>2019</v>
      </c>
      <c r="D743" s="270">
        <v>1</v>
      </c>
      <c r="E743" s="270">
        <v>1</v>
      </c>
      <c r="F743" s="270" t="s">
        <v>944</v>
      </c>
      <c r="G743" s="270" t="s">
        <v>3926</v>
      </c>
      <c r="H743" s="270" t="s">
        <v>4876</v>
      </c>
      <c r="I743" s="270" t="s">
        <v>4019</v>
      </c>
      <c r="J743" s="270" t="s">
        <v>3928</v>
      </c>
      <c r="K743" s="270">
        <v>6708</v>
      </c>
      <c r="L743" s="270">
        <v>351602</v>
      </c>
      <c r="M743" s="270" t="s">
        <v>3940</v>
      </c>
      <c r="N743" s="270" t="s">
        <v>3944</v>
      </c>
      <c r="O743" s="270">
        <v>4228</v>
      </c>
      <c r="P743" s="270" t="s">
        <v>3944</v>
      </c>
      <c r="Q743" s="270" t="s">
        <v>3944</v>
      </c>
      <c r="R743" s="270">
        <v>4228</v>
      </c>
      <c r="S743" s="270">
        <v>33626</v>
      </c>
      <c r="T743" s="270">
        <v>37854</v>
      </c>
      <c r="U743" s="271" t="s">
        <v>3945</v>
      </c>
      <c r="V743" s="267" t="s">
        <v>944</v>
      </c>
    </row>
    <row r="744" spans="1:22" hidden="1" x14ac:dyDescent="0.25">
      <c r="A744" s="266">
        <v>43503</v>
      </c>
      <c r="B744" s="267">
        <v>2019</v>
      </c>
      <c r="C744" s="267">
        <v>2019</v>
      </c>
      <c r="D744" s="267">
        <v>1</v>
      </c>
      <c r="E744" s="267">
        <v>1</v>
      </c>
      <c r="F744" s="267" t="s">
        <v>944</v>
      </c>
      <c r="G744" s="267" t="s">
        <v>3926</v>
      </c>
      <c r="H744" s="267" t="s">
        <v>4877</v>
      </c>
      <c r="I744" s="267" t="s">
        <v>3966</v>
      </c>
      <c r="J744" s="267" t="s">
        <v>3928</v>
      </c>
      <c r="K744" s="267">
        <v>6010</v>
      </c>
      <c r="L744" s="267">
        <v>405401</v>
      </c>
      <c r="M744" s="267" t="s">
        <v>3935</v>
      </c>
      <c r="N744" s="267" t="s">
        <v>3944</v>
      </c>
      <c r="O744" s="267">
        <v>5367</v>
      </c>
      <c r="P744" s="267" t="s">
        <v>3944</v>
      </c>
      <c r="Q744" s="267" t="s">
        <v>3944</v>
      </c>
      <c r="R744" s="267">
        <v>5367</v>
      </c>
      <c r="S744" s="267">
        <v>38089</v>
      </c>
      <c r="T744" s="267">
        <v>43456</v>
      </c>
      <c r="U744" s="268" t="s">
        <v>3945</v>
      </c>
      <c r="V744" s="267" t="s">
        <v>944</v>
      </c>
    </row>
    <row r="745" spans="1:22" hidden="1" x14ac:dyDescent="0.25">
      <c r="A745" s="269">
        <v>43503</v>
      </c>
      <c r="B745" s="270">
        <v>2019</v>
      </c>
      <c r="C745" s="270">
        <v>2019</v>
      </c>
      <c r="D745" s="270">
        <v>1</v>
      </c>
      <c r="E745" s="270">
        <v>1</v>
      </c>
      <c r="F745" s="270" t="s">
        <v>944</v>
      </c>
      <c r="G745" s="270" t="s">
        <v>3926</v>
      </c>
      <c r="H745" s="270" t="s">
        <v>4878</v>
      </c>
      <c r="I745" s="270" t="s">
        <v>3939</v>
      </c>
      <c r="J745" s="270" t="s">
        <v>3928</v>
      </c>
      <c r="K745" s="270">
        <v>6512</v>
      </c>
      <c r="L745" s="270">
        <v>180601</v>
      </c>
      <c r="M745" s="270" t="s">
        <v>3940</v>
      </c>
      <c r="N745" s="270" t="s">
        <v>3944</v>
      </c>
      <c r="O745" s="270">
        <v>4108</v>
      </c>
      <c r="P745" s="270" t="s">
        <v>3944</v>
      </c>
      <c r="Q745" s="270" t="s">
        <v>3944</v>
      </c>
      <c r="R745" s="270">
        <v>4108</v>
      </c>
      <c r="S745" s="270">
        <v>33743</v>
      </c>
      <c r="T745" s="270">
        <v>37851</v>
      </c>
      <c r="U745" s="271" t="s">
        <v>3945</v>
      </c>
      <c r="V745" s="267" t="s">
        <v>944</v>
      </c>
    </row>
    <row r="746" spans="1:22" hidden="1" x14ac:dyDescent="0.25">
      <c r="A746" s="266">
        <v>43503</v>
      </c>
      <c r="B746" s="267">
        <v>2019</v>
      </c>
      <c r="C746" s="267">
        <v>2019</v>
      </c>
      <c r="D746" s="267">
        <v>1</v>
      </c>
      <c r="E746" s="267">
        <v>1</v>
      </c>
      <c r="F746" s="267" t="s">
        <v>944</v>
      </c>
      <c r="G746" s="267" t="s">
        <v>3926</v>
      </c>
      <c r="H746" s="267" t="s">
        <v>4879</v>
      </c>
      <c r="I746" s="267" t="s">
        <v>3962</v>
      </c>
      <c r="J746" s="267" t="s">
        <v>3928</v>
      </c>
      <c r="K746" s="267">
        <v>6355</v>
      </c>
      <c r="L746" s="267">
        <v>705300</v>
      </c>
      <c r="M746" s="267" t="s">
        <v>3960</v>
      </c>
      <c r="N746" s="267" t="s">
        <v>3944</v>
      </c>
      <c r="O746" s="267">
        <v>1159</v>
      </c>
      <c r="P746" s="267" t="s">
        <v>3944</v>
      </c>
      <c r="Q746" s="267" t="s">
        <v>3944</v>
      </c>
      <c r="R746" s="267">
        <v>1159</v>
      </c>
      <c r="S746" s="267">
        <v>15208</v>
      </c>
      <c r="T746" s="267">
        <v>16367</v>
      </c>
      <c r="U746" s="268" t="s">
        <v>3945</v>
      </c>
      <c r="V746" s="267" t="s">
        <v>944</v>
      </c>
    </row>
    <row r="747" spans="1:22" hidden="1" x14ac:dyDescent="0.25">
      <c r="A747" s="269">
        <v>43503</v>
      </c>
      <c r="B747" s="270">
        <v>2019</v>
      </c>
      <c r="C747" s="270">
        <v>2019</v>
      </c>
      <c r="D747" s="270">
        <v>1</v>
      </c>
      <c r="E747" s="270">
        <v>1</v>
      </c>
      <c r="F747" s="270" t="s">
        <v>944</v>
      </c>
      <c r="G747" s="270" t="s">
        <v>3926</v>
      </c>
      <c r="H747" s="270" t="s">
        <v>4880</v>
      </c>
      <c r="I747" s="270" t="s">
        <v>4552</v>
      </c>
      <c r="J747" s="270" t="s">
        <v>3928</v>
      </c>
      <c r="K747" s="270">
        <v>6423</v>
      </c>
      <c r="L747" s="270">
        <v>595102</v>
      </c>
      <c r="M747" s="270" t="s">
        <v>3960</v>
      </c>
      <c r="N747" s="270" t="s">
        <v>3944</v>
      </c>
      <c r="O747" s="270">
        <v>5039</v>
      </c>
      <c r="P747" s="270" t="s">
        <v>3944</v>
      </c>
      <c r="Q747" s="270" t="s">
        <v>3944</v>
      </c>
      <c r="R747" s="270">
        <v>5039</v>
      </c>
      <c r="S747" s="270">
        <v>44428</v>
      </c>
      <c r="T747" s="270">
        <v>49467</v>
      </c>
      <c r="U747" s="271" t="s">
        <v>3945</v>
      </c>
      <c r="V747" s="267" t="s">
        <v>944</v>
      </c>
    </row>
    <row r="748" spans="1:22" x14ac:dyDescent="0.25">
      <c r="A748" s="266">
        <v>43503</v>
      </c>
      <c r="B748" s="267">
        <v>2019</v>
      </c>
      <c r="C748" s="267">
        <v>2019</v>
      </c>
      <c r="D748" s="267">
        <v>1</v>
      </c>
      <c r="E748" s="267">
        <v>1</v>
      </c>
      <c r="F748" s="267" t="s">
        <v>944</v>
      </c>
      <c r="G748" s="267" t="s">
        <v>3926</v>
      </c>
      <c r="H748" s="267" t="s">
        <v>4881</v>
      </c>
      <c r="I748" s="267" t="s">
        <v>950</v>
      </c>
      <c r="J748" s="267" t="s">
        <v>3928</v>
      </c>
      <c r="K748" s="267">
        <v>6516</v>
      </c>
      <c r="L748" s="267">
        <v>155100</v>
      </c>
      <c r="M748" s="267">
        <v>-60</v>
      </c>
      <c r="N748" s="267" t="s">
        <v>3944</v>
      </c>
      <c r="O748" s="267">
        <v>2814</v>
      </c>
      <c r="P748" s="267" t="s">
        <v>3944</v>
      </c>
      <c r="Q748" s="267" t="s">
        <v>3944</v>
      </c>
      <c r="R748" s="267">
        <v>2814</v>
      </c>
      <c r="S748" s="267">
        <v>39232</v>
      </c>
      <c r="T748" s="267">
        <v>42046</v>
      </c>
      <c r="U748" s="268" t="s">
        <v>3945</v>
      </c>
      <c r="V748" s="276" t="s">
        <v>936</v>
      </c>
    </row>
    <row r="749" spans="1:22" hidden="1" x14ac:dyDescent="0.25">
      <c r="A749" s="269">
        <v>43503</v>
      </c>
      <c r="B749" s="270">
        <v>2019</v>
      </c>
      <c r="C749" s="270">
        <v>2019</v>
      </c>
      <c r="D749" s="270">
        <v>1</v>
      </c>
      <c r="E749" s="270">
        <v>1</v>
      </c>
      <c r="F749" s="270" t="s">
        <v>944</v>
      </c>
      <c r="G749" s="270" t="s">
        <v>3926</v>
      </c>
      <c r="H749" s="270" t="s">
        <v>4882</v>
      </c>
      <c r="I749" s="270" t="s">
        <v>4353</v>
      </c>
      <c r="J749" s="270" t="s">
        <v>3928</v>
      </c>
      <c r="K749" s="270">
        <v>6416</v>
      </c>
      <c r="L749" s="270">
        <v>570300</v>
      </c>
      <c r="M749" s="270" t="s">
        <v>3940</v>
      </c>
      <c r="N749" s="270" t="s">
        <v>3944</v>
      </c>
      <c r="O749" s="270">
        <v>5593</v>
      </c>
      <c r="P749" s="270" t="s">
        <v>3944</v>
      </c>
      <c r="Q749" s="270" t="s">
        <v>3944</v>
      </c>
      <c r="R749" s="270">
        <v>5593</v>
      </c>
      <c r="S749" s="270">
        <v>39030</v>
      </c>
      <c r="T749" s="270">
        <v>44623</v>
      </c>
      <c r="U749" s="271" t="s">
        <v>3945</v>
      </c>
      <c r="V749" s="267" t="s">
        <v>944</v>
      </c>
    </row>
    <row r="750" spans="1:22" hidden="1" x14ac:dyDescent="0.25">
      <c r="A750" s="266">
        <v>43503</v>
      </c>
      <c r="B750" s="267">
        <v>2019</v>
      </c>
      <c r="C750" s="267">
        <v>2019</v>
      </c>
      <c r="D750" s="267">
        <v>1</v>
      </c>
      <c r="E750" s="267">
        <v>1</v>
      </c>
      <c r="F750" s="267" t="s">
        <v>944</v>
      </c>
      <c r="G750" s="267" t="s">
        <v>3926</v>
      </c>
      <c r="H750" s="267" t="s">
        <v>4883</v>
      </c>
      <c r="I750" s="267" t="s">
        <v>4232</v>
      </c>
      <c r="J750" s="267" t="s">
        <v>3928</v>
      </c>
      <c r="K750" s="267">
        <v>6483</v>
      </c>
      <c r="L750" s="267">
        <v>130200</v>
      </c>
      <c r="M750" s="267" t="s">
        <v>3935</v>
      </c>
      <c r="N750" s="267" t="s">
        <v>3944</v>
      </c>
      <c r="O750" s="267">
        <v>5141</v>
      </c>
      <c r="P750" s="267" t="s">
        <v>3944</v>
      </c>
      <c r="Q750" s="267" t="s">
        <v>3944</v>
      </c>
      <c r="R750" s="267">
        <v>5141</v>
      </c>
      <c r="S750" s="267">
        <v>37781</v>
      </c>
      <c r="T750" s="267">
        <v>42922</v>
      </c>
      <c r="U750" s="268" t="s">
        <v>3945</v>
      </c>
      <c r="V750" s="267" t="s">
        <v>944</v>
      </c>
    </row>
    <row r="751" spans="1:22" hidden="1" x14ac:dyDescent="0.25">
      <c r="A751" s="269">
        <v>43503</v>
      </c>
      <c r="B751" s="270">
        <v>2019</v>
      </c>
      <c r="C751" s="270">
        <v>2019</v>
      </c>
      <c r="D751" s="270">
        <v>1</v>
      </c>
      <c r="E751" s="270">
        <v>1</v>
      </c>
      <c r="F751" s="270" t="s">
        <v>944</v>
      </c>
      <c r="G751" s="270" t="s">
        <v>3926</v>
      </c>
      <c r="H751" s="270" t="s">
        <v>4884</v>
      </c>
      <c r="I751" s="270" t="s">
        <v>2987</v>
      </c>
      <c r="J751" s="270" t="s">
        <v>3928</v>
      </c>
      <c r="K751" s="270">
        <v>6611</v>
      </c>
      <c r="L751" s="270">
        <v>90600</v>
      </c>
      <c r="M751" s="270" t="s">
        <v>3960</v>
      </c>
      <c r="N751" s="270" t="s">
        <v>3944</v>
      </c>
      <c r="O751" s="270">
        <v>6399</v>
      </c>
      <c r="P751" s="270" t="s">
        <v>3944</v>
      </c>
      <c r="Q751" s="270" t="s">
        <v>3944</v>
      </c>
      <c r="R751" s="270">
        <v>6399</v>
      </c>
      <c r="S751" s="270">
        <v>49811</v>
      </c>
      <c r="T751" s="270">
        <v>56210</v>
      </c>
      <c r="U751" s="271" t="s">
        <v>3945</v>
      </c>
      <c r="V751" s="267" t="s">
        <v>944</v>
      </c>
    </row>
    <row r="752" spans="1:22" hidden="1" x14ac:dyDescent="0.25">
      <c r="A752" s="266">
        <v>43503</v>
      </c>
      <c r="B752" s="267">
        <v>2019</v>
      </c>
      <c r="C752" s="267">
        <v>2019</v>
      </c>
      <c r="D752" s="267">
        <v>1</v>
      </c>
      <c r="E752" s="267">
        <v>1</v>
      </c>
      <c r="F752" s="267" t="s">
        <v>944</v>
      </c>
      <c r="G752" s="267" t="s">
        <v>3926</v>
      </c>
      <c r="H752" s="267" t="s">
        <v>4885</v>
      </c>
      <c r="I752" s="267" t="s">
        <v>3996</v>
      </c>
      <c r="J752" s="267" t="s">
        <v>3928</v>
      </c>
      <c r="K752" s="267">
        <v>6790</v>
      </c>
      <c r="L752" s="267">
        <v>310400</v>
      </c>
      <c r="M752" s="267" t="s">
        <v>3935</v>
      </c>
      <c r="N752" s="267" t="s">
        <v>3944</v>
      </c>
      <c r="O752" s="267">
        <v>4259</v>
      </c>
      <c r="P752" s="267" t="s">
        <v>3944</v>
      </c>
      <c r="Q752" s="267" t="s">
        <v>3944</v>
      </c>
      <c r="R752" s="267">
        <v>4259</v>
      </c>
      <c r="S752" s="267">
        <v>32986</v>
      </c>
      <c r="T752" s="267">
        <v>37245</v>
      </c>
      <c r="U752" s="268" t="s">
        <v>3945</v>
      </c>
      <c r="V752" s="267" t="s">
        <v>944</v>
      </c>
    </row>
    <row r="753" spans="1:22" hidden="1" x14ac:dyDescent="0.25">
      <c r="A753" s="269">
        <v>43503</v>
      </c>
      <c r="B753" s="270">
        <v>2019</v>
      </c>
      <c r="C753" s="270">
        <v>2019</v>
      </c>
      <c r="D753" s="270">
        <v>1</v>
      </c>
      <c r="E753" s="270">
        <v>1</v>
      </c>
      <c r="F753" s="270" t="s">
        <v>944</v>
      </c>
      <c r="G753" s="270" t="s">
        <v>3926</v>
      </c>
      <c r="H753" s="270" t="s">
        <v>4886</v>
      </c>
      <c r="I753" s="270" t="s">
        <v>3985</v>
      </c>
      <c r="J753" s="270" t="s">
        <v>3928</v>
      </c>
      <c r="K753" s="270">
        <v>6226</v>
      </c>
      <c r="L753" s="270">
        <v>800300</v>
      </c>
      <c r="M753" s="270">
        <v>-60</v>
      </c>
      <c r="N753" s="270" t="s">
        <v>3944</v>
      </c>
      <c r="O753" s="270">
        <v>3243</v>
      </c>
      <c r="P753" s="270" t="s">
        <v>3944</v>
      </c>
      <c r="Q753" s="270" t="s">
        <v>3944</v>
      </c>
      <c r="R753" s="270">
        <v>3243</v>
      </c>
      <c r="S753" s="270">
        <v>29504</v>
      </c>
      <c r="T753" s="270">
        <v>32747</v>
      </c>
      <c r="U753" s="271" t="s">
        <v>3945</v>
      </c>
      <c r="V753" s="267" t="s">
        <v>944</v>
      </c>
    </row>
    <row r="754" spans="1:22" hidden="1" x14ac:dyDescent="0.25">
      <c r="A754" s="266">
        <v>43503</v>
      </c>
      <c r="B754" s="267">
        <v>2019</v>
      </c>
      <c r="C754" s="267">
        <v>2019</v>
      </c>
      <c r="D754" s="267">
        <v>1</v>
      </c>
      <c r="E754" s="267">
        <v>1</v>
      </c>
      <c r="F754" s="267" t="s">
        <v>944</v>
      </c>
      <c r="G754" s="267" t="s">
        <v>3926</v>
      </c>
      <c r="H754" s="267" t="s">
        <v>4887</v>
      </c>
      <c r="I754" s="267" t="s">
        <v>3025</v>
      </c>
      <c r="J754" s="267" t="s">
        <v>3928</v>
      </c>
      <c r="K754" s="267">
        <v>6473</v>
      </c>
      <c r="L754" s="267">
        <v>165200</v>
      </c>
      <c r="M754" s="267" t="s">
        <v>3943</v>
      </c>
      <c r="N754" s="267" t="s">
        <v>3944</v>
      </c>
      <c r="O754" s="267">
        <v>2110</v>
      </c>
      <c r="P754" s="267" t="s">
        <v>3944</v>
      </c>
      <c r="Q754" s="267" t="s">
        <v>3944</v>
      </c>
      <c r="R754" s="267">
        <v>2110</v>
      </c>
      <c r="S754" s="267">
        <v>38684</v>
      </c>
      <c r="T754" s="267">
        <v>40794</v>
      </c>
      <c r="U754" s="268" t="s">
        <v>3945</v>
      </c>
      <c r="V754" s="267" t="s">
        <v>944</v>
      </c>
    </row>
    <row r="755" spans="1:22" hidden="1" x14ac:dyDescent="0.25">
      <c r="A755" s="269">
        <v>43503</v>
      </c>
      <c r="B755" s="270">
        <v>2019</v>
      </c>
      <c r="C755" s="270">
        <v>2019</v>
      </c>
      <c r="D755" s="270">
        <v>1</v>
      </c>
      <c r="E755" s="270">
        <v>1</v>
      </c>
      <c r="F755" s="270" t="s">
        <v>944</v>
      </c>
      <c r="G755" s="270" t="s">
        <v>3926</v>
      </c>
      <c r="H755" s="270" t="s">
        <v>4888</v>
      </c>
      <c r="I755" s="270" t="s">
        <v>4087</v>
      </c>
      <c r="J755" s="270" t="s">
        <v>3928</v>
      </c>
      <c r="K755" s="270">
        <v>6355</v>
      </c>
      <c r="L755" s="270">
        <v>703000</v>
      </c>
      <c r="M755" s="270" t="s">
        <v>3960</v>
      </c>
      <c r="N755" s="270" t="s">
        <v>3944</v>
      </c>
      <c r="O755" s="270">
        <v>1945</v>
      </c>
      <c r="P755" s="270" t="s">
        <v>3944</v>
      </c>
      <c r="Q755" s="270" t="s">
        <v>3944</v>
      </c>
      <c r="R755" s="270">
        <v>1945</v>
      </c>
      <c r="S755" s="270">
        <v>14650</v>
      </c>
      <c r="T755" s="270">
        <v>16595</v>
      </c>
      <c r="U755" s="271" t="s">
        <v>3945</v>
      </c>
      <c r="V755" s="267" t="s">
        <v>944</v>
      </c>
    </row>
    <row r="756" spans="1:22" hidden="1" x14ac:dyDescent="0.25">
      <c r="A756" s="266">
        <v>43503</v>
      </c>
      <c r="B756" s="267">
        <v>2019</v>
      </c>
      <c r="C756" s="267">
        <v>2019</v>
      </c>
      <c r="D756" s="267">
        <v>1</v>
      </c>
      <c r="E756" s="267">
        <v>1</v>
      </c>
      <c r="F756" s="267" t="s">
        <v>944</v>
      </c>
      <c r="G756" s="267" t="s">
        <v>3926</v>
      </c>
      <c r="H756" s="267" t="s">
        <v>4889</v>
      </c>
      <c r="I756" s="267" t="s">
        <v>3009</v>
      </c>
      <c r="J756" s="267" t="s">
        <v>3928</v>
      </c>
      <c r="K756" s="267">
        <v>6484</v>
      </c>
      <c r="L756" s="267">
        <v>110400</v>
      </c>
      <c r="M756" s="267" t="s">
        <v>3943</v>
      </c>
      <c r="N756" s="267" t="s">
        <v>3944</v>
      </c>
      <c r="O756" s="267">
        <v>2234</v>
      </c>
      <c r="P756" s="267" t="s">
        <v>3944</v>
      </c>
      <c r="Q756" s="267" t="s">
        <v>3944</v>
      </c>
      <c r="R756" s="267">
        <v>2234</v>
      </c>
      <c r="S756" s="267">
        <v>26858</v>
      </c>
      <c r="T756" s="267">
        <v>29092</v>
      </c>
      <c r="U756" s="268" t="s">
        <v>3945</v>
      </c>
      <c r="V756" s="267" t="s">
        <v>944</v>
      </c>
    </row>
    <row r="757" spans="1:22" hidden="1" x14ac:dyDescent="0.25">
      <c r="A757" s="269">
        <v>43503</v>
      </c>
      <c r="B757" s="270">
        <v>2019</v>
      </c>
      <c r="C757" s="270">
        <v>2019</v>
      </c>
      <c r="D757" s="270">
        <v>1</v>
      </c>
      <c r="E757" s="270">
        <v>1</v>
      </c>
      <c r="F757" s="270" t="s">
        <v>944</v>
      </c>
      <c r="G757" s="270" t="s">
        <v>3926</v>
      </c>
      <c r="H757" s="270" t="s">
        <v>4890</v>
      </c>
      <c r="I757" s="270" t="s">
        <v>3964</v>
      </c>
      <c r="J757" s="270" t="s">
        <v>3928</v>
      </c>
      <c r="K757" s="270">
        <v>6033</v>
      </c>
      <c r="L757" s="270">
        <v>520400</v>
      </c>
      <c r="M757" s="270" t="s">
        <v>3943</v>
      </c>
      <c r="N757" s="270" t="s">
        <v>3944</v>
      </c>
      <c r="O757" s="270">
        <v>2084</v>
      </c>
      <c r="P757" s="270" t="s">
        <v>3944</v>
      </c>
      <c r="Q757" s="270" t="s">
        <v>3944</v>
      </c>
      <c r="R757" s="270">
        <v>2084</v>
      </c>
      <c r="S757" s="270">
        <v>14256.13</v>
      </c>
      <c r="T757" s="270">
        <v>16340.13</v>
      </c>
      <c r="U757" s="271" t="s">
        <v>3945</v>
      </c>
      <c r="V757" s="267" t="s">
        <v>944</v>
      </c>
    </row>
    <row r="758" spans="1:22" hidden="1" x14ac:dyDescent="0.25">
      <c r="A758" s="266">
        <v>43503</v>
      </c>
      <c r="B758" s="267">
        <v>2019</v>
      </c>
      <c r="C758" s="267">
        <v>2019</v>
      </c>
      <c r="D758" s="267">
        <v>1</v>
      </c>
      <c r="E758" s="267">
        <v>1</v>
      </c>
      <c r="F758" s="267" t="s">
        <v>944</v>
      </c>
      <c r="G758" s="267" t="s">
        <v>3926</v>
      </c>
      <c r="H758" s="267" t="s">
        <v>4891</v>
      </c>
      <c r="I758" s="267" t="s">
        <v>3966</v>
      </c>
      <c r="J758" s="267" t="s">
        <v>3928</v>
      </c>
      <c r="K758" s="267">
        <v>6010</v>
      </c>
      <c r="L758" s="267">
        <v>405300</v>
      </c>
      <c r="M758" s="267" t="s">
        <v>3940</v>
      </c>
      <c r="N758" s="267" t="s">
        <v>3944</v>
      </c>
      <c r="O758" s="267">
        <v>3498.78</v>
      </c>
      <c r="P758" s="267" t="s">
        <v>3944</v>
      </c>
      <c r="Q758" s="267" t="s">
        <v>3944</v>
      </c>
      <c r="R758" s="267">
        <v>3498.78</v>
      </c>
      <c r="S758" s="267">
        <v>65063.17</v>
      </c>
      <c r="T758" s="267">
        <v>68561.95</v>
      </c>
      <c r="U758" s="268" t="s">
        <v>3945</v>
      </c>
      <c r="V758" s="267" t="s">
        <v>944</v>
      </c>
    </row>
    <row r="759" spans="1:22" hidden="1" x14ac:dyDescent="0.25">
      <c r="A759" s="269">
        <v>43503</v>
      </c>
      <c r="B759" s="270">
        <v>2019</v>
      </c>
      <c r="C759" s="270">
        <v>2019</v>
      </c>
      <c r="D759" s="270">
        <v>1</v>
      </c>
      <c r="E759" s="270">
        <v>1</v>
      </c>
      <c r="F759" s="270" t="s">
        <v>944</v>
      </c>
      <c r="G759" s="270" t="s">
        <v>3926</v>
      </c>
      <c r="H759" s="270" t="s">
        <v>4892</v>
      </c>
      <c r="I759" s="270" t="s">
        <v>4254</v>
      </c>
      <c r="J759" s="270" t="s">
        <v>3928</v>
      </c>
      <c r="K759" s="270">
        <v>6076</v>
      </c>
      <c r="L759" s="270">
        <v>890202</v>
      </c>
      <c r="M759" s="270" t="s">
        <v>3960</v>
      </c>
      <c r="N759" s="270" t="s">
        <v>3944</v>
      </c>
      <c r="O759" s="270">
        <v>4833.3599999999997</v>
      </c>
      <c r="P759" s="270" t="s">
        <v>3944</v>
      </c>
      <c r="Q759" s="270" t="s">
        <v>3944</v>
      </c>
      <c r="R759" s="270">
        <v>4833.3599999999997</v>
      </c>
      <c r="S759" s="270">
        <v>72692.639999999999</v>
      </c>
      <c r="T759" s="270">
        <v>77526</v>
      </c>
      <c r="U759" s="271" t="s">
        <v>3945</v>
      </c>
      <c r="V759" s="267" t="s">
        <v>944</v>
      </c>
    </row>
    <row r="760" spans="1:22" hidden="1" x14ac:dyDescent="0.25">
      <c r="A760" s="266">
        <v>43503</v>
      </c>
      <c r="B760" s="267">
        <v>2019</v>
      </c>
      <c r="C760" s="267">
        <v>2019</v>
      </c>
      <c r="D760" s="267">
        <v>1</v>
      </c>
      <c r="E760" s="267">
        <v>1</v>
      </c>
      <c r="F760" s="267" t="s">
        <v>944</v>
      </c>
      <c r="G760" s="267" t="s">
        <v>3926</v>
      </c>
      <c r="H760" s="267" t="s">
        <v>4893</v>
      </c>
      <c r="I760" s="267" t="s">
        <v>4019</v>
      </c>
      <c r="J760" s="267" t="s">
        <v>3928</v>
      </c>
      <c r="K760" s="267">
        <v>6705</v>
      </c>
      <c r="L760" s="267">
        <v>352702</v>
      </c>
      <c r="M760" s="267" t="s">
        <v>3940</v>
      </c>
      <c r="N760" s="267" t="s">
        <v>3944</v>
      </c>
      <c r="O760" s="267">
        <v>1804.78</v>
      </c>
      <c r="P760" s="267" t="s">
        <v>3944</v>
      </c>
      <c r="Q760" s="267" t="s">
        <v>3944</v>
      </c>
      <c r="R760" s="267">
        <v>1804.78</v>
      </c>
      <c r="S760" s="267">
        <v>31056.02</v>
      </c>
      <c r="T760" s="267">
        <v>32860.800000000003</v>
      </c>
      <c r="U760" s="268" t="s">
        <v>3945</v>
      </c>
      <c r="V760" s="267" t="s">
        <v>944</v>
      </c>
    </row>
    <row r="761" spans="1:22" hidden="1" x14ac:dyDescent="0.25">
      <c r="A761" s="269">
        <v>43503</v>
      </c>
      <c r="B761" s="270">
        <v>2019</v>
      </c>
      <c r="C761" s="270">
        <v>2019</v>
      </c>
      <c r="D761" s="270">
        <v>1</v>
      </c>
      <c r="E761" s="270">
        <v>1</v>
      </c>
      <c r="F761" s="270" t="s">
        <v>944</v>
      </c>
      <c r="G761" s="270" t="s">
        <v>3926</v>
      </c>
      <c r="H761" s="270" t="s">
        <v>4894</v>
      </c>
      <c r="I761" s="270" t="s">
        <v>4497</v>
      </c>
      <c r="J761" s="270" t="s">
        <v>3928</v>
      </c>
      <c r="K761" s="270">
        <v>6260</v>
      </c>
      <c r="L761" s="270">
        <v>903100</v>
      </c>
      <c r="M761" s="270" t="s">
        <v>3940</v>
      </c>
      <c r="N761" s="270" t="s">
        <v>3944</v>
      </c>
      <c r="O761" s="270">
        <v>1743.98</v>
      </c>
      <c r="P761" s="270" t="s">
        <v>3944</v>
      </c>
      <c r="Q761" s="270" t="s">
        <v>3944</v>
      </c>
      <c r="R761" s="270">
        <v>1743.98</v>
      </c>
      <c r="S761" s="270">
        <v>21952.77</v>
      </c>
      <c r="T761" s="270">
        <v>23696.75</v>
      </c>
      <c r="U761" s="271" t="s">
        <v>3945</v>
      </c>
      <c r="V761" s="267" t="s">
        <v>944</v>
      </c>
    </row>
    <row r="762" spans="1:22" hidden="1" x14ac:dyDescent="0.25">
      <c r="A762" s="266">
        <v>43503</v>
      </c>
      <c r="B762" s="267">
        <v>2019</v>
      </c>
      <c r="C762" s="267">
        <v>2019</v>
      </c>
      <c r="D762" s="267">
        <v>1</v>
      </c>
      <c r="E762" s="267">
        <v>1</v>
      </c>
      <c r="F762" s="267" t="s">
        <v>944</v>
      </c>
      <c r="G762" s="267" t="s">
        <v>3926</v>
      </c>
      <c r="H762" s="267" t="s">
        <v>4895</v>
      </c>
      <c r="I762" s="267" t="s">
        <v>4011</v>
      </c>
      <c r="J762" s="267" t="s">
        <v>3928</v>
      </c>
      <c r="K762" s="267">
        <v>6002</v>
      </c>
      <c r="L762" s="267">
        <v>471100</v>
      </c>
      <c r="M762" s="267" t="s">
        <v>3935</v>
      </c>
      <c r="N762" s="267" t="s">
        <v>3944</v>
      </c>
      <c r="O762" s="267">
        <v>1351.81</v>
      </c>
      <c r="P762" s="267" t="s">
        <v>3944</v>
      </c>
      <c r="Q762" s="267" t="s">
        <v>3944</v>
      </c>
      <c r="R762" s="267">
        <v>1351.81</v>
      </c>
      <c r="S762" s="267">
        <v>16883.62</v>
      </c>
      <c r="T762" s="267">
        <v>18235.43</v>
      </c>
      <c r="U762" s="268" t="s">
        <v>3945</v>
      </c>
      <c r="V762" s="267" t="s">
        <v>944</v>
      </c>
    </row>
    <row r="763" spans="1:22" hidden="1" x14ac:dyDescent="0.25">
      <c r="A763" s="269">
        <v>43503</v>
      </c>
      <c r="B763" s="270">
        <v>2019</v>
      </c>
      <c r="C763" s="270">
        <v>2019</v>
      </c>
      <c r="D763" s="270">
        <v>1</v>
      </c>
      <c r="E763" s="270">
        <v>1</v>
      </c>
      <c r="F763" s="270" t="s">
        <v>944</v>
      </c>
      <c r="G763" s="270" t="s">
        <v>3926</v>
      </c>
      <c r="H763" s="270" t="s">
        <v>4896</v>
      </c>
      <c r="I763" s="270" t="s">
        <v>3962</v>
      </c>
      <c r="J763" s="270" t="s">
        <v>3928</v>
      </c>
      <c r="K763" s="270">
        <v>6378</v>
      </c>
      <c r="L763" s="270">
        <v>705200</v>
      </c>
      <c r="M763" s="270" t="s">
        <v>3960</v>
      </c>
      <c r="N763" s="270" t="s">
        <v>3944</v>
      </c>
      <c r="O763" s="270">
        <v>1756.86</v>
      </c>
      <c r="P763" s="270" t="s">
        <v>3944</v>
      </c>
      <c r="Q763" s="270" t="s">
        <v>3944</v>
      </c>
      <c r="R763" s="270">
        <v>1756.86</v>
      </c>
      <c r="S763" s="270">
        <v>31610.59</v>
      </c>
      <c r="T763" s="270">
        <v>33367.449999999997</v>
      </c>
      <c r="U763" s="271" t="s">
        <v>3945</v>
      </c>
      <c r="V763" s="267" t="s">
        <v>944</v>
      </c>
    </row>
    <row r="764" spans="1:22" hidden="1" x14ac:dyDescent="0.25">
      <c r="A764" s="266">
        <v>43503</v>
      </c>
      <c r="B764" s="267">
        <v>2019</v>
      </c>
      <c r="C764" s="267">
        <v>2019</v>
      </c>
      <c r="D764" s="267">
        <v>1</v>
      </c>
      <c r="E764" s="267">
        <v>1</v>
      </c>
      <c r="F764" s="267" t="s">
        <v>944</v>
      </c>
      <c r="G764" s="267" t="s">
        <v>3926</v>
      </c>
      <c r="H764" s="267" t="s">
        <v>4897</v>
      </c>
      <c r="I764" s="267" t="s">
        <v>943</v>
      </c>
      <c r="J764" s="267" t="s">
        <v>3928</v>
      </c>
      <c r="K764" s="267">
        <v>6512</v>
      </c>
      <c r="L764" s="267">
        <v>142800</v>
      </c>
      <c r="M764" s="267" t="s">
        <v>3940</v>
      </c>
      <c r="N764" s="267" t="s">
        <v>3944</v>
      </c>
      <c r="O764" s="267">
        <v>2182.64</v>
      </c>
      <c r="P764" s="267" t="s">
        <v>3944</v>
      </c>
      <c r="Q764" s="267" t="s">
        <v>3944</v>
      </c>
      <c r="R764" s="267">
        <v>2182.64</v>
      </c>
      <c r="S764" s="267">
        <v>30308.95</v>
      </c>
      <c r="T764" s="267">
        <v>32491.59</v>
      </c>
      <c r="U764" s="268" t="s">
        <v>3945</v>
      </c>
      <c r="V764" s="267" t="s">
        <v>944</v>
      </c>
    </row>
    <row r="765" spans="1:22" hidden="1" x14ac:dyDescent="0.25">
      <c r="A765" s="269">
        <v>43503</v>
      </c>
      <c r="B765" s="270">
        <v>2019</v>
      </c>
      <c r="C765" s="270">
        <v>2019</v>
      </c>
      <c r="D765" s="270">
        <v>1</v>
      </c>
      <c r="E765" s="270">
        <v>1</v>
      </c>
      <c r="F765" s="270" t="s">
        <v>944</v>
      </c>
      <c r="G765" s="270" t="s">
        <v>3926</v>
      </c>
      <c r="H765" s="270" t="s">
        <v>4898</v>
      </c>
      <c r="I765" s="270" t="s">
        <v>3954</v>
      </c>
      <c r="J765" s="270" t="s">
        <v>3928</v>
      </c>
      <c r="K765" s="270">
        <v>6333</v>
      </c>
      <c r="L765" s="270">
        <v>716101</v>
      </c>
      <c r="M765" s="270" t="s">
        <v>3935</v>
      </c>
      <c r="N765" s="270" t="s">
        <v>3944</v>
      </c>
      <c r="O765" s="270">
        <v>2395.65</v>
      </c>
      <c r="P765" s="270" t="s">
        <v>3944</v>
      </c>
      <c r="Q765" s="270" t="s">
        <v>3944</v>
      </c>
      <c r="R765" s="270">
        <v>2395.65</v>
      </c>
      <c r="S765" s="270">
        <v>17987.349999999999</v>
      </c>
      <c r="T765" s="270">
        <v>20383</v>
      </c>
      <c r="U765" s="271" t="s">
        <v>3945</v>
      </c>
      <c r="V765" s="267" t="s">
        <v>944</v>
      </c>
    </row>
    <row r="766" spans="1:22" hidden="1" x14ac:dyDescent="0.25">
      <c r="A766" s="266">
        <v>43503</v>
      </c>
      <c r="B766" s="267">
        <v>2019</v>
      </c>
      <c r="C766" s="267">
        <v>2019</v>
      </c>
      <c r="D766" s="267">
        <v>1</v>
      </c>
      <c r="E766" s="267">
        <v>1</v>
      </c>
      <c r="F766" s="267" t="s">
        <v>944</v>
      </c>
      <c r="G766" s="267" t="s">
        <v>3926</v>
      </c>
      <c r="H766" s="267" t="s">
        <v>4899</v>
      </c>
      <c r="I766" s="267" t="s">
        <v>3008</v>
      </c>
      <c r="J766" s="267" t="s">
        <v>3928</v>
      </c>
      <c r="K766" s="267">
        <v>6460</v>
      </c>
      <c r="L766" s="267">
        <v>150200</v>
      </c>
      <c r="M766" s="267" t="s">
        <v>3935</v>
      </c>
      <c r="N766" s="267" t="s">
        <v>3944</v>
      </c>
      <c r="O766" s="267">
        <v>1540.74</v>
      </c>
      <c r="P766" s="267" t="s">
        <v>3944</v>
      </c>
      <c r="Q766" s="267" t="s">
        <v>3944</v>
      </c>
      <c r="R766" s="267">
        <v>1540.74</v>
      </c>
      <c r="S766" s="267">
        <v>13382.26</v>
      </c>
      <c r="T766" s="267">
        <v>14923</v>
      </c>
      <c r="U766" s="268" t="s">
        <v>3945</v>
      </c>
      <c r="V766" s="267" t="s">
        <v>944</v>
      </c>
    </row>
    <row r="767" spans="1:22" hidden="1" x14ac:dyDescent="0.25">
      <c r="A767" s="269">
        <v>43503</v>
      </c>
      <c r="B767" s="270">
        <v>2019</v>
      </c>
      <c r="C767" s="270">
        <v>2019</v>
      </c>
      <c r="D767" s="270">
        <v>1</v>
      </c>
      <c r="E767" s="270">
        <v>1</v>
      </c>
      <c r="F767" s="270" t="s">
        <v>944</v>
      </c>
      <c r="G767" s="270" t="s">
        <v>3926</v>
      </c>
      <c r="H767" s="270" t="s">
        <v>4900</v>
      </c>
      <c r="I767" s="270" t="s">
        <v>3999</v>
      </c>
      <c r="J767" s="270" t="s">
        <v>3928</v>
      </c>
      <c r="K767" s="270">
        <v>6450</v>
      </c>
      <c r="L767" s="270">
        <v>171700</v>
      </c>
      <c r="M767" s="270" t="s">
        <v>3935</v>
      </c>
      <c r="N767" s="270" t="s">
        <v>3944</v>
      </c>
      <c r="O767" s="270">
        <v>1569.16</v>
      </c>
      <c r="P767" s="270" t="s">
        <v>3944</v>
      </c>
      <c r="Q767" s="270" t="s">
        <v>3944</v>
      </c>
      <c r="R767" s="270">
        <v>1569.16</v>
      </c>
      <c r="S767" s="270">
        <v>20315.12</v>
      </c>
      <c r="T767" s="270">
        <v>21884.28</v>
      </c>
      <c r="U767" s="271" t="s">
        <v>3945</v>
      </c>
      <c r="V767" s="267" t="s">
        <v>944</v>
      </c>
    </row>
    <row r="768" spans="1:22" hidden="1" x14ac:dyDescent="0.25">
      <c r="A768" s="266">
        <v>43503</v>
      </c>
      <c r="B768" s="267">
        <v>2019</v>
      </c>
      <c r="C768" s="267">
        <v>2019</v>
      </c>
      <c r="D768" s="267">
        <v>1</v>
      </c>
      <c r="E768" s="267">
        <v>1</v>
      </c>
      <c r="F768" s="267" t="s">
        <v>944</v>
      </c>
      <c r="G768" s="267" t="s">
        <v>3926</v>
      </c>
      <c r="H768" s="267" t="s">
        <v>4901</v>
      </c>
      <c r="I768" s="267" t="s">
        <v>956</v>
      </c>
      <c r="J768" s="267" t="s">
        <v>3928</v>
      </c>
      <c r="K768" s="267">
        <v>6614</v>
      </c>
      <c r="L768" s="267">
        <v>81200</v>
      </c>
      <c r="M768" s="267" t="s">
        <v>3943</v>
      </c>
      <c r="N768" s="267" t="s">
        <v>3944</v>
      </c>
      <c r="O768" s="267">
        <v>2370.5500000000002</v>
      </c>
      <c r="P768" s="267" t="s">
        <v>3944</v>
      </c>
      <c r="Q768" s="267" t="s">
        <v>3944</v>
      </c>
      <c r="R768" s="267">
        <v>2370.5500000000002</v>
      </c>
      <c r="S768" s="267">
        <v>16268.45</v>
      </c>
      <c r="T768" s="267">
        <v>18639</v>
      </c>
      <c r="U768" s="268" t="s">
        <v>3945</v>
      </c>
      <c r="V768" s="267" t="s">
        <v>944</v>
      </c>
    </row>
    <row r="769" spans="1:22" hidden="1" x14ac:dyDescent="0.25">
      <c r="A769" s="269">
        <v>43503</v>
      </c>
      <c r="B769" s="270">
        <v>2019</v>
      </c>
      <c r="C769" s="270">
        <v>2019</v>
      </c>
      <c r="D769" s="270">
        <v>1</v>
      </c>
      <c r="E769" s="270">
        <v>1</v>
      </c>
      <c r="F769" s="270" t="s">
        <v>944</v>
      </c>
      <c r="G769" s="270" t="s">
        <v>3926</v>
      </c>
      <c r="H769" s="270" t="s">
        <v>4902</v>
      </c>
      <c r="I769" s="270" t="s">
        <v>4310</v>
      </c>
      <c r="J769" s="270" t="s">
        <v>3928</v>
      </c>
      <c r="K769" s="270">
        <v>6351</v>
      </c>
      <c r="L769" s="270">
        <v>710100</v>
      </c>
      <c r="M769" s="270" t="s">
        <v>3960</v>
      </c>
      <c r="N769" s="270" t="s">
        <v>3944</v>
      </c>
      <c r="O769" s="270">
        <v>1539.51</v>
      </c>
      <c r="P769" s="270" t="s">
        <v>3944</v>
      </c>
      <c r="Q769" s="270" t="s">
        <v>3944</v>
      </c>
      <c r="R769" s="270">
        <v>1539.51</v>
      </c>
      <c r="S769" s="270">
        <v>14043.49</v>
      </c>
      <c r="T769" s="270">
        <v>15583</v>
      </c>
      <c r="U769" s="271" t="s">
        <v>3945</v>
      </c>
      <c r="V769" s="267" t="s">
        <v>944</v>
      </c>
    </row>
    <row r="770" spans="1:22" hidden="1" x14ac:dyDescent="0.25">
      <c r="A770" s="266">
        <v>43503</v>
      </c>
      <c r="B770" s="267">
        <v>2019</v>
      </c>
      <c r="C770" s="267">
        <v>2019</v>
      </c>
      <c r="D770" s="267">
        <v>1</v>
      </c>
      <c r="E770" s="267">
        <v>1</v>
      </c>
      <c r="F770" s="267" t="s">
        <v>944</v>
      </c>
      <c r="G770" s="267" t="s">
        <v>3926</v>
      </c>
      <c r="H770" s="267" t="s">
        <v>4903</v>
      </c>
      <c r="I770" s="267" t="s">
        <v>4016</v>
      </c>
      <c r="J770" s="267" t="s">
        <v>3928</v>
      </c>
      <c r="K770" s="267">
        <v>6770</v>
      </c>
      <c r="L770" s="267">
        <v>345201</v>
      </c>
      <c r="M770" s="267" t="s">
        <v>3935</v>
      </c>
      <c r="N770" s="267" t="s">
        <v>3944</v>
      </c>
      <c r="O770" s="267">
        <v>1981.04</v>
      </c>
      <c r="P770" s="267" t="s">
        <v>3944</v>
      </c>
      <c r="Q770" s="267" t="s">
        <v>3944</v>
      </c>
      <c r="R770" s="267">
        <v>1981.04</v>
      </c>
      <c r="S770" s="267">
        <v>27606.04</v>
      </c>
      <c r="T770" s="267">
        <v>29587.08</v>
      </c>
      <c r="U770" s="268" t="s">
        <v>3945</v>
      </c>
      <c r="V770" s="267" t="s">
        <v>944</v>
      </c>
    </row>
    <row r="771" spans="1:22" hidden="1" x14ac:dyDescent="0.25">
      <c r="A771" s="269">
        <v>43503</v>
      </c>
      <c r="B771" s="270">
        <v>2019</v>
      </c>
      <c r="C771" s="270">
        <v>2019</v>
      </c>
      <c r="D771" s="270">
        <v>1</v>
      </c>
      <c r="E771" s="270">
        <v>1</v>
      </c>
      <c r="F771" s="270" t="s">
        <v>944</v>
      </c>
      <c r="G771" s="270" t="s">
        <v>3926</v>
      </c>
      <c r="H771" s="270" t="s">
        <v>4904</v>
      </c>
      <c r="I771" s="270" t="s">
        <v>4905</v>
      </c>
      <c r="J771" s="270" t="s">
        <v>3928</v>
      </c>
      <c r="K771" s="270">
        <v>6247</v>
      </c>
      <c r="L771" s="270">
        <v>820000</v>
      </c>
      <c r="M771" s="270" t="s">
        <v>3935</v>
      </c>
      <c r="N771" s="270" t="s">
        <v>3944</v>
      </c>
      <c r="O771" s="270">
        <v>3665.31</v>
      </c>
      <c r="P771" s="270" t="s">
        <v>3944</v>
      </c>
      <c r="Q771" s="270" t="s">
        <v>3944</v>
      </c>
      <c r="R771" s="270">
        <v>3665.31</v>
      </c>
      <c r="S771" s="270">
        <v>26556.69</v>
      </c>
      <c r="T771" s="270">
        <v>30222</v>
      </c>
      <c r="U771" s="271" t="s">
        <v>3945</v>
      </c>
      <c r="V771" s="267" t="s">
        <v>944</v>
      </c>
    </row>
    <row r="772" spans="1:22" hidden="1" x14ac:dyDescent="0.25">
      <c r="A772" s="266">
        <v>43503</v>
      </c>
      <c r="B772" s="267">
        <v>2019</v>
      </c>
      <c r="C772" s="267">
        <v>2019</v>
      </c>
      <c r="D772" s="267">
        <v>1</v>
      </c>
      <c r="E772" s="267">
        <v>1</v>
      </c>
      <c r="F772" s="267" t="s">
        <v>944</v>
      </c>
      <c r="G772" s="267" t="s">
        <v>3926</v>
      </c>
      <c r="H772" s="267" t="s">
        <v>4906</v>
      </c>
      <c r="I772" s="267" t="s">
        <v>953</v>
      </c>
      <c r="J772" s="267" t="s">
        <v>3928</v>
      </c>
      <c r="K772" s="267">
        <v>6517</v>
      </c>
      <c r="L772" s="267">
        <v>165100</v>
      </c>
      <c r="M772" s="267" t="s">
        <v>3935</v>
      </c>
      <c r="N772" s="267" t="s">
        <v>3944</v>
      </c>
      <c r="O772" s="267">
        <v>1888.36</v>
      </c>
      <c r="P772" s="267" t="s">
        <v>3944</v>
      </c>
      <c r="Q772" s="267" t="s">
        <v>3944</v>
      </c>
      <c r="R772" s="267">
        <v>1888.36</v>
      </c>
      <c r="S772" s="267">
        <v>28299.64</v>
      </c>
      <c r="T772" s="267">
        <v>30188</v>
      </c>
      <c r="U772" s="268" t="s">
        <v>3945</v>
      </c>
      <c r="V772" s="267" t="s">
        <v>944</v>
      </c>
    </row>
    <row r="773" spans="1:22" hidden="1" x14ac:dyDescent="0.25">
      <c r="A773" s="269">
        <v>43503</v>
      </c>
      <c r="B773" s="270">
        <v>2019</v>
      </c>
      <c r="C773" s="270">
        <v>2019</v>
      </c>
      <c r="D773" s="270">
        <v>1</v>
      </c>
      <c r="E773" s="270">
        <v>1</v>
      </c>
      <c r="F773" s="270" t="s">
        <v>944</v>
      </c>
      <c r="G773" s="270" t="s">
        <v>3926</v>
      </c>
      <c r="H773" s="270" t="s">
        <v>4907</v>
      </c>
      <c r="I773" s="270" t="s">
        <v>3009</v>
      </c>
      <c r="J773" s="270" t="s">
        <v>3928</v>
      </c>
      <c r="K773" s="270">
        <v>6484</v>
      </c>
      <c r="L773" s="270">
        <v>110400</v>
      </c>
      <c r="M773" s="270" t="s">
        <v>3943</v>
      </c>
      <c r="N773" s="270" t="s">
        <v>3944</v>
      </c>
      <c r="O773" s="270">
        <v>3159.7</v>
      </c>
      <c r="P773" s="270" t="s">
        <v>3944</v>
      </c>
      <c r="Q773" s="270" t="s">
        <v>3944</v>
      </c>
      <c r="R773" s="270">
        <v>3159.7</v>
      </c>
      <c r="S773" s="270">
        <v>49098.879999999997</v>
      </c>
      <c r="T773" s="270">
        <v>52258.58</v>
      </c>
      <c r="U773" s="271" t="s">
        <v>3945</v>
      </c>
      <c r="V773" s="267" t="s">
        <v>944</v>
      </c>
    </row>
    <row r="774" spans="1:22" hidden="1" x14ac:dyDescent="0.25">
      <c r="A774" s="266">
        <v>43503</v>
      </c>
      <c r="B774" s="267">
        <v>2019</v>
      </c>
      <c r="C774" s="267">
        <v>2019</v>
      </c>
      <c r="D774" s="267">
        <v>1</v>
      </c>
      <c r="E774" s="267">
        <v>1</v>
      </c>
      <c r="F774" s="267" t="s">
        <v>944</v>
      </c>
      <c r="G774" s="267" t="s">
        <v>3926</v>
      </c>
      <c r="H774" s="267" t="s">
        <v>4908</v>
      </c>
      <c r="I774" s="267" t="s">
        <v>3999</v>
      </c>
      <c r="J774" s="267" t="s">
        <v>3928</v>
      </c>
      <c r="K774" s="267">
        <v>6450</v>
      </c>
      <c r="L774" s="267">
        <v>171700</v>
      </c>
      <c r="M774" s="267" t="s">
        <v>3935</v>
      </c>
      <c r="N774" s="267" t="s">
        <v>3944</v>
      </c>
      <c r="O774" s="267">
        <v>3245.55</v>
      </c>
      <c r="P774" s="267" t="s">
        <v>3944</v>
      </c>
      <c r="Q774" s="267" t="s">
        <v>3944</v>
      </c>
      <c r="R774" s="267">
        <v>3245.55</v>
      </c>
      <c r="S774" s="267">
        <v>50027.79</v>
      </c>
      <c r="T774" s="267">
        <v>53273.34</v>
      </c>
      <c r="U774" s="268" t="s">
        <v>3945</v>
      </c>
      <c r="V774" s="267" t="s">
        <v>944</v>
      </c>
    </row>
    <row r="775" spans="1:22" hidden="1" x14ac:dyDescent="0.25">
      <c r="A775" s="269">
        <v>43503</v>
      </c>
      <c r="B775" s="270">
        <v>2019</v>
      </c>
      <c r="C775" s="270">
        <v>2019</v>
      </c>
      <c r="D775" s="270">
        <v>1</v>
      </c>
      <c r="E775" s="270">
        <v>1</v>
      </c>
      <c r="F775" s="270" t="s">
        <v>944</v>
      </c>
      <c r="G775" s="270" t="s">
        <v>3926</v>
      </c>
      <c r="H775" s="270" t="s">
        <v>4909</v>
      </c>
      <c r="I775" s="270" t="s">
        <v>953</v>
      </c>
      <c r="J775" s="270" t="s">
        <v>3928</v>
      </c>
      <c r="K775" s="270">
        <v>6517</v>
      </c>
      <c r="L775" s="270">
        <v>165100</v>
      </c>
      <c r="M775" s="270" t="s">
        <v>3935</v>
      </c>
      <c r="N775" s="270" t="s">
        <v>3944</v>
      </c>
      <c r="O775" s="270">
        <v>657.02</v>
      </c>
      <c r="P775" s="270" t="s">
        <v>3944</v>
      </c>
      <c r="Q775" s="270" t="s">
        <v>3944</v>
      </c>
      <c r="R775" s="270">
        <v>657.02</v>
      </c>
      <c r="S775" s="270">
        <v>10635.58</v>
      </c>
      <c r="T775" s="270">
        <v>11292.6</v>
      </c>
      <c r="U775" s="271" t="s">
        <v>3945</v>
      </c>
      <c r="V775" s="267" t="s">
        <v>944</v>
      </c>
    </row>
    <row r="776" spans="1:22" hidden="1" x14ac:dyDescent="0.25">
      <c r="A776" s="266">
        <v>43503</v>
      </c>
      <c r="B776" s="267">
        <v>2019</v>
      </c>
      <c r="C776" s="267">
        <v>2019</v>
      </c>
      <c r="D776" s="267">
        <v>1</v>
      </c>
      <c r="E776" s="267">
        <v>1</v>
      </c>
      <c r="F776" s="267" t="s">
        <v>944</v>
      </c>
      <c r="G776" s="267" t="s">
        <v>3926</v>
      </c>
      <c r="H776" s="267" t="s">
        <v>4910</v>
      </c>
      <c r="I776" s="267" t="s">
        <v>3968</v>
      </c>
      <c r="J776" s="267" t="s">
        <v>3928</v>
      </c>
      <c r="K776" s="267">
        <v>6040</v>
      </c>
      <c r="L776" s="267">
        <v>514800</v>
      </c>
      <c r="M776" s="267" t="s">
        <v>3940</v>
      </c>
      <c r="N776" s="267" t="s">
        <v>3944</v>
      </c>
      <c r="O776" s="267">
        <v>1133.2</v>
      </c>
      <c r="P776" s="267" t="s">
        <v>3944</v>
      </c>
      <c r="Q776" s="267" t="s">
        <v>3944</v>
      </c>
      <c r="R776" s="267">
        <v>1133.2</v>
      </c>
      <c r="S776" s="267">
        <v>19894.97</v>
      </c>
      <c r="T776" s="267">
        <v>21028.17</v>
      </c>
      <c r="U776" s="268" t="s">
        <v>3945</v>
      </c>
      <c r="V776" s="267" t="s">
        <v>944</v>
      </c>
    </row>
    <row r="777" spans="1:22" hidden="1" x14ac:dyDescent="0.25">
      <c r="A777" s="269">
        <v>43503</v>
      </c>
      <c r="B777" s="270">
        <v>2019</v>
      </c>
      <c r="C777" s="270">
        <v>2019</v>
      </c>
      <c r="D777" s="270">
        <v>1</v>
      </c>
      <c r="E777" s="270">
        <v>1</v>
      </c>
      <c r="F777" s="270" t="s">
        <v>944</v>
      </c>
      <c r="G777" s="270" t="s">
        <v>3926</v>
      </c>
      <c r="H777" s="270" t="s">
        <v>4911</v>
      </c>
      <c r="I777" s="270" t="s">
        <v>934</v>
      </c>
      <c r="J777" s="270" t="s">
        <v>3928</v>
      </c>
      <c r="K777" s="270">
        <v>6604</v>
      </c>
      <c r="L777" s="270">
        <v>71100</v>
      </c>
      <c r="M777" s="270">
        <v>-60</v>
      </c>
      <c r="N777" s="270" t="s">
        <v>3944</v>
      </c>
      <c r="O777" s="270">
        <v>942.62</v>
      </c>
      <c r="P777" s="270" t="s">
        <v>3944</v>
      </c>
      <c r="Q777" s="270" t="s">
        <v>3944</v>
      </c>
      <c r="R777" s="270">
        <v>942.62</v>
      </c>
      <c r="S777" s="270">
        <v>22804.22</v>
      </c>
      <c r="T777" s="270">
        <v>23746.84</v>
      </c>
      <c r="U777" s="271" t="s">
        <v>3945</v>
      </c>
      <c r="V777" s="267" t="s">
        <v>944</v>
      </c>
    </row>
    <row r="778" spans="1:22" hidden="1" x14ac:dyDescent="0.25">
      <c r="A778" s="266">
        <v>43503</v>
      </c>
      <c r="B778" s="267">
        <v>2019</v>
      </c>
      <c r="C778" s="267">
        <v>2019</v>
      </c>
      <c r="D778" s="267">
        <v>1</v>
      </c>
      <c r="E778" s="267">
        <v>1</v>
      </c>
      <c r="F778" s="267" t="s">
        <v>944</v>
      </c>
      <c r="G778" s="267" t="s">
        <v>3926</v>
      </c>
      <c r="H778" s="267" t="s">
        <v>4912</v>
      </c>
      <c r="I778" s="267" t="s">
        <v>3968</v>
      </c>
      <c r="J778" s="267" t="s">
        <v>3928</v>
      </c>
      <c r="K778" s="267">
        <v>6040</v>
      </c>
      <c r="L778" s="267">
        <v>514500</v>
      </c>
      <c r="M778" s="267" t="s">
        <v>3935</v>
      </c>
      <c r="N778" s="267" t="s">
        <v>3944</v>
      </c>
      <c r="O778" s="267">
        <v>2328.0300000000002</v>
      </c>
      <c r="P778" s="267" t="s">
        <v>3944</v>
      </c>
      <c r="Q778" s="267" t="s">
        <v>3944</v>
      </c>
      <c r="R778" s="267">
        <v>2328.0300000000002</v>
      </c>
      <c r="S778" s="267">
        <v>34488.11</v>
      </c>
      <c r="T778" s="267">
        <v>36816.14</v>
      </c>
      <c r="U778" s="268" t="s">
        <v>3945</v>
      </c>
      <c r="V778" s="267" t="s">
        <v>944</v>
      </c>
    </row>
    <row r="779" spans="1:22" hidden="1" x14ac:dyDescent="0.25">
      <c r="A779" s="269">
        <v>43504</v>
      </c>
      <c r="B779" s="270">
        <v>2019</v>
      </c>
      <c r="C779" s="270">
        <v>2019</v>
      </c>
      <c r="D779" s="270">
        <v>1</v>
      </c>
      <c r="E779" s="270">
        <v>1</v>
      </c>
      <c r="F779" s="270" t="s">
        <v>944</v>
      </c>
      <c r="G779" s="270" t="s">
        <v>3926</v>
      </c>
      <c r="H779" s="270" t="s">
        <v>4913</v>
      </c>
      <c r="I779" s="270" t="s">
        <v>2987</v>
      </c>
      <c r="J779" s="270" t="s">
        <v>3928</v>
      </c>
      <c r="K779" s="270">
        <v>6611</v>
      </c>
      <c r="L779" s="270">
        <v>90200</v>
      </c>
      <c r="M779" s="270" t="s">
        <v>3943</v>
      </c>
      <c r="N779" s="270" t="s">
        <v>4914</v>
      </c>
      <c r="O779" s="270">
        <v>0</v>
      </c>
      <c r="P779" s="270" t="s">
        <v>3930</v>
      </c>
      <c r="Q779" s="270" t="s">
        <v>3930</v>
      </c>
      <c r="R779" s="270">
        <v>0</v>
      </c>
      <c r="S779" s="270">
        <v>10850</v>
      </c>
      <c r="T779" s="270">
        <v>10850</v>
      </c>
      <c r="U779" s="271" t="s">
        <v>3937</v>
      </c>
      <c r="V779" s="267" t="s">
        <v>944</v>
      </c>
    </row>
    <row r="780" spans="1:22" hidden="1" x14ac:dyDescent="0.25">
      <c r="A780" s="266">
        <v>43504</v>
      </c>
      <c r="B780" s="267">
        <v>2019</v>
      </c>
      <c r="C780" s="267">
        <v>2019</v>
      </c>
      <c r="D780" s="267">
        <v>1</v>
      </c>
      <c r="E780" s="267">
        <v>1</v>
      </c>
      <c r="F780" s="267" t="s">
        <v>944</v>
      </c>
      <c r="G780" s="267" t="s">
        <v>3926</v>
      </c>
      <c r="H780" s="267" t="s">
        <v>4915</v>
      </c>
      <c r="I780" s="267" t="s">
        <v>3939</v>
      </c>
      <c r="J780" s="267" t="s">
        <v>3928</v>
      </c>
      <c r="K780" s="267">
        <v>6512</v>
      </c>
      <c r="L780" s="267">
        <v>180200</v>
      </c>
      <c r="M780" s="267" t="s">
        <v>3940</v>
      </c>
      <c r="N780" s="267" t="s">
        <v>4103</v>
      </c>
      <c r="O780" s="267">
        <v>1750.42</v>
      </c>
      <c r="P780" s="267" t="s">
        <v>3930</v>
      </c>
      <c r="Q780" s="267" t="s">
        <v>3931</v>
      </c>
      <c r="R780" s="267">
        <v>6750.42</v>
      </c>
      <c r="S780" s="267">
        <v>24145.599999999999</v>
      </c>
      <c r="T780" s="267">
        <v>30896.02</v>
      </c>
      <c r="U780" s="268" t="s">
        <v>3932</v>
      </c>
      <c r="V780" s="267" t="s">
        <v>944</v>
      </c>
    </row>
    <row r="781" spans="1:22" hidden="1" x14ac:dyDescent="0.25">
      <c r="A781" s="269">
        <v>43504</v>
      </c>
      <c r="B781" s="270">
        <v>2019</v>
      </c>
      <c r="C781" s="270">
        <v>2019</v>
      </c>
      <c r="D781" s="270">
        <v>1</v>
      </c>
      <c r="E781" s="270">
        <v>1</v>
      </c>
      <c r="F781" s="270" t="s">
        <v>944</v>
      </c>
      <c r="G781" s="270" t="s">
        <v>3926</v>
      </c>
      <c r="H781" s="270" t="s">
        <v>4916</v>
      </c>
      <c r="I781" s="270" t="s">
        <v>3956</v>
      </c>
      <c r="J781" s="270" t="s">
        <v>3928</v>
      </c>
      <c r="K781" s="270">
        <v>6112</v>
      </c>
      <c r="L781" s="270">
        <v>503900</v>
      </c>
      <c r="M781" s="270">
        <v>-60</v>
      </c>
      <c r="N781" s="270" t="s">
        <v>4103</v>
      </c>
      <c r="O781" s="270">
        <v>3848.74</v>
      </c>
      <c r="P781" s="270" t="s">
        <v>3930</v>
      </c>
      <c r="Q781" s="270" t="s">
        <v>3931</v>
      </c>
      <c r="R781" s="270">
        <v>8848.74</v>
      </c>
      <c r="S781" s="270">
        <v>24145.599999999999</v>
      </c>
      <c r="T781" s="270">
        <v>32994.339999999997</v>
      </c>
      <c r="U781" s="271" t="s">
        <v>3932</v>
      </c>
      <c r="V781" s="267" t="s">
        <v>944</v>
      </c>
    </row>
    <row r="782" spans="1:22" hidden="1" x14ac:dyDescent="0.25">
      <c r="A782" s="266">
        <v>43504</v>
      </c>
      <c r="B782" s="267">
        <v>2019</v>
      </c>
      <c r="C782" s="267">
        <v>2019</v>
      </c>
      <c r="D782" s="267">
        <v>1</v>
      </c>
      <c r="E782" s="267">
        <v>1</v>
      </c>
      <c r="F782" s="267" t="s">
        <v>944</v>
      </c>
      <c r="G782" s="267" t="s">
        <v>3926</v>
      </c>
      <c r="H782" s="267" t="s">
        <v>4917</v>
      </c>
      <c r="I782" s="267" t="s">
        <v>3010</v>
      </c>
      <c r="J782" s="267" t="s">
        <v>3928</v>
      </c>
      <c r="K782" s="267">
        <v>6401</v>
      </c>
      <c r="L782" s="267">
        <v>125400</v>
      </c>
      <c r="M782" s="267">
        <v>-60</v>
      </c>
      <c r="N782" s="267" t="s">
        <v>4103</v>
      </c>
      <c r="O782" s="267">
        <v>1587.6</v>
      </c>
      <c r="P782" s="267" t="s">
        <v>3930</v>
      </c>
      <c r="Q782" s="267" t="s">
        <v>3931</v>
      </c>
      <c r="R782" s="267">
        <v>6587.6</v>
      </c>
      <c r="S782" s="267">
        <v>24145.599999999999</v>
      </c>
      <c r="T782" s="267">
        <v>30733.200000000001</v>
      </c>
      <c r="U782" s="268" t="s">
        <v>3932</v>
      </c>
      <c r="V782" s="267" t="s">
        <v>944</v>
      </c>
    </row>
    <row r="783" spans="1:22" hidden="1" x14ac:dyDescent="0.25">
      <c r="A783" s="269">
        <v>43504</v>
      </c>
      <c r="B783" s="270">
        <v>2019</v>
      </c>
      <c r="C783" s="270">
        <v>2019</v>
      </c>
      <c r="D783" s="270">
        <v>1</v>
      </c>
      <c r="E783" s="270">
        <v>1</v>
      </c>
      <c r="F783" s="270" t="s">
        <v>944</v>
      </c>
      <c r="G783" s="270" t="s">
        <v>3926</v>
      </c>
      <c r="H783" s="270" t="s">
        <v>4918</v>
      </c>
      <c r="I783" s="270" t="s">
        <v>3956</v>
      </c>
      <c r="J783" s="270" t="s">
        <v>3928</v>
      </c>
      <c r="K783" s="270">
        <v>6112</v>
      </c>
      <c r="L783" s="270">
        <v>503900</v>
      </c>
      <c r="M783" s="270">
        <v>-60</v>
      </c>
      <c r="N783" s="270" t="s">
        <v>3944</v>
      </c>
      <c r="O783" s="270">
        <v>637.11</v>
      </c>
      <c r="P783" s="270" t="s">
        <v>3944</v>
      </c>
      <c r="Q783" s="270" t="s">
        <v>3944</v>
      </c>
      <c r="R783" s="270">
        <v>637.11</v>
      </c>
      <c r="S783" s="270">
        <v>7356.89</v>
      </c>
      <c r="T783" s="270">
        <v>7994</v>
      </c>
      <c r="U783" s="271" t="s">
        <v>3945</v>
      </c>
      <c r="V783" s="267" t="s">
        <v>944</v>
      </c>
    </row>
    <row r="784" spans="1:22" hidden="1" x14ac:dyDescent="0.25">
      <c r="A784" s="266">
        <v>43504</v>
      </c>
      <c r="B784" s="267">
        <v>2019</v>
      </c>
      <c r="C784" s="267">
        <v>2019</v>
      </c>
      <c r="D784" s="267">
        <v>1</v>
      </c>
      <c r="E784" s="267">
        <v>1</v>
      </c>
      <c r="F784" s="267" t="s">
        <v>944</v>
      </c>
      <c r="G784" s="267" t="s">
        <v>3926</v>
      </c>
      <c r="H784" s="267" t="s">
        <v>4919</v>
      </c>
      <c r="I784" s="267" t="s">
        <v>3993</v>
      </c>
      <c r="J784" s="267" t="s">
        <v>3928</v>
      </c>
      <c r="K784" s="267">
        <v>6420</v>
      </c>
      <c r="L784" s="267">
        <v>715100</v>
      </c>
      <c r="M784" s="267" t="s">
        <v>3943</v>
      </c>
      <c r="N784" s="267" t="s">
        <v>3944</v>
      </c>
      <c r="O784" s="267">
        <v>1875.06</v>
      </c>
      <c r="P784" s="267" t="s">
        <v>3944</v>
      </c>
      <c r="Q784" s="267" t="s">
        <v>3944</v>
      </c>
      <c r="R784" s="267">
        <v>1875.06</v>
      </c>
      <c r="S784" s="267">
        <v>26931.71</v>
      </c>
      <c r="T784" s="267">
        <v>28806.77</v>
      </c>
      <c r="U784" s="268" t="s">
        <v>3945</v>
      </c>
      <c r="V784" s="267" t="s">
        <v>944</v>
      </c>
    </row>
    <row r="785" spans="1:22" hidden="1" x14ac:dyDescent="0.25">
      <c r="A785" s="269">
        <v>43504</v>
      </c>
      <c r="B785" s="270">
        <v>2019</v>
      </c>
      <c r="C785" s="270">
        <v>2019</v>
      </c>
      <c r="D785" s="270">
        <v>1</v>
      </c>
      <c r="E785" s="270">
        <v>1</v>
      </c>
      <c r="F785" s="270" t="s">
        <v>944</v>
      </c>
      <c r="G785" s="270" t="s">
        <v>3926</v>
      </c>
      <c r="H785" s="270" t="s">
        <v>4920</v>
      </c>
      <c r="I785" s="270" t="s">
        <v>4016</v>
      </c>
      <c r="J785" s="270" t="s">
        <v>3928</v>
      </c>
      <c r="K785" s="270">
        <v>6770</v>
      </c>
      <c r="L785" s="270">
        <v>345202</v>
      </c>
      <c r="M785" s="270" t="s">
        <v>3960</v>
      </c>
      <c r="N785" s="270" t="s">
        <v>3944</v>
      </c>
      <c r="O785" s="270">
        <v>1568.53</v>
      </c>
      <c r="P785" s="270" t="s">
        <v>3944</v>
      </c>
      <c r="Q785" s="270" t="s">
        <v>3944</v>
      </c>
      <c r="R785" s="270">
        <v>1568.53</v>
      </c>
      <c r="S785" s="270">
        <v>21119.46</v>
      </c>
      <c r="T785" s="270">
        <v>22687.99</v>
      </c>
      <c r="U785" s="271" t="s">
        <v>3945</v>
      </c>
      <c r="V785" s="267" t="s">
        <v>944</v>
      </c>
    </row>
    <row r="786" spans="1:22" x14ac:dyDescent="0.25">
      <c r="A786" s="266">
        <v>43504</v>
      </c>
      <c r="B786" s="267">
        <v>2019</v>
      </c>
      <c r="C786" s="267">
        <v>2019</v>
      </c>
      <c r="D786" s="267">
        <v>1</v>
      </c>
      <c r="E786" s="267">
        <v>1</v>
      </c>
      <c r="F786" s="267" t="s">
        <v>944</v>
      </c>
      <c r="G786" s="267" t="s">
        <v>3926</v>
      </c>
      <c r="H786" s="267" t="s">
        <v>4921</v>
      </c>
      <c r="I786" s="267" t="s">
        <v>943</v>
      </c>
      <c r="J786" s="267" t="s">
        <v>3928</v>
      </c>
      <c r="K786" s="267">
        <v>6513</v>
      </c>
      <c r="L786" s="267">
        <v>142500</v>
      </c>
      <c r="M786" s="267">
        <v>-60</v>
      </c>
      <c r="N786" s="267" t="s">
        <v>3944</v>
      </c>
      <c r="O786" s="267">
        <v>1466.08</v>
      </c>
      <c r="P786" s="267" t="s">
        <v>3944</v>
      </c>
      <c r="Q786" s="267" t="s">
        <v>3944</v>
      </c>
      <c r="R786" s="267">
        <v>1466.08</v>
      </c>
      <c r="S786" s="267">
        <v>24704.59</v>
      </c>
      <c r="T786" s="267">
        <v>26170.67</v>
      </c>
      <c r="U786" s="268" t="s">
        <v>3945</v>
      </c>
      <c r="V786" s="276" t="s">
        <v>936</v>
      </c>
    </row>
    <row r="787" spans="1:22" hidden="1" x14ac:dyDescent="0.25">
      <c r="A787" s="269">
        <v>43504</v>
      </c>
      <c r="B787" s="270">
        <v>2019</v>
      </c>
      <c r="C787" s="270">
        <v>2019</v>
      </c>
      <c r="D787" s="270">
        <v>1</v>
      </c>
      <c r="E787" s="270">
        <v>1</v>
      </c>
      <c r="F787" s="270" t="s">
        <v>944</v>
      </c>
      <c r="G787" s="270" t="s">
        <v>3926</v>
      </c>
      <c r="H787" s="270" t="s">
        <v>4922</v>
      </c>
      <c r="I787" s="270" t="s">
        <v>3939</v>
      </c>
      <c r="J787" s="270" t="s">
        <v>3928</v>
      </c>
      <c r="K787" s="270">
        <v>6512</v>
      </c>
      <c r="L787" s="270">
        <v>180100</v>
      </c>
      <c r="M787" s="270" t="s">
        <v>3940</v>
      </c>
      <c r="N787" s="270" t="s">
        <v>3944</v>
      </c>
      <c r="O787" s="270">
        <v>2137.84</v>
      </c>
      <c r="P787" s="270" t="s">
        <v>3944</v>
      </c>
      <c r="Q787" s="270" t="s">
        <v>3944</v>
      </c>
      <c r="R787" s="270">
        <v>2137.84</v>
      </c>
      <c r="S787" s="270">
        <v>34716.47</v>
      </c>
      <c r="T787" s="270">
        <v>36854.31</v>
      </c>
      <c r="U787" s="271" t="s">
        <v>3945</v>
      </c>
      <c r="V787" s="267" t="s">
        <v>944</v>
      </c>
    </row>
    <row r="788" spans="1:22" hidden="1" x14ac:dyDescent="0.25">
      <c r="A788" s="266">
        <v>43504</v>
      </c>
      <c r="B788" s="267">
        <v>2019</v>
      </c>
      <c r="C788" s="267">
        <v>2019</v>
      </c>
      <c r="D788" s="267">
        <v>1</v>
      </c>
      <c r="E788" s="267">
        <v>1</v>
      </c>
      <c r="F788" s="267" t="s">
        <v>944</v>
      </c>
      <c r="G788" s="267" t="s">
        <v>3926</v>
      </c>
      <c r="H788" s="267" t="s">
        <v>4923</v>
      </c>
      <c r="I788" s="267" t="s">
        <v>4548</v>
      </c>
      <c r="J788" s="267" t="s">
        <v>3928</v>
      </c>
      <c r="K788" s="267">
        <v>6037</v>
      </c>
      <c r="L788" s="267">
        <v>400300</v>
      </c>
      <c r="M788" s="267" t="s">
        <v>3960</v>
      </c>
      <c r="N788" s="267" t="s">
        <v>3944</v>
      </c>
      <c r="O788" s="267">
        <v>1743.98</v>
      </c>
      <c r="P788" s="267" t="s">
        <v>3944</v>
      </c>
      <c r="Q788" s="267" t="s">
        <v>3944</v>
      </c>
      <c r="R788" s="267">
        <v>1743.98</v>
      </c>
      <c r="S788" s="267">
        <v>25976.02</v>
      </c>
      <c r="T788" s="267">
        <v>27720</v>
      </c>
      <c r="U788" s="268" t="s">
        <v>3945</v>
      </c>
      <c r="V788" s="267" t="s">
        <v>944</v>
      </c>
    </row>
    <row r="789" spans="1:22" hidden="1" x14ac:dyDescent="0.25">
      <c r="A789" s="269">
        <v>43504</v>
      </c>
      <c r="B789" s="270">
        <v>2019</v>
      </c>
      <c r="C789" s="270">
        <v>2019</v>
      </c>
      <c r="D789" s="270">
        <v>1</v>
      </c>
      <c r="E789" s="270">
        <v>1</v>
      </c>
      <c r="F789" s="270" t="s">
        <v>944</v>
      </c>
      <c r="G789" s="270" t="s">
        <v>3926</v>
      </c>
      <c r="H789" s="270" t="s">
        <v>4924</v>
      </c>
      <c r="I789" s="270" t="s">
        <v>3962</v>
      </c>
      <c r="J789" s="270" t="s">
        <v>3928</v>
      </c>
      <c r="K789" s="270">
        <v>6355</v>
      </c>
      <c r="L789" s="270">
        <v>702100</v>
      </c>
      <c r="M789" s="270" t="s">
        <v>3960</v>
      </c>
      <c r="N789" s="270" t="s">
        <v>3944</v>
      </c>
      <c r="O789" s="270">
        <v>1670.8</v>
      </c>
      <c r="P789" s="270" t="s">
        <v>3944</v>
      </c>
      <c r="Q789" s="270" t="s">
        <v>3944</v>
      </c>
      <c r="R789" s="270">
        <v>1670.8</v>
      </c>
      <c r="S789" s="270">
        <v>25844.9</v>
      </c>
      <c r="T789" s="270">
        <v>27515.7</v>
      </c>
      <c r="U789" s="271" t="s">
        <v>3945</v>
      </c>
      <c r="V789" s="267" t="s">
        <v>944</v>
      </c>
    </row>
    <row r="790" spans="1:22" hidden="1" x14ac:dyDescent="0.25">
      <c r="A790" s="266">
        <v>43504</v>
      </c>
      <c r="B790" s="267">
        <v>2019</v>
      </c>
      <c r="C790" s="267">
        <v>2019</v>
      </c>
      <c r="D790" s="267">
        <v>1</v>
      </c>
      <c r="E790" s="267">
        <v>1</v>
      </c>
      <c r="F790" s="267" t="s">
        <v>944</v>
      </c>
      <c r="G790" s="267" t="s">
        <v>3926</v>
      </c>
      <c r="H790" s="267" t="s">
        <v>4925</v>
      </c>
      <c r="I790" s="267" t="s">
        <v>3996</v>
      </c>
      <c r="J790" s="267" t="s">
        <v>3928</v>
      </c>
      <c r="K790" s="267">
        <v>6790</v>
      </c>
      <c r="L790" s="267">
        <v>310100</v>
      </c>
      <c r="M790" s="267" t="s">
        <v>3940</v>
      </c>
      <c r="N790" s="267" t="s">
        <v>3944</v>
      </c>
      <c r="O790" s="267">
        <v>915.46</v>
      </c>
      <c r="P790" s="267" t="s">
        <v>3944</v>
      </c>
      <c r="Q790" s="267" t="s">
        <v>3944</v>
      </c>
      <c r="R790" s="267">
        <v>915.46</v>
      </c>
      <c r="S790" s="267">
        <v>12072.54</v>
      </c>
      <c r="T790" s="267">
        <v>12988</v>
      </c>
      <c r="U790" s="268" t="s">
        <v>3945</v>
      </c>
      <c r="V790" s="267" t="s">
        <v>944</v>
      </c>
    </row>
    <row r="791" spans="1:22" hidden="1" x14ac:dyDescent="0.25">
      <c r="A791" s="269">
        <v>43504</v>
      </c>
      <c r="B791" s="270">
        <v>2019</v>
      </c>
      <c r="C791" s="270">
        <v>2019</v>
      </c>
      <c r="D791" s="270">
        <v>1</v>
      </c>
      <c r="E791" s="270">
        <v>1</v>
      </c>
      <c r="F791" s="270" t="s">
        <v>944</v>
      </c>
      <c r="G791" s="270" t="s">
        <v>3926</v>
      </c>
      <c r="H791" s="270" t="s">
        <v>4926</v>
      </c>
      <c r="I791" s="270" t="s">
        <v>4011</v>
      </c>
      <c r="J791" s="270" t="s">
        <v>3928</v>
      </c>
      <c r="K791" s="270">
        <v>6002</v>
      </c>
      <c r="L791" s="270">
        <v>471300</v>
      </c>
      <c r="M791" s="270" t="s">
        <v>3935</v>
      </c>
      <c r="N791" s="270" t="s">
        <v>3944</v>
      </c>
      <c r="O791" s="270">
        <v>2252.11</v>
      </c>
      <c r="P791" s="270" t="s">
        <v>3944</v>
      </c>
      <c r="Q791" s="270" t="s">
        <v>3944</v>
      </c>
      <c r="R791" s="270">
        <v>2252.11</v>
      </c>
      <c r="S791" s="270">
        <v>31539.279999999999</v>
      </c>
      <c r="T791" s="270">
        <v>33791.39</v>
      </c>
      <c r="U791" s="271" t="s">
        <v>3945</v>
      </c>
      <c r="V791" s="267" t="s">
        <v>944</v>
      </c>
    </row>
    <row r="792" spans="1:22" hidden="1" x14ac:dyDescent="0.25">
      <c r="A792" s="266">
        <v>43504</v>
      </c>
      <c r="B792" s="267">
        <v>2019</v>
      </c>
      <c r="C792" s="267">
        <v>2019</v>
      </c>
      <c r="D792" s="267">
        <v>1</v>
      </c>
      <c r="E792" s="267">
        <v>1</v>
      </c>
      <c r="F792" s="267" t="s">
        <v>944</v>
      </c>
      <c r="G792" s="267" t="s">
        <v>3926</v>
      </c>
      <c r="H792" s="267" t="s">
        <v>4927</v>
      </c>
      <c r="I792" s="267" t="s">
        <v>4200</v>
      </c>
      <c r="J792" s="267" t="s">
        <v>3928</v>
      </c>
      <c r="K792" s="267">
        <v>6795</v>
      </c>
      <c r="L792" s="267">
        <v>360100</v>
      </c>
      <c r="M792" s="267" t="s">
        <v>3935</v>
      </c>
      <c r="N792" s="267" t="s">
        <v>3944</v>
      </c>
      <c r="O792" s="267">
        <v>2224.7399999999998</v>
      </c>
      <c r="P792" s="267" t="s">
        <v>3944</v>
      </c>
      <c r="Q792" s="267" t="s">
        <v>3944</v>
      </c>
      <c r="R792" s="267">
        <v>2224.7399999999998</v>
      </c>
      <c r="S792" s="267">
        <v>28574.98</v>
      </c>
      <c r="T792" s="267">
        <v>30799.72</v>
      </c>
      <c r="U792" s="268" t="s">
        <v>3945</v>
      </c>
      <c r="V792" s="267" t="s">
        <v>944</v>
      </c>
    </row>
    <row r="793" spans="1:22" hidden="1" x14ac:dyDescent="0.25">
      <c r="A793" s="269">
        <v>43504</v>
      </c>
      <c r="B793" s="270">
        <v>2019</v>
      </c>
      <c r="C793" s="270">
        <v>2019</v>
      </c>
      <c r="D793" s="270">
        <v>1</v>
      </c>
      <c r="E793" s="270">
        <v>1</v>
      </c>
      <c r="F793" s="270" t="s">
        <v>944</v>
      </c>
      <c r="G793" s="270" t="s">
        <v>3926</v>
      </c>
      <c r="H793" s="270" t="s">
        <v>4928</v>
      </c>
      <c r="I793" s="270" t="s">
        <v>3999</v>
      </c>
      <c r="J793" s="270" t="s">
        <v>3928</v>
      </c>
      <c r="K793" s="270">
        <v>6450</v>
      </c>
      <c r="L793" s="270">
        <v>171200</v>
      </c>
      <c r="M793" s="270" t="s">
        <v>3960</v>
      </c>
      <c r="N793" s="270" t="s">
        <v>3944</v>
      </c>
      <c r="O793" s="270">
        <v>2243.19</v>
      </c>
      <c r="P793" s="270" t="s">
        <v>3944</v>
      </c>
      <c r="Q793" s="270" t="s">
        <v>3944</v>
      </c>
      <c r="R793" s="270">
        <v>2243.19</v>
      </c>
      <c r="S793" s="270">
        <v>33234.93</v>
      </c>
      <c r="T793" s="270">
        <v>35478.120000000003</v>
      </c>
      <c r="U793" s="271" t="s">
        <v>3945</v>
      </c>
      <c r="V793" s="267" t="s">
        <v>944</v>
      </c>
    </row>
    <row r="794" spans="1:22" hidden="1" x14ac:dyDescent="0.25">
      <c r="A794" s="266">
        <v>43504</v>
      </c>
      <c r="B794" s="267">
        <v>2019</v>
      </c>
      <c r="C794" s="267">
        <v>2019</v>
      </c>
      <c r="D794" s="267">
        <v>1</v>
      </c>
      <c r="E794" s="267">
        <v>1</v>
      </c>
      <c r="F794" s="267" t="s">
        <v>944</v>
      </c>
      <c r="G794" s="267" t="s">
        <v>3926</v>
      </c>
      <c r="H794" s="267" t="s">
        <v>4929</v>
      </c>
      <c r="I794" s="267" t="s">
        <v>3968</v>
      </c>
      <c r="J794" s="267" t="s">
        <v>3928</v>
      </c>
      <c r="K794" s="267">
        <v>6042</v>
      </c>
      <c r="L794" s="267">
        <v>514300</v>
      </c>
      <c r="M794" s="267" t="s">
        <v>3935</v>
      </c>
      <c r="N794" s="267" t="s">
        <v>3944</v>
      </c>
      <c r="O794" s="267">
        <v>2504.92</v>
      </c>
      <c r="P794" s="267" t="s">
        <v>3944</v>
      </c>
      <c r="Q794" s="267" t="s">
        <v>3944</v>
      </c>
      <c r="R794" s="267">
        <v>2504.92</v>
      </c>
      <c r="S794" s="267">
        <v>34422.199999999997</v>
      </c>
      <c r="T794" s="267">
        <v>36927.120000000003</v>
      </c>
      <c r="U794" s="268" t="s">
        <v>3945</v>
      </c>
      <c r="V794" s="267" t="s">
        <v>944</v>
      </c>
    </row>
    <row r="795" spans="1:22" hidden="1" x14ac:dyDescent="0.25">
      <c r="A795" s="269">
        <v>43504</v>
      </c>
      <c r="B795" s="270">
        <v>2019</v>
      </c>
      <c r="C795" s="270">
        <v>2019</v>
      </c>
      <c r="D795" s="270">
        <v>1</v>
      </c>
      <c r="E795" s="270">
        <v>1</v>
      </c>
      <c r="F795" s="270" t="s">
        <v>944</v>
      </c>
      <c r="G795" s="270" t="s">
        <v>3926</v>
      </c>
      <c r="H795" s="270" t="s">
        <v>4930</v>
      </c>
      <c r="I795" s="270" t="s">
        <v>3962</v>
      </c>
      <c r="J795" s="270" t="s">
        <v>3928</v>
      </c>
      <c r="K795" s="270">
        <v>6355</v>
      </c>
      <c r="L795" s="270">
        <v>702100</v>
      </c>
      <c r="M795" s="270" t="s">
        <v>3960</v>
      </c>
      <c r="N795" s="270" t="s">
        <v>3944</v>
      </c>
      <c r="O795" s="270">
        <v>3176.08</v>
      </c>
      <c r="P795" s="270" t="s">
        <v>3944</v>
      </c>
      <c r="Q795" s="270" t="s">
        <v>3944</v>
      </c>
      <c r="R795" s="270">
        <v>3176.08</v>
      </c>
      <c r="S795" s="270">
        <v>49257.69</v>
      </c>
      <c r="T795" s="270">
        <v>52433.77</v>
      </c>
      <c r="U795" s="271" t="s">
        <v>3945</v>
      </c>
      <c r="V795" s="267" t="s">
        <v>944</v>
      </c>
    </row>
    <row r="796" spans="1:22" hidden="1" x14ac:dyDescent="0.25">
      <c r="A796" s="266">
        <v>43504</v>
      </c>
      <c r="B796" s="267">
        <v>2019</v>
      </c>
      <c r="C796" s="267">
        <v>2019</v>
      </c>
      <c r="D796" s="267">
        <v>1</v>
      </c>
      <c r="E796" s="267">
        <v>1</v>
      </c>
      <c r="F796" s="267" t="s">
        <v>944</v>
      </c>
      <c r="G796" s="267" t="s">
        <v>3926</v>
      </c>
      <c r="H796" s="267" t="s">
        <v>4931</v>
      </c>
      <c r="I796" s="267" t="s">
        <v>4323</v>
      </c>
      <c r="J796" s="267" t="s">
        <v>3928</v>
      </c>
      <c r="K796" s="267">
        <v>6385</v>
      </c>
      <c r="L796" s="267">
        <v>693700</v>
      </c>
      <c r="M796" s="267" t="s">
        <v>3943</v>
      </c>
      <c r="N796" s="267" t="s">
        <v>3944</v>
      </c>
      <c r="O796" s="267">
        <v>851.59</v>
      </c>
      <c r="P796" s="267" t="s">
        <v>3944</v>
      </c>
      <c r="Q796" s="267" t="s">
        <v>3944</v>
      </c>
      <c r="R796" s="267">
        <v>851.59</v>
      </c>
      <c r="S796" s="267">
        <v>12823.25</v>
      </c>
      <c r="T796" s="267">
        <v>13674.84</v>
      </c>
      <c r="U796" s="268" t="s">
        <v>3945</v>
      </c>
      <c r="V796" s="267" t="s">
        <v>944</v>
      </c>
    </row>
    <row r="797" spans="1:22" hidden="1" x14ac:dyDescent="0.25">
      <c r="A797" s="269">
        <v>43504</v>
      </c>
      <c r="B797" s="270">
        <v>2019</v>
      </c>
      <c r="C797" s="270">
        <v>2019</v>
      </c>
      <c r="D797" s="270">
        <v>1</v>
      </c>
      <c r="E797" s="270">
        <v>1</v>
      </c>
      <c r="F797" s="270" t="s">
        <v>944</v>
      </c>
      <c r="G797" s="270" t="s">
        <v>3926</v>
      </c>
      <c r="H797" s="270" t="s">
        <v>4932</v>
      </c>
      <c r="I797" s="270" t="s">
        <v>3962</v>
      </c>
      <c r="J797" s="270" t="s">
        <v>3928</v>
      </c>
      <c r="K797" s="270">
        <v>6378</v>
      </c>
      <c r="L797" s="270">
        <v>705400</v>
      </c>
      <c r="M797" s="270" t="s">
        <v>3943</v>
      </c>
      <c r="N797" s="270" t="s">
        <v>3944</v>
      </c>
      <c r="O797" s="270">
        <v>2185.96</v>
      </c>
      <c r="P797" s="270" t="s">
        <v>3944</v>
      </c>
      <c r="Q797" s="270" t="s">
        <v>3944</v>
      </c>
      <c r="R797" s="270">
        <v>2185.96</v>
      </c>
      <c r="S797" s="270">
        <v>151419.06</v>
      </c>
      <c r="T797" s="270">
        <v>153605.01999999999</v>
      </c>
      <c r="U797" s="271" t="s">
        <v>3945</v>
      </c>
      <c r="V797" s="267" t="s">
        <v>944</v>
      </c>
    </row>
    <row r="798" spans="1:22" hidden="1" x14ac:dyDescent="0.25">
      <c r="A798" s="266">
        <v>43505</v>
      </c>
      <c r="B798" s="267">
        <v>2019</v>
      </c>
      <c r="C798" s="267">
        <v>2019</v>
      </c>
      <c r="D798" s="267">
        <v>1</v>
      </c>
      <c r="E798" s="267">
        <v>1</v>
      </c>
      <c r="F798" s="267" t="s">
        <v>944</v>
      </c>
      <c r="G798" s="267" t="s">
        <v>3926</v>
      </c>
      <c r="H798" s="267" t="s">
        <v>4933</v>
      </c>
      <c r="I798" s="267" t="s">
        <v>953</v>
      </c>
      <c r="J798" s="267" t="s">
        <v>3928</v>
      </c>
      <c r="K798" s="267">
        <v>6514</v>
      </c>
      <c r="L798" s="267">
        <v>165700</v>
      </c>
      <c r="M798" s="267" t="s">
        <v>3935</v>
      </c>
      <c r="N798" s="267" t="s">
        <v>4934</v>
      </c>
      <c r="O798" s="267">
        <v>0</v>
      </c>
      <c r="P798" s="267" t="s">
        <v>3930</v>
      </c>
      <c r="Q798" s="267" t="s">
        <v>3930</v>
      </c>
      <c r="R798" s="267">
        <v>0</v>
      </c>
      <c r="S798" s="267">
        <v>20875</v>
      </c>
      <c r="T798" s="267">
        <v>20875</v>
      </c>
      <c r="U798" s="268" t="s">
        <v>3937</v>
      </c>
      <c r="V798" s="267" t="s">
        <v>944</v>
      </c>
    </row>
    <row r="799" spans="1:22" hidden="1" x14ac:dyDescent="0.25">
      <c r="A799" s="269">
        <v>43505</v>
      </c>
      <c r="B799" s="270">
        <v>2019</v>
      </c>
      <c r="C799" s="270">
        <v>2019</v>
      </c>
      <c r="D799" s="270">
        <v>1</v>
      </c>
      <c r="E799" s="270">
        <v>1</v>
      </c>
      <c r="F799" s="270" t="s">
        <v>944</v>
      </c>
      <c r="G799" s="270" t="s">
        <v>3926</v>
      </c>
      <c r="H799" s="270" t="s">
        <v>4935</v>
      </c>
      <c r="I799" s="270" t="s">
        <v>3968</v>
      </c>
      <c r="J799" s="270" t="s">
        <v>3928</v>
      </c>
      <c r="K799" s="270">
        <v>6040</v>
      </c>
      <c r="L799" s="270">
        <v>515000</v>
      </c>
      <c r="M799" s="270" t="s">
        <v>3943</v>
      </c>
      <c r="N799" s="270" t="s">
        <v>3929</v>
      </c>
      <c r="O799" s="270">
        <v>2210.2199999999998</v>
      </c>
      <c r="P799" s="270" t="s">
        <v>3930</v>
      </c>
      <c r="Q799" s="270" t="s">
        <v>3931</v>
      </c>
      <c r="R799" s="270">
        <v>7210.22</v>
      </c>
      <c r="S799" s="270">
        <v>34744</v>
      </c>
      <c r="T799" s="270">
        <v>41954.22</v>
      </c>
      <c r="U799" s="271" t="s">
        <v>3932</v>
      </c>
      <c r="V799" s="267" t="s">
        <v>944</v>
      </c>
    </row>
    <row r="800" spans="1:22" hidden="1" x14ac:dyDescent="0.25">
      <c r="A800" s="266">
        <v>43505</v>
      </c>
      <c r="B800" s="267">
        <v>2019</v>
      </c>
      <c r="C800" s="267">
        <v>2019</v>
      </c>
      <c r="D800" s="267">
        <v>1</v>
      </c>
      <c r="E800" s="267">
        <v>1</v>
      </c>
      <c r="F800" s="267" t="s">
        <v>944</v>
      </c>
      <c r="G800" s="267" t="s">
        <v>3926</v>
      </c>
      <c r="H800" s="267" t="s">
        <v>4936</v>
      </c>
      <c r="I800" s="267" t="s">
        <v>956</v>
      </c>
      <c r="J800" s="267" t="s">
        <v>3928</v>
      </c>
      <c r="K800" s="267">
        <v>6614</v>
      </c>
      <c r="L800" s="267">
        <v>80900</v>
      </c>
      <c r="M800" s="267" t="s">
        <v>3960</v>
      </c>
      <c r="N800" s="267" t="s">
        <v>4103</v>
      </c>
      <c r="O800" s="267">
        <v>3783.26</v>
      </c>
      <c r="P800" s="267" t="s">
        <v>3930</v>
      </c>
      <c r="Q800" s="267" t="s">
        <v>3931</v>
      </c>
      <c r="R800" s="267">
        <v>8783.26</v>
      </c>
      <c r="S800" s="267">
        <v>24145.599999999999</v>
      </c>
      <c r="T800" s="267">
        <v>32928.86</v>
      </c>
      <c r="U800" s="268" t="s">
        <v>3932</v>
      </c>
      <c r="V800" s="267" t="s">
        <v>944</v>
      </c>
    </row>
    <row r="801" spans="1:22" hidden="1" x14ac:dyDescent="0.25">
      <c r="A801" s="269">
        <v>43507</v>
      </c>
      <c r="B801" s="270">
        <v>2019</v>
      </c>
      <c r="C801" s="270">
        <v>2019</v>
      </c>
      <c r="D801" s="270">
        <v>1</v>
      </c>
      <c r="E801" s="270">
        <v>1</v>
      </c>
      <c r="F801" s="270" t="s">
        <v>944</v>
      </c>
      <c r="G801" s="270" t="s">
        <v>3926</v>
      </c>
      <c r="H801" s="270" t="s">
        <v>4937</v>
      </c>
      <c r="I801" s="270" t="s">
        <v>4037</v>
      </c>
      <c r="J801" s="270" t="s">
        <v>3928</v>
      </c>
      <c r="K801" s="270">
        <v>6811</v>
      </c>
      <c r="L801" s="270">
        <v>211400</v>
      </c>
      <c r="M801" s="270" t="s">
        <v>3935</v>
      </c>
      <c r="N801" s="270" t="s">
        <v>4938</v>
      </c>
      <c r="O801" s="270">
        <v>0</v>
      </c>
      <c r="P801" s="270" t="s">
        <v>3930</v>
      </c>
      <c r="Q801" s="270" t="s">
        <v>3930</v>
      </c>
      <c r="R801" s="270">
        <v>0</v>
      </c>
      <c r="S801" s="270">
        <v>10406.77</v>
      </c>
      <c r="T801" s="270">
        <v>10406.77</v>
      </c>
      <c r="U801" s="271" t="s">
        <v>3937</v>
      </c>
      <c r="V801" s="267" t="s">
        <v>944</v>
      </c>
    </row>
    <row r="802" spans="1:22" hidden="1" x14ac:dyDescent="0.25">
      <c r="A802" s="266">
        <v>43507</v>
      </c>
      <c r="B802" s="267">
        <v>2019</v>
      </c>
      <c r="C802" s="267">
        <v>2019</v>
      </c>
      <c r="D802" s="267">
        <v>1</v>
      </c>
      <c r="E802" s="267">
        <v>1</v>
      </c>
      <c r="F802" s="267" t="s">
        <v>944</v>
      </c>
      <c r="G802" s="267" t="s">
        <v>3926</v>
      </c>
      <c r="H802" s="267" t="s">
        <v>4939</v>
      </c>
      <c r="I802" s="267" t="s">
        <v>4235</v>
      </c>
      <c r="J802" s="267" t="s">
        <v>3928</v>
      </c>
      <c r="K802" s="267">
        <v>6066</v>
      </c>
      <c r="L802" s="267">
        <v>530500</v>
      </c>
      <c r="M802" s="267" t="s">
        <v>3935</v>
      </c>
      <c r="N802" s="267" t="s">
        <v>4940</v>
      </c>
      <c r="O802" s="267">
        <v>0</v>
      </c>
      <c r="P802" s="267" t="s">
        <v>3930</v>
      </c>
      <c r="Q802" s="267" t="s">
        <v>3930</v>
      </c>
      <c r="R802" s="267">
        <v>0</v>
      </c>
      <c r="S802" s="267">
        <v>17145</v>
      </c>
      <c r="T802" s="267">
        <v>17145</v>
      </c>
      <c r="U802" s="268" t="s">
        <v>3937</v>
      </c>
      <c r="V802" s="267" t="s">
        <v>944</v>
      </c>
    </row>
    <row r="803" spans="1:22" hidden="1" x14ac:dyDescent="0.25">
      <c r="A803" s="269">
        <v>43507</v>
      </c>
      <c r="B803" s="270">
        <v>2019</v>
      </c>
      <c r="C803" s="270">
        <v>2019</v>
      </c>
      <c r="D803" s="270">
        <v>1</v>
      </c>
      <c r="E803" s="270">
        <v>1</v>
      </c>
      <c r="F803" s="270" t="s">
        <v>944</v>
      </c>
      <c r="G803" s="270" t="s">
        <v>3926</v>
      </c>
      <c r="H803" s="270" t="s">
        <v>4941</v>
      </c>
      <c r="I803" s="270" t="s">
        <v>4111</v>
      </c>
      <c r="J803" s="270" t="s">
        <v>3928</v>
      </c>
      <c r="K803" s="270">
        <v>6095</v>
      </c>
      <c r="L803" s="270">
        <v>473601</v>
      </c>
      <c r="M803" s="270" t="s">
        <v>3943</v>
      </c>
      <c r="N803" s="270" t="s">
        <v>3986</v>
      </c>
      <c r="O803" s="270">
        <v>3385.44</v>
      </c>
      <c r="P803" s="270" t="s">
        <v>3930</v>
      </c>
      <c r="Q803" s="270" t="s">
        <v>3931</v>
      </c>
      <c r="R803" s="270">
        <v>8385.44</v>
      </c>
      <c r="S803" s="270">
        <v>16196.8</v>
      </c>
      <c r="T803" s="270">
        <v>24582.240000000002</v>
      </c>
      <c r="U803" s="271" t="s">
        <v>3932</v>
      </c>
      <c r="V803" s="267" t="s">
        <v>944</v>
      </c>
    </row>
    <row r="804" spans="1:22" hidden="1" x14ac:dyDescent="0.25">
      <c r="A804" s="266">
        <v>43507</v>
      </c>
      <c r="B804" s="267">
        <v>2019</v>
      </c>
      <c r="C804" s="267">
        <v>2019</v>
      </c>
      <c r="D804" s="267">
        <v>1</v>
      </c>
      <c r="E804" s="267">
        <v>1</v>
      </c>
      <c r="F804" s="267" t="s">
        <v>944</v>
      </c>
      <c r="G804" s="267" t="s">
        <v>3926</v>
      </c>
      <c r="H804" s="267" t="s">
        <v>4942</v>
      </c>
      <c r="I804" s="267" t="s">
        <v>4172</v>
      </c>
      <c r="J804" s="267" t="s">
        <v>3928</v>
      </c>
      <c r="K804" s="267">
        <v>6786</v>
      </c>
      <c r="L804" s="267">
        <v>425300</v>
      </c>
      <c r="M804" s="267" t="s">
        <v>3960</v>
      </c>
      <c r="N804" s="267" t="s">
        <v>3986</v>
      </c>
      <c r="O804" s="267">
        <v>3000.87</v>
      </c>
      <c r="P804" s="267" t="s">
        <v>3930</v>
      </c>
      <c r="Q804" s="267" t="s">
        <v>3931</v>
      </c>
      <c r="R804" s="267">
        <v>8000.87</v>
      </c>
      <c r="S804" s="267">
        <v>16196.8</v>
      </c>
      <c r="T804" s="267">
        <v>24197.67</v>
      </c>
      <c r="U804" s="268" t="s">
        <v>3932</v>
      </c>
      <c r="V804" s="267" t="s">
        <v>944</v>
      </c>
    </row>
    <row r="805" spans="1:22" hidden="1" x14ac:dyDescent="0.25">
      <c r="A805" s="269">
        <v>43507</v>
      </c>
      <c r="B805" s="270">
        <v>2019</v>
      </c>
      <c r="C805" s="270">
        <v>2019</v>
      </c>
      <c r="D805" s="270">
        <v>1</v>
      </c>
      <c r="E805" s="270">
        <v>1</v>
      </c>
      <c r="F805" s="270" t="s">
        <v>944</v>
      </c>
      <c r="G805" s="270" t="s">
        <v>3926</v>
      </c>
      <c r="H805" s="270" t="s">
        <v>4943</v>
      </c>
      <c r="I805" s="270" t="s">
        <v>4944</v>
      </c>
      <c r="J805" s="270" t="s">
        <v>3928</v>
      </c>
      <c r="K805" s="270">
        <v>6232</v>
      </c>
      <c r="L805" s="270">
        <v>528100</v>
      </c>
      <c r="M805" s="270" t="s">
        <v>3943</v>
      </c>
      <c r="N805" s="270" t="s">
        <v>3929</v>
      </c>
      <c r="O805" s="270">
        <v>2266.0100000000002</v>
      </c>
      <c r="P805" s="270" t="s">
        <v>3930</v>
      </c>
      <c r="Q805" s="270" t="s">
        <v>3931</v>
      </c>
      <c r="R805" s="270">
        <v>7266.01</v>
      </c>
      <c r="S805" s="270">
        <v>34744</v>
      </c>
      <c r="T805" s="270">
        <v>42010.01</v>
      </c>
      <c r="U805" s="271" t="s">
        <v>3932</v>
      </c>
      <c r="V805" s="267" t="s">
        <v>944</v>
      </c>
    </row>
    <row r="806" spans="1:22" hidden="1" x14ac:dyDescent="0.25">
      <c r="A806" s="266">
        <v>43507</v>
      </c>
      <c r="B806" s="267">
        <v>2019</v>
      </c>
      <c r="C806" s="267">
        <v>2019</v>
      </c>
      <c r="D806" s="267">
        <v>1</v>
      </c>
      <c r="E806" s="267">
        <v>1</v>
      </c>
      <c r="F806" s="267" t="s">
        <v>944</v>
      </c>
      <c r="G806" s="267" t="s">
        <v>3926</v>
      </c>
      <c r="H806" s="267" t="s">
        <v>4945</v>
      </c>
      <c r="I806" s="267" t="s">
        <v>3956</v>
      </c>
      <c r="J806" s="267" t="s">
        <v>3928</v>
      </c>
      <c r="K806" s="267">
        <v>6106</v>
      </c>
      <c r="L806" s="267">
        <v>504800</v>
      </c>
      <c r="M806" s="267" t="s">
        <v>3940</v>
      </c>
      <c r="N806" s="267" t="s">
        <v>3986</v>
      </c>
      <c r="O806" s="267">
        <v>2942.73</v>
      </c>
      <c r="P806" s="267" t="s">
        <v>3930</v>
      </c>
      <c r="Q806" s="267" t="s">
        <v>3931</v>
      </c>
      <c r="R806" s="267">
        <v>7942.73</v>
      </c>
      <c r="S806" s="267">
        <v>16196.8</v>
      </c>
      <c r="T806" s="267">
        <v>24139.53</v>
      </c>
      <c r="U806" s="268" t="s">
        <v>3932</v>
      </c>
      <c r="V806" s="267" t="s">
        <v>944</v>
      </c>
    </row>
    <row r="807" spans="1:22" hidden="1" x14ac:dyDescent="0.25">
      <c r="A807" s="269">
        <v>43507</v>
      </c>
      <c r="B807" s="270">
        <v>2019</v>
      </c>
      <c r="C807" s="270">
        <v>2019</v>
      </c>
      <c r="D807" s="270">
        <v>1</v>
      </c>
      <c r="E807" s="270">
        <v>1</v>
      </c>
      <c r="F807" s="270" t="s">
        <v>944</v>
      </c>
      <c r="G807" s="270" t="s">
        <v>3926</v>
      </c>
      <c r="H807" s="270" t="s">
        <v>4946</v>
      </c>
      <c r="I807" s="270" t="s">
        <v>4947</v>
      </c>
      <c r="J807" s="270" t="s">
        <v>3928</v>
      </c>
      <c r="K807" s="270">
        <v>6787</v>
      </c>
      <c r="L807" s="270">
        <v>349100</v>
      </c>
      <c r="M807" s="270" t="s">
        <v>3935</v>
      </c>
      <c r="N807" s="270" t="s">
        <v>3986</v>
      </c>
      <c r="O807" s="270">
        <v>1101.07</v>
      </c>
      <c r="P807" s="270" t="s">
        <v>3930</v>
      </c>
      <c r="Q807" s="270" t="s">
        <v>3931</v>
      </c>
      <c r="R807" s="270">
        <v>6101.07</v>
      </c>
      <c r="S807" s="270">
        <v>16196.8</v>
      </c>
      <c r="T807" s="270">
        <v>22297.87</v>
      </c>
      <c r="U807" s="271" t="s">
        <v>3932</v>
      </c>
      <c r="V807" s="267" t="s">
        <v>944</v>
      </c>
    </row>
    <row r="808" spans="1:22" hidden="1" x14ac:dyDescent="0.25">
      <c r="A808" s="266">
        <v>43507</v>
      </c>
      <c r="B808" s="267">
        <v>2019</v>
      </c>
      <c r="C808" s="267">
        <v>2019</v>
      </c>
      <c r="D808" s="267">
        <v>1</v>
      </c>
      <c r="E808" s="267">
        <v>1</v>
      </c>
      <c r="F808" s="267" t="s">
        <v>944</v>
      </c>
      <c r="G808" s="267" t="s">
        <v>3926</v>
      </c>
      <c r="H808" s="267" t="s">
        <v>4948</v>
      </c>
      <c r="I808" s="267" t="s">
        <v>934</v>
      </c>
      <c r="J808" s="267" t="s">
        <v>3928</v>
      </c>
      <c r="K808" s="267">
        <v>6606</v>
      </c>
      <c r="L808" s="267">
        <v>72300</v>
      </c>
      <c r="M808" s="267" t="s">
        <v>3940</v>
      </c>
      <c r="N808" s="267" t="s">
        <v>4103</v>
      </c>
      <c r="O808" s="267">
        <v>4545.3599999999997</v>
      </c>
      <c r="P808" s="267" t="s">
        <v>3930</v>
      </c>
      <c r="Q808" s="267" t="s">
        <v>3931</v>
      </c>
      <c r="R808" s="267">
        <v>9545.36</v>
      </c>
      <c r="S808" s="267">
        <v>24145.599999999999</v>
      </c>
      <c r="T808" s="267">
        <v>33690.959999999999</v>
      </c>
      <c r="U808" s="268" t="s">
        <v>3932</v>
      </c>
      <c r="V808" s="267" t="s">
        <v>944</v>
      </c>
    </row>
    <row r="809" spans="1:22" hidden="1" x14ac:dyDescent="0.25">
      <c r="A809" s="269">
        <v>43507</v>
      </c>
      <c r="B809" s="270">
        <v>2019</v>
      </c>
      <c r="C809" s="270">
        <v>2019</v>
      </c>
      <c r="D809" s="270">
        <v>1</v>
      </c>
      <c r="E809" s="270">
        <v>1</v>
      </c>
      <c r="F809" s="270" t="s">
        <v>944</v>
      </c>
      <c r="G809" s="270" t="s">
        <v>3926</v>
      </c>
      <c r="H809" s="270" t="s">
        <v>4949</v>
      </c>
      <c r="I809" s="270" t="s">
        <v>3009</v>
      </c>
      <c r="J809" s="270" t="s">
        <v>3928</v>
      </c>
      <c r="K809" s="270">
        <v>6484</v>
      </c>
      <c r="L809" s="270">
        <v>110201</v>
      </c>
      <c r="M809" s="270" t="s">
        <v>3960</v>
      </c>
      <c r="N809" s="270" t="s">
        <v>3944</v>
      </c>
      <c r="O809" s="270">
        <v>3232</v>
      </c>
      <c r="P809" s="270" t="s">
        <v>3944</v>
      </c>
      <c r="Q809" s="270" t="s">
        <v>3944</v>
      </c>
      <c r="R809" s="270">
        <v>3232</v>
      </c>
      <c r="S809" s="270">
        <v>27386</v>
      </c>
      <c r="T809" s="270">
        <v>30618</v>
      </c>
      <c r="U809" s="271" t="s">
        <v>3945</v>
      </c>
      <c r="V809" s="267" t="s">
        <v>944</v>
      </c>
    </row>
    <row r="810" spans="1:22" hidden="1" x14ac:dyDescent="0.25">
      <c r="A810" s="266">
        <v>43507</v>
      </c>
      <c r="B810" s="267">
        <v>2019</v>
      </c>
      <c r="C810" s="267">
        <v>2019</v>
      </c>
      <c r="D810" s="267">
        <v>1</v>
      </c>
      <c r="E810" s="267">
        <v>1</v>
      </c>
      <c r="F810" s="267" t="s">
        <v>944</v>
      </c>
      <c r="G810" s="267" t="s">
        <v>3926</v>
      </c>
      <c r="H810" s="267" t="s">
        <v>4950</v>
      </c>
      <c r="I810" s="267" t="s">
        <v>934</v>
      </c>
      <c r="J810" s="267" t="s">
        <v>3928</v>
      </c>
      <c r="K810" s="267">
        <v>6606</v>
      </c>
      <c r="L810" s="267">
        <v>72900</v>
      </c>
      <c r="M810" s="267" t="s">
        <v>3940</v>
      </c>
      <c r="N810" s="267" t="s">
        <v>3944</v>
      </c>
      <c r="O810" s="267">
        <v>1701</v>
      </c>
      <c r="P810" s="267" t="s">
        <v>3944</v>
      </c>
      <c r="Q810" s="267" t="s">
        <v>3944</v>
      </c>
      <c r="R810" s="267">
        <v>1701</v>
      </c>
      <c r="S810" s="267">
        <v>47865.37</v>
      </c>
      <c r="T810" s="267">
        <v>49566.37</v>
      </c>
      <c r="U810" s="268" t="s">
        <v>3945</v>
      </c>
      <c r="V810" s="267" t="s">
        <v>944</v>
      </c>
    </row>
    <row r="811" spans="1:22" hidden="1" x14ac:dyDescent="0.25">
      <c r="A811" s="269">
        <v>43507</v>
      </c>
      <c r="B811" s="270">
        <v>2019</v>
      </c>
      <c r="C811" s="270">
        <v>2019</v>
      </c>
      <c r="D811" s="270">
        <v>1</v>
      </c>
      <c r="E811" s="270">
        <v>1</v>
      </c>
      <c r="F811" s="270" t="s">
        <v>944</v>
      </c>
      <c r="G811" s="270" t="s">
        <v>3926</v>
      </c>
      <c r="H811" s="270" t="s">
        <v>4951</v>
      </c>
      <c r="I811" s="270" t="s">
        <v>3025</v>
      </c>
      <c r="J811" s="270" t="s">
        <v>3928</v>
      </c>
      <c r="K811" s="270">
        <v>6473</v>
      </c>
      <c r="L811" s="270">
        <v>167300</v>
      </c>
      <c r="M811" s="270" t="s">
        <v>3943</v>
      </c>
      <c r="N811" s="270" t="s">
        <v>3944</v>
      </c>
      <c r="O811" s="270">
        <v>3874</v>
      </c>
      <c r="P811" s="270" t="s">
        <v>3944</v>
      </c>
      <c r="Q811" s="270" t="s">
        <v>3944</v>
      </c>
      <c r="R811" s="270">
        <v>3874</v>
      </c>
      <c r="S811" s="270">
        <v>63599</v>
      </c>
      <c r="T811" s="270">
        <v>67473</v>
      </c>
      <c r="U811" s="271" t="s">
        <v>3945</v>
      </c>
      <c r="V811" s="267" t="s">
        <v>944</v>
      </c>
    </row>
    <row r="812" spans="1:22" hidden="1" x14ac:dyDescent="0.25">
      <c r="A812" s="266">
        <v>43507</v>
      </c>
      <c r="B812" s="267">
        <v>2019</v>
      </c>
      <c r="C812" s="267">
        <v>2019</v>
      </c>
      <c r="D812" s="267">
        <v>1</v>
      </c>
      <c r="E812" s="267">
        <v>1</v>
      </c>
      <c r="F812" s="267" t="s">
        <v>944</v>
      </c>
      <c r="G812" s="267" t="s">
        <v>3926</v>
      </c>
      <c r="H812" s="267" t="s">
        <v>4952</v>
      </c>
      <c r="I812" s="267" t="s">
        <v>4108</v>
      </c>
      <c r="J812" s="267" t="s">
        <v>3928</v>
      </c>
      <c r="K812" s="267">
        <v>6082</v>
      </c>
      <c r="L812" s="267">
        <v>480500</v>
      </c>
      <c r="M812" s="267" t="s">
        <v>3935</v>
      </c>
      <c r="N812" s="267" t="s">
        <v>3944</v>
      </c>
      <c r="O812" s="267">
        <v>3398</v>
      </c>
      <c r="P812" s="267" t="s">
        <v>3944</v>
      </c>
      <c r="Q812" s="267" t="s">
        <v>3944</v>
      </c>
      <c r="R812" s="267">
        <v>3398</v>
      </c>
      <c r="S812" s="267">
        <v>22738</v>
      </c>
      <c r="T812" s="267">
        <v>26136</v>
      </c>
      <c r="U812" s="268" t="s">
        <v>3945</v>
      </c>
      <c r="V812" s="267" t="s">
        <v>944</v>
      </c>
    </row>
    <row r="813" spans="1:22" hidden="1" x14ac:dyDescent="0.25">
      <c r="A813" s="269">
        <v>43507</v>
      </c>
      <c r="B813" s="270">
        <v>2019</v>
      </c>
      <c r="C813" s="270">
        <v>2019</v>
      </c>
      <c r="D813" s="270">
        <v>1</v>
      </c>
      <c r="E813" s="270">
        <v>1</v>
      </c>
      <c r="F813" s="270" t="s">
        <v>944</v>
      </c>
      <c r="G813" s="270" t="s">
        <v>3926</v>
      </c>
      <c r="H813" s="270" t="s">
        <v>4953</v>
      </c>
      <c r="I813" s="270" t="s">
        <v>3956</v>
      </c>
      <c r="J813" s="270" t="s">
        <v>3928</v>
      </c>
      <c r="K813" s="270">
        <v>6114</v>
      </c>
      <c r="L813" s="270">
        <v>502300</v>
      </c>
      <c r="M813" s="270">
        <v>-60</v>
      </c>
      <c r="N813" s="270" t="s">
        <v>3944</v>
      </c>
      <c r="O813" s="270">
        <v>2935</v>
      </c>
      <c r="P813" s="270" t="s">
        <v>3944</v>
      </c>
      <c r="Q813" s="270" t="s">
        <v>3944</v>
      </c>
      <c r="R813" s="270">
        <v>2935</v>
      </c>
      <c r="S813" s="270">
        <v>19692.84</v>
      </c>
      <c r="T813" s="270">
        <v>22627.84</v>
      </c>
      <c r="U813" s="271" t="s">
        <v>3945</v>
      </c>
      <c r="V813" s="267" t="s">
        <v>944</v>
      </c>
    </row>
    <row r="814" spans="1:22" hidden="1" x14ac:dyDescent="0.25">
      <c r="A814" s="266">
        <v>43507</v>
      </c>
      <c r="B814" s="267">
        <v>2019</v>
      </c>
      <c r="C814" s="267">
        <v>2019</v>
      </c>
      <c r="D814" s="267">
        <v>1</v>
      </c>
      <c r="E814" s="267">
        <v>1</v>
      </c>
      <c r="F814" s="267" t="s">
        <v>944</v>
      </c>
      <c r="G814" s="267" t="s">
        <v>3926</v>
      </c>
      <c r="H814" s="267" t="s">
        <v>4954</v>
      </c>
      <c r="I814" s="267" t="s">
        <v>4124</v>
      </c>
      <c r="J814" s="267" t="s">
        <v>3928</v>
      </c>
      <c r="K814" s="267">
        <v>6470</v>
      </c>
      <c r="L814" s="267">
        <v>230400</v>
      </c>
      <c r="M814" s="267" t="s">
        <v>3943</v>
      </c>
      <c r="N814" s="267" t="s">
        <v>3944</v>
      </c>
      <c r="O814" s="267">
        <v>2019</v>
      </c>
      <c r="P814" s="267" t="s">
        <v>3944</v>
      </c>
      <c r="Q814" s="267" t="s">
        <v>3944</v>
      </c>
      <c r="R814" s="267">
        <v>2019</v>
      </c>
      <c r="S814" s="267">
        <v>36681</v>
      </c>
      <c r="T814" s="267">
        <v>38700</v>
      </c>
      <c r="U814" s="268" t="s">
        <v>3945</v>
      </c>
      <c r="V814" s="267" t="s">
        <v>944</v>
      </c>
    </row>
    <row r="815" spans="1:22" hidden="1" x14ac:dyDescent="0.25">
      <c r="A815" s="269">
        <v>43507</v>
      </c>
      <c r="B815" s="270">
        <v>2019</v>
      </c>
      <c r="C815" s="270">
        <v>2019</v>
      </c>
      <c r="D815" s="270">
        <v>1</v>
      </c>
      <c r="E815" s="270">
        <v>1</v>
      </c>
      <c r="F815" s="270" t="s">
        <v>944</v>
      </c>
      <c r="G815" s="270" t="s">
        <v>3926</v>
      </c>
      <c r="H815" s="270" t="s">
        <v>4955</v>
      </c>
      <c r="I815" s="270" t="s">
        <v>3934</v>
      </c>
      <c r="J815" s="270" t="s">
        <v>3928</v>
      </c>
      <c r="K815" s="270">
        <v>6405</v>
      </c>
      <c r="L815" s="270">
        <v>184400</v>
      </c>
      <c r="M815" s="270" t="s">
        <v>3935</v>
      </c>
      <c r="N815" s="270" t="s">
        <v>3944</v>
      </c>
      <c r="O815" s="270">
        <v>2318</v>
      </c>
      <c r="P815" s="270" t="s">
        <v>3944</v>
      </c>
      <c r="Q815" s="270" t="s">
        <v>3944</v>
      </c>
      <c r="R815" s="270">
        <v>2318</v>
      </c>
      <c r="S815" s="270">
        <v>23334.77</v>
      </c>
      <c r="T815" s="270">
        <v>25652.77</v>
      </c>
      <c r="U815" s="271" t="s">
        <v>3945</v>
      </c>
      <c r="V815" s="267" t="s">
        <v>944</v>
      </c>
    </row>
    <row r="816" spans="1:22" x14ac:dyDescent="0.25">
      <c r="A816" s="266">
        <v>43507</v>
      </c>
      <c r="B816" s="267">
        <v>2019</v>
      </c>
      <c r="C816" s="267">
        <v>2019</v>
      </c>
      <c r="D816" s="267">
        <v>1</v>
      </c>
      <c r="E816" s="267">
        <v>1</v>
      </c>
      <c r="F816" s="267" t="s">
        <v>944</v>
      </c>
      <c r="G816" s="267" t="s">
        <v>3926</v>
      </c>
      <c r="H816" s="267" t="s">
        <v>4956</v>
      </c>
      <c r="I816" s="267" t="s">
        <v>943</v>
      </c>
      <c r="J816" s="267" t="s">
        <v>3928</v>
      </c>
      <c r="K816" s="267">
        <v>6513</v>
      </c>
      <c r="L816" s="267">
        <v>142300</v>
      </c>
      <c r="M816" s="267">
        <v>-60</v>
      </c>
      <c r="N816" s="267" t="s">
        <v>3944</v>
      </c>
      <c r="O816" s="267">
        <v>650.20000000000005</v>
      </c>
      <c r="P816" s="267" t="s">
        <v>3944</v>
      </c>
      <c r="Q816" s="267" t="s">
        <v>3944</v>
      </c>
      <c r="R816" s="267">
        <v>650.20000000000005</v>
      </c>
      <c r="S816" s="267">
        <v>12066.35</v>
      </c>
      <c r="T816" s="267">
        <v>12716.55</v>
      </c>
      <c r="U816" s="268" t="s">
        <v>3945</v>
      </c>
      <c r="V816" s="276" t="s">
        <v>936</v>
      </c>
    </row>
    <row r="817" spans="1:22" hidden="1" x14ac:dyDescent="0.25">
      <c r="A817" s="269">
        <v>43507</v>
      </c>
      <c r="B817" s="270">
        <v>2019</v>
      </c>
      <c r="C817" s="270">
        <v>2019</v>
      </c>
      <c r="D817" s="270">
        <v>1</v>
      </c>
      <c r="E817" s="270">
        <v>1</v>
      </c>
      <c r="F817" s="270" t="s">
        <v>944</v>
      </c>
      <c r="G817" s="270" t="s">
        <v>3926</v>
      </c>
      <c r="H817" s="270" t="s">
        <v>4957</v>
      </c>
      <c r="I817" s="270" t="s">
        <v>4019</v>
      </c>
      <c r="J817" s="270" t="s">
        <v>3928</v>
      </c>
      <c r="K817" s="270">
        <v>6706</v>
      </c>
      <c r="L817" s="270">
        <v>351400</v>
      </c>
      <c r="M817" s="270">
        <v>-60</v>
      </c>
      <c r="N817" s="270" t="s">
        <v>3944</v>
      </c>
      <c r="O817" s="270">
        <v>2106.9299999999998</v>
      </c>
      <c r="P817" s="270" t="s">
        <v>3944</v>
      </c>
      <c r="Q817" s="270" t="s">
        <v>3944</v>
      </c>
      <c r="R817" s="270">
        <v>2106.9299999999998</v>
      </c>
      <c r="S817" s="270">
        <v>35394.449999999997</v>
      </c>
      <c r="T817" s="270">
        <v>37501.379999999997</v>
      </c>
      <c r="U817" s="271" t="s">
        <v>3945</v>
      </c>
      <c r="V817" s="267" t="s">
        <v>944</v>
      </c>
    </row>
    <row r="818" spans="1:22" hidden="1" x14ac:dyDescent="0.25">
      <c r="A818" s="266">
        <v>43507</v>
      </c>
      <c r="B818" s="267">
        <v>2019</v>
      </c>
      <c r="C818" s="267">
        <v>2019</v>
      </c>
      <c r="D818" s="267">
        <v>1</v>
      </c>
      <c r="E818" s="267">
        <v>1</v>
      </c>
      <c r="F818" s="267" t="s">
        <v>944</v>
      </c>
      <c r="G818" s="267" t="s">
        <v>3926</v>
      </c>
      <c r="H818" s="267" t="s">
        <v>4958</v>
      </c>
      <c r="I818" s="267" t="s">
        <v>3962</v>
      </c>
      <c r="J818" s="267" t="s">
        <v>3928</v>
      </c>
      <c r="K818" s="267">
        <v>6379</v>
      </c>
      <c r="L818" s="267">
        <v>705101</v>
      </c>
      <c r="M818" s="267" t="s">
        <v>3935</v>
      </c>
      <c r="N818" s="267" t="s">
        <v>3944</v>
      </c>
      <c r="O818" s="267">
        <v>1453.45</v>
      </c>
      <c r="P818" s="267" t="s">
        <v>3944</v>
      </c>
      <c r="Q818" s="267" t="s">
        <v>3944</v>
      </c>
      <c r="R818" s="267">
        <v>1453.45</v>
      </c>
      <c r="S818" s="267">
        <v>25658.32</v>
      </c>
      <c r="T818" s="267">
        <v>27111.77</v>
      </c>
      <c r="U818" s="268" t="s">
        <v>3945</v>
      </c>
      <c r="V818" s="267" t="s">
        <v>944</v>
      </c>
    </row>
    <row r="819" spans="1:22" hidden="1" x14ac:dyDescent="0.25">
      <c r="A819" s="269">
        <v>43507</v>
      </c>
      <c r="B819" s="270">
        <v>2019</v>
      </c>
      <c r="C819" s="270">
        <v>2019</v>
      </c>
      <c r="D819" s="270">
        <v>1</v>
      </c>
      <c r="E819" s="270">
        <v>1</v>
      </c>
      <c r="F819" s="270" t="s">
        <v>944</v>
      </c>
      <c r="G819" s="270" t="s">
        <v>3926</v>
      </c>
      <c r="H819" s="270" t="s">
        <v>4959</v>
      </c>
      <c r="I819" s="270" t="s">
        <v>4040</v>
      </c>
      <c r="J819" s="270" t="s">
        <v>3928</v>
      </c>
      <c r="K819" s="270">
        <v>6339</v>
      </c>
      <c r="L819" s="270">
        <v>701100</v>
      </c>
      <c r="M819" s="270" t="s">
        <v>3960</v>
      </c>
      <c r="N819" s="270" t="s">
        <v>3944</v>
      </c>
      <c r="O819" s="270">
        <v>2409.33</v>
      </c>
      <c r="P819" s="270" t="s">
        <v>3944</v>
      </c>
      <c r="Q819" s="270" t="s">
        <v>3944</v>
      </c>
      <c r="R819" s="270">
        <v>2409.33</v>
      </c>
      <c r="S819" s="270">
        <v>37083.93</v>
      </c>
      <c r="T819" s="270">
        <v>39493.26</v>
      </c>
      <c r="U819" s="271" t="s">
        <v>3945</v>
      </c>
      <c r="V819" s="267" t="s">
        <v>944</v>
      </c>
    </row>
    <row r="820" spans="1:22" hidden="1" x14ac:dyDescent="0.25">
      <c r="A820" s="266">
        <v>43507</v>
      </c>
      <c r="B820" s="267">
        <v>2019</v>
      </c>
      <c r="C820" s="267">
        <v>2019</v>
      </c>
      <c r="D820" s="267">
        <v>1</v>
      </c>
      <c r="E820" s="267">
        <v>1</v>
      </c>
      <c r="F820" s="267" t="s">
        <v>944</v>
      </c>
      <c r="G820" s="267" t="s">
        <v>3926</v>
      </c>
      <c r="H820" s="267" t="s">
        <v>4960</v>
      </c>
      <c r="I820" s="267" t="s">
        <v>4016</v>
      </c>
      <c r="J820" s="267" t="s">
        <v>3928</v>
      </c>
      <c r="K820" s="267">
        <v>6770</v>
      </c>
      <c r="L820" s="267">
        <v>345201</v>
      </c>
      <c r="M820" s="267" t="s">
        <v>3935</v>
      </c>
      <c r="N820" s="267" t="s">
        <v>3944</v>
      </c>
      <c r="O820" s="267">
        <v>1764.11</v>
      </c>
      <c r="P820" s="267" t="s">
        <v>3944</v>
      </c>
      <c r="Q820" s="267" t="s">
        <v>3944</v>
      </c>
      <c r="R820" s="267">
        <v>1764.11</v>
      </c>
      <c r="S820" s="267">
        <v>29827.98</v>
      </c>
      <c r="T820" s="267">
        <v>31592.09</v>
      </c>
      <c r="U820" s="268" t="s">
        <v>3945</v>
      </c>
      <c r="V820" s="267" t="s">
        <v>944</v>
      </c>
    </row>
    <row r="821" spans="1:22" hidden="1" x14ac:dyDescent="0.25">
      <c r="A821" s="269">
        <v>43507</v>
      </c>
      <c r="B821" s="270">
        <v>2019</v>
      </c>
      <c r="C821" s="270">
        <v>2019</v>
      </c>
      <c r="D821" s="270">
        <v>1</v>
      </c>
      <c r="E821" s="270">
        <v>1</v>
      </c>
      <c r="F821" s="270" t="s">
        <v>944</v>
      </c>
      <c r="G821" s="270" t="s">
        <v>3926</v>
      </c>
      <c r="H821" s="270" t="s">
        <v>4961</v>
      </c>
      <c r="I821" s="270" t="s">
        <v>4005</v>
      </c>
      <c r="J821" s="270" t="s">
        <v>3928</v>
      </c>
      <c r="K821" s="270">
        <v>6118</v>
      </c>
      <c r="L821" s="270">
        <v>510600</v>
      </c>
      <c r="M821" s="270">
        <v>-60</v>
      </c>
      <c r="N821" s="270" t="s">
        <v>3944</v>
      </c>
      <c r="O821" s="270">
        <v>1511.09</v>
      </c>
      <c r="P821" s="270" t="s">
        <v>3944</v>
      </c>
      <c r="Q821" s="270" t="s">
        <v>3944</v>
      </c>
      <c r="R821" s="270">
        <v>1511.09</v>
      </c>
      <c r="S821" s="270">
        <v>25986.78</v>
      </c>
      <c r="T821" s="270">
        <v>27497.87</v>
      </c>
      <c r="U821" s="271" t="s">
        <v>3945</v>
      </c>
      <c r="V821" s="267" t="s">
        <v>944</v>
      </c>
    </row>
    <row r="822" spans="1:22" hidden="1" x14ac:dyDescent="0.25">
      <c r="A822" s="266">
        <v>43507</v>
      </c>
      <c r="B822" s="267">
        <v>2019</v>
      </c>
      <c r="C822" s="267">
        <v>2019</v>
      </c>
      <c r="D822" s="267">
        <v>1</v>
      </c>
      <c r="E822" s="267">
        <v>1</v>
      </c>
      <c r="F822" s="267" t="s">
        <v>944</v>
      </c>
      <c r="G822" s="267" t="s">
        <v>3926</v>
      </c>
      <c r="H822" s="267" t="s">
        <v>4962</v>
      </c>
      <c r="I822" s="267" t="s">
        <v>4497</v>
      </c>
      <c r="J822" s="267" t="s">
        <v>3928</v>
      </c>
      <c r="K822" s="267">
        <v>6260</v>
      </c>
      <c r="L822" s="267">
        <v>903100</v>
      </c>
      <c r="M822" s="267" t="s">
        <v>3940</v>
      </c>
      <c r="N822" s="267" t="s">
        <v>3944</v>
      </c>
      <c r="O822" s="267">
        <v>1740.06</v>
      </c>
      <c r="P822" s="267" t="s">
        <v>3944</v>
      </c>
      <c r="Q822" s="267" t="s">
        <v>3944</v>
      </c>
      <c r="R822" s="267">
        <v>1740.06</v>
      </c>
      <c r="S822" s="267">
        <v>10916.94</v>
      </c>
      <c r="T822" s="267">
        <v>12657</v>
      </c>
      <c r="U822" s="268" t="s">
        <v>3945</v>
      </c>
      <c r="V822" s="267" t="s">
        <v>944</v>
      </c>
    </row>
    <row r="823" spans="1:22" hidden="1" x14ac:dyDescent="0.25">
      <c r="A823" s="269">
        <v>43507</v>
      </c>
      <c r="B823" s="270">
        <v>2019</v>
      </c>
      <c r="C823" s="270">
        <v>2019</v>
      </c>
      <c r="D823" s="270">
        <v>1</v>
      </c>
      <c r="E823" s="270">
        <v>1</v>
      </c>
      <c r="F823" s="270" t="s">
        <v>944</v>
      </c>
      <c r="G823" s="270" t="s">
        <v>3926</v>
      </c>
      <c r="H823" s="270" t="s">
        <v>4963</v>
      </c>
      <c r="I823" s="270" t="s">
        <v>4108</v>
      </c>
      <c r="J823" s="270" t="s">
        <v>3928</v>
      </c>
      <c r="K823" s="270">
        <v>6082</v>
      </c>
      <c r="L823" s="270">
        <v>480800</v>
      </c>
      <c r="M823" s="270" t="s">
        <v>3935</v>
      </c>
      <c r="N823" s="270" t="s">
        <v>3944</v>
      </c>
      <c r="O823" s="270">
        <v>1271.55</v>
      </c>
      <c r="P823" s="270" t="s">
        <v>3944</v>
      </c>
      <c r="Q823" s="270" t="s">
        <v>3944</v>
      </c>
      <c r="R823" s="270">
        <v>1271.55</v>
      </c>
      <c r="S823" s="270">
        <v>21076.71</v>
      </c>
      <c r="T823" s="270">
        <v>22348.26</v>
      </c>
      <c r="U823" s="271" t="s">
        <v>3945</v>
      </c>
      <c r="V823" s="267" t="s">
        <v>944</v>
      </c>
    </row>
    <row r="824" spans="1:22" hidden="1" x14ac:dyDescent="0.25">
      <c r="A824" s="266">
        <v>43507</v>
      </c>
      <c r="B824" s="267">
        <v>2019</v>
      </c>
      <c r="C824" s="267">
        <v>2019</v>
      </c>
      <c r="D824" s="267">
        <v>1</v>
      </c>
      <c r="E824" s="267">
        <v>1</v>
      </c>
      <c r="F824" s="267" t="s">
        <v>944</v>
      </c>
      <c r="G824" s="267" t="s">
        <v>3926</v>
      </c>
      <c r="H824" s="267" t="s">
        <v>4964</v>
      </c>
      <c r="I824" s="267" t="s">
        <v>3026</v>
      </c>
      <c r="J824" s="267" t="s">
        <v>3928</v>
      </c>
      <c r="K824" s="267">
        <v>6471</v>
      </c>
      <c r="L824" s="267">
        <v>186100</v>
      </c>
      <c r="M824" s="267" t="s">
        <v>3935</v>
      </c>
      <c r="N824" s="267" t="s">
        <v>3944</v>
      </c>
      <c r="O824" s="267">
        <v>2403.73</v>
      </c>
      <c r="P824" s="267" t="s">
        <v>3944</v>
      </c>
      <c r="Q824" s="267" t="s">
        <v>3944</v>
      </c>
      <c r="R824" s="267">
        <v>2403.73</v>
      </c>
      <c r="S824" s="267">
        <v>36294.019999999997</v>
      </c>
      <c r="T824" s="267">
        <v>38697.75</v>
      </c>
      <c r="U824" s="268" t="s">
        <v>3945</v>
      </c>
      <c r="V824" s="267" t="s">
        <v>944</v>
      </c>
    </row>
    <row r="825" spans="1:22" hidden="1" x14ac:dyDescent="0.25">
      <c r="A825" s="269">
        <v>43507</v>
      </c>
      <c r="B825" s="270">
        <v>2019</v>
      </c>
      <c r="C825" s="270">
        <v>2019</v>
      </c>
      <c r="D825" s="270">
        <v>1</v>
      </c>
      <c r="E825" s="270">
        <v>1</v>
      </c>
      <c r="F825" s="270" t="s">
        <v>944</v>
      </c>
      <c r="G825" s="270" t="s">
        <v>3926</v>
      </c>
      <c r="H825" s="270" t="s">
        <v>4965</v>
      </c>
      <c r="I825" s="270" t="s">
        <v>4019</v>
      </c>
      <c r="J825" s="270" t="s">
        <v>3928</v>
      </c>
      <c r="K825" s="270">
        <v>6706</v>
      </c>
      <c r="L825" s="270">
        <v>351500</v>
      </c>
      <c r="M825" s="270" t="s">
        <v>3940</v>
      </c>
      <c r="N825" s="270" t="s">
        <v>3944</v>
      </c>
      <c r="O825" s="270">
        <v>2580.62</v>
      </c>
      <c r="P825" s="270" t="s">
        <v>3944</v>
      </c>
      <c r="Q825" s="270" t="s">
        <v>3944</v>
      </c>
      <c r="R825" s="270">
        <v>2580.62</v>
      </c>
      <c r="S825" s="270">
        <v>35414.68</v>
      </c>
      <c r="T825" s="270">
        <v>37995.300000000003</v>
      </c>
      <c r="U825" s="271" t="s">
        <v>3945</v>
      </c>
      <c r="V825" s="267" t="s">
        <v>944</v>
      </c>
    </row>
    <row r="826" spans="1:22" hidden="1" x14ac:dyDescent="0.25">
      <c r="A826" s="266">
        <v>43507</v>
      </c>
      <c r="B826" s="267">
        <v>2019</v>
      </c>
      <c r="C826" s="267">
        <v>2019</v>
      </c>
      <c r="D826" s="267">
        <v>1</v>
      </c>
      <c r="E826" s="267">
        <v>1</v>
      </c>
      <c r="F826" s="267" t="s">
        <v>944</v>
      </c>
      <c r="G826" s="267" t="s">
        <v>3926</v>
      </c>
      <c r="H826" s="267" t="s">
        <v>4966</v>
      </c>
      <c r="I826" s="267" t="s">
        <v>3966</v>
      </c>
      <c r="J826" s="267" t="s">
        <v>3928</v>
      </c>
      <c r="K826" s="267">
        <v>6010</v>
      </c>
      <c r="L826" s="267">
        <v>406001</v>
      </c>
      <c r="M826" s="267">
        <v>-60</v>
      </c>
      <c r="N826" s="267" t="s">
        <v>3944</v>
      </c>
      <c r="O826" s="267">
        <v>3755.12</v>
      </c>
      <c r="P826" s="267" t="s">
        <v>3944</v>
      </c>
      <c r="Q826" s="267" t="s">
        <v>3944</v>
      </c>
      <c r="R826" s="267">
        <v>3755.12</v>
      </c>
      <c r="S826" s="267">
        <v>50244.88</v>
      </c>
      <c r="T826" s="267">
        <v>54000</v>
      </c>
      <c r="U826" s="268" t="s">
        <v>3945</v>
      </c>
      <c r="V826" s="267" t="s">
        <v>944</v>
      </c>
    </row>
    <row r="827" spans="1:22" hidden="1" x14ac:dyDescent="0.25">
      <c r="A827" s="269">
        <v>43508</v>
      </c>
      <c r="B827" s="270">
        <v>2019</v>
      </c>
      <c r="C827" s="270">
        <v>2019</v>
      </c>
      <c r="D827" s="270">
        <v>1</v>
      </c>
      <c r="E827" s="270">
        <v>1</v>
      </c>
      <c r="F827" s="270" t="s">
        <v>944</v>
      </c>
      <c r="G827" s="270" t="s">
        <v>3926</v>
      </c>
      <c r="H827" s="270" t="s">
        <v>4967</v>
      </c>
      <c r="I827" s="270" t="s">
        <v>4040</v>
      </c>
      <c r="J827" s="270" t="s">
        <v>3928</v>
      </c>
      <c r="K827" s="270">
        <v>6335</v>
      </c>
      <c r="L827" s="270">
        <v>701200</v>
      </c>
      <c r="M827" s="270" t="s">
        <v>3960</v>
      </c>
      <c r="N827" s="270" t="s">
        <v>4968</v>
      </c>
      <c r="O827" s="270">
        <v>0</v>
      </c>
      <c r="P827" s="270" t="s">
        <v>3930</v>
      </c>
      <c r="Q827" s="270" t="s">
        <v>3930</v>
      </c>
      <c r="R827" s="270">
        <v>0</v>
      </c>
      <c r="S827" s="270">
        <v>7325.55</v>
      </c>
      <c r="T827" s="270">
        <v>7325.55</v>
      </c>
      <c r="U827" s="271" t="s">
        <v>3937</v>
      </c>
      <c r="V827" s="267" t="s">
        <v>944</v>
      </c>
    </row>
    <row r="828" spans="1:22" hidden="1" x14ac:dyDescent="0.25">
      <c r="A828" s="266">
        <v>43508</v>
      </c>
      <c r="B828" s="267">
        <v>2019</v>
      </c>
      <c r="C828" s="267">
        <v>2019</v>
      </c>
      <c r="D828" s="267">
        <v>1</v>
      </c>
      <c r="E828" s="267">
        <v>1</v>
      </c>
      <c r="F828" s="267" t="s">
        <v>944</v>
      </c>
      <c r="G828" s="267" t="s">
        <v>3926</v>
      </c>
      <c r="H828" s="267" t="s">
        <v>4969</v>
      </c>
      <c r="I828" s="267" t="s">
        <v>4871</v>
      </c>
      <c r="J828" s="267" t="s">
        <v>3928</v>
      </c>
      <c r="K828" s="267">
        <v>6877</v>
      </c>
      <c r="L828" s="267">
        <v>245200</v>
      </c>
      <c r="M828" s="267" t="s">
        <v>3943</v>
      </c>
      <c r="N828" s="267" t="s">
        <v>4970</v>
      </c>
      <c r="O828" s="267">
        <v>0</v>
      </c>
      <c r="P828" s="267" t="s">
        <v>3930</v>
      </c>
      <c r="Q828" s="267" t="s">
        <v>3930</v>
      </c>
      <c r="R828" s="267">
        <v>0</v>
      </c>
      <c r="S828" s="267">
        <v>38188</v>
      </c>
      <c r="T828" s="267">
        <v>38188</v>
      </c>
      <c r="U828" s="268" t="s">
        <v>3937</v>
      </c>
      <c r="V828" s="267" t="s">
        <v>944</v>
      </c>
    </row>
    <row r="829" spans="1:22" hidden="1" x14ac:dyDescent="0.25">
      <c r="A829" s="269">
        <v>43508</v>
      </c>
      <c r="B829" s="270">
        <v>2019</v>
      </c>
      <c r="C829" s="270">
        <v>2019</v>
      </c>
      <c r="D829" s="270">
        <v>1</v>
      </c>
      <c r="E829" s="270">
        <v>1</v>
      </c>
      <c r="F829" s="270" t="s">
        <v>944</v>
      </c>
      <c r="G829" s="270" t="s">
        <v>3926</v>
      </c>
      <c r="H829" s="270" t="s">
        <v>4971</v>
      </c>
      <c r="I829" s="270" t="s">
        <v>956</v>
      </c>
      <c r="J829" s="270" t="s">
        <v>3928</v>
      </c>
      <c r="K829" s="270">
        <v>6614</v>
      </c>
      <c r="L829" s="270">
        <v>80900</v>
      </c>
      <c r="M829" s="270" t="s">
        <v>3960</v>
      </c>
      <c r="N829" s="270" t="s">
        <v>4103</v>
      </c>
      <c r="O829" s="270">
        <v>3526.2</v>
      </c>
      <c r="P829" s="270" t="s">
        <v>3930</v>
      </c>
      <c r="Q829" s="270" t="s">
        <v>3931</v>
      </c>
      <c r="R829" s="270">
        <v>8526.2000000000007</v>
      </c>
      <c r="S829" s="270">
        <v>24145.599999999999</v>
      </c>
      <c r="T829" s="270">
        <v>32671.8</v>
      </c>
      <c r="U829" s="271" t="s">
        <v>3932</v>
      </c>
      <c r="V829" s="267" t="s">
        <v>944</v>
      </c>
    </row>
    <row r="830" spans="1:22" hidden="1" x14ac:dyDescent="0.25">
      <c r="A830" s="266">
        <v>43509</v>
      </c>
      <c r="B830" s="267">
        <v>2019</v>
      </c>
      <c r="C830" s="267">
        <v>2019</v>
      </c>
      <c r="D830" s="267">
        <v>1</v>
      </c>
      <c r="E830" s="267">
        <v>1</v>
      </c>
      <c r="F830" s="267" t="s">
        <v>944</v>
      </c>
      <c r="G830" s="267" t="s">
        <v>3926</v>
      </c>
      <c r="H830" s="267" t="s">
        <v>4972</v>
      </c>
      <c r="I830" s="267" t="s">
        <v>4073</v>
      </c>
      <c r="J830" s="267" t="s">
        <v>3928</v>
      </c>
      <c r="K830" s="267">
        <v>6776</v>
      </c>
      <c r="L830" s="267">
        <v>253200</v>
      </c>
      <c r="M830" s="267" t="s">
        <v>3960</v>
      </c>
      <c r="N830" s="267" t="s">
        <v>4973</v>
      </c>
      <c r="O830" s="267">
        <v>0</v>
      </c>
      <c r="P830" s="267" t="s">
        <v>3930</v>
      </c>
      <c r="Q830" s="267" t="s">
        <v>3930</v>
      </c>
      <c r="R830" s="267">
        <v>0</v>
      </c>
      <c r="S830" s="267">
        <v>8668.81</v>
      </c>
      <c r="T830" s="267">
        <v>8668.81</v>
      </c>
      <c r="U830" s="268" t="s">
        <v>3937</v>
      </c>
      <c r="V830" s="267" t="s">
        <v>944</v>
      </c>
    </row>
    <row r="831" spans="1:22" hidden="1" x14ac:dyDescent="0.25">
      <c r="A831" s="269">
        <v>43509</v>
      </c>
      <c r="B831" s="270">
        <v>2019</v>
      </c>
      <c r="C831" s="270">
        <v>2019</v>
      </c>
      <c r="D831" s="270">
        <v>1</v>
      </c>
      <c r="E831" s="270">
        <v>1</v>
      </c>
      <c r="F831" s="270" t="s">
        <v>944</v>
      </c>
      <c r="G831" s="270" t="s">
        <v>3926</v>
      </c>
      <c r="H831" s="270" t="s">
        <v>4974</v>
      </c>
      <c r="I831" s="270" t="s">
        <v>4079</v>
      </c>
      <c r="J831" s="270" t="s">
        <v>3928</v>
      </c>
      <c r="K831" s="270">
        <v>6111</v>
      </c>
      <c r="L831" s="270">
        <v>494600</v>
      </c>
      <c r="M831" s="270" t="s">
        <v>3935</v>
      </c>
      <c r="N831" s="270" t="s">
        <v>4975</v>
      </c>
      <c r="O831" s="270">
        <v>0</v>
      </c>
      <c r="P831" s="270" t="s">
        <v>3930</v>
      </c>
      <c r="Q831" s="270" t="s">
        <v>3930</v>
      </c>
      <c r="R831" s="270">
        <v>0</v>
      </c>
      <c r="S831" s="270">
        <v>8000</v>
      </c>
      <c r="T831" s="270">
        <v>8000</v>
      </c>
      <c r="U831" s="271" t="s">
        <v>3937</v>
      </c>
      <c r="V831" s="267" t="s">
        <v>944</v>
      </c>
    </row>
    <row r="832" spans="1:22" hidden="1" x14ac:dyDescent="0.25">
      <c r="A832" s="266">
        <v>43509</v>
      </c>
      <c r="B832" s="267">
        <v>2019</v>
      </c>
      <c r="C832" s="267">
        <v>2019</v>
      </c>
      <c r="D832" s="267">
        <v>1</v>
      </c>
      <c r="E832" s="267">
        <v>1</v>
      </c>
      <c r="F832" s="267" t="s">
        <v>944</v>
      </c>
      <c r="G832" s="267" t="s">
        <v>3926</v>
      </c>
      <c r="H832" s="267" t="s">
        <v>4976</v>
      </c>
      <c r="I832" s="267" t="s">
        <v>950</v>
      </c>
      <c r="J832" s="267" t="s">
        <v>3928</v>
      </c>
      <c r="K832" s="267">
        <v>6516</v>
      </c>
      <c r="L832" s="267">
        <v>155000</v>
      </c>
      <c r="M832" s="267" t="s">
        <v>3940</v>
      </c>
      <c r="N832" s="267" t="s">
        <v>4977</v>
      </c>
      <c r="O832" s="267">
        <v>0</v>
      </c>
      <c r="P832" s="267" t="s">
        <v>3930</v>
      </c>
      <c r="Q832" s="267" t="s">
        <v>3930</v>
      </c>
      <c r="R832" s="267">
        <v>0</v>
      </c>
      <c r="S832" s="267">
        <v>9400</v>
      </c>
      <c r="T832" s="267">
        <v>9400</v>
      </c>
      <c r="U832" s="268" t="s">
        <v>3937</v>
      </c>
      <c r="V832" s="267" t="s">
        <v>944</v>
      </c>
    </row>
    <row r="833" spans="1:22" hidden="1" x14ac:dyDescent="0.25">
      <c r="A833" s="269">
        <v>43509</v>
      </c>
      <c r="B833" s="270">
        <v>2019</v>
      </c>
      <c r="C833" s="270">
        <v>2019</v>
      </c>
      <c r="D833" s="270">
        <v>1</v>
      </c>
      <c r="E833" s="270">
        <v>1</v>
      </c>
      <c r="F833" s="270" t="s">
        <v>944</v>
      </c>
      <c r="G833" s="270" t="s">
        <v>3926</v>
      </c>
      <c r="H833" s="270" t="s">
        <v>4978</v>
      </c>
      <c r="I833" s="270" t="s">
        <v>4200</v>
      </c>
      <c r="J833" s="270" t="s">
        <v>3928</v>
      </c>
      <c r="K833" s="270">
        <v>6779</v>
      </c>
      <c r="L833" s="270">
        <v>360400</v>
      </c>
      <c r="M833" s="270" t="s">
        <v>3940</v>
      </c>
      <c r="N833" s="270" t="s">
        <v>4979</v>
      </c>
      <c r="O833" s="270">
        <v>0</v>
      </c>
      <c r="P833" s="270" t="s">
        <v>3930</v>
      </c>
      <c r="Q833" s="270" t="s">
        <v>3930</v>
      </c>
      <c r="R833" s="270">
        <v>0</v>
      </c>
      <c r="S833" s="270">
        <v>3634.86</v>
      </c>
      <c r="T833" s="270">
        <v>3634.86</v>
      </c>
      <c r="U833" s="271" t="s">
        <v>3937</v>
      </c>
      <c r="V833" s="267" t="s">
        <v>944</v>
      </c>
    </row>
    <row r="834" spans="1:22" hidden="1" x14ac:dyDescent="0.25">
      <c r="A834" s="266">
        <v>43509</v>
      </c>
      <c r="B834" s="267">
        <v>2019</v>
      </c>
      <c r="C834" s="267">
        <v>2019</v>
      </c>
      <c r="D834" s="267">
        <v>1</v>
      </c>
      <c r="E834" s="267">
        <v>1</v>
      </c>
      <c r="F834" s="267" t="s">
        <v>944</v>
      </c>
      <c r="G834" s="267" t="s">
        <v>3926</v>
      </c>
      <c r="H834" s="267" t="s">
        <v>4980</v>
      </c>
      <c r="I834" s="267" t="s">
        <v>3939</v>
      </c>
      <c r="J834" s="267" t="s">
        <v>3928</v>
      </c>
      <c r="K834" s="267">
        <v>6513</v>
      </c>
      <c r="L834" s="267">
        <v>180602</v>
      </c>
      <c r="M834" s="267" t="s">
        <v>3935</v>
      </c>
      <c r="N834" s="267" t="s">
        <v>4493</v>
      </c>
      <c r="O834" s="267">
        <v>1552.36</v>
      </c>
      <c r="P834" s="267" t="s">
        <v>3930</v>
      </c>
      <c r="Q834" s="267" t="s">
        <v>3931</v>
      </c>
      <c r="R834" s="267">
        <v>6552.36</v>
      </c>
      <c r="S834" s="267">
        <v>27900.400000000001</v>
      </c>
      <c r="T834" s="267">
        <v>34452.76</v>
      </c>
      <c r="U834" s="268" t="s">
        <v>3932</v>
      </c>
      <c r="V834" s="267" t="s">
        <v>944</v>
      </c>
    </row>
    <row r="835" spans="1:22" x14ac:dyDescent="0.25">
      <c r="A835" s="269">
        <v>43509</v>
      </c>
      <c r="B835" s="270">
        <v>2019</v>
      </c>
      <c r="C835" s="270">
        <v>2019</v>
      </c>
      <c r="D835" s="270">
        <v>1</v>
      </c>
      <c r="E835" s="270">
        <v>1</v>
      </c>
      <c r="F835" s="270" t="s">
        <v>944</v>
      </c>
      <c r="G835" s="270" t="s">
        <v>3926</v>
      </c>
      <c r="H835" s="270" t="s">
        <v>4981</v>
      </c>
      <c r="I835" s="270" t="s">
        <v>934</v>
      </c>
      <c r="J835" s="270" t="s">
        <v>3928</v>
      </c>
      <c r="K835" s="270">
        <v>6604</v>
      </c>
      <c r="L835" s="270">
        <v>72000</v>
      </c>
      <c r="M835" s="270" t="s">
        <v>3940</v>
      </c>
      <c r="N835" s="270" t="s">
        <v>4982</v>
      </c>
      <c r="O835" s="270">
        <v>2775.41</v>
      </c>
      <c r="P835" s="270" t="s">
        <v>3930</v>
      </c>
      <c r="Q835" s="270" t="s">
        <v>3931</v>
      </c>
      <c r="R835" s="270">
        <v>7775.41</v>
      </c>
      <c r="S835" s="270">
        <v>13547.2</v>
      </c>
      <c r="T835" s="270">
        <v>21322.61</v>
      </c>
      <c r="U835" s="271" t="s">
        <v>3932</v>
      </c>
      <c r="V835" s="276" t="s">
        <v>936</v>
      </c>
    </row>
    <row r="836" spans="1:22" hidden="1" x14ac:dyDescent="0.25">
      <c r="A836" s="266">
        <v>43509</v>
      </c>
      <c r="B836" s="267">
        <v>2019</v>
      </c>
      <c r="C836" s="267">
        <v>2019</v>
      </c>
      <c r="D836" s="267">
        <v>1</v>
      </c>
      <c r="E836" s="267">
        <v>1</v>
      </c>
      <c r="F836" s="267" t="s">
        <v>944</v>
      </c>
      <c r="G836" s="267" t="s">
        <v>3926</v>
      </c>
      <c r="H836" s="267" t="s">
        <v>4983</v>
      </c>
      <c r="I836" s="267" t="s">
        <v>3956</v>
      </c>
      <c r="J836" s="267" t="s">
        <v>3928</v>
      </c>
      <c r="K836" s="267">
        <v>6106</v>
      </c>
      <c r="L836" s="267">
        <v>504800</v>
      </c>
      <c r="M836" s="267" t="s">
        <v>3940</v>
      </c>
      <c r="N836" s="267" t="s">
        <v>3986</v>
      </c>
      <c r="O836" s="267">
        <v>2960.37</v>
      </c>
      <c r="P836" s="267" t="s">
        <v>3930</v>
      </c>
      <c r="Q836" s="267" t="s">
        <v>3931</v>
      </c>
      <c r="R836" s="267">
        <v>7960.37</v>
      </c>
      <c r="S836" s="267">
        <v>16196.8</v>
      </c>
      <c r="T836" s="267">
        <v>24157.17</v>
      </c>
      <c r="U836" s="268" t="s">
        <v>3932</v>
      </c>
      <c r="V836" s="267" t="s">
        <v>944</v>
      </c>
    </row>
    <row r="837" spans="1:22" hidden="1" x14ac:dyDescent="0.25">
      <c r="A837" s="269">
        <v>43509</v>
      </c>
      <c r="B837" s="270">
        <v>2019</v>
      </c>
      <c r="C837" s="270">
        <v>2019</v>
      </c>
      <c r="D837" s="270">
        <v>1</v>
      </c>
      <c r="E837" s="270">
        <v>1</v>
      </c>
      <c r="F837" s="270" t="s">
        <v>944</v>
      </c>
      <c r="G837" s="270" t="s">
        <v>3926</v>
      </c>
      <c r="H837" s="270" t="s">
        <v>4984</v>
      </c>
      <c r="I837" s="270" t="s">
        <v>4213</v>
      </c>
      <c r="J837" s="270" t="s">
        <v>3928</v>
      </c>
      <c r="K837" s="270">
        <v>6051</v>
      </c>
      <c r="L837" s="270">
        <v>416100</v>
      </c>
      <c r="M837" s="270">
        <v>-60</v>
      </c>
      <c r="N837" s="270" t="s">
        <v>4103</v>
      </c>
      <c r="O837" s="270">
        <v>3863.79</v>
      </c>
      <c r="P837" s="270" t="s">
        <v>3930</v>
      </c>
      <c r="Q837" s="270" t="s">
        <v>3931</v>
      </c>
      <c r="R837" s="270">
        <v>8863.7900000000009</v>
      </c>
      <c r="S837" s="270">
        <v>24145.599999999999</v>
      </c>
      <c r="T837" s="270">
        <v>33009.39</v>
      </c>
      <c r="U837" s="271" t="s">
        <v>3932</v>
      </c>
      <c r="V837" s="267" t="s">
        <v>944</v>
      </c>
    </row>
    <row r="838" spans="1:22" hidden="1" x14ac:dyDescent="0.25">
      <c r="A838" s="266">
        <v>43509</v>
      </c>
      <c r="B838" s="267">
        <v>2019</v>
      </c>
      <c r="C838" s="267">
        <v>2019</v>
      </c>
      <c r="D838" s="267">
        <v>1</v>
      </c>
      <c r="E838" s="267">
        <v>1</v>
      </c>
      <c r="F838" s="267" t="s">
        <v>944</v>
      </c>
      <c r="G838" s="267" t="s">
        <v>3926</v>
      </c>
      <c r="H838" s="267" t="s">
        <v>4985</v>
      </c>
      <c r="I838" s="267" t="s">
        <v>3966</v>
      </c>
      <c r="J838" s="267" t="s">
        <v>3928</v>
      </c>
      <c r="K838" s="267">
        <v>6010</v>
      </c>
      <c r="L838" s="267">
        <v>405600</v>
      </c>
      <c r="M838" s="267" t="s">
        <v>3940</v>
      </c>
      <c r="N838" s="267" t="s">
        <v>4103</v>
      </c>
      <c r="O838" s="267">
        <v>4115.5200000000004</v>
      </c>
      <c r="P838" s="267" t="s">
        <v>3930</v>
      </c>
      <c r="Q838" s="267" t="s">
        <v>3931</v>
      </c>
      <c r="R838" s="267">
        <v>9115.52</v>
      </c>
      <c r="S838" s="267">
        <v>24145.599999999999</v>
      </c>
      <c r="T838" s="267">
        <v>33261.120000000003</v>
      </c>
      <c r="U838" s="268" t="s">
        <v>3932</v>
      </c>
      <c r="V838" s="267" t="s">
        <v>944</v>
      </c>
    </row>
    <row r="839" spans="1:22" hidden="1" x14ac:dyDescent="0.25">
      <c r="A839" s="269">
        <v>43509</v>
      </c>
      <c r="B839" s="270">
        <v>2019</v>
      </c>
      <c r="C839" s="270">
        <v>2019</v>
      </c>
      <c r="D839" s="270">
        <v>1</v>
      </c>
      <c r="E839" s="270">
        <v>1</v>
      </c>
      <c r="F839" s="270" t="s">
        <v>944</v>
      </c>
      <c r="G839" s="270" t="s">
        <v>3926</v>
      </c>
      <c r="H839" s="270" t="s">
        <v>4986</v>
      </c>
      <c r="I839" s="270" t="s">
        <v>4014</v>
      </c>
      <c r="J839" s="270" t="s">
        <v>3928</v>
      </c>
      <c r="K839" s="270">
        <v>6420</v>
      </c>
      <c r="L839" s="270">
        <v>715100</v>
      </c>
      <c r="M839" s="270" t="s">
        <v>3943</v>
      </c>
      <c r="N839" s="270" t="s">
        <v>3944</v>
      </c>
      <c r="O839" s="270">
        <v>1268.6500000000001</v>
      </c>
      <c r="P839" s="270" t="s">
        <v>3944</v>
      </c>
      <c r="Q839" s="270" t="s">
        <v>3944</v>
      </c>
      <c r="R839" s="270">
        <v>1268.6500000000001</v>
      </c>
      <c r="S839" s="270">
        <v>18486.759999999998</v>
      </c>
      <c r="T839" s="270">
        <v>19755.41</v>
      </c>
      <c r="U839" s="271" t="s">
        <v>3945</v>
      </c>
      <c r="V839" s="267" t="s">
        <v>944</v>
      </c>
    </row>
    <row r="840" spans="1:22" hidden="1" x14ac:dyDescent="0.25">
      <c r="A840" s="266">
        <v>43509</v>
      </c>
      <c r="B840" s="267">
        <v>2019</v>
      </c>
      <c r="C840" s="267">
        <v>2019</v>
      </c>
      <c r="D840" s="267">
        <v>1</v>
      </c>
      <c r="E840" s="267">
        <v>1</v>
      </c>
      <c r="F840" s="267" t="s">
        <v>944</v>
      </c>
      <c r="G840" s="267" t="s">
        <v>3926</v>
      </c>
      <c r="H840" s="267" t="s">
        <v>4987</v>
      </c>
      <c r="I840" s="267" t="s">
        <v>4005</v>
      </c>
      <c r="J840" s="267" t="s">
        <v>3928</v>
      </c>
      <c r="K840" s="267">
        <v>6108</v>
      </c>
      <c r="L840" s="267">
        <v>511200</v>
      </c>
      <c r="M840" s="267">
        <v>-60</v>
      </c>
      <c r="N840" s="267" t="s">
        <v>3944</v>
      </c>
      <c r="O840" s="267">
        <v>1001.53</v>
      </c>
      <c r="P840" s="267" t="s">
        <v>3944</v>
      </c>
      <c r="Q840" s="267" t="s">
        <v>3944</v>
      </c>
      <c r="R840" s="267">
        <v>1001.53</v>
      </c>
      <c r="S840" s="267">
        <v>13441.13</v>
      </c>
      <c r="T840" s="267">
        <v>14442.66</v>
      </c>
      <c r="U840" s="268" t="s">
        <v>3945</v>
      </c>
      <c r="V840" s="267" t="s">
        <v>944</v>
      </c>
    </row>
    <row r="841" spans="1:22" hidden="1" x14ac:dyDescent="0.25">
      <c r="A841" s="269">
        <v>43509</v>
      </c>
      <c r="B841" s="270">
        <v>2019</v>
      </c>
      <c r="C841" s="270">
        <v>2019</v>
      </c>
      <c r="D841" s="270">
        <v>1</v>
      </c>
      <c r="E841" s="270">
        <v>1</v>
      </c>
      <c r="F841" s="270" t="s">
        <v>944</v>
      </c>
      <c r="G841" s="270" t="s">
        <v>3926</v>
      </c>
      <c r="H841" s="270" t="s">
        <v>4988</v>
      </c>
      <c r="I841" s="270" t="s">
        <v>953</v>
      </c>
      <c r="J841" s="270" t="s">
        <v>3928</v>
      </c>
      <c r="K841" s="270">
        <v>6517</v>
      </c>
      <c r="L841" s="270">
        <v>165400</v>
      </c>
      <c r="M841" s="270" t="s">
        <v>3935</v>
      </c>
      <c r="N841" s="270" t="s">
        <v>3944</v>
      </c>
      <c r="O841" s="270">
        <v>1404.27</v>
      </c>
      <c r="P841" s="270" t="s">
        <v>3944</v>
      </c>
      <c r="Q841" s="270" t="s">
        <v>3944</v>
      </c>
      <c r="R841" s="270">
        <v>1404.27</v>
      </c>
      <c r="S841" s="270">
        <v>22455.02</v>
      </c>
      <c r="T841" s="270">
        <v>23859.29</v>
      </c>
      <c r="U841" s="271" t="s">
        <v>3945</v>
      </c>
      <c r="V841" s="267" t="s">
        <v>944</v>
      </c>
    </row>
    <row r="842" spans="1:22" hidden="1" x14ac:dyDescent="0.25">
      <c r="A842" s="266">
        <v>43509</v>
      </c>
      <c r="B842" s="267">
        <v>2019</v>
      </c>
      <c r="C842" s="267">
        <v>2019</v>
      </c>
      <c r="D842" s="267">
        <v>1</v>
      </c>
      <c r="E842" s="267">
        <v>1</v>
      </c>
      <c r="F842" s="267" t="s">
        <v>944</v>
      </c>
      <c r="G842" s="267" t="s">
        <v>3926</v>
      </c>
      <c r="H842" s="267" t="s">
        <v>4989</v>
      </c>
      <c r="I842" s="267" t="s">
        <v>4008</v>
      </c>
      <c r="J842" s="267" t="s">
        <v>3928</v>
      </c>
      <c r="K842" s="267">
        <v>6320</v>
      </c>
      <c r="L842" s="267">
        <v>690900</v>
      </c>
      <c r="M842" s="267" t="s">
        <v>3935</v>
      </c>
      <c r="N842" s="267" t="s">
        <v>3944</v>
      </c>
      <c r="O842" s="267">
        <v>1658.34</v>
      </c>
      <c r="P842" s="267" t="s">
        <v>3944</v>
      </c>
      <c r="Q842" s="267" t="s">
        <v>3944</v>
      </c>
      <c r="R842" s="267">
        <v>1658.34</v>
      </c>
      <c r="S842" s="267">
        <v>22799.52</v>
      </c>
      <c r="T842" s="267">
        <v>24457.86</v>
      </c>
      <c r="U842" s="268" t="s">
        <v>3945</v>
      </c>
      <c r="V842" s="267" t="s">
        <v>944</v>
      </c>
    </row>
    <row r="843" spans="1:22" hidden="1" x14ac:dyDescent="0.25">
      <c r="A843" s="269">
        <v>43509</v>
      </c>
      <c r="B843" s="270">
        <v>2019</v>
      </c>
      <c r="C843" s="270">
        <v>2019</v>
      </c>
      <c r="D843" s="270">
        <v>1</v>
      </c>
      <c r="E843" s="270">
        <v>1</v>
      </c>
      <c r="F843" s="270" t="s">
        <v>944</v>
      </c>
      <c r="G843" s="270" t="s">
        <v>3926</v>
      </c>
      <c r="H843" s="270" t="s">
        <v>4990</v>
      </c>
      <c r="I843" s="270" t="s">
        <v>953</v>
      </c>
      <c r="J843" s="270" t="s">
        <v>3928</v>
      </c>
      <c r="K843" s="270">
        <v>6517</v>
      </c>
      <c r="L843" s="270">
        <v>165400</v>
      </c>
      <c r="M843" s="270" t="s">
        <v>3935</v>
      </c>
      <c r="N843" s="270" t="s">
        <v>3944</v>
      </c>
      <c r="O843" s="270">
        <v>693.32</v>
      </c>
      <c r="P843" s="270" t="s">
        <v>3944</v>
      </c>
      <c r="Q843" s="270" t="s">
        <v>3944</v>
      </c>
      <c r="R843" s="270">
        <v>693.32</v>
      </c>
      <c r="S843" s="270">
        <v>10244.08</v>
      </c>
      <c r="T843" s="270">
        <v>10937.4</v>
      </c>
      <c r="U843" s="271" t="s">
        <v>3945</v>
      </c>
      <c r="V843" s="267" t="s">
        <v>944</v>
      </c>
    </row>
    <row r="844" spans="1:22" hidden="1" x14ac:dyDescent="0.25">
      <c r="A844" s="266">
        <v>43509</v>
      </c>
      <c r="B844" s="267">
        <v>2019</v>
      </c>
      <c r="C844" s="267">
        <v>2019</v>
      </c>
      <c r="D844" s="267">
        <v>1</v>
      </c>
      <c r="E844" s="267">
        <v>1</v>
      </c>
      <c r="F844" s="267" t="s">
        <v>944</v>
      </c>
      <c r="G844" s="267" t="s">
        <v>3926</v>
      </c>
      <c r="H844" s="267" t="s">
        <v>4991</v>
      </c>
      <c r="I844" s="267" t="s">
        <v>3966</v>
      </c>
      <c r="J844" s="267" t="s">
        <v>3928</v>
      </c>
      <c r="K844" s="267">
        <v>6010</v>
      </c>
      <c r="L844" s="267">
        <v>405402</v>
      </c>
      <c r="M844" s="267" t="s">
        <v>3940</v>
      </c>
      <c r="N844" s="267" t="s">
        <v>3944</v>
      </c>
      <c r="O844" s="267">
        <v>1705.2</v>
      </c>
      <c r="P844" s="267" t="s">
        <v>3944</v>
      </c>
      <c r="Q844" s="267" t="s">
        <v>3944</v>
      </c>
      <c r="R844" s="267">
        <v>1705.2</v>
      </c>
      <c r="S844" s="267">
        <v>19674.8</v>
      </c>
      <c r="T844" s="267">
        <v>21380</v>
      </c>
      <c r="U844" s="268" t="s">
        <v>3945</v>
      </c>
      <c r="V844" s="267" t="s">
        <v>944</v>
      </c>
    </row>
    <row r="845" spans="1:22" hidden="1" x14ac:dyDescent="0.25">
      <c r="A845" s="269">
        <v>43509</v>
      </c>
      <c r="B845" s="270">
        <v>2019</v>
      </c>
      <c r="C845" s="270">
        <v>2019</v>
      </c>
      <c r="D845" s="270">
        <v>1</v>
      </c>
      <c r="E845" s="270">
        <v>1</v>
      </c>
      <c r="F845" s="270" t="s">
        <v>944</v>
      </c>
      <c r="G845" s="270" t="s">
        <v>3926</v>
      </c>
      <c r="H845" s="270" t="s">
        <v>4992</v>
      </c>
      <c r="I845" s="270" t="s">
        <v>4993</v>
      </c>
      <c r="J845" s="270" t="s">
        <v>3928</v>
      </c>
      <c r="K845" s="270">
        <v>6237</v>
      </c>
      <c r="L845" s="270">
        <v>860100</v>
      </c>
      <c r="M845" s="270" t="s">
        <v>3943</v>
      </c>
      <c r="N845" s="270" t="s">
        <v>3944</v>
      </c>
      <c r="O845" s="270">
        <v>1585.33</v>
      </c>
      <c r="P845" s="270" t="s">
        <v>3944</v>
      </c>
      <c r="Q845" s="270" t="s">
        <v>3944</v>
      </c>
      <c r="R845" s="270">
        <v>1585.33</v>
      </c>
      <c r="S845" s="270">
        <v>20956.810000000001</v>
      </c>
      <c r="T845" s="270">
        <v>22542.14</v>
      </c>
      <c r="U845" s="271" t="s">
        <v>3945</v>
      </c>
      <c r="V845" s="267" t="s">
        <v>944</v>
      </c>
    </row>
    <row r="846" spans="1:22" hidden="1" x14ac:dyDescent="0.25">
      <c r="A846" s="266">
        <v>43509</v>
      </c>
      <c r="B846" s="267">
        <v>2019</v>
      </c>
      <c r="C846" s="267">
        <v>2019</v>
      </c>
      <c r="D846" s="267">
        <v>1</v>
      </c>
      <c r="E846" s="267">
        <v>1</v>
      </c>
      <c r="F846" s="267" t="s">
        <v>944</v>
      </c>
      <c r="G846" s="267" t="s">
        <v>3926</v>
      </c>
      <c r="H846" s="267" t="s">
        <v>4994</v>
      </c>
      <c r="I846" s="267" t="s">
        <v>4137</v>
      </c>
      <c r="J846" s="267" t="s">
        <v>3928</v>
      </c>
      <c r="K846" s="267">
        <v>6067</v>
      </c>
      <c r="L846" s="267">
        <v>490302</v>
      </c>
      <c r="M846" s="267" t="s">
        <v>3960</v>
      </c>
      <c r="N846" s="267" t="s">
        <v>3944</v>
      </c>
      <c r="O846" s="267">
        <v>1978.76</v>
      </c>
      <c r="P846" s="267" t="s">
        <v>3944</v>
      </c>
      <c r="Q846" s="267" t="s">
        <v>3944</v>
      </c>
      <c r="R846" s="267">
        <v>1978.76</v>
      </c>
      <c r="S846" s="267">
        <v>29605.18</v>
      </c>
      <c r="T846" s="267">
        <v>31583.94</v>
      </c>
      <c r="U846" s="268" t="s">
        <v>3945</v>
      </c>
      <c r="V846" s="267" t="s">
        <v>944</v>
      </c>
    </row>
    <row r="847" spans="1:22" hidden="1" x14ac:dyDescent="0.25">
      <c r="A847" s="269">
        <v>43509</v>
      </c>
      <c r="B847" s="270">
        <v>2019</v>
      </c>
      <c r="C847" s="270">
        <v>2019</v>
      </c>
      <c r="D847" s="270">
        <v>1</v>
      </c>
      <c r="E847" s="270">
        <v>1</v>
      </c>
      <c r="F847" s="270" t="s">
        <v>944</v>
      </c>
      <c r="G847" s="270" t="s">
        <v>3926</v>
      </c>
      <c r="H847" s="270" t="s">
        <v>4995</v>
      </c>
      <c r="I847" s="270" t="s">
        <v>4019</v>
      </c>
      <c r="J847" s="270" t="s">
        <v>3928</v>
      </c>
      <c r="K847" s="270">
        <v>6704</v>
      </c>
      <c r="L847" s="270">
        <v>352400</v>
      </c>
      <c r="M847" s="270">
        <v>-60</v>
      </c>
      <c r="N847" s="270" t="s">
        <v>3944</v>
      </c>
      <c r="O847" s="270">
        <v>2278.6799999999998</v>
      </c>
      <c r="P847" s="270" t="s">
        <v>3944</v>
      </c>
      <c r="Q847" s="270" t="s">
        <v>3944</v>
      </c>
      <c r="R847" s="270">
        <v>2278.6799999999998</v>
      </c>
      <c r="S847" s="270">
        <v>30788.16</v>
      </c>
      <c r="T847" s="270">
        <v>33066.839999999997</v>
      </c>
      <c r="U847" s="271" t="s">
        <v>3945</v>
      </c>
      <c r="V847" s="267" t="s">
        <v>944</v>
      </c>
    </row>
    <row r="848" spans="1:22" hidden="1" x14ac:dyDescent="0.25">
      <c r="A848" s="266">
        <v>43509</v>
      </c>
      <c r="B848" s="267">
        <v>2019</v>
      </c>
      <c r="C848" s="267">
        <v>2019</v>
      </c>
      <c r="D848" s="267">
        <v>1</v>
      </c>
      <c r="E848" s="267">
        <v>1</v>
      </c>
      <c r="F848" s="267" t="s">
        <v>944</v>
      </c>
      <c r="G848" s="267" t="s">
        <v>3926</v>
      </c>
      <c r="H848" s="267" t="s">
        <v>4996</v>
      </c>
      <c r="I848" s="267" t="s">
        <v>950</v>
      </c>
      <c r="J848" s="267" t="s">
        <v>3928</v>
      </c>
      <c r="K848" s="267">
        <v>6516</v>
      </c>
      <c r="L848" s="267">
        <v>154600</v>
      </c>
      <c r="M848" s="267">
        <v>-60</v>
      </c>
      <c r="N848" s="267" t="s">
        <v>3944</v>
      </c>
      <c r="O848" s="267">
        <v>640.64</v>
      </c>
      <c r="P848" s="267" t="s">
        <v>3944</v>
      </c>
      <c r="Q848" s="267" t="s">
        <v>3944</v>
      </c>
      <c r="R848" s="267">
        <v>640.64</v>
      </c>
      <c r="S848" s="267">
        <v>10447.36</v>
      </c>
      <c r="T848" s="267">
        <v>11088</v>
      </c>
      <c r="U848" s="268" t="s">
        <v>3945</v>
      </c>
      <c r="V848" s="267" t="s">
        <v>944</v>
      </c>
    </row>
    <row r="849" spans="1:22" hidden="1" x14ac:dyDescent="0.25">
      <c r="A849" s="269">
        <v>43509</v>
      </c>
      <c r="B849" s="270">
        <v>2019</v>
      </c>
      <c r="C849" s="270">
        <v>2019</v>
      </c>
      <c r="D849" s="270">
        <v>1</v>
      </c>
      <c r="E849" s="270">
        <v>1</v>
      </c>
      <c r="F849" s="270" t="s">
        <v>944</v>
      </c>
      <c r="G849" s="270" t="s">
        <v>3926</v>
      </c>
      <c r="H849" s="270" t="s">
        <v>4997</v>
      </c>
      <c r="I849" s="270" t="s">
        <v>4424</v>
      </c>
      <c r="J849" s="270" t="s">
        <v>3928</v>
      </c>
      <c r="K849" s="270">
        <v>6417</v>
      </c>
      <c r="L849" s="270">
        <v>620100</v>
      </c>
      <c r="M849" s="270" t="s">
        <v>3935</v>
      </c>
      <c r="N849" s="270" t="s">
        <v>3944</v>
      </c>
      <c r="O849" s="270">
        <v>1299.3399999999999</v>
      </c>
      <c r="P849" s="270" t="s">
        <v>3944</v>
      </c>
      <c r="Q849" s="270" t="s">
        <v>3944</v>
      </c>
      <c r="R849" s="270">
        <v>1299.3399999999999</v>
      </c>
      <c r="S849" s="270">
        <v>19120.32</v>
      </c>
      <c r="T849" s="270">
        <v>20419.66</v>
      </c>
      <c r="U849" s="271" t="s">
        <v>3945</v>
      </c>
      <c r="V849" s="267" t="s">
        <v>944</v>
      </c>
    </row>
    <row r="850" spans="1:22" hidden="1" x14ac:dyDescent="0.25">
      <c r="A850" s="266">
        <v>43509</v>
      </c>
      <c r="B850" s="267">
        <v>2019</v>
      </c>
      <c r="C850" s="267">
        <v>2019</v>
      </c>
      <c r="D850" s="267">
        <v>1</v>
      </c>
      <c r="E850" s="267">
        <v>1</v>
      </c>
      <c r="F850" s="267" t="s">
        <v>944</v>
      </c>
      <c r="G850" s="267" t="s">
        <v>3926</v>
      </c>
      <c r="H850" s="267" t="s">
        <v>4998</v>
      </c>
      <c r="I850" s="267" t="s">
        <v>4037</v>
      </c>
      <c r="J850" s="267" t="s">
        <v>3928</v>
      </c>
      <c r="K850" s="267">
        <v>6810</v>
      </c>
      <c r="L850" s="267">
        <v>210400</v>
      </c>
      <c r="M850" s="267" t="s">
        <v>3935</v>
      </c>
      <c r="N850" s="267" t="s">
        <v>3944</v>
      </c>
      <c r="O850" s="267">
        <v>1117.24</v>
      </c>
      <c r="P850" s="267" t="s">
        <v>3944</v>
      </c>
      <c r="Q850" s="267" t="s">
        <v>3944</v>
      </c>
      <c r="R850" s="267">
        <v>1117.24</v>
      </c>
      <c r="S850" s="267">
        <v>14107.76</v>
      </c>
      <c r="T850" s="267">
        <v>15225</v>
      </c>
      <c r="U850" s="268" t="s">
        <v>3945</v>
      </c>
      <c r="V850" s="267" t="s">
        <v>944</v>
      </c>
    </row>
    <row r="851" spans="1:22" hidden="1" x14ac:dyDescent="0.25">
      <c r="A851" s="269">
        <v>43510</v>
      </c>
      <c r="B851" s="270">
        <v>2019</v>
      </c>
      <c r="C851" s="270">
        <v>2019</v>
      </c>
      <c r="D851" s="270">
        <v>1</v>
      </c>
      <c r="E851" s="270">
        <v>1</v>
      </c>
      <c r="F851" s="270" t="s">
        <v>944</v>
      </c>
      <c r="G851" s="270" t="s">
        <v>3926</v>
      </c>
      <c r="H851" s="270" t="s">
        <v>4999</v>
      </c>
      <c r="I851" s="270" t="s">
        <v>3008</v>
      </c>
      <c r="J851" s="270" t="s">
        <v>3928</v>
      </c>
      <c r="K851" s="270">
        <v>6461</v>
      </c>
      <c r="L851" s="270">
        <v>150600</v>
      </c>
      <c r="M851" s="270" t="s">
        <v>3960</v>
      </c>
      <c r="N851" s="270" t="s">
        <v>5000</v>
      </c>
      <c r="O851" s="270">
        <v>4144</v>
      </c>
      <c r="P851" s="270" t="s">
        <v>3930</v>
      </c>
      <c r="Q851" s="270" t="s">
        <v>3930</v>
      </c>
      <c r="R851" s="270">
        <v>4144</v>
      </c>
      <c r="S851" s="270">
        <v>38838</v>
      </c>
      <c r="T851" s="270">
        <v>42982</v>
      </c>
      <c r="U851" s="271" t="s">
        <v>3937</v>
      </c>
      <c r="V851" s="267" t="s">
        <v>944</v>
      </c>
    </row>
    <row r="852" spans="1:22" hidden="1" x14ac:dyDescent="0.25">
      <c r="A852" s="266">
        <v>43510</v>
      </c>
      <c r="B852" s="267">
        <v>2019</v>
      </c>
      <c r="C852" s="267">
        <v>2019</v>
      </c>
      <c r="D852" s="267">
        <v>1</v>
      </c>
      <c r="E852" s="267">
        <v>1</v>
      </c>
      <c r="F852" s="267" t="s">
        <v>944</v>
      </c>
      <c r="G852" s="267" t="s">
        <v>3926</v>
      </c>
      <c r="H852" s="267" t="s">
        <v>5001</v>
      </c>
      <c r="I852" s="267" t="s">
        <v>4168</v>
      </c>
      <c r="J852" s="267" t="s">
        <v>3928</v>
      </c>
      <c r="K852" s="267">
        <v>6475</v>
      </c>
      <c r="L852" s="267">
        <v>670200</v>
      </c>
      <c r="M852" s="267" t="s">
        <v>3935</v>
      </c>
      <c r="N852" s="267" t="s">
        <v>4103</v>
      </c>
      <c r="O852" s="267">
        <v>1660.4</v>
      </c>
      <c r="P852" s="267" t="s">
        <v>3930</v>
      </c>
      <c r="Q852" s="267" t="s">
        <v>3931</v>
      </c>
      <c r="R852" s="267">
        <v>6660.4</v>
      </c>
      <c r="S852" s="267">
        <v>24145.599999999999</v>
      </c>
      <c r="T852" s="267">
        <v>30806</v>
      </c>
      <c r="U852" s="268" t="s">
        <v>3932</v>
      </c>
      <c r="V852" s="267" t="s">
        <v>944</v>
      </c>
    </row>
    <row r="853" spans="1:22" hidden="1" x14ac:dyDescent="0.25">
      <c r="A853" s="269">
        <v>43510</v>
      </c>
      <c r="B853" s="270">
        <v>2019</v>
      </c>
      <c r="C853" s="270">
        <v>2019</v>
      </c>
      <c r="D853" s="270">
        <v>1</v>
      </c>
      <c r="E853" s="270">
        <v>1</v>
      </c>
      <c r="F853" s="270" t="s">
        <v>944</v>
      </c>
      <c r="G853" s="270" t="s">
        <v>3926</v>
      </c>
      <c r="H853" s="270" t="s">
        <v>5002</v>
      </c>
      <c r="I853" s="270" t="s">
        <v>934</v>
      </c>
      <c r="J853" s="270" t="s">
        <v>3928</v>
      </c>
      <c r="K853" s="270">
        <v>6606</v>
      </c>
      <c r="L853" s="270">
        <v>72600</v>
      </c>
      <c r="M853" s="270" t="s">
        <v>3940</v>
      </c>
      <c r="N853" s="270" t="s">
        <v>4103</v>
      </c>
      <c r="O853" s="270">
        <v>4264.83</v>
      </c>
      <c r="P853" s="270" t="s">
        <v>3930</v>
      </c>
      <c r="Q853" s="270" t="s">
        <v>3931</v>
      </c>
      <c r="R853" s="270">
        <v>9264.83</v>
      </c>
      <c r="S853" s="270">
        <v>24145.599999999999</v>
      </c>
      <c r="T853" s="270">
        <v>33410.43</v>
      </c>
      <c r="U853" s="271" t="s">
        <v>3932</v>
      </c>
      <c r="V853" s="267" t="s">
        <v>944</v>
      </c>
    </row>
    <row r="854" spans="1:22" hidden="1" x14ac:dyDescent="0.25">
      <c r="A854" s="266">
        <v>43510</v>
      </c>
      <c r="B854" s="267">
        <v>2019</v>
      </c>
      <c r="C854" s="267">
        <v>2019</v>
      </c>
      <c r="D854" s="267">
        <v>1</v>
      </c>
      <c r="E854" s="267">
        <v>1</v>
      </c>
      <c r="F854" s="267" t="s">
        <v>944</v>
      </c>
      <c r="G854" s="267" t="s">
        <v>3926</v>
      </c>
      <c r="H854" s="267" t="s">
        <v>5003</v>
      </c>
      <c r="I854" s="267" t="s">
        <v>4235</v>
      </c>
      <c r="J854" s="267" t="s">
        <v>3928</v>
      </c>
      <c r="K854" s="267">
        <v>6066</v>
      </c>
      <c r="L854" s="267">
        <v>530500</v>
      </c>
      <c r="M854" s="267" t="s">
        <v>3935</v>
      </c>
      <c r="N854" s="267" t="s">
        <v>4103</v>
      </c>
      <c r="O854" s="267">
        <v>3985.92</v>
      </c>
      <c r="P854" s="267" t="s">
        <v>3930</v>
      </c>
      <c r="Q854" s="267" t="s">
        <v>3931</v>
      </c>
      <c r="R854" s="267">
        <v>8985.92</v>
      </c>
      <c r="S854" s="267">
        <v>24145.599999999999</v>
      </c>
      <c r="T854" s="267">
        <v>33131.519999999997</v>
      </c>
      <c r="U854" s="268" t="s">
        <v>3932</v>
      </c>
      <c r="V854" s="267" t="s">
        <v>944</v>
      </c>
    </row>
    <row r="855" spans="1:22" hidden="1" x14ac:dyDescent="0.25">
      <c r="A855" s="269">
        <v>43510</v>
      </c>
      <c r="B855" s="270">
        <v>2019</v>
      </c>
      <c r="C855" s="270">
        <v>2019</v>
      </c>
      <c r="D855" s="270">
        <v>1</v>
      </c>
      <c r="E855" s="270">
        <v>1</v>
      </c>
      <c r="F855" s="270" t="s">
        <v>944</v>
      </c>
      <c r="G855" s="270" t="s">
        <v>3926</v>
      </c>
      <c r="H855" s="270" t="s">
        <v>5004</v>
      </c>
      <c r="I855" s="270" t="s">
        <v>3996</v>
      </c>
      <c r="J855" s="270" t="s">
        <v>3928</v>
      </c>
      <c r="K855" s="270">
        <v>6790</v>
      </c>
      <c r="L855" s="270">
        <v>310200</v>
      </c>
      <c r="M855" s="270">
        <v>-60</v>
      </c>
      <c r="N855" s="270" t="s">
        <v>3983</v>
      </c>
      <c r="O855" s="270">
        <v>2475.6799999999998</v>
      </c>
      <c r="P855" s="270" t="s">
        <v>3930</v>
      </c>
      <c r="Q855" s="270" t="s">
        <v>3931</v>
      </c>
      <c r="R855" s="270">
        <v>7475.68</v>
      </c>
      <c r="S855" s="270">
        <v>16504</v>
      </c>
      <c r="T855" s="270">
        <v>23979.68</v>
      </c>
      <c r="U855" s="271" t="s">
        <v>3932</v>
      </c>
      <c r="V855" s="267" t="s">
        <v>944</v>
      </c>
    </row>
    <row r="856" spans="1:22" hidden="1" x14ac:dyDescent="0.25">
      <c r="A856" s="266">
        <v>43510</v>
      </c>
      <c r="B856" s="267">
        <v>2019</v>
      </c>
      <c r="C856" s="267">
        <v>2019</v>
      </c>
      <c r="D856" s="267">
        <v>1</v>
      </c>
      <c r="E856" s="267">
        <v>1</v>
      </c>
      <c r="F856" s="267" t="s">
        <v>944</v>
      </c>
      <c r="G856" s="267" t="s">
        <v>3926</v>
      </c>
      <c r="H856" s="267" t="s">
        <v>5005</v>
      </c>
      <c r="I856" s="267" t="s">
        <v>943</v>
      </c>
      <c r="J856" s="267" t="s">
        <v>3928</v>
      </c>
      <c r="K856" s="267">
        <v>6515</v>
      </c>
      <c r="L856" s="267">
        <v>141100</v>
      </c>
      <c r="M856" s="267" t="s">
        <v>3960</v>
      </c>
      <c r="N856" s="267" t="s">
        <v>3944</v>
      </c>
      <c r="O856" s="267">
        <v>1157.28</v>
      </c>
      <c r="P856" s="267" t="s">
        <v>3944</v>
      </c>
      <c r="Q856" s="267" t="s">
        <v>3944</v>
      </c>
      <c r="R856" s="267">
        <v>1157.28</v>
      </c>
      <c r="S856" s="267">
        <v>13426.59</v>
      </c>
      <c r="T856" s="267">
        <v>14583.87</v>
      </c>
      <c r="U856" s="268" t="s">
        <v>3945</v>
      </c>
      <c r="V856" s="267" t="s">
        <v>944</v>
      </c>
    </row>
    <row r="857" spans="1:22" hidden="1" x14ac:dyDescent="0.25">
      <c r="A857" s="269">
        <v>43510</v>
      </c>
      <c r="B857" s="270">
        <v>2019</v>
      </c>
      <c r="C857" s="270">
        <v>2019</v>
      </c>
      <c r="D857" s="270">
        <v>1</v>
      </c>
      <c r="E857" s="270">
        <v>1</v>
      </c>
      <c r="F857" s="270" t="s">
        <v>944</v>
      </c>
      <c r="G857" s="270" t="s">
        <v>3926</v>
      </c>
      <c r="H857" s="270" t="s">
        <v>5006</v>
      </c>
      <c r="I857" s="270" t="s">
        <v>4269</v>
      </c>
      <c r="J857" s="270" t="s">
        <v>3928</v>
      </c>
      <c r="K857" s="270">
        <v>6117</v>
      </c>
      <c r="L857" s="270">
        <v>497700</v>
      </c>
      <c r="M857" s="270" t="s">
        <v>3943</v>
      </c>
      <c r="N857" s="270" t="s">
        <v>3944</v>
      </c>
      <c r="O857" s="270">
        <v>2240.91</v>
      </c>
      <c r="P857" s="270" t="s">
        <v>3944</v>
      </c>
      <c r="Q857" s="270" t="s">
        <v>3944</v>
      </c>
      <c r="R857" s="270">
        <v>2240.91</v>
      </c>
      <c r="S857" s="270">
        <v>30079.96</v>
      </c>
      <c r="T857" s="270">
        <v>32320.87</v>
      </c>
      <c r="U857" s="271" t="s">
        <v>3945</v>
      </c>
      <c r="V857" s="267" t="s">
        <v>944</v>
      </c>
    </row>
    <row r="858" spans="1:22" hidden="1" x14ac:dyDescent="0.25">
      <c r="A858" s="266">
        <v>43510</v>
      </c>
      <c r="B858" s="267">
        <v>2019</v>
      </c>
      <c r="C858" s="267">
        <v>2019</v>
      </c>
      <c r="D858" s="267">
        <v>1</v>
      </c>
      <c r="E858" s="267">
        <v>1</v>
      </c>
      <c r="F858" s="267" t="s">
        <v>944</v>
      </c>
      <c r="G858" s="267" t="s">
        <v>3926</v>
      </c>
      <c r="H858" s="267" t="s">
        <v>5007</v>
      </c>
      <c r="I858" s="267" t="s">
        <v>4016</v>
      </c>
      <c r="J858" s="267" t="s">
        <v>3928</v>
      </c>
      <c r="K858" s="267">
        <v>6770</v>
      </c>
      <c r="L858" s="267">
        <v>345300</v>
      </c>
      <c r="M858" s="267" t="s">
        <v>3940</v>
      </c>
      <c r="N858" s="267" t="s">
        <v>3944</v>
      </c>
      <c r="O858" s="267">
        <v>2473.21</v>
      </c>
      <c r="P858" s="267" t="s">
        <v>3944</v>
      </c>
      <c r="Q858" s="267" t="s">
        <v>3944</v>
      </c>
      <c r="R858" s="267">
        <v>2473.21</v>
      </c>
      <c r="S858" s="267">
        <v>33369.870000000003</v>
      </c>
      <c r="T858" s="267">
        <v>35843.08</v>
      </c>
      <c r="U858" s="268" t="s">
        <v>3945</v>
      </c>
      <c r="V858" s="267" t="s">
        <v>944</v>
      </c>
    </row>
    <row r="859" spans="1:22" hidden="1" x14ac:dyDescent="0.25">
      <c r="A859" s="269">
        <v>43510</v>
      </c>
      <c r="B859" s="270">
        <v>2019</v>
      </c>
      <c r="C859" s="270">
        <v>2019</v>
      </c>
      <c r="D859" s="270">
        <v>1</v>
      </c>
      <c r="E859" s="270">
        <v>1</v>
      </c>
      <c r="F859" s="270" t="s">
        <v>944</v>
      </c>
      <c r="G859" s="270" t="s">
        <v>3926</v>
      </c>
      <c r="H859" s="270" t="s">
        <v>5008</v>
      </c>
      <c r="I859" s="270" t="s">
        <v>4323</v>
      </c>
      <c r="J859" s="270" t="s">
        <v>3928</v>
      </c>
      <c r="K859" s="270">
        <v>6385</v>
      </c>
      <c r="L859" s="270">
        <v>693400</v>
      </c>
      <c r="M859" s="270" t="s">
        <v>3940</v>
      </c>
      <c r="N859" s="270" t="s">
        <v>3944</v>
      </c>
      <c r="O859" s="270">
        <v>2202.5500000000002</v>
      </c>
      <c r="P859" s="270" t="s">
        <v>3944</v>
      </c>
      <c r="Q859" s="270" t="s">
        <v>3944</v>
      </c>
      <c r="R859" s="270">
        <v>2202.5500000000002</v>
      </c>
      <c r="S859" s="270">
        <v>33463</v>
      </c>
      <c r="T859" s="270">
        <v>35665.550000000003</v>
      </c>
      <c r="U859" s="271" t="s">
        <v>3945</v>
      </c>
      <c r="V859" s="267" t="s">
        <v>944</v>
      </c>
    </row>
    <row r="860" spans="1:22" hidden="1" x14ac:dyDescent="0.25">
      <c r="A860" s="266">
        <v>43510</v>
      </c>
      <c r="B860" s="267">
        <v>2019</v>
      </c>
      <c r="C860" s="267">
        <v>2019</v>
      </c>
      <c r="D860" s="267">
        <v>1</v>
      </c>
      <c r="E860" s="267">
        <v>1</v>
      </c>
      <c r="F860" s="267" t="s">
        <v>944</v>
      </c>
      <c r="G860" s="267" t="s">
        <v>3926</v>
      </c>
      <c r="H860" s="267" t="s">
        <v>5009</v>
      </c>
      <c r="I860" s="267" t="s">
        <v>5010</v>
      </c>
      <c r="J860" s="267" t="s">
        <v>3928</v>
      </c>
      <c r="K860" s="267">
        <v>6365</v>
      </c>
      <c r="L860" s="267">
        <v>700100</v>
      </c>
      <c r="M860" s="267" t="s">
        <v>3935</v>
      </c>
      <c r="N860" s="267" t="s">
        <v>3944</v>
      </c>
      <c r="O860" s="267">
        <v>2100.11</v>
      </c>
      <c r="P860" s="267" t="s">
        <v>3944</v>
      </c>
      <c r="Q860" s="267" t="s">
        <v>3944</v>
      </c>
      <c r="R860" s="267">
        <v>2100.11</v>
      </c>
      <c r="S860" s="267">
        <v>29490.53</v>
      </c>
      <c r="T860" s="267">
        <v>31590.639999999999</v>
      </c>
      <c r="U860" s="268" t="s">
        <v>3945</v>
      </c>
      <c r="V860" s="267" t="s">
        <v>944</v>
      </c>
    </row>
    <row r="861" spans="1:22" x14ac:dyDescent="0.25">
      <c r="A861" s="269">
        <v>43510</v>
      </c>
      <c r="B861" s="270">
        <v>2019</v>
      </c>
      <c r="C861" s="270">
        <v>2019</v>
      </c>
      <c r="D861" s="270">
        <v>1</v>
      </c>
      <c r="E861" s="270">
        <v>1</v>
      </c>
      <c r="F861" s="270" t="s">
        <v>944</v>
      </c>
      <c r="G861" s="270" t="s">
        <v>3926</v>
      </c>
      <c r="H861" s="270" t="s">
        <v>5011</v>
      </c>
      <c r="I861" s="270" t="s">
        <v>950</v>
      </c>
      <c r="J861" s="270" t="s">
        <v>3928</v>
      </c>
      <c r="K861" s="270">
        <v>6516</v>
      </c>
      <c r="L861" s="270">
        <v>154500</v>
      </c>
      <c r="M861" s="270">
        <v>-60</v>
      </c>
      <c r="N861" s="270" t="s">
        <v>3944</v>
      </c>
      <c r="O861" s="270">
        <v>1111.6400000000001</v>
      </c>
      <c r="P861" s="270" t="s">
        <v>3944</v>
      </c>
      <c r="Q861" s="270" t="s">
        <v>3944</v>
      </c>
      <c r="R861" s="270">
        <v>1111.6400000000001</v>
      </c>
      <c r="S861" s="270">
        <v>19599.07</v>
      </c>
      <c r="T861" s="270">
        <v>20710.71</v>
      </c>
      <c r="U861" s="271" t="s">
        <v>3945</v>
      </c>
      <c r="V861" s="276" t="s">
        <v>936</v>
      </c>
    </row>
    <row r="862" spans="1:22" hidden="1" x14ac:dyDescent="0.25">
      <c r="A862" s="266">
        <v>43510</v>
      </c>
      <c r="B862" s="267">
        <v>2019</v>
      </c>
      <c r="C862" s="267">
        <v>2019</v>
      </c>
      <c r="D862" s="267">
        <v>1</v>
      </c>
      <c r="E862" s="267">
        <v>1</v>
      </c>
      <c r="F862" s="267" t="s">
        <v>944</v>
      </c>
      <c r="G862" s="267" t="s">
        <v>3926</v>
      </c>
      <c r="H862" s="267" t="s">
        <v>5012</v>
      </c>
      <c r="I862" s="267" t="s">
        <v>3999</v>
      </c>
      <c r="J862" s="267" t="s">
        <v>3928</v>
      </c>
      <c r="K862" s="267">
        <v>6450</v>
      </c>
      <c r="L862" s="267">
        <v>171200</v>
      </c>
      <c r="M862" s="267" t="s">
        <v>3960</v>
      </c>
      <c r="N862" s="267" t="s">
        <v>3944</v>
      </c>
      <c r="O862" s="267">
        <v>2087.02</v>
      </c>
      <c r="P862" s="267" t="s">
        <v>3944</v>
      </c>
      <c r="Q862" s="267" t="s">
        <v>3944</v>
      </c>
      <c r="R862" s="267">
        <v>2087.02</v>
      </c>
      <c r="S862" s="267">
        <v>29164.13</v>
      </c>
      <c r="T862" s="267">
        <v>31251.15</v>
      </c>
      <c r="U862" s="268" t="s">
        <v>3945</v>
      </c>
      <c r="V862" s="267" t="s">
        <v>944</v>
      </c>
    </row>
    <row r="863" spans="1:22" hidden="1" x14ac:dyDescent="0.25">
      <c r="A863" s="269">
        <v>43510</v>
      </c>
      <c r="B863" s="270">
        <v>2019</v>
      </c>
      <c r="C863" s="270">
        <v>2019</v>
      </c>
      <c r="D863" s="270">
        <v>1</v>
      </c>
      <c r="E863" s="270">
        <v>1</v>
      </c>
      <c r="F863" s="270" t="s">
        <v>944</v>
      </c>
      <c r="G863" s="270" t="s">
        <v>3926</v>
      </c>
      <c r="H863" s="270" t="s">
        <v>5013</v>
      </c>
      <c r="I863" s="270" t="s">
        <v>3966</v>
      </c>
      <c r="J863" s="270" t="s">
        <v>3928</v>
      </c>
      <c r="K863" s="270">
        <v>6010</v>
      </c>
      <c r="L863" s="270">
        <v>405800</v>
      </c>
      <c r="M863" s="270" t="s">
        <v>3935</v>
      </c>
      <c r="N863" s="270" t="s">
        <v>3944</v>
      </c>
      <c r="O863" s="270">
        <v>1472.52</v>
      </c>
      <c r="P863" s="270" t="s">
        <v>3944</v>
      </c>
      <c r="Q863" s="270" t="s">
        <v>3944</v>
      </c>
      <c r="R863" s="270">
        <v>1472.52</v>
      </c>
      <c r="S863" s="270">
        <v>19507.09</v>
      </c>
      <c r="T863" s="270">
        <v>20979.61</v>
      </c>
      <c r="U863" s="271" t="s">
        <v>3945</v>
      </c>
      <c r="V863" s="267" t="s">
        <v>944</v>
      </c>
    </row>
    <row r="864" spans="1:22" hidden="1" x14ac:dyDescent="0.25">
      <c r="A864" s="266">
        <v>43510</v>
      </c>
      <c r="B864" s="267">
        <v>2019</v>
      </c>
      <c r="C864" s="267">
        <v>2019</v>
      </c>
      <c r="D864" s="267">
        <v>1</v>
      </c>
      <c r="E864" s="267">
        <v>1</v>
      </c>
      <c r="F864" s="267" t="s">
        <v>944</v>
      </c>
      <c r="G864" s="267" t="s">
        <v>3926</v>
      </c>
      <c r="H864" s="267" t="s">
        <v>5014</v>
      </c>
      <c r="I864" s="267" t="s">
        <v>4037</v>
      </c>
      <c r="J864" s="267" t="s">
        <v>3928</v>
      </c>
      <c r="K864" s="267">
        <v>6811</v>
      </c>
      <c r="L864" s="267">
        <v>211000</v>
      </c>
      <c r="M864" s="267" t="s">
        <v>3960</v>
      </c>
      <c r="N864" s="267" t="s">
        <v>3944</v>
      </c>
      <c r="O864" s="267">
        <v>1894.76</v>
      </c>
      <c r="P864" s="267" t="s">
        <v>3944</v>
      </c>
      <c r="Q864" s="267" t="s">
        <v>3944</v>
      </c>
      <c r="R864" s="267">
        <v>1894.76</v>
      </c>
      <c r="S864" s="267">
        <v>21564.7</v>
      </c>
      <c r="T864" s="267">
        <v>23459.46</v>
      </c>
      <c r="U864" s="268" t="s">
        <v>3945</v>
      </c>
      <c r="V864" s="267" t="s">
        <v>944</v>
      </c>
    </row>
    <row r="865" spans="1:22" hidden="1" x14ac:dyDescent="0.25">
      <c r="A865" s="269">
        <v>43510</v>
      </c>
      <c r="B865" s="270">
        <v>2019</v>
      </c>
      <c r="C865" s="270">
        <v>2019</v>
      </c>
      <c r="D865" s="270">
        <v>1</v>
      </c>
      <c r="E865" s="270">
        <v>1</v>
      </c>
      <c r="F865" s="270" t="s">
        <v>944</v>
      </c>
      <c r="G865" s="270" t="s">
        <v>3926</v>
      </c>
      <c r="H865" s="270" t="s">
        <v>5015</v>
      </c>
      <c r="I865" s="270" t="s">
        <v>4392</v>
      </c>
      <c r="J865" s="270" t="s">
        <v>3928</v>
      </c>
      <c r="K865" s="270">
        <v>6457</v>
      </c>
      <c r="L865" s="270">
        <v>541402</v>
      </c>
      <c r="M865" s="270" t="s">
        <v>3935</v>
      </c>
      <c r="N865" s="270" t="s">
        <v>3944</v>
      </c>
      <c r="O865" s="270">
        <v>1172.4000000000001</v>
      </c>
      <c r="P865" s="270" t="s">
        <v>3944</v>
      </c>
      <c r="Q865" s="270" t="s">
        <v>3944</v>
      </c>
      <c r="R865" s="270">
        <v>1172.4000000000001</v>
      </c>
      <c r="S865" s="270">
        <v>15863.55</v>
      </c>
      <c r="T865" s="270">
        <v>17035.95</v>
      </c>
      <c r="U865" s="271" t="s">
        <v>3945</v>
      </c>
      <c r="V865" s="267" t="s">
        <v>944</v>
      </c>
    </row>
    <row r="866" spans="1:22" hidden="1" x14ac:dyDescent="0.25">
      <c r="A866" s="266">
        <v>43510</v>
      </c>
      <c r="B866" s="267">
        <v>2019</v>
      </c>
      <c r="C866" s="267">
        <v>2019</v>
      </c>
      <c r="D866" s="267">
        <v>1</v>
      </c>
      <c r="E866" s="267">
        <v>1</v>
      </c>
      <c r="F866" s="267" t="s">
        <v>944</v>
      </c>
      <c r="G866" s="267" t="s">
        <v>3926</v>
      </c>
      <c r="H866" s="267" t="s">
        <v>5016</v>
      </c>
      <c r="I866" s="267" t="s">
        <v>4621</v>
      </c>
      <c r="J866" s="267" t="s">
        <v>3928</v>
      </c>
      <c r="K866" s="267">
        <v>6443</v>
      </c>
      <c r="L866" s="267">
        <v>194201</v>
      </c>
      <c r="M866" s="267" t="s">
        <v>3943</v>
      </c>
      <c r="N866" s="267" t="s">
        <v>3944</v>
      </c>
      <c r="O866" s="267">
        <v>2000.11</v>
      </c>
      <c r="P866" s="267" t="s">
        <v>3944</v>
      </c>
      <c r="Q866" s="267" t="s">
        <v>3944</v>
      </c>
      <c r="R866" s="267">
        <v>2000.11</v>
      </c>
      <c r="S866" s="267">
        <v>31806.07</v>
      </c>
      <c r="T866" s="267">
        <v>33806.18</v>
      </c>
      <c r="U866" s="268" t="s">
        <v>3945</v>
      </c>
      <c r="V866" s="267" t="s">
        <v>944</v>
      </c>
    </row>
    <row r="867" spans="1:22" hidden="1" x14ac:dyDescent="0.25">
      <c r="A867" s="269">
        <v>43510</v>
      </c>
      <c r="B867" s="270">
        <v>2019</v>
      </c>
      <c r="C867" s="270">
        <v>2019</v>
      </c>
      <c r="D867" s="270">
        <v>1</v>
      </c>
      <c r="E867" s="270">
        <v>1</v>
      </c>
      <c r="F867" s="270" t="s">
        <v>944</v>
      </c>
      <c r="G867" s="270" t="s">
        <v>3926</v>
      </c>
      <c r="H867" s="270" t="s">
        <v>5017</v>
      </c>
      <c r="I867" s="270" t="s">
        <v>953</v>
      </c>
      <c r="J867" s="270" t="s">
        <v>3928</v>
      </c>
      <c r="K867" s="270">
        <v>6514</v>
      </c>
      <c r="L867" s="270">
        <v>165600</v>
      </c>
      <c r="M867" s="270" t="s">
        <v>3940</v>
      </c>
      <c r="N867" s="270" t="s">
        <v>3944</v>
      </c>
      <c r="O867" s="270">
        <v>2496.41</v>
      </c>
      <c r="P867" s="270" t="s">
        <v>3944</v>
      </c>
      <c r="Q867" s="270" t="s">
        <v>3944</v>
      </c>
      <c r="R867" s="270">
        <v>2496.41</v>
      </c>
      <c r="S867" s="270">
        <v>25569.38</v>
      </c>
      <c r="T867" s="270">
        <v>28065.79</v>
      </c>
      <c r="U867" s="271" t="s">
        <v>3945</v>
      </c>
      <c r="V867" s="267" t="s">
        <v>944</v>
      </c>
    </row>
    <row r="868" spans="1:22" hidden="1" x14ac:dyDescent="0.25">
      <c r="A868" s="266">
        <v>43510</v>
      </c>
      <c r="B868" s="267">
        <v>2019</v>
      </c>
      <c r="C868" s="267">
        <v>2019</v>
      </c>
      <c r="D868" s="267">
        <v>1</v>
      </c>
      <c r="E868" s="267">
        <v>1</v>
      </c>
      <c r="F868" s="267" t="s">
        <v>944</v>
      </c>
      <c r="G868" s="267" t="s">
        <v>3926</v>
      </c>
      <c r="H868" s="267" t="s">
        <v>5018</v>
      </c>
      <c r="I868" s="267" t="s">
        <v>953</v>
      </c>
      <c r="J868" s="267" t="s">
        <v>3928</v>
      </c>
      <c r="K868" s="267">
        <v>6514</v>
      </c>
      <c r="L868" s="267">
        <v>165600</v>
      </c>
      <c r="M868" s="267" t="s">
        <v>3940</v>
      </c>
      <c r="N868" s="267" t="s">
        <v>3944</v>
      </c>
      <c r="O868" s="267">
        <v>1623.09</v>
      </c>
      <c r="P868" s="267" t="s">
        <v>3944</v>
      </c>
      <c r="Q868" s="267" t="s">
        <v>3944</v>
      </c>
      <c r="R868" s="267">
        <v>1623.09</v>
      </c>
      <c r="S868" s="267">
        <v>24354.959999999999</v>
      </c>
      <c r="T868" s="267">
        <v>25978.05</v>
      </c>
      <c r="U868" s="268" t="s">
        <v>3945</v>
      </c>
      <c r="V868" s="267" t="s">
        <v>944</v>
      </c>
    </row>
    <row r="869" spans="1:22" hidden="1" x14ac:dyDescent="0.25">
      <c r="A869" s="269">
        <v>43510</v>
      </c>
      <c r="B869" s="270">
        <v>2019</v>
      </c>
      <c r="C869" s="270">
        <v>2019</v>
      </c>
      <c r="D869" s="270">
        <v>1</v>
      </c>
      <c r="E869" s="270">
        <v>1</v>
      </c>
      <c r="F869" s="270" t="s">
        <v>944</v>
      </c>
      <c r="G869" s="270" t="s">
        <v>3926</v>
      </c>
      <c r="H869" s="270" t="s">
        <v>5019</v>
      </c>
      <c r="I869" s="270" t="s">
        <v>4029</v>
      </c>
      <c r="J869" s="270" t="s">
        <v>3928</v>
      </c>
      <c r="K869" s="270">
        <v>6851</v>
      </c>
      <c r="L869" s="270">
        <v>43600</v>
      </c>
      <c r="M869" s="270" t="s">
        <v>3960</v>
      </c>
      <c r="N869" s="270" t="s">
        <v>3944</v>
      </c>
      <c r="O869" s="270">
        <v>2012.78</v>
      </c>
      <c r="P869" s="270" t="s">
        <v>3944</v>
      </c>
      <c r="Q869" s="270" t="s">
        <v>3944</v>
      </c>
      <c r="R869" s="270">
        <v>2012.78</v>
      </c>
      <c r="S869" s="270">
        <v>15742.22</v>
      </c>
      <c r="T869" s="270">
        <v>17755</v>
      </c>
      <c r="U869" s="271" t="s">
        <v>3945</v>
      </c>
      <c r="V869" s="267" t="s">
        <v>944</v>
      </c>
    </row>
    <row r="870" spans="1:22" hidden="1" x14ac:dyDescent="0.25">
      <c r="A870" s="266">
        <v>43510</v>
      </c>
      <c r="B870" s="267">
        <v>2019</v>
      </c>
      <c r="C870" s="267">
        <v>2019</v>
      </c>
      <c r="D870" s="267">
        <v>1</v>
      </c>
      <c r="E870" s="267">
        <v>1</v>
      </c>
      <c r="F870" s="267" t="s">
        <v>944</v>
      </c>
      <c r="G870" s="267" t="s">
        <v>3926</v>
      </c>
      <c r="H870" s="267" t="s">
        <v>5020</v>
      </c>
      <c r="I870" s="267" t="s">
        <v>3975</v>
      </c>
      <c r="J870" s="267" t="s">
        <v>3928</v>
      </c>
      <c r="K870" s="267">
        <v>6489</v>
      </c>
      <c r="L870" s="267">
        <v>430601</v>
      </c>
      <c r="M870" s="267" t="s">
        <v>3940</v>
      </c>
      <c r="N870" s="267" t="s">
        <v>3944</v>
      </c>
      <c r="O870" s="267">
        <v>1546.76</v>
      </c>
      <c r="P870" s="267" t="s">
        <v>3944</v>
      </c>
      <c r="Q870" s="267" t="s">
        <v>3944</v>
      </c>
      <c r="R870" s="267">
        <v>1546.76</v>
      </c>
      <c r="S870" s="267">
        <v>22071.94</v>
      </c>
      <c r="T870" s="267">
        <v>23618.7</v>
      </c>
      <c r="U870" s="268" t="s">
        <v>3945</v>
      </c>
      <c r="V870" s="267" t="s">
        <v>944</v>
      </c>
    </row>
    <row r="871" spans="1:22" hidden="1" x14ac:dyDescent="0.25">
      <c r="A871" s="269">
        <v>43510</v>
      </c>
      <c r="B871" s="270">
        <v>2019</v>
      </c>
      <c r="C871" s="270">
        <v>2019</v>
      </c>
      <c r="D871" s="270">
        <v>1</v>
      </c>
      <c r="E871" s="270">
        <v>1</v>
      </c>
      <c r="F871" s="270" t="s">
        <v>944</v>
      </c>
      <c r="G871" s="270" t="s">
        <v>3926</v>
      </c>
      <c r="H871" s="270" t="s">
        <v>5021</v>
      </c>
      <c r="I871" s="270" t="s">
        <v>3996</v>
      </c>
      <c r="J871" s="270" t="s">
        <v>3928</v>
      </c>
      <c r="K871" s="270">
        <v>6790</v>
      </c>
      <c r="L871" s="270">
        <v>310400</v>
      </c>
      <c r="M871" s="270" t="s">
        <v>3935</v>
      </c>
      <c r="N871" s="270" t="s">
        <v>3944</v>
      </c>
      <c r="O871" s="270">
        <v>1871.56</v>
      </c>
      <c r="P871" s="270" t="s">
        <v>3944</v>
      </c>
      <c r="Q871" s="270" t="s">
        <v>3944</v>
      </c>
      <c r="R871" s="270">
        <v>1871.56</v>
      </c>
      <c r="S871" s="270">
        <v>29041.439999999999</v>
      </c>
      <c r="T871" s="270">
        <v>30913</v>
      </c>
      <c r="U871" s="271" t="s">
        <v>3945</v>
      </c>
      <c r="V871" s="267" t="s">
        <v>944</v>
      </c>
    </row>
    <row r="872" spans="1:22" hidden="1" x14ac:dyDescent="0.25">
      <c r="A872" s="266">
        <v>43510</v>
      </c>
      <c r="B872" s="267">
        <v>2019</v>
      </c>
      <c r="C872" s="267">
        <v>2019</v>
      </c>
      <c r="D872" s="267">
        <v>1</v>
      </c>
      <c r="E872" s="267">
        <v>1</v>
      </c>
      <c r="F872" s="267" t="s">
        <v>944</v>
      </c>
      <c r="G872" s="267" t="s">
        <v>3926</v>
      </c>
      <c r="H872" s="267" t="s">
        <v>5022</v>
      </c>
      <c r="I872" s="267" t="s">
        <v>3008</v>
      </c>
      <c r="J872" s="267" t="s">
        <v>3928</v>
      </c>
      <c r="K872" s="267">
        <v>6461</v>
      </c>
      <c r="L872" s="267">
        <v>150600</v>
      </c>
      <c r="M872" s="267" t="s">
        <v>3960</v>
      </c>
      <c r="N872" s="267" t="s">
        <v>3944</v>
      </c>
      <c r="O872" s="267">
        <v>2207.52</v>
      </c>
      <c r="P872" s="267" t="s">
        <v>3944</v>
      </c>
      <c r="Q872" s="267" t="s">
        <v>3944</v>
      </c>
      <c r="R872" s="267">
        <v>2207.52</v>
      </c>
      <c r="S872" s="267">
        <v>19624.48</v>
      </c>
      <c r="T872" s="267">
        <v>21832</v>
      </c>
      <c r="U872" s="268" t="s">
        <v>3945</v>
      </c>
      <c r="V872" s="267" t="s">
        <v>944</v>
      </c>
    </row>
    <row r="873" spans="1:22" hidden="1" x14ac:dyDescent="0.25">
      <c r="A873" s="269">
        <v>43510</v>
      </c>
      <c r="B873" s="270">
        <v>2019</v>
      </c>
      <c r="C873" s="270">
        <v>2019</v>
      </c>
      <c r="D873" s="270">
        <v>1</v>
      </c>
      <c r="E873" s="270">
        <v>1</v>
      </c>
      <c r="F873" s="270" t="s">
        <v>944</v>
      </c>
      <c r="G873" s="270" t="s">
        <v>3926</v>
      </c>
      <c r="H873" s="270" t="s">
        <v>5023</v>
      </c>
      <c r="I873" s="270" t="s">
        <v>4065</v>
      </c>
      <c r="J873" s="270" t="s">
        <v>3928</v>
      </c>
      <c r="K873" s="270">
        <v>6480</v>
      </c>
      <c r="L873" s="270">
        <v>560200</v>
      </c>
      <c r="M873" s="270" t="s">
        <v>3935</v>
      </c>
      <c r="N873" s="270" t="s">
        <v>3944</v>
      </c>
      <c r="O873" s="270">
        <v>1213.9100000000001</v>
      </c>
      <c r="P873" s="270" t="s">
        <v>3944</v>
      </c>
      <c r="Q873" s="270" t="s">
        <v>3944</v>
      </c>
      <c r="R873" s="270">
        <v>1213.9100000000001</v>
      </c>
      <c r="S873" s="270">
        <v>16954.05</v>
      </c>
      <c r="T873" s="270">
        <v>18167.96</v>
      </c>
      <c r="U873" s="271" t="s">
        <v>3945</v>
      </c>
      <c r="V873" s="267" t="s">
        <v>944</v>
      </c>
    </row>
    <row r="874" spans="1:22" hidden="1" x14ac:dyDescent="0.25">
      <c r="A874" s="266">
        <v>43510</v>
      </c>
      <c r="B874" s="267">
        <v>2019</v>
      </c>
      <c r="C874" s="267">
        <v>2019</v>
      </c>
      <c r="D874" s="267">
        <v>1</v>
      </c>
      <c r="E874" s="267">
        <v>1</v>
      </c>
      <c r="F874" s="267" t="s">
        <v>944</v>
      </c>
      <c r="G874" s="267" t="s">
        <v>3926</v>
      </c>
      <c r="H874" s="267" t="s">
        <v>5024</v>
      </c>
      <c r="I874" s="267" t="s">
        <v>4019</v>
      </c>
      <c r="J874" s="267" t="s">
        <v>3928</v>
      </c>
      <c r="K874" s="267">
        <v>6708</v>
      </c>
      <c r="L874" s="267">
        <v>352000</v>
      </c>
      <c r="M874" s="267" t="s">
        <v>3935</v>
      </c>
      <c r="N874" s="267" t="s">
        <v>3944</v>
      </c>
      <c r="O874" s="267">
        <v>2115.44</v>
      </c>
      <c r="P874" s="267" t="s">
        <v>3944</v>
      </c>
      <c r="Q874" s="267" t="s">
        <v>3944</v>
      </c>
      <c r="R874" s="267">
        <v>2115.44</v>
      </c>
      <c r="S874" s="267">
        <v>29832.87</v>
      </c>
      <c r="T874" s="267">
        <v>31948.31</v>
      </c>
      <c r="U874" s="268" t="s">
        <v>3945</v>
      </c>
      <c r="V874" s="267" t="s">
        <v>944</v>
      </c>
    </row>
    <row r="875" spans="1:22" hidden="1" x14ac:dyDescent="0.25">
      <c r="A875" s="269">
        <v>43510</v>
      </c>
      <c r="B875" s="270">
        <v>2019</v>
      </c>
      <c r="C875" s="270">
        <v>2019</v>
      </c>
      <c r="D875" s="270">
        <v>1</v>
      </c>
      <c r="E875" s="270">
        <v>1</v>
      </c>
      <c r="F875" s="270" t="s">
        <v>944</v>
      </c>
      <c r="G875" s="270" t="s">
        <v>3926</v>
      </c>
      <c r="H875" s="270" t="s">
        <v>5025</v>
      </c>
      <c r="I875" s="270" t="s">
        <v>3985</v>
      </c>
      <c r="J875" s="270" t="s">
        <v>3928</v>
      </c>
      <c r="K875" s="270">
        <v>6226</v>
      </c>
      <c r="L875" s="270">
        <v>800500</v>
      </c>
      <c r="M875" s="270" t="s">
        <v>3940</v>
      </c>
      <c r="N875" s="270" t="s">
        <v>3944</v>
      </c>
      <c r="O875" s="270">
        <v>742.88</v>
      </c>
      <c r="P875" s="270" t="s">
        <v>3944</v>
      </c>
      <c r="Q875" s="270" t="s">
        <v>3944</v>
      </c>
      <c r="R875" s="270">
        <v>742.88</v>
      </c>
      <c r="S875" s="270">
        <v>10561.65</v>
      </c>
      <c r="T875" s="270">
        <v>11304.53</v>
      </c>
      <c r="U875" s="271" t="s">
        <v>3945</v>
      </c>
      <c r="V875" s="267" t="s">
        <v>944</v>
      </c>
    </row>
    <row r="876" spans="1:22" hidden="1" x14ac:dyDescent="0.25">
      <c r="A876" s="266">
        <v>43510</v>
      </c>
      <c r="B876" s="267">
        <v>2019</v>
      </c>
      <c r="C876" s="267">
        <v>2019</v>
      </c>
      <c r="D876" s="267">
        <v>1</v>
      </c>
      <c r="E876" s="267">
        <v>68</v>
      </c>
      <c r="F876" s="267" t="s">
        <v>944</v>
      </c>
      <c r="G876" s="267" t="s">
        <v>3997</v>
      </c>
      <c r="H876" s="267" t="s">
        <v>5026</v>
      </c>
      <c r="I876" s="267" t="s">
        <v>3956</v>
      </c>
      <c r="J876" s="267" t="s">
        <v>3928</v>
      </c>
      <c r="K876" s="267">
        <v>6120</v>
      </c>
      <c r="L876" s="267">
        <v>501200</v>
      </c>
      <c r="M876" s="267">
        <v>-60</v>
      </c>
      <c r="N876" s="267" t="s">
        <v>4578</v>
      </c>
      <c r="O876" s="267"/>
      <c r="P876" s="267" t="s">
        <v>3944</v>
      </c>
      <c r="Q876" s="267" t="s">
        <v>4578</v>
      </c>
      <c r="R876" s="267">
        <v>9375</v>
      </c>
      <c r="S876" s="267">
        <v>0</v>
      </c>
      <c r="T876" s="267">
        <v>9375</v>
      </c>
      <c r="U876" s="268" t="s">
        <v>5027</v>
      </c>
      <c r="V876" s="267" t="s">
        <v>944</v>
      </c>
    </row>
    <row r="877" spans="1:22" hidden="1" x14ac:dyDescent="0.25">
      <c r="A877" s="269">
        <v>43510</v>
      </c>
      <c r="B877" s="270">
        <v>2019</v>
      </c>
      <c r="C877" s="270">
        <v>2019</v>
      </c>
      <c r="D877" s="270">
        <v>1</v>
      </c>
      <c r="E877" s="270">
        <v>1</v>
      </c>
      <c r="F877" s="270" t="s">
        <v>944</v>
      </c>
      <c r="G877" s="270" t="s">
        <v>3926</v>
      </c>
      <c r="H877" s="270" t="s">
        <v>5028</v>
      </c>
      <c r="I877" s="270" t="s">
        <v>4213</v>
      </c>
      <c r="J877" s="270" t="s">
        <v>3928</v>
      </c>
      <c r="K877" s="270">
        <v>6051</v>
      </c>
      <c r="L877" s="270">
        <v>415600</v>
      </c>
      <c r="M877" s="270">
        <v>-60</v>
      </c>
      <c r="N877" s="270" t="s">
        <v>5029</v>
      </c>
      <c r="O877" s="270"/>
      <c r="P877" s="270" t="s">
        <v>3944</v>
      </c>
      <c r="Q877" s="270" t="s">
        <v>5029</v>
      </c>
      <c r="R877" s="270">
        <v>36153.68</v>
      </c>
      <c r="S877" s="270">
        <v>44</v>
      </c>
      <c r="T877" s="270">
        <v>36197.68</v>
      </c>
      <c r="U877" s="271" t="s">
        <v>4099</v>
      </c>
      <c r="V877" s="267" t="s">
        <v>944</v>
      </c>
    </row>
    <row r="878" spans="1:22" hidden="1" x14ac:dyDescent="0.25">
      <c r="A878" s="266">
        <v>43511</v>
      </c>
      <c r="B878" s="267">
        <v>2019</v>
      </c>
      <c r="C878" s="267">
        <v>2019</v>
      </c>
      <c r="D878" s="267">
        <v>1</v>
      </c>
      <c r="E878" s="267">
        <v>1</v>
      </c>
      <c r="F878" s="267" t="s">
        <v>944</v>
      </c>
      <c r="G878" s="267" t="s">
        <v>3926</v>
      </c>
      <c r="H878" s="267" t="s">
        <v>5030</v>
      </c>
      <c r="I878" s="267" t="s">
        <v>4065</v>
      </c>
      <c r="J878" s="267" t="s">
        <v>3928</v>
      </c>
      <c r="K878" s="267">
        <v>6480</v>
      </c>
      <c r="L878" s="267">
        <v>560100</v>
      </c>
      <c r="M878" s="267" t="s">
        <v>3943</v>
      </c>
      <c r="N878" s="267" t="s">
        <v>3929</v>
      </c>
      <c r="O878" s="267">
        <v>5000.22</v>
      </c>
      <c r="P878" s="267" t="s">
        <v>3930</v>
      </c>
      <c r="Q878" s="267" t="s">
        <v>3931</v>
      </c>
      <c r="R878" s="267">
        <v>10000.219999999999</v>
      </c>
      <c r="S878" s="267">
        <v>34744</v>
      </c>
      <c r="T878" s="267">
        <v>44744.22</v>
      </c>
      <c r="U878" s="268" t="s">
        <v>3932</v>
      </c>
      <c r="V878" s="267" t="s">
        <v>944</v>
      </c>
    </row>
    <row r="879" spans="1:22" hidden="1" x14ac:dyDescent="0.25">
      <c r="A879" s="269">
        <v>43511</v>
      </c>
      <c r="B879" s="270">
        <v>2019</v>
      </c>
      <c r="C879" s="270">
        <v>2019</v>
      </c>
      <c r="D879" s="270">
        <v>1</v>
      </c>
      <c r="E879" s="270">
        <v>1</v>
      </c>
      <c r="F879" s="270" t="s">
        <v>944</v>
      </c>
      <c r="G879" s="270" t="s">
        <v>3926</v>
      </c>
      <c r="H879" s="270" t="s">
        <v>5031</v>
      </c>
      <c r="I879" s="270" t="s">
        <v>5032</v>
      </c>
      <c r="J879" s="270" t="s">
        <v>3928</v>
      </c>
      <c r="K879" s="270">
        <v>6062</v>
      </c>
      <c r="L879" s="270">
        <v>420500</v>
      </c>
      <c r="M879" s="270" t="s">
        <v>3940</v>
      </c>
      <c r="N879" s="270" t="s">
        <v>4103</v>
      </c>
      <c r="O879" s="270">
        <v>1592.82</v>
      </c>
      <c r="P879" s="270" t="s">
        <v>3930</v>
      </c>
      <c r="Q879" s="270" t="s">
        <v>3931</v>
      </c>
      <c r="R879" s="270">
        <v>6592.82</v>
      </c>
      <c r="S879" s="270">
        <v>24145.599999999999</v>
      </c>
      <c r="T879" s="270">
        <v>30738.42</v>
      </c>
      <c r="U879" s="271" t="s">
        <v>3932</v>
      </c>
      <c r="V879" s="267" t="s">
        <v>944</v>
      </c>
    </row>
    <row r="880" spans="1:22" hidden="1" x14ac:dyDescent="0.25">
      <c r="A880" s="266">
        <v>43511</v>
      </c>
      <c r="B880" s="267">
        <v>2019</v>
      </c>
      <c r="C880" s="267">
        <v>2019</v>
      </c>
      <c r="D880" s="267">
        <v>1</v>
      </c>
      <c r="E880" s="267">
        <v>1</v>
      </c>
      <c r="F880" s="267" t="s">
        <v>944</v>
      </c>
      <c r="G880" s="267" t="s">
        <v>3926</v>
      </c>
      <c r="H880" s="267" t="s">
        <v>5033</v>
      </c>
      <c r="I880" s="267" t="s">
        <v>3956</v>
      </c>
      <c r="J880" s="267" t="s">
        <v>3928</v>
      </c>
      <c r="K880" s="267">
        <v>6114</v>
      </c>
      <c r="L880" s="267">
        <v>502600</v>
      </c>
      <c r="M880" s="267">
        <v>-60</v>
      </c>
      <c r="N880" s="267" t="s">
        <v>4714</v>
      </c>
      <c r="O880" s="267">
        <v>4701.6000000000004</v>
      </c>
      <c r="P880" s="267" t="s">
        <v>3930</v>
      </c>
      <c r="Q880" s="267" t="s">
        <v>3931</v>
      </c>
      <c r="R880" s="267">
        <v>9701.6</v>
      </c>
      <c r="S880" s="267">
        <v>24518.2</v>
      </c>
      <c r="T880" s="267">
        <v>34219.800000000003</v>
      </c>
      <c r="U880" s="268" t="s">
        <v>3932</v>
      </c>
      <c r="V880" s="267" t="s">
        <v>944</v>
      </c>
    </row>
    <row r="881" spans="1:22" hidden="1" x14ac:dyDescent="0.25">
      <c r="A881" s="269">
        <v>43511</v>
      </c>
      <c r="B881" s="270">
        <v>2019</v>
      </c>
      <c r="C881" s="270">
        <v>2019</v>
      </c>
      <c r="D881" s="270">
        <v>1</v>
      </c>
      <c r="E881" s="270">
        <v>1</v>
      </c>
      <c r="F881" s="270" t="s">
        <v>944</v>
      </c>
      <c r="G881" s="270" t="s">
        <v>3926</v>
      </c>
      <c r="H881" s="270" t="s">
        <v>5034</v>
      </c>
      <c r="I881" s="270" t="s">
        <v>4323</v>
      </c>
      <c r="J881" s="270" t="s">
        <v>3928</v>
      </c>
      <c r="K881" s="270">
        <v>6385</v>
      </c>
      <c r="L881" s="270">
        <v>693400</v>
      </c>
      <c r="M881" s="270" t="s">
        <v>3940</v>
      </c>
      <c r="N881" s="270" t="s">
        <v>5035</v>
      </c>
      <c r="O881" s="270">
        <v>0</v>
      </c>
      <c r="P881" s="270" t="s">
        <v>3930</v>
      </c>
      <c r="Q881" s="270" t="s">
        <v>3930</v>
      </c>
      <c r="R881" s="270">
        <v>0</v>
      </c>
      <c r="S881" s="270">
        <v>8600</v>
      </c>
      <c r="T881" s="270">
        <v>8600</v>
      </c>
      <c r="U881" s="271" t="s">
        <v>3937</v>
      </c>
      <c r="V881" s="267" t="s">
        <v>944</v>
      </c>
    </row>
    <row r="882" spans="1:22" hidden="1" x14ac:dyDescent="0.25">
      <c r="A882" s="266">
        <v>43511</v>
      </c>
      <c r="B882" s="267">
        <v>2019</v>
      </c>
      <c r="C882" s="267">
        <v>2019</v>
      </c>
      <c r="D882" s="267">
        <v>1</v>
      </c>
      <c r="E882" s="267">
        <v>1</v>
      </c>
      <c r="F882" s="267" t="s">
        <v>944</v>
      </c>
      <c r="G882" s="267" t="s">
        <v>3926</v>
      </c>
      <c r="H882" s="267" t="s">
        <v>5036</v>
      </c>
      <c r="I882" s="267" t="s">
        <v>4353</v>
      </c>
      <c r="J882" s="267" t="s">
        <v>3928</v>
      </c>
      <c r="K882" s="267">
        <v>6416</v>
      </c>
      <c r="L882" s="267">
        <v>570100</v>
      </c>
      <c r="M882" s="267" t="s">
        <v>3960</v>
      </c>
      <c r="N882" s="267" t="s">
        <v>3944</v>
      </c>
      <c r="O882" s="267">
        <v>2058</v>
      </c>
      <c r="P882" s="267" t="s">
        <v>3944</v>
      </c>
      <c r="Q882" s="267" t="s">
        <v>3944</v>
      </c>
      <c r="R882" s="267">
        <v>2058</v>
      </c>
      <c r="S882" s="267">
        <v>13524</v>
      </c>
      <c r="T882" s="267">
        <v>15582</v>
      </c>
      <c r="U882" s="268" t="s">
        <v>3945</v>
      </c>
      <c r="V882" s="267" t="s">
        <v>944</v>
      </c>
    </row>
    <row r="883" spans="1:22" hidden="1" x14ac:dyDescent="0.25">
      <c r="A883" s="269">
        <v>43511</v>
      </c>
      <c r="B883" s="270">
        <v>2019</v>
      </c>
      <c r="C883" s="270">
        <v>2019</v>
      </c>
      <c r="D883" s="270">
        <v>1</v>
      </c>
      <c r="E883" s="270">
        <v>1</v>
      </c>
      <c r="F883" s="270" t="s">
        <v>944</v>
      </c>
      <c r="G883" s="270" t="s">
        <v>3926</v>
      </c>
      <c r="H883" s="270" t="s">
        <v>5037</v>
      </c>
      <c r="I883" s="270" t="s">
        <v>4011</v>
      </c>
      <c r="J883" s="270" t="s">
        <v>3928</v>
      </c>
      <c r="K883" s="270">
        <v>6002</v>
      </c>
      <c r="L883" s="270">
        <v>471400</v>
      </c>
      <c r="M883" s="270" t="s">
        <v>3943</v>
      </c>
      <c r="N883" s="270" t="s">
        <v>3944</v>
      </c>
      <c r="O883" s="270">
        <v>3479</v>
      </c>
      <c r="P883" s="270" t="s">
        <v>3944</v>
      </c>
      <c r="Q883" s="270" t="s">
        <v>3944</v>
      </c>
      <c r="R883" s="270">
        <v>3479</v>
      </c>
      <c r="S883" s="270">
        <v>35833</v>
      </c>
      <c r="T883" s="270">
        <v>39312</v>
      </c>
      <c r="U883" s="271" t="s">
        <v>3945</v>
      </c>
      <c r="V883" s="267" t="s">
        <v>944</v>
      </c>
    </row>
    <row r="884" spans="1:22" hidden="1" x14ac:dyDescent="0.25">
      <c r="A884" s="266">
        <v>43511</v>
      </c>
      <c r="B884" s="267">
        <v>2019</v>
      </c>
      <c r="C884" s="267">
        <v>2019</v>
      </c>
      <c r="D884" s="267">
        <v>1</v>
      </c>
      <c r="E884" s="267">
        <v>1</v>
      </c>
      <c r="F884" s="267" t="s">
        <v>944</v>
      </c>
      <c r="G884" s="267" t="s">
        <v>3926</v>
      </c>
      <c r="H884" s="267" t="s">
        <v>5038</v>
      </c>
      <c r="I884" s="267" t="s">
        <v>3975</v>
      </c>
      <c r="J884" s="267" t="s">
        <v>3928</v>
      </c>
      <c r="K884" s="267">
        <v>6489</v>
      </c>
      <c r="L884" s="267">
        <v>430100</v>
      </c>
      <c r="M884" s="267" t="s">
        <v>3935</v>
      </c>
      <c r="N884" s="267" t="s">
        <v>3944</v>
      </c>
      <c r="O884" s="267">
        <v>3364</v>
      </c>
      <c r="P884" s="267" t="s">
        <v>3944</v>
      </c>
      <c r="Q884" s="267" t="s">
        <v>3944</v>
      </c>
      <c r="R884" s="267">
        <v>3364</v>
      </c>
      <c r="S884" s="267">
        <v>25616</v>
      </c>
      <c r="T884" s="267">
        <v>28980</v>
      </c>
      <c r="U884" s="268" t="s">
        <v>3945</v>
      </c>
      <c r="V884" s="267" t="s">
        <v>944</v>
      </c>
    </row>
    <row r="885" spans="1:22" hidden="1" x14ac:dyDescent="0.25">
      <c r="A885" s="269">
        <v>43511</v>
      </c>
      <c r="B885" s="270">
        <v>2019</v>
      </c>
      <c r="C885" s="270">
        <v>2019</v>
      </c>
      <c r="D885" s="270">
        <v>1</v>
      </c>
      <c r="E885" s="270">
        <v>1</v>
      </c>
      <c r="F885" s="270" t="s">
        <v>944</v>
      </c>
      <c r="G885" s="270" t="s">
        <v>3926</v>
      </c>
      <c r="H885" s="270" t="s">
        <v>5039</v>
      </c>
      <c r="I885" s="270" t="s">
        <v>3934</v>
      </c>
      <c r="J885" s="270" t="s">
        <v>3928</v>
      </c>
      <c r="K885" s="270">
        <v>6405</v>
      </c>
      <c r="L885" s="270">
        <v>184300</v>
      </c>
      <c r="M885" s="270" t="s">
        <v>3960</v>
      </c>
      <c r="N885" s="270" t="s">
        <v>3944</v>
      </c>
      <c r="O885" s="270">
        <v>3717</v>
      </c>
      <c r="P885" s="270" t="s">
        <v>3944</v>
      </c>
      <c r="Q885" s="270" t="s">
        <v>3944</v>
      </c>
      <c r="R885" s="270">
        <v>3717</v>
      </c>
      <c r="S885" s="270">
        <v>28476</v>
      </c>
      <c r="T885" s="270">
        <v>32193</v>
      </c>
      <c r="U885" s="271" t="s">
        <v>3945</v>
      </c>
      <c r="V885" s="267" t="s">
        <v>944</v>
      </c>
    </row>
    <row r="886" spans="1:22" hidden="1" x14ac:dyDescent="0.25">
      <c r="A886" s="266">
        <v>43511</v>
      </c>
      <c r="B886" s="267">
        <v>2019</v>
      </c>
      <c r="C886" s="267">
        <v>2019</v>
      </c>
      <c r="D886" s="267">
        <v>1</v>
      </c>
      <c r="E886" s="267">
        <v>1</v>
      </c>
      <c r="F886" s="267" t="s">
        <v>944</v>
      </c>
      <c r="G886" s="267" t="s">
        <v>3926</v>
      </c>
      <c r="H886" s="267" t="s">
        <v>5040</v>
      </c>
      <c r="I886" s="267" t="s">
        <v>4200</v>
      </c>
      <c r="J886" s="267" t="s">
        <v>3928</v>
      </c>
      <c r="K886" s="267">
        <v>6795</v>
      </c>
      <c r="L886" s="267">
        <v>360200</v>
      </c>
      <c r="M886" s="267" t="s">
        <v>3943</v>
      </c>
      <c r="N886" s="267" t="s">
        <v>3944</v>
      </c>
      <c r="O886" s="267">
        <v>4640</v>
      </c>
      <c r="P886" s="267" t="s">
        <v>3944</v>
      </c>
      <c r="Q886" s="267" t="s">
        <v>3944</v>
      </c>
      <c r="R886" s="267">
        <v>4640</v>
      </c>
      <c r="S886" s="267">
        <v>39640</v>
      </c>
      <c r="T886" s="267">
        <v>44280</v>
      </c>
      <c r="U886" s="268" t="s">
        <v>3945</v>
      </c>
      <c r="V886" s="267" t="s">
        <v>944</v>
      </c>
    </row>
    <row r="887" spans="1:22" hidden="1" x14ac:dyDescent="0.25">
      <c r="A887" s="269">
        <v>43511</v>
      </c>
      <c r="B887" s="270">
        <v>2019</v>
      </c>
      <c r="C887" s="270">
        <v>2019</v>
      </c>
      <c r="D887" s="270">
        <v>1</v>
      </c>
      <c r="E887" s="270">
        <v>1</v>
      </c>
      <c r="F887" s="270" t="s">
        <v>944</v>
      </c>
      <c r="G887" s="270" t="s">
        <v>3926</v>
      </c>
      <c r="H887" s="270" t="s">
        <v>5041</v>
      </c>
      <c r="I887" s="270" t="s">
        <v>4019</v>
      </c>
      <c r="J887" s="270" t="s">
        <v>3928</v>
      </c>
      <c r="K887" s="270">
        <v>6708</v>
      </c>
      <c r="L887" s="270">
        <v>352100</v>
      </c>
      <c r="M887" s="270" t="s">
        <v>3940</v>
      </c>
      <c r="N887" s="270" t="s">
        <v>3944</v>
      </c>
      <c r="O887" s="270">
        <v>1712</v>
      </c>
      <c r="P887" s="270" t="s">
        <v>3944</v>
      </c>
      <c r="Q887" s="270" t="s">
        <v>3944</v>
      </c>
      <c r="R887" s="270">
        <v>1712</v>
      </c>
      <c r="S887" s="270">
        <v>29263</v>
      </c>
      <c r="T887" s="270">
        <v>30975</v>
      </c>
      <c r="U887" s="271" t="s">
        <v>3945</v>
      </c>
      <c r="V887" s="267" t="s">
        <v>944</v>
      </c>
    </row>
    <row r="888" spans="1:22" hidden="1" x14ac:dyDescent="0.25">
      <c r="A888" s="266">
        <v>43511</v>
      </c>
      <c r="B888" s="267">
        <v>2019</v>
      </c>
      <c r="C888" s="267">
        <v>2019</v>
      </c>
      <c r="D888" s="267">
        <v>1</v>
      </c>
      <c r="E888" s="267">
        <v>1</v>
      </c>
      <c r="F888" s="267" t="s">
        <v>944</v>
      </c>
      <c r="G888" s="267" t="s">
        <v>3926</v>
      </c>
      <c r="H888" s="267" t="s">
        <v>5042</v>
      </c>
      <c r="I888" s="267" t="s">
        <v>3962</v>
      </c>
      <c r="J888" s="267" t="s">
        <v>3928</v>
      </c>
      <c r="K888" s="267">
        <v>6379</v>
      </c>
      <c r="L888" s="267">
        <v>705400</v>
      </c>
      <c r="M888" s="267" t="s">
        <v>3943</v>
      </c>
      <c r="N888" s="267" t="s">
        <v>3944</v>
      </c>
      <c r="O888" s="267">
        <v>4245</v>
      </c>
      <c r="P888" s="267" t="s">
        <v>3944</v>
      </c>
      <c r="Q888" s="267" t="s">
        <v>3944</v>
      </c>
      <c r="R888" s="267">
        <v>4245</v>
      </c>
      <c r="S888" s="267">
        <v>32043</v>
      </c>
      <c r="T888" s="267">
        <v>36288</v>
      </c>
      <c r="U888" s="268" t="s">
        <v>3945</v>
      </c>
      <c r="V888" s="267" t="s">
        <v>944</v>
      </c>
    </row>
    <row r="889" spans="1:22" hidden="1" x14ac:dyDescent="0.25">
      <c r="A889" s="269">
        <v>43511</v>
      </c>
      <c r="B889" s="270">
        <v>2019</v>
      </c>
      <c r="C889" s="270">
        <v>2019</v>
      </c>
      <c r="D889" s="270">
        <v>1</v>
      </c>
      <c r="E889" s="270">
        <v>1</v>
      </c>
      <c r="F889" s="270" t="s">
        <v>944</v>
      </c>
      <c r="G889" s="270" t="s">
        <v>3926</v>
      </c>
      <c r="H889" s="270" t="s">
        <v>5043</v>
      </c>
      <c r="I889" s="270" t="s">
        <v>956</v>
      </c>
      <c r="J889" s="270" t="s">
        <v>3928</v>
      </c>
      <c r="K889" s="270">
        <v>6615</v>
      </c>
      <c r="L889" s="270">
        <v>80600</v>
      </c>
      <c r="M889" s="270" t="s">
        <v>3935</v>
      </c>
      <c r="N889" s="270" t="s">
        <v>3944</v>
      </c>
      <c r="O889" s="270">
        <v>2383</v>
      </c>
      <c r="P889" s="270" t="s">
        <v>3944</v>
      </c>
      <c r="Q889" s="270" t="s">
        <v>3944</v>
      </c>
      <c r="R889" s="270">
        <v>2383</v>
      </c>
      <c r="S889" s="270">
        <v>27943</v>
      </c>
      <c r="T889" s="270">
        <v>30326</v>
      </c>
      <c r="U889" s="271" t="s">
        <v>3945</v>
      </c>
      <c r="V889" s="267" t="s">
        <v>944</v>
      </c>
    </row>
    <row r="890" spans="1:22" hidden="1" x14ac:dyDescent="0.25">
      <c r="A890" s="266">
        <v>43511</v>
      </c>
      <c r="B890" s="267">
        <v>2019</v>
      </c>
      <c r="C890" s="267">
        <v>2019</v>
      </c>
      <c r="D890" s="267">
        <v>1</v>
      </c>
      <c r="E890" s="267">
        <v>1</v>
      </c>
      <c r="F890" s="267" t="s">
        <v>944</v>
      </c>
      <c r="G890" s="267" t="s">
        <v>3926</v>
      </c>
      <c r="H890" s="267" t="s">
        <v>5044</v>
      </c>
      <c r="I890" s="267" t="s">
        <v>4087</v>
      </c>
      <c r="J890" s="267" t="s">
        <v>3928</v>
      </c>
      <c r="K890" s="267">
        <v>6355</v>
      </c>
      <c r="L890" s="267">
        <v>703000</v>
      </c>
      <c r="M890" s="267" t="s">
        <v>3960</v>
      </c>
      <c r="N890" s="267" t="s">
        <v>3944</v>
      </c>
      <c r="O890" s="267">
        <v>4488</v>
      </c>
      <c r="P890" s="267" t="s">
        <v>3944</v>
      </c>
      <c r="Q890" s="267" t="s">
        <v>3944</v>
      </c>
      <c r="R890" s="267">
        <v>4488</v>
      </c>
      <c r="S890" s="267">
        <v>33807</v>
      </c>
      <c r="T890" s="267">
        <v>38295</v>
      </c>
      <c r="U890" s="268" t="s">
        <v>3945</v>
      </c>
      <c r="V890" s="267" t="s">
        <v>944</v>
      </c>
    </row>
    <row r="891" spans="1:22" hidden="1" x14ac:dyDescent="0.25">
      <c r="A891" s="269">
        <v>43511</v>
      </c>
      <c r="B891" s="270">
        <v>2019</v>
      </c>
      <c r="C891" s="270">
        <v>2019</v>
      </c>
      <c r="D891" s="270">
        <v>1</v>
      </c>
      <c r="E891" s="270">
        <v>1</v>
      </c>
      <c r="F891" s="270" t="s">
        <v>944</v>
      </c>
      <c r="G891" s="270" t="s">
        <v>3926</v>
      </c>
      <c r="H891" s="270" t="s">
        <v>5045</v>
      </c>
      <c r="I891" s="270" t="s">
        <v>3012</v>
      </c>
      <c r="J891" s="270" t="s">
        <v>3928</v>
      </c>
      <c r="K891" s="270">
        <v>6477</v>
      </c>
      <c r="L891" s="270">
        <v>157300</v>
      </c>
      <c r="M891" s="270" t="s">
        <v>3943</v>
      </c>
      <c r="N891" s="270" t="s">
        <v>3944</v>
      </c>
      <c r="O891" s="270">
        <v>1663</v>
      </c>
      <c r="P891" s="270" t="s">
        <v>3944</v>
      </c>
      <c r="Q891" s="270" t="s">
        <v>3944</v>
      </c>
      <c r="R891" s="270">
        <v>1663</v>
      </c>
      <c r="S891" s="270">
        <v>10125</v>
      </c>
      <c r="T891" s="270">
        <v>11788</v>
      </c>
      <c r="U891" s="271" t="s">
        <v>3945</v>
      </c>
      <c r="V891" s="267" t="s">
        <v>944</v>
      </c>
    </row>
    <row r="892" spans="1:22" hidden="1" x14ac:dyDescent="0.25">
      <c r="A892" s="266">
        <v>43511</v>
      </c>
      <c r="B892" s="267">
        <v>2019</v>
      </c>
      <c r="C892" s="267">
        <v>2019</v>
      </c>
      <c r="D892" s="267">
        <v>1</v>
      </c>
      <c r="E892" s="267">
        <v>1</v>
      </c>
      <c r="F892" s="267" t="s">
        <v>944</v>
      </c>
      <c r="G892" s="267" t="s">
        <v>3926</v>
      </c>
      <c r="H892" s="267" t="s">
        <v>5046</v>
      </c>
      <c r="I892" s="267" t="s">
        <v>4008</v>
      </c>
      <c r="J892" s="267" t="s">
        <v>3928</v>
      </c>
      <c r="K892" s="267">
        <v>6320</v>
      </c>
      <c r="L892" s="267">
        <v>690900</v>
      </c>
      <c r="M892" s="267" t="s">
        <v>3935</v>
      </c>
      <c r="N892" s="267" t="s">
        <v>3944</v>
      </c>
      <c r="O892" s="267">
        <v>558.53</v>
      </c>
      <c r="P892" s="267" t="s">
        <v>3944</v>
      </c>
      <c r="Q892" s="267" t="s">
        <v>3944</v>
      </c>
      <c r="R892" s="267">
        <v>558.53</v>
      </c>
      <c r="S892" s="267">
        <v>11401.47</v>
      </c>
      <c r="T892" s="267">
        <v>11960</v>
      </c>
      <c r="U892" s="268" t="s">
        <v>3945</v>
      </c>
      <c r="V892" s="267" t="s">
        <v>944</v>
      </c>
    </row>
    <row r="893" spans="1:22" hidden="1" x14ac:dyDescent="0.25">
      <c r="A893" s="269">
        <v>43511</v>
      </c>
      <c r="B893" s="270">
        <v>2019</v>
      </c>
      <c r="C893" s="270">
        <v>2019</v>
      </c>
      <c r="D893" s="270">
        <v>1</v>
      </c>
      <c r="E893" s="270">
        <v>1</v>
      </c>
      <c r="F893" s="270" t="s">
        <v>944</v>
      </c>
      <c r="G893" s="270" t="s">
        <v>3926</v>
      </c>
      <c r="H893" s="270" t="s">
        <v>5047</v>
      </c>
      <c r="I893" s="270" t="s">
        <v>3985</v>
      </c>
      <c r="J893" s="270" t="s">
        <v>3928</v>
      </c>
      <c r="K893" s="270">
        <v>6226</v>
      </c>
      <c r="L893" s="270">
        <v>800400</v>
      </c>
      <c r="M893" s="270" t="s">
        <v>3940</v>
      </c>
      <c r="N893" s="270" t="s">
        <v>3944</v>
      </c>
      <c r="O893" s="270">
        <v>2280.5300000000002</v>
      </c>
      <c r="P893" s="270" t="s">
        <v>3944</v>
      </c>
      <c r="Q893" s="270" t="s">
        <v>3944</v>
      </c>
      <c r="R893" s="270">
        <v>2280.5300000000002</v>
      </c>
      <c r="S893" s="270">
        <v>43095.45</v>
      </c>
      <c r="T893" s="270">
        <v>45375.98</v>
      </c>
      <c r="U893" s="271" t="s">
        <v>3945</v>
      </c>
      <c r="V893" s="267" t="s">
        <v>944</v>
      </c>
    </row>
    <row r="894" spans="1:22" hidden="1" x14ac:dyDescent="0.25">
      <c r="A894" s="266">
        <v>43511</v>
      </c>
      <c r="B894" s="267">
        <v>2019</v>
      </c>
      <c r="C894" s="267">
        <v>2019</v>
      </c>
      <c r="D894" s="267">
        <v>1</v>
      </c>
      <c r="E894" s="267">
        <v>1</v>
      </c>
      <c r="F894" s="267" t="s">
        <v>944</v>
      </c>
      <c r="G894" s="267" t="s">
        <v>3926</v>
      </c>
      <c r="H894" s="267" t="s">
        <v>5048</v>
      </c>
      <c r="I894" s="267" t="s">
        <v>4005</v>
      </c>
      <c r="J894" s="267" t="s">
        <v>3928</v>
      </c>
      <c r="K894" s="267">
        <v>6118</v>
      </c>
      <c r="L894" s="267">
        <v>510700</v>
      </c>
      <c r="M894" s="267" t="s">
        <v>3940</v>
      </c>
      <c r="N894" s="267" t="s">
        <v>3944</v>
      </c>
      <c r="O894" s="267">
        <v>852.81</v>
      </c>
      <c r="P894" s="267" t="s">
        <v>3944</v>
      </c>
      <c r="Q894" s="267" t="s">
        <v>3944</v>
      </c>
      <c r="R894" s="267">
        <v>852.81</v>
      </c>
      <c r="S894" s="267">
        <v>11679.61</v>
      </c>
      <c r="T894" s="267">
        <v>12532.42</v>
      </c>
      <c r="U894" s="268" t="s">
        <v>3945</v>
      </c>
      <c r="V894" s="267" t="s">
        <v>944</v>
      </c>
    </row>
    <row r="895" spans="1:22" hidden="1" x14ac:dyDescent="0.25">
      <c r="A895" s="269">
        <v>43511</v>
      </c>
      <c r="B895" s="270">
        <v>2019</v>
      </c>
      <c r="C895" s="270">
        <v>2019</v>
      </c>
      <c r="D895" s="270">
        <v>1</v>
      </c>
      <c r="E895" s="270">
        <v>1</v>
      </c>
      <c r="F895" s="270" t="s">
        <v>944</v>
      </c>
      <c r="G895" s="270" t="s">
        <v>3926</v>
      </c>
      <c r="H895" s="270" t="s">
        <v>5049</v>
      </c>
      <c r="I895" s="270" t="s">
        <v>3975</v>
      </c>
      <c r="J895" s="270" t="s">
        <v>3928</v>
      </c>
      <c r="K895" s="270">
        <v>6489</v>
      </c>
      <c r="L895" s="270">
        <v>430302</v>
      </c>
      <c r="M895" s="270" t="s">
        <v>3960</v>
      </c>
      <c r="N895" s="270" t="s">
        <v>3944</v>
      </c>
      <c r="O895" s="270">
        <v>918.96</v>
      </c>
      <c r="P895" s="270" t="s">
        <v>3944</v>
      </c>
      <c r="Q895" s="270" t="s">
        <v>3944</v>
      </c>
      <c r="R895" s="270">
        <v>918.96</v>
      </c>
      <c r="S895" s="270">
        <v>13949.04</v>
      </c>
      <c r="T895" s="270">
        <v>14868</v>
      </c>
      <c r="U895" s="271" t="s">
        <v>3945</v>
      </c>
      <c r="V895" s="267" t="s">
        <v>944</v>
      </c>
    </row>
    <row r="896" spans="1:22" hidden="1" x14ac:dyDescent="0.25">
      <c r="A896" s="266">
        <v>43511</v>
      </c>
      <c r="B896" s="267">
        <v>2019</v>
      </c>
      <c r="C896" s="267">
        <v>2019</v>
      </c>
      <c r="D896" s="267">
        <v>1</v>
      </c>
      <c r="E896" s="267">
        <v>1</v>
      </c>
      <c r="F896" s="267" t="s">
        <v>944</v>
      </c>
      <c r="G896" s="267" t="s">
        <v>3926</v>
      </c>
      <c r="H896" s="267" t="s">
        <v>5050</v>
      </c>
      <c r="I896" s="267" t="s">
        <v>4306</v>
      </c>
      <c r="J896" s="267" t="s">
        <v>3928</v>
      </c>
      <c r="K896" s="267">
        <v>6716</v>
      </c>
      <c r="L896" s="267">
        <v>361100</v>
      </c>
      <c r="M896" s="267" t="s">
        <v>3960</v>
      </c>
      <c r="N896" s="267" t="s">
        <v>3944</v>
      </c>
      <c r="O896" s="267">
        <v>1717.66</v>
      </c>
      <c r="P896" s="267" t="s">
        <v>3944</v>
      </c>
      <c r="Q896" s="267" t="s">
        <v>3944</v>
      </c>
      <c r="R896" s="267">
        <v>1717.66</v>
      </c>
      <c r="S896" s="267">
        <v>28062.44</v>
      </c>
      <c r="T896" s="267">
        <v>29780.1</v>
      </c>
      <c r="U896" s="268" t="s">
        <v>3945</v>
      </c>
      <c r="V896" s="267" t="s">
        <v>944</v>
      </c>
    </row>
    <row r="897" spans="1:22" hidden="1" x14ac:dyDescent="0.25">
      <c r="A897" s="269">
        <v>43511</v>
      </c>
      <c r="B897" s="270">
        <v>2019</v>
      </c>
      <c r="C897" s="270">
        <v>2019</v>
      </c>
      <c r="D897" s="270">
        <v>1</v>
      </c>
      <c r="E897" s="270">
        <v>1</v>
      </c>
      <c r="F897" s="270" t="s">
        <v>944</v>
      </c>
      <c r="G897" s="270" t="s">
        <v>3926</v>
      </c>
      <c r="H897" s="270" t="s">
        <v>5051</v>
      </c>
      <c r="I897" s="270" t="s">
        <v>956</v>
      </c>
      <c r="J897" s="270" t="s">
        <v>3928</v>
      </c>
      <c r="K897" s="270">
        <v>6614</v>
      </c>
      <c r="L897" s="270">
        <v>81000</v>
      </c>
      <c r="M897" s="270" t="s">
        <v>3940</v>
      </c>
      <c r="N897" s="270" t="s">
        <v>3944</v>
      </c>
      <c r="O897" s="270">
        <v>2260.62</v>
      </c>
      <c r="P897" s="270" t="s">
        <v>3944</v>
      </c>
      <c r="Q897" s="270" t="s">
        <v>3944</v>
      </c>
      <c r="R897" s="270">
        <v>2260.62</v>
      </c>
      <c r="S897" s="270">
        <v>37687.379999999997</v>
      </c>
      <c r="T897" s="270">
        <v>39948</v>
      </c>
      <c r="U897" s="271" t="s">
        <v>3945</v>
      </c>
      <c r="V897" s="267" t="s">
        <v>944</v>
      </c>
    </row>
    <row r="898" spans="1:22" hidden="1" x14ac:dyDescent="0.25">
      <c r="A898" s="266">
        <v>43511</v>
      </c>
      <c r="B898" s="267">
        <v>2019</v>
      </c>
      <c r="C898" s="267">
        <v>2019</v>
      </c>
      <c r="D898" s="267">
        <v>1</v>
      </c>
      <c r="E898" s="267">
        <v>1</v>
      </c>
      <c r="F898" s="267" t="s">
        <v>944</v>
      </c>
      <c r="G898" s="267" t="s">
        <v>3926</v>
      </c>
      <c r="H898" s="267" t="s">
        <v>5052</v>
      </c>
      <c r="I898" s="267" t="s">
        <v>953</v>
      </c>
      <c r="J898" s="267" t="s">
        <v>3928</v>
      </c>
      <c r="K898" s="267">
        <v>6518</v>
      </c>
      <c r="L898" s="267">
        <v>166001</v>
      </c>
      <c r="M898" s="267" t="s">
        <v>3935</v>
      </c>
      <c r="N898" s="267" t="s">
        <v>3944</v>
      </c>
      <c r="O898" s="267">
        <v>1427.93</v>
      </c>
      <c r="P898" s="267" t="s">
        <v>3944</v>
      </c>
      <c r="Q898" s="267" t="s">
        <v>3944</v>
      </c>
      <c r="R898" s="267">
        <v>1427.93</v>
      </c>
      <c r="S898" s="267">
        <v>34119.26</v>
      </c>
      <c r="T898" s="267">
        <v>35547.19</v>
      </c>
      <c r="U898" s="268" t="s">
        <v>3945</v>
      </c>
      <c r="V898" s="267" t="s">
        <v>944</v>
      </c>
    </row>
    <row r="899" spans="1:22" x14ac:dyDescent="0.25">
      <c r="A899" s="269">
        <v>43511</v>
      </c>
      <c r="B899" s="270">
        <v>2019</v>
      </c>
      <c r="C899" s="270">
        <v>2019</v>
      </c>
      <c r="D899" s="270">
        <v>1</v>
      </c>
      <c r="E899" s="270">
        <v>1</v>
      </c>
      <c r="F899" s="270" t="s">
        <v>944</v>
      </c>
      <c r="G899" s="270" t="s">
        <v>3926</v>
      </c>
      <c r="H899" s="270" t="s">
        <v>5053</v>
      </c>
      <c r="I899" s="270" t="s">
        <v>934</v>
      </c>
      <c r="J899" s="270" t="s">
        <v>3928</v>
      </c>
      <c r="K899" s="270">
        <v>6605</v>
      </c>
      <c r="L899" s="270">
        <v>71200</v>
      </c>
      <c r="M899" s="270">
        <v>-60</v>
      </c>
      <c r="N899" s="270" t="s">
        <v>3944</v>
      </c>
      <c r="O899" s="270">
        <v>1537.41</v>
      </c>
      <c r="P899" s="270" t="s">
        <v>3944</v>
      </c>
      <c r="Q899" s="270" t="s">
        <v>3944</v>
      </c>
      <c r="R899" s="270">
        <v>1537.41</v>
      </c>
      <c r="S899" s="270">
        <v>32677.19</v>
      </c>
      <c r="T899" s="270">
        <v>34214.6</v>
      </c>
      <c r="U899" s="271" t="s">
        <v>3945</v>
      </c>
      <c r="V899" s="276" t="s">
        <v>936</v>
      </c>
    </row>
    <row r="900" spans="1:22" hidden="1" x14ac:dyDescent="0.25">
      <c r="A900" s="266">
        <v>43511</v>
      </c>
      <c r="B900" s="267">
        <v>2019</v>
      </c>
      <c r="C900" s="267">
        <v>2019</v>
      </c>
      <c r="D900" s="267">
        <v>1</v>
      </c>
      <c r="E900" s="267">
        <v>1</v>
      </c>
      <c r="F900" s="267" t="s">
        <v>944</v>
      </c>
      <c r="G900" s="267" t="s">
        <v>3926</v>
      </c>
      <c r="H900" s="267" t="s">
        <v>5054</v>
      </c>
      <c r="I900" s="267" t="s">
        <v>4008</v>
      </c>
      <c r="J900" s="267" t="s">
        <v>3928</v>
      </c>
      <c r="K900" s="267">
        <v>6320</v>
      </c>
      <c r="L900" s="267">
        <v>690300</v>
      </c>
      <c r="M900" s="267">
        <v>-60</v>
      </c>
      <c r="N900" s="267" t="s">
        <v>3944</v>
      </c>
      <c r="O900" s="267">
        <v>1581.2</v>
      </c>
      <c r="P900" s="267" t="s">
        <v>3944</v>
      </c>
      <c r="Q900" s="267" t="s">
        <v>3944</v>
      </c>
      <c r="R900" s="267">
        <v>1581.2</v>
      </c>
      <c r="S900" s="267">
        <v>38556.93</v>
      </c>
      <c r="T900" s="267">
        <v>40138.129999999997</v>
      </c>
      <c r="U900" s="268" t="s">
        <v>3945</v>
      </c>
      <c r="V900" s="267" t="s">
        <v>944</v>
      </c>
    </row>
    <row r="901" spans="1:22" x14ac:dyDescent="0.25">
      <c r="A901" s="269">
        <v>43511</v>
      </c>
      <c r="B901" s="270">
        <v>2019</v>
      </c>
      <c r="C901" s="270">
        <v>2019</v>
      </c>
      <c r="D901" s="270">
        <v>1</v>
      </c>
      <c r="E901" s="270">
        <v>1</v>
      </c>
      <c r="F901" s="270" t="s">
        <v>944</v>
      </c>
      <c r="G901" s="270" t="s">
        <v>3926</v>
      </c>
      <c r="H901" s="270" t="s">
        <v>5055</v>
      </c>
      <c r="I901" s="270" t="s">
        <v>934</v>
      </c>
      <c r="J901" s="270" t="s">
        <v>3928</v>
      </c>
      <c r="K901" s="270">
        <v>6610</v>
      </c>
      <c r="L901" s="270">
        <v>73300</v>
      </c>
      <c r="M901" s="270">
        <v>-60</v>
      </c>
      <c r="N901" s="270" t="s">
        <v>3944</v>
      </c>
      <c r="O901" s="270">
        <v>1548.23</v>
      </c>
      <c r="P901" s="270" t="s">
        <v>3944</v>
      </c>
      <c r="Q901" s="270" t="s">
        <v>3944</v>
      </c>
      <c r="R901" s="270">
        <v>1548.23</v>
      </c>
      <c r="S901" s="270">
        <v>36464.370000000003</v>
      </c>
      <c r="T901" s="270">
        <v>38012.6</v>
      </c>
      <c r="U901" s="271" t="s">
        <v>3945</v>
      </c>
      <c r="V901" s="276" t="s">
        <v>936</v>
      </c>
    </row>
    <row r="902" spans="1:22" hidden="1" x14ac:dyDescent="0.25">
      <c r="A902" s="266">
        <v>43511</v>
      </c>
      <c r="B902" s="267">
        <v>2019</v>
      </c>
      <c r="C902" s="267">
        <v>2019</v>
      </c>
      <c r="D902" s="267">
        <v>1</v>
      </c>
      <c r="E902" s="267">
        <v>1</v>
      </c>
      <c r="F902" s="267" t="s">
        <v>944</v>
      </c>
      <c r="G902" s="267" t="s">
        <v>3926</v>
      </c>
      <c r="H902" s="267" t="s">
        <v>5056</v>
      </c>
      <c r="I902" s="267" t="s">
        <v>4005</v>
      </c>
      <c r="J902" s="267" t="s">
        <v>3928</v>
      </c>
      <c r="K902" s="267">
        <v>6118</v>
      </c>
      <c r="L902" s="267">
        <v>510700</v>
      </c>
      <c r="M902" s="267" t="s">
        <v>3940</v>
      </c>
      <c r="N902" s="267" t="s">
        <v>3944</v>
      </c>
      <c r="O902" s="267">
        <v>3250.31</v>
      </c>
      <c r="P902" s="267" t="s">
        <v>3944</v>
      </c>
      <c r="Q902" s="267" t="s">
        <v>3944</v>
      </c>
      <c r="R902" s="267">
        <v>3250.31</v>
      </c>
      <c r="S902" s="267">
        <v>43353.49</v>
      </c>
      <c r="T902" s="267">
        <v>46603.8</v>
      </c>
      <c r="U902" s="268" t="s">
        <v>3945</v>
      </c>
      <c r="V902" s="267" t="s">
        <v>944</v>
      </c>
    </row>
    <row r="903" spans="1:22" hidden="1" x14ac:dyDescent="0.25">
      <c r="A903" s="269">
        <v>43511</v>
      </c>
      <c r="B903" s="270">
        <v>2019</v>
      </c>
      <c r="C903" s="270">
        <v>2019</v>
      </c>
      <c r="D903" s="270">
        <v>1</v>
      </c>
      <c r="E903" s="270">
        <v>1</v>
      </c>
      <c r="F903" s="270" t="s">
        <v>944</v>
      </c>
      <c r="G903" s="270" t="s">
        <v>3926</v>
      </c>
      <c r="H903" s="270" t="s">
        <v>5057</v>
      </c>
      <c r="I903" s="270" t="s">
        <v>4046</v>
      </c>
      <c r="J903" s="270" t="s">
        <v>3928</v>
      </c>
      <c r="K903" s="270">
        <v>6281</v>
      </c>
      <c r="L903" s="270">
        <v>901100</v>
      </c>
      <c r="M903" s="270" t="s">
        <v>3960</v>
      </c>
      <c r="N903" s="270" t="s">
        <v>3944</v>
      </c>
      <c r="O903" s="270">
        <v>3335.33</v>
      </c>
      <c r="P903" s="270" t="s">
        <v>3944</v>
      </c>
      <c r="Q903" s="270" t="s">
        <v>3944</v>
      </c>
      <c r="R903" s="270">
        <v>3335.33</v>
      </c>
      <c r="S903" s="270">
        <v>43516.46</v>
      </c>
      <c r="T903" s="270">
        <v>46851.79</v>
      </c>
      <c r="U903" s="271" t="s">
        <v>3945</v>
      </c>
      <c r="V903" s="267" t="s">
        <v>944</v>
      </c>
    </row>
    <row r="904" spans="1:22" hidden="1" x14ac:dyDescent="0.25">
      <c r="A904" s="266">
        <v>43511</v>
      </c>
      <c r="B904" s="267">
        <v>2019</v>
      </c>
      <c r="C904" s="267">
        <v>2019</v>
      </c>
      <c r="D904" s="267">
        <v>1</v>
      </c>
      <c r="E904" s="267">
        <v>1</v>
      </c>
      <c r="F904" s="267" t="s">
        <v>944</v>
      </c>
      <c r="G904" s="267" t="s">
        <v>3926</v>
      </c>
      <c r="H904" s="267" t="s">
        <v>5058</v>
      </c>
      <c r="I904" s="267" t="s">
        <v>953</v>
      </c>
      <c r="J904" s="267" t="s">
        <v>3928</v>
      </c>
      <c r="K904" s="267">
        <v>6517</v>
      </c>
      <c r="L904" s="267">
        <v>165100</v>
      </c>
      <c r="M904" s="267" t="s">
        <v>3935</v>
      </c>
      <c r="N904" s="267" t="s">
        <v>3944</v>
      </c>
      <c r="O904" s="267">
        <v>1951.6</v>
      </c>
      <c r="P904" s="267" t="s">
        <v>3944</v>
      </c>
      <c r="Q904" s="267" t="s">
        <v>3944</v>
      </c>
      <c r="R904" s="267">
        <v>1951.6</v>
      </c>
      <c r="S904" s="267">
        <v>28708.400000000001</v>
      </c>
      <c r="T904" s="267">
        <v>30660</v>
      </c>
      <c r="U904" s="268" t="s">
        <v>3945</v>
      </c>
      <c r="V904" s="267" t="s">
        <v>944</v>
      </c>
    </row>
    <row r="905" spans="1:22" hidden="1" x14ac:dyDescent="0.25">
      <c r="A905" s="269">
        <v>43511</v>
      </c>
      <c r="B905" s="270">
        <v>2019</v>
      </c>
      <c r="C905" s="270">
        <v>2019</v>
      </c>
      <c r="D905" s="270">
        <v>1</v>
      </c>
      <c r="E905" s="270">
        <v>1</v>
      </c>
      <c r="F905" s="270" t="s">
        <v>944</v>
      </c>
      <c r="G905" s="270" t="s">
        <v>3926</v>
      </c>
      <c r="H905" s="270" t="s">
        <v>5059</v>
      </c>
      <c r="I905" s="270" t="s">
        <v>4310</v>
      </c>
      <c r="J905" s="270" t="s">
        <v>3928</v>
      </c>
      <c r="K905" s="270">
        <v>6351</v>
      </c>
      <c r="L905" s="270">
        <v>710100</v>
      </c>
      <c r="M905" s="270" t="s">
        <v>3960</v>
      </c>
      <c r="N905" s="270" t="s">
        <v>3944</v>
      </c>
      <c r="O905" s="270">
        <v>2431.52</v>
      </c>
      <c r="P905" s="270" t="s">
        <v>3944</v>
      </c>
      <c r="Q905" s="270" t="s">
        <v>3944</v>
      </c>
      <c r="R905" s="270">
        <v>2431.52</v>
      </c>
      <c r="S905" s="270">
        <v>33855.050000000003</v>
      </c>
      <c r="T905" s="270">
        <v>36286.57</v>
      </c>
      <c r="U905" s="271" t="s">
        <v>3945</v>
      </c>
      <c r="V905" s="267" t="s">
        <v>944</v>
      </c>
    </row>
    <row r="906" spans="1:22" hidden="1" x14ac:dyDescent="0.25">
      <c r="A906" s="266">
        <v>43511</v>
      </c>
      <c r="B906" s="267">
        <v>2019</v>
      </c>
      <c r="C906" s="267">
        <v>2019</v>
      </c>
      <c r="D906" s="267">
        <v>1</v>
      </c>
      <c r="E906" s="267">
        <v>1</v>
      </c>
      <c r="F906" s="267" t="s">
        <v>944</v>
      </c>
      <c r="G906" s="267" t="s">
        <v>3926</v>
      </c>
      <c r="H906" s="267" t="s">
        <v>5060</v>
      </c>
      <c r="I906" s="267" t="s">
        <v>3939</v>
      </c>
      <c r="J906" s="267" t="s">
        <v>3928</v>
      </c>
      <c r="K906" s="267">
        <v>6512</v>
      </c>
      <c r="L906" s="267">
        <v>180300</v>
      </c>
      <c r="M906" s="267">
        <v>-60</v>
      </c>
      <c r="N906" s="267" t="s">
        <v>5061</v>
      </c>
      <c r="O906" s="267"/>
      <c r="P906" s="267" t="s">
        <v>3944</v>
      </c>
      <c r="Q906" s="267" t="s">
        <v>3930</v>
      </c>
      <c r="R906" s="267">
        <v>0</v>
      </c>
      <c r="S906" s="267">
        <v>166192.4</v>
      </c>
      <c r="T906" s="267">
        <v>166192.4</v>
      </c>
      <c r="U906" s="268" t="s">
        <v>4099</v>
      </c>
      <c r="V906" s="267" t="s">
        <v>944</v>
      </c>
    </row>
    <row r="907" spans="1:22" hidden="1" x14ac:dyDescent="0.25">
      <c r="A907" s="269">
        <v>43511</v>
      </c>
      <c r="B907" s="270">
        <v>2019</v>
      </c>
      <c r="C907" s="270">
        <v>2019</v>
      </c>
      <c r="D907" s="270">
        <v>1</v>
      </c>
      <c r="E907" s="270">
        <v>1</v>
      </c>
      <c r="F907" s="270" t="s">
        <v>944</v>
      </c>
      <c r="G907" s="270" t="s">
        <v>3926</v>
      </c>
      <c r="H907" s="270" t="s">
        <v>5062</v>
      </c>
      <c r="I907" s="270" t="s">
        <v>5032</v>
      </c>
      <c r="J907" s="270" t="s">
        <v>3928</v>
      </c>
      <c r="K907" s="270">
        <v>6062</v>
      </c>
      <c r="L907" s="270">
        <v>420400</v>
      </c>
      <c r="M907" s="270" t="s">
        <v>3960</v>
      </c>
      <c r="N907" s="270" t="s">
        <v>3944</v>
      </c>
      <c r="O907" s="270">
        <v>2352.6999999999998</v>
      </c>
      <c r="P907" s="270" t="s">
        <v>3944</v>
      </c>
      <c r="Q907" s="270" t="s">
        <v>3944</v>
      </c>
      <c r="R907" s="270">
        <v>2352.6999999999998</v>
      </c>
      <c r="S907" s="270">
        <v>33281.81</v>
      </c>
      <c r="T907" s="270">
        <v>35634.51</v>
      </c>
      <c r="U907" s="271" t="s">
        <v>3945</v>
      </c>
      <c r="V907" s="267" t="s">
        <v>944</v>
      </c>
    </row>
    <row r="908" spans="1:22" hidden="1" x14ac:dyDescent="0.25">
      <c r="A908" s="266">
        <v>43512</v>
      </c>
      <c r="B908" s="267">
        <v>2019</v>
      </c>
      <c r="C908" s="267">
        <v>2019</v>
      </c>
      <c r="D908" s="267">
        <v>1</v>
      </c>
      <c r="E908" s="267">
        <v>1</v>
      </c>
      <c r="F908" s="267" t="s">
        <v>944</v>
      </c>
      <c r="G908" s="267" t="s">
        <v>3926</v>
      </c>
      <c r="H908" s="267" t="s">
        <v>5063</v>
      </c>
      <c r="I908" s="267" t="s">
        <v>953</v>
      </c>
      <c r="J908" s="267" t="s">
        <v>3928</v>
      </c>
      <c r="K908" s="267">
        <v>6514</v>
      </c>
      <c r="L908" s="267">
        <v>165700</v>
      </c>
      <c r="M908" s="267" t="s">
        <v>3935</v>
      </c>
      <c r="N908" s="267" t="s">
        <v>3929</v>
      </c>
      <c r="O908" s="267">
        <v>2284.66</v>
      </c>
      <c r="P908" s="267" t="s">
        <v>3930</v>
      </c>
      <c r="Q908" s="267" t="s">
        <v>3931</v>
      </c>
      <c r="R908" s="267">
        <v>7284.66</v>
      </c>
      <c r="S908" s="267">
        <v>34744</v>
      </c>
      <c r="T908" s="267">
        <v>42028.66</v>
      </c>
      <c r="U908" s="268" t="s">
        <v>3932</v>
      </c>
      <c r="V908" s="267" t="s">
        <v>944</v>
      </c>
    </row>
    <row r="909" spans="1:22" hidden="1" x14ac:dyDescent="0.25">
      <c r="A909" s="269">
        <v>43512</v>
      </c>
      <c r="B909" s="270">
        <v>2019</v>
      </c>
      <c r="C909" s="270">
        <v>2019</v>
      </c>
      <c r="D909" s="270">
        <v>1</v>
      </c>
      <c r="E909" s="270">
        <v>1</v>
      </c>
      <c r="F909" s="270" t="s">
        <v>944</v>
      </c>
      <c r="G909" s="270" t="s">
        <v>3926</v>
      </c>
      <c r="H909" s="270" t="s">
        <v>5064</v>
      </c>
      <c r="I909" s="270" t="s">
        <v>3956</v>
      </c>
      <c r="J909" s="270" t="s">
        <v>3928</v>
      </c>
      <c r="K909" s="270">
        <v>6106</v>
      </c>
      <c r="L909" s="270">
        <v>504900</v>
      </c>
      <c r="M909" s="270">
        <v>-60</v>
      </c>
      <c r="N909" s="270" t="s">
        <v>4103</v>
      </c>
      <c r="O909" s="270">
        <v>3922.47</v>
      </c>
      <c r="P909" s="270" t="s">
        <v>3930</v>
      </c>
      <c r="Q909" s="270" t="s">
        <v>3931</v>
      </c>
      <c r="R909" s="270">
        <v>8922.4699999999993</v>
      </c>
      <c r="S909" s="270">
        <v>24145.599999999999</v>
      </c>
      <c r="T909" s="270">
        <v>33068.07</v>
      </c>
      <c r="U909" s="271" t="s">
        <v>3932</v>
      </c>
      <c r="V909" s="267" t="s">
        <v>944</v>
      </c>
    </row>
    <row r="910" spans="1:22" hidden="1" x14ac:dyDescent="0.25">
      <c r="A910" s="266">
        <v>43512</v>
      </c>
      <c r="B910" s="267">
        <v>2019</v>
      </c>
      <c r="C910" s="267">
        <v>2019</v>
      </c>
      <c r="D910" s="267">
        <v>1</v>
      </c>
      <c r="E910" s="267">
        <v>1</v>
      </c>
      <c r="F910" s="267" t="s">
        <v>944</v>
      </c>
      <c r="G910" s="267" t="s">
        <v>3926</v>
      </c>
      <c r="H910" s="267" t="s">
        <v>5065</v>
      </c>
      <c r="I910" s="267" t="s">
        <v>4011</v>
      </c>
      <c r="J910" s="267" t="s">
        <v>3928</v>
      </c>
      <c r="K910" s="267">
        <v>6002</v>
      </c>
      <c r="L910" s="267">
        <v>471100</v>
      </c>
      <c r="M910" s="267" t="s">
        <v>3935</v>
      </c>
      <c r="N910" s="267" t="s">
        <v>3986</v>
      </c>
      <c r="O910" s="267">
        <v>2736.9</v>
      </c>
      <c r="P910" s="267" t="s">
        <v>3930</v>
      </c>
      <c r="Q910" s="267" t="s">
        <v>3931</v>
      </c>
      <c r="R910" s="267">
        <v>7736.9</v>
      </c>
      <c r="S910" s="267">
        <v>16196.8</v>
      </c>
      <c r="T910" s="267">
        <v>23933.7</v>
      </c>
      <c r="U910" s="268" t="s">
        <v>3932</v>
      </c>
      <c r="V910" s="267" t="s">
        <v>944</v>
      </c>
    </row>
    <row r="911" spans="1:22" hidden="1" x14ac:dyDescent="0.25">
      <c r="A911" s="269">
        <v>43512</v>
      </c>
      <c r="B911" s="270">
        <v>2019</v>
      </c>
      <c r="C911" s="270">
        <v>2019</v>
      </c>
      <c r="D911" s="270">
        <v>1</v>
      </c>
      <c r="E911" s="270">
        <v>1</v>
      </c>
      <c r="F911" s="270" t="s">
        <v>944</v>
      </c>
      <c r="G911" s="270" t="s">
        <v>3926</v>
      </c>
      <c r="H911" s="270" t="s">
        <v>5066</v>
      </c>
      <c r="I911" s="270" t="s">
        <v>950</v>
      </c>
      <c r="J911" s="270" t="s">
        <v>3928</v>
      </c>
      <c r="K911" s="270">
        <v>6516</v>
      </c>
      <c r="L911" s="270">
        <v>155000</v>
      </c>
      <c r="M911" s="270" t="s">
        <v>3940</v>
      </c>
      <c r="N911" s="270" t="s">
        <v>4103</v>
      </c>
      <c r="O911" s="270">
        <v>4504.8599999999997</v>
      </c>
      <c r="P911" s="270" t="s">
        <v>3930</v>
      </c>
      <c r="Q911" s="270" t="s">
        <v>3931</v>
      </c>
      <c r="R911" s="270">
        <v>9504.86</v>
      </c>
      <c r="S911" s="270">
        <v>24145.599999999999</v>
      </c>
      <c r="T911" s="270">
        <v>33650.46</v>
      </c>
      <c r="U911" s="271" t="s">
        <v>3932</v>
      </c>
      <c r="V911" s="267" t="s">
        <v>944</v>
      </c>
    </row>
    <row r="912" spans="1:22" hidden="1" x14ac:dyDescent="0.25">
      <c r="A912" s="266">
        <v>43512</v>
      </c>
      <c r="B912" s="267">
        <v>2019</v>
      </c>
      <c r="C912" s="267">
        <v>2019</v>
      </c>
      <c r="D912" s="267">
        <v>1</v>
      </c>
      <c r="E912" s="267">
        <v>1</v>
      </c>
      <c r="F912" s="267" t="s">
        <v>944</v>
      </c>
      <c r="G912" s="267" t="s">
        <v>3926</v>
      </c>
      <c r="H912" s="267" t="s">
        <v>5067</v>
      </c>
      <c r="I912" s="267" t="s">
        <v>4005</v>
      </c>
      <c r="J912" s="267" t="s">
        <v>3928</v>
      </c>
      <c r="K912" s="267">
        <v>6108</v>
      </c>
      <c r="L912" s="267">
        <v>511400</v>
      </c>
      <c r="M912" s="267" t="s">
        <v>3935</v>
      </c>
      <c r="N912" s="267" t="s">
        <v>5068</v>
      </c>
      <c r="O912" s="267">
        <v>1343.09</v>
      </c>
      <c r="P912" s="267" t="s">
        <v>3930</v>
      </c>
      <c r="Q912" s="267" t="s">
        <v>3931</v>
      </c>
      <c r="R912" s="267">
        <v>6343.09</v>
      </c>
      <c r="S912" s="267">
        <v>16942</v>
      </c>
      <c r="T912" s="267">
        <v>23285.09</v>
      </c>
      <c r="U912" s="268" t="s">
        <v>3932</v>
      </c>
      <c r="V912" s="267" t="s">
        <v>944</v>
      </c>
    </row>
    <row r="913" spans="1:22" hidden="1" x14ac:dyDescent="0.25">
      <c r="A913" s="269">
        <v>43514</v>
      </c>
      <c r="B913" s="270">
        <v>2019</v>
      </c>
      <c r="C913" s="270">
        <v>2019</v>
      </c>
      <c r="D913" s="270">
        <v>1</v>
      </c>
      <c r="E913" s="270">
        <v>1</v>
      </c>
      <c r="F913" s="270" t="s">
        <v>944</v>
      </c>
      <c r="G913" s="270" t="s">
        <v>3926</v>
      </c>
      <c r="H913" s="270" t="s">
        <v>5069</v>
      </c>
      <c r="I913" s="270" t="s">
        <v>4019</v>
      </c>
      <c r="J913" s="270" t="s">
        <v>3928</v>
      </c>
      <c r="K913" s="270">
        <v>6704</v>
      </c>
      <c r="L913" s="270">
        <v>352300</v>
      </c>
      <c r="M913" s="270">
        <v>-60</v>
      </c>
      <c r="N913" s="270" t="s">
        <v>5070</v>
      </c>
      <c r="O913" s="270">
        <v>0</v>
      </c>
      <c r="P913" s="270" t="s">
        <v>3930</v>
      </c>
      <c r="Q913" s="270" t="s">
        <v>3930</v>
      </c>
      <c r="R913" s="270">
        <v>0</v>
      </c>
      <c r="S913" s="270">
        <v>7700</v>
      </c>
      <c r="T913" s="270">
        <v>7700</v>
      </c>
      <c r="U913" s="271" t="s">
        <v>3937</v>
      </c>
      <c r="V913" s="267" t="s">
        <v>944</v>
      </c>
    </row>
    <row r="914" spans="1:22" hidden="1" x14ac:dyDescent="0.25">
      <c r="A914" s="266">
        <v>43514</v>
      </c>
      <c r="B914" s="267">
        <v>2019</v>
      </c>
      <c r="C914" s="267">
        <v>2019</v>
      </c>
      <c r="D914" s="267">
        <v>1</v>
      </c>
      <c r="E914" s="267">
        <v>1</v>
      </c>
      <c r="F914" s="267" t="s">
        <v>944</v>
      </c>
      <c r="G914" s="267" t="s">
        <v>3926</v>
      </c>
      <c r="H914" s="267" t="s">
        <v>5071</v>
      </c>
      <c r="I914" s="267" t="s">
        <v>3008</v>
      </c>
      <c r="J914" s="267" t="s">
        <v>3928</v>
      </c>
      <c r="K914" s="267">
        <v>6460</v>
      </c>
      <c r="L914" s="267">
        <v>150500</v>
      </c>
      <c r="M914" s="267" t="s">
        <v>3960</v>
      </c>
      <c r="N914" s="267" t="s">
        <v>4103</v>
      </c>
      <c r="O914" s="267">
        <v>3725.1</v>
      </c>
      <c r="P914" s="267" t="s">
        <v>3930</v>
      </c>
      <c r="Q914" s="267" t="s">
        <v>3931</v>
      </c>
      <c r="R914" s="267">
        <v>8725.1</v>
      </c>
      <c r="S914" s="267">
        <v>24145.599999999999</v>
      </c>
      <c r="T914" s="267">
        <v>32870.699999999997</v>
      </c>
      <c r="U914" s="268" t="s">
        <v>3932</v>
      </c>
      <c r="V914" s="267" t="s">
        <v>944</v>
      </c>
    </row>
    <row r="915" spans="1:22" hidden="1" x14ac:dyDescent="0.25">
      <c r="A915" s="269">
        <v>43514</v>
      </c>
      <c r="B915" s="270">
        <v>2019</v>
      </c>
      <c r="C915" s="270">
        <v>2019</v>
      </c>
      <c r="D915" s="270">
        <v>1</v>
      </c>
      <c r="E915" s="270">
        <v>1</v>
      </c>
      <c r="F915" s="270" t="s">
        <v>944</v>
      </c>
      <c r="G915" s="270" t="s">
        <v>3926</v>
      </c>
      <c r="H915" s="270" t="s">
        <v>5072</v>
      </c>
      <c r="I915" s="270" t="s">
        <v>4392</v>
      </c>
      <c r="J915" s="270" t="s">
        <v>3928</v>
      </c>
      <c r="K915" s="270">
        <v>6457</v>
      </c>
      <c r="L915" s="270">
        <v>541700</v>
      </c>
      <c r="M915" s="270">
        <v>-60</v>
      </c>
      <c r="N915" s="270" t="s">
        <v>4714</v>
      </c>
      <c r="O915" s="270">
        <v>4293.63</v>
      </c>
      <c r="P915" s="270" t="s">
        <v>3930</v>
      </c>
      <c r="Q915" s="270" t="s">
        <v>3931</v>
      </c>
      <c r="R915" s="270">
        <v>9293.6299999999992</v>
      </c>
      <c r="S915" s="270">
        <v>24518.2</v>
      </c>
      <c r="T915" s="270">
        <v>33811.83</v>
      </c>
      <c r="U915" s="271" t="s">
        <v>3932</v>
      </c>
      <c r="V915" s="267" t="s">
        <v>944</v>
      </c>
    </row>
    <row r="916" spans="1:22" hidden="1" x14ac:dyDescent="0.25">
      <c r="A916" s="266">
        <v>43514</v>
      </c>
      <c r="B916" s="267">
        <v>2019</v>
      </c>
      <c r="C916" s="267">
        <v>2019</v>
      </c>
      <c r="D916" s="267">
        <v>1</v>
      </c>
      <c r="E916" s="267">
        <v>1</v>
      </c>
      <c r="F916" s="267" t="s">
        <v>944</v>
      </c>
      <c r="G916" s="267" t="s">
        <v>3926</v>
      </c>
      <c r="H916" s="267" t="s">
        <v>5073</v>
      </c>
      <c r="I916" s="267" t="s">
        <v>953</v>
      </c>
      <c r="J916" s="267" t="s">
        <v>3928</v>
      </c>
      <c r="K916" s="267">
        <v>6517</v>
      </c>
      <c r="L916" s="267">
        <v>165100</v>
      </c>
      <c r="M916" s="267" t="s">
        <v>3935</v>
      </c>
      <c r="N916" s="267" t="s">
        <v>4103</v>
      </c>
      <c r="O916" s="267">
        <v>1689.03</v>
      </c>
      <c r="P916" s="267" t="s">
        <v>3930</v>
      </c>
      <c r="Q916" s="267" t="s">
        <v>3931</v>
      </c>
      <c r="R916" s="267">
        <v>6689.03</v>
      </c>
      <c r="S916" s="267">
        <v>24145.599999999999</v>
      </c>
      <c r="T916" s="267">
        <v>30834.63</v>
      </c>
      <c r="U916" s="268" t="s">
        <v>3932</v>
      </c>
      <c r="V916" s="267" t="s">
        <v>944</v>
      </c>
    </row>
    <row r="917" spans="1:22" hidden="1" x14ac:dyDescent="0.25">
      <c r="A917" s="269">
        <v>43515</v>
      </c>
      <c r="B917" s="270">
        <v>2019</v>
      </c>
      <c r="C917" s="270">
        <v>2019</v>
      </c>
      <c r="D917" s="270">
        <v>1</v>
      </c>
      <c r="E917" s="270">
        <v>1</v>
      </c>
      <c r="F917" s="270" t="s">
        <v>944</v>
      </c>
      <c r="G917" s="270" t="s">
        <v>3926</v>
      </c>
      <c r="H917" s="270" t="s">
        <v>5074</v>
      </c>
      <c r="I917" s="270" t="s">
        <v>3985</v>
      </c>
      <c r="J917" s="270" t="s">
        <v>3928</v>
      </c>
      <c r="K917" s="270">
        <v>6256</v>
      </c>
      <c r="L917" s="270">
        <v>800500</v>
      </c>
      <c r="M917" s="270" t="s">
        <v>3940</v>
      </c>
      <c r="N917" s="270" t="s">
        <v>4103</v>
      </c>
      <c r="O917" s="270">
        <v>1971.52</v>
      </c>
      <c r="P917" s="270" t="s">
        <v>3930</v>
      </c>
      <c r="Q917" s="270" t="s">
        <v>3931</v>
      </c>
      <c r="R917" s="270">
        <v>6971.52</v>
      </c>
      <c r="S917" s="270">
        <v>24145.599999999999</v>
      </c>
      <c r="T917" s="270">
        <v>31117.119999999999</v>
      </c>
      <c r="U917" s="271" t="s">
        <v>3932</v>
      </c>
      <c r="V917" s="267" t="s">
        <v>944</v>
      </c>
    </row>
    <row r="918" spans="1:22" hidden="1" x14ac:dyDescent="0.25">
      <c r="A918" s="266">
        <v>43515</v>
      </c>
      <c r="B918" s="267">
        <v>2019</v>
      </c>
      <c r="C918" s="267">
        <v>2019</v>
      </c>
      <c r="D918" s="267">
        <v>1</v>
      </c>
      <c r="E918" s="267">
        <v>1</v>
      </c>
      <c r="F918" s="267" t="s">
        <v>944</v>
      </c>
      <c r="G918" s="267" t="s">
        <v>3926</v>
      </c>
      <c r="H918" s="267" t="s">
        <v>5075</v>
      </c>
      <c r="I918" s="267" t="s">
        <v>4011</v>
      </c>
      <c r="J918" s="267" t="s">
        <v>3928</v>
      </c>
      <c r="K918" s="267">
        <v>6002</v>
      </c>
      <c r="L918" s="267">
        <v>471400</v>
      </c>
      <c r="M918" s="267" t="s">
        <v>3943</v>
      </c>
      <c r="N918" s="267" t="s">
        <v>3944</v>
      </c>
      <c r="O918" s="267">
        <v>3884</v>
      </c>
      <c r="P918" s="267" t="s">
        <v>3944</v>
      </c>
      <c r="Q918" s="267" t="s">
        <v>3944</v>
      </c>
      <c r="R918" s="267">
        <v>3884</v>
      </c>
      <c r="S918" s="267">
        <v>34441</v>
      </c>
      <c r="T918" s="267">
        <v>38325</v>
      </c>
      <c r="U918" s="268" t="s">
        <v>3945</v>
      </c>
      <c r="V918" s="267" t="s">
        <v>944</v>
      </c>
    </row>
    <row r="919" spans="1:22" hidden="1" x14ac:dyDescent="0.25">
      <c r="A919" s="269">
        <v>43515</v>
      </c>
      <c r="B919" s="270">
        <v>2019</v>
      </c>
      <c r="C919" s="270">
        <v>2019</v>
      </c>
      <c r="D919" s="270">
        <v>1</v>
      </c>
      <c r="E919" s="270">
        <v>1</v>
      </c>
      <c r="F919" s="270" t="s">
        <v>944</v>
      </c>
      <c r="G919" s="270" t="s">
        <v>3926</v>
      </c>
      <c r="H919" s="270" t="s">
        <v>5076</v>
      </c>
      <c r="I919" s="270" t="s">
        <v>3962</v>
      </c>
      <c r="J919" s="270" t="s">
        <v>3928</v>
      </c>
      <c r="K919" s="270">
        <v>6355</v>
      </c>
      <c r="L919" s="270">
        <v>705300</v>
      </c>
      <c r="M919" s="270" t="s">
        <v>3960</v>
      </c>
      <c r="N919" s="270" t="s">
        <v>3944</v>
      </c>
      <c r="O919" s="270">
        <v>3642</v>
      </c>
      <c r="P919" s="270" t="s">
        <v>3944</v>
      </c>
      <c r="Q919" s="270" t="s">
        <v>3944</v>
      </c>
      <c r="R919" s="270">
        <v>3642</v>
      </c>
      <c r="S919" s="270">
        <v>26347</v>
      </c>
      <c r="T919" s="270">
        <v>29989</v>
      </c>
      <c r="U919" s="271" t="s">
        <v>3945</v>
      </c>
      <c r="V919" s="267" t="s">
        <v>944</v>
      </c>
    </row>
    <row r="920" spans="1:22" hidden="1" x14ac:dyDescent="0.25">
      <c r="A920" s="266">
        <v>43515</v>
      </c>
      <c r="B920" s="267">
        <v>2019</v>
      </c>
      <c r="C920" s="267">
        <v>2019</v>
      </c>
      <c r="D920" s="267">
        <v>1</v>
      </c>
      <c r="E920" s="267">
        <v>1</v>
      </c>
      <c r="F920" s="267" t="s">
        <v>944</v>
      </c>
      <c r="G920" s="267" t="s">
        <v>3926</v>
      </c>
      <c r="H920" s="267" t="s">
        <v>5077</v>
      </c>
      <c r="I920" s="267" t="s">
        <v>4037</v>
      </c>
      <c r="J920" s="267" t="s">
        <v>3928</v>
      </c>
      <c r="K920" s="267">
        <v>6810</v>
      </c>
      <c r="L920" s="267">
        <v>210300</v>
      </c>
      <c r="M920" s="267" t="s">
        <v>3940</v>
      </c>
      <c r="N920" s="267" t="s">
        <v>3944</v>
      </c>
      <c r="O920" s="267">
        <v>2117.92</v>
      </c>
      <c r="P920" s="267" t="s">
        <v>3944</v>
      </c>
      <c r="Q920" s="267" t="s">
        <v>3944</v>
      </c>
      <c r="R920" s="267">
        <v>2117.92</v>
      </c>
      <c r="S920" s="267">
        <v>15516.51</v>
      </c>
      <c r="T920" s="267">
        <v>17634.43</v>
      </c>
      <c r="U920" s="268" t="s">
        <v>3945</v>
      </c>
      <c r="V920" s="267" t="s">
        <v>944</v>
      </c>
    </row>
    <row r="921" spans="1:22" hidden="1" x14ac:dyDescent="0.25">
      <c r="A921" s="269">
        <v>43515</v>
      </c>
      <c r="B921" s="270">
        <v>2019</v>
      </c>
      <c r="C921" s="270">
        <v>2019</v>
      </c>
      <c r="D921" s="270">
        <v>1</v>
      </c>
      <c r="E921" s="270">
        <v>1</v>
      </c>
      <c r="F921" s="270" t="s">
        <v>944</v>
      </c>
      <c r="G921" s="270" t="s">
        <v>3926</v>
      </c>
      <c r="H921" s="270" t="s">
        <v>5078</v>
      </c>
      <c r="I921" s="270" t="s">
        <v>2985</v>
      </c>
      <c r="J921" s="270" t="s">
        <v>3928</v>
      </c>
      <c r="K921" s="270">
        <v>6824</v>
      </c>
      <c r="L921" s="270">
        <v>60400</v>
      </c>
      <c r="M921" s="270" t="s">
        <v>3943</v>
      </c>
      <c r="N921" s="270" t="s">
        <v>3944</v>
      </c>
      <c r="O921" s="270">
        <v>4812.01</v>
      </c>
      <c r="P921" s="270" t="s">
        <v>3944</v>
      </c>
      <c r="Q921" s="270" t="s">
        <v>3944</v>
      </c>
      <c r="R921" s="270">
        <v>4812.01</v>
      </c>
      <c r="S921" s="270">
        <v>83812.42</v>
      </c>
      <c r="T921" s="270">
        <v>88624.43</v>
      </c>
      <c r="U921" s="271" t="s">
        <v>3945</v>
      </c>
      <c r="V921" s="267" t="s">
        <v>944</v>
      </c>
    </row>
    <row r="922" spans="1:22" hidden="1" x14ac:dyDescent="0.25">
      <c r="A922" s="266">
        <v>43515</v>
      </c>
      <c r="B922" s="267">
        <v>2019</v>
      </c>
      <c r="C922" s="267">
        <v>2019</v>
      </c>
      <c r="D922" s="267">
        <v>1</v>
      </c>
      <c r="E922" s="267">
        <v>1</v>
      </c>
      <c r="F922" s="267" t="s">
        <v>944</v>
      </c>
      <c r="G922" s="267" t="s">
        <v>3926</v>
      </c>
      <c r="H922" s="267" t="s">
        <v>5079</v>
      </c>
      <c r="I922" s="267" t="s">
        <v>953</v>
      </c>
      <c r="J922" s="267" t="s">
        <v>3928</v>
      </c>
      <c r="K922" s="267">
        <v>6517</v>
      </c>
      <c r="L922" s="267">
        <v>165400</v>
      </c>
      <c r="M922" s="267" t="s">
        <v>3935</v>
      </c>
      <c r="N922" s="267" t="s">
        <v>3944</v>
      </c>
      <c r="O922" s="267">
        <v>798.49</v>
      </c>
      <c r="P922" s="267" t="s">
        <v>3944</v>
      </c>
      <c r="Q922" s="267" t="s">
        <v>3944</v>
      </c>
      <c r="R922" s="267">
        <v>798.49</v>
      </c>
      <c r="S922" s="267">
        <v>12373.58</v>
      </c>
      <c r="T922" s="267">
        <v>13172.07</v>
      </c>
      <c r="U922" s="268" t="s">
        <v>3945</v>
      </c>
      <c r="V922" s="267" t="s">
        <v>944</v>
      </c>
    </row>
    <row r="923" spans="1:22" hidden="1" x14ac:dyDescent="0.25">
      <c r="A923" s="269">
        <v>43515</v>
      </c>
      <c r="B923" s="270">
        <v>2019</v>
      </c>
      <c r="C923" s="270">
        <v>2019</v>
      </c>
      <c r="D923" s="270">
        <v>1</v>
      </c>
      <c r="E923" s="270">
        <v>1</v>
      </c>
      <c r="F923" s="270" t="s">
        <v>944</v>
      </c>
      <c r="G923" s="270" t="s">
        <v>3926</v>
      </c>
      <c r="H923" s="270" t="s">
        <v>5080</v>
      </c>
      <c r="I923" s="270" t="s">
        <v>943</v>
      </c>
      <c r="J923" s="270" t="s">
        <v>3928</v>
      </c>
      <c r="K923" s="270">
        <v>6512</v>
      </c>
      <c r="L923" s="270">
        <v>142700</v>
      </c>
      <c r="M923" s="270">
        <v>-60</v>
      </c>
      <c r="N923" s="270" t="s">
        <v>3944</v>
      </c>
      <c r="O923" s="270">
        <v>699.97</v>
      </c>
      <c r="P923" s="270" t="s">
        <v>3944</v>
      </c>
      <c r="Q923" s="270" t="s">
        <v>3944</v>
      </c>
      <c r="R923" s="270">
        <v>699.97</v>
      </c>
      <c r="S923" s="270">
        <v>11432.39</v>
      </c>
      <c r="T923" s="270">
        <v>12132.36</v>
      </c>
      <c r="U923" s="271" t="s">
        <v>3945</v>
      </c>
      <c r="V923" s="267" t="s">
        <v>944</v>
      </c>
    </row>
    <row r="924" spans="1:22" hidden="1" x14ac:dyDescent="0.25">
      <c r="A924" s="266">
        <v>43515</v>
      </c>
      <c r="B924" s="267">
        <v>2019</v>
      </c>
      <c r="C924" s="267">
        <v>2019</v>
      </c>
      <c r="D924" s="267">
        <v>1</v>
      </c>
      <c r="E924" s="267">
        <v>1</v>
      </c>
      <c r="F924" s="267" t="s">
        <v>944</v>
      </c>
      <c r="G924" s="267" t="s">
        <v>3926</v>
      </c>
      <c r="H924" s="267" t="s">
        <v>5081</v>
      </c>
      <c r="I924" s="267" t="s">
        <v>4254</v>
      </c>
      <c r="J924" s="267" t="s">
        <v>3928</v>
      </c>
      <c r="K924" s="267">
        <v>6076</v>
      </c>
      <c r="L924" s="267">
        <v>890201</v>
      </c>
      <c r="M924" s="267" t="s">
        <v>3960</v>
      </c>
      <c r="N924" s="267" t="s">
        <v>3944</v>
      </c>
      <c r="O924" s="267">
        <v>2189.88</v>
      </c>
      <c r="P924" s="267" t="s">
        <v>3944</v>
      </c>
      <c r="Q924" s="267" t="s">
        <v>3944</v>
      </c>
      <c r="R924" s="267">
        <v>2189.88</v>
      </c>
      <c r="S924" s="267">
        <v>30748.53</v>
      </c>
      <c r="T924" s="267">
        <v>32938.410000000003</v>
      </c>
      <c r="U924" s="268" t="s">
        <v>3945</v>
      </c>
      <c r="V924" s="267" t="s">
        <v>944</v>
      </c>
    </row>
    <row r="925" spans="1:22" hidden="1" x14ac:dyDescent="0.25">
      <c r="A925" s="269">
        <v>43515</v>
      </c>
      <c r="B925" s="270">
        <v>2019</v>
      </c>
      <c r="C925" s="270">
        <v>2019</v>
      </c>
      <c r="D925" s="270">
        <v>1</v>
      </c>
      <c r="E925" s="270">
        <v>1</v>
      </c>
      <c r="F925" s="270" t="s">
        <v>944</v>
      </c>
      <c r="G925" s="270" t="s">
        <v>3926</v>
      </c>
      <c r="H925" s="270" t="s">
        <v>5082</v>
      </c>
      <c r="I925" s="270" t="s">
        <v>4392</v>
      </c>
      <c r="J925" s="270" t="s">
        <v>3928</v>
      </c>
      <c r="K925" s="270">
        <v>6457</v>
      </c>
      <c r="L925" s="270">
        <v>680200</v>
      </c>
      <c r="M925" s="270" t="s">
        <v>3935</v>
      </c>
      <c r="N925" s="270" t="s">
        <v>3944</v>
      </c>
      <c r="O925" s="270">
        <v>3371.45</v>
      </c>
      <c r="P925" s="270" t="s">
        <v>3944</v>
      </c>
      <c r="Q925" s="270" t="s">
        <v>3944</v>
      </c>
      <c r="R925" s="270">
        <v>3371.45</v>
      </c>
      <c r="S925" s="270">
        <v>53312.73</v>
      </c>
      <c r="T925" s="270">
        <v>56684.18</v>
      </c>
      <c r="U925" s="271" t="s">
        <v>3945</v>
      </c>
      <c r="V925" s="267" t="s">
        <v>944</v>
      </c>
    </row>
    <row r="926" spans="1:22" hidden="1" x14ac:dyDescent="0.25">
      <c r="A926" s="266">
        <v>43515</v>
      </c>
      <c r="B926" s="267">
        <v>2019</v>
      </c>
      <c r="C926" s="267">
        <v>2019</v>
      </c>
      <c r="D926" s="267">
        <v>1</v>
      </c>
      <c r="E926" s="267">
        <v>1</v>
      </c>
      <c r="F926" s="267" t="s">
        <v>944</v>
      </c>
      <c r="G926" s="267" t="s">
        <v>3926</v>
      </c>
      <c r="H926" s="267" t="s">
        <v>5083</v>
      </c>
      <c r="I926" s="267" t="s">
        <v>3939</v>
      </c>
      <c r="J926" s="267" t="s">
        <v>3928</v>
      </c>
      <c r="K926" s="267">
        <v>6513</v>
      </c>
      <c r="L926" s="267">
        <v>180500</v>
      </c>
      <c r="M926" s="267" t="s">
        <v>3935</v>
      </c>
      <c r="N926" s="267" t="s">
        <v>3944</v>
      </c>
      <c r="O926" s="267">
        <v>1496.78</v>
      </c>
      <c r="P926" s="267" t="s">
        <v>3944</v>
      </c>
      <c r="Q926" s="267" t="s">
        <v>3944</v>
      </c>
      <c r="R926" s="267">
        <v>1496.78</v>
      </c>
      <c r="S926" s="267">
        <v>23704.25</v>
      </c>
      <c r="T926" s="267">
        <v>25201.03</v>
      </c>
      <c r="U926" s="268" t="s">
        <v>3945</v>
      </c>
      <c r="V926" s="267" t="s">
        <v>944</v>
      </c>
    </row>
    <row r="927" spans="1:22" hidden="1" x14ac:dyDescent="0.25">
      <c r="A927" s="269">
        <v>43515</v>
      </c>
      <c r="B927" s="270">
        <v>2019</v>
      </c>
      <c r="C927" s="270">
        <v>2019</v>
      </c>
      <c r="D927" s="270">
        <v>1</v>
      </c>
      <c r="E927" s="270">
        <v>1</v>
      </c>
      <c r="F927" s="270" t="s">
        <v>944</v>
      </c>
      <c r="G927" s="270" t="s">
        <v>3926</v>
      </c>
      <c r="H927" s="270" t="s">
        <v>5084</v>
      </c>
      <c r="I927" s="270" t="s">
        <v>4254</v>
      </c>
      <c r="J927" s="270" t="s">
        <v>3928</v>
      </c>
      <c r="K927" s="270">
        <v>6076</v>
      </c>
      <c r="L927" s="270">
        <v>890100</v>
      </c>
      <c r="M927" s="270" t="s">
        <v>3940</v>
      </c>
      <c r="N927" s="270" t="s">
        <v>3944</v>
      </c>
      <c r="O927" s="270">
        <v>717.82</v>
      </c>
      <c r="P927" s="270" t="s">
        <v>3944</v>
      </c>
      <c r="Q927" s="270" t="s">
        <v>3944</v>
      </c>
      <c r="R927" s="270">
        <v>717.82</v>
      </c>
      <c r="S927" s="270">
        <v>10125.16</v>
      </c>
      <c r="T927" s="270">
        <v>10842.98</v>
      </c>
      <c r="U927" s="271" t="s">
        <v>3945</v>
      </c>
      <c r="V927" s="267" t="s">
        <v>944</v>
      </c>
    </row>
    <row r="928" spans="1:22" hidden="1" x14ac:dyDescent="0.25">
      <c r="A928" s="266">
        <v>43515</v>
      </c>
      <c r="B928" s="267">
        <v>2019</v>
      </c>
      <c r="C928" s="267">
        <v>2019</v>
      </c>
      <c r="D928" s="267">
        <v>1</v>
      </c>
      <c r="E928" s="267">
        <v>1</v>
      </c>
      <c r="F928" s="267" t="s">
        <v>944</v>
      </c>
      <c r="G928" s="267" t="s">
        <v>3926</v>
      </c>
      <c r="H928" s="267" t="s">
        <v>5085</v>
      </c>
      <c r="I928" s="267" t="s">
        <v>953</v>
      </c>
      <c r="J928" s="267" t="s">
        <v>3928</v>
      </c>
      <c r="K928" s="267">
        <v>6517</v>
      </c>
      <c r="L928" s="267">
        <v>165100</v>
      </c>
      <c r="M928" s="267" t="s">
        <v>3935</v>
      </c>
      <c r="N928" s="267" t="s">
        <v>3944</v>
      </c>
      <c r="O928" s="267">
        <v>2031.23</v>
      </c>
      <c r="P928" s="267" t="s">
        <v>3944</v>
      </c>
      <c r="Q928" s="267" t="s">
        <v>3944</v>
      </c>
      <c r="R928" s="267">
        <v>2031.23</v>
      </c>
      <c r="S928" s="267">
        <v>29396.27</v>
      </c>
      <c r="T928" s="267">
        <v>31427.5</v>
      </c>
      <c r="U928" s="268" t="s">
        <v>3945</v>
      </c>
      <c r="V928" s="267" t="s">
        <v>944</v>
      </c>
    </row>
    <row r="929" spans="1:22" hidden="1" x14ac:dyDescent="0.25">
      <c r="A929" s="269">
        <v>43515</v>
      </c>
      <c r="B929" s="270">
        <v>2019</v>
      </c>
      <c r="C929" s="270">
        <v>2019</v>
      </c>
      <c r="D929" s="270">
        <v>1</v>
      </c>
      <c r="E929" s="270">
        <v>1</v>
      </c>
      <c r="F929" s="270" t="s">
        <v>944</v>
      </c>
      <c r="G929" s="270" t="s">
        <v>3926</v>
      </c>
      <c r="H929" s="270" t="s">
        <v>5086</v>
      </c>
      <c r="I929" s="270" t="s">
        <v>2985</v>
      </c>
      <c r="J929" s="270" t="s">
        <v>3928</v>
      </c>
      <c r="K929" s="270">
        <v>6824</v>
      </c>
      <c r="L929" s="270">
        <v>61600</v>
      </c>
      <c r="M929" s="270" t="s">
        <v>3943</v>
      </c>
      <c r="N929" s="270" t="s">
        <v>3944</v>
      </c>
      <c r="O929" s="270">
        <v>1366.54</v>
      </c>
      <c r="P929" s="270" t="s">
        <v>3944</v>
      </c>
      <c r="Q929" s="270" t="s">
        <v>3944</v>
      </c>
      <c r="R929" s="270">
        <v>1366.54</v>
      </c>
      <c r="S929" s="270">
        <v>20809.46</v>
      </c>
      <c r="T929" s="270">
        <v>22176</v>
      </c>
      <c r="U929" s="271" t="s">
        <v>3945</v>
      </c>
      <c r="V929" s="267" t="s">
        <v>944</v>
      </c>
    </row>
    <row r="930" spans="1:22" hidden="1" x14ac:dyDescent="0.25">
      <c r="A930" s="266">
        <v>43515</v>
      </c>
      <c r="B930" s="267">
        <v>2019</v>
      </c>
      <c r="C930" s="267">
        <v>2019</v>
      </c>
      <c r="D930" s="267">
        <v>1</v>
      </c>
      <c r="E930" s="267">
        <v>1</v>
      </c>
      <c r="F930" s="267" t="s">
        <v>944</v>
      </c>
      <c r="G930" s="267" t="s">
        <v>3926</v>
      </c>
      <c r="H930" s="267" t="s">
        <v>5087</v>
      </c>
      <c r="I930" s="267" t="s">
        <v>3999</v>
      </c>
      <c r="J930" s="267" t="s">
        <v>3928</v>
      </c>
      <c r="K930" s="267">
        <v>6450</v>
      </c>
      <c r="L930" s="267">
        <v>171100</v>
      </c>
      <c r="M930" s="267" t="s">
        <v>3940</v>
      </c>
      <c r="N930" s="267" t="s">
        <v>3944</v>
      </c>
      <c r="O930" s="267">
        <v>1837.75</v>
      </c>
      <c r="P930" s="267" t="s">
        <v>3944</v>
      </c>
      <c r="Q930" s="267" t="s">
        <v>3944</v>
      </c>
      <c r="R930" s="267">
        <v>1837.75</v>
      </c>
      <c r="S930" s="267">
        <v>29042.36</v>
      </c>
      <c r="T930" s="267">
        <v>30880.11</v>
      </c>
      <c r="U930" s="268" t="s">
        <v>3945</v>
      </c>
      <c r="V930" s="267" t="s">
        <v>944</v>
      </c>
    </row>
    <row r="931" spans="1:22" hidden="1" x14ac:dyDescent="0.25">
      <c r="A931" s="269">
        <v>43515</v>
      </c>
      <c r="B931" s="270">
        <v>2019</v>
      </c>
      <c r="C931" s="270">
        <v>2019</v>
      </c>
      <c r="D931" s="270">
        <v>1</v>
      </c>
      <c r="E931" s="270">
        <v>1</v>
      </c>
      <c r="F931" s="270" t="s">
        <v>944</v>
      </c>
      <c r="G931" s="270" t="s">
        <v>3926</v>
      </c>
      <c r="H931" s="270" t="s">
        <v>5088</v>
      </c>
      <c r="I931" s="270" t="s">
        <v>4129</v>
      </c>
      <c r="J931" s="270" t="s">
        <v>3928</v>
      </c>
      <c r="K931" s="270">
        <v>6259</v>
      </c>
      <c r="L931" s="270">
        <v>902500</v>
      </c>
      <c r="M931" s="270" t="s">
        <v>3960</v>
      </c>
      <c r="N931" s="270" t="s">
        <v>3944</v>
      </c>
      <c r="O931" s="270">
        <v>1318.63</v>
      </c>
      <c r="P931" s="270" t="s">
        <v>3944</v>
      </c>
      <c r="Q931" s="270" t="s">
        <v>3944</v>
      </c>
      <c r="R931" s="270">
        <v>1318.63</v>
      </c>
      <c r="S931" s="270">
        <v>19197.48</v>
      </c>
      <c r="T931" s="270">
        <v>20516.11</v>
      </c>
      <c r="U931" s="271" t="s">
        <v>3945</v>
      </c>
      <c r="V931" s="267" t="s">
        <v>944</v>
      </c>
    </row>
    <row r="932" spans="1:22" hidden="1" x14ac:dyDescent="0.25">
      <c r="A932" s="266">
        <v>43515</v>
      </c>
      <c r="B932" s="267">
        <v>2019</v>
      </c>
      <c r="C932" s="267">
        <v>2019</v>
      </c>
      <c r="D932" s="267">
        <v>1</v>
      </c>
      <c r="E932" s="267">
        <v>1</v>
      </c>
      <c r="F932" s="267" t="s">
        <v>944</v>
      </c>
      <c r="G932" s="267" t="s">
        <v>3926</v>
      </c>
      <c r="H932" s="267" t="s">
        <v>5089</v>
      </c>
      <c r="I932" s="267" t="s">
        <v>4213</v>
      </c>
      <c r="J932" s="267" t="s">
        <v>3928</v>
      </c>
      <c r="K932" s="267">
        <v>6051</v>
      </c>
      <c r="L932" s="267">
        <v>415400</v>
      </c>
      <c r="M932" s="267">
        <v>-60</v>
      </c>
      <c r="N932" s="267" t="s">
        <v>3944</v>
      </c>
      <c r="O932" s="267">
        <v>866.92</v>
      </c>
      <c r="P932" s="267" t="s">
        <v>3944</v>
      </c>
      <c r="Q932" s="267" t="s">
        <v>3944</v>
      </c>
      <c r="R932" s="267">
        <v>866.92</v>
      </c>
      <c r="S932" s="267">
        <v>12828.83</v>
      </c>
      <c r="T932" s="267">
        <v>13695.75</v>
      </c>
      <c r="U932" s="268" t="s">
        <v>3945</v>
      </c>
      <c r="V932" s="267" t="s">
        <v>944</v>
      </c>
    </row>
    <row r="933" spans="1:22" hidden="1" x14ac:dyDescent="0.25">
      <c r="A933" s="269">
        <v>43515</v>
      </c>
      <c r="B933" s="270">
        <v>2019</v>
      </c>
      <c r="C933" s="270">
        <v>2019</v>
      </c>
      <c r="D933" s="270">
        <v>1</v>
      </c>
      <c r="E933" s="270">
        <v>1</v>
      </c>
      <c r="F933" s="270" t="s">
        <v>944</v>
      </c>
      <c r="G933" s="270" t="s">
        <v>3926</v>
      </c>
      <c r="H933" s="270" t="s">
        <v>5090</v>
      </c>
      <c r="I933" s="270" t="s">
        <v>3996</v>
      </c>
      <c r="J933" s="270" t="s">
        <v>3928</v>
      </c>
      <c r="K933" s="270">
        <v>6790</v>
      </c>
      <c r="L933" s="270">
        <v>310803</v>
      </c>
      <c r="M933" s="270">
        <v>-60</v>
      </c>
      <c r="N933" s="270" t="s">
        <v>3944</v>
      </c>
      <c r="O933" s="270">
        <v>2071.06</v>
      </c>
      <c r="P933" s="270" t="s">
        <v>3944</v>
      </c>
      <c r="Q933" s="270" t="s">
        <v>3944</v>
      </c>
      <c r="R933" s="270">
        <v>2071.06</v>
      </c>
      <c r="S933" s="270">
        <v>26196.52</v>
      </c>
      <c r="T933" s="270">
        <v>28267.58</v>
      </c>
      <c r="U933" s="271" t="s">
        <v>3945</v>
      </c>
      <c r="V933" s="267" t="s">
        <v>944</v>
      </c>
    </row>
    <row r="934" spans="1:22" hidden="1" x14ac:dyDescent="0.25">
      <c r="A934" s="266">
        <v>43516</v>
      </c>
      <c r="B934" s="267">
        <v>2019</v>
      </c>
      <c r="C934" s="267">
        <v>2019</v>
      </c>
      <c r="D934" s="267">
        <v>1</v>
      </c>
      <c r="E934" s="267">
        <v>1</v>
      </c>
      <c r="F934" s="267" t="s">
        <v>944</v>
      </c>
      <c r="G934" s="267" t="s">
        <v>3926</v>
      </c>
      <c r="H934" s="267" t="s">
        <v>5091</v>
      </c>
      <c r="I934" s="267" t="s">
        <v>4392</v>
      </c>
      <c r="J934" s="267" t="s">
        <v>3928</v>
      </c>
      <c r="K934" s="267">
        <v>6457</v>
      </c>
      <c r="L934" s="267">
        <v>542000</v>
      </c>
      <c r="M934" s="267" t="s">
        <v>3935</v>
      </c>
      <c r="N934" s="267" t="s">
        <v>5092</v>
      </c>
      <c r="O934" s="267">
        <v>0</v>
      </c>
      <c r="P934" s="267" t="s">
        <v>3930</v>
      </c>
      <c r="Q934" s="267" t="s">
        <v>3930</v>
      </c>
      <c r="R934" s="267">
        <v>0</v>
      </c>
      <c r="S934" s="267">
        <v>7600</v>
      </c>
      <c r="T934" s="267">
        <v>7600</v>
      </c>
      <c r="U934" s="268" t="s">
        <v>3937</v>
      </c>
      <c r="V934" s="267" t="s">
        <v>944</v>
      </c>
    </row>
    <row r="935" spans="1:22" hidden="1" x14ac:dyDescent="0.25">
      <c r="A935" s="269">
        <v>43516</v>
      </c>
      <c r="B935" s="270">
        <v>2019</v>
      </c>
      <c r="C935" s="270">
        <v>2019</v>
      </c>
      <c r="D935" s="270">
        <v>1</v>
      </c>
      <c r="E935" s="270">
        <v>1</v>
      </c>
      <c r="F935" s="270" t="s">
        <v>944</v>
      </c>
      <c r="G935" s="270" t="s">
        <v>3926</v>
      </c>
      <c r="H935" s="270" t="s">
        <v>5093</v>
      </c>
      <c r="I935" s="270" t="s">
        <v>4269</v>
      </c>
      <c r="J935" s="270" t="s">
        <v>3928</v>
      </c>
      <c r="K935" s="270">
        <v>6119</v>
      </c>
      <c r="L935" s="270">
        <v>497000</v>
      </c>
      <c r="M935" s="270" t="s">
        <v>3943</v>
      </c>
      <c r="N935" s="270" t="s">
        <v>5094</v>
      </c>
      <c r="O935" s="270">
        <v>0</v>
      </c>
      <c r="P935" s="270" t="s">
        <v>3930</v>
      </c>
      <c r="Q935" s="270" t="s">
        <v>3930</v>
      </c>
      <c r="R935" s="270">
        <v>0</v>
      </c>
      <c r="S935" s="270">
        <v>18982.939999999999</v>
      </c>
      <c r="T935" s="270">
        <v>18982.939999999999</v>
      </c>
      <c r="U935" s="271" t="s">
        <v>3937</v>
      </c>
      <c r="V935" s="267" t="s">
        <v>944</v>
      </c>
    </row>
    <row r="936" spans="1:22" hidden="1" x14ac:dyDescent="0.25">
      <c r="A936" s="266">
        <v>43516</v>
      </c>
      <c r="B936" s="267">
        <v>2019</v>
      </c>
      <c r="C936" s="267">
        <v>2019</v>
      </c>
      <c r="D936" s="267">
        <v>1</v>
      </c>
      <c r="E936" s="267">
        <v>1</v>
      </c>
      <c r="F936" s="267" t="s">
        <v>944</v>
      </c>
      <c r="G936" s="267" t="s">
        <v>3926</v>
      </c>
      <c r="H936" s="267" t="s">
        <v>5095</v>
      </c>
      <c r="I936" s="267" t="s">
        <v>4213</v>
      </c>
      <c r="J936" s="267" t="s">
        <v>3928</v>
      </c>
      <c r="K936" s="267">
        <v>6052</v>
      </c>
      <c r="L936" s="267">
        <v>416400</v>
      </c>
      <c r="M936" s="267" t="s">
        <v>3960</v>
      </c>
      <c r="N936" s="267" t="s">
        <v>5096</v>
      </c>
      <c r="O936" s="267">
        <v>2983.4</v>
      </c>
      <c r="P936" s="267" t="s">
        <v>3930</v>
      </c>
      <c r="Q936" s="267" t="s">
        <v>3931</v>
      </c>
      <c r="R936" s="267">
        <v>7983.4</v>
      </c>
      <c r="S936" s="267">
        <v>49834</v>
      </c>
      <c r="T936" s="267">
        <v>57817.4</v>
      </c>
      <c r="U936" s="268" t="s">
        <v>3932</v>
      </c>
      <c r="V936" s="267" t="s">
        <v>944</v>
      </c>
    </row>
    <row r="937" spans="1:22" x14ac:dyDescent="0.25">
      <c r="A937" s="269">
        <v>43516</v>
      </c>
      <c r="B937" s="270">
        <v>2019</v>
      </c>
      <c r="C937" s="270">
        <v>2019</v>
      </c>
      <c r="D937" s="270">
        <v>1</v>
      </c>
      <c r="E937" s="270">
        <v>1</v>
      </c>
      <c r="F937" s="270" t="s">
        <v>944</v>
      </c>
      <c r="G937" s="270" t="s">
        <v>3926</v>
      </c>
      <c r="H937" s="270" t="s">
        <v>5097</v>
      </c>
      <c r="I937" s="270" t="s">
        <v>934</v>
      </c>
      <c r="J937" s="270" t="s">
        <v>3928</v>
      </c>
      <c r="K937" s="270">
        <v>6607</v>
      </c>
      <c r="L937" s="270">
        <v>74300</v>
      </c>
      <c r="M937" s="270">
        <v>-60</v>
      </c>
      <c r="N937" s="270" t="s">
        <v>3986</v>
      </c>
      <c r="O937" s="270">
        <v>3186.45</v>
      </c>
      <c r="P937" s="270" t="s">
        <v>3930</v>
      </c>
      <c r="Q937" s="270" t="s">
        <v>3931</v>
      </c>
      <c r="R937" s="270">
        <v>8186.45</v>
      </c>
      <c r="S937" s="270">
        <v>16196.8</v>
      </c>
      <c r="T937" s="270">
        <v>24383.25</v>
      </c>
      <c r="U937" s="271" t="s">
        <v>3932</v>
      </c>
      <c r="V937" s="276" t="s">
        <v>936</v>
      </c>
    </row>
    <row r="938" spans="1:22" hidden="1" x14ac:dyDescent="0.25">
      <c r="A938" s="266">
        <v>43516</v>
      </c>
      <c r="B938" s="267">
        <v>2019</v>
      </c>
      <c r="C938" s="267">
        <v>2019</v>
      </c>
      <c r="D938" s="267">
        <v>1</v>
      </c>
      <c r="E938" s="267">
        <v>1</v>
      </c>
      <c r="F938" s="267" t="s">
        <v>944</v>
      </c>
      <c r="G938" s="267" t="s">
        <v>3926</v>
      </c>
      <c r="H938" s="267" t="s">
        <v>5098</v>
      </c>
      <c r="I938" s="267" t="s">
        <v>4323</v>
      </c>
      <c r="J938" s="267" t="s">
        <v>3928</v>
      </c>
      <c r="K938" s="267">
        <v>6375</v>
      </c>
      <c r="L938" s="267">
        <v>693600</v>
      </c>
      <c r="M938" s="267" t="s">
        <v>3960</v>
      </c>
      <c r="N938" s="267" t="s">
        <v>5099</v>
      </c>
      <c r="O938" s="267">
        <v>0</v>
      </c>
      <c r="P938" s="267" t="s">
        <v>3930</v>
      </c>
      <c r="Q938" s="267" t="s">
        <v>3930</v>
      </c>
      <c r="R938" s="267">
        <v>0</v>
      </c>
      <c r="S938" s="267">
        <v>13077.13</v>
      </c>
      <c r="T938" s="267">
        <v>13077.13</v>
      </c>
      <c r="U938" s="268" t="s">
        <v>3937</v>
      </c>
      <c r="V938" s="267" t="s">
        <v>944</v>
      </c>
    </row>
    <row r="939" spans="1:22" hidden="1" x14ac:dyDescent="0.25">
      <c r="A939" s="269">
        <v>43516</v>
      </c>
      <c r="B939" s="270">
        <v>2019</v>
      </c>
      <c r="C939" s="270">
        <v>2019</v>
      </c>
      <c r="D939" s="270">
        <v>1</v>
      </c>
      <c r="E939" s="270">
        <v>1</v>
      </c>
      <c r="F939" s="270" t="s">
        <v>944</v>
      </c>
      <c r="G939" s="270" t="s">
        <v>3926</v>
      </c>
      <c r="H939" s="270" t="s">
        <v>5100</v>
      </c>
      <c r="I939" s="270" t="s">
        <v>3025</v>
      </c>
      <c r="J939" s="270" t="s">
        <v>3928</v>
      </c>
      <c r="K939" s="270">
        <v>6473</v>
      </c>
      <c r="L939" s="270">
        <v>167300</v>
      </c>
      <c r="M939" s="270" t="s">
        <v>3943</v>
      </c>
      <c r="N939" s="270" t="s">
        <v>3929</v>
      </c>
      <c r="O939" s="270">
        <v>2244.4499999999998</v>
      </c>
      <c r="P939" s="270" t="s">
        <v>3930</v>
      </c>
      <c r="Q939" s="270" t="s">
        <v>3931</v>
      </c>
      <c r="R939" s="270">
        <v>7244.45</v>
      </c>
      <c r="S939" s="270">
        <v>34744</v>
      </c>
      <c r="T939" s="270">
        <v>41988.45</v>
      </c>
      <c r="U939" s="271" t="s">
        <v>3932</v>
      </c>
      <c r="V939" s="267" t="s">
        <v>944</v>
      </c>
    </row>
    <row r="940" spans="1:22" hidden="1" x14ac:dyDescent="0.25">
      <c r="A940" s="266">
        <v>43516</v>
      </c>
      <c r="B940" s="267">
        <v>2019</v>
      </c>
      <c r="C940" s="267">
        <v>2019</v>
      </c>
      <c r="D940" s="267">
        <v>1</v>
      </c>
      <c r="E940" s="267">
        <v>1</v>
      </c>
      <c r="F940" s="267" t="s">
        <v>944</v>
      </c>
      <c r="G940" s="267" t="s">
        <v>3926</v>
      </c>
      <c r="H940" s="267" t="s">
        <v>5101</v>
      </c>
      <c r="I940" s="267" t="s">
        <v>956</v>
      </c>
      <c r="J940" s="267" t="s">
        <v>3928</v>
      </c>
      <c r="K940" s="267">
        <v>6614</v>
      </c>
      <c r="L940" s="267">
        <v>80100</v>
      </c>
      <c r="M940" s="267" t="s">
        <v>3935</v>
      </c>
      <c r="N940" s="267" t="s">
        <v>3944</v>
      </c>
      <c r="O940" s="267">
        <v>829.99</v>
      </c>
      <c r="P940" s="267" t="s">
        <v>3944</v>
      </c>
      <c r="Q940" s="267" t="s">
        <v>3944</v>
      </c>
      <c r="R940" s="267">
        <v>829.99</v>
      </c>
      <c r="S940" s="267">
        <v>12187.77</v>
      </c>
      <c r="T940" s="267">
        <v>13017.76</v>
      </c>
      <c r="U940" s="268" t="s">
        <v>3945</v>
      </c>
      <c r="V940" s="267" t="s">
        <v>944</v>
      </c>
    </row>
    <row r="941" spans="1:22" hidden="1" x14ac:dyDescent="0.25">
      <c r="A941" s="269">
        <v>43516</v>
      </c>
      <c r="B941" s="270">
        <v>2019</v>
      </c>
      <c r="C941" s="270">
        <v>2019</v>
      </c>
      <c r="D941" s="270">
        <v>1</v>
      </c>
      <c r="E941" s="270">
        <v>1</v>
      </c>
      <c r="F941" s="270" t="s">
        <v>944</v>
      </c>
      <c r="G941" s="270" t="s">
        <v>3926</v>
      </c>
      <c r="H941" s="270" t="s">
        <v>5102</v>
      </c>
      <c r="I941" s="270" t="s">
        <v>3996</v>
      </c>
      <c r="J941" s="270" t="s">
        <v>3928</v>
      </c>
      <c r="K941" s="270">
        <v>6790</v>
      </c>
      <c r="L941" s="270">
        <v>310601</v>
      </c>
      <c r="M941" s="270" t="s">
        <v>3960</v>
      </c>
      <c r="N941" s="270" t="s">
        <v>3944</v>
      </c>
      <c r="O941" s="270">
        <v>1706.25</v>
      </c>
      <c r="P941" s="270" t="s">
        <v>3944</v>
      </c>
      <c r="Q941" s="270" t="s">
        <v>3944</v>
      </c>
      <c r="R941" s="270">
        <v>1706.25</v>
      </c>
      <c r="S941" s="270">
        <v>15015.75</v>
      </c>
      <c r="T941" s="270">
        <v>16722</v>
      </c>
      <c r="U941" s="271" t="s">
        <v>3945</v>
      </c>
      <c r="V941" s="267" t="s">
        <v>944</v>
      </c>
    </row>
    <row r="942" spans="1:22" hidden="1" x14ac:dyDescent="0.25">
      <c r="A942" s="266">
        <v>43516</v>
      </c>
      <c r="B942" s="267">
        <v>2019</v>
      </c>
      <c r="C942" s="267">
        <v>2019</v>
      </c>
      <c r="D942" s="267">
        <v>1</v>
      </c>
      <c r="E942" s="267">
        <v>1</v>
      </c>
      <c r="F942" s="267" t="s">
        <v>944</v>
      </c>
      <c r="G942" s="267" t="s">
        <v>3926</v>
      </c>
      <c r="H942" s="267" t="s">
        <v>5103</v>
      </c>
      <c r="I942" s="267" t="s">
        <v>4232</v>
      </c>
      <c r="J942" s="267" t="s">
        <v>3928</v>
      </c>
      <c r="K942" s="267">
        <v>6483</v>
      </c>
      <c r="L942" s="267">
        <v>130101</v>
      </c>
      <c r="M942" s="267" t="s">
        <v>3940</v>
      </c>
      <c r="N942" s="267" t="s">
        <v>3944</v>
      </c>
      <c r="O942" s="267">
        <v>2172.91</v>
      </c>
      <c r="P942" s="267" t="s">
        <v>3944</v>
      </c>
      <c r="Q942" s="267" t="s">
        <v>3944</v>
      </c>
      <c r="R942" s="267">
        <v>2172.91</v>
      </c>
      <c r="S942" s="267">
        <v>19811</v>
      </c>
      <c r="T942" s="267">
        <v>21983.91</v>
      </c>
      <c r="U942" s="268" t="s">
        <v>3945</v>
      </c>
      <c r="V942" s="267" t="s">
        <v>944</v>
      </c>
    </row>
    <row r="943" spans="1:22" hidden="1" x14ac:dyDescent="0.25">
      <c r="A943" s="269">
        <v>43516</v>
      </c>
      <c r="B943" s="270">
        <v>2019</v>
      </c>
      <c r="C943" s="270">
        <v>2019</v>
      </c>
      <c r="D943" s="270">
        <v>1</v>
      </c>
      <c r="E943" s="270">
        <v>1</v>
      </c>
      <c r="F943" s="270" t="s">
        <v>944</v>
      </c>
      <c r="G943" s="270" t="s">
        <v>3926</v>
      </c>
      <c r="H943" s="270" t="s">
        <v>5104</v>
      </c>
      <c r="I943" s="270" t="s">
        <v>3939</v>
      </c>
      <c r="J943" s="270" t="s">
        <v>3928</v>
      </c>
      <c r="K943" s="270">
        <v>6513</v>
      </c>
      <c r="L943" s="270">
        <v>180500</v>
      </c>
      <c r="M943" s="270" t="s">
        <v>3935</v>
      </c>
      <c r="N943" s="270" t="s">
        <v>3944</v>
      </c>
      <c r="O943" s="270">
        <v>1835.05</v>
      </c>
      <c r="P943" s="270" t="s">
        <v>3944</v>
      </c>
      <c r="Q943" s="270" t="s">
        <v>3944</v>
      </c>
      <c r="R943" s="270">
        <v>1835.05</v>
      </c>
      <c r="S943" s="270">
        <v>28824.95</v>
      </c>
      <c r="T943" s="270">
        <v>30660</v>
      </c>
      <c r="U943" s="271" t="s">
        <v>3945</v>
      </c>
      <c r="V943" s="267" t="s">
        <v>944</v>
      </c>
    </row>
    <row r="944" spans="1:22" hidden="1" x14ac:dyDescent="0.25">
      <c r="A944" s="266">
        <v>43516</v>
      </c>
      <c r="B944" s="267">
        <v>2019</v>
      </c>
      <c r="C944" s="267">
        <v>2019</v>
      </c>
      <c r="D944" s="267">
        <v>1</v>
      </c>
      <c r="E944" s="267">
        <v>1</v>
      </c>
      <c r="F944" s="267" t="s">
        <v>944</v>
      </c>
      <c r="G944" s="267" t="s">
        <v>3926</v>
      </c>
      <c r="H944" s="267" t="s">
        <v>5105</v>
      </c>
      <c r="I944" s="267" t="s">
        <v>3025</v>
      </c>
      <c r="J944" s="267" t="s">
        <v>3928</v>
      </c>
      <c r="K944" s="267">
        <v>6473</v>
      </c>
      <c r="L944" s="267">
        <v>167100</v>
      </c>
      <c r="M944" s="267" t="s">
        <v>3943</v>
      </c>
      <c r="N944" s="267" t="s">
        <v>3944</v>
      </c>
      <c r="O944" s="267">
        <v>2296.2800000000002</v>
      </c>
      <c r="P944" s="267" t="s">
        <v>3944</v>
      </c>
      <c r="Q944" s="267" t="s">
        <v>3944</v>
      </c>
      <c r="R944" s="267">
        <v>2296.2800000000002</v>
      </c>
      <c r="S944" s="267">
        <v>33438.550000000003</v>
      </c>
      <c r="T944" s="267">
        <v>35734.83</v>
      </c>
      <c r="U944" s="268" t="s">
        <v>3945</v>
      </c>
      <c r="V944" s="267" t="s">
        <v>944</v>
      </c>
    </row>
    <row r="945" spans="1:22" hidden="1" x14ac:dyDescent="0.25">
      <c r="A945" s="269">
        <v>43516</v>
      </c>
      <c r="B945" s="270">
        <v>2019</v>
      </c>
      <c r="C945" s="270">
        <v>2019</v>
      </c>
      <c r="D945" s="270">
        <v>1</v>
      </c>
      <c r="E945" s="270">
        <v>1</v>
      </c>
      <c r="F945" s="270" t="s">
        <v>944</v>
      </c>
      <c r="G945" s="270" t="s">
        <v>3926</v>
      </c>
      <c r="H945" s="270" t="s">
        <v>5106</v>
      </c>
      <c r="I945" s="270" t="s">
        <v>950</v>
      </c>
      <c r="J945" s="270" t="s">
        <v>3928</v>
      </c>
      <c r="K945" s="270">
        <v>6516</v>
      </c>
      <c r="L945" s="270">
        <v>155000</v>
      </c>
      <c r="M945" s="270" t="s">
        <v>3940</v>
      </c>
      <c r="N945" s="270" t="s">
        <v>3944</v>
      </c>
      <c r="O945" s="270">
        <v>2697</v>
      </c>
      <c r="P945" s="270" t="s">
        <v>3944</v>
      </c>
      <c r="Q945" s="270" t="s">
        <v>3944</v>
      </c>
      <c r="R945" s="270">
        <v>2697</v>
      </c>
      <c r="S945" s="270">
        <v>46203</v>
      </c>
      <c r="T945" s="270">
        <v>48900</v>
      </c>
      <c r="U945" s="271" t="s">
        <v>3945</v>
      </c>
      <c r="V945" s="267" t="s">
        <v>944</v>
      </c>
    </row>
    <row r="946" spans="1:22" hidden="1" x14ac:dyDescent="0.25">
      <c r="A946" s="266">
        <v>43516</v>
      </c>
      <c r="B946" s="267">
        <v>2019</v>
      </c>
      <c r="C946" s="267">
        <v>2019</v>
      </c>
      <c r="D946" s="267">
        <v>1</v>
      </c>
      <c r="E946" s="267">
        <v>1</v>
      </c>
      <c r="F946" s="267" t="s">
        <v>944</v>
      </c>
      <c r="G946" s="267" t="s">
        <v>3926</v>
      </c>
      <c r="H946" s="267" t="s">
        <v>5107</v>
      </c>
      <c r="I946" s="267" t="s">
        <v>943</v>
      </c>
      <c r="J946" s="267" t="s">
        <v>3928</v>
      </c>
      <c r="K946" s="267">
        <v>6515</v>
      </c>
      <c r="L946" s="267">
        <v>141100</v>
      </c>
      <c r="M946" s="267" t="s">
        <v>3960</v>
      </c>
      <c r="N946" s="267" t="s">
        <v>3944</v>
      </c>
      <c r="O946" s="267">
        <v>1828.61</v>
      </c>
      <c r="P946" s="267" t="s">
        <v>3944</v>
      </c>
      <c r="Q946" s="267" t="s">
        <v>3944</v>
      </c>
      <c r="R946" s="267">
        <v>1828.61</v>
      </c>
      <c r="S946" s="267">
        <v>40215.94</v>
      </c>
      <c r="T946" s="267">
        <v>42044.55</v>
      </c>
      <c r="U946" s="268" t="s">
        <v>3945</v>
      </c>
      <c r="V946" s="267" t="s">
        <v>944</v>
      </c>
    </row>
    <row r="947" spans="1:22" hidden="1" x14ac:dyDescent="0.25">
      <c r="A947" s="269">
        <v>43516</v>
      </c>
      <c r="B947" s="270">
        <v>2019</v>
      </c>
      <c r="C947" s="270">
        <v>2019</v>
      </c>
      <c r="D947" s="270">
        <v>1</v>
      </c>
      <c r="E947" s="270">
        <v>1</v>
      </c>
      <c r="F947" s="270" t="s">
        <v>944</v>
      </c>
      <c r="G947" s="270" t="s">
        <v>3926</v>
      </c>
      <c r="H947" s="270" t="s">
        <v>5108</v>
      </c>
      <c r="I947" s="270" t="s">
        <v>4137</v>
      </c>
      <c r="J947" s="270" t="s">
        <v>3928</v>
      </c>
      <c r="K947" s="270">
        <v>6074</v>
      </c>
      <c r="L947" s="270">
        <v>487100</v>
      </c>
      <c r="M947" s="270" t="s">
        <v>3943</v>
      </c>
      <c r="N947" s="270" t="s">
        <v>3944</v>
      </c>
      <c r="O947" s="270">
        <v>1230.5</v>
      </c>
      <c r="P947" s="270" t="s">
        <v>3944</v>
      </c>
      <c r="Q947" s="270" t="s">
        <v>3944</v>
      </c>
      <c r="R947" s="270">
        <v>1230.5</v>
      </c>
      <c r="S947" s="270">
        <v>15253.81</v>
      </c>
      <c r="T947" s="270">
        <v>16484.310000000001</v>
      </c>
      <c r="U947" s="271" t="s">
        <v>3945</v>
      </c>
      <c r="V947" s="267" t="s">
        <v>944</v>
      </c>
    </row>
    <row r="948" spans="1:22" hidden="1" x14ac:dyDescent="0.25">
      <c r="A948" s="266">
        <v>43516</v>
      </c>
      <c r="B948" s="267">
        <v>2019</v>
      </c>
      <c r="C948" s="267">
        <v>2019</v>
      </c>
      <c r="D948" s="267">
        <v>1</v>
      </c>
      <c r="E948" s="267">
        <v>1</v>
      </c>
      <c r="F948" s="267" t="s">
        <v>944</v>
      </c>
      <c r="G948" s="267" t="s">
        <v>3926</v>
      </c>
      <c r="H948" s="267" t="s">
        <v>5109</v>
      </c>
      <c r="I948" s="267" t="s">
        <v>4003</v>
      </c>
      <c r="J948" s="267" t="s">
        <v>3928</v>
      </c>
      <c r="K948" s="267">
        <v>6374</v>
      </c>
      <c r="L948" s="267">
        <v>907300</v>
      </c>
      <c r="M948" s="267" t="s">
        <v>3935</v>
      </c>
      <c r="N948" s="267" t="s">
        <v>3944</v>
      </c>
      <c r="O948" s="267">
        <v>1749.2</v>
      </c>
      <c r="P948" s="267" t="s">
        <v>3944</v>
      </c>
      <c r="Q948" s="267" t="s">
        <v>3944</v>
      </c>
      <c r="R948" s="267">
        <v>1749.2</v>
      </c>
      <c r="S948" s="267">
        <v>12304.6</v>
      </c>
      <c r="T948" s="267">
        <v>14053.8</v>
      </c>
      <c r="U948" s="268" t="s">
        <v>3945</v>
      </c>
      <c r="V948" s="267" t="s">
        <v>944</v>
      </c>
    </row>
    <row r="949" spans="1:22" hidden="1" x14ac:dyDescent="0.25">
      <c r="A949" s="269">
        <v>43516</v>
      </c>
      <c r="B949" s="270">
        <v>2019</v>
      </c>
      <c r="C949" s="270">
        <v>2019</v>
      </c>
      <c r="D949" s="270">
        <v>1</v>
      </c>
      <c r="E949" s="270">
        <v>1</v>
      </c>
      <c r="F949" s="270" t="s">
        <v>944</v>
      </c>
      <c r="G949" s="270" t="s">
        <v>3926</v>
      </c>
      <c r="H949" s="270" t="s">
        <v>5110</v>
      </c>
      <c r="I949" s="270" t="s">
        <v>4037</v>
      </c>
      <c r="J949" s="270" t="s">
        <v>3928</v>
      </c>
      <c r="K949" s="270">
        <v>6811</v>
      </c>
      <c r="L949" s="270">
        <v>211300</v>
      </c>
      <c r="M949" s="270" t="s">
        <v>3943</v>
      </c>
      <c r="N949" s="270" t="s">
        <v>3944</v>
      </c>
      <c r="O949" s="270">
        <v>1913.45</v>
      </c>
      <c r="P949" s="270" t="s">
        <v>3944</v>
      </c>
      <c r="Q949" s="270" t="s">
        <v>3944</v>
      </c>
      <c r="R949" s="270">
        <v>1913.45</v>
      </c>
      <c r="S949" s="270">
        <v>34370.379999999997</v>
      </c>
      <c r="T949" s="270">
        <v>36283.83</v>
      </c>
      <c r="U949" s="271" t="s">
        <v>3945</v>
      </c>
      <c r="V949" s="267" t="s">
        <v>944</v>
      </c>
    </row>
    <row r="950" spans="1:22" hidden="1" x14ac:dyDescent="0.25">
      <c r="A950" s="266">
        <v>43516</v>
      </c>
      <c r="B950" s="267">
        <v>2019</v>
      </c>
      <c r="C950" s="267">
        <v>2019</v>
      </c>
      <c r="D950" s="267">
        <v>1</v>
      </c>
      <c r="E950" s="267">
        <v>1</v>
      </c>
      <c r="F950" s="267" t="s">
        <v>944</v>
      </c>
      <c r="G950" s="267" t="s">
        <v>3926</v>
      </c>
      <c r="H950" s="267" t="s">
        <v>5111</v>
      </c>
      <c r="I950" s="267" t="s">
        <v>3014</v>
      </c>
      <c r="J950" s="267" t="s">
        <v>3928</v>
      </c>
      <c r="K950" s="267">
        <v>6525</v>
      </c>
      <c r="L950" s="267">
        <v>160100</v>
      </c>
      <c r="M950" s="267" t="s">
        <v>3943</v>
      </c>
      <c r="N950" s="267" t="s">
        <v>3944</v>
      </c>
      <c r="O950" s="267">
        <v>698.29</v>
      </c>
      <c r="P950" s="267" t="s">
        <v>3944</v>
      </c>
      <c r="Q950" s="267" t="s">
        <v>3944</v>
      </c>
      <c r="R950" s="267">
        <v>698.29</v>
      </c>
      <c r="S950" s="267">
        <v>10725</v>
      </c>
      <c r="T950" s="267">
        <v>11423.29</v>
      </c>
      <c r="U950" s="268" t="s">
        <v>3945</v>
      </c>
      <c r="V950" s="267" t="s">
        <v>944</v>
      </c>
    </row>
    <row r="951" spans="1:22" hidden="1" x14ac:dyDescent="0.25">
      <c r="A951" s="269">
        <v>43516</v>
      </c>
      <c r="B951" s="270">
        <v>2019</v>
      </c>
      <c r="C951" s="270">
        <v>2019</v>
      </c>
      <c r="D951" s="270">
        <v>1</v>
      </c>
      <c r="E951" s="270">
        <v>1</v>
      </c>
      <c r="F951" s="270" t="s">
        <v>944</v>
      </c>
      <c r="G951" s="270" t="s">
        <v>3926</v>
      </c>
      <c r="H951" s="270" t="s">
        <v>5112</v>
      </c>
      <c r="I951" s="270" t="s">
        <v>4168</v>
      </c>
      <c r="J951" s="270" t="s">
        <v>3928</v>
      </c>
      <c r="K951" s="270">
        <v>6475</v>
      </c>
      <c r="L951" s="270">
        <v>670200</v>
      </c>
      <c r="M951" s="270" t="s">
        <v>3935</v>
      </c>
      <c r="N951" s="270" t="s">
        <v>3944</v>
      </c>
      <c r="O951" s="270">
        <v>1786.93</v>
      </c>
      <c r="P951" s="270" t="s">
        <v>3944</v>
      </c>
      <c r="Q951" s="270" t="s">
        <v>3944</v>
      </c>
      <c r="R951" s="270">
        <v>1786.93</v>
      </c>
      <c r="S951" s="270">
        <v>24861.9</v>
      </c>
      <c r="T951" s="270">
        <v>26648.83</v>
      </c>
      <c r="U951" s="271" t="s">
        <v>3945</v>
      </c>
      <c r="V951" s="267" t="s">
        <v>944</v>
      </c>
    </row>
    <row r="952" spans="1:22" hidden="1" x14ac:dyDescent="0.25">
      <c r="A952" s="266">
        <v>43516</v>
      </c>
      <c r="B952" s="267">
        <v>2019</v>
      </c>
      <c r="C952" s="267">
        <v>2019</v>
      </c>
      <c r="D952" s="267">
        <v>1</v>
      </c>
      <c r="E952" s="267">
        <v>1</v>
      </c>
      <c r="F952" s="267" t="s">
        <v>944</v>
      </c>
      <c r="G952" s="267" t="s">
        <v>3926</v>
      </c>
      <c r="H952" s="267" t="s">
        <v>5113</v>
      </c>
      <c r="I952" s="267" t="s">
        <v>3968</v>
      </c>
      <c r="J952" s="267" t="s">
        <v>3928</v>
      </c>
      <c r="K952" s="267">
        <v>6040</v>
      </c>
      <c r="L952" s="267">
        <v>515200</v>
      </c>
      <c r="M952" s="267" t="s">
        <v>3943</v>
      </c>
      <c r="N952" s="267" t="s">
        <v>3944</v>
      </c>
      <c r="O952" s="267">
        <v>1064.56</v>
      </c>
      <c r="P952" s="267" t="s">
        <v>3944</v>
      </c>
      <c r="Q952" s="267" t="s">
        <v>3944</v>
      </c>
      <c r="R952" s="267">
        <v>1064.56</v>
      </c>
      <c r="S952" s="267">
        <v>14727.38</v>
      </c>
      <c r="T952" s="267">
        <v>15791.94</v>
      </c>
      <c r="U952" s="268" t="s">
        <v>3945</v>
      </c>
      <c r="V952" s="267" t="s">
        <v>944</v>
      </c>
    </row>
    <row r="953" spans="1:22" hidden="1" x14ac:dyDescent="0.25">
      <c r="A953" s="269">
        <v>43516</v>
      </c>
      <c r="B953" s="270">
        <v>2019</v>
      </c>
      <c r="C953" s="270">
        <v>2019</v>
      </c>
      <c r="D953" s="270">
        <v>1</v>
      </c>
      <c r="E953" s="270">
        <v>1</v>
      </c>
      <c r="F953" s="270" t="s">
        <v>944</v>
      </c>
      <c r="G953" s="270" t="s">
        <v>3926</v>
      </c>
      <c r="H953" s="270" t="s">
        <v>5114</v>
      </c>
      <c r="I953" s="270" t="s">
        <v>4073</v>
      </c>
      <c r="J953" s="270" t="s">
        <v>3928</v>
      </c>
      <c r="K953" s="270">
        <v>6776</v>
      </c>
      <c r="L953" s="270">
        <v>253200</v>
      </c>
      <c r="M953" s="270" t="s">
        <v>3960</v>
      </c>
      <c r="N953" s="270" t="s">
        <v>3944</v>
      </c>
      <c r="O953" s="270">
        <v>2534.1799999999998</v>
      </c>
      <c r="P953" s="270" t="s">
        <v>3944</v>
      </c>
      <c r="Q953" s="270" t="s">
        <v>3944</v>
      </c>
      <c r="R953" s="270">
        <v>2534.1799999999998</v>
      </c>
      <c r="S953" s="270">
        <v>20160.82</v>
      </c>
      <c r="T953" s="270">
        <v>22695</v>
      </c>
      <c r="U953" s="271" t="s">
        <v>3945</v>
      </c>
      <c r="V953" s="267" t="s">
        <v>944</v>
      </c>
    </row>
    <row r="954" spans="1:22" hidden="1" x14ac:dyDescent="0.25">
      <c r="A954" s="266">
        <v>43517</v>
      </c>
      <c r="B954" s="267">
        <v>2019</v>
      </c>
      <c r="C954" s="267">
        <v>2019</v>
      </c>
      <c r="D954" s="267">
        <v>1</v>
      </c>
      <c r="E954" s="267">
        <v>1</v>
      </c>
      <c r="F954" s="267" t="s">
        <v>944</v>
      </c>
      <c r="G954" s="267" t="s">
        <v>3926</v>
      </c>
      <c r="H954" s="267" t="s">
        <v>5115</v>
      </c>
      <c r="I954" s="267" t="s">
        <v>4087</v>
      </c>
      <c r="J954" s="267" t="s">
        <v>3928</v>
      </c>
      <c r="K954" s="267">
        <v>6340</v>
      </c>
      <c r="L954" s="267">
        <v>702100</v>
      </c>
      <c r="M954" s="267" t="s">
        <v>3960</v>
      </c>
      <c r="N954" s="267" t="s">
        <v>5116</v>
      </c>
      <c r="O954" s="267">
        <v>0</v>
      </c>
      <c r="P954" s="267" t="s">
        <v>3930</v>
      </c>
      <c r="Q954" s="267" t="s">
        <v>3930</v>
      </c>
      <c r="R954" s="267">
        <v>0</v>
      </c>
      <c r="S954" s="267">
        <v>8790.98</v>
      </c>
      <c r="T954" s="267">
        <v>8790.98</v>
      </c>
      <c r="U954" s="268" t="s">
        <v>3937</v>
      </c>
      <c r="V954" s="267" t="s">
        <v>944</v>
      </c>
    </row>
    <row r="955" spans="1:22" hidden="1" x14ac:dyDescent="0.25">
      <c r="A955" s="269">
        <v>43517</v>
      </c>
      <c r="B955" s="270">
        <v>2019</v>
      </c>
      <c r="C955" s="270">
        <v>2019</v>
      </c>
      <c r="D955" s="270">
        <v>1</v>
      </c>
      <c r="E955" s="270">
        <v>1</v>
      </c>
      <c r="F955" s="270" t="s">
        <v>944</v>
      </c>
      <c r="G955" s="270" t="s">
        <v>3926</v>
      </c>
      <c r="H955" s="270" t="s">
        <v>5117</v>
      </c>
      <c r="I955" s="270" t="s">
        <v>4621</v>
      </c>
      <c r="J955" s="270" t="s">
        <v>3928</v>
      </c>
      <c r="K955" s="270">
        <v>6443</v>
      </c>
      <c r="L955" s="270">
        <v>194202</v>
      </c>
      <c r="M955" s="270" t="s">
        <v>3943</v>
      </c>
      <c r="N955" s="270" t="s">
        <v>3944</v>
      </c>
      <c r="O955" s="270">
        <v>5760</v>
      </c>
      <c r="P955" s="270" t="s">
        <v>3944</v>
      </c>
      <c r="Q955" s="270" t="s">
        <v>3944</v>
      </c>
      <c r="R955" s="270">
        <v>5760</v>
      </c>
      <c r="S955" s="270">
        <v>38490</v>
      </c>
      <c r="T955" s="270">
        <v>44250</v>
      </c>
      <c r="U955" s="271" t="s">
        <v>3945</v>
      </c>
      <c r="V955" s="267" t="s">
        <v>944</v>
      </c>
    </row>
    <row r="956" spans="1:22" hidden="1" x14ac:dyDescent="0.25">
      <c r="A956" s="266">
        <v>43517</v>
      </c>
      <c r="B956" s="267">
        <v>2019</v>
      </c>
      <c r="C956" s="267">
        <v>2019</v>
      </c>
      <c r="D956" s="267">
        <v>1</v>
      </c>
      <c r="E956" s="267">
        <v>1</v>
      </c>
      <c r="F956" s="267" t="s">
        <v>944</v>
      </c>
      <c r="G956" s="267" t="s">
        <v>3926</v>
      </c>
      <c r="H956" s="267" t="s">
        <v>5118</v>
      </c>
      <c r="I956" s="267" t="s">
        <v>2987</v>
      </c>
      <c r="J956" s="267" t="s">
        <v>3928</v>
      </c>
      <c r="K956" s="267">
        <v>6611</v>
      </c>
      <c r="L956" s="267">
        <v>90700</v>
      </c>
      <c r="M956" s="267" t="s">
        <v>3943</v>
      </c>
      <c r="N956" s="267" t="s">
        <v>3944</v>
      </c>
      <c r="O956" s="267">
        <v>4062</v>
      </c>
      <c r="P956" s="267" t="s">
        <v>3944</v>
      </c>
      <c r="Q956" s="267" t="s">
        <v>3944</v>
      </c>
      <c r="R956" s="267">
        <v>4062</v>
      </c>
      <c r="S956" s="267">
        <v>30196</v>
      </c>
      <c r="T956" s="267">
        <v>34258</v>
      </c>
      <c r="U956" s="268" t="s">
        <v>3945</v>
      </c>
      <c r="V956" s="267" t="s">
        <v>944</v>
      </c>
    </row>
    <row r="957" spans="1:22" hidden="1" x14ac:dyDescent="0.25">
      <c r="A957" s="269">
        <v>43517</v>
      </c>
      <c r="B957" s="270">
        <v>2019</v>
      </c>
      <c r="C957" s="270">
        <v>2019</v>
      </c>
      <c r="D957" s="270">
        <v>1</v>
      </c>
      <c r="E957" s="270">
        <v>1</v>
      </c>
      <c r="F957" s="270" t="s">
        <v>944</v>
      </c>
      <c r="G957" s="270" t="s">
        <v>3926</v>
      </c>
      <c r="H957" s="270" t="s">
        <v>5119</v>
      </c>
      <c r="I957" s="270" t="s">
        <v>4016</v>
      </c>
      <c r="J957" s="270" t="s">
        <v>3928</v>
      </c>
      <c r="K957" s="270">
        <v>6770</v>
      </c>
      <c r="L957" s="270">
        <v>345300</v>
      </c>
      <c r="M957" s="270" t="s">
        <v>3940</v>
      </c>
      <c r="N957" s="270" t="s">
        <v>3944</v>
      </c>
      <c r="O957" s="270">
        <v>6198</v>
      </c>
      <c r="P957" s="270" t="s">
        <v>3944</v>
      </c>
      <c r="Q957" s="270" t="s">
        <v>3944</v>
      </c>
      <c r="R957" s="270">
        <v>6198</v>
      </c>
      <c r="S957" s="270">
        <v>61584</v>
      </c>
      <c r="T957" s="270">
        <v>67782</v>
      </c>
      <c r="U957" s="271" t="s">
        <v>3945</v>
      </c>
      <c r="V957" s="267" t="s">
        <v>944</v>
      </c>
    </row>
    <row r="958" spans="1:22" hidden="1" x14ac:dyDescent="0.25">
      <c r="A958" s="266">
        <v>43517</v>
      </c>
      <c r="B958" s="267">
        <v>2019</v>
      </c>
      <c r="C958" s="267">
        <v>2019</v>
      </c>
      <c r="D958" s="267">
        <v>1</v>
      </c>
      <c r="E958" s="267">
        <v>1</v>
      </c>
      <c r="F958" s="267" t="s">
        <v>944</v>
      </c>
      <c r="G958" s="267" t="s">
        <v>3926</v>
      </c>
      <c r="H958" s="267" t="s">
        <v>5120</v>
      </c>
      <c r="I958" s="267" t="s">
        <v>3012</v>
      </c>
      <c r="J958" s="267" t="s">
        <v>3928</v>
      </c>
      <c r="K958" s="267">
        <v>6477</v>
      </c>
      <c r="L958" s="267">
        <v>157100</v>
      </c>
      <c r="M958" s="267" t="s">
        <v>3940</v>
      </c>
      <c r="N958" s="267" t="s">
        <v>3944</v>
      </c>
      <c r="O958" s="267">
        <v>5107</v>
      </c>
      <c r="P958" s="267" t="s">
        <v>3944</v>
      </c>
      <c r="Q958" s="267" t="s">
        <v>3944</v>
      </c>
      <c r="R958" s="267">
        <v>5107</v>
      </c>
      <c r="S958" s="267">
        <v>30507</v>
      </c>
      <c r="T958" s="267">
        <v>35614</v>
      </c>
      <c r="U958" s="268" t="s">
        <v>3945</v>
      </c>
      <c r="V958" s="267" t="s">
        <v>944</v>
      </c>
    </row>
    <row r="959" spans="1:22" hidden="1" x14ac:dyDescent="0.25">
      <c r="A959" s="269">
        <v>43517</v>
      </c>
      <c r="B959" s="270">
        <v>2019</v>
      </c>
      <c r="C959" s="270">
        <v>2019</v>
      </c>
      <c r="D959" s="270">
        <v>1</v>
      </c>
      <c r="E959" s="270">
        <v>1</v>
      </c>
      <c r="F959" s="270" t="s">
        <v>944</v>
      </c>
      <c r="G959" s="270" t="s">
        <v>3926</v>
      </c>
      <c r="H959" s="270" t="s">
        <v>5121</v>
      </c>
      <c r="I959" s="270" t="s">
        <v>5122</v>
      </c>
      <c r="J959" s="270" t="s">
        <v>3928</v>
      </c>
      <c r="K959" s="270">
        <v>6019</v>
      </c>
      <c r="L959" s="270">
        <v>464102</v>
      </c>
      <c r="M959" s="270" t="s">
        <v>3935</v>
      </c>
      <c r="N959" s="270" t="s">
        <v>3944</v>
      </c>
      <c r="O959" s="270">
        <v>2819</v>
      </c>
      <c r="P959" s="270" t="s">
        <v>3944</v>
      </c>
      <c r="Q959" s="270" t="s">
        <v>3944</v>
      </c>
      <c r="R959" s="270">
        <v>2819</v>
      </c>
      <c r="S959" s="270">
        <v>21251</v>
      </c>
      <c r="T959" s="270">
        <v>24070</v>
      </c>
      <c r="U959" s="271" t="s">
        <v>3945</v>
      </c>
      <c r="V959" s="267" t="s">
        <v>944</v>
      </c>
    </row>
    <row r="960" spans="1:22" hidden="1" x14ac:dyDescent="0.25">
      <c r="A960" s="266">
        <v>43517</v>
      </c>
      <c r="B960" s="267">
        <v>2019</v>
      </c>
      <c r="C960" s="267">
        <v>2019</v>
      </c>
      <c r="D960" s="267">
        <v>1</v>
      </c>
      <c r="E960" s="267">
        <v>1</v>
      </c>
      <c r="F960" s="267" t="s">
        <v>944</v>
      </c>
      <c r="G960" s="267" t="s">
        <v>3926</v>
      </c>
      <c r="H960" s="267" t="s">
        <v>5123</v>
      </c>
      <c r="I960" s="267" t="s">
        <v>953</v>
      </c>
      <c r="J960" s="267" t="s">
        <v>3928</v>
      </c>
      <c r="K960" s="267">
        <v>6518</v>
      </c>
      <c r="L960" s="267">
        <v>166001</v>
      </c>
      <c r="M960" s="267" t="s">
        <v>3935</v>
      </c>
      <c r="N960" s="267" t="s">
        <v>3944</v>
      </c>
      <c r="O960" s="267">
        <v>2407</v>
      </c>
      <c r="P960" s="267" t="s">
        <v>3944</v>
      </c>
      <c r="Q960" s="267" t="s">
        <v>3944</v>
      </c>
      <c r="R960" s="267">
        <v>2407</v>
      </c>
      <c r="S960" s="267">
        <v>23915.81</v>
      </c>
      <c r="T960" s="267">
        <v>26322.81</v>
      </c>
      <c r="U960" s="268" t="s">
        <v>3945</v>
      </c>
      <c r="V960" s="267" t="s">
        <v>944</v>
      </c>
    </row>
    <row r="961" spans="1:22" hidden="1" x14ac:dyDescent="0.25">
      <c r="A961" s="269">
        <v>43517</v>
      </c>
      <c r="B961" s="270">
        <v>2019</v>
      </c>
      <c r="C961" s="270">
        <v>2019</v>
      </c>
      <c r="D961" s="270">
        <v>1</v>
      </c>
      <c r="E961" s="270">
        <v>1</v>
      </c>
      <c r="F961" s="270" t="s">
        <v>944</v>
      </c>
      <c r="G961" s="270" t="s">
        <v>3926</v>
      </c>
      <c r="H961" s="270" t="s">
        <v>5124</v>
      </c>
      <c r="I961" s="270" t="s">
        <v>3949</v>
      </c>
      <c r="J961" s="270" t="s">
        <v>3928</v>
      </c>
      <c r="K961" s="270">
        <v>6437</v>
      </c>
      <c r="L961" s="270">
        <v>190200</v>
      </c>
      <c r="M961" s="270" t="s">
        <v>3943</v>
      </c>
      <c r="N961" s="270" t="s">
        <v>3944</v>
      </c>
      <c r="O961" s="270">
        <v>3476</v>
      </c>
      <c r="P961" s="270" t="s">
        <v>3944</v>
      </c>
      <c r="Q961" s="270" t="s">
        <v>3944</v>
      </c>
      <c r="R961" s="270">
        <v>3476</v>
      </c>
      <c r="S961" s="270">
        <v>29725</v>
      </c>
      <c r="T961" s="270">
        <v>33201</v>
      </c>
      <c r="U961" s="271" t="s">
        <v>3945</v>
      </c>
      <c r="V961" s="267" t="s">
        <v>944</v>
      </c>
    </row>
    <row r="962" spans="1:22" hidden="1" x14ac:dyDescent="0.25">
      <c r="A962" s="266">
        <v>43517</v>
      </c>
      <c r="B962" s="267">
        <v>2019</v>
      </c>
      <c r="C962" s="267">
        <v>2019</v>
      </c>
      <c r="D962" s="267">
        <v>1</v>
      </c>
      <c r="E962" s="267">
        <v>1</v>
      </c>
      <c r="F962" s="267" t="s">
        <v>944</v>
      </c>
      <c r="G962" s="267" t="s">
        <v>3926</v>
      </c>
      <c r="H962" s="267" t="s">
        <v>5125</v>
      </c>
      <c r="I962" s="267" t="s">
        <v>2985</v>
      </c>
      <c r="J962" s="267" t="s">
        <v>3928</v>
      </c>
      <c r="K962" s="267">
        <v>6824</v>
      </c>
      <c r="L962" s="267">
        <v>60400</v>
      </c>
      <c r="M962" s="267" t="s">
        <v>3943</v>
      </c>
      <c r="N962" s="267" t="s">
        <v>3944</v>
      </c>
      <c r="O962" s="267">
        <v>3357</v>
      </c>
      <c r="P962" s="267" t="s">
        <v>3944</v>
      </c>
      <c r="Q962" s="267" t="s">
        <v>3944</v>
      </c>
      <c r="R962" s="267">
        <v>3357</v>
      </c>
      <c r="S962" s="267">
        <v>23778</v>
      </c>
      <c r="T962" s="267">
        <v>27135</v>
      </c>
      <c r="U962" s="268" t="s">
        <v>3945</v>
      </c>
      <c r="V962" s="267" t="s">
        <v>944</v>
      </c>
    </row>
    <row r="963" spans="1:22" hidden="1" x14ac:dyDescent="0.25">
      <c r="A963" s="269">
        <v>43517</v>
      </c>
      <c r="B963" s="270">
        <v>2019</v>
      </c>
      <c r="C963" s="270">
        <v>2019</v>
      </c>
      <c r="D963" s="270">
        <v>1</v>
      </c>
      <c r="E963" s="270">
        <v>1</v>
      </c>
      <c r="F963" s="270" t="s">
        <v>944</v>
      </c>
      <c r="G963" s="270" t="s">
        <v>3926</v>
      </c>
      <c r="H963" s="270" t="s">
        <v>5126</v>
      </c>
      <c r="I963" s="270" t="s">
        <v>5127</v>
      </c>
      <c r="J963" s="270" t="s">
        <v>3928</v>
      </c>
      <c r="K963" s="270">
        <v>6759</v>
      </c>
      <c r="L963" s="270">
        <v>300100</v>
      </c>
      <c r="M963" s="270" t="s">
        <v>3960</v>
      </c>
      <c r="N963" s="270" t="s">
        <v>3944</v>
      </c>
      <c r="O963" s="270">
        <v>5579</v>
      </c>
      <c r="P963" s="270" t="s">
        <v>3944</v>
      </c>
      <c r="Q963" s="270" t="s">
        <v>3944</v>
      </c>
      <c r="R963" s="270">
        <v>5579</v>
      </c>
      <c r="S963" s="270">
        <v>42457</v>
      </c>
      <c r="T963" s="270">
        <v>48036</v>
      </c>
      <c r="U963" s="271" t="s">
        <v>3945</v>
      </c>
      <c r="V963" s="267" t="s">
        <v>944</v>
      </c>
    </row>
    <row r="964" spans="1:22" hidden="1" x14ac:dyDescent="0.25">
      <c r="A964" s="266">
        <v>43518</v>
      </c>
      <c r="B964" s="267">
        <v>2019</v>
      </c>
      <c r="C964" s="267">
        <v>2019</v>
      </c>
      <c r="D964" s="267">
        <v>1</v>
      </c>
      <c r="E964" s="267">
        <v>1</v>
      </c>
      <c r="F964" s="267" t="s">
        <v>944</v>
      </c>
      <c r="G964" s="267" t="s">
        <v>3926</v>
      </c>
      <c r="H964" s="267" t="s">
        <v>5128</v>
      </c>
      <c r="I964" s="267" t="s">
        <v>4037</v>
      </c>
      <c r="J964" s="267" t="s">
        <v>3928</v>
      </c>
      <c r="K964" s="267">
        <v>6811</v>
      </c>
      <c r="L964" s="267">
        <v>210800</v>
      </c>
      <c r="M964" s="267" t="s">
        <v>3960</v>
      </c>
      <c r="N964" s="267" t="s">
        <v>4413</v>
      </c>
      <c r="O964" s="267">
        <v>0</v>
      </c>
      <c r="P964" s="267" t="s">
        <v>3930</v>
      </c>
      <c r="Q964" s="267" t="s">
        <v>3930</v>
      </c>
      <c r="R964" s="267">
        <v>0</v>
      </c>
      <c r="S964" s="267">
        <v>7300</v>
      </c>
      <c r="T964" s="267">
        <v>7300</v>
      </c>
      <c r="U964" s="268" t="s">
        <v>3937</v>
      </c>
      <c r="V964" s="267" t="s">
        <v>944</v>
      </c>
    </row>
    <row r="965" spans="1:22" hidden="1" x14ac:dyDescent="0.25">
      <c r="A965" s="269">
        <v>43518</v>
      </c>
      <c r="B965" s="270">
        <v>2019</v>
      </c>
      <c r="C965" s="270">
        <v>2019</v>
      </c>
      <c r="D965" s="270">
        <v>1</v>
      </c>
      <c r="E965" s="270">
        <v>1</v>
      </c>
      <c r="F965" s="270" t="s">
        <v>944</v>
      </c>
      <c r="G965" s="270" t="s">
        <v>3926</v>
      </c>
      <c r="H965" s="270" t="s">
        <v>5129</v>
      </c>
      <c r="I965" s="270" t="s">
        <v>934</v>
      </c>
      <c r="J965" s="270" t="s">
        <v>3928</v>
      </c>
      <c r="K965" s="270">
        <v>6606</v>
      </c>
      <c r="L965" s="270">
        <v>72800</v>
      </c>
      <c r="M965" s="270" t="s">
        <v>3940</v>
      </c>
      <c r="N965" s="270" t="s">
        <v>4103</v>
      </c>
      <c r="O965" s="270">
        <v>1481.62</v>
      </c>
      <c r="P965" s="270" t="s">
        <v>3930</v>
      </c>
      <c r="Q965" s="270" t="s">
        <v>3931</v>
      </c>
      <c r="R965" s="270">
        <v>6481.62</v>
      </c>
      <c r="S965" s="270">
        <v>24145.599999999999</v>
      </c>
      <c r="T965" s="270">
        <v>30627.22</v>
      </c>
      <c r="U965" s="271" t="s">
        <v>3932</v>
      </c>
      <c r="V965" s="267" t="s">
        <v>944</v>
      </c>
    </row>
    <row r="966" spans="1:22" hidden="1" x14ac:dyDescent="0.25">
      <c r="A966" s="266">
        <v>43518</v>
      </c>
      <c r="B966" s="267">
        <v>2019</v>
      </c>
      <c r="C966" s="267">
        <v>2019</v>
      </c>
      <c r="D966" s="267">
        <v>1</v>
      </c>
      <c r="E966" s="267">
        <v>1</v>
      </c>
      <c r="F966" s="267" t="s">
        <v>944</v>
      </c>
      <c r="G966" s="267" t="s">
        <v>3926</v>
      </c>
      <c r="H966" s="267" t="s">
        <v>5130</v>
      </c>
      <c r="I966" s="267" t="s">
        <v>3956</v>
      </c>
      <c r="J966" s="267" t="s">
        <v>3928</v>
      </c>
      <c r="K966" s="267">
        <v>6105</v>
      </c>
      <c r="L966" s="267">
        <v>524501</v>
      </c>
      <c r="M966" s="267">
        <v>-60</v>
      </c>
      <c r="N966" s="267" t="s">
        <v>3944</v>
      </c>
      <c r="O966" s="267">
        <v>3294</v>
      </c>
      <c r="P966" s="267" t="s">
        <v>3944</v>
      </c>
      <c r="Q966" s="267" t="s">
        <v>3944</v>
      </c>
      <c r="R966" s="267">
        <v>3294</v>
      </c>
      <c r="S966" s="267">
        <v>26187</v>
      </c>
      <c r="T966" s="267">
        <v>29481</v>
      </c>
      <c r="U966" s="268" t="s">
        <v>3945</v>
      </c>
      <c r="V966" s="267" t="s">
        <v>944</v>
      </c>
    </row>
    <row r="967" spans="1:22" hidden="1" x14ac:dyDescent="0.25">
      <c r="A967" s="269">
        <v>43518</v>
      </c>
      <c r="B967" s="270">
        <v>2019</v>
      </c>
      <c r="C967" s="270">
        <v>2019</v>
      </c>
      <c r="D967" s="270">
        <v>1</v>
      </c>
      <c r="E967" s="270">
        <v>1</v>
      </c>
      <c r="F967" s="270" t="s">
        <v>944</v>
      </c>
      <c r="G967" s="270" t="s">
        <v>3926</v>
      </c>
      <c r="H967" s="270" t="s">
        <v>5131</v>
      </c>
      <c r="I967" s="270" t="s">
        <v>2981</v>
      </c>
      <c r="J967" s="270" t="s">
        <v>3928</v>
      </c>
      <c r="K967" s="270">
        <v>6612</v>
      </c>
      <c r="L967" s="270">
        <v>105200</v>
      </c>
      <c r="M967" s="270" t="s">
        <v>3943</v>
      </c>
      <c r="N967" s="270" t="s">
        <v>3944</v>
      </c>
      <c r="O967" s="270">
        <v>3642</v>
      </c>
      <c r="P967" s="270" t="s">
        <v>3944</v>
      </c>
      <c r="Q967" s="270" t="s">
        <v>3944</v>
      </c>
      <c r="R967" s="270">
        <v>3642</v>
      </c>
      <c r="S967" s="270">
        <v>60618</v>
      </c>
      <c r="T967" s="270">
        <v>64260</v>
      </c>
      <c r="U967" s="271" t="s">
        <v>3945</v>
      </c>
      <c r="V967" s="267" t="s">
        <v>944</v>
      </c>
    </row>
    <row r="968" spans="1:22" hidden="1" x14ac:dyDescent="0.25">
      <c r="A968" s="266">
        <v>43518</v>
      </c>
      <c r="B968" s="267">
        <v>2019</v>
      </c>
      <c r="C968" s="267">
        <v>2019</v>
      </c>
      <c r="D968" s="267">
        <v>1</v>
      </c>
      <c r="E968" s="267">
        <v>1</v>
      </c>
      <c r="F968" s="267" t="s">
        <v>944</v>
      </c>
      <c r="G968" s="267" t="s">
        <v>3926</v>
      </c>
      <c r="H968" s="267" t="s">
        <v>5132</v>
      </c>
      <c r="I968" s="267" t="s">
        <v>2985</v>
      </c>
      <c r="J968" s="267" t="s">
        <v>3928</v>
      </c>
      <c r="K968" s="267">
        <v>6825</v>
      </c>
      <c r="L968" s="267">
        <v>61100</v>
      </c>
      <c r="M968" s="267" t="s">
        <v>3943</v>
      </c>
      <c r="N968" s="267" t="s">
        <v>3944</v>
      </c>
      <c r="O968" s="267">
        <v>1603.6</v>
      </c>
      <c r="P968" s="267" t="s">
        <v>3944</v>
      </c>
      <c r="Q968" s="267" t="s">
        <v>3944</v>
      </c>
      <c r="R968" s="267">
        <v>1603.6</v>
      </c>
      <c r="S968" s="267">
        <v>15518.4</v>
      </c>
      <c r="T968" s="267">
        <v>17122</v>
      </c>
      <c r="U968" s="268" t="s">
        <v>3945</v>
      </c>
      <c r="V968" s="267" t="s">
        <v>944</v>
      </c>
    </row>
    <row r="969" spans="1:22" hidden="1" x14ac:dyDescent="0.25">
      <c r="A969" s="269">
        <v>43518</v>
      </c>
      <c r="B969" s="270">
        <v>2019</v>
      </c>
      <c r="C969" s="270">
        <v>2019</v>
      </c>
      <c r="D969" s="270">
        <v>1</v>
      </c>
      <c r="E969" s="270">
        <v>1</v>
      </c>
      <c r="F969" s="270" t="s">
        <v>944</v>
      </c>
      <c r="G969" s="270" t="s">
        <v>3926</v>
      </c>
      <c r="H969" s="270" t="s">
        <v>5133</v>
      </c>
      <c r="I969" s="270" t="s">
        <v>4200</v>
      </c>
      <c r="J969" s="270" t="s">
        <v>3928</v>
      </c>
      <c r="K969" s="270">
        <v>6795</v>
      </c>
      <c r="L969" s="270">
        <v>360100</v>
      </c>
      <c r="M969" s="270" t="s">
        <v>3935</v>
      </c>
      <c r="N969" s="270" t="s">
        <v>3944</v>
      </c>
      <c r="O969" s="270">
        <v>2615.9</v>
      </c>
      <c r="P969" s="270" t="s">
        <v>3944</v>
      </c>
      <c r="Q969" s="270" t="s">
        <v>3944</v>
      </c>
      <c r="R969" s="270">
        <v>2615.9</v>
      </c>
      <c r="S969" s="270">
        <v>28191.1</v>
      </c>
      <c r="T969" s="270">
        <v>30807</v>
      </c>
      <c r="U969" s="271" t="s">
        <v>3945</v>
      </c>
      <c r="V969" s="267" t="s">
        <v>944</v>
      </c>
    </row>
    <row r="970" spans="1:22" hidden="1" x14ac:dyDescent="0.25">
      <c r="A970" s="266">
        <v>43518</v>
      </c>
      <c r="B970" s="267">
        <v>2019</v>
      </c>
      <c r="C970" s="267">
        <v>2019</v>
      </c>
      <c r="D970" s="267">
        <v>1</v>
      </c>
      <c r="E970" s="267">
        <v>1</v>
      </c>
      <c r="F970" s="267" t="s">
        <v>944</v>
      </c>
      <c r="G970" s="267" t="s">
        <v>3926</v>
      </c>
      <c r="H970" s="267" t="s">
        <v>5134</v>
      </c>
      <c r="I970" s="267" t="s">
        <v>3939</v>
      </c>
      <c r="J970" s="267" t="s">
        <v>3928</v>
      </c>
      <c r="K970" s="267">
        <v>6512</v>
      </c>
      <c r="L970" s="267">
        <v>180601</v>
      </c>
      <c r="M970" s="267" t="s">
        <v>3940</v>
      </c>
      <c r="N970" s="267" t="s">
        <v>3944</v>
      </c>
      <c r="O970" s="267">
        <v>1561.91</v>
      </c>
      <c r="P970" s="267" t="s">
        <v>3944</v>
      </c>
      <c r="Q970" s="267" t="s">
        <v>3944</v>
      </c>
      <c r="R970" s="267">
        <v>1561.91</v>
      </c>
      <c r="S970" s="267">
        <v>22056.79</v>
      </c>
      <c r="T970" s="267">
        <v>23618.7</v>
      </c>
      <c r="U970" s="268" t="s">
        <v>3945</v>
      </c>
      <c r="V970" s="267" t="s">
        <v>944</v>
      </c>
    </row>
    <row r="971" spans="1:22" hidden="1" x14ac:dyDescent="0.25">
      <c r="A971" s="269">
        <v>43518</v>
      </c>
      <c r="B971" s="270">
        <v>2019</v>
      </c>
      <c r="C971" s="270">
        <v>2019</v>
      </c>
      <c r="D971" s="270">
        <v>1</v>
      </c>
      <c r="E971" s="270">
        <v>1</v>
      </c>
      <c r="F971" s="270" t="s">
        <v>944</v>
      </c>
      <c r="G971" s="270" t="s">
        <v>3926</v>
      </c>
      <c r="H971" s="270" t="s">
        <v>5135</v>
      </c>
      <c r="I971" s="270" t="s">
        <v>3966</v>
      </c>
      <c r="J971" s="270" t="s">
        <v>3928</v>
      </c>
      <c r="K971" s="270">
        <v>6010</v>
      </c>
      <c r="L971" s="270">
        <v>405900</v>
      </c>
      <c r="M971" s="270" t="s">
        <v>3960</v>
      </c>
      <c r="N971" s="270" t="s">
        <v>3944</v>
      </c>
      <c r="O971" s="270">
        <v>1760.99</v>
      </c>
      <c r="P971" s="270" t="s">
        <v>3944</v>
      </c>
      <c r="Q971" s="270" t="s">
        <v>3944</v>
      </c>
      <c r="R971" s="270">
        <v>1760.99</v>
      </c>
      <c r="S971" s="270">
        <v>13171.01</v>
      </c>
      <c r="T971" s="270">
        <v>14932</v>
      </c>
      <c r="U971" s="271" t="s">
        <v>3945</v>
      </c>
      <c r="V971" s="267" t="s">
        <v>944</v>
      </c>
    </row>
    <row r="972" spans="1:22" hidden="1" x14ac:dyDescent="0.25">
      <c r="A972" s="266">
        <v>43518</v>
      </c>
      <c r="B972" s="267">
        <v>2019</v>
      </c>
      <c r="C972" s="267">
        <v>2019</v>
      </c>
      <c r="D972" s="267">
        <v>1</v>
      </c>
      <c r="E972" s="267">
        <v>1</v>
      </c>
      <c r="F972" s="267" t="s">
        <v>944</v>
      </c>
      <c r="G972" s="267" t="s">
        <v>3926</v>
      </c>
      <c r="H972" s="267" t="s">
        <v>5136</v>
      </c>
      <c r="I972" s="267" t="s">
        <v>3999</v>
      </c>
      <c r="J972" s="267" t="s">
        <v>3928</v>
      </c>
      <c r="K972" s="267">
        <v>6450</v>
      </c>
      <c r="L972" s="267">
        <v>171200</v>
      </c>
      <c r="M972" s="267" t="s">
        <v>3960</v>
      </c>
      <c r="N972" s="267" t="s">
        <v>3944</v>
      </c>
      <c r="O972" s="267">
        <v>1961.75</v>
      </c>
      <c r="P972" s="267" t="s">
        <v>3944</v>
      </c>
      <c r="Q972" s="267" t="s">
        <v>3944</v>
      </c>
      <c r="R972" s="267">
        <v>1961.75</v>
      </c>
      <c r="S972" s="267">
        <v>31925.95</v>
      </c>
      <c r="T972" s="267">
        <v>33887.699999999997</v>
      </c>
      <c r="U972" s="268" t="s">
        <v>3945</v>
      </c>
      <c r="V972" s="267" t="s">
        <v>944</v>
      </c>
    </row>
    <row r="973" spans="1:22" hidden="1" x14ac:dyDescent="0.25">
      <c r="A973" s="269">
        <v>43519</v>
      </c>
      <c r="B973" s="270">
        <v>2019</v>
      </c>
      <c r="C973" s="270">
        <v>2019</v>
      </c>
      <c r="D973" s="270">
        <v>1</v>
      </c>
      <c r="E973" s="270">
        <v>1</v>
      </c>
      <c r="F973" s="270" t="s">
        <v>944</v>
      </c>
      <c r="G973" s="270" t="s">
        <v>3926</v>
      </c>
      <c r="H973" s="270" t="s">
        <v>5137</v>
      </c>
      <c r="I973" s="270" t="s">
        <v>953</v>
      </c>
      <c r="J973" s="270" t="s">
        <v>3928</v>
      </c>
      <c r="K973" s="270">
        <v>6514</v>
      </c>
      <c r="L973" s="270">
        <v>165700</v>
      </c>
      <c r="M973" s="270" t="s">
        <v>3935</v>
      </c>
      <c r="N973" s="270" t="s">
        <v>3986</v>
      </c>
      <c r="O973" s="270">
        <v>1293.1099999999999</v>
      </c>
      <c r="P973" s="270" t="s">
        <v>3930</v>
      </c>
      <c r="Q973" s="270" t="s">
        <v>3931</v>
      </c>
      <c r="R973" s="270">
        <v>6293.11</v>
      </c>
      <c r="S973" s="270">
        <v>16196.8</v>
      </c>
      <c r="T973" s="270">
        <v>22489.91</v>
      </c>
      <c r="U973" s="271" t="s">
        <v>3932</v>
      </c>
      <c r="V973" s="267" t="s">
        <v>944</v>
      </c>
    </row>
    <row r="974" spans="1:22" hidden="1" x14ac:dyDescent="0.25">
      <c r="A974" s="266">
        <v>43519</v>
      </c>
      <c r="B974" s="267">
        <v>2019</v>
      </c>
      <c r="C974" s="267">
        <v>2019</v>
      </c>
      <c r="D974" s="267">
        <v>1</v>
      </c>
      <c r="E974" s="267">
        <v>1</v>
      </c>
      <c r="F974" s="267" t="s">
        <v>944</v>
      </c>
      <c r="G974" s="267" t="s">
        <v>3926</v>
      </c>
      <c r="H974" s="267" t="s">
        <v>5138</v>
      </c>
      <c r="I974" s="267" t="s">
        <v>3996</v>
      </c>
      <c r="J974" s="267" t="s">
        <v>3928</v>
      </c>
      <c r="K974" s="267">
        <v>6790</v>
      </c>
      <c r="L974" s="267">
        <v>310804</v>
      </c>
      <c r="M974" s="267" t="s">
        <v>3935</v>
      </c>
      <c r="N974" s="267" t="s">
        <v>3986</v>
      </c>
      <c r="O974" s="267">
        <v>2815.29</v>
      </c>
      <c r="P974" s="267" t="s">
        <v>3930</v>
      </c>
      <c r="Q974" s="267" t="s">
        <v>3931</v>
      </c>
      <c r="R974" s="267">
        <v>7815.29</v>
      </c>
      <c r="S974" s="267">
        <v>16196.8</v>
      </c>
      <c r="T974" s="267">
        <v>24012.09</v>
      </c>
      <c r="U974" s="268" t="s">
        <v>3932</v>
      </c>
      <c r="V974" s="267" t="s">
        <v>944</v>
      </c>
    </row>
    <row r="975" spans="1:22" hidden="1" x14ac:dyDescent="0.25">
      <c r="A975" s="269">
        <v>43519</v>
      </c>
      <c r="B975" s="270">
        <v>2019</v>
      </c>
      <c r="C975" s="270">
        <v>2019</v>
      </c>
      <c r="D975" s="270">
        <v>1</v>
      </c>
      <c r="E975" s="270">
        <v>1</v>
      </c>
      <c r="F975" s="270" t="s">
        <v>944</v>
      </c>
      <c r="G975" s="270" t="s">
        <v>3926</v>
      </c>
      <c r="H975" s="270" t="s">
        <v>5139</v>
      </c>
      <c r="I975" s="270" t="s">
        <v>4019</v>
      </c>
      <c r="J975" s="270" t="s">
        <v>3928</v>
      </c>
      <c r="K975" s="270">
        <v>6704</v>
      </c>
      <c r="L975" s="270">
        <v>352300</v>
      </c>
      <c r="M975" s="270">
        <v>-60</v>
      </c>
      <c r="N975" s="270" t="s">
        <v>3929</v>
      </c>
      <c r="O975" s="270">
        <v>2121.04</v>
      </c>
      <c r="P975" s="270" t="s">
        <v>3930</v>
      </c>
      <c r="Q975" s="270" t="s">
        <v>3931</v>
      </c>
      <c r="R975" s="270">
        <v>7121.04</v>
      </c>
      <c r="S975" s="270">
        <v>34744</v>
      </c>
      <c r="T975" s="270">
        <v>41865.040000000001</v>
      </c>
      <c r="U975" s="271" t="s">
        <v>3932</v>
      </c>
      <c r="V975" s="267" t="s">
        <v>944</v>
      </c>
    </row>
    <row r="976" spans="1:22" hidden="1" x14ac:dyDescent="0.25">
      <c r="A976" s="266">
        <v>43519</v>
      </c>
      <c r="B976" s="267">
        <v>2019</v>
      </c>
      <c r="C976" s="267">
        <v>2019</v>
      </c>
      <c r="D976" s="267">
        <v>1</v>
      </c>
      <c r="E976" s="267">
        <v>1</v>
      </c>
      <c r="F976" s="267" t="s">
        <v>944</v>
      </c>
      <c r="G976" s="267" t="s">
        <v>3926</v>
      </c>
      <c r="H976" s="267" t="s">
        <v>5140</v>
      </c>
      <c r="I976" s="267" t="s">
        <v>950</v>
      </c>
      <c r="J976" s="267" t="s">
        <v>3928</v>
      </c>
      <c r="K976" s="267">
        <v>6516</v>
      </c>
      <c r="L976" s="267">
        <v>154700</v>
      </c>
      <c r="M976" s="267" t="s">
        <v>3960</v>
      </c>
      <c r="N976" s="267" t="s">
        <v>5141</v>
      </c>
      <c r="O976" s="267">
        <v>2641.12</v>
      </c>
      <c r="P976" s="267" t="s">
        <v>3930</v>
      </c>
      <c r="Q976" s="267" t="s">
        <v>3931</v>
      </c>
      <c r="R976" s="267">
        <v>7641.12</v>
      </c>
      <c r="S976" s="267">
        <v>15277</v>
      </c>
      <c r="T976" s="267">
        <v>22918.12</v>
      </c>
      <c r="U976" s="268" t="s">
        <v>3932</v>
      </c>
      <c r="V976" s="267" t="s">
        <v>944</v>
      </c>
    </row>
    <row r="977" spans="1:22" hidden="1" x14ac:dyDescent="0.25">
      <c r="A977" s="269">
        <v>43519</v>
      </c>
      <c r="B977" s="270">
        <v>2019</v>
      </c>
      <c r="C977" s="270">
        <v>2019</v>
      </c>
      <c r="D977" s="270">
        <v>1</v>
      </c>
      <c r="E977" s="270">
        <v>1</v>
      </c>
      <c r="F977" s="270" t="s">
        <v>944</v>
      </c>
      <c r="G977" s="270" t="s">
        <v>3926</v>
      </c>
      <c r="H977" s="270" t="s">
        <v>5142</v>
      </c>
      <c r="I977" s="270" t="s">
        <v>4687</v>
      </c>
      <c r="J977" s="270" t="s">
        <v>3928</v>
      </c>
      <c r="K977" s="270">
        <v>6424</v>
      </c>
      <c r="L977" s="270">
        <v>550100</v>
      </c>
      <c r="M977" s="270" t="s">
        <v>3960</v>
      </c>
      <c r="N977" s="270" t="s">
        <v>4191</v>
      </c>
      <c r="O977" s="270">
        <v>1907.64</v>
      </c>
      <c r="P977" s="270" t="s">
        <v>3930</v>
      </c>
      <c r="Q977" s="270" t="s">
        <v>3931</v>
      </c>
      <c r="R977" s="270">
        <v>6907.64</v>
      </c>
      <c r="S977" s="270">
        <v>38867.199999999997</v>
      </c>
      <c r="T977" s="270">
        <v>45774.84</v>
      </c>
      <c r="U977" s="271" t="s">
        <v>3932</v>
      </c>
      <c r="V977" s="267" t="s">
        <v>944</v>
      </c>
    </row>
    <row r="978" spans="1:22" hidden="1" x14ac:dyDescent="0.25">
      <c r="A978" s="266">
        <v>43519</v>
      </c>
      <c r="B978" s="267">
        <v>2019</v>
      </c>
      <c r="C978" s="267">
        <v>2019</v>
      </c>
      <c r="D978" s="267">
        <v>1</v>
      </c>
      <c r="E978" s="267">
        <v>1</v>
      </c>
      <c r="F978" s="267" t="s">
        <v>944</v>
      </c>
      <c r="G978" s="267" t="s">
        <v>3926</v>
      </c>
      <c r="H978" s="267" t="s">
        <v>5143</v>
      </c>
      <c r="I978" s="267" t="s">
        <v>4147</v>
      </c>
      <c r="J978" s="267" t="s">
        <v>3928</v>
      </c>
      <c r="K978" s="267">
        <v>6109</v>
      </c>
      <c r="L978" s="267">
        <v>492300</v>
      </c>
      <c r="M978" s="267" t="s">
        <v>3940</v>
      </c>
      <c r="N978" s="267" t="s">
        <v>4534</v>
      </c>
      <c r="O978" s="267">
        <v>0</v>
      </c>
      <c r="P978" s="267" t="s">
        <v>3930</v>
      </c>
      <c r="Q978" s="267" t="s">
        <v>3930</v>
      </c>
      <c r="R978" s="267">
        <v>0</v>
      </c>
      <c r="S978" s="267">
        <v>12900</v>
      </c>
      <c r="T978" s="267">
        <v>12900</v>
      </c>
      <c r="U978" s="268" t="s">
        <v>3937</v>
      </c>
      <c r="V978" s="267" t="s">
        <v>944</v>
      </c>
    </row>
    <row r="979" spans="1:22" hidden="1" x14ac:dyDescent="0.25">
      <c r="A979" s="269">
        <v>43519</v>
      </c>
      <c r="B979" s="270">
        <v>2019</v>
      </c>
      <c r="C979" s="270">
        <v>2019</v>
      </c>
      <c r="D979" s="270">
        <v>1</v>
      </c>
      <c r="E979" s="270">
        <v>1</v>
      </c>
      <c r="F979" s="270" t="s">
        <v>944</v>
      </c>
      <c r="G979" s="270" t="s">
        <v>3926</v>
      </c>
      <c r="H979" s="270" t="s">
        <v>5144</v>
      </c>
      <c r="I979" s="270" t="s">
        <v>4008</v>
      </c>
      <c r="J979" s="270" t="s">
        <v>3928</v>
      </c>
      <c r="K979" s="270">
        <v>6320</v>
      </c>
      <c r="L979" s="270">
        <v>690300</v>
      </c>
      <c r="M979" s="270">
        <v>-60</v>
      </c>
      <c r="N979" s="270" t="s">
        <v>4719</v>
      </c>
      <c r="O979" s="270">
        <v>1971.94</v>
      </c>
      <c r="P979" s="270" t="s">
        <v>3930</v>
      </c>
      <c r="Q979" s="270" t="s">
        <v>3931</v>
      </c>
      <c r="R979" s="270">
        <v>6971.94</v>
      </c>
      <c r="S979" s="270">
        <v>25015</v>
      </c>
      <c r="T979" s="270">
        <v>31986.94</v>
      </c>
      <c r="U979" s="271" t="s">
        <v>3932</v>
      </c>
      <c r="V979" s="267" t="s">
        <v>944</v>
      </c>
    </row>
    <row r="980" spans="1:22" hidden="1" x14ac:dyDescent="0.25">
      <c r="A980" s="266">
        <v>43520</v>
      </c>
      <c r="B980" s="267">
        <v>2019</v>
      </c>
      <c r="C980" s="267">
        <v>2019</v>
      </c>
      <c r="D980" s="267">
        <v>1</v>
      </c>
      <c r="E980" s="267">
        <v>1</v>
      </c>
      <c r="F980" s="267" t="s">
        <v>944</v>
      </c>
      <c r="G980" s="267" t="s">
        <v>3926</v>
      </c>
      <c r="H980" s="267" t="s">
        <v>5145</v>
      </c>
      <c r="I980" s="267" t="s">
        <v>4008</v>
      </c>
      <c r="J980" s="267" t="s">
        <v>3928</v>
      </c>
      <c r="K980" s="267">
        <v>6320</v>
      </c>
      <c r="L980" s="267">
        <v>690400</v>
      </c>
      <c r="M980" s="267">
        <v>-60</v>
      </c>
      <c r="N980" s="267" t="s">
        <v>4103</v>
      </c>
      <c r="O980" s="267">
        <v>1547.82</v>
      </c>
      <c r="P980" s="267" t="s">
        <v>3930</v>
      </c>
      <c r="Q980" s="267" t="s">
        <v>3931</v>
      </c>
      <c r="R980" s="267">
        <v>6547.82</v>
      </c>
      <c r="S980" s="267">
        <v>24145.599999999999</v>
      </c>
      <c r="T980" s="267">
        <v>30693.42</v>
      </c>
      <c r="U980" s="268" t="s">
        <v>3932</v>
      </c>
      <c r="V980" s="267" t="s">
        <v>944</v>
      </c>
    </row>
    <row r="981" spans="1:22" hidden="1" x14ac:dyDescent="0.25">
      <c r="A981" s="269">
        <v>43521</v>
      </c>
      <c r="B981" s="270">
        <v>2019</v>
      </c>
      <c r="C981" s="270">
        <v>2019</v>
      </c>
      <c r="D981" s="270">
        <v>1</v>
      </c>
      <c r="E981" s="270">
        <v>1</v>
      </c>
      <c r="F981" s="270" t="s">
        <v>944</v>
      </c>
      <c r="G981" s="270" t="s">
        <v>3926</v>
      </c>
      <c r="H981" s="270" t="s">
        <v>5146</v>
      </c>
      <c r="I981" s="270" t="s">
        <v>5147</v>
      </c>
      <c r="J981" s="270" t="s">
        <v>3928</v>
      </c>
      <c r="K981" s="270">
        <v>6468</v>
      </c>
      <c r="L981" s="270">
        <v>100300</v>
      </c>
      <c r="M981" s="270" t="s">
        <v>3943</v>
      </c>
      <c r="N981" s="270" t="s">
        <v>5148</v>
      </c>
      <c r="O981" s="270">
        <v>0</v>
      </c>
      <c r="P981" s="270" t="s">
        <v>3930</v>
      </c>
      <c r="Q981" s="270" t="s">
        <v>3930</v>
      </c>
      <c r="R981" s="270">
        <v>0</v>
      </c>
      <c r="S981" s="270">
        <v>16325</v>
      </c>
      <c r="T981" s="270">
        <v>16325</v>
      </c>
      <c r="U981" s="271" t="s">
        <v>3937</v>
      </c>
      <c r="V981" s="267" t="s">
        <v>944</v>
      </c>
    </row>
    <row r="982" spans="1:22" x14ac:dyDescent="0.25">
      <c r="A982" s="266">
        <v>43521</v>
      </c>
      <c r="B982" s="267">
        <v>2019</v>
      </c>
      <c r="C982" s="267">
        <v>2019</v>
      </c>
      <c r="D982" s="267">
        <v>1</v>
      </c>
      <c r="E982" s="267">
        <v>1</v>
      </c>
      <c r="F982" s="267" t="s">
        <v>944</v>
      </c>
      <c r="G982" s="267" t="s">
        <v>3926</v>
      </c>
      <c r="H982" s="267" t="s">
        <v>5149</v>
      </c>
      <c r="I982" s="267" t="s">
        <v>950</v>
      </c>
      <c r="J982" s="267" t="s">
        <v>3928</v>
      </c>
      <c r="K982" s="267">
        <v>6516</v>
      </c>
      <c r="L982" s="267">
        <v>154500</v>
      </c>
      <c r="M982" s="267">
        <v>-60</v>
      </c>
      <c r="N982" s="267" t="s">
        <v>5150</v>
      </c>
      <c r="O982" s="267">
        <v>0</v>
      </c>
      <c r="P982" s="267" t="s">
        <v>3930</v>
      </c>
      <c r="Q982" s="267" t="s">
        <v>3930</v>
      </c>
      <c r="R982" s="267">
        <v>0</v>
      </c>
      <c r="S982" s="267">
        <v>20702</v>
      </c>
      <c r="T982" s="267">
        <v>20702</v>
      </c>
      <c r="U982" s="268" t="s">
        <v>3937</v>
      </c>
      <c r="V982" s="276" t="s">
        <v>936</v>
      </c>
    </row>
    <row r="983" spans="1:22" hidden="1" x14ac:dyDescent="0.25">
      <c r="A983" s="269">
        <v>43521</v>
      </c>
      <c r="B983" s="270">
        <v>2019</v>
      </c>
      <c r="C983" s="270">
        <v>2019</v>
      </c>
      <c r="D983" s="270">
        <v>1</v>
      </c>
      <c r="E983" s="270">
        <v>1</v>
      </c>
      <c r="F983" s="270" t="s">
        <v>944</v>
      </c>
      <c r="G983" s="270" t="s">
        <v>3997</v>
      </c>
      <c r="H983" s="270" t="s">
        <v>5151</v>
      </c>
      <c r="I983" s="270" t="s">
        <v>4019</v>
      </c>
      <c r="J983" s="270" t="s">
        <v>3928</v>
      </c>
      <c r="K983" s="270">
        <v>6704</v>
      </c>
      <c r="L983" s="270">
        <v>351000</v>
      </c>
      <c r="M983" s="270" t="s">
        <v>3940</v>
      </c>
      <c r="N983" s="270" t="s">
        <v>4103</v>
      </c>
      <c r="O983" s="270">
        <v>0</v>
      </c>
      <c r="P983" s="270" t="s">
        <v>3930</v>
      </c>
      <c r="Q983" s="270" t="s">
        <v>3931</v>
      </c>
      <c r="R983" s="270">
        <v>5000</v>
      </c>
      <c r="S983" s="270">
        <v>24145.599999999999</v>
      </c>
      <c r="T983" s="270">
        <v>29145.599999999999</v>
      </c>
      <c r="U983" s="271" t="s">
        <v>3932</v>
      </c>
      <c r="V983" s="267" t="s">
        <v>944</v>
      </c>
    </row>
    <row r="984" spans="1:22" hidden="1" x14ac:dyDescent="0.25">
      <c r="A984" s="266">
        <v>43521</v>
      </c>
      <c r="B984" s="267">
        <v>2019</v>
      </c>
      <c r="C984" s="267">
        <v>2019</v>
      </c>
      <c r="D984" s="267">
        <v>1</v>
      </c>
      <c r="E984" s="267">
        <v>1</v>
      </c>
      <c r="F984" s="267" t="s">
        <v>944</v>
      </c>
      <c r="G984" s="267" t="s">
        <v>3926</v>
      </c>
      <c r="H984" s="267" t="s">
        <v>5152</v>
      </c>
      <c r="I984" s="267" t="s">
        <v>4035</v>
      </c>
      <c r="J984" s="267" t="s">
        <v>3928</v>
      </c>
      <c r="K984" s="267">
        <v>6074</v>
      </c>
      <c r="L984" s="267">
        <v>487500</v>
      </c>
      <c r="M984" s="267" t="s">
        <v>3935</v>
      </c>
      <c r="N984" s="267" t="s">
        <v>4464</v>
      </c>
      <c r="O984" s="267">
        <v>0</v>
      </c>
      <c r="P984" s="267" t="s">
        <v>3930</v>
      </c>
      <c r="Q984" s="267" t="s">
        <v>3930</v>
      </c>
      <c r="R984" s="267">
        <v>0</v>
      </c>
      <c r="S984" s="267">
        <v>8500</v>
      </c>
      <c r="T984" s="267">
        <v>8500</v>
      </c>
      <c r="U984" s="268" t="s">
        <v>3937</v>
      </c>
      <c r="V984" s="267" t="s">
        <v>944</v>
      </c>
    </row>
    <row r="985" spans="1:22" hidden="1" x14ac:dyDescent="0.25">
      <c r="A985" s="269">
        <v>43521</v>
      </c>
      <c r="B985" s="270">
        <v>2019</v>
      </c>
      <c r="C985" s="270">
        <v>2019</v>
      </c>
      <c r="D985" s="270">
        <v>1</v>
      </c>
      <c r="E985" s="270">
        <v>1</v>
      </c>
      <c r="F985" s="270" t="s">
        <v>944</v>
      </c>
      <c r="G985" s="270" t="s">
        <v>3926</v>
      </c>
      <c r="H985" s="270" t="s">
        <v>5153</v>
      </c>
      <c r="I985" s="270" t="s">
        <v>3999</v>
      </c>
      <c r="J985" s="270" t="s">
        <v>3928</v>
      </c>
      <c r="K985" s="270">
        <v>6451</v>
      </c>
      <c r="L985" s="270">
        <v>170800</v>
      </c>
      <c r="M985" s="270" t="s">
        <v>3940</v>
      </c>
      <c r="N985" s="270" t="s">
        <v>4103</v>
      </c>
      <c r="O985" s="270">
        <v>3177.89</v>
      </c>
      <c r="P985" s="270" t="s">
        <v>3930</v>
      </c>
      <c r="Q985" s="270" t="s">
        <v>3931</v>
      </c>
      <c r="R985" s="270">
        <v>8177.89</v>
      </c>
      <c r="S985" s="270">
        <v>24145.599999999999</v>
      </c>
      <c r="T985" s="270">
        <v>32323.49</v>
      </c>
      <c r="U985" s="271" t="s">
        <v>3932</v>
      </c>
      <c r="V985" s="267" t="s">
        <v>944</v>
      </c>
    </row>
    <row r="986" spans="1:22" x14ac:dyDescent="0.25">
      <c r="A986" s="266">
        <v>43521</v>
      </c>
      <c r="B986" s="267">
        <v>2019</v>
      </c>
      <c r="C986" s="267">
        <v>2019</v>
      </c>
      <c r="D986" s="267">
        <v>1</v>
      </c>
      <c r="E986" s="267">
        <v>1</v>
      </c>
      <c r="F986" s="267" t="s">
        <v>944</v>
      </c>
      <c r="G986" s="267" t="s">
        <v>3926</v>
      </c>
      <c r="H986" s="267" t="s">
        <v>5154</v>
      </c>
      <c r="I986" s="267" t="s">
        <v>934</v>
      </c>
      <c r="J986" s="267" t="s">
        <v>3928</v>
      </c>
      <c r="K986" s="267">
        <v>6607</v>
      </c>
      <c r="L986" s="267">
        <v>74300</v>
      </c>
      <c r="M986" s="267">
        <v>-60</v>
      </c>
      <c r="N986" s="267" t="s">
        <v>3986</v>
      </c>
      <c r="O986" s="267">
        <v>2491.5</v>
      </c>
      <c r="P986" s="267" t="s">
        <v>3930</v>
      </c>
      <c r="Q986" s="267" t="s">
        <v>3931</v>
      </c>
      <c r="R986" s="267">
        <v>7491.5</v>
      </c>
      <c r="S986" s="267">
        <v>16196.8</v>
      </c>
      <c r="T986" s="267">
        <v>23688.3</v>
      </c>
      <c r="U986" s="268" t="s">
        <v>3932</v>
      </c>
      <c r="V986" s="276" t="s">
        <v>936</v>
      </c>
    </row>
    <row r="987" spans="1:22" hidden="1" x14ac:dyDescent="0.25">
      <c r="A987" s="269">
        <v>43521</v>
      </c>
      <c r="B987" s="270">
        <v>2019</v>
      </c>
      <c r="C987" s="270">
        <v>2019</v>
      </c>
      <c r="D987" s="270">
        <v>1</v>
      </c>
      <c r="E987" s="270">
        <v>1</v>
      </c>
      <c r="F987" s="270" t="s">
        <v>944</v>
      </c>
      <c r="G987" s="270" t="s">
        <v>3926</v>
      </c>
      <c r="H987" s="270" t="s">
        <v>5155</v>
      </c>
      <c r="I987" s="270" t="s">
        <v>5156</v>
      </c>
      <c r="J987" s="270" t="s">
        <v>3928</v>
      </c>
      <c r="K987" s="270">
        <v>6360</v>
      </c>
      <c r="L987" s="270">
        <v>696300</v>
      </c>
      <c r="M987" s="270" t="s">
        <v>3960</v>
      </c>
      <c r="N987" s="270" t="s">
        <v>5157</v>
      </c>
      <c r="O987" s="270">
        <v>0</v>
      </c>
      <c r="P987" s="270" t="s">
        <v>3930</v>
      </c>
      <c r="Q987" s="270" t="s">
        <v>3930</v>
      </c>
      <c r="R987" s="270">
        <v>0</v>
      </c>
      <c r="S987" s="270">
        <v>7662.65</v>
      </c>
      <c r="T987" s="270">
        <v>7662.65</v>
      </c>
      <c r="U987" s="271" t="s">
        <v>3937</v>
      </c>
      <c r="V987" s="267" t="s">
        <v>944</v>
      </c>
    </row>
    <row r="988" spans="1:22" hidden="1" x14ac:dyDescent="0.25">
      <c r="A988" s="266">
        <v>43521</v>
      </c>
      <c r="B988" s="267">
        <v>2019</v>
      </c>
      <c r="C988" s="267">
        <v>2019</v>
      </c>
      <c r="D988" s="267">
        <v>1</v>
      </c>
      <c r="E988" s="267">
        <v>1</v>
      </c>
      <c r="F988" s="267" t="s">
        <v>944</v>
      </c>
      <c r="G988" s="267" t="s">
        <v>3926</v>
      </c>
      <c r="H988" s="267" t="s">
        <v>5158</v>
      </c>
      <c r="I988" s="267" t="s">
        <v>4126</v>
      </c>
      <c r="J988" s="267" t="s">
        <v>3928</v>
      </c>
      <c r="K988" s="267">
        <v>6880</v>
      </c>
      <c r="L988" s="267">
        <v>50500</v>
      </c>
      <c r="M988" s="267" t="s">
        <v>3943</v>
      </c>
      <c r="N988" s="267" t="s">
        <v>3944</v>
      </c>
      <c r="O988" s="267">
        <v>2752</v>
      </c>
      <c r="P988" s="267" t="s">
        <v>3944</v>
      </c>
      <c r="Q988" s="267" t="s">
        <v>3944</v>
      </c>
      <c r="R988" s="267">
        <v>2752</v>
      </c>
      <c r="S988" s="267">
        <v>65131.75</v>
      </c>
      <c r="T988" s="267">
        <v>67883.75</v>
      </c>
      <c r="U988" s="268" t="s">
        <v>3945</v>
      </c>
      <c r="V988" s="267" t="s">
        <v>944</v>
      </c>
    </row>
    <row r="989" spans="1:22" hidden="1" x14ac:dyDescent="0.25">
      <c r="A989" s="269">
        <v>43521</v>
      </c>
      <c r="B989" s="270">
        <v>2019</v>
      </c>
      <c r="C989" s="270">
        <v>2019</v>
      </c>
      <c r="D989" s="270">
        <v>1</v>
      </c>
      <c r="E989" s="270">
        <v>1</v>
      </c>
      <c r="F989" s="270" t="s">
        <v>944</v>
      </c>
      <c r="G989" s="270" t="s">
        <v>3926</v>
      </c>
      <c r="H989" s="270" t="s">
        <v>5159</v>
      </c>
      <c r="I989" s="270" t="s">
        <v>956</v>
      </c>
      <c r="J989" s="270" t="s">
        <v>3928</v>
      </c>
      <c r="K989" s="270">
        <v>6615</v>
      </c>
      <c r="L989" s="270">
        <v>80400</v>
      </c>
      <c r="M989" s="270" t="s">
        <v>3940</v>
      </c>
      <c r="N989" s="270" t="s">
        <v>3944</v>
      </c>
      <c r="O989" s="270">
        <v>2631</v>
      </c>
      <c r="P989" s="270" t="s">
        <v>3944</v>
      </c>
      <c r="Q989" s="270" t="s">
        <v>3944</v>
      </c>
      <c r="R989" s="270">
        <v>2631</v>
      </c>
      <c r="S989" s="270">
        <v>22461</v>
      </c>
      <c r="T989" s="270">
        <v>25092</v>
      </c>
      <c r="U989" s="271" t="s">
        <v>3945</v>
      </c>
      <c r="V989" s="267" t="s">
        <v>944</v>
      </c>
    </row>
    <row r="990" spans="1:22" hidden="1" x14ac:dyDescent="0.25">
      <c r="A990" s="266">
        <v>43521</v>
      </c>
      <c r="B990" s="267">
        <v>2019</v>
      </c>
      <c r="C990" s="267">
        <v>2019</v>
      </c>
      <c r="D990" s="267">
        <v>1</v>
      </c>
      <c r="E990" s="267">
        <v>1</v>
      </c>
      <c r="F990" s="267" t="s">
        <v>944</v>
      </c>
      <c r="G990" s="267" t="s">
        <v>3926</v>
      </c>
      <c r="H990" s="267" t="s">
        <v>5160</v>
      </c>
      <c r="I990" s="267" t="s">
        <v>3009</v>
      </c>
      <c r="J990" s="267" t="s">
        <v>3928</v>
      </c>
      <c r="K990" s="267">
        <v>6484</v>
      </c>
      <c r="L990" s="267">
        <v>110202</v>
      </c>
      <c r="M990" s="267" t="s">
        <v>3935</v>
      </c>
      <c r="N990" s="267" t="s">
        <v>3944</v>
      </c>
      <c r="O990" s="267">
        <v>1085</v>
      </c>
      <c r="P990" s="267" t="s">
        <v>3944</v>
      </c>
      <c r="Q990" s="267" t="s">
        <v>3944</v>
      </c>
      <c r="R990" s="267">
        <v>1085</v>
      </c>
      <c r="S990" s="267">
        <v>16555</v>
      </c>
      <c r="T990" s="267">
        <v>17640</v>
      </c>
      <c r="U990" s="268" t="s">
        <v>3945</v>
      </c>
      <c r="V990" s="267" t="s">
        <v>944</v>
      </c>
    </row>
    <row r="991" spans="1:22" hidden="1" x14ac:dyDescent="0.25">
      <c r="A991" s="269">
        <v>43521</v>
      </c>
      <c r="B991" s="270">
        <v>2019</v>
      </c>
      <c r="C991" s="270">
        <v>2019</v>
      </c>
      <c r="D991" s="270">
        <v>1</v>
      </c>
      <c r="E991" s="270">
        <v>1</v>
      </c>
      <c r="F991" s="270" t="s">
        <v>944</v>
      </c>
      <c r="G991" s="270" t="s">
        <v>3926</v>
      </c>
      <c r="H991" s="270" t="s">
        <v>5161</v>
      </c>
      <c r="I991" s="270" t="s">
        <v>4947</v>
      </c>
      <c r="J991" s="270" t="s">
        <v>3928</v>
      </c>
      <c r="K991" s="270">
        <v>6787</v>
      </c>
      <c r="L991" s="270">
        <v>349200</v>
      </c>
      <c r="M991" s="270" t="s">
        <v>3940</v>
      </c>
      <c r="N991" s="270" t="s">
        <v>3944</v>
      </c>
      <c r="O991" s="270">
        <v>2164</v>
      </c>
      <c r="P991" s="270" t="s">
        <v>3944</v>
      </c>
      <c r="Q991" s="270" t="s">
        <v>3944</v>
      </c>
      <c r="R991" s="270">
        <v>2164</v>
      </c>
      <c r="S991" s="270">
        <v>16232</v>
      </c>
      <c r="T991" s="270">
        <v>18396</v>
      </c>
      <c r="U991" s="271" t="s">
        <v>3945</v>
      </c>
      <c r="V991" s="267" t="s">
        <v>944</v>
      </c>
    </row>
    <row r="992" spans="1:22" hidden="1" x14ac:dyDescent="0.25">
      <c r="A992" s="266">
        <v>43521</v>
      </c>
      <c r="B992" s="267">
        <v>2019</v>
      </c>
      <c r="C992" s="267">
        <v>2019</v>
      </c>
      <c r="D992" s="267">
        <v>1</v>
      </c>
      <c r="E992" s="267">
        <v>1</v>
      </c>
      <c r="F992" s="267" t="s">
        <v>944</v>
      </c>
      <c r="G992" s="267" t="s">
        <v>3926</v>
      </c>
      <c r="H992" s="267" t="s">
        <v>5162</v>
      </c>
      <c r="I992" s="267" t="s">
        <v>4200</v>
      </c>
      <c r="J992" s="267" t="s">
        <v>3928</v>
      </c>
      <c r="K992" s="267">
        <v>6795</v>
      </c>
      <c r="L992" s="267">
        <v>360200</v>
      </c>
      <c r="M992" s="267" t="s">
        <v>3943</v>
      </c>
      <c r="N992" s="267" t="s">
        <v>3944</v>
      </c>
      <c r="O992" s="267">
        <v>5111</v>
      </c>
      <c r="P992" s="267" t="s">
        <v>3944</v>
      </c>
      <c r="Q992" s="267" t="s">
        <v>3944</v>
      </c>
      <c r="R992" s="267">
        <v>5111</v>
      </c>
      <c r="S992" s="267">
        <v>35209</v>
      </c>
      <c r="T992" s="267">
        <v>40320</v>
      </c>
      <c r="U992" s="268" t="s">
        <v>3945</v>
      </c>
      <c r="V992" s="267" t="s">
        <v>944</v>
      </c>
    </row>
    <row r="993" spans="1:22" hidden="1" x14ac:dyDescent="0.25">
      <c r="A993" s="269">
        <v>43521</v>
      </c>
      <c r="B993" s="270">
        <v>2019</v>
      </c>
      <c r="C993" s="270">
        <v>2019</v>
      </c>
      <c r="D993" s="270">
        <v>1</v>
      </c>
      <c r="E993" s="270">
        <v>1</v>
      </c>
      <c r="F993" s="270" t="s">
        <v>944</v>
      </c>
      <c r="G993" s="270" t="s">
        <v>3926</v>
      </c>
      <c r="H993" s="270" t="s">
        <v>5163</v>
      </c>
      <c r="I993" s="270" t="s">
        <v>4731</v>
      </c>
      <c r="J993" s="270" t="s">
        <v>3928</v>
      </c>
      <c r="K993" s="270">
        <v>6478</v>
      </c>
      <c r="L993" s="270">
        <v>346101</v>
      </c>
      <c r="M993" s="270" t="s">
        <v>3943</v>
      </c>
      <c r="N993" s="270" t="s">
        <v>3944</v>
      </c>
      <c r="O993" s="270">
        <v>4201</v>
      </c>
      <c r="P993" s="270" t="s">
        <v>3944</v>
      </c>
      <c r="Q993" s="270" t="s">
        <v>3944</v>
      </c>
      <c r="R993" s="270">
        <v>4201</v>
      </c>
      <c r="S993" s="270">
        <v>44798</v>
      </c>
      <c r="T993" s="270">
        <v>48999</v>
      </c>
      <c r="U993" s="271" t="s">
        <v>3945</v>
      </c>
      <c r="V993" s="267" t="s">
        <v>944</v>
      </c>
    </row>
    <row r="994" spans="1:22" hidden="1" x14ac:dyDescent="0.25">
      <c r="A994" s="266">
        <v>43521</v>
      </c>
      <c r="B994" s="267">
        <v>2019</v>
      </c>
      <c r="C994" s="267">
        <v>2019</v>
      </c>
      <c r="D994" s="267">
        <v>1</v>
      </c>
      <c r="E994" s="267">
        <v>1</v>
      </c>
      <c r="F994" s="267" t="s">
        <v>944</v>
      </c>
      <c r="G994" s="267" t="s">
        <v>3926</v>
      </c>
      <c r="H994" s="267" t="s">
        <v>5164</v>
      </c>
      <c r="I994" s="267" t="s">
        <v>4087</v>
      </c>
      <c r="J994" s="267" t="s">
        <v>3928</v>
      </c>
      <c r="K994" s="267">
        <v>6355</v>
      </c>
      <c r="L994" s="267">
        <v>703000</v>
      </c>
      <c r="M994" s="267" t="s">
        <v>3960</v>
      </c>
      <c r="N994" s="267" t="s">
        <v>3944</v>
      </c>
      <c r="O994" s="267">
        <v>1267</v>
      </c>
      <c r="P994" s="267" t="s">
        <v>3944</v>
      </c>
      <c r="Q994" s="267" t="s">
        <v>3944</v>
      </c>
      <c r="R994" s="267">
        <v>1267</v>
      </c>
      <c r="S994" s="267">
        <v>17054</v>
      </c>
      <c r="T994" s="267">
        <v>18321</v>
      </c>
      <c r="U994" s="268" t="s">
        <v>3945</v>
      </c>
      <c r="V994" s="267" t="s">
        <v>944</v>
      </c>
    </row>
    <row r="995" spans="1:22" hidden="1" x14ac:dyDescent="0.25">
      <c r="A995" s="269">
        <v>43521</v>
      </c>
      <c r="B995" s="270">
        <v>2019</v>
      </c>
      <c r="C995" s="270">
        <v>2019</v>
      </c>
      <c r="D995" s="270">
        <v>1</v>
      </c>
      <c r="E995" s="270">
        <v>1</v>
      </c>
      <c r="F995" s="270" t="s">
        <v>944</v>
      </c>
      <c r="G995" s="270" t="s">
        <v>3926</v>
      </c>
      <c r="H995" s="270" t="s">
        <v>5165</v>
      </c>
      <c r="I995" s="270" t="s">
        <v>4200</v>
      </c>
      <c r="J995" s="270" t="s">
        <v>3928</v>
      </c>
      <c r="K995" s="270">
        <v>6779</v>
      </c>
      <c r="L995" s="270">
        <v>360400</v>
      </c>
      <c r="M995" s="270" t="s">
        <v>3940</v>
      </c>
      <c r="N995" s="270" t="s">
        <v>3944</v>
      </c>
      <c r="O995" s="270">
        <v>1479</v>
      </c>
      <c r="P995" s="270" t="s">
        <v>3944</v>
      </c>
      <c r="Q995" s="270" t="s">
        <v>3944</v>
      </c>
      <c r="R995" s="270">
        <v>1479</v>
      </c>
      <c r="S995" s="270">
        <v>12034.4</v>
      </c>
      <c r="T995" s="270">
        <v>13513.4</v>
      </c>
      <c r="U995" s="271" t="s">
        <v>3945</v>
      </c>
      <c r="V995" s="267" t="s">
        <v>944</v>
      </c>
    </row>
    <row r="996" spans="1:22" hidden="1" x14ac:dyDescent="0.25">
      <c r="A996" s="266">
        <v>43521</v>
      </c>
      <c r="B996" s="267">
        <v>2019</v>
      </c>
      <c r="C996" s="267">
        <v>2019</v>
      </c>
      <c r="D996" s="267">
        <v>1</v>
      </c>
      <c r="E996" s="267">
        <v>1</v>
      </c>
      <c r="F996" s="267" t="s">
        <v>944</v>
      </c>
      <c r="G996" s="267" t="s">
        <v>3926</v>
      </c>
      <c r="H996" s="267" t="s">
        <v>5166</v>
      </c>
      <c r="I996" s="267" t="s">
        <v>4087</v>
      </c>
      <c r="J996" s="267" t="s">
        <v>3928</v>
      </c>
      <c r="K996" s="267">
        <v>6340</v>
      </c>
      <c r="L996" s="267">
        <v>702900</v>
      </c>
      <c r="M996" s="267" t="s">
        <v>3943</v>
      </c>
      <c r="N996" s="267" t="s">
        <v>3944</v>
      </c>
      <c r="O996" s="267">
        <v>1226</v>
      </c>
      <c r="P996" s="267" t="s">
        <v>3944</v>
      </c>
      <c r="Q996" s="267" t="s">
        <v>3944</v>
      </c>
      <c r="R996" s="267">
        <v>1226</v>
      </c>
      <c r="S996" s="267">
        <v>14092</v>
      </c>
      <c r="T996" s="267">
        <v>15318</v>
      </c>
      <c r="U996" s="268" t="s">
        <v>3945</v>
      </c>
      <c r="V996" s="267" t="s">
        <v>944</v>
      </c>
    </row>
    <row r="997" spans="1:22" hidden="1" x14ac:dyDescent="0.25">
      <c r="A997" s="269">
        <v>43521</v>
      </c>
      <c r="B997" s="270">
        <v>2019</v>
      </c>
      <c r="C997" s="270">
        <v>2019</v>
      </c>
      <c r="D997" s="270">
        <v>1</v>
      </c>
      <c r="E997" s="270">
        <v>1</v>
      </c>
      <c r="F997" s="270" t="s">
        <v>944</v>
      </c>
      <c r="G997" s="270" t="s">
        <v>3926</v>
      </c>
      <c r="H997" s="270" t="s">
        <v>5167</v>
      </c>
      <c r="I997" s="270" t="s">
        <v>3954</v>
      </c>
      <c r="J997" s="270" t="s">
        <v>3928</v>
      </c>
      <c r="K997" s="270">
        <v>6357</v>
      </c>
      <c r="L997" s="270">
        <v>870704</v>
      </c>
      <c r="M997" s="270" t="s">
        <v>3935</v>
      </c>
      <c r="N997" s="270" t="s">
        <v>3944</v>
      </c>
      <c r="O997" s="270">
        <v>1226.33</v>
      </c>
      <c r="P997" s="270" t="s">
        <v>3944</v>
      </c>
      <c r="Q997" s="270" t="s">
        <v>3944</v>
      </c>
      <c r="R997" s="270">
        <v>1226.33</v>
      </c>
      <c r="S997" s="270">
        <v>14634.97</v>
      </c>
      <c r="T997" s="270">
        <v>15861.3</v>
      </c>
      <c r="U997" s="271" t="s">
        <v>3945</v>
      </c>
      <c r="V997" s="267" t="s">
        <v>944</v>
      </c>
    </row>
    <row r="998" spans="1:22" hidden="1" x14ac:dyDescent="0.25">
      <c r="A998" s="266">
        <v>43521</v>
      </c>
      <c r="B998" s="267">
        <v>2019</v>
      </c>
      <c r="C998" s="267">
        <v>2019</v>
      </c>
      <c r="D998" s="267">
        <v>1</v>
      </c>
      <c r="E998" s="267">
        <v>1</v>
      </c>
      <c r="F998" s="267" t="s">
        <v>944</v>
      </c>
      <c r="G998" s="267" t="s">
        <v>3926</v>
      </c>
      <c r="H998" s="267" t="s">
        <v>5168</v>
      </c>
      <c r="I998" s="267" t="s">
        <v>953</v>
      </c>
      <c r="J998" s="267" t="s">
        <v>3928</v>
      </c>
      <c r="K998" s="267">
        <v>6514</v>
      </c>
      <c r="L998" s="267">
        <v>165600</v>
      </c>
      <c r="M998" s="267" t="s">
        <v>3940</v>
      </c>
      <c r="N998" s="267" t="s">
        <v>3944</v>
      </c>
      <c r="O998" s="267">
        <v>2454.73</v>
      </c>
      <c r="P998" s="267" t="s">
        <v>3944</v>
      </c>
      <c r="Q998" s="267" t="s">
        <v>3944</v>
      </c>
      <c r="R998" s="267">
        <v>2454.73</v>
      </c>
      <c r="S998" s="267">
        <v>44760.27</v>
      </c>
      <c r="T998" s="267">
        <v>47215</v>
      </c>
      <c r="U998" s="268" t="s">
        <v>3945</v>
      </c>
      <c r="V998" s="267" t="s">
        <v>944</v>
      </c>
    </row>
    <row r="999" spans="1:22" hidden="1" x14ac:dyDescent="0.25">
      <c r="A999" s="269">
        <v>43521</v>
      </c>
      <c r="B999" s="270">
        <v>2019</v>
      </c>
      <c r="C999" s="270">
        <v>2019</v>
      </c>
      <c r="D999" s="270">
        <v>1</v>
      </c>
      <c r="E999" s="270">
        <v>1</v>
      </c>
      <c r="F999" s="270" t="s">
        <v>944</v>
      </c>
      <c r="G999" s="270" t="s">
        <v>3926</v>
      </c>
      <c r="H999" s="270" t="s">
        <v>5169</v>
      </c>
      <c r="I999" s="270" t="s">
        <v>950</v>
      </c>
      <c r="J999" s="270" t="s">
        <v>3928</v>
      </c>
      <c r="K999" s="270">
        <v>6516</v>
      </c>
      <c r="L999" s="270">
        <v>154900</v>
      </c>
      <c r="M999" s="270" t="s">
        <v>3935</v>
      </c>
      <c r="N999" s="270" t="s">
        <v>3944</v>
      </c>
      <c r="O999" s="270">
        <v>1446.17</v>
      </c>
      <c r="P999" s="270" t="s">
        <v>3944</v>
      </c>
      <c r="Q999" s="270" t="s">
        <v>3944</v>
      </c>
      <c r="R999" s="270">
        <v>1446.17</v>
      </c>
      <c r="S999" s="270">
        <v>46997.75</v>
      </c>
      <c r="T999" s="270">
        <v>48443.92</v>
      </c>
      <c r="U999" s="271" t="s">
        <v>3945</v>
      </c>
      <c r="V999" s="267" t="s">
        <v>944</v>
      </c>
    </row>
    <row r="1000" spans="1:22" hidden="1" x14ac:dyDescent="0.25">
      <c r="A1000" s="266">
        <v>43521</v>
      </c>
      <c r="B1000" s="267">
        <v>2019</v>
      </c>
      <c r="C1000" s="267">
        <v>2019</v>
      </c>
      <c r="D1000" s="267">
        <v>1</v>
      </c>
      <c r="E1000" s="267">
        <v>1</v>
      </c>
      <c r="F1000" s="267" t="s">
        <v>944</v>
      </c>
      <c r="G1000" s="267" t="s">
        <v>3926</v>
      </c>
      <c r="H1000" s="267" t="s">
        <v>5170</v>
      </c>
      <c r="I1000" s="267" t="s">
        <v>3954</v>
      </c>
      <c r="J1000" s="267" t="s">
        <v>3928</v>
      </c>
      <c r="K1000" s="267">
        <v>6333</v>
      </c>
      <c r="L1000" s="267">
        <v>716101</v>
      </c>
      <c r="M1000" s="267" t="s">
        <v>3935</v>
      </c>
      <c r="N1000" s="267" t="s">
        <v>3944</v>
      </c>
      <c r="O1000" s="267">
        <v>1410.5</v>
      </c>
      <c r="P1000" s="267" t="s">
        <v>3944</v>
      </c>
      <c r="Q1000" s="267" t="s">
        <v>3944</v>
      </c>
      <c r="R1000" s="267">
        <v>1410.5</v>
      </c>
      <c r="S1000" s="267">
        <v>16017.82</v>
      </c>
      <c r="T1000" s="267">
        <v>17428.32</v>
      </c>
      <c r="U1000" s="268" t="s">
        <v>3945</v>
      </c>
      <c r="V1000" s="267" t="s">
        <v>944</v>
      </c>
    </row>
    <row r="1001" spans="1:22" hidden="1" x14ac:dyDescent="0.25">
      <c r="A1001" s="269">
        <v>43521</v>
      </c>
      <c r="B1001" s="270">
        <v>2019</v>
      </c>
      <c r="C1001" s="270">
        <v>2019</v>
      </c>
      <c r="D1001" s="270">
        <v>1</v>
      </c>
      <c r="E1001" s="270">
        <v>1</v>
      </c>
      <c r="F1001" s="270" t="s">
        <v>944</v>
      </c>
      <c r="G1001" s="270" t="s">
        <v>3926</v>
      </c>
      <c r="H1001" s="270" t="s">
        <v>5171</v>
      </c>
      <c r="I1001" s="270" t="s">
        <v>4016</v>
      </c>
      <c r="J1001" s="270" t="s">
        <v>3928</v>
      </c>
      <c r="K1001" s="270">
        <v>6770</v>
      </c>
      <c r="L1001" s="270">
        <v>345202</v>
      </c>
      <c r="M1001" s="270" t="s">
        <v>3960</v>
      </c>
      <c r="N1001" s="270" t="s">
        <v>3944</v>
      </c>
      <c r="O1001" s="270">
        <v>1272.18</v>
      </c>
      <c r="P1001" s="270" t="s">
        <v>3944</v>
      </c>
      <c r="Q1001" s="270" t="s">
        <v>3944</v>
      </c>
      <c r="R1001" s="270">
        <v>1272.18</v>
      </c>
      <c r="S1001" s="270">
        <v>20025.18</v>
      </c>
      <c r="T1001" s="270">
        <v>21297.360000000001</v>
      </c>
      <c r="U1001" s="271" t="s">
        <v>3945</v>
      </c>
      <c r="V1001" s="267" t="s">
        <v>944</v>
      </c>
    </row>
    <row r="1002" spans="1:22" hidden="1" x14ac:dyDescent="0.25">
      <c r="A1002" s="266">
        <v>43521</v>
      </c>
      <c r="B1002" s="267">
        <v>2019</v>
      </c>
      <c r="C1002" s="267">
        <v>2019</v>
      </c>
      <c r="D1002" s="267">
        <v>1</v>
      </c>
      <c r="E1002" s="267">
        <v>1</v>
      </c>
      <c r="F1002" s="267" t="s">
        <v>944</v>
      </c>
      <c r="G1002" s="267" t="s">
        <v>3926</v>
      </c>
      <c r="H1002" s="267" t="s">
        <v>5172</v>
      </c>
      <c r="I1002" s="267" t="s">
        <v>4119</v>
      </c>
      <c r="J1002" s="267" t="s">
        <v>3928</v>
      </c>
      <c r="K1002" s="267">
        <v>6078</v>
      </c>
      <c r="L1002" s="267">
        <v>477102</v>
      </c>
      <c r="M1002" s="267" t="s">
        <v>3943</v>
      </c>
      <c r="N1002" s="267" t="s">
        <v>3944</v>
      </c>
      <c r="O1002" s="267">
        <v>2391.06</v>
      </c>
      <c r="P1002" s="267" t="s">
        <v>3944</v>
      </c>
      <c r="Q1002" s="267" t="s">
        <v>3944</v>
      </c>
      <c r="R1002" s="267">
        <v>2391.06</v>
      </c>
      <c r="S1002" s="267">
        <v>32573.94</v>
      </c>
      <c r="T1002" s="267">
        <v>34965</v>
      </c>
      <c r="U1002" s="268" t="s">
        <v>3945</v>
      </c>
      <c r="V1002" s="267" t="s">
        <v>944</v>
      </c>
    </row>
    <row r="1003" spans="1:22" hidden="1" x14ac:dyDescent="0.25">
      <c r="A1003" s="269">
        <v>43521</v>
      </c>
      <c r="B1003" s="270">
        <v>2019</v>
      </c>
      <c r="C1003" s="270">
        <v>2019</v>
      </c>
      <c r="D1003" s="270">
        <v>1</v>
      </c>
      <c r="E1003" s="270">
        <v>1</v>
      </c>
      <c r="F1003" s="270" t="s">
        <v>944</v>
      </c>
      <c r="G1003" s="270" t="s">
        <v>3926</v>
      </c>
      <c r="H1003" s="270" t="s">
        <v>5173</v>
      </c>
      <c r="I1003" s="270" t="s">
        <v>4392</v>
      </c>
      <c r="J1003" s="270" t="s">
        <v>3928</v>
      </c>
      <c r="K1003" s="270">
        <v>6457</v>
      </c>
      <c r="L1003" s="270">
        <v>541600</v>
      </c>
      <c r="M1003" s="270">
        <v>-60</v>
      </c>
      <c r="N1003" s="270" t="s">
        <v>3944</v>
      </c>
      <c r="O1003" s="270">
        <v>1369.87</v>
      </c>
      <c r="P1003" s="270" t="s">
        <v>3944</v>
      </c>
      <c r="Q1003" s="270" t="s">
        <v>3944</v>
      </c>
      <c r="R1003" s="270">
        <v>1369.87</v>
      </c>
      <c r="S1003" s="270">
        <v>11149.13</v>
      </c>
      <c r="T1003" s="270">
        <v>12519</v>
      </c>
      <c r="U1003" s="271" t="s">
        <v>3945</v>
      </c>
      <c r="V1003" s="267" t="s">
        <v>944</v>
      </c>
    </row>
    <row r="1004" spans="1:22" hidden="1" x14ac:dyDescent="0.25">
      <c r="A1004" s="266">
        <v>43521</v>
      </c>
      <c r="B1004" s="267">
        <v>2019</v>
      </c>
      <c r="C1004" s="267">
        <v>2019</v>
      </c>
      <c r="D1004" s="267">
        <v>1</v>
      </c>
      <c r="E1004" s="267">
        <v>1</v>
      </c>
      <c r="F1004" s="267" t="s">
        <v>944</v>
      </c>
      <c r="G1004" s="267" t="s">
        <v>3926</v>
      </c>
      <c r="H1004" s="267" t="s">
        <v>5174</v>
      </c>
      <c r="I1004" s="267" t="s">
        <v>4254</v>
      </c>
      <c r="J1004" s="267" t="s">
        <v>3928</v>
      </c>
      <c r="K1004" s="267">
        <v>6076</v>
      </c>
      <c r="L1004" s="267">
        <v>890202</v>
      </c>
      <c r="M1004" s="267" t="s">
        <v>3960</v>
      </c>
      <c r="N1004" s="267" t="s">
        <v>3944</v>
      </c>
      <c r="O1004" s="267">
        <v>1272.99</v>
      </c>
      <c r="P1004" s="267" t="s">
        <v>3944</v>
      </c>
      <c r="Q1004" s="267" t="s">
        <v>3944</v>
      </c>
      <c r="R1004" s="267">
        <v>1272.99</v>
      </c>
      <c r="S1004" s="267">
        <v>15080.38</v>
      </c>
      <c r="T1004" s="267">
        <v>16353.37</v>
      </c>
      <c r="U1004" s="268" t="s">
        <v>3945</v>
      </c>
      <c r="V1004" s="267" t="s">
        <v>944</v>
      </c>
    </row>
    <row r="1005" spans="1:22" hidden="1" x14ac:dyDescent="0.25">
      <c r="A1005" s="269">
        <v>43521</v>
      </c>
      <c r="B1005" s="270">
        <v>2019</v>
      </c>
      <c r="C1005" s="270">
        <v>2019</v>
      </c>
      <c r="D1005" s="270">
        <v>1</v>
      </c>
      <c r="E1005" s="270">
        <v>1</v>
      </c>
      <c r="F1005" s="270" t="s">
        <v>944</v>
      </c>
      <c r="G1005" s="270" t="s">
        <v>3926</v>
      </c>
      <c r="H1005" s="270" t="s">
        <v>5175</v>
      </c>
      <c r="I1005" s="270" t="s">
        <v>4323</v>
      </c>
      <c r="J1005" s="270" t="s">
        <v>3928</v>
      </c>
      <c r="K1005" s="270">
        <v>6385</v>
      </c>
      <c r="L1005" s="270">
        <v>693700</v>
      </c>
      <c r="M1005" s="270" t="s">
        <v>3943</v>
      </c>
      <c r="N1005" s="270" t="s">
        <v>3944</v>
      </c>
      <c r="O1005" s="270">
        <v>1242.08</v>
      </c>
      <c r="P1005" s="270" t="s">
        <v>3944</v>
      </c>
      <c r="Q1005" s="270" t="s">
        <v>3944</v>
      </c>
      <c r="R1005" s="270">
        <v>1242.08</v>
      </c>
      <c r="S1005" s="270">
        <v>12859.92</v>
      </c>
      <c r="T1005" s="270">
        <v>14102</v>
      </c>
      <c r="U1005" s="271" t="s">
        <v>3945</v>
      </c>
      <c r="V1005" s="267" t="s">
        <v>944</v>
      </c>
    </row>
    <row r="1006" spans="1:22" hidden="1" x14ac:dyDescent="0.25">
      <c r="A1006" s="266">
        <v>43521</v>
      </c>
      <c r="B1006" s="267">
        <v>2019</v>
      </c>
      <c r="C1006" s="267">
        <v>2019</v>
      </c>
      <c r="D1006" s="267">
        <v>1</v>
      </c>
      <c r="E1006" s="267">
        <v>1</v>
      </c>
      <c r="F1006" s="267" t="s">
        <v>944</v>
      </c>
      <c r="G1006" s="267" t="s">
        <v>3926</v>
      </c>
      <c r="H1006" s="267" t="s">
        <v>5176</v>
      </c>
      <c r="I1006" s="267" t="s">
        <v>3968</v>
      </c>
      <c r="J1006" s="267" t="s">
        <v>3928</v>
      </c>
      <c r="K1006" s="267">
        <v>6042</v>
      </c>
      <c r="L1006" s="267">
        <v>514101</v>
      </c>
      <c r="M1006" s="267" t="s">
        <v>3960</v>
      </c>
      <c r="N1006" s="267" t="s">
        <v>3944</v>
      </c>
      <c r="O1006" s="267">
        <v>1348.27</v>
      </c>
      <c r="P1006" s="267" t="s">
        <v>3944</v>
      </c>
      <c r="Q1006" s="267" t="s">
        <v>3944</v>
      </c>
      <c r="R1006" s="267">
        <v>1348.27</v>
      </c>
      <c r="S1006" s="267">
        <v>25325.68</v>
      </c>
      <c r="T1006" s="267">
        <v>26673.95</v>
      </c>
      <c r="U1006" s="268" t="s">
        <v>3945</v>
      </c>
      <c r="V1006" s="267" t="s">
        <v>944</v>
      </c>
    </row>
    <row r="1007" spans="1:22" hidden="1" x14ac:dyDescent="0.25">
      <c r="A1007" s="269">
        <v>43522</v>
      </c>
      <c r="B1007" s="270">
        <v>2019</v>
      </c>
      <c r="C1007" s="270">
        <v>2019</v>
      </c>
      <c r="D1007" s="270">
        <v>1</v>
      </c>
      <c r="E1007" s="270">
        <v>1</v>
      </c>
      <c r="F1007" s="270" t="s">
        <v>944</v>
      </c>
      <c r="G1007" s="270" t="s">
        <v>3926</v>
      </c>
      <c r="H1007" s="270" t="s">
        <v>5177</v>
      </c>
      <c r="I1007" s="270" t="s">
        <v>4111</v>
      </c>
      <c r="J1007" s="270" t="s">
        <v>3928</v>
      </c>
      <c r="K1007" s="270">
        <v>6095</v>
      </c>
      <c r="L1007" s="270">
        <v>473501</v>
      </c>
      <c r="M1007" s="270" t="s">
        <v>3943</v>
      </c>
      <c r="N1007" s="270" t="s">
        <v>5178</v>
      </c>
      <c r="O1007" s="270">
        <v>0</v>
      </c>
      <c r="P1007" s="270" t="s">
        <v>3930</v>
      </c>
      <c r="Q1007" s="270" t="s">
        <v>3930</v>
      </c>
      <c r="R1007" s="270">
        <v>0</v>
      </c>
      <c r="S1007" s="270">
        <v>14492</v>
      </c>
      <c r="T1007" s="270">
        <v>14492</v>
      </c>
      <c r="U1007" s="271" t="s">
        <v>3937</v>
      </c>
      <c r="V1007" s="267" t="s">
        <v>944</v>
      </c>
    </row>
    <row r="1008" spans="1:22" hidden="1" x14ac:dyDescent="0.25">
      <c r="A1008" s="266">
        <v>43522</v>
      </c>
      <c r="B1008" s="267">
        <v>2019</v>
      </c>
      <c r="C1008" s="267">
        <v>2019</v>
      </c>
      <c r="D1008" s="267">
        <v>1</v>
      </c>
      <c r="E1008" s="267">
        <v>1</v>
      </c>
      <c r="F1008" s="267" t="s">
        <v>944</v>
      </c>
      <c r="G1008" s="267" t="s">
        <v>3926</v>
      </c>
      <c r="H1008" s="267" t="s">
        <v>5179</v>
      </c>
      <c r="I1008" s="267" t="s">
        <v>3968</v>
      </c>
      <c r="J1008" s="267" t="s">
        <v>3928</v>
      </c>
      <c r="K1008" s="267">
        <v>6040</v>
      </c>
      <c r="L1008" s="267">
        <v>515000</v>
      </c>
      <c r="M1008" s="267" t="s">
        <v>3943</v>
      </c>
      <c r="N1008" s="267" t="s">
        <v>5180</v>
      </c>
      <c r="O1008" s="267">
        <v>0</v>
      </c>
      <c r="P1008" s="267" t="s">
        <v>3930</v>
      </c>
      <c r="Q1008" s="267" t="s">
        <v>3930</v>
      </c>
      <c r="R1008" s="267">
        <v>0</v>
      </c>
      <c r="S1008" s="267">
        <v>17931.13</v>
      </c>
      <c r="T1008" s="267">
        <v>17931.13</v>
      </c>
      <c r="U1008" s="268" t="s">
        <v>3937</v>
      </c>
      <c r="V1008" s="267" t="s">
        <v>944</v>
      </c>
    </row>
    <row r="1009" spans="1:22" hidden="1" x14ac:dyDescent="0.25">
      <c r="A1009" s="269">
        <v>43522</v>
      </c>
      <c r="B1009" s="270">
        <v>2019</v>
      </c>
      <c r="C1009" s="270">
        <v>2019</v>
      </c>
      <c r="D1009" s="270">
        <v>1</v>
      </c>
      <c r="E1009" s="270">
        <v>1</v>
      </c>
      <c r="F1009" s="270" t="s">
        <v>944</v>
      </c>
      <c r="G1009" s="270" t="s">
        <v>3926</v>
      </c>
      <c r="H1009" s="270" t="s">
        <v>5181</v>
      </c>
      <c r="I1009" s="270" t="s">
        <v>3956</v>
      </c>
      <c r="J1009" s="270" t="s">
        <v>3928</v>
      </c>
      <c r="K1009" s="270">
        <v>6106</v>
      </c>
      <c r="L1009" s="270">
        <v>504800</v>
      </c>
      <c r="M1009" s="270" t="s">
        <v>3940</v>
      </c>
      <c r="N1009" s="270" t="s">
        <v>3929</v>
      </c>
      <c r="O1009" s="270">
        <v>2421.34</v>
      </c>
      <c r="P1009" s="270" t="s">
        <v>3930</v>
      </c>
      <c r="Q1009" s="270" t="s">
        <v>3931</v>
      </c>
      <c r="R1009" s="270">
        <v>7421.34</v>
      </c>
      <c r="S1009" s="270">
        <v>34744</v>
      </c>
      <c r="T1009" s="270">
        <v>42165.34</v>
      </c>
      <c r="U1009" s="271" t="s">
        <v>3932</v>
      </c>
      <c r="V1009" s="267" t="s">
        <v>944</v>
      </c>
    </row>
    <row r="1010" spans="1:22" hidden="1" x14ac:dyDescent="0.25">
      <c r="A1010" s="266">
        <v>43522</v>
      </c>
      <c r="B1010" s="267">
        <v>2019</v>
      </c>
      <c r="C1010" s="267">
        <v>2019</v>
      </c>
      <c r="D1010" s="267">
        <v>1</v>
      </c>
      <c r="E1010" s="267">
        <v>1</v>
      </c>
      <c r="F1010" s="267" t="s">
        <v>944</v>
      </c>
      <c r="G1010" s="267" t="s">
        <v>3926</v>
      </c>
      <c r="H1010" s="267" t="s">
        <v>5182</v>
      </c>
      <c r="I1010" s="267" t="s">
        <v>5183</v>
      </c>
      <c r="J1010" s="267" t="s">
        <v>3928</v>
      </c>
      <c r="K1010" s="267">
        <v>6255</v>
      </c>
      <c r="L1010" s="267">
        <v>900200</v>
      </c>
      <c r="M1010" s="267" t="s">
        <v>3935</v>
      </c>
      <c r="N1010" s="267" t="s">
        <v>4493</v>
      </c>
      <c r="O1010" s="267">
        <v>1698.38</v>
      </c>
      <c r="P1010" s="267" t="s">
        <v>3930</v>
      </c>
      <c r="Q1010" s="267" t="s">
        <v>3931</v>
      </c>
      <c r="R1010" s="267">
        <v>6698.38</v>
      </c>
      <c r="S1010" s="267">
        <v>27900.400000000001</v>
      </c>
      <c r="T1010" s="267">
        <v>34598.78</v>
      </c>
      <c r="U1010" s="268" t="s">
        <v>3932</v>
      </c>
      <c r="V1010" s="267" t="s">
        <v>944</v>
      </c>
    </row>
    <row r="1011" spans="1:22" hidden="1" x14ac:dyDescent="0.25">
      <c r="A1011" s="269">
        <v>43522</v>
      </c>
      <c r="B1011" s="270">
        <v>2019</v>
      </c>
      <c r="C1011" s="270">
        <v>2019</v>
      </c>
      <c r="D1011" s="270">
        <v>1</v>
      </c>
      <c r="E1011" s="270">
        <v>1</v>
      </c>
      <c r="F1011" s="270" t="s">
        <v>944</v>
      </c>
      <c r="G1011" s="270" t="s">
        <v>3926</v>
      </c>
      <c r="H1011" s="270" t="s">
        <v>5184</v>
      </c>
      <c r="I1011" s="270" t="s">
        <v>3954</v>
      </c>
      <c r="J1011" s="270" t="s">
        <v>3928</v>
      </c>
      <c r="K1011" s="270">
        <v>6357</v>
      </c>
      <c r="L1011" s="270">
        <v>870703</v>
      </c>
      <c r="M1011" s="270" t="s">
        <v>3935</v>
      </c>
      <c r="N1011" s="270" t="s">
        <v>5185</v>
      </c>
      <c r="O1011" s="270">
        <v>3855</v>
      </c>
      <c r="P1011" s="270" t="s">
        <v>3930</v>
      </c>
      <c r="Q1011" s="270" t="s">
        <v>3930</v>
      </c>
      <c r="R1011" s="270">
        <v>3855</v>
      </c>
      <c r="S1011" s="270">
        <v>26079</v>
      </c>
      <c r="T1011" s="270">
        <v>29934</v>
      </c>
      <c r="U1011" s="271" t="s">
        <v>3937</v>
      </c>
      <c r="V1011" s="267" t="s">
        <v>944</v>
      </c>
    </row>
    <row r="1012" spans="1:22" hidden="1" x14ac:dyDescent="0.25">
      <c r="A1012" s="266">
        <v>43522</v>
      </c>
      <c r="B1012" s="267">
        <v>2019</v>
      </c>
      <c r="C1012" s="267">
        <v>2019</v>
      </c>
      <c r="D1012" s="267">
        <v>1</v>
      </c>
      <c r="E1012" s="267">
        <v>1</v>
      </c>
      <c r="F1012" s="267" t="s">
        <v>944</v>
      </c>
      <c r="G1012" s="267" t="s">
        <v>3926</v>
      </c>
      <c r="H1012" s="267" t="s">
        <v>5186</v>
      </c>
      <c r="I1012" s="267" t="s">
        <v>4407</v>
      </c>
      <c r="J1012" s="267" t="s">
        <v>3928</v>
      </c>
      <c r="K1012" s="267">
        <v>6238</v>
      </c>
      <c r="L1012" s="267">
        <v>850100</v>
      </c>
      <c r="M1012" s="267" t="s">
        <v>3960</v>
      </c>
      <c r="N1012" s="267" t="s">
        <v>3944</v>
      </c>
      <c r="O1012" s="267">
        <v>2811</v>
      </c>
      <c r="P1012" s="267" t="s">
        <v>3944</v>
      </c>
      <c r="Q1012" s="267" t="s">
        <v>3944</v>
      </c>
      <c r="R1012" s="267">
        <v>2811</v>
      </c>
      <c r="S1012" s="267">
        <v>19400.98</v>
      </c>
      <c r="T1012" s="267">
        <v>22211.98</v>
      </c>
      <c r="U1012" s="268" t="s">
        <v>3945</v>
      </c>
      <c r="V1012" s="267" t="s">
        <v>944</v>
      </c>
    </row>
    <row r="1013" spans="1:22" hidden="1" x14ac:dyDescent="0.25">
      <c r="A1013" s="269">
        <v>43522</v>
      </c>
      <c r="B1013" s="270">
        <v>2019</v>
      </c>
      <c r="C1013" s="270">
        <v>2019</v>
      </c>
      <c r="D1013" s="270">
        <v>1</v>
      </c>
      <c r="E1013" s="270">
        <v>1</v>
      </c>
      <c r="F1013" s="270" t="s">
        <v>944</v>
      </c>
      <c r="G1013" s="270" t="s">
        <v>3926</v>
      </c>
      <c r="H1013" s="270" t="s">
        <v>5187</v>
      </c>
      <c r="I1013" s="270" t="s">
        <v>3008</v>
      </c>
      <c r="J1013" s="270" t="s">
        <v>3928</v>
      </c>
      <c r="K1013" s="270">
        <v>6461</v>
      </c>
      <c r="L1013" s="270">
        <v>150600</v>
      </c>
      <c r="M1013" s="270" t="s">
        <v>3960</v>
      </c>
      <c r="N1013" s="270" t="s">
        <v>3944</v>
      </c>
      <c r="O1013" s="270">
        <v>975</v>
      </c>
      <c r="P1013" s="270" t="s">
        <v>3944</v>
      </c>
      <c r="Q1013" s="270" t="s">
        <v>3944</v>
      </c>
      <c r="R1013" s="270">
        <v>975</v>
      </c>
      <c r="S1013" s="270">
        <v>4285</v>
      </c>
      <c r="T1013" s="270">
        <v>5260</v>
      </c>
      <c r="U1013" s="271" t="s">
        <v>3945</v>
      </c>
      <c r="V1013" s="267" t="s">
        <v>944</v>
      </c>
    </row>
    <row r="1014" spans="1:22" hidden="1" x14ac:dyDescent="0.25">
      <c r="A1014" s="266">
        <v>43522</v>
      </c>
      <c r="B1014" s="267">
        <v>2019</v>
      </c>
      <c r="C1014" s="267">
        <v>2019</v>
      </c>
      <c r="D1014" s="267">
        <v>1</v>
      </c>
      <c r="E1014" s="267">
        <v>1</v>
      </c>
      <c r="F1014" s="267" t="s">
        <v>944</v>
      </c>
      <c r="G1014" s="267" t="s">
        <v>3926</v>
      </c>
      <c r="H1014" s="267" t="s">
        <v>5188</v>
      </c>
      <c r="I1014" s="267" t="s">
        <v>4124</v>
      </c>
      <c r="J1014" s="267" t="s">
        <v>3928</v>
      </c>
      <c r="K1014" s="267">
        <v>6470</v>
      </c>
      <c r="L1014" s="267">
        <v>230100</v>
      </c>
      <c r="M1014" s="267" t="s">
        <v>3943</v>
      </c>
      <c r="N1014" s="267" t="s">
        <v>3944</v>
      </c>
      <c r="O1014" s="267">
        <v>5248</v>
      </c>
      <c r="P1014" s="267" t="s">
        <v>3944</v>
      </c>
      <c r="Q1014" s="267" t="s">
        <v>3944</v>
      </c>
      <c r="R1014" s="267">
        <v>5248</v>
      </c>
      <c r="S1014" s="267">
        <v>44907</v>
      </c>
      <c r="T1014" s="267">
        <v>50155</v>
      </c>
      <c r="U1014" s="268" t="s">
        <v>3945</v>
      </c>
      <c r="V1014" s="267" t="s">
        <v>944</v>
      </c>
    </row>
    <row r="1015" spans="1:22" hidden="1" x14ac:dyDescent="0.25">
      <c r="A1015" s="269">
        <v>43522</v>
      </c>
      <c r="B1015" s="270">
        <v>2019</v>
      </c>
      <c r="C1015" s="270">
        <v>2019</v>
      </c>
      <c r="D1015" s="270">
        <v>1</v>
      </c>
      <c r="E1015" s="270">
        <v>1</v>
      </c>
      <c r="F1015" s="270" t="s">
        <v>944</v>
      </c>
      <c r="G1015" s="270" t="s">
        <v>3926</v>
      </c>
      <c r="H1015" s="270" t="s">
        <v>5189</v>
      </c>
      <c r="I1015" s="270" t="s">
        <v>4323</v>
      </c>
      <c r="J1015" s="270" t="s">
        <v>3928</v>
      </c>
      <c r="K1015" s="270">
        <v>6385</v>
      </c>
      <c r="L1015" s="270">
        <v>693400</v>
      </c>
      <c r="M1015" s="270" t="s">
        <v>3940</v>
      </c>
      <c r="N1015" s="270" t="s">
        <v>3944</v>
      </c>
      <c r="O1015" s="270">
        <v>1082</v>
      </c>
      <c r="P1015" s="270" t="s">
        <v>3944</v>
      </c>
      <c r="Q1015" s="270" t="s">
        <v>3944</v>
      </c>
      <c r="R1015" s="270">
        <v>1082</v>
      </c>
      <c r="S1015" s="270">
        <v>8018</v>
      </c>
      <c r="T1015" s="270">
        <v>9100</v>
      </c>
      <c r="U1015" s="271" t="s">
        <v>3945</v>
      </c>
      <c r="V1015" s="267" t="s">
        <v>944</v>
      </c>
    </row>
    <row r="1016" spans="1:22" hidden="1" x14ac:dyDescent="0.25">
      <c r="A1016" s="266">
        <v>43522</v>
      </c>
      <c r="B1016" s="267">
        <v>2019</v>
      </c>
      <c r="C1016" s="267">
        <v>2019</v>
      </c>
      <c r="D1016" s="267">
        <v>1</v>
      </c>
      <c r="E1016" s="267">
        <v>1</v>
      </c>
      <c r="F1016" s="267" t="s">
        <v>944</v>
      </c>
      <c r="G1016" s="267" t="s">
        <v>3926</v>
      </c>
      <c r="H1016" s="267" t="s">
        <v>5190</v>
      </c>
      <c r="I1016" s="267" t="s">
        <v>4124</v>
      </c>
      <c r="J1016" s="267" t="s">
        <v>3928</v>
      </c>
      <c r="K1016" s="267">
        <v>6470</v>
      </c>
      <c r="L1016" s="267">
        <v>230400</v>
      </c>
      <c r="M1016" s="267" t="s">
        <v>3943</v>
      </c>
      <c r="N1016" s="267" t="s">
        <v>3944</v>
      </c>
      <c r="O1016" s="267">
        <v>8629</v>
      </c>
      <c r="P1016" s="267" t="s">
        <v>3944</v>
      </c>
      <c r="Q1016" s="267" t="s">
        <v>3944</v>
      </c>
      <c r="R1016" s="267">
        <v>8629</v>
      </c>
      <c r="S1016" s="267">
        <v>71790.5</v>
      </c>
      <c r="T1016" s="267">
        <v>80419.5</v>
      </c>
      <c r="U1016" s="268" t="s">
        <v>3945</v>
      </c>
      <c r="V1016" s="267" t="s">
        <v>944</v>
      </c>
    </row>
    <row r="1017" spans="1:22" hidden="1" x14ac:dyDescent="0.25">
      <c r="A1017" s="269">
        <v>43522</v>
      </c>
      <c r="B1017" s="270">
        <v>2019</v>
      </c>
      <c r="C1017" s="270">
        <v>2019</v>
      </c>
      <c r="D1017" s="270">
        <v>1</v>
      </c>
      <c r="E1017" s="270">
        <v>1</v>
      </c>
      <c r="F1017" s="270" t="s">
        <v>944</v>
      </c>
      <c r="G1017" s="270" t="s">
        <v>3926</v>
      </c>
      <c r="H1017" s="270" t="s">
        <v>5191</v>
      </c>
      <c r="I1017" s="270" t="s">
        <v>4005</v>
      </c>
      <c r="J1017" s="270" t="s">
        <v>3928</v>
      </c>
      <c r="K1017" s="270">
        <v>6108</v>
      </c>
      <c r="L1017" s="270">
        <v>511200</v>
      </c>
      <c r="M1017" s="270">
        <v>-60</v>
      </c>
      <c r="N1017" s="270" t="s">
        <v>3944</v>
      </c>
      <c r="O1017" s="270">
        <v>1468</v>
      </c>
      <c r="P1017" s="270" t="s">
        <v>3944</v>
      </c>
      <c r="Q1017" s="270" t="s">
        <v>3944</v>
      </c>
      <c r="R1017" s="270">
        <v>1468</v>
      </c>
      <c r="S1017" s="270">
        <v>23732</v>
      </c>
      <c r="T1017" s="270">
        <v>25200</v>
      </c>
      <c r="U1017" s="271" t="s">
        <v>3945</v>
      </c>
      <c r="V1017" s="267" t="s">
        <v>944</v>
      </c>
    </row>
    <row r="1018" spans="1:22" hidden="1" x14ac:dyDescent="0.25">
      <c r="A1018" s="266">
        <v>43522</v>
      </c>
      <c r="B1018" s="267">
        <v>2019</v>
      </c>
      <c r="C1018" s="267">
        <v>2019</v>
      </c>
      <c r="D1018" s="267">
        <v>1</v>
      </c>
      <c r="E1018" s="267">
        <v>1</v>
      </c>
      <c r="F1018" s="267" t="s">
        <v>944</v>
      </c>
      <c r="G1018" s="267" t="s">
        <v>3926</v>
      </c>
      <c r="H1018" s="267" t="s">
        <v>5192</v>
      </c>
      <c r="I1018" s="267" t="s">
        <v>3025</v>
      </c>
      <c r="J1018" s="267" t="s">
        <v>3928</v>
      </c>
      <c r="K1018" s="267">
        <v>6473</v>
      </c>
      <c r="L1018" s="267">
        <v>167300</v>
      </c>
      <c r="M1018" s="267" t="s">
        <v>3943</v>
      </c>
      <c r="N1018" s="267" t="s">
        <v>3944</v>
      </c>
      <c r="O1018" s="267">
        <v>4713</v>
      </c>
      <c r="P1018" s="267" t="s">
        <v>3944</v>
      </c>
      <c r="Q1018" s="267" t="s">
        <v>3944</v>
      </c>
      <c r="R1018" s="267">
        <v>4713</v>
      </c>
      <c r="S1018" s="267">
        <v>36630.75</v>
      </c>
      <c r="T1018" s="267">
        <v>41343.75</v>
      </c>
      <c r="U1018" s="268" t="s">
        <v>3945</v>
      </c>
      <c r="V1018" s="267" t="s">
        <v>944</v>
      </c>
    </row>
    <row r="1019" spans="1:22" hidden="1" x14ac:dyDescent="0.25">
      <c r="A1019" s="269">
        <v>43522</v>
      </c>
      <c r="B1019" s="270">
        <v>2019</v>
      </c>
      <c r="C1019" s="270">
        <v>2019</v>
      </c>
      <c r="D1019" s="270">
        <v>1</v>
      </c>
      <c r="E1019" s="270">
        <v>1</v>
      </c>
      <c r="F1019" s="270" t="s">
        <v>944</v>
      </c>
      <c r="G1019" s="270" t="s">
        <v>3926</v>
      </c>
      <c r="H1019" s="270" t="s">
        <v>5193</v>
      </c>
      <c r="I1019" s="270" t="s">
        <v>3939</v>
      </c>
      <c r="J1019" s="270" t="s">
        <v>3928</v>
      </c>
      <c r="K1019" s="270">
        <v>6513</v>
      </c>
      <c r="L1019" s="270">
        <v>180500</v>
      </c>
      <c r="M1019" s="270" t="s">
        <v>3935</v>
      </c>
      <c r="N1019" s="270" t="s">
        <v>3944</v>
      </c>
      <c r="O1019" s="270">
        <v>3765</v>
      </c>
      <c r="P1019" s="270" t="s">
        <v>3944</v>
      </c>
      <c r="Q1019" s="270" t="s">
        <v>3944</v>
      </c>
      <c r="R1019" s="270">
        <v>3765</v>
      </c>
      <c r="S1019" s="270">
        <v>57660</v>
      </c>
      <c r="T1019" s="270">
        <v>61425</v>
      </c>
      <c r="U1019" s="271" t="s">
        <v>3945</v>
      </c>
      <c r="V1019" s="267" t="s">
        <v>944</v>
      </c>
    </row>
    <row r="1020" spans="1:22" hidden="1" x14ac:dyDescent="0.25">
      <c r="A1020" s="266">
        <v>43522</v>
      </c>
      <c r="B1020" s="267">
        <v>2019</v>
      </c>
      <c r="C1020" s="267">
        <v>2019</v>
      </c>
      <c r="D1020" s="267">
        <v>1</v>
      </c>
      <c r="E1020" s="267">
        <v>1</v>
      </c>
      <c r="F1020" s="267" t="s">
        <v>944</v>
      </c>
      <c r="G1020" s="267" t="s">
        <v>3926</v>
      </c>
      <c r="H1020" s="267" t="s">
        <v>5194</v>
      </c>
      <c r="I1020" s="267" t="s">
        <v>3971</v>
      </c>
      <c r="J1020" s="267" t="s">
        <v>3928</v>
      </c>
      <c r="K1020" s="267">
        <v>6084</v>
      </c>
      <c r="L1020" s="267">
        <v>533101</v>
      </c>
      <c r="M1020" s="267" t="s">
        <v>3943</v>
      </c>
      <c r="N1020" s="267" t="s">
        <v>3944</v>
      </c>
      <c r="O1020" s="267">
        <v>876</v>
      </c>
      <c r="P1020" s="267" t="s">
        <v>3944</v>
      </c>
      <c r="Q1020" s="267" t="s">
        <v>3944</v>
      </c>
      <c r="R1020" s="267">
        <v>876</v>
      </c>
      <c r="S1020" s="267">
        <v>10124</v>
      </c>
      <c r="T1020" s="267">
        <v>11000</v>
      </c>
      <c r="U1020" s="268" t="s">
        <v>3945</v>
      </c>
      <c r="V1020" s="267" t="s">
        <v>944</v>
      </c>
    </row>
    <row r="1021" spans="1:22" hidden="1" x14ac:dyDescent="0.25">
      <c r="A1021" s="269">
        <v>43522</v>
      </c>
      <c r="B1021" s="270">
        <v>2019</v>
      </c>
      <c r="C1021" s="270">
        <v>2019</v>
      </c>
      <c r="D1021" s="270">
        <v>1</v>
      </c>
      <c r="E1021" s="270">
        <v>1</v>
      </c>
      <c r="F1021" s="270" t="s">
        <v>944</v>
      </c>
      <c r="G1021" s="270" t="s">
        <v>3926</v>
      </c>
      <c r="H1021" s="270" t="s">
        <v>5195</v>
      </c>
      <c r="I1021" s="270" t="s">
        <v>5147</v>
      </c>
      <c r="J1021" s="270" t="s">
        <v>3928</v>
      </c>
      <c r="K1021" s="270">
        <v>6468</v>
      </c>
      <c r="L1021" s="270">
        <v>100300</v>
      </c>
      <c r="M1021" s="270" t="s">
        <v>3943</v>
      </c>
      <c r="N1021" s="270" t="s">
        <v>3944</v>
      </c>
      <c r="O1021" s="270">
        <v>1620</v>
      </c>
      <c r="P1021" s="270" t="s">
        <v>3944</v>
      </c>
      <c r="Q1021" s="270" t="s">
        <v>3944</v>
      </c>
      <c r="R1021" s="270">
        <v>1620</v>
      </c>
      <c r="S1021" s="270">
        <v>25407</v>
      </c>
      <c r="T1021" s="270">
        <v>27027</v>
      </c>
      <c r="U1021" s="271" t="s">
        <v>3945</v>
      </c>
      <c r="V1021" s="267" t="s">
        <v>944</v>
      </c>
    </row>
    <row r="1022" spans="1:22" hidden="1" x14ac:dyDescent="0.25">
      <c r="A1022" s="266">
        <v>43522</v>
      </c>
      <c r="B1022" s="267">
        <v>2019</v>
      </c>
      <c r="C1022" s="267">
        <v>2019</v>
      </c>
      <c r="D1022" s="267">
        <v>1</v>
      </c>
      <c r="E1022" s="267">
        <v>1</v>
      </c>
      <c r="F1022" s="267" t="s">
        <v>944</v>
      </c>
      <c r="G1022" s="267" t="s">
        <v>3926</v>
      </c>
      <c r="H1022" s="267" t="s">
        <v>5196</v>
      </c>
      <c r="I1022" s="267" t="s">
        <v>3985</v>
      </c>
      <c r="J1022" s="267" t="s">
        <v>3928</v>
      </c>
      <c r="K1022" s="267">
        <v>6266</v>
      </c>
      <c r="L1022" s="267">
        <v>800500</v>
      </c>
      <c r="M1022" s="267" t="s">
        <v>3940</v>
      </c>
      <c r="N1022" s="267" t="s">
        <v>3944</v>
      </c>
      <c r="O1022" s="267">
        <v>3752</v>
      </c>
      <c r="P1022" s="267" t="s">
        <v>3944</v>
      </c>
      <c r="Q1022" s="267" t="s">
        <v>3944</v>
      </c>
      <c r="R1022" s="267">
        <v>3752</v>
      </c>
      <c r="S1022" s="267">
        <v>28882</v>
      </c>
      <c r="T1022" s="267">
        <v>32634</v>
      </c>
      <c r="U1022" s="268" t="s">
        <v>3945</v>
      </c>
      <c r="V1022" s="267" t="s">
        <v>944</v>
      </c>
    </row>
    <row r="1023" spans="1:22" hidden="1" x14ac:dyDescent="0.25">
      <c r="A1023" s="269">
        <v>43522</v>
      </c>
      <c r="B1023" s="270">
        <v>2019</v>
      </c>
      <c r="C1023" s="270">
        <v>2019</v>
      </c>
      <c r="D1023" s="270">
        <v>1</v>
      </c>
      <c r="E1023" s="270">
        <v>1</v>
      </c>
      <c r="F1023" s="270" t="s">
        <v>944</v>
      </c>
      <c r="G1023" s="270" t="s">
        <v>3926</v>
      </c>
      <c r="H1023" s="270" t="s">
        <v>5197</v>
      </c>
      <c r="I1023" s="270" t="s">
        <v>4301</v>
      </c>
      <c r="J1023" s="270" t="s">
        <v>3928</v>
      </c>
      <c r="K1023" s="270">
        <v>6359</v>
      </c>
      <c r="L1023" s="270">
        <v>707100</v>
      </c>
      <c r="M1023" s="270" t="s">
        <v>3935</v>
      </c>
      <c r="N1023" s="270" t="s">
        <v>3944</v>
      </c>
      <c r="O1023" s="270">
        <v>3238</v>
      </c>
      <c r="P1023" s="270" t="s">
        <v>3944</v>
      </c>
      <c r="Q1023" s="270" t="s">
        <v>3944</v>
      </c>
      <c r="R1023" s="270">
        <v>3238</v>
      </c>
      <c r="S1023" s="270">
        <v>28892</v>
      </c>
      <c r="T1023" s="270">
        <v>32130</v>
      </c>
      <c r="U1023" s="271" t="s">
        <v>3945</v>
      </c>
      <c r="V1023" s="267" t="s">
        <v>944</v>
      </c>
    </row>
    <row r="1024" spans="1:22" hidden="1" x14ac:dyDescent="0.25">
      <c r="A1024" s="266">
        <v>43522</v>
      </c>
      <c r="B1024" s="267">
        <v>2019</v>
      </c>
      <c r="C1024" s="267">
        <v>2019</v>
      </c>
      <c r="D1024" s="267">
        <v>1</v>
      </c>
      <c r="E1024" s="267">
        <v>1</v>
      </c>
      <c r="F1024" s="267" t="s">
        <v>944</v>
      </c>
      <c r="G1024" s="267" t="s">
        <v>3926</v>
      </c>
      <c r="H1024" s="267" t="s">
        <v>5198</v>
      </c>
      <c r="I1024" s="267" t="s">
        <v>4519</v>
      </c>
      <c r="J1024" s="267" t="s">
        <v>3928</v>
      </c>
      <c r="K1024" s="267">
        <v>6840</v>
      </c>
      <c r="L1024" s="267">
        <v>35200</v>
      </c>
      <c r="M1024" s="267" t="s">
        <v>3943</v>
      </c>
      <c r="N1024" s="267" t="s">
        <v>3944</v>
      </c>
      <c r="O1024" s="267">
        <v>6222</v>
      </c>
      <c r="P1024" s="267" t="s">
        <v>3944</v>
      </c>
      <c r="Q1024" s="267" t="s">
        <v>3944</v>
      </c>
      <c r="R1024" s="267">
        <v>6222</v>
      </c>
      <c r="S1024" s="267">
        <v>72950.100000000006</v>
      </c>
      <c r="T1024" s="267">
        <v>79172.100000000006</v>
      </c>
      <c r="U1024" s="268" t="s">
        <v>3945</v>
      </c>
      <c r="V1024" s="267" t="s">
        <v>944</v>
      </c>
    </row>
    <row r="1025" spans="1:22" hidden="1" x14ac:dyDescent="0.25">
      <c r="A1025" s="269">
        <v>43522</v>
      </c>
      <c r="B1025" s="270">
        <v>2019</v>
      </c>
      <c r="C1025" s="270">
        <v>2019</v>
      </c>
      <c r="D1025" s="270">
        <v>1</v>
      </c>
      <c r="E1025" s="270">
        <v>1</v>
      </c>
      <c r="F1025" s="270" t="s">
        <v>944</v>
      </c>
      <c r="G1025" s="270" t="s">
        <v>3926</v>
      </c>
      <c r="H1025" s="270" t="s">
        <v>5199</v>
      </c>
      <c r="I1025" s="270" t="s">
        <v>4005</v>
      </c>
      <c r="J1025" s="270" t="s">
        <v>3928</v>
      </c>
      <c r="K1025" s="270">
        <v>6118</v>
      </c>
      <c r="L1025" s="270">
        <v>511000</v>
      </c>
      <c r="M1025" s="270" t="s">
        <v>3935</v>
      </c>
      <c r="N1025" s="270" t="s">
        <v>3944</v>
      </c>
      <c r="O1025" s="270">
        <v>1460.06</v>
      </c>
      <c r="P1025" s="270" t="s">
        <v>3944</v>
      </c>
      <c r="Q1025" s="270" t="s">
        <v>3944</v>
      </c>
      <c r="R1025" s="270">
        <v>1460.06</v>
      </c>
      <c r="S1025" s="270">
        <v>20726.95</v>
      </c>
      <c r="T1025" s="270">
        <v>22187.01</v>
      </c>
      <c r="U1025" s="271" t="s">
        <v>3945</v>
      </c>
      <c r="V1025" s="267" t="s">
        <v>944</v>
      </c>
    </row>
    <row r="1026" spans="1:22" hidden="1" x14ac:dyDescent="0.25">
      <c r="A1026" s="266">
        <v>43522</v>
      </c>
      <c r="B1026" s="267">
        <v>2019</v>
      </c>
      <c r="C1026" s="267">
        <v>2019</v>
      </c>
      <c r="D1026" s="267">
        <v>1</v>
      </c>
      <c r="E1026" s="267">
        <v>1</v>
      </c>
      <c r="F1026" s="267" t="s">
        <v>944</v>
      </c>
      <c r="G1026" s="267" t="s">
        <v>3926</v>
      </c>
      <c r="H1026" s="267" t="s">
        <v>5200</v>
      </c>
      <c r="I1026" s="267" t="s">
        <v>3975</v>
      </c>
      <c r="J1026" s="267" t="s">
        <v>3928</v>
      </c>
      <c r="K1026" s="267">
        <v>6489</v>
      </c>
      <c r="L1026" s="267">
        <v>430201</v>
      </c>
      <c r="M1026" s="267" t="s">
        <v>3960</v>
      </c>
      <c r="N1026" s="267" t="s">
        <v>3944</v>
      </c>
      <c r="O1026" s="267">
        <v>1888.95</v>
      </c>
      <c r="P1026" s="267" t="s">
        <v>3944</v>
      </c>
      <c r="Q1026" s="267" t="s">
        <v>3944</v>
      </c>
      <c r="R1026" s="267">
        <v>1888.95</v>
      </c>
      <c r="S1026" s="267">
        <v>26939.68</v>
      </c>
      <c r="T1026" s="267">
        <v>28828.63</v>
      </c>
      <c r="U1026" s="268" t="s">
        <v>3945</v>
      </c>
      <c r="V1026" s="267" t="s">
        <v>944</v>
      </c>
    </row>
    <row r="1027" spans="1:22" hidden="1" x14ac:dyDescent="0.25">
      <c r="A1027" s="269">
        <v>43522</v>
      </c>
      <c r="B1027" s="270">
        <v>2019</v>
      </c>
      <c r="C1027" s="270">
        <v>2019</v>
      </c>
      <c r="D1027" s="270">
        <v>1</v>
      </c>
      <c r="E1027" s="270">
        <v>1</v>
      </c>
      <c r="F1027" s="270" t="s">
        <v>944</v>
      </c>
      <c r="G1027" s="270" t="s">
        <v>3926</v>
      </c>
      <c r="H1027" s="270" t="s">
        <v>5201</v>
      </c>
      <c r="I1027" s="270" t="s">
        <v>4310</v>
      </c>
      <c r="J1027" s="270" t="s">
        <v>3928</v>
      </c>
      <c r="K1027" s="270">
        <v>6351</v>
      </c>
      <c r="L1027" s="270">
        <v>710100</v>
      </c>
      <c r="M1027" s="270" t="s">
        <v>3960</v>
      </c>
      <c r="N1027" s="270" t="s">
        <v>3944</v>
      </c>
      <c r="O1027" s="270">
        <v>3802.82</v>
      </c>
      <c r="P1027" s="270" t="s">
        <v>3944</v>
      </c>
      <c r="Q1027" s="270" t="s">
        <v>3944</v>
      </c>
      <c r="R1027" s="270">
        <v>3802.82</v>
      </c>
      <c r="S1027" s="270">
        <v>52613.97</v>
      </c>
      <c r="T1027" s="270">
        <v>56416.79</v>
      </c>
      <c r="U1027" s="271" t="s">
        <v>3945</v>
      </c>
      <c r="V1027" s="267" t="s">
        <v>944</v>
      </c>
    </row>
    <row r="1028" spans="1:22" hidden="1" x14ac:dyDescent="0.25">
      <c r="A1028" s="266">
        <v>43522</v>
      </c>
      <c r="B1028" s="267">
        <v>2019</v>
      </c>
      <c r="C1028" s="267">
        <v>2019</v>
      </c>
      <c r="D1028" s="267">
        <v>1</v>
      </c>
      <c r="E1028" s="267">
        <v>1</v>
      </c>
      <c r="F1028" s="267" t="s">
        <v>944</v>
      </c>
      <c r="G1028" s="267" t="s">
        <v>3926</v>
      </c>
      <c r="H1028" s="267" t="s">
        <v>5202</v>
      </c>
      <c r="I1028" s="267" t="s">
        <v>3025</v>
      </c>
      <c r="J1028" s="267" t="s">
        <v>3928</v>
      </c>
      <c r="K1028" s="267">
        <v>6473</v>
      </c>
      <c r="L1028" s="267">
        <v>167300</v>
      </c>
      <c r="M1028" s="267" t="s">
        <v>3943</v>
      </c>
      <c r="N1028" s="267" t="s">
        <v>3944</v>
      </c>
      <c r="O1028" s="267">
        <v>3374.74</v>
      </c>
      <c r="P1028" s="267" t="s">
        <v>3944</v>
      </c>
      <c r="Q1028" s="267" t="s">
        <v>3944</v>
      </c>
      <c r="R1028" s="267">
        <v>3374.74</v>
      </c>
      <c r="S1028" s="267">
        <v>44662.6</v>
      </c>
      <c r="T1028" s="267">
        <v>48037.34</v>
      </c>
      <c r="U1028" s="268" t="s">
        <v>3945</v>
      </c>
      <c r="V1028" s="267" t="s">
        <v>944</v>
      </c>
    </row>
    <row r="1029" spans="1:22" hidden="1" x14ac:dyDescent="0.25">
      <c r="A1029" s="269">
        <v>43522</v>
      </c>
      <c r="B1029" s="270">
        <v>2019</v>
      </c>
      <c r="C1029" s="270">
        <v>2019</v>
      </c>
      <c r="D1029" s="270">
        <v>1</v>
      </c>
      <c r="E1029" s="270">
        <v>1</v>
      </c>
      <c r="F1029" s="270" t="s">
        <v>944</v>
      </c>
      <c r="G1029" s="270" t="s">
        <v>3926</v>
      </c>
      <c r="H1029" s="270" t="s">
        <v>5203</v>
      </c>
      <c r="I1029" s="270" t="s">
        <v>2987</v>
      </c>
      <c r="J1029" s="270" t="s">
        <v>3928</v>
      </c>
      <c r="K1029" s="270">
        <v>6611</v>
      </c>
      <c r="L1029" s="270">
        <v>90200</v>
      </c>
      <c r="M1029" s="270" t="s">
        <v>3943</v>
      </c>
      <c r="N1029" s="270" t="s">
        <v>3944</v>
      </c>
      <c r="O1029" s="270">
        <v>1843.77</v>
      </c>
      <c r="P1029" s="270" t="s">
        <v>3944</v>
      </c>
      <c r="Q1029" s="270" t="s">
        <v>3944</v>
      </c>
      <c r="R1029" s="270">
        <v>1843.77</v>
      </c>
      <c r="S1029" s="270">
        <v>25456.23</v>
      </c>
      <c r="T1029" s="270">
        <v>27300</v>
      </c>
      <c r="U1029" s="271" t="s">
        <v>3945</v>
      </c>
      <c r="V1029" s="267" t="s">
        <v>944</v>
      </c>
    </row>
    <row r="1030" spans="1:22" hidden="1" x14ac:dyDescent="0.25">
      <c r="A1030" s="266">
        <v>43522</v>
      </c>
      <c r="B1030" s="267">
        <v>2019</v>
      </c>
      <c r="C1030" s="267">
        <v>2019</v>
      </c>
      <c r="D1030" s="267">
        <v>1</v>
      </c>
      <c r="E1030" s="267">
        <v>1</v>
      </c>
      <c r="F1030" s="267" t="s">
        <v>944</v>
      </c>
      <c r="G1030" s="267" t="s">
        <v>3926</v>
      </c>
      <c r="H1030" s="267" t="s">
        <v>5204</v>
      </c>
      <c r="I1030" s="267" t="s">
        <v>3011</v>
      </c>
      <c r="J1030" s="267" t="s">
        <v>3928</v>
      </c>
      <c r="K1030" s="267">
        <v>6418</v>
      </c>
      <c r="L1030" s="267">
        <v>120200</v>
      </c>
      <c r="M1030" s="267">
        <v>-60</v>
      </c>
      <c r="N1030" s="267" t="s">
        <v>3944</v>
      </c>
      <c r="O1030" s="267">
        <v>2337.16</v>
      </c>
      <c r="P1030" s="267" t="s">
        <v>3944</v>
      </c>
      <c r="Q1030" s="267" t="s">
        <v>3944</v>
      </c>
      <c r="R1030" s="267">
        <v>2337.16</v>
      </c>
      <c r="S1030" s="267">
        <v>35945.64</v>
      </c>
      <c r="T1030" s="267">
        <v>38282.800000000003</v>
      </c>
      <c r="U1030" s="268" t="s">
        <v>3945</v>
      </c>
      <c r="V1030" s="267" t="s">
        <v>944</v>
      </c>
    </row>
    <row r="1031" spans="1:22" hidden="1" x14ac:dyDescent="0.25">
      <c r="A1031" s="269">
        <v>43522</v>
      </c>
      <c r="B1031" s="270">
        <v>2019</v>
      </c>
      <c r="C1031" s="270">
        <v>2019</v>
      </c>
      <c r="D1031" s="270">
        <v>1</v>
      </c>
      <c r="E1031" s="270">
        <v>1</v>
      </c>
      <c r="F1031" s="270" t="s">
        <v>944</v>
      </c>
      <c r="G1031" s="270" t="s">
        <v>3926</v>
      </c>
      <c r="H1031" s="270" t="s">
        <v>5205</v>
      </c>
      <c r="I1031" s="270" t="s">
        <v>3975</v>
      </c>
      <c r="J1031" s="270" t="s">
        <v>3928</v>
      </c>
      <c r="K1031" s="270">
        <v>6489</v>
      </c>
      <c r="L1031" s="270">
        <v>430100</v>
      </c>
      <c r="M1031" s="270" t="s">
        <v>3935</v>
      </c>
      <c r="N1031" s="270" t="s">
        <v>3944</v>
      </c>
      <c r="O1031" s="270">
        <v>3279.57</v>
      </c>
      <c r="P1031" s="270" t="s">
        <v>3944</v>
      </c>
      <c r="Q1031" s="270" t="s">
        <v>3944</v>
      </c>
      <c r="R1031" s="270">
        <v>3279.57</v>
      </c>
      <c r="S1031" s="270">
        <v>43939.58</v>
      </c>
      <c r="T1031" s="270">
        <v>47219.15</v>
      </c>
      <c r="U1031" s="271" t="s">
        <v>3945</v>
      </c>
      <c r="V1031" s="267" t="s">
        <v>944</v>
      </c>
    </row>
    <row r="1032" spans="1:22" hidden="1" x14ac:dyDescent="0.25">
      <c r="A1032" s="266">
        <v>43522</v>
      </c>
      <c r="B1032" s="267">
        <v>2019</v>
      </c>
      <c r="C1032" s="267">
        <v>2019</v>
      </c>
      <c r="D1032" s="267">
        <v>1</v>
      </c>
      <c r="E1032" s="267">
        <v>1</v>
      </c>
      <c r="F1032" s="267" t="s">
        <v>944</v>
      </c>
      <c r="G1032" s="267" t="s">
        <v>3926</v>
      </c>
      <c r="H1032" s="267" t="s">
        <v>5206</v>
      </c>
      <c r="I1032" s="267" t="s">
        <v>3008</v>
      </c>
      <c r="J1032" s="267" t="s">
        <v>3928</v>
      </c>
      <c r="K1032" s="267">
        <v>6461</v>
      </c>
      <c r="L1032" s="267">
        <v>150600</v>
      </c>
      <c r="M1032" s="267" t="s">
        <v>3960</v>
      </c>
      <c r="N1032" s="267" t="s">
        <v>3944</v>
      </c>
      <c r="O1032" s="267">
        <v>3067.19</v>
      </c>
      <c r="P1032" s="267" t="s">
        <v>3944</v>
      </c>
      <c r="Q1032" s="267" t="s">
        <v>3944</v>
      </c>
      <c r="R1032" s="267">
        <v>3067.19</v>
      </c>
      <c r="S1032" s="267">
        <v>45716.21</v>
      </c>
      <c r="T1032" s="267">
        <v>48783.4</v>
      </c>
      <c r="U1032" s="268" t="s">
        <v>3945</v>
      </c>
      <c r="V1032" s="267" t="s">
        <v>944</v>
      </c>
    </row>
    <row r="1033" spans="1:22" hidden="1" x14ac:dyDescent="0.25">
      <c r="A1033" s="269">
        <v>43522</v>
      </c>
      <c r="B1033" s="270">
        <v>2019</v>
      </c>
      <c r="C1033" s="270">
        <v>2019</v>
      </c>
      <c r="D1033" s="270">
        <v>1</v>
      </c>
      <c r="E1033" s="270">
        <v>1</v>
      </c>
      <c r="F1033" s="270" t="s">
        <v>944</v>
      </c>
      <c r="G1033" s="270" t="s">
        <v>3926</v>
      </c>
      <c r="H1033" s="270" t="s">
        <v>5207</v>
      </c>
      <c r="I1033" s="270" t="s">
        <v>4016</v>
      </c>
      <c r="J1033" s="270" t="s">
        <v>3928</v>
      </c>
      <c r="K1033" s="270">
        <v>6770</v>
      </c>
      <c r="L1033" s="270">
        <v>345400</v>
      </c>
      <c r="M1033" s="270" t="s">
        <v>3935</v>
      </c>
      <c r="N1033" s="270" t="s">
        <v>3944</v>
      </c>
      <c r="O1033" s="270">
        <v>2063.81</v>
      </c>
      <c r="P1033" s="270" t="s">
        <v>3944</v>
      </c>
      <c r="Q1033" s="270" t="s">
        <v>3944</v>
      </c>
      <c r="R1033" s="270">
        <v>2063.81</v>
      </c>
      <c r="S1033" s="270">
        <v>32520.49</v>
      </c>
      <c r="T1033" s="270">
        <v>34584.300000000003</v>
      </c>
      <c r="U1033" s="271" t="s">
        <v>3945</v>
      </c>
      <c r="V1033" s="267" t="s">
        <v>944</v>
      </c>
    </row>
    <row r="1034" spans="1:22" hidden="1" x14ac:dyDescent="0.25">
      <c r="A1034" s="266">
        <v>43522</v>
      </c>
      <c r="B1034" s="267">
        <v>2019</v>
      </c>
      <c r="C1034" s="267">
        <v>2019</v>
      </c>
      <c r="D1034" s="267">
        <v>1</v>
      </c>
      <c r="E1034" s="267">
        <v>1</v>
      </c>
      <c r="F1034" s="267" t="s">
        <v>944</v>
      </c>
      <c r="G1034" s="267" t="s">
        <v>3926</v>
      </c>
      <c r="H1034" s="267" t="s">
        <v>5208</v>
      </c>
      <c r="I1034" s="267" t="s">
        <v>4213</v>
      </c>
      <c r="J1034" s="267" t="s">
        <v>3928</v>
      </c>
      <c r="K1034" s="267">
        <v>6053</v>
      </c>
      <c r="L1034" s="267">
        <v>416700</v>
      </c>
      <c r="M1034" s="267">
        <v>-60</v>
      </c>
      <c r="N1034" s="267" t="s">
        <v>3944</v>
      </c>
      <c r="O1034" s="267">
        <v>742.49</v>
      </c>
      <c r="P1034" s="267" t="s">
        <v>3944</v>
      </c>
      <c r="Q1034" s="267" t="s">
        <v>3944</v>
      </c>
      <c r="R1034" s="267">
        <v>742.49</v>
      </c>
      <c r="S1034" s="267">
        <v>9546.9699999999993</v>
      </c>
      <c r="T1034" s="267">
        <v>10289.459999999999</v>
      </c>
      <c r="U1034" s="268" t="s">
        <v>3945</v>
      </c>
      <c r="V1034" s="267" t="s">
        <v>944</v>
      </c>
    </row>
    <row r="1035" spans="1:22" hidden="1" x14ac:dyDescent="0.25">
      <c r="A1035" s="269">
        <v>43522</v>
      </c>
      <c r="B1035" s="270">
        <v>2019</v>
      </c>
      <c r="C1035" s="270">
        <v>2019</v>
      </c>
      <c r="D1035" s="270">
        <v>1</v>
      </c>
      <c r="E1035" s="270">
        <v>1</v>
      </c>
      <c r="F1035" s="270" t="s">
        <v>944</v>
      </c>
      <c r="G1035" s="270" t="s">
        <v>3926</v>
      </c>
      <c r="H1035" s="270" t="s">
        <v>5209</v>
      </c>
      <c r="I1035" s="270" t="s">
        <v>3993</v>
      </c>
      <c r="J1035" s="270" t="s">
        <v>3928</v>
      </c>
      <c r="K1035" s="270">
        <v>6415</v>
      </c>
      <c r="L1035" s="270">
        <v>714104</v>
      </c>
      <c r="M1035" s="270" t="s">
        <v>3960</v>
      </c>
      <c r="N1035" s="270" t="s">
        <v>3944</v>
      </c>
      <c r="O1035" s="270">
        <v>2586.2199999999998</v>
      </c>
      <c r="P1035" s="270" t="s">
        <v>3944</v>
      </c>
      <c r="Q1035" s="270" t="s">
        <v>3944</v>
      </c>
      <c r="R1035" s="270">
        <v>2586.2199999999998</v>
      </c>
      <c r="S1035" s="270">
        <v>27149.78</v>
      </c>
      <c r="T1035" s="270">
        <v>29736</v>
      </c>
      <c r="U1035" s="271" t="s">
        <v>3945</v>
      </c>
      <c r="V1035" s="267" t="s">
        <v>944</v>
      </c>
    </row>
    <row r="1036" spans="1:22" hidden="1" x14ac:dyDescent="0.25">
      <c r="A1036" s="266">
        <v>43522</v>
      </c>
      <c r="B1036" s="267">
        <v>2019</v>
      </c>
      <c r="C1036" s="267">
        <v>2019</v>
      </c>
      <c r="D1036" s="267">
        <v>1</v>
      </c>
      <c r="E1036" s="267">
        <v>1</v>
      </c>
      <c r="F1036" s="267" t="s">
        <v>944</v>
      </c>
      <c r="G1036" s="267" t="s">
        <v>3926</v>
      </c>
      <c r="H1036" s="267" t="s">
        <v>5210</v>
      </c>
      <c r="I1036" s="267" t="s">
        <v>4301</v>
      </c>
      <c r="J1036" s="267" t="s">
        <v>3928</v>
      </c>
      <c r="K1036" s="267">
        <v>6359</v>
      </c>
      <c r="L1036" s="267">
        <v>707100</v>
      </c>
      <c r="M1036" s="267" t="s">
        <v>3935</v>
      </c>
      <c r="N1036" s="267" t="s">
        <v>3944</v>
      </c>
      <c r="O1036" s="267">
        <v>3128.79</v>
      </c>
      <c r="P1036" s="267" t="s">
        <v>3944</v>
      </c>
      <c r="Q1036" s="267" t="s">
        <v>3944</v>
      </c>
      <c r="R1036" s="267">
        <v>3128.79</v>
      </c>
      <c r="S1036" s="267">
        <v>43569.94</v>
      </c>
      <c r="T1036" s="267">
        <v>46698.73</v>
      </c>
      <c r="U1036" s="268" t="s">
        <v>3945</v>
      </c>
      <c r="V1036" s="267" t="s">
        <v>944</v>
      </c>
    </row>
    <row r="1037" spans="1:22" hidden="1" x14ac:dyDescent="0.25">
      <c r="A1037" s="269">
        <v>43522</v>
      </c>
      <c r="B1037" s="270">
        <v>2019</v>
      </c>
      <c r="C1037" s="270">
        <v>2019</v>
      </c>
      <c r="D1037" s="270">
        <v>1</v>
      </c>
      <c r="E1037" s="270">
        <v>1</v>
      </c>
      <c r="F1037" s="270" t="s">
        <v>944</v>
      </c>
      <c r="G1037" s="270" t="s">
        <v>3926</v>
      </c>
      <c r="H1037" s="270" t="s">
        <v>5211</v>
      </c>
      <c r="I1037" s="270" t="s">
        <v>3999</v>
      </c>
      <c r="J1037" s="270" t="s">
        <v>3928</v>
      </c>
      <c r="K1037" s="270">
        <v>6450</v>
      </c>
      <c r="L1037" s="270">
        <v>171700</v>
      </c>
      <c r="M1037" s="270" t="s">
        <v>3935</v>
      </c>
      <c r="N1037" s="270" t="s">
        <v>3944</v>
      </c>
      <c r="O1037" s="270">
        <v>2538.73</v>
      </c>
      <c r="P1037" s="270" t="s">
        <v>3944</v>
      </c>
      <c r="Q1037" s="270" t="s">
        <v>3944</v>
      </c>
      <c r="R1037" s="270">
        <v>2538.73</v>
      </c>
      <c r="S1037" s="270">
        <v>32837.1</v>
      </c>
      <c r="T1037" s="270">
        <v>35375.83</v>
      </c>
      <c r="U1037" s="271" t="s">
        <v>3945</v>
      </c>
      <c r="V1037" s="267" t="s">
        <v>944</v>
      </c>
    </row>
    <row r="1038" spans="1:22" hidden="1" x14ac:dyDescent="0.25">
      <c r="A1038" s="266">
        <v>43522</v>
      </c>
      <c r="B1038" s="267">
        <v>2019</v>
      </c>
      <c r="C1038" s="267">
        <v>2019</v>
      </c>
      <c r="D1038" s="267">
        <v>1</v>
      </c>
      <c r="E1038" s="267">
        <v>1</v>
      </c>
      <c r="F1038" s="267" t="s">
        <v>944</v>
      </c>
      <c r="G1038" s="267" t="s">
        <v>3926</v>
      </c>
      <c r="H1038" s="267" t="s">
        <v>5212</v>
      </c>
      <c r="I1038" s="267" t="s">
        <v>4042</v>
      </c>
      <c r="J1038" s="267" t="s">
        <v>3928</v>
      </c>
      <c r="K1038" s="267">
        <v>6382</v>
      </c>
      <c r="L1038" s="267">
        <v>870502</v>
      </c>
      <c r="M1038" s="267" t="s">
        <v>3940</v>
      </c>
      <c r="N1038" s="267" t="s">
        <v>3944</v>
      </c>
      <c r="O1038" s="267">
        <v>1820.53</v>
      </c>
      <c r="P1038" s="267" t="s">
        <v>3944</v>
      </c>
      <c r="Q1038" s="267" t="s">
        <v>3944</v>
      </c>
      <c r="R1038" s="267">
        <v>1820.53</v>
      </c>
      <c r="S1038" s="267">
        <v>21410.74</v>
      </c>
      <c r="T1038" s="267">
        <v>23231.27</v>
      </c>
      <c r="U1038" s="268" t="s">
        <v>3945</v>
      </c>
      <c r="V1038" s="267" t="s">
        <v>944</v>
      </c>
    </row>
    <row r="1039" spans="1:22" hidden="1" x14ac:dyDescent="0.25">
      <c r="A1039" s="269">
        <v>43522</v>
      </c>
      <c r="B1039" s="270">
        <v>2019</v>
      </c>
      <c r="C1039" s="270">
        <v>2019</v>
      </c>
      <c r="D1039" s="270">
        <v>1</v>
      </c>
      <c r="E1039" s="270">
        <v>1</v>
      </c>
      <c r="F1039" s="270" t="s">
        <v>944</v>
      </c>
      <c r="G1039" s="270" t="s">
        <v>3926</v>
      </c>
      <c r="H1039" s="270" t="s">
        <v>5213</v>
      </c>
      <c r="I1039" s="270" t="s">
        <v>4042</v>
      </c>
      <c r="J1039" s="270" t="s">
        <v>3928</v>
      </c>
      <c r="K1039" s="270">
        <v>6382</v>
      </c>
      <c r="L1039" s="270">
        <v>870501</v>
      </c>
      <c r="M1039" s="270" t="s">
        <v>3935</v>
      </c>
      <c r="N1039" s="270" t="s">
        <v>3944</v>
      </c>
      <c r="O1039" s="270">
        <v>1232.3499999999999</v>
      </c>
      <c r="P1039" s="270" t="s">
        <v>3944</v>
      </c>
      <c r="Q1039" s="270" t="s">
        <v>3944</v>
      </c>
      <c r="R1039" s="270">
        <v>1232.3499999999999</v>
      </c>
      <c r="S1039" s="270">
        <v>21000.2</v>
      </c>
      <c r="T1039" s="270">
        <v>22232.55</v>
      </c>
      <c r="U1039" s="271" t="s">
        <v>3945</v>
      </c>
      <c r="V1039" s="267" t="s">
        <v>944</v>
      </c>
    </row>
    <row r="1040" spans="1:22" hidden="1" x14ac:dyDescent="0.25">
      <c r="A1040" s="266">
        <v>43522</v>
      </c>
      <c r="B1040" s="267">
        <v>2019</v>
      </c>
      <c r="C1040" s="267">
        <v>2019</v>
      </c>
      <c r="D1040" s="267">
        <v>1</v>
      </c>
      <c r="E1040" s="267">
        <v>1</v>
      </c>
      <c r="F1040" s="267" t="s">
        <v>944</v>
      </c>
      <c r="G1040" s="267" t="s">
        <v>3926</v>
      </c>
      <c r="H1040" s="267" t="s">
        <v>5214</v>
      </c>
      <c r="I1040" s="267" t="s">
        <v>4019</v>
      </c>
      <c r="J1040" s="267" t="s">
        <v>3928</v>
      </c>
      <c r="K1040" s="267">
        <v>6708</v>
      </c>
      <c r="L1040" s="267">
        <v>351800</v>
      </c>
      <c r="M1040" s="267" t="s">
        <v>3940</v>
      </c>
      <c r="N1040" s="267" t="s">
        <v>3944</v>
      </c>
      <c r="O1040" s="267">
        <v>933.28</v>
      </c>
      <c r="P1040" s="267" t="s">
        <v>3944</v>
      </c>
      <c r="Q1040" s="267" t="s">
        <v>3944</v>
      </c>
      <c r="R1040" s="267">
        <v>933.28</v>
      </c>
      <c r="S1040" s="267">
        <v>13464.28</v>
      </c>
      <c r="T1040" s="267">
        <v>14397.56</v>
      </c>
      <c r="U1040" s="268" t="s">
        <v>3945</v>
      </c>
      <c r="V1040" s="267" t="s">
        <v>944</v>
      </c>
    </row>
    <row r="1041" spans="1:22" hidden="1" x14ac:dyDescent="0.25">
      <c r="A1041" s="269">
        <v>43522</v>
      </c>
      <c r="B1041" s="270">
        <v>2019</v>
      </c>
      <c r="C1041" s="270">
        <v>2019</v>
      </c>
      <c r="D1041" s="270">
        <v>1</v>
      </c>
      <c r="E1041" s="270">
        <v>1</v>
      </c>
      <c r="F1041" s="270" t="s">
        <v>944</v>
      </c>
      <c r="G1041" s="270" t="s">
        <v>3926</v>
      </c>
      <c r="H1041" s="270" t="s">
        <v>5215</v>
      </c>
      <c r="I1041" s="270" t="s">
        <v>4037</v>
      </c>
      <c r="J1041" s="270" t="s">
        <v>3928</v>
      </c>
      <c r="K1041" s="270">
        <v>6811</v>
      </c>
      <c r="L1041" s="270">
        <v>211000</v>
      </c>
      <c r="M1041" s="270" t="s">
        <v>3960</v>
      </c>
      <c r="N1041" s="270" t="s">
        <v>3944</v>
      </c>
      <c r="O1041" s="270">
        <v>1392.06</v>
      </c>
      <c r="P1041" s="270" t="s">
        <v>3944</v>
      </c>
      <c r="Q1041" s="270" t="s">
        <v>3944</v>
      </c>
      <c r="R1041" s="270">
        <v>1392.06</v>
      </c>
      <c r="S1041" s="270">
        <v>19530.43</v>
      </c>
      <c r="T1041" s="270">
        <v>20922.490000000002</v>
      </c>
      <c r="U1041" s="271" t="s">
        <v>3945</v>
      </c>
      <c r="V1041" s="267" t="s">
        <v>944</v>
      </c>
    </row>
    <row r="1042" spans="1:22" hidden="1" x14ac:dyDescent="0.25">
      <c r="A1042" s="266">
        <v>43522</v>
      </c>
      <c r="B1042" s="267">
        <v>2019</v>
      </c>
      <c r="C1042" s="267">
        <v>2019</v>
      </c>
      <c r="D1042" s="267">
        <v>1</v>
      </c>
      <c r="E1042" s="267">
        <v>1</v>
      </c>
      <c r="F1042" s="267" t="s">
        <v>944</v>
      </c>
      <c r="G1042" s="267" t="s">
        <v>3926</v>
      </c>
      <c r="H1042" s="267" t="s">
        <v>5216</v>
      </c>
      <c r="I1042" s="267" t="s">
        <v>4065</v>
      </c>
      <c r="J1042" s="267" t="s">
        <v>3928</v>
      </c>
      <c r="K1042" s="267">
        <v>6480</v>
      </c>
      <c r="L1042" s="267">
        <v>560100</v>
      </c>
      <c r="M1042" s="267" t="s">
        <v>3943</v>
      </c>
      <c r="N1042" s="267" t="s">
        <v>3944</v>
      </c>
      <c r="O1042" s="267">
        <v>2594.31</v>
      </c>
      <c r="P1042" s="267" t="s">
        <v>3944</v>
      </c>
      <c r="Q1042" s="267" t="s">
        <v>3944</v>
      </c>
      <c r="R1042" s="267">
        <v>2594.31</v>
      </c>
      <c r="S1042" s="267">
        <v>42868.42</v>
      </c>
      <c r="T1042" s="267">
        <v>45462.73</v>
      </c>
      <c r="U1042" s="268" t="s">
        <v>3945</v>
      </c>
      <c r="V1042" s="267" t="s">
        <v>944</v>
      </c>
    </row>
    <row r="1043" spans="1:22" hidden="1" x14ac:dyDescent="0.25">
      <c r="A1043" s="269">
        <v>43522</v>
      </c>
      <c r="B1043" s="270">
        <v>2019</v>
      </c>
      <c r="C1043" s="270">
        <v>2019</v>
      </c>
      <c r="D1043" s="270">
        <v>1</v>
      </c>
      <c r="E1043" s="270">
        <v>1</v>
      </c>
      <c r="F1043" s="270" t="s">
        <v>944</v>
      </c>
      <c r="G1043" s="270" t="s">
        <v>3926</v>
      </c>
      <c r="H1043" s="270" t="s">
        <v>5217</v>
      </c>
      <c r="I1043" s="270" t="s">
        <v>4407</v>
      </c>
      <c r="J1043" s="270" t="s">
        <v>3928</v>
      </c>
      <c r="K1043" s="270">
        <v>6238</v>
      </c>
      <c r="L1043" s="270">
        <v>850100</v>
      </c>
      <c r="M1043" s="270" t="s">
        <v>3960</v>
      </c>
      <c r="N1043" s="270" t="s">
        <v>3944</v>
      </c>
      <c r="O1043" s="270">
        <v>2500.58</v>
      </c>
      <c r="P1043" s="270" t="s">
        <v>3944</v>
      </c>
      <c r="Q1043" s="270" t="s">
        <v>3944</v>
      </c>
      <c r="R1043" s="270">
        <v>2500.58</v>
      </c>
      <c r="S1043" s="270">
        <v>32361.14</v>
      </c>
      <c r="T1043" s="270">
        <v>34861.72</v>
      </c>
      <c r="U1043" s="271" t="s">
        <v>3945</v>
      </c>
      <c r="V1043" s="267" t="s">
        <v>944</v>
      </c>
    </row>
    <row r="1044" spans="1:22" hidden="1" x14ac:dyDescent="0.25">
      <c r="A1044" s="266">
        <v>43522</v>
      </c>
      <c r="B1044" s="267">
        <v>2019</v>
      </c>
      <c r="C1044" s="267">
        <v>2019</v>
      </c>
      <c r="D1044" s="267">
        <v>1</v>
      </c>
      <c r="E1044" s="267">
        <v>1</v>
      </c>
      <c r="F1044" s="267" t="s">
        <v>944</v>
      </c>
      <c r="G1044" s="267" t="s">
        <v>3926</v>
      </c>
      <c r="H1044" s="267" t="s">
        <v>5218</v>
      </c>
      <c r="I1044" s="267" t="s">
        <v>4301</v>
      </c>
      <c r="J1044" s="267" t="s">
        <v>3928</v>
      </c>
      <c r="K1044" s="267">
        <v>6359</v>
      </c>
      <c r="L1044" s="267">
        <v>707100</v>
      </c>
      <c r="M1044" s="267" t="s">
        <v>3935</v>
      </c>
      <c r="N1044" s="267" t="s">
        <v>3944</v>
      </c>
      <c r="O1044" s="267">
        <v>3386.36</v>
      </c>
      <c r="P1044" s="267" t="s">
        <v>3944</v>
      </c>
      <c r="Q1044" s="267" t="s">
        <v>3944</v>
      </c>
      <c r="R1044" s="267">
        <v>3386.36</v>
      </c>
      <c r="S1044" s="267">
        <v>48964.47</v>
      </c>
      <c r="T1044" s="267">
        <v>52350.83</v>
      </c>
      <c r="U1044" s="268" t="s">
        <v>3945</v>
      </c>
      <c r="V1044" s="267" t="s">
        <v>944</v>
      </c>
    </row>
    <row r="1045" spans="1:22" hidden="1" x14ac:dyDescent="0.25">
      <c r="A1045" s="269">
        <v>43522</v>
      </c>
      <c r="B1045" s="270">
        <v>2019</v>
      </c>
      <c r="C1045" s="270">
        <v>2019</v>
      </c>
      <c r="D1045" s="270">
        <v>1</v>
      </c>
      <c r="E1045" s="270">
        <v>1</v>
      </c>
      <c r="F1045" s="270" t="s">
        <v>944</v>
      </c>
      <c r="G1045" s="270" t="s">
        <v>3926</v>
      </c>
      <c r="H1045" s="270" t="s">
        <v>5219</v>
      </c>
      <c r="I1045" s="270" t="s">
        <v>3009</v>
      </c>
      <c r="J1045" s="270" t="s">
        <v>3928</v>
      </c>
      <c r="K1045" s="270">
        <v>6484</v>
      </c>
      <c r="L1045" s="270">
        <v>110201</v>
      </c>
      <c r="M1045" s="270" t="s">
        <v>3960</v>
      </c>
      <c r="N1045" s="270" t="s">
        <v>3944</v>
      </c>
      <c r="O1045" s="270">
        <v>2655.91</v>
      </c>
      <c r="P1045" s="270" t="s">
        <v>3944</v>
      </c>
      <c r="Q1045" s="270" t="s">
        <v>3944</v>
      </c>
      <c r="R1045" s="270">
        <v>2655.91</v>
      </c>
      <c r="S1045" s="270">
        <v>37219.71</v>
      </c>
      <c r="T1045" s="270">
        <v>39875.620000000003</v>
      </c>
      <c r="U1045" s="271" t="s">
        <v>3945</v>
      </c>
      <c r="V1045" s="267" t="s">
        <v>944</v>
      </c>
    </row>
    <row r="1046" spans="1:22" hidden="1" x14ac:dyDescent="0.25">
      <c r="A1046" s="266">
        <v>43522</v>
      </c>
      <c r="B1046" s="267">
        <v>2019</v>
      </c>
      <c r="C1046" s="267">
        <v>2019</v>
      </c>
      <c r="D1046" s="267">
        <v>1</v>
      </c>
      <c r="E1046" s="267">
        <v>1</v>
      </c>
      <c r="F1046" s="267" t="s">
        <v>944</v>
      </c>
      <c r="G1046" s="267" t="s">
        <v>3926</v>
      </c>
      <c r="H1046" s="267" t="s">
        <v>5220</v>
      </c>
      <c r="I1046" s="267" t="s">
        <v>953</v>
      </c>
      <c r="J1046" s="267" t="s">
        <v>3928</v>
      </c>
      <c r="K1046" s="267">
        <v>6517</v>
      </c>
      <c r="L1046" s="267">
        <v>165100</v>
      </c>
      <c r="M1046" s="267" t="s">
        <v>3935</v>
      </c>
      <c r="N1046" s="267" t="s">
        <v>3944</v>
      </c>
      <c r="O1046" s="267">
        <v>1668.31</v>
      </c>
      <c r="P1046" s="267" t="s">
        <v>3944</v>
      </c>
      <c r="Q1046" s="267" t="s">
        <v>3944</v>
      </c>
      <c r="R1046" s="267">
        <v>1668.31</v>
      </c>
      <c r="S1046" s="267">
        <v>26599.38</v>
      </c>
      <c r="T1046" s="267">
        <v>28267.69</v>
      </c>
      <c r="U1046" s="268" t="s">
        <v>3945</v>
      </c>
      <c r="V1046" s="267" t="s">
        <v>944</v>
      </c>
    </row>
    <row r="1047" spans="1:22" x14ac:dyDescent="0.25">
      <c r="A1047" s="269">
        <v>43523</v>
      </c>
      <c r="B1047" s="270">
        <v>2019</v>
      </c>
      <c r="C1047" s="270">
        <v>2019</v>
      </c>
      <c r="D1047" s="270">
        <v>1</v>
      </c>
      <c r="E1047" s="270">
        <v>1</v>
      </c>
      <c r="F1047" s="270" t="s">
        <v>944</v>
      </c>
      <c r="G1047" s="270" t="s">
        <v>3926</v>
      </c>
      <c r="H1047" s="270" t="s">
        <v>5221</v>
      </c>
      <c r="I1047" s="270" t="s">
        <v>934</v>
      </c>
      <c r="J1047" s="270" t="s">
        <v>3928</v>
      </c>
      <c r="K1047" s="270">
        <v>6605</v>
      </c>
      <c r="L1047" s="270">
        <v>71200</v>
      </c>
      <c r="M1047" s="270">
        <v>-60</v>
      </c>
      <c r="N1047" s="270" t="s">
        <v>5222</v>
      </c>
      <c r="O1047" s="270"/>
      <c r="P1047" s="270" t="s">
        <v>3944</v>
      </c>
      <c r="Q1047" s="270" t="s">
        <v>5222</v>
      </c>
      <c r="R1047" s="270">
        <v>134580.99</v>
      </c>
      <c r="S1047" s="270">
        <v>0</v>
      </c>
      <c r="T1047" s="270">
        <v>134580.99</v>
      </c>
      <c r="U1047" s="271" t="s">
        <v>4099</v>
      </c>
      <c r="V1047" s="276" t="s">
        <v>936</v>
      </c>
    </row>
    <row r="1048" spans="1:22" hidden="1" x14ac:dyDescent="0.25">
      <c r="A1048" s="266">
        <v>43524</v>
      </c>
      <c r="B1048" s="267">
        <v>2019</v>
      </c>
      <c r="C1048" s="267">
        <v>2019</v>
      </c>
      <c r="D1048" s="267">
        <v>1</v>
      </c>
      <c r="E1048" s="267">
        <v>1</v>
      </c>
      <c r="F1048" s="267" t="s">
        <v>944</v>
      </c>
      <c r="G1048" s="267" t="s">
        <v>3926</v>
      </c>
      <c r="H1048" s="267" t="s">
        <v>5223</v>
      </c>
      <c r="I1048" s="267" t="s">
        <v>4019</v>
      </c>
      <c r="J1048" s="267" t="s">
        <v>3928</v>
      </c>
      <c r="K1048" s="267">
        <v>6706</v>
      </c>
      <c r="L1048" s="267">
        <v>352800</v>
      </c>
      <c r="M1048" s="267" t="s">
        <v>3940</v>
      </c>
      <c r="N1048" s="267" t="s">
        <v>3929</v>
      </c>
      <c r="O1048" s="267">
        <v>0</v>
      </c>
      <c r="P1048" s="267" t="s">
        <v>3930</v>
      </c>
      <c r="Q1048" s="267" t="s">
        <v>3931</v>
      </c>
      <c r="R1048" s="267">
        <v>5000</v>
      </c>
      <c r="S1048" s="267">
        <v>34744</v>
      </c>
      <c r="T1048" s="267">
        <v>39744</v>
      </c>
      <c r="U1048" s="268" t="s">
        <v>3932</v>
      </c>
      <c r="V1048" s="267" t="s">
        <v>944</v>
      </c>
    </row>
    <row r="1049" spans="1:22" x14ac:dyDescent="0.25">
      <c r="A1049" s="269">
        <v>43524</v>
      </c>
      <c r="B1049" s="270">
        <v>2019</v>
      </c>
      <c r="C1049" s="270">
        <v>2019</v>
      </c>
      <c r="D1049" s="270">
        <v>1</v>
      </c>
      <c r="E1049" s="270">
        <v>1</v>
      </c>
      <c r="F1049" s="270" t="s">
        <v>944</v>
      </c>
      <c r="G1049" s="270" t="s">
        <v>3926</v>
      </c>
      <c r="H1049" s="270" t="s">
        <v>5224</v>
      </c>
      <c r="I1049" s="270" t="s">
        <v>943</v>
      </c>
      <c r="J1049" s="270" t="s">
        <v>3928</v>
      </c>
      <c r="K1049" s="270">
        <v>6511</v>
      </c>
      <c r="L1049" s="270">
        <v>141500</v>
      </c>
      <c r="M1049" s="270">
        <v>-60</v>
      </c>
      <c r="N1049" s="270" t="s">
        <v>3986</v>
      </c>
      <c r="O1049" s="270">
        <v>1157.28</v>
      </c>
      <c r="P1049" s="270" t="s">
        <v>3930</v>
      </c>
      <c r="Q1049" s="270" t="s">
        <v>3931</v>
      </c>
      <c r="R1049" s="270">
        <v>6157.28</v>
      </c>
      <c r="S1049" s="270">
        <v>16196.8</v>
      </c>
      <c r="T1049" s="270">
        <v>22354.080000000002</v>
      </c>
      <c r="U1049" s="271" t="s">
        <v>3932</v>
      </c>
      <c r="V1049" s="276" t="s">
        <v>936</v>
      </c>
    </row>
    <row r="1050" spans="1:22" hidden="1" x14ac:dyDescent="0.25">
      <c r="A1050" s="266">
        <v>43524</v>
      </c>
      <c r="B1050" s="267">
        <v>2019</v>
      </c>
      <c r="C1050" s="267">
        <v>2019</v>
      </c>
      <c r="D1050" s="267">
        <v>1</v>
      </c>
      <c r="E1050" s="267">
        <v>1</v>
      </c>
      <c r="F1050" s="267" t="s">
        <v>944</v>
      </c>
      <c r="G1050" s="267" t="s">
        <v>3926</v>
      </c>
      <c r="H1050" s="267" t="s">
        <v>5225</v>
      </c>
      <c r="I1050" s="267" t="s">
        <v>4019</v>
      </c>
      <c r="J1050" s="267" t="s">
        <v>3928</v>
      </c>
      <c r="K1050" s="267">
        <v>6705</v>
      </c>
      <c r="L1050" s="267">
        <v>352800</v>
      </c>
      <c r="M1050" s="267" t="s">
        <v>3940</v>
      </c>
      <c r="N1050" s="267" t="s">
        <v>4582</v>
      </c>
      <c r="O1050" s="267">
        <v>2001.58</v>
      </c>
      <c r="P1050" s="267" t="s">
        <v>3930</v>
      </c>
      <c r="Q1050" s="267" t="s">
        <v>3931</v>
      </c>
      <c r="R1050" s="267">
        <v>7001.58</v>
      </c>
      <c r="S1050" s="267">
        <v>34785.4</v>
      </c>
      <c r="T1050" s="267">
        <v>41786.980000000003</v>
      </c>
      <c r="U1050" s="268" t="s">
        <v>3932</v>
      </c>
      <c r="V1050" s="267" t="s">
        <v>944</v>
      </c>
    </row>
    <row r="1051" spans="1:22" hidden="1" x14ac:dyDescent="0.25">
      <c r="A1051" s="269">
        <v>43525</v>
      </c>
      <c r="B1051" s="270">
        <v>2019</v>
      </c>
      <c r="C1051" s="270">
        <v>2019</v>
      </c>
      <c r="D1051" s="270">
        <v>1</v>
      </c>
      <c r="E1051" s="270">
        <v>1</v>
      </c>
      <c r="F1051" s="270" t="s">
        <v>944</v>
      </c>
      <c r="G1051" s="270" t="s">
        <v>3926</v>
      </c>
      <c r="H1051" s="270" t="s">
        <v>5226</v>
      </c>
      <c r="I1051" s="270" t="s">
        <v>950</v>
      </c>
      <c r="J1051" s="270" t="s">
        <v>3928</v>
      </c>
      <c r="K1051" s="270">
        <v>6516</v>
      </c>
      <c r="L1051" s="270">
        <v>154200</v>
      </c>
      <c r="M1051" s="270" t="s">
        <v>3940</v>
      </c>
      <c r="N1051" s="270" t="s">
        <v>5227</v>
      </c>
      <c r="O1051" s="270">
        <v>0</v>
      </c>
      <c r="P1051" s="270" t="s">
        <v>3930</v>
      </c>
      <c r="Q1051" s="270" t="s">
        <v>3930</v>
      </c>
      <c r="R1051" s="270">
        <v>0</v>
      </c>
      <c r="S1051" s="270">
        <v>8180</v>
      </c>
      <c r="T1051" s="270">
        <v>8180</v>
      </c>
      <c r="U1051" s="271" t="s">
        <v>3937</v>
      </c>
      <c r="V1051" s="267" t="s">
        <v>944</v>
      </c>
    </row>
    <row r="1052" spans="1:22" hidden="1" x14ac:dyDescent="0.25">
      <c r="A1052" s="266">
        <v>43525</v>
      </c>
      <c r="B1052" s="267">
        <v>2019</v>
      </c>
      <c r="C1052" s="267">
        <v>2019</v>
      </c>
      <c r="D1052" s="267">
        <v>1</v>
      </c>
      <c r="E1052" s="267">
        <v>1</v>
      </c>
      <c r="F1052" s="267" t="s">
        <v>944</v>
      </c>
      <c r="G1052" s="267" t="s">
        <v>3926</v>
      </c>
      <c r="H1052" s="267" t="s">
        <v>5228</v>
      </c>
      <c r="I1052" s="267" t="s">
        <v>934</v>
      </c>
      <c r="J1052" s="267" t="s">
        <v>3928</v>
      </c>
      <c r="K1052" s="267">
        <v>6604</v>
      </c>
      <c r="L1052" s="267">
        <v>71100</v>
      </c>
      <c r="M1052" s="267">
        <v>-60</v>
      </c>
      <c r="N1052" s="267" t="s">
        <v>3986</v>
      </c>
      <c r="O1052" s="267">
        <v>3093.92</v>
      </c>
      <c r="P1052" s="267" t="s">
        <v>3930</v>
      </c>
      <c r="Q1052" s="267" t="s">
        <v>3931</v>
      </c>
      <c r="R1052" s="267">
        <v>8093.92</v>
      </c>
      <c r="S1052" s="267">
        <v>16196.8</v>
      </c>
      <c r="T1052" s="267">
        <v>24290.720000000001</v>
      </c>
      <c r="U1052" s="268" t="s">
        <v>3932</v>
      </c>
      <c r="V1052" s="267" t="s">
        <v>944</v>
      </c>
    </row>
    <row r="1053" spans="1:22" hidden="1" x14ac:dyDescent="0.25">
      <c r="A1053" s="269">
        <v>43525</v>
      </c>
      <c r="B1053" s="270">
        <v>2019</v>
      </c>
      <c r="C1053" s="270">
        <v>2019</v>
      </c>
      <c r="D1053" s="270">
        <v>1</v>
      </c>
      <c r="E1053" s="270">
        <v>1</v>
      </c>
      <c r="F1053" s="270" t="s">
        <v>944</v>
      </c>
      <c r="G1053" s="270" t="s">
        <v>3926</v>
      </c>
      <c r="H1053" s="270" t="s">
        <v>5229</v>
      </c>
      <c r="I1053" s="270" t="s">
        <v>3025</v>
      </c>
      <c r="J1053" s="270" t="s">
        <v>3928</v>
      </c>
      <c r="K1053" s="270">
        <v>6473</v>
      </c>
      <c r="L1053" s="270">
        <v>167100</v>
      </c>
      <c r="M1053" s="270" t="s">
        <v>3943</v>
      </c>
      <c r="N1053" s="270" t="s">
        <v>3929</v>
      </c>
      <c r="O1053" s="270">
        <v>2108.61</v>
      </c>
      <c r="P1053" s="270" t="s">
        <v>3930</v>
      </c>
      <c r="Q1053" s="270" t="s">
        <v>3931</v>
      </c>
      <c r="R1053" s="270">
        <v>7108.61</v>
      </c>
      <c r="S1053" s="270">
        <v>34744</v>
      </c>
      <c r="T1053" s="270">
        <v>41852.61</v>
      </c>
      <c r="U1053" s="271" t="s">
        <v>3932</v>
      </c>
      <c r="V1053" s="267" t="s">
        <v>944</v>
      </c>
    </row>
    <row r="1054" spans="1:22" hidden="1" x14ac:dyDescent="0.25">
      <c r="A1054" s="266">
        <v>43525</v>
      </c>
      <c r="B1054" s="267">
        <v>2019</v>
      </c>
      <c r="C1054" s="267">
        <v>2019</v>
      </c>
      <c r="D1054" s="267">
        <v>1</v>
      </c>
      <c r="E1054" s="267">
        <v>1</v>
      </c>
      <c r="F1054" s="267" t="s">
        <v>944</v>
      </c>
      <c r="G1054" s="267" t="s">
        <v>3926</v>
      </c>
      <c r="H1054" s="267" t="s">
        <v>5230</v>
      </c>
      <c r="I1054" s="267" t="s">
        <v>956</v>
      </c>
      <c r="J1054" s="267" t="s">
        <v>3928</v>
      </c>
      <c r="K1054" s="267">
        <v>6614</v>
      </c>
      <c r="L1054" s="267">
        <v>80100</v>
      </c>
      <c r="M1054" s="267" t="s">
        <v>3935</v>
      </c>
      <c r="N1054" s="267" t="s">
        <v>4103</v>
      </c>
      <c r="O1054" s="267">
        <v>3821.13</v>
      </c>
      <c r="P1054" s="267" t="s">
        <v>3930</v>
      </c>
      <c r="Q1054" s="267" t="s">
        <v>3931</v>
      </c>
      <c r="R1054" s="267">
        <v>8821.1299999999992</v>
      </c>
      <c r="S1054" s="267">
        <v>24145.599999999999</v>
      </c>
      <c r="T1054" s="267">
        <v>32966.730000000003</v>
      </c>
      <c r="U1054" s="268" t="s">
        <v>3932</v>
      </c>
      <c r="V1054" s="267" t="s">
        <v>944</v>
      </c>
    </row>
    <row r="1055" spans="1:22" hidden="1" x14ac:dyDescent="0.25">
      <c r="A1055" s="269">
        <v>43525</v>
      </c>
      <c r="B1055" s="270">
        <v>2019</v>
      </c>
      <c r="C1055" s="270">
        <v>2019</v>
      </c>
      <c r="D1055" s="270">
        <v>1</v>
      </c>
      <c r="E1055" s="270">
        <v>1</v>
      </c>
      <c r="F1055" s="270" t="s">
        <v>944</v>
      </c>
      <c r="G1055" s="270" t="s">
        <v>3926</v>
      </c>
      <c r="H1055" s="270" t="s">
        <v>5231</v>
      </c>
      <c r="I1055" s="270" t="s">
        <v>4085</v>
      </c>
      <c r="J1055" s="270" t="s">
        <v>3928</v>
      </c>
      <c r="K1055" s="270">
        <v>6351</v>
      </c>
      <c r="L1055" s="270">
        <v>709200</v>
      </c>
      <c r="M1055" s="270" t="s">
        <v>3940</v>
      </c>
      <c r="N1055" s="270" t="s">
        <v>5232</v>
      </c>
      <c r="O1055" s="270">
        <v>0</v>
      </c>
      <c r="P1055" s="270" t="s">
        <v>3930</v>
      </c>
      <c r="Q1055" s="270" t="s">
        <v>3930</v>
      </c>
      <c r="R1055" s="270">
        <v>0</v>
      </c>
      <c r="S1055" s="270">
        <v>18298</v>
      </c>
      <c r="T1055" s="270">
        <v>18298</v>
      </c>
      <c r="U1055" s="271" t="s">
        <v>3937</v>
      </c>
      <c r="V1055" s="267" t="s">
        <v>944</v>
      </c>
    </row>
    <row r="1056" spans="1:22" hidden="1" x14ac:dyDescent="0.25">
      <c r="A1056" s="266">
        <v>43525</v>
      </c>
      <c r="B1056" s="267">
        <v>2019</v>
      </c>
      <c r="C1056" s="267">
        <v>2019</v>
      </c>
      <c r="D1056" s="267">
        <v>1</v>
      </c>
      <c r="E1056" s="267">
        <v>1</v>
      </c>
      <c r="F1056" s="267" t="s">
        <v>944</v>
      </c>
      <c r="G1056" s="267" t="s">
        <v>3926</v>
      </c>
      <c r="H1056" s="267" t="s">
        <v>5233</v>
      </c>
      <c r="I1056" s="267" t="s">
        <v>3975</v>
      </c>
      <c r="J1056" s="267" t="s">
        <v>3928</v>
      </c>
      <c r="K1056" s="267">
        <v>6489</v>
      </c>
      <c r="L1056" s="267">
        <v>430301</v>
      </c>
      <c r="M1056" s="267" t="s">
        <v>3943</v>
      </c>
      <c r="N1056" s="267" t="s">
        <v>3944</v>
      </c>
      <c r="O1056" s="267">
        <v>5954</v>
      </c>
      <c r="P1056" s="267" t="s">
        <v>3944</v>
      </c>
      <c r="Q1056" s="267" t="s">
        <v>3944</v>
      </c>
      <c r="R1056" s="267">
        <v>5954</v>
      </c>
      <c r="S1056" s="267">
        <v>39464.75</v>
      </c>
      <c r="T1056" s="267">
        <v>45418.75</v>
      </c>
      <c r="U1056" s="268" t="s">
        <v>3945</v>
      </c>
      <c r="V1056" s="267" t="s">
        <v>944</v>
      </c>
    </row>
    <row r="1057" spans="1:22" hidden="1" x14ac:dyDescent="0.25">
      <c r="A1057" s="269">
        <v>43526</v>
      </c>
      <c r="B1057" s="270">
        <v>2019</v>
      </c>
      <c r="C1057" s="270">
        <v>2019</v>
      </c>
      <c r="D1057" s="270">
        <v>1</v>
      </c>
      <c r="E1057" s="270">
        <v>1</v>
      </c>
      <c r="F1057" s="270" t="s">
        <v>944</v>
      </c>
      <c r="G1057" s="270" t="s">
        <v>3926</v>
      </c>
      <c r="H1057" s="270" t="s">
        <v>5234</v>
      </c>
      <c r="I1057" s="270" t="s">
        <v>4232</v>
      </c>
      <c r="J1057" s="270" t="s">
        <v>3928</v>
      </c>
      <c r="K1057" s="270">
        <v>6483</v>
      </c>
      <c r="L1057" s="270">
        <v>130200</v>
      </c>
      <c r="M1057" s="270" t="s">
        <v>3935</v>
      </c>
      <c r="N1057" s="270" t="s">
        <v>5235</v>
      </c>
      <c r="O1057" s="270">
        <v>0</v>
      </c>
      <c r="P1057" s="270" t="s">
        <v>3930</v>
      </c>
      <c r="Q1057" s="270" t="s">
        <v>3930</v>
      </c>
      <c r="R1057" s="270">
        <v>0</v>
      </c>
      <c r="S1057" s="270">
        <v>20746</v>
      </c>
      <c r="T1057" s="270">
        <v>20746</v>
      </c>
      <c r="U1057" s="271" t="s">
        <v>3937</v>
      </c>
      <c r="V1057" s="267" t="s">
        <v>944</v>
      </c>
    </row>
    <row r="1058" spans="1:22" hidden="1" x14ac:dyDescent="0.25">
      <c r="A1058" s="266">
        <v>43526</v>
      </c>
      <c r="B1058" s="267">
        <v>2019</v>
      </c>
      <c r="C1058" s="267">
        <v>2019</v>
      </c>
      <c r="D1058" s="267">
        <v>1</v>
      </c>
      <c r="E1058" s="267">
        <v>1</v>
      </c>
      <c r="F1058" s="267" t="s">
        <v>944</v>
      </c>
      <c r="G1058" s="267" t="s">
        <v>3926</v>
      </c>
      <c r="H1058" s="267" t="s">
        <v>5236</v>
      </c>
      <c r="I1058" s="267" t="s">
        <v>956</v>
      </c>
      <c r="J1058" s="267" t="s">
        <v>3928</v>
      </c>
      <c r="K1058" s="267">
        <v>6614</v>
      </c>
      <c r="L1058" s="267">
        <v>80100</v>
      </c>
      <c r="M1058" s="267" t="s">
        <v>3935</v>
      </c>
      <c r="N1058" s="267" t="s">
        <v>4103</v>
      </c>
      <c r="O1058" s="267">
        <v>1615.39</v>
      </c>
      <c r="P1058" s="267" t="s">
        <v>3930</v>
      </c>
      <c r="Q1058" s="267" t="s">
        <v>3931</v>
      </c>
      <c r="R1058" s="267">
        <v>6615.39</v>
      </c>
      <c r="S1058" s="267">
        <v>24145.599999999999</v>
      </c>
      <c r="T1058" s="267">
        <v>30760.99</v>
      </c>
      <c r="U1058" s="268" t="s">
        <v>3932</v>
      </c>
      <c r="V1058" s="267" t="s">
        <v>944</v>
      </c>
    </row>
    <row r="1059" spans="1:22" hidden="1" x14ac:dyDescent="0.25">
      <c r="A1059" s="269">
        <v>43526</v>
      </c>
      <c r="B1059" s="270">
        <v>2019</v>
      </c>
      <c r="C1059" s="270">
        <v>2019</v>
      </c>
      <c r="D1059" s="270">
        <v>1</v>
      </c>
      <c r="E1059" s="270">
        <v>1</v>
      </c>
      <c r="F1059" s="270" t="s">
        <v>944</v>
      </c>
      <c r="G1059" s="270" t="s">
        <v>3926</v>
      </c>
      <c r="H1059" s="270" t="s">
        <v>5237</v>
      </c>
      <c r="I1059" s="270" t="s">
        <v>4213</v>
      </c>
      <c r="J1059" s="270" t="s">
        <v>3928</v>
      </c>
      <c r="K1059" s="270">
        <v>6051</v>
      </c>
      <c r="L1059" s="270">
        <v>416200</v>
      </c>
      <c r="M1059" s="270">
        <v>-60</v>
      </c>
      <c r="N1059" s="270" t="s">
        <v>3929</v>
      </c>
      <c r="O1059" s="270">
        <v>2264.5700000000002</v>
      </c>
      <c r="P1059" s="270" t="s">
        <v>3930</v>
      </c>
      <c r="Q1059" s="270" t="s">
        <v>3931</v>
      </c>
      <c r="R1059" s="270">
        <v>7264.57</v>
      </c>
      <c r="S1059" s="270">
        <v>34744</v>
      </c>
      <c r="T1059" s="270">
        <v>42008.57</v>
      </c>
      <c r="U1059" s="271" t="s">
        <v>3932</v>
      </c>
      <c r="V1059" s="267" t="s">
        <v>944</v>
      </c>
    </row>
    <row r="1060" spans="1:22" hidden="1" x14ac:dyDescent="0.25">
      <c r="A1060" s="266">
        <v>43526</v>
      </c>
      <c r="B1060" s="267">
        <v>2019</v>
      </c>
      <c r="C1060" s="267">
        <v>2019</v>
      </c>
      <c r="D1060" s="267">
        <v>1</v>
      </c>
      <c r="E1060" s="267">
        <v>1</v>
      </c>
      <c r="F1060" s="267" t="s">
        <v>944</v>
      </c>
      <c r="G1060" s="267" t="s">
        <v>3926</v>
      </c>
      <c r="H1060" s="267" t="s">
        <v>5238</v>
      </c>
      <c r="I1060" s="267" t="s">
        <v>4019</v>
      </c>
      <c r="J1060" s="267" t="s">
        <v>3928</v>
      </c>
      <c r="K1060" s="267">
        <v>6708</v>
      </c>
      <c r="L1060" s="267">
        <v>352000</v>
      </c>
      <c r="M1060" s="267" t="s">
        <v>3935</v>
      </c>
      <c r="N1060" s="267" t="s">
        <v>3986</v>
      </c>
      <c r="O1060" s="267">
        <v>3151.26</v>
      </c>
      <c r="P1060" s="267" t="s">
        <v>3930</v>
      </c>
      <c r="Q1060" s="267" t="s">
        <v>3931</v>
      </c>
      <c r="R1060" s="267">
        <v>8151.26</v>
      </c>
      <c r="S1060" s="267">
        <v>16196.8</v>
      </c>
      <c r="T1060" s="267">
        <v>24348.06</v>
      </c>
      <c r="U1060" s="268" t="s">
        <v>3932</v>
      </c>
      <c r="V1060" s="267" t="s">
        <v>944</v>
      </c>
    </row>
    <row r="1061" spans="1:22" hidden="1" x14ac:dyDescent="0.25">
      <c r="A1061" s="269">
        <v>43526</v>
      </c>
      <c r="B1061" s="270">
        <v>2019</v>
      </c>
      <c r="C1061" s="270">
        <v>2019</v>
      </c>
      <c r="D1061" s="270">
        <v>1</v>
      </c>
      <c r="E1061" s="270">
        <v>1</v>
      </c>
      <c r="F1061" s="270" t="s">
        <v>944</v>
      </c>
      <c r="G1061" s="270" t="s">
        <v>3926</v>
      </c>
      <c r="H1061" s="270" t="s">
        <v>5239</v>
      </c>
      <c r="I1061" s="270" t="s">
        <v>950</v>
      </c>
      <c r="J1061" s="270" t="s">
        <v>3928</v>
      </c>
      <c r="K1061" s="270">
        <v>6516</v>
      </c>
      <c r="L1061" s="270">
        <v>154700</v>
      </c>
      <c r="M1061" s="270" t="s">
        <v>3960</v>
      </c>
      <c r="N1061" s="270" t="s">
        <v>3929</v>
      </c>
      <c r="O1061" s="270">
        <v>6333.63</v>
      </c>
      <c r="P1061" s="270" t="s">
        <v>3930</v>
      </c>
      <c r="Q1061" s="270" t="s">
        <v>3931</v>
      </c>
      <c r="R1061" s="270">
        <v>11333.63</v>
      </c>
      <c r="S1061" s="270">
        <v>34744</v>
      </c>
      <c r="T1061" s="270">
        <v>46077.63</v>
      </c>
      <c r="U1061" s="271" t="s">
        <v>3932</v>
      </c>
      <c r="V1061" s="267" t="s">
        <v>944</v>
      </c>
    </row>
    <row r="1062" spans="1:22" hidden="1" x14ac:dyDescent="0.25">
      <c r="A1062" s="266">
        <v>43526</v>
      </c>
      <c r="B1062" s="267">
        <v>2019</v>
      </c>
      <c r="C1062" s="267">
        <v>2019</v>
      </c>
      <c r="D1062" s="267">
        <v>1</v>
      </c>
      <c r="E1062" s="267">
        <v>1</v>
      </c>
      <c r="F1062" s="267" t="s">
        <v>944</v>
      </c>
      <c r="G1062" s="267" t="s">
        <v>3926</v>
      </c>
      <c r="H1062" s="267" t="s">
        <v>5240</v>
      </c>
      <c r="I1062" s="267" t="s">
        <v>3999</v>
      </c>
      <c r="J1062" s="267" t="s">
        <v>3928</v>
      </c>
      <c r="K1062" s="267">
        <v>6451</v>
      </c>
      <c r="L1062" s="267">
        <v>170500</v>
      </c>
      <c r="M1062" s="267" t="s">
        <v>3935</v>
      </c>
      <c r="N1062" s="267" t="s">
        <v>3986</v>
      </c>
      <c r="O1062" s="267">
        <v>3552.84</v>
      </c>
      <c r="P1062" s="267" t="s">
        <v>3930</v>
      </c>
      <c r="Q1062" s="267" t="s">
        <v>3931</v>
      </c>
      <c r="R1062" s="267">
        <v>8552.84</v>
      </c>
      <c r="S1062" s="267">
        <v>16196.8</v>
      </c>
      <c r="T1062" s="267">
        <v>24749.64</v>
      </c>
      <c r="U1062" s="268" t="s">
        <v>3932</v>
      </c>
      <c r="V1062" s="267" t="s">
        <v>944</v>
      </c>
    </row>
    <row r="1063" spans="1:22" hidden="1" x14ac:dyDescent="0.25">
      <c r="A1063" s="269">
        <v>43527</v>
      </c>
      <c r="B1063" s="270">
        <v>2019</v>
      </c>
      <c r="C1063" s="270">
        <v>2019</v>
      </c>
      <c r="D1063" s="270">
        <v>1</v>
      </c>
      <c r="E1063" s="270">
        <v>1</v>
      </c>
      <c r="F1063" s="270" t="s">
        <v>944</v>
      </c>
      <c r="G1063" s="270" t="s">
        <v>3926</v>
      </c>
      <c r="H1063" s="270" t="s">
        <v>5241</v>
      </c>
      <c r="I1063" s="270" t="s">
        <v>4269</v>
      </c>
      <c r="J1063" s="270" t="s">
        <v>3928</v>
      </c>
      <c r="K1063" s="270">
        <v>6117</v>
      </c>
      <c r="L1063" s="270">
        <v>497200</v>
      </c>
      <c r="M1063" s="270" t="s">
        <v>3943</v>
      </c>
      <c r="N1063" s="270" t="s">
        <v>5242</v>
      </c>
      <c r="O1063" s="270">
        <v>3016.38</v>
      </c>
      <c r="P1063" s="270" t="s">
        <v>3930</v>
      </c>
      <c r="Q1063" s="270" t="s">
        <v>3931</v>
      </c>
      <c r="R1063" s="270">
        <v>8016.38</v>
      </c>
      <c r="S1063" s="270">
        <v>31480</v>
      </c>
      <c r="T1063" s="270">
        <v>39496.379999999997</v>
      </c>
      <c r="U1063" s="271" t="s">
        <v>3932</v>
      </c>
      <c r="V1063" s="267" t="s">
        <v>944</v>
      </c>
    </row>
    <row r="1064" spans="1:22" hidden="1" x14ac:dyDescent="0.25">
      <c r="A1064" s="266">
        <v>43527</v>
      </c>
      <c r="B1064" s="267">
        <v>2019</v>
      </c>
      <c r="C1064" s="267">
        <v>2019</v>
      </c>
      <c r="D1064" s="267">
        <v>1</v>
      </c>
      <c r="E1064" s="267">
        <v>1</v>
      </c>
      <c r="F1064" s="267" t="s">
        <v>944</v>
      </c>
      <c r="G1064" s="267" t="s">
        <v>3926</v>
      </c>
      <c r="H1064" s="267" t="s">
        <v>5243</v>
      </c>
      <c r="I1064" s="267" t="s">
        <v>934</v>
      </c>
      <c r="J1064" s="267" t="s">
        <v>3928</v>
      </c>
      <c r="K1064" s="267">
        <v>6606</v>
      </c>
      <c r="L1064" s="267">
        <v>72500</v>
      </c>
      <c r="M1064" s="267" t="s">
        <v>3940</v>
      </c>
      <c r="N1064" s="267" t="s">
        <v>3986</v>
      </c>
      <c r="O1064" s="267">
        <v>2788.65</v>
      </c>
      <c r="P1064" s="267" t="s">
        <v>3930</v>
      </c>
      <c r="Q1064" s="267" t="s">
        <v>3931</v>
      </c>
      <c r="R1064" s="267">
        <v>7788.65</v>
      </c>
      <c r="S1064" s="267">
        <v>16196.8</v>
      </c>
      <c r="T1064" s="267">
        <v>23985.45</v>
      </c>
      <c r="U1064" s="268" t="s">
        <v>3932</v>
      </c>
      <c r="V1064" s="267" t="s">
        <v>944</v>
      </c>
    </row>
    <row r="1065" spans="1:22" hidden="1" x14ac:dyDescent="0.25">
      <c r="A1065" s="269">
        <v>43527</v>
      </c>
      <c r="B1065" s="270">
        <v>2019</v>
      </c>
      <c r="C1065" s="270">
        <v>2019</v>
      </c>
      <c r="D1065" s="270">
        <v>1</v>
      </c>
      <c r="E1065" s="270">
        <v>1</v>
      </c>
      <c r="F1065" s="270" t="s">
        <v>944</v>
      </c>
      <c r="G1065" s="270" t="s">
        <v>3926</v>
      </c>
      <c r="H1065" s="270" t="s">
        <v>5244</v>
      </c>
      <c r="I1065" s="270" t="s">
        <v>3939</v>
      </c>
      <c r="J1065" s="270" t="s">
        <v>3928</v>
      </c>
      <c r="K1065" s="270">
        <v>6512</v>
      </c>
      <c r="L1065" s="270">
        <v>180400</v>
      </c>
      <c r="M1065" s="270" t="s">
        <v>3935</v>
      </c>
      <c r="N1065" s="270" t="s">
        <v>4103</v>
      </c>
      <c r="O1065" s="270">
        <v>1468.57</v>
      </c>
      <c r="P1065" s="270" t="s">
        <v>3930</v>
      </c>
      <c r="Q1065" s="270" t="s">
        <v>3931</v>
      </c>
      <c r="R1065" s="270">
        <v>6468.57</v>
      </c>
      <c r="S1065" s="270">
        <v>24145.599999999999</v>
      </c>
      <c r="T1065" s="270">
        <v>30614.17</v>
      </c>
      <c r="U1065" s="271" t="s">
        <v>3932</v>
      </c>
      <c r="V1065" s="267" t="s">
        <v>944</v>
      </c>
    </row>
    <row r="1066" spans="1:22" hidden="1" x14ac:dyDescent="0.25">
      <c r="A1066" s="266">
        <v>43528</v>
      </c>
      <c r="B1066" s="267">
        <v>2019</v>
      </c>
      <c r="C1066" s="267">
        <v>2019</v>
      </c>
      <c r="D1066" s="267">
        <v>1</v>
      </c>
      <c r="E1066" s="267">
        <v>1</v>
      </c>
      <c r="F1066" s="267" t="s">
        <v>944</v>
      </c>
      <c r="G1066" s="267" t="s">
        <v>3926</v>
      </c>
      <c r="H1066" s="267" t="s">
        <v>5245</v>
      </c>
      <c r="I1066" s="267" t="s">
        <v>4037</v>
      </c>
      <c r="J1066" s="267" t="s">
        <v>3928</v>
      </c>
      <c r="K1066" s="267">
        <v>6810</v>
      </c>
      <c r="L1066" s="267">
        <v>210500</v>
      </c>
      <c r="M1066" s="267" t="s">
        <v>3960</v>
      </c>
      <c r="N1066" s="267" t="s">
        <v>5246</v>
      </c>
      <c r="O1066" s="267">
        <v>0</v>
      </c>
      <c r="P1066" s="267" t="s">
        <v>3930</v>
      </c>
      <c r="Q1066" s="267" t="s">
        <v>3930</v>
      </c>
      <c r="R1066" s="267">
        <v>0</v>
      </c>
      <c r="S1066" s="267">
        <v>4081</v>
      </c>
      <c r="T1066" s="267">
        <v>4081</v>
      </c>
      <c r="U1066" s="268" t="s">
        <v>3937</v>
      </c>
      <c r="V1066" s="267" t="s">
        <v>944</v>
      </c>
    </row>
    <row r="1067" spans="1:22" hidden="1" x14ac:dyDescent="0.25">
      <c r="A1067" s="269">
        <v>43528</v>
      </c>
      <c r="B1067" s="270">
        <v>2019</v>
      </c>
      <c r="C1067" s="270">
        <v>2019</v>
      </c>
      <c r="D1067" s="270">
        <v>1</v>
      </c>
      <c r="E1067" s="270">
        <v>1</v>
      </c>
      <c r="F1067" s="270" t="s">
        <v>944</v>
      </c>
      <c r="G1067" s="270" t="s">
        <v>3926</v>
      </c>
      <c r="H1067" s="270" t="s">
        <v>5247</v>
      </c>
      <c r="I1067" s="270" t="s">
        <v>3934</v>
      </c>
      <c r="J1067" s="270" t="s">
        <v>3928</v>
      </c>
      <c r="K1067" s="270">
        <v>6405</v>
      </c>
      <c r="L1067" s="270">
        <v>184400</v>
      </c>
      <c r="M1067" s="270" t="s">
        <v>3935</v>
      </c>
      <c r="N1067" s="270" t="s">
        <v>5248</v>
      </c>
      <c r="O1067" s="270">
        <v>0</v>
      </c>
      <c r="P1067" s="270" t="s">
        <v>3930</v>
      </c>
      <c r="Q1067" s="270" t="s">
        <v>3930</v>
      </c>
      <c r="R1067" s="270">
        <v>0</v>
      </c>
      <c r="S1067" s="270">
        <v>13706.41</v>
      </c>
      <c r="T1067" s="270">
        <v>13706.41</v>
      </c>
      <c r="U1067" s="271" t="s">
        <v>3937</v>
      </c>
      <c r="V1067" s="267" t="s">
        <v>944</v>
      </c>
    </row>
    <row r="1068" spans="1:22" hidden="1" x14ac:dyDescent="0.25">
      <c r="A1068" s="266">
        <v>43528</v>
      </c>
      <c r="B1068" s="267">
        <v>2019</v>
      </c>
      <c r="C1068" s="267">
        <v>2019</v>
      </c>
      <c r="D1068" s="267">
        <v>1</v>
      </c>
      <c r="E1068" s="267">
        <v>1</v>
      </c>
      <c r="F1068" s="267" t="s">
        <v>944</v>
      </c>
      <c r="G1068" s="267" t="s">
        <v>3926</v>
      </c>
      <c r="H1068" s="267" t="s">
        <v>5249</v>
      </c>
      <c r="I1068" s="267" t="s">
        <v>4019</v>
      </c>
      <c r="J1068" s="267" t="s">
        <v>3928</v>
      </c>
      <c r="K1068" s="267">
        <v>6710</v>
      </c>
      <c r="L1068" s="267">
        <v>350900</v>
      </c>
      <c r="M1068" s="267" t="s">
        <v>3935</v>
      </c>
      <c r="N1068" s="267" t="s">
        <v>5250</v>
      </c>
      <c r="O1068" s="267">
        <v>0</v>
      </c>
      <c r="P1068" s="267" t="s">
        <v>3930</v>
      </c>
      <c r="Q1068" s="267" t="s">
        <v>3930</v>
      </c>
      <c r="R1068" s="267">
        <v>0</v>
      </c>
      <c r="S1068" s="267">
        <v>7848.63</v>
      </c>
      <c r="T1068" s="267">
        <v>7848.63</v>
      </c>
      <c r="U1068" s="268" t="s">
        <v>3937</v>
      </c>
      <c r="V1068" s="267" t="s">
        <v>944</v>
      </c>
    </row>
    <row r="1069" spans="1:22" hidden="1" x14ac:dyDescent="0.25">
      <c r="A1069" s="269">
        <v>43528</v>
      </c>
      <c r="B1069" s="270">
        <v>2019</v>
      </c>
      <c r="C1069" s="270">
        <v>2019</v>
      </c>
      <c r="D1069" s="270">
        <v>1</v>
      </c>
      <c r="E1069" s="270">
        <v>1</v>
      </c>
      <c r="F1069" s="270" t="s">
        <v>944</v>
      </c>
      <c r="G1069" s="270" t="s">
        <v>3926</v>
      </c>
      <c r="H1069" s="270" t="s">
        <v>5251</v>
      </c>
      <c r="I1069" s="270" t="s">
        <v>3934</v>
      </c>
      <c r="J1069" s="270" t="s">
        <v>3928</v>
      </c>
      <c r="K1069" s="270">
        <v>6405</v>
      </c>
      <c r="L1069" s="270">
        <v>184200</v>
      </c>
      <c r="M1069" s="270" t="s">
        <v>3940</v>
      </c>
      <c r="N1069" s="270" t="s">
        <v>5252</v>
      </c>
      <c r="O1069" s="270">
        <v>0</v>
      </c>
      <c r="P1069" s="270" t="s">
        <v>3930</v>
      </c>
      <c r="Q1069" s="270" t="s">
        <v>3930</v>
      </c>
      <c r="R1069" s="270">
        <v>0</v>
      </c>
      <c r="S1069" s="270">
        <v>8294</v>
      </c>
      <c r="T1069" s="270">
        <v>8294</v>
      </c>
      <c r="U1069" s="271" t="s">
        <v>3937</v>
      </c>
      <c r="V1069" s="267" t="s">
        <v>944</v>
      </c>
    </row>
    <row r="1070" spans="1:22" hidden="1" x14ac:dyDescent="0.25">
      <c r="A1070" s="266">
        <v>43528</v>
      </c>
      <c r="B1070" s="267">
        <v>2019</v>
      </c>
      <c r="C1070" s="267">
        <v>2019</v>
      </c>
      <c r="D1070" s="267">
        <v>1</v>
      </c>
      <c r="E1070" s="267">
        <v>1</v>
      </c>
      <c r="F1070" s="267" t="s">
        <v>944</v>
      </c>
      <c r="G1070" s="267" t="s">
        <v>3926</v>
      </c>
      <c r="H1070" s="267" t="s">
        <v>5253</v>
      </c>
      <c r="I1070" s="267" t="s">
        <v>4055</v>
      </c>
      <c r="J1070" s="267" t="s">
        <v>3928</v>
      </c>
      <c r="K1070" s="267">
        <v>6070</v>
      </c>
      <c r="L1070" s="267">
        <v>466201</v>
      </c>
      <c r="M1070" s="267" t="s">
        <v>3960</v>
      </c>
      <c r="N1070" s="267" t="s">
        <v>4732</v>
      </c>
      <c r="O1070" s="267">
        <v>0</v>
      </c>
      <c r="P1070" s="267" t="s">
        <v>3930</v>
      </c>
      <c r="Q1070" s="267" t="s">
        <v>3930</v>
      </c>
      <c r="R1070" s="267">
        <v>0</v>
      </c>
      <c r="S1070" s="267">
        <v>9000</v>
      </c>
      <c r="T1070" s="267">
        <v>9000</v>
      </c>
      <c r="U1070" s="268" t="s">
        <v>3937</v>
      </c>
      <c r="V1070" s="267" t="s">
        <v>944</v>
      </c>
    </row>
    <row r="1071" spans="1:22" hidden="1" x14ac:dyDescent="0.25">
      <c r="A1071" s="269">
        <v>43528</v>
      </c>
      <c r="B1071" s="270">
        <v>2019</v>
      </c>
      <c r="C1071" s="270">
        <v>2019</v>
      </c>
      <c r="D1071" s="270">
        <v>1</v>
      </c>
      <c r="E1071" s="270">
        <v>1</v>
      </c>
      <c r="F1071" s="270" t="s">
        <v>944</v>
      </c>
      <c r="G1071" s="270" t="s">
        <v>3926</v>
      </c>
      <c r="H1071" s="270" t="s">
        <v>5254</v>
      </c>
      <c r="I1071" s="270" t="s">
        <v>3956</v>
      </c>
      <c r="J1071" s="270" t="s">
        <v>3928</v>
      </c>
      <c r="K1071" s="270">
        <v>6120</v>
      </c>
      <c r="L1071" s="270">
        <v>500900</v>
      </c>
      <c r="M1071" s="270">
        <v>-60</v>
      </c>
      <c r="N1071" s="270" t="s">
        <v>4103</v>
      </c>
      <c r="O1071" s="270">
        <v>4864.7700000000004</v>
      </c>
      <c r="P1071" s="270" t="s">
        <v>3930</v>
      </c>
      <c r="Q1071" s="270" t="s">
        <v>3931</v>
      </c>
      <c r="R1071" s="270">
        <v>9864.77</v>
      </c>
      <c r="S1071" s="270">
        <v>24145.599999999999</v>
      </c>
      <c r="T1071" s="270">
        <v>34010.370000000003</v>
      </c>
      <c r="U1071" s="271" t="s">
        <v>3932</v>
      </c>
      <c r="V1071" s="267" t="s">
        <v>944</v>
      </c>
    </row>
    <row r="1072" spans="1:22" x14ac:dyDescent="0.25">
      <c r="A1072" s="266">
        <v>43528</v>
      </c>
      <c r="B1072" s="267">
        <v>2019</v>
      </c>
      <c r="C1072" s="267">
        <v>2019</v>
      </c>
      <c r="D1072" s="267">
        <v>1</v>
      </c>
      <c r="E1072" s="267">
        <v>1</v>
      </c>
      <c r="F1072" s="267" t="s">
        <v>944</v>
      </c>
      <c r="G1072" s="267" t="s">
        <v>3926</v>
      </c>
      <c r="H1072" s="267" t="s">
        <v>5255</v>
      </c>
      <c r="I1072" s="267" t="s">
        <v>934</v>
      </c>
      <c r="J1072" s="267" t="s">
        <v>3928</v>
      </c>
      <c r="K1072" s="267">
        <v>6610</v>
      </c>
      <c r="L1072" s="267">
        <v>73700</v>
      </c>
      <c r="M1072" s="267">
        <v>-60</v>
      </c>
      <c r="N1072" s="267" t="s">
        <v>3986</v>
      </c>
      <c r="O1072" s="267">
        <v>3019.59</v>
      </c>
      <c r="P1072" s="267" t="s">
        <v>3930</v>
      </c>
      <c r="Q1072" s="267" t="s">
        <v>3931</v>
      </c>
      <c r="R1072" s="267">
        <v>8019.59</v>
      </c>
      <c r="S1072" s="267">
        <v>16196.8</v>
      </c>
      <c r="T1072" s="267">
        <v>24216.39</v>
      </c>
      <c r="U1072" s="268" t="s">
        <v>3932</v>
      </c>
      <c r="V1072" s="276" t="s">
        <v>936</v>
      </c>
    </row>
    <row r="1073" spans="1:22" hidden="1" x14ac:dyDescent="0.25">
      <c r="A1073" s="269">
        <v>43528</v>
      </c>
      <c r="B1073" s="270">
        <v>2019</v>
      </c>
      <c r="C1073" s="270">
        <v>2019</v>
      </c>
      <c r="D1073" s="270">
        <v>1</v>
      </c>
      <c r="E1073" s="270">
        <v>1</v>
      </c>
      <c r="F1073" s="270" t="s">
        <v>944</v>
      </c>
      <c r="G1073" s="270" t="s">
        <v>3926</v>
      </c>
      <c r="H1073" s="270" t="s">
        <v>5256</v>
      </c>
      <c r="I1073" s="270" t="s">
        <v>4003</v>
      </c>
      <c r="J1073" s="270" t="s">
        <v>3928</v>
      </c>
      <c r="K1073" s="270">
        <v>6374</v>
      </c>
      <c r="L1073" s="270">
        <v>907300</v>
      </c>
      <c r="M1073" s="270" t="s">
        <v>3935</v>
      </c>
      <c r="N1073" s="270" t="s">
        <v>4103</v>
      </c>
      <c r="O1073" s="270">
        <v>1689.45</v>
      </c>
      <c r="P1073" s="270" t="s">
        <v>3930</v>
      </c>
      <c r="Q1073" s="270" t="s">
        <v>3931</v>
      </c>
      <c r="R1073" s="270">
        <v>6689.45</v>
      </c>
      <c r="S1073" s="270">
        <v>24145.599999999999</v>
      </c>
      <c r="T1073" s="270">
        <v>30835.05</v>
      </c>
      <c r="U1073" s="271" t="s">
        <v>3932</v>
      </c>
      <c r="V1073" s="267" t="s">
        <v>944</v>
      </c>
    </row>
    <row r="1074" spans="1:22" hidden="1" x14ac:dyDescent="0.25">
      <c r="A1074" s="266">
        <v>43528</v>
      </c>
      <c r="B1074" s="267">
        <v>2019</v>
      </c>
      <c r="C1074" s="267">
        <v>2019</v>
      </c>
      <c r="D1074" s="267">
        <v>1</v>
      </c>
      <c r="E1074" s="267">
        <v>1</v>
      </c>
      <c r="F1074" s="267" t="s">
        <v>944</v>
      </c>
      <c r="G1074" s="267" t="s">
        <v>3926</v>
      </c>
      <c r="H1074" s="267" t="s">
        <v>5257</v>
      </c>
      <c r="I1074" s="267" t="s">
        <v>4424</v>
      </c>
      <c r="J1074" s="267" t="s">
        <v>3928</v>
      </c>
      <c r="K1074" s="267">
        <v>6417</v>
      </c>
      <c r="L1074" s="267">
        <v>620100</v>
      </c>
      <c r="M1074" s="267" t="s">
        <v>3935</v>
      </c>
      <c r="N1074" s="267" t="s">
        <v>4732</v>
      </c>
      <c r="O1074" s="267">
        <v>2081</v>
      </c>
      <c r="P1074" s="267" t="s">
        <v>3930</v>
      </c>
      <c r="Q1074" s="267" t="s">
        <v>3930</v>
      </c>
      <c r="R1074" s="267">
        <v>2081</v>
      </c>
      <c r="S1074" s="267">
        <v>13573</v>
      </c>
      <c r="T1074" s="267">
        <v>15654</v>
      </c>
      <c r="U1074" s="268" t="s">
        <v>3937</v>
      </c>
      <c r="V1074" s="267" t="s">
        <v>944</v>
      </c>
    </row>
    <row r="1075" spans="1:22" hidden="1" x14ac:dyDescent="0.25">
      <c r="A1075" s="269">
        <v>43528</v>
      </c>
      <c r="B1075" s="270">
        <v>2019</v>
      </c>
      <c r="C1075" s="270">
        <v>2019</v>
      </c>
      <c r="D1075" s="270">
        <v>1</v>
      </c>
      <c r="E1075" s="270">
        <v>1</v>
      </c>
      <c r="F1075" s="270" t="s">
        <v>944</v>
      </c>
      <c r="G1075" s="270" t="s">
        <v>3926</v>
      </c>
      <c r="H1075" s="270" t="s">
        <v>5258</v>
      </c>
      <c r="I1075" s="270" t="s">
        <v>4069</v>
      </c>
      <c r="J1075" s="270" t="s">
        <v>3928</v>
      </c>
      <c r="K1075" s="270">
        <v>6906</v>
      </c>
      <c r="L1075" s="270">
        <v>21802</v>
      </c>
      <c r="M1075" s="270" t="s">
        <v>3940</v>
      </c>
      <c r="N1075" s="270" t="s">
        <v>3944</v>
      </c>
      <c r="O1075" s="270">
        <v>1700</v>
      </c>
      <c r="P1075" s="270" t="s">
        <v>3944</v>
      </c>
      <c r="Q1075" s="270" t="s">
        <v>3944</v>
      </c>
      <c r="R1075" s="270">
        <v>1700</v>
      </c>
      <c r="S1075" s="270">
        <v>38460</v>
      </c>
      <c r="T1075" s="270">
        <v>40160</v>
      </c>
      <c r="U1075" s="271" t="s">
        <v>3945</v>
      </c>
      <c r="V1075" s="267" t="s">
        <v>944</v>
      </c>
    </row>
    <row r="1076" spans="1:22" hidden="1" x14ac:dyDescent="0.25">
      <c r="A1076" s="266">
        <v>43528</v>
      </c>
      <c r="B1076" s="267">
        <v>2019</v>
      </c>
      <c r="C1076" s="267">
        <v>2019</v>
      </c>
      <c r="D1076" s="267">
        <v>1</v>
      </c>
      <c r="E1076" s="267">
        <v>1</v>
      </c>
      <c r="F1076" s="267" t="s">
        <v>944</v>
      </c>
      <c r="G1076" s="267" t="s">
        <v>3926</v>
      </c>
      <c r="H1076" s="267" t="s">
        <v>5259</v>
      </c>
      <c r="I1076" s="267" t="s">
        <v>953</v>
      </c>
      <c r="J1076" s="267" t="s">
        <v>3928</v>
      </c>
      <c r="K1076" s="267">
        <v>6514</v>
      </c>
      <c r="L1076" s="267">
        <v>165900</v>
      </c>
      <c r="M1076" s="267" t="s">
        <v>3943</v>
      </c>
      <c r="N1076" s="267" t="s">
        <v>3944</v>
      </c>
      <c r="O1076" s="267">
        <v>3583</v>
      </c>
      <c r="P1076" s="267" t="s">
        <v>3944</v>
      </c>
      <c r="Q1076" s="267" t="s">
        <v>3944</v>
      </c>
      <c r="R1076" s="267">
        <v>3583</v>
      </c>
      <c r="S1076" s="267">
        <v>33175</v>
      </c>
      <c r="T1076" s="267">
        <v>36758</v>
      </c>
      <c r="U1076" s="268" t="s">
        <v>3945</v>
      </c>
      <c r="V1076" s="267" t="s">
        <v>944</v>
      </c>
    </row>
    <row r="1077" spans="1:22" hidden="1" x14ac:dyDescent="0.25">
      <c r="A1077" s="269">
        <v>43528</v>
      </c>
      <c r="B1077" s="270">
        <v>2019</v>
      </c>
      <c r="C1077" s="270">
        <v>2019</v>
      </c>
      <c r="D1077" s="270">
        <v>1</v>
      </c>
      <c r="E1077" s="270">
        <v>1</v>
      </c>
      <c r="F1077" s="270" t="s">
        <v>944</v>
      </c>
      <c r="G1077" s="270" t="s">
        <v>3926</v>
      </c>
      <c r="H1077" s="270" t="s">
        <v>5260</v>
      </c>
      <c r="I1077" s="270" t="s">
        <v>953</v>
      </c>
      <c r="J1077" s="270" t="s">
        <v>3928</v>
      </c>
      <c r="K1077" s="270">
        <v>6518</v>
      </c>
      <c r="L1077" s="270">
        <v>165900</v>
      </c>
      <c r="M1077" s="270" t="s">
        <v>3943</v>
      </c>
      <c r="N1077" s="270" t="s">
        <v>3944</v>
      </c>
      <c r="O1077" s="270">
        <v>4028</v>
      </c>
      <c r="P1077" s="270" t="s">
        <v>3944</v>
      </c>
      <c r="Q1077" s="270" t="s">
        <v>3944</v>
      </c>
      <c r="R1077" s="270">
        <v>4028</v>
      </c>
      <c r="S1077" s="270">
        <v>28902.37</v>
      </c>
      <c r="T1077" s="270">
        <v>32930.370000000003</v>
      </c>
      <c r="U1077" s="271" t="s">
        <v>3945</v>
      </c>
      <c r="V1077" s="267" t="s">
        <v>944</v>
      </c>
    </row>
    <row r="1078" spans="1:22" hidden="1" x14ac:dyDescent="0.25">
      <c r="A1078" s="266">
        <v>43528</v>
      </c>
      <c r="B1078" s="267">
        <v>2019</v>
      </c>
      <c r="C1078" s="267">
        <v>2019</v>
      </c>
      <c r="D1078" s="267">
        <v>1</v>
      </c>
      <c r="E1078" s="267">
        <v>1</v>
      </c>
      <c r="F1078" s="267" t="s">
        <v>944</v>
      </c>
      <c r="G1078" s="267" t="s">
        <v>3926</v>
      </c>
      <c r="H1078" s="267" t="s">
        <v>5261</v>
      </c>
      <c r="I1078" s="267" t="s">
        <v>3975</v>
      </c>
      <c r="J1078" s="267" t="s">
        <v>3928</v>
      </c>
      <c r="K1078" s="267">
        <v>6489</v>
      </c>
      <c r="L1078" s="267">
        <v>430602</v>
      </c>
      <c r="M1078" s="267" t="s">
        <v>3960</v>
      </c>
      <c r="N1078" s="267" t="s">
        <v>3944</v>
      </c>
      <c r="O1078" s="267">
        <v>2703</v>
      </c>
      <c r="P1078" s="267" t="s">
        <v>3944</v>
      </c>
      <c r="Q1078" s="267" t="s">
        <v>3944</v>
      </c>
      <c r="R1078" s="267">
        <v>2703</v>
      </c>
      <c r="S1078" s="267">
        <v>19347</v>
      </c>
      <c r="T1078" s="267">
        <v>22050</v>
      </c>
      <c r="U1078" s="268" t="s">
        <v>3945</v>
      </c>
      <c r="V1078" s="267" t="s">
        <v>944</v>
      </c>
    </row>
    <row r="1079" spans="1:22" hidden="1" x14ac:dyDescent="0.25">
      <c r="A1079" s="269">
        <v>43528</v>
      </c>
      <c r="B1079" s="270">
        <v>2019</v>
      </c>
      <c r="C1079" s="270">
        <v>2019</v>
      </c>
      <c r="D1079" s="270">
        <v>1</v>
      </c>
      <c r="E1079" s="270">
        <v>1</v>
      </c>
      <c r="F1079" s="270" t="s">
        <v>944</v>
      </c>
      <c r="G1079" s="270" t="s">
        <v>3926</v>
      </c>
      <c r="H1079" s="270" t="s">
        <v>5262</v>
      </c>
      <c r="I1079" s="270" t="s">
        <v>3966</v>
      </c>
      <c r="J1079" s="270" t="s">
        <v>3928</v>
      </c>
      <c r="K1079" s="270">
        <v>6010</v>
      </c>
      <c r="L1079" s="270">
        <v>405401</v>
      </c>
      <c r="M1079" s="270" t="s">
        <v>3935</v>
      </c>
      <c r="N1079" s="270" t="s">
        <v>3944</v>
      </c>
      <c r="O1079" s="270">
        <v>3182</v>
      </c>
      <c r="P1079" s="270" t="s">
        <v>3944</v>
      </c>
      <c r="Q1079" s="270" t="s">
        <v>3944</v>
      </c>
      <c r="R1079" s="270">
        <v>3182</v>
      </c>
      <c r="S1079" s="270">
        <v>34447</v>
      </c>
      <c r="T1079" s="270">
        <v>37629</v>
      </c>
      <c r="U1079" s="271" t="s">
        <v>3945</v>
      </c>
      <c r="V1079" s="267" t="s">
        <v>944</v>
      </c>
    </row>
    <row r="1080" spans="1:22" hidden="1" x14ac:dyDescent="0.25">
      <c r="A1080" s="266">
        <v>43528</v>
      </c>
      <c r="B1080" s="267">
        <v>2019</v>
      </c>
      <c r="C1080" s="267">
        <v>2019</v>
      </c>
      <c r="D1080" s="267">
        <v>1</v>
      </c>
      <c r="E1080" s="267">
        <v>1</v>
      </c>
      <c r="F1080" s="267" t="s">
        <v>944</v>
      </c>
      <c r="G1080" s="267" t="s">
        <v>3926</v>
      </c>
      <c r="H1080" s="267" t="s">
        <v>5263</v>
      </c>
      <c r="I1080" s="267" t="s">
        <v>3999</v>
      </c>
      <c r="J1080" s="267" t="s">
        <v>3928</v>
      </c>
      <c r="K1080" s="267">
        <v>6451</v>
      </c>
      <c r="L1080" s="267">
        <v>171600</v>
      </c>
      <c r="M1080" s="267" t="s">
        <v>3940</v>
      </c>
      <c r="N1080" s="267" t="s">
        <v>3944</v>
      </c>
      <c r="O1080" s="267">
        <v>1941</v>
      </c>
      <c r="P1080" s="267" t="s">
        <v>3944</v>
      </c>
      <c r="Q1080" s="267" t="s">
        <v>3944</v>
      </c>
      <c r="R1080" s="267">
        <v>1941</v>
      </c>
      <c r="S1080" s="267">
        <v>14486</v>
      </c>
      <c r="T1080" s="267">
        <v>16427</v>
      </c>
      <c r="U1080" s="268" t="s">
        <v>3945</v>
      </c>
      <c r="V1080" s="267" t="s">
        <v>944</v>
      </c>
    </row>
    <row r="1081" spans="1:22" hidden="1" x14ac:dyDescent="0.25">
      <c r="A1081" s="269">
        <v>43528</v>
      </c>
      <c r="B1081" s="270">
        <v>2019</v>
      </c>
      <c r="C1081" s="270">
        <v>2019</v>
      </c>
      <c r="D1081" s="270">
        <v>1</v>
      </c>
      <c r="E1081" s="270">
        <v>1</v>
      </c>
      <c r="F1081" s="270" t="s">
        <v>944</v>
      </c>
      <c r="G1081" s="270" t="s">
        <v>3926</v>
      </c>
      <c r="H1081" s="270" t="s">
        <v>5264</v>
      </c>
      <c r="I1081" s="270" t="s">
        <v>4387</v>
      </c>
      <c r="J1081" s="270" t="s">
        <v>3928</v>
      </c>
      <c r="K1081" s="270">
        <v>6751</v>
      </c>
      <c r="L1081" s="270">
        <v>342100</v>
      </c>
      <c r="M1081" s="270" t="s">
        <v>3960</v>
      </c>
      <c r="N1081" s="270" t="s">
        <v>3944</v>
      </c>
      <c r="O1081" s="270">
        <v>3435</v>
      </c>
      <c r="P1081" s="270" t="s">
        <v>3944</v>
      </c>
      <c r="Q1081" s="270" t="s">
        <v>3944</v>
      </c>
      <c r="R1081" s="270">
        <v>3435</v>
      </c>
      <c r="S1081" s="270">
        <v>21765</v>
      </c>
      <c r="T1081" s="270">
        <v>25200</v>
      </c>
      <c r="U1081" s="271" t="s">
        <v>3945</v>
      </c>
      <c r="V1081" s="267" t="s">
        <v>944</v>
      </c>
    </row>
    <row r="1082" spans="1:22" hidden="1" x14ac:dyDescent="0.25">
      <c r="A1082" s="266">
        <v>43529</v>
      </c>
      <c r="B1082" s="267">
        <v>2019</v>
      </c>
      <c r="C1082" s="267">
        <v>2019</v>
      </c>
      <c r="D1082" s="267">
        <v>1</v>
      </c>
      <c r="E1082" s="267">
        <v>1</v>
      </c>
      <c r="F1082" s="267" t="s">
        <v>944</v>
      </c>
      <c r="G1082" s="267" t="s">
        <v>3926</v>
      </c>
      <c r="H1082" s="267" t="s">
        <v>5265</v>
      </c>
      <c r="I1082" s="267" t="s">
        <v>4203</v>
      </c>
      <c r="J1082" s="267" t="s">
        <v>3928</v>
      </c>
      <c r="K1082" s="267">
        <v>6071</v>
      </c>
      <c r="L1082" s="267">
        <v>538201</v>
      </c>
      <c r="M1082" s="267" t="s">
        <v>3943</v>
      </c>
      <c r="N1082" s="267" t="s">
        <v>5266</v>
      </c>
      <c r="O1082" s="267">
        <v>0</v>
      </c>
      <c r="P1082" s="267" t="s">
        <v>3930</v>
      </c>
      <c r="Q1082" s="267" t="s">
        <v>3930</v>
      </c>
      <c r="R1082" s="267">
        <v>0</v>
      </c>
      <c r="S1082" s="267">
        <v>2607.9</v>
      </c>
      <c r="T1082" s="267">
        <v>2607.9</v>
      </c>
      <c r="U1082" s="268" t="s">
        <v>3937</v>
      </c>
      <c r="V1082" s="267" t="s">
        <v>944</v>
      </c>
    </row>
    <row r="1083" spans="1:22" x14ac:dyDescent="0.25">
      <c r="A1083" s="269">
        <v>43529</v>
      </c>
      <c r="B1083" s="270">
        <v>2019</v>
      </c>
      <c r="C1083" s="270">
        <v>2019</v>
      </c>
      <c r="D1083" s="270">
        <v>1</v>
      </c>
      <c r="E1083" s="270">
        <v>1</v>
      </c>
      <c r="F1083" s="270" t="s">
        <v>944</v>
      </c>
      <c r="G1083" s="270" t="s">
        <v>3926</v>
      </c>
      <c r="H1083" s="270" t="s">
        <v>5267</v>
      </c>
      <c r="I1083" s="270" t="s">
        <v>934</v>
      </c>
      <c r="J1083" s="270" t="s">
        <v>3928</v>
      </c>
      <c r="K1083" s="270">
        <v>6605</v>
      </c>
      <c r="L1083" s="270">
        <v>70100</v>
      </c>
      <c r="M1083" s="270" t="s">
        <v>3960</v>
      </c>
      <c r="N1083" s="270" t="s">
        <v>5268</v>
      </c>
      <c r="O1083" s="270">
        <v>0</v>
      </c>
      <c r="P1083" s="270" t="s">
        <v>3930</v>
      </c>
      <c r="Q1083" s="270" t="s">
        <v>3930</v>
      </c>
      <c r="R1083" s="270">
        <v>0</v>
      </c>
      <c r="S1083" s="270">
        <v>7160</v>
      </c>
      <c r="T1083" s="270">
        <v>7160</v>
      </c>
      <c r="U1083" s="271" t="s">
        <v>3937</v>
      </c>
      <c r="V1083" s="276" t="s">
        <v>936</v>
      </c>
    </row>
    <row r="1084" spans="1:22" hidden="1" x14ac:dyDescent="0.25">
      <c r="A1084" s="266">
        <v>43529</v>
      </c>
      <c r="B1084" s="267">
        <v>2019</v>
      </c>
      <c r="C1084" s="267">
        <v>2019</v>
      </c>
      <c r="D1084" s="267">
        <v>1</v>
      </c>
      <c r="E1084" s="267">
        <v>1</v>
      </c>
      <c r="F1084" s="267" t="s">
        <v>944</v>
      </c>
      <c r="G1084" s="267" t="s">
        <v>3926</v>
      </c>
      <c r="H1084" s="267" t="s">
        <v>5269</v>
      </c>
      <c r="I1084" s="267" t="s">
        <v>4087</v>
      </c>
      <c r="J1084" s="267" t="s">
        <v>3928</v>
      </c>
      <c r="K1084" s="267">
        <v>6355</v>
      </c>
      <c r="L1084" s="267">
        <v>702100</v>
      </c>
      <c r="M1084" s="267" t="s">
        <v>3960</v>
      </c>
      <c r="N1084" s="267" t="s">
        <v>5270</v>
      </c>
      <c r="O1084" s="267">
        <v>0</v>
      </c>
      <c r="P1084" s="267" t="s">
        <v>3930</v>
      </c>
      <c r="Q1084" s="267" t="s">
        <v>3930</v>
      </c>
      <c r="R1084" s="267">
        <v>0</v>
      </c>
      <c r="S1084" s="267">
        <v>4900</v>
      </c>
      <c r="T1084" s="267">
        <v>4900</v>
      </c>
      <c r="U1084" s="268" t="s">
        <v>3937</v>
      </c>
      <c r="V1084" s="267" t="s">
        <v>944</v>
      </c>
    </row>
    <row r="1085" spans="1:22" hidden="1" x14ac:dyDescent="0.25">
      <c r="A1085" s="269">
        <v>43529</v>
      </c>
      <c r="B1085" s="270">
        <v>2019</v>
      </c>
      <c r="C1085" s="270">
        <v>2019</v>
      </c>
      <c r="D1085" s="270">
        <v>1</v>
      </c>
      <c r="E1085" s="270">
        <v>1</v>
      </c>
      <c r="F1085" s="270" t="s">
        <v>944</v>
      </c>
      <c r="G1085" s="270" t="s">
        <v>3926</v>
      </c>
      <c r="H1085" s="270" t="s">
        <v>5271</v>
      </c>
      <c r="I1085" s="270" t="s">
        <v>4330</v>
      </c>
      <c r="J1085" s="270" t="s">
        <v>3928</v>
      </c>
      <c r="K1085" s="270">
        <v>6413</v>
      </c>
      <c r="L1085" s="270">
        <v>610200</v>
      </c>
      <c r="M1085" s="270" t="s">
        <v>3940</v>
      </c>
      <c r="N1085" s="270" t="s">
        <v>5272</v>
      </c>
      <c r="O1085" s="270">
        <v>0</v>
      </c>
      <c r="P1085" s="270" t="s">
        <v>3930</v>
      </c>
      <c r="Q1085" s="270" t="s">
        <v>3930</v>
      </c>
      <c r="R1085" s="270">
        <v>0</v>
      </c>
      <c r="S1085" s="270">
        <v>3180</v>
      </c>
      <c r="T1085" s="270">
        <v>3180</v>
      </c>
      <c r="U1085" s="271" t="s">
        <v>3937</v>
      </c>
      <c r="V1085" s="267" t="s">
        <v>944</v>
      </c>
    </row>
    <row r="1086" spans="1:22" hidden="1" x14ac:dyDescent="0.25">
      <c r="A1086" s="266">
        <v>43529</v>
      </c>
      <c r="B1086" s="267">
        <v>2019</v>
      </c>
      <c r="C1086" s="267">
        <v>2019</v>
      </c>
      <c r="D1086" s="267">
        <v>1</v>
      </c>
      <c r="E1086" s="267">
        <v>1</v>
      </c>
      <c r="F1086" s="267" t="s">
        <v>944</v>
      </c>
      <c r="G1086" s="267" t="s">
        <v>3926</v>
      </c>
      <c r="H1086" s="267" t="s">
        <v>5273</v>
      </c>
      <c r="I1086" s="267" t="s">
        <v>4016</v>
      </c>
      <c r="J1086" s="267" t="s">
        <v>3928</v>
      </c>
      <c r="K1086" s="267">
        <v>6770</v>
      </c>
      <c r="L1086" s="267">
        <v>347200</v>
      </c>
      <c r="M1086" s="267" t="s">
        <v>3960</v>
      </c>
      <c r="N1086" s="267" t="s">
        <v>5274</v>
      </c>
      <c r="O1086" s="267">
        <v>2261</v>
      </c>
      <c r="P1086" s="267" t="s">
        <v>3930</v>
      </c>
      <c r="Q1086" s="267" t="s">
        <v>3930</v>
      </c>
      <c r="R1086" s="267">
        <v>2261</v>
      </c>
      <c r="S1086" s="267">
        <v>14286.8</v>
      </c>
      <c r="T1086" s="267">
        <v>16547.8</v>
      </c>
      <c r="U1086" s="268" t="s">
        <v>3937</v>
      </c>
      <c r="V1086" s="267" t="s">
        <v>944</v>
      </c>
    </row>
    <row r="1087" spans="1:22" hidden="1" x14ac:dyDescent="0.25">
      <c r="A1087" s="269">
        <v>43529</v>
      </c>
      <c r="B1087" s="270">
        <v>2019</v>
      </c>
      <c r="C1087" s="270">
        <v>2019</v>
      </c>
      <c r="D1087" s="270">
        <v>1</v>
      </c>
      <c r="E1087" s="270">
        <v>1</v>
      </c>
      <c r="F1087" s="270" t="s">
        <v>944</v>
      </c>
      <c r="G1087" s="270" t="s">
        <v>3926</v>
      </c>
      <c r="H1087" s="270" t="s">
        <v>5275</v>
      </c>
      <c r="I1087" s="270" t="s">
        <v>4213</v>
      </c>
      <c r="J1087" s="270" t="s">
        <v>3928</v>
      </c>
      <c r="K1087" s="270">
        <v>6051</v>
      </c>
      <c r="L1087" s="270">
        <v>415700</v>
      </c>
      <c r="M1087" s="270">
        <v>-60</v>
      </c>
      <c r="N1087" s="270" t="s">
        <v>4103</v>
      </c>
      <c r="O1087" s="270">
        <v>1453.03</v>
      </c>
      <c r="P1087" s="270" t="s">
        <v>3930</v>
      </c>
      <c r="Q1087" s="270" t="s">
        <v>3931</v>
      </c>
      <c r="R1087" s="270">
        <v>6453.03</v>
      </c>
      <c r="S1087" s="270">
        <v>24145.599999999999</v>
      </c>
      <c r="T1087" s="270">
        <v>30598.63</v>
      </c>
      <c r="U1087" s="271" t="s">
        <v>3932</v>
      </c>
      <c r="V1087" s="267" t="s">
        <v>944</v>
      </c>
    </row>
    <row r="1088" spans="1:22" x14ac:dyDescent="0.25">
      <c r="A1088" s="266">
        <v>43529</v>
      </c>
      <c r="B1088" s="267">
        <v>2019</v>
      </c>
      <c r="C1088" s="267">
        <v>2019</v>
      </c>
      <c r="D1088" s="267">
        <v>1</v>
      </c>
      <c r="E1088" s="267">
        <v>1</v>
      </c>
      <c r="F1088" s="267" t="s">
        <v>944</v>
      </c>
      <c r="G1088" s="267" t="s">
        <v>3926</v>
      </c>
      <c r="H1088" s="267" t="s">
        <v>5276</v>
      </c>
      <c r="I1088" s="267" t="s">
        <v>934</v>
      </c>
      <c r="J1088" s="267" t="s">
        <v>3928</v>
      </c>
      <c r="K1088" s="267">
        <v>6606</v>
      </c>
      <c r="L1088" s="267">
        <v>72200</v>
      </c>
      <c r="M1088" s="267">
        <v>-60</v>
      </c>
      <c r="N1088" s="267" t="s">
        <v>3929</v>
      </c>
      <c r="O1088" s="267">
        <v>5814.27</v>
      </c>
      <c r="P1088" s="267" t="s">
        <v>3930</v>
      </c>
      <c r="Q1088" s="267" t="s">
        <v>3931</v>
      </c>
      <c r="R1088" s="267">
        <v>10814.27</v>
      </c>
      <c r="S1088" s="267">
        <v>34744</v>
      </c>
      <c r="T1088" s="267">
        <v>45558.27</v>
      </c>
      <c r="U1088" s="268" t="s">
        <v>3932</v>
      </c>
      <c r="V1088" s="276" t="s">
        <v>936</v>
      </c>
    </row>
    <row r="1089" spans="1:22" hidden="1" x14ac:dyDescent="0.25">
      <c r="A1089" s="269">
        <v>43529</v>
      </c>
      <c r="B1089" s="270">
        <v>2019</v>
      </c>
      <c r="C1089" s="270">
        <v>2019</v>
      </c>
      <c r="D1089" s="270">
        <v>1</v>
      </c>
      <c r="E1089" s="270">
        <v>1</v>
      </c>
      <c r="F1089" s="270" t="s">
        <v>944</v>
      </c>
      <c r="G1089" s="270" t="s">
        <v>3926</v>
      </c>
      <c r="H1089" s="270" t="s">
        <v>5277</v>
      </c>
      <c r="I1089" s="270" t="s">
        <v>4301</v>
      </c>
      <c r="J1089" s="270" t="s">
        <v>3928</v>
      </c>
      <c r="K1089" s="270">
        <v>6359</v>
      </c>
      <c r="L1089" s="270">
        <v>707100</v>
      </c>
      <c r="M1089" s="270" t="s">
        <v>3935</v>
      </c>
      <c r="N1089" s="270" t="s">
        <v>3944</v>
      </c>
      <c r="O1089" s="270">
        <v>4640</v>
      </c>
      <c r="P1089" s="270" t="s">
        <v>3944</v>
      </c>
      <c r="Q1089" s="270" t="s">
        <v>3944</v>
      </c>
      <c r="R1089" s="270">
        <v>4640</v>
      </c>
      <c r="S1089" s="270">
        <v>33592</v>
      </c>
      <c r="T1089" s="270">
        <v>38232</v>
      </c>
      <c r="U1089" s="271" t="s">
        <v>3945</v>
      </c>
      <c r="V1089" s="267" t="s">
        <v>944</v>
      </c>
    </row>
    <row r="1090" spans="1:22" hidden="1" x14ac:dyDescent="0.25">
      <c r="A1090" s="266">
        <v>43529</v>
      </c>
      <c r="B1090" s="267">
        <v>2019</v>
      </c>
      <c r="C1090" s="267">
        <v>2019</v>
      </c>
      <c r="D1090" s="267">
        <v>1</v>
      </c>
      <c r="E1090" s="267">
        <v>1</v>
      </c>
      <c r="F1090" s="267" t="s">
        <v>944</v>
      </c>
      <c r="G1090" s="267" t="s">
        <v>3926</v>
      </c>
      <c r="H1090" s="267" t="s">
        <v>5278</v>
      </c>
      <c r="I1090" s="267" t="s">
        <v>4318</v>
      </c>
      <c r="J1090" s="267" t="s">
        <v>3928</v>
      </c>
      <c r="K1090" s="267">
        <v>6278</v>
      </c>
      <c r="L1090" s="267">
        <v>830100</v>
      </c>
      <c r="M1090" s="267" t="s">
        <v>3935</v>
      </c>
      <c r="N1090" s="267" t="s">
        <v>3944</v>
      </c>
      <c r="O1090" s="267">
        <v>1255</v>
      </c>
      <c r="P1090" s="267" t="s">
        <v>3944</v>
      </c>
      <c r="Q1090" s="267" t="s">
        <v>3944</v>
      </c>
      <c r="R1090" s="267">
        <v>1255</v>
      </c>
      <c r="S1090" s="267">
        <v>14101.25</v>
      </c>
      <c r="T1090" s="267">
        <v>15356.25</v>
      </c>
      <c r="U1090" s="268" t="s">
        <v>3945</v>
      </c>
      <c r="V1090" s="267" t="s">
        <v>944</v>
      </c>
    </row>
    <row r="1091" spans="1:22" hidden="1" x14ac:dyDescent="0.25">
      <c r="A1091" s="269">
        <v>43529</v>
      </c>
      <c r="B1091" s="270">
        <v>2019</v>
      </c>
      <c r="C1091" s="270">
        <v>2019</v>
      </c>
      <c r="D1091" s="270">
        <v>1</v>
      </c>
      <c r="E1091" s="270">
        <v>1</v>
      </c>
      <c r="F1091" s="270" t="s">
        <v>944</v>
      </c>
      <c r="G1091" s="270" t="s">
        <v>3926</v>
      </c>
      <c r="H1091" s="270" t="s">
        <v>5279</v>
      </c>
      <c r="I1091" s="270" t="s">
        <v>3968</v>
      </c>
      <c r="J1091" s="270" t="s">
        <v>3928</v>
      </c>
      <c r="K1091" s="270">
        <v>6040</v>
      </c>
      <c r="L1091" s="270">
        <v>515000</v>
      </c>
      <c r="M1091" s="270" t="s">
        <v>3943</v>
      </c>
      <c r="N1091" s="270" t="s">
        <v>3944</v>
      </c>
      <c r="O1091" s="270">
        <v>5042</v>
      </c>
      <c r="P1091" s="270" t="s">
        <v>3944</v>
      </c>
      <c r="Q1091" s="270" t="s">
        <v>3944</v>
      </c>
      <c r="R1091" s="270">
        <v>5042</v>
      </c>
      <c r="S1091" s="270">
        <v>37370</v>
      </c>
      <c r="T1091" s="270">
        <v>42412</v>
      </c>
      <c r="U1091" s="271" t="s">
        <v>3945</v>
      </c>
      <c r="V1091" s="267" t="s">
        <v>944</v>
      </c>
    </row>
    <row r="1092" spans="1:22" hidden="1" x14ac:dyDescent="0.25">
      <c r="A1092" s="266">
        <v>43529</v>
      </c>
      <c r="B1092" s="267">
        <v>2019</v>
      </c>
      <c r="C1092" s="267">
        <v>2019</v>
      </c>
      <c r="D1092" s="267">
        <v>1</v>
      </c>
      <c r="E1092" s="267">
        <v>1</v>
      </c>
      <c r="F1092" s="267" t="s">
        <v>944</v>
      </c>
      <c r="G1092" s="267" t="s">
        <v>3926</v>
      </c>
      <c r="H1092" s="267" t="s">
        <v>5280</v>
      </c>
      <c r="I1092" s="267" t="s">
        <v>934</v>
      </c>
      <c r="J1092" s="267" t="s">
        <v>3928</v>
      </c>
      <c r="K1092" s="267">
        <v>6606</v>
      </c>
      <c r="L1092" s="267">
        <v>72600</v>
      </c>
      <c r="M1092" s="267" t="s">
        <v>3940</v>
      </c>
      <c r="N1092" s="267" t="s">
        <v>3944</v>
      </c>
      <c r="O1092" s="267">
        <v>2734</v>
      </c>
      <c r="P1092" s="267" t="s">
        <v>3944</v>
      </c>
      <c r="Q1092" s="267" t="s">
        <v>3944</v>
      </c>
      <c r="R1092" s="267">
        <v>2734</v>
      </c>
      <c r="S1092" s="267">
        <v>26297</v>
      </c>
      <c r="T1092" s="267">
        <v>29031</v>
      </c>
      <c r="U1092" s="268" t="s">
        <v>3945</v>
      </c>
      <c r="V1092" s="267" t="s">
        <v>944</v>
      </c>
    </row>
    <row r="1093" spans="1:22" hidden="1" x14ac:dyDescent="0.25">
      <c r="A1093" s="269">
        <v>43529</v>
      </c>
      <c r="B1093" s="270">
        <v>2019</v>
      </c>
      <c r="C1093" s="270">
        <v>2019</v>
      </c>
      <c r="D1093" s="270">
        <v>1</v>
      </c>
      <c r="E1093" s="270">
        <v>1</v>
      </c>
      <c r="F1093" s="270" t="s">
        <v>944</v>
      </c>
      <c r="G1093" s="270" t="s">
        <v>3926</v>
      </c>
      <c r="H1093" s="270" t="s">
        <v>5281</v>
      </c>
      <c r="I1093" s="270" t="s">
        <v>4490</v>
      </c>
      <c r="J1093" s="270" t="s">
        <v>3928</v>
      </c>
      <c r="K1093" s="270">
        <v>6442</v>
      </c>
      <c r="L1093" s="270">
        <v>630100</v>
      </c>
      <c r="M1093" s="270" t="s">
        <v>3960</v>
      </c>
      <c r="N1093" s="270" t="s">
        <v>3944</v>
      </c>
      <c r="O1093" s="270">
        <v>3256</v>
      </c>
      <c r="P1093" s="270" t="s">
        <v>3944</v>
      </c>
      <c r="Q1093" s="270" t="s">
        <v>3944</v>
      </c>
      <c r="R1093" s="270">
        <v>3256</v>
      </c>
      <c r="S1093" s="270">
        <v>24599</v>
      </c>
      <c r="T1093" s="270">
        <v>27855</v>
      </c>
      <c r="U1093" s="271" t="s">
        <v>3945</v>
      </c>
      <c r="V1093" s="267" t="s">
        <v>944</v>
      </c>
    </row>
    <row r="1094" spans="1:22" hidden="1" x14ac:dyDescent="0.25">
      <c r="A1094" s="266">
        <v>43529</v>
      </c>
      <c r="B1094" s="267">
        <v>2019</v>
      </c>
      <c r="C1094" s="267">
        <v>2019</v>
      </c>
      <c r="D1094" s="267">
        <v>1</v>
      </c>
      <c r="E1094" s="267">
        <v>1</v>
      </c>
      <c r="F1094" s="267" t="s">
        <v>944</v>
      </c>
      <c r="G1094" s="267" t="s">
        <v>3926</v>
      </c>
      <c r="H1094" s="267" t="s">
        <v>5282</v>
      </c>
      <c r="I1094" s="267" t="s">
        <v>4124</v>
      </c>
      <c r="J1094" s="267" t="s">
        <v>3928</v>
      </c>
      <c r="K1094" s="267">
        <v>6470</v>
      </c>
      <c r="L1094" s="267">
        <v>230300</v>
      </c>
      <c r="M1094" s="267" t="s">
        <v>3943</v>
      </c>
      <c r="N1094" s="267" t="s">
        <v>3944</v>
      </c>
      <c r="O1094" s="267">
        <v>4917</v>
      </c>
      <c r="P1094" s="267" t="s">
        <v>3944</v>
      </c>
      <c r="Q1094" s="267" t="s">
        <v>3944</v>
      </c>
      <c r="R1094" s="267">
        <v>4917</v>
      </c>
      <c r="S1094" s="267">
        <v>53985.48</v>
      </c>
      <c r="T1094" s="267">
        <v>58902.48</v>
      </c>
      <c r="U1094" s="268" t="s">
        <v>3945</v>
      </c>
      <c r="V1094" s="267" t="s">
        <v>944</v>
      </c>
    </row>
    <row r="1095" spans="1:22" hidden="1" x14ac:dyDescent="0.25">
      <c r="A1095" s="269">
        <v>43529</v>
      </c>
      <c r="B1095" s="270">
        <v>2019</v>
      </c>
      <c r="C1095" s="270">
        <v>2019</v>
      </c>
      <c r="D1095" s="270">
        <v>1</v>
      </c>
      <c r="E1095" s="270">
        <v>1</v>
      </c>
      <c r="F1095" s="270" t="s">
        <v>944</v>
      </c>
      <c r="G1095" s="270" t="s">
        <v>3926</v>
      </c>
      <c r="H1095" s="270" t="s">
        <v>5283</v>
      </c>
      <c r="I1095" s="270" t="s">
        <v>4594</v>
      </c>
      <c r="J1095" s="270" t="s">
        <v>3928</v>
      </c>
      <c r="K1095" s="270">
        <v>6488</v>
      </c>
      <c r="L1095" s="270">
        <v>348111</v>
      </c>
      <c r="M1095" s="270" t="s">
        <v>3943</v>
      </c>
      <c r="N1095" s="270" t="s">
        <v>3944</v>
      </c>
      <c r="O1095" s="270">
        <v>1287.93</v>
      </c>
      <c r="P1095" s="270" t="s">
        <v>3944</v>
      </c>
      <c r="Q1095" s="270" t="s">
        <v>3944</v>
      </c>
      <c r="R1095" s="270">
        <v>1287.93</v>
      </c>
      <c r="S1095" s="270">
        <v>18226.32</v>
      </c>
      <c r="T1095" s="270">
        <v>19514.25</v>
      </c>
      <c r="U1095" s="271" t="s">
        <v>3945</v>
      </c>
      <c r="V1095" s="267" t="s">
        <v>944</v>
      </c>
    </row>
    <row r="1096" spans="1:22" hidden="1" x14ac:dyDescent="0.25">
      <c r="A1096" s="266">
        <v>43530</v>
      </c>
      <c r="B1096" s="267">
        <v>2019</v>
      </c>
      <c r="C1096" s="267">
        <v>2019</v>
      </c>
      <c r="D1096" s="267">
        <v>1</v>
      </c>
      <c r="E1096" s="267">
        <v>1</v>
      </c>
      <c r="F1096" s="267" t="s">
        <v>944</v>
      </c>
      <c r="G1096" s="267" t="s">
        <v>3926</v>
      </c>
      <c r="H1096" s="267" t="s">
        <v>5284</v>
      </c>
      <c r="I1096" s="267" t="s">
        <v>950</v>
      </c>
      <c r="J1096" s="267" t="s">
        <v>3928</v>
      </c>
      <c r="K1096" s="267">
        <v>6516</v>
      </c>
      <c r="L1096" s="267">
        <v>154700</v>
      </c>
      <c r="M1096" s="267" t="s">
        <v>3960</v>
      </c>
      <c r="N1096" s="267" t="s">
        <v>5285</v>
      </c>
      <c r="O1096" s="267">
        <v>0</v>
      </c>
      <c r="P1096" s="267" t="s">
        <v>3930</v>
      </c>
      <c r="Q1096" s="267" t="s">
        <v>3930</v>
      </c>
      <c r="R1096" s="267">
        <v>0</v>
      </c>
      <c r="S1096" s="267">
        <v>19400</v>
      </c>
      <c r="T1096" s="267">
        <v>19400</v>
      </c>
      <c r="U1096" s="268" t="s">
        <v>3937</v>
      </c>
      <c r="V1096" s="267" t="s">
        <v>944</v>
      </c>
    </row>
    <row r="1097" spans="1:22" hidden="1" x14ac:dyDescent="0.25">
      <c r="A1097" s="269">
        <v>43530</v>
      </c>
      <c r="B1097" s="270">
        <v>2019</v>
      </c>
      <c r="C1097" s="270">
        <v>2019</v>
      </c>
      <c r="D1097" s="270">
        <v>1</v>
      </c>
      <c r="E1097" s="270">
        <v>1</v>
      </c>
      <c r="F1097" s="270" t="s">
        <v>944</v>
      </c>
      <c r="G1097" s="270" t="s">
        <v>3926</v>
      </c>
      <c r="H1097" s="270" t="s">
        <v>5286</v>
      </c>
      <c r="I1097" s="270" t="s">
        <v>4019</v>
      </c>
      <c r="J1097" s="270" t="s">
        <v>3928</v>
      </c>
      <c r="K1097" s="270">
        <v>6704</v>
      </c>
      <c r="L1097" s="270">
        <v>351100</v>
      </c>
      <c r="M1097" s="270">
        <v>-60</v>
      </c>
      <c r="N1097" s="270" t="s">
        <v>3986</v>
      </c>
      <c r="O1097" s="270">
        <v>1254.33</v>
      </c>
      <c r="P1097" s="270" t="s">
        <v>3930</v>
      </c>
      <c r="Q1097" s="270" t="s">
        <v>3931</v>
      </c>
      <c r="R1097" s="270">
        <v>6254.33</v>
      </c>
      <c r="S1097" s="270">
        <v>16196.8</v>
      </c>
      <c r="T1097" s="270">
        <v>22451.13</v>
      </c>
      <c r="U1097" s="271" t="s">
        <v>3932</v>
      </c>
      <c r="V1097" s="267" t="s">
        <v>944</v>
      </c>
    </row>
    <row r="1098" spans="1:22" hidden="1" x14ac:dyDescent="0.25">
      <c r="A1098" s="266">
        <v>43530</v>
      </c>
      <c r="B1098" s="267">
        <v>2019</v>
      </c>
      <c r="C1098" s="267">
        <v>2019</v>
      </c>
      <c r="D1098" s="267">
        <v>1</v>
      </c>
      <c r="E1098" s="267">
        <v>1</v>
      </c>
      <c r="F1098" s="267" t="s">
        <v>944</v>
      </c>
      <c r="G1098" s="267" t="s">
        <v>3926</v>
      </c>
      <c r="H1098" s="267" t="s">
        <v>5287</v>
      </c>
      <c r="I1098" s="267" t="s">
        <v>934</v>
      </c>
      <c r="J1098" s="267" t="s">
        <v>3928</v>
      </c>
      <c r="K1098" s="267">
        <v>6606</v>
      </c>
      <c r="L1098" s="267">
        <v>72700</v>
      </c>
      <c r="M1098" s="267" t="s">
        <v>3935</v>
      </c>
      <c r="N1098" s="267" t="s">
        <v>4103</v>
      </c>
      <c r="O1098" s="267">
        <v>3248.14</v>
      </c>
      <c r="P1098" s="267" t="s">
        <v>3930</v>
      </c>
      <c r="Q1098" s="267" t="s">
        <v>3931</v>
      </c>
      <c r="R1098" s="267">
        <v>8248.14</v>
      </c>
      <c r="S1098" s="267">
        <v>24145.599999999999</v>
      </c>
      <c r="T1098" s="267">
        <v>32393.74</v>
      </c>
      <c r="U1098" s="268" t="s">
        <v>3932</v>
      </c>
      <c r="V1098" s="267" t="s">
        <v>944</v>
      </c>
    </row>
    <row r="1099" spans="1:22" hidden="1" x14ac:dyDescent="0.25">
      <c r="A1099" s="269">
        <v>43530</v>
      </c>
      <c r="B1099" s="270">
        <v>2019</v>
      </c>
      <c r="C1099" s="270">
        <v>2019</v>
      </c>
      <c r="D1099" s="270">
        <v>1</v>
      </c>
      <c r="E1099" s="270">
        <v>1</v>
      </c>
      <c r="F1099" s="270" t="s">
        <v>944</v>
      </c>
      <c r="G1099" s="270" t="s">
        <v>3926</v>
      </c>
      <c r="H1099" s="270" t="s">
        <v>5288</v>
      </c>
      <c r="I1099" s="270" t="s">
        <v>3968</v>
      </c>
      <c r="J1099" s="270" t="s">
        <v>3928</v>
      </c>
      <c r="K1099" s="270">
        <v>6040</v>
      </c>
      <c r="L1099" s="270">
        <v>515101</v>
      </c>
      <c r="M1099" s="270" t="s">
        <v>3935</v>
      </c>
      <c r="N1099" s="270" t="s">
        <v>3986</v>
      </c>
      <c r="O1099" s="270">
        <v>1271.76</v>
      </c>
      <c r="P1099" s="270" t="s">
        <v>3930</v>
      </c>
      <c r="Q1099" s="270" t="s">
        <v>3931</v>
      </c>
      <c r="R1099" s="270">
        <v>6271.76</v>
      </c>
      <c r="S1099" s="270">
        <v>16196.8</v>
      </c>
      <c r="T1099" s="270">
        <v>22468.560000000001</v>
      </c>
      <c r="U1099" s="271" t="s">
        <v>3932</v>
      </c>
      <c r="V1099" s="267" t="s">
        <v>944</v>
      </c>
    </row>
    <row r="1100" spans="1:22" hidden="1" x14ac:dyDescent="0.25">
      <c r="A1100" s="266">
        <v>43530</v>
      </c>
      <c r="B1100" s="267">
        <v>2019</v>
      </c>
      <c r="C1100" s="267">
        <v>2019</v>
      </c>
      <c r="D1100" s="267">
        <v>1</v>
      </c>
      <c r="E1100" s="267">
        <v>1</v>
      </c>
      <c r="F1100" s="267" t="s">
        <v>944</v>
      </c>
      <c r="G1100" s="267" t="s">
        <v>3926</v>
      </c>
      <c r="H1100" s="267" t="s">
        <v>5289</v>
      </c>
      <c r="I1100" s="267" t="s">
        <v>2985</v>
      </c>
      <c r="J1100" s="267" t="s">
        <v>3928</v>
      </c>
      <c r="K1100" s="267">
        <v>6825</v>
      </c>
      <c r="L1100" s="267">
        <v>61200</v>
      </c>
      <c r="M1100" s="267" t="s">
        <v>3935</v>
      </c>
      <c r="N1100" s="267" t="s">
        <v>3986</v>
      </c>
      <c r="O1100" s="267">
        <v>1188.3900000000001</v>
      </c>
      <c r="P1100" s="267" t="s">
        <v>3930</v>
      </c>
      <c r="Q1100" s="267" t="s">
        <v>3931</v>
      </c>
      <c r="R1100" s="267">
        <v>6188.39</v>
      </c>
      <c r="S1100" s="267">
        <v>16196.8</v>
      </c>
      <c r="T1100" s="267">
        <v>22385.19</v>
      </c>
      <c r="U1100" s="268" t="s">
        <v>3932</v>
      </c>
      <c r="V1100" s="267" t="s">
        <v>944</v>
      </c>
    </row>
    <row r="1101" spans="1:22" hidden="1" x14ac:dyDescent="0.25">
      <c r="A1101" s="269">
        <v>43530</v>
      </c>
      <c r="B1101" s="270">
        <v>2019</v>
      </c>
      <c r="C1101" s="270">
        <v>2019</v>
      </c>
      <c r="D1101" s="270">
        <v>1</v>
      </c>
      <c r="E1101" s="270">
        <v>1</v>
      </c>
      <c r="F1101" s="270" t="s">
        <v>944</v>
      </c>
      <c r="G1101" s="270" t="s">
        <v>3926</v>
      </c>
      <c r="H1101" s="270" t="s">
        <v>5290</v>
      </c>
      <c r="I1101" s="270" t="s">
        <v>3956</v>
      </c>
      <c r="J1101" s="270" t="s">
        <v>3928</v>
      </c>
      <c r="K1101" s="270">
        <v>6106</v>
      </c>
      <c r="L1101" s="270">
        <v>524700</v>
      </c>
      <c r="M1101" s="270" t="s">
        <v>3935</v>
      </c>
      <c r="N1101" s="270" t="s">
        <v>4719</v>
      </c>
      <c r="O1101" s="270">
        <v>0</v>
      </c>
      <c r="P1101" s="270" t="s">
        <v>3930</v>
      </c>
      <c r="Q1101" s="270" t="s">
        <v>3931</v>
      </c>
      <c r="R1101" s="270">
        <v>5000</v>
      </c>
      <c r="S1101" s="270">
        <v>25015</v>
      </c>
      <c r="T1101" s="270">
        <v>30015</v>
      </c>
      <c r="U1101" s="271" t="s">
        <v>3932</v>
      </c>
      <c r="V1101" s="267" t="s">
        <v>944</v>
      </c>
    </row>
    <row r="1102" spans="1:22" hidden="1" x14ac:dyDescent="0.25">
      <c r="A1102" s="266">
        <v>43530</v>
      </c>
      <c r="B1102" s="267">
        <v>2019</v>
      </c>
      <c r="C1102" s="267">
        <v>2019</v>
      </c>
      <c r="D1102" s="267">
        <v>1</v>
      </c>
      <c r="E1102" s="267">
        <v>1</v>
      </c>
      <c r="F1102" s="267" t="s">
        <v>944</v>
      </c>
      <c r="G1102" s="267" t="s">
        <v>3926</v>
      </c>
      <c r="H1102" s="267" t="s">
        <v>5291</v>
      </c>
      <c r="I1102" s="267" t="s">
        <v>5010</v>
      </c>
      <c r="J1102" s="267" t="s">
        <v>3928</v>
      </c>
      <c r="K1102" s="267">
        <v>6365</v>
      </c>
      <c r="L1102" s="267">
        <v>700100</v>
      </c>
      <c r="M1102" s="267" t="s">
        <v>3935</v>
      </c>
      <c r="N1102" s="267" t="s">
        <v>3944</v>
      </c>
      <c r="O1102" s="267">
        <v>3809.65</v>
      </c>
      <c r="P1102" s="267" t="s">
        <v>3944</v>
      </c>
      <c r="Q1102" s="267" t="s">
        <v>3944</v>
      </c>
      <c r="R1102" s="267">
        <v>3809.65</v>
      </c>
      <c r="S1102" s="267">
        <v>47104.4</v>
      </c>
      <c r="T1102" s="267">
        <v>50914.05</v>
      </c>
      <c r="U1102" s="268" t="s">
        <v>3945</v>
      </c>
      <c r="V1102" s="267" t="s">
        <v>944</v>
      </c>
    </row>
    <row r="1103" spans="1:22" hidden="1" x14ac:dyDescent="0.25">
      <c r="A1103" s="269">
        <v>43530</v>
      </c>
      <c r="B1103" s="270">
        <v>2019</v>
      </c>
      <c r="C1103" s="270">
        <v>2019</v>
      </c>
      <c r="D1103" s="270">
        <v>1</v>
      </c>
      <c r="E1103" s="270">
        <v>1</v>
      </c>
      <c r="F1103" s="270" t="s">
        <v>944</v>
      </c>
      <c r="G1103" s="270" t="s">
        <v>3926</v>
      </c>
      <c r="H1103" s="270" t="s">
        <v>5292</v>
      </c>
      <c r="I1103" s="270" t="s">
        <v>956</v>
      </c>
      <c r="J1103" s="270" t="s">
        <v>3928</v>
      </c>
      <c r="K1103" s="270">
        <v>6615</v>
      </c>
      <c r="L1103" s="270">
        <v>80700</v>
      </c>
      <c r="M1103" s="270" t="s">
        <v>3935</v>
      </c>
      <c r="N1103" s="270" t="s">
        <v>3944</v>
      </c>
      <c r="O1103" s="270">
        <v>1763.9</v>
      </c>
      <c r="P1103" s="270" t="s">
        <v>3944</v>
      </c>
      <c r="Q1103" s="270" t="s">
        <v>3944</v>
      </c>
      <c r="R1103" s="270">
        <v>1763.9</v>
      </c>
      <c r="S1103" s="270">
        <v>23958.91</v>
      </c>
      <c r="T1103" s="270">
        <v>25722.81</v>
      </c>
      <c r="U1103" s="271" t="s">
        <v>3945</v>
      </c>
      <c r="V1103" s="267" t="s">
        <v>944</v>
      </c>
    </row>
    <row r="1104" spans="1:22" hidden="1" x14ac:dyDescent="0.25">
      <c r="A1104" s="266">
        <v>43530</v>
      </c>
      <c r="B1104" s="267">
        <v>2019</v>
      </c>
      <c r="C1104" s="267">
        <v>2019</v>
      </c>
      <c r="D1104" s="267">
        <v>1</v>
      </c>
      <c r="E1104" s="267">
        <v>1</v>
      </c>
      <c r="F1104" s="267" t="s">
        <v>944</v>
      </c>
      <c r="G1104" s="267" t="s">
        <v>3926</v>
      </c>
      <c r="H1104" s="267" t="s">
        <v>5293</v>
      </c>
      <c r="I1104" s="267" t="s">
        <v>2985</v>
      </c>
      <c r="J1104" s="267" t="s">
        <v>3928</v>
      </c>
      <c r="K1104" s="267">
        <v>6825</v>
      </c>
      <c r="L1104" s="267">
        <v>60200</v>
      </c>
      <c r="M1104" s="267" t="s">
        <v>3943</v>
      </c>
      <c r="N1104" s="267" t="s">
        <v>3944</v>
      </c>
      <c r="O1104" s="267">
        <v>1208.48</v>
      </c>
      <c r="P1104" s="267" t="s">
        <v>3944</v>
      </c>
      <c r="Q1104" s="267" t="s">
        <v>3944</v>
      </c>
      <c r="R1104" s="267">
        <v>1208.48</v>
      </c>
      <c r="S1104" s="267">
        <v>20020.439999999999</v>
      </c>
      <c r="T1104" s="267">
        <v>21228.92</v>
      </c>
      <c r="U1104" s="268" t="s">
        <v>3945</v>
      </c>
      <c r="V1104" s="267" t="s">
        <v>944</v>
      </c>
    </row>
    <row r="1105" spans="1:22" hidden="1" x14ac:dyDescent="0.25">
      <c r="A1105" s="269">
        <v>43530</v>
      </c>
      <c r="B1105" s="270">
        <v>2019</v>
      </c>
      <c r="C1105" s="270">
        <v>2019</v>
      </c>
      <c r="D1105" s="270">
        <v>1</v>
      </c>
      <c r="E1105" s="270">
        <v>1</v>
      </c>
      <c r="F1105" s="270" t="s">
        <v>944</v>
      </c>
      <c r="G1105" s="270" t="s">
        <v>3926</v>
      </c>
      <c r="H1105" s="270" t="s">
        <v>5294</v>
      </c>
      <c r="I1105" s="270" t="s">
        <v>4387</v>
      </c>
      <c r="J1105" s="270" t="s">
        <v>3928</v>
      </c>
      <c r="K1105" s="270">
        <v>6751</v>
      </c>
      <c r="L1105" s="270">
        <v>342100</v>
      </c>
      <c r="M1105" s="270" t="s">
        <v>3960</v>
      </c>
      <c r="N1105" s="270" t="s">
        <v>3944</v>
      </c>
      <c r="O1105" s="270">
        <v>1863.86</v>
      </c>
      <c r="P1105" s="270" t="s">
        <v>3944</v>
      </c>
      <c r="Q1105" s="270" t="s">
        <v>3944</v>
      </c>
      <c r="R1105" s="270">
        <v>1863.86</v>
      </c>
      <c r="S1105" s="270">
        <v>24497.78</v>
      </c>
      <c r="T1105" s="270">
        <v>26361.64</v>
      </c>
      <c r="U1105" s="271" t="s">
        <v>3945</v>
      </c>
      <c r="V1105" s="267" t="s">
        <v>944</v>
      </c>
    </row>
    <row r="1106" spans="1:22" hidden="1" x14ac:dyDescent="0.25">
      <c r="A1106" s="266">
        <v>43530</v>
      </c>
      <c r="B1106" s="267">
        <v>2019</v>
      </c>
      <c r="C1106" s="267">
        <v>2019</v>
      </c>
      <c r="D1106" s="267">
        <v>1</v>
      </c>
      <c r="E1106" s="267">
        <v>1</v>
      </c>
      <c r="F1106" s="267" t="s">
        <v>944</v>
      </c>
      <c r="G1106" s="267" t="s">
        <v>3926</v>
      </c>
      <c r="H1106" s="267" t="s">
        <v>5295</v>
      </c>
      <c r="I1106" s="267" t="s">
        <v>3968</v>
      </c>
      <c r="J1106" s="267" t="s">
        <v>3928</v>
      </c>
      <c r="K1106" s="267">
        <v>6040</v>
      </c>
      <c r="L1106" s="267">
        <v>514600</v>
      </c>
      <c r="M1106" s="267" t="s">
        <v>3940</v>
      </c>
      <c r="N1106" s="267" t="s">
        <v>3944</v>
      </c>
      <c r="O1106" s="267">
        <v>1183.5999999999999</v>
      </c>
      <c r="P1106" s="267" t="s">
        <v>3944</v>
      </c>
      <c r="Q1106" s="267" t="s">
        <v>3944</v>
      </c>
      <c r="R1106" s="267">
        <v>1183.5999999999999</v>
      </c>
      <c r="S1106" s="267">
        <v>15356.93</v>
      </c>
      <c r="T1106" s="267">
        <v>16540.53</v>
      </c>
      <c r="U1106" s="268" t="s">
        <v>3945</v>
      </c>
      <c r="V1106" s="267" t="s">
        <v>944</v>
      </c>
    </row>
    <row r="1107" spans="1:22" hidden="1" x14ac:dyDescent="0.25">
      <c r="A1107" s="269">
        <v>43530</v>
      </c>
      <c r="B1107" s="270">
        <v>2019</v>
      </c>
      <c r="C1107" s="270">
        <v>2019</v>
      </c>
      <c r="D1107" s="270">
        <v>1</v>
      </c>
      <c r="E1107" s="270">
        <v>1</v>
      </c>
      <c r="F1107" s="270" t="s">
        <v>944</v>
      </c>
      <c r="G1107" s="270" t="s">
        <v>3926</v>
      </c>
      <c r="H1107" s="270" t="s">
        <v>5296</v>
      </c>
      <c r="I1107" s="270" t="s">
        <v>5010</v>
      </c>
      <c r="J1107" s="270" t="s">
        <v>3928</v>
      </c>
      <c r="K1107" s="270">
        <v>6365</v>
      </c>
      <c r="L1107" s="270">
        <v>700100</v>
      </c>
      <c r="M1107" s="270" t="s">
        <v>3935</v>
      </c>
      <c r="N1107" s="270" t="s">
        <v>3944</v>
      </c>
      <c r="O1107" s="270">
        <v>1134.25</v>
      </c>
      <c r="P1107" s="270" t="s">
        <v>3944</v>
      </c>
      <c r="Q1107" s="270" t="s">
        <v>3944</v>
      </c>
      <c r="R1107" s="270">
        <v>1134.25</v>
      </c>
      <c r="S1107" s="270">
        <v>17614.580000000002</v>
      </c>
      <c r="T1107" s="270">
        <v>18748.830000000002</v>
      </c>
      <c r="U1107" s="271" t="s">
        <v>3945</v>
      </c>
      <c r="V1107" s="267" t="s">
        <v>944</v>
      </c>
    </row>
    <row r="1108" spans="1:22" hidden="1" x14ac:dyDescent="0.25">
      <c r="A1108" s="266">
        <v>43530</v>
      </c>
      <c r="B1108" s="267">
        <v>2019</v>
      </c>
      <c r="C1108" s="267">
        <v>2019</v>
      </c>
      <c r="D1108" s="267">
        <v>1</v>
      </c>
      <c r="E1108" s="267">
        <v>1</v>
      </c>
      <c r="F1108" s="267" t="s">
        <v>944</v>
      </c>
      <c r="G1108" s="267" t="s">
        <v>3926</v>
      </c>
      <c r="H1108" s="267" t="s">
        <v>5297</v>
      </c>
      <c r="I1108" s="267" t="s">
        <v>4037</v>
      </c>
      <c r="J1108" s="267" t="s">
        <v>3928</v>
      </c>
      <c r="K1108" s="267">
        <v>6811</v>
      </c>
      <c r="L1108" s="267">
        <v>211000</v>
      </c>
      <c r="M1108" s="267" t="s">
        <v>3960</v>
      </c>
      <c r="N1108" s="267" t="s">
        <v>3944</v>
      </c>
      <c r="O1108" s="267">
        <v>1792.95</v>
      </c>
      <c r="P1108" s="267" t="s">
        <v>3944</v>
      </c>
      <c r="Q1108" s="267" t="s">
        <v>3944</v>
      </c>
      <c r="R1108" s="267">
        <v>1792.95</v>
      </c>
      <c r="S1108" s="267">
        <v>25138.41</v>
      </c>
      <c r="T1108" s="267">
        <v>26931.360000000001</v>
      </c>
      <c r="U1108" s="268" t="s">
        <v>3945</v>
      </c>
      <c r="V1108" s="267" t="s">
        <v>944</v>
      </c>
    </row>
    <row r="1109" spans="1:22" hidden="1" x14ac:dyDescent="0.25">
      <c r="A1109" s="269">
        <v>43530</v>
      </c>
      <c r="B1109" s="270">
        <v>2019</v>
      </c>
      <c r="C1109" s="270">
        <v>2019</v>
      </c>
      <c r="D1109" s="270">
        <v>1</v>
      </c>
      <c r="E1109" s="270">
        <v>1</v>
      </c>
      <c r="F1109" s="270" t="s">
        <v>944</v>
      </c>
      <c r="G1109" s="270" t="s">
        <v>3926</v>
      </c>
      <c r="H1109" s="270" t="s">
        <v>5298</v>
      </c>
      <c r="I1109" s="270" t="s">
        <v>4407</v>
      </c>
      <c r="J1109" s="270" t="s">
        <v>3928</v>
      </c>
      <c r="K1109" s="270">
        <v>6238</v>
      </c>
      <c r="L1109" s="270">
        <v>850100</v>
      </c>
      <c r="M1109" s="270" t="s">
        <v>3960</v>
      </c>
      <c r="N1109" s="270" t="s">
        <v>3944</v>
      </c>
      <c r="O1109" s="270">
        <v>3328.92</v>
      </c>
      <c r="P1109" s="270" t="s">
        <v>3944</v>
      </c>
      <c r="Q1109" s="270" t="s">
        <v>3944</v>
      </c>
      <c r="R1109" s="270">
        <v>3328.92</v>
      </c>
      <c r="S1109" s="270">
        <v>47283.76</v>
      </c>
      <c r="T1109" s="270">
        <v>50612.68</v>
      </c>
      <c r="U1109" s="271" t="s">
        <v>3945</v>
      </c>
      <c r="V1109" s="267" t="s">
        <v>944</v>
      </c>
    </row>
    <row r="1110" spans="1:22" hidden="1" x14ac:dyDescent="0.25">
      <c r="A1110" s="266">
        <v>43530</v>
      </c>
      <c r="B1110" s="267">
        <v>2019</v>
      </c>
      <c r="C1110" s="267">
        <v>2019</v>
      </c>
      <c r="D1110" s="267">
        <v>1</v>
      </c>
      <c r="E1110" s="267">
        <v>1</v>
      </c>
      <c r="F1110" s="267" t="s">
        <v>944</v>
      </c>
      <c r="G1110" s="267" t="s">
        <v>3926</v>
      </c>
      <c r="H1110" s="267" t="s">
        <v>5299</v>
      </c>
      <c r="I1110" s="267" t="s">
        <v>3939</v>
      </c>
      <c r="J1110" s="267" t="s">
        <v>3928</v>
      </c>
      <c r="K1110" s="267">
        <v>6512</v>
      </c>
      <c r="L1110" s="267">
        <v>180200</v>
      </c>
      <c r="M1110" s="267" t="s">
        <v>3940</v>
      </c>
      <c r="N1110" s="267" t="s">
        <v>3944</v>
      </c>
      <c r="O1110" s="267">
        <v>1627.64</v>
      </c>
      <c r="P1110" s="267" t="s">
        <v>3944</v>
      </c>
      <c r="Q1110" s="267" t="s">
        <v>3944</v>
      </c>
      <c r="R1110" s="267">
        <v>1627.64</v>
      </c>
      <c r="S1110" s="267">
        <v>24201.89</v>
      </c>
      <c r="T1110" s="267">
        <v>25829.53</v>
      </c>
      <c r="U1110" s="268" t="s">
        <v>3945</v>
      </c>
      <c r="V1110" s="267" t="s">
        <v>944</v>
      </c>
    </row>
    <row r="1111" spans="1:22" hidden="1" x14ac:dyDescent="0.25">
      <c r="A1111" s="269">
        <v>43530</v>
      </c>
      <c r="B1111" s="270">
        <v>2019</v>
      </c>
      <c r="C1111" s="270">
        <v>2019</v>
      </c>
      <c r="D1111" s="270">
        <v>1</v>
      </c>
      <c r="E1111" s="270">
        <v>1</v>
      </c>
      <c r="F1111" s="270" t="s">
        <v>944</v>
      </c>
      <c r="G1111" s="270" t="s">
        <v>3926</v>
      </c>
      <c r="H1111" s="270" t="s">
        <v>5300</v>
      </c>
      <c r="I1111" s="270" t="s">
        <v>4323</v>
      </c>
      <c r="J1111" s="270" t="s">
        <v>3928</v>
      </c>
      <c r="K1111" s="270">
        <v>6385</v>
      </c>
      <c r="L1111" s="270">
        <v>693400</v>
      </c>
      <c r="M1111" s="270" t="s">
        <v>3940</v>
      </c>
      <c r="N1111" s="270" t="s">
        <v>3944</v>
      </c>
      <c r="O1111" s="270">
        <v>1544.9</v>
      </c>
      <c r="P1111" s="270" t="s">
        <v>3944</v>
      </c>
      <c r="Q1111" s="270" t="s">
        <v>3944</v>
      </c>
      <c r="R1111" s="270">
        <v>1544.9</v>
      </c>
      <c r="S1111" s="270">
        <v>23134.27</v>
      </c>
      <c r="T1111" s="270">
        <v>24679.17</v>
      </c>
      <c r="U1111" s="271" t="s">
        <v>3945</v>
      </c>
      <c r="V1111" s="267" t="s">
        <v>944</v>
      </c>
    </row>
    <row r="1112" spans="1:22" hidden="1" x14ac:dyDescent="0.25">
      <c r="A1112" s="266">
        <v>43530</v>
      </c>
      <c r="B1112" s="267">
        <v>2019</v>
      </c>
      <c r="C1112" s="267">
        <v>2019</v>
      </c>
      <c r="D1112" s="267">
        <v>1</v>
      </c>
      <c r="E1112" s="267">
        <v>1</v>
      </c>
      <c r="F1112" s="267" t="s">
        <v>944</v>
      </c>
      <c r="G1112" s="267" t="s">
        <v>3926</v>
      </c>
      <c r="H1112" s="267" t="s">
        <v>5301</v>
      </c>
      <c r="I1112" s="267" t="s">
        <v>4037</v>
      </c>
      <c r="J1112" s="267" t="s">
        <v>3928</v>
      </c>
      <c r="K1112" s="267">
        <v>6810</v>
      </c>
      <c r="L1112" s="267">
        <v>210400</v>
      </c>
      <c r="M1112" s="267" t="s">
        <v>3935</v>
      </c>
      <c r="N1112" s="267" t="s">
        <v>5302</v>
      </c>
      <c r="O1112" s="267">
        <v>0</v>
      </c>
      <c r="P1112" s="267" t="s">
        <v>3944</v>
      </c>
      <c r="Q1112" s="267" t="s">
        <v>5303</v>
      </c>
      <c r="R1112" s="267">
        <v>20403.41</v>
      </c>
      <c r="S1112" s="267">
        <v>27046.39</v>
      </c>
      <c r="T1112" s="267">
        <v>47449.8</v>
      </c>
      <c r="U1112" s="268" t="s">
        <v>5304</v>
      </c>
      <c r="V1112" s="267" t="s">
        <v>944</v>
      </c>
    </row>
    <row r="1113" spans="1:22" hidden="1" x14ac:dyDescent="0.25">
      <c r="A1113" s="269">
        <v>43531</v>
      </c>
      <c r="B1113" s="270">
        <v>2019</v>
      </c>
      <c r="C1113" s="270">
        <v>2019</v>
      </c>
      <c r="D1113" s="270">
        <v>1</v>
      </c>
      <c r="E1113" s="270">
        <v>1</v>
      </c>
      <c r="F1113" s="270" t="s">
        <v>944</v>
      </c>
      <c r="G1113" s="270" t="s">
        <v>3926</v>
      </c>
      <c r="H1113" s="270" t="s">
        <v>5305</v>
      </c>
      <c r="I1113" s="270" t="s">
        <v>4552</v>
      </c>
      <c r="J1113" s="270" t="s">
        <v>3928</v>
      </c>
      <c r="K1113" s="270">
        <v>6469</v>
      </c>
      <c r="L1113" s="270">
        <v>595102</v>
      </c>
      <c r="M1113" s="270" t="s">
        <v>3960</v>
      </c>
      <c r="N1113" s="270" t="s">
        <v>5306</v>
      </c>
      <c r="O1113" s="270">
        <v>0</v>
      </c>
      <c r="P1113" s="270" t="s">
        <v>3930</v>
      </c>
      <c r="Q1113" s="270" t="s">
        <v>3930</v>
      </c>
      <c r="R1113" s="270">
        <v>0</v>
      </c>
      <c r="S1113" s="270">
        <v>7276</v>
      </c>
      <c r="T1113" s="270">
        <v>7276</v>
      </c>
      <c r="U1113" s="271" t="s">
        <v>3937</v>
      </c>
      <c r="V1113" s="267" t="s">
        <v>944</v>
      </c>
    </row>
    <row r="1114" spans="1:22" hidden="1" x14ac:dyDescent="0.25">
      <c r="A1114" s="266">
        <v>43531</v>
      </c>
      <c r="B1114" s="267">
        <v>2019</v>
      </c>
      <c r="C1114" s="267">
        <v>2019</v>
      </c>
      <c r="D1114" s="267">
        <v>1</v>
      </c>
      <c r="E1114" s="267">
        <v>1</v>
      </c>
      <c r="F1114" s="267" t="s">
        <v>944</v>
      </c>
      <c r="G1114" s="267" t="s">
        <v>3926</v>
      </c>
      <c r="H1114" s="267" t="s">
        <v>5307</v>
      </c>
      <c r="I1114" s="267" t="s">
        <v>4490</v>
      </c>
      <c r="J1114" s="267" t="s">
        <v>3928</v>
      </c>
      <c r="K1114" s="267">
        <v>6442</v>
      </c>
      <c r="L1114" s="267">
        <v>630100</v>
      </c>
      <c r="M1114" s="267" t="s">
        <v>3960</v>
      </c>
      <c r="N1114" s="267" t="s">
        <v>5308</v>
      </c>
      <c r="O1114" s="267">
        <v>0</v>
      </c>
      <c r="P1114" s="267" t="s">
        <v>3930</v>
      </c>
      <c r="Q1114" s="267" t="s">
        <v>3930</v>
      </c>
      <c r="R1114" s="267">
        <v>0</v>
      </c>
      <c r="S1114" s="267">
        <v>14469</v>
      </c>
      <c r="T1114" s="267">
        <v>14469</v>
      </c>
      <c r="U1114" s="268" t="s">
        <v>3937</v>
      </c>
      <c r="V1114" s="267" t="s">
        <v>944</v>
      </c>
    </row>
    <row r="1115" spans="1:22" hidden="1" x14ac:dyDescent="0.25">
      <c r="A1115" s="269">
        <v>43531</v>
      </c>
      <c r="B1115" s="270">
        <v>2019</v>
      </c>
      <c r="C1115" s="270">
        <v>2019</v>
      </c>
      <c r="D1115" s="270">
        <v>1</v>
      </c>
      <c r="E1115" s="270">
        <v>1</v>
      </c>
      <c r="F1115" s="270" t="s">
        <v>944</v>
      </c>
      <c r="G1115" s="270" t="s">
        <v>3926</v>
      </c>
      <c r="H1115" s="270" t="s">
        <v>5309</v>
      </c>
      <c r="I1115" s="270" t="s">
        <v>4548</v>
      </c>
      <c r="J1115" s="270" t="s">
        <v>3928</v>
      </c>
      <c r="K1115" s="270">
        <v>6037</v>
      </c>
      <c r="L1115" s="270">
        <v>400300</v>
      </c>
      <c r="M1115" s="270" t="s">
        <v>3960</v>
      </c>
      <c r="N1115" s="270" t="s">
        <v>3986</v>
      </c>
      <c r="O1115" s="270">
        <v>3309.12</v>
      </c>
      <c r="P1115" s="270" t="s">
        <v>3930</v>
      </c>
      <c r="Q1115" s="270" t="s">
        <v>3931</v>
      </c>
      <c r="R1115" s="270">
        <v>8309.1200000000008</v>
      </c>
      <c r="S1115" s="270">
        <v>16196.8</v>
      </c>
      <c r="T1115" s="270">
        <v>24505.919999999998</v>
      </c>
      <c r="U1115" s="271" t="s">
        <v>3932</v>
      </c>
      <c r="V1115" s="267" t="s">
        <v>944</v>
      </c>
    </row>
    <row r="1116" spans="1:22" hidden="1" x14ac:dyDescent="0.25">
      <c r="A1116" s="266">
        <v>43531</v>
      </c>
      <c r="B1116" s="267">
        <v>2019</v>
      </c>
      <c r="C1116" s="267">
        <v>2019</v>
      </c>
      <c r="D1116" s="267">
        <v>1</v>
      </c>
      <c r="E1116" s="267">
        <v>1</v>
      </c>
      <c r="F1116" s="267" t="s">
        <v>944</v>
      </c>
      <c r="G1116" s="267" t="s">
        <v>3926</v>
      </c>
      <c r="H1116" s="267" t="s">
        <v>5310</v>
      </c>
      <c r="I1116" s="267" t="s">
        <v>4556</v>
      </c>
      <c r="J1116" s="267" t="s">
        <v>3928</v>
      </c>
      <c r="K1116" s="267">
        <v>6029</v>
      </c>
      <c r="L1116" s="267">
        <v>535100</v>
      </c>
      <c r="M1116" s="267" t="s">
        <v>3935</v>
      </c>
      <c r="N1116" s="267" t="s">
        <v>5311</v>
      </c>
      <c r="O1116" s="267">
        <v>0</v>
      </c>
      <c r="P1116" s="267" t="s">
        <v>3930</v>
      </c>
      <c r="Q1116" s="267" t="s">
        <v>3930</v>
      </c>
      <c r="R1116" s="267">
        <v>0</v>
      </c>
      <c r="S1116" s="267">
        <v>5270.69</v>
      </c>
      <c r="T1116" s="267">
        <v>5270.69</v>
      </c>
      <c r="U1116" s="268" t="s">
        <v>3937</v>
      </c>
      <c r="V1116" s="267" t="s">
        <v>944</v>
      </c>
    </row>
    <row r="1117" spans="1:22" hidden="1" x14ac:dyDescent="0.25">
      <c r="A1117" s="269">
        <v>43531</v>
      </c>
      <c r="B1117" s="270">
        <v>2019</v>
      </c>
      <c r="C1117" s="270">
        <v>2019</v>
      </c>
      <c r="D1117" s="270">
        <v>1</v>
      </c>
      <c r="E1117" s="270">
        <v>1</v>
      </c>
      <c r="F1117" s="270" t="s">
        <v>944</v>
      </c>
      <c r="G1117" s="270" t="s">
        <v>3926</v>
      </c>
      <c r="H1117" s="270" t="s">
        <v>5312</v>
      </c>
      <c r="I1117" s="270" t="s">
        <v>4594</v>
      </c>
      <c r="J1117" s="270" t="s">
        <v>3928</v>
      </c>
      <c r="K1117" s="270">
        <v>6488</v>
      </c>
      <c r="L1117" s="270">
        <v>348122</v>
      </c>
      <c r="M1117" s="270" t="s">
        <v>3943</v>
      </c>
      <c r="N1117" s="270" t="s">
        <v>5313</v>
      </c>
      <c r="O1117" s="270">
        <v>0</v>
      </c>
      <c r="P1117" s="270" t="s">
        <v>3930</v>
      </c>
      <c r="Q1117" s="270" t="s">
        <v>3930</v>
      </c>
      <c r="R1117" s="270">
        <v>0</v>
      </c>
      <c r="S1117" s="270">
        <v>46110</v>
      </c>
      <c r="T1117" s="270">
        <v>46110</v>
      </c>
      <c r="U1117" s="271" t="s">
        <v>3937</v>
      </c>
      <c r="V1117" s="267" t="s">
        <v>944</v>
      </c>
    </row>
    <row r="1118" spans="1:22" hidden="1" x14ac:dyDescent="0.25">
      <c r="A1118" s="266">
        <v>43531</v>
      </c>
      <c r="B1118" s="267">
        <v>2019</v>
      </c>
      <c r="C1118" s="267">
        <v>2019</v>
      </c>
      <c r="D1118" s="267">
        <v>1</v>
      </c>
      <c r="E1118" s="267">
        <v>1</v>
      </c>
      <c r="F1118" s="267" t="s">
        <v>944</v>
      </c>
      <c r="G1118" s="267" t="s">
        <v>3926</v>
      </c>
      <c r="H1118" s="267" t="s">
        <v>5314</v>
      </c>
      <c r="I1118" s="267" t="s">
        <v>4016</v>
      </c>
      <c r="J1118" s="267" t="s">
        <v>3928</v>
      </c>
      <c r="K1118" s="267">
        <v>6770</v>
      </c>
      <c r="L1118" s="267">
        <v>345202</v>
      </c>
      <c r="M1118" s="267" t="s">
        <v>3960</v>
      </c>
      <c r="N1118" s="267" t="s">
        <v>4714</v>
      </c>
      <c r="O1118" s="267">
        <v>4686.66</v>
      </c>
      <c r="P1118" s="267" t="s">
        <v>3930</v>
      </c>
      <c r="Q1118" s="267" t="s">
        <v>3931</v>
      </c>
      <c r="R1118" s="267">
        <v>9686.66</v>
      </c>
      <c r="S1118" s="267">
        <v>24518.2</v>
      </c>
      <c r="T1118" s="267">
        <v>34204.86</v>
      </c>
      <c r="U1118" s="268" t="s">
        <v>3932</v>
      </c>
      <c r="V1118" s="267" t="s">
        <v>944</v>
      </c>
    </row>
    <row r="1119" spans="1:22" hidden="1" x14ac:dyDescent="0.25">
      <c r="A1119" s="269">
        <v>43531</v>
      </c>
      <c r="B1119" s="270">
        <v>2019</v>
      </c>
      <c r="C1119" s="270">
        <v>2019</v>
      </c>
      <c r="D1119" s="270">
        <v>1</v>
      </c>
      <c r="E1119" s="270">
        <v>1</v>
      </c>
      <c r="F1119" s="270" t="s">
        <v>944</v>
      </c>
      <c r="G1119" s="270" t="s">
        <v>3926</v>
      </c>
      <c r="H1119" s="270" t="s">
        <v>5315</v>
      </c>
      <c r="I1119" s="270" t="s">
        <v>4213</v>
      </c>
      <c r="J1119" s="270" t="s">
        <v>3928</v>
      </c>
      <c r="K1119" s="270">
        <v>6051</v>
      </c>
      <c r="L1119" s="270">
        <v>416300</v>
      </c>
      <c r="M1119" s="270">
        <v>-60</v>
      </c>
      <c r="N1119" s="270" t="s">
        <v>4103</v>
      </c>
      <c r="O1119" s="270">
        <v>0</v>
      </c>
      <c r="P1119" s="270" t="s">
        <v>3930</v>
      </c>
      <c r="Q1119" s="270" t="s">
        <v>3931</v>
      </c>
      <c r="R1119" s="270">
        <v>5000</v>
      </c>
      <c r="S1119" s="270">
        <v>24145.599999999999</v>
      </c>
      <c r="T1119" s="270">
        <v>29145.599999999999</v>
      </c>
      <c r="U1119" s="271" t="s">
        <v>3932</v>
      </c>
      <c r="V1119" s="267" t="s">
        <v>944</v>
      </c>
    </row>
    <row r="1120" spans="1:22" hidden="1" x14ac:dyDescent="0.25">
      <c r="A1120" s="266">
        <v>43531</v>
      </c>
      <c r="B1120" s="267">
        <v>2019</v>
      </c>
      <c r="C1120" s="267">
        <v>2019</v>
      </c>
      <c r="D1120" s="267">
        <v>1</v>
      </c>
      <c r="E1120" s="267">
        <v>1</v>
      </c>
      <c r="F1120" s="267" t="s">
        <v>944</v>
      </c>
      <c r="G1120" s="267" t="s">
        <v>3926</v>
      </c>
      <c r="H1120" s="267" t="s">
        <v>5316</v>
      </c>
      <c r="I1120" s="267" t="s">
        <v>3993</v>
      </c>
      <c r="J1120" s="267" t="s">
        <v>3928</v>
      </c>
      <c r="K1120" s="267">
        <v>6415</v>
      </c>
      <c r="L1120" s="267">
        <v>714103</v>
      </c>
      <c r="M1120" s="267" t="s">
        <v>3943</v>
      </c>
      <c r="N1120" s="267" t="s">
        <v>4191</v>
      </c>
      <c r="O1120" s="267">
        <v>1969.24</v>
      </c>
      <c r="P1120" s="267" t="s">
        <v>3930</v>
      </c>
      <c r="Q1120" s="267" t="s">
        <v>3931</v>
      </c>
      <c r="R1120" s="267">
        <v>6969.24</v>
      </c>
      <c r="S1120" s="267">
        <v>38867.199999999997</v>
      </c>
      <c r="T1120" s="267">
        <v>45836.44</v>
      </c>
      <c r="U1120" s="268" t="s">
        <v>3932</v>
      </c>
      <c r="V1120" s="267" t="s">
        <v>944</v>
      </c>
    </row>
    <row r="1121" spans="1:22" hidden="1" x14ac:dyDescent="0.25">
      <c r="A1121" s="269">
        <v>43531</v>
      </c>
      <c r="B1121" s="270">
        <v>2019</v>
      </c>
      <c r="C1121" s="270">
        <v>2019</v>
      </c>
      <c r="D1121" s="270">
        <v>1</v>
      </c>
      <c r="E1121" s="270">
        <v>1</v>
      </c>
      <c r="F1121" s="270" t="s">
        <v>944</v>
      </c>
      <c r="G1121" s="270" t="s">
        <v>3926</v>
      </c>
      <c r="H1121" s="270" t="s">
        <v>5317</v>
      </c>
      <c r="I1121" s="270" t="s">
        <v>2985</v>
      </c>
      <c r="J1121" s="270" t="s">
        <v>3928</v>
      </c>
      <c r="K1121" s="270">
        <v>6824</v>
      </c>
      <c r="L1121" s="270">
        <v>60900</v>
      </c>
      <c r="M1121" s="270" t="s">
        <v>3943</v>
      </c>
      <c r="N1121" s="270" t="s">
        <v>3944</v>
      </c>
      <c r="O1121" s="270">
        <v>2998</v>
      </c>
      <c r="P1121" s="270" t="s">
        <v>3944</v>
      </c>
      <c r="Q1121" s="270" t="s">
        <v>3944</v>
      </c>
      <c r="R1121" s="270">
        <v>2998</v>
      </c>
      <c r="S1121" s="270">
        <v>29842</v>
      </c>
      <c r="T1121" s="270">
        <v>32840</v>
      </c>
      <c r="U1121" s="271" t="s">
        <v>3945</v>
      </c>
      <c r="V1121" s="267" t="s">
        <v>944</v>
      </c>
    </row>
    <row r="1122" spans="1:22" hidden="1" x14ac:dyDescent="0.25">
      <c r="A1122" s="266">
        <v>43531</v>
      </c>
      <c r="B1122" s="267">
        <v>2019</v>
      </c>
      <c r="C1122" s="267">
        <v>2019</v>
      </c>
      <c r="D1122" s="267">
        <v>1</v>
      </c>
      <c r="E1122" s="267">
        <v>1</v>
      </c>
      <c r="F1122" s="267" t="s">
        <v>944</v>
      </c>
      <c r="G1122" s="267" t="s">
        <v>3926</v>
      </c>
      <c r="H1122" s="267" t="s">
        <v>5318</v>
      </c>
      <c r="I1122" s="267" t="s">
        <v>2985</v>
      </c>
      <c r="J1122" s="267" t="s">
        <v>3928</v>
      </c>
      <c r="K1122" s="267">
        <v>6824</v>
      </c>
      <c r="L1122" s="267">
        <v>60900</v>
      </c>
      <c r="M1122" s="267" t="s">
        <v>3943</v>
      </c>
      <c r="N1122" s="267" t="s">
        <v>3944</v>
      </c>
      <c r="O1122" s="267">
        <v>2998</v>
      </c>
      <c r="P1122" s="267" t="s">
        <v>3944</v>
      </c>
      <c r="Q1122" s="267" t="s">
        <v>3944</v>
      </c>
      <c r="R1122" s="267">
        <v>2998</v>
      </c>
      <c r="S1122" s="267">
        <v>28862</v>
      </c>
      <c r="T1122" s="267">
        <v>31860</v>
      </c>
      <c r="U1122" s="268" t="s">
        <v>3945</v>
      </c>
      <c r="V1122" s="267" t="s">
        <v>944</v>
      </c>
    </row>
    <row r="1123" spans="1:22" hidden="1" x14ac:dyDescent="0.25">
      <c r="A1123" s="269">
        <v>43531</v>
      </c>
      <c r="B1123" s="270">
        <v>2019</v>
      </c>
      <c r="C1123" s="270">
        <v>2019</v>
      </c>
      <c r="D1123" s="270">
        <v>1</v>
      </c>
      <c r="E1123" s="270">
        <v>1</v>
      </c>
      <c r="F1123" s="270" t="s">
        <v>944</v>
      </c>
      <c r="G1123" s="270" t="s">
        <v>3926</v>
      </c>
      <c r="H1123" s="270" t="s">
        <v>5319</v>
      </c>
      <c r="I1123" s="270" t="s">
        <v>4035</v>
      </c>
      <c r="J1123" s="270" t="s">
        <v>3928</v>
      </c>
      <c r="K1123" s="270">
        <v>6074</v>
      </c>
      <c r="L1123" s="270">
        <v>487500</v>
      </c>
      <c r="M1123" s="270" t="s">
        <v>3935</v>
      </c>
      <c r="N1123" s="270" t="s">
        <v>3944</v>
      </c>
      <c r="O1123" s="270">
        <v>4949</v>
      </c>
      <c r="P1123" s="270" t="s">
        <v>3944</v>
      </c>
      <c r="Q1123" s="270" t="s">
        <v>3944</v>
      </c>
      <c r="R1123" s="270">
        <v>4949</v>
      </c>
      <c r="S1123" s="270">
        <v>56910</v>
      </c>
      <c r="T1123" s="270">
        <v>61859</v>
      </c>
      <c r="U1123" s="271" t="s">
        <v>3945</v>
      </c>
      <c r="V1123" s="267" t="s">
        <v>944</v>
      </c>
    </row>
    <row r="1124" spans="1:22" hidden="1" x14ac:dyDescent="0.25">
      <c r="A1124" s="266">
        <v>43531</v>
      </c>
      <c r="B1124" s="267">
        <v>2019</v>
      </c>
      <c r="C1124" s="267">
        <v>2019</v>
      </c>
      <c r="D1124" s="267">
        <v>1</v>
      </c>
      <c r="E1124" s="267">
        <v>1</v>
      </c>
      <c r="F1124" s="267" t="s">
        <v>944</v>
      </c>
      <c r="G1124" s="267" t="s">
        <v>3926</v>
      </c>
      <c r="H1124" s="267" t="s">
        <v>5320</v>
      </c>
      <c r="I1124" s="267" t="s">
        <v>4239</v>
      </c>
      <c r="J1124" s="267" t="s">
        <v>3928</v>
      </c>
      <c r="K1124" s="267">
        <v>6032</v>
      </c>
      <c r="L1124" s="267">
        <v>460204</v>
      </c>
      <c r="M1124" s="267" t="s">
        <v>3935</v>
      </c>
      <c r="N1124" s="267" t="s">
        <v>3944</v>
      </c>
      <c r="O1124" s="267">
        <v>687</v>
      </c>
      <c r="P1124" s="267" t="s">
        <v>3944</v>
      </c>
      <c r="Q1124" s="267" t="s">
        <v>3944</v>
      </c>
      <c r="R1124" s="267">
        <v>687</v>
      </c>
      <c r="S1124" s="267">
        <v>4791</v>
      </c>
      <c r="T1124" s="267">
        <v>5478</v>
      </c>
      <c r="U1124" s="268" t="s">
        <v>3945</v>
      </c>
      <c r="V1124" s="267" t="s">
        <v>944</v>
      </c>
    </row>
    <row r="1125" spans="1:22" hidden="1" x14ac:dyDescent="0.25">
      <c r="A1125" s="269">
        <v>43531</v>
      </c>
      <c r="B1125" s="270">
        <v>2019</v>
      </c>
      <c r="C1125" s="270">
        <v>2019</v>
      </c>
      <c r="D1125" s="270">
        <v>1</v>
      </c>
      <c r="E1125" s="270">
        <v>1</v>
      </c>
      <c r="F1125" s="270" t="s">
        <v>944</v>
      </c>
      <c r="G1125" s="270" t="s">
        <v>3926</v>
      </c>
      <c r="H1125" s="270" t="s">
        <v>5321</v>
      </c>
      <c r="I1125" s="270" t="s">
        <v>5147</v>
      </c>
      <c r="J1125" s="270" t="s">
        <v>3928</v>
      </c>
      <c r="K1125" s="270">
        <v>6468</v>
      </c>
      <c r="L1125" s="270">
        <v>100300</v>
      </c>
      <c r="M1125" s="270" t="s">
        <v>3943</v>
      </c>
      <c r="N1125" s="270" t="s">
        <v>3944</v>
      </c>
      <c r="O1125" s="270">
        <v>2535.23</v>
      </c>
      <c r="P1125" s="270" t="s">
        <v>3944</v>
      </c>
      <c r="Q1125" s="270" t="s">
        <v>3944</v>
      </c>
      <c r="R1125" s="270">
        <v>2535.23</v>
      </c>
      <c r="S1125" s="270">
        <v>34783.68</v>
      </c>
      <c r="T1125" s="270">
        <v>37318.910000000003</v>
      </c>
      <c r="U1125" s="271" t="s">
        <v>3945</v>
      </c>
      <c r="V1125" s="267" t="s">
        <v>944</v>
      </c>
    </row>
    <row r="1126" spans="1:22" hidden="1" x14ac:dyDescent="0.25">
      <c r="A1126" s="266">
        <v>43531</v>
      </c>
      <c r="B1126" s="267">
        <v>2019</v>
      </c>
      <c r="C1126" s="267">
        <v>2019</v>
      </c>
      <c r="D1126" s="267">
        <v>1</v>
      </c>
      <c r="E1126" s="267">
        <v>1</v>
      </c>
      <c r="F1126" s="267" t="s">
        <v>944</v>
      </c>
      <c r="G1126" s="267" t="s">
        <v>3997</v>
      </c>
      <c r="H1126" s="267" t="s">
        <v>5322</v>
      </c>
      <c r="I1126" s="267" t="s">
        <v>4461</v>
      </c>
      <c r="J1126" s="267" t="s">
        <v>3928</v>
      </c>
      <c r="K1126" s="267">
        <v>6830</v>
      </c>
      <c r="L1126" s="267">
        <v>10600</v>
      </c>
      <c r="M1126" s="267" t="s">
        <v>3943</v>
      </c>
      <c r="N1126" s="267" t="s">
        <v>5323</v>
      </c>
      <c r="O1126" s="267">
        <v>0</v>
      </c>
      <c r="P1126" s="267" t="s">
        <v>3944</v>
      </c>
      <c r="Q1126" s="267" t="s">
        <v>5323</v>
      </c>
      <c r="R1126" s="267">
        <v>160000</v>
      </c>
      <c r="S1126" s="267">
        <v>0</v>
      </c>
      <c r="T1126" s="267">
        <v>160000</v>
      </c>
      <c r="U1126" s="268" t="s">
        <v>5304</v>
      </c>
      <c r="V1126" s="267" t="s">
        <v>944</v>
      </c>
    </row>
    <row r="1127" spans="1:22" hidden="1" x14ac:dyDescent="0.25">
      <c r="A1127" s="269">
        <v>43532</v>
      </c>
      <c r="B1127" s="270">
        <v>2019</v>
      </c>
      <c r="C1127" s="270">
        <v>2019</v>
      </c>
      <c r="D1127" s="270">
        <v>1</v>
      </c>
      <c r="E1127" s="270">
        <v>1</v>
      </c>
      <c r="F1127" s="270" t="s">
        <v>944</v>
      </c>
      <c r="G1127" s="270" t="s">
        <v>3926</v>
      </c>
      <c r="H1127" s="270" t="s">
        <v>5324</v>
      </c>
      <c r="I1127" s="270" t="s">
        <v>5325</v>
      </c>
      <c r="J1127" s="270" t="s">
        <v>3928</v>
      </c>
      <c r="K1127" s="270">
        <v>6057</v>
      </c>
      <c r="L1127" s="270">
        <v>306100</v>
      </c>
      <c r="M1127" s="270" t="s">
        <v>3943</v>
      </c>
      <c r="N1127" s="270" t="s">
        <v>3944</v>
      </c>
      <c r="O1127" s="270">
        <v>1533</v>
      </c>
      <c r="P1127" s="270" t="s">
        <v>3944</v>
      </c>
      <c r="Q1127" s="270" t="s">
        <v>3944</v>
      </c>
      <c r="R1127" s="270">
        <v>1533</v>
      </c>
      <c r="S1127" s="270">
        <v>12831</v>
      </c>
      <c r="T1127" s="270">
        <v>14364</v>
      </c>
      <c r="U1127" s="271" t="s">
        <v>3945</v>
      </c>
      <c r="V1127" s="267" t="s">
        <v>944</v>
      </c>
    </row>
    <row r="1128" spans="1:22" hidden="1" x14ac:dyDescent="0.25">
      <c r="A1128" s="266">
        <v>43532</v>
      </c>
      <c r="B1128" s="267">
        <v>2019</v>
      </c>
      <c r="C1128" s="267">
        <v>2019</v>
      </c>
      <c r="D1128" s="267">
        <v>1</v>
      </c>
      <c r="E1128" s="267">
        <v>1</v>
      </c>
      <c r="F1128" s="267" t="s">
        <v>944</v>
      </c>
      <c r="G1128" s="267" t="s">
        <v>3926</v>
      </c>
      <c r="H1128" s="267" t="s">
        <v>5326</v>
      </c>
      <c r="I1128" s="267" t="s">
        <v>4005</v>
      </c>
      <c r="J1128" s="267" t="s">
        <v>3928</v>
      </c>
      <c r="K1128" s="267">
        <v>6108</v>
      </c>
      <c r="L1128" s="267">
        <v>510100</v>
      </c>
      <c r="M1128" s="267" t="s">
        <v>3940</v>
      </c>
      <c r="N1128" s="267" t="s">
        <v>3944</v>
      </c>
      <c r="O1128" s="267">
        <v>2341.5</v>
      </c>
      <c r="P1128" s="267" t="s">
        <v>3944</v>
      </c>
      <c r="Q1128" s="267" t="s">
        <v>3944</v>
      </c>
      <c r="R1128" s="267">
        <v>2341.5</v>
      </c>
      <c r="S1128" s="267">
        <v>35326.14</v>
      </c>
      <c r="T1128" s="267">
        <v>37667.64</v>
      </c>
      <c r="U1128" s="268" t="s">
        <v>3945</v>
      </c>
      <c r="V1128" s="267" t="s">
        <v>944</v>
      </c>
    </row>
    <row r="1129" spans="1:22" hidden="1" x14ac:dyDescent="0.25">
      <c r="A1129" s="269">
        <v>43532</v>
      </c>
      <c r="B1129" s="270">
        <v>2019</v>
      </c>
      <c r="C1129" s="270">
        <v>2019</v>
      </c>
      <c r="D1129" s="270">
        <v>1</v>
      </c>
      <c r="E1129" s="270">
        <v>1</v>
      </c>
      <c r="F1129" s="270" t="s">
        <v>944</v>
      </c>
      <c r="G1129" s="270" t="s">
        <v>3926</v>
      </c>
      <c r="H1129" s="270" t="s">
        <v>5327</v>
      </c>
      <c r="I1129" s="270" t="s">
        <v>4037</v>
      </c>
      <c r="J1129" s="270" t="s">
        <v>3928</v>
      </c>
      <c r="K1129" s="270">
        <v>6810</v>
      </c>
      <c r="L1129" s="270">
        <v>210300</v>
      </c>
      <c r="M1129" s="270" t="s">
        <v>3940</v>
      </c>
      <c r="N1129" s="270" t="s">
        <v>3944</v>
      </c>
      <c r="O1129" s="270">
        <v>1611.26</v>
      </c>
      <c r="P1129" s="270" t="s">
        <v>3944</v>
      </c>
      <c r="Q1129" s="270" t="s">
        <v>3944</v>
      </c>
      <c r="R1129" s="270">
        <v>1611.26</v>
      </c>
      <c r="S1129" s="270">
        <v>21735</v>
      </c>
      <c r="T1129" s="270">
        <v>23346.26</v>
      </c>
      <c r="U1129" s="271" t="s">
        <v>3945</v>
      </c>
      <c r="V1129" s="267" t="s">
        <v>944</v>
      </c>
    </row>
    <row r="1130" spans="1:22" hidden="1" x14ac:dyDescent="0.25">
      <c r="A1130" s="266">
        <v>43532</v>
      </c>
      <c r="B1130" s="267">
        <v>2019</v>
      </c>
      <c r="C1130" s="267">
        <v>2019</v>
      </c>
      <c r="D1130" s="267">
        <v>1</v>
      </c>
      <c r="E1130" s="267">
        <v>1</v>
      </c>
      <c r="F1130" s="267" t="s">
        <v>944</v>
      </c>
      <c r="G1130" s="267" t="s">
        <v>3926</v>
      </c>
      <c r="H1130" s="267" t="s">
        <v>5328</v>
      </c>
      <c r="I1130" s="267" t="s">
        <v>3975</v>
      </c>
      <c r="J1130" s="267" t="s">
        <v>3928</v>
      </c>
      <c r="K1130" s="267">
        <v>6489</v>
      </c>
      <c r="L1130" s="267">
        <v>430201</v>
      </c>
      <c r="M1130" s="267" t="s">
        <v>3960</v>
      </c>
      <c r="N1130" s="267" t="s">
        <v>3944</v>
      </c>
      <c r="O1130" s="267">
        <v>1662.89</v>
      </c>
      <c r="P1130" s="267" t="s">
        <v>3944</v>
      </c>
      <c r="Q1130" s="267" t="s">
        <v>3944</v>
      </c>
      <c r="R1130" s="267">
        <v>1662.89</v>
      </c>
      <c r="S1130" s="267">
        <v>22870.12</v>
      </c>
      <c r="T1130" s="267">
        <v>24533.01</v>
      </c>
      <c r="U1130" s="268" t="s">
        <v>3945</v>
      </c>
      <c r="V1130" s="267" t="s">
        <v>944</v>
      </c>
    </row>
    <row r="1131" spans="1:22" hidden="1" x14ac:dyDescent="0.25">
      <c r="A1131" s="269">
        <v>43532</v>
      </c>
      <c r="B1131" s="270">
        <v>2019</v>
      </c>
      <c r="C1131" s="270">
        <v>2019</v>
      </c>
      <c r="D1131" s="270">
        <v>1</v>
      </c>
      <c r="E1131" s="270">
        <v>1</v>
      </c>
      <c r="F1131" s="270" t="s">
        <v>944</v>
      </c>
      <c r="G1131" s="270" t="s">
        <v>3926</v>
      </c>
      <c r="H1131" s="270" t="s">
        <v>5329</v>
      </c>
      <c r="I1131" s="270" t="s">
        <v>3025</v>
      </c>
      <c r="J1131" s="270" t="s">
        <v>3928</v>
      </c>
      <c r="K1131" s="270">
        <v>6473</v>
      </c>
      <c r="L1131" s="270">
        <v>167300</v>
      </c>
      <c r="M1131" s="270" t="s">
        <v>3943</v>
      </c>
      <c r="N1131" s="270" t="s">
        <v>3944</v>
      </c>
      <c r="O1131" s="270">
        <v>2610.69</v>
      </c>
      <c r="P1131" s="270" t="s">
        <v>3944</v>
      </c>
      <c r="Q1131" s="270" t="s">
        <v>3944</v>
      </c>
      <c r="R1131" s="270">
        <v>2610.69</v>
      </c>
      <c r="S1131" s="270">
        <v>41309.85</v>
      </c>
      <c r="T1131" s="270">
        <v>43920.54</v>
      </c>
      <c r="U1131" s="271" t="s">
        <v>3945</v>
      </c>
      <c r="V1131" s="267" t="s">
        <v>944</v>
      </c>
    </row>
    <row r="1132" spans="1:22" hidden="1" x14ac:dyDescent="0.25">
      <c r="A1132" s="266">
        <v>43532</v>
      </c>
      <c r="B1132" s="267">
        <v>2019</v>
      </c>
      <c r="C1132" s="267">
        <v>2019</v>
      </c>
      <c r="D1132" s="267">
        <v>1</v>
      </c>
      <c r="E1132" s="267">
        <v>1</v>
      </c>
      <c r="F1132" s="267" t="s">
        <v>944</v>
      </c>
      <c r="G1132" s="267" t="s">
        <v>3926</v>
      </c>
      <c r="H1132" s="267" t="s">
        <v>5330</v>
      </c>
      <c r="I1132" s="267" t="s">
        <v>4147</v>
      </c>
      <c r="J1132" s="267" t="s">
        <v>3928</v>
      </c>
      <c r="K1132" s="267">
        <v>6109</v>
      </c>
      <c r="L1132" s="267">
        <v>492300</v>
      </c>
      <c r="M1132" s="267" t="s">
        <v>3940</v>
      </c>
      <c r="N1132" s="267" t="s">
        <v>3944</v>
      </c>
      <c r="O1132" s="267">
        <v>643.76</v>
      </c>
      <c r="P1132" s="267" t="s">
        <v>3944</v>
      </c>
      <c r="Q1132" s="267" t="s">
        <v>3944</v>
      </c>
      <c r="R1132" s="267">
        <v>643.76</v>
      </c>
      <c r="S1132" s="267">
        <v>8848.1</v>
      </c>
      <c r="T1132" s="267">
        <v>9491.86</v>
      </c>
      <c r="U1132" s="268" t="s">
        <v>3945</v>
      </c>
      <c r="V1132" s="267" t="s">
        <v>944</v>
      </c>
    </row>
    <row r="1133" spans="1:22" x14ac:dyDescent="0.25">
      <c r="A1133" s="269">
        <v>43532</v>
      </c>
      <c r="B1133" s="270">
        <v>2019</v>
      </c>
      <c r="C1133" s="270">
        <v>2019</v>
      </c>
      <c r="D1133" s="270">
        <v>1</v>
      </c>
      <c r="E1133" s="270">
        <v>1</v>
      </c>
      <c r="F1133" s="270" t="s">
        <v>944</v>
      </c>
      <c r="G1133" s="270" t="s">
        <v>3926</v>
      </c>
      <c r="H1133" s="270" t="s">
        <v>5331</v>
      </c>
      <c r="I1133" s="270" t="s">
        <v>3010</v>
      </c>
      <c r="J1133" s="270" t="s">
        <v>3928</v>
      </c>
      <c r="K1133" s="270">
        <v>6401</v>
      </c>
      <c r="L1133" s="270">
        <v>125300</v>
      </c>
      <c r="M1133" s="270" t="s">
        <v>3940</v>
      </c>
      <c r="N1133" s="270" t="s">
        <v>3944</v>
      </c>
      <c r="O1133" s="270">
        <v>2040.99</v>
      </c>
      <c r="P1133" s="270" t="s">
        <v>3944</v>
      </c>
      <c r="Q1133" s="270" t="s">
        <v>3944</v>
      </c>
      <c r="R1133" s="270">
        <v>2040.99</v>
      </c>
      <c r="S1133" s="270">
        <v>32465.8</v>
      </c>
      <c r="T1133" s="270">
        <v>34506.79</v>
      </c>
      <c r="U1133" s="271" t="s">
        <v>3945</v>
      </c>
      <c r="V1133" s="276" t="s">
        <v>936</v>
      </c>
    </row>
    <row r="1134" spans="1:22" hidden="1" x14ac:dyDescent="0.25">
      <c r="A1134" s="266">
        <v>43532</v>
      </c>
      <c r="B1134" s="267">
        <v>2019</v>
      </c>
      <c r="C1134" s="267">
        <v>2019</v>
      </c>
      <c r="D1134" s="267">
        <v>1</v>
      </c>
      <c r="E1134" s="267">
        <v>1</v>
      </c>
      <c r="F1134" s="267" t="s">
        <v>944</v>
      </c>
      <c r="G1134" s="267" t="s">
        <v>3926</v>
      </c>
      <c r="H1134" s="267" t="s">
        <v>5332</v>
      </c>
      <c r="I1134" s="267" t="s">
        <v>3008</v>
      </c>
      <c r="J1134" s="267" t="s">
        <v>3928</v>
      </c>
      <c r="K1134" s="267">
        <v>6461</v>
      </c>
      <c r="L1134" s="267">
        <v>150700</v>
      </c>
      <c r="M1134" s="267" t="s">
        <v>3943</v>
      </c>
      <c r="N1134" s="267" t="s">
        <v>3944</v>
      </c>
      <c r="O1134" s="267">
        <v>2204.41</v>
      </c>
      <c r="P1134" s="267" t="s">
        <v>3944</v>
      </c>
      <c r="Q1134" s="267" t="s">
        <v>3944</v>
      </c>
      <c r="R1134" s="267">
        <v>2204.41</v>
      </c>
      <c r="S1134" s="267">
        <v>37043.53</v>
      </c>
      <c r="T1134" s="267">
        <v>39247.94</v>
      </c>
      <c r="U1134" s="268" t="s">
        <v>3945</v>
      </c>
      <c r="V1134" s="267" t="s">
        <v>944</v>
      </c>
    </row>
    <row r="1135" spans="1:22" hidden="1" x14ac:dyDescent="0.25">
      <c r="A1135" s="269">
        <v>43532</v>
      </c>
      <c r="B1135" s="270">
        <v>2019</v>
      </c>
      <c r="C1135" s="270">
        <v>2019</v>
      </c>
      <c r="D1135" s="270">
        <v>1</v>
      </c>
      <c r="E1135" s="270">
        <v>1</v>
      </c>
      <c r="F1135" s="270" t="s">
        <v>944</v>
      </c>
      <c r="G1135" s="270" t="s">
        <v>3926</v>
      </c>
      <c r="H1135" s="270" t="s">
        <v>5333</v>
      </c>
      <c r="I1135" s="270" t="s">
        <v>3956</v>
      </c>
      <c r="J1135" s="270" t="s">
        <v>3928</v>
      </c>
      <c r="K1135" s="270">
        <v>6106</v>
      </c>
      <c r="L1135" s="270">
        <v>524700</v>
      </c>
      <c r="M1135" s="270" t="s">
        <v>3935</v>
      </c>
      <c r="N1135" s="270" t="s">
        <v>3944</v>
      </c>
      <c r="O1135" s="270">
        <v>2169.16</v>
      </c>
      <c r="P1135" s="270" t="s">
        <v>3944</v>
      </c>
      <c r="Q1135" s="270" t="s">
        <v>3944</v>
      </c>
      <c r="R1135" s="270">
        <v>2169.16</v>
      </c>
      <c r="S1135" s="270">
        <v>31335.43</v>
      </c>
      <c r="T1135" s="270">
        <v>33504.589999999997</v>
      </c>
      <c r="U1135" s="271" t="s">
        <v>3945</v>
      </c>
      <c r="V1135" s="267" t="s">
        <v>944</v>
      </c>
    </row>
    <row r="1136" spans="1:22" hidden="1" x14ac:dyDescent="0.25">
      <c r="A1136" s="266">
        <v>43534</v>
      </c>
      <c r="B1136" s="267">
        <v>2019</v>
      </c>
      <c r="C1136" s="267">
        <v>2019</v>
      </c>
      <c r="D1136" s="267">
        <v>1</v>
      </c>
      <c r="E1136" s="267">
        <v>1</v>
      </c>
      <c r="F1136" s="267" t="s">
        <v>944</v>
      </c>
      <c r="G1136" s="267" t="s">
        <v>3926</v>
      </c>
      <c r="H1136" s="267" t="s">
        <v>5334</v>
      </c>
      <c r="I1136" s="267" t="s">
        <v>4019</v>
      </c>
      <c r="J1136" s="267" t="s">
        <v>3928</v>
      </c>
      <c r="K1136" s="267">
        <v>6704</v>
      </c>
      <c r="L1136" s="267">
        <v>352500</v>
      </c>
      <c r="M1136" s="267">
        <v>-60</v>
      </c>
      <c r="N1136" s="267" t="s">
        <v>3986</v>
      </c>
      <c r="O1136" s="267">
        <v>1334.17</v>
      </c>
      <c r="P1136" s="267" t="s">
        <v>3930</v>
      </c>
      <c r="Q1136" s="267" t="s">
        <v>3931</v>
      </c>
      <c r="R1136" s="267">
        <v>6334.17</v>
      </c>
      <c r="S1136" s="267">
        <v>16196.8</v>
      </c>
      <c r="T1136" s="267">
        <v>22530.97</v>
      </c>
      <c r="U1136" s="268" t="s">
        <v>3932</v>
      </c>
      <c r="V1136" s="267" t="s">
        <v>944</v>
      </c>
    </row>
    <row r="1137" spans="1:22" hidden="1" x14ac:dyDescent="0.25">
      <c r="A1137" s="269">
        <v>43535</v>
      </c>
      <c r="B1137" s="270">
        <v>2019</v>
      </c>
      <c r="C1137" s="270">
        <v>2019</v>
      </c>
      <c r="D1137" s="270">
        <v>1</v>
      </c>
      <c r="E1137" s="270">
        <v>1</v>
      </c>
      <c r="F1137" s="270" t="s">
        <v>944</v>
      </c>
      <c r="G1137" s="270" t="s">
        <v>3926</v>
      </c>
      <c r="H1137" s="270" t="s">
        <v>5335</v>
      </c>
      <c r="I1137" s="270" t="s">
        <v>4037</v>
      </c>
      <c r="J1137" s="270" t="s">
        <v>3928</v>
      </c>
      <c r="K1137" s="270">
        <v>6811</v>
      </c>
      <c r="L1137" s="270">
        <v>210900</v>
      </c>
      <c r="M1137" s="270" t="s">
        <v>3943</v>
      </c>
      <c r="N1137" s="270" t="s">
        <v>3944</v>
      </c>
      <c r="O1137" s="270">
        <v>2061</v>
      </c>
      <c r="P1137" s="270" t="s">
        <v>3944</v>
      </c>
      <c r="Q1137" s="270" t="s">
        <v>3944</v>
      </c>
      <c r="R1137" s="270">
        <v>2061</v>
      </c>
      <c r="S1137" s="270">
        <v>33376.5</v>
      </c>
      <c r="T1137" s="270">
        <v>35437.5</v>
      </c>
      <c r="U1137" s="271" t="s">
        <v>3945</v>
      </c>
      <c r="V1137" s="267" t="s">
        <v>944</v>
      </c>
    </row>
    <row r="1138" spans="1:22" hidden="1" x14ac:dyDescent="0.25">
      <c r="A1138" s="266">
        <v>43535</v>
      </c>
      <c r="B1138" s="267">
        <v>2019</v>
      </c>
      <c r="C1138" s="267">
        <v>2019</v>
      </c>
      <c r="D1138" s="267">
        <v>1</v>
      </c>
      <c r="E1138" s="267">
        <v>1</v>
      </c>
      <c r="F1138" s="267" t="s">
        <v>944</v>
      </c>
      <c r="G1138" s="267" t="s">
        <v>3926</v>
      </c>
      <c r="H1138" s="267" t="s">
        <v>5336</v>
      </c>
      <c r="I1138" s="267" t="s">
        <v>2987</v>
      </c>
      <c r="J1138" s="267" t="s">
        <v>3928</v>
      </c>
      <c r="K1138" s="267">
        <v>6611</v>
      </c>
      <c r="L1138" s="267">
        <v>90500</v>
      </c>
      <c r="M1138" s="267" t="s">
        <v>3943</v>
      </c>
      <c r="N1138" s="267" t="s">
        <v>3944</v>
      </c>
      <c r="O1138" s="267">
        <v>2238</v>
      </c>
      <c r="P1138" s="267" t="s">
        <v>3944</v>
      </c>
      <c r="Q1138" s="267" t="s">
        <v>3944</v>
      </c>
      <c r="R1138" s="267">
        <v>2238</v>
      </c>
      <c r="S1138" s="267">
        <v>37137</v>
      </c>
      <c r="T1138" s="267">
        <v>39375</v>
      </c>
      <c r="U1138" s="268" t="s">
        <v>3945</v>
      </c>
      <c r="V1138" s="267" t="s">
        <v>944</v>
      </c>
    </row>
    <row r="1139" spans="1:22" hidden="1" x14ac:dyDescent="0.25">
      <c r="A1139" s="269">
        <v>43535</v>
      </c>
      <c r="B1139" s="270">
        <v>2019</v>
      </c>
      <c r="C1139" s="270">
        <v>2019</v>
      </c>
      <c r="D1139" s="270">
        <v>1</v>
      </c>
      <c r="E1139" s="270">
        <v>1</v>
      </c>
      <c r="F1139" s="270" t="s">
        <v>944</v>
      </c>
      <c r="G1139" s="270" t="s">
        <v>3926</v>
      </c>
      <c r="H1139" s="270" t="s">
        <v>5337</v>
      </c>
      <c r="I1139" s="270" t="s">
        <v>3966</v>
      </c>
      <c r="J1139" s="270" t="s">
        <v>3928</v>
      </c>
      <c r="K1139" s="270">
        <v>6010</v>
      </c>
      <c r="L1139" s="270">
        <v>405800</v>
      </c>
      <c r="M1139" s="270" t="s">
        <v>3935</v>
      </c>
      <c r="N1139" s="270" t="s">
        <v>3944</v>
      </c>
      <c r="O1139" s="270">
        <v>3733</v>
      </c>
      <c r="P1139" s="270" t="s">
        <v>3944</v>
      </c>
      <c r="Q1139" s="270" t="s">
        <v>3944</v>
      </c>
      <c r="R1139" s="270">
        <v>3733</v>
      </c>
      <c r="S1139" s="270">
        <v>50069</v>
      </c>
      <c r="T1139" s="270">
        <v>53802</v>
      </c>
      <c r="U1139" s="271" t="s">
        <v>3945</v>
      </c>
      <c r="V1139" s="267" t="s">
        <v>944</v>
      </c>
    </row>
    <row r="1140" spans="1:22" hidden="1" x14ac:dyDescent="0.25">
      <c r="A1140" s="266">
        <v>43535</v>
      </c>
      <c r="B1140" s="267">
        <v>2019</v>
      </c>
      <c r="C1140" s="267">
        <v>2019</v>
      </c>
      <c r="D1140" s="267">
        <v>1</v>
      </c>
      <c r="E1140" s="267">
        <v>1</v>
      </c>
      <c r="F1140" s="267" t="s">
        <v>944</v>
      </c>
      <c r="G1140" s="267" t="s">
        <v>3926</v>
      </c>
      <c r="H1140" s="267" t="s">
        <v>5338</v>
      </c>
      <c r="I1140" s="267" t="s">
        <v>3009</v>
      </c>
      <c r="J1140" s="267" t="s">
        <v>3928</v>
      </c>
      <c r="K1140" s="267">
        <v>6484</v>
      </c>
      <c r="L1140" s="267">
        <v>110500</v>
      </c>
      <c r="M1140" s="267" t="s">
        <v>3943</v>
      </c>
      <c r="N1140" s="267" t="s">
        <v>3944</v>
      </c>
      <c r="O1140" s="267">
        <v>2726.64</v>
      </c>
      <c r="P1140" s="267" t="s">
        <v>3944</v>
      </c>
      <c r="Q1140" s="267" t="s">
        <v>3944</v>
      </c>
      <c r="R1140" s="267">
        <v>2726.64</v>
      </c>
      <c r="S1140" s="267">
        <v>34774.74</v>
      </c>
      <c r="T1140" s="267">
        <v>37501.379999999997</v>
      </c>
      <c r="U1140" s="268" t="s">
        <v>3945</v>
      </c>
      <c r="V1140" s="267" t="s">
        <v>944</v>
      </c>
    </row>
    <row r="1141" spans="1:22" hidden="1" x14ac:dyDescent="0.25">
      <c r="A1141" s="269">
        <v>43535</v>
      </c>
      <c r="B1141" s="270">
        <v>2019</v>
      </c>
      <c r="C1141" s="270">
        <v>2019</v>
      </c>
      <c r="D1141" s="270">
        <v>1</v>
      </c>
      <c r="E1141" s="270">
        <v>1</v>
      </c>
      <c r="F1141" s="270" t="s">
        <v>944</v>
      </c>
      <c r="G1141" s="270" t="s">
        <v>3926</v>
      </c>
      <c r="H1141" s="270" t="s">
        <v>5339</v>
      </c>
      <c r="I1141" s="270" t="s">
        <v>4019</v>
      </c>
      <c r="J1141" s="270" t="s">
        <v>3928</v>
      </c>
      <c r="K1141" s="270">
        <v>6708</v>
      </c>
      <c r="L1141" s="270">
        <v>351900</v>
      </c>
      <c r="M1141" s="270" t="s">
        <v>3935</v>
      </c>
      <c r="N1141" s="270" t="s">
        <v>3944</v>
      </c>
      <c r="O1141" s="270">
        <v>2595.36</v>
      </c>
      <c r="P1141" s="270" t="s">
        <v>3944</v>
      </c>
      <c r="Q1141" s="270" t="s">
        <v>3944</v>
      </c>
      <c r="R1141" s="270">
        <v>2595.36</v>
      </c>
      <c r="S1141" s="270">
        <v>33864.33</v>
      </c>
      <c r="T1141" s="270">
        <v>36459.69</v>
      </c>
      <c r="U1141" s="271" t="s">
        <v>3945</v>
      </c>
      <c r="V1141" s="267" t="s">
        <v>944</v>
      </c>
    </row>
    <row r="1142" spans="1:22" hidden="1" x14ac:dyDescent="0.25">
      <c r="A1142" s="266">
        <v>43535</v>
      </c>
      <c r="B1142" s="267">
        <v>2019</v>
      </c>
      <c r="C1142" s="267">
        <v>2019</v>
      </c>
      <c r="D1142" s="267">
        <v>1</v>
      </c>
      <c r="E1142" s="267">
        <v>1</v>
      </c>
      <c r="F1142" s="267" t="s">
        <v>944</v>
      </c>
      <c r="G1142" s="267" t="s">
        <v>3926</v>
      </c>
      <c r="H1142" s="267" t="s">
        <v>5340</v>
      </c>
      <c r="I1142" s="267" t="s">
        <v>4232</v>
      </c>
      <c r="J1142" s="267" t="s">
        <v>3928</v>
      </c>
      <c r="K1142" s="267">
        <v>6483</v>
      </c>
      <c r="L1142" s="267">
        <v>130101</v>
      </c>
      <c r="M1142" s="267" t="s">
        <v>3940</v>
      </c>
      <c r="N1142" s="267" t="s">
        <v>3944</v>
      </c>
      <c r="O1142" s="267">
        <v>2032.49</v>
      </c>
      <c r="P1142" s="267" t="s">
        <v>3944</v>
      </c>
      <c r="Q1142" s="267" t="s">
        <v>3944</v>
      </c>
      <c r="R1142" s="267">
        <v>2032.49</v>
      </c>
      <c r="S1142" s="267">
        <v>28772.65</v>
      </c>
      <c r="T1142" s="267">
        <v>30805.14</v>
      </c>
      <c r="U1142" s="268" t="s">
        <v>3945</v>
      </c>
      <c r="V1142" s="267" t="s">
        <v>944</v>
      </c>
    </row>
    <row r="1143" spans="1:22" hidden="1" x14ac:dyDescent="0.25">
      <c r="A1143" s="269">
        <v>43535</v>
      </c>
      <c r="B1143" s="270">
        <v>2019</v>
      </c>
      <c r="C1143" s="270">
        <v>2019</v>
      </c>
      <c r="D1143" s="270">
        <v>1</v>
      </c>
      <c r="E1143" s="270">
        <v>1</v>
      </c>
      <c r="F1143" s="270" t="s">
        <v>944</v>
      </c>
      <c r="G1143" s="270" t="s">
        <v>3926</v>
      </c>
      <c r="H1143" s="270" t="s">
        <v>5341</v>
      </c>
      <c r="I1143" s="270" t="s">
        <v>3993</v>
      </c>
      <c r="J1143" s="270" t="s">
        <v>3928</v>
      </c>
      <c r="K1143" s="270">
        <v>6415</v>
      </c>
      <c r="L1143" s="270">
        <v>714104</v>
      </c>
      <c r="M1143" s="270" t="s">
        <v>3960</v>
      </c>
      <c r="N1143" s="270" t="s">
        <v>3944</v>
      </c>
      <c r="O1143" s="270">
        <v>1202.71</v>
      </c>
      <c r="P1143" s="270" t="s">
        <v>3944</v>
      </c>
      <c r="Q1143" s="270" t="s">
        <v>3944</v>
      </c>
      <c r="R1143" s="270">
        <v>1202.71</v>
      </c>
      <c r="S1143" s="270">
        <v>15631.78</v>
      </c>
      <c r="T1143" s="270">
        <v>16834.490000000002</v>
      </c>
      <c r="U1143" s="271" t="s">
        <v>3945</v>
      </c>
      <c r="V1143" s="267" t="s">
        <v>944</v>
      </c>
    </row>
    <row r="1144" spans="1:22" hidden="1" x14ac:dyDescent="0.25">
      <c r="A1144" s="266">
        <v>43535</v>
      </c>
      <c r="B1144" s="267">
        <v>2019</v>
      </c>
      <c r="C1144" s="267">
        <v>2019</v>
      </c>
      <c r="D1144" s="267">
        <v>1</v>
      </c>
      <c r="E1144" s="267">
        <v>1</v>
      </c>
      <c r="F1144" s="267" t="s">
        <v>944</v>
      </c>
      <c r="G1144" s="267" t="s">
        <v>3926</v>
      </c>
      <c r="H1144" s="267" t="s">
        <v>5342</v>
      </c>
      <c r="I1144" s="267" t="s">
        <v>4301</v>
      </c>
      <c r="J1144" s="267" t="s">
        <v>3928</v>
      </c>
      <c r="K1144" s="267">
        <v>6359</v>
      </c>
      <c r="L1144" s="267">
        <v>707100</v>
      </c>
      <c r="M1144" s="267" t="s">
        <v>3935</v>
      </c>
      <c r="N1144" s="267" t="s">
        <v>3944</v>
      </c>
      <c r="O1144" s="267">
        <v>2090.5500000000002</v>
      </c>
      <c r="P1144" s="267" t="s">
        <v>3944</v>
      </c>
      <c r="Q1144" s="267" t="s">
        <v>3944</v>
      </c>
      <c r="R1144" s="267">
        <v>2090.5500000000002</v>
      </c>
      <c r="S1144" s="267">
        <v>32650.39</v>
      </c>
      <c r="T1144" s="267">
        <v>34740.94</v>
      </c>
      <c r="U1144" s="268" t="s">
        <v>3945</v>
      </c>
      <c r="V1144" s="267" t="s">
        <v>944</v>
      </c>
    </row>
    <row r="1145" spans="1:22" hidden="1" x14ac:dyDescent="0.25">
      <c r="A1145" s="269">
        <v>43535</v>
      </c>
      <c r="B1145" s="270">
        <v>2019</v>
      </c>
      <c r="C1145" s="270">
        <v>2019</v>
      </c>
      <c r="D1145" s="270">
        <v>1</v>
      </c>
      <c r="E1145" s="270">
        <v>1</v>
      </c>
      <c r="F1145" s="270" t="s">
        <v>944</v>
      </c>
      <c r="G1145" s="270" t="s">
        <v>3926</v>
      </c>
      <c r="H1145" s="270" t="s">
        <v>5343</v>
      </c>
      <c r="I1145" s="270" t="s">
        <v>4037</v>
      </c>
      <c r="J1145" s="270" t="s">
        <v>3928</v>
      </c>
      <c r="K1145" s="270">
        <v>6810</v>
      </c>
      <c r="L1145" s="270">
        <v>210300</v>
      </c>
      <c r="M1145" s="270" t="s">
        <v>3940</v>
      </c>
      <c r="N1145" s="270" t="s">
        <v>3944</v>
      </c>
      <c r="O1145" s="270">
        <v>2028.32</v>
      </c>
      <c r="P1145" s="270" t="s">
        <v>3944</v>
      </c>
      <c r="Q1145" s="270" t="s">
        <v>3944</v>
      </c>
      <c r="R1145" s="270">
        <v>2028.32</v>
      </c>
      <c r="S1145" s="270">
        <v>26861.41</v>
      </c>
      <c r="T1145" s="270">
        <v>28889.73</v>
      </c>
      <c r="U1145" s="271" t="s">
        <v>3945</v>
      </c>
      <c r="V1145" s="267" t="s">
        <v>944</v>
      </c>
    </row>
    <row r="1146" spans="1:22" hidden="1" x14ac:dyDescent="0.25">
      <c r="A1146" s="266">
        <v>43535</v>
      </c>
      <c r="B1146" s="267">
        <v>2019</v>
      </c>
      <c r="C1146" s="267">
        <v>2019</v>
      </c>
      <c r="D1146" s="267">
        <v>1</v>
      </c>
      <c r="E1146" s="267">
        <v>1</v>
      </c>
      <c r="F1146" s="267" t="s">
        <v>944</v>
      </c>
      <c r="G1146" s="267" t="s">
        <v>3926</v>
      </c>
      <c r="H1146" s="267" t="s">
        <v>5344</v>
      </c>
      <c r="I1146" s="267" t="s">
        <v>4323</v>
      </c>
      <c r="J1146" s="267" t="s">
        <v>3928</v>
      </c>
      <c r="K1146" s="267">
        <v>6385</v>
      </c>
      <c r="L1146" s="267">
        <v>693400</v>
      </c>
      <c r="M1146" s="267" t="s">
        <v>3940</v>
      </c>
      <c r="N1146" s="267" t="s">
        <v>3944</v>
      </c>
      <c r="O1146" s="267">
        <v>1474.8</v>
      </c>
      <c r="P1146" s="267" t="s">
        <v>3944</v>
      </c>
      <c r="Q1146" s="267" t="s">
        <v>3944</v>
      </c>
      <c r="R1146" s="267">
        <v>1474.8</v>
      </c>
      <c r="S1146" s="267">
        <v>21650.73</v>
      </c>
      <c r="T1146" s="267">
        <v>23125.53</v>
      </c>
      <c r="U1146" s="268" t="s">
        <v>3945</v>
      </c>
      <c r="V1146" s="267" t="s">
        <v>944</v>
      </c>
    </row>
    <row r="1147" spans="1:22" hidden="1" x14ac:dyDescent="0.25">
      <c r="A1147" s="269">
        <v>43535</v>
      </c>
      <c r="B1147" s="270">
        <v>2019</v>
      </c>
      <c r="C1147" s="270">
        <v>2019</v>
      </c>
      <c r="D1147" s="270">
        <v>1</v>
      </c>
      <c r="E1147" s="270">
        <v>1</v>
      </c>
      <c r="F1147" s="270" t="s">
        <v>944</v>
      </c>
      <c r="G1147" s="270" t="s">
        <v>3926</v>
      </c>
      <c r="H1147" s="270" t="s">
        <v>5345</v>
      </c>
      <c r="I1147" s="270" t="s">
        <v>4085</v>
      </c>
      <c r="J1147" s="270" t="s">
        <v>3928</v>
      </c>
      <c r="K1147" s="270">
        <v>6351</v>
      </c>
      <c r="L1147" s="270">
        <v>709200</v>
      </c>
      <c r="M1147" s="270" t="s">
        <v>3940</v>
      </c>
      <c r="N1147" s="270" t="s">
        <v>3944</v>
      </c>
      <c r="O1147" s="270">
        <v>2881.97</v>
      </c>
      <c r="P1147" s="270" t="s">
        <v>3944</v>
      </c>
      <c r="Q1147" s="270" t="s">
        <v>3944</v>
      </c>
      <c r="R1147" s="270">
        <v>2881.97</v>
      </c>
      <c r="S1147" s="270">
        <v>41274.730000000003</v>
      </c>
      <c r="T1147" s="270">
        <v>44156.7</v>
      </c>
      <c r="U1147" s="271" t="s">
        <v>3945</v>
      </c>
      <c r="V1147" s="267" t="s">
        <v>944</v>
      </c>
    </row>
    <row r="1148" spans="1:22" hidden="1" x14ac:dyDescent="0.25">
      <c r="A1148" s="266">
        <v>43535</v>
      </c>
      <c r="B1148" s="267">
        <v>2019</v>
      </c>
      <c r="C1148" s="267">
        <v>2019</v>
      </c>
      <c r="D1148" s="267">
        <v>1</v>
      </c>
      <c r="E1148" s="267">
        <v>1</v>
      </c>
      <c r="F1148" s="267" t="s">
        <v>944</v>
      </c>
      <c r="G1148" s="267" t="s">
        <v>3926</v>
      </c>
      <c r="H1148" s="267" t="s">
        <v>5346</v>
      </c>
      <c r="I1148" s="267" t="s">
        <v>3999</v>
      </c>
      <c r="J1148" s="267" t="s">
        <v>3928</v>
      </c>
      <c r="K1148" s="267">
        <v>6451</v>
      </c>
      <c r="L1148" s="267">
        <v>170700</v>
      </c>
      <c r="M1148" s="267" t="s">
        <v>3940</v>
      </c>
      <c r="N1148" s="267" t="s">
        <v>3944</v>
      </c>
      <c r="O1148" s="267">
        <v>2457.84</v>
      </c>
      <c r="P1148" s="267" t="s">
        <v>3944</v>
      </c>
      <c r="Q1148" s="267" t="s">
        <v>3944</v>
      </c>
      <c r="R1148" s="267">
        <v>2457.84</v>
      </c>
      <c r="S1148" s="267">
        <v>30876.720000000001</v>
      </c>
      <c r="T1148" s="267">
        <v>33334.559999999998</v>
      </c>
      <c r="U1148" s="268" t="s">
        <v>3945</v>
      </c>
      <c r="V1148" s="267" t="s">
        <v>944</v>
      </c>
    </row>
    <row r="1149" spans="1:22" hidden="1" x14ac:dyDescent="0.25">
      <c r="A1149" s="269">
        <v>43535</v>
      </c>
      <c r="B1149" s="270">
        <v>2019</v>
      </c>
      <c r="C1149" s="270">
        <v>2019</v>
      </c>
      <c r="D1149" s="270">
        <v>1</v>
      </c>
      <c r="E1149" s="270">
        <v>1</v>
      </c>
      <c r="F1149" s="270" t="s">
        <v>944</v>
      </c>
      <c r="G1149" s="270" t="s">
        <v>3926</v>
      </c>
      <c r="H1149" s="270" t="s">
        <v>5347</v>
      </c>
      <c r="I1149" s="270" t="s">
        <v>3968</v>
      </c>
      <c r="J1149" s="270" t="s">
        <v>3928</v>
      </c>
      <c r="K1149" s="270">
        <v>6040</v>
      </c>
      <c r="L1149" s="270">
        <v>514600</v>
      </c>
      <c r="M1149" s="270" t="s">
        <v>3940</v>
      </c>
      <c r="N1149" s="270" t="s">
        <v>3944</v>
      </c>
      <c r="O1149" s="270">
        <v>2527.7399999999998</v>
      </c>
      <c r="P1149" s="270" t="s">
        <v>3944</v>
      </c>
      <c r="Q1149" s="270" t="s">
        <v>3944</v>
      </c>
      <c r="R1149" s="270">
        <v>2527.7399999999998</v>
      </c>
      <c r="S1149" s="270">
        <v>35044.76</v>
      </c>
      <c r="T1149" s="270">
        <v>37572.5</v>
      </c>
      <c r="U1149" s="271" t="s">
        <v>3945</v>
      </c>
      <c r="V1149" s="267" t="s">
        <v>944</v>
      </c>
    </row>
    <row r="1150" spans="1:22" hidden="1" x14ac:dyDescent="0.25">
      <c r="A1150" s="266">
        <v>43535</v>
      </c>
      <c r="B1150" s="267">
        <v>2019</v>
      </c>
      <c r="C1150" s="267">
        <v>2019</v>
      </c>
      <c r="D1150" s="267">
        <v>1</v>
      </c>
      <c r="E1150" s="267">
        <v>1</v>
      </c>
      <c r="F1150" s="267" t="s">
        <v>944</v>
      </c>
      <c r="G1150" s="267" t="s">
        <v>3926</v>
      </c>
      <c r="H1150" s="267" t="s">
        <v>5348</v>
      </c>
      <c r="I1150" s="267" t="s">
        <v>4548</v>
      </c>
      <c r="J1150" s="267" t="s">
        <v>3928</v>
      </c>
      <c r="K1150" s="267">
        <v>6037</v>
      </c>
      <c r="L1150" s="267">
        <v>400300</v>
      </c>
      <c r="M1150" s="267" t="s">
        <v>3960</v>
      </c>
      <c r="N1150" s="267" t="s">
        <v>3944</v>
      </c>
      <c r="O1150" s="267">
        <v>1589.91</v>
      </c>
      <c r="P1150" s="267" t="s">
        <v>3944</v>
      </c>
      <c r="Q1150" s="267" t="s">
        <v>3944</v>
      </c>
      <c r="R1150" s="267">
        <v>1589.91</v>
      </c>
      <c r="S1150" s="267">
        <v>25047.4</v>
      </c>
      <c r="T1150" s="267">
        <v>26637.31</v>
      </c>
      <c r="U1150" s="268" t="s">
        <v>3945</v>
      </c>
      <c r="V1150" s="267" t="s">
        <v>944</v>
      </c>
    </row>
    <row r="1151" spans="1:22" hidden="1" x14ac:dyDescent="0.25">
      <c r="A1151" s="269">
        <v>43535</v>
      </c>
      <c r="B1151" s="270">
        <v>2019</v>
      </c>
      <c r="C1151" s="270">
        <v>2019</v>
      </c>
      <c r="D1151" s="270">
        <v>1</v>
      </c>
      <c r="E1151" s="270">
        <v>1</v>
      </c>
      <c r="F1151" s="270" t="s">
        <v>944</v>
      </c>
      <c r="G1151" s="270" t="s">
        <v>3926</v>
      </c>
      <c r="H1151" s="270" t="s">
        <v>5349</v>
      </c>
      <c r="I1151" s="270" t="s">
        <v>943</v>
      </c>
      <c r="J1151" s="270" t="s">
        <v>3928</v>
      </c>
      <c r="K1151" s="270">
        <v>6515</v>
      </c>
      <c r="L1151" s="270">
        <v>141200</v>
      </c>
      <c r="M1151" s="270">
        <v>-60</v>
      </c>
      <c r="N1151" s="270" t="s">
        <v>3944</v>
      </c>
      <c r="O1151" s="270">
        <v>1053.78</v>
      </c>
      <c r="P1151" s="270" t="s">
        <v>3944</v>
      </c>
      <c r="Q1151" s="270" t="s">
        <v>3944</v>
      </c>
      <c r="R1151" s="270">
        <v>1053.78</v>
      </c>
      <c r="S1151" s="270">
        <v>15537</v>
      </c>
      <c r="T1151" s="270">
        <v>16590.78</v>
      </c>
      <c r="U1151" s="271" t="s">
        <v>3945</v>
      </c>
      <c r="V1151" s="267" t="s">
        <v>944</v>
      </c>
    </row>
    <row r="1152" spans="1:22" hidden="1" x14ac:dyDescent="0.25">
      <c r="A1152" s="266">
        <v>43535</v>
      </c>
      <c r="B1152" s="267">
        <v>2019</v>
      </c>
      <c r="C1152" s="267">
        <v>2019</v>
      </c>
      <c r="D1152" s="267">
        <v>1</v>
      </c>
      <c r="E1152" s="267">
        <v>1</v>
      </c>
      <c r="F1152" s="267" t="s">
        <v>944</v>
      </c>
      <c r="G1152" s="267" t="s">
        <v>3926</v>
      </c>
      <c r="H1152" s="267" t="s">
        <v>5350</v>
      </c>
      <c r="I1152" s="267" t="s">
        <v>4035</v>
      </c>
      <c r="J1152" s="267" t="s">
        <v>3928</v>
      </c>
      <c r="K1152" s="267">
        <v>6074</v>
      </c>
      <c r="L1152" s="267">
        <v>487400</v>
      </c>
      <c r="M1152" s="267" t="s">
        <v>3943</v>
      </c>
      <c r="N1152" s="267" t="s">
        <v>3944</v>
      </c>
      <c r="O1152" s="267">
        <v>2469.88</v>
      </c>
      <c r="P1152" s="267" t="s">
        <v>3944</v>
      </c>
      <c r="Q1152" s="267" t="s">
        <v>3944</v>
      </c>
      <c r="R1152" s="267">
        <v>2469.88</v>
      </c>
      <c r="S1152" s="267">
        <v>40659.919999999998</v>
      </c>
      <c r="T1152" s="267">
        <v>43129.8</v>
      </c>
      <c r="U1152" s="268" t="s">
        <v>3945</v>
      </c>
      <c r="V1152" s="267" t="s">
        <v>944</v>
      </c>
    </row>
    <row r="1153" spans="1:22" hidden="1" x14ac:dyDescent="0.25">
      <c r="A1153" s="269">
        <v>43535</v>
      </c>
      <c r="B1153" s="270">
        <v>2019</v>
      </c>
      <c r="C1153" s="270">
        <v>2019</v>
      </c>
      <c r="D1153" s="270">
        <v>1</v>
      </c>
      <c r="E1153" s="270">
        <v>1</v>
      </c>
      <c r="F1153" s="270" t="s">
        <v>944</v>
      </c>
      <c r="G1153" s="270" t="s">
        <v>3926</v>
      </c>
      <c r="H1153" s="270" t="s">
        <v>5351</v>
      </c>
      <c r="I1153" s="270" t="s">
        <v>3999</v>
      </c>
      <c r="J1153" s="270" t="s">
        <v>3928</v>
      </c>
      <c r="K1153" s="270">
        <v>6450</v>
      </c>
      <c r="L1153" s="270">
        <v>171200</v>
      </c>
      <c r="M1153" s="270" t="s">
        <v>3960</v>
      </c>
      <c r="N1153" s="270" t="s">
        <v>3944</v>
      </c>
      <c r="O1153" s="270">
        <v>1754.97</v>
      </c>
      <c r="P1153" s="270" t="s">
        <v>3944</v>
      </c>
      <c r="Q1153" s="270" t="s">
        <v>3944</v>
      </c>
      <c r="R1153" s="270">
        <v>1754.97</v>
      </c>
      <c r="S1153" s="270">
        <v>23917.53</v>
      </c>
      <c r="T1153" s="270">
        <v>25672.5</v>
      </c>
      <c r="U1153" s="271" t="s">
        <v>3945</v>
      </c>
      <c r="V1153" s="267" t="s">
        <v>944</v>
      </c>
    </row>
    <row r="1154" spans="1:22" hidden="1" x14ac:dyDescent="0.25">
      <c r="A1154" s="266">
        <v>43535</v>
      </c>
      <c r="B1154" s="267">
        <v>2019</v>
      </c>
      <c r="C1154" s="267">
        <v>2019</v>
      </c>
      <c r="D1154" s="267">
        <v>1</v>
      </c>
      <c r="E1154" s="267">
        <v>1</v>
      </c>
      <c r="F1154" s="267" t="s">
        <v>944</v>
      </c>
      <c r="G1154" s="267" t="s">
        <v>3926</v>
      </c>
      <c r="H1154" s="267" t="s">
        <v>5352</v>
      </c>
      <c r="I1154" s="267" t="s">
        <v>3999</v>
      </c>
      <c r="J1154" s="267" t="s">
        <v>3928</v>
      </c>
      <c r="K1154" s="267">
        <v>6450</v>
      </c>
      <c r="L1154" s="267">
        <v>171200</v>
      </c>
      <c r="M1154" s="267" t="s">
        <v>3960</v>
      </c>
      <c r="N1154" s="267" t="s">
        <v>3944</v>
      </c>
      <c r="O1154" s="267">
        <v>2192.19</v>
      </c>
      <c r="P1154" s="267" t="s">
        <v>3944</v>
      </c>
      <c r="Q1154" s="267" t="s">
        <v>3944</v>
      </c>
      <c r="R1154" s="267">
        <v>2192.19</v>
      </c>
      <c r="S1154" s="267">
        <v>31142.37</v>
      </c>
      <c r="T1154" s="267">
        <v>33334.559999999998</v>
      </c>
      <c r="U1154" s="268" t="s">
        <v>3945</v>
      </c>
      <c r="V1154" s="267" t="s">
        <v>944</v>
      </c>
    </row>
    <row r="1155" spans="1:22" hidden="1" x14ac:dyDescent="0.25">
      <c r="A1155" s="269">
        <v>43535</v>
      </c>
      <c r="B1155" s="270">
        <v>2019</v>
      </c>
      <c r="C1155" s="270">
        <v>2019</v>
      </c>
      <c r="D1155" s="270">
        <v>1</v>
      </c>
      <c r="E1155" s="270">
        <v>1</v>
      </c>
      <c r="F1155" s="270" t="s">
        <v>944</v>
      </c>
      <c r="G1155" s="270" t="s">
        <v>3926</v>
      </c>
      <c r="H1155" s="270" t="s">
        <v>5353</v>
      </c>
      <c r="I1155" s="270" t="s">
        <v>4016</v>
      </c>
      <c r="J1155" s="270" t="s">
        <v>3928</v>
      </c>
      <c r="K1155" s="270">
        <v>6770</v>
      </c>
      <c r="L1155" s="270">
        <v>345201</v>
      </c>
      <c r="M1155" s="270" t="s">
        <v>3935</v>
      </c>
      <c r="N1155" s="270" t="s">
        <v>3944</v>
      </c>
      <c r="O1155" s="270">
        <v>1985.83</v>
      </c>
      <c r="P1155" s="270" t="s">
        <v>3944</v>
      </c>
      <c r="Q1155" s="270" t="s">
        <v>3944</v>
      </c>
      <c r="R1155" s="270">
        <v>1985.83</v>
      </c>
      <c r="S1155" s="270">
        <v>27794.27</v>
      </c>
      <c r="T1155" s="270">
        <v>29780.1</v>
      </c>
      <c r="U1155" s="271" t="s">
        <v>3945</v>
      </c>
      <c r="V1155" s="267" t="s">
        <v>944</v>
      </c>
    </row>
    <row r="1156" spans="1:22" hidden="1" x14ac:dyDescent="0.25">
      <c r="A1156" s="266">
        <v>43535</v>
      </c>
      <c r="B1156" s="267">
        <v>2019</v>
      </c>
      <c r="C1156" s="267">
        <v>2019</v>
      </c>
      <c r="D1156" s="267">
        <v>1</v>
      </c>
      <c r="E1156" s="267">
        <v>1</v>
      </c>
      <c r="F1156" s="267" t="s">
        <v>944</v>
      </c>
      <c r="G1156" s="267" t="s">
        <v>3926</v>
      </c>
      <c r="H1156" s="267" t="s">
        <v>5354</v>
      </c>
      <c r="I1156" s="267" t="s">
        <v>3025</v>
      </c>
      <c r="J1156" s="267" t="s">
        <v>3928</v>
      </c>
      <c r="K1156" s="267">
        <v>6473</v>
      </c>
      <c r="L1156" s="267">
        <v>167201</v>
      </c>
      <c r="M1156" s="267" t="s">
        <v>3960</v>
      </c>
      <c r="N1156" s="267" t="s">
        <v>3944</v>
      </c>
      <c r="O1156" s="267">
        <v>1426.25</v>
      </c>
      <c r="P1156" s="267" t="s">
        <v>3944</v>
      </c>
      <c r="Q1156" s="267" t="s">
        <v>3944</v>
      </c>
      <c r="R1156" s="267">
        <v>1426.25</v>
      </c>
      <c r="S1156" s="267">
        <v>20449.57</v>
      </c>
      <c r="T1156" s="267">
        <v>21875.82</v>
      </c>
      <c r="U1156" s="268" t="s">
        <v>3945</v>
      </c>
      <c r="V1156" s="267" t="s">
        <v>944</v>
      </c>
    </row>
    <row r="1157" spans="1:22" hidden="1" x14ac:dyDescent="0.25">
      <c r="A1157" s="269">
        <v>43535</v>
      </c>
      <c r="B1157" s="270">
        <v>2019</v>
      </c>
      <c r="C1157" s="270">
        <v>2019</v>
      </c>
      <c r="D1157" s="270">
        <v>1</v>
      </c>
      <c r="E1157" s="270">
        <v>1</v>
      </c>
      <c r="F1157" s="270" t="s">
        <v>944</v>
      </c>
      <c r="G1157" s="270" t="s">
        <v>3926</v>
      </c>
      <c r="H1157" s="270" t="s">
        <v>5355</v>
      </c>
      <c r="I1157" s="270" t="s">
        <v>2987</v>
      </c>
      <c r="J1157" s="270" t="s">
        <v>3928</v>
      </c>
      <c r="K1157" s="270">
        <v>6611</v>
      </c>
      <c r="L1157" s="270">
        <v>90400</v>
      </c>
      <c r="M1157" s="270" t="s">
        <v>3943</v>
      </c>
      <c r="N1157" s="270" t="s">
        <v>3944</v>
      </c>
      <c r="O1157" s="270">
        <v>1064.56</v>
      </c>
      <c r="P1157" s="270" t="s">
        <v>3944</v>
      </c>
      <c r="Q1157" s="270" t="s">
        <v>3944</v>
      </c>
      <c r="R1157" s="270">
        <v>1064.56</v>
      </c>
      <c r="S1157" s="270">
        <v>12285.14</v>
      </c>
      <c r="T1157" s="270">
        <v>13349.7</v>
      </c>
      <c r="U1157" s="271" t="s">
        <v>3945</v>
      </c>
      <c r="V1157" s="267" t="s">
        <v>944</v>
      </c>
    </row>
    <row r="1158" spans="1:22" hidden="1" x14ac:dyDescent="0.25">
      <c r="A1158" s="266">
        <v>43535</v>
      </c>
      <c r="B1158" s="267">
        <v>2019</v>
      </c>
      <c r="C1158" s="267">
        <v>2019</v>
      </c>
      <c r="D1158" s="267">
        <v>1</v>
      </c>
      <c r="E1158" s="267">
        <v>1</v>
      </c>
      <c r="F1158" s="267" t="s">
        <v>944</v>
      </c>
      <c r="G1158" s="267" t="s">
        <v>3926</v>
      </c>
      <c r="H1158" s="267" t="s">
        <v>5356</v>
      </c>
      <c r="I1158" s="267" t="s">
        <v>4353</v>
      </c>
      <c r="J1158" s="267" t="s">
        <v>3928</v>
      </c>
      <c r="K1158" s="267">
        <v>6416</v>
      </c>
      <c r="L1158" s="267">
        <v>570200</v>
      </c>
      <c r="M1158" s="267" t="s">
        <v>3943</v>
      </c>
      <c r="N1158" s="267" t="s">
        <v>3944</v>
      </c>
      <c r="O1158" s="267">
        <v>2732.87</v>
      </c>
      <c r="P1158" s="267" t="s">
        <v>3944</v>
      </c>
      <c r="Q1158" s="267" t="s">
        <v>3944</v>
      </c>
      <c r="R1158" s="267">
        <v>2732.87</v>
      </c>
      <c r="S1158" s="267">
        <v>33208.629999999997</v>
      </c>
      <c r="T1158" s="267">
        <v>35941.5</v>
      </c>
      <c r="U1158" s="268" t="s">
        <v>3945</v>
      </c>
      <c r="V1158" s="267" t="s">
        <v>944</v>
      </c>
    </row>
    <row r="1159" spans="1:22" hidden="1" x14ac:dyDescent="0.25">
      <c r="A1159" s="269">
        <v>43535</v>
      </c>
      <c r="B1159" s="270">
        <v>2019</v>
      </c>
      <c r="C1159" s="270">
        <v>2019</v>
      </c>
      <c r="D1159" s="270">
        <v>1</v>
      </c>
      <c r="E1159" s="270">
        <v>1</v>
      </c>
      <c r="F1159" s="270" t="s">
        <v>944</v>
      </c>
      <c r="G1159" s="270" t="s">
        <v>3926</v>
      </c>
      <c r="H1159" s="270" t="s">
        <v>5357</v>
      </c>
      <c r="I1159" s="270" t="s">
        <v>950</v>
      </c>
      <c r="J1159" s="270" t="s">
        <v>3928</v>
      </c>
      <c r="K1159" s="270">
        <v>6516</v>
      </c>
      <c r="L1159" s="270">
        <v>154700</v>
      </c>
      <c r="M1159" s="270" t="s">
        <v>3960</v>
      </c>
      <c r="N1159" s="270" t="s">
        <v>3944</v>
      </c>
      <c r="O1159" s="270">
        <v>2183.06</v>
      </c>
      <c r="P1159" s="270" t="s">
        <v>3944</v>
      </c>
      <c r="Q1159" s="270" t="s">
        <v>3944</v>
      </c>
      <c r="R1159" s="270">
        <v>2183.06</v>
      </c>
      <c r="S1159" s="270">
        <v>34240.32</v>
      </c>
      <c r="T1159" s="270">
        <v>36423.379999999997</v>
      </c>
      <c r="U1159" s="271" t="s">
        <v>3945</v>
      </c>
      <c r="V1159" s="267" t="s">
        <v>944</v>
      </c>
    </row>
    <row r="1160" spans="1:22" hidden="1" x14ac:dyDescent="0.25">
      <c r="A1160" s="266">
        <v>43535</v>
      </c>
      <c r="B1160" s="267">
        <v>2019</v>
      </c>
      <c r="C1160" s="267">
        <v>2019</v>
      </c>
      <c r="D1160" s="267">
        <v>1</v>
      </c>
      <c r="E1160" s="267">
        <v>1</v>
      </c>
      <c r="F1160" s="267" t="s">
        <v>944</v>
      </c>
      <c r="G1160" s="267" t="s">
        <v>3926</v>
      </c>
      <c r="H1160" s="267" t="s">
        <v>5358</v>
      </c>
      <c r="I1160" s="267" t="s">
        <v>3956</v>
      </c>
      <c r="J1160" s="267" t="s">
        <v>3928</v>
      </c>
      <c r="K1160" s="267">
        <v>6106</v>
      </c>
      <c r="L1160" s="267">
        <v>524700</v>
      </c>
      <c r="M1160" s="267" t="s">
        <v>3935</v>
      </c>
      <c r="N1160" s="267" t="s">
        <v>3944</v>
      </c>
      <c r="O1160" s="267">
        <v>1203.93</v>
      </c>
      <c r="P1160" s="267" t="s">
        <v>3944</v>
      </c>
      <c r="Q1160" s="267" t="s">
        <v>3944</v>
      </c>
      <c r="R1160" s="267">
        <v>1203.93</v>
      </c>
      <c r="S1160" s="267">
        <v>16307.71</v>
      </c>
      <c r="T1160" s="267">
        <v>17511.64</v>
      </c>
      <c r="U1160" s="268" t="s">
        <v>3945</v>
      </c>
      <c r="V1160" s="267" t="s">
        <v>944</v>
      </c>
    </row>
    <row r="1161" spans="1:22" hidden="1" x14ac:dyDescent="0.25">
      <c r="A1161" s="269">
        <v>43535</v>
      </c>
      <c r="B1161" s="270">
        <v>2019</v>
      </c>
      <c r="C1161" s="270">
        <v>2019</v>
      </c>
      <c r="D1161" s="270">
        <v>1</v>
      </c>
      <c r="E1161" s="270">
        <v>1</v>
      </c>
      <c r="F1161" s="270" t="s">
        <v>944</v>
      </c>
      <c r="G1161" s="270" t="s">
        <v>3926</v>
      </c>
      <c r="H1161" s="270" t="s">
        <v>5359</v>
      </c>
      <c r="I1161" s="270" t="s">
        <v>4019</v>
      </c>
      <c r="J1161" s="270" t="s">
        <v>3928</v>
      </c>
      <c r="K1161" s="270">
        <v>6704</v>
      </c>
      <c r="L1161" s="270">
        <v>351000</v>
      </c>
      <c r="M1161" s="270" t="s">
        <v>3940</v>
      </c>
      <c r="N1161" s="270" t="s">
        <v>3944</v>
      </c>
      <c r="O1161" s="270">
        <v>2722.69</v>
      </c>
      <c r="P1161" s="270" t="s">
        <v>3944</v>
      </c>
      <c r="Q1161" s="270" t="s">
        <v>3944</v>
      </c>
      <c r="R1161" s="270">
        <v>2722.69</v>
      </c>
      <c r="S1161" s="270">
        <v>37326.410000000003</v>
      </c>
      <c r="T1161" s="270">
        <v>40049.1</v>
      </c>
      <c r="U1161" s="271" t="s">
        <v>3945</v>
      </c>
      <c r="V1161" s="267" t="s">
        <v>944</v>
      </c>
    </row>
    <row r="1162" spans="1:22" hidden="1" x14ac:dyDescent="0.25">
      <c r="A1162" s="266">
        <v>43535</v>
      </c>
      <c r="B1162" s="267">
        <v>2019</v>
      </c>
      <c r="C1162" s="267">
        <v>2019</v>
      </c>
      <c r="D1162" s="267">
        <v>1</v>
      </c>
      <c r="E1162" s="267">
        <v>1</v>
      </c>
      <c r="F1162" s="267" t="s">
        <v>944</v>
      </c>
      <c r="G1162" s="267" t="s">
        <v>3926</v>
      </c>
      <c r="H1162" s="267" t="s">
        <v>5360</v>
      </c>
      <c r="I1162" s="267" t="s">
        <v>3008</v>
      </c>
      <c r="J1162" s="267" t="s">
        <v>3928</v>
      </c>
      <c r="K1162" s="267">
        <v>6460</v>
      </c>
      <c r="L1162" s="267">
        <v>151000</v>
      </c>
      <c r="M1162" s="267" t="s">
        <v>3960</v>
      </c>
      <c r="N1162" s="267" t="s">
        <v>3944</v>
      </c>
      <c r="O1162" s="267">
        <v>1867.6</v>
      </c>
      <c r="P1162" s="267" t="s">
        <v>3944</v>
      </c>
      <c r="Q1162" s="267" t="s">
        <v>3944</v>
      </c>
      <c r="R1162" s="267">
        <v>1867.6</v>
      </c>
      <c r="S1162" s="267">
        <v>23804.9</v>
      </c>
      <c r="T1162" s="267">
        <v>25672.5</v>
      </c>
      <c r="U1162" s="268" t="s">
        <v>3945</v>
      </c>
      <c r="V1162" s="267" t="s">
        <v>944</v>
      </c>
    </row>
    <row r="1163" spans="1:22" hidden="1" x14ac:dyDescent="0.25">
      <c r="A1163" s="269">
        <v>43535</v>
      </c>
      <c r="B1163" s="270">
        <v>2019</v>
      </c>
      <c r="C1163" s="270">
        <v>2019</v>
      </c>
      <c r="D1163" s="270">
        <v>1</v>
      </c>
      <c r="E1163" s="270">
        <v>1</v>
      </c>
      <c r="F1163" s="270" t="s">
        <v>944</v>
      </c>
      <c r="G1163" s="270" t="s">
        <v>3926</v>
      </c>
      <c r="H1163" s="270" t="s">
        <v>5361</v>
      </c>
      <c r="I1163" s="270" t="s">
        <v>3025</v>
      </c>
      <c r="J1163" s="270" t="s">
        <v>3928</v>
      </c>
      <c r="K1163" s="270">
        <v>6473</v>
      </c>
      <c r="L1163" s="270">
        <v>167300</v>
      </c>
      <c r="M1163" s="270" t="s">
        <v>3943</v>
      </c>
      <c r="N1163" s="270" t="s">
        <v>3944</v>
      </c>
      <c r="O1163" s="270">
        <v>2457.25</v>
      </c>
      <c r="P1163" s="270" t="s">
        <v>3944</v>
      </c>
      <c r="Q1163" s="270" t="s">
        <v>3944</v>
      </c>
      <c r="R1163" s="270">
        <v>2457.25</v>
      </c>
      <c r="S1163" s="270">
        <v>37591.85</v>
      </c>
      <c r="T1163" s="270">
        <v>40049.1</v>
      </c>
      <c r="U1163" s="271" t="s">
        <v>3945</v>
      </c>
      <c r="V1163" s="267" t="s">
        <v>944</v>
      </c>
    </row>
    <row r="1164" spans="1:22" hidden="1" x14ac:dyDescent="0.25">
      <c r="A1164" s="266">
        <v>43536</v>
      </c>
      <c r="B1164" s="267">
        <v>2019</v>
      </c>
      <c r="C1164" s="267">
        <v>2019</v>
      </c>
      <c r="D1164" s="267">
        <v>1</v>
      </c>
      <c r="E1164" s="267">
        <v>1</v>
      </c>
      <c r="F1164" s="267" t="s">
        <v>944</v>
      </c>
      <c r="G1164" s="267" t="s">
        <v>3926</v>
      </c>
      <c r="H1164" s="267" t="s">
        <v>5362</v>
      </c>
      <c r="I1164" s="267" t="s">
        <v>4005</v>
      </c>
      <c r="J1164" s="267" t="s">
        <v>3928</v>
      </c>
      <c r="K1164" s="267">
        <v>6108</v>
      </c>
      <c r="L1164" s="267">
        <v>511200</v>
      </c>
      <c r="M1164" s="267">
        <v>-60</v>
      </c>
      <c r="N1164" s="267" t="s">
        <v>5363</v>
      </c>
      <c r="O1164" s="267">
        <v>0</v>
      </c>
      <c r="P1164" s="267" t="s">
        <v>3930</v>
      </c>
      <c r="Q1164" s="267" t="s">
        <v>3930</v>
      </c>
      <c r="R1164" s="267">
        <v>0</v>
      </c>
      <c r="S1164" s="267">
        <v>7800</v>
      </c>
      <c r="T1164" s="267">
        <v>7800</v>
      </c>
      <c r="U1164" s="268" t="s">
        <v>3937</v>
      </c>
      <c r="V1164" s="267" t="s">
        <v>944</v>
      </c>
    </row>
    <row r="1165" spans="1:22" hidden="1" x14ac:dyDescent="0.25">
      <c r="A1165" s="269">
        <v>43536</v>
      </c>
      <c r="B1165" s="270">
        <v>2019</v>
      </c>
      <c r="C1165" s="270">
        <v>2019</v>
      </c>
      <c r="D1165" s="270">
        <v>1</v>
      </c>
      <c r="E1165" s="270">
        <v>1</v>
      </c>
      <c r="F1165" s="270" t="s">
        <v>944</v>
      </c>
      <c r="G1165" s="270" t="s">
        <v>3926</v>
      </c>
      <c r="H1165" s="270" t="s">
        <v>5364</v>
      </c>
      <c r="I1165" s="270" t="s">
        <v>5122</v>
      </c>
      <c r="J1165" s="270" t="s">
        <v>3928</v>
      </c>
      <c r="K1165" s="270">
        <v>6019</v>
      </c>
      <c r="L1165" s="270">
        <v>464101</v>
      </c>
      <c r="M1165" s="270" t="s">
        <v>3943</v>
      </c>
      <c r="N1165" s="270" t="s">
        <v>5365</v>
      </c>
      <c r="O1165" s="270">
        <v>0</v>
      </c>
      <c r="P1165" s="270" t="s">
        <v>3930</v>
      </c>
      <c r="Q1165" s="270" t="s">
        <v>3930</v>
      </c>
      <c r="R1165" s="270">
        <v>0</v>
      </c>
      <c r="S1165" s="270">
        <v>27300</v>
      </c>
      <c r="T1165" s="270">
        <v>27300</v>
      </c>
      <c r="U1165" s="271" t="s">
        <v>3937</v>
      </c>
      <c r="V1165" s="267" t="s">
        <v>944</v>
      </c>
    </row>
    <row r="1166" spans="1:22" hidden="1" x14ac:dyDescent="0.25">
      <c r="A1166" s="266">
        <v>43536</v>
      </c>
      <c r="B1166" s="267">
        <v>2019</v>
      </c>
      <c r="C1166" s="267">
        <v>2019</v>
      </c>
      <c r="D1166" s="267">
        <v>1</v>
      </c>
      <c r="E1166" s="267">
        <v>1</v>
      </c>
      <c r="F1166" s="267" t="s">
        <v>944</v>
      </c>
      <c r="G1166" s="267" t="s">
        <v>3926</v>
      </c>
      <c r="H1166" s="267" t="s">
        <v>5366</v>
      </c>
      <c r="I1166" s="267" t="s">
        <v>3968</v>
      </c>
      <c r="J1166" s="267" t="s">
        <v>3928</v>
      </c>
      <c r="K1166" s="267">
        <v>6042</v>
      </c>
      <c r="L1166" s="267">
        <v>514102</v>
      </c>
      <c r="M1166" s="267" t="s">
        <v>3935</v>
      </c>
      <c r="N1166" s="267" t="s">
        <v>4103</v>
      </c>
      <c r="O1166" s="267">
        <v>1489.95</v>
      </c>
      <c r="P1166" s="267" t="s">
        <v>3930</v>
      </c>
      <c r="Q1166" s="267" t="s">
        <v>3931</v>
      </c>
      <c r="R1166" s="267">
        <v>6489.95</v>
      </c>
      <c r="S1166" s="267">
        <v>24145.599999999999</v>
      </c>
      <c r="T1166" s="267">
        <v>30635.55</v>
      </c>
      <c r="U1166" s="268" t="s">
        <v>3932</v>
      </c>
      <c r="V1166" s="267" t="s">
        <v>944</v>
      </c>
    </row>
    <row r="1167" spans="1:22" hidden="1" x14ac:dyDescent="0.25">
      <c r="A1167" s="269">
        <v>43536</v>
      </c>
      <c r="B1167" s="270">
        <v>2019</v>
      </c>
      <c r="C1167" s="270">
        <v>2019</v>
      </c>
      <c r="D1167" s="270">
        <v>1</v>
      </c>
      <c r="E1167" s="270">
        <v>1</v>
      </c>
      <c r="F1167" s="270" t="s">
        <v>944</v>
      </c>
      <c r="G1167" s="270" t="s">
        <v>3926</v>
      </c>
      <c r="H1167" s="270" t="s">
        <v>5367</v>
      </c>
      <c r="I1167" s="270" t="s">
        <v>4005</v>
      </c>
      <c r="J1167" s="270" t="s">
        <v>3928</v>
      </c>
      <c r="K1167" s="270">
        <v>6118</v>
      </c>
      <c r="L1167" s="270">
        <v>510900</v>
      </c>
      <c r="M1167" s="270" t="s">
        <v>3960</v>
      </c>
      <c r="N1167" s="270" t="s">
        <v>3929</v>
      </c>
      <c r="O1167" s="270">
        <v>2365.5500000000002</v>
      </c>
      <c r="P1167" s="270" t="s">
        <v>3930</v>
      </c>
      <c r="Q1167" s="270" t="s">
        <v>3931</v>
      </c>
      <c r="R1167" s="270">
        <v>7365.55</v>
      </c>
      <c r="S1167" s="270">
        <v>34744</v>
      </c>
      <c r="T1167" s="270">
        <v>42109.55</v>
      </c>
      <c r="U1167" s="271" t="s">
        <v>3932</v>
      </c>
      <c r="V1167" s="267" t="s">
        <v>944</v>
      </c>
    </row>
    <row r="1168" spans="1:22" hidden="1" x14ac:dyDescent="0.25">
      <c r="A1168" s="266">
        <v>43536</v>
      </c>
      <c r="B1168" s="267">
        <v>2019</v>
      </c>
      <c r="C1168" s="267">
        <v>2019</v>
      </c>
      <c r="D1168" s="267">
        <v>1</v>
      </c>
      <c r="E1168" s="267">
        <v>1</v>
      </c>
      <c r="F1168" s="267" t="s">
        <v>944</v>
      </c>
      <c r="G1168" s="267" t="s">
        <v>3926</v>
      </c>
      <c r="H1168" s="267" t="s">
        <v>5368</v>
      </c>
      <c r="I1168" s="267" t="s">
        <v>4137</v>
      </c>
      <c r="J1168" s="267" t="s">
        <v>3928</v>
      </c>
      <c r="K1168" s="267">
        <v>6067</v>
      </c>
      <c r="L1168" s="267">
        <v>490302</v>
      </c>
      <c r="M1168" s="267" t="s">
        <v>3960</v>
      </c>
      <c r="N1168" s="267" t="s">
        <v>5313</v>
      </c>
      <c r="O1168" s="267">
        <v>6170</v>
      </c>
      <c r="P1168" s="267" t="s">
        <v>3930</v>
      </c>
      <c r="Q1168" s="267" t="s">
        <v>3930</v>
      </c>
      <c r="R1168" s="267">
        <v>6170</v>
      </c>
      <c r="S1168" s="267">
        <v>40000</v>
      </c>
      <c r="T1168" s="267">
        <v>46170</v>
      </c>
      <c r="U1168" s="268" t="s">
        <v>3937</v>
      </c>
      <c r="V1168" s="267" t="s">
        <v>944</v>
      </c>
    </row>
    <row r="1169" spans="1:22" hidden="1" x14ac:dyDescent="0.25">
      <c r="A1169" s="269">
        <v>43536</v>
      </c>
      <c r="B1169" s="270">
        <v>2019</v>
      </c>
      <c r="C1169" s="270">
        <v>2019</v>
      </c>
      <c r="D1169" s="270">
        <v>1</v>
      </c>
      <c r="E1169" s="270">
        <v>1</v>
      </c>
      <c r="F1169" s="270" t="s">
        <v>944</v>
      </c>
      <c r="G1169" s="270" t="s">
        <v>3926</v>
      </c>
      <c r="H1169" s="270" t="s">
        <v>5369</v>
      </c>
      <c r="I1169" s="270" t="s">
        <v>4392</v>
      </c>
      <c r="J1169" s="270" t="s">
        <v>3928</v>
      </c>
      <c r="K1169" s="270">
        <v>6457</v>
      </c>
      <c r="L1169" s="270">
        <v>542100</v>
      </c>
      <c r="M1169" s="270" t="s">
        <v>3940</v>
      </c>
      <c r="N1169" s="270" t="s">
        <v>5370</v>
      </c>
      <c r="O1169" s="270">
        <v>0</v>
      </c>
      <c r="P1169" s="270" t="s">
        <v>3930</v>
      </c>
      <c r="Q1169" s="270" t="s">
        <v>3930</v>
      </c>
      <c r="R1169" s="270">
        <v>0</v>
      </c>
      <c r="S1169" s="270">
        <v>12698.32</v>
      </c>
      <c r="T1169" s="270">
        <v>12698.32</v>
      </c>
      <c r="U1169" s="271" t="s">
        <v>3937</v>
      </c>
      <c r="V1169" s="267" t="s">
        <v>944</v>
      </c>
    </row>
    <row r="1170" spans="1:22" hidden="1" x14ac:dyDescent="0.25">
      <c r="A1170" s="266">
        <v>43536</v>
      </c>
      <c r="B1170" s="267">
        <v>2019</v>
      </c>
      <c r="C1170" s="267">
        <v>2019</v>
      </c>
      <c r="D1170" s="267">
        <v>1</v>
      </c>
      <c r="E1170" s="267">
        <v>1</v>
      </c>
      <c r="F1170" s="267" t="s">
        <v>944</v>
      </c>
      <c r="G1170" s="267" t="s">
        <v>3926</v>
      </c>
      <c r="H1170" s="267" t="s">
        <v>5371</v>
      </c>
      <c r="I1170" s="267" t="s">
        <v>953</v>
      </c>
      <c r="J1170" s="267" t="s">
        <v>3928</v>
      </c>
      <c r="K1170" s="267">
        <v>6518</v>
      </c>
      <c r="L1170" s="267">
        <v>165900</v>
      </c>
      <c r="M1170" s="267" t="s">
        <v>3943</v>
      </c>
      <c r="N1170" s="267" t="s">
        <v>3929</v>
      </c>
      <c r="O1170" s="267">
        <v>2006.76</v>
      </c>
      <c r="P1170" s="267" t="s">
        <v>3930</v>
      </c>
      <c r="Q1170" s="267" t="s">
        <v>3931</v>
      </c>
      <c r="R1170" s="267">
        <v>7006.76</v>
      </c>
      <c r="S1170" s="267">
        <v>34744</v>
      </c>
      <c r="T1170" s="267">
        <v>41750.76</v>
      </c>
      <c r="U1170" s="268" t="s">
        <v>3932</v>
      </c>
      <c r="V1170" s="267" t="s">
        <v>944</v>
      </c>
    </row>
    <row r="1171" spans="1:22" hidden="1" x14ac:dyDescent="0.25">
      <c r="A1171" s="269">
        <v>43536</v>
      </c>
      <c r="B1171" s="270">
        <v>2019</v>
      </c>
      <c r="C1171" s="270">
        <v>2019</v>
      </c>
      <c r="D1171" s="270">
        <v>1</v>
      </c>
      <c r="E1171" s="270">
        <v>1</v>
      </c>
      <c r="F1171" s="270" t="s">
        <v>944</v>
      </c>
      <c r="G1171" s="270" t="s">
        <v>3926</v>
      </c>
      <c r="H1171" s="270" t="s">
        <v>5372</v>
      </c>
      <c r="I1171" s="270" t="s">
        <v>3008</v>
      </c>
      <c r="J1171" s="270" t="s">
        <v>3928</v>
      </c>
      <c r="K1171" s="270">
        <v>6460</v>
      </c>
      <c r="L1171" s="270">
        <v>151000</v>
      </c>
      <c r="M1171" s="270" t="s">
        <v>3960</v>
      </c>
      <c r="N1171" s="270" t="s">
        <v>3929</v>
      </c>
      <c r="O1171" s="270">
        <v>2347.73</v>
      </c>
      <c r="P1171" s="270" t="s">
        <v>3930</v>
      </c>
      <c r="Q1171" s="270" t="s">
        <v>3931</v>
      </c>
      <c r="R1171" s="270">
        <v>7347.73</v>
      </c>
      <c r="S1171" s="270">
        <v>34744</v>
      </c>
      <c r="T1171" s="270">
        <v>42091.73</v>
      </c>
      <c r="U1171" s="271" t="s">
        <v>3932</v>
      </c>
      <c r="V1171" s="267" t="s">
        <v>944</v>
      </c>
    </row>
    <row r="1172" spans="1:22" hidden="1" x14ac:dyDescent="0.25">
      <c r="A1172" s="266">
        <v>43536</v>
      </c>
      <c r="B1172" s="267">
        <v>2019</v>
      </c>
      <c r="C1172" s="267">
        <v>2019</v>
      </c>
      <c r="D1172" s="267">
        <v>1</v>
      </c>
      <c r="E1172" s="267">
        <v>1</v>
      </c>
      <c r="F1172" s="267" t="s">
        <v>944</v>
      </c>
      <c r="G1172" s="267" t="s">
        <v>3926</v>
      </c>
      <c r="H1172" s="267" t="s">
        <v>5373</v>
      </c>
      <c r="I1172" s="267" t="s">
        <v>4029</v>
      </c>
      <c r="J1172" s="267" t="s">
        <v>3928</v>
      </c>
      <c r="K1172" s="267">
        <v>6850</v>
      </c>
      <c r="L1172" s="267">
        <v>43100</v>
      </c>
      <c r="M1172" s="267" t="s">
        <v>3943</v>
      </c>
      <c r="N1172" s="267" t="s">
        <v>3944</v>
      </c>
      <c r="O1172" s="267">
        <v>4594</v>
      </c>
      <c r="P1172" s="267" t="s">
        <v>3944</v>
      </c>
      <c r="Q1172" s="267" t="s">
        <v>3944</v>
      </c>
      <c r="R1172" s="267">
        <v>4594</v>
      </c>
      <c r="S1172" s="267">
        <v>30856</v>
      </c>
      <c r="T1172" s="267">
        <v>35450</v>
      </c>
      <c r="U1172" s="268" t="s">
        <v>3945</v>
      </c>
      <c r="V1172" s="267" t="s">
        <v>944</v>
      </c>
    </row>
    <row r="1173" spans="1:22" hidden="1" x14ac:dyDescent="0.25">
      <c r="A1173" s="269">
        <v>43536</v>
      </c>
      <c r="B1173" s="270">
        <v>2019</v>
      </c>
      <c r="C1173" s="270">
        <v>2019</v>
      </c>
      <c r="D1173" s="270">
        <v>1</v>
      </c>
      <c r="E1173" s="270">
        <v>1</v>
      </c>
      <c r="F1173" s="270" t="s">
        <v>944</v>
      </c>
      <c r="G1173" s="270" t="s">
        <v>3926</v>
      </c>
      <c r="H1173" s="270" t="s">
        <v>5374</v>
      </c>
      <c r="I1173" s="270" t="s">
        <v>2987</v>
      </c>
      <c r="J1173" s="270" t="s">
        <v>3928</v>
      </c>
      <c r="K1173" s="270">
        <v>6611</v>
      </c>
      <c r="L1173" s="270">
        <v>90300</v>
      </c>
      <c r="M1173" s="270" t="s">
        <v>3943</v>
      </c>
      <c r="N1173" s="270" t="s">
        <v>3944</v>
      </c>
      <c r="O1173" s="270">
        <v>3281</v>
      </c>
      <c r="P1173" s="270" t="s">
        <v>3944</v>
      </c>
      <c r="Q1173" s="270" t="s">
        <v>3944</v>
      </c>
      <c r="R1173" s="270">
        <v>3281</v>
      </c>
      <c r="S1173" s="270">
        <v>28219.279999999999</v>
      </c>
      <c r="T1173" s="270">
        <v>31500.28</v>
      </c>
      <c r="U1173" s="271" t="s">
        <v>3945</v>
      </c>
      <c r="V1173" s="267" t="s">
        <v>944</v>
      </c>
    </row>
    <row r="1174" spans="1:22" hidden="1" x14ac:dyDescent="0.25">
      <c r="A1174" s="266">
        <v>43536</v>
      </c>
      <c r="B1174" s="267">
        <v>2019</v>
      </c>
      <c r="C1174" s="267">
        <v>2019</v>
      </c>
      <c r="D1174" s="267">
        <v>1</v>
      </c>
      <c r="E1174" s="267">
        <v>1</v>
      </c>
      <c r="F1174" s="267" t="s">
        <v>944</v>
      </c>
      <c r="G1174" s="267" t="s">
        <v>3926</v>
      </c>
      <c r="H1174" s="267" t="s">
        <v>5375</v>
      </c>
      <c r="I1174" s="267" t="s">
        <v>3954</v>
      </c>
      <c r="J1174" s="267" t="s">
        <v>3928</v>
      </c>
      <c r="K1174" s="267">
        <v>6357</v>
      </c>
      <c r="L1174" s="267">
        <v>870704</v>
      </c>
      <c r="M1174" s="267" t="s">
        <v>3935</v>
      </c>
      <c r="N1174" s="267" t="s">
        <v>3944</v>
      </c>
      <c r="O1174" s="267">
        <v>4680</v>
      </c>
      <c r="P1174" s="267" t="s">
        <v>3944</v>
      </c>
      <c r="Q1174" s="267" t="s">
        <v>3944</v>
      </c>
      <c r="R1174" s="267">
        <v>4680</v>
      </c>
      <c r="S1174" s="267">
        <v>24048.720000000001</v>
      </c>
      <c r="T1174" s="267">
        <v>28728.720000000001</v>
      </c>
      <c r="U1174" s="268" t="s">
        <v>3945</v>
      </c>
      <c r="V1174" s="267" t="s">
        <v>944</v>
      </c>
    </row>
    <row r="1175" spans="1:22" hidden="1" x14ac:dyDescent="0.25">
      <c r="A1175" s="269">
        <v>43536</v>
      </c>
      <c r="B1175" s="270">
        <v>2019</v>
      </c>
      <c r="C1175" s="270">
        <v>2019</v>
      </c>
      <c r="D1175" s="270">
        <v>1</v>
      </c>
      <c r="E1175" s="270">
        <v>1</v>
      </c>
      <c r="F1175" s="270" t="s">
        <v>944</v>
      </c>
      <c r="G1175" s="270" t="s">
        <v>3926</v>
      </c>
      <c r="H1175" s="270" t="s">
        <v>5376</v>
      </c>
      <c r="I1175" s="270" t="s">
        <v>3990</v>
      </c>
      <c r="J1175" s="270" t="s">
        <v>3928</v>
      </c>
      <c r="K1175" s="270">
        <v>6804</v>
      </c>
      <c r="L1175" s="270">
        <v>205200</v>
      </c>
      <c r="M1175" s="270" t="s">
        <v>3943</v>
      </c>
      <c r="N1175" s="270" t="s">
        <v>3944</v>
      </c>
      <c r="O1175" s="270">
        <v>7984</v>
      </c>
      <c r="P1175" s="270" t="s">
        <v>3944</v>
      </c>
      <c r="Q1175" s="270" t="s">
        <v>3944</v>
      </c>
      <c r="R1175" s="270">
        <v>7984</v>
      </c>
      <c r="S1175" s="270">
        <v>66662</v>
      </c>
      <c r="T1175" s="270">
        <v>74646</v>
      </c>
      <c r="U1175" s="271" t="s">
        <v>3945</v>
      </c>
      <c r="V1175" s="267" t="s">
        <v>944</v>
      </c>
    </row>
    <row r="1176" spans="1:22" hidden="1" x14ac:dyDescent="0.25">
      <c r="A1176" s="266">
        <v>43536</v>
      </c>
      <c r="B1176" s="267">
        <v>2019</v>
      </c>
      <c r="C1176" s="267">
        <v>2019</v>
      </c>
      <c r="D1176" s="267">
        <v>1</v>
      </c>
      <c r="E1176" s="267">
        <v>1</v>
      </c>
      <c r="F1176" s="267" t="s">
        <v>944</v>
      </c>
      <c r="G1176" s="267" t="s">
        <v>3926</v>
      </c>
      <c r="H1176" s="267" t="s">
        <v>5377</v>
      </c>
      <c r="I1176" s="267" t="s">
        <v>4062</v>
      </c>
      <c r="J1176" s="267" t="s">
        <v>3928</v>
      </c>
      <c r="K1176" s="267">
        <v>6763</v>
      </c>
      <c r="L1176" s="267">
        <v>303100</v>
      </c>
      <c r="M1176" s="267" t="s">
        <v>3960</v>
      </c>
      <c r="N1176" s="267" t="s">
        <v>3944</v>
      </c>
      <c r="O1176" s="267">
        <v>5443</v>
      </c>
      <c r="P1176" s="267" t="s">
        <v>3944</v>
      </c>
      <c r="Q1176" s="267" t="s">
        <v>3944</v>
      </c>
      <c r="R1176" s="267">
        <v>5443</v>
      </c>
      <c r="S1176" s="267">
        <v>43157</v>
      </c>
      <c r="T1176" s="267">
        <v>48600</v>
      </c>
      <c r="U1176" s="268" t="s">
        <v>3945</v>
      </c>
      <c r="V1176" s="267" t="s">
        <v>944</v>
      </c>
    </row>
    <row r="1177" spans="1:22" hidden="1" x14ac:dyDescent="0.25">
      <c r="A1177" s="269">
        <v>43536</v>
      </c>
      <c r="B1177" s="270">
        <v>2019</v>
      </c>
      <c r="C1177" s="270">
        <v>2019</v>
      </c>
      <c r="D1177" s="270">
        <v>1</v>
      </c>
      <c r="E1177" s="270">
        <v>1</v>
      </c>
      <c r="F1177" s="270" t="s">
        <v>944</v>
      </c>
      <c r="G1177" s="270" t="s">
        <v>3926</v>
      </c>
      <c r="H1177" s="270" t="s">
        <v>5378</v>
      </c>
      <c r="I1177" s="270" t="s">
        <v>3012</v>
      </c>
      <c r="J1177" s="270" t="s">
        <v>3928</v>
      </c>
      <c r="K1177" s="270">
        <v>6477</v>
      </c>
      <c r="L1177" s="270">
        <v>157200</v>
      </c>
      <c r="M1177" s="270" t="s">
        <v>3943</v>
      </c>
      <c r="N1177" s="270" t="s">
        <v>3944</v>
      </c>
      <c r="O1177" s="270">
        <v>3566</v>
      </c>
      <c r="P1177" s="270" t="s">
        <v>3944</v>
      </c>
      <c r="Q1177" s="270" t="s">
        <v>3944</v>
      </c>
      <c r="R1177" s="270">
        <v>3566</v>
      </c>
      <c r="S1177" s="270">
        <v>30410.07</v>
      </c>
      <c r="T1177" s="270">
        <v>33976.07</v>
      </c>
      <c r="U1177" s="271" t="s">
        <v>3945</v>
      </c>
      <c r="V1177" s="267" t="s">
        <v>944</v>
      </c>
    </row>
    <row r="1178" spans="1:22" hidden="1" x14ac:dyDescent="0.25">
      <c r="A1178" s="266">
        <v>43536</v>
      </c>
      <c r="B1178" s="267">
        <v>2019</v>
      </c>
      <c r="C1178" s="267">
        <v>2019</v>
      </c>
      <c r="D1178" s="267">
        <v>1</v>
      </c>
      <c r="E1178" s="267">
        <v>1</v>
      </c>
      <c r="F1178" s="267" t="s">
        <v>944</v>
      </c>
      <c r="G1178" s="267" t="s">
        <v>3926</v>
      </c>
      <c r="H1178" s="267" t="s">
        <v>5379</v>
      </c>
      <c r="I1178" s="267" t="s">
        <v>4353</v>
      </c>
      <c r="J1178" s="267" t="s">
        <v>3928</v>
      </c>
      <c r="K1178" s="267">
        <v>6416</v>
      </c>
      <c r="L1178" s="267">
        <v>570200</v>
      </c>
      <c r="M1178" s="267" t="s">
        <v>3943</v>
      </c>
      <c r="N1178" s="267" t="s">
        <v>3944</v>
      </c>
      <c r="O1178" s="267">
        <v>2648</v>
      </c>
      <c r="P1178" s="267" t="s">
        <v>3944</v>
      </c>
      <c r="Q1178" s="267" t="s">
        <v>3944</v>
      </c>
      <c r="R1178" s="267">
        <v>2648</v>
      </c>
      <c r="S1178" s="267">
        <v>22607.27</v>
      </c>
      <c r="T1178" s="267">
        <v>25255.27</v>
      </c>
      <c r="U1178" s="268" t="s">
        <v>3945</v>
      </c>
      <c r="V1178" s="267" t="s">
        <v>944</v>
      </c>
    </row>
    <row r="1179" spans="1:22" hidden="1" x14ac:dyDescent="0.25">
      <c r="A1179" s="269">
        <v>43536</v>
      </c>
      <c r="B1179" s="270">
        <v>2019</v>
      </c>
      <c r="C1179" s="270">
        <v>2019</v>
      </c>
      <c r="D1179" s="270">
        <v>1</v>
      </c>
      <c r="E1179" s="270">
        <v>1</v>
      </c>
      <c r="F1179" s="270" t="s">
        <v>944</v>
      </c>
      <c r="G1179" s="270" t="s">
        <v>3926</v>
      </c>
      <c r="H1179" s="270" t="s">
        <v>5380</v>
      </c>
      <c r="I1179" s="270" t="s">
        <v>3962</v>
      </c>
      <c r="J1179" s="270" t="s">
        <v>3928</v>
      </c>
      <c r="K1179" s="270">
        <v>6355</v>
      </c>
      <c r="L1179" s="270">
        <v>705300</v>
      </c>
      <c r="M1179" s="270" t="s">
        <v>3960</v>
      </c>
      <c r="N1179" s="270" t="s">
        <v>3944</v>
      </c>
      <c r="O1179" s="270">
        <v>2487</v>
      </c>
      <c r="P1179" s="270" t="s">
        <v>3944</v>
      </c>
      <c r="Q1179" s="270" t="s">
        <v>3944</v>
      </c>
      <c r="R1179" s="270">
        <v>2487</v>
      </c>
      <c r="S1179" s="270">
        <v>19058.830000000002</v>
      </c>
      <c r="T1179" s="270">
        <v>21545.83</v>
      </c>
      <c r="U1179" s="271" t="s">
        <v>3945</v>
      </c>
      <c r="V1179" s="267" t="s">
        <v>944</v>
      </c>
    </row>
    <row r="1180" spans="1:22" hidden="1" x14ac:dyDescent="0.25">
      <c r="A1180" s="266">
        <v>43536</v>
      </c>
      <c r="B1180" s="267">
        <v>2019</v>
      </c>
      <c r="C1180" s="267">
        <v>2019</v>
      </c>
      <c r="D1180" s="267">
        <v>1</v>
      </c>
      <c r="E1180" s="267">
        <v>1</v>
      </c>
      <c r="F1180" s="267" t="s">
        <v>944</v>
      </c>
      <c r="G1180" s="267" t="s">
        <v>3926</v>
      </c>
      <c r="H1180" s="267" t="s">
        <v>5381</v>
      </c>
      <c r="I1180" s="267" t="s">
        <v>4126</v>
      </c>
      <c r="J1180" s="267" t="s">
        <v>3928</v>
      </c>
      <c r="K1180" s="267">
        <v>6880</v>
      </c>
      <c r="L1180" s="267">
        <v>50600</v>
      </c>
      <c r="M1180" s="267" t="s">
        <v>3943</v>
      </c>
      <c r="N1180" s="267" t="s">
        <v>3944</v>
      </c>
      <c r="O1180" s="267">
        <v>2551</v>
      </c>
      <c r="P1180" s="267" t="s">
        <v>3944</v>
      </c>
      <c r="Q1180" s="267" t="s">
        <v>3944</v>
      </c>
      <c r="R1180" s="267">
        <v>2551</v>
      </c>
      <c r="S1180" s="267">
        <v>29644.25</v>
      </c>
      <c r="T1180" s="267">
        <v>32195.25</v>
      </c>
      <c r="U1180" s="268" t="s">
        <v>3945</v>
      </c>
      <c r="V1180" s="267" t="s">
        <v>944</v>
      </c>
    </row>
    <row r="1181" spans="1:22" hidden="1" x14ac:dyDescent="0.25">
      <c r="A1181" s="269">
        <v>43536</v>
      </c>
      <c r="B1181" s="270">
        <v>2019</v>
      </c>
      <c r="C1181" s="270">
        <v>2019</v>
      </c>
      <c r="D1181" s="270">
        <v>1</v>
      </c>
      <c r="E1181" s="270">
        <v>1</v>
      </c>
      <c r="F1181" s="270" t="s">
        <v>944</v>
      </c>
      <c r="G1181" s="270" t="s">
        <v>3926</v>
      </c>
      <c r="H1181" s="270" t="s">
        <v>5382</v>
      </c>
      <c r="I1181" s="270" t="s">
        <v>943</v>
      </c>
      <c r="J1181" s="270" t="s">
        <v>3928</v>
      </c>
      <c r="K1181" s="270">
        <v>6512</v>
      </c>
      <c r="L1181" s="270">
        <v>142800</v>
      </c>
      <c r="M1181" s="270" t="s">
        <v>3940</v>
      </c>
      <c r="N1181" s="270" t="s">
        <v>3944</v>
      </c>
      <c r="O1181" s="270">
        <v>2084</v>
      </c>
      <c r="P1181" s="270" t="s">
        <v>3944</v>
      </c>
      <c r="Q1181" s="270" t="s">
        <v>3944</v>
      </c>
      <c r="R1181" s="270">
        <v>2084</v>
      </c>
      <c r="S1181" s="270">
        <v>15300.18</v>
      </c>
      <c r="T1181" s="270">
        <v>17384.18</v>
      </c>
      <c r="U1181" s="271" t="s">
        <v>3945</v>
      </c>
      <c r="V1181" s="267" t="s">
        <v>944</v>
      </c>
    </row>
    <row r="1182" spans="1:22" hidden="1" x14ac:dyDescent="0.25">
      <c r="A1182" s="266">
        <v>43536</v>
      </c>
      <c r="B1182" s="267">
        <v>2019</v>
      </c>
      <c r="C1182" s="267">
        <v>2019</v>
      </c>
      <c r="D1182" s="267">
        <v>1</v>
      </c>
      <c r="E1182" s="267">
        <v>1</v>
      </c>
      <c r="F1182" s="267" t="s">
        <v>944</v>
      </c>
      <c r="G1182" s="267" t="s">
        <v>3926</v>
      </c>
      <c r="H1182" s="267" t="s">
        <v>5383</v>
      </c>
      <c r="I1182" s="267" t="s">
        <v>956</v>
      </c>
      <c r="J1182" s="267" t="s">
        <v>3928</v>
      </c>
      <c r="K1182" s="267">
        <v>6614</v>
      </c>
      <c r="L1182" s="267">
        <v>80800</v>
      </c>
      <c r="M1182" s="267" t="s">
        <v>3960</v>
      </c>
      <c r="N1182" s="267" t="s">
        <v>3944</v>
      </c>
      <c r="O1182" s="267">
        <v>2678</v>
      </c>
      <c r="P1182" s="267" t="s">
        <v>3944</v>
      </c>
      <c r="Q1182" s="267" t="s">
        <v>3944</v>
      </c>
      <c r="R1182" s="267">
        <v>2678</v>
      </c>
      <c r="S1182" s="267">
        <v>20703.900000000001</v>
      </c>
      <c r="T1182" s="267">
        <v>23381.9</v>
      </c>
      <c r="U1182" s="268" t="s">
        <v>3945</v>
      </c>
      <c r="V1182" s="267" t="s">
        <v>944</v>
      </c>
    </row>
    <row r="1183" spans="1:22" hidden="1" x14ac:dyDescent="0.25">
      <c r="A1183" s="269">
        <v>43536</v>
      </c>
      <c r="B1183" s="270">
        <v>2019</v>
      </c>
      <c r="C1183" s="270">
        <v>2019</v>
      </c>
      <c r="D1183" s="270">
        <v>1</v>
      </c>
      <c r="E1183" s="270">
        <v>1</v>
      </c>
      <c r="F1183" s="270" t="s">
        <v>944</v>
      </c>
      <c r="G1183" s="270" t="s">
        <v>3926</v>
      </c>
      <c r="H1183" s="270" t="s">
        <v>5384</v>
      </c>
      <c r="I1183" s="270" t="s">
        <v>4119</v>
      </c>
      <c r="J1183" s="270" t="s">
        <v>3928</v>
      </c>
      <c r="K1183" s="270">
        <v>6078</v>
      </c>
      <c r="L1183" s="270">
        <v>477102</v>
      </c>
      <c r="M1183" s="270" t="s">
        <v>3943</v>
      </c>
      <c r="N1183" s="270" t="s">
        <v>3944</v>
      </c>
      <c r="O1183" s="270">
        <v>4324</v>
      </c>
      <c r="P1183" s="270" t="s">
        <v>3944</v>
      </c>
      <c r="Q1183" s="270" t="s">
        <v>3944</v>
      </c>
      <c r="R1183" s="270">
        <v>4324</v>
      </c>
      <c r="S1183" s="270">
        <v>51553</v>
      </c>
      <c r="T1183" s="270">
        <v>55877</v>
      </c>
      <c r="U1183" s="271" t="s">
        <v>3945</v>
      </c>
      <c r="V1183" s="267" t="s">
        <v>944</v>
      </c>
    </row>
    <row r="1184" spans="1:22" hidden="1" x14ac:dyDescent="0.25">
      <c r="A1184" s="266">
        <v>43536</v>
      </c>
      <c r="B1184" s="267">
        <v>2019</v>
      </c>
      <c r="C1184" s="267">
        <v>2019</v>
      </c>
      <c r="D1184" s="267">
        <v>1</v>
      </c>
      <c r="E1184" s="267">
        <v>1</v>
      </c>
      <c r="F1184" s="267" t="s">
        <v>944</v>
      </c>
      <c r="G1184" s="267" t="s">
        <v>3926</v>
      </c>
      <c r="H1184" s="267" t="s">
        <v>5385</v>
      </c>
      <c r="I1184" s="267" t="s">
        <v>934</v>
      </c>
      <c r="J1184" s="267" t="s">
        <v>3928</v>
      </c>
      <c r="K1184" s="267">
        <v>6606</v>
      </c>
      <c r="L1184" s="267">
        <v>72500</v>
      </c>
      <c r="M1184" s="267" t="s">
        <v>3940</v>
      </c>
      <c r="N1184" s="267" t="s">
        <v>3944</v>
      </c>
      <c r="O1184" s="267">
        <v>2028</v>
      </c>
      <c r="P1184" s="267" t="s">
        <v>3944</v>
      </c>
      <c r="Q1184" s="267" t="s">
        <v>3944</v>
      </c>
      <c r="R1184" s="267">
        <v>2028</v>
      </c>
      <c r="S1184" s="267">
        <v>14727.66</v>
      </c>
      <c r="T1184" s="267">
        <v>16755.66</v>
      </c>
      <c r="U1184" s="268" t="s">
        <v>3945</v>
      </c>
      <c r="V1184" s="267" t="s">
        <v>944</v>
      </c>
    </row>
    <row r="1185" spans="1:22" hidden="1" x14ac:dyDescent="0.25">
      <c r="A1185" s="269">
        <v>43536</v>
      </c>
      <c r="B1185" s="270">
        <v>2019</v>
      </c>
      <c r="C1185" s="270">
        <v>2019</v>
      </c>
      <c r="D1185" s="270">
        <v>1</v>
      </c>
      <c r="E1185" s="270">
        <v>1</v>
      </c>
      <c r="F1185" s="270" t="s">
        <v>944</v>
      </c>
      <c r="G1185" s="270" t="s">
        <v>3926</v>
      </c>
      <c r="H1185" s="270" t="s">
        <v>5386</v>
      </c>
      <c r="I1185" s="270" t="s">
        <v>4699</v>
      </c>
      <c r="J1185" s="270" t="s">
        <v>3928</v>
      </c>
      <c r="K1185" s="270">
        <v>6377</v>
      </c>
      <c r="L1185" s="270">
        <v>908100</v>
      </c>
      <c r="M1185" s="270" t="s">
        <v>3935</v>
      </c>
      <c r="N1185" s="270" t="s">
        <v>3944</v>
      </c>
      <c r="O1185" s="270">
        <v>750.79</v>
      </c>
      <c r="P1185" s="270" t="s">
        <v>3944</v>
      </c>
      <c r="Q1185" s="270" t="s">
        <v>3944</v>
      </c>
      <c r="R1185" s="270">
        <v>750.79</v>
      </c>
      <c r="S1185" s="270">
        <v>17850.830000000002</v>
      </c>
      <c r="T1185" s="270">
        <v>18601.62</v>
      </c>
      <c r="U1185" s="271" t="s">
        <v>3945</v>
      </c>
      <c r="V1185" s="267" t="s">
        <v>944</v>
      </c>
    </row>
    <row r="1186" spans="1:22" hidden="1" x14ac:dyDescent="0.25">
      <c r="A1186" s="266">
        <v>43536</v>
      </c>
      <c r="B1186" s="267">
        <v>2019</v>
      </c>
      <c r="C1186" s="267">
        <v>2019</v>
      </c>
      <c r="D1186" s="267">
        <v>1</v>
      </c>
      <c r="E1186" s="267">
        <v>1</v>
      </c>
      <c r="F1186" s="267" t="s">
        <v>944</v>
      </c>
      <c r="G1186" s="267" t="s">
        <v>3926</v>
      </c>
      <c r="H1186" s="267" t="s">
        <v>5387</v>
      </c>
      <c r="I1186" s="267" t="s">
        <v>5388</v>
      </c>
      <c r="J1186" s="267" t="s">
        <v>3928</v>
      </c>
      <c r="K1186" s="267">
        <v>6384</v>
      </c>
      <c r="L1186" s="267">
        <v>708100</v>
      </c>
      <c r="M1186" s="267" t="s">
        <v>3935</v>
      </c>
      <c r="N1186" s="267" t="s">
        <v>3944</v>
      </c>
      <c r="O1186" s="267">
        <v>2098.64</v>
      </c>
      <c r="P1186" s="267" t="s">
        <v>3944</v>
      </c>
      <c r="Q1186" s="267" t="s">
        <v>3944</v>
      </c>
      <c r="R1186" s="267">
        <v>2098.64</v>
      </c>
      <c r="S1186" s="267">
        <v>37010.769999999997</v>
      </c>
      <c r="T1186" s="267">
        <v>39109.410000000003</v>
      </c>
      <c r="U1186" s="268" t="s">
        <v>3945</v>
      </c>
      <c r="V1186" s="267" t="s">
        <v>944</v>
      </c>
    </row>
    <row r="1187" spans="1:22" hidden="1" x14ac:dyDescent="0.25">
      <c r="A1187" s="269">
        <v>43536</v>
      </c>
      <c r="B1187" s="270">
        <v>2019</v>
      </c>
      <c r="C1187" s="270">
        <v>2019</v>
      </c>
      <c r="D1187" s="270">
        <v>1</v>
      </c>
      <c r="E1187" s="270">
        <v>1</v>
      </c>
      <c r="F1187" s="270" t="s">
        <v>944</v>
      </c>
      <c r="G1187" s="270" t="s">
        <v>3926</v>
      </c>
      <c r="H1187" s="270" t="s">
        <v>5389</v>
      </c>
      <c r="I1187" s="270" t="s">
        <v>4062</v>
      </c>
      <c r="J1187" s="270" t="s">
        <v>3928</v>
      </c>
      <c r="K1187" s="270">
        <v>6763</v>
      </c>
      <c r="L1187" s="270">
        <v>303100</v>
      </c>
      <c r="M1187" s="270" t="s">
        <v>3960</v>
      </c>
      <c r="N1187" s="270" t="s">
        <v>3944</v>
      </c>
      <c r="O1187" s="270">
        <v>2138.4699999999998</v>
      </c>
      <c r="P1187" s="270" t="s">
        <v>3944</v>
      </c>
      <c r="Q1187" s="270" t="s">
        <v>3944</v>
      </c>
      <c r="R1187" s="270">
        <v>2138.4699999999998</v>
      </c>
      <c r="S1187" s="270">
        <v>31161.53</v>
      </c>
      <c r="T1187" s="270">
        <v>33300</v>
      </c>
      <c r="U1187" s="271" t="s">
        <v>3945</v>
      </c>
      <c r="V1187" s="267" t="s">
        <v>944</v>
      </c>
    </row>
    <row r="1188" spans="1:22" hidden="1" x14ac:dyDescent="0.25">
      <c r="A1188" s="266">
        <v>43536</v>
      </c>
      <c r="B1188" s="267">
        <v>2019</v>
      </c>
      <c r="C1188" s="267">
        <v>2019</v>
      </c>
      <c r="D1188" s="267">
        <v>1</v>
      </c>
      <c r="E1188" s="267">
        <v>1</v>
      </c>
      <c r="F1188" s="267" t="s">
        <v>944</v>
      </c>
      <c r="G1188" s="267" t="s">
        <v>3926</v>
      </c>
      <c r="H1188" s="267" t="s">
        <v>5390</v>
      </c>
      <c r="I1188" s="267" t="s">
        <v>4172</v>
      </c>
      <c r="J1188" s="267" t="s">
        <v>3928</v>
      </c>
      <c r="K1188" s="267">
        <v>6786</v>
      </c>
      <c r="L1188" s="267">
        <v>425400</v>
      </c>
      <c r="M1188" s="267" t="s">
        <v>3935</v>
      </c>
      <c r="N1188" s="267" t="s">
        <v>3944</v>
      </c>
      <c r="O1188" s="267">
        <v>1476.44</v>
      </c>
      <c r="P1188" s="267" t="s">
        <v>3944</v>
      </c>
      <c r="Q1188" s="267" t="s">
        <v>3944</v>
      </c>
      <c r="R1188" s="267">
        <v>1476.44</v>
      </c>
      <c r="S1188" s="267">
        <v>21518.560000000001</v>
      </c>
      <c r="T1188" s="267">
        <v>22995</v>
      </c>
      <c r="U1188" s="268" t="s">
        <v>3945</v>
      </c>
      <c r="V1188" s="267" t="s">
        <v>944</v>
      </c>
    </row>
    <row r="1189" spans="1:22" hidden="1" x14ac:dyDescent="0.25">
      <c r="A1189" s="269">
        <v>43536</v>
      </c>
      <c r="B1189" s="270">
        <v>2019</v>
      </c>
      <c r="C1189" s="270">
        <v>2019</v>
      </c>
      <c r="D1189" s="270">
        <v>1</v>
      </c>
      <c r="E1189" s="270">
        <v>1</v>
      </c>
      <c r="F1189" s="270" t="s">
        <v>944</v>
      </c>
      <c r="G1189" s="270" t="s">
        <v>3926</v>
      </c>
      <c r="H1189" s="270" t="s">
        <v>5391</v>
      </c>
      <c r="I1189" s="270" t="s">
        <v>4087</v>
      </c>
      <c r="J1189" s="270" t="s">
        <v>3928</v>
      </c>
      <c r="K1189" s="270">
        <v>6355</v>
      </c>
      <c r="L1189" s="270">
        <v>703000</v>
      </c>
      <c r="M1189" s="270" t="s">
        <v>3960</v>
      </c>
      <c r="N1189" s="270" t="s">
        <v>3944</v>
      </c>
      <c r="O1189" s="270">
        <v>2086.42</v>
      </c>
      <c r="P1189" s="270" t="s">
        <v>3944</v>
      </c>
      <c r="Q1189" s="270" t="s">
        <v>3944</v>
      </c>
      <c r="R1189" s="270">
        <v>2086.42</v>
      </c>
      <c r="S1189" s="270">
        <v>38211.5</v>
      </c>
      <c r="T1189" s="270">
        <v>40297.919999999998</v>
      </c>
      <c r="U1189" s="271" t="s">
        <v>3945</v>
      </c>
      <c r="V1189" s="267" t="s">
        <v>944</v>
      </c>
    </row>
    <row r="1190" spans="1:22" hidden="1" x14ac:dyDescent="0.25">
      <c r="A1190" s="266">
        <v>43536</v>
      </c>
      <c r="B1190" s="267">
        <v>2019</v>
      </c>
      <c r="C1190" s="267">
        <v>2019</v>
      </c>
      <c r="D1190" s="267">
        <v>1</v>
      </c>
      <c r="E1190" s="267">
        <v>1</v>
      </c>
      <c r="F1190" s="267" t="s">
        <v>944</v>
      </c>
      <c r="G1190" s="267" t="s">
        <v>3926</v>
      </c>
      <c r="H1190" s="267" t="s">
        <v>5392</v>
      </c>
      <c r="I1190" s="267" t="s">
        <v>4353</v>
      </c>
      <c r="J1190" s="267" t="s">
        <v>3928</v>
      </c>
      <c r="K1190" s="267">
        <v>6416</v>
      </c>
      <c r="L1190" s="267">
        <v>570300</v>
      </c>
      <c r="M1190" s="267" t="s">
        <v>3940</v>
      </c>
      <c r="N1190" s="267" t="s">
        <v>3944</v>
      </c>
      <c r="O1190" s="267">
        <v>2462.85</v>
      </c>
      <c r="P1190" s="267" t="s">
        <v>3944</v>
      </c>
      <c r="Q1190" s="267" t="s">
        <v>3944</v>
      </c>
      <c r="R1190" s="267">
        <v>2462.85</v>
      </c>
      <c r="S1190" s="267">
        <v>33825.15</v>
      </c>
      <c r="T1190" s="267">
        <v>36288</v>
      </c>
      <c r="U1190" s="268" t="s">
        <v>3945</v>
      </c>
      <c r="V1190" s="267" t="s">
        <v>944</v>
      </c>
    </row>
    <row r="1191" spans="1:22" hidden="1" x14ac:dyDescent="0.25">
      <c r="A1191" s="269">
        <v>43536</v>
      </c>
      <c r="B1191" s="270">
        <v>2019</v>
      </c>
      <c r="C1191" s="270">
        <v>2019</v>
      </c>
      <c r="D1191" s="270">
        <v>1</v>
      </c>
      <c r="E1191" s="270">
        <v>1</v>
      </c>
      <c r="F1191" s="270" t="s">
        <v>944</v>
      </c>
      <c r="G1191" s="270" t="s">
        <v>3926</v>
      </c>
      <c r="H1191" s="270" t="s">
        <v>5393</v>
      </c>
      <c r="I1191" s="270" t="s">
        <v>4079</v>
      </c>
      <c r="J1191" s="270" t="s">
        <v>3928</v>
      </c>
      <c r="K1191" s="270">
        <v>6111</v>
      </c>
      <c r="L1191" s="270">
        <v>494202</v>
      </c>
      <c r="M1191" s="270" t="s">
        <v>3960</v>
      </c>
      <c r="N1191" s="270" t="s">
        <v>3944</v>
      </c>
      <c r="O1191" s="270">
        <v>3153.47</v>
      </c>
      <c r="P1191" s="270" t="s">
        <v>3944</v>
      </c>
      <c r="Q1191" s="270" t="s">
        <v>3944</v>
      </c>
      <c r="R1191" s="270">
        <v>3153.47</v>
      </c>
      <c r="S1191" s="270">
        <v>45820.53</v>
      </c>
      <c r="T1191" s="270">
        <v>48974</v>
      </c>
      <c r="U1191" s="271" t="s">
        <v>3945</v>
      </c>
      <c r="V1191" s="267" t="s">
        <v>944</v>
      </c>
    </row>
    <row r="1192" spans="1:22" hidden="1" x14ac:dyDescent="0.25">
      <c r="A1192" s="266">
        <v>43536</v>
      </c>
      <c r="B1192" s="267">
        <v>2019</v>
      </c>
      <c r="C1192" s="267">
        <v>2019</v>
      </c>
      <c r="D1192" s="267">
        <v>1</v>
      </c>
      <c r="E1192" s="267">
        <v>1</v>
      </c>
      <c r="F1192" s="267" t="s">
        <v>944</v>
      </c>
      <c r="G1192" s="267" t="s">
        <v>3926</v>
      </c>
      <c r="H1192" s="267" t="s">
        <v>5394</v>
      </c>
      <c r="I1192" s="267" t="s">
        <v>3962</v>
      </c>
      <c r="J1192" s="267" t="s">
        <v>3928</v>
      </c>
      <c r="K1192" s="267">
        <v>6379</v>
      </c>
      <c r="L1192" s="267">
        <v>705102</v>
      </c>
      <c r="M1192" s="267" t="s">
        <v>3940</v>
      </c>
      <c r="N1192" s="267" t="s">
        <v>3944</v>
      </c>
      <c r="O1192" s="267">
        <v>2457.04</v>
      </c>
      <c r="P1192" s="267" t="s">
        <v>3944</v>
      </c>
      <c r="Q1192" s="267" t="s">
        <v>3944</v>
      </c>
      <c r="R1192" s="267">
        <v>2457.04</v>
      </c>
      <c r="S1192" s="267">
        <v>39139.74</v>
      </c>
      <c r="T1192" s="267">
        <v>41596.78</v>
      </c>
      <c r="U1192" s="268" t="s">
        <v>3945</v>
      </c>
      <c r="V1192" s="267" t="s">
        <v>944</v>
      </c>
    </row>
    <row r="1193" spans="1:22" hidden="1" x14ac:dyDescent="0.25">
      <c r="A1193" s="269">
        <v>43536</v>
      </c>
      <c r="B1193" s="270">
        <v>2019</v>
      </c>
      <c r="C1193" s="270">
        <v>2019</v>
      </c>
      <c r="D1193" s="270">
        <v>1</v>
      </c>
      <c r="E1193" s="270">
        <v>1</v>
      </c>
      <c r="F1193" s="270" t="s">
        <v>944</v>
      </c>
      <c r="G1193" s="270" t="s">
        <v>3926</v>
      </c>
      <c r="H1193" s="270" t="s">
        <v>5395</v>
      </c>
      <c r="I1193" s="270" t="s">
        <v>3971</v>
      </c>
      <c r="J1193" s="270" t="s">
        <v>3928</v>
      </c>
      <c r="K1193" s="270">
        <v>6084</v>
      </c>
      <c r="L1193" s="270">
        <v>533101</v>
      </c>
      <c r="M1193" s="270" t="s">
        <v>3943</v>
      </c>
      <c r="N1193" s="270" t="s">
        <v>3944</v>
      </c>
      <c r="O1193" s="270">
        <v>3154.9</v>
      </c>
      <c r="P1193" s="270" t="s">
        <v>3944</v>
      </c>
      <c r="Q1193" s="270" t="s">
        <v>3944</v>
      </c>
      <c r="R1193" s="270">
        <v>3154.9</v>
      </c>
      <c r="S1193" s="270">
        <v>52195.1</v>
      </c>
      <c r="T1193" s="270">
        <v>55350</v>
      </c>
      <c r="U1193" s="271" t="s">
        <v>3945</v>
      </c>
      <c r="V1193" s="267" t="s">
        <v>944</v>
      </c>
    </row>
    <row r="1194" spans="1:22" hidden="1" x14ac:dyDescent="0.25">
      <c r="A1194" s="266">
        <v>43536</v>
      </c>
      <c r="B1194" s="267">
        <v>2019</v>
      </c>
      <c r="C1194" s="267">
        <v>2019</v>
      </c>
      <c r="D1194" s="267">
        <v>1</v>
      </c>
      <c r="E1194" s="267">
        <v>1</v>
      </c>
      <c r="F1194" s="267" t="s">
        <v>944</v>
      </c>
      <c r="G1194" s="267" t="s">
        <v>3926</v>
      </c>
      <c r="H1194" s="267" t="s">
        <v>5396</v>
      </c>
      <c r="I1194" s="267" t="s">
        <v>4003</v>
      </c>
      <c r="J1194" s="267" t="s">
        <v>3928</v>
      </c>
      <c r="K1194" s="267">
        <v>6374</v>
      </c>
      <c r="L1194" s="267">
        <v>907100</v>
      </c>
      <c r="M1194" s="267" t="s">
        <v>3935</v>
      </c>
      <c r="N1194" s="267" t="s">
        <v>3944</v>
      </c>
      <c r="O1194" s="267">
        <v>1989.96</v>
      </c>
      <c r="P1194" s="267" t="s">
        <v>3944</v>
      </c>
      <c r="Q1194" s="267" t="s">
        <v>3944</v>
      </c>
      <c r="R1194" s="267">
        <v>1989.96</v>
      </c>
      <c r="S1194" s="267">
        <v>33910.639999999999</v>
      </c>
      <c r="T1194" s="267">
        <v>35900.6</v>
      </c>
      <c r="U1194" s="268" t="s">
        <v>3945</v>
      </c>
      <c r="V1194" s="267" t="s">
        <v>944</v>
      </c>
    </row>
    <row r="1195" spans="1:22" hidden="1" x14ac:dyDescent="0.25">
      <c r="A1195" s="269">
        <v>43536</v>
      </c>
      <c r="B1195" s="270">
        <v>2019</v>
      </c>
      <c r="C1195" s="270">
        <v>2019</v>
      </c>
      <c r="D1195" s="270">
        <v>1</v>
      </c>
      <c r="E1195" s="270">
        <v>1</v>
      </c>
      <c r="F1195" s="270" t="s">
        <v>944</v>
      </c>
      <c r="G1195" s="270" t="s">
        <v>3926</v>
      </c>
      <c r="H1195" s="270" t="s">
        <v>5397</v>
      </c>
      <c r="I1195" s="270" t="s">
        <v>5032</v>
      </c>
      <c r="J1195" s="270" t="s">
        <v>3928</v>
      </c>
      <c r="K1195" s="270">
        <v>6062</v>
      </c>
      <c r="L1195" s="270">
        <v>420700</v>
      </c>
      <c r="M1195" s="270" t="s">
        <v>3935</v>
      </c>
      <c r="N1195" s="270" t="s">
        <v>3944</v>
      </c>
      <c r="O1195" s="270">
        <v>1911.98</v>
      </c>
      <c r="P1195" s="270" t="s">
        <v>3944</v>
      </c>
      <c r="Q1195" s="270" t="s">
        <v>3944</v>
      </c>
      <c r="R1195" s="270">
        <v>1911.98</v>
      </c>
      <c r="S1195" s="270">
        <v>34376.019999999997</v>
      </c>
      <c r="T1195" s="270">
        <v>36288</v>
      </c>
      <c r="U1195" s="271" t="s">
        <v>3945</v>
      </c>
      <c r="V1195" s="267" t="s">
        <v>944</v>
      </c>
    </row>
    <row r="1196" spans="1:22" hidden="1" x14ac:dyDescent="0.25">
      <c r="A1196" s="266">
        <v>43536</v>
      </c>
      <c r="B1196" s="267">
        <v>2019</v>
      </c>
      <c r="C1196" s="267">
        <v>2019</v>
      </c>
      <c r="D1196" s="267">
        <v>1</v>
      </c>
      <c r="E1196" s="267">
        <v>1</v>
      </c>
      <c r="F1196" s="267" t="s">
        <v>944</v>
      </c>
      <c r="G1196" s="267" t="s">
        <v>3926</v>
      </c>
      <c r="H1196" s="267" t="s">
        <v>5398</v>
      </c>
      <c r="I1196" s="267" t="s">
        <v>4239</v>
      </c>
      <c r="J1196" s="267" t="s">
        <v>3928</v>
      </c>
      <c r="K1196" s="267">
        <v>6032</v>
      </c>
      <c r="L1196" s="267">
        <v>460301</v>
      </c>
      <c r="M1196" s="267" t="s">
        <v>3943</v>
      </c>
      <c r="N1196" s="267" t="s">
        <v>3944</v>
      </c>
      <c r="O1196" s="267">
        <v>2009.25</v>
      </c>
      <c r="P1196" s="267" t="s">
        <v>3944</v>
      </c>
      <c r="Q1196" s="267" t="s">
        <v>3944</v>
      </c>
      <c r="R1196" s="267">
        <v>2009.25</v>
      </c>
      <c r="S1196" s="267">
        <v>30865.75</v>
      </c>
      <c r="T1196" s="267">
        <v>32875</v>
      </c>
      <c r="U1196" s="268" t="s">
        <v>3945</v>
      </c>
      <c r="V1196" s="267" t="s">
        <v>944</v>
      </c>
    </row>
    <row r="1197" spans="1:22" hidden="1" x14ac:dyDescent="0.25">
      <c r="A1197" s="269">
        <v>43536</v>
      </c>
      <c r="B1197" s="270">
        <v>2019</v>
      </c>
      <c r="C1197" s="270">
        <v>2019</v>
      </c>
      <c r="D1197" s="270">
        <v>1</v>
      </c>
      <c r="E1197" s="270">
        <v>1</v>
      </c>
      <c r="F1197" s="270" t="s">
        <v>944</v>
      </c>
      <c r="G1197" s="270" t="s">
        <v>3926</v>
      </c>
      <c r="H1197" s="270" t="s">
        <v>5399</v>
      </c>
      <c r="I1197" s="270" t="s">
        <v>4213</v>
      </c>
      <c r="J1197" s="270" t="s">
        <v>3928</v>
      </c>
      <c r="K1197" s="270">
        <v>6053</v>
      </c>
      <c r="L1197" s="270">
        <v>416700</v>
      </c>
      <c r="M1197" s="270">
        <v>-60</v>
      </c>
      <c r="N1197" s="270" t="s">
        <v>3944</v>
      </c>
      <c r="O1197" s="270">
        <v>1331.68</v>
      </c>
      <c r="P1197" s="270" t="s">
        <v>3944</v>
      </c>
      <c r="Q1197" s="270" t="s">
        <v>3944</v>
      </c>
      <c r="R1197" s="270">
        <v>1331.68</v>
      </c>
      <c r="S1197" s="270">
        <v>26528.6</v>
      </c>
      <c r="T1197" s="270">
        <v>27860.28</v>
      </c>
      <c r="U1197" s="271" t="s">
        <v>3945</v>
      </c>
      <c r="V1197" s="267" t="s">
        <v>944</v>
      </c>
    </row>
    <row r="1198" spans="1:22" hidden="1" x14ac:dyDescent="0.25">
      <c r="A1198" s="266">
        <v>43536</v>
      </c>
      <c r="B1198" s="267">
        <v>2019</v>
      </c>
      <c r="C1198" s="267">
        <v>2019</v>
      </c>
      <c r="D1198" s="267">
        <v>1</v>
      </c>
      <c r="E1198" s="267">
        <v>1</v>
      </c>
      <c r="F1198" s="267" t="s">
        <v>944</v>
      </c>
      <c r="G1198" s="267" t="s">
        <v>3926</v>
      </c>
      <c r="H1198" s="267" t="s">
        <v>5400</v>
      </c>
      <c r="I1198" s="267" t="s">
        <v>5401</v>
      </c>
      <c r="J1198" s="267" t="s">
        <v>3928</v>
      </c>
      <c r="K1198" s="267">
        <v>6820</v>
      </c>
      <c r="L1198" s="267">
        <v>30500</v>
      </c>
      <c r="M1198" s="267" t="s">
        <v>3943</v>
      </c>
      <c r="N1198" s="267" t="s">
        <v>3944</v>
      </c>
      <c r="O1198" s="267">
        <v>2346.2600000000002</v>
      </c>
      <c r="P1198" s="267" t="s">
        <v>3944</v>
      </c>
      <c r="Q1198" s="267" t="s">
        <v>3944</v>
      </c>
      <c r="R1198" s="267">
        <v>2346.2600000000002</v>
      </c>
      <c r="S1198" s="267">
        <v>28828.75</v>
      </c>
      <c r="T1198" s="267">
        <v>31175.01</v>
      </c>
      <c r="U1198" s="268" t="s">
        <v>3945</v>
      </c>
      <c r="V1198" s="267" t="s">
        <v>944</v>
      </c>
    </row>
    <row r="1199" spans="1:22" hidden="1" x14ac:dyDescent="0.25">
      <c r="A1199" s="269">
        <v>43536</v>
      </c>
      <c r="B1199" s="270">
        <v>2019</v>
      </c>
      <c r="C1199" s="270">
        <v>2019</v>
      </c>
      <c r="D1199" s="270">
        <v>1</v>
      </c>
      <c r="E1199" s="270">
        <v>1</v>
      </c>
      <c r="F1199" s="270" t="s">
        <v>944</v>
      </c>
      <c r="G1199" s="270" t="s">
        <v>3926</v>
      </c>
      <c r="H1199" s="270" t="s">
        <v>5402</v>
      </c>
      <c r="I1199" s="270" t="s">
        <v>4392</v>
      </c>
      <c r="J1199" s="270" t="s">
        <v>3928</v>
      </c>
      <c r="K1199" s="270">
        <v>6457</v>
      </c>
      <c r="L1199" s="270">
        <v>541500</v>
      </c>
      <c r="M1199" s="270" t="s">
        <v>3940</v>
      </c>
      <c r="N1199" s="270" t="s">
        <v>3944</v>
      </c>
      <c r="O1199" s="270">
        <v>1884.82</v>
      </c>
      <c r="P1199" s="270" t="s">
        <v>3944</v>
      </c>
      <c r="Q1199" s="270" t="s">
        <v>3944</v>
      </c>
      <c r="R1199" s="270">
        <v>1884.82</v>
      </c>
      <c r="S1199" s="270">
        <v>26743.57</v>
      </c>
      <c r="T1199" s="270">
        <v>28628.39</v>
      </c>
      <c r="U1199" s="271" t="s">
        <v>3945</v>
      </c>
      <c r="V1199" s="267" t="s">
        <v>944</v>
      </c>
    </row>
    <row r="1200" spans="1:22" hidden="1" x14ac:dyDescent="0.25">
      <c r="A1200" s="266">
        <v>43536</v>
      </c>
      <c r="B1200" s="267">
        <v>2019</v>
      </c>
      <c r="C1200" s="267">
        <v>2019</v>
      </c>
      <c r="D1200" s="267">
        <v>1</v>
      </c>
      <c r="E1200" s="267">
        <v>1</v>
      </c>
      <c r="F1200" s="267" t="s">
        <v>944</v>
      </c>
      <c r="G1200" s="267" t="s">
        <v>3926</v>
      </c>
      <c r="H1200" s="267" t="s">
        <v>5403</v>
      </c>
      <c r="I1200" s="267" t="s">
        <v>4435</v>
      </c>
      <c r="J1200" s="267" t="s">
        <v>3928</v>
      </c>
      <c r="K1200" s="267">
        <v>6249</v>
      </c>
      <c r="L1200" s="267">
        <v>870100</v>
      </c>
      <c r="M1200" s="267" t="s">
        <v>3960</v>
      </c>
      <c r="N1200" s="267" t="s">
        <v>3944</v>
      </c>
      <c r="O1200" s="267">
        <v>2456.41</v>
      </c>
      <c r="P1200" s="267" t="s">
        <v>3944</v>
      </c>
      <c r="Q1200" s="267" t="s">
        <v>3944</v>
      </c>
      <c r="R1200" s="267">
        <v>2456.41</v>
      </c>
      <c r="S1200" s="267">
        <v>42831.59</v>
      </c>
      <c r="T1200" s="267">
        <v>45288</v>
      </c>
      <c r="U1200" s="268" t="s">
        <v>3945</v>
      </c>
      <c r="V1200" s="267" t="s">
        <v>944</v>
      </c>
    </row>
    <row r="1201" spans="1:22" hidden="1" x14ac:dyDescent="0.25">
      <c r="A1201" s="269">
        <v>43536</v>
      </c>
      <c r="B1201" s="270">
        <v>2019</v>
      </c>
      <c r="C1201" s="270">
        <v>2019</v>
      </c>
      <c r="D1201" s="270">
        <v>1</v>
      </c>
      <c r="E1201" s="270">
        <v>1</v>
      </c>
      <c r="F1201" s="270" t="s">
        <v>944</v>
      </c>
      <c r="G1201" s="270" t="s">
        <v>3926</v>
      </c>
      <c r="H1201" s="270" t="s">
        <v>5404</v>
      </c>
      <c r="I1201" s="270" t="s">
        <v>4548</v>
      </c>
      <c r="J1201" s="270" t="s">
        <v>3928</v>
      </c>
      <c r="K1201" s="270">
        <v>6037</v>
      </c>
      <c r="L1201" s="270">
        <v>400300</v>
      </c>
      <c r="M1201" s="270" t="s">
        <v>3960</v>
      </c>
      <c r="N1201" s="270" t="s">
        <v>3944</v>
      </c>
      <c r="O1201" s="270">
        <v>2487.31</v>
      </c>
      <c r="P1201" s="270" t="s">
        <v>3944</v>
      </c>
      <c r="Q1201" s="270" t="s">
        <v>3944</v>
      </c>
      <c r="R1201" s="270">
        <v>2487.31</v>
      </c>
      <c r="S1201" s="270">
        <v>38984.69</v>
      </c>
      <c r="T1201" s="270">
        <v>41472</v>
      </c>
      <c r="U1201" s="271" t="s">
        <v>3945</v>
      </c>
      <c r="V1201" s="267" t="s">
        <v>944</v>
      </c>
    </row>
    <row r="1202" spans="1:22" hidden="1" x14ac:dyDescent="0.25">
      <c r="A1202" s="266">
        <v>43536</v>
      </c>
      <c r="B1202" s="267">
        <v>2019</v>
      </c>
      <c r="C1202" s="267">
        <v>2019</v>
      </c>
      <c r="D1202" s="267">
        <v>1</v>
      </c>
      <c r="E1202" s="267">
        <v>1</v>
      </c>
      <c r="F1202" s="267" t="s">
        <v>944</v>
      </c>
      <c r="G1202" s="267" t="s">
        <v>3926</v>
      </c>
      <c r="H1202" s="267" t="s">
        <v>5405</v>
      </c>
      <c r="I1202" s="267" t="s">
        <v>950</v>
      </c>
      <c r="J1202" s="267" t="s">
        <v>3928</v>
      </c>
      <c r="K1202" s="267">
        <v>6516</v>
      </c>
      <c r="L1202" s="267">
        <v>154700</v>
      </c>
      <c r="M1202" s="267" t="s">
        <v>3960</v>
      </c>
      <c r="N1202" s="267" t="s">
        <v>3944</v>
      </c>
      <c r="O1202" s="267">
        <v>2454.34</v>
      </c>
      <c r="P1202" s="267" t="s">
        <v>3944</v>
      </c>
      <c r="Q1202" s="267" t="s">
        <v>3944</v>
      </c>
      <c r="R1202" s="267">
        <v>2454.34</v>
      </c>
      <c r="S1202" s="267">
        <v>33315.660000000003</v>
      </c>
      <c r="T1202" s="267">
        <v>35770</v>
      </c>
      <c r="U1202" s="268" t="s">
        <v>3945</v>
      </c>
      <c r="V1202" s="267" t="s">
        <v>944</v>
      </c>
    </row>
    <row r="1203" spans="1:22" hidden="1" x14ac:dyDescent="0.25">
      <c r="A1203" s="269">
        <v>43536</v>
      </c>
      <c r="B1203" s="270">
        <v>2019</v>
      </c>
      <c r="C1203" s="270">
        <v>2019</v>
      </c>
      <c r="D1203" s="270">
        <v>1</v>
      </c>
      <c r="E1203" s="270">
        <v>1</v>
      </c>
      <c r="F1203" s="270" t="s">
        <v>944</v>
      </c>
      <c r="G1203" s="270" t="s">
        <v>3926</v>
      </c>
      <c r="H1203" s="270" t="s">
        <v>5406</v>
      </c>
      <c r="I1203" s="270" t="s">
        <v>4170</v>
      </c>
      <c r="J1203" s="270" t="s">
        <v>3928</v>
      </c>
      <c r="K1203" s="270">
        <v>6498</v>
      </c>
      <c r="L1203" s="270">
        <v>680100</v>
      </c>
      <c r="M1203" s="270" t="s">
        <v>3935</v>
      </c>
      <c r="N1203" s="270" t="s">
        <v>3944</v>
      </c>
      <c r="O1203" s="270">
        <v>1751.05</v>
      </c>
      <c r="P1203" s="270" t="s">
        <v>3944</v>
      </c>
      <c r="Q1203" s="270" t="s">
        <v>3944</v>
      </c>
      <c r="R1203" s="270">
        <v>1751.05</v>
      </c>
      <c r="S1203" s="270">
        <v>26844.52</v>
      </c>
      <c r="T1203" s="270">
        <v>28595.57</v>
      </c>
      <c r="U1203" s="271" t="s">
        <v>3945</v>
      </c>
      <c r="V1203" s="267" t="s">
        <v>944</v>
      </c>
    </row>
    <row r="1204" spans="1:22" hidden="1" x14ac:dyDescent="0.25">
      <c r="A1204" s="266">
        <v>43536</v>
      </c>
      <c r="B1204" s="267">
        <v>2019</v>
      </c>
      <c r="C1204" s="267">
        <v>2019</v>
      </c>
      <c r="D1204" s="267">
        <v>1</v>
      </c>
      <c r="E1204" s="267">
        <v>1</v>
      </c>
      <c r="F1204" s="267" t="s">
        <v>944</v>
      </c>
      <c r="G1204" s="267" t="s">
        <v>3926</v>
      </c>
      <c r="H1204" s="267" t="s">
        <v>5407</v>
      </c>
      <c r="I1204" s="267" t="s">
        <v>950</v>
      </c>
      <c r="J1204" s="267" t="s">
        <v>3928</v>
      </c>
      <c r="K1204" s="267">
        <v>6516</v>
      </c>
      <c r="L1204" s="267">
        <v>361500</v>
      </c>
      <c r="M1204" s="267" t="s">
        <v>3940</v>
      </c>
      <c r="N1204" s="267" t="s">
        <v>3944</v>
      </c>
      <c r="O1204" s="267">
        <v>2134.5100000000002</v>
      </c>
      <c r="P1204" s="267" t="s">
        <v>3944</v>
      </c>
      <c r="Q1204" s="267" t="s">
        <v>3944</v>
      </c>
      <c r="R1204" s="267">
        <v>2134.5100000000002</v>
      </c>
      <c r="S1204" s="267">
        <v>33461.49</v>
      </c>
      <c r="T1204" s="267">
        <v>35596</v>
      </c>
      <c r="U1204" s="268" t="s">
        <v>3945</v>
      </c>
      <c r="V1204" s="267" t="s">
        <v>944</v>
      </c>
    </row>
    <row r="1205" spans="1:22" hidden="1" x14ac:dyDescent="0.25">
      <c r="A1205" s="269">
        <v>43536</v>
      </c>
      <c r="B1205" s="270">
        <v>2019</v>
      </c>
      <c r="C1205" s="270">
        <v>2019</v>
      </c>
      <c r="D1205" s="270">
        <v>1</v>
      </c>
      <c r="E1205" s="270">
        <v>1</v>
      </c>
      <c r="F1205" s="270" t="s">
        <v>944</v>
      </c>
      <c r="G1205" s="270" t="s">
        <v>3926</v>
      </c>
      <c r="H1205" s="270" t="s">
        <v>5408</v>
      </c>
      <c r="I1205" s="270" t="s">
        <v>3009</v>
      </c>
      <c r="J1205" s="270" t="s">
        <v>3928</v>
      </c>
      <c r="K1205" s="270">
        <v>6484</v>
      </c>
      <c r="L1205" s="270">
        <v>110301</v>
      </c>
      <c r="M1205" s="270" t="s">
        <v>3935</v>
      </c>
      <c r="N1205" s="270" t="s">
        <v>3944</v>
      </c>
      <c r="O1205" s="270">
        <v>2269.54</v>
      </c>
      <c r="P1205" s="270" t="s">
        <v>3944</v>
      </c>
      <c r="Q1205" s="270" t="s">
        <v>3944</v>
      </c>
      <c r="R1205" s="270">
        <v>2269.54</v>
      </c>
      <c r="S1205" s="270">
        <v>22142.46</v>
      </c>
      <c r="T1205" s="270">
        <v>24412</v>
      </c>
      <c r="U1205" s="271" t="s">
        <v>3945</v>
      </c>
      <c r="V1205" s="267" t="s">
        <v>944</v>
      </c>
    </row>
    <row r="1206" spans="1:22" hidden="1" x14ac:dyDescent="0.25">
      <c r="A1206" s="266">
        <v>43536</v>
      </c>
      <c r="B1206" s="267">
        <v>2019</v>
      </c>
      <c r="C1206" s="267">
        <v>2019</v>
      </c>
      <c r="D1206" s="267">
        <v>1</v>
      </c>
      <c r="E1206" s="267">
        <v>1</v>
      </c>
      <c r="F1206" s="267" t="s">
        <v>944</v>
      </c>
      <c r="G1206" s="267" t="s">
        <v>3926</v>
      </c>
      <c r="H1206" s="267" t="s">
        <v>5409</v>
      </c>
      <c r="I1206" s="267" t="s">
        <v>5410</v>
      </c>
      <c r="J1206" s="267" t="s">
        <v>3928</v>
      </c>
      <c r="K1206" s="267">
        <v>6712</v>
      </c>
      <c r="L1206" s="267">
        <v>347100</v>
      </c>
      <c r="M1206" s="267" t="s">
        <v>3960</v>
      </c>
      <c r="N1206" s="267" t="s">
        <v>3944</v>
      </c>
      <c r="O1206" s="267">
        <v>2455.15</v>
      </c>
      <c r="P1206" s="267" t="s">
        <v>3944</v>
      </c>
      <c r="Q1206" s="267" t="s">
        <v>3944</v>
      </c>
      <c r="R1206" s="267">
        <v>2455.15</v>
      </c>
      <c r="S1206" s="267">
        <v>37164.65</v>
      </c>
      <c r="T1206" s="267">
        <v>39619.800000000003</v>
      </c>
      <c r="U1206" s="268" t="s">
        <v>3945</v>
      </c>
      <c r="V1206" s="267" t="s">
        <v>944</v>
      </c>
    </row>
    <row r="1207" spans="1:22" hidden="1" x14ac:dyDescent="0.25">
      <c r="A1207" s="269">
        <v>43536</v>
      </c>
      <c r="B1207" s="270">
        <v>2019</v>
      </c>
      <c r="C1207" s="270">
        <v>2019</v>
      </c>
      <c r="D1207" s="270">
        <v>1</v>
      </c>
      <c r="E1207" s="270">
        <v>1</v>
      </c>
      <c r="F1207" s="270" t="s">
        <v>944</v>
      </c>
      <c r="G1207" s="270" t="s">
        <v>3926</v>
      </c>
      <c r="H1207" s="270" t="s">
        <v>5411</v>
      </c>
      <c r="I1207" s="270" t="s">
        <v>3954</v>
      </c>
      <c r="J1207" s="270" t="s">
        <v>3928</v>
      </c>
      <c r="K1207" s="270">
        <v>6333</v>
      </c>
      <c r="L1207" s="270">
        <v>716102</v>
      </c>
      <c r="M1207" s="270" t="s">
        <v>3943</v>
      </c>
      <c r="N1207" s="270" t="s">
        <v>3944</v>
      </c>
      <c r="O1207" s="270">
        <v>2166.6799999999998</v>
      </c>
      <c r="P1207" s="270" t="s">
        <v>3944</v>
      </c>
      <c r="Q1207" s="270" t="s">
        <v>3944</v>
      </c>
      <c r="R1207" s="270">
        <v>2166.6799999999998</v>
      </c>
      <c r="S1207" s="270">
        <v>27941.71</v>
      </c>
      <c r="T1207" s="270">
        <v>30108.39</v>
      </c>
      <c r="U1207" s="271" t="s">
        <v>3945</v>
      </c>
      <c r="V1207" s="267" t="s">
        <v>944</v>
      </c>
    </row>
    <row r="1208" spans="1:22" hidden="1" x14ac:dyDescent="0.25">
      <c r="A1208" s="266">
        <v>43536</v>
      </c>
      <c r="B1208" s="267">
        <v>2019</v>
      </c>
      <c r="C1208" s="267">
        <v>2019</v>
      </c>
      <c r="D1208" s="267">
        <v>1</v>
      </c>
      <c r="E1208" s="267">
        <v>1</v>
      </c>
      <c r="F1208" s="267" t="s">
        <v>944</v>
      </c>
      <c r="G1208" s="267" t="s">
        <v>3926</v>
      </c>
      <c r="H1208" s="267" t="s">
        <v>5412</v>
      </c>
      <c r="I1208" s="267" t="s">
        <v>2985</v>
      </c>
      <c r="J1208" s="267" t="s">
        <v>3928</v>
      </c>
      <c r="K1208" s="267">
        <v>6825</v>
      </c>
      <c r="L1208" s="267">
        <v>60200</v>
      </c>
      <c r="M1208" s="267" t="s">
        <v>3943</v>
      </c>
      <c r="N1208" s="267" t="s">
        <v>3944</v>
      </c>
      <c r="O1208" s="267">
        <v>587.76</v>
      </c>
      <c r="P1208" s="267" t="s">
        <v>3944</v>
      </c>
      <c r="Q1208" s="267" t="s">
        <v>3944</v>
      </c>
      <c r="R1208" s="267">
        <v>587.76</v>
      </c>
      <c r="S1208" s="267">
        <v>16017.15</v>
      </c>
      <c r="T1208" s="267">
        <v>16604.91</v>
      </c>
      <c r="U1208" s="268" t="s">
        <v>3945</v>
      </c>
      <c r="V1208" s="267" t="s">
        <v>944</v>
      </c>
    </row>
    <row r="1209" spans="1:22" hidden="1" x14ac:dyDescent="0.25">
      <c r="A1209" s="269">
        <v>43536</v>
      </c>
      <c r="B1209" s="270">
        <v>2019</v>
      </c>
      <c r="C1209" s="270">
        <v>2019</v>
      </c>
      <c r="D1209" s="270">
        <v>1</v>
      </c>
      <c r="E1209" s="270">
        <v>1</v>
      </c>
      <c r="F1209" s="270" t="s">
        <v>944</v>
      </c>
      <c r="G1209" s="270" t="s">
        <v>3926</v>
      </c>
      <c r="H1209" s="270" t="s">
        <v>5413</v>
      </c>
      <c r="I1209" s="270" t="s">
        <v>4005</v>
      </c>
      <c r="J1209" s="270" t="s">
        <v>3928</v>
      </c>
      <c r="K1209" s="270">
        <v>6118</v>
      </c>
      <c r="L1209" s="270">
        <v>511100</v>
      </c>
      <c r="M1209" s="270" t="s">
        <v>3960</v>
      </c>
      <c r="N1209" s="270" t="s">
        <v>3944</v>
      </c>
      <c r="O1209" s="270">
        <v>1656.69</v>
      </c>
      <c r="P1209" s="270" t="s">
        <v>3944</v>
      </c>
      <c r="Q1209" s="270" t="s">
        <v>3944</v>
      </c>
      <c r="R1209" s="270">
        <v>1656.69</v>
      </c>
      <c r="S1209" s="270">
        <v>24601.31</v>
      </c>
      <c r="T1209" s="270">
        <v>26258</v>
      </c>
      <c r="U1209" s="271" t="s">
        <v>3945</v>
      </c>
      <c r="V1209" s="267" t="s">
        <v>944</v>
      </c>
    </row>
    <row r="1210" spans="1:22" hidden="1" x14ac:dyDescent="0.25">
      <c r="A1210" s="266">
        <v>43536</v>
      </c>
      <c r="B1210" s="267">
        <v>2019</v>
      </c>
      <c r="C1210" s="267">
        <v>2019</v>
      </c>
      <c r="D1210" s="267">
        <v>1</v>
      </c>
      <c r="E1210" s="267">
        <v>1</v>
      </c>
      <c r="F1210" s="267" t="s">
        <v>944</v>
      </c>
      <c r="G1210" s="267" t="s">
        <v>3926</v>
      </c>
      <c r="H1210" s="267" t="s">
        <v>5414</v>
      </c>
      <c r="I1210" s="267" t="s">
        <v>4556</v>
      </c>
      <c r="J1210" s="267" t="s">
        <v>3928</v>
      </c>
      <c r="K1210" s="267">
        <v>6029</v>
      </c>
      <c r="L1210" s="267">
        <v>535200</v>
      </c>
      <c r="M1210" s="267" t="s">
        <v>3960</v>
      </c>
      <c r="N1210" s="267" t="s">
        <v>3944</v>
      </c>
      <c r="O1210" s="267">
        <v>2490.81</v>
      </c>
      <c r="P1210" s="267" t="s">
        <v>3944</v>
      </c>
      <c r="Q1210" s="267" t="s">
        <v>3944</v>
      </c>
      <c r="R1210" s="267">
        <v>2490.81</v>
      </c>
      <c r="S1210" s="267">
        <v>33070.44</v>
      </c>
      <c r="T1210" s="267">
        <v>35561.25</v>
      </c>
      <c r="U1210" s="268" t="s">
        <v>3945</v>
      </c>
      <c r="V1210" s="267" t="s">
        <v>944</v>
      </c>
    </row>
    <row r="1211" spans="1:22" hidden="1" x14ac:dyDescent="0.25">
      <c r="A1211" s="269">
        <v>43537</v>
      </c>
      <c r="B1211" s="270">
        <v>2019</v>
      </c>
      <c r="C1211" s="270">
        <v>2019</v>
      </c>
      <c r="D1211" s="270">
        <v>1</v>
      </c>
      <c r="E1211" s="270">
        <v>1</v>
      </c>
      <c r="F1211" s="270" t="s">
        <v>944</v>
      </c>
      <c r="G1211" s="270" t="s">
        <v>3926</v>
      </c>
      <c r="H1211" s="270" t="s">
        <v>5415</v>
      </c>
      <c r="I1211" s="270" t="s">
        <v>953</v>
      </c>
      <c r="J1211" s="270" t="s">
        <v>3928</v>
      </c>
      <c r="K1211" s="270">
        <v>6518</v>
      </c>
      <c r="L1211" s="270">
        <v>166002</v>
      </c>
      <c r="M1211" s="270" t="s">
        <v>3960</v>
      </c>
      <c r="N1211" s="270" t="s">
        <v>5416</v>
      </c>
      <c r="O1211" s="270">
        <v>0</v>
      </c>
      <c r="P1211" s="270" t="s">
        <v>3930</v>
      </c>
      <c r="Q1211" s="270" t="s">
        <v>3930</v>
      </c>
      <c r="R1211" s="270">
        <v>0</v>
      </c>
      <c r="S1211" s="270">
        <v>8700</v>
      </c>
      <c r="T1211" s="270">
        <v>8700</v>
      </c>
      <c r="U1211" s="271" t="s">
        <v>3937</v>
      </c>
      <c r="V1211" s="267" t="s">
        <v>944</v>
      </c>
    </row>
    <row r="1212" spans="1:22" hidden="1" x14ac:dyDescent="0.25">
      <c r="A1212" s="266">
        <v>43537</v>
      </c>
      <c r="B1212" s="267">
        <v>2019</v>
      </c>
      <c r="C1212" s="267">
        <v>2019</v>
      </c>
      <c r="D1212" s="267">
        <v>1</v>
      </c>
      <c r="E1212" s="267">
        <v>1</v>
      </c>
      <c r="F1212" s="267" t="s">
        <v>944</v>
      </c>
      <c r="G1212" s="267" t="s">
        <v>3926</v>
      </c>
      <c r="H1212" s="267" t="s">
        <v>5417</v>
      </c>
      <c r="I1212" s="267" t="s">
        <v>4019</v>
      </c>
      <c r="J1212" s="267" t="s">
        <v>3928</v>
      </c>
      <c r="K1212" s="267">
        <v>6708</v>
      </c>
      <c r="L1212" s="267">
        <v>352000</v>
      </c>
      <c r="M1212" s="267" t="s">
        <v>3935</v>
      </c>
      <c r="N1212" s="267" t="s">
        <v>5418</v>
      </c>
      <c r="O1212" s="267">
        <v>0</v>
      </c>
      <c r="P1212" s="267" t="s">
        <v>3930</v>
      </c>
      <c r="Q1212" s="267" t="s">
        <v>3930</v>
      </c>
      <c r="R1212" s="267">
        <v>0</v>
      </c>
      <c r="S1212" s="267">
        <v>7807.03</v>
      </c>
      <c r="T1212" s="267">
        <v>7807.03</v>
      </c>
      <c r="U1212" s="268" t="s">
        <v>3937</v>
      </c>
      <c r="V1212" s="267" t="s">
        <v>944</v>
      </c>
    </row>
    <row r="1213" spans="1:22" hidden="1" x14ac:dyDescent="0.25">
      <c r="A1213" s="269">
        <v>43537</v>
      </c>
      <c r="B1213" s="270">
        <v>2019</v>
      </c>
      <c r="C1213" s="270">
        <v>2019</v>
      </c>
      <c r="D1213" s="270">
        <v>1</v>
      </c>
      <c r="E1213" s="270">
        <v>1</v>
      </c>
      <c r="F1213" s="270" t="s">
        <v>944</v>
      </c>
      <c r="G1213" s="270" t="s">
        <v>3926</v>
      </c>
      <c r="H1213" s="270" t="s">
        <v>5419</v>
      </c>
      <c r="I1213" s="270" t="s">
        <v>4019</v>
      </c>
      <c r="J1213" s="270" t="s">
        <v>3928</v>
      </c>
      <c r="K1213" s="270">
        <v>6706</v>
      </c>
      <c r="L1213" s="270">
        <v>352800</v>
      </c>
      <c r="M1213" s="270" t="s">
        <v>3940</v>
      </c>
      <c r="N1213" s="270" t="s">
        <v>3986</v>
      </c>
      <c r="O1213" s="270">
        <v>1285.24</v>
      </c>
      <c r="P1213" s="270" t="s">
        <v>3930</v>
      </c>
      <c r="Q1213" s="270" t="s">
        <v>3931</v>
      </c>
      <c r="R1213" s="270">
        <v>6285.24</v>
      </c>
      <c r="S1213" s="270">
        <v>16196.8</v>
      </c>
      <c r="T1213" s="270">
        <v>22482.04</v>
      </c>
      <c r="U1213" s="271" t="s">
        <v>3932</v>
      </c>
      <c r="V1213" s="267" t="s">
        <v>944</v>
      </c>
    </row>
    <row r="1214" spans="1:22" hidden="1" x14ac:dyDescent="0.25">
      <c r="A1214" s="266">
        <v>43537</v>
      </c>
      <c r="B1214" s="267">
        <v>2019</v>
      </c>
      <c r="C1214" s="267">
        <v>2019</v>
      </c>
      <c r="D1214" s="267">
        <v>1</v>
      </c>
      <c r="E1214" s="267">
        <v>1</v>
      </c>
      <c r="F1214" s="267" t="s">
        <v>944</v>
      </c>
      <c r="G1214" s="267" t="s">
        <v>3926</v>
      </c>
      <c r="H1214" s="267" t="s">
        <v>5420</v>
      </c>
      <c r="I1214" s="267" t="s">
        <v>950</v>
      </c>
      <c r="J1214" s="267" t="s">
        <v>3928</v>
      </c>
      <c r="K1214" s="267">
        <v>6516</v>
      </c>
      <c r="L1214" s="267">
        <v>361500</v>
      </c>
      <c r="M1214" s="267" t="s">
        <v>3940</v>
      </c>
      <c r="N1214" s="267" t="s">
        <v>4103</v>
      </c>
      <c r="O1214" s="267">
        <v>4554.99</v>
      </c>
      <c r="P1214" s="267" t="s">
        <v>3930</v>
      </c>
      <c r="Q1214" s="267" t="s">
        <v>3931</v>
      </c>
      <c r="R1214" s="267">
        <v>9554.99</v>
      </c>
      <c r="S1214" s="267">
        <v>24145.599999999999</v>
      </c>
      <c r="T1214" s="267">
        <v>33700.589999999997</v>
      </c>
      <c r="U1214" s="268" t="s">
        <v>3932</v>
      </c>
      <c r="V1214" s="267" t="s">
        <v>944</v>
      </c>
    </row>
    <row r="1215" spans="1:22" hidden="1" x14ac:dyDescent="0.25">
      <c r="A1215" s="269">
        <v>43537</v>
      </c>
      <c r="B1215" s="270">
        <v>2019</v>
      </c>
      <c r="C1215" s="270">
        <v>2019</v>
      </c>
      <c r="D1215" s="270">
        <v>1</v>
      </c>
      <c r="E1215" s="270">
        <v>1</v>
      </c>
      <c r="F1215" s="270" t="s">
        <v>944</v>
      </c>
      <c r="G1215" s="270" t="s">
        <v>3926</v>
      </c>
      <c r="H1215" s="270" t="s">
        <v>5421</v>
      </c>
      <c r="I1215" s="270" t="s">
        <v>2985</v>
      </c>
      <c r="J1215" s="270" t="s">
        <v>3928</v>
      </c>
      <c r="K1215" s="270">
        <v>6824</v>
      </c>
      <c r="L1215" s="270">
        <v>61600</v>
      </c>
      <c r="M1215" s="270" t="s">
        <v>3943</v>
      </c>
      <c r="N1215" s="270" t="s">
        <v>3944</v>
      </c>
      <c r="O1215" s="270">
        <v>3559</v>
      </c>
      <c r="P1215" s="270" t="s">
        <v>3944</v>
      </c>
      <c r="Q1215" s="270" t="s">
        <v>3944</v>
      </c>
      <c r="R1215" s="270">
        <v>3559</v>
      </c>
      <c r="S1215" s="270">
        <v>26941</v>
      </c>
      <c r="T1215" s="270">
        <v>30500</v>
      </c>
      <c r="U1215" s="271" t="s">
        <v>3945</v>
      </c>
      <c r="V1215" s="267" t="s">
        <v>944</v>
      </c>
    </row>
    <row r="1216" spans="1:22" hidden="1" x14ac:dyDescent="0.25">
      <c r="A1216" s="266">
        <v>43537</v>
      </c>
      <c r="B1216" s="267">
        <v>2019</v>
      </c>
      <c r="C1216" s="267">
        <v>2019</v>
      </c>
      <c r="D1216" s="267">
        <v>1</v>
      </c>
      <c r="E1216" s="267">
        <v>1</v>
      </c>
      <c r="F1216" s="267" t="s">
        <v>944</v>
      </c>
      <c r="G1216" s="267" t="s">
        <v>3926</v>
      </c>
      <c r="H1216" s="267" t="s">
        <v>5422</v>
      </c>
      <c r="I1216" s="267" t="s">
        <v>953</v>
      </c>
      <c r="J1216" s="267" t="s">
        <v>3928</v>
      </c>
      <c r="K1216" s="267">
        <v>6517</v>
      </c>
      <c r="L1216" s="267">
        <v>165100</v>
      </c>
      <c r="M1216" s="267" t="s">
        <v>3935</v>
      </c>
      <c r="N1216" s="267" t="s">
        <v>3944</v>
      </c>
      <c r="O1216" s="267">
        <v>3646</v>
      </c>
      <c r="P1216" s="267" t="s">
        <v>3944</v>
      </c>
      <c r="Q1216" s="267" t="s">
        <v>3944</v>
      </c>
      <c r="R1216" s="267">
        <v>3646</v>
      </c>
      <c r="S1216" s="267">
        <v>30057.1</v>
      </c>
      <c r="T1216" s="267">
        <v>33703.1</v>
      </c>
      <c r="U1216" s="268" t="s">
        <v>3945</v>
      </c>
      <c r="V1216" s="267" t="s">
        <v>944</v>
      </c>
    </row>
    <row r="1217" spans="1:22" hidden="1" x14ac:dyDescent="0.25">
      <c r="A1217" s="269">
        <v>43537</v>
      </c>
      <c r="B1217" s="270">
        <v>2019</v>
      </c>
      <c r="C1217" s="270">
        <v>2019</v>
      </c>
      <c r="D1217" s="270">
        <v>1</v>
      </c>
      <c r="E1217" s="270">
        <v>1</v>
      </c>
      <c r="F1217" s="270" t="s">
        <v>944</v>
      </c>
      <c r="G1217" s="270" t="s">
        <v>3926</v>
      </c>
      <c r="H1217" s="270" t="s">
        <v>5423</v>
      </c>
      <c r="I1217" s="270" t="s">
        <v>3968</v>
      </c>
      <c r="J1217" s="270" t="s">
        <v>3928</v>
      </c>
      <c r="K1217" s="270">
        <v>6042</v>
      </c>
      <c r="L1217" s="270">
        <v>514400</v>
      </c>
      <c r="M1217" s="270" t="s">
        <v>3940</v>
      </c>
      <c r="N1217" s="270" t="s">
        <v>3944</v>
      </c>
      <c r="O1217" s="270">
        <v>1611</v>
      </c>
      <c r="P1217" s="270" t="s">
        <v>3944</v>
      </c>
      <c r="Q1217" s="270" t="s">
        <v>3944</v>
      </c>
      <c r="R1217" s="270">
        <v>1611</v>
      </c>
      <c r="S1217" s="270">
        <v>12375</v>
      </c>
      <c r="T1217" s="270">
        <v>13986</v>
      </c>
      <c r="U1217" s="271" t="s">
        <v>3945</v>
      </c>
      <c r="V1217" s="267" t="s">
        <v>944</v>
      </c>
    </row>
    <row r="1218" spans="1:22" hidden="1" x14ac:dyDescent="0.25">
      <c r="A1218" s="266">
        <v>43537</v>
      </c>
      <c r="B1218" s="267">
        <v>2019</v>
      </c>
      <c r="C1218" s="267">
        <v>2019</v>
      </c>
      <c r="D1218" s="267">
        <v>1</v>
      </c>
      <c r="E1218" s="267">
        <v>1</v>
      </c>
      <c r="F1218" s="267" t="s">
        <v>944</v>
      </c>
      <c r="G1218" s="267" t="s">
        <v>3926</v>
      </c>
      <c r="H1218" s="267" t="s">
        <v>5424</v>
      </c>
      <c r="I1218" s="267" t="s">
        <v>3962</v>
      </c>
      <c r="J1218" s="267" t="s">
        <v>3928</v>
      </c>
      <c r="K1218" s="267">
        <v>6378</v>
      </c>
      <c r="L1218" s="267">
        <v>705400</v>
      </c>
      <c r="M1218" s="267" t="s">
        <v>3943</v>
      </c>
      <c r="N1218" s="267" t="s">
        <v>3944</v>
      </c>
      <c r="O1218" s="267">
        <v>2890</v>
      </c>
      <c r="P1218" s="267" t="s">
        <v>3944</v>
      </c>
      <c r="Q1218" s="267" t="s">
        <v>3944</v>
      </c>
      <c r="R1218" s="267">
        <v>2890</v>
      </c>
      <c r="S1218" s="267">
        <v>22656.76</v>
      </c>
      <c r="T1218" s="267">
        <v>25546.76</v>
      </c>
      <c r="U1218" s="268" t="s">
        <v>3945</v>
      </c>
      <c r="V1218" s="267" t="s">
        <v>944</v>
      </c>
    </row>
    <row r="1219" spans="1:22" hidden="1" x14ac:dyDescent="0.25">
      <c r="A1219" s="269">
        <v>43537</v>
      </c>
      <c r="B1219" s="270">
        <v>2019</v>
      </c>
      <c r="C1219" s="270">
        <v>2019</v>
      </c>
      <c r="D1219" s="270">
        <v>1</v>
      </c>
      <c r="E1219" s="270">
        <v>1</v>
      </c>
      <c r="F1219" s="270" t="s">
        <v>944</v>
      </c>
      <c r="G1219" s="270" t="s">
        <v>3926</v>
      </c>
      <c r="H1219" s="270" t="s">
        <v>5425</v>
      </c>
      <c r="I1219" s="270" t="s">
        <v>4087</v>
      </c>
      <c r="J1219" s="270" t="s">
        <v>3928</v>
      </c>
      <c r="K1219" s="270">
        <v>6340</v>
      </c>
      <c r="L1219" s="270">
        <v>702900</v>
      </c>
      <c r="M1219" s="270" t="s">
        <v>3943</v>
      </c>
      <c r="N1219" s="270" t="s">
        <v>3944</v>
      </c>
      <c r="O1219" s="270">
        <v>3125</v>
      </c>
      <c r="P1219" s="270" t="s">
        <v>3944</v>
      </c>
      <c r="Q1219" s="270" t="s">
        <v>3944</v>
      </c>
      <c r="R1219" s="270">
        <v>3125</v>
      </c>
      <c r="S1219" s="270">
        <v>20361.759999999998</v>
      </c>
      <c r="T1219" s="270">
        <v>23486.76</v>
      </c>
      <c r="U1219" s="271" t="s">
        <v>3945</v>
      </c>
      <c r="V1219" s="267" t="s">
        <v>944</v>
      </c>
    </row>
    <row r="1220" spans="1:22" hidden="1" x14ac:dyDescent="0.25">
      <c r="A1220" s="266">
        <v>43537</v>
      </c>
      <c r="B1220" s="267">
        <v>2019</v>
      </c>
      <c r="C1220" s="267">
        <v>2019</v>
      </c>
      <c r="D1220" s="267">
        <v>1</v>
      </c>
      <c r="E1220" s="267">
        <v>1</v>
      </c>
      <c r="F1220" s="267" t="s">
        <v>944</v>
      </c>
      <c r="G1220" s="267" t="s">
        <v>3926</v>
      </c>
      <c r="H1220" s="267" t="s">
        <v>5426</v>
      </c>
      <c r="I1220" s="267" t="s">
        <v>4073</v>
      </c>
      <c r="J1220" s="267" t="s">
        <v>3928</v>
      </c>
      <c r="K1220" s="267">
        <v>6776</v>
      </c>
      <c r="L1220" s="267">
        <v>253500</v>
      </c>
      <c r="M1220" s="267" t="s">
        <v>3943</v>
      </c>
      <c r="N1220" s="267" t="s">
        <v>3944</v>
      </c>
      <c r="O1220" s="267">
        <v>6182</v>
      </c>
      <c r="P1220" s="267" t="s">
        <v>3944</v>
      </c>
      <c r="Q1220" s="267" t="s">
        <v>3944</v>
      </c>
      <c r="R1220" s="267">
        <v>6182</v>
      </c>
      <c r="S1220" s="267">
        <v>39431.01</v>
      </c>
      <c r="T1220" s="267">
        <v>45613.01</v>
      </c>
      <c r="U1220" s="268" t="s">
        <v>3945</v>
      </c>
      <c r="V1220" s="267" t="s">
        <v>944</v>
      </c>
    </row>
    <row r="1221" spans="1:22" hidden="1" x14ac:dyDescent="0.25">
      <c r="A1221" s="269">
        <v>43537</v>
      </c>
      <c r="B1221" s="270">
        <v>2019</v>
      </c>
      <c r="C1221" s="270">
        <v>2019</v>
      </c>
      <c r="D1221" s="270">
        <v>1</v>
      </c>
      <c r="E1221" s="270">
        <v>1</v>
      </c>
      <c r="F1221" s="270" t="s">
        <v>944</v>
      </c>
      <c r="G1221" s="270" t="s">
        <v>3926</v>
      </c>
      <c r="H1221" s="270" t="s">
        <v>5427</v>
      </c>
      <c r="I1221" s="270" t="s">
        <v>4079</v>
      </c>
      <c r="J1221" s="270" t="s">
        <v>3928</v>
      </c>
      <c r="K1221" s="270">
        <v>6111</v>
      </c>
      <c r="L1221" s="270">
        <v>494600</v>
      </c>
      <c r="M1221" s="270" t="s">
        <v>3935</v>
      </c>
      <c r="N1221" s="270" t="s">
        <v>3944</v>
      </c>
      <c r="O1221" s="270">
        <v>2057</v>
      </c>
      <c r="P1221" s="270" t="s">
        <v>3944</v>
      </c>
      <c r="Q1221" s="270" t="s">
        <v>3944</v>
      </c>
      <c r="R1221" s="270">
        <v>2057</v>
      </c>
      <c r="S1221" s="270">
        <v>22198</v>
      </c>
      <c r="T1221" s="270">
        <v>24255</v>
      </c>
      <c r="U1221" s="271" t="s">
        <v>3945</v>
      </c>
      <c r="V1221" s="267" t="s">
        <v>944</v>
      </c>
    </row>
    <row r="1222" spans="1:22" hidden="1" x14ac:dyDescent="0.25">
      <c r="A1222" s="266">
        <v>43537</v>
      </c>
      <c r="B1222" s="267">
        <v>2019</v>
      </c>
      <c r="C1222" s="267">
        <v>2019</v>
      </c>
      <c r="D1222" s="267">
        <v>1</v>
      </c>
      <c r="E1222" s="267">
        <v>1</v>
      </c>
      <c r="F1222" s="267" t="s">
        <v>944</v>
      </c>
      <c r="G1222" s="267" t="s">
        <v>3926</v>
      </c>
      <c r="H1222" s="267" t="s">
        <v>5428</v>
      </c>
      <c r="I1222" s="267" t="s">
        <v>4011</v>
      </c>
      <c r="J1222" s="267" t="s">
        <v>3928</v>
      </c>
      <c r="K1222" s="267">
        <v>6002</v>
      </c>
      <c r="L1222" s="267">
        <v>471400</v>
      </c>
      <c r="M1222" s="267" t="s">
        <v>3943</v>
      </c>
      <c r="N1222" s="267" t="s">
        <v>3944</v>
      </c>
      <c r="O1222" s="267">
        <v>3185</v>
      </c>
      <c r="P1222" s="267" t="s">
        <v>3944</v>
      </c>
      <c r="Q1222" s="267" t="s">
        <v>3944</v>
      </c>
      <c r="R1222" s="267">
        <v>3185</v>
      </c>
      <c r="S1222" s="267">
        <v>31885.75</v>
      </c>
      <c r="T1222" s="267">
        <v>35070.75</v>
      </c>
      <c r="U1222" s="268" t="s">
        <v>3945</v>
      </c>
      <c r="V1222" s="267" t="s">
        <v>944</v>
      </c>
    </row>
    <row r="1223" spans="1:22" hidden="1" x14ac:dyDescent="0.25">
      <c r="A1223" s="269">
        <v>43537</v>
      </c>
      <c r="B1223" s="270">
        <v>2019</v>
      </c>
      <c r="C1223" s="270">
        <v>2019</v>
      </c>
      <c r="D1223" s="270">
        <v>1</v>
      </c>
      <c r="E1223" s="270">
        <v>1</v>
      </c>
      <c r="F1223" s="270" t="s">
        <v>944</v>
      </c>
      <c r="G1223" s="270" t="s">
        <v>3926</v>
      </c>
      <c r="H1223" s="270" t="s">
        <v>5429</v>
      </c>
      <c r="I1223" s="270" t="s">
        <v>3975</v>
      </c>
      <c r="J1223" s="270" t="s">
        <v>3928</v>
      </c>
      <c r="K1223" s="270">
        <v>6489</v>
      </c>
      <c r="L1223" s="270">
        <v>430301</v>
      </c>
      <c r="M1223" s="270" t="s">
        <v>3943</v>
      </c>
      <c r="N1223" s="270" t="s">
        <v>3944</v>
      </c>
      <c r="O1223" s="270">
        <v>3467</v>
      </c>
      <c r="P1223" s="270" t="s">
        <v>3944</v>
      </c>
      <c r="Q1223" s="270" t="s">
        <v>3944</v>
      </c>
      <c r="R1223" s="270">
        <v>3467</v>
      </c>
      <c r="S1223" s="270">
        <v>27655</v>
      </c>
      <c r="T1223" s="270">
        <v>31122</v>
      </c>
      <c r="U1223" s="271" t="s">
        <v>3945</v>
      </c>
      <c r="V1223" s="267" t="s">
        <v>944</v>
      </c>
    </row>
    <row r="1224" spans="1:22" hidden="1" x14ac:dyDescent="0.25">
      <c r="A1224" s="266">
        <v>43537</v>
      </c>
      <c r="B1224" s="267">
        <v>2019</v>
      </c>
      <c r="C1224" s="267">
        <v>2019</v>
      </c>
      <c r="D1224" s="267">
        <v>1</v>
      </c>
      <c r="E1224" s="267">
        <v>1</v>
      </c>
      <c r="F1224" s="267" t="s">
        <v>944</v>
      </c>
      <c r="G1224" s="267" t="s">
        <v>3926</v>
      </c>
      <c r="H1224" s="267" t="s">
        <v>5430</v>
      </c>
      <c r="I1224" s="267" t="s">
        <v>4301</v>
      </c>
      <c r="J1224" s="267" t="s">
        <v>3928</v>
      </c>
      <c r="K1224" s="267">
        <v>6359</v>
      </c>
      <c r="L1224" s="267">
        <v>707100</v>
      </c>
      <c r="M1224" s="267" t="s">
        <v>3935</v>
      </c>
      <c r="N1224" s="267" t="s">
        <v>3944</v>
      </c>
      <c r="O1224" s="267">
        <v>6646</v>
      </c>
      <c r="P1224" s="267" t="s">
        <v>3944</v>
      </c>
      <c r="Q1224" s="267" t="s">
        <v>3944</v>
      </c>
      <c r="R1224" s="267">
        <v>6646</v>
      </c>
      <c r="S1224" s="267">
        <v>52262</v>
      </c>
      <c r="T1224" s="267">
        <v>58908</v>
      </c>
      <c r="U1224" s="268" t="s">
        <v>3945</v>
      </c>
      <c r="V1224" s="267" t="s">
        <v>944</v>
      </c>
    </row>
    <row r="1225" spans="1:22" x14ac:dyDescent="0.25">
      <c r="A1225" s="269">
        <v>43537</v>
      </c>
      <c r="B1225" s="270">
        <v>2019</v>
      </c>
      <c r="C1225" s="270">
        <v>2019</v>
      </c>
      <c r="D1225" s="270">
        <v>1</v>
      </c>
      <c r="E1225" s="270">
        <v>1</v>
      </c>
      <c r="F1225" s="270" t="s">
        <v>944</v>
      </c>
      <c r="G1225" s="270" t="s">
        <v>3926</v>
      </c>
      <c r="H1225" s="270" t="s">
        <v>5431</v>
      </c>
      <c r="I1225" s="270" t="s">
        <v>943</v>
      </c>
      <c r="J1225" s="270" t="s">
        <v>3928</v>
      </c>
      <c r="K1225" s="270">
        <v>6513</v>
      </c>
      <c r="L1225" s="270">
        <v>142500</v>
      </c>
      <c r="M1225" s="270">
        <v>-60</v>
      </c>
      <c r="N1225" s="270" t="s">
        <v>3944</v>
      </c>
      <c r="O1225" s="270">
        <v>1893</v>
      </c>
      <c r="P1225" s="270" t="s">
        <v>3944</v>
      </c>
      <c r="Q1225" s="270" t="s">
        <v>3944</v>
      </c>
      <c r="R1225" s="270">
        <v>1893</v>
      </c>
      <c r="S1225" s="270">
        <v>13983</v>
      </c>
      <c r="T1225" s="270">
        <v>15876</v>
      </c>
      <c r="U1225" s="271" t="s">
        <v>3945</v>
      </c>
      <c r="V1225" s="276" t="s">
        <v>936</v>
      </c>
    </row>
    <row r="1226" spans="1:22" hidden="1" x14ac:dyDescent="0.25">
      <c r="A1226" s="266">
        <v>43537</v>
      </c>
      <c r="B1226" s="267">
        <v>2019</v>
      </c>
      <c r="C1226" s="267">
        <v>2019</v>
      </c>
      <c r="D1226" s="267">
        <v>1</v>
      </c>
      <c r="E1226" s="267">
        <v>1</v>
      </c>
      <c r="F1226" s="267" t="s">
        <v>944</v>
      </c>
      <c r="G1226" s="267" t="s">
        <v>3926</v>
      </c>
      <c r="H1226" s="267" t="s">
        <v>5432</v>
      </c>
      <c r="I1226" s="267" t="s">
        <v>3966</v>
      </c>
      <c r="J1226" s="267" t="s">
        <v>3928</v>
      </c>
      <c r="K1226" s="267">
        <v>6010</v>
      </c>
      <c r="L1226" s="267">
        <v>405200</v>
      </c>
      <c r="M1226" s="267" t="s">
        <v>3940</v>
      </c>
      <c r="N1226" s="267" t="s">
        <v>3944</v>
      </c>
      <c r="O1226" s="267">
        <v>5148</v>
      </c>
      <c r="P1226" s="267" t="s">
        <v>3944</v>
      </c>
      <c r="Q1226" s="267" t="s">
        <v>3944</v>
      </c>
      <c r="R1226" s="267">
        <v>5148</v>
      </c>
      <c r="S1226" s="267">
        <v>38724.93</v>
      </c>
      <c r="T1226" s="267">
        <v>43872.93</v>
      </c>
      <c r="U1226" s="268" t="s">
        <v>3945</v>
      </c>
      <c r="V1226" s="267" t="s">
        <v>944</v>
      </c>
    </row>
    <row r="1227" spans="1:22" hidden="1" x14ac:dyDescent="0.25">
      <c r="A1227" s="269">
        <v>43537</v>
      </c>
      <c r="B1227" s="270">
        <v>2019</v>
      </c>
      <c r="C1227" s="270">
        <v>2019</v>
      </c>
      <c r="D1227" s="270">
        <v>1</v>
      </c>
      <c r="E1227" s="270">
        <v>1</v>
      </c>
      <c r="F1227" s="270" t="s">
        <v>944</v>
      </c>
      <c r="G1227" s="270" t="s">
        <v>3926</v>
      </c>
      <c r="H1227" s="270" t="s">
        <v>5433</v>
      </c>
      <c r="I1227" s="270" t="s">
        <v>4197</v>
      </c>
      <c r="J1227" s="270" t="s">
        <v>3928</v>
      </c>
      <c r="K1227" s="270">
        <v>6812</v>
      </c>
      <c r="L1227" s="270">
        <v>220100</v>
      </c>
      <c r="M1227" s="270" t="s">
        <v>3943</v>
      </c>
      <c r="N1227" s="270" t="s">
        <v>3944</v>
      </c>
      <c r="O1227" s="270">
        <v>8100</v>
      </c>
      <c r="P1227" s="270" t="s">
        <v>3944</v>
      </c>
      <c r="Q1227" s="270" t="s">
        <v>3944</v>
      </c>
      <c r="R1227" s="270">
        <v>8100</v>
      </c>
      <c r="S1227" s="270">
        <v>75735</v>
      </c>
      <c r="T1227" s="270">
        <v>83835</v>
      </c>
      <c r="U1227" s="271" t="s">
        <v>3945</v>
      </c>
      <c r="V1227" s="267" t="s">
        <v>944</v>
      </c>
    </row>
    <row r="1228" spans="1:22" hidden="1" x14ac:dyDescent="0.25">
      <c r="A1228" s="266">
        <v>43537</v>
      </c>
      <c r="B1228" s="267">
        <v>2019</v>
      </c>
      <c r="C1228" s="267">
        <v>2019</v>
      </c>
      <c r="D1228" s="267">
        <v>1</v>
      </c>
      <c r="E1228" s="267">
        <v>1</v>
      </c>
      <c r="F1228" s="267" t="s">
        <v>944</v>
      </c>
      <c r="G1228" s="267" t="s">
        <v>3926</v>
      </c>
      <c r="H1228" s="267" t="s">
        <v>5434</v>
      </c>
      <c r="I1228" s="267" t="s">
        <v>4011</v>
      </c>
      <c r="J1228" s="267" t="s">
        <v>3928</v>
      </c>
      <c r="K1228" s="267">
        <v>6002</v>
      </c>
      <c r="L1228" s="267">
        <v>471400</v>
      </c>
      <c r="M1228" s="267" t="s">
        <v>3943</v>
      </c>
      <c r="N1228" s="267" t="s">
        <v>3944</v>
      </c>
      <c r="O1228" s="267">
        <v>1535</v>
      </c>
      <c r="P1228" s="267" t="s">
        <v>3944</v>
      </c>
      <c r="Q1228" s="267" t="s">
        <v>3944</v>
      </c>
      <c r="R1228" s="267">
        <v>1535</v>
      </c>
      <c r="S1228" s="267">
        <v>16544.39</v>
      </c>
      <c r="T1228" s="267">
        <v>18079.39</v>
      </c>
      <c r="U1228" s="268" t="s">
        <v>3945</v>
      </c>
      <c r="V1228" s="267" t="s">
        <v>944</v>
      </c>
    </row>
    <row r="1229" spans="1:22" hidden="1" x14ac:dyDescent="0.25">
      <c r="A1229" s="269">
        <v>43537</v>
      </c>
      <c r="B1229" s="270">
        <v>2019</v>
      </c>
      <c r="C1229" s="270">
        <v>2019</v>
      </c>
      <c r="D1229" s="270">
        <v>1</v>
      </c>
      <c r="E1229" s="270">
        <v>1</v>
      </c>
      <c r="F1229" s="270" t="s">
        <v>944</v>
      </c>
      <c r="G1229" s="270" t="s">
        <v>3926</v>
      </c>
      <c r="H1229" s="270" t="s">
        <v>5435</v>
      </c>
      <c r="I1229" s="270" t="s">
        <v>3025</v>
      </c>
      <c r="J1229" s="270" t="s">
        <v>3928</v>
      </c>
      <c r="K1229" s="270">
        <v>6473</v>
      </c>
      <c r="L1229" s="270">
        <v>167201</v>
      </c>
      <c r="M1229" s="270" t="s">
        <v>3960</v>
      </c>
      <c r="N1229" s="270" t="s">
        <v>3944</v>
      </c>
      <c r="O1229" s="270">
        <v>3623</v>
      </c>
      <c r="P1229" s="270" t="s">
        <v>3944</v>
      </c>
      <c r="Q1229" s="270" t="s">
        <v>3944</v>
      </c>
      <c r="R1229" s="270">
        <v>3623</v>
      </c>
      <c r="S1229" s="270">
        <v>27107</v>
      </c>
      <c r="T1229" s="270">
        <v>30730</v>
      </c>
      <c r="U1229" s="271" t="s">
        <v>3945</v>
      </c>
      <c r="V1229" s="267" t="s">
        <v>944</v>
      </c>
    </row>
    <row r="1230" spans="1:22" hidden="1" x14ac:dyDescent="0.25">
      <c r="A1230" s="266">
        <v>43537</v>
      </c>
      <c r="B1230" s="267">
        <v>2019</v>
      </c>
      <c r="C1230" s="267">
        <v>2019</v>
      </c>
      <c r="D1230" s="267">
        <v>1</v>
      </c>
      <c r="E1230" s="267">
        <v>1</v>
      </c>
      <c r="F1230" s="267" t="s">
        <v>944</v>
      </c>
      <c r="G1230" s="267" t="s">
        <v>3926</v>
      </c>
      <c r="H1230" s="267" t="s">
        <v>5436</v>
      </c>
      <c r="I1230" s="267" t="s">
        <v>4073</v>
      </c>
      <c r="J1230" s="267" t="s">
        <v>3928</v>
      </c>
      <c r="K1230" s="267">
        <v>6776</v>
      </c>
      <c r="L1230" s="267">
        <v>253600</v>
      </c>
      <c r="M1230" s="267" t="s">
        <v>3940</v>
      </c>
      <c r="N1230" s="267" t="s">
        <v>3944</v>
      </c>
      <c r="O1230" s="267">
        <v>2600</v>
      </c>
      <c r="P1230" s="267" t="s">
        <v>3944</v>
      </c>
      <c r="Q1230" s="267" t="s">
        <v>3944</v>
      </c>
      <c r="R1230" s="267">
        <v>2600</v>
      </c>
      <c r="S1230" s="267">
        <v>24728</v>
      </c>
      <c r="T1230" s="267">
        <v>27328</v>
      </c>
      <c r="U1230" s="268" t="s">
        <v>3945</v>
      </c>
      <c r="V1230" s="267" t="s">
        <v>944</v>
      </c>
    </row>
    <row r="1231" spans="1:22" hidden="1" x14ac:dyDescent="0.25">
      <c r="A1231" s="269">
        <v>43537</v>
      </c>
      <c r="B1231" s="270">
        <v>2019</v>
      </c>
      <c r="C1231" s="270">
        <v>2019</v>
      </c>
      <c r="D1231" s="270">
        <v>1</v>
      </c>
      <c r="E1231" s="270">
        <v>1</v>
      </c>
      <c r="F1231" s="270" t="s">
        <v>944</v>
      </c>
      <c r="G1231" s="270" t="s">
        <v>3926</v>
      </c>
      <c r="H1231" s="270" t="s">
        <v>5437</v>
      </c>
      <c r="I1231" s="270" t="s">
        <v>5147</v>
      </c>
      <c r="J1231" s="270" t="s">
        <v>3928</v>
      </c>
      <c r="K1231" s="270">
        <v>6468</v>
      </c>
      <c r="L1231" s="270">
        <v>100200</v>
      </c>
      <c r="M1231" s="270" t="s">
        <v>3943</v>
      </c>
      <c r="N1231" s="270" t="s">
        <v>3944</v>
      </c>
      <c r="O1231" s="270">
        <v>2146.34</v>
      </c>
      <c r="P1231" s="270" t="s">
        <v>3944</v>
      </c>
      <c r="Q1231" s="270" t="s">
        <v>3944</v>
      </c>
      <c r="R1231" s="270">
        <v>2146.34</v>
      </c>
      <c r="S1231" s="270">
        <v>26077.66</v>
      </c>
      <c r="T1231" s="270">
        <v>28224</v>
      </c>
      <c r="U1231" s="271" t="s">
        <v>3945</v>
      </c>
      <c r="V1231" s="267" t="s">
        <v>944</v>
      </c>
    </row>
    <row r="1232" spans="1:22" hidden="1" x14ac:dyDescent="0.25">
      <c r="A1232" s="266">
        <v>43537</v>
      </c>
      <c r="B1232" s="267">
        <v>2019</v>
      </c>
      <c r="C1232" s="267">
        <v>2019</v>
      </c>
      <c r="D1232" s="267">
        <v>1</v>
      </c>
      <c r="E1232" s="267">
        <v>1</v>
      </c>
      <c r="F1232" s="267" t="s">
        <v>944</v>
      </c>
      <c r="G1232" s="267" t="s">
        <v>3926</v>
      </c>
      <c r="H1232" s="267" t="s">
        <v>5438</v>
      </c>
      <c r="I1232" s="267" t="s">
        <v>4016</v>
      </c>
      <c r="J1232" s="267" t="s">
        <v>3928</v>
      </c>
      <c r="K1232" s="267">
        <v>6770</v>
      </c>
      <c r="L1232" s="267">
        <v>345300</v>
      </c>
      <c r="M1232" s="267" t="s">
        <v>3940</v>
      </c>
      <c r="N1232" s="267" t="s">
        <v>3944</v>
      </c>
      <c r="O1232" s="267">
        <v>1014.37</v>
      </c>
      <c r="P1232" s="267" t="s">
        <v>3944</v>
      </c>
      <c r="Q1232" s="267" t="s">
        <v>3944</v>
      </c>
      <c r="R1232" s="267">
        <v>1014.37</v>
      </c>
      <c r="S1232" s="267">
        <v>13455.21</v>
      </c>
      <c r="T1232" s="267">
        <v>14469.58</v>
      </c>
      <c r="U1232" s="268" t="s">
        <v>3945</v>
      </c>
      <c r="V1232" s="267" t="s">
        <v>944</v>
      </c>
    </row>
    <row r="1233" spans="1:22" x14ac:dyDescent="0.25">
      <c r="A1233" s="269">
        <v>43537</v>
      </c>
      <c r="B1233" s="270">
        <v>2019</v>
      </c>
      <c r="C1233" s="270">
        <v>2019</v>
      </c>
      <c r="D1233" s="270">
        <v>1</v>
      </c>
      <c r="E1233" s="270">
        <v>1</v>
      </c>
      <c r="F1233" s="270" t="s">
        <v>944</v>
      </c>
      <c r="G1233" s="270" t="s">
        <v>3926</v>
      </c>
      <c r="H1233" s="270" t="s">
        <v>5439</v>
      </c>
      <c r="I1233" s="270" t="s">
        <v>943</v>
      </c>
      <c r="J1233" s="270" t="s">
        <v>3928</v>
      </c>
      <c r="K1233" s="270">
        <v>6513</v>
      </c>
      <c r="L1233" s="270">
        <v>142603</v>
      </c>
      <c r="M1233" s="270">
        <v>-60</v>
      </c>
      <c r="N1233" s="270" t="s">
        <v>3944</v>
      </c>
      <c r="O1233" s="270">
        <v>1779.68</v>
      </c>
      <c r="P1233" s="270" t="s">
        <v>3944</v>
      </c>
      <c r="Q1233" s="270" t="s">
        <v>3944</v>
      </c>
      <c r="R1233" s="270">
        <v>1779.68</v>
      </c>
      <c r="S1233" s="270">
        <v>26668.49</v>
      </c>
      <c r="T1233" s="270">
        <v>28448.17</v>
      </c>
      <c r="U1233" s="271" t="s">
        <v>3945</v>
      </c>
      <c r="V1233" s="276" t="s">
        <v>936</v>
      </c>
    </row>
    <row r="1234" spans="1:22" hidden="1" x14ac:dyDescent="0.25">
      <c r="A1234" s="266">
        <v>43537</v>
      </c>
      <c r="B1234" s="267">
        <v>2019</v>
      </c>
      <c r="C1234" s="267">
        <v>2019</v>
      </c>
      <c r="D1234" s="267">
        <v>1</v>
      </c>
      <c r="E1234" s="267">
        <v>1</v>
      </c>
      <c r="F1234" s="267" t="s">
        <v>944</v>
      </c>
      <c r="G1234" s="267" t="s">
        <v>3926</v>
      </c>
      <c r="H1234" s="267" t="s">
        <v>5440</v>
      </c>
      <c r="I1234" s="267" t="s">
        <v>5010</v>
      </c>
      <c r="J1234" s="267" t="s">
        <v>3928</v>
      </c>
      <c r="K1234" s="267">
        <v>6365</v>
      </c>
      <c r="L1234" s="267">
        <v>700100</v>
      </c>
      <c r="M1234" s="267" t="s">
        <v>3935</v>
      </c>
      <c r="N1234" s="267" t="s">
        <v>3944</v>
      </c>
      <c r="O1234" s="267">
        <v>1451.35</v>
      </c>
      <c r="P1234" s="267" t="s">
        <v>3944</v>
      </c>
      <c r="Q1234" s="267" t="s">
        <v>3944</v>
      </c>
      <c r="R1234" s="267">
        <v>1451.35</v>
      </c>
      <c r="S1234" s="267">
        <v>21486.1</v>
      </c>
      <c r="T1234" s="267">
        <v>22937.45</v>
      </c>
      <c r="U1234" s="268" t="s">
        <v>3945</v>
      </c>
      <c r="V1234" s="267" t="s">
        <v>944</v>
      </c>
    </row>
    <row r="1235" spans="1:22" hidden="1" x14ac:dyDescent="0.25">
      <c r="A1235" s="269">
        <v>43537</v>
      </c>
      <c r="B1235" s="270">
        <v>2019</v>
      </c>
      <c r="C1235" s="270">
        <v>2019</v>
      </c>
      <c r="D1235" s="270">
        <v>1</v>
      </c>
      <c r="E1235" s="270">
        <v>1</v>
      </c>
      <c r="F1235" s="270" t="s">
        <v>944</v>
      </c>
      <c r="G1235" s="270" t="s">
        <v>3926</v>
      </c>
      <c r="H1235" s="270" t="s">
        <v>5441</v>
      </c>
      <c r="I1235" s="270" t="s">
        <v>4005</v>
      </c>
      <c r="J1235" s="270" t="s">
        <v>3928</v>
      </c>
      <c r="K1235" s="270">
        <v>6108</v>
      </c>
      <c r="L1235" s="270">
        <v>511400</v>
      </c>
      <c r="M1235" s="270" t="s">
        <v>3935</v>
      </c>
      <c r="N1235" s="270" t="s">
        <v>3944</v>
      </c>
      <c r="O1235" s="270">
        <v>1783.81</v>
      </c>
      <c r="P1235" s="270" t="s">
        <v>3944</v>
      </c>
      <c r="Q1235" s="270" t="s">
        <v>3944</v>
      </c>
      <c r="R1235" s="270">
        <v>1783.81</v>
      </c>
      <c r="S1235" s="270">
        <v>24296.59</v>
      </c>
      <c r="T1235" s="270">
        <v>26080.400000000001</v>
      </c>
      <c r="U1235" s="271" t="s">
        <v>3945</v>
      </c>
      <c r="V1235" s="267" t="s">
        <v>944</v>
      </c>
    </row>
    <row r="1236" spans="1:22" hidden="1" x14ac:dyDescent="0.25">
      <c r="A1236" s="266">
        <v>43537</v>
      </c>
      <c r="B1236" s="267">
        <v>2019</v>
      </c>
      <c r="C1236" s="267">
        <v>2019</v>
      </c>
      <c r="D1236" s="267">
        <v>1</v>
      </c>
      <c r="E1236" s="267">
        <v>1</v>
      </c>
      <c r="F1236" s="267" t="s">
        <v>944</v>
      </c>
      <c r="G1236" s="267" t="s">
        <v>3926</v>
      </c>
      <c r="H1236" s="267" t="s">
        <v>5442</v>
      </c>
      <c r="I1236" s="267" t="s">
        <v>3975</v>
      </c>
      <c r="J1236" s="267" t="s">
        <v>3928</v>
      </c>
      <c r="K1236" s="267">
        <v>6489</v>
      </c>
      <c r="L1236" s="267">
        <v>430100</v>
      </c>
      <c r="M1236" s="267" t="s">
        <v>3935</v>
      </c>
      <c r="N1236" s="267" t="s">
        <v>3944</v>
      </c>
      <c r="O1236" s="267">
        <v>2143.02</v>
      </c>
      <c r="P1236" s="267" t="s">
        <v>3944</v>
      </c>
      <c r="Q1236" s="267" t="s">
        <v>3944</v>
      </c>
      <c r="R1236" s="267">
        <v>2143.02</v>
      </c>
      <c r="S1236" s="267">
        <v>26351.759999999998</v>
      </c>
      <c r="T1236" s="267">
        <v>28494.78</v>
      </c>
      <c r="U1236" s="268" t="s">
        <v>3945</v>
      </c>
      <c r="V1236" s="267" t="s">
        <v>944</v>
      </c>
    </row>
    <row r="1237" spans="1:22" hidden="1" x14ac:dyDescent="0.25">
      <c r="A1237" s="269">
        <v>43537</v>
      </c>
      <c r="B1237" s="270">
        <v>2019</v>
      </c>
      <c r="C1237" s="270">
        <v>2019</v>
      </c>
      <c r="D1237" s="270">
        <v>1</v>
      </c>
      <c r="E1237" s="270">
        <v>1</v>
      </c>
      <c r="F1237" s="270" t="s">
        <v>944</v>
      </c>
      <c r="G1237" s="270" t="s">
        <v>3926</v>
      </c>
      <c r="H1237" s="270" t="s">
        <v>5443</v>
      </c>
      <c r="I1237" s="270" t="s">
        <v>3025</v>
      </c>
      <c r="J1237" s="270" t="s">
        <v>3928</v>
      </c>
      <c r="K1237" s="270">
        <v>6473</v>
      </c>
      <c r="L1237" s="270">
        <v>167100</v>
      </c>
      <c r="M1237" s="270" t="s">
        <v>3943</v>
      </c>
      <c r="N1237" s="270" t="s">
        <v>3944</v>
      </c>
      <c r="O1237" s="270">
        <v>2067.73</v>
      </c>
      <c r="P1237" s="270" t="s">
        <v>3944</v>
      </c>
      <c r="Q1237" s="270" t="s">
        <v>3944</v>
      </c>
      <c r="R1237" s="270">
        <v>2067.73</v>
      </c>
      <c r="S1237" s="270">
        <v>31437.98</v>
      </c>
      <c r="T1237" s="270">
        <v>33505.71</v>
      </c>
      <c r="U1237" s="271" t="s">
        <v>3945</v>
      </c>
      <c r="V1237" s="267" t="s">
        <v>944</v>
      </c>
    </row>
    <row r="1238" spans="1:22" hidden="1" x14ac:dyDescent="0.25">
      <c r="A1238" s="266">
        <v>43537</v>
      </c>
      <c r="B1238" s="267">
        <v>2019</v>
      </c>
      <c r="C1238" s="267">
        <v>2019</v>
      </c>
      <c r="D1238" s="267">
        <v>1</v>
      </c>
      <c r="E1238" s="267">
        <v>1</v>
      </c>
      <c r="F1238" s="267" t="s">
        <v>944</v>
      </c>
      <c r="G1238" s="267" t="s">
        <v>3926</v>
      </c>
      <c r="H1238" s="267" t="s">
        <v>5444</v>
      </c>
      <c r="I1238" s="267" t="s">
        <v>4040</v>
      </c>
      <c r="J1238" s="267" t="s">
        <v>3928</v>
      </c>
      <c r="K1238" s="267">
        <v>6339</v>
      </c>
      <c r="L1238" s="267">
        <v>701100</v>
      </c>
      <c r="M1238" s="267" t="s">
        <v>3960</v>
      </c>
      <c r="N1238" s="267" t="s">
        <v>3944</v>
      </c>
      <c r="O1238" s="267">
        <v>1946</v>
      </c>
      <c r="P1238" s="267" t="s">
        <v>3944</v>
      </c>
      <c r="Q1238" s="267" t="s">
        <v>3944</v>
      </c>
      <c r="R1238" s="267">
        <v>1946</v>
      </c>
      <c r="S1238" s="267">
        <v>28373.74</v>
      </c>
      <c r="T1238" s="267">
        <v>30319.74</v>
      </c>
      <c r="U1238" s="268" t="s">
        <v>3945</v>
      </c>
      <c r="V1238" s="267" t="s">
        <v>944</v>
      </c>
    </row>
    <row r="1239" spans="1:22" hidden="1" x14ac:dyDescent="0.25">
      <c r="A1239" s="269">
        <v>43537</v>
      </c>
      <c r="B1239" s="270">
        <v>2019</v>
      </c>
      <c r="C1239" s="270">
        <v>2019</v>
      </c>
      <c r="D1239" s="270">
        <v>1</v>
      </c>
      <c r="E1239" s="270">
        <v>1</v>
      </c>
      <c r="F1239" s="270" t="s">
        <v>944</v>
      </c>
      <c r="G1239" s="270" t="s">
        <v>3926</v>
      </c>
      <c r="H1239" s="270" t="s">
        <v>5445</v>
      </c>
      <c r="I1239" s="270" t="s">
        <v>4548</v>
      </c>
      <c r="J1239" s="270" t="s">
        <v>3928</v>
      </c>
      <c r="K1239" s="270">
        <v>6037</v>
      </c>
      <c r="L1239" s="270">
        <v>400100</v>
      </c>
      <c r="M1239" s="270" t="s">
        <v>3935</v>
      </c>
      <c r="N1239" s="270" t="s">
        <v>3944</v>
      </c>
      <c r="O1239" s="270">
        <v>2128.91</v>
      </c>
      <c r="P1239" s="270" t="s">
        <v>3944</v>
      </c>
      <c r="Q1239" s="270" t="s">
        <v>3944</v>
      </c>
      <c r="R1239" s="270">
        <v>2128.91</v>
      </c>
      <c r="S1239" s="270">
        <v>33618.129999999997</v>
      </c>
      <c r="T1239" s="270">
        <v>35747.040000000001</v>
      </c>
      <c r="U1239" s="271" t="s">
        <v>3945</v>
      </c>
      <c r="V1239" s="267" t="s">
        <v>944</v>
      </c>
    </row>
    <row r="1240" spans="1:22" hidden="1" x14ac:dyDescent="0.25">
      <c r="A1240" s="266">
        <v>43537</v>
      </c>
      <c r="B1240" s="267">
        <v>2019</v>
      </c>
      <c r="C1240" s="267">
        <v>2019</v>
      </c>
      <c r="D1240" s="267">
        <v>1</v>
      </c>
      <c r="E1240" s="267">
        <v>1</v>
      </c>
      <c r="F1240" s="267" t="s">
        <v>944</v>
      </c>
      <c r="G1240" s="267" t="s">
        <v>3926</v>
      </c>
      <c r="H1240" s="267" t="s">
        <v>5446</v>
      </c>
      <c r="I1240" s="267" t="s">
        <v>4213</v>
      </c>
      <c r="J1240" s="267" t="s">
        <v>3928</v>
      </c>
      <c r="K1240" s="267">
        <v>6053</v>
      </c>
      <c r="L1240" s="267">
        <v>416800</v>
      </c>
      <c r="M1240" s="267" t="s">
        <v>3940</v>
      </c>
      <c r="N1240" s="267" t="s">
        <v>3944</v>
      </c>
      <c r="O1240" s="267">
        <v>1282.54</v>
      </c>
      <c r="P1240" s="267" t="s">
        <v>3944</v>
      </c>
      <c r="Q1240" s="267" t="s">
        <v>3944</v>
      </c>
      <c r="R1240" s="267">
        <v>1282.54</v>
      </c>
      <c r="S1240" s="267">
        <v>18877.46</v>
      </c>
      <c r="T1240" s="267">
        <v>20160</v>
      </c>
      <c r="U1240" s="268" t="s">
        <v>3945</v>
      </c>
      <c r="V1240" s="267" t="s">
        <v>944</v>
      </c>
    </row>
    <row r="1241" spans="1:22" x14ac:dyDescent="0.25">
      <c r="A1241" s="269">
        <v>43537</v>
      </c>
      <c r="B1241" s="270">
        <v>2019</v>
      </c>
      <c r="C1241" s="270">
        <v>2019</v>
      </c>
      <c r="D1241" s="270">
        <v>1</v>
      </c>
      <c r="E1241" s="270">
        <v>1</v>
      </c>
      <c r="F1241" s="270" t="s">
        <v>944</v>
      </c>
      <c r="G1241" s="270" t="s">
        <v>3926</v>
      </c>
      <c r="H1241" s="270" t="s">
        <v>5447</v>
      </c>
      <c r="I1241" s="270" t="s">
        <v>943</v>
      </c>
      <c r="J1241" s="270" t="s">
        <v>3928</v>
      </c>
      <c r="K1241" s="270">
        <v>6513</v>
      </c>
      <c r="L1241" s="270">
        <v>142603</v>
      </c>
      <c r="M1241" s="270">
        <v>-60</v>
      </c>
      <c r="N1241" s="270" t="s">
        <v>3944</v>
      </c>
      <c r="O1241" s="270">
        <v>883.51</v>
      </c>
      <c r="P1241" s="270" t="s">
        <v>3944</v>
      </c>
      <c r="Q1241" s="270" t="s">
        <v>3944</v>
      </c>
      <c r="R1241" s="270">
        <v>883.51</v>
      </c>
      <c r="S1241" s="270">
        <v>13814.53</v>
      </c>
      <c r="T1241" s="270">
        <v>14698.04</v>
      </c>
      <c r="U1241" s="271" t="s">
        <v>3945</v>
      </c>
      <c r="V1241" s="276" t="s">
        <v>936</v>
      </c>
    </row>
    <row r="1242" spans="1:22" hidden="1" x14ac:dyDescent="0.25">
      <c r="A1242" s="266">
        <v>43537</v>
      </c>
      <c r="B1242" s="267">
        <v>2019</v>
      </c>
      <c r="C1242" s="267">
        <v>2019</v>
      </c>
      <c r="D1242" s="267">
        <v>1</v>
      </c>
      <c r="E1242" s="267">
        <v>1</v>
      </c>
      <c r="F1242" s="267" t="s">
        <v>944</v>
      </c>
      <c r="G1242" s="267" t="s">
        <v>3926</v>
      </c>
      <c r="H1242" s="267" t="s">
        <v>5448</v>
      </c>
      <c r="I1242" s="267" t="s">
        <v>956</v>
      </c>
      <c r="J1242" s="267" t="s">
        <v>3928</v>
      </c>
      <c r="K1242" s="267">
        <v>6614</v>
      </c>
      <c r="L1242" s="267">
        <v>80900</v>
      </c>
      <c r="M1242" s="267" t="s">
        <v>3960</v>
      </c>
      <c r="N1242" s="267" t="s">
        <v>3944</v>
      </c>
      <c r="O1242" s="267">
        <v>1661.45</v>
      </c>
      <c r="P1242" s="267" t="s">
        <v>3944</v>
      </c>
      <c r="Q1242" s="267" t="s">
        <v>3944</v>
      </c>
      <c r="R1242" s="267">
        <v>1661.45</v>
      </c>
      <c r="S1242" s="267">
        <v>25669.919999999998</v>
      </c>
      <c r="T1242" s="267">
        <v>27331.37</v>
      </c>
      <c r="U1242" s="268" t="s">
        <v>3945</v>
      </c>
      <c r="V1242" s="267" t="s">
        <v>944</v>
      </c>
    </row>
    <row r="1243" spans="1:22" hidden="1" x14ac:dyDescent="0.25">
      <c r="A1243" s="269">
        <v>43537</v>
      </c>
      <c r="B1243" s="270">
        <v>2019</v>
      </c>
      <c r="C1243" s="270">
        <v>2019</v>
      </c>
      <c r="D1243" s="270">
        <v>1</v>
      </c>
      <c r="E1243" s="270">
        <v>1</v>
      </c>
      <c r="F1243" s="270" t="s">
        <v>944</v>
      </c>
      <c r="G1243" s="270" t="s">
        <v>3926</v>
      </c>
      <c r="H1243" s="270" t="s">
        <v>5449</v>
      </c>
      <c r="I1243" s="270" t="s">
        <v>4213</v>
      </c>
      <c r="J1243" s="270" t="s">
        <v>3928</v>
      </c>
      <c r="K1243" s="270">
        <v>6052</v>
      </c>
      <c r="L1243" s="270">
        <v>416400</v>
      </c>
      <c r="M1243" s="270" t="s">
        <v>3960</v>
      </c>
      <c r="N1243" s="270" t="s">
        <v>3944</v>
      </c>
      <c r="O1243" s="270">
        <v>1431.85</v>
      </c>
      <c r="P1243" s="270" t="s">
        <v>3944</v>
      </c>
      <c r="Q1243" s="270" t="s">
        <v>3944</v>
      </c>
      <c r="R1243" s="270">
        <v>1431.85</v>
      </c>
      <c r="S1243" s="270">
        <v>22958.32</v>
      </c>
      <c r="T1243" s="270">
        <v>24390.17</v>
      </c>
      <c r="U1243" s="271" t="s">
        <v>3945</v>
      </c>
      <c r="V1243" s="267" t="s">
        <v>944</v>
      </c>
    </row>
    <row r="1244" spans="1:22" hidden="1" x14ac:dyDescent="0.25">
      <c r="A1244" s="266">
        <v>43537</v>
      </c>
      <c r="B1244" s="267">
        <v>2019</v>
      </c>
      <c r="C1244" s="267">
        <v>2019</v>
      </c>
      <c r="D1244" s="267">
        <v>1</v>
      </c>
      <c r="E1244" s="267">
        <v>1</v>
      </c>
      <c r="F1244" s="267" t="s">
        <v>944</v>
      </c>
      <c r="G1244" s="267" t="s">
        <v>3926</v>
      </c>
      <c r="H1244" s="267" t="s">
        <v>5450</v>
      </c>
      <c r="I1244" s="267" t="s">
        <v>3956</v>
      </c>
      <c r="J1244" s="267" t="s">
        <v>3928</v>
      </c>
      <c r="K1244" s="267">
        <v>6114</v>
      </c>
      <c r="L1244" s="267">
        <v>504800</v>
      </c>
      <c r="M1244" s="267" t="s">
        <v>3940</v>
      </c>
      <c r="N1244" s="267" t="s">
        <v>3944</v>
      </c>
      <c r="O1244" s="267">
        <v>2914.14</v>
      </c>
      <c r="P1244" s="267" t="s">
        <v>3944</v>
      </c>
      <c r="Q1244" s="267" t="s">
        <v>3944</v>
      </c>
      <c r="R1244" s="267">
        <v>2914.14</v>
      </c>
      <c r="S1244" s="267">
        <v>36775.86</v>
      </c>
      <c r="T1244" s="267">
        <v>39690</v>
      </c>
      <c r="U1244" s="268" t="s">
        <v>3945</v>
      </c>
      <c r="V1244" s="267" t="s">
        <v>944</v>
      </c>
    </row>
    <row r="1245" spans="1:22" hidden="1" x14ac:dyDescent="0.25">
      <c r="A1245" s="269">
        <v>43537</v>
      </c>
      <c r="B1245" s="270">
        <v>2019</v>
      </c>
      <c r="C1245" s="270">
        <v>2019</v>
      </c>
      <c r="D1245" s="270">
        <v>1</v>
      </c>
      <c r="E1245" s="270">
        <v>1</v>
      </c>
      <c r="F1245" s="270" t="s">
        <v>944</v>
      </c>
      <c r="G1245" s="270" t="s">
        <v>3926</v>
      </c>
      <c r="H1245" s="270" t="s">
        <v>5451</v>
      </c>
      <c r="I1245" s="270" t="s">
        <v>3975</v>
      </c>
      <c r="J1245" s="270" t="s">
        <v>3928</v>
      </c>
      <c r="K1245" s="270">
        <v>6489</v>
      </c>
      <c r="L1245" s="270">
        <v>430602</v>
      </c>
      <c r="M1245" s="270" t="s">
        <v>3960</v>
      </c>
      <c r="N1245" s="270" t="s">
        <v>3944</v>
      </c>
      <c r="O1245" s="270">
        <v>2252.11</v>
      </c>
      <c r="P1245" s="270" t="s">
        <v>3944</v>
      </c>
      <c r="Q1245" s="270" t="s">
        <v>3944</v>
      </c>
      <c r="R1245" s="270">
        <v>2252.11</v>
      </c>
      <c r="S1245" s="270">
        <v>31070.42</v>
      </c>
      <c r="T1245" s="270">
        <v>33322.53</v>
      </c>
      <c r="U1245" s="271" t="s">
        <v>3945</v>
      </c>
      <c r="V1245" s="267" t="s">
        <v>944</v>
      </c>
    </row>
    <row r="1246" spans="1:22" hidden="1" x14ac:dyDescent="0.25">
      <c r="A1246" s="266">
        <v>43537</v>
      </c>
      <c r="B1246" s="267">
        <v>2019</v>
      </c>
      <c r="C1246" s="267">
        <v>2019</v>
      </c>
      <c r="D1246" s="267">
        <v>1</v>
      </c>
      <c r="E1246" s="267">
        <v>1</v>
      </c>
      <c r="F1246" s="267" t="s">
        <v>944</v>
      </c>
      <c r="G1246" s="267" t="s">
        <v>3926</v>
      </c>
      <c r="H1246" s="267" t="s">
        <v>5452</v>
      </c>
      <c r="I1246" s="267" t="s">
        <v>3010</v>
      </c>
      <c r="J1246" s="267" t="s">
        <v>3928</v>
      </c>
      <c r="K1246" s="267">
        <v>6401</v>
      </c>
      <c r="L1246" s="267">
        <v>125100</v>
      </c>
      <c r="M1246" s="267" t="s">
        <v>3960</v>
      </c>
      <c r="N1246" s="267" t="s">
        <v>3944</v>
      </c>
      <c r="O1246" s="267">
        <v>1961.75</v>
      </c>
      <c r="P1246" s="267" t="s">
        <v>3944</v>
      </c>
      <c r="Q1246" s="267" t="s">
        <v>3944</v>
      </c>
      <c r="R1246" s="267">
        <v>1961.75</v>
      </c>
      <c r="S1246" s="267">
        <v>25318.240000000002</v>
      </c>
      <c r="T1246" s="267">
        <v>27279.99</v>
      </c>
      <c r="U1246" s="268" t="s">
        <v>3945</v>
      </c>
      <c r="V1246" s="267" t="s">
        <v>944</v>
      </c>
    </row>
    <row r="1247" spans="1:22" hidden="1" x14ac:dyDescent="0.25">
      <c r="A1247" s="269">
        <v>43537</v>
      </c>
      <c r="B1247" s="270">
        <v>2019</v>
      </c>
      <c r="C1247" s="270">
        <v>2019</v>
      </c>
      <c r="D1247" s="270">
        <v>1</v>
      </c>
      <c r="E1247" s="270">
        <v>1</v>
      </c>
      <c r="F1247" s="270" t="s">
        <v>944</v>
      </c>
      <c r="G1247" s="270" t="s">
        <v>3926</v>
      </c>
      <c r="H1247" s="270" t="s">
        <v>5453</v>
      </c>
      <c r="I1247" s="270" t="s">
        <v>3996</v>
      </c>
      <c r="J1247" s="270" t="s">
        <v>3928</v>
      </c>
      <c r="K1247" s="270">
        <v>6790</v>
      </c>
      <c r="L1247" s="270">
        <v>310100</v>
      </c>
      <c r="M1247" s="270" t="s">
        <v>3940</v>
      </c>
      <c r="N1247" s="270" t="s">
        <v>3944</v>
      </c>
      <c r="O1247" s="270">
        <v>1154.3699999999999</v>
      </c>
      <c r="P1247" s="270" t="s">
        <v>3944</v>
      </c>
      <c r="Q1247" s="270" t="s">
        <v>3944</v>
      </c>
      <c r="R1247" s="270">
        <v>1154.3699999999999</v>
      </c>
      <c r="S1247" s="270">
        <v>14579.54</v>
      </c>
      <c r="T1247" s="270">
        <v>15733.91</v>
      </c>
      <c r="U1247" s="271" t="s">
        <v>3945</v>
      </c>
      <c r="V1247" s="267" t="s">
        <v>944</v>
      </c>
    </row>
    <row r="1248" spans="1:22" hidden="1" x14ac:dyDescent="0.25">
      <c r="A1248" s="266">
        <v>43537</v>
      </c>
      <c r="B1248" s="267">
        <v>2019</v>
      </c>
      <c r="C1248" s="267">
        <v>2019</v>
      </c>
      <c r="D1248" s="267">
        <v>1</v>
      </c>
      <c r="E1248" s="267">
        <v>1</v>
      </c>
      <c r="F1248" s="267" t="s">
        <v>944</v>
      </c>
      <c r="G1248" s="267" t="s">
        <v>3926</v>
      </c>
      <c r="H1248" s="267" t="s">
        <v>5454</v>
      </c>
      <c r="I1248" s="267" t="s">
        <v>950</v>
      </c>
      <c r="J1248" s="267" t="s">
        <v>3928</v>
      </c>
      <c r="K1248" s="267">
        <v>6516</v>
      </c>
      <c r="L1248" s="267">
        <v>154100</v>
      </c>
      <c r="M1248" s="267" t="s">
        <v>3940</v>
      </c>
      <c r="N1248" s="267" t="s">
        <v>3944</v>
      </c>
      <c r="O1248" s="267">
        <v>976.85</v>
      </c>
      <c r="P1248" s="267" t="s">
        <v>3944</v>
      </c>
      <c r="Q1248" s="267" t="s">
        <v>3944</v>
      </c>
      <c r="R1248" s="267">
        <v>976.85</v>
      </c>
      <c r="S1248" s="267">
        <v>14439.7</v>
      </c>
      <c r="T1248" s="267">
        <v>15416.55</v>
      </c>
      <c r="U1248" s="268" t="s">
        <v>3945</v>
      </c>
      <c r="V1248" s="267" t="s">
        <v>944</v>
      </c>
    </row>
    <row r="1249" spans="1:22" hidden="1" x14ac:dyDescent="0.25">
      <c r="A1249" s="269">
        <v>43537</v>
      </c>
      <c r="B1249" s="270">
        <v>2019</v>
      </c>
      <c r="C1249" s="270">
        <v>2019</v>
      </c>
      <c r="D1249" s="270">
        <v>1</v>
      </c>
      <c r="E1249" s="270">
        <v>1</v>
      </c>
      <c r="F1249" s="270" t="s">
        <v>944</v>
      </c>
      <c r="G1249" s="270" t="s">
        <v>3926</v>
      </c>
      <c r="H1249" s="270" t="s">
        <v>5455</v>
      </c>
      <c r="I1249" s="270" t="s">
        <v>4065</v>
      </c>
      <c r="J1249" s="270" t="s">
        <v>3928</v>
      </c>
      <c r="K1249" s="270">
        <v>6480</v>
      </c>
      <c r="L1249" s="270">
        <v>560200</v>
      </c>
      <c r="M1249" s="270" t="s">
        <v>3935</v>
      </c>
      <c r="N1249" s="270" t="s">
        <v>3944</v>
      </c>
      <c r="O1249" s="270">
        <v>2142.21</v>
      </c>
      <c r="P1249" s="270" t="s">
        <v>3944</v>
      </c>
      <c r="Q1249" s="270" t="s">
        <v>3944</v>
      </c>
      <c r="R1249" s="270">
        <v>2142.21</v>
      </c>
      <c r="S1249" s="270">
        <v>34208.17</v>
      </c>
      <c r="T1249" s="270">
        <v>36350.379999999997</v>
      </c>
      <c r="U1249" s="271" t="s">
        <v>3945</v>
      </c>
      <c r="V1249" s="267" t="s">
        <v>944</v>
      </c>
    </row>
    <row r="1250" spans="1:22" hidden="1" x14ac:dyDescent="0.25">
      <c r="A1250" s="266">
        <v>43537</v>
      </c>
      <c r="B1250" s="267">
        <v>2019</v>
      </c>
      <c r="C1250" s="267">
        <v>2019</v>
      </c>
      <c r="D1250" s="267">
        <v>1</v>
      </c>
      <c r="E1250" s="267">
        <v>1</v>
      </c>
      <c r="F1250" s="267" t="s">
        <v>944</v>
      </c>
      <c r="G1250" s="267" t="s">
        <v>3926</v>
      </c>
      <c r="H1250" s="267" t="s">
        <v>5456</v>
      </c>
      <c r="I1250" s="267" t="s">
        <v>950</v>
      </c>
      <c r="J1250" s="267" t="s">
        <v>3928</v>
      </c>
      <c r="K1250" s="267">
        <v>6516</v>
      </c>
      <c r="L1250" s="267">
        <v>154600</v>
      </c>
      <c r="M1250" s="267">
        <v>-60</v>
      </c>
      <c r="N1250" s="267" t="s">
        <v>3944</v>
      </c>
      <c r="O1250" s="267">
        <v>1836.91</v>
      </c>
      <c r="P1250" s="267" t="s">
        <v>3944</v>
      </c>
      <c r="Q1250" s="267" t="s">
        <v>3944</v>
      </c>
      <c r="R1250" s="267">
        <v>1836.91</v>
      </c>
      <c r="S1250" s="267">
        <v>26462.04</v>
      </c>
      <c r="T1250" s="267">
        <v>28298.95</v>
      </c>
      <c r="U1250" s="268" t="s">
        <v>3945</v>
      </c>
      <c r="V1250" s="267" t="s">
        <v>944</v>
      </c>
    </row>
    <row r="1251" spans="1:22" hidden="1" x14ac:dyDescent="0.25">
      <c r="A1251" s="269">
        <v>43537</v>
      </c>
      <c r="B1251" s="270">
        <v>2019</v>
      </c>
      <c r="C1251" s="270">
        <v>2019</v>
      </c>
      <c r="D1251" s="270">
        <v>1</v>
      </c>
      <c r="E1251" s="270">
        <v>1</v>
      </c>
      <c r="F1251" s="270" t="s">
        <v>944</v>
      </c>
      <c r="G1251" s="270" t="s">
        <v>3926</v>
      </c>
      <c r="H1251" s="270" t="s">
        <v>5457</v>
      </c>
      <c r="I1251" s="270" t="s">
        <v>956</v>
      </c>
      <c r="J1251" s="270" t="s">
        <v>3928</v>
      </c>
      <c r="K1251" s="270">
        <v>6614</v>
      </c>
      <c r="L1251" s="270">
        <v>81200</v>
      </c>
      <c r="M1251" s="270" t="s">
        <v>3943</v>
      </c>
      <c r="N1251" s="270" t="s">
        <v>3944</v>
      </c>
      <c r="O1251" s="270">
        <v>4671.17</v>
      </c>
      <c r="P1251" s="270" t="s">
        <v>3944</v>
      </c>
      <c r="Q1251" s="270" t="s">
        <v>3944</v>
      </c>
      <c r="R1251" s="270">
        <v>4671.17</v>
      </c>
      <c r="S1251" s="270">
        <v>78117.490000000005</v>
      </c>
      <c r="T1251" s="270">
        <v>82788.66</v>
      </c>
      <c r="U1251" s="271" t="s">
        <v>3945</v>
      </c>
      <c r="V1251" s="267" t="s">
        <v>944</v>
      </c>
    </row>
    <row r="1252" spans="1:22" hidden="1" x14ac:dyDescent="0.25">
      <c r="A1252" s="266">
        <v>43537</v>
      </c>
      <c r="B1252" s="267">
        <v>2019</v>
      </c>
      <c r="C1252" s="267">
        <v>2019</v>
      </c>
      <c r="D1252" s="267">
        <v>1</v>
      </c>
      <c r="E1252" s="267">
        <v>1</v>
      </c>
      <c r="F1252" s="267" t="s">
        <v>944</v>
      </c>
      <c r="G1252" s="267" t="s">
        <v>3926</v>
      </c>
      <c r="H1252" s="267" t="s">
        <v>5458</v>
      </c>
      <c r="I1252" s="267" t="s">
        <v>4424</v>
      </c>
      <c r="J1252" s="267" t="s">
        <v>3928</v>
      </c>
      <c r="K1252" s="267">
        <v>6417</v>
      </c>
      <c r="L1252" s="267">
        <v>620100</v>
      </c>
      <c r="M1252" s="267" t="s">
        <v>3935</v>
      </c>
      <c r="N1252" s="267" t="s">
        <v>3944</v>
      </c>
      <c r="O1252" s="267">
        <v>1410.92</v>
      </c>
      <c r="P1252" s="267" t="s">
        <v>3944</v>
      </c>
      <c r="Q1252" s="267" t="s">
        <v>3944</v>
      </c>
      <c r="R1252" s="267">
        <v>1410.92</v>
      </c>
      <c r="S1252" s="267">
        <v>20862.63</v>
      </c>
      <c r="T1252" s="267">
        <v>22273.55</v>
      </c>
      <c r="U1252" s="268" t="s">
        <v>3945</v>
      </c>
      <c r="V1252" s="267" t="s">
        <v>944</v>
      </c>
    </row>
    <row r="1253" spans="1:22" hidden="1" x14ac:dyDescent="0.25">
      <c r="A1253" s="269">
        <v>43537</v>
      </c>
      <c r="B1253" s="270">
        <v>2019</v>
      </c>
      <c r="C1253" s="270">
        <v>2019</v>
      </c>
      <c r="D1253" s="270">
        <v>1</v>
      </c>
      <c r="E1253" s="270">
        <v>1</v>
      </c>
      <c r="F1253" s="270" t="s">
        <v>944</v>
      </c>
      <c r="G1253" s="270" t="s">
        <v>3926</v>
      </c>
      <c r="H1253" s="270" t="s">
        <v>5459</v>
      </c>
      <c r="I1253" s="270" t="s">
        <v>4040</v>
      </c>
      <c r="J1253" s="270" t="s">
        <v>3928</v>
      </c>
      <c r="K1253" s="270">
        <v>6339</v>
      </c>
      <c r="L1253" s="270">
        <v>701100</v>
      </c>
      <c r="M1253" s="270" t="s">
        <v>3960</v>
      </c>
      <c r="N1253" s="270" t="s">
        <v>3944</v>
      </c>
      <c r="O1253" s="270">
        <v>1274.8800000000001</v>
      </c>
      <c r="P1253" s="270" t="s">
        <v>3944</v>
      </c>
      <c r="Q1253" s="270" t="s">
        <v>3944</v>
      </c>
      <c r="R1253" s="270">
        <v>1274.8800000000001</v>
      </c>
      <c r="S1253" s="270">
        <v>19099.07</v>
      </c>
      <c r="T1253" s="270">
        <v>20373.95</v>
      </c>
      <c r="U1253" s="271" t="s">
        <v>3945</v>
      </c>
      <c r="V1253" s="267" t="s">
        <v>944</v>
      </c>
    </row>
    <row r="1254" spans="1:22" hidden="1" x14ac:dyDescent="0.25">
      <c r="A1254" s="266">
        <v>43537</v>
      </c>
      <c r="B1254" s="267">
        <v>2019</v>
      </c>
      <c r="C1254" s="267">
        <v>2019</v>
      </c>
      <c r="D1254" s="267">
        <v>1</v>
      </c>
      <c r="E1254" s="267">
        <v>1</v>
      </c>
      <c r="F1254" s="267" t="s">
        <v>944</v>
      </c>
      <c r="G1254" s="267" t="s">
        <v>3926</v>
      </c>
      <c r="H1254" s="267" t="s">
        <v>5460</v>
      </c>
      <c r="I1254" s="267" t="s">
        <v>953</v>
      </c>
      <c r="J1254" s="267" t="s">
        <v>3928</v>
      </c>
      <c r="K1254" s="267">
        <v>6517</v>
      </c>
      <c r="L1254" s="267">
        <v>165400</v>
      </c>
      <c r="M1254" s="267" t="s">
        <v>3935</v>
      </c>
      <c r="N1254" s="267" t="s">
        <v>3944</v>
      </c>
      <c r="O1254" s="267">
        <v>1279.43</v>
      </c>
      <c r="P1254" s="267" t="s">
        <v>3944</v>
      </c>
      <c r="Q1254" s="267" t="s">
        <v>3944</v>
      </c>
      <c r="R1254" s="267">
        <v>1279.43</v>
      </c>
      <c r="S1254" s="267">
        <v>21182.38</v>
      </c>
      <c r="T1254" s="267">
        <v>22461.81</v>
      </c>
      <c r="U1254" s="268" t="s">
        <v>3945</v>
      </c>
      <c r="V1254" s="267" t="s">
        <v>944</v>
      </c>
    </row>
    <row r="1255" spans="1:22" hidden="1" x14ac:dyDescent="0.25">
      <c r="A1255" s="269">
        <v>43537</v>
      </c>
      <c r="B1255" s="270">
        <v>2019</v>
      </c>
      <c r="C1255" s="270">
        <v>2019</v>
      </c>
      <c r="D1255" s="270">
        <v>1</v>
      </c>
      <c r="E1255" s="270">
        <v>1</v>
      </c>
      <c r="F1255" s="270" t="s">
        <v>944</v>
      </c>
      <c r="G1255" s="270" t="s">
        <v>3926</v>
      </c>
      <c r="H1255" s="270" t="s">
        <v>5461</v>
      </c>
      <c r="I1255" s="270" t="s">
        <v>4254</v>
      </c>
      <c r="J1255" s="270" t="s">
        <v>3928</v>
      </c>
      <c r="K1255" s="270">
        <v>6076</v>
      </c>
      <c r="L1255" s="270">
        <v>890100</v>
      </c>
      <c r="M1255" s="270" t="s">
        <v>3940</v>
      </c>
      <c r="N1255" s="270" t="s">
        <v>3944</v>
      </c>
      <c r="O1255" s="270">
        <v>1113.9100000000001</v>
      </c>
      <c r="P1255" s="270" t="s">
        <v>3944</v>
      </c>
      <c r="Q1255" s="270" t="s">
        <v>3944</v>
      </c>
      <c r="R1255" s="270">
        <v>1113.9100000000001</v>
      </c>
      <c r="S1255" s="270">
        <v>18290.09</v>
      </c>
      <c r="T1255" s="270">
        <v>19404</v>
      </c>
      <c r="U1255" s="271" t="s">
        <v>3945</v>
      </c>
      <c r="V1255" s="267" t="s">
        <v>944</v>
      </c>
    </row>
    <row r="1256" spans="1:22" hidden="1" x14ac:dyDescent="0.25">
      <c r="A1256" s="266">
        <v>43537</v>
      </c>
      <c r="B1256" s="267">
        <v>2019</v>
      </c>
      <c r="C1256" s="267">
        <v>2019</v>
      </c>
      <c r="D1256" s="267">
        <v>1</v>
      </c>
      <c r="E1256" s="267">
        <v>1</v>
      </c>
      <c r="F1256" s="267" t="s">
        <v>944</v>
      </c>
      <c r="G1256" s="267" t="s">
        <v>3926</v>
      </c>
      <c r="H1256" s="267" t="s">
        <v>5462</v>
      </c>
      <c r="I1256" s="267" t="s">
        <v>956</v>
      </c>
      <c r="J1256" s="267" t="s">
        <v>3928</v>
      </c>
      <c r="K1256" s="267">
        <v>6615</v>
      </c>
      <c r="L1256" s="267">
        <v>80700</v>
      </c>
      <c r="M1256" s="267" t="s">
        <v>3935</v>
      </c>
      <c r="N1256" s="267" t="s">
        <v>3944</v>
      </c>
      <c r="O1256" s="267">
        <v>1677.2</v>
      </c>
      <c r="P1256" s="267" t="s">
        <v>3944</v>
      </c>
      <c r="Q1256" s="267" t="s">
        <v>3944</v>
      </c>
      <c r="R1256" s="267">
        <v>1677.2</v>
      </c>
      <c r="S1256" s="267">
        <v>24974.21</v>
      </c>
      <c r="T1256" s="267">
        <v>26651.41</v>
      </c>
      <c r="U1256" s="268" t="s">
        <v>3945</v>
      </c>
      <c r="V1256" s="267" t="s">
        <v>944</v>
      </c>
    </row>
    <row r="1257" spans="1:22" hidden="1" x14ac:dyDescent="0.25">
      <c r="A1257" s="269">
        <v>43537</v>
      </c>
      <c r="B1257" s="270">
        <v>2019</v>
      </c>
      <c r="C1257" s="270">
        <v>2019</v>
      </c>
      <c r="D1257" s="270">
        <v>1</v>
      </c>
      <c r="E1257" s="270">
        <v>1</v>
      </c>
      <c r="F1257" s="270" t="s">
        <v>944</v>
      </c>
      <c r="G1257" s="270" t="s">
        <v>3926</v>
      </c>
      <c r="H1257" s="270" t="s">
        <v>5463</v>
      </c>
      <c r="I1257" s="270" t="s">
        <v>4069</v>
      </c>
      <c r="J1257" s="270" t="s">
        <v>3928</v>
      </c>
      <c r="K1257" s="270">
        <v>6902</v>
      </c>
      <c r="L1257" s="270">
        <v>22100</v>
      </c>
      <c r="M1257" s="270" t="s">
        <v>3940</v>
      </c>
      <c r="N1257" s="270" t="s">
        <v>3944</v>
      </c>
      <c r="O1257" s="270">
        <v>2723.74</v>
      </c>
      <c r="P1257" s="270" t="s">
        <v>3944</v>
      </c>
      <c r="Q1257" s="270" t="s">
        <v>3944</v>
      </c>
      <c r="R1257" s="270">
        <v>2723.74</v>
      </c>
      <c r="S1257" s="270">
        <v>31322</v>
      </c>
      <c r="T1257" s="270">
        <v>34045.74</v>
      </c>
      <c r="U1257" s="271" t="s">
        <v>3945</v>
      </c>
      <c r="V1257" s="267" t="s">
        <v>944</v>
      </c>
    </row>
    <row r="1258" spans="1:22" hidden="1" x14ac:dyDescent="0.25">
      <c r="A1258" s="266">
        <v>43537</v>
      </c>
      <c r="B1258" s="267">
        <v>2019</v>
      </c>
      <c r="C1258" s="267">
        <v>2019</v>
      </c>
      <c r="D1258" s="267">
        <v>1</v>
      </c>
      <c r="E1258" s="267">
        <v>1</v>
      </c>
      <c r="F1258" s="267" t="s">
        <v>944</v>
      </c>
      <c r="G1258" s="267" t="s">
        <v>3926</v>
      </c>
      <c r="H1258" s="267" t="s">
        <v>5464</v>
      </c>
      <c r="I1258" s="267" t="s">
        <v>4323</v>
      </c>
      <c r="J1258" s="267" t="s">
        <v>3928</v>
      </c>
      <c r="K1258" s="267">
        <v>6385</v>
      </c>
      <c r="L1258" s="267">
        <v>693700</v>
      </c>
      <c r="M1258" s="267" t="s">
        <v>3943</v>
      </c>
      <c r="N1258" s="267" t="s">
        <v>3944</v>
      </c>
      <c r="O1258" s="267">
        <v>4195.42</v>
      </c>
      <c r="P1258" s="267" t="s">
        <v>3944</v>
      </c>
      <c r="Q1258" s="267" t="s">
        <v>3944</v>
      </c>
      <c r="R1258" s="267">
        <v>4195.42</v>
      </c>
      <c r="S1258" s="267">
        <v>60819.39</v>
      </c>
      <c r="T1258" s="267">
        <v>65014.81</v>
      </c>
      <c r="U1258" s="268" t="s">
        <v>3945</v>
      </c>
      <c r="V1258" s="267" t="s">
        <v>944</v>
      </c>
    </row>
    <row r="1259" spans="1:22" hidden="1" x14ac:dyDescent="0.25">
      <c r="A1259" s="269">
        <v>43537</v>
      </c>
      <c r="B1259" s="270">
        <v>2019</v>
      </c>
      <c r="C1259" s="270">
        <v>2019</v>
      </c>
      <c r="D1259" s="270">
        <v>1</v>
      </c>
      <c r="E1259" s="270">
        <v>1</v>
      </c>
      <c r="F1259" s="270" t="s">
        <v>944</v>
      </c>
      <c r="G1259" s="270" t="s">
        <v>3926</v>
      </c>
      <c r="H1259" s="270" t="s">
        <v>5465</v>
      </c>
      <c r="I1259" s="270" t="s">
        <v>943</v>
      </c>
      <c r="J1259" s="270" t="s">
        <v>3928</v>
      </c>
      <c r="K1259" s="270">
        <v>6512</v>
      </c>
      <c r="L1259" s="270">
        <v>142800</v>
      </c>
      <c r="M1259" s="270" t="s">
        <v>3940</v>
      </c>
      <c r="N1259" s="270" t="s">
        <v>3944</v>
      </c>
      <c r="O1259" s="270">
        <v>1536.82</v>
      </c>
      <c r="P1259" s="270" t="s">
        <v>3944</v>
      </c>
      <c r="Q1259" s="270" t="s">
        <v>3944</v>
      </c>
      <c r="R1259" s="270">
        <v>1536.82</v>
      </c>
      <c r="S1259" s="270">
        <v>24797.18</v>
      </c>
      <c r="T1259" s="270">
        <v>26334</v>
      </c>
      <c r="U1259" s="271" t="s">
        <v>3945</v>
      </c>
      <c r="V1259" s="267" t="s">
        <v>944</v>
      </c>
    </row>
    <row r="1260" spans="1:22" hidden="1" x14ac:dyDescent="0.25">
      <c r="A1260" s="266">
        <v>43537</v>
      </c>
      <c r="B1260" s="267">
        <v>2019</v>
      </c>
      <c r="C1260" s="267">
        <v>2019</v>
      </c>
      <c r="D1260" s="267">
        <v>1</v>
      </c>
      <c r="E1260" s="267">
        <v>1</v>
      </c>
      <c r="F1260" s="267" t="s">
        <v>944</v>
      </c>
      <c r="G1260" s="267" t="s">
        <v>3926</v>
      </c>
      <c r="H1260" s="267" t="s">
        <v>5466</v>
      </c>
      <c r="I1260" s="267" t="s">
        <v>3968</v>
      </c>
      <c r="J1260" s="267" t="s">
        <v>3928</v>
      </c>
      <c r="K1260" s="267">
        <v>6040</v>
      </c>
      <c r="L1260" s="267">
        <v>514600</v>
      </c>
      <c r="M1260" s="267" t="s">
        <v>3940</v>
      </c>
      <c r="N1260" s="267" t="s">
        <v>3944</v>
      </c>
      <c r="O1260" s="267">
        <v>1444.52</v>
      </c>
      <c r="P1260" s="267" t="s">
        <v>3944</v>
      </c>
      <c r="Q1260" s="267" t="s">
        <v>3944</v>
      </c>
      <c r="R1260" s="267">
        <v>1444.52</v>
      </c>
      <c r="S1260" s="267">
        <v>18509.509999999998</v>
      </c>
      <c r="T1260" s="267">
        <v>19954.03</v>
      </c>
      <c r="U1260" s="268" t="s">
        <v>3945</v>
      </c>
      <c r="V1260" s="267" t="s">
        <v>944</v>
      </c>
    </row>
    <row r="1261" spans="1:22" hidden="1" x14ac:dyDescent="0.25">
      <c r="A1261" s="269">
        <v>43537</v>
      </c>
      <c r="B1261" s="270">
        <v>2019</v>
      </c>
      <c r="C1261" s="270">
        <v>2019</v>
      </c>
      <c r="D1261" s="270">
        <v>1</v>
      </c>
      <c r="E1261" s="270">
        <v>1</v>
      </c>
      <c r="F1261" s="270" t="s">
        <v>944</v>
      </c>
      <c r="G1261" s="270" t="s">
        <v>3926</v>
      </c>
      <c r="H1261" s="270" t="s">
        <v>5467</v>
      </c>
      <c r="I1261" s="270" t="s">
        <v>934</v>
      </c>
      <c r="J1261" s="270" t="s">
        <v>3928</v>
      </c>
      <c r="K1261" s="270">
        <v>6604</v>
      </c>
      <c r="L1261" s="270">
        <v>72100</v>
      </c>
      <c r="M1261" s="270" t="s">
        <v>3940</v>
      </c>
      <c r="N1261" s="270" t="s">
        <v>3944</v>
      </c>
      <c r="O1261" s="270">
        <v>2004.49</v>
      </c>
      <c r="P1261" s="270" t="s">
        <v>3944</v>
      </c>
      <c r="Q1261" s="270" t="s">
        <v>3944</v>
      </c>
      <c r="R1261" s="270">
        <v>2004.49</v>
      </c>
      <c r="S1261" s="270">
        <v>30650.01</v>
      </c>
      <c r="T1261" s="270">
        <v>32654.5</v>
      </c>
      <c r="U1261" s="271" t="s">
        <v>3945</v>
      </c>
      <c r="V1261" s="267" t="s">
        <v>944</v>
      </c>
    </row>
    <row r="1262" spans="1:22" hidden="1" x14ac:dyDescent="0.25">
      <c r="A1262" s="266">
        <v>43537</v>
      </c>
      <c r="B1262" s="267">
        <v>2019</v>
      </c>
      <c r="C1262" s="267">
        <v>2019</v>
      </c>
      <c r="D1262" s="267">
        <v>1</v>
      </c>
      <c r="E1262" s="267">
        <v>1</v>
      </c>
      <c r="F1262" s="267" t="s">
        <v>944</v>
      </c>
      <c r="G1262" s="267" t="s">
        <v>3926</v>
      </c>
      <c r="H1262" s="267" t="s">
        <v>5468</v>
      </c>
      <c r="I1262" s="267" t="s">
        <v>4005</v>
      </c>
      <c r="J1262" s="267" t="s">
        <v>3928</v>
      </c>
      <c r="K1262" s="267">
        <v>6118</v>
      </c>
      <c r="L1262" s="267">
        <v>511000</v>
      </c>
      <c r="M1262" s="267" t="s">
        <v>3935</v>
      </c>
      <c r="N1262" s="267" t="s">
        <v>3944</v>
      </c>
      <c r="O1262" s="267">
        <v>2504.5300000000002</v>
      </c>
      <c r="P1262" s="267" t="s">
        <v>3944</v>
      </c>
      <c r="Q1262" s="267" t="s">
        <v>3944</v>
      </c>
      <c r="R1262" s="267">
        <v>2504.5300000000002</v>
      </c>
      <c r="S1262" s="267">
        <v>34794.660000000003</v>
      </c>
      <c r="T1262" s="267">
        <v>37299.19</v>
      </c>
      <c r="U1262" s="268" t="s">
        <v>3945</v>
      </c>
      <c r="V1262" s="267" t="s">
        <v>944</v>
      </c>
    </row>
    <row r="1263" spans="1:22" hidden="1" x14ac:dyDescent="0.25">
      <c r="A1263" s="269">
        <v>43537</v>
      </c>
      <c r="B1263" s="270">
        <v>2019</v>
      </c>
      <c r="C1263" s="270">
        <v>2019</v>
      </c>
      <c r="D1263" s="270">
        <v>1</v>
      </c>
      <c r="E1263" s="270">
        <v>1</v>
      </c>
      <c r="F1263" s="270" t="s">
        <v>944</v>
      </c>
      <c r="G1263" s="270" t="s">
        <v>3926</v>
      </c>
      <c r="H1263" s="270" t="s">
        <v>5469</v>
      </c>
      <c r="I1263" s="270" t="s">
        <v>3008</v>
      </c>
      <c r="J1263" s="270" t="s">
        <v>3928</v>
      </c>
      <c r="K1263" s="270">
        <v>6461</v>
      </c>
      <c r="L1263" s="270">
        <v>150600</v>
      </c>
      <c r="M1263" s="270" t="s">
        <v>3960</v>
      </c>
      <c r="N1263" s="270" t="s">
        <v>3944</v>
      </c>
      <c r="O1263" s="270">
        <v>1282.96</v>
      </c>
      <c r="P1263" s="270" t="s">
        <v>3944</v>
      </c>
      <c r="Q1263" s="270" t="s">
        <v>3944</v>
      </c>
      <c r="R1263" s="270">
        <v>1282.96</v>
      </c>
      <c r="S1263" s="270">
        <v>21793.08</v>
      </c>
      <c r="T1263" s="270">
        <v>23076.04</v>
      </c>
      <c r="U1263" s="271" t="s">
        <v>3945</v>
      </c>
      <c r="V1263" s="267" t="s">
        <v>944</v>
      </c>
    </row>
    <row r="1264" spans="1:22" hidden="1" x14ac:dyDescent="0.25">
      <c r="A1264" s="266">
        <v>43537</v>
      </c>
      <c r="B1264" s="267">
        <v>2019</v>
      </c>
      <c r="C1264" s="267">
        <v>2019</v>
      </c>
      <c r="D1264" s="267">
        <v>1</v>
      </c>
      <c r="E1264" s="267">
        <v>1</v>
      </c>
      <c r="F1264" s="267" t="s">
        <v>944</v>
      </c>
      <c r="G1264" s="267" t="s">
        <v>3926</v>
      </c>
      <c r="H1264" s="267" t="s">
        <v>5470</v>
      </c>
      <c r="I1264" s="267" t="s">
        <v>4244</v>
      </c>
      <c r="J1264" s="267" t="s">
        <v>3928</v>
      </c>
      <c r="K1264" s="267">
        <v>6268</v>
      </c>
      <c r="L1264" s="267">
        <v>881100</v>
      </c>
      <c r="M1264" s="267" t="s">
        <v>3935</v>
      </c>
      <c r="N1264" s="267" t="s">
        <v>3944</v>
      </c>
      <c r="O1264" s="267">
        <v>1903.9</v>
      </c>
      <c r="P1264" s="267" t="s">
        <v>3944</v>
      </c>
      <c r="Q1264" s="267" t="s">
        <v>3944</v>
      </c>
      <c r="R1264" s="267">
        <v>1903.9</v>
      </c>
      <c r="S1264" s="267">
        <v>29081.41</v>
      </c>
      <c r="T1264" s="267">
        <v>30985.31</v>
      </c>
      <c r="U1264" s="268" t="s">
        <v>3945</v>
      </c>
      <c r="V1264" s="267" t="s">
        <v>944</v>
      </c>
    </row>
    <row r="1265" spans="1:22" hidden="1" x14ac:dyDescent="0.25">
      <c r="A1265" s="269">
        <v>43537</v>
      </c>
      <c r="B1265" s="270">
        <v>2019</v>
      </c>
      <c r="C1265" s="270">
        <v>2019</v>
      </c>
      <c r="D1265" s="270">
        <v>1</v>
      </c>
      <c r="E1265" s="270">
        <v>1</v>
      </c>
      <c r="F1265" s="270" t="s">
        <v>944</v>
      </c>
      <c r="G1265" s="270" t="s">
        <v>3926</v>
      </c>
      <c r="H1265" s="270" t="s">
        <v>5471</v>
      </c>
      <c r="I1265" s="270" t="s">
        <v>3012</v>
      </c>
      <c r="J1265" s="270" t="s">
        <v>3928</v>
      </c>
      <c r="K1265" s="270">
        <v>6477</v>
      </c>
      <c r="L1265" s="270">
        <v>157400</v>
      </c>
      <c r="M1265" s="270" t="s">
        <v>3943</v>
      </c>
      <c r="N1265" s="270" t="s">
        <v>3944</v>
      </c>
      <c r="O1265" s="270">
        <v>2299.4</v>
      </c>
      <c r="P1265" s="270" t="s">
        <v>3944</v>
      </c>
      <c r="Q1265" s="270" t="s">
        <v>3944</v>
      </c>
      <c r="R1265" s="270">
        <v>2299.4</v>
      </c>
      <c r="S1265" s="270">
        <v>41374.230000000003</v>
      </c>
      <c r="T1265" s="270">
        <v>43673.63</v>
      </c>
      <c r="U1265" s="271" t="s">
        <v>3945</v>
      </c>
      <c r="V1265" s="267" t="s">
        <v>944</v>
      </c>
    </row>
    <row r="1266" spans="1:22" hidden="1" x14ac:dyDescent="0.25">
      <c r="A1266" s="266">
        <v>43537</v>
      </c>
      <c r="B1266" s="267">
        <v>2019</v>
      </c>
      <c r="C1266" s="267">
        <v>2019</v>
      </c>
      <c r="D1266" s="267">
        <v>1</v>
      </c>
      <c r="E1266" s="267">
        <v>1</v>
      </c>
      <c r="F1266" s="267" t="s">
        <v>944</v>
      </c>
      <c r="G1266" s="267" t="s">
        <v>3926</v>
      </c>
      <c r="H1266" s="267" t="s">
        <v>5472</v>
      </c>
      <c r="I1266" s="267" t="s">
        <v>934</v>
      </c>
      <c r="J1266" s="267" t="s">
        <v>3928</v>
      </c>
      <c r="K1266" s="267">
        <v>6604</v>
      </c>
      <c r="L1266" s="267">
        <v>72100</v>
      </c>
      <c r="M1266" s="267" t="s">
        <v>3940</v>
      </c>
      <c r="N1266" s="267" t="s">
        <v>3944</v>
      </c>
      <c r="O1266" s="267">
        <v>1695.05</v>
      </c>
      <c r="P1266" s="267" t="s">
        <v>3944</v>
      </c>
      <c r="Q1266" s="267" t="s">
        <v>3944</v>
      </c>
      <c r="R1266" s="267">
        <v>1695.05</v>
      </c>
      <c r="S1266" s="267">
        <v>24907.62</v>
      </c>
      <c r="T1266" s="267">
        <v>26602.67</v>
      </c>
      <c r="U1266" s="268" t="s">
        <v>3945</v>
      </c>
      <c r="V1266" s="267" t="s">
        <v>944</v>
      </c>
    </row>
    <row r="1267" spans="1:22" hidden="1" x14ac:dyDescent="0.25">
      <c r="A1267" s="269">
        <v>43537</v>
      </c>
      <c r="B1267" s="270">
        <v>2019</v>
      </c>
      <c r="C1267" s="270">
        <v>2019</v>
      </c>
      <c r="D1267" s="270">
        <v>1</v>
      </c>
      <c r="E1267" s="270">
        <v>1</v>
      </c>
      <c r="F1267" s="270" t="s">
        <v>944</v>
      </c>
      <c r="G1267" s="270" t="s">
        <v>3926</v>
      </c>
      <c r="H1267" s="270" t="s">
        <v>5473</v>
      </c>
      <c r="I1267" s="270" t="s">
        <v>950</v>
      </c>
      <c r="J1267" s="270" t="s">
        <v>3928</v>
      </c>
      <c r="K1267" s="270">
        <v>6516</v>
      </c>
      <c r="L1267" s="270">
        <v>154800</v>
      </c>
      <c r="M1267" s="270" t="s">
        <v>3960</v>
      </c>
      <c r="N1267" s="270" t="s">
        <v>3944</v>
      </c>
      <c r="O1267" s="270">
        <v>2239.27</v>
      </c>
      <c r="P1267" s="270" t="s">
        <v>3944</v>
      </c>
      <c r="Q1267" s="270" t="s">
        <v>3944</v>
      </c>
      <c r="R1267" s="270">
        <v>2239.27</v>
      </c>
      <c r="S1267" s="270">
        <v>34525.42</v>
      </c>
      <c r="T1267" s="270">
        <v>36764.69</v>
      </c>
      <c r="U1267" s="271" t="s">
        <v>3945</v>
      </c>
      <c r="V1267" s="267" t="s">
        <v>944</v>
      </c>
    </row>
    <row r="1268" spans="1:22" hidden="1" x14ac:dyDescent="0.25">
      <c r="A1268" s="266">
        <v>43537</v>
      </c>
      <c r="B1268" s="267">
        <v>2019</v>
      </c>
      <c r="C1268" s="267">
        <v>2019</v>
      </c>
      <c r="D1268" s="267">
        <v>1</v>
      </c>
      <c r="E1268" s="267">
        <v>1</v>
      </c>
      <c r="F1268" s="267" t="s">
        <v>944</v>
      </c>
      <c r="G1268" s="267" t="s">
        <v>3926</v>
      </c>
      <c r="H1268" s="267" t="s">
        <v>5474</v>
      </c>
      <c r="I1268" s="267" t="s">
        <v>3964</v>
      </c>
      <c r="J1268" s="267" t="s">
        <v>3928</v>
      </c>
      <c r="K1268" s="267">
        <v>6033</v>
      </c>
      <c r="L1268" s="267">
        <v>520400</v>
      </c>
      <c r="M1268" s="267" t="s">
        <v>3943</v>
      </c>
      <c r="N1268" s="267" t="s">
        <v>3944</v>
      </c>
      <c r="O1268" s="267">
        <v>1499.68</v>
      </c>
      <c r="P1268" s="267" t="s">
        <v>3944</v>
      </c>
      <c r="Q1268" s="267" t="s">
        <v>3944</v>
      </c>
      <c r="R1268" s="267">
        <v>1499.68</v>
      </c>
      <c r="S1268" s="267">
        <v>20802.32</v>
      </c>
      <c r="T1268" s="267">
        <v>22302</v>
      </c>
      <c r="U1268" s="268" t="s">
        <v>3945</v>
      </c>
      <c r="V1268" s="267" t="s">
        <v>944</v>
      </c>
    </row>
    <row r="1269" spans="1:22" hidden="1" x14ac:dyDescent="0.25">
      <c r="A1269" s="269">
        <v>43537</v>
      </c>
      <c r="B1269" s="270">
        <v>2019</v>
      </c>
      <c r="C1269" s="270">
        <v>2019</v>
      </c>
      <c r="D1269" s="270">
        <v>1</v>
      </c>
      <c r="E1269" s="270">
        <v>1</v>
      </c>
      <c r="F1269" s="270" t="s">
        <v>944</v>
      </c>
      <c r="G1269" s="270" t="s">
        <v>3926</v>
      </c>
      <c r="H1269" s="270" t="s">
        <v>5475</v>
      </c>
      <c r="I1269" s="270" t="s">
        <v>3968</v>
      </c>
      <c r="J1269" s="270" t="s">
        <v>3928</v>
      </c>
      <c r="K1269" s="270">
        <v>6042</v>
      </c>
      <c r="L1269" s="270">
        <v>514101</v>
      </c>
      <c r="M1269" s="270" t="s">
        <v>3960</v>
      </c>
      <c r="N1269" s="270" t="s">
        <v>3944</v>
      </c>
      <c r="O1269" s="270">
        <v>1097.1099999999999</v>
      </c>
      <c r="P1269" s="270" t="s">
        <v>3944</v>
      </c>
      <c r="Q1269" s="270" t="s">
        <v>3944</v>
      </c>
      <c r="R1269" s="270">
        <v>1097.1099999999999</v>
      </c>
      <c r="S1269" s="270">
        <v>14081.42</v>
      </c>
      <c r="T1269" s="270">
        <v>15178.53</v>
      </c>
      <c r="U1269" s="271" t="s">
        <v>3945</v>
      </c>
      <c r="V1269" s="267" t="s">
        <v>944</v>
      </c>
    </row>
    <row r="1270" spans="1:22" hidden="1" x14ac:dyDescent="0.25">
      <c r="A1270" s="266">
        <v>43537</v>
      </c>
      <c r="B1270" s="267">
        <v>2019</v>
      </c>
      <c r="C1270" s="267">
        <v>2019</v>
      </c>
      <c r="D1270" s="267">
        <v>1</v>
      </c>
      <c r="E1270" s="267">
        <v>1</v>
      </c>
      <c r="F1270" s="267" t="s">
        <v>944</v>
      </c>
      <c r="G1270" s="267" t="s">
        <v>3926</v>
      </c>
      <c r="H1270" s="267" t="s">
        <v>5476</v>
      </c>
      <c r="I1270" s="267" t="s">
        <v>3999</v>
      </c>
      <c r="J1270" s="267" t="s">
        <v>3928</v>
      </c>
      <c r="K1270" s="267">
        <v>6450</v>
      </c>
      <c r="L1270" s="267">
        <v>171600</v>
      </c>
      <c r="M1270" s="267" t="s">
        <v>3940</v>
      </c>
      <c r="N1270" s="267" t="s">
        <v>3944</v>
      </c>
      <c r="O1270" s="267">
        <v>1067.05</v>
      </c>
      <c r="P1270" s="267" t="s">
        <v>3944</v>
      </c>
      <c r="Q1270" s="267" t="s">
        <v>3944</v>
      </c>
      <c r="R1270" s="267">
        <v>1067.05</v>
      </c>
      <c r="S1270" s="267">
        <v>15162.68</v>
      </c>
      <c r="T1270" s="267">
        <v>16229.73</v>
      </c>
      <c r="U1270" s="268" t="s">
        <v>3945</v>
      </c>
      <c r="V1270" s="267" t="s">
        <v>944</v>
      </c>
    </row>
    <row r="1271" spans="1:22" hidden="1" x14ac:dyDescent="0.25">
      <c r="A1271" s="269">
        <v>43537</v>
      </c>
      <c r="B1271" s="270">
        <v>2019</v>
      </c>
      <c r="C1271" s="270">
        <v>2019</v>
      </c>
      <c r="D1271" s="270">
        <v>1</v>
      </c>
      <c r="E1271" s="270">
        <v>1</v>
      </c>
      <c r="F1271" s="270" t="s">
        <v>944</v>
      </c>
      <c r="G1271" s="270" t="s">
        <v>3926</v>
      </c>
      <c r="H1271" s="270" t="s">
        <v>5477</v>
      </c>
      <c r="I1271" s="270" t="s">
        <v>3956</v>
      </c>
      <c r="J1271" s="270" t="s">
        <v>3928</v>
      </c>
      <c r="K1271" s="270">
        <v>6106</v>
      </c>
      <c r="L1271" s="270">
        <v>504800</v>
      </c>
      <c r="M1271" s="270" t="s">
        <v>3940</v>
      </c>
      <c r="N1271" s="270" t="s">
        <v>3944</v>
      </c>
      <c r="O1271" s="270">
        <v>695.42</v>
      </c>
      <c r="P1271" s="270" t="s">
        <v>3944</v>
      </c>
      <c r="Q1271" s="270" t="s">
        <v>3944</v>
      </c>
      <c r="R1271" s="270">
        <v>695.42</v>
      </c>
      <c r="S1271" s="270">
        <v>9384.58</v>
      </c>
      <c r="T1271" s="270">
        <v>10080</v>
      </c>
      <c r="U1271" s="271" t="s">
        <v>3945</v>
      </c>
      <c r="V1271" s="267" t="s">
        <v>944</v>
      </c>
    </row>
    <row r="1272" spans="1:22" hidden="1" x14ac:dyDescent="0.25">
      <c r="A1272" s="266">
        <v>43538</v>
      </c>
      <c r="B1272" s="267">
        <v>2019</v>
      </c>
      <c r="C1272" s="267">
        <v>2019</v>
      </c>
      <c r="D1272" s="267">
        <v>1</v>
      </c>
      <c r="E1272" s="267">
        <v>1</v>
      </c>
      <c r="F1272" s="267" t="s">
        <v>944</v>
      </c>
      <c r="G1272" s="267" t="s">
        <v>3926</v>
      </c>
      <c r="H1272" s="267" t="s">
        <v>5478</v>
      </c>
      <c r="I1272" s="267" t="s">
        <v>4008</v>
      </c>
      <c r="J1272" s="267" t="s">
        <v>3928</v>
      </c>
      <c r="K1272" s="267">
        <v>6320</v>
      </c>
      <c r="L1272" s="267">
        <v>690800</v>
      </c>
      <c r="M1272" s="267">
        <v>-60</v>
      </c>
      <c r="N1272" s="267" t="s">
        <v>3986</v>
      </c>
      <c r="O1272" s="267">
        <v>1153.74</v>
      </c>
      <c r="P1272" s="267" t="s">
        <v>3930</v>
      </c>
      <c r="Q1272" s="267" t="s">
        <v>3931</v>
      </c>
      <c r="R1272" s="267">
        <v>6153.74</v>
      </c>
      <c r="S1272" s="267">
        <v>16196.8</v>
      </c>
      <c r="T1272" s="267">
        <v>22350.54</v>
      </c>
      <c r="U1272" s="268" t="s">
        <v>3932</v>
      </c>
      <c r="V1272" s="267" t="s">
        <v>944</v>
      </c>
    </row>
    <row r="1273" spans="1:22" hidden="1" x14ac:dyDescent="0.25">
      <c r="A1273" s="269">
        <v>43538</v>
      </c>
      <c r="B1273" s="270">
        <v>2019</v>
      </c>
      <c r="C1273" s="270">
        <v>2019</v>
      </c>
      <c r="D1273" s="270">
        <v>1</v>
      </c>
      <c r="E1273" s="270">
        <v>1</v>
      </c>
      <c r="F1273" s="270" t="s">
        <v>944</v>
      </c>
      <c r="G1273" s="270" t="s">
        <v>3926</v>
      </c>
      <c r="H1273" s="270" t="s">
        <v>5479</v>
      </c>
      <c r="I1273" s="270" t="s">
        <v>5480</v>
      </c>
      <c r="J1273" s="270" t="s">
        <v>3928</v>
      </c>
      <c r="K1273" s="270">
        <v>6783</v>
      </c>
      <c r="L1273" s="270">
        <v>268100</v>
      </c>
      <c r="M1273" s="270" t="s">
        <v>3943</v>
      </c>
      <c r="N1273" s="270" t="s">
        <v>5481</v>
      </c>
      <c r="O1273" s="270">
        <v>0</v>
      </c>
      <c r="P1273" s="270" t="s">
        <v>3930</v>
      </c>
      <c r="Q1273" s="270" t="s">
        <v>3930</v>
      </c>
      <c r="R1273" s="270">
        <v>0</v>
      </c>
      <c r="S1273" s="270">
        <v>35006.49</v>
      </c>
      <c r="T1273" s="270">
        <v>35006.49</v>
      </c>
      <c r="U1273" s="271" t="s">
        <v>3937</v>
      </c>
      <c r="V1273" s="267" t="s">
        <v>944</v>
      </c>
    </row>
    <row r="1274" spans="1:22" hidden="1" x14ac:dyDescent="0.25">
      <c r="A1274" s="266">
        <v>43538</v>
      </c>
      <c r="B1274" s="267">
        <v>2019</v>
      </c>
      <c r="C1274" s="267">
        <v>2019</v>
      </c>
      <c r="D1274" s="267">
        <v>1</v>
      </c>
      <c r="E1274" s="267">
        <v>1</v>
      </c>
      <c r="F1274" s="267" t="s">
        <v>944</v>
      </c>
      <c r="G1274" s="267" t="s">
        <v>3926</v>
      </c>
      <c r="H1274" s="267" t="s">
        <v>5482</v>
      </c>
      <c r="I1274" s="267" t="s">
        <v>4621</v>
      </c>
      <c r="J1274" s="267" t="s">
        <v>3928</v>
      </c>
      <c r="K1274" s="267">
        <v>6443</v>
      </c>
      <c r="L1274" s="267">
        <v>194201</v>
      </c>
      <c r="M1274" s="267" t="s">
        <v>3943</v>
      </c>
      <c r="N1274" s="267" t="s">
        <v>5483</v>
      </c>
      <c r="O1274" s="267">
        <v>0</v>
      </c>
      <c r="P1274" s="267" t="s">
        <v>3930</v>
      </c>
      <c r="Q1274" s="267" t="s">
        <v>3930</v>
      </c>
      <c r="R1274" s="267">
        <v>0</v>
      </c>
      <c r="S1274" s="267">
        <v>15000</v>
      </c>
      <c r="T1274" s="267">
        <v>15000</v>
      </c>
      <c r="U1274" s="268" t="s">
        <v>3937</v>
      </c>
      <c r="V1274" s="267" t="s">
        <v>944</v>
      </c>
    </row>
    <row r="1275" spans="1:22" hidden="1" x14ac:dyDescent="0.25">
      <c r="A1275" s="269">
        <v>43538</v>
      </c>
      <c r="B1275" s="270">
        <v>2019</v>
      </c>
      <c r="C1275" s="270">
        <v>2019</v>
      </c>
      <c r="D1275" s="270">
        <v>1</v>
      </c>
      <c r="E1275" s="270">
        <v>1</v>
      </c>
      <c r="F1275" s="270" t="s">
        <v>944</v>
      </c>
      <c r="G1275" s="270" t="s">
        <v>3926</v>
      </c>
      <c r="H1275" s="270" t="s">
        <v>5484</v>
      </c>
      <c r="I1275" s="270" t="s">
        <v>5485</v>
      </c>
      <c r="J1275" s="270" t="s">
        <v>3928</v>
      </c>
      <c r="K1275" s="270">
        <v>6001</v>
      </c>
      <c r="L1275" s="270">
        <v>462101</v>
      </c>
      <c r="M1275" s="270" t="s">
        <v>3943</v>
      </c>
      <c r="N1275" s="270" t="s">
        <v>5486</v>
      </c>
      <c r="O1275" s="270">
        <v>0</v>
      </c>
      <c r="P1275" s="270" t="s">
        <v>3930</v>
      </c>
      <c r="Q1275" s="270" t="s">
        <v>3930</v>
      </c>
      <c r="R1275" s="270">
        <v>0</v>
      </c>
      <c r="S1275" s="270">
        <v>5040</v>
      </c>
      <c r="T1275" s="270">
        <v>5040</v>
      </c>
      <c r="U1275" s="271" t="s">
        <v>3937</v>
      </c>
      <c r="V1275" s="267" t="s">
        <v>944</v>
      </c>
    </row>
    <row r="1276" spans="1:22" hidden="1" x14ac:dyDescent="0.25">
      <c r="A1276" s="266">
        <v>43538</v>
      </c>
      <c r="B1276" s="267">
        <v>2019</v>
      </c>
      <c r="C1276" s="267">
        <v>2019</v>
      </c>
      <c r="D1276" s="267">
        <v>1</v>
      </c>
      <c r="E1276" s="267">
        <v>1</v>
      </c>
      <c r="F1276" s="267" t="s">
        <v>944</v>
      </c>
      <c r="G1276" s="267" t="s">
        <v>3926</v>
      </c>
      <c r="H1276" s="267" t="s">
        <v>5487</v>
      </c>
      <c r="I1276" s="267" t="s">
        <v>4019</v>
      </c>
      <c r="J1276" s="267" t="s">
        <v>3928</v>
      </c>
      <c r="K1276" s="267">
        <v>6708</v>
      </c>
      <c r="L1276" s="267">
        <v>352000</v>
      </c>
      <c r="M1276" s="267" t="s">
        <v>3935</v>
      </c>
      <c r="N1276" s="267" t="s">
        <v>4103</v>
      </c>
      <c r="O1276" s="267">
        <v>3705.93</v>
      </c>
      <c r="P1276" s="267" t="s">
        <v>3930</v>
      </c>
      <c r="Q1276" s="267" t="s">
        <v>3931</v>
      </c>
      <c r="R1276" s="267">
        <v>8705.93</v>
      </c>
      <c r="S1276" s="267">
        <v>24145.599999999999</v>
      </c>
      <c r="T1276" s="267">
        <v>32851.53</v>
      </c>
      <c r="U1276" s="268" t="s">
        <v>3932</v>
      </c>
      <c r="V1276" s="267" t="s">
        <v>944</v>
      </c>
    </row>
    <row r="1277" spans="1:22" hidden="1" x14ac:dyDescent="0.25">
      <c r="A1277" s="269">
        <v>43538</v>
      </c>
      <c r="B1277" s="270">
        <v>2019</v>
      </c>
      <c r="C1277" s="270">
        <v>2019</v>
      </c>
      <c r="D1277" s="270">
        <v>1</v>
      </c>
      <c r="E1277" s="270">
        <v>1</v>
      </c>
      <c r="F1277" s="270" t="s">
        <v>944</v>
      </c>
      <c r="G1277" s="270" t="s">
        <v>3926</v>
      </c>
      <c r="H1277" s="270" t="s">
        <v>5488</v>
      </c>
      <c r="I1277" s="270" t="s">
        <v>4011</v>
      </c>
      <c r="J1277" s="270" t="s">
        <v>3928</v>
      </c>
      <c r="K1277" s="270">
        <v>6002</v>
      </c>
      <c r="L1277" s="270">
        <v>471100</v>
      </c>
      <c r="M1277" s="270" t="s">
        <v>3935</v>
      </c>
      <c r="N1277" s="270" t="s">
        <v>5489</v>
      </c>
      <c r="O1277" s="270">
        <v>3592.35</v>
      </c>
      <c r="P1277" s="270" t="s">
        <v>3930</v>
      </c>
      <c r="Q1277" s="270" t="s">
        <v>3931</v>
      </c>
      <c r="R1277" s="270">
        <v>8592.35</v>
      </c>
      <c r="S1277" s="270">
        <v>16817.8</v>
      </c>
      <c r="T1277" s="270">
        <v>25410.15</v>
      </c>
      <c r="U1277" s="271" t="s">
        <v>3932</v>
      </c>
      <c r="V1277" s="267" t="s">
        <v>944</v>
      </c>
    </row>
    <row r="1278" spans="1:22" hidden="1" x14ac:dyDescent="0.25">
      <c r="A1278" s="266">
        <v>43538</v>
      </c>
      <c r="B1278" s="267">
        <v>2019</v>
      </c>
      <c r="C1278" s="267">
        <v>2019</v>
      </c>
      <c r="D1278" s="267">
        <v>1</v>
      </c>
      <c r="E1278" s="267">
        <v>1</v>
      </c>
      <c r="F1278" s="267" t="s">
        <v>944</v>
      </c>
      <c r="G1278" s="267" t="s">
        <v>3926</v>
      </c>
      <c r="H1278" s="267" t="s">
        <v>5490</v>
      </c>
      <c r="I1278" s="267" t="s">
        <v>4683</v>
      </c>
      <c r="J1278" s="267" t="s">
        <v>3928</v>
      </c>
      <c r="K1278" s="267">
        <v>6762</v>
      </c>
      <c r="L1278" s="267">
        <v>344200</v>
      </c>
      <c r="M1278" s="267" t="s">
        <v>3943</v>
      </c>
      <c r="N1278" s="267" t="s">
        <v>5491</v>
      </c>
      <c r="O1278" s="267">
        <v>0</v>
      </c>
      <c r="P1278" s="267" t="s">
        <v>3930</v>
      </c>
      <c r="Q1278" s="267" t="s">
        <v>3930</v>
      </c>
      <c r="R1278" s="267">
        <v>0</v>
      </c>
      <c r="S1278" s="267">
        <v>7599.85</v>
      </c>
      <c r="T1278" s="267">
        <v>7599.85</v>
      </c>
      <c r="U1278" s="268" t="s">
        <v>3937</v>
      </c>
      <c r="V1278" s="267" t="s">
        <v>944</v>
      </c>
    </row>
    <row r="1279" spans="1:22" hidden="1" x14ac:dyDescent="0.25">
      <c r="A1279" s="269">
        <v>43538</v>
      </c>
      <c r="B1279" s="270">
        <v>2019</v>
      </c>
      <c r="C1279" s="270">
        <v>2019</v>
      </c>
      <c r="D1279" s="270">
        <v>1</v>
      </c>
      <c r="E1279" s="270">
        <v>1</v>
      </c>
      <c r="F1279" s="270" t="s">
        <v>944</v>
      </c>
      <c r="G1279" s="270" t="s">
        <v>3926</v>
      </c>
      <c r="H1279" s="270" t="s">
        <v>5492</v>
      </c>
      <c r="I1279" s="270" t="s">
        <v>4114</v>
      </c>
      <c r="J1279" s="270" t="s">
        <v>3928</v>
      </c>
      <c r="K1279" s="270">
        <v>6410</v>
      </c>
      <c r="L1279" s="270">
        <v>343101</v>
      </c>
      <c r="M1279" s="270" t="s">
        <v>3943</v>
      </c>
      <c r="N1279" s="270" t="s">
        <v>3929</v>
      </c>
      <c r="O1279" s="270">
        <v>2371.5700000000002</v>
      </c>
      <c r="P1279" s="270" t="s">
        <v>3930</v>
      </c>
      <c r="Q1279" s="270" t="s">
        <v>3931</v>
      </c>
      <c r="R1279" s="270">
        <v>7371.57</v>
      </c>
      <c r="S1279" s="270">
        <v>34744</v>
      </c>
      <c r="T1279" s="270">
        <v>42115.57</v>
      </c>
      <c r="U1279" s="271" t="s">
        <v>3932</v>
      </c>
      <c r="V1279" s="267" t="s">
        <v>944</v>
      </c>
    </row>
    <row r="1280" spans="1:22" hidden="1" x14ac:dyDescent="0.25">
      <c r="A1280" s="266">
        <v>43538</v>
      </c>
      <c r="B1280" s="267">
        <v>2019</v>
      </c>
      <c r="C1280" s="267">
        <v>2019</v>
      </c>
      <c r="D1280" s="267">
        <v>1</v>
      </c>
      <c r="E1280" s="267">
        <v>1</v>
      </c>
      <c r="F1280" s="267" t="s">
        <v>944</v>
      </c>
      <c r="G1280" s="267" t="s">
        <v>3926</v>
      </c>
      <c r="H1280" s="267" t="s">
        <v>5493</v>
      </c>
      <c r="I1280" s="267" t="s">
        <v>4108</v>
      </c>
      <c r="J1280" s="267" t="s">
        <v>3928</v>
      </c>
      <c r="K1280" s="267">
        <v>6082</v>
      </c>
      <c r="L1280" s="267">
        <v>524300</v>
      </c>
      <c r="M1280" s="267" t="s">
        <v>3960</v>
      </c>
      <c r="N1280" s="267" t="s">
        <v>3944</v>
      </c>
      <c r="O1280" s="267">
        <v>8109</v>
      </c>
      <c r="P1280" s="267" t="s">
        <v>3944</v>
      </c>
      <c r="Q1280" s="267" t="s">
        <v>3944</v>
      </c>
      <c r="R1280" s="267">
        <v>8109</v>
      </c>
      <c r="S1280" s="267">
        <v>60435</v>
      </c>
      <c r="T1280" s="267">
        <v>68544</v>
      </c>
      <c r="U1280" s="268" t="s">
        <v>3945</v>
      </c>
      <c r="V1280" s="267" t="s">
        <v>944</v>
      </c>
    </row>
    <row r="1281" spans="1:22" hidden="1" x14ac:dyDescent="0.25">
      <c r="A1281" s="269">
        <v>43538</v>
      </c>
      <c r="B1281" s="270">
        <v>2019</v>
      </c>
      <c r="C1281" s="270">
        <v>2019</v>
      </c>
      <c r="D1281" s="270">
        <v>1</v>
      </c>
      <c r="E1281" s="270">
        <v>1</v>
      </c>
      <c r="F1281" s="270" t="s">
        <v>944</v>
      </c>
      <c r="G1281" s="270" t="s">
        <v>3926</v>
      </c>
      <c r="H1281" s="270" t="s">
        <v>5494</v>
      </c>
      <c r="I1281" s="270" t="s">
        <v>3025</v>
      </c>
      <c r="J1281" s="270" t="s">
        <v>3928</v>
      </c>
      <c r="K1281" s="270">
        <v>6473</v>
      </c>
      <c r="L1281" s="270">
        <v>167300</v>
      </c>
      <c r="M1281" s="270" t="s">
        <v>3943</v>
      </c>
      <c r="N1281" s="270" t="s">
        <v>3944</v>
      </c>
      <c r="O1281" s="270">
        <v>4428</v>
      </c>
      <c r="P1281" s="270" t="s">
        <v>3944</v>
      </c>
      <c r="Q1281" s="270" t="s">
        <v>3944</v>
      </c>
      <c r="R1281" s="270">
        <v>4428</v>
      </c>
      <c r="S1281" s="270">
        <v>28576.94</v>
      </c>
      <c r="T1281" s="270">
        <v>33004.94</v>
      </c>
      <c r="U1281" s="271" t="s">
        <v>3945</v>
      </c>
      <c r="V1281" s="267" t="s">
        <v>944</v>
      </c>
    </row>
    <row r="1282" spans="1:22" hidden="1" x14ac:dyDescent="0.25">
      <c r="A1282" s="266">
        <v>43538</v>
      </c>
      <c r="B1282" s="267">
        <v>2019</v>
      </c>
      <c r="C1282" s="267">
        <v>2019</v>
      </c>
      <c r="D1282" s="267">
        <v>1</v>
      </c>
      <c r="E1282" s="267">
        <v>1</v>
      </c>
      <c r="F1282" s="267" t="s">
        <v>944</v>
      </c>
      <c r="G1282" s="267" t="s">
        <v>3926</v>
      </c>
      <c r="H1282" s="267" t="s">
        <v>5495</v>
      </c>
      <c r="I1282" s="267" t="s">
        <v>4621</v>
      </c>
      <c r="J1282" s="267" t="s">
        <v>3928</v>
      </c>
      <c r="K1282" s="267">
        <v>6443</v>
      </c>
      <c r="L1282" s="267">
        <v>194201</v>
      </c>
      <c r="M1282" s="267" t="s">
        <v>3943</v>
      </c>
      <c r="N1282" s="267" t="s">
        <v>3944</v>
      </c>
      <c r="O1282" s="267">
        <v>5406</v>
      </c>
      <c r="P1282" s="267" t="s">
        <v>3944</v>
      </c>
      <c r="Q1282" s="267" t="s">
        <v>3944</v>
      </c>
      <c r="R1282" s="267">
        <v>5406</v>
      </c>
      <c r="S1282" s="267">
        <v>38481</v>
      </c>
      <c r="T1282" s="267">
        <v>43887</v>
      </c>
      <c r="U1282" s="268" t="s">
        <v>3945</v>
      </c>
      <c r="V1282" s="267" t="s">
        <v>944</v>
      </c>
    </row>
    <row r="1283" spans="1:22" hidden="1" x14ac:dyDescent="0.25">
      <c r="A1283" s="269">
        <v>43538</v>
      </c>
      <c r="B1283" s="270">
        <v>2019</v>
      </c>
      <c r="C1283" s="270">
        <v>2019</v>
      </c>
      <c r="D1283" s="270">
        <v>1</v>
      </c>
      <c r="E1283" s="270">
        <v>1</v>
      </c>
      <c r="F1283" s="270" t="s">
        <v>944</v>
      </c>
      <c r="G1283" s="270" t="s">
        <v>3926</v>
      </c>
      <c r="H1283" s="270" t="s">
        <v>5496</v>
      </c>
      <c r="I1283" s="270" t="s">
        <v>5497</v>
      </c>
      <c r="J1283" s="270" t="s">
        <v>3928</v>
      </c>
      <c r="K1283" s="270">
        <v>6897</v>
      </c>
      <c r="L1283" s="270">
        <v>45300</v>
      </c>
      <c r="M1283" s="270" t="s">
        <v>3943</v>
      </c>
      <c r="N1283" s="270" t="s">
        <v>3944</v>
      </c>
      <c r="O1283" s="270">
        <v>2010</v>
      </c>
      <c r="P1283" s="270" t="s">
        <v>3944</v>
      </c>
      <c r="Q1283" s="270" t="s">
        <v>3944</v>
      </c>
      <c r="R1283" s="270">
        <v>2010</v>
      </c>
      <c r="S1283" s="270">
        <v>23889</v>
      </c>
      <c r="T1283" s="270">
        <v>25899</v>
      </c>
      <c r="U1283" s="271" t="s">
        <v>3945</v>
      </c>
      <c r="V1283" s="267" t="s">
        <v>944</v>
      </c>
    </row>
    <row r="1284" spans="1:22" hidden="1" x14ac:dyDescent="0.25">
      <c r="A1284" s="266">
        <v>43538</v>
      </c>
      <c r="B1284" s="267">
        <v>2019</v>
      </c>
      <c r="C1284" s="267">
        <v>2019</v>
      </c>
      <c r="D1284" s="267">
        <v>1</v>
      </c>
      <c r="E1284" s="267">
        <v>1</v>
      </c>
      <c r="F1284" s="267" t="s">
        <v>944</v>
      </c>
      <c r="G1284" s="267" t="s">
        <v>3926</v>
      </c>
      <c r="H1284" s="267" t="s">
        <v>5498</v>
      </c>
      <c r="I1284" s="267" t="s">
        <v>934</v>
      </c>
      <c r="J1284" s="267" t="s">
        <v>3928</v>
      </c>
      <c r="K1284" s="267">
        <v>6606</v>
      </c>
      <c r="L1284" s="267">
        <v>72900</v>
      </c>
      <c r="M1284" s="267" t="s">
        <v>3940</v>
      </c>
      <c r="N1284" s="267" t="s">
        <v>3944</v>
      </c>
      <c r="O1284" s="267">
        <v>2848</v>
      </c>
      <c r="P1284" s="267" t="s">
        <v>3944</v>
      </c>
      <c r="Q1284" s="267" t="s">
        <v>3944</v>
      </c>
      <c r="R1284" s="267">
        <v>2848</v>
      </c>
      <c r="S1284" s="267">
        <v>34952</v>
      </c>
      <c r="T1284" s="267">
        <v>37800</v>
      </c>
      <c r="U1284" s="268" t="s">
        <v>3945</v>
      </c>
      <c r="V1284" s="267" t="s">
        <v>944</v>
      </c>
    </row>
    <row r="1285" spans="1:22" hidden="1" x14ac:dyDescent="0.25">
      <c r="A1285" s="269">
        <v>43538</v>
      </c>
      <c r="B1285" s="270">
        <v>2019</v>
      </c>
      <c r="C1285" s="270">
        <v>2019</v>
      </c>
      <c r="D1285" s="270">
        <v>1</v>
      </c>
      <c r="E1285" s="270">
        <v>1</v>
      </c>
      <c r="F1285" s="270" t="s">
        <v>944</v>
      </c>
      <c r="G1285" s="270" t="s">
        <v>3926</v>
      </c>
      <c r="H1285" s="270" t="s">
        <v>5499</v>
      </c>
      <c r="I1285" s="270" t="s">
        <v>4290</v>
      </c>
      <c r="J1285" s="270" t="s">
        <v>3928</v>
      </c>
      <c r="K1285" s="270">
        <v>6798</v>
      </c>
      <c r="L1285" s="270">
        <v>362102</v>
      </c>
      <c r="M1285" s="270" t="s">
        <v>3960</v>
      </c>
      <c r="N1285" s="270" t="s">
        <v>3944</v>
      </c>
      <c r="O1285" s="270">
        <v>2080</v>
      </c>
      <c r="P1285" s="270" t="s">
        <v>3944</v>
      </c>
      <c r="Q1285" s="270" t="s">
        <v>3944</v>
      </c>
      <c r="R1285" s="270">
        <v>2080</v>
      </c>
      <c r="S1285" s="270">
        <v>27910</v>
      </c>
      <c r="T1285" s="270">
        <v>29990</v>
      </c>
      <c r="U1285" s="271" t="s">
        <v>3945</v>
      </c>
      <c r="V1285" s="267" t="s">
        <v>944</v>
      </c>
    </row>
    <row r="1286" spans="1:22" hidden="1" x14ac:dyDescent="0.25">
      <c r="A1286" s="266">
        <v>43538</v>
      </c>
      <c r="B1286" s="267">
        <v>2019</v>
      </c>
      <c r="C1286" s="267">
        <v>2019</v>
      </c>
      <c r="D1286" s="267">
        <v>1</v>
      </c>
      <c r="E1286" s="267">
        <v>1</v>
      </c>
      <c r="F1286" s="267" t="s">
        <v>944</v>
      </c>
      <c r="G1286" s="267" t="s">
        <v>3926</v>
      </c>
      <c r="H1286" s="267" t="s">
        <v>5500</v>
      </c>
      <c r="I1286" s="267" t="s">
        <v>4203</v>
      </c>
      <c r="J1286" s="267" t="s">
        <v>3928</v>
      </c>
      <c r="K1286" s="267">
        <v>6071</v>
      </c>
      <c r="L1286" s="267">
        <v>538201</v>
      </c>
      <c r="M1286" s="267" t="s">
        <v>3943</v>
      </c>
      <c r="N1286" s="267" t="s">
        <v>3944</v>
      </c>
      <c r="O1286" s="267">
        <v>2331</v>
      </c>
      <c r="P1286" s="267" t="s">
        <v>3944</v>
      </c>
      <c r="Q1286" s="267" t="s">
        <v>3944</v>
      </c>
      <c r="R1286" s="267">
        <v>2331</v>
      </c>
      <c r="S1286" s="267">
        <v>15669</v>
      </c>
      <c r="T1286" s="267">
        <v>18000</v>
      </c>
      <c r="U1286" s="268" t="s">
        <v>3945</v>
      </c>
      <c r="V1286" s="267" t="s">
        <v>944</v>
      </c>
    </row>
    <row r="1287" spans="1:22" hidden="1" x14ac:dyDescent="0.25">
      <c r="A1287" s="269">
        <v>43538</v>
      </c>
      <c r="B1287" s="270">
        <v>2019</v>
      </c>
      <c r="C1287" s="270">
        <v>2019</v>
      </c>
      <c r="D1287" s="270">
        <v>1</v>
      </c>
      <c r="E1287" s="270">
        <v>1</v>
      </c>
      <c r="F1287" s="270" t="s">
        <v>944</v>
      </c>
      <c r="G1287" s="270" t="s">
        <v>3926</v>
      </c>
      <c r="H1287" s="270" t="s">
        <v>5501</v>
      </c>
      <c r="I1287" s="270" t="s">
        <v>3025</v>
      </c>
      <c r="J1287" s="270" t="s">
        <v>3928</v>
      </c>
      <c r="K1287" s="270">
        <v>6473</v>
      </c>
      <c r="L1287" s="270">
        <v>167300</v>
      </c>
      <c r="M1287" s="270" t="s">
        <v>3943</v>
      </c>
      <c r="N1287" s="270" t="s">
        <v>3944</v>
      </c>
      <c r="O1287" s="270">
        <v>5594</v>
      </c>
      <c r="P1287" s="270" t="s">
        <v>3944</v>
      </c>
      <c r="Q1287" s="270" t="s">
        <v>3944</v>
      </c>
      <c r="R1287" s="270">
        <v>5594</v>
      </c>
      <c r="S1287" s="270">
        <v>71896</v>
      </c>
      <c r="T1287" s="270">
        <v>77490</v>
      </c>
      <c r="U1287" s="271" t="s">
        <v>3945</v>
      </c>
      <c r="V1287" s="267" t="s">
        <v>944</v>
      </c>
    </row>
    <row r="1288" spans="1:22" hidden="1" x14ac:dyDescent="0.25">
      <c r="A1288" s="266">
        <v>43538</v>
      </c>
      <c r="B1288" s="267">
        <v>2019</v>
      </c>
      <c r="C1288" s="267">
        <v>2019</v>
      </c>
      <c r="D1288" s="267">
        <v>1</v>
      </c>
      <c r="E1288" s="267">
        <v>1</v>
      </c>
      <c r="F1288" s="267" t="s">
        <v>944</v>
      </c>
      <c r="G1288" s="267" t="s">
        <v>3926</v>
      </c>
      <c r="H1288" s="267" t="s">
        <v>5502</v>
      </c>
      <c r="I1288" s="267" t="s">
        <v>4269</v>
      </c>
      <c r="J1288" s="267" t="s">
        <v>3928</v>
      </c>
      <c r="K1288" s="267">
        <v>6119</v>
      </c>
      <c r="L1288" s="267">
        <v>497000</v>
      </c>
      <c r="M1288" s="267" t="s">
        <v>3943</v>
      </c>
      <c r="N1288" s="267" t="s">
        <v>3944</v>
      </c>
      <c r="O1288" s="267">
        <v>2665</v>
      </c>
      <c r="P1288" s="267" t="s">
        <v>3944</v>
      </c>
      <c r="Q1288" s="267" t="s">
        <v>3944</v>
      </c>
      <c r="R1288" s="267">
        <v>2665</v>
      </c>
      <c r="S1288" s="267">
        <v>18160</v>
      </c>
      <c r="T1288" s="267">
        <v>20825</v>
      </c>
      <c r="U1288" s="268" t="s">
        <v>3945</v>
      </c>
      <c r="V1288" s="267" t="s">
        <v>944</v>
      </c>
    </row>
    <row r="1289" spans="1:22" hidden="1" x14ac:dyDescent="0.25">
      <c r="A1289" s="269">
        <v>43538</v>
      </c>
      <c r="B1289" s="270">
        <v>2019</v>
      </c>
      <c r="C1289" s="270">
        <v>2019</v>
      </c>
      <c r="D1289" s="270">
        <v>1</v>
      </c>
      <c r="E1289" s="270">
        <v>1</v>
      </c>
      <c r="F1289" s="270" t="s">
        <v>944</v>
      </c>
      <c r="G1289" s="270" t="s">
        <v>3926</v>
      </c>
      <c r="H1289" s="270" t="s">
        <v>5503</v>
      </c>
      <c r="I1289" s="270" t="s">
        <v>4235</v>
      </c>
      <c r="J1289" s="270" t="s">
        <v>3928</v>
      </c>
      <c r="K1289" s="270">
        <v>6066</v>
      </c>
      <c r="L1289" s="270">
        <v>530302</v>
      </c>
      <c r="M1289" s="270" t="s">
        <v>3935</v>
      </c>
      <c r="N1289" s="270" t="s">
        <v>3944</v>
      </c>
      <c r="O1289" s="270">
        <v>331</v>
      </c>
      <c r="P1289" s="270" t="s">
        <v>3944</v>
      </c>
      <c r="Q1289" s="270" t="s">
        <v>3944</v>
      </c>
      <c r="R1289" s="270">
        <v>331</v>
      </c>
      <c r="S1289" s="270">
        <v>4499</v>
      </c>
      <c r="T1289" s="270">
        <v>4830</v>
      </c>
      <c r="U1289" s="271" t="s">
        <v>3945</v>
      </c>
      <c r="V1289" s="267" t="s">
        <v>944</v>
      </c>
    </row>
    <row r="1290" spans="1:22" hidden="1" x14ac:dyDescent="0.25">
      <c r="A1290" s="266">
        <v>43538</v>
      </c>
      <c r="B1290" s="267">
        <v>2019</v>
      </c>
      <c r="C1290" s="267">
        <v>2019</v>
      </c>
      <c r="D1290" s="267">
        <v>1</v>
      </c>
      <c r="E1290" s="267">
        <v>1</v>
      </c>
      <c r="F1290" s="267" t="s">
        <v>944</v>
      </c>
      <c r="G1290" s="267" t="s">
        <v>3926</v>
      </c>
      <c r="H1290" s="267" t="s">
        <v>5504</v>
      </c>
      <c r="I1290" s="267" t="s">
        <v>3025</v>
      </c>
      <c r="J1290" s="267" t="s">
        <v>3928</v>
      </c>
      <c r="K1290" s="267">
        <v>6473</v>
      </c>
      <c r="L1290" s="267">
        <v>167300</v>
      </c>
      <c r="M1290" s="267" t="s">
        <v>3943</v>
      </c>
      <c r="N1290" s="267" t="s">
        <v>3944</v>
      </c>
      <c r="O1290" s="267">
        <v>5895</v>
      </c>
      <c r="P1290" s="267" t="s">
        <v>3944</v>
      </c>
      <c r="Q1290" s="267" t="s">
        <v>3944</v>
      </c>
      <c r="R1290" s="267">
        <v>5895</v>
      </c>
      <c r="S1290" s="267">
        <v>36084.6</v>
      </c>
      <c r="T1290" s="267">
        <v>41979.6</v>
      </c>
      <c r="U1290" s="268" t="s">
        <v>3945</v>
      </c>
      <c r="V1290" s="267" t="s">
        <v>944</v>
      </c>
    </row>
    <row r="1291" spans="1:22" hidden="1" x14ac:dyDescent="0.25">
      <c r="A1291" s="269">
        <v>43538</v>
      </c>
      <c r="B1291" s="270">
        <v>2019</v>
      </c>
      <c r="C1291" s="270">
        <v>2019</v>
      </c>
      <c r="D1291" s="270">
        <v>1</v>
      </c>
      <c r="E1291" s="270">
        <v>1</v>
      </c>
      <c r="F1291" s="270" t="s">
        <v>944</v>
      </c>
      <c r="G1291" s="270" t="s">
        <v>3926</v>
      </c>
      <c r="H1291" s="270" t="s">
        <v>5505</v>
      </c>
      <c r="I1291" s="270" t="s">
        <v>4731</v>
      </c>
      <c r="J1291" s="270" t="s">
        <v>3928</v>
      </c>
      <c r="K1291" s="270">
        <v>6478</v>
      </c>
      <c r="L1291" s="270">
        <v>346101</v>
      </c>
      <c r="M1291" s="270" t="s">
        <v>3943</v>
      </c>
      <c r="N1291" s="270" t="s">
        <v>3944</v>
      </c>
      <c r="O1291" s="270">
        <v>2434</v>
      </c>
      <c r="P1291" s="270" t="s">
        <v>3944</v>
      </c>
      <c r="Q1291" s="270" t="s">
        <v>3944</v>
      </c>
      <c r="R1291" s="270">
        <v>2434</v>
      </c>
      <c r="S1291" s="270">
        <v>23081</v>
      </c>
      <c r="T1291" s="270">
        <v>25515</v>
      </c>
      <c r="U1291" s="271" t="s">
        <v>3945</v>
      </c>
      <c r="V1291" s="267" t="s">
        <v>944</v>
      </c>
    </row>
    <row r="1292" spans="1:22" hidden="1" x14ac:dyDescent="0.25">
      <c r="A1292" s="266">
        <v>43538</v>
      </c>
      <c r="B1292" s="267">
        <v>2019</v>
      </c>
      <c r="C1292" s="267">
        <v>2019</v>
      </c>
      <c r="D1292" s="267">
        <v>1</v>
      </c>
      <c r="E1292" s="267">
        <v>1</v>
      </c>
      <c r="F1292" s="267" t="s">
        <v>944</v>
      </c>
      <c r="G1292" s="267" t="s">
        <v>3926</v>
      </c>
      <c r="H1292" s="267" t="s">
        <v>5506</v>
      </c>
      <c r="I1292" s="267" t="s">
        <v>2987</v>
      </c>
      <c r="J1292" s="267" t="s">
        <v>3928</v>
      </c>
      <c r="K1292" s="267">
        <v>6611</v>
      </c>
      <c r="L1292" s="267">
        <v>90700</v>
      </c>
      <c r="M1292" s="267" t="s">
        <v>3943</v>
      </c>
      <c r="N1292" s="267" t="s">
        <v>3944</v>
      </c>
      <c r="O1292" s="267">
        <v>3793</v>
      </c>
      <c r="P1292" s="267" t="s">
        <v>3944</v>
      </c>
      <c r="Q1292" s="267" t="s">
        <v>3944</v>
      </c>
      <c r="R1292" s="267">
        <v>3793</v>
      </c>
      <c r="S1292" s="267">
        <v>35317.93</v>
      </c>
      <c r="T1292" s="267">
        <v>39110.93</v>
      </c>
      <c r="U1292" s="268" t="s">
        <v>3945</v>
      </c>
      <c r="V1292" s="267" t="s">
        <v>944</v>
      </c>
    </row>
    <row r="1293" spans="1:22" x14ac:dyDescent="0.25">
      <c r="A1293" s="269">
        <v>43538</v>
      </c>
      <c r="B1293" s="270">
        <v>2019</v>
      </c>
      <c r="C1293" s="270">
        <v>2019</v>
      </c>
      <c r="D1293" s="270">
        <v>1</v>
      </c>
      <c r="E1293" s="270">
        <v>1</v>
      </c>
      <c r="F1293" s="270" t="s">
        <v>944</v>
      </c>
      <c r="G1293" s="270" t="s">
        <v>3926</v>
      </c>
      <c r="H1293" s="270" t="s">
        <v>5507</v>
      </c>
      <c r="I1293" s="270" t="s">
        <v>943</v>
      </c>
      <c r="J1293" s="270" t="s">
        <v>3928</v>
      </c>
      <c r="K1293" s="270">
        <v>6513</v>
      </c>
      <c r="L1293" s="270">
        <v>142603</v>
      </c>
      <c r="M1293" s="270">
        <v>-60</v>
      </c>
      <c r="N1293" s="270" t="s">
        <v>3944</v>
      </c>
      <c r="O1293" s="270">
        <v>1972</v>
      </c>
      <c r="P1293" s="270" t="s">
        <v>3944</v>
      </c>
      <c r="Q1293" s="270" t="s">
        <v>3944</v>
      </c>
      <c r="R1293" s="270">
        <v>1972</v>
      </c>
      <c r="S1293" s="270">
        <v>18534.5</v>
      </c>
      <c r="T1293" s="270">
        <v>20506.5</v>
      </c>
      <c r="U1293" s="271" t="s">
        <v>3945</v>
      </c>
      <c r="V1293" s="276" t="s">
        <v>936</v>
      </c>
    </row>
    <row r="1294" spans="1:22" hidden="1" x14ac:dyDescent="0.25">
      <c r="A1294" s="266">
        <v>43538</v>
      </c>
      <c r="B1294" s="267">
        <v>2019</v>
      </c>
      <c r="C1294" s="267">
        <v>2019</v>
      </c>
      <c r="D1294" s="267">
        <v>1</v>
      </c>
      <c r="E1294" s="267">
        <v>1</v>
      </c>
      <c r="F1294" s="267" t="s">
        <v>944</v>
      </c>
      <c r="G1294" s="267" t="s">
        <v>3926</v>
      </c>
      <c r="H1294" s="267" t="s">
        <v>5508</v>
      </c>
      <c r="I1294" s="267" t="s">
        <v>956</v>
      </c>
      <c r="J1294" s="267" t="s">
        <v>3928</v>
      </c>
      <c r="K1294" s="267">
        <v>6614</v>
      </c>
      <c r="L1294" s="267">
        <v>81200</v>
      </c>
      <c r="M1294" s="267" t="s">
        <v>3943</v>
      </c>
      <c r="N1294" s="267" t="s">
        <v>3944</v>
      </c>
      <c r="O1294" s="267">
        <v>2958.52</v>
      </c>
      <c r="P1294" s="267" t="s">
        <v>3944</v>
      </c>
      <c r="Q1294" s="267" t="s">
        <v>3944</v>
      </c>
      <c r="R1294" s="267">
        <v>2958.52</v>
      </c>
      <c r="S1294" s="267">
        <v>37038.400000000001</v>
      </c>
      <c r="T1294" s="267">
        <v>39996.92</v>
      </c>
      <c r="U1294" s="268" t="s">
        <v>3945</v>
      </c>
      <c r="V1294" s="267" t="s">
        <v>944</v>
      </c>
    </row>
    <row r="1295" spans="1:22" hidden="1" x14ac:dyDescent="0.25">
      <c r="A1295" s="269">
        <v>43538</v>
      </c>
      <c r="B1295" s="270">
        <v>2019</v>
      </c>
      <c r="C1295" s="270">
        <v>2019</v>
      </c>
      <c r="D1295" s="270">
        <v>1</v>
      </c>
      <c r="E1295" s="270">
        <v>1</v>
      </c>
      <c r="F1295" s="270" t="s">
        <v>944</v>
      </c>
      <c r="G1295" s="270" t="s">
        <v>3926</v>
      </c>
      <c r="H1295" s="270" t="s">
        <v>5509</v>
      </c>
      <c r="I1295" s="270" t="s">
        <v>3010</v>
      </c>
      <c r="J1295" s="270" t="s">
        <v>3928</v>
      </c>
      <c r="K1295" s="270">
        <v>6401</v>
      </c>
      <c r="L1295" s="270">
        <v>125400</v>
      </c>
      <c r="M1295" s="270">
        <v>-60</v>
      </c>
      <c r="N1295" s="270" t="s">
        <v>3944</v>
      </c>
      <c r="O1295" s="270">
        <v>1428.74</v>
      </c>
      <c r="P1295" s="270" t="s">
        <v>3944</v>
      </c>
      <c r="Q1295" s="270" t="s">
        <v>3944</v>
      </c>
      <c r="R1295" s="270">
        <v>1428.74</v>
      </c>
      <c r="S1295" s="270">
        <v>28788.87</v>
      </c>
      <c r="T1295" s="270">
        <v>30217.61</v>
      </c>
      <c r="U1295" s="271" t="s">
        <v>3945</v>
      </c>
      <c r="V1295" s="267" t="s">
        <v>944</v>
      </c>
    </row>
    <row r="1296" spans="1:22" hidden="1" x14ac:dyDescent="0.25">
      <c r="A1296" s="266">
        <v>43538</v>
      </c>
      <c r="B1296" s="267">
        <v>2019</v>
      </c>
      <c r="C1296" s="267">
        <v>2019</v>
      </c>
      <c r="D1296" s="267">
        <v>1</v>
      </c>
      <c r="E1296" s="267">
        <v>1</v>
      </c>
      <c r="F1296" s="267" t="s">
        <v>944</v>
      </c>
      <c r="G1296" s="267" t="s">
        <v>3926</v>
      </c>
      <c r="H1296" s="267" t="s">
        <v>5510</v>
      </c>
      <c r="I1296" s="267" t="s">
        <v>4254</v>
      </c>
      <c r="J1296" s="267" t="s">
        <v>3928</v>
      </c>
      <c r="K1296" s="267">
        <v>6076</v>
      </c>
      <c r="L1296" s="267">
        <v>890201</v>
      </c>
      <c r="M1296" s="267" t="s">
        <v>3960</v>
      </c>
      <c r="N1296" s="267" t="s">
        <v>3944</v>
      </c>
      <c r="O1296" s="267">
        <v>3228.12</v>
      </c>
      <c r="P1296" s="267" t="s">
        <v>3944</v>
      </c>
      <c r="Q1296" s="267" t="s">
        <v>3944</v>
      </c>
      <c r="R1296" s="267">
        <v>3228.12</v>
      </c>
      <c r="S1296" s="267">
        <v>45821.88</v>
      </c>
      <c r="T1296" s="267">
        <v>49050</v>
      </c>
      <c r="U1296" s="268" t="s">
        <v>3945</v>
      </c>
      <c r="V1296" s="267" t="s">
        <v>944</v>
      </c>
    </row>
    <row r="1297" spans="1:22" hidden="1" x14ac:dyDescent="0.25">
      <c r="A1297" s="269">
        <v>43538</v>
      </c>
      <c r="B1297" s="270">
        <v>2019</v>
      </c>
      <c r="C1297" s="270">
        <v>2019</v>
      </c>
      <c r="D1297" s="270">
        <v>1</v>
      </c>
      <c r="E1297" s="270">
        <v>1</v>
      </c>
      <c r="F1297" s="270" t="s">
        <v>944</v>
      </c>
      <c r="G1297" s="270" t="s">
        <v>3926</v>
      </c>
      <c r="H1297" s="270" t="s">
        <v>5511</v>
      </c>
      <c r="I1297" s="270" t="s">
        <v>3966</v>
      </c>
      <c r="J1297" s="270" t="s">
        <v>3928</v>
      </c>
      <c r="K1297" s="270">
        <v>6010</v>
      </c>
      <c r="L1297" s="270">
        <v>405200</v>
      </c>
      <c r="M1297" s="270" t="s">
        <v>3940</v>
      </c>
      <c r="N1297" s="270" t="s">
        <v>3944</v>
      </c>
      <c r="O1297" s="270">
        <v>2945.85</v>
      </c>
      <c r="P1297" s="270" t="s">
        <v>3944</v>
      </c>
      <c r="Q1297" s="270" t="s">
        <v>3944</v>
      </c>
      <c r="R1297" s="270">
        <v>2945.85</v>
      </c>
      <c r="S1297" s="270">
        <v>52828.15</v>
      </c>
      <c r="T1297" s="270">
        <v>55774</v>
      </c>
      <c r="U1297" s="271" t="s">
        <v>3945</v>
      </c>
      <c r="V1297" s="267" t="s">
        <v>944</v>
      </c>
    </row>
    <row r="1298" spans="1:22" hidden="1" x14ac:dyDescent="0.25">
      <c r="A1298" s="266">
        <v>43538</v>
      </c>
      <c r="B1298" s="267">
        <v>2019</v>
      </c>
      <c r="C1298" s="267">
        <v>2019</v>
      </c>
      <c r="D1298" s="267">
        <v>1</v>
      </c>
      <c r="E1298" s="267">
        <v>1</v>
      </c>
      <c r="F1298" s="267" t="s">
        <v>944</v>
      </c>
      <c r="G1298" s="267" t="s">
        <v>3926</v>
      </c>
      <c r="H1298" s="267" t="s">
        <v>5512</v>
      </c>
      <c r="I1298" s="267" t="s">
        <v>3025</v>
      </c>
      <c r="J1298" s="267" t="s">
        <v>3928</v>
      </c>
      <c r="K1298" s="267">
        <v>6473</v>
      </c>
      <c r="L1298" s="267">
        <v>167300</v>
      </c>
      <c r="M1298" s="267" t="s">
        <v>3943</v>
      </c>
      <c r="N1298" s="267" t="s">
        <v>3944</v>
      </c>
      <c r="O1298" s="267">
        <v>1502.8</v>
      </c>
      <c r="P1298" s="267" t="s">
        <v>3944</v>
      </c>
      <c r="Q1298" s="267" t="s">
        <v>3944</v>
      </c>
      <c r="R1298" s="267">
        <v>1502.8</v>
      </c>
      <c r="S1298" s="267">
        <v>32487.21</v>
      </c>
      <c r="T1298" s="267">
        <v>33990.01</v>
      </c>
      <c r="U1298" s="268" t="s">
        <v>3945</v>
      </c>
      <c r="V1298" s="267" t="s">
        <v>944</v>
      </c>
    </row>
    <row r="1299" spans="1:22" hidden="1" x14ac:dyDescent="0.25">
      <c r="A1299" s="269">
        <v>43538</v>
      </c>
      <c r="B1299" s="270">
        <v>2019</v>
      </c>
      <c r="C1299" s="270">
        <v>2019</v>
      </c>
      <c r="D1299" s="270">
        <v>1</v>
      </c>
      <c r="E1299" s="270">
        <v>1</v>
      </c>
      <c r="F1299" s="270" t="s">
        <v>944</v>
      </c>
      <c r="G1299" s="270" t="s">
        <v>3926</v>
      </c>
      <c r="H1299" s="270" t="s">
        <v>5513</v>
      </c>
      <c r="I1299" s="270" t="s">
        <v>4029</v>
      </c>
      <c r="J1299" s="270" t="s">
        <v>3928</v>
      </c>
      <c r="K1299" s="270">
        <v>6850</v>
      </c>
      <c r="L1299" s="270">
        <v>43300</v>
      </c>
      <c r="M1299" s="270" t="s">
        <v>3935</v>
      </c>
      <c r="N1299" s="270" t="s">
        <v>3944</v>
      </c>
      <c r="O1299" s="270">
        <v>1570.42</v>
      </c>
      <c r="P1299" s="270" t="s">
        <v>3944</v>
      </c>
      <c r="Q1299" s="270" t="s">
        <v>3944</v>
      </c>
      <c r="R1299" s="270">
        <v>1570.42</v>
      </c>
      <c r="S1299" s="270">
        <v>25128.98</v>
      </c>
      <c r="T1299" s="270">
        <v>26699.4</v>
      </c>
      <c r="U1299" s="271" t="s">
        <v>3945</v>
      </c>
      <c r="V1299" s="267" t="s">
        <v>944</v>
      </c>
    </row>
    <row r="1300" spans="1:22" hidden="1" x14ac:dyDescent="0.25">
      <c r="A1300" s="266">
        <v>43538</v>
      </c>
      <c r="B1300" s="267">
        <v>2019</v>
      </c>
      <c r="C1300" s="267">
        <v>2019</v>
      </c>
      <c r="D1300" s="267">
        <v>1</v>
      </c>
      <c r="E1300" s="267">
        <v>1</v>
      </c>
      <c r="F1300" s="267" t="s">
        <v>944</v>
      </c>
      <c r="G1300" s="267" t="s">
        <v>3926</v>
      </c>
      <c r="H1300" s="267" t="s">
        <v>5514</v>
      </c>
      <c r="I1300" s="267" t="s">
        <v>3011</v>
      </c>
      <c r="J1300" s="267" t="s">
        <v>3928</v>
      </c>
      <c r="K1300" s="267">
        <v>6418</v>
      </c>
      <c r="L1300" s="267">
        <v>120200</v>
      </c>
      <c r="M1300" s="267">
        <v>-60</v>
      </c>
      <c r="N1300" s="267" t="s">
        <v>3944</v>
      </c>
      <c r="O1300" s="267">
        <v>2305.42</v>
      </c>
      <c r="P1300" s="267" t="s">
        <v>3944</v>
      </c>
      <c r="Q1300" s="267" t="s">
        <v>3944</v>
      </c>
      <c r="R1300" s="267">
        <v>2305.42</v>
      </c>
      <c r="S1300" s="267">
        <v>35249.58</v>
      </c>
      <c r="T1300" s="267">
        <v>37555</v>
      </c>
      <c r="U1300" s="268" t="s">
        <v>3945</v>
      </c>
      <c r="V1300" s="267" t="s">
        <v>944</v>
      </c>
    </row>
    <row r="1301" spans="1:22" hidden="1" x14ac:dyDescent="0.25">
      <c r="A1301" s="269">
        <v>43539</v>
      </c>
      <c r="B1301" s="270">
        <v>2019</v>
      </c>
      <c r="C1301" s="270">
        <v>2019</v>
      </c>
      <c r="D1301" s="270">
        <v>1</v>
      </c>
      <c r="E1301" s="270">
        <v>1</v>
      </c>
      <c r="F1301" s="270" t="s">
        <v>944</v>
      </c>
      <c r="G1301" s="270" t="s">
        <v>3926</v>
      </c>
      <c r="H1301" s="270" t="s">
        <v>5515</v>
      </c>
      <c r="I1301" s="270" t="s">
        <v>3012</v>
      </c>
      <c r="J1301" s="270" t="s">
        <v>3928</v>
      </c>
      <c r="K1301" s="270">
        <v>6477</v>
      </c>
      <c r="L1301" s="270">
        <v>157400</v>
      </c>
      <c r="M1301" s="270" t="s">
        <v>3943</v>
      </c>
      <c r="N1301" s="270" t="s">
        <v>5516</v>
      </c>
      <c r="O1301" s="270">
        <v>0</v>
      </c>
      <c r="P1301" s="270" t="s">
        <v>3930</v>
      </c>
      <c r="Q1301" s="270" t="s">
        <v>3930</v>
      </c>
      <c r="R1301" s="270">
        <v>0</v>
      </c>
      <c r="S1301" s="270">
        <v>8350</v>
      </c>
      <c r="T1301" s="270">
        <v>8350</v>
      </c>
      <c r="U1301" s="271" t="s">
        <v>3937</v>
      </c>
      <c r="V1301" s="267" t="s">
        <v>944</v>
      </c>
    </row>
    <row r="1302" spans="1:22" hidden="1" x14ac:dyDescent="0.25">
      <c r="A1302" s="266">
        <v>43539</v>
      </c>
      <c r="B1302" s="267">
        <v>2019</v>
      </c>
      <c r="C1302" s="267">
        <v>2019</v>
      </c>
      <c r="D1302" s="267">
        <v>1</v>
      </c>
      <c r="E1302" s="267">
        <v>1</v>
      </c>
      <c r="F1302" s="267" t="s">
        <v>944</v>
      </c>
      <c r="G1302" s="267" t="s">
        <v>3926</v>
      </c>
      <c r="H1302" s="267" t="s">
        <v>5517</v>
      </c>
      <c r="I1302" s="267" t="s">
        <v>3968</v>
      </c>
      <c r="J1302" s="267" t="s">
        <v>3928</v>
      </c>
      <c r="K1302" s="267">
        <v>6040</v>
      </c>
      <c r="L1302" s="267">
        <v>515200</v>
      </c>
      <c r="M1302" s="267" t="s">
        <v>3943</v>
      </c>
      <c r="N1302" s="267" t="s">
        <v>5518</v>
      </c>
      <c r="O1302" s="267">
        <v>0</v>
      </c>
      <c r="P1302" s="267" t="s">
        <v>3930</v>
      </c>
      <c r="Q1302" s="267" t="s">
        <v>3930</v>
      </c>
      <c r="R1302" s="267">
        <v>0</v>
      </c>
      <c r="S1302" s="267">
        <v>20912.66</v>
      </c>
      <c r="T1302" s="267">
        <v>20912.66</v>
      </c>
      <c r="U1302" s="268" t="s">
        <v>3937</v>
      </c>
      <c r="V1302" s="267" t="s">
        <v>944</v>
      </c>
    </row>
    <row r="1303" spans="1:22" hidden="1" x14ac:dyDescent="0.25">
      <c r="A1303" s="269">
        <v>43539</v>
      </c>
      <c r="B1303" s="270">
        <v>2019</v>
      </c>
      <c r="C1303" s="270">
        <v>2019</v>
      </c>
      <c r="D1303" s="270">
        <v>1</v>
      </c>
      <c r="E1303" s="270">
        <v>1</v>
      </c>
      <c r="F1303" s="270" t="s">
        <v>944</v>
      </c>
      <c r="G1303" s="270" t="s">
        <v>3926</v>
      </c>
      <c r="H1303" s="270" t="s">
        <v>5519</v>
      </c>
      <c r="I1303" s="270" t="s">
        <v>3956</v>
      </c>
      <c r="J1303" s="270" t="s">
        <v>3928</v>
      </c>
      <c r="K1303" s="270">
        <v>6106</v>
      </c>
      <c r="L1303" s="270">
        <v>524700</v>
      </c>
      <c r="M1303" s="270" t="s">
        <v>3935</v>
      </c>
      <c r="N1303" s="270" t="s">
        <v>4103</v>
      </c>
      <c r="O1303" s="270">
        <v>1686.34</v>
      </c>
      <c r="P1303" s="270" t="s">
        <v>3930</v>
      </c>
      <c r="Q1303" s="270" t="s">
        <v>3931</v>
      </c>
      <c r="R1303" s="270">
        <v>6686.34</v>
      </c>
      <c r="S1303" s="270">
        <v>24145.599999999999</v>
      </c>
      <c r="T1303" s="270">
        <v>30831.94</v>
      </c>
      <c r="U1303" s="271" t="s">
        <v>3932</v>
      </c>
      <c r="V1303" s="267" t="s">
        <v>944</v>
      </c>
    </row>
    <row r="1304" spans="1:22" hidden="1" x14ac:dyDescent="0.25">
      <c r="A1304" s="266">
        <v>43539</v>
      </c>
      <c r="B1304" s="267">
        <v>2019</v>
      </c>
      <c r="C1304" s="267">
        <v>2019</v>
      </c>
      <c r="D1304" s="267">
        <v>1</v>
      </c>
      <c r="E1304" s="267">
        <v>1</v>
      </c>
      <c r="F1304" s="267" t="s">
        <v>944</v>
      </c>
      <c r="G1304" s="267" t="s">
        <v>3926</v>
      </c>
      <c r="H1304" s="267" t="s">
        <v>5520</v>
      </c>
      <c r="I1304" s="267" t="s">
        <v>3956</v>
      </c>
      <c r="J1304" s="267" t="s">
        <v>3928</v>
      </c>
      <c r="K1304" s="267">
        <v>6112</v>
      </c>
      <c r="L1304" s="267">
        <v>503900</v>
      </c>
      <c r="M1304" s="267">
        <v>-60</v>
      </c>
      <c r="N1304" s="267" t="s">
        <v>4714</v>
      </c>
      <c r="O1304" s="267">
        <v>3995.01</v>
      </c>
      <c r="P1304" s="267" t="s">
        <v>3930</v>
      </c>
      <c r="Q1304" s="267" t="s">
        <v>3931</v>
      </c>
      <c r="R1304" s="267">
        <v>8995.01</v>
      </c>
      <c r="S1304" s="267">
        <v>24518.2</v>
      </c>
      <c r="T1304" s="267">
        <v>33513.21</v>
      </c>
      <c r="U1304" s="268" t="s">
        <v>3932</v>
      </c>
      <c r="V1304" s="267" t="s">
        <v>944</v>
      </c>
    </row>
    <row r="1305" spans="1:22" hidden="1" x14ac:dyDescent="0.25">
      <c r="A1305" s="269">
        <v>43539</v>
      </c>
      <c r="B1305" s="270">
        <v>2019</v>
      </c>
      <c r="C1305" s="270">
        <v>2019</v>
      </c>
      <c r="D1305" s="270">
        <v>1</v>
      </c>
      <c r="E1305" s="270">
        <v>1</v>
      </c>
      <c r="F1305" s="270" t="s">
        <v>944</v>
      </c>
      <c r="G1305" s="270" t="s">
        <v>3926</v>
      </c>
      <c r="H1305" s="270" t="s">
        <v>5521</v>
      </c>
      <c r="I1305" s="270" t="s">
        <v>4029</v>
      </c>
      <c r="J1305" s="270" t="s">
        <v>3928</v>
      </c>
      <c r="K1305" s="270">
        <v>6851</v>
      </c>
      <c r="L1305" s="270">
        <v>43500</v>
      </c>
      <c r="M1305" s="270" t="s">
        <v>3943</v>
      </c>
      <c r="N1305" s="270" t="s">
        <v>4103</v>
      </c>
      <c r="O1305" s="270">
        <v>4699.22</v>
      </c>
      <c r="P1305" s="270" t="s">
        <v>3930</v>
      </c>
      <c r="Q1305" s="270" t="s">
        <v>3931</v>
      </c>
      <c r="R1305" s="270">
        <v>9699.2199999999993</v>
      </c>
      <c r="S1305" s="270">
        <v>24145.599999999999</v>
      </c>
      <c r="T1305" s="270">
        <v>33844.82</v>
      </c>
      <c r="U1305" s="271" t="s">
        <v>3932</v>
      </c>
      <c r="V1305" s="267" t="s">
        <v>944</v>
      </c>
    </row>
    <row r="1306" spans="1:22" hidden="1" x14ac:dyDescent="0.25">
      <c r="A1306" s="266">
        <v>43539</v>
      </c>
      <c r="B1306" s="267">
        <v>2019</v>
      </c>
      <c r="C1306" s="267">
        <v>2019</v>
      </c>
      <c r="D1306" s="267">
        <v>1</v>
      </c>
      <c r="E1306" s="267">
        <v>1</v>
      </c>
      <c r="F1306" s="267" t="s">
        <v>944</v>
      </c>
      <c r="G1306" s="267" t="s">
        <v>3926</v>
      </c>
      <c r="H1306" s="267" t="s">
        <v>5522</v>
      </c>
      <c r="I1306" s="267" t="s">
        <v>4019</v>
      </c>
      <c r="J1306" s="267" t="s">
        <v>3928</v>
      </c>
      <c r="K1306" s="267">
        <v>6705</v>
      </c>
      <c r="L1306" s="267">
        <v>352702</v>
      </c>
      <c r="M1306" s="267" t="s">
        <v>3940</v>
      </c>
      <c r="N1306" s="267" t="s">
        <v>3986</v>
      </c>
      <c r="O1306" s="267">
        <v>2903.85</v>
      </c>
      <c r="P1306" s="267" t="s">
        <v>3930</v>
      </c>
      <c r="Q1306" s="267" t="s">
        <v>3931</v>
      </c>
      <c r="R1306" s="267">
        <v>7903.85</v>
      </c>
      <c r="S1306" s="267">
        <v>16196.8</v>
      </c>
      <c r="T1306" s="267">
        <v>24100.65</v>
      </c>
      <c r="U1306" s="268" t="s">
        <v>3932</v>
      </c>
      <c r="V1306" s="267" t="s">
        <v>944</v>
      </c>
    </row>
    <row r="1307" spans="1:22" hidden="1" x14ac:dyDescent="0.25">
      <c r="A1307" s="269">
        <v>43539</v>
      </c>
      <c r="B1307" s="270">
        <v>2019</v>
      </c>
      <c r="C1307" s="270">
        <v>2019</v>
      </c>
      <c r="D1307" s="270">
        <v>1</v>
      </c>
      <c r="E1307" s="270">
        <v>1</v>
      </c>
      <c r="F1307" s="270" t="s">
        <v>944</v>
      </c>
      <c r="G1307" s="270" t="s">
        <v>3926</v>
      </c>
      <c r="H1307" s="270" t="s">
        <v>5523</v>
      </c>
      <c r="I1307" s="270" t="s">
        <v>4029</v>
      </c>
      <c r="J1307" s="270" t="s">
        <v>3928</v>
      </c>
      <c r="K1307" s="270">
        <v>6851</v>
      </c>
      <c r="L1307" s="270">
        <v>42500</v>
      </c>
      <c r="M1307" s="270" t="s">
        <v>3943</v>
      </c>
      <c r="N1307" s="270" t="s">
        <v>3944</v>
      </c>
      <c r="O1307" s="270">
        <v>3676</v>
      </c>
      <c r="P1307" s="270" t="s">
        <v>3944</v>
      </c>
      <c r="Q1307" s="270" t="s">
        <v>3944</v>
      </c>
      <c r="R1307" s="270">
        <v>3676</v>
      </c>
      <c r="S1307" s="270">
        <v>38597</v>
      </c>
      <c r="T1307" s="270">
        <v>42273</v>
      </c>
      <c r="U1307" s="271" t="s">
        <v>3945</v>
      </c>
      <c r="V1307" s="267" t="s">
        <v>944</v>
      </c>
    </row>
    <row r="1308" spans="1:22" hidden="1" x14ac:dyDescent="0.25">
      <c r="A1308" s="266">
        <v>43539</v>
      </c>
      <c r="B1308" s="267">
        <v>2019</v>
      </c>
      <c r="C1308" s="267">
        <v>2019</v>
      </c>
      <c r="D1308" s="267">
        <v>1</v>
      </c>
      <c r="E1308" s="267">
        <v>1</v>
      </c>
      <c r="F1308" s="267" t="s">
        <v>944</v>
      </c>
      <c r="G1308" s="267" t="s">
        <v>3926</v>
      </c>
      <c r="H1308" s="267" t="s">
        <v>5524</v>
      </c>
      <c r="I1308" s="267" t="s">
        <v>3011</v>
      </c>
      <c r="J1308" s="267" t="s">
        <v>3928</v>
      </c>
      <c r="K1308" s="267">
        <v>6418</v>
      </c>
      <c r="L1308" s="267">
        <v>120200</v>
      </c>
      <c r="M1308" s="267">
        <v>-60</v>
      </c>
      <c r="N1308" s="267" t="s">
        <v>3944</v>
      </c>
      <c r="O1308" s="267">
        <v>1889</v>
      </c>
      <c r="P1308" s="267" t="s">
        <v>3944</v>
      </c>
      <c r="Q1308" s="267" t="s">
        <v>3944</v>
      </c>
      <c r="R1308" s="267">
        <v>1889</v>
      </c>
      <c r="S1308" s="267">
        <v>14251</v>
      </c>
      <c r="T1308" s="267">
        <v>16140</v>
      </c>
      <c r="U1308" s="268" t="s">
        <v>3945</v>
      </c>
      <c r="V1308" s="267" t="s">
        <v>944</v>
      </c>
    </row>
    <row r="1309" spans="1:22" hidden="1" x14ac:dyDescent="0.25">
      <c r="A1309" s="269">
        <v>43539</v>
      </c>
      <c r="B1309" s="270">
        <v>2019</v>
      </c>
      <c r="C1309" s="270">
        <v>2019</v>
      </c>
      <c r="D1309" s="270">
        <v>1</v>
      </c>
      <c r="E1309" s="270">
        <v>1</v>
      </c>
      <c r="F1309" s="270" t="s">
        <v>944</v>
      </c>
      <c r="G1309" s="270" t="s">
        <v>3926</v>
      </c>
      <c r="H1309" s="270" t="s">
        <v>5525</v>
      </c>
      <c r="I1309" s="270" t="s">
        <v>4323</v>
      </c>
      <c r="J1309" s="270" t="s">
        <v>3928</v>
      </c>
      <c r="K1309" s="270">
        <v>6385</v>
      </c>
      <c r="L1309" s="270">
        <v>693300</v>
      </c>
      <c r="M1309" s="270" t="s">
        <v>3935</v>
      </c>
      <c r="N1309" s="270" t="s">
        <v>3944</v>
      </c>
      <c r="O1309" s="270">
        <v>4068</v>
      </c>
      <c r="P1309" s="270" t="s">
        <v>3944</v>
      </c>
      <c r="Q1309" s="270" t="s">
        <v>3944</v>
      </c>
      <c r="R1309" s="270">
        <v>4068</v>
      </c>
      <c r="S1309" s="270">
        <v>26190.69</v>
      </c>
      <c r="T1309" s="270">
        <v>30258.69</v>
      </c>
      <c r="U1309" s="271" t="s">
        <v>3945</v>
      </c>
      <c r="V1309" s="267" t="s">
        <v>944</v>
      </c>
    </row>
    <row r="1310" spans="1:22" hidden="1" x14ac:dyDescent="0.25">
      <c r="A1310" s="266">
        <v>43539</v>
      </c>
      <c r="B1310" s="267">
        <v>2019</v>
      </c>
      <c r="C1310" s="267">
        <v>2019</v>
      </c>
      <c r="D1310" s="267">
        <v>1</v>
      </c>
      <c r="E1310" s="267">
        <v>1</v>
      </c>
      <c r="F1310" s="267" t="s">
        <v>944</v>
      </c>
      <c r="G1310" s="267" t="s">
        <v>3926</v>
      </c>
      <c r="H1310" s="267" t="s">
        <v>5526</v>
      </c>
      <c r="I1310" s="267" t="s">
        <v>3962</v>
      </c>
      <c r="J1310" s="267" t="s">
        <v>3928</v>
      </c>
      <c r="K1310" s="267">
        <v>6355</v>
      </c>
      <c r="L1310" s="267">
        <v>702100</v>
      </c>
      <c r="M1310" s="267" t="s">
        <v>3960</v>
      </c>
      <c r="N1310" s="267" t="s">
        <v>3944</v>
      </c>
      <c r="O1310" s="267">
        <v>1238.3699999999999</v>
      </c>
      <c r="P1310" s="267" t="s">
        <v>3944</v>
      </c>
      <c r="Q1310" s="267" t="s">
        <v>3944</v>
      </c>
      <c r="R1310" s="267">
        <v>1238.3699999999999</v>
      </c>
      <c r="S1310" s="267">
        <v>18390.41</v>
      </c>
      <c r="T1310" s="267">
        <v>19628.78</v>
      </c>
      <c r="U1310" s="268" t="s">
        <v>3945</v>
      </c>
      <c r="V1310" s="267" t="s">
        <v>944</v>
      </c>
    </row>
    <row r="1311" spans="1:22" hidden="1" x14ac:dyDescent="0.25">
      <c r="A1311" s="269">
        <v>43539</v>
      </c>
      <c r="B1311" s="270">
        <v>2019</v>
      </c>
      <c r="C1311" s="270">
        <v>2019</v>
      </c>
      <c r="D1311" s="270">
        <v>1</v>
      </c>
      <c r="E1311" s="270">
        <v>1</v>
      </c>
      <c r="F1311" s="270" t="s">
        <v>944</v>
      </c>
      <c r="G1311" s="270" t="s">
        <v>3926</v>
      </c>
      <c r="H1311" s="270" t="s">
        <v>5527</v>
      </c>
      <c r="I1311" s="270" t="s">
        <v>4213</v>
      </c>
      <c r="J1311" s="270" t="s">
        <v>3928</v>
      </c>
      <c r="K1311" s="270">
        <v>6052</v>
      </c>
      <c r="L1311" s="270">
        <v>416400</v>
      </c>
      <c r="M1311" s="270" t="s">
        <v>3960</v>
      </c>
      <c r="N1311" s="270" t="s">
        <v>3944</v>
      </c>
      <c r="O1311" s="270">
        <v>1401.79</v>
      </c>
      <c r="P1311" s="270" t="s">
        <v>3944</v>
      </c>
      <c r="Q1311" s="270" t="s">
        <v>3944</v>
      </c>
      <c r="R1311" s="270">
        <v>1401.79</v>
      </c>
      <c r="S1311" s="270">
        <v>17557.580000000002</v>
      </c>
      <c r="T1311" s="270">
        <v>18959.37</v>
      </c>
      <c r="U1311" s="271" t="s">
        <v>3945</v>
      </c>
      <c r="V1311" s="267" t="s">
        <v>944</v>
      </c>
    </row>
    <row r="1312" spans="1:22" hidden="1" x14ac:dyDescent="0.25">
      <c r="A1312" s="266">
        <v>43539</v>
      </c>
      <c r="B1312" s="267">
        <v>2019</v>
      </c>
      <c r="C1312" s="267">
        <v>2019</v>
      </c>
      <c r="D1312" s="267">
        <v>1</v>
      </c>
      <c r="E1312" s="267">
        <v>1</v>
      </c>
      <c r="F1312" s="267" t="s">
        <v>944</v>
      </c>
      <c r="G1312" s="267" t="s">
        <v>3926</v>
      </c>
      <c r="H1312" s="267" t="s">
        <v>5528</v>
      </c>
      <c r="I1312" s="267" t="s">
        <v>3008</v>
      </c>
      <c r="J1312" s="267" t="s">
        <v>3928</v>
      </c>
      <c r="K1312" s="267">
        <v>6461</v>
      </c>
      <c r="L1312" s="267">
        <v>150600</v>
      </c>
      <c r="M1312" s="267" t="s">
        <v>3960</v>
      </c>
      <c r="N1312" s="267" t="s">
        <v>3944</v>
      </c>
      <c r="O1312" s="267">
        <v>1421.49</v>
      </c>
      <c r="P1312" s="267" t="s">
        <v>3944</v>
      </c>
      <c r="Q1312" s="267" t="s">
        <v>3944</v>
      </c>
      <c r="R1312" s="267">
        <v>1421.49</v>
      </c>
      <c r="S1312" s="267">
        <v>16478.509999999998</v>
      </c>
      <c r="T1312" s="267">
        <v>17900</v>
      </c>
      <c r="U1312" s="268" t="s">
        <v>3945</v>
      </c>
      <c r="V1312" s="267" t="s">
        <v>944</v>
      </c>
    </row>
    <row r="1313" spans="1:22" hidden="1" x14ac:dyDescent="0.25">
      <c r="A1313" s="269">
        <v>43539</v>
      </c>
      <c r="B1313" s="270">
        <v>2019</v>
      </c>
      <c r="C1313" s="270">
        <v>2019</v>
      </c>
      <c r="D1313" s="270">
        <v>1</v>
      </c>
      <c r="E1313" s="270">
        <v>1</v>
      </c>
      <c r="F1313" s="270" t="s">
        <v>944</v>
      </c>
      <c r="G1313" s="270" t="s">
        <v>3926</v>
      </c>
      <c r="H1313" s="270" t="s">
        <v>5529</v>
      </c>
      <c r="I1313" s="270" t="s">
        <v>4069</v>
      </c>
      <c r="J1313" s="270" t="s">
        <v>3928</v>
      </c>
      <c r="K1313" s="270">
        <v>6902</v>
      </c>
      <c r="L1313" s="270">
        <v>21900</v>
      </c>
      <c r="M1313" s="270" t="s">
        <v>3940</v>
      </c>
      <c r="N1313" s="270" t="s">
        <v>3944</v>
      </c>
      <c r="O1313" s="270">
        <v>2114.81</v>
      </c>
      <c r="P1313" s="270" t="s">
        <v>3944</v>
      </c>
      <c r="Q1313" s="270" t="s">
        <v>3944</v>
      </c>
      <c r="R1313" s="270">
        <v>2114.81</v>
      </c>
      <c r="S1313" s="270">
        <v>31772.89</v>
      </c>
      <c r="T1313" s="270">
        <v>33887.699999999997</v>
      </c>
      <c r="U1313" s="271" t="s">
        <v>3945</v>
      </c>
      <c r="V1313" s="267" t="s">
        <v>944</v>
      </c>
    </row>
    <row r="1314" spans="1:22" hidden="1" x14ac:dyDescent="0.25">
      <c r="A1314" s="266">
        <v>43539</v>
      </c>
      <c r="B1314" s="267">
        <v>2019</v>
      </c>
      <c r="C1314" s="267">
        <v>2019</v>
      </c>
      <c r="D1314" s="267">
        <v>1</v>
      </c>
      <c r="E1314" s="267">
        <v>1</v>
      </c>
      <c r="F1314" s="267" t="s">
        <v>944</v>
      </c>
      <c r="G1314" s="267" t="s">
        <v>3926</v>
      </c>
      <c r="H1314" s="267" t="s">
        <v>5530</v>
      </c>
      <c r="I1314" s="267" t="s">
        <v>4019</v>
      </c>
      <c r="J1314" s="267" t="s">
        <v>3928</v>
      </c>
      <c r="K1314" s="267">
        <v>6705</v>
      </c>
      <c r="L1314" s="267">
        <v>351300</v>
      </c>
      <c r="M1314" s="267">
        <v>-60</v>
      </c>
      <c r="N1314" s="267" t="s">
        <v>3944</v>
      </c>
      <c r="O1314" s="267">
        <v>597.94000000000005</v>
      </c>
      <c r="P1314" s="267" t="s">
        <v>3944</v>
      </c>
      <c r="Q1314" s="267" t="s">
        <v>3944</v>
      </c>
      <c r="R1314" s="267">
        <v>597.94000000000005</v>
      </c>
      <c r="S1314" s="267">
        <v>8990.56</v>
      </c>
      <c r="T1314" s="267">
        <v>9588.5</v>
      </c>
      <c r="U1314" s="268" t="s">
        <v>3945</v>
      </c>
      <c r="V1314" s="267" t="s">
        <v>944</v>
      </c>
    </row>
    <row r="1315" spans="1:22" hidden="1" x14ac:dyDescent="0.25">
      <c r="A1315" s="269">
        <v>43539</v>
      </c>
      <c r="B1315" s="270">
        <v>2019</v>
      </c>
      <c r="C1315" s="270">
        <v>2019</v>
      </c>
      <c r="D1315" s="270">
        <v>1</v>
      </c>
      <c r="E1315" s="270">
        <v>1</v>
      </c>
      <c r="F1315" s="270" t="s">
        <v>944</v>
      </c>
      <c r="G1315" s="270" t="s">
        <v>3926</v>
      </c>
      <c r="H1315" s="270" t="s">
        <v>5531</v>
      </c>
      <c r="I1315" s="270" t="s">
        <v>943</v>
      </c>
      <c r="J1315" s="270" t="s">
        <v>3928</v>
      </c>
      <c r="K1315" s="270">
        <v>6515</v>
      </c>
      <c r="L1315" s="270">
        <v>141000</v>
      </c>
      <c r="M1315" s="270" t="s">
        <v>3960</v>
      </c>
      <c r="N1315" s="270" t="s">
        <v>3944</v>
      </c>
      <c r="O1315" s="270">
        <v>1041.74</v>
      </c>
      <c r="P1315" s="270" t="s">
        <v>3944</v>
      </c>
      <c r="Q1315" s="270" t="s">
        <v>3944</v>
      </c>
      <c r="R1315" s="270">
        <v>1041.74</v>
      </c>
      <c r="S1315" s="270">
        <v>18374.68</v>
      </c>
      <c r="T1315" s="270">
        <v>19416.419999999998</v>
      </c>
      <c r="U1315" s="271" t="s">
        <v>3945</v>
      </c>
      <c r="V1315" s="267" t="s">
        <v>944</v>
      </c>
    </row>
    <row r="1316" spans="1:22" hidden="1" x14ac:dyDescent="0.25">
      <c r="A1316" s="266">
        <v>43539</v>
      </c>
      <c r="B1316" s="267">
        <v>2019</v>
      </c>
      <c r="C1316" s="267">
        <v>2019</v>
      </c>
      <c r="D1316" s="267">
        <v>1</v>
      </c>
      <c r="E1316" s="267">
        <v>1</v>
      </c>
      <c r="F1316" s="267" t="s">
        <v>944</v>
      </c>
      <c r="G1316" s="267" t="s">
        <v>3926</v>
      </c>
      <c r="H1316" s="267" t="s">
        <v>5532</v>
      </c>
      <c r="I1316" s="267" t="s">
        <v>4683</v>
      </c>
      <c r="J1316" s="267" t="s">
        <v>3928</v>
      </c>
      <c r="K1316" s="267">
        <v>6762</v>
      </c>
      <c r="L1316" s="267">
        <v>344100</v>
      </c>
      <c r="M1316" s="267" t="s">
        <v>3943</v>
      </c>
      <c r="N1316" s="267" t="s">
        <v>3944</v>
      </c>
      <c r="O1316" s="267">
        <v>2451.44</v>
      </c>
      <c r="P1316" s="267" t="s">
        <v>3944</v>
      </c>
      <c r="Q1316" s="267" t="s">
        <v>3944</v>
      </c>
      <c r="R1316" s="267">
        <v>2451.44</v>
      </c>
      <c r="S1316" s="267">
        <v>35387.22</v>
      </c>
      <c r="T1316" s="267">
        <v>37838.660000000003</v>
      </c>
      <c r="U1316" s="268" t="s">
        <v>3945</v>
      </c>
      <c r="V1316" s="267" t="s">
        <v>944</v>
      </c>
    </row>
    <row r="1317" spans="1:22" hidden="1" x14ac:dyDescent="0.25">
      <c r="A1317" s="269">
        <v>43539</v>
      </c>
      <c r="B1317" s="270">
        <v>2019</v>
      </c>
      <c r="C1317" s="270">
        <v>2019</v>
      </c>
      <c r="D1317" s="270">
        <v>1</v>
      </c>
      <c r="E1317" s="270">
        <v>1</v>
      </c>
      <c r="F1317" s="270" t="s">
        <v>944</v>
      </c>
      <c r="G1317" s="270" t="s">
        <v>3926</v>
      </c>
      <c r="H1317" s="270" t="s">
        <v>5533</v>
      </c>
      <c r="I1317" s="270" t="s">
        <v>950</v>
      </c>
      <c r="J1317" s="270" t="s">
        <v>3928</v>
      </c>
      <c r="K1317" s="270">
        <v>6516</v>
      </c>
      <c r="L1317" s="270">
        <v>154900</v>
      </c>
      <c r="M1317" s="270" t="s">
        <v>3935</v>
      </c>
      <c r="N1317" s="270" t="s">
        <v>3944</v>
      </c>
      <c r="O1317" s="270">
        <v>889.53</v>
      </c>
      <c r="P1317" s="270" t="s">
        <v>3944</v>
      </c>
      <c r="Q1317" s="270" t="s">
        <v>3944</v>
      </c>
      <c r="R1317" s="270">
        <v>889.53</v>
      </c>
      <c r="S1317" s="270">
        <v>13997.09</v>
      </c>
      <c r="T1317" s="270">
        <v>14886.62</v>
      </c>
      <c r="U1317" s="271" t="s">
        <v>3945</v>
      </c>
      <c r="V1317" s="267" t="s">
        <v>944</v>
      </c>
    </row>
    <row r="1318" spans="1:22" hidden="1" x14ac:dyDescent="0.25">
      <c r="A1318" s="266">
        <v>43539</v>
      </c>
      <c r="B1318" s="267">
        <v>2019</v>
      </c>
      <c r="C1318" s="267">
        <v>2019</v>
      </c>
      <c r="D1318" s="267">
        <v>1</v>
      </c>
      <c r="E1318" s="267">
        <v>1</v>
      </c>
      <c r="F1318" s="267" t="s">
        <v>944</v>
      </c>
      <c r="G1318" s="267" t="s">
        <v>3926</v>
      </c>
      <c r="H1318" s="267" t="s">
        <v>5534</v>
      </c>
      <c r="I1318" s="267" t="s">
        <v>934</v>
      </c>
      <c r="J1318" s="267" t="s">
        <v>3928</v>
      </c>
      <c r="K1318" s="267">
        <v>6606</v>
      </c>
      <c r="L1318" s="267">
        <v>72600</v>
      </c>
      <c r="M1318" s="267" t="s">
        <v>3940</v>
      </c>
      <c r="N1318" s="267" t="s">
        <v>3944</v>
      </c>
      <c r="O1318" s="267">
        <v>2095.31</v>
      </c>
      <c r="P1318" s="267" t="s">
        <v>3944</v>
      </c>
      <c r="Q1318" s="267" t="s">
        <v>3944</v>
      </c>
      <c r="R1318" s="267">
        <v>2095.31</v>
      </c>
      <c r="S1318" s="267">
        <v>34383.33</v>
      </c>
      <c r="T1318" s="267">
        <v>36478.639999999999</v>
      </c>
      <c r="U1318" s="268" t="s">
        <v>3945</v>
      </c>
      <c r="V1318" s="267" t="s">
        <v>944</v>
      </c>
    </row>
    <row r="1319" spans="1:22" hidden="1" x14ac:dyDescent="0.25">
      <c r="A1319" s="269">
        <v>43539</v>
      </c>
      <c r="B1319" s="270">
        <v>2019</v>
      </c>
      <c r="C1319" s="270">
        <v>2019</v>
      </c>
      <c r="D1319" s="270">
        <v>1</v>
      </c>
      <c r="E1319" s="270">
        <v>1</v>
      </c>
      <c r="F1319" s="270" t="s">
        <v>944</v>
      </c>
      <c r="G1319" s="270" t="s">
        <v>3926</v>
      </c>
      <c r="H1319" s="270" t="s">
        <v>5535</v>
      </c>
      <c r="I1319" s="270" t="s">
        <v>4203</v>
      </c>
      <c r="J1319" s="270" t="s">
        <v>3928</v>
      </c>
      <c r="K1319" s="270">
        <v>6071</v>
      </c>
      <c r="L1319" s="270">
        <v>538201</v>
      </c>
      <c r="M1319" s="270" t="s">
        <v>3943</v>
      </c>
      <c r="N1319" s="270" t="s">
        <v>3944</v>
      </c>
      <c r="O1319" s="270">
        <v>1908.45</v>
      </c>
      <c r="P1319" s="270" t="s">
        <v>3944</v>
      </c>
      <c r="Q1319" s="270" t="s">
        <v>3944</v>
      </c>
      <c r="R1319" s="270">
        <v>1908.45</v>
      </c>
      <c r="S1319" s="270">
        <v>23991.55</v>
      </c>
      <c r="T1319" s="270">
        <v>25900</v>
      </c>
      <c r="U1319" s="271" t="s">
        <v>3945</v>
      </c>
      <c r="V1319" s="267" t="s">
        <v>944</v>
      </c>
    </row>
    <row r="1320" spans="1:22" hidden="1" x14ac:dyDescent="0.25">
      <c r="A1320" s="266">
        <v>43539</v>
      </c>
      <c r="B1320" s="267">
        <v>2019</v>
      </c>
      <c r="C1320" s="267">
        <v>2019</v>
      </c>
      <c r="D1320" s="267">
        <v>1</v>
      </c>
      <c r="E1320" s="267">
        <v>1</v>
      </c>
      <c r="F1320" s="267" t="s">
        <v>944</v>
      </c>
      <c r="G1320" s="267" t="s">
        <v>3926</v>
      </c>
      <c r="H1320" s="267" t="s">
        <v>5536</v>
      </c>
      <c r="I1320" s="267" t="s">
        <v>4170</v>
      </c>
      <c r="J1320" s="267" t="s">
        <v>3928</v>
      </c>
      <c r="K1320" s="267">
        <v>6498</v>
      </c>
      <c r="L1320" s="267">
        <v>680100</v>
      </c>
      <c r="M1320" s="267" t="s">
        <v>3935</v>
      </c>
      <c r="N1320" s="267" t="s">
        <v>3944</v>
      </c>
      <c r="O1320" s="267">
        <v>1105.6199999999999</v>
      </c>
      <c r="P1320" s="267" t="s">
        <v>3944</v>
      </c>
      <c r="Q1320" s="267" t="s">
        <v>3944</v>
      </c>
      <c r="R1320" s="267">
        <v>1105.6199999999999</v>
      </c>
      <c r="S1320" s="267">
        <v>9703.3799999999992</v>
      </c>
      <c r="T1320" s="267">
        <v>10809</v>
      </c>
      <c r="U1320" s="268" t="s">
        <v>3945</v>
      </c>
      <c r="V1320" s="267" t="s">
        <v>944</v>
      </c>
    </row>
    <row r="1321" spans="1:22" hidden="1" x14ac:dyDescent="0.25">
      <c r="A1321" s="269">
        <v>43539</v>
      </c>
      <c r="B1321" s="270">
        <v>2019</v>
      </c>
      <c r="C1321" s="270">
        <v>2019</v>
      </c>
      <c r="D1321" s="270">
        <v>1</v>
      </c>
      <c r="E1321" s="270">
        <v>1</v>
      </c>
      <c r="F1321" s="270" t="s">
        <v>944</v>
      </c>
      <c r="G1321" s="270" t="s">
        <v>3926</v>
      </c>
      <c r="H1321" s="270" t="s">
        <v>5537</v>
      </c>
      <c r="I1321" s="270" t="s">
        <v>943</v>
      </c>
      <c r="J1321" s="270" t="s">
        <v>3928</v>
      </c>
      <c r="K1321" s="270">
        <v>6512</v>
      </c>
      <c r="L1321" s="270">
        <v>142800</v>
      </c>
      <c r="M1321" s="270" t="s">
        <v>3940</v>
      </c>
      <c r="N1321" s="270" t="s">
        <v>3944</v>
      </c>
      <c r="O1321" s="270">
        <v>2919.11</v>
      </c>
      <c r="P1321" s="270" t="s">
        <v>3944</v>
      </c>
      <c r="Q1321" s="270" t="s">
        <v>3944</v>
      </c>
      <c r="R1321" s="270">
        <v>2919.11</v>
      </c>
      <c r="S1321" s="270">
        <v>35032.730000000003</v>
      </c>
      <c r="T1321" s="270">
        <v>37951.839999999997</v>
      </c>
      <c r="U1321" s="271" t="s">
        <v>3945</v>
      </c>
      <c r="V1321" s="267" t="s">
        <v>944</v>
      </c>
    </row>
    <row r="1322" spans="1:22" hidden="1" x14ac:dyDescent="0.25">
      <c r="A1322" s="266">
        <v>43539</v>
      </c>
      <c r="B1322" s="267">
        <v>2019</v>
      </c>
      <c r="C1322" s="267">
        <v>2019</v>
      </c>
      <c r="D1322" s="267">
        <v>1</v>
      </c>
      <c r="E1322" s="267">
        <v>1</v>
      </c>
      <c r="F1322" s="267" t="s">
        <v>944</v>
      </c>
      <c r="G1322" s="267" t="s">
        <v>3926</v>
      </c>
      <c r="H1322" s="267" t="s">
        <v>5538</v>
      </c>
      <c r="I1322" s="267" t="s">
        <v>4016</v>
      </c>
      <c r="J1322" s="267" t="s">
        <v>3928</v>
      </c>
      <c r="K1322" s="267">
        <v>6770</v>
      </c>
      <c r="L1322" s="267">
        <v>345202</v>
      </c>
      <c r="M1322" s="267" t="s">
        <v>3960</v>
      </c>
      <c r="N1322" s="267" t="s">
        <v>3944</v>
      </c>
      <c r="O1322" s="267">
        <v>937.23</v>
      </c>
      <c r="P1322" s="267" t="s">
        <v>3944</v>
      </c>
      <c r="Q1322" s="267" t="s">
        <v>3944</v>
      </c>
      <c r="R1322" s="267">
        <v>937.23</v>
      </c>
      <c r="S1322" s="267">
        <v>12636.66</v>
      </c>
      <c r="T1322" s="267">
        <v>13573.89</v>
      </c>
      <c r="U1322" s="268" t="s">
        <v>3945</v>
      </c>
      <c r="V1322" s="267" t="s">
        <v>944</v>
      </c>
    </row>
    <row r="1323" spans="1:22" hidden="1" x14ac:dyDescent="0.25">
      <c r="A1323" s="269">
        <v>43539</v>
      </c>
      <c r="B1323" s="270">
        <v>2019</v>
      </c>
      <c r="C1323" s="270">
        <v>2019</v>
      </c>
      <c r="D1323" s="270">
        <v>1</v>
      </c>
      <c r="E1323" s="270">
        <v>1</v>
      </c>
      <c r="F1323" s="270" t="s">
        <v>944</v>
      </c>
      <c r="G1323" s="270" t="s">
        <v>3926</v>
      </c>
      <c r="H1323" s="270" t="s">
        <v>5539</v>
      </c>
      <c r="I1323" s="270" t="s">
        <v>4065</v>
      </c>
      <c r="J1323" s="270" t="s">
        <v>3928</v>
      </c>
      <c r="K1323" s="270">
        <v>6480</v>
      </c>
      <c r="L1323" s="270">
        <v>560200</v>
      </c>
      <c r="M1323" s="270" t="s">
        <v>3935</v>
      </c>
      <c r="N1323" s="270" t="s">
        <v>3944</v>
      </c>
      <c r="O1323" s="270">
        <v>1225.9100000000001</v>
      </c>
      <c r="P1323" s="270" t="s">
        <v>3944</v>
      </c>
      <c r="Q1323" s="270" t="s">
        <v>3944</v>
      </c>
      <c r="R1323" s="270">
        <v>1225.9100000000001</v>
      </c>
      <c r="S1323" s="270">
        <v>19387.36</v>
      </c>
      <c r="T1323" s="270">
        <v>20613.27</v>
      </c>
      <c r="U1323" s="271" t="s">
        <v>3945</v>
      </c>
      <c r="V1323" s="267" t="s">
        <v>944</v>
      </c>
    </row>
    <row r="1324" spans="1:22" hidden="1" x14ac:dyDescent="0.25">
      <c r="A1324" s="266">
        <v>43540</v>
      </c>
      <c r="B1324" s="267">
        <v>2019</v>
      </c>
      <c r="C1324" s="267">
        <v>2019</v>
      </c>
      <c r="D1324" s="267">
        <v>1</v>
      </c>
      <c r="E1324" s="267">
        <v>1</v>
      </c>
      <c r="F1324" s="267" t="s">
        <v>944</v>
      </c>
      <c r="G1324" s="267" t="s">
        <v>3926</v>
      </c>
      <c r="H1324" s="267" t="s">
        <v>5540</v>
      </c>
      <c r="I1324" s="267" t="s">
        <v>956</v>
      </c>
      <c r="J1324" s="267" t="s">
        <v>3928</v>
      </c>
      <c r="K1324" s="267">
        <v>6614</v>
      </c>
      <c r="L1324" s="267">
        <v>80100</v>
      </c>
      <c r="M1324" s="267" t="s">
        <v>3935</v>
      </c>
      <c r="N1324" s="267" t="s">
        <v>4103</v>
      </c>
      <c r="O1324" s="267">
        <v>3937.41</v>
      </c>
      <c r="P1324" s="267" t="s">
        <v>3930</v>
      </c>
      <c r="Q1324" s="267" t="s">
        <v>3931</v>
      </c>
      <c r="R1324" s="267">
        <v>8937.41</v>
      </c>
      <c r="S1324" s="267">
        <v>24145.599999999999</v>
      </c>
      <c r="T1324" s="267">
        <v>33083.01</v>
      </c>
      <c r="U1324" s="268" t="s">
        <v>3932</v>
      </c>
      <c r="V1324" s="267" t="s">
        <v>944</v>
      </c>
    </row>
    <row r="1325" spans="1:22" hidden="1" x14ac:dyDescent="0.25">
      <c r="A1325" s="269">
        <v>43540</v>
      </c>
      <c r="B1325" s="270">
        <v>2019</v>
      </c>
      <c r="C1325" s="270">
        <v>2019</v>
      </c>
      <c r="D1325" s="270">
        <v>1</v>
      </c>
      <c r="E1325" s="270">
        <v>1</v>
      </c>
      <c r="F1325" s="270" t="s">
        <v>944</v>
      </c>
      <c r="G1325" s="270" t="s">
        <v>3926</v>
      </c>
      <c r="H1325" s="270" t="s">
        <v>5541</v>
      </c>
      <c r="I1325" s="270" t="s">
        <v>4213</v>
      </c>
      <c r="J1325" s="270" t="s">
        <v>3928</v>
      </c>
      <c r="K1325" s="270">
        <v>6051</v>
      </c>
      <c r="L1325" s="270">
        <v>415300</v>
      </c>
      <c r="M1325" s="270">
        <v>-60</v>
      </c>
      <c r="N1325" s="270" t="s">
        <v>4103</v>
      </c>
      <c r="O1325" s="270">
        <v>4302.72</v>
      </c>
      <c r="P1325" s="270" t="s">
        <v>3930</v>
      </c>
      <c r="Q1325" s="270" t="s">
        <v>3931</v>
      </c>
      <c r="R1325" s="270">
        <v>9302.7199999999993</v>
      </c>
      <c r="S1325" s="270">
        <v>24145.599999999999</v>
      </c>
      <c r="T1325" s="270">
        <v>33448.32</v>
      </c>
      <c r="U1325" s="271" t="s">
        <v>3932</v>
      </c>
      <c r="V1325" s="267" t="s">
        <v>944</v>
      </c>
    </row>
    <row r="1326" spans="1:22" hidden="1" x14ac:dyDescent="0.25">
      <c r="A1326" s="266">
        <v>43540</v>
      </c>
      <c r="B1326" s="267">
        <v>2019</v>
      </c>
      <c r="C1326" s="267">
        <v>2019</v>
      </c>
      <c r="D1326" s="267">
        <v>1</v>
      </c>
      <c r="E1326" s="267">
        <v>1</v>
      </c>
      <c r="F1326" s="267" t="s">
        <v>944</v>
      </c>
      <c r="G1326" s="267" t="s">
        <v>3926</v>
      </c>
      <c r="H1326" s="267" t="s">
        <v>5542</v>
      </c>
      <c r="I1326" s="267" t="s">
        <v>4461</v>
      </c>
      <c r="J1326" s="267" t="s">
        <v>3928</v>
      </c>
      <c r="K1326" s="267">
        <v>6830</v>
      </c>
      <c r="L1326" s="267">
        <v>11300</v>
      </c>
      <c r="M1326" s="267" t="s">
        <v>3935</v>
      </c>
      <c r="N1326" s="267" t="s">
        <v>3986</v>
      </c>
      <c r="O1326" s="267">
        <v>3596.04</v>
      </c>
      <c r="P1326" s="267" t="s">
        <v>3930</v>
      </c>
      <c r="Q1326" s="267" t="s">
        <v>3931</v>
      </c>
      <c r="R1326" s="267">
        <v>8596.0400000000009</v>
      </c>
      <c r="S1326" s="267">
        <v>16196.8</v>
      </c>
      <c r="T1326" s="267">
        <v>24792.84</v>
      </c>
      <c r="U1326" s="268" t="s">
        <v>3932</v>
      </c>
      <c r="V1326" s="267" t="s">
        <v>944</v>
      </c>
    </row>
    <row r="1327" spans="1:22" hidden="1" x14ac:dyDescent="0.25">
      <c r="A1327" s="269">
        <v>43540</v>
      </c>
      <c r="B1327" s="270">
        <v>2019</v>
      </c>
      <c r="C1327" s="270">
        <v>2019</v>
      </c>
      <c r="D1327" s="270">
        <v>1</v>
      </c>
      <c r="E1327" s="270">
        <v>1</v>
      </c>
      <c r="F1327" s="270" t="s">
        <v>944</v>
      </c>
      <c r="G1327" s="270" t="s">
        <v>3926</v>
      </c>
      <c r="H1327" s="270" t="s">
        <v>5543</v>
      </c>
      <c r="I1327" s="270" t="s">
        <v>934</v>
      </c>
      <c r="J1327" s="270" t="s">
        <v>3928</v>
      </c>
      <c r="K1327" s="270">
        <v>6606</v>
      </c>
      <c r="L1327" s="270">
        <v>72400</v>
      </c>
      <c r="M1327" s="270" t="s">
        <v>3940</v>
      </c>
      <c r="N1327" s="270" t="s">
        <v>4103</v>
      </c>
      <c r="O1327" s="270">
        <v>4908.51</v>
      </c>
      <c r="P1327" s="270" t="s">
        <v>3930</v>
      </c>
      <c r="Q1327" s="270" t="s">
        <v>3931</v>
      </c>
      <c r="R1327" s="270">
        <v>9908.51</v>
      </c>
      <c r="S1327" s="270">
        <v>24145.599999999999</v>
      </c>
      <c r="T1327" s="270">
        <v>34054.11</v>
      </c>
      <c r="U1327" s="271" t="s">
        <v>3932</v>
      </c>
      <c r="V1327" s="267" t="s">
        <v>944</v>
      </c>
    </row>
    <row r="1328" spans="1:22" hidden="1" x14ac:dyDescent="0.25">
      <c r="A1328" s="266">
        <v>43542</v>
      </c>
      <c r="B1328" s="267">
        <v>2019</v>
      </c>
      <c r="C1328" s="267">
        <v>2019</v>
      </c>
      <c r="D1328" s="267">
        <v>1</v>
      </c>
      <c r="E1328" s="267">
        <v>1</v>
      </c>
      <c r="F1328" s="267" t="s">
        <v>944</v>
      </c>
      <c r="G1328" s="267" t="s">
        <v>3926</v>
      </c>
      <c r="H1328" s="267" t="s">
        <v>5544</v>
      </c>
      <c r="I1328" s="267" t="s">
        <v>4172</v>
      </c>
      <c r="J1328" s="267" t="s">
        <v>3928</v>
      </c>
      <c r="K1328" s="267">
        <v>6786</v>
      </c>
      <c r="L1328" s="267">
        <v>425500</v>
      </c>
      <c r="M1328" s="267" t="s">
        <v>3940</v>
      </c>
      <c r="N1328" s="267" t="s">
        <v>3929</v>
      </c>
      <c r="O1328" s="267">
        <v>5750.64</v>
      </c>
      <c r="P1328" s="267" t="s">
        <v>3930</v>
      </c>
      <c r="Q1328" s="267" t="s">
        <v>3931</v>
      </c>
      <c r="R1328" s="267">
        <v>10750.64</v>
      </c>
      <c r="S1328" s="267">
        <v>34744</v>
      </c>
      <c r="T1328" s="267">
        <v>45494.64</v>
      </c>
      <c r="U1328" s="268" t="s">
        <v>3932</v>
      </c>
      <c r="V1328" s="267" t="s">
        <v>944</v>
      </c>
    </row>
    <row r="1329" spans="1:22" hidden="1" x14ac:dyDescent="0.25">
      <c r="A1329" s="269">
        <v>43542</v>
      </c>
      <c r="B1329" s="270">
        <v>2019</v>
      </c>
      <c r="C1329" s="270">
        <v>2019</v>
      </c>
      <c r="D1329" s="270">
        <v>1</v>
      </c>
      <c r="E1329" s="270">
        <v>1</v>
      </c>
      <c r="F1329" s="270" t="s">
        <v>944</v>
      </c>
      <c r="G1329" s="270" t="s">
        <v>3926</v>
      </c>
      <c r="H1329" s="270" t="s">
        <v>5545</v>
      </c>
      <c r="I1329" s="270" t="s">
        <v>3966</v>
      </c>
      <c r="J1329" s="270" t="s">
        <v>3928</v>
      </c>
      <c r="K1329" s="270">
        <v>6010</v>
      </c>
      <c r="L1329" s="270">
        <v>406002</v>
      </c>
      <c r="M1329" s="270" t="s">
        <v>3935</v>
      </c>
      <c r="N1329" s="270" t="s">
        <v>4975</v>
      </c>
      <c r="O1329" s="270">
        <v>0</v>
      </c>
      <c r="P1329" s="270" t="s">
        <v>3930</v>
      </c>
      <c r="Q1329" s="270" t="s">
        <v>3930</v>
      </c>
      <c r="R1329" s="270">
        <v>0</v>
      </c>
      <c r="S1329" s="270">
        <v>8000</v>
      </c>
      <c r="T1329" s="270">
        <v>8000</v>
      </c>
      <c r="U1329" s="271" t="s">
        <v>3937</v>
      </c>
      <c r="V1329" s="267" t="s">
        <v>944</v>
      </c>
    </row>
    <row r="1330" spans="1:22" hidden="1" x14ac:dyDescent="0.25">
      <c r="A1330" s="266">
        <v>43542</v>
      </c>
      <c r="B1330" s="267">
        <v>2019</v>
      </c>
      <c r="C1330" s="267">
        <v>2019</v>
      </c>
      <c r="D1330" s="267">
        <v>1</v>
      </c>
      <c r="E1330" s="267">
        <v>1</v>
      </c>
      <c r="F1330" s="267" t="s">
        <v>944</v>
      </c>
      <c r="G1330" s="267" t="s">
        <v>3926</v>
      </c>
      <c r="H1330" s="267" t="s">
        <v>5546</v>
      </c>
      <c r="I1330" s="267" t="s">
        <v>2987</v>
      </c>
      <c r="J1330" s="267" t="s">
        <v>3928</v>
      </c>
      <c r="K1330" s="267">
        <v>6512</v>
      </c>
      <c r="L1330" s="267">
        <v>180200</v>
      </c>
      <c r="M1330" s="267" t="s">
        <v>3940</v>
      </c>
      <c r="N1330" s="267" t="s">
        <v>3986</v>
      </c>
      <c r="O1330" s="267">
        <v>3127.32</v>
      </c>
      <c r="P1330" s="267" t="s">
        <v>3930</v>
      </c>
      <c r="Q1330" s="267" t="s">
        <v>3931</v>
      </c>
      <c r="R1330" s="267">
        <v>8127.32</v>
      </c>
      <c r="S1330" s="267">
        <v>16196.8</v>
      </c>
      <c r="T1330" s="267">
        <v>24324.12</v>
      </c>
      <c r="U1330" s="268" t="s">
        <v>3932</v>
      </c>
      <c r="V1330" s="267" t="s">
        <v>944</v>
      </c>
    </row>
    <row r="1331" spans="1:22" hidden="1" x14ac:dyDescent="0.25">
      <c r="A1331" s="269">
        <v>43542</v>
      </c>
      <c r="B1331" s="270">
        <v>2019</v>
      </c>
      <c r="C1331" s="270">
        <v>2019</v>
      </c>
      <c r="D1331" s="270">
        <v>1</v>
      </c>
      <c r="E1331" s="270">
        <v>1</v>
      </c>
      <c r="F1331" s="270" t="s">
        <v>944</v>
      </c>
      <c r="G1331" s="270" t="s">
        <v>3926</v>
      </c>
      <c r="H1331" s="270" t="s">
        <v>5547</v>
      </c>
      <c r="I1331" s="270" t="s">
        <v>953</v>
      </c>
      <c r="J1331" s="270" t="s">
        <v>3928</v>
      </c>
      <c r="K1331" s="270">
        <v>6517</v>
      </c>
      <c r="L1331" s="270">
        <v>165100</v>
      </c>
      <c r="M1331" s="270" t="s">
        <v>3935</v>
      </c>
      <c r="N1331" s="270" t="s">
        <v>5548</v>
      </c>
      <c r="O1331" s="270">
        <v>3059</v>
      </c>
      <c r="P1331" s="270" t="s">
        <v>3930</v>
      </c>
      <c r="Q1331" s="270" t="s">
        <v>3930</v>
      </c>
      <c r="R1331" s="270">
        <v>3059</v>
      </c>
      <c r="S1331" s="270">
        <v>26550</v>
      </c>
      <c r="T1331" s="270">
        <v>29609</v>
      </c>
      <c r="U1331" s="271" t="s">
        <v>3937</v>
      </c>
      <c r="V1331" s="267" t="s">
        <v>944</v>
      </c>
    </row>
    <row r="1332" spans="1:22" hidden="1" x14ac:dyDescent="0.25">
      <c r="A1332" s="266">
        <v>43542</v>
      </c>
      <c r="B1332" s="267">
        <v>2019</v>
      </c>
      <c r="C1332" s="267">
        <v>2019</v>
      </c>
      <c r="D1332" s="267">
        <v>1</v>
      </c>
      <c r="E1332" s="267">
        <v>1</v>
      </c>
      <c r="F1332" s="267" t="s">
        <v>944</v>
      </c>
      <c r="G1332" s="267" t="s">
        <v>3926</v>
      </c>
      <c r="H1332" s="267" t="s">
        <v>5549</v>
      </c>
      <c r="I1332" s="267" t="s">
        <v>3996</v>
      </c>
      <c r="J1332" s="267" t="s">
        <v>3928</v>
      </c>
      <c r="K1332" s="267">
        <v>6790</v>
      </c>
      <c r="L1332" s="267">
        <v>310803</v>
      </c>
      <c r="M1332" s="267">
        <v>-60</v>
      </c>
      <c r="N1332" s="267" t="s">
        <v>3944</v>
      </c>
      <c r="O1332" s="267">
        <v>1893</v>
      </c>
      <c r="P1332" s="267" t="s">
        <v>3944</v>
      </c>
      <c r="Q1332" s="267" t="s">
        <v>3944</v>
      </c>
      <c r="R1332" s="267">
        <v>1893</v>
      </c>
      <c r="S1332" s="267">
        <v>14644.5</v>
      </c>
      <c r="T1332" s="267">
        <v>16537.5</v>
      </c>
      <c r="U1332" s="268" t="s">
        <v>3945</v>
      </c>
      <c r="V1332" s="267" t="s">
        <v>944</v>
      </c>
    </row>
    <row r="1333" spans="1:22" hidden="1" x14ac:dyDescent="0.25">
      <c r="A1333" s="269">
        <v>43542</v>
      </c>
      <c r="B1333" s="270">
        <v>2019</v>
      </c>
      <c r="C1333" s="270">
        <v>2019</v>
      </c>
      <c r="D1333" s="270">
        <v>1</v>
      </c>
      <c r="E1333" s="270">
        <v>1</v>
      </c>
      <c r="F1333" s="270" t="s">
        <v>944</v>
      </c>
      <c r="G1333" s="270" t="s">
        <v>3926</v>
      </c>
      <c r="H1333" s="270" t="s">
        <v>5550</v>
      </c>
      <c r="I1333" s="270" t="s">
        <v>4124</v>
      </c>
      <c r="J1333" s="270" t="s">
        <v>3928</v>
      </c>
      <c r="K1333" s="270">
        <v>6470</v>
      </c>
      <c r="L1333" s="270">
        <v>230100</v>
      </c>
      <c r="M1333" s="270" t="s">
        <v>3943</v>
      </c>
      <c r="N1333" s="270" t="s">
        <v>3944</v>
      </c>
      <c r="O1333" s="270">
        <v>6040</v>
      </c>
      <c r="P1333" s="270" t="s">
        <v>3944</v>
      </c>
      <c r="Q1333" s="270" t="s">
        <v>3944</v>
      </c>
      <c r="R1333" s="270">
        <v>6040</v>
      </c>
      <c r="S1333" s="270">
        <v>41777</v>
      </c>
      <c r="T1333" s="270">
        <v>47817</v>
      </c>
      <c r="U1333" s="271" t="s">
        <v>3945</v>
      </c>
      <c r="V1333" s="267" t="s">
        <v>944</v>
      </c>
    </row>
    <row r="1334" spans="1:22" hidden="1" x14ac:dyDescent="0.25">
      <c r="A1334" s="266">
        <v>43542</v>
      </c>
      <c r="B1334" s="267">
        <v>2019</v>
      </c>
      <c r="C1334" s="267">
        <v>2019</v>
      </c>
      <c r="D1334" s="267">
        <v>1</v>
      </c>
      <c r="E1334" s="267">
        <v>1</v>
      </c>
      <c r="F1334" s="267" t="s">
        <v>944</v>
      </c>
      <c r="G1334" s="267" t="s">
        <v>3926</v>
      </c>
      <c r="H1334" s="267" t="s">
        <v>5551</v>
      </c>
      <c r="I1334" s="267" t="s">
        <v>4046</v>
      </c>
      <c r="J1334" s="267" t="s">
        <v>3928</v>
      </c>
      <c r="K1334" s="267">
        <v>6281</v>
      </c>
      <c r="L1334" s="267">
        <v>901100</v>
      </c>
      <c r="M1334" s="267" t="s">
        <v>3960</v>
      </c>
      <c r="N1334" s="267" t="s">
        <v>3944</v>
      </c>
      <c r="O1334" s="267">
        <v>2193.84</v>
      </c>
      <c r="P1334" s="267" t="s">
        <v>3944</v>
      </c>
      <c r="Q1334" s="267" t="s">
        <v>3944</v>
      </c>
      <c r="R1334" s="267">
        <v>2193.84</v>
      </c>
      <c r="S1334" s="267">
        <v>13928.16</v>
      </c>
      <c r="T1334" s="267">
        <v>16122</v>
      </c>
      <c r="U1334" s="268" t="s">
        <v>3945</v>
      </c>
      <c r="V1334" s="267" t="s">
        <v>944</v>
      </c>
    </row>
    <row r="1335" spans="1:22" hidden="1" x14ac:dyDescent="0.25">
      <c r="A1335" s="269">
        <v>43543</v>
      </c>
      <c r="B1335" s="270">
        <v>2019</v>
      </c>
      <c r="C1335" s="270">
        <v>2019</v>
      </c>
      <c r="D1335" s="270">
        <v>1</v>
      </c>
      <c r="E1335" s="270">
        <v>1</v>
      </c>
      <c r="F1335" s="270" t="s">
        <v>944</v>
      </c>
      <c r="G1335" s="270" t="s">
        <v>3926</v>
      </c>
      <c r="H1335" s="270" t="s">
        <v>5552</v>
      </c>
      <c r="I1335" s="270" t="s">
        <v>4269</v>
      </c>
      <c r="J1335" s="270" t="s">
        <v>3928</v>
      </c>
      <c r="K1335" s="270">
        <v>6117</v>
      </c>
      <c r="L1335" s="270">
        <v>497300</v>
      </c>
      <c r="M1335" s="270" t="s">
        <v>3943</v>
      </c>
      <c r="N1335" s="270" t="s">
        <v>5553</v>
      </c>
      <c r="O1335" s="270">
        <v>0</v>
      </c>
      <c r="P1335" s="270" t="s">
        <v>3930</v>
      </c>
      <c r="Q1335" s="270" t="s">
        <v>3930</v>
      </c>
      <c r="R1335" s="270">
        <v>0</v>
      </c>
      <c r="S1335" s="270">
        <v>27950</v>
      </c>
      <c r="T1335" s="270">
        <v>27950</v>
      </c>
      <c r="U1335" s="271" t="s">
        <v>3937</v>
      </c>
      <c r="V1335" s="267" t="s">
        <v>944</v>
      </c>
    </row>
    <row r="1336" spans="1:22" hidden="1" x14ac:dyDescent="0.25">
      <c r="A1336" s="266">
        <v>43543</v>
      </c>
      <c r="B1336" s="267">
        <v>2019</v>
      </c>
      <c r="C1336" s="267">
        <v>2019</v>
      </c>
      <c r="D1336" s="267">
        <v>1</v>
      </c>
      <c r="E1336" s="267">
        <v>1</v>
      </c>
      <c r="F1336" s="267" t="s">
        <v>944</v>
      </c>
      <c r="G1336" s="267" t="s">
        <v>3926</v>
      </c>
      <c r="H1336" s="267" t="s">
        <v>5554</v>
      </c>
      <c r="I1336" s="267" t="s">
        <v>4119</v>
      </c>
      <c r="J1336" s="267" t="s">
        <v>3928</v>
      </c>
      <c r="K1336" s="267">
        <v>6078</v>
      </c>
      <c r="L1336" s="267">
        <v>477101</v>
      </c>
      <c r="M1336" s="267" t="s">
        <v>3943</v>
      </c>
      <c r="N1336" s="267" t="s">
        <v>5555</v>
      </c>
      <c r="O1336" s="267">
        <v>2995</v>
      </c>
      <c r="P1336" s="267" t="s">
        <v>3930</v>
      </c>
      <c r="Q1336" s="267" t="s">
        <v>3930</v>
      </c>
      <c r="R1336" s="267">
        <v>2995</v>
      </c>
      <c r="S1336" s="267">
        <v>19862.45</v>
      </c>
      <c r="T1336" s="267">
        <v>22857.45</v>
      </c>
      <c r="U1336" s="268" t="s">
        <v>3937</v>
      </c>
      <c r="V1336" s="267" t="s">
        <v>944</v>
      </c>
    </row>
    <row r="1337" spans="1:22" hidden="1" x14ac:dyDescent="0.25">
      <c r="A1337" s="269">
        <v>43543</v>
      </c>
      <c r="B1337" s="270">
        <v>2019</v>
      </c>
      <c r="C1337" s="270">
        <v>2019</v>
      </c>
      <c r="D1337" s="270">
        <v>1</v>
      </c>
      <c r="E1337" s="270">
        <v>1</v>
      </c>
      <c r="F1337" s="270" t="s">
        <v>944</v>
      </c>
      <c r="G1337" s="270" t="s">
        <v>3926</v>
      </c>
      <c r="H1337" s="270" t="s">
        <v>5556</v>
      </c>
      <c r="I1337" s="270" t="s">
        <v>4621</v>
      </c>
      <c r="J1337" s="270" t="s">
        <v>3928</v>
      </c>
      <c r="K1337" s="270">
        <v>6443</v>
      </c>
      <c r="L1337" s="270">
        <v>194201</v>
      </c>
      <c r="M1337" s="270" t="s">
        <v>3943</v>
      </c>
      <c r="N1337" s="270" t="s">
        <v>5557</v>
      </c>
      <c r="O1337" s="270">
        <v>0</v>
      </c>
      <c r="P1337" s="270" t="s">
        <v>3930</v>
      </c>
      <c r="Q1337" s="270" t="s">
        <v>3930</v>
      </c>
      <c r="R1337" s="270">
        <v>0</v>
      </c>
      <c r="S1337" s="270">
        <v>7984</v>
      </c>
      <c r="T1337" s="270">
        <v>7984</v>
      </c>
      <c r="U1337" s="271" t="s">
        <v>3937</v>
      </c>
      <c r="V1337" s="267" t="s">
        <v>944</v>
      </c>
    </row>
    <row r="1338" spans="1:22" hidden="1" x14ac:dyDescent="0.25">
      <c r="A1338" s="266">
        <v>43543</v>
      </c>
      <c r="B1338" s="267">
        <v>2019</v>
      </c>
      <c r="C1338" s="267">
        <v>2019</v>
      </c>
      <c r="D1338" s="267">
        <v>1</v>
      </c>
      <c r="E1338" s="267">
        <v>1</v>
      </c>
      <c r="F1338" s="267" t="s">
        <v>944</v>
      </c>
      <c r="G1338" s="267" t="s">
        <v>3926</v>
      </c>
      <c r="H1338" s="267" t="s">
        <v>5558</v>
      </c>
      <c r="I1338" s="267" t="s">
        <v>950</v>
      </c>
      <c r="J1338" s="267" t="s">
        <v>3928</v>
      </c>
      <c r="K1338" s="267">
        <v>6516</v>
      </c>
      <c r="L1338" s="267">
        <v>154100</v>
      </c>
      <c r="M1338" s="267" t="s">
        <v>3940</v>
      </c>
      <c r="N1338" s="267" t="s">
        <v>5559</v>
      </c>
      <c r="O1338" s="267">
        <v>5240.79</v>
      </c>
      <c r="P1338" s="267" t="s">
        <v>3930</v>
      </c>
      <c r="Q1338" s="267" t="s">
        <v>3931</v>
      </c>
      <c r="R1338" s="267">
        <v>10240.790000000001</v>
      </c>
      <c r="S1338" s="267">
        <v>35447.800000000003</v>
      </c>
      <c r="T1338" s="267">
        <v>45688.59</v>
      </c>
      <c r="U1338" s="268" t="s">
        <v>3932</v>
      </c>
      <c r="V1338" s="267" t="s">
        <v>944</v>
      </c>
    </row>
    <row r="1339" spans="1:22" hidden="1" x14ac:dyDescent="0.25">
      <c r="A1339" s="269">
        <v>43543</v>
      </c>
      <c r="B1339" s="270">
        <v>2019</v>
      </c>
      <c r="C1339" s="270">
        <v>2019</v>
      </c>
      <c r="D1339" s="270">
        <v>1</v>
      </c>
      <c r="E1339" s="270">
        <v>1</v>
      </c>
      <c r="F1339" s="270" t="s">
        <v>944</v>
      </c>
      <c r="G1339" s="270" t="s">
        <v>3926</v>
      </c>
      <c r="H1339" s="270" t="s">
        <v>5560</v>
      </c>
      <c r="I1339" s="270" t="s">
        <v>2985</v>
      </c>
      <c r="J1339" s="270" t="s">
        <v>3928</v>
      </c>
      <c r="K1339" s="270">
        <v>6825</v>
      </c>
      <c r="L1339" s="270">
        <v>60300</v>
      </c>
      <c r="M1339" s="270" t="s">
        <v>3943</v>
      </c>
      <c r="N1339" s="270" t="s">
        <v>3944</v>
      </c>
      <c r="O1339" s="270">
        <v>3599</v>
      </c>
      <c r="P1339" s="270" t="s">
        <v>3944</v>
      </c>
      <c r="Q1339" s="270" t="s">
        <v>3944</v>
      </c>
      <c r="R1339" s="270">
        <v>3599</v>
      </c>
      <c r="S1339" s="270">
        <v>25166</v>
      </c>
      <c r="T1339" s="270">
        <v>28765</v>
      </c>
      <c r="U1339" s="271" t="s">
        <v>3945</v>
      </c>
      <c r="V1339" s="267" t="s">
        <v>944</v>
      </c>
    </row>
    <row r="1340" spans="1:22" hidden="1" x14ac:dyDescent="0.25">
      <c r="A1340" s="266">
        <v>43543</v>
      </c>
      <c r="B1340" s="267">
        <v>2019</v>
      </c>
      <c r="C1340" s="267">
        <v>2019</v>
      </c>
      <c r="D1340" s="267">
        <v>1</v>
      </c>
      <c r="E1340" s="267">
        <v>1</v>
      </c>
      <c r="F1340" s="267" t="s">
        <v>944</v>
      </c>
      <c r="G1340" s="267" t="s">
        <v>3926</v>
      </c>
      <c r="H1340" s="267" t="s">
        <v>5561</v>
      </c>
      <c r="I1340" s="267" t="s">
        <v>956</v>
      </c>
      <c r="J1340" s="267" t="s">
        <v>3928</v>
      </c>
      <c r="K1340" s="267">
        <v>6615</v>
      </c>
      <c r="L1340" s="267">
        <v>80400</v>
      </c>
      <c r="M1340" s="267" t="s">
        <v>3940</v>
      </c>
      <c r="N1340" s="267" t="s">
        <v>3944</v>
      </c>
      <c r="O1340" s="267">
        <v>4374</v>
      </c>
      <c r="P1340" s="267" t="s">
        <v>3944</v>
      </c>
      <c r="Q1340" s="267" t="s">
        <v>3944</v>
      </c>
      <c r="R1340" s="267">
        <v>4374</v>
      </c>
      <c r="S1340" s="267">
        <v>30805</v>
      </c>
      <c r="T1340" s="267">
        <v>35179</v>
      </c>
      <c r="U1340" s="268" t="s">
        <v>3945</v>
      </c>
      <c r="V1340" s="267" t="s">
        <v>944</v>
      </c>
    </row>
    <row r="1341" spans="1:22" hidden="1" x14ac:dyDescent="0.25">
      <c r="A1341" s="269">
        <v>43543</v>
      </c>
      <c r="B1341" s="270">
        <v>2019</v>
      </c>
      <c r="C1341" s="270">
        <v>2019</v>
      </c>
      <c r="D1341" s="270">
        <v>1</v>
      </c>
      <c r="E1341" s="270">
        <v>1</v>
      </c>
      <c r="F1341" s="270" t="s">
        <v>944</v>
      </c>
      <c r="G1341" s="270" t="s">
        <v>3926</v>
      </c>
      <c r="H1341" s="270" t="s">
        <v>5562</v>
      </c>
      <c r="I1341" s="270" t="s">
        <v>4016</v>
      </c>
      <c r="J1341" s="270" t="s">
        <v>3928</v>
      </c>
      <c r="K1341" s="270">
        <v>6770</v>
      </c>
      <c r="L1341" s="270">
        <v>345100</v>
      </c>
      <c r="M1341" s="270" t="s">
        <v>3940</v>
      </c>
      <c r="N1341" s="270" t="s">
        <v>3944</v>
      </c>
      <c r="O1341" s="270">
        <v>3491</v>
      </c>
      <c r="P1341" s="270" t="s">
        <v>3944</v>
      </c>
      <c r="Q1341" s="270" t="s">
        <v>3944</v>
      </c>
      <c r="R1341" s="270">
        <v>3491</v>
      </c>
      <c r="S1341" s="270">
        <v>22309</v>
      </c>
      <c r="T1341" s="270">
        <v>25800</v>
      </c>
      <c r="U1341" s="271" t="s">
        <v>3945</v>
      </c>
      <c r="V1341" s="267" t="s">
        <v>944</v>
      </c>
    </row>
    <row r="1342" spans="1:22" hidden="1" x14ac:dyDescent="0.25">
      <c r="A1342" s="266">
        <v>43543</v>
      </c>
      <c r="B1342" s="267">
        <v>2019</v>
      </c>
      <c r="C1342" s="267">
        <v>2019</v>
      </c>
      <c r="D1342" s="267">
        <v>1</v>
      </c>
      <c r="E1342" s="267">
        <v>1</v>
      </c>
      <c r="F1342" s="267" t="s">
        <v>944</v>
      </c>
      <c r="G1342" s="267" t="s">
        <v>3926</v>
      </c>
      <c r="H1342" s="267" t="s">
        <v>5563</v>
      </c>
      <c r="I1342" s="267" t="s">
        <v>4019</v>
      </c>
      <c r="J1342" s="267" t="s">
        <v>3928</v>
      </c>
      <c r="K1342" s="267">
        <v>6705</v>
      </c>
      <c r="L1342" s="267">
        <v>351300</v>
      </c>
      <c r="M1342" s="267">
        <v>-60</v>
      </c>
      <c r="N1342" s="267" t="s">
        <v>3944</v>
      </c>
      <c r="O1342" s="267">
        <v>2230.34</v>
      </c>
      <c r="P1342" s="267" t="s">
        <v>3944</v>
      </c>
      <c r="Q1342" s="267" t="s">
        <v>3944</v>
      </c>
      <c r="R1342" s="267">
        <v>2230.34</v>
      </c>
      <c r="S1342" s="267">
        <v>33187.629999999997</v>
      </c>
      <c r="T1342" s="267">
        <v>35417.97</v>
      </c>
      <c r="U1342" s="268" t="s">
        <v>3945</v>
      </c>
      <c r="V1342" s="267" t="s">
        <v>944</v>
      </c>
    </row>
    <row r="1343" spans="1:22" hidden="1" x14ac:dyDescent="0.25">
      <c r="A1343" s="269">
        <v>43543</v>
      </c>
      <c r="B1343" s="270">
        <v>2019</v>
      </c>
      <c r="C1343" s="270">
        <v>2019</v>
      </c>
      <c r="D1343" s="270">
        <v>1</v>
      </c>
      <c r="E1343" s="270">
        <v>1</v>
      </c>
      <c r="F1343" s="270" t="s">
        <v>944</v>
      </c>
      <c r="G1343" s="270" t="s">
        <v>3926</v>
      </c>
      <c r="H1343" s="270" t="s">
        <v>5564</v>
      </c>
      <c r="I1343" s="270" t="s">
        <v>4114</v>
      </c>
      <c r="J1343" s="270" t="s">
        <v>3928</v>
      </c>
      <c r="K1343" s="270">
        <v>6410</v>
      </c>
      <c r="L1343" s="270">
        <v>343101</v>
      </c>
      <c r="M1343" s="270" t="s">
        <v>3943</v>
      </c>
      <c r="N1343" s="270" t="s">
        <v>3944</v>
      </c>
      <c r="O1343" s="270">
        <v>1966.55</v>
      </c>
      <c r="P1343" s="270" t="s">
        <v>3944</v>
      </c>
      <c r="Q1343" s="270" t="s">
        <v>3944</v>
      </c>
      <c r="R1343" s="270">
        <v>1966.55</v>
      </c>
      <c r="S1343" s="270">
        <v>26678.45</v>
      </c>
      <c r="T1343" s="270">
        <v>28645</v>
      </c>
      <c r="U1343" s="271" t="s">
        <v>3945</v>
      </c>
      <c r="V1343" s="267" t="s">
        <v>944</v>
      </c>
    </row>
    <row r="1344" spans="1:22" hidden="1" x14ac:dyDescent="0.25">
      <c r="A1344" s="266">
        <v>43543</v>
      </c>
      <c r="B1344" s="267">
        <v>2019</v>
      </c>
      <c r="C1344" s="267">
        <v>2019</v>
      </c>
      <c r="D1344" s="267">
        <v>1</v>
      </c>
      <c r="E1344" s="267">
        <v>104</v>
      </c>
      <c r="F1344" s="267" t="s">
        <v>944</v>
      </c>
      <c r="G1344" s="267" t="s">
        <v>3997</v>
      </c>
      <c r="H1344" s="267" t="s">
        <v>5565</v>
      </c>
      <c r="I1344" s="267" t="s">
        <v>4087</v>
      </c>
      <c r="J1344" s="267" t="s">
        <v>3928</v>
      </c>
      <c r="K1344" s="267">
        <v>6340</v>
      </c>
      <c r="L1344" s="267">
        <v>702700</v>
      </c>
      <c r="M1344" s="267" t="s">
        <v>3940</v>
      </c>
      <c r="N1344" s="267" t="s">
        <v>5566</v>
      </c>
      <c r="O1344" s="267"/>
      <c r="P1344" s="267" t="s">
        <v>3944</v>
      </c>
      <c r="Q1344" s="267" t="s">
        <v>3930</v>
      </c>
      <c r="R1344" s="267">
        <v>0</v>
      </c>
      <c r="S1344" s="267">
        <v>189750</v>
      </c>
      <c r="T1344" s="267">
        <v>189750</v>
      </c>
      <c r="U1344" s="268" t="s">
        <v>5027</v>
      </c>
      <c r="V1344" s="267" t="s">
        <v>944</v>
      </c>
    </row>
    <row r="1345" spans="1:22" hidden="1" x14ac:dyDescent="0.25">
      <c r="A1345" s="269">
        <v>43544</v>
      </c>
      <c r="B1345" s="270">
        <v>2019</v>
      </c>
      <c r="C1345" s="270">
        <v>2019</v>
      </c>
      <c r="D1345" s="270">
        <v>1</v>
      </c>
      <c r="E1345" s="270">
        <v>1</v>
      </c>
      <c r="F1345" s="270" t="s">
        <v>944</v>
      </c>
      <c r="G1345" s="270" t="s">
        <v>3926</v>
      </c>
      <c r="H1345" s="270" t="s">
        <v>5567</v>
      </c>
      <c r="I1345" s="270" t="s">
        <v>3956</v>
      </c>
      <c r="J1345" s="270" t="s">
        <v>3928</v>
      </c>
      <c r="K1345" s="270">
        <v>6120</v>
      </c>
      <c r="L1345" s="270">
        <v>524400</v>
      </c>
      <c r="M1345" s="270">
        <v>-60</v>
      </c>
      <c r="N1345" s="270" t="s">
        <v>5568</v>
      </c>
      <c r="O1345" s="270">
        <v>0</v>
      </c>
      <c r="P1345" s="270" t="s">
        <v>3930</v>
      </c>
      <c r="Q1345" s="270" t="s">
        <v>3930</v>
      </c>
      <c r="R1345" s="270">
        <v>0</v>
      </c>
      <c r="S1345" s="270">
        <v>5530.2</v>
      </c>
      <c r="T1345" s="270">
        <v>5530.2</v>
      </c>
      <c r="U1345" s="271" t="s">
        <v>3937</v>
      </c>
      <c r="V1345" s="267" t="s">
        <v>944</v>
      </c>
    </row>
    <row r="1346" spans="1:22" hidden="1" x14ac:dyDescent="0.25">
      <c r="A1346" s="266">
        <v>43544</v>
      </c>
      <c r="B1346" s="267">
        <v>2019</v>
      </c>
      <c r="C1346" s="267">
        <v>2019</v>
      </c>
      <c r="D1346" s="267">
        <v>1</v>
      </c>
      <c r="E1346" s="267">
        <v>1</v>
      </c>
      <c r="F1346" s="267" t="s">
        <v>944</v>
      </c>
      <c r="G1346" s="267" t="s">
        <v>3926</v>
      </c>
      <c r="H1346" s="267" t="s">
        <v>5569</v>
      </c>
      <c r="I1346" s="267" t="s">
        <v>943</v>
      </c>
      <c r="J1346" s="267" t="s">
        <v>3928</v>
      </c>
      <c r="K1346" s="267">
        <v>6515</v>
      </c>
      <c r="L1346" s="267">
        <v>141000</v>
      </c>
      <c r="M1346" s="267" t="s">
        <v>3960</v>
      </c>
      <c r="N1346" s="267" t="s">
        <v>5570</v>
      </c>
      <c r="O1346" s="267">
        <v>5833</v>
      </c>
      <c r="P1346" s="267" t="s">
        <v>3930</v>
      </c>
      <c r="Q1346" s="267" t="s">
        <v>3930</v>
      </c>
      <c r="R1346" s="267">
        <v>5833</v>
      </c>
      <c r="S1346" s="267">
        <v>38921</v>
      </c>
      <c r="T1346" s="267">
        <v>44754</v>
      </c>
      <c r="U1346" s="268" t="s">
        <v>3937</v>
      </c>
      <c r="V1346" s="267" t="s">
        <v>944</v>
      </c>
    </row>
    <row r="1347" spans="1:22" hidden="1" x14ac:dyDescent="0.25">
      <c r="A1347" s="269">
        <v>43545</v>
      </c>
      <c r="B1347" s="270">
        <v>2019</v>
      </c>
      <c r="C1347" s="270">
        <v>2019</v>
      </c>
      <c r="D1347" s="270">
        <v>1</v>
      </c>
      <c r="E1347" s="270">
        <v>1</v>
      </c>
      <c r="F1347" s="270" t="s">
        <v>944</v>
      </c>
      <c r="G1347" s="270" t="s">
        <v>3926</v>
      </c>
      <c r="H1347" s="270" t="s">
        <v>5571</v>
      </c>
      <c r="I1347" s="270" t="s">
        <v>4147</v>
      </c>
      <c r="J1347" s="270" t="s">
        <v>3928</v>
      </c>
      <c r="K1347" s="270">
        <v>6109</v>
      </c>
      <c r="L1347" s="270">
        <v>492500</v>
      </c>
      <c r="M1347" s="270" t="s">
        <v>3960</v>
      </c>
      <c r="N1347" s="270" t="s">
        <v>5572</v>
      </c>
      <c r="O1347" s="270">
        <v>0</v>
      </c>
      <c r="P1347" s="270" t="s">
        <v>3930</v>
      </c>
      <c r="Q1347" s="270" t="s">
        <v>3930</v>
      </c>
      <c r="R1347" s="270">
        <v>0</v>
      </c>
      <c r="S1347" s="270">
        <v>4500</v>
      </c>
      <c r="T1347" s="270">
        <v>4500</v>
      </c>
      <c r="U1347" s="271" t="s">
        <v>3937</v>
      </c>
      <c r="V1347" s="267" t="s">
        <v>944</v>
      </c>
    </row>
    <row r="1348" spans="1:22" hidden="1" x14ac:dyDescent="0.25">
      <c r="A1348" s="266">
        <v>43545</v>
      </c>
      <c r="B1348" s="267">
        <v>2019</v>
      </c>
      <c r="C1348" s="267">
        <v>2019</v>
      </c>
      <c r="D1348" s="267">
        <v>1</v>
      </c>
      <c r="E1348" s="267">
        <v>1</v>
      </c>
      <c r="F1348" s="267" t="s">
        <v>944</v>
      </c>
      <c r="G1348" s="267" t="s">
        <v>3926</v>
      </c>
      <c r="H1348" s="267" t="s">
        <v>5573</v>
      </c>
      <c r="I1348" s="267" t="s">
        <v>950</v>
      </c>
      <c r="J1348" s="267" t="s">
        <v>3928</v>
      </c>
      <c r="K1348" s="267">
        <v>6516</v>
      </c>
      <c r="L1348" s="267">
        <v>154800</v>
      </c>
      <c r="M1348" s="267" t="s">
        <v>3960</v>
      </c>
      <c r="N1348" s="267" t="s">
        <v>5574</v>
      </c>
      <c r="O1348" s="267">
        <v>0</v>
      </c>
      <c r="P1348" s="267" t="s">
        <v>3930</v>
      </c>
      <c r="Q1348" s="267" t="s">
        <v>3930</v>
      </c>
      <c r="R1348" s="267">
        <v>0</v>
      </c>
      <c r="S1348" s="267">
        <v>4950</v>
      </c>
      <c r="T1348" s="267">
        <v>4950</v>
      </c>
      <c r="U1348" s="268" t="s">
        <v>3937</v>
      </c>
      <c r="V1348" s="267" t="s">
        <v>944</v>
      </c>
    </row>
    <row r="1349" spans="1:22" hidden="1" x14ac:dyDescent="0.25">
      <c r="A1349" s="269">
        <v>43545</v>
      </c>
      <c r="B1349" s="270">
        <v>2019</v>
      </c>
      <c r="C1349" s="270">
        <v>2019</v>
      </c>
      <c r="D1349" s="270">
        <v>1</v>
      </c>
      <c r="E1349" s="270">
        <v>1</v>
      </c>
      <c r="F1349" s="270" t="s">
        <v>944</v>
      </c>
      <c r="G1349" s="270" t="s">
        <v>3926</v>
      </c>
      <c r="H1349" s="270" t="s">
        <v>5575</v>
      </c>
      <c r="I1349" s="270" t="s">
        <v>4225</v>
      </c>
      <c r="J1349" s="270" t="s">
        <v>3928</v>
      </c>
      <c r="K1349" s="270">
        <v>6896</v>
      </c>
      <c r="L1349" s="270">
        <v>240100</v>
      </c>
      <c r="M1349" s="270" t="s">
        <v>3943</v>
      </c>
      <c r="N1349" s="270" t="s">
        <v>3929</v>
      </c>
      <c r="O1349" s="270">
        <v>2299.61</v>
      </c>
      <c r="P1349" s="270" t="s">
        <v>3930</v>
      </c>
      <c r="Q1349" s="270" t="s">
        <v>3931</v>
      </c>
      <c r="R1349" s="270">
        <v>7299.61</v>
      </c>
      <c r="S1349" s="270">
        <v>34744</v>
      </c>
      <c r="T1349" s="270">
        <v>42043.61</v>
      </c>
      <c r="U1349" s="271" t="s">
        <v>3932</v>
      </c>
      <c r="V1349" s="267" t="s">
        <v>944</v>
      </c>
    </row>
    <row r="1350" spans="1:22" hidden="1" x14ac:dyDescent="0.25">
      <c r="A1350" s="266">
        <v>43545</v>
      </c>
      <c r="B1350" s="267">
        <v>2019</v>
      </c>
      <c r="C1350" s="267">
        <v>2019</v>
      </c>
      <c r="D1350" s="267">
        <v>1</v>
      </c>
      <c r="E1350" s="267">
        <v>1</v>
      </c>
      <c r="F1350" s="267" t="s">
        <v>944</v>
      </c>
      <c r="G1350" s="267" t="s">
        <v>3926</v>
      </c>
      <c r="H1350" s="267" t="s">
        <v>5576</v>
      </c>
      <c r="I1350" s="267" t="s">
        <v>3949</v>
      </c>
      <c r="J1350" s="267" t="s">
        <v>3928</v>
      </c>
      <c r="K1350" s="267">
        <v>6437</v>
      </c>
      <c r="L1350" s="267">
        <v>190303</v>
      </c>
      <c r="M1350" s="267" t="s">
        <v>3943</v>
      </c>
      <c r="N1350" s="267" t="s">
        <v>3929</v>
      </c>
      <c r="O1350" s="267">
        <v>1896.86</v>
      </c>
      <c r="P1350" s="267" t="s">
        <v>3930</v>
      </c>
      <c r="Q1350" s="267" t="s">
        <v>3931</v>
      </c>
      <c r="R1350" s="267">
        <v>6896.86</v>
      </c>
      <c r="S1350" s="267">
        <v>34744</v>
      </c>
      <c r="T1350" s="267">
        <v>41640.86</v>
      </c>
      <c r="U1350" s="268" t="s">
        <v>3932</v>
      </c>
      <c r="V1350" s="267" t="s">
        <v>944</v>
      </c>
    </row>
    <row r="1351" spans="1:22" hidden="1" x14ac:dyDescent="0.25">
      <c r="A1351" s="269">
        <v>43545</v>
      </c>
      <c r="B1351" s="270">
        <v>2019</v>
      </c>
      <c r="C1351" s="270">
        <v>2019</v>
      </c>
      <c r="D1351" s="270">
        <v>1</v>
      </c>
      <c r="E1351" s="270">
        <v>1</v>
      </c>
      <c r="F1351" s="270" t="s">
        <v>944</v>
      </c>
      <c r="G1351" s="270" t="s">
        <v>3926</v>
      </c>
      <c r="H1351" s="270" t="s">
        <v>5577</v>
      </c>
      <c r="I1351" s="270" t="s">
        <v>3956</v>
      </c>
      <c r="J1351" s="270" t="s">
        <v>3928</v>
      </c>
      <c r="K1351" s="270">
        <v>6606</v>
      </c>
      <c r="L1351" s="270">
        <v>72500</v>
      </c>
      <c r="M1351" s="270" t="s">
        <v>3940</v>
      </c>
      <c r="N1351" s="270" t="s">
        <v>4103</v>
      </c>
      <c r="O1351" s="270">
        <v>1715.18</v>
      </c>
      <c r="P1351" s="270" t="s">
        <v>3930</v>
      </c>
      <c r="Q1351" s="270" t="s">
        <v>3931</v>
      </c>
      <c r="R1351" s="270">
        <v>6715.18</v>
      </c>
      <c r="S1351" s="270">
        <v>24145.599999999999</v>
      </c>
      <c r="T1351" s="270">
        <v>30860.78</v>
      </c>
      <c r="U1351" s="271" t="s">
        <v>3932</v>
      </c>
      <c r="V1351" s="267" t="s">
        <v>944</v>
      </c>
    </row>
    <row r="1352" spans="1:22" hidden="1" x14ac:dyDescent="0.25">
      <c r="A1352" s="266">
        <v>43545</v>
      </c>
      <c r="B1352" s="267">
        <v>2019</v>
      </c>
      <c r="C1352" s="267">
        <v>2019</v>
      </c>
      <c r="D1352" s="267">
        <v>1</v>
      </c>
      <c r="E1352" s="267">
        <v>1</v>
      </c>
      <c r="F1352" s="267" t="s">
        <v>944</v>
      </c>
      <c r="G1352" s="267" t="s">
        <v>3926</v>
      </c>
      <c r="H1352" s="267" t="s">
        <v>5578</v>
      </c>
      <c r="I1352" s="267" t="s">
        <v>4731</v>
      </c>
      <c r="J1352" s="267" t="s">
        <v>3928</v>
      </c>
      <c r="K1352" s="267">
        <v>6478</v>
      </c>
      <c r="L1352" s="267">
        <v>346102</v>
      </c>
      <c r="M1352" s="267" t="s">
        <v>3943</v>
      </c>
      <c r="N1352" s="267" t="s">
        <v>3944</v>
      </c>
      <c r="O1352" s="267">
        <v>3102</v>
      </c>
      <c r="P1352" s="267" t="s">
        <v>3944</v>
      </c>
      <c r="Q1352" s="267" t="s">
        <v>3944</v>
      </c>
      <c r="R1352" s="267">
        <v>3102</v>
      </c>
      <c r="S1352" s="267">
        <v>19893</v>
      </c>
      <c r="T1352" s="267">
        <v>22995</v>
      </c>
      <c r="U1352" s="268" t="s">
        <v>3945</v>
      </c>
      <c r="V1352" s="267" t="s">
        <v>944</v>
      </c>
    </row>
    <row r="1353" spans="1:22" hidden="1" x14ac:dyDescent="0.25">
      <c r="A1353" s="269">
        <v>43545</v>
      </c>
      <c r="B1353" s="270">
        <v>2019</v>
      </c>
      <c r="C1353" s="270">
        <v>2019</v>
      </c>
      <c r="D1353" s="270">
        <v>1</v>
      </c>
      <c r="E1353" s="270">
        <v>1</v>
      </c>
      <c r="F1353" s="270" t="s">
        <v>944</v>
      </c>
      <c r="G1353" s="270" t="s">
        <v>3926</v>
      </c>
      <c r="H1353" s="270" t="s">
        <v>5579</v>
      </c>
      <c r="I1353" s="270" t="s">
        <v>4035</v>
      </c>
      <c r="J1353" s="270" t="s">
        <v>3928</v>
      </c>
      <c r="K1353" s="270">
        <v>6074</v>
      </c>
      <c r="L1353" s="270">
        <v>487400</v>
      </c>
      <c r="M1353" s="270" t="s">
        <v>3943</v>
      </c>
      <c r="N1353" s="270" t="s">
        <v>5580</v>
      </c>
      <c r="O1353" s="270"/>
      <c r="P1353" s="270" t="s">
        <v>3944</v>
      </c>
      <c r="Q1353" s="270" t="s">
        <v>3930</v>
      </c>
      <c r="R1353" s="270">
        <v>0</v>
      </c>
      <c r="S1353" s="270">
        <v>118033.29</v>
      </c>
      <c r="T1353" s="270">
        <v>118033.29</v>
      </c>
      <c r="U1353" s="271" t="s">
        <v>4099</v>
      </c>
      <c r="V1353" s="267" t="s">
        <v>944</v>
      </c>
    </row>
    <row r="1354" spans="1:22" hidden="1" x14ac:dyDescent="0.25">
      <c r="A1354" s="266">
        <v>43546</v>
      </c>
      <c r="B1354" s="267">
        <v>2019</v>
      </c>
      <c r="C1354" s="267">
        <v>2019</v>
      </c>
      <c r="D1354" s="267">
        <v>1</v>
      </c>
      <c r="E1354" s="267">
        <v>1</v>
      </c>
      <c r="F1354" s="267" t="s">
        <v>944</v>
      </c>
      <c r="G1354" s="267" t="s">
        <v>3926</v>
      </c>
      <c r="H1354" s="267" t="s">
        <v>5581</v>
      </c>
      <c r="I1354" s="267" t="s">
        <v>5147</v>
      </c>
      <c r="J1354" s="267" t="s">
        <v>3928</v>
      </c>
      <c r="K1354" s="267">
        <v>6468</v>
      </c>
      <c r="L1354" s="267">
        <v>100200</v>
      </c>
      <c r="M1354" s="267" t="s">
        <v>3943</v>
      </c>
      <c r="N1354" s="267" t="s">
        <v>5582</v>
      </c>
      <c r="O1354" s="267">
        <v>0</v>
      </c>
      <c r="P1354" s="267" t="s">
        <v>3930</v>
      </c>
      <c r="Q1354" s="267" t="s">
        <v>3930</v>
      </c>
      <c r="R1354" s="267">
        <v>0</v>
      </c>
      <c r="S1354" s="267">
        <v>7834</v>
      </c>
      <c r="T1354" s="267">
        <v>7834</v>
      </c>
      <c r="U1354" s="268" t="s">
        <v>3937</v>
      </c>
      <c r="V1354" s="267" t="s">
        <v>944</v>
      </c>
    </row>
    <row r="1355" spans="1:22" hidden="1" x14ac:dyDescent="0.25">
      <c r="A1355" s="269">
        <v>43546</v>
      </c>
      <c r="B1355" s="270">
        <v>2019</v>
      </c>
      <c r="C1355" s="270">
        <v>2019</v>
      </c>
      <c r="D1355" s="270">
        <v>1</v>
      </c>
      <c r="E1355" s="270">
        <v>1</v>
      </c>
      <c r="F1355" s="270" t="s">
        <v>944</v>
      </c>
      <c r="G1355" s="270" t="s">
        <v>3926</v>
      </c>
      <c r="H1355" s="270" t="s">
        <v>5583</v>
      </c>
      <c r="I1355" s="270" t="s">
        <v>3968</v>
      </c>
      <c r="J1355" s="270" t="s">
        <v>3928</v>
      </c>
      <c r="K1355" s="270">
        <v>6042</v>
      </c>
      <c r="L1355" s="270">
        <v>514300</v>
      </c>
      <c r="M1355" s="270" t="s">
        <v>3935</v>
      </c>
      <c r="N1355" s="270" t="s">
        <v>4493</v>
      </c>
      <c r="O1355" s="270">
        <v>1363.01</v>
      </c>
      <c r="P1355" s="270" t="s">
        <v>3930</v>
      </c>
      <c r="Q1355" s="270" t="s">
        <v>3931</v>
      </c>
      <c r="R1355" s="270">
        <v>6363.01</v>
      </c>
      <c r="S1355" s="270">
        <v>27900.400000000001</v>
      </c>
      <c r="T1355" s="270">
        <v>34263.410000000003</v>
      </c>
      <c r="U1355" s="271" t="s">
        <v>3932</v>
      </c>
      <c r="V1355" s="267" t="s">
        <v>944</v>
      </c>
    </row>
    <row r="1356" spans="1:22" hidden="1" x14ac:dyDescent="0.25">
      <c r="A1356" s="266">
        <v>43546</v>
      </c>
      <c r="B1356" s="267">
        <v>2019</v>
      </c>
      <c r="C1356" s="267">
        <v>2019</v>
      </c>
      <c r="D1356" s="267">
        <v>1</v>
      </c>
      <c r="E1356" s="267">
        <v>1</v>
      </c>
      <c r="F1356" s="267" t="s">
        <v>944</v>
      </c>
      <c r="G1356" s="267" t="s">
        <v>3926</v>
      </c>
      <c r="H1356" s="267" t="s">
        <v>5584</v>
      </c>
      <c r="I1356" s="267" t="s">
        <v>3026</v>
      </c>
      <c r="J1356" s="267" t="s">
        <v>3928</v>
      </c>
      <c r="K1356" s="267">
        <v>6471</v>
      </c>
      <c r="L1356" s="267">
        <v>186100</v>
      </c>
      <c r="M1356" s="267" t="s">
        <v>3935</v>
      </c>
      <c r="N1356" s="267" t="s">
        <v>3986</v>
      </c>
      <c r="O1356" s="267">
        <v>0</v>
      </c>
      <c r="P1356" s="267" t="s">
        <v>3930</v>
      </c>
      <c r="Q1356" s="267" t="s">
        <v>3931</v>
      </c>
      <c r="R1356" s="267">
        <v>5000</v>
      </c>
      <c r="S1356" s="267">
        <v>16196.8</v>
      </c>
      <c r="T1356" s="267">
        <v>21196.799999999999</v>
      </c>
      <c r="U1356" s="268" t="s">
        <v>3932</v>
      </c>
      <c r="V1356" s="267" t="s">
        <v>944</v>
      </c>
    </row>
    <row r="1357" spans="1:22" hidden="1" x14ac:dyDescent="0.25">
      <c r="A1357" s="269">
        <v>43546</v>
      </c>
      <c r="B1357" s="270">
        <v>2019</v>
      </c>
      <c r="C1357" s="270">
        <v>2019</v>
      </c>
      <c r="D1357" s="270">
        <v>1</v>
      </c>
      <c r="E1357" s="270">
        <v>1</v>
      </c>
      <c r="F1357" s="270" t="s">
        <v>944</v>
      </c>
      <c r="G1357" s="270" t="s">
        <v>3926</v>
      </c>
      <c r="H1357" s="270" t="s">
        <v>5585</v>
      </c>
      <c r="I1357" s="270" t="s">
        <v>4016</v>
      </c>
      <c r="J1357" s="270" t="s">
        <v>3928</v>
      </c>
      <c r="K1357" s="270">
        <v>6770</v>
      </c>
      <c r="L1357" s="270">
        <v>345400</v>
      </c>
      <c r="M1357" s="270" t="s">
        <v>3935</v>
      </c>
      <c r="N1357" s="270" t="s">
        <v>3944</v>
      </c>
      <c r="O1357" s="270">
        <v>2721</v>
      </c>
      <c r="P1357" s="270" t="s">
        <v>3944</v>
      </c>
      <c r="Q1357" s="270" t="s">
        <v>3944</v>
      </c>
      <c r="R1357" s="270">
        <v>2721</v>
      </c>
      <c r="S1357" s="270">
        <v>21433.200000000001</v>
      </c>
      <c r="T1357" s="270">
        <v>24154.2</v>
      </c>
      <c r="U1357" s="271" t="s">
        <v>3945</v>
      </c>
      <c r="V1357" s="267" t="s">
        <v>944</v>
      </c>
    </row>
    <row r="1358" spans="1:22" hidden="1" x14ac:dyDescent="0.25">
      <c r="A1358" s="266">
        <v>43546</v>
      </c>
      <c r="B1358" s="267">
        <v>2019</v>
      </c>
      <c r="C1358" s="267">
        <v>2019</v>
      </c>
      <c r="D1358" s="267">
        <v>1</v>
      </c>
      <c r="E1358" s="267">
        <v>1</v>
      </c>
      <c r="F1358" s="267" t="s">
        <v>944</v>
      </c>
      <c r="G1358" s="267" t="s">
        <v>3926</v>
      </c>
      <c r="H1358" s="267" t="s">
        <v>5586</v>
      </c>
      <c r="I1358" s="267" t="s">
        <v>3956</v>
      </c>
      <c r="J1358" s="267" t="s">
        <v>3928</v>
      </c>
      <c r="K1358" s="267">
        <v>6106</v>
      </c>
      <c r="L1358" s="267">
        <v>524700</v>
      </c>
      <c r="M1358" s="267" t="s">
        <v>3935</v>
      </c>
      <c r="N1358" s="267" t="s">
        <v>3944</v>
      </c>
      <c r="O1358" s="267">
        <v>2300</v>
      </c>
      <c r="P1358" s="267" t="s">
        <v>3944</v>
      </c>
      <c r="Q1358" s="267" t="s">
        <v>3944</v>
      </c>
      <c r="R1358" s="267">
        <v>2300</v>
      </c>
      <c r="S1358" s="267">
        <v>33866.199999999997</v>
      </c>
      <c r="T1358" s="267">
        <v>36166.199999999997</v>
      </c>
      <c r="U1358" s="268" t="s">
        <v>3945</v>
      </c>
      <c r="V1358" s="267" t="s">
        <v>944</v>
      </c>
    </row>
    <row r="1359" spans="1:22" hidden="1" x14ac:dyDescent="0.25">
      <c r="A1359" s="269">
        <v>43546</v>
      </c>
      <c r="B1359" s="270">
        <v>2019</v>
      </c>
      <c r="C1359" s="270">
        <v>2019</v>
      </c>
      <c r="D1359" s="270">
        <v>1</v>
      </c>
      <c r="E1359" s="270">
        <v>1</v>
      </c>
      <c r="F1359" s="270" t="s">
        <v>944</v>
      </c>
      <c r="G1359" s="270" t="s">
        <v>3926</v>
      </c>
      <c r="H1359" s="270" t="s">
        <v>5587</v>
      </c>
      <c r="I1359" s="270" t="s">
        <v>3939</v>
      </c>
      <c r="J1359" s="270" t="s">
        <v>3928</v>
      </c>
      <c r="K1359" s="270">
        <v>6512</v>
      </c>
      <c r="L1359" s="270">
        <v>180100</v>
      </c>
      <c r="M1359" s="270" t="s">
        <v>3940</v>
      </c>
      <c r="N1359" s="270" t="s">
        <v>3944</v>
      </c>
      <c r="O1359" s="270">
        <v>1479</v>
      </c>
      <c r="P1359" s="270" t="s">
        <v>3944</v>
      </c>
      <c r="Q1359" s="270" t="s">
        <v>3944</v>
      </c>
      <c r="R1359" s="270">
        <v>1479</v>
      </c>
      <c r="S1359" s="270">
        <v>20143</v>
      </c>
      <c r="T1359" s="270">
        <v>21622</v>
      </c>
      <c r="U1359" s="271" t="s">
        <v>3945</v>
      </c>
      <c r="V1359" s="267" t="s">
        <v>944</v>
      </c>
    </row>
    <row r="1360" spans="1:22" hidden="1" x14ac:dyDescent="0.25">
      <c r="A1360" s="266">
        <v>43546</v>
      </c>
      <c r="B1360" s="267">
        <v>2019</v>
      </c>
      <c r="C1360" s="267">
        <v>2019</v>
      </c>
      <c r="D1360" s="267">
        <v>1</v>
      </c>
      <c r="E1360" s="267">
        <v>1</v>
      </c>
      <c r="F1360" s="267" t="s">
        <v>944</v>
      </c>
      <c r="G1360" s="267" t="s">
        <v>3926</v>
      </c>
      <c r="H1360" s="267" t="s">
        <v>5588</v>
      </c>
      <c r="I1360" s="267" t="s">
        <v>3009</v>
      </c>
      <c r="J1360" s="267" t="s">
        <v>3928</v>
      </c>
      <c r="K1360" s="267">
        <v>6484</v>
      </c>
      <c r="L1360" s="267">
        <v>110302</v>
      </c>
      <c r="M1360" s="267" t="s">
        <v>3943</v>
      </c>
      <c r="N1360" s="267" t="s">
        <v>3944</v>
      </c>
      <c r="O1360" s="267">
        <v>2036</v>
      </c>
      <c r="P1360" s="267" t="s">
        <v>3944</v>
      </c>
      <c r="Q1360" s="267" t="s">
        <v>3944</v>
      </c>
      <c r="R1360" s="267">
        <v>2036</v>
      </c>
      <c r="S1360" s="267">
        <v>31039</v>
      </c>
      <c r="T1360" s="267">
        <v>33075</v>
      </c>
      <c r="U1360" s="268" t="s">
        <v>3945</v>
      </c>
      <c r="V1360" s="267" t="s">
        <v>944</v>
      </c>
    </row>
    <row r="1361" spans="1:22" hidden="1" x14ac:dyDescent="0.25">
      <c r="A1361" s="269">
        <v>43546</v>
      </c>
      <c r="B1361" s="270">
        <v>2019</v>
      </c>
      <c r="C1361" s="270">
        <v>2019</v>
      </c>
      <c r="D1361" s="270">
        <v>1</v>
      </c>
      <c r="E1361" s="270">
        <v>1</v>
      </c>
      <c r="F1361" s="270" t="s">
        <v>944</v>
      </c>
      <c r="G1361" s="270" t="s">
        <v>3926</v>
      </c>
      <c r="H1361" s="270" t="s">
        <v>5589</v>
      </c>
      <c r="I1361" s="270" t="s">
        <v>953</v>
      </c>
      <c r="J1361" s="270" t="s">
        <v>3928</v>
      </c>
      <c r="K1361" s="270">
        <v>6514</v>
      </c>
      <c r="L1361" s="270">
        <v>165802</v>
      </c>
      <c r="M1361" s="270" t="s">
        <v>3943</v>
      </c>
      <c r="N1361" s="270" t="s">
        <v>3944</v>
      </c>
      <c r="O1361" s="270">
        <v>3262</v>
      </c>
      <c r="P1361" s="270" t="s">
        <v>3944</v>
      </c>
      <c r="Q1361" s="270" t="s">
        <v>3944</v>
      </c>
      <c r="R1361" s="270">
        <v>3262</v>
      </c>
      <c r="S1361" s="270">
        <v>58163</v>
      </c>
      <c r="T1361" s="270">
        <v>61425</v>
      </c>
      <c r="U1361" s="271" t="s">
        <v>3945</v>
      </c>
      <c r="V1361" s="267" t="s">
        <v>944</v>
      </c>
    </row>
    <row r="1362" spans="1:22" hidden="1" x14ac:dyDescent="0.25">
      <c r="A1362" s="266">
        <v>43546</v>
      </c>
      <c r="B1362" s="267">
        <v>2019</v>
      </c>
      <c r="C1362" s="267">
        <v>2019</v>
      </c>
      <c r="D1362" s="267">
        <v>1</v>
      </c>
      <c r="E1362" s="267">
        <v>1</v>
      </c>
      <c r="F1362" s="267" t="s">
        <v>944</v>
      </c>
      <c r="G1362" s="267" t="s">
        <v>3926</v>
      </c>
      <c r="H1362" s="267" t="s">
        <v>5590</v>
      </c>
      <c r="I1362" s="267" t="s">
        <v>3008</v>
      </c>
      <c r="J1362" s="267" t="s">
        <v>3928</v>
      </c>
      <c r="K1362" s="267">
        <v>6460</v>
      </c>
      <c r="L1362" s="267">
        <v>151200</v>
      </c>
      <c r="M1362" s="267" t="s">
        <v>3935</v>
      </c>
      <c r="N1362" s="267" t="s">
        <v>3944</v>
      </c>
      <c r="O1362" s="267">
        <v>2790</v>
      </c>
      <c r="P1362" s="267" t="s">
        <v>3944</v>
      </c>
      <c r="Q1362" s="267" t="s">
        <v>3944</v>
      </c>
      <c r="R1362" s="267">
        <v>2790</v>
      </c>
      <c r="S1362" s="267">
        <v>35142</v>
      </c>
      <c r="T1362" s="267">
        <v>37932</v>
      </c>
      <c r="U1362" s="268" t="s">
        <v>3945</v>
      </c>
      <c r="V1362" s="267" t="s">
        <v>944</v>
      </c>
    </row>
    <row r="1363" spans="1:22" hidden="1" x14ac:dyDescent="0.25">
      <c r="A1363" s="269">
        <v>43546</v>
      </c>
      <c r="B1363" s="270">
        <v>2019</v>
      </c>
      <c r="C1363" s="270">
        <v>2019</v>
      </c>
      <c r="D1363" s="270">
        <v>1</v>
      </c>
      <c r="E1363" s="270">
        <v>1</v>
      </c>
      <c r="F1363" s="270" t="s">
        <v>944</v>
      </c>
      <c r="G1363" s="270" t="s">
        <v>3926</v>
      </c>
      <c r="H1363" s="270" t="s">
        <v>5591</v>
      </c>
      <c r="I1363" s="270" t="s">
        <v>4594</v>
      </c>
      <c r="J1363" s="270" t="s">
        <v>3928</v>
      </c>
      <c r="K1363" s="270">
        <v>6488</v>
      </c>
      <c r="L1363" s="270">
        <v>348123</v>
      </c>
      <c r="M1363" s="270" t="s">
        <v>3943</v>
      </c>
      <c r="N1363" s="270" t="s">
        <v>3944</v>
      </c>
      <c r="O1363" s="270">
        <v>4766</v>
      </c>
      <c r="P1363" s="270" t="s">
        <v>3944</v>
      </c>
      <c r="Q1363" s="270" t="s">
        <v>3944</v>
      </c>
      <c r="R1363" s="270">
        <v>4766</v>
      </c>
      <c r="S1363" s="270">
        <v>37738</v>
      </c>
      <c r="T1363" s="270">
        <v>42504</v>
      </c>
      <c r="U1363" s="271" t="s">
        <v>3945</v>
      </c>
      <c r="V1363" s="267" t="s">
        <v>944</v>
      </c>
    </row>
    <row r="1364" spans="1:22" hidden="1" x14ac:dyDescent="0.25">
      <c r="A1364" s="266">
        <v>43546</v>
      </c>
      <c r="B1364" s="267">
        <v>2019</v>
      </c>
      <c r="C1364" s="267">
        <v>2019</v>
      </c>
      <c r="D1364" s="267">
        <v>1</v>
      </c>
      <c r="E1364" s="267">
        <v>1</v>
      </c>
      <c r="F1364" s="267" t="s">
        <v>944</v>
      </c>
      <c r="G1364" s="267" t="s">
        <v>3926</v>
      </c>
      <c r="H1364" s="267" t="s">
        <v>5592</v>
      </c>
      <c r="I1364" s="267" t="s">
        <v>4422</v>
      </c>
      <c r="J1364" s="267" t="s">
        <v>3928</v>
      </c>
      <c r="K1364" s="267">
        <v>6801</v>
      </c>
      <c r="L1364" s="267">
        <v>200302</v>
      </c>
      <c r="M1364" s="267" t="s">
        <v>3943</v>
      </c>
      <c r="N1364" s="267" t="s">
        <v>3944</v>
      </c>
      <c r="O1364" s="267">
        <v>4630</v>
      </c>
      <c r="P1364" s="267" t="s">
        <v>3944</v>
      </c>
      <c r="Q1364" s="267" t="s">
        <v>3944</v>
      </c>
      <c r="R1364" s="267">
        <v>4630</v>
      </c>
      <c r="S1364" s="267">
        <v>46069.25</v>
      </c>
      <c r="T1364" s="267">
        <v>50699.25</v>
      </c>
      <c r="U1364" s="268" t="s">
        <v>3945</v>
      </c>
      <c r="V1364" s="267" t="s">
        <v>944</v>
      </c>
    </row>
    <row r="1365" spans="1:22" hidden="1" x14ac:dyDescent="0.25">
      <c r="A1365" s="269">
        <v>43546</v>
      </c>
      <c r="B1365" s="270">
        <v>2019</v>
      </c>
      <c r="C1365" s="270">
        <v>2019</v>
      </c>
      <c r="D1365" s="270">
        <v>1</v>
      </c>
      <c r="E1365" s="270">
        <v>1</v>
      </c>
      <c r="F1365" s="270" t="s">
        <v>944</v>
      </c>
      <c r="G1365" s="270" t="s">
        <v>3926</v>
      </c>
      <c r="H1365" s="270" t="s">
        <v>5593</v>
      </c>
      <c r="I1365" s="270" t="s">
        <v>3012</v>
      </c>
      <c r="J1365" s="270" t="s">
        <v>3928</v>
      </c>
      <c r="K1365" s="270">
        <v>6477</v>
      </c>
      <c r="L1365" s="270">
        <v>157400</v>
      </c>
      <c r="M1365" s="270" t="s">
        <v>3943</v>
      </c>
      <c r="N1365" s="270" t="s">
        <v>3944</v>
      </c>
      <c r="O1365" s="270">
        <v>2775.57</v>
      </c>
      <c r="P1365" s="270" t="s">
        <v>3944</v>
      </c>
      <c r="Q1365" s="270" t="s">
        <v>3944</v>
      </c>
      <c r="R1365" s="270">
        <v>2775.57</v>
      </c>
      <c r="S1365" s="270">
        <v>38300.43</v>
      </c>
      <c r="T1365" s="270">
        <v>41076</v>
      </c>
      <c r="U1365" s="271" t="s">
        <v>3945</v>
      </c>
      <c r="V1365" s="267" t="s">
        <v>944</v>
      </c>
    </row>
    <row r="1366" spans="1:22" hidden="1" x14ac:dyDescent="0.25">
      <c r="A1366" s="266">
        <v>43546</v>
      </c>
      <c r="B1366" s="267">
        <v>2019</v>
      </c>
      <c r="C1366" s="267">
        <v>2019</v>
      </c>
      <c r="D1366" s="267">
        <v>1</v>
      </c>
      <c r="E1366" s="267">
        <v>1</v>
      </c>
      <c r="F1366" s="267" t="s">
        <v>944</v>
      </c>
      <c r="G1366" s="267" t="s">
        <v>3926</v>
      </c>
      <c r="H1366" s="267" t="s">
        <v>5594</v>
      </c>
      <c r="I1366" s="267" t="s">
        <v>3962</v>
      </c>
      <c r="J1366" s="267" t="s">
        <v>3928</v>
      </c>
      <c r="K1366" s="267">
        <v>6379</v>
      </c>
      <c r="L1366" s="267">
        <v>705101</v>
      </c>
      <c r="M1366" s="267" t="s">
        <v>3935</v>
      </c>
      <c r="N1366" s="267" t="s">
        <v>3944</v>
      </c>
      <c r="O1366" s="267">
        <v>1343.3</v>
      </c>
      <c r="P1366" s="267" t="s">
        <v>3944</v>
      </c>
      <c r="Q1366" s="267" t="s">
        <v>3944</v>
      </c>
      <c r="R1366" s="267">
        <v>1343.3</v>
      </c>
      <c r="S1366" s="267">
        <v>24957.439999999999</v>
      </c>
      <c r="T1366" s="267">
        <v>26300.74</v>
      </c>
      <c r="U1366" s="268" t="s">
        <v>3945</v>
      </c>
      <c r="V1366" s="267" t="s">
        <v>944</v>
      </c>
    </row>
    <row r="1367" spans="1:22" hidden="1" x14ac:dyDescent="0.25">
      <c r="A1367" s="269">
        <v>43546</v>
      </c>
      <c r="B1367" s="270">
        <v>2019</v>
      </c>
      <c r="C1367" s="270">
        <v>2019</v>
      </c>
      <c r="D1367" s="270">
        <v>1</v>
      </c>
      <c r="E1367" s="270">
        <v>1</v>
      </c>
      <c r="F1367" s="270" t="s">
        <v>944</v>
      </c>
      <c r="G1367" s="270" t="s">
        <v>3926</v>
      </c>
      <c r="H1367" s="270" t="s">
        <v>5595</v>
      </c>
      <c r="I1367" s="270" t="s">
        <v>3975</v>
      </c>
      <c r="J1367" s="270" t="s">
        <v>3928</v>
      </c>
      <c r="K1367" s="270">
        <v>6489</v>
      </c>
      <c r="L1367" s="270">
        <v>430202</v>
      </c>
      <c r="M1367" s="270" t="s">
        <v>3943</v>
      </c>
      <c r="N1367" s="270" t="s">
        <v>3944</v>
      </c>
      <c r="O1367" s="270">
        <v>2719.19</v>
      </c>
      <c r="P1367" s="270" t="s">
        <v>3944</v>
      </c>
      <c r="Q1367" s="270" t="s">
        <v>3944</v>
      </c>
      <c r="R1367" s="270">
        <v>2719.19</v>
      </c>
      <c r="S1367" s="270">
        <v>34782.19</v>
      </c>
      <c r="T1367" s="270">
        <v>37501.379999999997</v>
      </c>
      <c r="U1367" s="271" t="s">
        <v>3945</v>
      </c>
      <c r="V1367" s="267" t="s">
        <v>944</v>
      </c>
    </row>
    <row r="1368" spans="1:22" hidden="1" x14ac:dyDescent="0.25">
      <c r="A1368" s="266">
        <v>43546</v>
      </c>
      <c r="B1368" s="267">
        <v>2019</v>
      </c>
      <c r="C1368" s="267">
        <v>2019</v>
      </c>
      <c r="D1368" s="267">
        <v>1</v>
      </c>
      <c r="E1368" s="267">
        <v>1</v>
      </c>
      <c r="F1368" s="267" t="s">
        <v>944</v>
      </c>
      <c r="G1368" s="267" t="s">
        <v>3926</v>
      </c>
      <c r="H1368" s="267" t="s">
        <v>5596</v>
      </c>
      <c r="I1368" s="267" t="s">
        <v>943</v>
      </c>
      <c r="J1368" s="267" t="s">
        <v>3928</v>
      </c>
      <c r="K1368" s="267">
        <v>6511</v>
      </c>
      <c r="L1368" s="267">
        <v>141400</v>
      </c>
      <c r="M1368" s="267">
        <v>-60</v>
      </c>
      <c r="N1368" s="267" t="s">
        <v>3944</v>
      </c>
      <c r="O1368" s="267">
        <v>2248.19</v>
      </c>
      <c r="P1368" s="267" t="s">
        <v>3944</v>
      </c>
      <c r="Q1368" s="267" t="s">
        <v>3944</v>
      </c>
      <c r="R1368" s="267">
        <v>2248.19</v>
      </c>
      <c r="S1368" s="267">
        <v>29002.959999999999</v>
      </c>
      <c r="T1368" s="267">
        <v>31251.15</v>
      </c>
      <c r="U1368" s="268" t="s">
        <v>3945</v>
      </c>
      <c r="V1368" s="267" t="s">
        <v>944</v>
      </c>
    </row>
    <row r="1369" spans="1:22" hidden="1" x14ac:dyDescent="0.25">
      <c r="A1369" s="269">
        <v>43546</v>
      </c>
      <c r="B1369" s="270">
        <v>2019</v>
      </c>
      <c r="C1369" s="270">
        <v>2019</v>
      </c>
      <c r="D1369" s="270">
        <v>1</v>
      </c>
      <c r="E1369" s="270">
        <v>1</v>
      </c>
      <c r="F1369" s="270" t="s">
        <v>944</v>
      </c>
      <c r="G1369" s="270" t="s">
        <v>3926</v>
      </c>
      <c r="H1369" s="270" t="s">
        <v>5597</v>
      </c>
      <c r="I1369" s="270" t="s">
        <v>3999</v>
      </c>
      <c r="J1369" s="270" t="s">
        <v>3928</v>
      </c>
      <c r="K1369" s="270">
        <v>6450</v>
      </c>
      <c r="L1369" s="270">
        <v>171700</v>
      </c>
      <c r="M1369" s="270" t="s">
        <v>3935</v>
      </c>
      <c r="N1369" s="270" t="s">
        <v>3944</v>
      </c>
      <c r="O1369" s="270">
        <v>2573.8000000000002</v>
      </c>
      <c r="P1369" s="270" t="s">
        <v>3944</v>
      </c>
      <c r="Q1369" s="270" t="s">
        <v>3944</v>
      </c>
      <c r="R1369" s="270">
        <v>2573.8000000000002</v>
      </c>
      <c r="S1369" s="270">
        <v>32844.17</v>
      </c>
      <c r="T1369" s="270">
        <v>35417.97</v>
      </c>
      <c r="U1369" s="271" t="s">
        <v>3945</v>
      </c>
      <c r="V1369" s="267" t="s">
        <v>944</v>
      </c>
    </row>
    <row r="1370" spans="1:22" hidden="1" x14ac:dyDescent="0.25">
      <c r="A1370" s="266">
        <v>43546</v>
      </c>
      <c r="B1370" s="267">
        <v>2019</v>
      </c>
      <c r="C1370" s="267">
        <v>2019</v>
      </c>
      <c r="D1370" s="267">
        <v>1</v>
      </c>
      <c r="E1370" s="267">
        <v>1</v>
      </c>
      <c r="F1370" s="267" t="s">
        <v>944</v>
      </c>
      <c r="G1370" s="267" t="s">
        <v>3926</v>
      </c>
      <c r="H1370" s="267" t="s">
        <v>5598</v>
      </c>
      <c r="I1370" s="267" t="s">
        <v>4016</v>
      </c>
      <c r="J1370" s="267" t="s">
        <v>3928</v>
      </c>
      <c r="K1370" s="267">
        <v>6770</v>
      </c>
      <c r="L1370" s="267">
        <v>345400</v>
      </c>
      <c r="M1370" s="267" t="s">
        <v>3935</v>
      </c>
      <c r="N1370" s="267" t="s">
        <v>3944</v>
      </c>
      <c r="O1370" s="267">
        <v>3024.04</v>
      </c>
      <c r="P1370" s="267" t="s">
        <v>3944</v>
      </c>
      <c r="Q1370" s="267" t="s">
        <v>3944</v>
      </c>
      <c r="R1370" s="267">
        <v>3024.04</v>
      </c>
      <c r="S1370" s="267">
        <v>49691.16</v>
      </c>
      <c r="T1370" s="267">
        <v>52715.199999999997</v>
      </c>
      <c r="U1370" s="268" t="s">
        <v>3945</v>
      </c>
      <c r="V1370" s="267" t="s">
        <v>944</v>
      </c>
    </row>
    <row r="1371" spans="1:22" hidden="1" x14ac:dyDescent="0.25">
      <c r="A1371" s="269">
        <v>43546</v>
      </c>
      <c r="B1371" s="270">
        <v>2019</v>
      </c>
      <c r="C1371" s="270">
        <v>2019</v>
      </c>
      <c r="D1371" s="270">
        <v>1</v>
      </c>
      <c r="E1371" s="270">
        <v>1</v>
      </c>
      <c r="F1371" s="270" t="s">
        <v>944</v>
      </c>
      <c r="G1371" s="270" t="s">
        <v>3926</v>
      </c>
      <c r="H1371" s="270" t="s">
        <v>5599</v>
      </c>
      <c r="I1371" s="270" t="s">
        <v>4232</v>
      </c>
      <c r="J1371" s="270" t="s">
        <v>3928</v>
      </c>
      <c r="K1371" s="270">
        <v>6483</v>
      </c>
      <c r="L1371" s="270">
        <v>130102</v>
      </c>
      <c r="M1371" s="270" t="s">
        <v>3935</v>
      </c>
      <c r="N1371" s="270" t="s">
        <v>3944</v>
      </c>
      <c r="O1371" s="270">
        <v>2447.69</v>
      </c>
      <c r="P1371" s="270" t="s">
        <v>3944</v>
      </c>
      <c r="Q1371" s="270" t="s">
        <v>3944</v>
      </c>
      <c r="R1371" s="270">
        <v>2447.69</v>
      </c>
      <c r="S1371" s="270">
        <v>32184.31</v>
      </c>
      <c r="T1371" s="270">
        <v>34632</v>
      </c>
      <c r="U1371" s="271" t="s">
        <v>3945</v>
      </c>
      <c r="V1371" s="267" t="s">
        <v>944</v>
      </c>
    </row>
    <row r="1372" spans="1:22" hidden="1" x14ac:dyDescent="0.25">
      <c r="A1372" s="266">
        <v>43546</v>
      </c>
      <c r="B1372" s="267">
        <v>2019</v>
      </c>
      <c r="C1372" s="267">
        <v>2019</v>
      </c>
      <c r="D1372" s="267">
        <v>1</v>
      </c>
      <c r="E1372" s="267">
        <v>1</v>
      </c>
      <c r="F1372" s="267" t="s">
        <v>944</v>
      </c>
      <c r="G1372" s="267" t="s">
        <v>3926</v>
      </c>
      <c r="H1372" s="267" t="s">
        <v>5600</v>
      </c>
      <c r="I1372" s="267" t="s">
        <v>956</v>
      </c>
      <c r="J1372" s="267" t="s">
        <v>3928</v>
      </c>
      <c r="K1372" s="267">
        <v>6614</v>
      </c>
      <c r="L1372" s="267">
        <v>81200</v>
      </c>
      <c r="M1372" s="267" t="s">
        <v>3943</v>
      </c>
      <c r="N1372" s="267" t="s">
        <v>3944</v>
      </c>
      <c r="O1372" s="267">
        <v>1370.67</v>
      </c>
      <c r="P1372" s="267" t="s">
        <v>3944</v>
      </c>
      <c r="Q1372" s="267" t="s">
        <v>3944</v>
      </c>
      <c r="R1372" s="267">
        <v>1370.67</v>
      </c>
      <c r="S1372" s="267">
        <v>23630.25</v>
      </c>
      <c r="T1372" s="267">
        <v>25000.92</v>
      </c>
      <c r="U1372" s="268" t="s">
        <v>3945</v>
      </c>
      <c r="V1372" s="267" t="s">
        <v>944</v>
      </c>
    </row>
    <row r="1373" spans="1:22" hidden="1" x14ac:dyDescent="0.25">
      <c r="A1373" s="269">
        <v>43546</v>
      </c>
      <c r="B1373" s="270">
        <v>2019</v>
      </c>
      <c r="C1373" s="270">
        <v>2019</v>
      </c>
      <c r="D1373" s="270">
        <v>1</v>
      </c>
      <c r="E1373" s="270">
        <v>1</v>
      </c>
      <c r="F1373" s="270" t="s">
        <v>944</v>
      </c>
      <c r="G1373" s="270" t="s">
        <v>3926</v>
      </c>
      <c r="H1373" s="270" t="s">
        <v>5601</v>
      </c>
      <c r="I1373" s="270" t="s">
        <v>4085</v>
      </c>
      <c r="J1373" s="270" t="s">
        <v>3928</v>
      </c>
      <c r="K1373" s="270">
        <v>6351</v>
      </c>
      <c r="L1373" s="270">
        <v>709100</v>
      </c>
      <c r="M1373" s="270" t="s">
        <v>3935</v>
      </c>
      <c r="N1373" s="270" t="s">
        <v>3944</v>
      </c>
      <c r="O1373" s="270">
        <v>1431.05</v>
      </c>
      <c r="P1373" s="270" t="s">
        <v>3944</v>
      </c>
      <c r="Q1373" s="270" t="s">
        <v>3944</v>
      </c>
      <c r="R1373" s="270">
        <v>1431.05</v>
      </c>
      <c r="S1373" s="270">
        <v>29173.31</v>
      </c>
      <c r="T1373" s="270">
        <v>30604.36</v>
      </c>
      <c r="U1373" s="271" t="s">
        <v>3945</v>
      </c>
      <c r="V1373" s="267" t="s">
        <v>944</v>
      </c>
    </row>
    <row r="1374" spans="1:22" hidden="1" x14ac:dyDescent="0.25">
      <c r="A1374" s="266">
        <v>43546</v>
      </c>
      <c r="B1374" s="267">
        <v>2019</v>
      </c>
      <c r="C1374" s="267">
        <v>2019</v>
      </c>
      <c r="D1374" s="267">
        <v>1</v>
      </c>
      <c r="E1374" s="267">
        <v>36</v>
      </c>
      <c r="F1374" s="267" t="s">
        <v>944</v>
      </c>
      <c r="G1374" s="267" t="s">
        <v>3926</v>
      </c>
      <c r="H1374" s="267" t="s">
        <v>5602</v>
      </c>
      <c r="I1374" s="267" t="s">
        <v>4016</v>
      </c>
      <c r="J1374" s="267" t="s">
        <v>3928</v>
      </c>
      <c r="K1374" s="267">
        <v>6770</v>
      </c>
      <c r="L1374" s="267">
        <v>345400</v>
      </c>
      <c r="M1374" s="267" t="s">
        <v>3935</v>
      </c>
      <c r="N1374" s="267" t="s">
        <v>5603</v>
      </c>
      <c r="O1374" s="267"/>
      <c r="P1374" s="267" t="s">
        <v>5604</v>
      </c>
      <c r="Q1374" s="267" t="s">
        <v>3930</v>
      </c>
      <c r="R1374" s="267">
        <v>5809</v>
      </c>
      <c r="S1374" s="267">
        <v>150000</v>
      </c>
      <c r="T1374" s="267">
        <v>155809</v>
      </c>
      <c r="U1374" s="268" t="s">
        <v>5605</v>
      </c>
      <c r="V1374" s="267" t="s">
        <v>944</v>
      </c>
    </row>
    <row r="1375" spans="1:22" hidden="1" x14ac:dyDescent="0.25">
      <c r="A1375" s="269">
        <v>43547</v>
      </c>
      <c r="B1375" s="270">
        <v>2019</v>
      </c>
      <c r="C1375" s="270">
        <v>2019</v>
      </c>
      <c r="D1375" s="270">
        <v>1</v>
      </c>
      <c r="E1375" s="270">
        <v>1</v>
      </c>
      <c r="F1375" s="270" t="s">
        <v>944</v>
      </c>
      <c r="G1375" s="270" t="s">
        <v>3926</v>
      </c>
      <c r="H1375" s="270" t="s">
        <v>5606</v>
      </c>
      <c r="I1375" s="270" t="s">
        <v>950</v>
      </c>
      <c r="J1375" s="270" t="s">
        <v>3928</v>
      </c>
      <c r="K1375" s="270">
        <v>6516</v>
      </c>
      <c r="L1375" s="270">
        <v>154700</v>
      </c>
      <c r="M1375" s="270" t="s">
        <v>3960</v>
      </c>
      <c r="N1375" s="270" t="s">
        <v>5607</v>
      </c>
      <c r="O1375" s="270">
        <v>1411.55</v>
      </c>
      <c r="P1375" s="270" t="s">
        <v>3930</v>
      </c>
      <c r="Q1375" s="270" t="s">
        <v>3931</v>
      </c>
      <c r="R1375" s="270">
        <v>6411.55</v>
      </c>
      <c r="S1375" s="270">
        <v>17190.400000000001</v>
      </c>
      <c r="T1375" s="270">
        <v>23601.95</v>
      </c>
      <c r="U1375" s="271" t="s">
        <v>3932</v>
      </c>
      <c r="V1375" s="267" t="s">
        <v>944</v>
      </c>
    </row>
    <row r="1376" spans="1:22" hidden="1" x14ac:dyDescent="0.25">
      <c r="A1376" s="266">
        <v>43547</v>
      </c>
      <c r="B1376" s="267">
        <v>2019</v>
      </c>
      <c r="C1376" s="267">
        <v>2019</v>
      </c>
      <c r="D1376" s="267">
        <v>1</v>
      </c>
      <c r="E1376" s="267">
        <v>1</v>
      </c>
      <c r="F1376" s="267" t="s">
        <v>944</v>
      </c>
      <c r="G1376" s="267" t="s">
        <v>3926</v>
      </c>
      <c r="H1376" s="267" t="s">
        <v>5608</v>
      </c>
      <c r="I1376" s="267" t="s">
        <v>4213</v>
      </c>
      <c r="J1376" s="267" t="s">
        <v>3928</v>
      </c>
      <c r="K1376" s="267">
        <v>6052</v>
      </c>
      <c r="L1376" s="267">
        <v>415700</v>
      </c>
      <c r="M1376" s="267">
        <v>-60</v>
      </c>
      <c r="N1376" s="267" t="s">
        <v>5609</v>
      </c>
      <c r="O1376" s="267">
        <v>1112.27</v>
      </c>
      <c r="P1376" s="267" t="s">
        <v>3930</v>
      </c>
      <c r="Q1376" s="267" t="s">
        <v>3931</v>
      </c>
      <c r="R1376" s="267">
        <v>6112.27</v>
      </c>
      <c r="S1376" s="267">
        <v>21839.8</v>
      </c>
      <c r="T1376" s="267">
        <v>27952.07</v>
      </c>
      <c r="U1376" s="268" t="s">
        <v>3932</v>
      </c>
      <c r="V1376" s="267" t="s">
        <v>944</v>
      </c>
    </row>
    <row r="1377" spans="1:22" hidden="1" x14ac:dyDescent="0.25">
      <c r="A1377" s="269">
        <v>43547</v>
      </c>
      <c r="B1377" s="270">
        <v>2019</v>
      </c>
      <c r="C1377" s="270">
        <v>2019</v>
      </c>
      <c r="D1377" s="270">
        <v>1</v>
      </c>
      <c r="E1377" s="270">
        <v>1</v>
      </c>
      <c r="F1377" s="270" t="s">
        <v>944</v>
      </c>
      <c r="G1377" s="270" t="s">
        <v>3926</v>
      </c>
      <c r="H1377" s="270" t="s">
        <v>5610</v>
      </c>
      <c r="I1377" s="270" t="s">
        <v>4665</v>
      </c>
      <c r="J1377" s="270" t="s">
        <v>3928</v>
      </c>
      <c r="K1377" s="270">
        <v>6013</v>
      </c>
      <c r="L1377" s="270">
        <v>410102</v>
      </c>
      <c r="M1377" s="270" t="s">
        <v>3943</v>
      </c>
      <c r="N1377" s="270" t="s">
        <v>5611</v>
      </c>
      <c r="O1377" s="270">
        <v>0</v>
      </c>
      <c r="P1377" s="270" t="s">
        <v>3930</v>
      </c>
      <c r="Q1377" s="270" t="s">
        <v>3930</v>
      </c>
      <c r="R1377" s="270">
        <v>0</v>
      </c>
      <c r="S1377" s="270">
        <v>15595.82</v>
      </c>
      <c r="T1377" s="270">
        <v>15595.82</v>
      </c>
      <c r="U1377" s="271" t="s">
        <v>3937</v>
      </c>
      <c r="V1377" s="267" t="s">
        <v>944</v>
      </c>
    </row>
    <row r="1378" spans="1:22" hidden="1" x14ac:dyDescent="0.25">
      <c r="A1378" s="266">
        <v>43547</v>
      </c>
      <c r="B1378" s="267">
        <v>2019</v>
      </c>
      <c r="C1378" s="267">
        <v>2019</v>
      </c>
      <c r="D1378" s="267">
        <v>1</v>
      </c>
      <c r="E1378" s="267">
        <v>1</v>
      </c>
      <c r="F1378" s="267" t="s">
        <v>944</v>
      </c>
      <c r="G1378" s="267" t="s">
        <v>3926</v>
      </c>
      <c r="H1378" s="267" t="s">
        <v>5612</v>
      </c>
      <c r="I1378" s="267" t="s">
        <v>4213</v>
      </c>
      <c r="J1378" s="267" t="s">
        <v>3928</v>
      </c>
      <c r="K1378" s="267">
        <v>6053</v>
      </c>
      <c r="L1378" s="267">
        <v>416700</v>
      </c>
      <c r="M1378" s="267">
        <v>-60</v>
      </c>
      <c r="N1378" s="267" t="s">
        <v>5613</v>
      </c>
      <c r="O1378" s="267">
        <v>3050.24</v>
      </c>
      <c r="P1378" s="267" t="s">
        <v>3930</v>
      </c>
      <c r="Q1378" s="267" t="s">
        <v>3931</v>
      </c>
      <c r="R1378" s="267">
        <v>8050.24</v>
      </c>
      <c r="S1378" s="267">
        <v>19675.3</v>
      </c>
      <c r="T1378" s="267">
        <v>27725.54</v>
      </c>
      <c r="U1378" s="268" t="s">
        <v>3932</v>
      </c>
      <c r="V1378" s="267" t="s">
        <v>944</v>
      </c>
    </row>
    <row r="1379" spans="1:22" hidden="1" x14ac:dyDescent="0.25">
      <c r="A1379" s="269">
        <v>43547</v>
      </c>
      <c r="B1379" s="270">
        <v>2019</v>
      </c>
      <c r="C1379" s="270">
        <v>2019</v>
      </c>
      <c r="D1379" s="270">
        <v>1</v>
      </c>
      <c r="E1379" s="270">
        <v>1</v>
      </c>
      <c r="F1379" s="270" t="s">
        <v>944</v>
      </c>
      <c r="G1379" s="270" t="s">
        <v>3926</v>
      </c>
      <c r="H1379" s="270" t="s">
        <v>5614</v>
      </c>
      <c r="I1379" s="270" t="s">
        <v>943</v>
      </c>
      <c r="J1379" s="270" t="s">
        <v>3928</v>
      </c>
      <c r="K1379" s="270">
        <v>6512</v>
      </c>
      <c r="L1379" s="270">
        <v>142700</v>
      </c>
      <c r="M1379" s="270">
        <v>-60</v>
      </c>
      <c r="N1379" s="270" t="s">
        <v>4103</v>
      </c>
      <c r="O1379" s="270">
        <v>3863.79</v>
      </c>
      <c r="P1379" s="270" t="s">
        <v>3930</v>
      </c>
      <c r="Q1379" s="270" t="s">
        <v>3931</v>
      </c>
      <c r="R1379" s="270">
        <v>8863.7900000000009</v>
      </c>
      <c r="S1379" s="270">
        <v>24145.599999999999</v>
      </c>
      <c r="T1379" s="270">
        <v>33009.39</v>
      </c>
      <c r="U1379" s="271" t="s">
        <v>3932</v>
      </c>
      <c r="V1379" s="267" t="s">
        <v>944</v>
      </c>
    </row>
    <row r="1380" spans="1:22" hidden="1" x14ac:dyDescent="0.25">
      <c r="A1380" s="266">
        <v>43547</v>
      </c>
      <c r="B1380" s="267">
        <v>2019</v>
      </c>
      <c r="C1380" s="267">
        <v>2019</v>
      </c>
      <c r="D1380" s="267">
        <v>1</v>
      </c>
      <c r="E1380" s="267">
        <v>1</v>
      </c>
      <c r="F1380" s="267" t="s">
        <v>944</v>
      </c>
      <c r="G1380" s="267" t="s">
        <v>3926</v>
      </c>
      <c r="H1380" s="267" t="s">
        <v>5615</v>
      </c>
      <c r="I1380" s="267" t="s">
        <v>3968</v>
      </c>
      <c r="J1380" s="267" t="s">
        <v>3928</v>
      </c>
      <c r="K1380" s="267">
        <v>6040</v>
      </c>
      <c r="L1380" s="267">
        <v>515102</v>
      </c>
      <c r="M1380" s="267" t="s">
        <v>3935</v>
      </c>
      <c r="N1380" s="267" t="s">
        <v>3929</v>
      </c>
      <c r="O1380" s="267">
        <v>1897.88</v>
      </c>
      <c r="P1380" s="267" t="s">
        <v>3930</v>
      </c>
      <c r="Q1380" s="267" t="s">
        <v>3931</v>
      </c>
      <c r="R1380" s="267">
        <v>6897.88</v>
      </c>
      <c r="S1380" s="267">
        <v>34744</v>
      </c>
      <c r="T1380" s="267">
        <v>41641.879999999997</v>
      </c>
      <c r="U1380" s="268" t="s">
        <v>3932</v>
      </c>
      <c r="V1380" s="267" t="s">
        <v>944</v>
      </c>
    </row>
    <row r="1381" spans="1:22" hidden="1" x14ac:dyDescent="0.25">
      <c r="A1381" s="269">
        <v>43547</v>
      </c>
      <c r="B1381" s="270">
        <v>2019</v>
      </c>
      <c r="C1381" s="270">
        <v>2019</v>
      </c>
      <c r="D1381" s="270">
        <v>1</v>
      </c>
      <c r="E1381" s="270">
        <v>1</v>
      </c>
      <c r="F1381" s="270" t="s">
        <v>944</v>
      </c>
      <c r="G1381" s="270" t="s">
        <v>3926</v>
      </c>
      <c r="H1381" s="270" t="s">
        <v>5616</v>
      </c>
      <c r="I1381" s="270" t="s">
        <v>3025</v>
      </c>
      <c r="J1381" s="270" t="s">
        <v>3928</v>
      </c>
      <c r="K1381" s="270">
        <v>6473</v>
      </c>
      <c r="L1381" s="270">
        <v>165200</v>
      </c>
      <c r="M1381" s="270" t="s">
        <v>3943</v>
      </c>
      <c r="N1381" s="270" t="s">
        <v>5617</v>
      </c>
      <c r="O1381" s="270">
        <v>0</v>
      </c>
      <c r="P1381" s="270" t="s">
        <v>3930</v>
      </c>
      <c r="Q1381" s="270" t="s">
        <v>3930</v>
      </c>
      <c r="R1381" s="270">
        <v>0</v>
      </c>
      <c r="S1381" s="270">
        <v>35699</v>
      </c>
      <c r="T1381" s="270">
        <v>35699</v>
      </c>
      <c r="U1381" s="271" t="s">
        <v>3937</v>
      </c>
      <c r="V1381" s="267" t="s">
        <v>944</v>
      </c>
    </row>
    <row r="1382" spans="1:22" hidden="1" x14ac:dyDescent="0.25">
      <c r="A1382" s="266">
        <v>43548</v>
      </c>
      <c r="B1382" s="267">
        <v>2019</v>
      </c>
      <c r="C1382" s="267">
        <v>2019</v>
      </c>
      <c r="D1382" s="267">
        <v>1</v>
      </c>
      <c r="E1382" s="267">
        <v>1</v>
      </c>
      <c r="F1382" s="267" t="s">
        <v>944</v>
      </c>
      <c r="G1382" s="267" t="s">
        <v>3926</v>
      </c>
      <c r="H1382" s="267" t="s">
        <v>5618</v>
      </c>
      <c r="I1382" s="267" t="s">
        <v>4213</v>
      </c>
      <c r="J1382" s="267" t="s">
        <v>3928</v>
      </c>
      <c r="K1382" s="267">
        <v>6052</v>
      </c>
      <c r="L1382" s="267">
        <v>416400</v>
      </c>
      <c r="M1382" s="267" t="s">
        <v>3960</v>
      </c>
      <c r="N1382" s="267" t="s">
        <v>5619</v>
      </c>
      <c r="O1382" s="267">
        <v>0</v>
      </c>
      <c r="P1382" s="267" t="s">
        <v>3930</v>
      </c>
      <c r="Q1382" s="267" t="s">
        <v>3930</v>
      </c>
      <c r="R1382" s="267">
        <v>0</v>
      </c>
      <c r="S1382" s="267">
        <v>5313</v>
      </c>
      <c r="T1382" s="267">
        <v>5313</v>
      </c>
      <c r="U1382" s="268" t="s">
        <v>3937</v>
      </c>
      <c r="V1382" s="267" t="s">
        <v>944</v>
      </c>
    </row>
    <row r="1383" spans="1:22" hidden="1" x14ac:dyDescent="0.25">
      <c r="A1383" s="269">
        <v>43548</v>
      </c>
      <c r="B1383" s="270">
        <v>2019</v>
      </c>
      <c r="C1383" s="270">
        <v>2019</v>
      </c>
      <c r="D1383" s="270">
        <v>1</v>
      </c>
      <c r="E1383" s="270">
        <v>1</v>
      </c>
      <c r="F1383" s="270" t="s">
        <v>944</v>
      </c>
      <c r="G1383" s="270" t="s">
        <v>3926</v>
      </c>
      <c r="H1383" s="270" t="s">
        <v>5620</v>
      </c>
      <c r="I1383" s="270" t="s">
        <v>4019</v>
      </c>
      <c r="J1383" s="270" t="s">
        <v>3928</v>
      </c>
      <c r="K1383" s="270">
        <v>6708</v>
      </c>
      <c r="L1383" s="270">
        <v>352000</v>
      </c>
      <c r="M1383" s="270" t="s">
        <v>3935</v>
      </c>
      <c r="N1383" s="270" t="s">
        <v>3929</v>
      </c>
      <c r="O1383" s="270">
        <v>5926.59</v>
      </c>
      <c r="P1383" s="270" t="s">
        <v>3930</v>
      </c>
      <c r="Q1383" s="270" t="s">
        <v>3931</v>
      </c>
      <c r="R1383" s="270">
        <v>10926.59</v>
      </c>
      <c r="S1383" s="270">
        <v>34744</v>
      </c>
      <c r="T1383" s="270">
        <v>45670.59</v>
      </c>
      <c r="U1383" s="271" t="s">
        <v>3932</v>
      </c>
      <c r="V1383" s="267" t="s">
        <v>944</v>
      </c>
    </row>
    <row r="1384" spans="1:22" hidden="1" x14ac:dyDescent="0.25">
      <c r="A1384" s="266">
        <v>43548</v>
      </c>
      <c r="B1384" s="267">
        <v>2019</v>
      </c>
      <c r="C1384" s="267">
        <v>2019</v>
      </c>
      <c r="D1384" s="267">
        <v>1</v>
      </c>
      <c r="E1384" s="267">
        <v>1</v>
      </c>
      <c r="F1384" s="267" t="s">
        <v>944</v>
      </c>
      <c r="G1384" s="267" t="s">
        <v>3926</v>
      </c>
      <c r="H1384" s="267" t="s">
        <v>5621</v>
      </c>
      <c r="I1384" s="267" t="s">
        <v>950</v>
      </c>
      <c r="J1384" s="267" t="s">
        <v>3928</v>
      </c>
      <c r="K1384" s="267">
        <v>6516</v>
      </c>
      <c r="L1384" s="267">
        <v>154700</v>
      </c>
      <c r="M1384" s="267" t="s">
        <v>3960</v>
      </c>
      <c r="N1384" s="267" t="s">
        <v>4498</v>
      </c>
      <c r="O1384" s="267">
        <v>1481.62</v>
      </c>
      <c r="P1384" s="267" t="s">
        <v>3930</v>
      </c>
      <c r="Q1384" s="267" t="s">
        <v>3931</v>
      </c>
      <c r="R1384" s="267">
        <v>6481.62</v>
      </c>
      <c r="S1384" s="267">
        <v>21752</v>
      </c>
      <c r="T1384" s="267">
        <v>28233.62</v>
      </c>
      <c r="U1384" s="268" t="s">
        <v>3932</v>
      </c>
      <c r="V1384" s="267" t="s">
        <v>944</v>
      </c>
    </row>
    <row r="1385" spans="1:22" hidden="1" x14ac:dyDescent="0.25">
      <c r="A1385" s="269">
        <v>43548</v>
      </c>
      <c r="B1385" s="270">
        <v>2019</v>
      </c>
      <c r="C1385" s="270">
        <v>2019</v>
      </c>
      <c r="D1385" s="270">
        <v>1</v>
      </c>
      <c r="E1385" s="270">
        <v>1</v>
      </c>
      <c r="F1385" s="270" t="s">
        <v>944</v>
      </c>
      <c r="G1385" s="270" t="s">
        <v>3926</v>
      </c>
      <c r="H1385" s="270" t="s">
        <v>5622</v>
      </c>
      <c r="I1385" s="270" t="s">
        <v>956</v>
      </c>
      <c r="J1385" s="270" t="s">
        <v>3928</v>
      </c>
      <c r="K1385" s="270">
        <v>6614</v>
      </c>
      <c r="L1385" s="270">
        <v>81000</v>
      </c>
      <c r="M1385" s="270" t="s">
        <v>3940</v>
      </c>
      <c r="N1385" s="270" t="s">
        <v>4103</v>
      </c>
      <c r="O1385" s="270">
        <v>1450.93</v>
      </c>
      <c r="P1385" s="270" t="s">
        <v>3930</v>
      </c>
      <c r="Q1385" s="270" t="s">
        <v>3931</v>
      </c>
      <c r="R1385" s="270">
        <v>6450.93</v>
      </c>
      <c r="S1385" s="270">
        <v>24145.599999999999</v>
      </c>
      <c r="T1385" s="270">
        <v>30596.53</v>
      </c>
      <c r="U1385" s="271" t="s">
        <v>3932</v>
      </c>
      <c r="V1385" s="267" t="s">
        <v>944</v>
      </c>
    </row>
    <row r="1386" spans="1:22" hidden="1" x14ac:dyDescent="0.25">
      <c r="A1386" s="266">
        <v>43548</v>
      </c>
      <c r="B1386" s="267">
        <v>2019</v>
      </c>
      <c r="C1386" s="267">
        <v>2019</v>
      </c>
      <c r="D1386" s="267">
        <v>1</v>
      </c>
      <c r="E1386" s="267">
        <v>1</v>
      </c>
      <c r="F1386" s="267" t="s">
        <v>944</v>
      </c>
      <c r="G1386" s="267" t="s">
        <v>5623</v>
      </c>
      <c r="H1386" s="267" t="s">
        <v>5624</v>
      </c>
      <c r="I1386" s="267" t="s">
        <v>3009</v>
      </c>
      <c r="J1386" s="267" t="s">
        <v>3928</v>
      </c>
      <c r="K1386" s="267">
        <v>6484</v>
      </c>
      <c r="L1386" s="267">
        <v>110500</v>
      </c>
      <c r="M1386" s="267" t="s">
        <v>3943</v>
      </c>
      <c r="N1386" s="267" t="s">
        <v>5092</v>
      </c>
      <c r="O1386" s="267">
        <v>0</v>
      </c>
      <c r="P1386" s="267" t="s">
        <v>3930</v>
      </c>
      <c r="Q1386" s="267" t="s">
        <v>3930</v>
      </c>
      <c r="R1386" s="267">
        <v>0</v>
      </c>
      <c r="S1386" s="267">
        <v>17600</v>
      </c>
      <c r="T1386" s="267">
        <v>17600</v>
      </c>
      <c r="U1386" s="268" t="s">
        <v>3937</v>
      </c>
      <c r="V1386" s="267" t="s">
        <v>944</v>
      </c>
    </row>
    <row r="1387" spans="1:22" hidden="1" x14ac:dyDescent="0.25">
      <c r="A1387" s="269">
        <v>43549</v>
      </c>
      <c r="B1387" s="270">
        <v>2019</v>
      </c>
      <c r="C1387" s="270">
        <v>2019</v>
      </c>
      <c r="D1387" s="270">
        <v>1</v>
      </c>
      <c r="E1387" s="270">
        <v>1</v>
      </c>
      <c r="F1387" s="270" t="s">
        <v>944</v>
      </c>
      <c r="G1387" s="270" t="s">
        <v>3926</v>
      </c>
      <c r="H1387" s="270" t="s">
        <v>5625</v>
      </c>
      <c r="I1387" s="270" t="s">
        <v>4042</v>
      </c>
      <c r="J1387" s="270" t="s">
        <v>3928</v>
      </c>
      <c r="K1387" s="270">
        <v>6382</v>
      </c>
      <c r="L1387" s="270">
        <v>870502</v>
      </c>
      <c r="M1387" s="270" t="s">
        <v>3940</v>
      </c>
      <c r="N1387" s="270" t="s">
        <v>5626</v>
      </c>
      <c r="O1387" s="270">
        <v>3077</v>
      </c>
      <c r="P1387" s="270" t="s">
        <v>3930</v>
      </c>
      <c r="Q1387" s="270" t="s">
        <v>3930</v>
      </c>
      <c r="R1387" s="270">
        <v>3077</v>
      </c>
      <c r="S1387" s="270">
        <v>16299</v>
      </c>
      <c r="T1387" s="270">
        <v>19376</v>
      </c>
      <c r="U1387" s="271" t="s">
        <v>3937</v>
      </c>
      <c r="V1387" s="267" t="s">
        <v>944</v>
      </c>
    </row>
    <row r="1388" spans="1:22" hidden="1" x14ac:dyDescent="0.25">
      <c r="A1388" s="266">
        <v>43549</v>
      </c>
      <c r="B1388" s="267">
        <v>2019</v>
      </c>
      <c r="C1388" s="267">
        <v>2019</v>
      </c>
      <c r="D1388" s="267">
        <v>1</v>
      </c>
      <c r="E1388" s="267">
        <v>1</v>
      </c>
      <c r="F1388" s="267" t="s">
        <v>944</v>
      </c>
      <c r="G1388" s="267" t="s">
        <v>3926</v>
      </c>
      <c r="H1388" s="267" t="s">
        <v>5627</v>
      </c>
      <c r="I1388" s="267" t="s">
        <v>4037</v>
      </c>
      <c r="J1388" s="267" t="s">
        <v>3928</v>
      </c>
      <c r="K1388" s="267">
        <v>6811</v>
      </c>
      <c r="L1388" s="267">
        <v>210800</v>
      </c>
      <c r="M1388" s="267" t="s">
        <v>3960</v>
      </c>
      <c r="N1388" s="267" t="s">
        <v>5628</v>
      </c>
      <c r="O1388" s="267">
        <v>0</v>
      </c>
      <c r="P1388" s="267" t="s">
        <v>3930</v>
      </c>
      <c r="Q1388" s="267" t="s">
        <v>3930</v>
      </c>
      <c r="R1388" s="267">
        <v>0</v>
      </c>
      <c r="S1388" s="267">
        <v>10533.37</v>
      </c>
      <c r="T1388" s="267">
        <v>10533.37</v>
      </c>
      <c r="U1388" s="268" t="s">
        <v>3937</v>
      </c>
      <c r="V1388" s="267" t="s">
        <v>944</v>
      </c>
    </row>
    <row r="1389" spans="1:22" hidden="1" x14ac:dyDescent="0.25">
      <c r="A1389" s="269">
        <v>43549</v>
      </c>
      <c r="B1389" s="270">
        <v>2019</v>
      </c>
      <c r="C1389" s="270">
        <v>2019</v>
      </c>
      <c r="D1389" s="270">
        <v>1</v>
      </c>
      <c r="E1389" s="270">
        <v>1</v>
      </c>
      <c r="F1389" s="270" t="s">
        <v>944</v>
      </c>
      <c r="G1389" s="270" t="s">
        <v>3926</v>
      </c>
      <c r="H1389" s="270" t="s">
        <v>5629</v>
      </c>
      <c r="I1389" s="270" t="s">
        <v>3956</v>
      </c>
      <c r="J1389" s="270" t="s">
        <v>3928</v>
      </c>
      <c r="K1389" s="270">
        <v>6112</v>
      </c>
      <c r="L1389" s="270">
        <v>503900</v>
      </c>
      <c r="M1389" s="270">
        <v>-60</v>
      </c>
      <c r="N1389" s="270" t="s">
        <v>4103</v>
      </c>
      <c r="O1389" s="270">
        <v>4445.6400000000003</v>
      </c>
      <c r="P1389" s="270" t="s">
        <v>3930</v>
      </c>
      <c r="Q1389" s="270" t="s">
        <v>3931</v>
      </c>
      <c r="R1389" s="270">
        <v>9445.64</v>
      </c>
      <c r="S1389" s="270">
        <v>24145.599999999999</v>
      </c>
      <c r="T1389" s="270">
        <v>33591.24</v>
      </c>
      <c r="U1389" s="271" t="s">
        <v>3932</v>
      </c>
      <c r="V1389" s="267" t="s">
        <v>944</v>
      </c>
    </row>
    <row r="1390" spans="1:22" hidden="1" x14ac:dyDescent="0.25">
      <c r="A1390" s="266">
        <v>43549</v>
      </c>
      <c r="B1390" s="267">
        <v>2019</v>
      </c>
      <c r="C1390" s="267">
        <v>2019</v>
      </c>
      <c r="D1390" s="267">
        <v>1</v>
      </c>
      <c r="E1390" s="267">
        <v>1</v>
      </c>
      <c r="F1390" s="267" t="s">
        <v>944</v>
      </c>
      <c r="G1390" s="267" t="s">
        <v>3926</v>
      </c>
      <c r="H1390" s="267" t="s">
        <v>5630</v>
      </c>
      <c r="I1390" s="267" t="s">
        <v>5631</v>
      </c>
      <c r="J1390" s="267" t="s">
        <v>3928</v>
      </c>
      <c r="K1390" s="267">
        <v>6058</v>
      </c>
      <c r="L1390" s="267">
        <v>425600</v>
      </c>
      <c r="M1390" s="267" t="s">
        <v>3935</v>
      </c>
      <c r="N1390" s="267" t="s">
        <v>3944</v>
      </c>
      <c r="O1390" s="267">
        <v>1523</v>
      </c>
      <c r="P1390" s="267" t="s">
        <v>3944</v>
      </c>
      <c r="Q1390" s="267" t="s">
        <v>3944</v>
      </c>
      <c r="R1390" s="267">
        <v>1523</v>
      </c>
      <c r="S1390" s="267">
        <v>21227</v>
      </c>
      <c r="T1390" s="267">
        <v>22750</v>
      </c>
      <c r="U1390" s="268" t="s">
        <v>3945</v>
      </c>
      <c r="V1390" s="267" t="s">
        <v>944</v>
      </c>
    </row>
    <row r="1391" spans="1:22" hidden="1" x14ac:dyDescent="0.25">
      <c r="A1391" s="269">
        <v>43549</v>
      </c>
      <c r="B1391" s="270">
        <v>2019</v>
      </c>
      <c r="C1391" s="270">
        <v>2019</v>
      </c>
      <c r="D1391" s="270">
        <v>1</v>
      </c>
      <c r="E1391" s="270">
        <v>1</v>
      </c>
      <c r="F1391" s="270" t="s">
        <v>944</v>
      </c>
      <c r="G1391" s="270" t="s">
        <v>3926</v>
      </c>
      <c r="H1391" s="270" t="s">
        <v>5632</v>
      </c>
      <c r="I1391" s="270" t="s">
        <v>3964</v>
      </c>
      <c r="J1391" s="270" t="s">
        <v>3928</v>
      </c>
      <c r="K1391" s="270">
        <v>6033</v>
      </c>
      <c r="L1391" s="270">
        <v>520100</v>
      </c>
      <c r="M1391" s="270" t="s">
        <v>3943</v>
      </c>
      <c r="N1391" s="270" t="s">
        <v>3944</v>
      </c>
      <c r="O1391" s="270">
        <v>5426</v>
      </c>
      <c r="P1391" s="270" t="s">
        <v>3944</v>
      </c>
      <c r="Q1391" s="270" t="s">
        <v>3944</v>
      </c>
      <c r="R1391" s="270">
        <v>5426</v>
      </c>
      <c r="S1391" s="270">
        <v>35230.5</v>
      </c>
      <c r="T1391" s="270">
        <v>40656.5</v>
      </c>
      <c r="U1391" s="271" t="s">
        <v>3945</v>
      </c>
      <c r="V1391" s="267" t="s">
        <v>944</v>
      </c>
    </row>
    <row r="1392" spans="1:22" hidden="1" x14ac:dyDescent="0.25">
      <c r="A1392" s="266">
        <v>43549</v>
      </c>
      <c r="B1392" s="267">
        <v>2019</v>
      </c>
      <c r="C1392" s="267">
        <v>2019</v>
      </c>
      <c r="D1392" s="267">
        <v>1</v>
      </c>
      <c r="E1392" s="267">
        <v>1</v>
      </c>
      <c r="F1392" s="267" t="s">
        <v>944</v>
      </c>
      <c r="G1392" s="267" t="s">
        <v>3926</v>
      </c>
      <c r="H1392" s="267" t="s">
        <v>5633</v>
      </c>
      <c r="I1392" s="267" t="s">
        <v>3999</v>
      </c>
      <c r="J1392" s="267" t="s">
        <v>3928</v>
      </c>
      <c r="K1392" s="267">
        <v>6450</v>
      </c>
      <c r="L1392" s="267">
        <v>171700</v>
      </c>
      <c r="M1392" s="267" t="s">
        <v>3935</v>
      </c>
      <c r="N1392" s="267" t="s">
        <v>3944</v>
      </c>
      <c r="O1392" s="267">
        <v>3480</v>
      </c>
      <c r="P1392" s="267" t="s">
        <v>3944</v>
      </c>
      <c r="Q1392" s="267" t="s">
        <v>3944</v>
      </c>
      <c r="R1392" s="267">
        <v>3480</v>
      </c>
      <c r="S1392" s="267">
        <v>34725.949999999997</v>
      </c>
      <c r="T1392" s="267">
        <v>38205.949999999997</v>
      </c>
      <c r="U1392" s="268" t="s">
        <v>3945</v>
      </c>
      <c r="V1392" s="267" t="s">
        <v>944</v>
      </c>
    </row>
    <row r="1393" spans="1:22" hidden="1" x14ac:dyDescent="0.25">
      <c r="A1393" s="269">
        <v>43549</v>
      </c>
      <c r="B1393" s="270">
        <v>2019</v>
      </c>
      <c r="C1393" s="270">
        <v>2019</v>
      </c>
      <c r="D1393" s="270">
        <v>1</v>
      </c>
      <c r="E1393" s="270">
        <v>1</v>
      </c>
      <c r="F1393" s="270" t="s">
        <v>944</v>
      </c>
      <c r="G1393" s="270" t="s">
        <v>3926</v>
      </c>
      <c r="H1393" s="270" t="s">
        <v>5634</v>
      </c>
      <c r="I1393" s="270" t="s">
        <v>4374</v>
      </c>
      <c r="J1393" s="270" t="s">
        <v>3928</v>
      </c>
      <c r="K1393" s="270">
        <v>6438</v>
      </c>
      <c r="L1393" s="270">
        <v>590100</v>
      </c>
      <c r="M1393" s="270" t="s">
        <v>3943</v>
      </c>
      <c r="N1393" s="270" t="s">
        <v>3944</v>
      </c>
      <c r="O1393" s="270">
        <v>2359</v>
      </c>
      <c r="P1393" s="270" t="s">
        <v>3944</v>
      </c>
      <c r="Q1393" s="270" t="s">
        <v>3944</v>
      </c>
      <c r="R1393" s="270">
        <v>2359</v>
      </c>
      <c r="S1393" s="270">
        <v>42419</v>
      </c>
      <c r="T1393" s="270">
        <v>44778</v>
      </c>
      <c r="U1393" s="271" t="s">
        <v>3945</v>
      </c>
      <c r="V1393" s="267" t="s">
        <v>944</v>
      </c>
    </row>
    <row r="1394" spans="1:22" hidden="1" x14ac:dyDescent="0.25">
      <c r="A1394" s="266">
        <v>43549</v>
      </c>
      <c r="B1394" s="267">
        <v>2019</v>
      </c>
      <c r="C1394" s="267">
        <v>2019</v>
      </c>
      <c r="D1394" s="267">
        <v>1</v>
      </c>
      <c r="E1394" s="267">
        <v>1</v>
      </c>
      <c r="F1394" s="267" t="s">
        <v>944</v>
      </c>
      <c r="G1394" s="267" t="s">
        <v>3926</v>
      </c>
      <c r="H1394" s="267" t="s">
        <v>5635</v>
      </c>
      <c r="I1394" s="267" t="s">
        <v>3962</v>
      </c>
      <c r="J1394" s="267" t="s">
        <v>3928</v>
      </c>
      <c r="K1394" s="267">
        <v>6379</v>
      </c>
      <c r="L1394" s="267">
        <v>705101</v>
      </c>
      <c r="M1394" s="267" t="s">
        <v>3935</v>
      </c>
      <c r="N1394" s="267" t="s">
        <v>3944</v>
      </c>
      <c r="O1394" s="267">
        <v>1778</v>
      </c>
      <c r="P1394" s="267" t="s">
        <v>3944</v>
      </c>
      <c r="Q1394" s="267" t="s">
        <v>3944</v>
      </c>
      <c r="R1394" s="267">
        <v>1778</v>
      </c>
      <c r="S1394" s="267">
        <v>26812.799999999999</v>
      </c>
      <c r="T1394" s="267">
        <v>28590.799999999999</v>
      </c>
      <c r="U1394" s="268" t="s">
        <v>3945</v>
      </c>
      <c r="V1394" s="267" t="s">
        <v>944</v>
      </c>
    </row>
    <row r="1395" spans="1:22" hidden="1" x14ac:dyDescent="0.25">
      <c r="A1395" s="269">
        <v>43549</v>
      </c>
      <c r="B1395" s="270">
        <v>2019</v>
      </c>
      <c r="C1395" s="270">
        <v>2019</v>
      </c>
      <c r="D1395" s="270">
        <v>1</v>
      </c>
      <c r="E1395" s="270">
        <v>1</v>
      </c>
      <c r="F1395" s="270" t="s">
        <v>944</v>
      </c>
      <c r="G1395" s="270" t="s">
        <v>3926</v>
      </c>
      <c r="H1395" s="270" t="s">
        <v>5636</v>
      </c>
      <c r="I1395" s="270" t="s">
        <v>3008</v>
      </c>
      <c r="J1395" s="270" t="s">
        <v>3928</v>
      </c>
      <c r="K1395" s="270">
        <v>6461</v>
      </c>
      <c r="L1395" s="270">
        <v>150600</v>
      </c>
      <c r="M1395" s="270" t="s">
        <v>3960</v>
      </c>
      <c r="N1395" s="270" t="s">
        <v>3944</v>
      </c>
      <c r="O1395" s="270">
        <v>2807</v>
      </c>
      <c r="P1395" s="270" t="s">
        <v>3944</v>
      </c>
      <c r="Q1395" s="270" t="s">
        <v>3944</v>
      </c>
      <c r="R1395" s="270">
        <v>2807</v>
      </c>
      <c r="S1395" s="270">
        <v>36281.660000000003</v>
      </c>
      <c r="T1395" s="270">
        <v>39088.660000000003</v>
      </c>
      <c r="U1395" s="271" t="s">
        <v>3945</v>
      </c>
      <c r="V1395" s="267" t="s">
        <v>944</v>
      </c>
    </row>
    <row r="1396" spans="1:22" hidden="1" x14ac:dyDescent="0.25">
      <c r="A1396" s="266">
        <v>43549</v>
      </c>
      <c r="B1396" s="267">
        <v>2019</v>
      </c>
      <c r="C1396" s="267">
        <v>2019</v>
      </c>
      <c r="D1396" s="267">
        <v>1</v>
      </c>
      <c r="E1396" s="267">
        <v>1</v>
      </c>
      <c r="F1396" s="267" t="s">
        <v>944</v>
      </c>
      <c r="G1396" s="267" t="s">
        <v>3926</v>
      </c>
      <c r="H1396" s="267" t="s">
        <v>5637</v>
      </c>
      <c r="I1396" s="267" t="s">
        <v>4087</v>
      </c>
      <c r="J1396" s="267" t="s">
        <v>3928</v>
      </c>
      <c r="K1396" s="267">
        <v>6355</v>
      </c>
      <c r="L1396" s="267">
        <v>703000</v>
      </c>
      <c r="M1396" s="267" t="s">
        <v>3960</v>
      </c>
      <c r="N1396" s="267" t="s">
        <v>3944</v>
      </c>
      <c r="O1396" s="267">
        <v>2924</v>
      </c>
      <c r="P1396" s="267" t="s">
        <v>3944</v>
      </c>
      <c r="Q1396" s="267" t="s">
        <v>3944</v>
      </c>
      <c r="R1396" s="267">
        <v>2924</v>
      </c>
      <c r="S1396" s="267">
        <v>35380</v>
      </c>
      <c r="T1396" s="267">
        <v>38304</v>
      </c>
      <c r="U1396" s="268" t="s">
        <v>3945</v>
      </c>
      <c r="V1396" s="267" t="s">
        <v>944</v>
      </c>
    </row>
    <row r="1397" spans="1:22" hidden="1" x14ac:dyDescent="0.25">
      <c r="A1397" s="269">
        <v>43549</v>
      </c>
      <c r="B1397" s="270">
        <v>2019</v>
      </c>
      <c r="C1397" s="270">
        <v>2019</v>
      </c>
      <c r="D1397" s="270">
        <v>1</v>
      </c>
      <c r="E1397" s="270">
        <v>1</v>
      </c>
      <c r="F1397" s="270" t="s">
        <v>944</v>
      </c>
      <c r="G1397" s="270" t="s">
        <v>3926</v>
      </c>
      <c r="H1397" s="270" t="s">
        <v>5638</v>
      </c>
      <c r="I1397" s="270" t="s">
        <v>3009</v>
      </c>
      <c r="J1397" s="270" t="s">
        <v>3928</v>
      </c>
      <c r="K1397" s="270">
        <v>6484</v>
      </c>
      <c r="L1397" s="270">
        <v>110500</v>
      </c>
      <c r="M1397" s="270" t="s">
        <v>3943</v>
      </c>
      <c r="N1397" s="270" t="s">
        <v>3944</v>
      </c>
      <c r="O1397" s="270">
        <v>3145</v>
      </c>
      <c r="P1397" s="270" t="s">
        <v>3944</v>
      </c>
      <c r="Q1397" s="270" t="s">
        <v>3944</v>
      </c>
      <c r="R1397" s="270">
        <v>3145</v>
      </c>
      <c r="S1397" s="270">
        <v>37602</v>
      </c>
      <c r="T1397" s="270">
        <v>40747</v>
      </c>
      <c r="U1397" s="271" t="s">
        <v>3945</v>
      </c>
      <c r="V1397" s="267" t="s">
        <v>944</v>
      </c>
    </row>
    <row r="1398" spans="1:22" hidden="1" x14ac:dyDescent="0.25">
      <c r="A1398" s="266">
        <v>43549</v>
      </c>
      <c r="B1398" s="267">
        <v>2019</v>
      </c>
      <c r="C1398" s="267">
        <v>2019</v>
      </c>
      <c r="D1398" s="267">
        <v>1</v>
      </c>
      <c r="E1398" s="267">
        <v>1</v>
      </c>
      <c r="F1398" s="267" t="s">
        <v>944</v>
      </c>
      <c r="G1398" s="267" t="s">
        <v>3926</v>
      </c>
      <c r="H1398" s="267" t="s">
        <v>5639</v>
      </c>
      <c r="I1398" s="267" t="s">
        <v>4461</v>
      </c>
      <c r="J1398" s="267" t="s">
        <v>3928</v>
      </c>
      <c r="K1398" s="267">
        <v>6831</v>
      </c>
      <c r="L1398" s="267">
        <v>10101</v>
      </c>
      <c r="M1398" s="267" t="s">
        <v>3943</v>
      </c>
      <c r="N1398" s="267" t="s">
        <v>3944</v>
      </c>
      <c r="O1398" s="267">
        <v>7726</v>
      </c>
      <c r="P1398" s="267" t="s">
        <v>3944</v>
      </c>
      <c r="Q1398" s="267" t="s">
        <v>3944</v>
      </c>
      <c r="R1398" s="267">
        <v>7726</v>
      </c>
      <c r="S1398" s="267">
        <v>63980.25</v>
      </c>
      <c r="T1398" s="267">
        <v>71706.25</v>
      </c>
      <c r="U1398" s="268" t="s">
        <v>3945</v>
      </c>
      <c r="V1398" s="267" t="s">
        <v>944</v>
      </c>
    </row>
    <row r="1399" spans="1:22" hidden="1" x14ac:dyDescent="0.25">
      <c r="A1399" s="269">
        <v>43549</v>
      </c>
      <c r="B1399" s="270">
        <v>2019</v>
      </c>
      <c r="C1399" s="270">
        <v>2019</v>
      </c>
      <c r="D1399" s="270">
        <v>1</v>
      </c>
      <c r="E1399" s="270">
        <v>1</v>
      </c>
      <c r="F1399" s="270" t="s">
        <v>944</v>
      </c>
      <c r="G1399" s="270" t="s">
        <v>3926</v>
      </c>
      <c r="H1399" s="270" t="s">
        <v>5640</v>
      </c>
      <c r="I1399" s="270" t="s">
        <v>4046</v>
      </c>
      <c r="J1399" s="270" t="s">
        <v>3928</v>
      </c>
      <c r="K1399" s="270">
        <v>6281</v>
      </c>
      <c r="L1399" s="270">
        <v>901100</v>
      </c>
      <c r="M1399" s="270" t="s">
        <v>3960</v>
      </c>
      <c r="N1399" s="270" t="s">
        <v>3944</v>
      </c>
      <c r="O1399" s="270">
        <v>4295</v>
      </c>
      <c r="P1399" s="270" t="s">
        <v>3944</v>
      </c>
      <c r="Q1399" s="270" t="s">
        <v>3944</v>
      </c>
      <c r="R1399" s="270">
        <v>4295</v>
      </c>
      <c r="S1399" s="270">
        <v>27925</v>
      </c>
      <c r="T1399" s="270">
        <v>32220</v>
      </c>
      <c r="U1399" s="271" t="s">
        <v>3945</v>
      </c>
      <c r="V1399" s="267" t="s">
        <v>944</v>
      </c>
    </row>
    <row r="1400" spans="1:22" hidden="1" x14ac:dyDescent="0.25">
      <c r="A1400" s="266">
        <v>43549</v>
      </c>
      <c r="B1400" s="267">
        <v>2019</v>
      </c>
      <c r="C1400" s="267">
        <v>2019</v>
      </c>
      <c r="D1400" s="267">
        <v>1</v>
      </c>
      <c r="E1400" s="267">
        <v>1</v>
      </c>
      <c r="F1400" s="267" t="s">
        <v>944</v>
      </c>
      <c r="G1400" s="267" t="s">
        <v>3926</v>
      </c>
      <c r="H1400" s="267" t="s">
        <v>5641</v>
      </c>
      <c r="I1400" s="267" t="s">
        <v>4687</v>
      </c>
      <c r="J1400" s="267" t="s">
        <v>3928</v>
      </c>
      <c r="K1400" s="267">
        <v>6424</v>
      </c>
      <c r="L1400" s="267">
        <v>550100</v>
      </c>
      <c r="M1400" s="267" t="s">
        <v>3960</v>
      </c>
      <c r="N1400" s="267" t="s">
        <v>3944</v>
      </c>
      <c r="O1400" s="267">
        <v>3558</v>
      </c>
      <c r="P1400" s="267" t="s">
        <v>3944</v>
      </c>
      <c r="Q1400" s="267" t="s">
        <v>3944</v>
      </c>
      <c r="R1400" s="267">
        <v>3558</v>
      </c>
      <c r="S1400" s="267">
        <v>23770</v>
      </c>
      <c r="T1400" s="267">
        <v>27328</v>
      </c>
      <c r="U1400" s="268" t="s">
        <v>3945</v>
      </c>
      <c r="V1400" s="267" t="s">
        <v>944</v>
      </c>
    </row>
    <row r="1401" spans="1:22" hidden="1" x14ac:dyDescent="0.25">
      <c r="A1401" s="269">
        <v>43549</v>
      </c>
      <c r="B1401" s="270">
        <v>2019</v>
      </c>
      <c r="C1401" s="270">
        <v>2019</v>
      </c>
      <c r="D1401" s="270">
        <v>1</v>
      </c>
      <c r="E1401" s="270">
        <v>1</v>
      </c>
      <c r="F1401" s="270" t="s">
        <v>944</v>
      </c>
      <c r="G1401" s="270" t="s">
        <v>3926</v>
      </c>
      <c r="H1401" s="270" t="s">
        <v>5642</v>
      </c>
      <c r="I1401" s="270" t="s">
        <v>3962</v>
      </c>
      <c r="J1401" s="270" t="s">
        <v>3928</v>
      </c>
      <c r="K1401" s="270">
        <v>6378</v>
      </c>
      <c r="L1401" s="270">
        <v>705400</v>
      </c>
      <c r="M1401" s="270" t="s">
        <v>3943</v>
      </c>
      <c r="N1401" s="270" t="s">
        <v>3944</v>
      </c>
      <c r="O1401" s="270">
        <v>3230</v>
      </c>
      <c r="P1401" s="270" t="s">
        <v>3944</v>
      </c>
      <c r="Q1401" s="270" t="s">
        <v>3944</v>
      </c>
      <c r="R1401" s="270">
        <v>3230</v>
      </c>
      <c r="S1401" s="270">
        <v>23986</v>
      </c>
      <c r="T1401" s="270">
        <v>27216</v>
      </c>
      <c r="U1401" s="271" t="s">
        <v>3945</v>
      </c>
      <c r="V1401" s="267" t="s">
        <v>944</v>
      </c>
    </row>
    <row r="1402" spans="1:22" hidden="1" x14ac:dyDescent="0.25">
      <c r="A1402" s="266">
        <v>43549</v>
      </c>
      <c r="B1402" s="267">
        <v>2019</v>
      </c>
      <c r="C1402" s="267">
        <v>2019</v>
      </c>
      <c r="D1402" s="267">
        <v>1</v>
      </c>
      <c r="E1402" s="267">
        <v>1</v>
      </c>
      <c r="F1402" s="267" t="s">
        <v>944</v>
      </c>
      <c r="G1402" s="267" t="s">
        <v>3926</v>
      </c>
      <c r="H1402" s="267" t="s">
        <v>5643</v>
      </c>
      <c r="I1402" s="267" t="s">
        <v>4042</v>
      </c>
      <c r="J1402" s="267" t="s">
        <v>3928</v>
      </c>
      <c r="K1402" s="267">
        <v>6370</v>
      </c>
      <c r="L1402" s="267">
        <v>695202</v>
      </c>
      <c r="M1402" s="267" t="s">
        <v>3935</v>
      </c>
      <c r="N1402" s="267" t="s">
        <v>3944</v>
      </c>
      <c r="O1402" s="267">
        <v>5407</v>
      </c>
      <c r="P1402" s="267" t="s">
        <v>3944</v>
      </c>
      <c r="Q1402" s="267" t="s">
        <v>3944</v>
      </c>
      <c r="R1402" s="267">
        <v>5407</v>
      </c>
      <c r="S1402" s="267">
        <v>38312.14</v>
      </c>
      <c r="T1402" s="267">
        <v>43719.14</v>
      </c>
      <c r="U1402" s="268" t="s">
        <v>3945</v>
      </c>
      <c r="V1402" s="267" t="s">
        <v>944</v>
      </c>
    </row>
    <row r="1403" spans="1:22" hidden="1" x14ac:dyDescent="0.25">
      <c r="A1403" s="269">
        <v>43549</v>
      </c>
      <c r="B1403" s="270">
        <v>2019</v>
      </c>
      <c r="C1403" s="270">
        <v>2019</v>
      </c>
      <c r="D1403" s="270">
        <v>1</v>
      </c>
      <c r="E1403" s="270">
        <v>1</v>
      </c>
      <c r="F1403" s="270" t="s">
        <v>944</v>
      </c>
      <c r="G1403" s="270" t="s">
        <v>3926</v>
      </c>
      <c r="H1403" s="270" t="s">
        <v>5644</v>
      </c>
      <c r="I1403" s="270" t="s">
        <v>4235</v>
      </c>
      <c r="J1403" s="270" t="s">
        <v>3928</v>
      </c>
      <c r="K1403" s="270">
        <v>6066</v>
      </c>
      <c r="L1403" s="270">
        <v>530500</v>
      </c>
      <c r="M1403" s="270" t="s">
        <v>3935</v>
      </c>
      <c r="N1403" s="270" t="s">
        <v>3944</v>
      </c>
      <c r="O1403" s="270">
        <v>3642</v>
      </c>
      <c r="P1403" s="270" t="s">
        <v>3944</v>
      </c>
      <c r="Q1403" s="270" t="s">
        <v>3944</v>
      </c>
      <c r="R1403" s="270">
        <v>3642</v>
      </c>
      <c r="S1403" s="270">
        <v>28698</v>
      </c>
      <c r="T1403" s="270">
        <v>32340</v>
      </c>
      <c r="U1403" s="271" t="s">
        <v>3945</v>
      </c>
      <c r="V1403" s="267" t="s">
        <v>944</v>
      </c>
    </row>
    <row r="1404" spans="1:22" hidden="1" x14ac:dyDescent="0.25">
      <c r="A1404" s="266">
        <v>43549</v>
      </c>
      <c r="B1404" s="267">
        <v>2019</v>
      </c>
      <c r="C1404" s="267">
        <v>2019</v>
      </c>
      <c r="D1404" s="267">
        <v>1</v>
      </c>
      <c r="E1404" s="267">
        <v>1</v>
      </c>
      <c r="F1404" s="267" t="s">
        <v>944</v>
      </c>
      <c r="G1404" s="267" t="s">
        <v>3926</v>
      </c>
      <c r="H1404" s="267" t="s">
        <v>5645</v>
      </c>
      <c r="I1404" s="267" t="s">
        <v>953</v>
      </c>
      <c r="J1404" s="267" t="s">
        <v>3928</v>
      </c>
      <c r="K1404" s="267">
        <v>6517</v>
      </c>
      <c r="L1404" s="267">
        <v>165400</v>
      </c>
      <c r="M1404" s="267" t="s">
        <v>3935</v>
      </c>
      <c r="N1404" s="267" t="s">
        <v>3944</v>
      </c>
      <c r="O1404" s="267">
        <v>2413</v>
      </c>
      <c r="P1404" s="267" t="s">
        <v>3944</v>
      </c>
      <c r="Q1404" s="267" t="s">
        <v>3944</v>
      </c>
      <c r="R1404" s="267">
        <v>2413</v>
      </c>
      <c r="S1404" s="267">
        <v>20834</v>
      </c>
      <c r="T1404" s="267">
        <v>23247</v>
      </c>
      <c r="U1404" s="268" t="s">
        <v>3945</v>
      </c>
      <c r="V1404" s="267" t="s">
        <v>944</v>
      </c>
    </row>
    <row r="1405" spans="1:22" hidden="1" x14ac:dyDescent="0.25">
      <c r="A1405" s="269">
        <v>43549</v>
      </c>
      <c r="B1405" s="270">
        <v>2019</v>
      </c>
      <c r="C1405" s="270">
        <v>2019</v>
      </c>
      <c r="D1405" s="270">
        <v>1</v>
      </c>
      <c r="E1405" s="270">
        <v>1</v>
      </c>
      <c r="F1405" s="270" t="s">
        <v>944</v>
      </c>
      <c r="G1405" s="270" t="s">
        <v>3926</v>
      </c>
      <c r="H1405" s="270" t="s">
        <v>5646</v>
      </c>
      <c r="I1405" s="270" t="s">
        <v>950</v>
      </c>
      <c r="J1405" s="270" t="s">
        <v>3928</v>
      </c>
      <c r="K1405" s="270">
        <v>6516</v>
      </c>
      <c r="L1405" s="270">
        <v>154100</v>
      </c>
      <c r="M1405" s="270" t="s">
        <v>3940</v>
      </c>
      <c r="N1405" s="270" t="s">
        <v>3944</v>
      </c>
      <c r="O1405" s="270">
        <v>4097</v>
      </c>
      <c r="P1405" s="270" t="s">
        <v>3944</v>
      </c>
      <c r="Q1405" s="270" t="s">
        <v>3944</v>
      </c>
      <c r="R1405" s="270">
        <v>4097</v>
      </c>
      <c r="S1405" s="270">
        <v>32096.5</v>
      </c>
      <c r="T1405" s="270">
        <v>36193.5</v>
      </c>
      <c r="U1405" s="271" t="s">
        <v>3945</v>
      </c>
      <c r="V1405" s="267" t="s">
        <v>944</v>
      </c>
    </row>
    <row r="1406" spans="1:22" hidden="1" x14ac:dyDescent="0.25">
      <c r="A1406" s="266">
        <v>43549</v>
      </c>
      <c r="B1406" s="267">
        <v>2019</v>
      </c>
      <c r="C1406" s="267">
        <v>2019</v>
      </c>
      <c r="D1406" s="267">
        <v>1</v>
      </c>
      <c r="E1406" s="267">
        <v>1</v>
      </c>
      <c r="F1406" s="267" t="s">
        <v>944</v>
      </c>
      <c r="G1406" s="267" t="s">
        <v>3926</v>
      </c>
      <c r="H1406" s="267" t="s">
        <v>5647</v>
      </c>
      <c r="I1406" s="267" t="s">
        <v>934</v>
      </c>
      <c r="J1406" s="267" t="s">
        <v>3928</v>
      </c>
      <c r="K1406" s="267">
        <v>6606</v>
      </c>
      <c r="L1406" s="267">
        <v>72900</v>
      </c>
      <c r="M1406" s="267" t="s">
        <v>3940</v>
      </c>
      <c r="N1406" s="267" t="s">
        <v>3944</v>
      </c>
      <c r="O1406" s="267">
        <v>2200</v>
      </c>
      <c r="P1406" s="267" t="s">
        <v>3944</v>
      </c>
      <c r="Q1406" s="267" t="s">
        <v>3944</v>
      </c>
      <c r="R1406" s="267">
        <v>2200</v>
      </c>
      <c r="S1406" s="267">
        <v>25025</v>
      </c>
      <c r="T1406" s="267">
        <v>27225</v>
      </c>
      <c r="U1406" s="268" t="s">
        <v>3945</v>
      </c>
      <c r="V1406" s="267" t="s">
        <v>944</v>
      </c>
    </row>
    <row r="1407" spans="1:22" hidden="1" x14ac:dyDescent="0.25">
      <c r="A1407" s="269">
        <v>43549</v>
      </c>
      <c r="B1407" s="270">
        <v>2019</v>
      </c>
      <c r="C1407" s="270">
        <v>2019</v>
      </c>
      <c r="D1407" s="270">
        <v>1</v>
      </c>
      <c r="E1407" s="270">
        <v>1</v>
      </c>
      <c r="F1407" s="270" t="s">
        <v>944</v>
      </c>
      <c r="G1407" s="270" t="s">
        <v>3926</v>
      </c>
      <c r="H1407" s="270" t="s">
        <v>5648</v>
      </c>
      <c r="I1407" s="270" t="s">
        <v>3025</v>
      </c>
      <c r="J1407" s="270" t="s">
        <v>3928</v>
      </c>
      <c r="K1407" s="270">
        <v>6473</v>
      </c>
      <c r="L1407" s="270">
        <v>167201</v>
      </c>
      <c r="M1407" s="270" t="s">
        <v>3960</v>
      </c>
      <c r="N1407" s="270" t="s">
        <v>3944</v>
      </c>
      <c r="O1407" s="270">
        <v>3186</v>
      </c>
      <c r="P1407" s="270" t="s">
        <v>3944</v>
      </c>
      <c r="Q1407" s="270" t="s">
        <v>3944</v>
      </c>
      <c r="R1407" s="270">
        <v>3186</v>
      </c>
      <c r="S1407" s="270">
        <v>26720.05</v>
      </c>
      <c r="T1407" s="270">
        <v>29906.05</v>
      </c>
      <c r="U1407" s="271" t="s">
        <v>3945</v>
      </c>
      <c r="V1407" s="267" t="s">
        <v>944</v>
      </c>
    </row>
    <row r="1408" spans="1:22" hidden="1" x14ac:dyDescent="0.25">
      <c r="A1408" s="266">
        <v>43549</v>
      </c>
      <c r="B1408" s="267">
        <v>2019</v>
      </c>
      <c r="C1408" s="267">
        <v>2019</v>
      </c>
      <c r="D1408" s="267">
        <v>1</v>
      </c>
      <c r="E1408" s="267">
        <v>1</v>
      </c>
      <c r="F1408" s="267" t="s">
        <v>944</v>
      </c>
      <c r="G1408" s="267" t="s">
        <v>3926</v>
      </c>
      <c r="H1408" s="267" t="s">
        <v>5649</v>
      </c>
      <c r="I1408" s="267" t="s">
        <v>4301</v>
      </c>
      <c r="J1408" s="267" t="s">
        <v>3928</v>
      </c>
      <c r="K1408" s="267">
        <v>6359</v>
      </c>
      <c r="L1408" s="267">
        <v>707100</v>
      </c>
      <c r="M1408" s="267" t="s">
        <v>3935</v>
      </c>
      <c r="N1408" s="267" t="s">
        <v>3944</v>
      </c>
      <c r="O1408" s="267">
        <v>2228.4899999999998</v>
      </c>
      <c r="P1408" s="267" t="s">
        <v>3944</v>
      </c>
      <c r="Q1408" s="267" t="s">
        <v>3944</v>
      </c>
      <c r="R1408" s="267">
        <v>2228.4899999999998</v>
      </c>
      <c r="S1408" s="267">
        <v>31415.64</v>
      </c>
      <c r="T1408" s="267">
        <v>33644.129999999997</v>
      </c>
      <c r="U1408" s="268" t="s">
        <v>3945</v>
      </c>
      <c r="V1408" s="267" t="s">
        <v>944</v>
      </c>
    </row>
    <row r="1409" spans="1:22" hidden="1" x14ac:dyDescent="0.25">
      <c r="A1409" s="269">
        <v>43549</v>
      </c>
      <c r="B1409" s="270">
        <v>2019</v>
      </c>
      <c r="C1409" s="270">
        <v>2019</v>
      </c>
      <c r="D1409" s="270">
        <v>1</v>
      </c>
      <c r="E1409" s="270">
        <v>1</v>
      </c>
      <c r="F1409" s="270" t="s">
        <v>944</v>
      </c>
      <c r="G1409" s="270" t="s">
        <v>3926</v>
      </c>
      <c r="H1409" s="270" t="s">
        <v>5650</v>
      </c>
      <c r="I1409" s="270" t="s">
        <v>934</v>
      </c>
      <c r="J1409" s="270" t="s">
        <v>3928</v>
      </c>
      <c r="K1409" s="270">
        <v>6606</v>
      </c>
      <c r="L1409" s="270">
        <v>72600</v>
      </c>
      <c r="M1409" s="270" t="s">
        <v>3940</v>
      </c>
      <c r="N1409" s="270" t="s">
        <v>3944</v>
      </c>
      <c r="O1409" s="270">
        <v>855.93</v>
      </c>
      <c r="P1409" s="270" t="s">
        <v>3944</v>
      </c>
      <c r="Q1409" s="270" t="s">
        <v>3944</v>
      </c>
      <c r="R1409" s="270">
        <v>855.93</v>
      </c>
      <c r="S1409" s="270">
        <v>12555.79</v>
      </c>
      <c r="T1409" s="270">
        <v>13411.72</v>
      </c>
      <c r="U1409" s="271" t="s">
        <v>3945</v>
      </c>
      <c r="V1409" s="267" t="s">
        <v>944</v>
      </c>
    </row>
    <row r="1410" spans="1:22" hidden="1" x14ac:dyDescent="0.25">
      <c r="A1410" s="266">
        <v>43549</v>
      </c>
      <c r="B1410" s="267">
        <v>2019</v>
      </c>
      <c r="C1410" s="267">
        <v>2019</v>
      </c>
      <c r="D1410" s="267">
        <v>1</v>
      </c>
      <c r="E1410" s="267">
        <v>1</v>
      </c>
      <c r="F1410" s="267" t="s">
        <v>944</v>
      </c>
      <c r="G1410" s="267" t="s">
        <v>3926</v>
      </c>
      <c r="H1410" s="267" t="s">
        <v>5651</v>
      </c>
      <c r="I1410" s="267" t="s">
        <v>3011</v>
      </c>
      <c r="J1410" s="267" t="s">
        <v>3928</v>
      </c>
      <c r="K1410" s="267">
        <v>6418</v>
      </c>
      <c r="L1410" s="267">
        <v>120200</v>
      </c>
      <c r="M1410" s="267">
        <v>-60</v>
      </c>
      <c r="N1410" s="267" t="s">
        <v>3944</v>
      </c>
      <c r="O1410" s="267">
        <v>1489.53</v>
      </c>
      <c r="P1410" s="267" t="s">
        <v>3944</v>
      </c>
      <c r="Q1410" s="267" t="s">
        <v>3944</v>
      </c>
      <c r="R1410" s="267">
        <v>1489.53</v>
      </c>
      <c r="S1410" s="267">
        <v>13440.47</v>
      </c>
      <c r="T1410" s="267">
        <v>14930</v>
      </c>
      <c r="U1410" s="268" t="s">
        <v>3945</v>
      </c>
      <c r="V1410" s="267" t="s">
        <v>944</v>
      </c>
    </row>
    <row r="1411" spans="1:22" hidden="1" x14ac:dyDescent="0.25">
      <c r="A1411" s="269">
        <v>43549</v>
      </c>
      <c r="B1411" s="270">
        <v>2019</v>
      </c>
      <c r="C1411" s="270">
        <v>2019</v>
      </c>
      <c r="D1411" s="270">
        <v>1</v>
      </c>
      <c r="E1411" s="270">
        <v>1</v>
      </c>
      <c r="F1411" s="270" t="s">
        <v>944</v>
      </c>
      <c r="G1411" s="270" t="s">
        <v>3926</v>
      </c>
      <c r="H1411" s="270" t="s">
        <v>5652</v>
      </c>
      <c r="I1411" s="270" t="s">
        <v>943</v>
      </c>
      <c r="J1411" s="270" t="s">
        <v>3928</v>
      </c>
      <c r="K1411" s="270">
        <v>6513</v>
      </c>
      <c r="L1411" s="270">
        <v>142604</v>
      </c>
      <c r="M1411" s="270" t="s">
        <v>3935</v>
      </c>
      <c r="N1411" s="270" t="s">
        <v>3944</v>
      </c>
      <c r="O1411" s="270">
        <v>2390.85</v>
      </c>
      <c r="P1411" s="270" t="s">
        <v>3944</v>
      </c>
      <c r="Q1411" s="270" t="s">
        <v>3944</v>
      </c>
      <c r="R1411" s="270">
        <v>2390.85</v>
      </c>
      <c r="S1411" s="270">
        <v>33636.06</v>
      </c>
      <c r="T1411" s="270">
        <v>36026.910000000003</v>
      </c>
      <c r="U1411" s="271" t="s">
        <v>3945</v>
      </c>
      <c r="V1411" s="267" t="s">
        <v>944</v>
      </c>
    </row>
    <row r="1412" spans="1:22" hidden="1" x14ac:dyDescent="0.25">
      <c r="A1412" s="266">
        <v>43549</v>
      </c>
      <c r="B1412" s="267">
        <v>2019</v>
      </c>
      <c r="C1412" s="267">
        <v>2019</v>
      </c>
      <c r="D1412" s="267">
        <v>1</v>
      </c>
      <c r="E1412" s="267">
        <v>1</v>
      </c>
      <c r="F1412" s="267" t="s">
        <v>944</v>
      </c>
      <c r="G1412" s="267" t="s">
        <v>3926</v>
      </c>
      <c r="H1412" s="267" t="s">
        <v>5653</v>
      </c>
      <c r="I1412" s="267" t="s">
        <v>956</v>
      </c>
      <c r="J1412" s="267" t="s">
        <v>3928</v>
      </c>
      <c r="K1412" s="267">
        <v>6614</v>
      </c>
      <c r="L1412" s="267">
        <v>80800</v>
      </c>
      <c r="M1412" s="267" t="s">
        <v>3960</v>
      </c>
      <c r="N1412" s="267" t="s">
        <v>3944</v>
      </c>
      <c r="O1412" s="267">
        <v>910.67</v>
      </c>
      <c r="P1412" s="267" t="s">
        <v>3944</v>
      </c>
      <c r="Q1412" s="267" t="s">
        <v>3944</v>
      </c>
      <c r="R1412" s="267">
        <v>910.67</v>
      </c>
      <c r="S1412" s="267">
        <v>10052.33</v>
      </c>
      <c r="T1412" s="267">
        <v>10963</v>
      </c>
      <c r="U1412" s="268" t="s">
        <v>3945</v>
      </c>
      <c r="V1412" s="267" t="s">
        <v>944</v>
      </c>
    </row>
    <row r="1413" spans="1:22" hidden="1" x14ac:dyDescent="0.25">
      <c r="A1413" s="269">
        <v>43549</v>
      </c>
      <c r="B1413" s="270">
        <v>2019</v>
      </c>
      <c r="C1413" s="270">
        <v>2019</v>
      </c>
      <c r="D1413" s="270">
        <v>1</v>
      </c>
      <c r="E1413" s="270">
        <v>1</v>
      </c>
      <c r="F1413" s="270" t="s">
        <v>944</v>
      </c>
      <c r="G1413" s="270" t="s">
        <v>3926</v>
      </c>
      <c r="H1413" s="270" t="s">
        <v>5654</v>
      </c>
      <c r="I1413" s="270" t="s">
        <v>3010</v>
      </c>
      <c r="J1413" s="270" t="s">
        <v>3928</v>
      </c>
      <c r="K1413" s="270">
        <v>6401</v>
      </c>
      <c r="L1413" s="270">
        <v>125200</v>
      </c>
      <c r="M1413" s="270">
        <v>-60</v>
      </c>
      <c r="N1413" s="270" t="s">
        <v>3944</v>
      </c>
      <c r="O1413" s="270">
        <v>1466.29</v>
      </c>
      <c r="P1413" s="270" t="s">
        <v>3944</v>
      </c>
      <c r="Q1413" s="270" t="s">
        <v>3944</v>
      </c>
      <c r="R1413" s="270">
        <v>1466.29</v>
      </c>
      <c r="S1413" s="270">
        <v>23897.74</v>
      </c>
      <c r="T1413" s="270">
        <v>25364.03</v>
      </c>
      <c r="U1413" s="271" t="s">
        <v>3945</v>
      </c>
      <c r="V1413" s="267" t="s">
        <v>944</v>
      </c>
    </row>
    <row r="1414" spans="1:22" hidden="1" x14ac:dyDescent="0.25">
      <c r="A1414" s="266">
        <v>43549</v>
      </c>
      <c r="B1414" s="267">
        <v>2019</v>
      </c>
      <c r="C1414" s="267">
        <v>2019</v>
      </c>
      <c r="D1414" s="267">
        <v>1</v>
      </c>
      <c r="E1414" s="267">
        <v>1</v>
      </c>
      <c r="F1414" s="267" t="s">
        <v>944</v>
      </c>
      <c r="G1414" s="267" t="s">
        <v>3926</v>
      </c>
      <c r="H1414" s="267" t="s">
        <v>5655</v>
      </c>
      <c r="I1414" s="267" t="s">
        <v>956</v>
      </c>
      <c r="J1414" s="267" t="s">
        <v>3928</v>
      </c>
      <c r="K1414" s="267">
        <v>6614</v>
      </c>
      <c r="L1414" s="267">
        <v>81100</v>
      </c>
      <c r="M1414" s="267" t="s">
        <v>3960</v>
      </c>
      <c r="N1414" s="267" t="s">
        <v>3944</v>
      </c>
      <c r="O1414" s="267">
        <v>2186.59</v>
      </c>
      <c r="P1414" s="267" t="s">
        <v>3944</v>
      </c>
      <c r="Q1414" s="267" t="s">
        <v>3944</v>
      </c>
      <c r="R1414" s="267">
        <v>2186.59</v>
      </c>
      <c r="S1414" s="267">
        <v>32007.85</v>
      </c>
      <c r="T1414" s="267">
        <v>34194.44</v>
      </c>
      <c r="U1414" s="268" t="s">
        <v>3945</v>
      </c>
      <c r="V1414" s="267" t="s">
        <v>944</v>
      </c>
    </row>
    <row r="1415" spans="1:22" hidden="1" x14ac:dyDescent="0.25">
      <c r="A1415" s="269">
        <v>43549</v>
      </c>
      <c r="B1415" s="270">
        <v>2019</v>
      </c>
      <c r="C1415" s="270">
        <v>2019</v>
      </c>
      <c r="D1415" s="270">
        <v>1</v>
      </c>
      <c r="E1415" s="270">
        <v>1</v>
      </c>
      <c r="F1415" s="270" t="s">
        <v>944</v>
      </c>
      <c r="G1415" s="270" t="s">
        <v>3926</v>
      </c>
      <c r="H1415" s="270" t="s">
        <v>5656</v>
      </c>
      <c r="I1415" s="270" t="s">
        <v>3966</v>
      </c>
      <c r="J1415" s="270" t="s">
        <v>3928</v>
      </c>
      <c r="K1415" s="270">
        <v>6010</v>
      </c>
      <c r="L1415" s="270">
        <v>405900</v>
      </c>
      <c r="M1415" s="270" t="s">
        <v>3960</v>
      </c>
      <c r="N1415" s="270" t="s">
        <v>3944</v>
      </c>
      <c r="O1415" s="270">
        <v>1911.56</v>
      </c>
      <c r="P1415" s="270" t="s">
        <v>3944</v>
      </c>
      <c r="Q1415" s="270" t="s">
        <v>3944</v>
      </c>
      <c r="R1415" s="270">
        <v>1911.56</v>
      </c>
      <c r="S1415" s="270">
        <v>25471.54</v>
      </c>
      <c r="T1415" s="270">
        <v>27383.1</v>
      </c>
      <c r="U1415" s="271" t="s">
        <v>3945</v>
      </c>
      <c r="V1415" s="267" t="s">
        <v>944</v>
      </c>
    </row>
    <row r="1416" spans="1:22" hidden="1" x14ac:dyDescent="0.25">
      <c r="A1416" s="266">
        <v>43549</v>
      </c>
      <c r="B1416" s="267">
        <v>2019</v>
      </c>
      <c r="C1416" s="267">
        <v>2019</v>
      </c>
      <c r="D1416" s="267">
        <v>1</v>
      </c>
      <c r="E1416" s="267">
        <v>1</v>
      </c>
      <c r="F1416" s="267" t="s">
        <v>944</v>
      </c>
      <c r="G1416" s="267" t="s">
        <v>3926</v>
      </c>
      <c r="H1416" s="267" t="s">
        <v>5657</v>
      </c>
      <c r="I1416" s="267" t="s">
        <v>3008</v>
      </c>
      <c r="J1416" s="267" t="s">
        <v>3928</v>
      </c>
      <c r="K1416" s="267">
        <v>6461</v>
      </c>
      <c r="L1416" s="267">
        <v>150800</v>
      </c>
      <c r="M1416" s="267" t="s">
        <v>3960</v>
      </c>
      <c r="N1416" s="267" t="s">
        <v>3944</v>
      </c>
      <c r="O1416" s="267">
        <v>2908.75</v>
      </c>
      <c r="P1416" s="267" t="s">
        <v>3944</v>
      </c>
      <c r="Q1416" s="267" t="s">
        <v>3944</v>
      </c>
      <c r="R1416" s="267">
        <v>2908.75</v>
      </c>
      <c r="S1416" s="267">
        <v>44215.25</v>
      </c>
      <c r="T1416" s="267">
        <v>47124</v>
      </c>
      <c r="U1416" s="268" t="s">
        <v>3945</v>
      </c>
      <c r="V1416" s="267" t="s">
        <v>944</v>
      </c>
    </row>
    <row r="1417" spans="1:22" hidden="1" x14ac:dyDescent="0.25">
      <c r="A1417" s="269">
        <v>43549</v>
      </c>
      <c r="B1417" s="270">
        <v>2019</v>
      </c>
      <c r="C1417" s="270">
        <v>2019</v>
      </c>
      <c r="D1417" s="270">
        <v>1</v>
      </c>
      <c r="E1417" s="270">
        <v>1</v>
      </c>
      <c r="F1417" s="270" t="s">
        <v>944</v>
      </c>
      <c r="G1417" s="270" t="s">
        <v>3926</v>
      </c>
      <c r="H1417" s="270" t="s">
        <v>5658</v>
      </c>
      <c r="I1417" s="270" t="s">
        <v>5659</v>
      </c>
      <c r="J1417" s="270" t="s">
        <v>3928</v>
      </c>
      <c r="K1417" s="270">
        <v>6419</v>
      </c>
      <c r="L1417" s="270">
        <v>640100</v>
      </c>
      <c r="M1417" s="270" t="s">
        <v>3943</v>
      </c>
      <c r="N1417" s="270" t="s">
        <v>3944</v>
      </c>
      <c r="O1417" s="270">
        <v>3490.27</v>
      </c>
      <c r="P1417" s="270" t="s">
        <v>3944</v>
      </c>
      <c r="Q1417" s="270" t="s">
        <v>3944</v>
      </c>
      <c r="R1417" s="270">
        <v>3490.27</v>
      </c>
      <c r="S1417" s="270">
        <v>51335.48</v>
      </c>
      <c r="T1417" s="270">
        <v>54825.75</v>
      </c>
      <c r="U1417" s="271" t="s">
        <v>3945</v>
      </c>
      <c r="V1417" s="267" t="s">
        <v>944</v>
      </c>
    </row>
    <row r="1418" spans="1:22" hidden="1" x14ac:dyDescent="0.25">
      <c r="A1418" s="266">
        <v>43549</v>
      </c>
      <c r="B1418" s="267">
        <v>2019</v>
      </c>
      <c r="C1418" s="267">
        <v>2019</v>
      </c>
      <c r="D1418" s="267">
        <v>1</v>
      </c>
      <c r="E1418" s="267">
        <v>1</v>
      </c>
      <c r="F1418" s="267" t="s">
        <v>944</v>
      </c>
      <c r="G1418" s="267" t="s">
        <v>3926</v>
      </c>
      <c r="H1418" s="267" t="s">
        <v>5660</v>
      </c>
      <c r="I1418" s="267" t="s">
        <v>4016</v>
      </c>
      <c r="J1418" s="267" t="s">
        <v>3928</v>
      </c>
      <c r="K1418" s="267">
        <v>6770</v>
      </c>
      <c r="L1418" s="267">
        <v>345201</v>
      </c>
      <c r="M1418" s="267" t="s">
        <v>3935</v>
      </c>
      <c r="N1418" s="267" t="s">
        <v>3944</v>
      </c>
      <c r="O1418" s="267">
        <v>1821.58</v>
      </c>
      <c r="P1418" s="267" t="s">
        <v>3944</v>
      </c>
      <c r="Q1418" s="267" t="s">
        <v>3944</v>
      </c>
      <c r="R1418" s="267">
        <v>1821.58</v>
      </c>
      <c r="S1418" s="267">
        <v>29222.82</v>
      </c>
      <c r="T1418" s="267">
        <v>31044.400000000001</v>
      </c>
      <c r="U1418" s="268" t="s">
        <v>3945</v>
      </c>
      <c r="V1418" s="267" t="s">
        <v>944</v>
      </c>
    </row>
    <row r="1419" spans="1:22" hidden="1" x14ac:dyDescent="0.25">
      <c r="A1419" s="269">
        <v>43549</v>
      </c>
      <c r="B1419" s="270">
        <v>2019</v>
      </c>
      <c r="C1419" s="270">
        <v>2019</v>
      </c>
      <c r="D1419" s="270">
        <v>1</v>
      </c>
      <c r="E1419" s="270">
        <v>1</v>
      </c>
      <c r="F1419" s="270" t="s">
        <v>944</v>
      </c>
      <c r="G1419" s="270" t="s">
        <v>3926</v>
      </c>
      <c r="H1419" s="270" t="s">
        <v>5661</v>
      </c>
      <c r="I1419" s="270" t="s">
        <v>953</v>
      </c>
      <c r="J1419" s="270" t="s">
        <v>3928</v>
      </c>
      <c r="K1419" s="270">
        <v>6514</v>
      </c>
      <c r="L1419" s="270">
        <v>165700</v>
      </c>
      <c r="M1419" s="270" t="s">
        <v>3935</v>
      </c>
      <c r="N1419" s="270" t="s">
        <v>3944</v>
      </c>
      <c r="O1419" s="270">
        <v>1764.95</v>
      </c>
      <c r="P1419" s="270" t="s">
        <v>3944</v>
      </c>
      <c r="Q1419" s="270" t="s">
        <v>3944</v>
      </c>
      <c r="R1419" s="270">
        <v>1764.95</v>
      </c>
      <c r="S1419" s="270">
        <v>27301.78</v>
      </c>
      <c r="T1419" s="270">
        <v>29066.73</v>
      </c>
      <c r="U1419" s="271" t="s">
        <v>3945</v>
      </c>
      <c r="V1419" s="267" t="s">
        <v>944</v>
      </c>
    </row>
    <row r="1420" spans="1:22" hidden="1" x14ac:dyDescent="0.25">
      <c r="A1420" s="266">
        <v>43549</v>
      </c>
      <c r="B1420" s="267">
        <v>2019</v>
      </c>
      <c r="C1420" s="267">
        <v>2019</v>
      </c>
      <c r="D1420" s="267">
        <v>1</v>
      </c>
      <c r="E1420" s="267">
        <v>1</v>
      </c>
      <c r="F1420" s="267" t="s">
        <v>944</v>
      </c>
      <c r="G1420" s="267" t="s">
        <v>3926</v>
      </c>
      <c r="H1420" s="267" t="s">
        <v>5662</v>
      </c>
      <c r="I1420" s="267" t="s">
        <v>3956</v>
      </c>
      <c r="J1420" s="267" t="s">
        <v>3928</v>
      </c>
      <c r="K1420" s="267">
        <v>6106</v>
      </c>
      <c r="L1420" s="267">
        <v>524700</v>
      </c>
      <c r="M1420" s="267" t="s">
        <v>3935</v>
      </c>
      <c r="N1420" s="267" t="s">
        <v>3944</v>
      </c>
      <c r="O1420" s="267">
        <v>911.51</v>
      </c>
      <c r="P1420" s="267" t="s">
        <v>3944</v>
      </c>
      <c r="Q1420" s="267" t="s">
        <v>3944</v>
      </c>
      <c r="R1420" s="267">
        <v>911.51</v>
      </c>
      <c r="S1420" s="267">
        <v>13956.49</v>
      </c>
      <c r="T1420" s="267">
        <v>14868</v>
      </c>
      <c r="U1420" s="268" t="s">
        <v>3945</v>
      </c>
      <c r="V1420" s="267" t="s">
        <v>944</v>
      </c>
    </row>
    <row r="1421" spans="1:22" hidden="1" x14ac:dyDescent="0.25">
      <c r="A1421" s="269">
        <v>43549</v>
      </c>
      <c r="B1421" s="270">
        <v>2019</v>
      </c>
      <c r="C1421" s="270">
        <v>2019</v>
      </c>
      <c r="D1421" s="270">
        <v>1</v>
      </c>
      <c r="E1421" s="270">
        <v>1</v>
      </c>
      <c r="F1421" s="270" t="s">
        <v>944</v>
      </c>
      <c r="G1421" s="270" t="s">
        <v>3926</v>
      </c>
      <c r="H1421" s="270" t="s">
        <v>5663</v>
      </c>
      <c r="I1421" s="270" t="s">
        <v>3962</v>
      </c>
      <c r="J1421" s="270" t="s">
        <v>3928</v>
      </c>
      <c r="K1421" s="270">
        <v>6355</v>
      </c>
      <c r="L1421" s="270">
        <v>703000</v>
      </c>
      <c r="M1421" s="270" t="s">
        <v>3960</v>
      </c>
      <c r="N1421" s="270" t="s">
        <v>3944</v>
      </c>
      <c r="O1421" s="270">
        <v>1539.09</v>
      </c>
      <c r="P1421" s="270" t="s">
        <v>3944</v>
      </c>
      <c r="Q1421" s="270" t="s">
        <v>3944</v>
      </c>
      <c r="R1421" s="270">
        <v>1539.09</v>
      </c>
      <c r="S1421" s="270">
        <v>25101.51</v>
      </c>
      <c r="T1421" s="270">
        <v>26640.6</v>
      </c>
      <c r="U1421" s="271" t="s">
        <v>3945</v>
      </c>
      <c r="V1421" s="267" t="s">
        <v>944</v>
      </c>
    </row>
    <row r="1422" spans="1:22" hidden="1" x14ac:dyDescent="0.25">
      <c r="A1422" s="266">
        <v>43549</v>
      </c>
      <c r="B1422" s="267">
        <v>2019</v>
      </c>
      <c r="C1422" s="267">
        <v>2019</v>
      </c>
      <c r="D1422" s="267">
        <v>1</v>
      </c>
      <c r="E1422" s="267">
        <v>1</v>
      </c>
      <c r="F1422" s="267" t="s">
        <v>944</v>
      </c>
      <c r="G1422" s="267" t="s">
        <v>3926</v>
      </c>
      <c r="H1422" s="267" t="s">
        <v>5664</v>
      </c>
      <c r="I1422" s="267" t="s">
        <v>4323</v>
      </c>
      <c r="J1422" s="267" t="s">
        <v>3928</v>
      </c>
      <c r="K1422" s="267">
        <v>6385</v>
      </c>
      <c r="L1422" s="267">
        <v>693300</v>
      </c>
      <c r="M1422" s="267" t="s">
        <v>3935</v>
      </c>
      <c r="N1422" s="267" t="s">
        <v>3944</v>
      </c>
      <c r="O1422" s="267">
        <v>2143.86</v>
      </c>
      <c r="P1422" s="267" t="s">
        <v>3944</v>
      </c>
      <c r="Q1422" s="267" t="s">
        <v>3944</v>
      </c>
      <c r="R1422" s="267">
        <v>2143.86</v>
      </c>
      <c r="S1422" s="267">
        <v>34069.949999999997</v>
      </c>
      <c r="T1422" s="267">
        <v>36213.81</v>
      </c>
      <c r="U1422" s="268" t="s">
        <v>3945</v>
      </c>
      <c r="V1422" s="267" t="s">
        <v>944</v>
      </c>
    </row>
    <row r="1423" spans="1:22" hidden="1" x14ac:dyDescent="0.25">
      <c r="A1423" s="269">
        <v>43549</v>
      </c>
      <c r="B1423" s="270">
        <v>2019</v>
      </c>
      <c r="C1423" s="270">
        <v>2019</v>
      </c>
      <c r="D1423" s="270">
        <v>1</v>
      </c>
      <c r="E1423" s="270">
        <v>1</v>
      </c>
      <c r="F1423" s="270" t="s">
        <v>944</v>
      </c>
      <c r="G1423" s="270" t="s">
        <v>3926</v>
      </c>
      <c r="H1423" s="270" t="s">
        <v>5665</v>
      </c>
      <c r="I1423" s="270" t="s">
        <v>4008</v>
      </c>
      <c r="J1423" s="270" t="s">
        <v>3928</v>
      </c>
      <c r="K1423" s="270">
        <v>6320</v>
      </c>
      <c r="L1423" s="270">
        <v>690900</v>
      </c>
      <c r="M1423" s="270" t="s">
        <v>3935</v>
      </c>
      <c r="N1423" s="270" t="s">
        <v>3944</v>
      </c>
      <c r="O1423" s="270">
        <v>2824.33</v>
      </c>
      <c r="P1423" s="270" t="s">
        <v>3944</v>
      </c>
      <c r="Q1423" s="270" t="s">
        <v>3944</v>
      </c>
      <c r="R1423" s="270">
        <v>2824.33</v>
      </c>
      <c r="S1423" s="270">
        <v>41072.11</v>
      </c>
      <c r="T1423" s="270">
        <v>43896.44</v>
      </c>
      <c r="U1423" s="271" t="s">
        <v>3945</v>
      </c>
      <c r="V1423" s="267" t="s">
        <v>944</v>
      </c>
    </row>
    <row r="1424" spans="1:22" hidden="1" x14ac:dyDescent="0.25">
      <c r="A1424" s="266">
        <v>43549</v>
      </c>
      <c r="B1424" s="267">
        <v>2019</v>
      </c>
      <c r="C1424" s="267">
        <v>2019</v>
      </c>
      <c r="D1424" s="267">
        <v>1</v>
      </c>
      <c r="E1424" s="267">
        <v>1</v>
      </c>
      <c r="F1424" s="267" t="s">
        <v>944</v>
      </c>
      <c r="G1424" s="267" t="s">
        <v>3926</v>
      </c>
      <c r="H1424" s="267" t="s">
        <v>5666</v>
      </c>
      <c r="I1424" s="267" t="s">
        <v>4019</v>
      </c>
      <c r="J1424" s="267" t="s">
        <v>3928</v>
      </c>
      <c r="K1424" s="267">
        <v>6706</v>
      </c>
      <c r="L1424" s="267">
        <v>351400</v>
      </c>
      <c r="M1424" s="267">
        <v>-60</v>
      </c>
      <c r="N1424" s="267" t="s">
        <v>3944</v>
      </c>
      <c r="O1424" s="267">
        <v>1058.75</v>
      </c>
      <c r="P1424" s="267" t="s">
        <v>3944</v>
      </c>
      <c r="Q1424" s="267" t="s">
        <v>3944</v>
      </c>
      <c r="R1424" s="267">
        <v>1058.75</v>
      </c>
      <c r="S1424" s="267">
        <v>14570.38</v>
      </c>
      <c r="T1424" s="267">
        <v>15629.13</v>
      </c>
      <c r="U1424" s="268" t="s">
        <v>3945</v>
      </c>
      <c r="V1424" s="267" t="s">
        <v>944</v>
      </c>
    </row>
    <row r="1425" spans="1:22" hidden="1" x14ac:dyDescent="0.25">
      <c r="A1425" s="269">
        <v>43549</v>
      </c>
      <c r="B1425" s="270">
        <v>2019</v>
      </c>
      <c r="C1425" s="270">
        <v>2019</v>
      </c>
      <c r="D1425" s="270">
        <v>1</v>
      </c>
      <c r="E1425" s="270">
        <v>1</v>
      </c>
      <c r="F1425" s="270" t="s">
        <v>944</v>
      </c>
      <c r="G1425" s="270" t="s">
        <v>3926</v>
      </c>
      <c r="H1425" s="270" t="s">
        <v>5667</v>
      </c>
      <c r="I1425" s="270" t="s">
        <v>4213</v>
      </c>
      <c r="J1425" s="270" t="s">
        <v>3928</v>
      </c>
      <c r="K1425" s="270">
        <v>6053</v>
      </c>
      <c r="L1425" s="270">
        <v>416800</v>
      </c>
      <c r="M1425" s="270" t="s">
        <v>3940</v>
      </c>
      <c r="N1425" s="270" t="s">
        <v>3944</v>
      </c>
      <c r="O1425" s="270">
        <v>1000.9</v>
      </c>
      <c r="P1425" s="270" t="s">
        <v>3944</v>
      </c>
      <c r="Q1425" s="270" t="s">
        <v>3944</v>
      </c>
      <c r="R1425" s="270">
        <v>1000.9</v>
      </c>
      <c r="S1425" s="270">
        <v>13724.45</v>
      </c>
      <c r="T1425" s="270">
        <v>14725.35</v>
      </c>
      <c r="U1425" s="271" t="s">
        <v>3945</v>
      </c>
      <c r="V1425" s="267" t="s">
        <v>944</v>
      </c>
    </row>
    <row r="1426" spans="1:22" hidden="1" x14ac:dyDescent="0.25">
      <c r="A1426" s="266">
        <v>43549</v>
      </c>
      <c r="B1426" s="267">
        <v>2019</v>
      </c>
      <c r="C1426" s="267">
        <v>2019</v>
      </c>
      <c r="D1426" s="267">
        <v>1</v>
      </c>
      <c r="E1426" s="267">
        <v>1</v>
      </c>
      <c r="F1426" s="267" t="s">
        <v>944</v>
      </c>
      <c r="G1426" s="267" t="s">
        <v>3926</v>
      </c>
      <c r="H1426" s="267" t="s">
        <v>5668</v>
      </c>
      <c r="I1426" s="267" t="s">
        <v>950</v>
      </c>
      <c r="J1426" s="267" t="s">
        <v>3928</v>
      </c>
      <c r="K1426" s="267">
        <v>6516</v>
      </c>
      <c r="L1426" s="267">
        <v>154200</v>
      </c>
      <c r="M1426" s="267" t="s">
        <v>3940</v>
      </c>
      <c r="N1426" s="267" t="s">
        <v>3944</v>
      </c>
      <c r="O1426" s="267">
        <v>1692.57</v>
      </c>
      <c r="P1426" s="267" t="s">
        <v>3944</v>
      </c>
      <c r="Q1426" s="267" t="s">
        <v>3944</v>
      </c>
      <c r="R1426" s="267">
        <v>1692.57</v>
      </c>
      <c r="S1426" s="267">
        <v>42288.93</v>
      </c>
      <c r="T1426" s="267">
        <v>43981.5</v>
      </c>
      <c r="U1426" s="268" t="s">
        <v>3945</v>
      </c>
      <c r="V1426" s="267" t="s">
        <v>944</v>
      </c>
    </row>
    <row r="1427" spans="1:22" hidden="1" x14ac:dyDescent="0.25">
      <c r="A1427" s="269">
        <v>43549</v>
      </c>
      <c r="B1427" s="270">
        <v>2019</v>
      </c>
      <c r="C1427" s="270">
        <v>2019</v>
      </c>
      <c r="D1427" s="270">
        <v>1</v>
      </c>
      <c r="E1427" s="270">
        <v>1</v>
      </c>
      <c r="F1427" s="270" t="s">
        <v>944</v>
      </c>
      <c r="G1427" s="270" t="s">
        <v>3926</v>
      </c>
      <c r="H1427" s="270" t="s">
        <v>5669</v>
      </c>
      <c r="I1427" s="270" t="s">
        <v>4269</v>
      </c>
      <c r="J1427" s="270" t="s">
        <v>3928</v>
      </c>
      <c r="K1427" s="270">
        <v>6110</v>
      </c>
      <c r="L1427" s="270">
        <v>496200</v>
      </c>
      <c r="M1427" s="270" t="s">
        <v>3935</v>
      </c>
      <c r="N1427" s="270" t="s">
        <v>3944</v>
      </c>
      <c r="O1427" s="270">
        <v>2088.0700000000002</v>
      </c>
      <c r="P1427" s="270" t="s">
        <v>3944</v>
      </c>
      <c r="Q1427" s="270" t="s">
        <v>3944</v>
      </c>
      <c r="R1427" s="270">
        <v>2088.0700000000002</v>
      </c>
      <c r="S1427" s="270">
        <v>30204.799999999999</v>
      </c>
      <c r="T1427" s="270">
        <v>32292.87</v>
      </c>
      <c r="U1427" s="271" t="s">
        <v>3945</v>
      </c>
      <c r="V1427" s="267" t="s">
        <v>944</v>
      </c>
    </row>
    <row r="1428" spans="1:22" hidden="1" x14ac:dyDescent="0.25">
      <c r="A1428" s="266">
        <v>43549</v>
      </c>
      <c r="B1428" s="267">
        <v>2019</v>
      </c>
      <c r="C1428" s="267">
        <v>2019</v>
      </c>
      <c r="D1428" s="267">
        <v>1</v>
      </c>
      <c r="E1428" s="267">
        <v>1</v>
      </c>
      <c r="F1428" s="267" t="s">
        <v>944</v>
      </c>
      <c r="G1428" s="267" t="s">
        <v>3926</v>
      </c>
      <c r="H1428" s="267" t="s">
        <v>5670</v>
      </c>
      <c r="I1428" s="267" t="s">
        <v>4119</v>
      </c>
      <c r="J1428" s="267" t="s">
        <v>3928</v>
      </c>
      <c r="K1428" s="267">
        <v>6078</v>
      </c>
      <c r="L1428" s="267">
        <v>477102</v>
      </c>
      <c r="M1428" s="267" t="s">
        <v>3943</v>
      </c>
      <c r="N1428" s="267" t="s">
        <v>3944</v>
      </c>
      <c r="O1428" s="267">
        <v>1957.41</v>
      </c>
      <c r="P1428" s="267" t="s">
        <v>3944</v>
      </c>
      <c r="Q1428" s="267" t="s">
        <v>3944</v>
      </c>
      <c r="R1428" s="267">
        <v>1957.41</v>
      </c>
      <c r="S1428" s="267">
        <v>31377.15</v>
      </c>
      <c r="T1428" s="267">
        <v>33334.559999999998</v>
      </c>
      <c r="U1428" s="268" t="s">
        <v>3945</v>
      </c>
      <c r="V1428" s="267" t="s">
        <v>944</v>
      </c>
    </row>
    <row r="1429" spans="1:22" hidden="1" x14ac:dyDescent="0.25">
      <c r="A1429" s="269">
        <v>43549</v>
      </c>
      <c r="B1429" s="270">
        <v>2019</v>
      </c>
      <c r="C1429" s="270">
        <v>2019</v>
      </c>
      <c r="D1429" s="270">
        <v>1</v>
      </c>
      <c r="E1429" s="270">
        <v>1</v>
      </c>
      <c r="F1429" s="270" t="s">
        <v>944</v>
      </c>
      <c r="G1429" s="270" t="s">
        <v>3926</v>
      </c>
      <c r="H1429" s="270" t="s">
        <v>5671</v>
      </c>
      <c r="I1429" s="270" t="s">
        <v>4029</v>
      </c>
      <c r="J1429" s="270" t="s">
        <v>3928</v>
      </c>
      <c r="K1429" s="270">
        <v>6854</v>
      </c>
      <c r="L1429" s="270">
        <v>44400</v>
      </c>
      <c r="M1429" s="270" t="s">
        <v>3935</v>
      </c>
      <c r="N1429" s="270" t="s">
        <v>3944</v>
      </c>
      <c r="O1429" s="270">
        <v>3118.61</v>
      </c>
      <c r="P1429" s="270" t="s">
        <v>3944</v>
      </c>
      <c r="Q1429" s="270" t="s">
        <v>3944</v>
      </c>
      <c r="R1429" s="270">
        <v>3118.61</v>
      </c>
      <c r="S1429" s="270">
        <v>27360.39</v>
      </c>
      <c r="T1429" s="270">
        <v>30479</v>
      </c>
      <c r="U1429" s="271" t="s">
        <v>3945</v>
      </c>
      <c r="V1429" s="267" t="s">
        <v>944</v>
      </c>
    </row>
    <row r="1430" spans="1:22" hidden="1" x14ac:dyDescent="0.25">
      <c r="A1430" s="266">
        <v>43549</v>
      </c>
      <c r="B1430" s="267">
        <v>2019</v>
      </c>
      <c r="C1430" s="267">
        <v>2019</v>
      </c>
      <c r="D1430" s="267">
        <v>1</v>
      </c>
      <c r="E1430" s="267">
        <v>1</v>
      </c>
      <c r="F1430" s="267" t="s">
        <v>944</v>
      </c>
      <c r="G1430" s="267" t="s">
        <v>3926</v>
      </c>
      <c r="H1430" s="267" t="s">
        <v>5672</v>
      </c>
      <c r="I1430" s="267" t="s">
        <v>4065</v>
      </c>
      <c r="J1430" s="267" t="s">
        <v>3928</v>
      </c>
      <c r="K1430" s="267">
        <v>6480</v>
      </c>
      <c r="L1430" s="267">
        <v>560100</v>
      </c>
      <c r="M1430" s="267" t="s">
        <v>3943</v>
      </c>
      <c r="N1430" s="267" t="s">
        <v>3944</v>
      </c>
      <c r="O1430" s="267">
        <v>1074.92</v>
      </c>
      <c r="P1430" s="267" t="s">
        <v>3944</v>
      </c>
      <c r="Q1430" s="267" t="s">
        <v>3944</v>
      </c>
      <c r="R1430" s="267">
        <v>1074.92</v>
      </c>
      <c r="S1430" s="267">
        <v>16059.93</v>
      </c>
      <c r="T1430" s="267">
        <v>17134.849999999999</v>
      </c>
      <c r="U1430" s="268" t="s">
        <v>3945</v>
      </c>
      <c r="V1430" s="267" t="s">
        <v>944</v>
      </c>
    </row>
    <row r="1431" spans="1:22" hidden="1" x14ac:dyDescent="0.25">
      <c r="A1431" s="269">
        <v>43549</v>
      </c>
      <c r="B1431" s="270">
        <v>2019</v>
      </c>
      <c r="C1431" s="270">
        <v>2019</v>
      </c>
      <c r="D1431" s="270">
        <v>1</v>
      </c>
      <c r="E1431" s="270">
        <v>1</v>
      </c>
      <c r="F1431" s="270" t="s">
        <v>944</v>
      </c>
      <c r="G1431" s="270" t="s">
        <v>3926</v>
      </c>
      <c r="H1431" s="270" t="s">
        <v>5673</v>
      </c>
      <c r="I1431" s="270" t="s">
        <v>4213</v>
      </c>
      <c r="J1431" s="270" t="s">
        <v>3928</v>
      </c>
      <c r="K1431" s="270">
        <v>6053</v>
      </c>
      <c r="L1431" s="270">
        <v>416700</v>
      </c>
      <c r="M1431" s="270">
        <v>-60</v>
      </c>
      <c r="N1431" s="270" t="s">
        <v>3944</v>
      </c>
      <c r="O1431" s="270">
        <v>1989.54</v>
      </c>
      <c r="P1431" s="270" t="s">
        <v>3944</v>
      </c>
      <c r="Q1431" s="270" t="s">
        <v>3944</v>
      </c>
      <c r="R1431" s="270">
        <v>1989.54</v>
      </c>
      <c r="S1431" s="270">
        <v>26931.08</v>
      </c>
      <c r="T1431" s="270">
        <v>28920.62</v>
      </c>
      <c r="U1431" s="271" t="s">
        <v>3945</v>
      </c>
      <c r="V1431" s="267" t="s">
        <v>944</v>
      </c>
    </row>
    <row r="1432" spans="1:22" hidden="1" x14ac:dyDescent="0.25">
      <c r="A1432" s="266">
        <v>43549</v>
      </c>
      <c r="B1432" s="267">
        <v>2019</v>
      </c>
      <c r="C1432" s="267">
        <v>2019</v>
      </c>
      <c r="D1432" s="267">
        <v>1</v>
      </c>
      <c r="E1432" s="267">
        <v>1</v>
      </c>
      <c r="F1432" s="267" t="s">
        <v>944</v>
      </c>
      <c r="G1432" s="267" t="s">
        <v>3926</v>
      </c>
      <c r="H1432" s="267" t="s">
        <v>5674</v>
      </c>
      <c r="I1432" s="267" t="s">
        <v>3956</v>
      </c>
      <c r="J1432" s="267" t="s">
        <v>3928</v>
      </c>
      <c r="K1432" s="267">
        <v>6114</v>
      </c>
      <c r="L1432" s="267">
        <v>500200</v>
      </c>
      <c r="M1432" s="267">
        <v>-60</v>
      </c>
      <c r="N1432" s="267" t="s">
        <v>3944</v>
      </c>
      <c r="O1432" s="267">
        <v>1296.6500000000001</v>
      </c>
      <c r="P1432" s="267" t="s">
        <v>3944</v>
      </c>
      <c r="Q1432" s="267" t="s">
        <v>3944</v>
      </c>
      <c r="R1432" s="267">
        <v>1296.6500000000001</v>
      </c>
      <c r="S1432" s="267">
        <v>17463.349999999999</v>
      </c>
      <c r="T1432" s="267">
        <v>18760</v>
      </c>
      <c r="U1432" s="268" t="s">
        <v>3945</v>
      </c>
      <c r="V1432" s="267" t="s">
        <v>944</v>
      </c>
    </row>
    <row r="1433" spans="1:22" hidden="1" x14ac:dyDescent="0.25">
      <c r="A1433" s="269">
        <v>43550</v>
      </c>
      <c r="B1433" s="270">
        <v>2019</v>
      </c>
      <c r="C1433" s="270">
        <v>2019</v>
      </c>
      <c r="D1433" s="270">
        <v>1</v>
      </c>
      <c r="E1433" s="270">
        <v>1</v>
      </c>
      <c r="F1433" s="270" t="s">
        <v>944</v>
      </c>
      <c r="G1433" s="270" t="s">
        <v>3926</v>
      </c>
      <c r="H1433" s="270" t="s">
        <v>5675</v>
      </c>
      <c r="I1433" s="270" t="s">
        <v>5410</v>
      </c>
      <c r="J1433" s="270" t="s">
        <v>3928</v>
      </c>
      <c r="K1433" s="270">
        <v>6712</v>
      </c>
      <c r="L1433" s="270">
        <v>347100</v>
      </c>
      <c r="M1433" s="270" t="s">
        <v>3960</v>
      </c>
      <c r="N1433" s="270" t="s">
        <v>5676</v>
      </c>
      <c r="O1433" s="270">
        <v>0</v>
      </c>
      <c r="P1433" s="270" t="s">
        <v>3930</v>
      </c>
      <c r="Q1433" s="270" t="s">
        <v>3930</v>
      </c>
      <c r="R1433" s="270">
        <v>0</v>
      </c>
      <c r="S1433" s="270">
        <v>16388</v>
      </c>
      <c r="T1433" s="270">
        <v>16388</v>
      </c>
      <c r="U1433" s="271" t="s">
        <v>3937</v>
      </c>
      <c r="V1433" s="267" t="s">
        <v>944</v>
      </c>
    </row>
    <row r="1434" spans="1:22" hidden="1" x14ac:dyDescent="0.25">
      <c r="A1434" s="266">
        <v>43550</v>
      </c>
      <c r="B1434" s="267">
        <v>2019</v>
      </c>
      <c r="C1434" s="267">
        <v>2019</v>
      </c>
      <c r="D1434" s="267">
        <v>1</v>
      </c>
      <c r="E1434" s="267">
        <v>1</v>
      </c>
      <c r="F1434" s="267" t="s">
        <v>944</v>
      </c>
      <c r="G1434" s="267" t="s">
        <v>3926</v>
      </c>
      <c r="H1434" s="267" t="s">
        <v>5677</v>
      </c>
      <c r="I1434" s="267" t="s">
        <v>3949</v>
      </c>
      <c r="J1434" s="267" t="s">
        <v>3928</v>
      </c>
      <c r="K1434" s="267">
        <v>6437</v>
      </c>
      <c r="L1434" s="267">
        <v>190301</v>
      </c>
      <c r="M1434" s="267" t="s">
        <v>3943</v>
      </c>
      <c r="N1434" s="267" t="s">
        <v>5678</v>
      </c>
      <c r="O1434" s="267">
        <v>0</v>
      </c>
      <c r="P1434" s="267" t="s">
        <v>3930</v>
      </c>
      <c r="Q1434" s="267" t="s">
        <v>3930</v>
      </c>
      <c r="R1434" s="267">
        <v>0</v>
      </c>
      <c r="S1434" s="267">
        <v>15330</v>
      </c>
      <c r="T1434" s="267">
        <v>15330</v>
      </c>
      <c r="U1434" s="268" t="s">
        <v>3937</v>
      </c>
      <c r="V1434" s="267" t="s">
        <v>944</v>
      </c>
    </row>
    <row r="1435" spans="1:22" hidden="1" x14ac:dyDescent="0.25">
      <c r="A1435" s="269">
        <v>43550</v>
      </c>
      <c r="B1435" s="270">
        <v>2019</v>
      </c>
      <c r="C1435" s="270">
        <v>2019</v>
      </c>
      <c r="D1435" s="270">
        <v>1</v>
      </c>
      <c r="E1435" s="270">
        <v>1</v>
      </c>
      <c r="F1435" s="270" t="s">
        <v>944</v>
      </c>
      <c r="G1435" s="270" t="s">
        <v>3926</v>
      </c>
      <c r="H1435" s="270" t="s">
        <v>5679</v>
      </c>
      <c r="I1435" s="270" t="s">
        <v>4200</v>
      </c>
      <c r="J1435" s="270" t="s">
        <v>3928</v>
      </c>
      <c r="K1435" s="270">
        <v>6795</v>
      </c>
      <c r="L1435" s="270">
        <v>360200</v>
      </c>
      <c r="M1435" s="270" t="s">
        <v>3943</v>
      </c>
      <c r="N1435" s="270" t="s">
        <v>3929</v>
      </c>
      <c r="O1435" s="270">
        <v>2000.32</v>
      </c>
      <c r="P1435" s="270" t="s">
        <v>3930</v>
      </c>
      <c r="Q1435" s="270" t="s">
        <v>3931</v>
      </c>
      <c r="R1435" s="270">
        <v>7000.32</v>
      </c>
      <c r="S1435" s="270">
        <v>34744</v>
      </c>
      <c r="T1435" s="270">
        <v>41744.32</v>
      </c>
      <c r="U1435" s="271" t="s">
        <v>3932</v>
      </c>
      <c r="V1435" s="267" t="s">
        <v>944</v>
      </c>
    </row>
    <row r="1436" spans="1:22" hidden="1" x14ac:dyDescent="0.25">
      <c r="A1436" s="266">
        <v>43550</v>
      </c>
      <c r="B1436" s="267">
        <v>2019</v>
      </c>
      <c r="C1436" s="267">
        <v>2019</v>
      </c>
      <c r="D1436" s="267">
        <v>1</v>
      </c>
      <c r="E1436" s="267">
        <v>1</v>
      </c>
      <c r="F1436" s="267" t="s">
        <v>944</v>
      </c>
      <c r="G1436" s="267" t="s">
        <v>3926</v>
      </c>
      <c r="H1436" s="267" t="s">
        <v>5680</v>
      </c>
      <c r="I1436" s="267" t="s">
        <v>4108</v>
      </c>
      <c r="J1436" s="267" t="s">
        <v>3928</v>
      </c>
      <c r="K1436" s="267">
        <v>6082</v>
      </c>
      <c r="L1436" s="267">
        <v>480600</v>
      </c>
      <c r="M1436" s="267">
        <v>-60</v>
      </c>
      <c r="N1436" s="267" t="s">
        <v>5489</v>
      </c>
      <c r="O1436" s="267">
        <v>2969.04</v>
      </c>
      <c r="P1436" s="267" t="s">
        <v>3930</v>
      </c>
      <c r="Q1436" s="267" t="s">
        <v>3931</v>
      </c>
      <c r="R1436" s="267">
        <v>7969.04</v>
      </c>
      <c r="S1436" s="267">
        <v>16817.8</v>
      </c>
      <c r="T1436" s="267">
        <v>24786.84</v>
      </c>
      <c r="U1436" s="268" t="s">
        <v>3932</v>
      </c>
      <c r="V1436" s="267" t="s">
        <v>944</v>
      </c>
    </row>
    <row r="1437" spans="1:22" hidden="1" x14ac:dyDescent="0.25">
      <c r="A1437" s="269">
        <v>43550</v>
      </c>
      <c r="B1437" s="270">
        <v>2019</v>
      </c>
      <c r="C1437" s="270">
        <v>2019</v>
      </c>
      <c r="D1437" s="270">
        <v>1</v>
      </c>
      <c r="E1437" s="270">
        <v>1</v>
      </c>
      <c r="F1437" s="270" t="s">
        <v>944</v>
      </c>
      <c r="G1437" s="270" t="s">
        <v>3926</v>
      </c>
      <c r="H1437" s="270" t="s">
        <v>5681</v>
      </c>
      <c r="I1437" s="270" t="s">
        <v>3956</v>
      </c>
      <c r="J1437" s="270" t="s">
        <v>3928</v>
      </c>
      <c r="K1437" s="270">
        <v>6114</v>
      </c>
      <c r="L1437" s="270">
        <v>502400</v>
      </c>
      <c r="M1437" s="270">
        <v>-60</v>
      </c>
      <c r="N1437" s="270" t="s">
        <v>3929</v>
      </c>
      <c r="O1437" s="270">
        <v>5170.95</v>
      </c>
      <c r="P1437" s="270" t="s">
        <v>3930</v>
      </c>
      <c r="Q1437" s="270" t="s">
        <v>3931</v>
      </c>
      <c r="R1437" s="270">
        <v>10170.950000000001</v>
      </c>
      <c r="S1437" s="270">
        <v>34744</v>
      </c>
      <c r="T1437" s="270">
        <v>44914.95</v>
      </c>
      <c r="U1437" s="271" t="s">
        <v>3932</v>
      </c>
      <c r="V1437" s="267" t="s">
        <v>944</v>
      </c>
    </row>
    <row r="1438" spans="1:22" hidden="1" x14ac:dyDescent="0.25">
      <c r="A1438" s="266">
        <v>43550</v>
      </c>
      <c r="B1438" s="267">
        <v>2019</v>
      </c>
      <c r="C1438" s="267">
        <v>2019</v>
      </c>
      <c r="D1438" s="267">
        <v>1</v>
      </c>
      <c r="E1438" s="267">
        <v>1</v>
      </c>
      <c r="F1438" s="267" t="s">
        <v>944</v>
      </c>
      <c r="G1438" s="267" t="s">
        <v>3926</v>
      </c>
      <c r="H1438" s="267" t="s">
        <v>5682</v>
      </c>
      <c r="I1438" s="267" t="s">
        <v>4037</v>
      </c>
      <c r="J1438" s="267" t="s">
        <v>3928</v>
      </c>
      <c r="K1438" s="267">
        <v>6811</v>
      </c>
      <c r="L1438" s="267">
        <v>211200</v>
      </c>
      <c r="M1438" s="267" t="s">
        <v>3960</v>
      </c>
      <c r="N1438" s="267" t="s">
        <v>5683</v>
      </c>
      <c r="O1438" s="267">
        <v>0</v>
      </c>
      <c r="P1438" s="267" t="s">
        <v>3930</v>
      </c>
      <c r="Q1438" s="267" t="s">
        <v>3930</v>
      </c>
      <c r="R1438" s="267">
        <v>0</v>
      </c>
      <c r="S1438" s="267">
        <v>6657.52</v>
      </c>
      <c r="T1438" s="267">
        <v>6657.52</v>
      </c>
      <c r="U1438" s="268" t="s">
        <v>3937</v>
      </c>
      <c r="V1438" s="267" t="s">
        <v>944</v>
      </c>
    </row>
    <row r="1439" spans="1:22" hidden="1" x14ac:dyDescent="0.25">
      <c r="A1439" s="269">
        <v>43550</v>
      </c>
      <c r="B1439" s="270">
        <v>2019</v>
      </c>
      <c r="C1439" s="270">
        <v>2019</v>
      </c>
      <c r="D1439" s="270">
        <v>1</v>
      </c>
      <c r="E1439" s="270">
        <v>1</v>
      </c>
      <c r="F1439" s="270" t="s">
        <v>944</v>
      </c>
      <c r="G1439" s="270" t="s">
        <v>3926</v>
      </c>
      <c r="H1439" s="270" t="s">
        <v>5684</v>
      </c>
      <c r="I1439" s="270" t="s">
        <v>5156</v>
      </c>
      <c r="J1439" s="270" t="s">
        <v>3928</v>
      </c>
      <c r="K1439" s="270">
        <v>6360</v>
      </c>
      <c r="L1439" s="270">
        <v>696400</v>
      </c>
      <c r="M1439" s="270">
        <v>-60</v>
      </c>
      <c r="N1439" s="270" t="s">
        <v>5685</v>
      </c>
      <c r="O1439" s="270">
        <v>0</v>
      </c>
      <c r="P1439" s="270" t="s">
        <v>3930</v>
      </c>
      <c r="Q1439" s="270" t="s">
        <v>3930</v>
      </c>
      <c r="R1439" s="270">
        <v>0</v>
      </c>
      <c r="S1439" s="270">
        <v>7380</v>
      </c>
      <c r="T1439" s="270">
        <v>7380</v>
      </c>
      <c r="U1439" s="271" t="s">
        <v>3937</v>
      </c>
      <c r="V1439" s="267" t="s">
        <v>944</v>
      </c>
    </row>
    <row r="1440" spans="1:22" hidden="1" x14ac:dyDescent="0.25">
      <c r="A1440" s="266">
        <v>43550</v>
      </c>
      <c r="B1440" s="267">
        <v>2019</v>
      </c>
      <c r="C1440" s="267">
        <v>2019</v>
      </c>
      <c r="D1440" s="267">
        <v>1</v>
      </c>
      <c r="E1440" s="267">
        <v>1</v>
      </c>
      <c r="F1440" s="267" t="s">
        <v>944</v>
      </c>
      <c r="G1440" s="267" t="s">
        <v>3926</v>
      </c>
      <c r="H1440" s="267" t="s">
        <v>5686</v>
      </c>
      <c r="I1440" s="267" t="s">
        <v>943</v>
      </c>
      <c r="J1440" s="267" t="s">
        <v>3928</v>
      </c>
      <c r="K1440" s="267">
        <v>6511</v>
      </c>
      <c r="L1440" s="267">
        <v>141900</v>
      </c>
      <c r="M1440" s="267" t="s">
        <v>3935</v>
      </c>
      <c r="N1440" s="267" t="s">
        <v>3944</v>
      </c>
      <c r="O1440" s="267">
        <v>944.48</v>
      </c>
      <c r="P1440" s="267" t="s">
        <v>3944</v>
      </c>
      <c r="Q1440" s="267" t="s">
        <v>3944</v>
      </c>
      <c r="R1440" s="267">
        <v>944.48</v>
      </c>
      <c r="S1440" s="267">
        <v>14771.32</v>
      </c>
      <c r="T1440" s="267">
        <v>15715.8</v>
      </c>
      <c r="U1440" s="268" t="s">
        <v>3945</v>
      </c>
      <c r="V1440" s="267" t="s">
        <v>944</v>
      </c>
    </row>
    <row r="1441" spans="1:22" hidden="1" x14ac:dyDescent="0.25">
      <c r="A1441" s="269">
        <v>43550</v>
      </c>
      <c r="B1441" s="270">
        <v>2019</v>
      </c>
      <c r="C1441" s="270">
        <v>2019</v>
      </c>
      <c r="D1441" s="270">
        <v>1</v>
      </c>
      <c r="E1441" s="270">
        <v>1</v>
      </c>
      <c r="F1441" s="270" t="s">
        <v>944</v>
      </c>
      <c r="G1441" s="270" t="s">
        <v>3926</v>
      </c>
      <c r="H1441" s="270" t="s">
        <v>5687</v>
      </c>
      <c r="I1441" s="270" t="s">
        <v>3956</v>
      </c>
      <c r="J1441" s="270" t="s">
        <v>3928</v>
      </c>
      <c r="K1441" s="270">
        <v>6106</v>
      </c>
      <c r="L1441" s="270">
        <v>504900</v>
      </c>
      <c r="M1441" s="270">
        <v>-60</v>
      </c>
      <c r="N1441" s="270" t="s">
        <v>3944</v>
      </c>
      <c r="O1441" s="270">
        <v>763.84</v>
      </c>
      <c r="P1441" s="270" t="s">
        <v>3944</v>
      </c>
      <c r="Q1441" s="270" t="s">
        <v>3944</v>
      </c>
      <c r="R1441" s="270">
        <v>763.84</v>
      </c>
      <c r="S1441" s="270">
        <v>11836.16</v>
      </c>
      <c r="T1441" s="270">
        <v>12600</v>
      </c>
      <c r="U1441" s="271" t="s">
        <v>3945</v>
      </c>
      <c r="V1441" s="267" t="s">
        <v>944</v>
      </c>
    </row>
    <row r="1442" spans="1:22" hidden="1" x14ac:dyDescent="0.25">
      <c r="A1442" s="266">
        <v>43550</v>
      </c>
      <c r="B1442" s="267">
        <v>2019</v>
      </c>
      <c r="C1442" s="267">
        <v>2019</v>
      </c>
      <c r="D1442" s="267">
        <v>1</v>
      </c>
      <c r="E1442" s="267">
        <v>1</v>
      </c>
      <c r="F1442" s="267" t="s">
        <v>944</v>
      </c>
      <c r="G1442" s="267" t="s">
        <v>3926</v>
      </c>
      <c r="H1442" s="267" t="s">
        <v>5688</v>
      </c>
      <c r="I1442" s="267" t="s">
        <v>4691</v>
      </c>
      <c r="J1442" s="267" t="s">
        <v>3928</v>
      </c>
      <c r="K1442" s="267">
        <v>6242</v>
      </c>
      <c r="L1442" s="267">
        <v>902200</v>
      </c>
      <c r="M1442" s="267" t="s">
        <v>3960</v>
      </c>
      <c r="N1442" s="267" t="s">
        <v>3944</v>
      </c>
      <c r="O1442" s="267">
        <v>1378.55</v>
      </c>
      <c r="P1442" s="267" t="s">
        <v>3944</v>
      </c>
      <c r="Q1442" s="267" t="s">
        <v>3944</v>
      </c>
      <c r="R1442" s="267">
        <v>1378.55</v>
      </c>
      <c r="S1442" s="267">
        <v>18133.54</v>
      </c>
      <c r="T1442" s="267">
        <v>19512.09</v>
      </c>
      <c r="U1442" s="268" t="s">
        <v>3945</v>
      </c>
      <c r="V1442" s="267" t="s">
        <v>944</v>
      </c>
    </row>
    <row r="1443" spans="1:22" hidden="1" x14ac:dyDescent="0.25">
      <c r="A1443" s="269">
        <v>43550</v>
      </c>
      <c r="B1443" s="270">
        <v>2019</v>
      </c>
      <c r="C1443" s="270">
        <v>2019</v>
      </c>
      <c r="D1443" s="270">
        <v>1</v>
      </c>
      <c r="E1443" s="270">
        <v>1</v>
      </c>
      <c r="F1443" s="270" t="s">
        <v>944</v>
      </c>
      <c r="G1443" s="270" t="s">
        <v>3926</v>
      </c>
      <c r="H1443" s="270" t="s">
        <v>5689</v>
      </c>
      <c r="I1443" s="270" t="s">
        <v>4213</v>
      </c>
      <c r="J1443" s="270" t="s">
        <v>3928</v>
      </c>
      <c r="K1443" s="270">
        <v>6051</v>
      </c>
      <c r="L1443" s="270">
        <v>415400</v>
      </c>
      <c r="M1443" s="270">
        <v>-60</v>
      </c>
      <c r="N1443" s="270" t="s">
        <v>3944</v>
      </c>
      <c r="O1443" s="270">
        <v>1473.33</v>
      </c>
      <c r="P1443" s="270" t="s">
        <v>3944</v>
      </c>
      <c r="Q1443" s="270" t="s">
        <v>3944</v>
      </c>
      <c r="R1443" s="270">
        <v>1473.33</v>
      </c>
      <c r="S1443" s="270">
        <v>19558.63</v>
      </c>
      <c r="T1443" s="270">
        <v>21031.96</v>
      </c>
      <c r="U1443" s="271" t="s">
        <v>3945</v>
      </c>
      <c r="V1443" s="267" t="s">
        <v>944</v>
      </c>
    </row>
    <row r="1444" spans="1:22" hidden="1" x14ac:dyDescent="0.25">
      <c r="A1444" s="266">
        <v>43550</v>
      </c>
      <c r="B1444" s="267">
        <v>2019</v>
      </c>
      <c r="C1444" s="267">
        <v>2019</v>
      </c>
      <c r="D1444" s="267">
        <v>1</v>
      </c>
      <c r="E1444" s="267">
        <v>1</v>
      </c>
      <c r="F1444" s="267" t="s">
        <v>944</v>
      </c>
      <c r="G1444" s="267" t="s">
        <v>3926</v>
      </c>
      <c r="H1444" s="267" t="s">
        <v>5690</v>
      </c>
      <c r="I1444" s="267" t="s">
        <v>3025</v>
      </c>
      <c r="J1444" s="267" t="s">
        <v>3928</v>
      </c>
      <c r="K1444" s="267">
        <v>6473</v>
      </c>
      <c r="L1444" s="267">
        <v>167100</v>
      </c>
      <c r="M1444" s="267" t="s">
        <v>3943</v>
      </c>
      <c r="N1444" s="267" t="s">
        <v>3944</v>
      </c>
      <c r="O1444" s="267">
        <v>3620.93</v>
      </c>
      <c r="P1444" s="267" t="s">
        <v>3944</v>
      </c>
      <c r="Q1444" s="267" t="s">
        <v>3944</v>
      </c>
      <c r="R1444" s="267">
        <v>3620.93</v>
      </c>
      <c r="S1444" s="267">
        <v>54707.199999999997</v>
      </c>
      <c r="T1444" s="267">
        <v>58328.13</v>
      </c>
      <c r="U1444" s="268" t="s">
        <v>3945</v>
      </c>
      <c r="V1444" s="267" t="s">
        <v>944</v>
      </c>
    </row>
    <row r="1445" spans="1:22" hidden="1" x14ac:dyDescent="0.25">
      <c r="A1445" s="269">
        <v>43550</v>
      </c>
      <c r="B1445" s="270">
        <v>2019</v>
      </c>
      <c r="C1445" s="270">
        <v>2019</v>
      </c>
      <c r="D1445" s="270">
        <v>1</v>
      </c>
      <c r="E1445" s="270">
        <v>1</v>
      </c>
      <c r="F1445" s="270" t="s">
        <v>944</v>
      </c>
      <c r="G1445" s="270" t="s">
        <v>3926</v>
      </c>
      <c r="H1445" s="270" t="s">
        <v>5691</v>
      </c>
      <c r="I1445" s="270" t="s">
        <v>3999</v>
      </c>
      <c r="J1445" s="270" t="s">
        <v>3928</v>
      </c>
      <c r="K1445" s="270">
        <v>6451</v>
      </c>
      <c r="L1445" s="270">
        <v>170300</v>
      </c>
      <c r="M1445" s="270">
        <v>-60</v>
      </c>
      <c r="N1445" s="270" t="s">
        <v>3944</v>
      </c>
      <c r="O1445" s="270">
        <v>1242.92</v>
      </c>
      <c r="P1445" s="270" t="s">
        <v>3944</v>
      </c>
      <c r="Q1445" s="270" t="s">
        <v>3944</v>
      </c>
      <c r="R1445" s="270">
        <v>1242.92</v>
      </c>
      <c r="S1445" s="270">
        <v>16405.93</v>
      </c>
      <c r="T1445" s="270">
        <v>17648.849999999999</v>
      </c>
      <c r="U1445" s="271" t="s">
        <v>3945</v>
      </c>
      <c r="V1445" s="267" t="s">
        <v>944</v>
      </c>
    </row>
    <row r="1446" spans="1:22" hidden="1" x14ac:dyDescent="0.25">
      <c r="A1446" s="266">
        <v>43550</v>
      </c>
      <c r="B1446" s="267">
        <v>2019</v>
      </c>
      <c r="C1446" s="267">
        <v>2019</v>
      </c>
      <c r="D1446" s="267">
        <v>1</v>
      </c>
      <c r="E1446" s="267">
        <v>1</v>
      </c>
      <c r="F1446" s="267" t="s">
        <v>944</v>
      </c>
      <c r="G1446" s="267" t="s">
        <v>3926</v>
      </c>
      <c r="H1446" s="267" t="s">
        <v>5692</v>
      </c>
      <c r="I1446" s="267" t="s">
        <v>934</v>
      </c>
      <c r="J1446" s="267" t="s">
        <v>3928</v>
      </c>
      <c r="K1446" s="267">
        <v>6606</v>
      </c>
      <c r="L1446" s="267">
        <v>72400</v>
      </c>
      <c r="M1446" s="267" t="s">
        <v>3940</v>
      </c>
      <c r="N1446" s="267" t="s">
        <v>3944</v>
      </c>
      <c r="O1446" s="267">
        <v>2603.65</v>
      </c>
      <c r="P1446" s="267" t="s">
        <v>3944</v>
      </c>
      <c r="Q1446" s="267" t="s">
        <v>3944</v>
      </c>
      <c r="R1446" s="267">
        <v>2603.65</v>
      </c>
      <c r="S1446" s="267">
        <v>39752.14</v>
      </c>
      <c r="T1446" s="267">
        <v>42355.79</v>
      </c>
      <c r="U1446" s="268" t="s">
        <v>3945</v>
      </c>
      <c r="V1446" s="267" t="s">
        <v>944</v>
      </c>
    </row>
    <row r="1447" spans="1:22" hidden="1" x14ac:dyDescent="0.25">
      <c r="A1447" s="269">
        <v>43550</v>
      </c>
      <c r="B1447" s="270">
        <v>2019</v>
      </c>
      <c r="C1447" s="270">
        <v>2019</v>
      </c>
      <c r="D1447" s="270">
        <v>1</v>
      </c>
      <c r="E1447" s="270">
        <v>1</v>
      </c>
      <c r="F1447" s="270" t="s">
        <v>944</v>
      </c>
      <c r="G1447" s="270" t="s">
        <v>3926</v>
      </c>
      <c r="H1447" s="270" t="s">
        <v>5693</v>
      </c>
      <c r="I1447" s="270" t="s">
        <v>4306</v>
      </c>
      <c r="J1447" s="270" t="s">
        <v>3928</v>
      </c>
      <c r="K1447" s="270">
        <v>6716</v>
      </c>
      <c r="L1447" s="270">
        <v>361200</v>
      </c>
      <c r="M1447" s="270" t="s">
        <v>3960</v>
      </c>
      <c r="N1447" s="270" t="s">
        <v>3944</v>
      </c>
      <c r="O1447" s="270">
        <v>1188.99</v>
      </c>
      <c r="P1447" s="270" t="s">
        <v>3944</v>
      </c>
      <c r="Q1447" s="270" t="s">
        <v>3944</v>
      </c>
      <c r="R1447" s="270">
        <v>1188.99</v>
      </c>
      <c r="S1447" s="270">
        <v>15219.2</v>
      </c>
      <c r="T1447" s="270">
        <v>16408.189999999999</v>
      </c>
      <c r="U1447" s="271" t="s">
        <v>3945</v>
      </c>
      <c r="V1447" s="267" t="s">
        <v>944</v>
      </c>
    </row>
    <row r="1448" spans="1:22" hidden="1" x14ac:dyDescent="0.25">
      <c r="A1448" s="266">
        <v>43550</v>
      </c>
      <c r="B1448" s="267">
        <v>2019</v>
      </c>
      <c r="C1448" s="267">
        <v>2019</v>
      </c>
      <c r="D1448" s="267">
        <v>1</v>
      </c>
      <c r="E1448" s="267">
        <v>1</v>
      </c>
      <c r="F1448" s="267" t="s">
        <v>944</v>
      </c>
      <c r="G1448" s="267" t="s">
        <v>3926</v>
      </c>
      <c r="H1448" s="267" t="s">
        <v>5694</v>
      </c>
      <c r="I1448" s="267" t="s">
        <v>4392</v>
      </c>
      <c r="J1448" s="267" t="s">
        <v>3928</v>
      </c>
      <c r="K1448" s="267">
        <v>6457</v>
      </c>
      <c r="L1448" s="267">
        <v>680200</v>
      </c>
      <c r="M1448" s="267" t="s">
        <v>3935</v>
      </c>
      <c r="N1448" s="267" t="s">
        <v>3944</v>
      </c>
      <c r="O1448" s="267">
        <v>2490.0100000000002</v>
      </c>
      <c r="P1448" s="267" t="s">
        <v>3944</v>
      </c>
      <c r="Q1448" s="267" t="s">
        <v>3944</v>
      </c>
      <c r="R1448" s="267">
        <v>2490.0100000000002</v>
      </c>
      <c r="S1448" s="267">
        <v>34039.29</v>
      </c>
      <c r="T1448" s="267">
        <v>36529.300000000003</v>
      </c>
      <c r="U1448" s="268" t="s">
        <v>3945</v>
      </c>
      <c r="V1448" s="267" t="s">
        <v>944</v>
      </c>
    </row>
    <row r="1449" spans="1:22" hidden="1" x14ac:dyDescent="0.25">
      <c r="A1449" s="269">
        <v>43550</v>
      </c>
      <c r="B1449" s="270">
        <v>2019</v>
      </c>
      <c r="C1449" s="270">
        <v>2019</v>
      </c>
      <c r="D1449" s="270">
        <v>1</v>
      </c>
      <c r="E1449" s="270">
        <v>1</v>
      </c>
      <c r="F1449" s="270" t="s">
        <v>944</v>
      </c>
      <c r="G1449" s="270" t="s">
        <v>3926</v>
      </c>
      <c r="H1449" s="270" t="s">
        <v>5695</v>
      </c>
      <c r="I1449" s="270" t="s">
        <v>4005</v>
      </c>
      <c r="J1449" s="270" t="s">
        <v>3928</v>
      </c>
      <c r="K1449" s="270">
        <v>6108</v>
      </c>
      <c r="L1449" s="270">
        <v>510300</v>
      </c>
      <c r="M1449" s="270" t="s">
        <v>3940</v>
      </c>
      <c r="N1449" s="270" t="s">
        <v>3944</v>
      </c>
      <c r="O1449" s="270">
        <v>1069.74</v>
      </c>
      <c r="P1449" s="270" t="s">
        <v>3944</v>
      </c>
      <c r="Q1449" s="270" t="s">
        <v>3944</v>
      </c>
      <c r="R1449" s="270">
        <v>1069.74</v>
      </c>
      <c r="S1449" s="270">
        <v>14307.46</v>
      </c>
      <c r="T1449" s="270">
        <v>15377.2</v>
      </c>
      <c r="U1449" s="271" t="s">
        <v>3945</v>
      </c>
      <c r="V1449" s="267" t="s">
        <v>944</v>
      </c>
    </row>
    <row r="1450" spans="1:22" hidden="1" x14ac:dyDescent="0.25">
      <c r="A1450" s="266">
        <v>43550</v>
      </c>
      <c r="B1450" s="267">
        <v>2019</v>
      </c>
      <c r="C1450" s="267">
        <v>2019</v>
      </c>
      <c r="D1450" s="267">
        <v>1</v>
      </c>
      <c r="E1450" s="267">
        <v>1</v>
      </c>
      <c r="F1450" s="267" t="s">
        <v>944</v>
      </c>
      <c r="G1450" s="267" t="s">
        <v>3926</v>
      </c>
      <c r="H1450" s="267" t="s">
        <v>5696</v>
      </c>
      <c r="I1450" s="267" t="s">
        <v>3954</v>
      </c>
      <c r="J1450" s="267" t="s">
        <v>3928</v>
      </c>
      <c r="K1450" s="267">
        <v>6333</v>
      </c>
      <c r="L1450" s="267">
        <v>716102</v>
      </c>
      <c r="M1450" s="267" t="s">
        <v>3943</v>
      </c>
      <c r="N1450" s="267" t="s">
        <v>3944</v>
      </c>
      <c r="O1450" s="267">
        <v>2507.61</v>
      </c>
      <c r="P1450" s="267" t="s">
        <v>3944</v>
      </c>
      <c r="Q1450" s="267" t="s">
        <v>3944</v>
      </c>
      <c r="R1450" s="267">
        <v>2507.61</v>
      </c>
      <c r="S1450" s="267">
        <v>36048.39</v>
      </c>
      <c r="T1450" s="267">
        <v>38556</v>
      </c>
      <c r="U1450" s="268" t="s">
        <v>3945</v>
      </c>
      <c r="V1450" s="267" t="s">
        <v>944</v>
      </c>
    </row>
    <row r="1451" spans="1:22" hidden="1" x14ac:dyDescent="0.25">
      <c r="A1451" s="269">
        <v>43550</v>
      </c>
      <c r="B1451" s="270">
        <v>2019</v>
      </c>
      <c r="C1451" s="270">
        <v>2019</v>
      </c>
      <c r="D1451" s="270">
        <v>1</v>
      </c>
      <c r="E1451" s="270">
        <v>1</v>
      </c>
      <c r="F1451" s="270" t="s">
        <v>944</v>
      </c>
      <c r="G1451" s="270" t="s">
        <v>3926</v>
      </c>
      <c r="H1451" s="270" t="s">
        <v>5697</v>
      </c>
      <c r="I1451" s="270" t="s">
        <v>4040</v>
      </c>
      <c r="J1451" s="270" t="s">
        <v>3928</v>
      </c>
      <c r="K1451" s="270">
        <v>6339</v>
      </c>
      <c r="L1451" s="270">
        <v>701100</v>
      </c>
      <c r="M1451" s="270" t="s">
        <v>3960</v>
      </c>
      <c r="N1451" s="270" t="s">
        <v>3944</v>
      </c>
      <c r="O1451" s="270">
        <v>1128.02</v>
      </c>
      <c r="P1451" s="270" t="s">
        <v>3944</v>
      </c>
      <c r="Q1451" s="270" t="s">
        <v>3944</v>
      </c>
      <c r="R1451" s="270">
        <v>1128.02</v>
      </c>
      <c r="S1451" s="270">
        <v>15827.74</v>
      </c>
      <c r="T1451" s="270">
        <v>16955.759999999998</v>
      </c>
      <c r="U1451" s="271" t="s">
        <v>3945</v>
      </c>
      <c r="V1451" s="267" t="s">
        <v>944</v>
      </c>
    </row>
    <row r="1452" spans="1:22" hidden="1" x14ac:dyDescent="0.25">
      <c r="A1452" s="266">
        <v>43550</v>
      </c>
      <c r="B1452" s="267">
        <v>2019</v>
      </c>
      <c r="C1452" s="267">
        <v>2019</v>
      </c>
      <c r="D1452" s="267">
        <v>1</v>
      </c>
      <c r="E1452" s="267">
        <v>1</v>
      </c>
      <c r="F1452" s="267" t="s">
        <v>944</v>
      </c>
      <c r="G1452" s="267" t="s">
        <v>3926</v>
      </c>
      <c r="H1452" s="267" t="s">
        <v>5698</v>
      </c>
      <c r="I1452" s="267" t="s">
        <v>4126</v>
      </c>
      <c r="J1452" s="267" t="s">
        <v>3928</v>
      </c>
      <c r="K1452" s="267">
        <v>6880</v>
      </c>
      <c r="L1452" s="267">
        <v>50300</v>
      </c>
      <c r="M1452" s="267" t="s">
        <v>3943</v>
      </c>
      <c r="N1452" s="267" t="s">
        <v>3944</v>
      </c>
      <c r="O1452" s="267">
        <v>4003.37</v>
      </c>
      <c r="P1452" s="267" t="s">
        <v>3944</v>
      </c>
      <c r="Q1452" s="267" t="s">
        <v>3944</v>
      </c>
      <c r="R1452" s="267">
        <v>4003.37</v>
      </c>
      <c r="S1452" s="267">
        <v>63147.4</v>
      </c>
      <c r="T1452" s="267">
        <v>67150.77</v>
      </c>
      <c r="U1452" s="268" t="s">
        <v>3945</v>
      </c>
      <c r="V1452" s="267" t="s">
        <v>944</v>
      </c>
    </row>
    <row r="1453" spans="1:22" hidden="1" x14ac:dyDescent="0.25">
      <c r="A1453" s="269">
        <v>43550</v>
      </c>
      <c r="B1453" s="270">
        <v>2019</v>
      </c>
      <c r="C1453" s="270">
        <v>2019</v>
      </c>
      <c r="D1453" s="270">
        <v>1</v>
      </c>
      <c r="E1453" s="270">
        <v>1</v>
      </c>
      <c r="F1453" s="270" t="s">
        <v>944</v>
      </c>
      <c r="G1453" s="270" t="s">
        <v>3926</v>
      </c>
      <c r="H1453" s="270" t="s">
        <v>5699</v>
      </c>
      <c r="I1453" s="270" t="s">
        <v>4069</v>
      </c>
      <c r="J1453" s="270" t="s">
        <v>3928</v>
      </c>
      <c r="K1453" s="270">
        <v>6906</v>
      </c>
      <c r="L1453" s="270">
        <v>21801</v>
      </c>
      <c r="M1453" s="270" t="s">
        <v>3960</v>
      </c>
      <c r="N1453" s="270" t="s">
        <v>3944</v>
      </c>
      <c r="O1453" s="270">
        <v>2120.62</v>
      </c>
      <c r="P1453" s="270" t="s">
        <v>3944</v>
      </c>
      <c r="Q1453" s="270" t="s">
        <v>3944</v>
      </c>
      <c r="R1453" s="270">
        <v>2120.62</v>
      </c>
      <c r="S1453" s="270">
        <v>32598.68</v>
      </c>
      <c r="T1453" s="270">
        <v>34719.300000000003</v>
      </c>
      <c r="U1453" s="271" t="s">
        <v>3945</v>
      </c>
      <c r="V1453" s="267" t="s">
        <v>944</v>
      </c>
    </row>
    <row r="1454" spans="1:22" hidden="1" x14ac:dyDescent="0.25">
      <c r="A1454" s="266">
        <v>43550</v>
      </c>
      <c r="B1454" s="267">
        <v>2019</v>
      </c>
      <c r="C1454" s="267">
        <v>2019</v>
      </c>
      <c r="D1454" s="267">
        <v>1</v>
      </c>
      <c r="E1454" s="267">
        <v>1</v>
      </c>
      <c r="F1454" s="267" t="s">
        <v>944</v>
      </c>
      <c r="G1454" s="267" t="s">
        <v>3926</v>
      </c>
      <c r="H1454" s="267" t="s">
        <v>5700</v>
      </c>
      <c r="I1454" s="267" t="s">
        <v>943</v>
      </c>
      <c r="J1454" s="267" t="s">
        <v>3928</v>
      </c>
      <c r="K1454" s="267">
        <v>6513</v>
      </c>
      <c r="L1454" s="267">
        <v>142700</v>
      </c>
      <c r="M1454" s="267">
        <v>-60</v>
      </c>
      <c r="N1454" s="267" t="s">
        <v>3944</v>
      </c>
      <c r="O1454" s="267">
        <v>3413.73</v>
      </c>
      <c r="P1454" s="267" t="s">
        <v>3944</v>
      </c>
      <c r="Q1454" s="267" t="s">
        <v>3944</v>
      </c>
      <c r="R1454" s="267">
        <v>3413.73</v>
      </c>
      <c r="S1454" s="267">
        <v>46960.97</v>
      </c>
      <c r="T1454" s="267">
        <v>50374.7</v>
      </c>
      <c r="U1454" s="268" t="s">
        <v>3945</v>
      </c>
      <c r="V1454" s="267" t="s">
        <v>944</v>
      </c>
    </row>
    <row r="1455" spans="1:22" hidden="1" x14ac:dyDescent="0.25">
      <c r="A1455" s="269">
        <v>43550</v>
      </c>
      <c r="B1455" s="270">
        <v>2019</v>
      </c>
      <c r="C1455" s="270">
        <v>2019</v>
      </c>
      <c r="D1455" s="270">
        <v>1</v>
      </c>
      <c r="E1455" s="270">
        <v>1</v>
      </c>
      <c r="F1455" s="270" t="s">
        <v>944</v>
      </c>
      <c r="G1455" s="270" t="s">
        <v>3926</v>
      </c>
      <c r="H1455" s="270" t="s">
        <v>5701</v>
      </c>
      <c r="I1455" s="270" t="s">
        <v>4005</v>
      </c>
      <c r="J1455" s="270" t="s">
        <v>3928</v>
      </c>
      <c r="K1455" s="270">
        <v>6118</v>
      </c>
      <c r="L1455" s="270">
        <v>511100</v>
      </c>
      <c r="M1455" s="270" t="s">
        <v>3960</v>
      </c>
      <c r="N1455" s="270" t="s">
        <v>3944</v>
      </c>
      <c r="O1455" s="270">
        <v>1569.58</v>
      </c>
      <c r="P1455" s="270" t="s">
        <v>3944</v>
      </c>
      <c r="Q1455" s="270" t="s">
        <v>3944</v>
      </c>
      <c r="R1455" s="270">
        <v>1569.58</v>
      </c>
      <c r="S1455" s="270">
        <v>21278.45</v>
      </c>
      <c r="T1455" s="270">
        <v>22848.03</v>
      </c>
      <c r="U1455" s="271" t="s">
        <v>3945</v>
      </c>
      <c r="V1455" s="267" t="s">
        <v>944</v>
      </c>
    </row>
    <row r="1456" spans="1:22" hidden="1" x14ac:dyDescent="0.25">
      <c r="A1456" s="266">
        <v>43550</v>
      </c>
      <c r="B1456" s="267">
        <v>2019</v>
      </c>
      <c r="C1456" s="267">
        <v>2019</v>
      </c>
      <c r="D1456" s="267">
        <v>1</v>
      </c>
      <c r="E1456" s="267">
        <v>1</v>
      </c>
      <c r="F1456" s="267" t="s">
        <v>944</v>
      </c>
      <c r="G1456" s="267" t="s">
        <v>3926</v>
      </c>
      <c r="H1456" s="267" t="s">
        <v>5702</v>
      </c>
      <c r="I1456" s="267" t="s">
        <v>3975</v>
      </c>
      <c r="J1456" s="267" t="s">
        <v>3928</v>
      </c>
      <c r="K1456" s="267">
        <v>6489</v>
      </c>
      <c r="L1456" s="267">
        <v>430100</v>
      </c>
      <c r="M1456" s="267" t="s">
        <v>3935</v>
      </c>
      <c r="N1456" s="267" t="s">
        <v>3944</v>
      </c>
      <c r="O1456" s="267">
        <v>1765.79</v>
      </c>
      <c r="P1456" s="267" t="s">
        <v>3944</v>
      </c>
      <c r="Q1456" s="267" t="s">
        <v>3944</v>
      </c>
      <c r="R1456" s="267">
        <v>1765.79</v>
      </c>
      <c r="S1456" s="267">
        <v>24870.77</v>
      </c>
      <c r="T1456" s="267">
        <v>26636.560000000001</v>
      </c>
      <c r="U1456" s="268" t="s">
        <v>3945</v>
      </c>
      <c r="V1456" s="267" t="s">
        <v>944</v>
      </c>
    </row>
    <row r="1457" spans="1:22" hidden="1" x14ac:dyDescent="0.25">
      <c r="A1457" s="269">
        <v>43550</v>
      </c>
      <c r="B1457" s="270">
        <v>2019</v>
      </c>
      <c r="C1457" s="270">
        <v>2019</v>
      </c>
      <c r="D1457" s="270">
        <v>1</v>
      </c>
      <c r="E1457" s="270">
        <v>1</v>
      </c>
      <c r="F1457" s="270" t="s">
        <v>944</v>
      </c>
      <c r="G1457" s="270" t="s">
        <v>3926</v>
      </c>
      <c r="H1457" s="270" t="s">
        <v>5703</v>
      </c>
      <c r="I1457" s="270" t="s">
        <v>4008</v>
      </c>
      <c r="J1457" s="270" t="s">
        <v>3928</v>
      </c>
      <c r="K1457" s="270">
        <v>6320</v>
      </c>
      <c r="L1457" s="270">
        <v>870300</v>
      </c>
      <c r="M1457" s="270">
        <v>-60</v>
      </c>
      <c r="N1457" s="270" t="s">
        <v>3944</v>
      </c>
      <c r="O1457" s="270">
        <v>2002.42</v>
      </c>
      <c r="P1457" s="270" t="s">
        <v>3944</v>
      </c>
      <c r="Q1457" s="270" t="s">
        <v>3944</v>
      </c>
      <c r="R1457" s="270">
        <v>2002.42</v>
      </c>
      <c r="S1457" s="270">
        <v>30167.52</v>
      </c>
      <c r="T1457" s="270">
        <v>32169.94</v>
      </c>
      <c r="U1457" s="271" t="s">
        <v>3945</v>
      </c>
      <c r="V1457" s="267" t="s">
        <v>944</v>
      </c>
    </row>
    <row r="1458" spans="1:22" hidden="1" x14ac:dyDescent="0.25">
      <c r="A1458" s="266">
        <v>43550</v>
      </c>
      <c r="B1458" s="267">
        <v>2019</v>
      </c>
      <c r="C1458" s="267">
        <v>2019</v>
      </c>
      <c r="D1458" s="267">
        <v>1</v>
      </c>
      <c r="E1458" s="267">
        <v>1</v>
      </c>
      <c r="F1458" s="267" t="s">
        <v>944</v>
      </c>
      <c r="G1458" s="267" t="s">
        <v>3926</v>
      </c>
      <c r="H1458" s="267" t="s">
        <v>5704</v>
      </c>
      <c r="I1458" s="267" t="s">
        <v>4079</v>
      </c>
      <c r="J1458" s="267" t="s">
        <v>3928</v>
      </c>
      <c r="K1458" s="267">
        <v>6111</v>
      </c>
      <c r="L1458" s="267">
        <v>494100</v>
      </c>
      <c r="M1458" s="267" t="s">
        <v>3935</v>
      </c>
      <c r="N1458" s="267" t="s">
        <v>3944</v>
      </c>
      <c r="O1458" s="267">
        <v>1449.91</v>
      </c>
      <c r="P1458" s="267" t="s">
        <v>3944</v>
      </c>
      <c r="Q1458" s="267" t="s">
        <v>3944</v>
      </c>
      <c r="R1458" s="267">
        <v>1449.91</v>
      </c>
      <c r="S1458" s="267">
        <v>19290.080000000002</v>
      </c>
      <c r="T1458" s="267">
        <v>20739.990000000002</v>
      </c>
      <c r="U1458" s="268" t="s">
        <v>3945</v>
      </c>
      <c r="V1458" s="267" t="s">
        <v>944</v>
      </c>
    </row>
    <row r="1459" spans="1:22" hidden="1" x14ac:dyDescent="0.25">
      <c r="A1459" s="269">
        <v>43550</v>
      </c>
      <c r="B1459" s="270">
        <v>2019</v>
      </c>
      <c r="C1459" s="270">
        <v>2019</v>
      </c>
      <c r="D1459" s="270">
        <v>1</v>
      </c>
      <c r="E1459" s="270">
        <v>1</v>
      </c>
      <c r="F1459" s="270" t="s">
        <v>944</v>
      </c>
      <c r="G1459" s="270" t="s">
        <v>3926</v>
      </c>
      <c r="H1459" s="270" t="s">
        <v>5705</v>
      </c>
      <c r="I1459" s="270" t="s">
        <v>3026</v>
      </c>
      <c r="J1459" s="270" t="s">
        <v>3928</v>
      </c>
      <c r="K1459" s="270">
        <v>6472</v>
      </c>
      <c r="L1459" s="270">
        <v>186200</v>
      </c>
      <c r="M1459" s="270" t="s">
        <v>3960</v>
      </c>
      <c r="N1459" s="270" t="s">
        <v>3944</v>
      </c>
      <c r="O1459" s="270">
        <v>2452.4499999999998</v>
      </c>
      <c r="P1459" s="270" t="s">
        <v>3944</v>
      </c>
      <c r="Q1459" s="270" t="s">
        <v>3944</v>
      </c>
      <c r="R1459" s="270">
        <v>2452.4499999999998</v>
      </c>
      <c r="S1459" s="270">
        <v>36708.35</v>
      </c>
      <c r="T1459" s="270">
        <v>39160.800000000003</v>
      </c>
      <c r="U1459" s="271" t="s">
        <v>3945</v>
      </c>
      <c r="V1459" s="267" t="s">
        <v>944</v>
      </c>
    </row>
    <row r="1460" spans="1:22" hidden="1" x14ac:dyDescent="0.25">
      <c r="A1460" s="266">
        <v>43550</v>
      </c>
      <c r="B1460" s="267">
        <v>2019</v>
      </c>
      <c r="C1460" s="267">
        <v>2019</v>
      </c>
      <c r="D1460" s="267">
        <v>1</v>
      </c>
      <c r="E1460" s="267">
        <v>1</v>
      </c>
      <c r="F1460" s="267" t="s">
        <v>944</v>
      </c>
      <c r="G1460" s="267" t="s">
        <v>3926</v>
      </c>
      <c r="H1460" s="267" t="s">
        <v>5706</v>
      </c>
      <c r="I1460" s="267" t="s">
        <v>953</v>
      </c>
      <c r="J1460" s="267" t="s">
        <v>3928</v>
      </c>
      <c r="K1460" s="267">
        <v>6443</v>
      </c>
      <c r="L1460" s="267">
        <v>194202</v>
      </c>
      <c r="M1460" s="267" t="s">
        <v>3943</v>
      </c>
      <c r="N1460" s="267" t="s">
        <v>3944</v>
      </c>
      <c r="O1460" s="267">
        <v>3402.74</v>
      </c>
      <c r="P1460" s="267" t="s">
        <v>3944</v>
      </c>
      <c r="Q1460" s="267" t="s">
        <v>3944</v>
      </c>
      <c r="R1460" s="267">
        <v>3402.74</v>
      </c>
      <c r="S1460" s="267">
        <v>54184.98</v>
      </c>
      <c r="T1460" s="267">
        <v>57587.72</v>
      </c>
      <c r="U1460" s="268" t="s">
        <v>3945</v>
      </c>
      <c r="V1460" s="267" t="s">
        <v>944</v>
      </c>
    </row>
    <row r="1461" spans="1:22" hidden="1" x14ac:dyDescent="0.25">
      <c r="A1461" s="269">
        <v>43550</v>
      </c>
      <c r="B1461" s="270">
        <v>2019</v>
      </c>
      <c r="C1461" s="270">
        <v>2019</v>
      </c>
      <c r="D1461" s="270">
        <v>1</v>
      </c>
      <c r="E1461" s="270">
        <v>1</v>
      </c>
      <c r="F1461" s="270" t="s">
        <v>944</v>
      </c>
      <c r="G1461" s="270" t="s">
        <v>3926</v>
      </c>
      <c r="H1461" s="270" t="s">
        <v>5707</v>
      </c>
      <c r="I1461" s="270" t="s">
        <v>4556</v>
      </c>
      <c r="J1461" s="270" t="s">
        <v>3928</v>
      </c>
      <c r="K1461" s="270">
        <v>6029</v>
      </c>
      <c r="L1461" s="270">
        <v>535200</v>
      </c>
      <c r="M1461" s="270" t="s">
        <v>3960</v>
      </c>
      <c r="N1461" s="270" t="s">
        <v>3944</v>
      </c>
      <c r="O1461" s="270">
        <v>1806</v>
      </c>
      <c r="P1461" s="270" t="s">
        <v>3944</v>
      </c>
      <c r="Q1461" s="270" t="s">
        <v>3944</v>
      </c>
      <c r="R1461" s="270">
        <v>1806</v>
      </c>
      <c r="S1461" s="270">
        <v>25114.04</v>
      </c>
      <c r="T1461" s="270">
        <v>26920.04</v>
      </c>
      <c r="U1461" s="271" t="s">
        <v>3945</v>
      </c>
      <c r="V1461" s="267" t="s">
        <v>944</v>
      </c>
    </row>
    <row r="1462" spans="1:22" hidden="1" x14ac:dyDescent="0.25">
      <c r="A1462" s="266">
        <v>43550</v>
      </c>
      <c r="B1462" s="267">
        <v>2019</v>
      </c>
      <c r="C1462" s="267">
        <v>2019</v>
      </c>
      <c r="D1462" s="267">
        <v>1</v>
      </c>
      <c r="E1462" s="267">
        <v>1</v>
      </c>
      <c r="F1462" s="267" t="s">
        <v>944</v>
      </c>
      <c r="G1462" s="267" t="s">
        <v>3926</v>
      </c>
      <c r="H1462" s="267" t="s">
        <v>5708</v>
      </c>
      <c r="I1462" s="267" t="s">
        <v>4301</v>
      </c>
      <c r="J1462" s="267" t="s">
        <v>3928</v>
      </c>
      <c r="K1462" s="267">
        <v>6359</v>
      </c>
      <c r="L1462" s="267">
        <v>707100</v>
      </c>
      <c r="M1462" s="267" t="s">
        <v>3935</v>
      </c>
      <c r="N1462" s="267" t="s">
        <v>3944</v>
      </c>
      <c r="O1462" s="267">
        <v>2130.38</v>
      </c>
      <c r="P1462" s="267" t="s">
        <v>3944</v>
      </c>
      <c r="Q1462" s="267" t="s">
        <v>3944</v>
      </c>
      <c r="R1462" s="267">
        <v>2130.38</v>
      </c>
      <c r="S1462" s="267">
        <v>34502.269999999997</v>
      </c>
      <c r="T1462" s="267">
        <v>36632.65</v>
      </c>
      <c r="U1462" s="268" t="s">
        <v>3945</v>
      </c>
      <c r="V1462" s="267" t="s">
        <v>944</v>
      </c>
    </row>
    <row r="1463" spans="1:22" hidden="1" x14ac:dyDescent="0.25">
      <c r="A1463" s="269">
        <v>43550</v>
      </c>
      <c r="B1463" s="270">
        <v>2019</v>
      </c>
      <c r="C1463" s="270">
        <v>2019</v>
      </c>
      <c r="D1463" s="270">
        <v>1</v>
      </c>
      <c r="E1463" s="270">
        <v>1</v>
      </c>
      <c r="F1463" s="270" t="s">
        <v>944</v>
      </c>
      <c r="G1463" s="270" t="s">
        <v>3926</v>
      </c>
      <c r="H1463" s="270" t="s">
        <v>5709</v>
      </c>
      <c r="I1463" s="270" t="s">
        <v>4424</v>
      </c>
      <c r="J1463" s="270" t="s">
        <v>3928</v>
      </c>
      <c r="K1463" s="270">
        <v>6417</v>
      </c>
      <c r="L1463" s="270">
        <v>620100</v>
      </c>
      <c r="M1463" s="270" t="s">
        <v>3935</v>
      </c>
      <c r="N1463" s="270" t="s">
        <v>3944</v>
      </c>
      <c r="O1463" s="270">
        <v>1726.59</v>
      </c>
      <c r="P1463" s="270" t="s">
        <v>3944</v>
      </c>
      <c r="Q1463" s="270" t="s">
        <v>3944</v>
      </c>
      <c r="R1463" s="270">
        <v>1726.59</v>
      </c>
      <c r="S1463" s="270">
        <v>26404.92</v>
      </c>
      <c r="T1463" s="270">
        <v>28131.51</v>
      </c>
      <c r="U1463" s="271" t="s">
        <v>3945</v>
      </c>
      <c r="V1463" s="267" t="s">
        <v>944</v>
      </c>
    </row>
    <row r="1464" spans="1:22" hidden="1" x14ac:dyDescent="0.25">
      <c r="A1464" s="266">
        <v>43550</v>
      </c>
      <c r="B1464" s="267">
        <v>2019</v>
      </c>
      <c r="C1464" s="267">
        <v>2019</v>
      </c>
      <c r="D1464" s="267">
        <v>1</v>
      </c>
      <c r="E1464" s="267">
        <v>1</v>
      </c>
      <c r="F1464" s="267" t="s">
        <v>944</v>
      </c>
      <c r="G1464" s="267" t="s">
        <v>3926</v>
      </c>
      <c r="H1464" s="267" t="s">
        <v>5710</v>
      </c>
      <c r="I1464" s="267" t="s">
        <v>3010</v>
      </c>
      <c r="J1464" s="267" t="s">
        <v>3928</v>
      </c>
      <c r="K1464" s="267">
        <v>6401</v>
      </c>
      <c r="L1464" s="267">
        <v>125400</v>
      </c>
      <c r="M1464" s="267">
        <v>-60</v>
      </c>
      <c r="N1464" s="267" t="s">
        <v>3944</v>
      </c>
      <c r="O1464" s="267">
        <v>874.37</v>
      </c>
      <c r="P1464" s="267" t="s">
        <v>3944</v>
      </c>
      <c r="Q1464" s="267" t="s">
        <v>3944</v>
      </c>
      <c r="R1464" s="267">
        <v>874.37</v>
      </c>
      <c r="S1464" s="267">
        <v>12985.63</v>
      </c>
      <c r="T1464" s="267">
        <v>13860</v>
      </c>
      <c r="U1464" s="268" t="s">
        <v>3945</v>
      </c>
      <c r="V1464" s="267" t="s">
        <v>944</v>
      </c>
    </row>
    <row r="1465" spans="1:22" hidden="1" x14ac:dyDescent="0.25">
      <c r="A1465" s="269">
        <v>43550</v>
      </c>
      <c r="B1465" s="270">
        <v>2019</v>
      </c>
      <c r="C1465" s="270">
        <v>2019</v>
      </c>
      <c r="D1465" s="270">
        <v>1</v>
      </c>
      <c r="E1465" s="270">
        <v>1</v>
      </c>
      <c r="F1465" s="270" t="s">
        <v>944</v>
      </c>
      <c r="G1465" s="270" t="s">
        <v>3926</v>
      </c>
      <c r="H1465" s="270" t="s">
        <v>5711</v>
      </c>
      <c r="I1465" s="270" t="s">
        <v>953</v>
      </c>
      <c r="J1465" s="270" t="s">
        <v>3928</v>
      </c>
      <c r="K1465" s="270">
        <v>6518</v>
      </c>
      <c r="L1465" s="270">
        <v>165900</v>
      </c>
      <c r="M1465" s="270" t="s">
        <v>3943</v>
      </c>
      <c r="N1465" s="270" t="s">
        <v>3944</v>
      </c>
      <c r="O1465" s="270">
        <v>2180.9899999999998</v>
      </c>
      <c r="P1465" s="270" t="s">
        <v>3944</v>
      </c>
      <c r="Q1465" s="270" t="s">
        <v>3944</v>
      </c>
      <c r="R1465" s="270">
        <v>2180.9899999999998</v>
      </c>
      <c r="S1465" s="270">
        <v>26469.89</v>
      </c>
      <c r="T1465" s="270">
        <v>28650.880000000001</v>
      </c>
      <c r="U1465" s="271" t="s">
        <v>3945</v>
      </c>
      <c r="V1465" s="267" t="s">
        <v>944</v>
      </c>
    </row>
    <row r="1466" spans="1:22" hidden="1" x14ac:dyDescent="0.25">
      <c r="A1466" s="266">
        <v>43550</v>
      </c>
      <c r="B1466" s="267">
        <v>2019</v>
      </c>
      <c r="C1466" s="267">
        <v>2019</v>
      </c>
      <c r="D1466" s="267">
        <v>1</v>
      </c>
      <c r="E1466" s="267">
        <v>1</v>
      </c>
      <c r="F1466" s="267" t="s">
        <v>944</v>
      </c>
      <c r="G1466" s="267" t="s">
        <v>3926</v>
      </c>
      <c r="H1466" s="267" t="s">
        <v>5712</v>
      </c>
      <c r="I1466" s="267" t="s">
        <v>3012</v>
      </c>
      <c r="J1466" s="267" t="s">
        <v>3928</v>
      </c>
      <c r="K1466" s="267">
        <v>6477</v>
      </c>
      <c r="L1466" s="267">
        <v>157400</v>
      </c>
      <c r="M1466" s="267" t="s">
        <v>3943</v>
      </c>
      <c r="N1466" s="267" t="s">
        <v>3944</v>
      </c>
      <c r="O1466" s="267">
        <v>544.01</v>
      </c>
      <c r="P1466" s="267" t="s">
        <v>3944</v>
      </c>
      <c r="Q1466" s="267" t="s">
        <v>3944</v>
      </c>
      <c r="R1466" s="267">
        <v>544.01</v>
      </c>
      <c r="S1466" s="267">
        <v>8808.25</v>
      </c>
      <c r="T1466" s="267">
        <v>9352.26</v>
      </c>
      <c r="U1466" s="268" t="s">
        <v>3945</v>
      </c>
      <c r="V1466" s="267" t="s">
        <v>944</v>
      </c>
    </row>
    <row r="1467" spans="1:22" hidden="1" x14ac:dyDescent="0.25">
      <c r="A1467" s="269">
        <v>43550</v>
      </c>
      <c r="B1467" s="270">
        <v>2019</v>
      </c>
      <c r="C1467" s="270">
        <v>2019</v>
      </c>
      <c r="D1467" s="270">
        <v>1</v>
      </c>
      <c r="E1467" s="270">
        <v>1</v>
      </c>
      <c r="F1467" s="270" t="s">
        <v>944</v>
      </c>
      <c r="G1467" s="270" t="s">
        <v>3926</v>
      </c>
      <c r="H1467" s="270" t="s">
        <v>5713</v>
      </c>
      <c r="I1467" s="270" t="s">
        <v>4546</v>
      </c>
      <c r="J1467" s="270" t="s">
        <v>3928</v>
      </c>
      <c r="K1467" s="270">
        <v>6235</v>
      </c>
      <c r="L1467" s="270">
        <v>815000</v>
      </c>
      <c r="M1467" s="270" t="s">
        <v>3935</v>
      </c>
      <c r="N1467" s="270" t="s">
        <v>3944</v>
      </c>
      <c r="O1467" s="270">
        <v>1094.8399999999999</v>
      </c>
      <c r="P1467" s="270" t="s">
        <v>3944</v>
      </c>
      <c r="Q1467" s="270" t="s">
        <v>3944</v>
      </c>
      <c r="R1467" s="270">
        <v>1094.8399999999999</v>
      </c>
      <c r="S1467" s="270">
        <v>14633.47</v>
      </c>
      <c r="T1467" s="270">
        <v>15728.31</v>
      </c>
      <c r="U1467" s="271" t="s">
        <v>3945</v>
      </c>
      <c r="V1467" s="267" t="s">
        <v>944</v>
      </c>
    </row>
    <row r="1468" spans="1:22" hidden="1" x14ac:dyDescent="0.25">
      <c r="A1468" s="266">
        <v>43550</v>
      </c>
      <c r="B1468" s="267">
        <v>2019</v>
      </c>
      <c r="C1468" s="267">
        <v>2019</v>
      </c>
      <c r="D1468" s="267">
        <v>1</v>
      </c>
      <c r="E1468" s="267">
        <v>1</v>
      </c>
      <c r="F1468" s="267" t="s">
        <v>944</v>
      </c>
      <c r="G1468" s="267" t="s">
        <v>3926</v>
      </c>
      <c r="H1468" s="267" t="s">
        <v>5714</v>
      </c>
      <c r="I1468" s="267" t="s">
        <v>4040</v>
      </c>
      <c r="J1468" s="267" t="s">
        <v>3928</v>
      </c>
      <c r="K1468" s="267">
        <v>6339</v>
      </c>
      <c r="L1468" s="267">
        <v>701100</v>
      </c>
      <c r="M1468" s="267" t="s">
        <v>3960</v>
      </c>
      <c r="N1468" s="267" t="s">
        <v>3944</v>
      </c>
      <c r="O1468" s="267">
        <v>1895.81</v>
      </c>
      <c r="P1468" s="267" t="s">
        <v>3944</v>
      </c>
      <c r="Q1468" s="267" t="s">
        <v>3944</v>
      </c>
      <c r="R1468" s="267">
        <v>1895.81</v>
      </c>
      <c r="S1468" s="267">
        <v>27165.75</v>
      </c>
      <c r="T1468" s="267">
        <v>29061.56</v>
      </c>
      <c r="U1468" s="268" t="s">
        <v>3945</v>
      </c>
      <c r="V1468" s="267" t="s">
        <v>944</v>
      </c>
    </row>
    <row r="1469" spans="1:22" hidden="1" x14ac:dyDescent="0.25">
      <c r="A1469" s="269">
        <v>43550</v>
      </c>
      <c r="B1469" s="270">
        <v>2019</v>
      </c>
      <c r="C1469" s="270">
        <v>2019</v>
      </c>
      <c r="D1469" s="270">
        <v>1</v>
      </c>
      <c r="E1469" s="270">
        <v>1</v>
      </c>
      <c r="F1469" s="270" t="s">
        <v>944</v>
      </c>
      <c r="G1469" s="270" t="s">
        <v>3926</v>
      </c>
      <c r="H1469" s="270" t="s">
        <v>5715</v>
      </c>
      <c r="I1469" s="270" t="s">
        <v>934</v>
      </c>
      <c r="J1469" s="270" t="s">
        <v>3928</v>
      </c>
      <c r="K1469" s="270">
        <v>6606</v>
      </c>
      <c r="L1469" s="270">
        <v>72400</v>
      </c>
      <c r="M1469" s="270" t="s">
        <v>3940</v>
      </c>
      <c r="N1469" s="270" t="s">
        <v>3944</v>
      </c>
      <c r="O1469" s="270">
        <v>1876.53</v>
      </c>
      <c r="P1469" s="270" t="s">
        <v>3944</v>
      </c>
      <c r="Q1469" s="270" t="s">
        <v>3944</v>
      </c>
      <c r="R1469" s="270">
        <v>1876.53</v>
      </c>
      <c r="S1469" s="270">
        <v>29683.47</v>
      </c>
      <c r="T1469" s="270">
        <v>31560</v>
      </c>
      <c r="U1469" s="271" t="s">
        <v>3945</v>
      </c>
      <c r="V1469" s="267" t="s">
        <v>944</v>
      </c>
    </row>
    <row r="1470" spans="1:22" hidden="1" x14ac:dyDescent="0.25">
      <c r="A1470" s="266">
        <v>43550</v>
      </c>
      <c r="B1470" s="267">
        <v>2019</v>
      </c>
      <c r="C1470" s="267">
        <v>2019</v>
      </c>
      <c r="D1470" s="267">
        <v>1</v>
      </c>
      <c r="E1470" s="267">
        <v>1</v>
      </c>
      <c r="F1470" s="267" t="s">
        <v>944</v>
      </c>
      <c r="G1470" s="267" t="s">
        <v>3926</v>
      </c>
      <c r="H1470" s="267" t="s">
        <v>5716</v>
      </c>
      <c r="I1470" s="267" t="s">
        <v>4323</v>
      </c>
      <c r="J1470" s="267" t="s">
        <v>3928</v>
      </c>
      <c r="K1470" s="267">
        <v>6385</v>
      </c>
      <c r="L1470" s="267">
        <v>693500</v>
      </c>
      <c r="M1470" s="267" t="s">
        <v>3943</v>
      </c>
      <c r="N1470" s="267" t="s">
        <v>3944</v>
      </c>
      <c r="O1470" s="267">
        <v>1036.3499999999999</v>
      </c>
      <c r="P1470" s="267" t="s">
        <v>3944</v>
      </c>
      <c r="Q1470" s="267" t="s">
        <v>3944</v>
      </c>
      <c r="R1470" s="267">
        <v>1036.3499999999999</v>
      </c>
      <c r="S1470" s="267">
        <v>15360.03</v>
      </c>
      <c r="T1470" s="267">
        <v>16396.38</v>
      </c>
      <c r="U1470" s="268" t="s">
        <v>3945</v>
      </c>
      <c r="V1470" s="267" t="s">
        <v>944</v>
      </c>
    </row>
    <row r="1471" spans="1:22" hidden="1" x14ac:dyDescent="0.25">
      <c r="A1471" s="269">
        <v>43550</v>
      </c>
      <c r="B1471" s="270">
        <v>2019</v>
      </c>
      <c r="C1471" s="270">
        <v>2019</v>
      </c>
      <c r="D1471" s="270">
        <v>1</v>
      </c>
      <c r="E1471" s="270">
        <v>1</v>
      </c>
      <c r="F1471" s="270" t="s">
        <v>944</v>
      </c>
      <c r="G1471" s="270" t="s">
        <v>3926</v>
      </c>
      <c r="H1471" s="270" t="s">
        <v>5717</v>
      </c>
      <c r="I1471" s="270" t="s">
        <v>4323</v>
      </c>
      <c r="J1471" s="270" t="s">
        <v>3928</v>
      </c>
      <c r="K1471" s="270">
        <v>6385</v>
      </c>
      <c r="L1471" s="270">
        <v>693500</v>
      </c>
      <c r="M1471" s="270" t="s">
        <v>3943</v>
      </c>
      <c r="N1471" s="270" t="s">
        <v>3944</v>
      </c>
      <c r="O1471" s="270">
        <v>1264.9000000000001</v>
      </c>
      <c r="P1471" s="270" t="s">
        <v>3944</v>
      </c>
      <c r="Q1471" s="270" t="s">
        <v>3944</v>
      </c>
      <c r="R1471" s="270">
        <v>1264.9000000000001</v>
      </c>
      <c r="S1471" s="270">
        <v>19871.169999999998</v>
      </c>
      <c r="T1471" s="270">
        <v>21136.07</v>
      </c>
      <c r="U1471" s="271" t="s">
        <v>3945</v>
      </c>
      <c r="V1471" s="267" t="s">
        <v>944</v>
      </c>
    </row>
    <row r="1472" spans="1:22" hidden="1" x14ac:dyDescent="0.25">
      <c r="A1472" s="266">
        <v>43550</v>
      </c>
      <c r="B1472" s="267">
        <v>2019</v>
      </c>
      <c r="C1472" s="267">
        <v>2019</v>
      </c>
      <c r="D1472" s="267">
        <v>1</v>
      </c>
      <c r="E1472" s="267">
        <v>1</v>
      </c>
      <c r="F1472" s="267" t="s">
        <v>944</v>
      </c>
      <c r="G1472" s="267" t="s">
        <v>3926</v>
      </c>
      <c r="H1472" s="267" t="s">
        <v>5718</v>
      </c>
      <c r="I1472" s="267" t="s">
        <v>934</v>
      </c>
      <c r="J1472" s="267" t="s">
        <v>3928</v>
      </c>
      <c r="K1472" s="267">
        <v>6606</v>
      </c>
      <c r="L1472" s="267">
        <v>72500</v>
      </c>
      <c r="M1472" s="267" t="s">
        <v>3940</v>
      </c>
      <c r="N1472" s="267" t="s">
        <v>3944</v>
      </c>
      <c r="O1472" s="267">
        <v>1746.68</v>
      </c>
      <c r="P1472" s="267" t="s">
        <v>3944</v>
      </c>
      <c r="Q1472" s="267" t="s">
        <v>3944</v>
      </c>
      <c r="R1472" s="267">
        <v>1746.68</v>
      </c>
      <c r="S1472" s="267">
        <v>25990.66</v>
      </c>
      <c r="T1472" s="267">
        <v>27737.34</v>
      </c>
      <c r="U1472" s="268" t="s">
        <v>3945</v>
      </c>
      <c r="V1472" s="267" t="s">
        <v>944</v>
      </c>
    </row>
    <row r="1473" spans="1:22" hidden="1" x14ac:dyDescent="0.25">
      <c r="A1473" s="269">
        <v>43550</v>
      </c>
      <c r="B1473" s="270">
        <v>2019</v>
      </c>
      <c r="C1473" s="270">
        <v>2019</v>
      </c>
      <c r="D1473" s="270">
        <v>1</v>
      </c>
      <c r="E1473" s="270">
        <v>1</v>
      </c>
      <c r="F1473" s="270" t="s">
        <v>944</v>
      </c>
      <c r="G1473" s="270" t="s">
        <v>3926</v>
      </c>
      <c r="H1473" s="270" t="s">
        <v>5719</v>
      </c>
      <c r="I1473" s="270" t="s">
        <v>5388</v>
      </c>
      <c r="J1473" s="270" t="s">
        <v>3928</v>
      </c>
      <c r="K1473" s="270">
        <v>6384</v>
      </c>
      <c r="L1473" s="270">
        <v>708100</v>
      </c>
      <c r="M1473" s="270" t="s">
        <v>3935</v>
      </c>
      <c r="N1473" s="270" t="s">
        <v>3944</v>
      </c>
      <c r="O1473" s="270">
        <v>2015.69</v>
      </c>
      <c r="P1473" s="270" t="s">
        <v>3944</v>
      </c>
      <c r="Q1473" s="270" t="s">
        <v>3944</v>
      </c>
      <c r="R1473" s="270">
        <v>2015.69</v>
      </c>
      <c r="S1473" s="270">
        <v>33206.300000000003</v>
      </c>
      <c r="T1473" s="270">
        <v>35221.99</v>
      </c>
      <c r="U1473" s="271" t="s">
        <v>3945</v>
      </c>
      <c r="V1473" s="267" t="s">
        <v>944</v>
      </c>
    </row>
    <row r="1474" spans="1:22" hidden="1" x14ac:dyDescent="0.25">
      <c r="A1474" s="266">
        <v>43550</v>
      </c>
      <c r="B1474" s="267">
        <v>2019</v>
      </c>
      <c r="C1474" s="267">
        <v>2019</v>
      </c>
      <c r="D1474" s="267">
        <v>1</v>
      </c>
      <c r="E1474" s="267">
        <v>1</v>
      </c>
      <c r="F1474" s="267" t="s">
        <v>944</v>
      </c>
      <c r="G1474" s="267" t="s">
        <v>3926</v>
      </c>
      <c r="H1474" s="267" t="s">
        <v>5720</v>
      </c>
      <c r="I1474" s="267" t="s">
        <v>3962</v>
      </c>
      <c r="J1474" s="267" t="s">
        <v>3928</v>
      </c>
      <c r="K1474" s="267">
        <v>6355</v>
      </c>
      <c r="L1474" s="267">
        <v>702100</v>
      </c>
      <c r="M1474" s="267" t="s">
        <v>3960</v>
      </c>
      <c r="N1474" s="267" t="s">
        <v>3944</v>
      </c>
      <c r="O1474" s="267">
        <v>1527.05</v>
      </c>
      <c r="P1474" s="267" t="s">
        <v>3944</v>
      </c>
      <c r="Q1474" s="267" t="s">
        <v>3944</v>
      </c>
      <c r="R1474" s="267">
        <v>1527.05</v>
      </c>
      <c r="S1474" s="267">
        <v>21799.15</v>
      </c>
      <c r="T1474" s="267">
        <v>23326.2</v>
      </c>
      <c r="U1474" s="268" t="s">
        <v>3945</v>
      </c>
      <c r="V1474" s="267" t="s">
        <v>944</v>
      </c>
    </row>
    <row r="1475" spans="1:22" hidden="1" x14ac:dyDescent="0.25">
      <c r="A1475" s="269">
        <v>43550</v>
      </c>
      <c r="B1475" s="270">
        <v>2019</v>
      </c>
      <c r="C1475" s="270">
        <v>2019</v>
      </c>
      <c r="D1475" s="270">
        <v>1</v>
      </c>
      <c r="E1475" s="270">
        <v>1</v>
      </c>
      <c r="F1475" s="270" t="s">
        <v>944</v>
      </c>
      <c r="G1475" s="270" t="s">
        <v>3926</v>
      </c>
      <c r="H1475" s="270" t="s">
        <v>5721</v>
      </c>
      <c r="I1475" s="270" t="s">
        <v>4323</v>
      </c>
      <c r="J1475" s="270" t="s">
        <v>3928</v>
      </c>
      <c r="K1475" s="270">
        <v>6385</v>
      </c>
      <c r="L1475" s="270">
        <v>693400</v>
      </c>
      <c r="M1475" s="270" t="s">
        <v>3940</v>
      </c>
      <c r="N1475" s="270" t="s">
        <v>3944</v>
      </c>
      <c r="O1475" s="270">
        <v>2015.27</v>
      </c>
      <c r="P1475" s="270" t="s">
        <v>3944</v>
      </c>
      <c r="Q1475" s="270" t="s">
        <v>3944</v>
      </c>
      <c r="R1475" s="270">
        <v>2015.27</v>
      </c>
      <c r="S1475" s="270">
        <v>32980.99</v>
      </c>
      <c r="T1475" s="270">
        <v>34996.26</v>
      </c>
      <c r="U1475" s="271" t="s">
        <v>3945</v>
      </c>
      <c r="V1475" s="267" t="s">
        <v>944</v>
      </c>
    </row>
    <row r="1476" spans="1:22" hidden="1" x14ac:dyDescent="0.25">
      <c r="A1476" s="266">
        <v>43550</v>
      </c>
      <c r="B1476" s="267">
        <v>2019</v>
      </c>
      <c r="C1476" s="267">
        <v>2019</v>
      </c>
      <c r="D1476" s="267">
        <v>1</v>
      </c>
      <c r="E1476" s="267">
        <v>1</v>
      </c>
      <c r="F1476" s="267" t="s">
        <v>944</v>
      </c>
      <c r="G1476" s="267" t="s">
        <v>3926</v>
      </c>
      <c r="H1476" s="267" t="s">
        <v>5722</v>
      </c>
      <c r="I1476" s="267" t="s">
        <v>4323</v>
      </c>
      <c r="J1476" s="267" t="s">
        <v>3928</v>
      </c>
      <c r="K1476" s="267">
        <v>6357</v>
      </c>
      <c r="L1476" s="267">
        <v>870704</v>
      </c>
      <c r="M1476" s="267" t="s">
        <v>3935</v>
      </c>
      <c r="N1476" s="267" t="s">
        <v>3944</v>
      </c>
      <c r="O1476" s="267">
        <v>1995.77</v>
      </c>
      <c r="P1476" s="267" t="s">
        <v>3944</v>
      </c>
      <c r="Q1476" s="267" t="s">
        <v>3944</v>
      </c>
      <c r="R1476" s="267">
        <v>1995.77</v>
      </c>
      <c r="S1476" s="267">
        <v>30574.79</v>
      </c>
      <c r="T1476" s="267">
        <v>32570.560000000001</v>
      </c>
      <c r="U1476" s="268" t="s">
        <v>3945</v>
      </c>
      <c r="V1476" s="267" t="s">
        <v>944</v>
      </c>
    </row>
    <row r="1477" spans="1:22" hidden="1" x14ac:dyDescent="0.25">
      <c r="A1477" s="269">
        <v>43550</v>
      </c>
      <c r="B1477" s="270">
        <v>2019</v>
      </c>
      <c r="C1477" s="270">
        <v>2019</v>
      </c>
      <c r="D1477" s="270">
        <v>1</v>
      </c>
      <c r="E1477" s="270">
        <v>31</v>
      </c>
      <c r="F1477" s="270" t="s">
        <v>944</v>
      </c>
      <c r="G1477" s="270" t="s">
        <v>3997</v>
      </c>
      <c r="H1477" s="270" t="s">
        <v>5723</v>
      </c>
      <c r="I1477" s="270" t="s">
        <v>3971</v>
      </c>
      <c r="J1477" s="270" t="s">
        <v>3928</v>
      </c>
      <c r="K1477" s="270">
        <v>6084</v>
      </c>
      <c r="L1477" s="270">
        <v>533101</v>
      </c>
      <c r="M1477" s="270" t="s">
        <v>3943</v>
      </c>
      <c r="N1477" s="270" t="s">
        <v>5724</v>
      </c>
      <c r="O1477" s="270"/>
      <c r="P1477" s="270" t="s">
        <v>3944</v>
      </c>
      <c r="Q1477" s="270" t="s">
        <v>5725</v>
      </c>
      <c r="R1477" s="270">
        <v>6000</v>
      </c>
      <c r="S1477" s="270">
        <v>-2250</v>
      </c>
      <c r="T1477" s="270">
        <v>3750</v>
      </c>
      <c r="U1477" s="271" t="s">
        <v>5027</v>
      </c>
      <c r="V1477" s="267" t="s">
        <v>944</v>
      </c>
    </row>
    <row r="1478" spans="1:22" x14ac:dyDescent="0.25">
      <c r="A1478" s="266">
        <v>43551</v>
      </c>
      <c r="B1478" s="267">
        <v>2019</v>
      </c>
      <c r="C1478" s="267">
        <v>2019</v>
      </c>
      <c r="D1478" s="267">
        <v>1</v>
      </c>
      <c r="E1478" s="267">
        <v>1</v>
      </c>
      <c r="F1478" s="267" t="s">
        <v>944</v>
      </c>
      <c r="G1478" s="267" t="s">
        <v>3926</v>
      </c>
      <c r="H1478" s="267" t="s">
        <v>5726</v>
      </c>
      <c r="I1478" s="267" t="s">
        <v>934</v>
      </c>
      <c r="J1478" s="267" t="s">
        <v>3928</v>
      </c>
      <c r="K1478" s="267">
        <v>6605</v>
      </c>
      <c r="L1478" s="267">
        <v>70200</v>
      </c>
      <c r="M1478" s="267">
        <v>-60</v>
      </c>
      <c r="N1478" s="267" t="s">
        <v>5607</v>
      </c>
      <c r="O1478" s="267">
        <v>3187.29</v>
      </c>
      <c r="P1478" s="267" t="s">
        <v>3930</v>
      </c>
      <c r="Q1478" s="267" t="s">
        <v>3931</v>
      </c>
      <c r="R1478" s="267">
        <v>8187.29</v>
      </c>
      <c r="S1478" s="267">
        <v>17190.400000000001</v>
      </c>
      <c r="T1478" s="267">
        <v>25377.69</v>
      </c>
      <c r="U1478" s="268" t="s">
        <v>3932</v>
      </c>
      <c r="V1478" s="276" t="s">
        <v>936</v>
      </c>
    </row>
    <row r="1479" spans="1:22" x14ac:dyDescent="0.25">
      <c r="A1479" s="269">
        <v>43551</v>
      </c>
      <c r="B1479" s="270">
        <v>2019</v>
      </c>
      <c r="C1479" s="270">
        <v>2019</v>
      </c>
      <c r="D1479" s="270">
        <v>1</v>
      </c>
      <c r="E1479" s="270">
        <v>1</v>
      </c>
      <c r="F1479" s="270" t="s">
        <v>944</v>
      </c>
      <c r="G1479" s="270" t="s">
        <v>3926</v>
      </c>
      <c r="H1479" s="270" t="s">
        <v>5727</v>
      </c>
      <c r="I1479" s="270" t="s">
        <v>934</v>
      </c>
      <c r="J1479" s="270" t="s">
        <v>3928</v>
      </c>
      <c r="K1479" s="270">
        <v>6610</v>
      </c>
      <c r="L1479" s="270">
        <v>73100</v>
      </c>
      <c r="M1479" s="270">
        <v>-60</v>
      </c>
      <c r="N1479" s="270" t="s">
        <v>3983</v>
      </c>
      <c r="O1479" s="270">
        <v>3403.53</v>
      </c>
      <c r="P1479" s="270" t="s">
        <v>3930</v>
      </c>
      <c r="Q1479" s="270" t="s">
        <v>3931</v>
      </c>
      <c r="R1479" s="270">
        <v>8403.5300000000007</v>
      </c>
      <c r="S1479" s="270">
        <v>16504</v>
      </c>
      <c r="T1479" s="270">
        <v>24907.53</v>
      </c>
      <c r="U1479" s="271" t="s">
        <v>3932</v>
      </c>
      <c r="V1479" s="276" t="s">
        <v>936</v>
      </c>
    </row>
    <row r="1480" spans="1:22" hidden="1" x14ac:dyDescent="0.25">
      <c r="A1480" s="266">
        <v>43551</v>
      </c>
      <c r="B1480" s="267">
        <v>2019</v>
      </c>
      <c r="C1480" s="267">
        <v>2019</v>
      </c>
      <c r="D1480" s="267">
        <v>1</v>
      </c>
      <c r="E1480" s="267">
        <v>1</v>
      </c>
      <c r="F1480" s="267" t="s">
        <v>944</v>
      </c>
      <c r="G1480" s="267" t="s">
        <v>3926</v>
      </c>
      <c r="H1480" s="267" t="s">
        <v>5728</v>
      </c>
      <c r="I1480" s="267" t="s">
        <v>3014</v>
      </c>
      <c r="J1480" s="267" t="s">
        <v>3928</v>
      </c>
      <c r="K1480" s="267">
        <v>6525</v>
      </c>
      <c r="L1480" s="267">
        <v>160100</v>
      </c>
      <c r="M1480" s="267" t="s">
        <v>3943</v>
      </c>
      <c r="N1480" s="267" t="s">
        <v>5729</v>
      </c>
      <c r="O1480" s="267">
        <v>0</v>
      </c>
      <c r="P1480" s="267" t="s">
        <v>3930</v>
      </c>
      <c r="Q1480" s="267" t="s">
        <v>3930</v>
      </c>
      <c r="R1480" s="267">
        <v>0</v>
      </c>
      <c r="S1480" s="267">
        <v>25715</v>
      </c>
      <c r="T1480" s="267">
        <v>25715</v>
      </c>
      <c r="U1480" s="268" t="s">
        <v>3937</v>
      </c>
      <c r="V1480" s="267" t="s">
        <v>944</v>
      </c>
    </row>
    <row r="1481" spans="1:22" x14ac:dyDescent="0.25">
      <c r="A1481" s="269">
        <v>43551</v>
      </c>
      <c r="B1481" s="270">
        <v>2019</v>
      </c>
      <c r="C1481" s="270">
        <v>2019</v>
      </c>
      <c r="D1481" s="270">
        <v>1</v>
      </c>
      <c r="E1481" s="270">
        <v>1</v>
      </c>
      <c r="F1481" s="270" t="s">
        <v>944</v>
      </c>
      <c r="G1481" s="270" t="s">
        <v>3926</v>
      </c>
      <c r="H1481" s="270" t="s">
        <v>5730</v>
      </c>
      <c r="I1481" s="270" t="s">
        <v>934</v>
      </c>
      <c r="J1481" s="270" t="s">
        <v>3928</v>
      </c>
      <c r="K1481" s="270">
        <v>6610</v>
      </c>
      <c r="L1481" s="270">
        <v>73100</v>
      </c>
      <c r="M1481" s="270">
        <v>-60</v>
      </c>
      <c r="N1481" s="270" t="s">
        <v>3986</v>
      </c>
      <c r="O1481" s="270">
        <v>1111.22</v>
      </c>
      <c r="P1481" s="270" t="s">
        <v>3930</v>
      </c>
      <c r="Q1481" s="270" t="s">
        <v>3931</v>
      </c>
      <c r="R1481" s="270">
        <v>6111.22</v>
      </c>
      <c r="S1481" s="270">
        <v>16196.8</v>
      </c>
      <c r="T1481" s="270">
        <v>22308.02</v>
      </c>
      <c r="U1481" s="271" t="s">
        <v>3932</v>
      </c>
      <c r="V1481" s="276" t="s">
        <v>936</v>
      </c>
    </row>
    <row r="1482" spans="1:22" hidden="1" x14ac:dyDescent="0.25">
      <c r="A1482" s="266">
        <v>43551</v>
      </c>
      <c r="B1482" s="267">
        <v>2019</v>
      </c>
      <c r="C1482" s="267">
        <v>2019</v>
      </c>
      <c r="D1482" s="267">
        <v>1</v>
      </c>
      <c r="E1482" s="267">
        <v>1</v>
      </c>
      <c r="F1482" s="267" t="s">
        <v>944</v>
      </c>
      <c r="G1482" s="267" t="s">
        <v>3926</v>
      </c>
      <c r="H1482" s="267" t="s">
        <v>5731</v>
      </c>
      <c r="I1482" s="267" t="s">
        <v>4269</v>
      </c>
      <c r="J1482" s="267" t="s">
        <v>3928</v>
      </c>
      <c r="K1482" s="267">
        <v>6110</v>
      </c>
      <c r="L1482" s="267">
        <v>496800</v>
      </c>
      <c r="M1482" s="267" t="s">
        <v>3935</v>
      </c>
      <c r="N1482" s="267" t="s">
        <v>3944</v>
      </c>
      <c r="O1482" s="267">
        <v>980</v>
      </c>
      <c r="P1482" s="267" t="s">
        <v>3944</v>
      </c>
      <c r="Q1482" s="267" t="s">
        <v>3944</v>
      </c>
      <c r="R1482" s="267">
        <v>980</v>
      </c>
      <c r="S1482" s="267">
        <v>10832.5</v>
      </c>
      <c r="T1482" s="267">
        <v>11812.5</v>
      </c>
      <c r="U1482" s="268" t="s">
        <v>3945</v>
      </c>
      <c r="V1482" s="267" t="s">
        <v>944</v>
      </c>
    </row>
    <row r="1483" spans="1:22" hidden="1" x14ac:dyDescent="0.25">
      <c r="A1483" s="269">
        <v>43551</v>
      </c>
      <c r="B1483" s="270">
        <v>2019</v>
      </c>
      <c r="C1483" s="270">
        <v>2019</v>
      </c>
      <c r="D1483" s="270">
        <v>1</v>
      </c>
      <c r="E1483" s="270">
        <v>1</v>
      </c>
      <c r="F1483" s="270" t="s">
        <v>944</v>
      </c>
      <c r="G1483" s="270" t="s">
        <v>3926</v>
      </c>
      <c r="H1483" s="270" t="s">
        <v>5732</v>
      </c>
      <c r="I1483" s="270" t="s">
        <v>934</v>
      </c>
      <c r="J1483" s="270" t="s">
        <v>3928</v>
      </c>
      <c r="K1483" s="270">
        <v>6606</v>
      </c>
      <c r="L1483" s="270">
        <v>72500</v>
      </c>
      <c r="M1483" s="270" t="s">
        <v>3940</v>
      </c>
      <c r="N1483" s="270" t="s">
        <v>3944</v>
      </c>
      <c r="O1483" s="270">
        <v>1459.85</v>
      </c>
      <c r="P1483" s="270" t="s">
        <v>3944</v>
      </c>
      <c r="Q1483" s="270" t="s">
        <v>3944</v>
      </c>
      <c r="R1483" s="270">
        <v>1459.85</v>
      </c>
      <c r="S1483" s="270">
        <v>22316.35</v>
      </c>
      <c r="T1483" s="270">
        <v>23776.2</v>
      </c>
      <c r="U1483" s="271" t="s">
        <v>3945</v>
      </c>
      <c r="V1483" s="267" t="s">
        <v>944</v>
      </c>
    </row>
    <row r="1484" spans="1:22" hidden="1" x14ac:dyDescent="0.25">
      <c r="A1484" s="266">
        <v>43551</v>
      </c>
      <c r="B1484" s="267">
        <v>2019</v>
      </c>
      <c r="C1484" s="267">
        <v>2019</v>
      </c>
      <c r="D1484" s="267">
        <v>1</v>
      </c>
      <c r="E1484" s="267">
        <v>1</v>
      </c>
      <c r="F1484" s="267" t="s">
        <v>944</v>
      </c>
      <c r="G1484" s="267" t="s">
        <v>3926</v>
      </c>
      <c r="H1484" s="267" t="s">
        <v>5733</v>
      </c>
      <c r="I1484" s="267" t="s">
        <v>4065</v>
      </c>
      <c r="J1484" s="267" t="s">
        <v>3928</v>
      </c>
      <c r="K1484" s="267">
        <v>6480</v>
      </c>
      <c r="L1484" s="267">
        <v>560100</v>
      </c>
      <c r="M1484" s="267" t="s">
        <v>3943</v>
      </c>
      <c r="N1484" s="267" t="s">
        <v>3944</v>
      </c>
      <c r="O1484" s="267">
        <v>1772.82</v>
      </c>
      <c r="P1484" s="267" t="s">
        <v>3944</v>
      </c>
      <c r="Q1484" s="267" t="s">
        <v>3944</v>
      </c>
      <c r="R1484" s="267">
        <v>1772.82</v>
      </c>
      <c r="S1484" s="267">
        <v>25763.32</v>
      </c>
      <c r="T1484" s="267">
        <v>27536.14</v>
      </c>
      <c r="U1484" s="268" t="s">
        <v>3945</v>
      </c>
      <c r="V1484" s="267" t="s">
        <v>944</v>
      </c>
    </row>
    <row r="1485" spans="1:22" hidden="1" x14ac:dyDescent="0.25">
      <c r="A1485" s="269">
        <v>43551</v>
      </c>
      <c r="B1485" s="270">
        <v>2019</v>
      </c>
      <c r="C1485" s="270">
        <v>2019</v>
      </c>
      <c r="D1485" s="270">
        <v>1</v>
      </c>
      <c r="E1485" s="270">
        <v>1</v>
      </c>
      <c r="F1485" s="270" t="s">
        <v>944</v>
      </c>
      <c r="G1485" s="270" t="s">
        <v>3926</v>
      </c>
      <c r="H1485" s="270" t="s">
        <v>5734</v>
      </c>
      <c r="I1485" s="270" t="s">
        <v>4871</v>
      </c>
      <c r="J1485" s="270" t="s">
        <v>3928</v>
      </c>
      <c r="K1485" s="270">
        <v>6877</v>
      </c>
      <c r="L1485" s="270">
        <v>245600</v>
      </c>
      <c r="M1485" s="270" t="s">
        <v>3943</v>
      </c>
      <c r="N1485" s="270" t="s">
        <v>5735</v>
      </c>
      <c r="O1485" s="270">
        <v>0</v>
      </c>
      <c r="P1485" s="270" t="s">
        <v>3944</v>
      </c>
      <c r="Q1485" s="270" t="s">
        <v>5736</v>
      </c>
      <c r="R1485" s="270">
        <v>165444</v>
      </c>
      <c r="S1485" s="270">
        <v>110296</v>
      </c>
      <c r="T1485" s="270">
        <v>275740</v>
      </c>
      <c r="U1485" s="271" t="s">
        <v>5737</v>
      </c>
      <c r="V1485" s="267" t="s">
        <v>944</v>
      </c>
    </row>
    <row r="1486" spans="1:22" hidden="1" x14ac:dyDescent="0.25">
      <c r="A1486" s="266">
        <v>43551</v>
      </c>
      <c r="B1486" s="267">
        <v>2019</v>
      </c>
      <c r="C1486" s="267">
        <v>2019</v>
      </c>
      <c r="D1486" s="267">
        <v>1</v>
      </c>
      <c r="E1486" s="267">
        <v>1</v>
      </c>
      <c r="F1486" s="267" t="s">
        <v>944</v>
      </c>
      <c r="G1486" s="267" t="s">
        <v>3926</v>
      </c>
      <c r="H1486" s="267" t="s">
        <v>5738</v>
      </c>
      <c r="I1486" s="267" t="s">
        <v>4871</v>
      </c>
      <c r="J1486" s="267" t="s">
        <v>3928</v>
      </c>
      <c r="K1486" s="267">
        <v>6877</v>
      </c>
      <c r="L1486" s="267">
        <v>245100</v>
      </c>
      <c r="M1486" s="267" t="s">
        <v>3943</v>
      </c>
      <c r="N1486" s="267" t="s">
        <v>5739</v>
      </c>
      <c r="O1486" s="267">
        <v>0</v>
      </c>
      <c r="P1486" s="267" t="s">
        <v>3944</v>
      </c>
      <c r="Q1486" s="267" t="s">
        <v>5740</v>
      </c>
      <c r="R1486" s="267">
        <v>167098.44</v>
      </c>
      <c r="S1486" s="267">
        <v>111398.96</v>
      </c>
      <c r="T1486" s="267">
        <v>278497.40000000002</v>
      </c>
      <c r="U1486" s="268" t="s">
        <v>5737</v>
      </c>
      <c r="V1486" s="267" t="s">
        <v>944</v>
      </c>
    </row>
    <row r="1487" spans="1:22" hidden="1" x14ac:dyDescent="0.25">
      <c r="A1487" s="269">
        <v>43552</v>
      </c>
      <c r="B1487" s="270">
        <v>2019</v>
      </c>
      <c r="C1487" s="270">
        <v>2019</v>
      </c>
      <c r="D1487" s="270">
        <v>1</v>
      </c>
      <c r="E1487" s="270">
        <v>1</v>
      </c>
      <c r="F1487" s="270" t="s">
        <v>944</v>
      </c>
      <c r="G1487" s="270" t="s">
        <v>3926</v>
      </c>
      <c r="H1487" s="270" t="s">
        <v>5741</v>
      </c>
      <c r="I1487" s="270" t="s">
        <v>4556</v>
      </c>
      <c r="J1487" s="270" t="s">
        <v>3928</v>
      </c>
      <c r="K1487" s="270">
        <v>6029</v>
      </c>
      <c r="L1487" s="270">
        <v>535100</v>
      </c>
      <c r="M1487" s="270" t="s">
        <v>3935</v>
      </c>
      <c r="N1487" s="270" t="s">
        <v>5742</v>
      </c>
      <c r="O1487" s="270">
        <v>0</v>
      </c>
      <c r="P1487" s="270" t="s">
        <v>3930</v>
      </c>
      <c r="Q1487" s="270" t="s">
        <v>3930</v>
      </c>
      <c r="R1487" s="270">
        <v>0</v>
      </c>
      <c r="S1487" s="270">
        <v>18048</v>
      </c>
      <c r="T1487" s="270">
        <v>18048</v>
      </c>
      <c r="U1487" s="271" t="s">
        <v>3937</v>
      </c>
      <c r="V1487" s="267" t="s">
        <v>944</v>
      </c>
    </row>
    <row r="1488" spans="1:22" hidden="1" x14ac:dyDescent="0.25">
      <c r="A1488" s="266">
        <v>43552</v>
      </c>
      <c r="B1488" s="267">
        <v>2019</v>
      </c>
      <c r="C1488" s="267">
        <v>2019</v>
      </c>
      <c r="D1488" s="267">
        <v>1</v>
      </c>
      <c r="E1488" s="267">
        <v>1</v>
      </c>
      <c r="F1488" s="267" t="s">
        <v>944</v>
      </c>
      <c r="G1488" s="267" t="s">
        <v>3926</v>
      </c>
      <c r="H1488" s="267" t="s">
        <v>5743</v>
      </c>
      <c r="I1488" s="267" t="s">
        <v>4387</v>
      </c>
      <c r="J1488" s="267" t="s">
        <v>3928</v>
      </c>
      <c r="K1488" s="267">
        <v>6751</v>
      </c>
      <c r="L1488" s="267">
        <v>342100</v>
      </c>
      <c r="M1488" s="267" t="s">
        <v>3960</v>
      </c>
      <c r="N1488" s="267" t="s">
        <v>5744</v>
      </c>
      <c r="O1488" s="267">
        <v>0</v>
      </c>
      <c r="P1488" s="267" t="s">
        <v>3930</v>
      </c>
      <c r="Q1488" s="267" t="s">
        <v>3930</v>
      </c>
      <c r="R1488" s="267">
        <v>0</v>
      </c>
      <c r="S1488" s="267">
        <v>7256</v>
      </c>
      <c r="T1488" s="267">
        <v>7256</v>
      </c>
      <c r="U1488" s="268" t="s">
        <v>3937</v>
      </c>
      <c r="V1488" s="267" t="s">
        <v>944</v>
      </c>
    </row>
    <row r="1489" spans="1:22" hidden="1" x14ac:dyDescent="0.25">
      <c r="A1489" s="269">
        <v>43552</v>
      </c>
      <c r="B1489" s="270">
        <v>2019</v>
      </c>
      <c r="C1489" s="270">
        <v>2019</v>
      </c>
      <c r="D1489" s="270">
        <v>1</v>
      </c>
      <c r="E1489" s="270">
        <v>1</v>
      </c>
      <c r="F1489" s="270" t="s">
        <v>944</v>
      </c>
      <c r="G1489" s="270" t="s">
        <v>3926</v>
      </c>
      <c r="H1489" s="270" t="s">
        <v>5745</v>
      </c>
      <c r="I1489" s="270" t="s">
        <v>4244</v>
      </c>
      <c r="J1489" s="270" t="s">
        <v>3928</v>
      </c>
      <c r="K1489" s="270">
        <v>6268</v>
      </c>
      <c r="L1489" s="270">
        <v>881300</v>
      </c>
      <c r="M1489" s="270">
        <v>-60</v>
      </c>
      <c r="N1489" s="270" t="s">
        <v>5746</v>
      </c>
      <c r="O1489" s="270">
        <v>0</v>
      </c>
      <c r="P1489" s="270" t="s">
        <v>3930</v>
      </c>
      <c r="Q1489" s="270" t="s">
        <v>3930</v>
      </c>
      <c r="R1489" s="270">
        <v>0</v>
      </c>
      <c r="S1489" s="270">
        <v>8976.23</v>
      </c>
      <c r="T1489" s="270">
        <v>8976.23</v>
      </c>
      <c r="U1489" s="271" t="s">
        <v>3937</v>
      </c>
      <c r="V1489" s="267" t="s">
        <v>944</v>
      </c>
    </row>
    <row r="1490" spans="1:22" hidden="1" x14ac:dyDescent="0.25">
      <c r="A1490" s="266">
        <v>43552</v>
      </c>
      <c r="B1490" s="267">
        <v>2019</v>
      </c>
      <c r="C1490" s="267">
        <v>2019</v>
      </c>
      <c r="D1490" s="267">
        <v>1</v>
      </c>
      <c r="E1490" s="267">
        <v>1</v>
      </c>
      <c r="F1490" s="267" t="s">
        <v>944</v>
      </c>
      <c r="G1490" s="267" t="s">
        <v>3926</v>
      </c>
      <c r="H1490" s="267" t="s">
        <v>5747</v>
      </c>
      <c r="I1490" s="267" t="s">
        <v>3025</v>
      </c>
      <c r="J1490" s="267" t="s">
        <v>3928</v>
      </c>
      <c r="K1490" s="267">
        <v>6473</v>
      </c>
      <c r="L1490" s="267">
        <v>167202</v>
      </c>
      <c r="M1490" s="267" t="s">
        <v>3935</v>
      </c>
      <c r="N1490" s="267" t="s">
        <v>3929</v>
      </c>
      <c r="O1490" s="267">
        <v>5359.14</v>
      </c>
      <c r="P1490" s="267" t="s">
        <v>3930</v>
      </c>
      <c r="Q1490" s="267" t="s">
        <v>3931</v>
      </c>
      <c r="R1490" s="267">
        <v>10359.14</v>
      </c>
      <c r="S1490" s="267">
        <v>34744</v>
      </c>
      <c r="T1490" s="267">
        <v>45103.14</v>
      </c>
      <c r="U1490" s="268" t="s">
        <v>3932</v>
      </c>
      <c r="V1490" s="267" t="s">
        <v>944</v>
      </c>
    </row>
    <row r="1491" spans="1:22" hidden="1" x14ac:dyDescent="0.25">
      <c r="A1491" s="269">
        <v>43552</v>
      </c>
      <c r="B1491" s="270">
        <v>2019</v>
      </c>
      <c r="C1491" s="270">
        <v>2019</v>
      </c>
      <c r="D1491" s="270">
        <v>1</v>
      </c>
      <c r="E1491" s="270">
        <v>1</v>
      </c>
      <c r="F1491" s="270" t="s">
        <v>944</v>
      </c>
      <c r="G1491" s="270" t="s">
        <v>3926</v>
      </c>
      <c r="H1491" s="270" t="s">
        <v>5748</v>
      </c>
      <c r="I1491" s="270" t="s">
        <v>4172</v>
      </c>
      <c r="J1491" s="270" t="s">
        <v>3928</v>
      </c>
      <c r="K1491" s="270">
        <v>6786</v>
      </c>
      <c r="L1491" s="270">
        <v>425500</v>
      </c>
      <c r="M1491" s="270" t="s">
        <v>3940</v>
      </c>
      <c r="N1491" s="270" t="s">
        <v>5749</v>
      </c>
      <c r="O1491" s="270">
        <v>0</v>
      </c>
      <c r="P1491" s="270" t="s">
        <v>3930</v>
      </c>
      <c r="Q1491" s="270" t="s">
        <v>3930</v>
      </c>
      <c r="R1491" s="270">
        <v>0</v>
      </c>
      <c r="S1491" s="270">
        <v>7717.04</v>
      </c>
      <c r="T1491" s="270">
        <v>7717.04</v>
      </c>
      <c r="U1491" s="271" t="s">
        <v>3937</v>
      </c>
      <c r="V1491" s="267" t="s">
        <v>944</v>
      </c>
    </row>
    <row r="1492" spans="1:22" hidden="1" x14ac:dyDescent="0.25">
      <c r="A1492" s="266">
        <v>43552</v>
      </c>
      <c r="B1492" s="267">
        <v>2019</v>
      </c>
      <c r="C1492" s="267">
        <v>2019</v>
      </c>
      <c r="D1492" s="267">
        <v>1</v>
      </c>
      <c r="E1492" s="267">
        <v>1</v>
      </c>
      <c r="F1492" s="267" t="s">
        <v>944</v>
      </c>
      <c r="G1492" s="267" t="s">
        <v>3926</v>
      </c>
      <c r="H1492" s="267" t="s">
        <v>5750</v>
      </c>
      <c r="I1492" s="267" t="s">
        <v>3008</v>
      </c>
      <c r="J1492" s="267" t="s">
        <v>3928</v>
      </c>
      <c r="K1492" s="267">
        <v>6460</v>
      </c>
      <c r="L1492" s="267">
        <v>150900</v>
      </c>
      <c r="M1492" s="267" t="s">
        <v>3943</v>
      </c>
      <c r="N1492" s="267" t="s">
        <v>4103</v>
      </c>
      <c r="O1492" s="267">
        <v>4471.2</v>
      </c>
      <c r="P1492" s="267" t="s">
        <v>3930</v>
      </c>
      <c r="Q1492" s="267" t="s">
        <v>3931</v>
      </c>
      <c r="R1492" s="267">
        <v>9471.2000000000007</v>
      </c>
      <c r="S1492" s="267">
        <v>24145.599999999999</v>
      </c>
      <c r="T1492" s="267">
        <v>33616.800000000003</v>
      </c>
      <c r="U1492" s="268" t="s">
        <v>3932</v>
      </c>
      <c r="V1492" s="267" t="s">
        <v>944</v>
      </c>
    </row>
    <row r="1493" spans="1:22" hidden="1" x14ac:dyDescent="0.25">
      <c r="A1493" s="269">
        <v>43552</v>
      </c>
      <c r="B1493" s="270">
        <v>2019</v>
      </c>
      <c r="C1493" s="270">
        <v>2019</v>
      </c>
      <c r="D1493" s="270">
        <v>1</v>
      </c>
      <c r="E1493" s="270">
        <v>1</v>
      </c>
      <c r="F1493" s="270" t="s">
        <v>944</v>
      </c>
      <c r="G1493" s="270" t="s">
        <v>3926</v>
      </c>
      <c r="H1493" s="270" t="s">
        <v>5751</v>
      </c>
      <c r="I1493" s="270" t="s">
        <v>2985</v>
      </c>
      <c r="J1493" s="270" t="s">
        <v>3928</v>
      </c>
      <c r="K1493" s="270">
        <v>6824</v>
      </c>
      <c r="L1493" s="270">
        <v>61500</v>
      </c>
      <c r="M1493" s="270" t="s">
        <v>3943</v>
      </c>
      <c r="N1493" s="270" t="s">
        <v>3944</v>
      </c>
      <c r="O1493" s="270">
        <v>6706</v>
      </c>
      <c r="P1493" s="270" t="s">
        <v>3944</v>
      </c>
      <c r="Q1493" s="270" t="s">
        <v>3944</v>
      </c>
      <c r="R1493" s="270">
        <v>6706</v>
      </c>
      <c r="S1493" s="270">
        <v>43908.2</v>
      </c>
      <c r="T1493" s="270">
        <v>50614.2</v>
      </c>
      <c r="U1493" s="271" t="s">
        <v>3945</v>
      </c>
      <c r="V1493" s="267" t="s">
        <v>944</v>
      </c>
    </row>
    <row r="1494" spans="1:22" hidden="1" x14ac:dyDescent="0.25">
      <c r="A1494" s="266">
        <v>43552</v>
      </c>
      <c r="B1494" s="267">
        <v>2019</v>
      </c>
      <c r="C1494" s="267">
        <v>2019</v>
      </c>
      <c r="D1494" s="267">
        <v>1</v>
      </c>
      <c r="E1494" s="267">
        <v>1</v>
      </c>
      <c r="F1494" s="267" t="s">
        <v>944</v>
      </c>
      <c r="G1494" s="267" t="s">
        <v>3926</v>
      </c>
      <c r="H1494" s="267" t="s">
        <v>5752</v>
      </c>
      <c r="I1494" s="267" t="s">
        <v>3011</v>
      </c>
      <c r="J1494" s="267" t="s">
        <v>3928</v>
      </c>
      <c r="K1494" s="267">
        <v>6418</v>
      </c>
      <c r="L1494" s="267">
        <v>120200</v>
      </c>
      <c r="M1494" s="267">
        <v>-60</v>
      </c>
      <c r="N1494" s="267" t="s">
        <v>3944</v>
      </c>
      <c r="O1494" s="267">
        <v>6239</v>
      </c>
      <c r="P1494" s="267" t="s">
        <v>3944</v>
      </c>
      <c r="Q1494" s="267" t="s">
        <v>3944</v>
      </c>
      <c r="R1494" s="267">
        <v>6239</v>
      </c>
      <c r="S1494" s="267">
        <v>48193</v>
      </c>
      <c r="T1494" s="267">
        <v>54432</v>
      </c>
      <c r="U1494" s="268" t="s">
        <v>3945</v>
      </c>
      <c r="V1494" s="267" t="s">
        <v>944</v>
      </c>
    </row>
    <row r="1495" spans="1:22" hidden="1" x14ac:dyDescent="0.25">
      <c r="A1495" s="269">
        <v>43552</v>
      </c>
      <c r="B1495" s="270">
        <v>2019</v>
      </c>
      <c r="C1495" s="270">
        <v>2019</v>
      </c>
      <c r="D1495" s="270">
        <v>1</v>
      </c>
      <c r="E1495" s="270">
        <v>1</v>
      </c>
      <c r="F1495" s="270" t="s">
        <v>944</v>
      </c>
      <c r="G1495" s="270" t="s">
        <v>3926</v>
      </c>
      <c r="H1495" s="270" t="s">
        <v>5753</v>
      </c>
      <c r="I1495" s="270" t="s">
        <v>3008</v>
      </c>
      <c r="J1495" s="270" t="s">
        <v>3928</v>
      </c>
      <c r="K1495" s="270">
        <v>6460</v>
      </c>
      <c r="L1495" s="270">
        <v>150200</v>
      </c>
      <c r="M1495" s="270" t="s">
        <v>3935</v>
      </c>
      <c r="N1495" s="270" t="s">
        <v>3944</v>
      </c>
      <c r="O1495" s="270">
        <v>3651</v>
      </c>
      <c r="P1495" s="270" t="s">
        <v>3944</v>
      </c>
      <c r="Q1495" s="270" t="s">
        <v>3944</v>
      </c>
      <c r="R1495" s="270">
        <v>3651</v>
      </c>
      <c r="S1495" s="270">
        <v>31644.75</v>
      </c>
      <c r="T1495" s="270">
        <v>35295.75</v>
      </c>
      <c r="U1495" s="271" t="s">
        <v>3945</v>
      </c>
      <c r="V1495" s="267" t="s">
        <v>944</v>
      </c>
    </row>
    <row r="1496" spans="1:22" hidden="1" x14ac:dyDescent="0.25">
      <c r="A1496" s="266">
        <v>43552</v>
      </c>
      <c r="B1496" s="267">
        <v>2019</v>
      </c>
      <c r="C1496" s="267">
        <v>2019</v>
      </c>
      <c r="D1496" s="267">
        <v>1</v>
      </c>
      <c r="E1496" s="267">
        <v>1</v>
      </c>
      <c r="F1496" s="267" t="s">
        <v>944</v>
      </c>
      <c r="G1496" s="267" t="s">
        <v>3926</v>
      </c>
      <c r="H1496" s="267" t="s">
        <v>5754</v>
      </c>
      <c r="I1496" s="267" t="s">
        <v>3026</v>
      </c>
      <c r="J1496" s="267" t="s">
        <v>3928</v>
      </c>
      <c r="K1496" s="267">
        <v>6471</v>
      </c>
      <c r="L1496" s="267">
        <v>186100</v>
      </c>
      <c r="M1496" s="267" t="s">
        <v>3935</v>
      </c>
      <c r="N1496" s="267" t="s">
        <v>3944</v>
      </c>
      <c r="O1496" s="267">
        <v>1743</v>
      </c>
      <c r="P1496" s="267" t="s">
        <v>3944</v>
      </c>
      <c r="Q1496" s="267" t="s">
        <v>3944</v>
      </c>
      <c r="R1496" s="267">
        <v>1743</v>
      </c>
      <c r="S1496" s="267">
        <v>13613.28</v>
      </c>
      <c r="T1496" s="267">
        <v>15356.28</v>
      </c>
      <c r="U1496" s="268" t="s">
        <v>3945</v>
      </c>
      <c r="V1496" s="267" t="s">
        <v>944</v>
      </c>
    </row>
    <row r="1497" spans="1:22" hidden="1" x14ac:dyDescent="0.25">
      <c r="A1497" s="269">
        <v>43552</v>
      </c>
      <c r="B1497" s="270">
        <v>2019</v>
      </c>
      <c r="C1497" s="270">
        <v>2019</v>
      </c>
      <c r="D1497" s="270">
        <v>1</v>
      </c>
      <c r="E1497" s="270">
        <v>1</v>
      </c>
      <c r="F1497" s="270" t="s">
        <v>944</v>
      </c>
      <c r="G1497" s="270" t="s">
        <v>3926</v>
      </c>
      <c r="H1497" s="270" t="s">
        <v>5755</v>
      </c>
      <c r="I1497" s="270" t="s">
        <v>934</v>
      </c>
      <c r="J1497" s="270" t="s">
        <v>3928</v>
      </c>
      <c r="K1497" s="270">
        <v>6606</v>
      </c>
      <c r="L1497" s="270">
        <v>72500</v>
      </c>
      <c r="M1497" s="270" t="s">
        <v>3940</v>
      </c>
      <c r="N1497" s="270" t="s">
        <v>3944</v>
      </c>
      <c r="O1497" s="270">
        <v>1863</v>
      </c>
      <c r="P1497" s="270" t="s">
        <v>3944</v>
      </c>
      <c r="Q1497" s="270" t="s">
        <v>3944</v>
      </c>
      <c r="R1497" s="270">
        <v>1863</v>
      </c>
      <c r="S1497" s="270">
        <v>15637</v>
      </c>
      <c r="T1497" s="270">
        <v>17500</v>
      </c>
      <c r="U1497" s="271" t="s">
        <v>3945</v>
      </c>
      <c r="V1497" s="267" t="s">
        <v>944</v>
      </c>
    </row>
    <row r="1498" spans="1:22" hidden="1" x14ac:dyDescent="0.25">
      <c r="A1498" s="266">
        <v>43552</v>
      </c>
      <c r="B1498" s="267">
        <v>2019</v>
      </c>
      <c r="C1498" s="267">
        <v>2019</v>
      </c>
      <c r="D1498" s="267">
        <v>1</v>
      </c>
      <c r="E1498" s="267">
        <v>1</v>
      </c>
      <c r="F1498" s="267" t="s">
        <v>944</v>
      </c>
      <c r="G1498" s="267" t="s">
        <v>3926</v>
      </c>
      <c r="H1498" s="267" t="s">
        <v>5756</v>
      </c>
      <c r="I1498" s="267" t="s">
        <v>3975</v>
      </c>
      <c r="J1498" s="267" t="s">
        <v>3928</v>
      </c>
      <c r="K1498" s="267">
        <v>6479</v>
      </c>
      <c r="L1498" s="267">
        <v>430400</v>
      </c>
      <c r="M1498" s="267" t="s">
        <v>3960</v>
      </c>
      <c r="N1498" s="267" t="s">
        <v>3944</v>
      </c>
      <c r="O1498" s="267">
        <v>4030.32</v>
      </c>
      <c r="P1498" s="267" t="s">
        <v>3944</v>
      </c>
      <c r="Q1498" s="267" t="s">
        <v>3944</v>
      </c>
      <c r="R1498" s="267">
        <v>4030.32</v>
      </c>
      <c r="S1498" s="267">
        <v>46203.79</v>
      </c>
      <c r="T1498" s="267">
        <v>50234.11</v>
      </c>
      <c r="U1498" s="268" t="s">
        <v>3945</v>
      </c>
      <c r="V1498" s="267" t="s">
        <v>944</v>
      </c>
    </row>
    <row r="1499" spans="1:22" hidden="1" x14ac:dyDescent="0.25">
      <c r="A1499" s="269">
        <v>43552</v>
      </c>
      <c r="B1499" s="270">
        <v>2019</v>
      </c>
      <c r="C1499" s="270">
        <v>2019</v>
      </c>
      <c r="D1499" s="270">
        <v>1</v>
      </c>
      <c r="E1499" s="270">
        <v>1</v>
      </c>
      <c r="F1499" s="270" t="s">
        <v>944</v>
      </c>
      <c r="G1499" s="270" t="s">
        <v>3926</v>
      </c>
      <c r="H1499" s="270" t="s">
        <v>5757</v>
      </c>
      <c r="I1499" s="270" t="s">
        <v>3966</v>
      </c>
      <c r="J1499" s="270" t="s">
        <v>3928</v>
      </c>
      <c r="K1499" s="270">
        <v>6010</v>
      </c>
      <c r="L1499" s="270">
        <v>405900</v>
      </c>
      <c r="M1499" s="270" t="s">
        <v>3960</v>
      </c>
      <c r="N1499" s="270" t="s">
        <v>3944</v>
      </c>
      <c r="O1499" s="270">
        <v>2382.77</v>
      </c>
      <c r="P1499" s="270" t="s">
        <v>3944</v>
      </c>
      <c r="Q1499" s="270" t="s">
        <v>3944</v>
      </c>
      <c r="R1499" s="270">
        <v>2382.77</v>
      </c>
      <c r="S1499" s="270">
        <v>30326.97</v>
      </c>
      <c r="T1499" s="270">
        <v>32709.74</v>
      </c>
      <c r="U1499" s="271" t="s">
        <v>3945</v>
      </c>
      <c r="V1499" s="267" t="s">
        <v>944</v>
      </c>
    </row>
    <row r="1500" spans="1:22" hidden="1" x14ac:dyDescent="0.25">
      <c r="A1500" s="266">
        <v>43552</v>
      </c>
      <c r="B1500" s="267">
        <v>2019</v>
      </c>
      <c r="C1500" s="267">
        <v>2019</v>
      </c>
      <c r="D1500" s="267">
        <v>1</v>
      </c>
      <c r="E1500" s="267">
        <v>1</v>
      </c>
      <c r="F1500" s="267" t="s">
        <v>944</v>
      </c>
      <c r="G1500" s="267" t="s">
        <v>3926</v>
      </c>
      <c r="H1500" s="267" t="s">
        <v>5758</v>
      </c>
      <c r="I1500" s="267" t="s">
        <v>3008</v>
      </c>
      <c r="J1500" s="267" t="s">
        <v>3928</v>
      </c>
      <c r="K1500" s="267">
        <v>6460</v>
      </c>
      <c r="L1500" s="267">
        <v>150800</v>
      </c>
      <c r="M1500" s="267" t="s">
        <v>3960</v>
      </c>
      <c r="N1500" s="267" t="s">
        <v>3944</v>
      </c>
      <c r="O1500" s="267">
        <v>2520.91</v>
      </c>
      <c r="P1500" s="267" t="s">
        <v>3944</v>
      </c>
      <c r="Q1500" s="267" t="s">
        <v>3944</v>
      </c>
      <c r="R1500" s="267">
        <v>2520.91</v>
      </c>
      <c r="S1500" s="267">
        <v>39153.589999999997</v>
      </c>
      <c r="T1500" s="267">
        <v>41674.5</v>
      </c>
      <c r="U1500" s="268" t="s">
        <v>3945</v>
      </c>
      <c r="V1500" s="267" t="s">
        <v>944</v>
      </c>
    </row>
    <row r="1501" spans="1:22" hidden="1" x14ac:dyDescent="0.25">
      <c r="A1501" s="269">
        <v>43552</v>
      </c>
      <c r="B1501" s="270">
        <v>2019</v>
      </c>
      <c r="C1501" s="270">
        <v>2019</v>
      </c>
      <c r="D1501" s="270">
        <v>1</v>
      </c>
      <c r="E1501" s="270">
        <v>1</v>
      </c>
      <c r="F1501" s="270" t="s">
        <v>944</v>
      </c>
      <c r="G1501" s="270" t="s">
        <v>3926</v>
      </c>
      <c r="H1501" s="270" t="s">
        <v>5759</v>
      </c>
      <c r="I1501" s="270" t="s">
        <v>943</v>
      </c>
      <c r="J1501" s="270" t="s">
        <v>3928</v>
      </c>
      <c r="K1501" s="270">
        <v>6515</v>
      </c>
      <c r="L1501" s="270">
        <v>141000</v>
      </c>
      <c r="M1501" s="270" t="s">
        <v>3960</v>
      </c>
      <c r="N1501" s="270" t="s">
        <v>3944</v>
      </c>
      <c r="O1501" s="270">
        <v>2348.36</v>
      </c>
      <c r="P1501" s="270" t="s">
        <v>3944</v>
      </c>
      <c r="Q1501" s="270" t="s">
        <v>3944</v>
      </c>
      <c r="R1501" s="270">
        <v>2348.36</v>
      </c>
      <c r="S1501" s="270">
        <v>35687.33</v>
      </c>
      <c r="T1501" s="270">
        <v>38035.69</v>
      </c>
      <c r="U1501" s="271" t="s">
        <v>3945</v>
      </c>
      <c r="V1501" s="267" t="s">
        <v>944</v>
      </c>
    </row>
    <row r="1502" spans="1:22" hidden="1" x14ac:dyDescent="0.25">
      <c r="A1502" s="266">
        <v>43552</v>
      </c>
      <c r="B1502" s="267">
        <v>2019</v>
      </c>
      <c r="C1502" s="267">
        <v>2019</v>
      </c>
      <c r="D1502" s="267">
        <v>1</v>
      </c>
      <c r="E1502" s="267">
        <v>1</v>
      </c>
      <c r="F1502" s="267" t="s">
        <v>944</v>
      </c>
      <c r="G1502" s="267" t="s">
        <v>3926</v>
      </c>
      <c r="H1502" s="267" t="s">
        <v>5760</v>
      </c>
      <c r="I1502" s="267" t="s">
        <v>4269</v>
      </c>
      <c r="J1502" s="267" t="s">
        <v>3928</v>
      </c>
      <c r="K1502" s="267">
        <v>6110</v>
      </c>
      <c r="L1502" s="267">
        <v>496200</v>
      </c>
      <c r="M1502" s="267" t="s">
        <v>3935</v>
      </c>
      <c r="N1502" s="267" t="s">
        <v>3944</v>
      </c>
      <c r="O1502" s="267">
        <v>1447.85</v>
      </c>
      <c r="P1502" s="267" t="s">
        <v>3944</v>
      </c>
      <c r="Q1502" s="267" t="s">
        <v>3944</v>
      </c>
      <c r="R1502" s="267">
        <v>1447.85</v>
      </c>
      <c r="S1502" s="267">
        <v>18066.400000000001</v>
      </c>
      <c r="T1502" s="267">
        <v>19514.25</v>
      </c>
      <c r="U1502" s="268" t="s">
        <v>3945</v>
      </c>
      <c r="V1502" s="267" t="s">
        <v>944</v>
      </c>
    </row>
    <row r="1503" spans="1:22" hidden="1" x14ac:dyDescent="0.25">
      <c r="A1503" s="269">
        <v>43552</v>
      </c>
      <c r="B1503" s="270">
        <v>2019</v>
      </c>
      <c r="C1503" s="270">
        <v>2019</v>
      </c>
      <c r="D1503" s="270">
        <v>1</v>
      </c>
      <c r="E1503" s="270">
        <v>1</v>
      </c>
      <c r="F1503" s="270" t="s">
        <v>944</v>
      </c>
      <c r="G1503" s="270" t="s">
        <v>3926</v>
      </c>
      <c r="H1503" s="270" t="s">
        <v>5761</v>
      </c>
      <c r="I1503" s="270" t="s">
        <v>5147</v>
      </c>
      <c r="J1503" s="270" t="s">
        <v>3928</v>
      </c>
      <c r="K1503" s="270">
        <v>6468</v>
      </c>
      <c r="L1503" s="270">
        <v>100200</v>
      </c>
      <c r="M1503" s="270" t="s">
        <v>3943</v>
      </c>
      <c r="N1503" s="270" t="s">
        <v>3944</v>
      </c>
      <c r="O1503" s="270">
        <v>2939.02</v>
      </c>
      <c r="P1503" s="270" t="s">
        <v>3944</v>
      </c>
      <c r="Q1503" s="270" t="s">
        <v>3944</v>
      </c>
      <c r="R1503" s="270">
        <v>2939.02</v>
      </c>
      <c r="S1503" s="270">
        <v>38836.1</v>
      </c>
      <c r="T1503" s="270">
        <v>41775.120000000003</v>
      </c>
      <c r="U1503" s="271" t="s">
        <v>3945</v>
      </c>
      <c r="V1503" s="267" t="s">
        <v>944</v>
      </c>
    </row>
    <row r="1504" spans="1:22" hidden="1" x14ac:dyDescent="0.25">
      <c r="A1504" s="266">
        <v>43552</v>
      </c>
      <c r="B1504" s="267">
        <v>2019</v>
      </c>
      <c r="C1504" s="267">
        <v>2019</v>
      </c>
      <c r="D1504" s="267">
        <v>1</v>
      </c>
      <c r="E1504" s="267">
        <v>1</v>
      </c>
      <c r="F1504" s="267" t="s">
        <v>944</v>
      </c>
      <c r="G1504" s="267" t="s">
        <v>3926</v>
      </c>
      <c r="H1504" s="267" t="s">
        <v>5762</v>
      </c>
      <c r="I1504" s="267" t="s">
        <v>3993</v>
      </c>
      <c r="J1504" s="267" t="s">
        <v>3928</v>
      </c>
      <c r="K1504" s="267">
        <v>6415</v>
      </c>
      <c r="L1504" s="267">
        <v>714103</v>
      </c>
      <c r="M1504" s="267" t="s">
        <v>3943</v>
      </c>
      <c r="N1504" s="267" t="s">
        <v>3944</v>
      </c>
      <c r="O1504" s="267">
        <v>2907.91</v>
      </c>
      <c r="P1504" s="267" t="s">
        <v>3944</v>
      </c>
      <c r="Q1504" s="267" t="s">
        <v>3944</v>
      </c>
      <c r="R1504" s="267">
        <v>2907.91</v>
      </c>
      <c r="S1504" s="267">
        <v>35500.32</v>
      </c>
      <c r="T1504" s="267">
        <v>38408.230000000003</v>
      </c>
      <c r="U1504" s="268" t="s">
        <v>3945</v>
      </c>
      <c r="V1504" s="267" t="s">
        <v>944</v>
      </c>
    </row>
    <row r="1505" spans="1:22" hidden="1" x14ac:dyDescent="0.25">
      <c r="A1505" s="269">
        <v>43552</v>
      </c>
      <c r="B1505" s="270">
        <v>2019</v>
      </c>
      <c r="C1505" s="270">
        <v>2019</v>
      </c>
      <c r="D1505" s="270">
        <v>1</v>
      </c>
      <c r="E1505" s="270">
        <v>1</v>
      </c>
      <c r="F1505" s="270" t="s">
        <v>944</v>
      </c>
      <c r="G1505" s="270" t="s">
        <v>3926</v>
      </c>
      <c r="H1505" s="270" t="s">
        <v>5763</v>
      </c>
      <c r="I1505" s="270" t="s">
        <v>4200</v>
      </c>
      <c r="J1505" s="270" t="s">
        <v>3928</v>
      </c>
      <c r="K1505" s="270">
        <v>6779</v>
      </c>
      <c r="L1505" s="270">
        <v>360300</v>
      </c>
      <c r="M1505" s="270" t="s">
        <v>3935</v>
      </c>
      <c r="N1505" s="270" t="s">
        <v>3944</v>
      </c>
      <c r="O1505" s="270">
        <v>843.68</v>
      </c>
      <c r="P1505" s="270" t="s">
        <v>3944</v>
      </c>
      <c r="Q1505" s="270" t="s">
        <v>3944</v>
      </c>
      <c r="R1505" s="270">
        <v>843.68</v>
      </c>
      <c r="S1505" s="270">
        <v>11310.14</v>
      </c>
      <c r="T1505" s="270">
        <v>12153.82</v>
      </c>
      <c r="U1505" s="271" t="s">
        <v>3945</v>
      </c>
      <c r="V1505" s="267" t="s">
        <v>944</v>
      </c>
    </row>
    <row r="1506" spans="1:22" hidden="1" x14ac:dyDescent="0.25">
      <c r="A1506" s="266">
        <v>43552</v>
      </c>
      <c r="B1506" s="267">
        <v>2019</v>
      </c>
      <c r="C1506" s="267">
        <v>2019</v>
      </c>
      <c r="D1506" s="267">
        <v>1</v>
      </c>
      <c r="E1506" s="267">
        <v>1</v>
      </c>
      <c r="F1506" s="267" t="s">
        <v>944</v>
      </c>
      <c r="G1506" s="267" t="s">
        <v>3926</v>
      </c>
      <c r="H1506" s="267" t="s">
        <v>5764</v>
      </c>
      <c r="I1506" s="267" t="s">
        <v>4005</v>
      </c>
      <c r="J1506" s="267" t="s">
        <v>3928</v>
      </c>
      <c r="K1506" s="267">
        <v>6108</v>
      </c>
      <c r="L1506" s="267">
        <v>510200</v>
      </c>
      <c r="M1506" s="267">
        <v>-60</v>
      </c>
      <c r="N1506" s="267" t="s">
        <v>3944</v>
      </c>
      <c r="O1506" s="267">
        <v>1280.06</v>
      </c>
      <c r="P1506" s="267" t="s">
        <v>3944</v>
      </c>
      <c r="Q1506" s="267" t="s">
        <v>3944</v>
      </c>
      <c r="R1506" s="267">
        <v>1280.06</v>
      </c>
      <c r="S1506" s="267">
        <v>17467.330000000002</v>
      </c>
      <c r="T1506" s="267">
        <v>18747.39</v>
      </c>
      <c r="U1506" s="268" t="s">
        <v>3945</v>
      </c>
      <c r="V1506" s="267" t="s">
        <v>944</v>
      </c>
    </row>
    <row r="1507" spans="1:22" hidden="1" x14ac:dyDescent="0.25">
      <c r="A1507" s="269">
        <v>43552</v>
      </c>
      <c r="B1507" s="270">
        <v>2019</v>
      </c>
      <c r="C1507" s="270">
        <v>2019</v>
      </c>
      <c r="D1507" s="270">
        <v>1</v>
      </c>
      <c r="E1507" s="270">
        <v>1</v>
      </c>
      <c r="F1507" s="270" t="s">
        <v>944</v>
      </c>
      <c r="G1507" s="270" t="s">
        <v>3926</v>
      </c>
      <c r="H1507" s="270" t="s">
        <v>5765</v>
      </c>
      <c r="I1507" s="270" t="s">
        <v>4111</v>
      </c>
      <c r="J1507" s="270" t="s">
        <v>3928</v>
      </c>
      <c r="K1507" s="270">
        <v>6095</v>
      </c>
      <c r="L1507" s="270">
        <v>473700</v>
      </c>
      <c r="M1507" s="270" t="s">
        <v>3935</v>
      </c>
      <c r="N1507" s="270" t="s">
        <v>3944</v>
      </c>
      <c r="O1507" s="270">
        <v>1596.32</v>
      </c>
      <c r="P1507" s="270" t="s">
        <v>3944</v>
      </c>
      <c r="Q1507" s="270" t="s">
        <v>3944</v>
      </c>
      <c r="R1507" s="270">
        <v>1596.32</v>
      </c>
      <c r="S1507" s="270">
        <v>21596.54</v>
      </c>
      <c r="T1507" s="270">
        <v>23192.86</v>
      </c>
      <c r="U1507" s="271" t="s">
        <v>3945</v>
      </c>
      <c r="V1507" s="267" t="s">
        <v>944</v>
      </c>
    </row>
    <row r="1508" spans="1:22" hidden="1" x14ac:dyDescent="0.25">
      <c r="A1508" s="266">
        <v>43552</v>
      </c>
      <c r="B1508" s="267">
        <v>2019</v>
      </c>
      <c r="C1508" s="267">
        <v>2019</v>
      </c>
      <c r="D1508" s="267">
        <v>1</v>
      </c>
      <c r="E1508" s="267">
        <v>1</v>
      </c>
      <c r="F1508" s="267" t="s">
        <v>944</v>
      </c>
      <c r="G1508" s="267" t="s">
        <v>3926</v>
      </c>
      <c r="H1508" s="267" t="s">
        <v>5766</v>
      </c>
      <c r="I1508" s="267" t="s">
        <v>3968</v>
      </c>
      <c r="J1508" s="267" t="s">
        <v>3928</v>
      </c>
      <c r="K1508" s="267">
        <v>6040</v>
      </c>
      <c r="L1508" s="267">
        <v>514300</v>
      </c>
      <c r="M1508" s="267" t="s">
        <v>3935</v>
      </c>
      <c r="N1508" s="267" t="s">
        <v>3944</v>
      </c>
      <c r="O1508" s="267">
        <v>1327.13</v>
      </c>
      <c r="P1508" s="267" t="s">
        <v>3944</v>
      </c>
      <c r="Q1508" s="267" t="s">
        <v>3944</v>
      </c>
      <c r="R1508" s="267">
        <v>1327.13</v>
      </c>
      <c r="S1508" s="267">
        <v>18132.87</v>
      </c>
      <c r="T1508" s="267">
        <v>19460</v>
      </c>
      <c r="U1508" s="268" t="s">
        <v>3945</v>
      </c>
      <c r="V1508" s="267" t="s">
        <v>944</v>
      </c>
    </row>
    <row r="1509" spans="1:22" hidden="1" x14ac:dyDescent="0.25">
      <c r="A1509" s="269">
        <v>43552</v>
      </c>
      <c r="B1509" s="270">
        <v>2019</v>
      </c>
      <c r="C1509" s="270">
        <v>2019</v>
      </c>
      <c r="D1509" s="270">
        <v>1</v>
      </c>
      <c r="E1509" s="270">
        <v>1</v>
      </c>
      <c r="F1509" s="270" t="s">
        <v>944</v>
      </c>
      <c r="G1509" s="270" t="s">
        <v>3926</v>
      </c>
      <c r="H1509" s="270" t="s">
        <v>5767</v>
      </c>
      <c r="I1509" s="270" t="s">
        <v>4037</v>
      </c>
      <c r="J1509" s="270" t="s">
        <v>3928</v>
      </c>
      <c r="K1509" s="270">
        <v>6810</v>
      </c>
      <c r="L1509" s="270">
        <v>210400</v>
      </c>
      <c r="M1509" s="270" t="s">
        <v>3935</v>
      </c>
      <c r="N1509" s="270" t="s">
        <v>3944</v>
      </c>
      <c r="O1509" s="270">
        <v>2469.46</v>
      </c>
      <c r="P1509" s="270" t="s">
        <v>3944</v>
      </c>
      <c r="Q1509" s="270" t="s">
        <v>3944</v>
      </c>
      <c r="R1509" s="270">
        <v>2469.46</v>
      </c>
      <c r="S1509" s="270">
        <v>37399.06</v>
      </c>
      <c r="T1509" s="270">
        <v>39868.519999999997</v>
      </c>
      <c r="U1509" s="271" t="s">
        <v>3945</v>
      </c>
      <c r="V1509" s="267" t="s">
        <v>944</v>
      </c>
    </row>
    <row r="1510" spans="1:22" hidden="1" x14ac:dyDescent="0.25">
      <c r="A1510" s="266">
        <v>43552</v>
      </c>
      <c r="B1510" s="267">
        <v>2019</v>
      </c>
      <c r="C1510" s="267">
        <v>2019</v>
      </c>
      <c r="D1510" s="267">
        <v>1</v>
      </c>
      <c r="E1510" s="267">
        <v>1</v>
      </c>
      <c r="F1510" s="267" t="s">
        <v>944</v>
      </c>
      <c r="G1510" s="267" t="s">
        <v>3926</v>
      </c>
      <c r="H1510" s="267" t="s">
        <v>5768</v>
      </c>
      <c r="I1510" s="267" t="s">
        <v>4111</v>
      </c>
      <c r="J1510" s="267" t="s">
        <v>3928</v>
      </c>
      <c r="K1510" s="267">
        <v>6095</v>
      </c>
      <c r="L1510" s="267">
        <v>473700</v>
      </c>
      <c r="M1510" s="267" t="s">
        <v>3935</v>
      </c>
      <c r="N1510" s="267" t="s">
        <v>3944</v>
      </c>
      <c r="O1510" s="267">
        <v>1786.09</v>
      </c>
      <c r="P1510" s="267" t="s">
        <v>3944</v>
      </c>
      <c r="Q1510" s="267" t="s">
        <v>3944</v>
      </c>
      <c r="R1510" s="267">
        <v>1786.09</v>
      </c>
      <c r="S1510" s="267">
        <v>24459.09</v>
      </c>
      <c r="T1510" s="267">
        <v>26245.18</v>
      </c>
      <c r="U1510" s="268" t="s">
        <v>3945</v>
      </c>
      <c r="V1510" s="267" t="s">
        <v>944</v>
      </c>
    </row>
    <row r="1511" spans="1:22" hidden="1" x14ac:dyDescent="0.25">
      <c r="A1511" s="269">
        <v>43552</v>
      </c>
      <c r="B1511" s="270">
        <v>2019</v>
      </c>
      <c r="C1511" s="270">
        <v>2019</v>
      </c>
      <c r="D1511" s="270">
        <v>1</v>
      </c>
      <c r="E1511" s="270">
        <v>1</v>
      </c>
      <c r="F1511" s="270" t="s">
        <v>944</v>
      </c>
      <c r="G1511" s="270" t="s">
        <v>3926</v>
      </c>
      <c r="H1511" s="270" t="s">
        <v>5769</v>
      </c>
      <c r="I1511" s="270" t="s">
        <v>4111</v>
      </c>
      <c r="J1511" s="270" t="s">
        <v>3928</v>
      </c>
      <c r="K1511" s="270">
        <v>6095</v>
      </c>
      <c r="L1511" s="270">
        <v>473100</v>
      </c>
      <c r="M1511" s="270" t="s">
        <v>3960</v>
      </c>
      <c r="N1511" s="270" t="s">
        <v>3944</v>
      </c>
      <c r="O1511" s="270">
        <v>2308.9499999999998</v>
      </c>
      <c r="P1511" s="270" t="s">
        <v>3944</v>
      </c>
      <c r="Q1511" s="270" t="s">
        <v>3944</v>
      </c>
      <c r="R1511" s="270">
        <v>2308.9499999999998</v>
      </c>
      <c r="S1511" s="270">
        <v>33002.550000000003</v>
      </c>
      <c r="T1511" s="270">
        <v>35311.5</v>
      </c>
      <c r="U1511" s="271" t="s">
        <v>3945</v>
      </c>
      <c r="V1511" s="267" t="s">
        <v>944</v>
      </c>
    </row>
    <row r="1512" spans="1:22" hidden="1" x14ac:dyDescent="0.25">
      <c r="A1512" s="266">
        <v>43552</v>
      </c>
      <c r="B1512" s="267">
        <v>2019</v>
      </c>
      <c r="C1512" s="267">
        <v>2019</v>
      </c>
      <c r="D1512" s="267">
        <v>1</v>
      </c>
      <c r="E1512" s="267">
        <v>1</v>
      </c>
      <c r="F1512" s="267" t="s">
        <v>944</v>
      </c>
      <c r="G1512" s="267" t="s">
        <v>3926</v>
      </c>
      <c r="H1512" s="267" t="s">
        <v>5770</v>
      </c>
      <c r="I1512" s="267" t="s">
        <v>4276</v>
      </c>
      <c r="J1512" s="267" t="s">
        <v>3928</v>
      </c>
      <c r="K1512" s="267">
        <v>6331</v>
      </c>
      <c r="L1512" s="267">
        <v>906100</v>
      </c>
      <c r="M1512" s="267" t="s">
        <v>3960</v>
      </c>
      <c r="N1512" s="267" t="s">
        <v>3944</v>
      </c>
      <c r="O1512" s="267">
        <v>1726.17</v>
      </c>
      <c r="P1512" s="267" t="s">
        <v>3944</v>
      </c>
      <c r="Q1512" s="267" t="s">
        <v>3944</v>
      </c>
      <c r="R1512" s="267">
        <v>1726.17</v>
      </c>
      <c r="S1512" s="267">
        <v>26205.63</v>
      </c>
      <c r="T1512" s="267">
        <v>27931.8</v>
      </c>
      <c r="U1512" s="268" t="s">
        <v>3945</v>
      </c>
      <c r="V1512" s="267" t="s">
        <v>944</v>
      </c>
    </row>
    <row r="1513" spans="1:22" hidden="1" x14ac:dyDescent="0.25">
      <c r="A1513" s="269">
        <v>43552</v>
      </c>
      <c r="B1513" s="270">
        <v>2019</v>
      </c>
      <c r="C1513" s="270">
        <v>2019</v>
      </c>
      <c r="D1513" s="270">
        <v>1</v>
      </c>
      <c r="E1513" s="270">
        <v>1</v>
      </c>
      <c r="F1513" s="270" t="s">
        <v>944</v>
      </c>
      <c r="G1513" s="270" t="s">
        <v>3926</v>
      </c>
      <c r="H1513" s="270" t="s">
        <v>5771</v>
      </c>
      <c r="I1513" s="270" t="s">
        <v>4276</v>
      </c>
      <c r="J1513" s="270" t="s">
        <v>3928</v>
      </c>
      <c r="K1513" s="270">
        <v>6331</v>
      </c>
      <c r="L1513" s="270">
        <v>906100</v>
      </c>
      <c r="M1513" s="270" t="s">
        <v>3960</v>
      </c>
      <c r="N1513" s="270" t="s">
        <v>3944</v>
      </c>
      <c r="O1513" s="270">
        <v>1816.15</v>
      </c>
      <c r="P1513" s="270" t="s">
        <v>3944</v>
      </c>
      <c r="Q1513" s="270" t="s">
        <v>3944</v>
      </c>
      <c r="R1513" s="270">
        <v>1816.15</v>
      </c>
      <c r="S1513" s="270">
        <v>30073.93</v>
      </c>
      <c r="T1513" s="270">
        <v>31890.080000000002</v>
      </c>
      <c r="U1513" s="271" t="s">
        <v>3945</v>
      </c>
      <c r="V1513" s="267" t="s">
        <v>944</v>
      </c>
    </row>
    <row r="1514" spans="1:22" hidden="1" x14ac:dyDescent="0.25">
      <c r="A1514" s="266">
        <v>43552</v>
      </c>
      <c r="B1514" s="267">
        <v>2019</v>
      </c>
      <c r="C1514" s="267">
        <v>2019</v>
      </c>
      <c r="D1514" s="267">
        <v>1</v>
      </c>
      <c r="E1514" s="267">
        <v>1</v>
      </c>
      <c r="F1514" s="267" t="s">
        <v>944</v>
      </c>
      <c r="G1514" s="267" t="s">
        <v>3926</v>
      </c>
      <c r="H1514" s="267" t="s">
        <v>5772</v>
      </c>
      <c r="I1514" s="267" t="s">
        <v>3956</v>
      </c>
      <c r="J1514" s="267" t="s">
        <v>3928</v>
      </c>
      <c r="K1514" s="267">
        <v>6114</v>
      </c>
      <c r="L1514" s="267">
        <v>502300</v>
      </c>
      <c r="M1514" s="267">
        <v>-60</v>
      </c>
      <c r="N1514" s="267" t="s">
        <v>3944</v>
      </c>
      <c r="O1514" s="267">
        <v>1551.94</v>
      </c>
      <c r="P1514" s="267" t="s">
        <v>3944</v>
      </c>
      <c r="Q1514" s="267" t="s">
        <v>3944</v>
      </c>
      <c r="R1514" s="267">
        <v>1551.94</v>
      </c>
      <c r="S1514" s="267">
        <v>20830.88</v>
      </c>
      <c r="T1514" s="267">
        <v>22382.82</v>
      </c>
      <c r="U1514" s="268" t="s">
        <v>3945</v>
      </c>
      <c r="V1514" s="267" t="s">
        <v>944</v>
      </c>
    </row>
    <row r="1515" spans="1:22" hidden="1" x14ac:dyDescent="0.25">
      <c r="A1515" s="269">
        <v>43552</v>
      </c>
      <c r="B1515" s="270">
        <v>2019</v>
      </c>
      <c r="C1515" s="270">
        <v>2019</v>
      </c>
      <c r="D1515" s="270">
        <v>1</v>
      </c>
      <c r="E1515" s="270">
        <v>1</v>
      </c>
      <c r="F1515" s="270" t="s">
        <v>944</v>
      </c>
      <c r="G1515" s="270" t="s">
        <v>3926</v>
      </c>
      <c r="H1515" s="270" t="s">
        <v>5773</v>
      </c>
      <c r="I1515" s="270" t="s">
        <v>4137</v>
      </c>
      <c r="J1515" s="270" t="s">
        <v>3928</v>
      </c>
      <c r="K1515" s="270">
        <v>6067</v>
      </c>
      <c r="L1515" s="270">
        <v>490302</v>
      </c>
      <c r="M1515" s="270" t="s">
        <v>3960</v>
      </c>
      <c r="N1515" s="270" t="s">
        <v>3944</v>
      </c>
      <c r="O1515" s="270">
        <v>2017.54</v>
      </c>
      <c r="P1515" s="270" t="s">
        <v>3944</v>
      </c>
      <c r="Q1515" s="270" t="s">
        <v>3944</v>
      </c>
      <c r="R1515" s="270">
        <v>2017.54</v>
      </c>
      <c r="S1515" s="270">
        <v>26154.82</v>
      </c>
      <c r="T1515" s="270">
        <v>28172.36</v>
      </c>
      <c r="U1515" s="271" t="s">
        <v>3945</v>
      </c>
      <c r="V1515" s="267" t="s">
        <v>944</v>
      </c>
    </row>
    <row r="1516" spans="1:22" hidden="1" x14ac:dyDescent="0.25">
      <c r="A1516" s="266">
        <v>43553</v>
      </c>
      <c r="B1516" s="267">
        <v>2019</v>
      </c>
      <c r="C1516" s="267">
        <v>2019</v>
      </c>
      <c r="D1516" s="267">
        <v>1</v>
      </c>
      <c r="E1516" s="267">
        <v>1</v>
      </c>
      <c r="F1516" s="267" t="s">
        <v>944</v>
      </c>
      <c r="G1516" s="267" t="s">
        <v>3926</v>
      </c>
      <c r="H1516" s="267" t="s">
        <v>5774</v>
      </c>
      <c r="I1516" s="267" t="s">
        <v>943</v>
      </c>
      <c r="J1516" s="267" t="s">
        <v>3928</v>
      </c>
      <c r="K1516" s="267">
        <v>6515</v>
      </c>
      <c r="L1516" s="267">
        <v>141000</v>
      </c>
      <c r="M1516" s="267" t="s">
        <v>3960</v>
      </c>
      <c r="N1516" s="267" t="s">
        <v>3941</v>
      </c>
      <c r="O1516" s="267">
        <v>0</v>
      </c>
      <c r="P1516" s="267" t="s">
        <v>3930</v>
      </c>
      <c r="Q1516" s="267" t="s">
        <v>3930</v>
      </c>
      <c r="R1516" s="267">
        <v>0</v>
      </c>
      <c r="S1516" s="267">
        <v>18850</v>
      </c>
      <c r="T1516" s="267">
        <v>18850</v>
      </c>
      <c r="U1516" s="268" t="s">
        <v>3937</v>
      </c>
      <c r="V1516" s="267" t="s">
        <v>944</v>
      </c>
    </row>
    <row r="1517" spans="1:22" hidden="1" x14ac:dyDescent="0.25">
      <c r="A1517" s="269">
        <v>43553</v>
      </c>
      <c r="B1517" s="270">
        <v>2019</v>
      </c>
      <c r="C1517" s="270">
        <v>2019</v>
      </c>
      <c r="D1517" s="270">
        <v>1</v>
      </c>
      <c r="E1517" s="270">
        <v>1</v>
      </c>
      <c r="F1517" s="270" t="s">
        <v>944</v>
      </c>
      <c r="G1517" s="270" t="s">
        <v>3926</v>
      </c>
      <c r="H1517" s="270" t="s">
        <v>5775</v>
      </c>
      <c r="I1517" s="270" t="s">
        <v>4422</v>
      </c>
      <c r="J1517" s="270" t="s">
        <v>3928</v>
      </c>
      <c r="K1517" s="270">
        <v>6801</v>
      </c>
      <c r="L1517" s="270">
        <v>200200</v>
      </c>
      <c r="M1517" s="270" t="s">
        <v>3940</v>
      </c>
      <c r="N1517" s="270" t="s">
        <v>5776</v>
      </c>
      <c r="O1517" s="270">
        <v>0</v>
      </c>
      <c r="P1517" s="270" t="s">
        <v>3930</v>
      </c>
      <c r="Q1517" s="270" t="s">
        <v>3930</v>
      </c>
      <c r="R1517" s="270">
        <v>0</v>
      </c>
      <c r="S1517" s="270">
        <v>4112</v>
      </c>
      <c r="T1517" s="270">
        <v>4112</v>
      </c>
      <c r="U1517" s="271" t="s">
        <v>3937</v>
      </c>
      <c r="V1517" s="267" t="s">
        <v>944</v>
      </c>
    </row>
    <row r="1518" spans="1:22" hidden="1" x14ac:dyDescent="0.25">
      <c r="A1518" s="266">
        <v>43553</v>
      </c>
      <c r="B1518" s="267">
        <v>2019</v>
      </c>
      <c r="C1518" s="267">
        <v>2019</v>
      </c>
      <c r="D1518" s="267">
        <v>1</v>
      </c>
      <c r="E1518" s="267">
        <v>1</v>
      </c>
      <c r="F1518" s="267" t="s">
        <v>944</v>
      </c>
      <c r="G1518" s="267" t="s">
        <v>3926</v>
      </c>
      <c r="H1518" s="267" t="s">
        <v>5777</v>
      </c>
      <c r="I1518" s="267" t="s">
        <v>4014</v>
      </c>
      <c r="J1518" s="267" t="s">
        <v>3928</v>
      </c>
      <c r="K1518" s="267">
        <v>6415</v>
      </c>
      <c r="L1518" s="267">
        <v>714104</v>
      </c>
      <c r="M1518" s="267" t="s">
        <v>3960</v>
      </c>
      <c r="N1518" s="267" t="s">
        <v>5778</v>
      </c>
      <c r="O1518" s="267">
        <v>0</v>
      </c>
      <c r="P1518" s="267" t="s">
        <v>3930</v>
      </c>
      <c r="Q1518" s="267" t="s">
        <v>3930</v>
      </c>
      <c r="R1518" s="267">
        <v>0</v>
      </c>
      <c r="S1518" s="267">
        <v>10487.65</v>
      </c>
      <c r="T1518" s="267">
        <v>10487.65</v>
      </c>
      <c r="U1518" s="268" t="s">
        <v>3937</v>
      </c>
      <c r="V1518" s="267" t="s">
        <v>944</v>
      </c>
    </row>
    <row r="1519" spans="1:22" hidden="1" x14ac:dyDescent="0.25">
      <c r="A1519" s="269">
        <v>43553</v>
      </c>
      <c r="B1519" s="270">
        <v>2019</v>
      </c>
      <c r="C1519" s="270">
        <v>2019</v>
      </c>
      <c r="D1519" s="270">
        <v>1</v>
      </c>
      <c r="E1519" s="270">
        <v>1</v>
      </c>
      <c r="F1519" s="270" t="s">
        <v>944</v>
      </c>
      <c r="G1519" s="270" t="s">
        <v>3926</v>
      </c>
      <c r="H1519" s="270" t="s">
        <v>5779</v>
      </c>
      <c r="I1519" s="270" t="s">
        <v>3025</v>
      </c>
      <c r="J1519" s="270" t="s">
        <v>3928</v>
      </c>
      <c r="K1519" s="270">
        <v>6473</v>
      </c>
      <c r="L1519" s="270">
        <v>167202</v>
      </c>
      <c r="M1519" s="270" t="s">
        <v>3935</v>
      </c>
      <c r="N1519" s="270" t="s">
        <v>3944</v>
      </c>
      <c r="O1519" s="270">
        <v>2324</v>
      </c>
      <c r="P1519" s="270" t="s">
        <v>3944</v>
      </c>
      <c r="Q1519" s="270" t="s">
        <v>3944</v>
      </c>
      <c r="R1519" s="270">
        <v>2324</v>
      </c>
      <c r="S1519" s="270">
        <v>19108</v>
      </c>
      <c r="T1519" s="270">
        <v>21432</v>
      </c>
      <c r="U1519" s="271" t="s">
        <v>3945</v>
      </c>
      <c r="V1519" s="267" t="s">
        <v>944</v>
      </c>
    </row>
    <row r="1520" spans="1:22" hidden="1" x14ac:dyDescent="0.25">
      <c r="A1520" s="266">
        <v>43553</v>
      </c>
      <c r="B1520" s="267">
        <v>2019</v>
      </c>
      <c r="C1520" s="267">
        <v>2019</v>
      </c>
      <c r="D1520" s="267">
        <v>1</v>
      </c>
      <c r="E1520" s="267">
        <v>1</v>
      </c>
      <c r="F1520" s="267" t="s">
        <v>944</v>
      </c>
      <c r="G1520" s="267" t="s">
        <v>3926</v>
      </c>
      <c r="H1520" s="267" t="s">
        <v>5780</v>
      </c>
      <c r="I1520" s="267" t="s">
        <v>3026</v>
      </c>
      <c r="J1520" s="267" t="s">
        <v>3928</v>
      </c>
      <c r="K1520" s="267">
        <v>6471</v>
      </c>
      <c r="L1520" s="267">
        <v>186100</v>
      </c>
      <c r="M1520" s="267" t="s">
        <v>3935</v>
      </c>
      <c r="N1520" s="267" t="s">
        <v>3944</v>
      </c>
      <c r="O1520" s="267">
        <v>4968</v>
      </c>
      <c r="P1520" s="267" t="s">
        <v>3944</v>
      </c>
      <c r="Q1520" s="267" t="s">
        <v>3944</v>
      </c>
      <c r="R1520" s="267">
        <v>4968</v>
      </c>
      <c r="S1520" s="267">
        <v>31584</v>
      </c>
      <c r="T1520" s="267">
        <v>36552</v>
      </c>
      <c r="U1520" s="268" t="s">
        <v>3945</v>
      </c>
      <c r="V1520" s="267" t="s">
        <v>944</v>
      </c>
    </row>
    <row r="1521" spans="1:22" hidden="1" x14ac:dyDescent="0.25">
      <c r="A1521" s="269">
        <v>43553</v>
      </c>
      <c r="B1521" s="270">
        <v>2019</v>
      </c>
      <c r="C1521" s="270">
        <v>2019</v>
      </c>
      <c r="D1521" s="270">
        <v>1</v>
      </c>
      <c r="E1521" s="270">
        <v>1</v>
      </c>
      <c r="F1521" s="270" t="s">
        <v>944</v>
      </c>
      <c r="G1521" s="270" t="s">
        <v>3926</v>
      </c>
      <c r="H1521" s="270" t="s">
        <v>5781</v>
      </c>
      <c r="I1521" s="270" t="s">
        <v>4519</v>
      </c>
      <c r="J1521" s="270" t="s">
        <v>3928</v>
      </c>
      <c r="K1521" s="270">
        <v>6840</v>
      </c>
      <c r="L1521" s="270">
        <v>35100</v>
      </c>
      <c r="M1521" s="270" t="s">
        <v>3943</v>
      </c>
      <c r="N1521" s="270" t="s">
        <v>3944</v>
      </c>
      <c r="O1521" s="270">
        <v>4651</v>
      </c>
      <c r="P1521" s="270" t="s">
        <v>3944</v>
      </c>
      <c r="Q1521" s="270" t="s">
        <v>3944</v>
      </c>
      <c r="R1521" s="270">
        <v>4651</v>
      </c>
      <c r="S1521" s="270">
        <v>49509</v>
      </c>
      <c r="T1521" s="270">
        <v>54160</v>
      </c>
      <c r="U1521" s="271" t="s">
        <v>3945</v>
      </c>
      <c r="V1521" s="267" t="s">
        <v>944</v>
      </c>
    </row>
    <row r="1522" spans="1:22" hidden="1" x14ac:dyDescent="0.25">
      <c r="A1522" s="266">
        <v>43553</v>
      </c>
      <c r="B1522" s="267">
        <v>2019</v>
      </c>
      <c r="C1522" s="267">
        <v>2019</v>
      </c>
      <c r="D1522" s="267">
        <v>1</v>
      </c>
      <c r="E1522" s="267">
        <v>1</v>
      </c>
      <c r="F1522" s="267" t="s">
        <v>944</v>
      </c>
      <c r="G1522" s="267" t="s">
        <v>3926</v>
      </c>
      <c r="H1522" s="267" t="s">
        <v>5782</v>
      </c>
      <c r="I1522" s="267" t="s">
        <v>4168</v>
      </c>
      <c r="J1522" s="267" t="s">
        <v>3928</v>
      </c>
      <c r="K1522" s="267">
        <v>6475</v>
      </c>
      <c r="L1522" s="267">
        <v>670200</v>
      </c>
      <c r="M1522" s="267" t="s">
        <v>3935</v>
      </c>
      <c r="N1522" s="267" t="s">
        <v>3944</v>
      </c>
      <c r="O1522" s="267">
        <v>3302</v>
      </c>
      <c r="P1522" s="267" t="s">
        <v>3944</v>
      </c>
      <c r="Q1522" s="267" t="s">
        <v>3944</v>
      </c>
      <c r="R1522" s="267">
        <v>3302</v>
      </c>
      <c r="S1522" s="267">
        <v>24418</v>
      </c>
      <c r="T1522" s="267">
        <v>27720</v>
      </c>
      <c r="U1522" s="268" t="s">
        <v>3945</v>
      </c>
      <c r="V1522" s="267" t="s">
        <v>944</v>
      </c>
    </row>
    <row r="1523" spans="1:22" hidden="1" x14ac:dyDescent="0.25">
      <c r="A1523" s="269">
        <v>43553</v>
      </c>
      <c r="B1523" s="270">
        <v>2019</v>
      </c>
      <c r="C1523" s="270">
        <v>2019</v>
      </c>
      <c r="D1523" s="270">
        <v>1</v>
      </c>
      <c r="E1523" s="270">
        <v>1</v>
      </c>
      <c r="F1523" s="270" t="s">
        <v>944</v>
      </c>
      <c r="G1523" s="270" t="s">
        <v>3926</v>
      </c>
      <c r="H1523" s="270" t="s">
        <v>5783</v>
      </c>
      <c r="I1523" s="270" t="s">
        <v>3008</v>
      </c>
      <c r="J1523" s="270" t="s">
        <v>3928</v>
      </c>
      <c r="K1523" s="270">
        <v>6461</v>
      </c>
      <c r="L1523" s="270">
        <v>150700</v>
      </c>
      <c r="M1523" s="270" t="s">
        <v>3943</v>
      </c>
      <c r="N1523" s="270" t="s">
        <v>3944</v>
      </c>
      <c r="O1523" s="270">
        <v>3663</v>
      </c>
      <c r="P1523" s="270" t="s">
        <v>3944</v>
      </c>
      <c r="Q1523" s="270" t="s">
        <v>3944</v>
      </c>
      <c r="R1523" s="270">
        <v>3663</v>
      </c>
      <c r="S1523" s="270">
        <v>22947</v>
      </c>
      <c r="T1523" s="270">
        <v>26610</v>
      </c>
      <c r="U1523" s="271" t="s">
        <v>3945</v>
      </c>
      <c r="V1523" s="267" t="s">
        <v>944</v>
      </c>
    </row>
    <row r="1524" spans="1:22" hidden="1" x14ac:dyDescent="0.25">
      <c r="A1524" s="266">
        <v>43553</v>
      </c>
      <c r="B1524" s="267">
        <v>2019</v>
      </c>
      <c r="C1524" s="267">
        <v>2019</v>
      </c>
      <c r="D1524" s="267">
        <v>1</v>
      </c>
      <c r="E1524" s="267">
        <v>1</v>
      </c>
      <c r="F1524" s="267" t="s">
        <v>944</v>
      </c>
      <c r="G1524" s="267" t="s">
        <v>3926</v>
      </c>
      <c r="H1524" s="267" t="s">
        <v>5784</v>
      </c>
      <c r="I1524" s="267" t="s">
        <v>4147</v>
      </c>
      <c r="J1524" s="267" t="s">
        <v>3928</v>
      </c>
      <c r="K1524" s="267">
        <v>6109</v>
      </c>
      <c r="L1524" s="267">
        <v>492100</v>
      </c>
      <c r="M1524" s="267" t="s">
        <v>3960</v>
      </c>
      <c r="N1524" s="267" t="s">
        <v>3944</v>
      </c>
      <c r="O1524" s="267">
        <v>2434</v>
      </c>
      <c r="P1524" s="267" t="s">
        <v>3944</v>
      </c>
      <c r="Q1524" s="267" t="s">
        <v>3944</v>
      </c>
      <c r="R1524" s="267">
        <v>2434</v>
      </c>
      <c r="S1524" s="267">
        <v>18828.5</v>
      </c>
      <c r="T1524" s="267">
        <v>21262.5</v>
      </c>
      <c r="U1524" s="268" t="s">
        <v>3945</v>
      </c>
      <c r="V1524" s="267" t="s">
        <v>944</v>
      </c>
    </row>
    <row r="1525" spans="1:22" hidden="1" x14ac:dyDescent="0.25">
      <c r="A1525" s="269">
        <v>43553</v>
      </c>
      <c r="B1525" s="270">
        <v>2019</v>
      </c>
      <c r="C1525" s="270">
        <v>2019</v>
      </c>
      <c r="D1525" s="270">
        <v>1</v>
      </c>
      <c r="E1525" s="270">
        <v>1</v>
      </c>
      <c r="F1525" s="270" t="s">
        <v>944</v>
      </c>
      <c r="G1525" s="270" t="s">
        <v>3926</v>
      </c>
      <c r="H1525" s="270" t="s">
        <v>5785</v>
      </c>
      <c r="I1525" s="270" t="s">
        <v>3962</v>
      </c>
      <c r="J1525" s="270" t="s">
        <v>3928</v>
      </c>
      <c r="K1525" s="270">
        <v>6355</v>
      </c>
      <c r="L1525" s="270">
        <v>705300</v>
      </c>
      <c r="M1525" s="270" t="s">
        <v>3960</v>
      </c>
      <c r="N1525" s="270" t="s">
        <v>3944</v>
      </c>
      <c r="O1525" s="270">
        <v>2558</v>
      </c>
      <c r="P1525" s="270" t="s">
        <v>3944</v>
      </c>
      <c r="Q1525" s="270" t="s">
        <v>3944</v>
      </c>
      <c r="R1525" s="270">
        <v>2558</v>
      </c>
      <c r="S1525" s="270">
        <v>24942</v>
      </c>
      <c r="T1525" s="270">
        <v>27500</v>
      </c>
      <c r="U1525" s="271" t="s">
        <v>3945</v>
      </c>
      <c r="V1525" s="267" t="s">
        <v>944</v>
      </c>
    </row>
    <row r="1526" spans="1:22" hidden="1" x14ac:dyDescent="0.25">
      <c r="A1526" s="266">
        <v>43553</v>
      </c>
      <c r="B1526" s="267">
        <v>2019</v>
      </c>
      <c r="C1526" s="267">
        <v>2019</v>
      </c>
      <c r="D1526" s="267">
        <v>1</v>
      </c>
      <c r="E1526" s="267">
        <v>1</v>
      </c>
      <c r="F1526" s="267" t="s">
        <v>944</v>
      </c>
      <c r="G1526" s="267" t="s">
        <v>3926</v>
      </c>
      <c r="H1526" s="267" t="s">
        <v>5786</v>
      </c>
      <c r="I1526" s="267" t="s">
        <v>950</v>
      </c>
      <c r="J1526" s="267" t="s">
        <v>3928</v>
      </c>
      <c r="K1526" s="267">
        <v>6516</v>
      </c>
      <c r="L1526" s="267">
        <v>154700</v>
      </c>
      <c r="M1526" s="267" t="s">
        <v>3960</v>
      </c>
      <c r="N1526" s="267" t="s">
        <v>3944</v>
      </c>
      <c r="O1526" s="267">
        <v>2322.0100000000002</v>
      </c>
      <c r="P1526" s="267" t="s">
        <v>3944</v>
      </c>
      <c r="Q1526" s="267" t="s">
        <v>3944</v>
      </c>
      <c r="R1526" s="267">
        <v>2322.0100000000002</v>
      </c>
      <c r="S1526" s="267">
        <v>35891.279999999999</v>
      </c>
      <c r="T1526" s="267">
        <v>38213.29</v>
      </c>
      <c r="U1526" s="268" t="s">
        <v>3945</v>
      </c>
      <c r="V1526" s="267" t="s">
        <v>944</v>
      </c>
    </row>
    <row r="1527" spans="1:22" hidden="1" x14ac:dyDescent="0.25">
      <c r="A1527" s="269">
        <v>43553</v>
      </c>
      <c r="B1527" s="270">
        <v>2019</v>
      </c>
      <c r="C1527" s="270">
        <v>2019</v>
      </c>
      <c r="D1527" s="270">
        <v>1</v>
      </c>
      <c r="E1527" s="270">
        <v>1</v>
      </c>
      <c r="F1527" s="270" t="s">
        <v>944</v>
      </c>
      <c r="G1527" s="270" t="s">
        <v>3926</v>
      </c>
      <c r="H1527" s="270" t="s">
        <v>5787</v>
      </c>
      <c r="I1527" s="270" t="s">
        <v>4114</v>
      </c>
      <c r="J1527" s="270" t="s">
        <v>3928</v>
      </c>
      <c r="K1527" s="270">
        <v>6410</v>
      </c>
      <c r="L1527" s="270">
        <v>343200</v>
      </c>
      <c r="M1527" s="270" t="s">
        <v>3943</v>
      </c>
      <c r="N1527" s="270" t="s">
        <v>3944</v>
      </c>
      <c r="O1527" s="270">
        <v>3029.01</v>
      </c>
      <c r="P1527" s="270" t="s">
        <v>3944</v>
      </c>
      <c r="Q1527" s="270" t="s">
        <v>3944</v>
      </c>
      <c r="R1527" s="270">
        <v>3029.01</v>
      </c>
      <c r="S1527" s="270">
        <v>34676.49</v>
      </c>
      <c r="T1527" s="270">
        <v>37705.5</v>
      </c>
      <c r="U1527" s="271" t="s">
        <v>3945</v>
      </c>
      <c r="V1527" s="267" t="s">
        <v>944</v>
      </c>
    </row>
    <row r="1528" spans="1:22" hidden="1" x14ac:dyDescent="0.25">
      <c r="A1528" s="266">
        <v>43553</v>
      </c>
      <c r="B1528" s="267">
        <v>2019</v>
      </c>
      <c r="C1528" s="267">
        <v>2019</v>
      </c>
      <c r="D1528" s="267">
        <v>1</v>
      </c>
      <c r="E1528" s="267">
        <v>1</v>
      </c>
      <c r="F1528" s="267" t="s">
        <v>944</v>
      </c>
      <c r="G1528" s="267" t="s">
        <v>3926</v>
      </c>
      <c r="H1528" s="267" t="s">
        <v>5788</v>
      </c>
      <c r="I1528" s="267" t="s">
        <v>4111</v>
      </c>
      <c r="J1528" s="267" t="s">
        <v>3928</v>
      </c>
      <c r="K1528" s="267">
        <v>6095</v>
      </c>
      <c r="L1528" s="267">
        <v>473501</v>
      </c>
      <c r="M1528" s="267" t="s">
        <v>3943</v>
      </c>
      <c r="N1528" s="267" t="s">
        <v>3944</v>
      </c>
      <c r="O1528" s="267">
        <v>1913.84</v>
      </c>
      <c r="P1528" s="267" t="s">
        <v>3944</v>
      </c>
      <c r="Q1528" s="267" t="s">
        <v>3944</v>
      </c>
      <c r="R1528" s="267">
        <v>1913.84</v>
      </c>
      <c r="S1528" s="267">
        <v>23818.400000000001</v>
      </c>
      <c r="T1528" s="267">
        <v>25732.240000000002</v>
      </c>
      <c r="U1528" s="268" t="s">
        <v>3945</v>
      </c>
      <c r="V1528" s="267" t="s">
        <v>944</v>
      </c>
    </row>
    <row r="1529" spans="1:22" hidden="1" x14ac:dyDescent="0.25">
      <c r="A1529" s="269">
        <v>43553</v>
      </c>
      <c r="B1529" s="270">
        <v>2019</v>
      </c>
      <c r="C1529" s="270">
        <v>2019</v>
      </c>
      <c r="D1529" s="270">
        <v>1</v>
      </c>
      <c r="E1529" s="270">
        <v>1</v>
      </c>
      <c r="F1529" s="270" t="s">
        <v>944</v>
      </c>
      <c r="G1529" s="270" t="s">
        <v>3926</v>
      </c>
      <c r="H1529" s="270" t="s">
        <v>5789</v>
      </c>
      <c r="I1529" s="270" t="s">
        <v>4079</v>
      </c>
      <c r="J1529" s="270" t="s">
        <v>3928</v>
      </c>
      <c r="K1529" s="270">
        <v>6111</v>
      </c>
      <c r="L1529" s="270">
        <v>494100</v>
      </c>
      <c r="M1529" s="270" t="s">
        <v>3935</v>
      </c>
      <c r="N1529" s="270" t="s">
        <v>3944</v>
      </c>
      <c r="O1529" s="270">
        <v>2477.7600000000002</v>
      </c>
      <c r="P1529" s="270" t="s">
        <v>3944</v>
      </c>
      <c r="Q1529" s="270" t="s">
        <v>3944</v>
      </c>
      <c r="R1529" s="270">
        <v>2477.7600000000002</v>
      </c>
      <c r="S1529" s="270">
        <v>37569.08</v>
      </c>
      <c r="T1529" s="270">
        <v>40046.839999999997</v>
      </c>
      <c r="U1529" s="271" t="s">
        <v>3945</v>
      </c>
      <c r="V1529" s="267" t="s">
        <v>944</v>
      </c>
    </row>
    <row r="1530" spans="1:22" hidden="1" x14ac:dyDescent="0.25">
      <c r="A1530" s="266">
        <v>43553</v>
      </c>
      <c r="B1530" s="267">
        <v>2019</v>
      </c>
      <c r="C1530" s="267">
        <v>2019</v>
      </c>
      <c r="D1530" s="267">
        <v>1</v>
      </c>
      <c r="E1530" s="267">
        <v>1</v>
      </c>
      <c r="F1530" s="267" t="s">
        <v>944</v>
      </c>
      <c r="G1530" s="267" t="s">
        <v>3926</v>
      </c>
      <c r="H1530" s="267" t="s">
        <v>5790</v>
      </c>
      <c r="I1530" s="267" t="s">
        <v>3011</v>
      </c>
      <c r="J1530" s="267" t="s">
        <v>3928</v>
      </c>
      <c r="K1530" s="267">
        <v>6418</v>
      </c>
      <c r="L1530" s="267">
        <v>120200</v>
      </c>
      <c r="M1530" s="267">
        <v>-60</v>
      </c>
      <c r="N1530" s="267" t="s">
        <v>3944</v>
      </c>
      <c r="O1530" s="267">
        <v>1278.17</v>
      </c>
      <c r="P1530" s="267" t="s">
        <v>3944</v>
      </c>
      <c r="Q1530" s="267" t="s">
        <v>3944</v>
      </c>
      <c r="R1530" s="267">
        <v>1278.17</v>
      </c>
      <c r="S1530" s="267">
        <v>19215.2</v>
      </c>
      <c r="T1530" s="267">
        <v>20493.37</v>
      </c>
      <c r="U1530" s="268" t="s">
        <v>3945</v>
      </c>
      <c r="V1530" s="267" t="s">
        <v>944</v>
      </c>
    </row>
    <row r="1531" spans="1:22" hidden="1" x14ac:dyDescent="0.25">
      <c r="A1531" s="269">
        <v>43553</v>
      </c>
      <c r="B1531" s="270">
        <v>2019</v>
      </c>
      <c r="C1531" s="270">
        <v>2019</v>
      </c>
      <c r="D1531" s="270">
        <v>1</v>
      </c>
      <c r="E1531" s="270">
        <v>1</v>
      </c>
      <c r="F1531" s="270" t="s">
        <v>944</v>
      </c>
      <c r="G1531" s="270" t="s">
        <v>3926</v>
      </c>
      <c r="H1531" s="270" t="s">
        <v>5791</v>
      </c>
      <c r="I1531" s="270" t="s">
        <v>953</v>
      </c>
      <c r="J1531" s="270" t="s">
        <v>3928</v>
      </c>
      <c r="K1531" s="270">
        <v>6514</v>
      </c>
      <c r="L1531" s="270">
        <v>165802</v>
      </c>
      <c r="M1531" s="270" t="s">
        <v>3943</v>
      </c>
      <c r="N1531" s="270" t="s">
        <v>3944</v>
      </c>
      <c r="O1531" s="270">
        <v>1652.53</v>
      </c>
      <c r="P1531" s="270" t="s">
        <v>3944</v>
      </c>
      <c r="Q1531" s="270" t="s">
        <v>3944</v>
      </c>
      <c r="R1531" s="270">
        <v>1652.53</v>
      </c>
      <c r="S1531" s="270">
        <v>27961.56</v>
      </c>
      <c r="T1531" s="270">
        <v>29614.09</v>
      </c>
      <c r="U1531" s="271" t="s">
        <v>3945</v>
      </c>
      <c r="V1531" s="267" t="s">
        <v>944</v>
      </c>
    </row>
    <row r="1532" spans="1:22" hidden="1" x14ac:dyDescent="0.25">
      <c r="A1532" s="266">
        <v>43553</v>
      </c>
      <c r="B1532" s="267">
        <v>2019</v>
      </c>
      <c r="C1532" s="267">
        <v>2019</v>
      </c>
      <c r="D1532" s="267">
        <v>1</v>
      </c>
      <c r="E1532" s="267">
        <v>1</v>
      </c>
      <c r="F1532" s="267" t="s">
        <v>944</v>
      </c>
      <c r="G1532" s="267" t="s">
        <v>3926</v>
      </c>
      <c r="H1532" s="267" t="s">
        <v>5792</v>
      </c>
      <c r="I1532" s="267" t="s">
        <v>950</v>
      </c>
      <c r="J1532" s="267" t="s">
        <v>3928</v>
      </c>
      <c r="K1532" s="267">
        <v>6516</v>
      </c>
      <c r="L1532" s="267">
        <v>155000</v>
      </c>
      <c r="M1532" s="267" t="s">
        <v>3940</v>
      </c>
      <c r="N1532" s="267" t="s">
        <v>3944</v>
      </c>
      <c r="O1532" s="267">
        <v>1354.5</v>
      </c>
      <c r="P1532" s="267" t="s">
        <v>3944</v>
      </c>
      <c r="Q1532" s="267" t="s">
        <v>3944</v>
      </c>
      <c r="R1532" s="267">
        <v>1354.5</v>
      </c>
      <c r="S1532" s="267">
        <v>18254.25</v>
      </c>
      <c r="T1532" s="267">
        <v>19608.75</v>
      </c>
      <c r="U1532" s="268" t="s">
        <v>3945</v>
      </c>
      <c r="V1532" s="267" t="s">
        <v>944</v>
      </c>
    </row>
    <row r="1533" spans="1:22" hidden="1" x14ac:dyDescent="0.25">
      <c r="A1533" s="269">
        <v>43553</v>
      </c>
      <c r="B1533" s="270">
        <v>2019</v>
      </c>
      <c r="C1533" s="270">
        <v>2019</v>
      </c>
      <c r="D1533" s="270">
        <v>1</v>
      </c>
      <c r="E1533" s="270">
        <v>1</v>
      </c>
      <c r="F1533" s="270" t="s">
        <v>944</v>
      </c>
      <c r="G1533" s="270" t="s">
        <v>3926</v>
      </c>
      <c r="H1533" s="270" t="s">
        <v>5793</v>
      </c>
      <c r="I1533" s="270" t="s">
        <v>3934</v>
      </c>
      <c r="J1533" s="270" t="s">
        <v>3928</v>
      </c>
      <c r="K1533" s="270">
        <v>6405</v>
      </c>
      <c r="L1533" s="270">
        <v>184600</v>
      </c>
      <c r="M1533" s="270" t="s">
        <v>3943</v>
      </c>
      <c r="N1533" s="270" t="s">
        <v>3944</v>
      </c>
      <c r="O1533" s="270">
        <v>1748.36</v>
      </c>
      <c r="P1533" s="270" t="s">
        <v>3944</v>
      </c>
      <c r="Q1533" s="270" t="s">
        <v>3944</v>
      </c>
      <c r="R1533" s="270">
        <v>1748.36</v>
      </c>
      <c r="S1533" s="270">
        <v>24722.11</v>
      </c>
      <c r="T1533" s="270">
        <v>26470.47</v>
      </c>
      <c r="U1533" s="271" t="s">
        <v>3945</v>
      </c>
      <c r="V1533" s="267" t="s">
        <v>944</v>
      </c>
    </row>
    <row r="1534" spans="1:22" hidden="1" x14ac:dyDescent="0.25">
      <c r="A1534" s="266">
        <v>43553</v>
      </c>
      <c r="B1534" s="267">
        <v>2019</v>
      </c>
      <c r="C1534" s="267">
        <v>2019</v>
      </c>
      <c r="D1534" s="267">
        <v>1</v>
      </c>
      <c r="E1534" s="267">
        <v>1</v>
      </c>
      <c r="F1534" s="267" t="s">
        <v>944</v>
      </c>
      <c r="G1534" s="267" t="s">
        <v>3926</v>
      </c>
      <c r="H1534" s="267" t="s">
        <v>5794</v>
      </c>
      <c r="I1534" s="267" t="s">
        <v>950</v>
      </c>
      <c r="J1534" s="267" t="s">
        <v>3928</v>
      </c>
      <c r="K1534" s="267">
        <v>6516</v>
      </c>
      <c r="L1534" s="267">
        <v>154800</v>
      </c>
      <c r="M1534" s="267" t="s">
        <v>3960</v>
      </c>
      <c r="N1534" s="267" t="s">
        <v>3944</v>
      </c>
      <c r="O1534" s="267">
        <v>852.18</v>
      </c>
      <c r="P1534" s="267" t="s">
        <v>3944</v>
      </c>
      <c r="Q1534" s="267" t="s">
        <v>3944</v>
      </c>
      <c r="R1534" s="267">
        <v>852.18</v>
      </c>
      <c r="S1534" s="267">
        <v>14532.42</v>
      </c>
      <c r="T1534" s="267">
        <v>15384.6</v>
      </c>
      <c r="U1534" s="268" t="s">
        <v>3945</v>
      </c>
      <c r="V1534" s="267" t="s">
        <v>944</v>
      </c>
    </row>
    <row r="1535" spans="1:22" hidden="1" x14ac:dyDescent="0.25">
      <c r="A1535" s="269">
        <v>43553</v>
      </c>
      <c r="B1535" s="270">
        <v>2019</v>
      </c>
      <c r="C1535" s="270">
        <v>2019</v>
      </c>
      <c r="D1535" s="270">
        <v>1</v>
      </c>
      <c r="E1535" s="270">
        <v>1</v>
      </c>
      <c r="F1535" s="270" t="s">
        <v>944</v>
      </c>
      <c r="G1535" s="270" t="s">
        <v>3926</v>
      </c>
      <c r="H1535" s="270" t="s">
        <v>5795</v>
      </c>
      <c r="I1535" s="270" t="s">
        <v>4497</v>
      </c>
      <c r="J1535" s="270" t="s">
        <v>3928</v>
      </c>
      <c r="K1535" s="270">
        <v>6260</v>
      </c>
      <c r="L1535" s="270">
        <v>903100</v>
      </c>
      <c r="M1535" s="270" t="s">
        <v>3940</v>
      </c>
      <c r="N1535" s="270" t="s">
        <v>3944</v>
      </c>
      <c r="O1535" s="270">
        <v>1735.09</v>
      </c>
      <c r="P1535" s="270" t="s">
        <v>3944</v>
      </c>
      <c r="Q1535" s="270" t="s">
        <v>3944</v>
      </c>
      <c r="R1535" s="270">
        <v>1735.09</v>
      </c>
      <c r="S1535" s="270">
        <v>22979.41</v>
      </c>
      <c r="T1535" s="270">
        <v>24714.5</v>
      </c>
      <c r="U1535" s="271" t="s">
        <v>3945</v>
      </c>
      <c r="V1535" s="267" t="s">
        <v>944</v>
      </c>
    </row>
    <row r="1536" spans="1:22" hidden="1" x14ac:dyDescent="0.25">
      <c r="A1536" s="266">
        <v>43553</v>
      </c>
      <c r="B1536" s="267">
        <v>2019</v>
      </c>
      <c r="C1536" s="267">
        <v>2019</v>
      </c>
      <c r="D1536" s="267">
        <v>1</v>
      </c>
      <c r="E1536" s="267">
        <v>1</v>
      </c>
      <c r="F1536" s="267" t="s">
        <v>944</v>
      </c>
      <c r="G1536" s="267" t="s">
        <v>3926</v>
      </c>
      <c r="H1536" s="267" t="s">
        <v>5796</v>
      </c>
      <c r="I1536" s="267" t="s">
        <v>4008</v>
      </c>
      <c r="J1536" s="267" t="s">
        <v>3928</v>
      </c>
      <c r="K1536" s="267">
        <v>6320</v>
      </c>
      <c r="L1536" s="267">
        <v>690800</v>
      </c>
      <c r="M1536" s="267">
        <v>-60</v>
      </c>
      <c r="N1536" s="267" t="s">
        <v>3944</v>
      </c>
      <c r="O1536" s="267">
        <v>2185.12</v>
      </c>
      <c r="P1536" s="267" t="s">
        <v>3944</v>
      </c>
      <c r="Q1536" s="267" t="s">
        <v>3944</v>
      </c>
      <c r="R1536" s="267">
        <v>2185.12</v>
      </c>
      <c r="S1536" s="267">
        <v>31760.44</v>
      </c>
      <c r="T1536" s="267">
        <v>33945.56</v>
      </c>
      <c r="U1536" s="268" t="s">
        <v>3945</v>
      </c>
      <c r="V1536" s="267" t="s">
        <v>944</v>
      </c>
    </row>
    <row r="1537" spans="1:22" hidden="1" x14ac:dyDescent="0.25">
      <c r="A1537" s="269">
        <v>43553</v>
      </c>
      <c r="B1537" s="270">
        <v>2019</v>
      </c>
      <c r="C1537" s="270">
        <v>2019</v>
      </c>
      <c r="D1537" s="270">
        <v>1</v>
      </c>
      <c r="E1537" s="270">
        <v>1</v>
      </c>
      <c r="F1537" s="270" t="s">
        <v>944</v>
      </c>
      <c r="G1537" s="270" t="s">
        <v>3926</v>
      </c>
      <c r="H1537" s="270" t="s">
        <v>5797</v>
      </c>
      <c r="I1537" s="270" t="s">
        <v>3956</v>
      </c>
      <c r="J1537" s="270" t="s">
        <v>3928</v>
      </c>
      <c r="K1537" s="270">
        <v>6112</v>
      </c>
      <c r="L1537" s="270">
        <v>503900</v>
      </c>
      <c r="M1537" s="270">
        <v>-60</v>
      </c>
      <c r="N1537" s="270" t="s">
        <v>3944</v>
      </c>
      <c r="O1537" s="270">
        <v>1927.14</v>
      </c>
      <c r="P1537" s="270" t="s">
        <v>3944</v>
      </c>
      <c r="Q1537" s="270" t="s">
        <v>3944</v>
      </c>
      <c r="R1537" s="270">
        <v>1927.14</v>
      </c>
      <c r="S1537" s="270">
        <v>24523.74</v>
      </c>
      <c r="T1537" s="270">
        <v>26450.880000000001</v>
      </c>
      <c r="U1537" s="271" t="s">
        <v>3945</v>
      </c>
      <c r="V1537" s="267" t="s">
        <v>944</v>
      </c>
    </row>
    <row r="1538" spans="1:22" hidden="1" x14ac:dyDescent="0.25">
      <c r="A1538" s="266">
        <v>43553</v>
      </c>
      <c r="B1538" s="267">
        <v>2019</v>
      </c>
      <c r="C1538" s="267">
        <v>2019</v>
      </c>
      <c r="D1538" s="267">
        <v>1</v>
      </c>
      <c r="E1538" s="267">
        <v>1</v>
      </c>
      <c r="F1538" s="267" t="s">
        <v>944</v>
      </c>
      <c r="G1538" s="267" t="s">
        <v>3926</v>
      </c>
      <c r="H1538" s="267" t="s">
        <v>5798</v>
      </c>
      <c r="I1538" s="267" t="s">
        <v>4290</v>
      </c>
      <c r="J1538" s="267" t="s">
        <v>3928</v>
      </c>
      <c r="K1538" s="267">
        <v>6798</v>
      </c>
      <c r="L1538" s="267">
        <v>362102</v>
      </c>
      <c r="M1538" s="267" t="s">
        <v>3960</v>
      </c>
      <c r="N1538" s="267" t="s">
        <v>3944</v>
      </c>
      <c r="O1538" s="267">
        <v>1934.59</v>
      </c>
      <c r="P1538" s="267" t="s">
        <v>3944</v>
      </c>
      <c r="Q1538" s="267" t="s">
        <v>3944</v>
      </c>
      <c r="R1538" s="267">
        <v>1934.59</v>
      </c>
      <c r="S1538" s="267">
        <v>27390.63</v>
      </c>
      <c r="T1538" s="267">
        <v>29325.22</v>
      </c>
      <c r="U1538" s="268" t="s">
        <v>3945</v>
      </c>
      <c r="V1538" s="267" t="s">
        <v>944</v>
      </c>
    </row>
    <row r="1539" spans="1:22" hidden="1" x14ac:dyDescent="0.25">
      <c r="A1539" s="269">
        <v>43553</v>
      </c>
      <c r="B1539" s="270">
        <v>2019</v>
      </c>
      <c r="C1539" s="270">
        <v>2019</v>
      </c>
      <c r="D1539" s="270">
        <v>1</v>
      </c>
      <c r="E1539" s="270">
        <v>1</v>
      </c>
      <c r="F1539" s="270" t="s">
        <v>944</v>
      </c>
      <c r="G1539" s="270" t="s">
        <v>3926</v>
      </c>
      <c r="H1539" s="270" t="s">
        <v>5799</v>
      </c>
      <c r="I1539" s="270" t="s">
        <v>3990</v>
      </c>
      <c r="J1539" s="270" t="s">
        <v>3928</v>
      </c>
      <c r="K1539" s="270">
        <v>6804</v>
      </c>
      <c r="L1539" s="270">
        <v>205100</v>
      </c>
      <c r="M1539" s="270" t="s">
        <v>3943</v>
      </c>
      <c r="N1539" s="270" t="s">
        <v>3944</v>
      </c>
      <c r="O1539" s="270">
        <v>3324.76</v>
      </c>
      <c r="P1539" s="270" t="s">
        <v>3944</v>
      </c>
      <c r="Q1539" s="270" t="s">
        <v>3944</v>
      </c>
      <c r="R1539" s="270">
        <v>3324.76</v>
      </c>
      <c r="S1539" s="270">
        <v>50031.09</v>
      </c>
      <c r="T1539" s="270">
        <v>53355.85</v>
      </c>
      <c r="U1539" s="271" t="s">
        <v>3945</v>
      </c>
      <c r="V1539" s="267" t="s">
        <v>944</v>
      </c>
    </row>
    <row r="1540" spans="1:22" hidden="1" x14ac:dyDescent="0.25">
      <c r="A1540" s="266">
        <v>43553</v>
      </c>
      <c r="B1540" s="267">
        <v>2019</v>
      </c>
      <c r="C1540" s="267">
        <v>2019</v>
      </c>
      <c r="D1540" s="267">
        <v>1</v>
      </c>
      <c r="E1540" s="267">
        <v>1</v>
      </c>
      <c r="F1540" s="267" t="s">
        <v>944</v>
      </c>
      <c r="G1540" s="267" t="s">
        <v>3926</v>
      </c>
      <c r="H1540" s="267" t="s">
        <v>5800</v>
      </c>
      <c r="I1540" s="267" t="s">
        <v>4065</v>
      </c>
      <c r="J1540" s="267" t="s">
        <v>3928</v>
      </c>
      <c r="K1540" s="267">
        <v>6480</v>
      </c>
      <c r="L1540" s="267">
        <v>560200</v>
      </c>
      <c r="M1540" s="267" t="s">
        <v>3935</v>
      </c>
      <c r="N1540" s="267" t="s">
        <v>3944</v>
      </c>
      <c r="O1540" s="267">
        <v>1180.0999999999999</v>
      </c>
      <c r="P1540" s="267" t="s">
        <v>3944</v>
      </c>
      <c r="Q1540" s="267" t="s">
        <v>3944</v>
      </c>
      <c r="R1540" s="267">
        <v>1180.0999999999999</v>
      </c>
      <c r="S1540" s="267">
        <v>18664.900000000001</v>
      </c>
      <c r="T1540" s="267">
        <v>19845</v>
      </c>
      <c r="U1540" s="268" t="s">
        <v>3945</v>
      </c>
      <c r="V1540" s="267" t="s">
        <v>944</v>
      </c>
    </row>
    <row r="1541" spans="1:22" hidden="1" x14ac:dyDescent="0.25">
      <c r="A1541" s="269">
        <v>43553</v>
      </c>
      <c r="B1541" s="270">
        <v>2019</v>
      </c>
      <c r="C1541" s="270">
        <v>2019</v>
      </c>
      <c r="D1541" s="270">
        <v>1</v>
      </c>
      <c r="E1541" s="270">
        <v>1</v>
      </c>
      <c r="F1541" s="270" t="s">
        <v>944</v>
      </c>
      <c r="G1541" s="270" t="s">
        <v>3926</v>
      </c>
      <c r="H1541" s="270" t="s">
        <v>5801</v>
      </c>
      <c r="I1541" s="270" t="s">
        <v>4108</v>
      </c>
      <c r="J1541" s="270" t="s">
        <v>3928</v>
      </c>
      <c r="K1541" s="270">
        <v>6082</v>
      </c>
      <c r="L1541" s="270">
        <v>480600</v>
      </c>
      <c r="M1541" s="270">
        <v>-60</v>
      </c>
      <c r="N1541" s="270" t="s">
        <v>3944</v>
      </c>
      <c r="O1541" s="270">
        <v>1194.5899999999999</v>
      </c>
      <c r="P1541" s="270" t="s">
        <v>3944</v>
      </c>
      <c r="Q1541" s="270" t="s">
        <v>3944</v>
      </c>
      <c r="R1541" s="270">
        <v>1194.5899999999999</v>
      </c>
      <c r="S1541" s="270">
        <v>17217.79</v>
      </c>
      <c r="T1541" s="270">
        <v>18412.38</v>
      </c>
      <c r="U1541" s="271" t="s">
        <v>3945</v>
      </c>
      <c r="V1541" s="267" t="s">
        <v>944</v>
      </c>
    </row>
    <row r="1542" spans="1:22" hidden="1" x14ac:dyDescent="0.25">
      <c r="A1542" s="266">
        <v>43553</v>
      </c>
      <c r="B1542" s="267">
        <v>2019</v>
      </c>
      <c r="C1542" s="267">
        <v>2019</v>
      </c>
      <c r="D1542" s="267">
        <v>1</v>
      </c>
      <c r="E1542" s="267">
        <v>1</v>
      </c>
      <c r="F1542" s="267" t="s">
        <v>944</v>
      </c>
      <c r="G1542" s="267" t="s">
        <v>3926</v>
      </c>
      <c r="H1542" s="267" t="s">
        <v>5802</v>
      </c>
      <c r="I1542" s="267" t="s">
        <v>4323</v>
      </c>
      <c r="J1542" s="267" t="s">
        <v>3928</v>
      </c>
      <c r="K1542" s="267">
        <v>6375</v>
      </c>
      <c r="L1542" s="267">
        <v>693600</v>
      </c>
      <c r="M1542" s="267" t="s">
        <v>3960</v>
      </c>
      <c r="N1542" s="267" t="s">
        <v>3944</v>
      </c>
      <c r="O1542" s="267">
        <v>3203.45</v>
      </c>
      <c r="P1542" s="267" t="s">
        <v>3944</v>
      </c>
      <c r="Q1542" s="267" t="s">
        <v>3944</v>
      </c>
      <c r="R1542" s="267">
        <v>3203.45</v>
      </c>
      <c r="S1542" s="267">
        <v>51377.34</v>
      </c>
      <c r="T1542" s="267">
        <v>54580.79</v>
      </c>
      <c r="U1542" s="268" t="s">
        <v>3945</v>
      </c>
      <c r="V1542" s="267" t="s">
        <v>944</v>
      </c>
    </row>
    <row r="1543" spans="1:22" hidden="1" x14ac:dyDescent="0.25">
      <c r="A1543" s="269">
        <v>43553</v>
      </c>
      <c r="B1543" s="270">
        <v>2019</v>
      </c>
      <c r="C1543" s="270">
        <v>2019</v>
      </c>
      <c r="D1543" s="270">
        <v>1</v>
      </c>
      <c r="E1543" s="270">
        <v>1</v>
      </c>
      <c r="F1543" s="270" t="s">
        <v>944</v>
      </c>
      <c r="G1543" s="270" t="s">
        <v>3926</v>
      </c>
      <c r="H1543" s="270" t="s">
        <v>5803</v>
      </c>
      <c r="I1543" s="270" t="s">
        <v>4008</v>
      </c>
      <c r="J1543" s="270" t="s">
        <v>3928</v>
      </c>
      <c r="K1543" s="270">
        <v>6320</v>
      </c>
      <c r="L1543" s="270">
        <v>690900</v>
      </c>
      <c r="M1543" s="270" t="s">
        <v>3935</v>
      </c>
      <c r="N1543" s="270" t="s">
        <v>3944</v>
      </c>
      <c r="O1543" s="270">
        <v>801.99</v>
      </c>
      <c r="P1543" s="270" t="s">
        <v>3944</v>
      </c>
      <c r="Q1543" s="270" t="s">
        <v>3944</v>
      </c>
      <c r="R1543" s="270">
        <v>801.99</v>
      </c>
      <c r="S1543" s="270">
        <v>11478.67</v>
      </c>
      <c r="T1543" s="270">
        <v>12280.66</v>
      </c>
      <c r="U1543" s="271" t="s">
        <v>3945</v>
      </c>
      <c r="V1543" s="267" t="s">
        <v>944</v>
      </c>
    </row>
    <row r="1544" spans="1:22" hidden="1" x14ac:dyDescent="0.25">
      <c r="A1544" s="266">
        <v>43553</v>
      </c>
      <c r="B1544" s="267">
        <v>2019</v>
      </c>
      <c r="C1544" s="267">
        <v>2019</v>
      </c>
      <c r="D1544" s="267">
        <v>1</v>
      </c>
      <c r="E1544" s="267">
        <v>1</v>
      </c>
      <c r="F1544" s="267" t="s">
        <v>944</v>
      </c>
      <c r="G1544" s="267" t="s">
        <v>3926</v>
      </c>
      <c r="H1544" s="267" t="s">
        <v>5804</v>
      </c>
      <c r="I1544" s="267" t="s">
        <v>3026</v>
      </c>
      <c r="J1544" s="267" t="s">
        <v>3928</v>
      </c>
      <c r="K1544" s="267">
        <v>6472</v>
      </c>
      <c r="L1544" s="267">
        <v>186200</v>
      </c>
      <c r="M1544" s="267" t="s">
        <v>3960</v>
      </c>
      <c r="N1544" s="267" t="s">
        <v>3944</v>
      </c>
      <c r="O1544" s="267">
        <v>2099.69</v>
      </c>
      <c r="P1544" s="267" t="s">
        <v>3944</v>
      </c>
      <c r="Q1544" s="267" t="s">
        <v>3944</v>
      </c>
      <c r="R1544" s="267">
        <v>2099.69</v>
      </c>
      <c r="S1544" s="267">
        <v>29490.95</v>
      </c>
      <c r="T1544" s="267">
        <v>31590.639999999999</v>
      </c>
      <c r="U1544" s="268" t="s">
        <v>3945</v>
      </c>
      <c r="V1544" s="267" t="s">
        <v>944</v>
      </c>
    </row>
    <row r="1545" spans="1:22" hidden="1" x14ac:dyDescent="0.25">
      <c r="A1545" s="269">
        <v>43553</v>
      </c>
      <c r="B1545" s="270">
        <v>2019</v>
      </c>
      <c r="C1545" s="270">
        <v>2019</v>
      </c>
      <c r="D1545" s="270">
        <v>1</v>
      </c>
      <c r="E1545" s="270">
        <v>1</v>
      </c>
      <c r="F1545" s="270" t="s">
        <v>944</v>
      </c>
      <c r="G1545" s="270" t="s">
        <v>3926</v>
      </c>
      <c r="H1545" s="270" t="s">
        <v>5805</v>
      </c>
      <c r="I1545" s="270" t="s">
        <v>4546</v>
      </c>
      <c r="J1545" s="270" t="s">
        <v>3928</v>
      </c>
      <c r="K1545" s="270">
        <v>6235</v>
      </c>
      <c r="L1545" s="270">
        <v>820000</v>
      </c>
      <c r="M1545" s="270" t="s">
        <v>3935</v>
      </c>
      <c r="N1545" s="270" t="s">
        <v>3944</v>
      </c>
      <c r="O1545" s="270">
        <v>2513.84</v>
      </c>
      <c r="P1545" s="270" t="s">
        <v>3944</v>
      </c>
      <c r="Q1545" s="270" t="s">
        <v>3944</v>
      </c>
      <c r="R1545" s="270">
        <v>2513.84</v>
      </c>
      <c r="S1545" s="270">
        <v>32997.910000000003</v>
      </c>
      <c r="T1545" s="270">
        <v>35511.75</v>
      </c>
      <c r="U1545" s="271" t="s">
        <v>3945</v>
      </c>
      <c r="V1545" s="267" t="s">
        <v>944</v>
      </c>
    </row>
    <row r="1546" spans="1:22" hidden="1" x14ac:dyDescent="0.25">
      <c r="A1546" s="266">
        <v>43553</v>
      </c>
      <c r="B1546" s="267">
        <v>2019</v>
      </c>
      <c r="C1546" s="267">
        <v>2019</v>
      </c>
      <c r="D1546" s="267">
        <v>1</v>
      </c>
      <c r="E1546" s="267">
        <v>1</v>
      </c>
      <c r="F1546" s="267" t="s">
        <v>944</v>
      </c>
      <c r="G1546" s="267" t="s">
        <v>3926</v>
      </c>
      <c r="H1546" s="267" t="s">
        <v>5806</v>
      </c>
      <c r="I1546" s="267" t="s">
        <v>4005</v>
      </c>
      <c r="J1546" s="267" t="s">
        <v>3928</v>
      </c>
      <c r="K1546" s="267">
        <v>6118</v>
      </c>
      <c r="L1546" s="267">
        <v>511000</v>
      </c>
      <c r="M1546" s="267" t="s">
        <v>3935</v>
      </c>
      <c r="N1546" s="267" t="s">
        <v>3944</v>
      </c>
      <c r="O1546" s="267">
        <v>1995.98</v>
      </c>
      <c r="P1546" s="267" t="s">
        <v>3944</v>
      </c>
      <c r="Q1546" s="267" t="s">
        <v>3944</v>
      </c>
      <c r="R1546" s="267">
        <v>1995.98</v>
      </c>
      <c r="S1546" s="267">
        <v>26018.02</v>
      </c>
      <c r="T1546" s="267">
        <v>28014</v>
      </c>
      <c r="U1546" s="268" t="s">
        <v>3945</v>
      </c>
      <c r="V1546" s="267" t="s">
        <v>944</v>
      </c>
    </row>
    <row r="1547" spans="1:22" hidden="1" x14ac:dyDescent="0.25">
      <c r="A1547" s="269">
        <v>43553</v>
      </c>
      <c r="B1547" s="270">
        <v>2019</v>
      </c>
      <c r="C1547" s="270">
        <v>2019</v>
      </c>
      <c r="D1547" s="270">
        <v>1</v>
      </c>
      <c r="E1547" s="270">
        <v>1</v>
      </c>
      <c r="F1547" s="270" t="s">
        <v>944</v>
      </c>
      <c r="G1547" s="270" t="s">
        <v>3926</v>
      </c>
      <c r="H1547" s="270" t="s">
        <v>5807</v>
      </c>
      <c r="I1547" s="270" t="s">
        <v>3962</v>
      </c>
      <c r="J1547" s="270" t="s">
        <v>3928</v>
      </c>
      <c r="K1547" s="270">
        <v>6340</v>
      </c>
      <c r="L1547" s="270">
        <v>705300</v>
      </c>
      <c r="M1547" s="270" t="s">
        <v>3960</v>
      </c>
      <c r="N1547" s="270" t="s">
        <v>3944</v>
      </c>
      <c r="O1547" s="270">
        <v>791.21</v>
      </c>
      <c r="P1547" s="270" t="s">
        <v>3944</v>
      </c>
      <c r="Q1547" s="270" t="s">
        <v>3944</v>
      </c>
      <c r="R1547" s="270">
        <v>791.21</v>
      </c>
      <c r="S1547" s="270">
        <v>11351.95</v>
      </c>
      <c r="T1547" s="270">
        <v>12143.16</v>
      </c>
      <c r="U1547" s="271" t="s">
        <v>3945</v>
      </c>
      <c r="V1547" s="267" t="s">
        <v>944</v>
      </c>
    </row>
    <row r="1548" spans="1:22" hidden="1" x14ac:dyDescent="0.25">
      <c r="A1548" s="266">
        <v>43553</v>
      </c>
      <c r="B1548" s="267">
        <v>2019</v>
      </c>
      <c r="C1548" s="267">
        <v>2019</v>
      </c>
      <c r="D1548" s="267">
        <v>1</v>
      </c>
      <c r="E1548" s="267">
        <v>1</v>
      </c>
      <c r="F1548" s="267" t="s">
        <v>944</v>
      </c>
      <c r="G1548" s="267" t="s">
        <v>3926</v>
      </c>
      <c r="H1548" s="267" t="s">
        <v>5808</v>
      </c>
      <c r="I1548" s="267" t="s">
        <v>3966</v>
      </c>
      <c r="J1548" s="267" t="s">
        <v>3928</v>
      </c>
      <c r="K1548" s="267">
        <v>6010</v>
      </c>
      <c r="L1548" s="267">
        <v>405100</v>
      </c>
      <c r="M1548" s="267" t="s">
        <v>3935</v>
      </c>
      <c r="N1548" s="267" t="s">
        <v>3944</v>
      </c>
      <c r="O1548" s="267">
        <v>943.64</v>
      </c>
      <c r="P1548" s="267" t="s">
        <v>3944</v>
      </c>
      <c r="Q1548" s="267" t="s">
        <v>3944</v>
      </c>
      <c r="R1548" s="267">
        <v>943.64</v>
      </c>
      <c r="S1548" s="267">
        <v>15019.11</v>
      </c>
      <c r="T1548" s="267">
        <v>15962.75</v>
      </c>
      <c r="U1548" s="268" t="s">
        <v>3945</v>
      </c>
      <c r="V1548" s="267" t="s">
        <v>944</v>
      </c>
    </row>
    <row r="1549" spans="1:22" hidden="1" x14ac:dyDescent="0.25">
      <c r="A1549" s="269">
        <v>43553</v>
      </c>
      <c r="B1549" s="270">
        <v>2019</v>
      </c>
      <c r="C1549" s="270">
        <v>2019</v>
      </c>
      <c r="D1549" s="270">
        <v>1</v>
      </c>
      <c r="E1549" s="270">
        <v>1</v>
      </c>
      <c r="F1549" s="270" t="s">
        <v>944</v>
      </c>
      <c r="G1549" s="270" t="s">
        <v>3926</v>
      </c>
      <c r="H1549" s="270" t="s">
        <v>5809</v>
      </c>
      <c r="I1549" s="270" t="s">
        <v>3010</v>
      </c>
      <c r="J1549" s="270" t="s">
        <v>3928</v>
      </c>
      <c r="K1549" s="270">
        <v>6401</v>
      </c>
      <c r="L1549" s="270">
        <v>125200</v>
      </c>
      <c r="M1549" s="270">
        <v>-60</v>
      </c>
      <c r="N1549" s="270" t="s">
        <v>3944</v>
      </c>
      <c r="O1549" s="270">
        <v>930.58</v>
      </c>
      <c r="P1549" s="270" t="s">
        <v>3944</v>
      </c>
      <c r="Q1549" s="270" t="s">
        <v>3944</v>
      </c>
      <c r="R1549" s="270">
        <v>930.58</v>
      </c>
      <c r="S1549" s="270">
        <v>14851.03</v>
      </c>
      <c r="T1549" s="270">
        <v>15781.61</v>
      </c>
      <c r="U1549" s="271" t="s">
        <v>3945</v>
      </c>
      <c r="V1549" s="267" t="s">
        <v>944</v>
      </c>
    </row>
    <row r="1550" spans="1:22" hidden="1" x14ac:dyDescent="0.25">
      <c r="A1550" s="266">
        <v>43553</v>
      </c>
      <c r="B1550" s="267">
        <v>2019</v>
      </c>
      <c r="C1550" s="267">
        <v>2019</v>
      </c>
      <c r="D1550" s="267">
        <v>1</v>
      </c>
      <c r="E1550" s="267">
        <v>1</v>
      </c>
      <c r="F1550" s="267" t="s">
        <v>944</v>
      </c>
      <c r="G1550" s="267" t="s">
        <v>3926</v>
      </c>
      <c r="H1550" s="267" t="s">
        <v>5810</v>
      </c>
      <c r="I1550" s="267" t="s">
        <v>4497</v>
      </c>
      <c r="J1550" s="267" t="s">
        <v>3928</v>
      </c>
      <c r="K1550" s="267">
        <v>6260</v>
      </c>
      <c r="L1550" s="267">
        <v>903100</v>
      </c>
      <c r="M1550" s="267" t="s">
        <v>3940</v>
      </c>
      <c r="N1550" s="267" t="s">
        <v>3944</v>
      </c>
      <c r="O1550" s="267">
        <v>3231.03</v>
      </c>
      <c r="P1550" s="267" t="s">
        <v>3944</v>
      </c>
      <c r="Q1550" s="267" t="s">
        <v>3944</v>
      </c>
      <c r="R1550" s="267">
        <v>3231.03</v>
      </c>
      <c r="S1550" s="267">
        <v>41524.17</v>
      </c>
      <c r="T1550" s="267">
        <v>44755.199999999997</v>
      </c>
      <c r="U1550" s="268" t="s">
        <v>3945</v>
      </c>
      <c r="V1550" s="267" t="s">
        <v>944</v>
      </c>
    </row>
    <row r="1551" spans="1:22" hidden="1" x14ac:dyDescent="0.25">
      <c r="A1551" s="269">
        <v>43553</v>
      </c>
      <c r="B1551" s="270">
        <v>2019</v>
      </c>
      <c r="C1551" s="270">
        <v>2019</v>
      </c>
      <c r="D1551" s="270">
        <v>1</v>
      </c>
      <c r="E1551" s="270">
        <v>1</v>
      </c>
      <c r="F1551" s="270" t="s">
        <v>944</v>
      </c>
      <c r="G1551" s="270" t="s">
        <v>3926</v>
      </c>
      <c r="H1551" s="270" t="s">
        <v>5811</v>
      </c>
      <c r="I1551" s="270" t="s">
        <v>4213</v>
      </c>
      <c r="J1551" s="270" t="s">
        <v>3928</v>
      </c>
      <c r="K1551" s="270">
        <v>6053</v>
      </c>
      <c r="L1551" s="270">
        <v>416800</v>
      </c>
      <c r="M1551" s="270" t="s">
        <v>3940</v>
      </c>
      <c r="N1551" s="270" t="s">
        <v>3944</v>
      </c>
      <c r="O1551" s="270">
        <v>1927.94</v>
      </c>
      <c r="P1551" s="270" t="s">
        <v>3944</v>
      </c>
      <c r="Q1551" s="270" t="s">
        <v>3944</v>
      </c>
      <c r="R1551" s="270">
        <v>1927.94</v>
      </c>
      <c r="S1551" s="270">
        <v>25876.12</v>
      </c>
      <c r="T1551" s="270">
        <v>27804.06</v>
      </c>
      <c r="U1551" s="271" t="s">
        <v>3945</v>
      </c>
      <c r="V1551" s="267" t="s">
        <v>944</v>
      </c>
    </row>
    <row r="1552" spans="1:22" hidden="1" x14ac:dyDescent="0.25">
      <c r="A1552" s="266">
        <v>43553</v>
      </c>
      <c r="B1552" s="267">
        <v>2019</v>
      </c>
      <c r="C1552" s="267">
        <v>2019</v>
      </c>
      <c r="D1552" s="267">
        <v>1</v>
      </c>
      <c r="E1552" s="267">
        <v>1</v>
      </c>
      <c r="F1552" s="267" t="s">
        <v>944</v>
      </c>
      <c r="G1552" s="267" t="s">
        <v>3926</v>
      </c>
      <c r="H1552" s="267" t="s">
        <v>5812</v>
      </c>
      <c r="I1552" s="267" t="s">
        <v>3962</v>
      </c>
      <c r="J1552" s="267" t="s">
        <v>3928</v>
      </c>
      <c r="K1552" s="267">
        <v>6340</v>
      </c>
      <c r="L1552" s="267">
        <v>705300</v>
      </c>
      <c r="M1552" s="267" t="s">
        <v>3960</v>
      </c>
      <c r="N1552" s="267" t="s">
        <v>3944</v>
      </c>
      <c r="O1552" s="267">
        <v>499.84</v>
      </c>
      <c r="P1552" s="267" t="s">
        <v>3944</v>
      </c>
      <c r="Q1552" s="267" t="s">
        <v>3944</v>
      </c>
      <c r="R1552" s="267">
        <v>499.84</v>
      </c>
      <c r="S1552" s="267">
        <v>7658.97</v>
      </c>
      <c r="T1552" s="267">
        <v>8158.81</v>
      </c>
      <c r="U1552" s="268" t="s">
        <v>3945</v>
      </c>
      <c r="V1552" s="267" t="s">
        <v>944</v>
      </c>
    </row>
    <row r="1553" spans="1:22" hidden="1" x14ac:dyDescent="0.25">
      <c r="A1553" s="269">
        <v>43553</v>
      </c>
      <c r="B1553" s="270">
        <v>2019</v>
      </c>
      <c r="C1553" s="270">
        <v>2019</v>
      </c>
      <c r="D1553" s="270">
        <v>1</v>
      </c>
      <c r="E1553" s="270">
        <v>1</v>
      </c>
      <c r="F1553" s="270" t="s">
        <v>944</v>
      </c>
      <c r="G1553" s="270" t="s">
        <v>3926</v>
      </c>
      <c r="H1553" s="270" t="s">
        <v>5813</v>
      </c>
      <c r="I1553" s="270" t="s">
        <v>4019</v>
      </c>
      <c r="J1553" s="270" t="s">
        <v>3928</v>
      </c>
      <c r="K1553" s="270">
        <v>6708</v>
      </c>
      <c r="L1553" s="270">
        <v>351602</v>
      </c>
      <c r="M1553" s="270" t="s">
        <v>3940</v>
      </c>
      <c r="N1553" s="270" t="s">
        <v>3944</v>
      </c>
      <c r="O1553" s="270">
        <v>1782.17</v>
      </c>
      <c r="P1553" s="270" t="s">
        <v>3944</v>
      </c>
      <c r="Q1553" s="270" t="s">
        <v>3944</v>
      </c>
      <c r="R1553" s="270">
        <v>1782.17</v>
      </c>
      <c r="S1553" s="270">
        <v>25328.29</v>
      </c>
      <c r="T1553" s="270">
        <v>27110.46</v>
      </c>
      <c r="U1553" s="271" t="s">
        <v>3945</v>
      </c>
      <c r="V1553" s="267" t="s">
        <v>944</v>
      </c>
    </row>
    <row r="1554" spans="1:22" hidden="1" x14ac:dyDescent="0.25">
      <c r="A1554" s="266">
        <v>43553</v>
      </c>
      <c r="B1554" s="267">
        <v>2019</v>
      </c>
      <c r="C1554" s="267">
        <v>2019</v>
      </c>
      <c r="D1554" s="267">
        <v>1</v>
      </c>
      <c r="E1554" s="267">
        <v>1</v>
      </c>
      <c r="F1554" s="267" t="s">
        <v>944</v>
      </c>
      <c r="G1554" s="267" t="s">
        <v>3926</v>
      </c>
      <c r="H1554" s="267" t="s">
        <v>5814</v>
      </c>
      <c r="I1554" s="267" t="s">
        <v>4392</v>
      </c>
      <c r="J1554" s="267" t="s">
        <v>3928</v>
      </c>
      <c r="K1554" s="267">
        <v>6457</v>
      </c>
      <c r="L1554" s="267">
        <v>680200</v>
      </c>
      <c r="M1554" s="267" t="s">
        <v>3935</v>
      </c>
      <c r="N1554" s="267" t="s">
        <v>3944</v>
      </c>
      <c r="O1554" s="267">
        <v>3235.58</v>
      </c>
      <c r="P1554" s="267" t="s">
        <v>3944</v>
      </c>
      <c r="Q1554" s="267" t="s">
        <v>3944</v>
      </c>
      <c r="R1554" s="267">
        <v>3235.58</v>
      </c>
      <c r="S1554" s="267">
        <v>50064.959999999999</v>
      </c>
      <c r="T1554" s="267">
        <v>53300.54</v>
      </c>
      <c r="U1554" s="268" t="s">
        <v>3945</v>
      </c>
      <c r="V1554" s="267" t="s">
        <v>944</v>
      </c>
    </row>
    <row r="1555" spans="1:22" hidden="1" x14ac:dyDescent="0.25">
      <c r="A1555" s="269">
        <v>43553</v>
      </c>
      <c r="B1555" s="270">
        <v>2019</v>
      </c>
      <c r="C1555" s="270">
        <v>2019</v>
      </c>
      <c r="D1555" s="270">
        <v>1</v>
      </c>
      <c r="E1555" s="270">
        <v>1</v>
      </c>
      <c r="F1555" s="270" t="s">
        <v>944</v>
      </c>
      <c r="G1555" s="270" t="s">
        <v>3926</v>
      </c>
      <c r="H1555" s="270" t="s">
        <v>5815</v>
      </c>
      <c r="I1555" s="270" t="s">
        <v>4254</v>
      </c>
      <c r="J1555" s="270" t="s">
        <v>3928</v>
      </c>
      <c r="K1555" s="270">
        <v>6076</v>
      </c>
      <c r="L1555" s="270">
        <v>890201</v>
      </c>
      <c r="M1555" s="270" t="s">
        <v>3960</v>
      </c>
      <c r="N1555" s="270" t="s">
        <v>3944</v>
      </c>
      <c r="O1555" s="270">
        <v>1602.97</v>
      </c>
      <c r="P1555" s="270" t="s">
        <v>3944</v>
      </c>
      <c r="Q1555" s="270" t="s">
        <v>3944</v>
      </c>
      <c r="R1555" s="270">
        <v>1602.97</v>
      </c>
      <c r="S1555" s="270">
        <v>22652</v>
      </c>
      <c r="T1555" s="270">
        <v>24254.97</v>
      </c>
      <c r="U1555" s="271" t="s">
        <v>3945</v>
      </c>
      <c r="V1555" s="267" t="s">
        <v>944</v>
      </c>
    </row>
    <row r="1556" spans="1:22" hidden="1" x14ac:dyDescent="0.25">
      <c r="A1556" s="266">
        <v>43553</v>
      </c>
      <c r="B1556" s="267">
        <v>2019</v>
      </c>
      <c r="C1556" s="267">
        <v>2019</v>
      </c>
      <c r="D1556" s="267">
        <v>1</v>
      </c>
      <c r="E1556" s="267">
        <v>1</v>
      </c>
      <c r="F1556" s="267" t="s">
        <v>944</v>
      </c>
      <c r="G1556" s="267" t="s">
        <v>3926</v>
      </c>
      <c r="H1556" s="267" t="s">
        <v>5816</v>
      </c>
      <c r="I1556" s="267" t="s">
        <v>4019</v>
      </c>
      <c r="J1556" s="267" t="s">
        <v>3928</v>
      </c>
      <c r="K1556" s="267">
        <v>6708</v>
      </c>
      <c r="L1556" s="267">
        <v>351800</v>
      </c>
      <c r="M1556" s="267" t="s">
        <v>3940</v>
      </c>
      <c r="N1556" s="267" t="s">
        <v>3944</v>
      </c>
      <c r="O1556" s="267">
        <v>1882.13</v>
      </c>
      <c r="P1556" s="267" t="s">
        <v>3944</v>
      </c>
      <c r="Q1556" s="267" t="s">
        <v>3944</v>
      </c>
      <c r="R1556" s="267">
        <v>1882.13</v>
      </c>
      <c r="S1556" s="267">
        <v>26304.67</v>
      </c>
      <c r="T1556" s="267">
        <v>28186.799999999999</v>
      </c>
      <c r="U1556" s="268" t="s">
        <v>3945</v>
      </c>
      <c r="V1556" s="267" t="s">
        <v>944</v>
      </c>
    </row>
    <row r="1557" spans="1:22" hidden="1" x14ac:dyDescent="0.25">
      <c r="A1557" s="269">
        <v>43553</v>
      </c>
      <c r="B1557" s="270">
        <v>2019</v>
      </c>
      <c r="C1557" s="270">
        <v>2019</v>
      </c>
      <c r="D1557" s="270">
        <v>1</v>
      </c>
      <c r="E1557" s="270">
        <v>1</v>
      </c>
      <c r="F1557" s="270" t="s">
        <v>944</v>
      </c>
      <c r="G1557" s="270" t="s">
        <v>3926</v>
      </c>
      <c r="H1557" s="270" t="s">
        <v>5817</v>
      </c>
      <c r="I1557" s="270" t="s">
        <v>953</v>
      </c>
      <c r="J1557" s="270" t="s">
        <v>3928</v>
      </c>
      <c r="K1557" s="270">
        <v>6514</v>
      </c>
      <c r="L1557" s="270">
        <v>165600</v>
      </c>
      <c r="M1557" s="270" t="s">
        <v>3940</v>
      </c>
      <c r="N1557" s="270" t="s">
        <v>3944</v>
      </c>
      <c r="O1557" s="270">
        <v>1701.7</v>
      </c>
      <c r="P1557" s="270" t="s">
        <v>3944</v>
      </c>
      <c r="Q1557" s="270" t="s">
        <v>3944</v>
      </c>
      <c r="R1557" s="270">
        <v>1701.7</v>
      </c>
      <c r="S1557" s="270">
        <v>23375.66</v>
      </c>
      <c r="T1557" s="270">
        <v>25077.360000000001</v>
      </c>
      <c r="U1557" s="271" t="s">
        <v>3945</v>
      </c>
      <c r="V1557" s="267" t="s">
        <v>944</v>
      </c>
    </row>
    <row r="1558" spans="1:22" hidden="1" x14ac:dyDescent="0.25">
      <c r="A1558" s="266">
        <v>43553</v>
      </c>
      <c r="B1558" s="267">
        <v>2019</v>
      </c>
      <c r="C1558" s="267">
        <v>2019</v>
      </c>
      <c r="D1558" s="267">
        <v>1</v>
      </c>
      <c r="E1558" s="267">
        <v>1</v>
      </c>
      <c r="F1558" s="267" t="s">
        <v>944</v>
      </c>
      <c r="G1558" s="267" t="s">
        <v>3926</v>
      </c>
      <c r="H1558" s="267" t="s">
        <v>5818</v>
      </c>
      <c r="I1558" s="267" t="s">
        <v>3975</v>
      </c>
      <c r="J1558" s="267" t="s">
        <v>3928</v>
      </c>
      <c r="K1558" s="267">
        <v>6489</v>
      </c>
      <c r="L1558" s="267">
        <v>430201</v>
      </c>
      <c r="M1558" s="267" t="s">
        <v>3960</v>
      </c>
      <c r="N1558" s="267" t="s">
        <v>3944</v>
      </c>
      <c r="O1558" s="267">
        <v>3929.52</v>
      </c>
      <c r="P1558" s="267" t="s">
        <v>3944</v>
      </c>
      <c r="Q1558" s="267" t="s">
        <v>3944</v>
      </c>
      <c r="R1558" s="267">
        <v>3929.52</v>
      </c>
      <c r="S1558" s="267">
        <v>61719.25</v>
      </c>
      <c r="T1558" s="267">
        <v>65648.77</v>
      </c>
      <c r="U1558" s="268" t="s">
        <v>3945</v>
      </c>
      <c r="V1558" s="267" t="s">
        <v>944</v>
      </c>
    </row>
    <row r="1559" spans="1:22" hidden="1" x14ac:dyDescent="0.25">
      <c r="A1559" s="269">
        <v>43553</v>
      </c>
      <c r="B1559" s="270">
        <v>2019</v>
      </c>
      <c r="C1559" s="270">
        <v>2019</v>
      </c>
      <c r="D1559" s="270">
        <v>1</v>
      </c>
      <c r="E1559" s="270">
        <v>1</v>
      </c>
      <c r="F1559" s="270" t="s">
        <v>944</v>
      </c>
      <c r="G1559" s="270" t="s">
        <v>3926</v>
      </c>
      <c r="H1559" s="270" t="s">
        <v>5819</v>
      </c>
      <c r="I1559" s="270" t="s">
        <v>4213</v>
      </c>
      <c r="J1559" s="270" t="s">
        <v>3928</v>
      </c>
      <c r="K1559" s="270">
        <v>6053</v>
      </c>
      <c r="L1559" s="270">
        <v>416800</v>
      </c>
      <c r="M1559" s="270" t="s">
        <v>3940</v>
      </c>
      <c r="N1559" s="270" t="s">
        <v>3944</v>
      </c>
      <c r="O1559" s="270">
        <v>2016.32</v>
      </c>
      <c r="P1559" s="270" t="s">
        <v>3944</v>
      </c>
      <c r="Q1559" s="270" t="s">
        <v>3944</v>
      </c>
      <c r="R1559" s="270">
        <v>2016.32</v>
      </c>
      <c r="S1559" s="270">
        <v>29185</v>
      </c>
      <c r="T1559" s="270">
        <v>31201.32</v>
      </c>
      <c r="U1559" s="271" t="s">
        <v>3945</v>
      </c>
      <c r="V1559" s="267" t="s">
        <v>944</v>
      </c>
    </row>
    <row r="1560" spans="1:22" hidden="1" x14ac:dyDescent="0.25">
      <c r="A1560" s="266">
        <v>43553</v>
      </c>
      <c r="B1560" s="267">
        <v>2019</v>
      </c>
      <c r="C1560" s="267">
        <v>2019</v>
      </c>
      <c r="D1560" s="267">
        <v>1</v>
      </c>
      <c r="E1560" s="267">
        <v>1</v>
      </c>
      <c r="F1560" s="267" t="s">
        <v>944</v>
      </c>
      <c r="G1560" s="267" t="s">
        <v>3926</v>
      </c>
      <c r="H1560" s="267" t="s">
        <v>5820</v>
      </c>
      <c r="I1560" s="267" t="s">
        <v>3949</v>
      </c>
      <c r="J1560" s="267" t="s">
        <v>3928</v>
      </c>
      <c r="K1560" s="267">
        <v>6437</v>
      </c>
      <c r="L1560" s="267">
        <v>190301</v>
      </c>
      <c r="M1560" s="267" t="s">
        <v>3943</v>
      </c>
      <c r="N1560" s="267" t="s">
        <v>3944</v>
      </c>
      <c r="O1560" s="267">
        <v>3438.02</v>
      </c>
      <c r="P1560" s="267" t="s">
        <v>3944</v>
      </c>
      <c r="Q1560" s="267" t="s">
        <v>3944</v>
      </c>
      <c r="R1560" s="267">
        <v>3438.02</v>
      </c>
      <c r="S1560" s="267">
        <v>56697.919999999998</v>
      </c>
      <c r="T1560" s="267">
        <v>60135.94</v>
      </c>
      <c r="U1560" s="268" t="s">
        <v>3945</v>
      </c>
      <c r="V1560" s="267" t="s">
        <v>944</v>
      </c>
    </row>
    <row r="1561" spans="1:22" hidden="1" x14ac:dyDescent="0.25">
      <c r="A1561" s="269">
        <v>43553</v>
      </c>
      <c r="B1561" s="270">
        <v>2019</v>
      </c>
      <c r="C1561" s="270">
        <v>2019</v>
      </c>
      <c r="D1561" s="270">
        <v>1</v>
      </c>
      <c r="E1561" s="270">
        <v>1</v>
      </c>
      <c r="F1561" s="270" t="s">
        <v>944</v>
      </c>
      <c r="G1561" s="270" t="s">
        <v>3926</v>
      </c>
      <c r="H1561" s="270" t="s">
        <v>5821</v>
      </c>
      <c r="I1561" s="270" t="s">
        <v>4005</v>
      </c>
      <c r="J1561" s="270" t="s">
        <v>3928</v>
      </c>
      <c r="K1561" s="270">
        <v>6108</v>
      </c>
      <c r="L1561" s="270">
        <v>510200</v>
      </c>
      <c r="M1561" s="270">
        <v>-60</v>
      </c>
      <c r="N1561" s="270" t="s">
        <v>3944</v>
      </c>
      <c r="O1561" s="270">
        <v>447.37</v>
      </c>
      <c r="P1561" s="270" t="s">
        <v>3944</v>
      </c>
      <c r="Q1561" s="270" t="s">
        <v>3944</v>
      </c>
      <c r="R1561" s="270">
        <v>447.37</v>
      </c>
      <c r="S1561" s="270">
        <v>6986.63</v>
      </c>
      <c r="T1561" s="270">
        <v>7434</v>
      </c>
      <c r="U1561" s="271" t="s">
        <v>3945</v>
      </c>
      <c r="V1561" s="267" t="s">
        <v>944</v>
      </c>
    </row>
    <row r="1562" spans="1:22" hidden="1" x14ac:dyDescent="0.25">
      <c r="A1562" s="266">
        <v>43553</v>
      </c>
      <c r="B1562" s="267">
        <v>2019</v>
      </c>
      <c r="C1562" s="267">
        <v>2019</v>
      </c>
      <c r="D1562" s="267">
        <v>1</v>
      </c>
      <c r="E1562" s="267">
        <v>1</v>
      </c>
      <c r="F1562" s="267" t="s">
        <v>944</v>
      </c>
      <c r="G1562" s="267" t="s">
        <v>3926</v>
      </c>
      <c r="H1562" s="267" t="s">
        <v>5822</v>
      </c>
      <c r="I1562" s="267" t="s">
        <v>3939</v>
      </c>
      <c r="J1562" s="267" t="s">
        <v>3928</v>
      </c>
      <c r="K1562" s="267">
        <v>6512</v>
      </c>
      <c r="L1562" s="267">
        <v>180200</v>
      </c>
      <c r="M1562" s="267" t="s">
        <v>3940</v>
      </c>
      <c r="N1562" s="267" t="s">
        <v>3944</v>
      </c>
      <c r="O1562" s="267">
        <v>1802.08</v>
      </c>
      <c r="P1562" s="267" t="s">
        <v>3944</v>
      </c>
      <c r="Q1562" s="267" t="s">
        <v>3944</v>
      </c>
      <c r="R1562" s="267">
        <v>1802.08</v>
      </c>
      <c r="S1562" s="267">
        <v>28714.76</v>
      </c>
      <c r="T1562" s="267">
        <v>30516.84</v>
      </c>
      <c r="U1562" s="268" t="s">
        <v>3945</v>
      </c>
      <c r="V1562" s="267" t="s">
        <v>944</v>
      </c>
    </row>
    <row r="1563" spans="1:22" hidden="1" x14ac:dyDescent="0.25">
      <c r="A1563" s="269">
        <v>43553</v>
      </c>
      <c r="B1563" s="270">
        <v>2019</v>
      </c>
      <c r="C1563" s="270">
        <v>2019</v>
      </c>
      <c r="D1563" s="270">
        <v>1</v>
      </c>
      <c r="E1563" s="270">
        <v>1</v>
      </c>
      <c r="F1563" s="270" t="s">
        <v>944</v>
      </c>
      <c r="G1563" s="270" t="s">
        <v>3926</v>
      </c>
      <c r="H1563" s="270" t="s">
        <v>5823</v>
      </c>
      <c r="I1563" s="270" t="s">
        <v>3954</v>
      </c>
      <c r="J1563" s="270" t="s">
        <v>3928</v>
      </c>
      <c r="K1563" s="270">
        <v>6357</v>
      </c>
      <c r="L1563" s="270">
        <v>716101</v>
      </c>
      <c r="M1563" s="270" t="s">
        <v>3935</v>
      </c>
      <c r="N1563" s="270" t="s">
        <v>3944</v>
      </c>
      <c r="O1563" s="270">
        <v>2219.35</v>
      </c>
      <c r="P1563" s="270" t="s">
        <v>3944</v>
      </c>
      <c r="Q1563" s="270" t="s">
        <v>3944</v>
      </c>
      <c r="R1563" s="270">
        <v>2219.35</v>
      </c>
      <c r="S1563" s="270">
        <v>33495.93</v>
      </c>
      <c r="T1563" s="270">
        <v>35715.279999999999</v>
      </c>
      <c r="U1563" s="271" t="s">
        <v>3945</v>
      </c>
      <c r="V1563" s="267" t="s">
        <v>944</v>
      </c>
    </row>
    <row r="1564" spans="1:22" hidden="1" x14ac:dyDescent="0.25">
      <c r="A1564" s="266">
        <v>43553</v>
      </c>
      <c r="B1564" s="267">
        <v>2019</v>
      </c>
      <c r="C1564" s="267">
        <v>2019</v>
      </c>
      <c r="D1564" s="267">
        <v>1</v>
      </c>
      <c r="E1564" s="267">
        <v>1</v>
      </c>
      <c r="F1564" s="267" t="s">
        <v>944</v>
      </c>
      <c r="G1564" s="267" t="s">
        <v>3926</v>
      </c>
      <c r="H1564" s="267" t="s">
        <v>5824</v>
      </c>
      <c r="I1564" s="267" t="s">
        <v>3025</v>
      </c>
      <c r="J1564" s="267" t="s">
        <v>3928</v>
      </c>
      <c r="K1564" s="267">
        <v>6473</v>
      </c>
      <c r="L1564" s="267">
        <v>167300</v>
      </c>
      <c r="M1564" s="267" t="s">
        <v>3943</v>
      </c>
      <c r="N1564" s="267" t="s">
        <v>3944</v>
      </c>
      <c r="O1564" s="267">
        <v>1849.58</v>
      </c>
      <c r="P1564" s="267" t="s">
        <v>3944</v>
      </c>
      <c r="Q1564" s="267" t="s">
        <v>3944</v>
      </c>
      <c r="R1564" s="267">
        <v>1849.58</v>
      </c>
      <c r="S1564" s="267">
        <v>29223.93</v>
      </c>
      <c r="T1564" s="267">
        <v>31073.51</v>
      </c>
      <c r="U1564" s="268" t="s">
        <v>3945</v>
      </c>
      <c r="V1564" s="267" t="s">
        <v>944</v>
      </c>
    </row>
    <row r="1565" spans="1:22" hidden="1" x14ac:dyDescent="0.25">
      <c r="A1565" s="269">
        <v>43553</v>
      </c>
      <c r="B1565" s="270">
        <v>2019</v>
      </c>
      <c r="C1565" s="270">
        <v>2019</v>
      </c>
      <c r="D1565" s="270">
        <v>1</v>
      </c>
      <c r="E1565" s="270">
        <v>1</v>
      </c>
      <c r="F1565" s="270" t="s">
        <v>944</v>
      </c>
      <c r="G1565" s="270" t="s">
        <v>3926</v>
      </c>
      <c r="H1565" s="270" t="s">
        <v>5825</v>
      </c>
      <c r="I1565" s="270" t="s">
        <v>4111</v>
      </c>
      <c r="J1565" s="270" t="s">
        <v>3928</v>
      </c>
      <c r="K1565" s="270">
        <v>6095</v>
      </c>
      <c r="L1565" s="270">
        <v>473700</v>
      </c>
      <c r="M1565" s="270" t="s">
        <v>3935</v>
      </c>
      <c r="N1565" s="270" t="s">
        <v>3944</v>
      </c>
      <c r="O1565" s="270">
        <v>2279.69</v>
      </c>
      <c r="P1565" s="270" t="s">
        <v>3944</v>
      </c>
      <c r="Q1565" s="270" t="s">
        <v>3944</v>
      </c>
      <c r="R1565" s="270">
        <v>2279.69</v>
      </c>
      <c r="S1565" s="270">
        <v>31674.78</v>
      </c>
      <c r="T1565" s="270">
        <v>33954.47</v>
      </c>
      <c r="U1565" s="271" t="s">
        <v>3945</v>
      </c>
      <c r="V1565" s="267" t="s">
        <v>944</v>
      </c>
    </row>
    <row r="1566" spans="1:22" hidden="1" x14ac:dyDescent="0.25">
      <c r="A1566" s="266">
        <v>43553</v>
      </c>
      <c r="B1566" s="267">
        <v>2019</v>
      </c>
      <c r="C1566" s="267">
        <v>2019</v>
      </c>
      <c r="D1566" s="267">
        <v>1</v>
      </c>
      <c r="E1566" s="267">
        <v>1</v>
      </c>
      <c r="F1566" s="267" t="s">
        <v>944</v>
      </c>
      <c r="G1566" s="267" t="s">
        <v>3926</v>
      </c>
      <c r="H1566" s="267" t="s">
        <v>5826</v>
      </c>
      <c r="I1566" s="267" t="s">
        <v>4392</v>
      </c>
      <c r="J1566" s="267" t="s">
        <v>3928</v>
      </c>
      <c r="K1566" s="267">
        <v>6457</v>
      </c>
      <c r="L1566" s="267">
        <v>541401</v>
      </c>
      <c r="M1566" s="267" t="s">
        <v>3943</v>
      </c>
      <c r="N1566" s="267" t="s">
        <v>3944</v>
      </c>
      <c r="O1566" s="267">
        <v>2016.53</v>
      </c>
      <c r="P1566" s="267" t="s">
        <v>3944</v>
      </c>
      <c r="Q1566" s="267" t="s">
        <v>3944</v>
      </c>
      <c r="R1566" s="267">
        <v>2016.53</v>
      </c>
      <c r="S1566" s="267">
        <v>26842.35</v>
      </c>
      <c r="T1566" s="267">
        <v>28858.880000000001</v>
      </c>
      <c r="U1566" s="268" t="s">
        <v>3945</v>
      </c>
      <c r="V1566" s="267" t="s">
        <v>944</v>
      </c>
    </row>
    <row r="1567" spans="1:22" x14ac:dyDescent="0.25">
      <c r="A1567" s="269">
        <v>43553</v>
      </c>
      <c r="B1567" s="270">
        <v>2019</v>
      </c>
      <c r="C1567" s="270">
        <v>2019</v>
      </c>
      <c r="D1567" s="270">
        <v>1</v>
      </c>
      <c r="E1567" s="270">
        <v>1</v>
      </c>
      <c r="F1567" s="270" t="s">
        <v>944</v>
      </c>
      <c r="G1567" s="270" t="s">
        <v>3926</v>
      </c>
      <c r="H1567" s="270" t="s">
        <v>5827</v>
      </c>
      <c r="I1567" s="270" t="s">
        <v>934</v>
      </c>
      <c r="J1567" s="270" t="s">
        <v>3928</v>
      </c>
      <c r="K1567" s="270">
        <v>6606</v>
      </c>
      <c r="L1567" s="270">
        <v>72200</v>
      </c>
      <c r="M1567" s="270">
        <v>-60</v>
      </c>
      <c r="N1567" s="270" t="s">
        <v>3944</v>
      </c>
      <c r="O1567" s="270">
        <v>1040.94</v>
      </c>
      <c r="P1567" s="270" t="s">
        <v>3944</v>
      </c>
      <c r="Q1567" s="270" t="s">
        <v>3944</v>
      </c>
      <c r="R1567" s="270">
        <v>1040.94</v>
      </c>
      <c r="S1567" s="270">
        <v>16041.51</v>
      </c>
      <c r="T1567" s="270">
        <v>17082.45</v>
      </c>
      <c r="U1567" s="271" t="s">
        <v>3945</v>
      </c>
      <c r="V1567" s="276" t="s">
        <v>936</v>
      </c>
    </row>
    <row r="1568" spans="1:22" hidden="1" x14ac:dyDescent="0.25">
      <c r="A1568" s="266">
        <v>43554</v>
      </c>
      <c r="B1568" s="267">
        <v>2019</v>
      </c>
      <c r="C1568" s="267">
        <v>2019</v>
      </c>
      <c r="D1568" s="267">
        <v>1</v>
      </c>
      <c r="E1568" s="267">
        <v>1</v>
      </c>
      <c r="F1568" s="267" t="s">
        <v>944</v>
      </c>
      <c r="G1568" s="267" t="s">
        <v>3926</v>
      </c>
      <c r="H1568" s="267" t="s">
        <v>5828</v>
      </c>
      <c r="I1568" s="267" t="s">
        <v>3956</v>
      </c>
      <c r="J1568" s="267" t="s">
        <v>3928</v>
      </c>
      <c r="K1568" s="267">
        <v>6106</v>
      </c>
      <c r="L1568" s="267">
        <v>524700</v>
      </c>
      <c r="M1568" s="267" t="s">
        <v>3935</v>
      </c>
      <c r="N1568" s="267" t="s">
        <v>3986</v>
      </c>
      <c r="O1568" s="267">
        <v>3103.29</v>
      </c>
      <c r="P1568" s="267" t="s">
        <v>3930</v>
      </c>
      <c r="Q1568" s="267" t="s">
        <v>3931</v>
      </c>
      <c r="R1568" s="267">
        <v>8103.29</v>
      </c>
      <c r="S1568" s="267">
        <v>16196.8</v>
      </c>
      <c r="T1568" s="267">
        <v>24300.09</v>
      </c>
      <c r="U1568" s="268" t="s">
        <v>3932</v>
      </c>
      <c r="V1568" s="267" t="s">
        <v>944</v>
      </c>
    </row>
    <row r="1569" spans="1:22" hidden="1" x14ac:dyDescent="0.25">
      <c r="A1569" s="269">
        <v>43554</v>
      </c>
      <c r="B1569" s="270">
        <v>2019</v>
      </c>
      <c r="C1569" s="270">
        <v>2019</v>
      </c>
      <c r="D1569" s="270">
        <v>1</v>
      </c>
      <c r="E1569" s="270">
        <v>1</v>
      </c>
      <c r="F1569" s="270" t="s">
        <v>944</v>
      </c>
      <c r="G1569" s="270" t="s">
        <v>3926</v>
      </c>
      <c r="H1569" s="270" t="s">
        <v>5829</v>
      </c>
      <c r="I1569" s="270" t="s">
        <v>4011</v>
      </c>
      <c r="J1569" s="270" t="s">
        <v>3928</v>
      </c>
      <c r="K1569" s="270">
        <v>6002</v>
      </c>
      <c r="L1569" s="270">
        <v>471300</v>
      </c>
      <c r="M1569" s="270" t="s">
        <v>3935</v>
      </c>
      <c r="N1569" s="270" t="s">
        <v>3929</v>
      </c>
      <c r="O1569" s="270">
        <v>5299.47</v>
      </c>
      <c r="P1569" s="270" t="s">
        <v>3930</v>
      </c>
      <c r="Q1569" s="270" t="s">
        <v>3931</v>
      </c>
      <c r="R1569" s="270">
        <v>10299.469999999999</v>
      </c>
      <c r="S1569" s="270">
        <v>34744</v>
      </c>
      <c r="T1569" s="270">
        <v>45043.47</v>
      </c>
      <c r="U1569" s="271" t="s">
        <v>3932</v>
      </c>
      <c r="V1569" s="267" t="s">
        <v>944</v>
      </c>
    </row>
    <row r="1570" spans="1:22" hidden="1" x14ac:dyDescent="0.25">
      <c r="A1570" s="266">
        <v>43554</v>
      </c>
      <c r="B1570" s="267">
        <v>2019</v>
      </c>
      <c r="C1570" s="267">
        <v>2019</v>
      </c>
      <c r="D1570" s="267">
        <v>1</v>
      </c>
      <c r="E1570" s="267">
        <v>1</v>
      </c>
      <c r="F1570" s="267" t="s">
        <v>944</v>
      </c>
      <c r="G1570" s="267" t="s">
        <v>3926</v>
      </c>
      <c r="H1570" s="267" t="s">
        <v>5830</v>
      </c>
      <c r="I1570" s="267" t="s">
        <v>4040</v>
      </c>
      <c r="J1570" s="267" t="s">
        <v>3928</v>
      </c>
      <c r="K1570" s="267">
        <v>6335</v>
      </c>
      <c r="L1570" s="267">
        <v>701200</v>
      </c>
      <c r="M1570" s="267" t="s">
        <v>3960</v>
      </c>
      <c r="N1570" s="267" t="s">
        <v>3929</v>
      </c>
      <c r="O1570" s="267">
        <v>1954.93</v>
      </c>
      <c r="P1570" s="267" t="s">
        <v>3930</v>
      </c>
      <c r="Q1570" s="267" t="s">
        <v>3931</v>
      </c>
      <c r="R1570" s="267">
        <v>6954.93</v>
      </c>
      <c r="S1570" s="267">
        <v>34744</v>
      </c>
      <c r="T1570" s="267">
        <v>41698.93</v>
      </c>
      <c r="U1570" s="268" t="s">
        <v>3932</v>
      </c>
      <c r="V1570" s="267" t="s">
        <v>944</v>
      </c>
    </row>
    <row r="1571" spans="1:22" x14ac:dyDescent="0.25">
      <c r="A1571" s="269">
        <v>43554</v>
      </c>
      <c r="B1571" s="270">
        <v>2019</v>
      </c>
      <c r="C1571" s="270">
        <v>2019</v>
      </c>
      <c r="D1571" s="270">
        <v>1</v>
      </c>
      <c r="E1571" s="270">
        <v>1</v>
      </c>
      <c r="F1571" s="270" t="s">
        <v>944</v>
      </c>
      <c r="G1571" s="270" t="s">
        <v>3926</v>
      </c>
      <c r="H1571" s="270" t="s">
        <v>5831</v>
      </c>
      <c r="I1571" s="270" t="s">
        <v>934</v>
      </c>
      <c r="J1571" s="270" t="s">
        <v>3928</v>
      </c>
      <c r="K1571" s="270">
        <v>6607</v>
      </c>
      <c r="L1571" s="270">
        <v>74400</v>
      </c>
      <c r="M1571" s="270">
        <v>-60</v>
      </c>
      <c r="N1571" s="270" t="s">
        <v>3983</v>
      </c>
      <c r="O1571" s="270">
        <v>1186.92</v>
      </c>
      <c r="P1571" s="270" t="s">
        <v>3930</v>
      </c>
      <c r="Q1571" s="270" t="s">
        <v>3931</v>
      </c>
      <c r="R1571" s="270">
        <v>6186.92</v>
      </c>
      <c r="S1571" s="270">
        <v>16504</v>
      </c>
      <c r="T1571" s="270">
        <v>22690.92</v>
      </c>
      <c r="U1571" s="271" t="s">
        <v>3932</v>
      </c>
      <c r="V1571" s="276" t="s">
        <v>936</v>
      </c>
    </row>
    <row r="1572" spans="1:22" hidden="1" x14ac:dyDescent="0.25">
      <c r="A1572" s="266">
        <v>43555</v>
      </c>
      <c r="B1572" s="267">
        <v>2019</v>
      </c>
      <c r="C1572" s="267">
        <v>2019</v>
      </c>
      <c r="D1572" s="267">
        <v>1</v>
      </c>
      <c r="E1572" s="267">
        <v>1</v>
      </c>
      <c r="F1572" s="267" t="s">
        <v>944</v>
      </c>
      <c r="G1572" s="267" t="s">
        <v>3997</v>
      </c>
      <c r="H1572" s="267" t="s">
        <v>5832</v>
      </c>
      <c r="I1572" s="267" t="s">
        <v>4108</v>
      </c>
      <c r="J1572" s="267" t="s">
        <v>3928</v>
      </c>
      <c r="K1572" s="267">
        <v>6082</v>
      </c>
      <c r="L1572" s="267">
        <v>524300</v>
      </c>
      <c r="M1572" s="267" t="s">
        <v>3960</v>
      </c>
      <c r="N1572" s="267" t="s">
        <v>4103</v>
      </c>
      <c r="O1572" s="267">
        <v>1340.82</v>
      </c>
      <c r="P1572" s="267" t="s">
        <v>3930</v>
      </c>
      <c r="Q1572" s="267" t="s">
        <v>3931</v>
      </c>
      <c r="R1572" s="267">
        <v>6340.82</v>
      </c>
      <c r="S1572" s="267">
        <v>24145.599999999999</v>
      </c>
      <c r="T1572" s="267">
        <v>30486.42</v>
      </c>
      <c r="U1572" s="268" t="s">
        <v>3932</v>
      </c>
      <c r="V1572" s="267" t="s">
        <v>944</v>
      </c>
    </row>
    <row r="1573" spans="1:22" hidden="1" x14ac:dyDescent="0.25">
      <c r="A1573" s="269">
        <v>43555</v>
      </c>
      <c r="B1573" s="270">
        <v>2019</v>
      </c>
      <c r="C1573" s="270">
        <v>2019</v>
      </c>
      <c r="D1573" s="270">
        <v>1</v>
      </c>
      <c r="E1573" s="270">
        <v>1</v>
      </c>
      <c r="F1573" s="270" t="s">
        <v>944</v>
      </c>
      <c r="G1573" s="270" t="s">
        <v>3926</v>
      </c>
      <c r="H1573" s="270" t="s">
        <v>5833</v>
      </c>
      <c r="I1573" s="270" t="s">
        <v>4213</v>
      </c>
      <c r="J1573" s="270" t="s">
        <v>3928</v>
      </c>
      <c r="K1573" s="270">
        <v>6053</v>
      </c>
      <c r="L1573" s="270">
        <v>416800</v>
      </c>
      <c r="M1573" s="270" t="s">
        <v>3940</v>
      </c>
      <c r="N1573" s="270" t="s">
        <v>4103</v>
      </c>
      <c r="O1573" s="270">
        <v>1536.61</v>
      </c>
      <c r="P1573" s="270" t="s">
        <v>3930</v>
      </c>
      <c r="Q1573" s="270" t="s">
        <v>3931</v>
      </c>
      <c r="R1573" s="270">
        <v>6536.61</v>
      </c>
      <c r="S1573" s="270">
        <v>24145.599999999999</v>
      </c>
      <c r="T1573" s="270">
        <v>30682.21</v>
      </c>
      <c r="U1573" s="271" t="s">
        <v>3932</v>
      </c>
      <c r="V1573" s="267" t="s">
        <v>944</v>
      </c>
    </row>
    <row r="1574" spans="1:22" hidden="1" x14ac:dyDescent="0.25">
      <c r="A1574" s="266">
        <v>43555</v>
      </c>
      <c r="B1574" s="267">
        <v>2019</v>
      </c>
      <c r="C1574" s="267">
        <v>2019</v>
      </c>
      <c r="D1574" s="267">
        <v>1</v>
      </c>
      <c r="E1574" s="267">
        <v>1</v>
      </c>
      <c r="F1574" s="267" t="s">
        <v>944</v>
      </c>
      <c r="G1574" s="267" t="s">
        <v>3926</v>
      </c>
      <c r="H1574" s="267" t="s">
        <v>5834</v>
      </c>
      <c r="I1574" s="267" t="s">
        <v>956</v>
      </c>
      <c r="J1574" s="267" t="s">
        <v>3928</v>
      </c>
      <c r="K1574" s="267">
        <v>6615</v>
      </c>
      <c r="L1574" s="267">
        <v>80400</v>
      </c>
      <c r="M1574" s="267" t="s">
        <v>3940</v>
      </c>
      <c r="N1574" s="267" t="s">
        <v>4103</v>
      </c>
      <c r="O1574" s="267">
        <v>1588.65</v>
      </c>
      <c r="P1574" s="267" t="s">
        <v>3930</v>
      </c>
      <c r="Q1574" s="267" t="s">
        <v>3931</v>
      </c>
      <c r="R1574" s="267">
        <v>6588.65</v>
      </c>
      <c r="S1574" s="267">
        <v>24145.599999999999</v>
      </c>
      <c r="T1574" s="267">
        <v>30734.25</v>
      </c>
      <c r="U1574" s="268" t="s">
        <v>3932</v>
      </c>
      <c r="V1574" s="267" t="s">
        <v>944</v>
      </c>
    </row>
    <row r="1575" spans="1:22" x14ac:dyDescent="0.25">
      <c r="A1575" s="269">
        <v>43555</v>
      </c>
      <c r="B1575" s="270">
        <v>2019</v>
      </c>
      <c r="C1575" s="270">
        <v>2019</v>
      </c>
      <c r="D1575" s="270">
        <v>1</v>
      </c>
      <c r="E1575" s="270">
        <v>1</v>
      </c>
      <c r="F1575" s="270" t="s">
        <v>944</v>
      </c>
      <c r="G1575" s="270" t="s">
        <v>3926</v>
      </c>
      <c r="H1575" s="270" t="s">
        <v>5835</v>
      </c>
      <c r="I1575" s="270" t="s">
        <v>934</v>
      </c>
      <c r="J1575" s="270" t="s">
        <v>3928</v>
      </c>
      <c r="K1575" s="270">
        <v>6607</v>
      </c>
      <c r="L1575" s="270">
        <v>74300</v>
      </c>
      <c r="M1575" s="270">
        <v>-60</v>
      </c>
      <c r="N1575" s="270" t="s">
        <v>3986</v>
      </c>
      <c r="O1575" s="270">
        <v>1308.27</v>
      </c>
      <c r="P1575" s="270" t="s">
        <v>3930</v>
      </c>
      <c r="Q1575" s="270" t="s">
        <v>3931</v>
      </c>
      <c r="R1575" s="270">
        <v>6308.27</v>
      </c>
      <c r="S1575" s="270">
        <v>16196.8</v>
      </c>
      <c r="T1575" s="270">
        <v>22505.07</v>
      </c>
      <c r="U1575" s="271" t="s">
        <v>3932</v>
      </c>
      <c r="V1575" s="276" t="s">
        <v>936</v>
      </c>
    </row>
    <row r="1576" spans="1:22" hidden="1" x14ac:dyDescent="0.25">
      <c r="A1576" s="266">
        <v>43555</v>
      </c>
      <c r="B1576" s="267">
        <v>2019</v>
      </c>
      <c r="C1576" s="267">
        <v>2019</v>
      </c>
      <c r="D1576" s="267">
        <v>1</v>
      </c>
      <c r="E1576" s="267">
        <v>1</v>
      </c>
      <c r="F1576" s="267" t="s">
        <v>944</v>
      </c>
      <c r="G1576" s="267" t="s">
        <v>3926</v>
      </c>
      <c r="H1576" s="267" t="s">
        <v>5836</v>
      </c>
      <c r="I1576" s="267" t="s">
        <v>3956</v>
      </c>
      <c r="J1576" s="267" t="s">
        <v>3928</v>
      </c>
      <c r="K1576" s="267">
        <v>6114</v>
      </c>
      <c r="L1576" s="267">
        <v>504800</v>
      </c>
      <c r="M1576" s="267" t="s">
        <v>3940</v>
      </c>
      <c r="N1576" s="267" t="s">
        <v>3983</v>
      </c>
      <c r="O1576" s="267">
        <v>2424.96</v>
      </c>
      <c r="P1576" s="267" t="s">
        <v>3930</v>
      </c>
      <c r="Q1576" s="267" t="s">
        <v>3931</v>
      </c>
      <c r="R1576" s="267">
        <v>7424.96</v>
      </c>
      <c r="S1576" s="267">
        <v>16504</v>
      </c>
      <c r="T1576" s="267">
        <v>23928.959999999999</v>
      </c>
      <c r="U1576" s="268" t="s">
        <v>3932</v>
      </c>
      <c r="V1576" s="267" t="s">
        <v>944</v>
      </c>
    </row>
    <row r="1577" spans="1:22" hidden="1" x14ac:dyDescent="0.25">
      <c r="A1577" s="269">
        <v>43556</v>
      </c>
      <c r="B1577" s="270">
        <v>2019</v>
      </c>
      <c r="C1577" s="270">
        <v>2019</v>
      </c>
      <c r="D1577" s="270">
        <v>1</v>
      </c>
      <c r="E1577" s="270">
        <v>1</v>
      </c>
      <c r="F1577" s="270" t="s">
        <v>944</v>
      </c>
      <c r="G1577" s="270" t="s">
        <v>3926</v>
      </c>
      <c r="H1577" s="270" t="s">
        <v>5837</v>
      </c>
      <c r="I1577" s="270" t="s">
        <v>4172</v>
      </c>
      <c r="J1577" s="270" t="s">
        <v>3928</v>
      </c>
      <c r="K1577" s="270">
        <v>6786</v>
      </c>
      <c r="L1577" s="270">
        <v>425300</v>
      </c>
      <c r="M1577" s="270" t="s">
        <v>3960</v>
      </c>
      <c r="N1577" s="270" t="s">
        <v>5838</v>
      </c>
      <c r="O1577" s="270">
        <v>0</v>
      </c>
      <c r="P1577" s="270" t="s">
        <v>3930</v>
      </c>
      <c r="Q1577" s="270" t="s">
        <v>3930</v>
      </c>
      <c r="R1577" s="270">
        <v>0</v>
      </c>
      <c r="S1577" s="270">
        <v>6850</v>
      </c>
      <c r="T1577" s="270">
        <v>6850</v>
      </c>
      <c r="U1577" s="271" t="s">
        <v>3937</v>
      </c>
      <c r="V1577" s="267" t="s">
        <v>944</v>
      </c>
    </row>
    <row r="1578" spans="1:22" hidden="1" x14ac:dyDescent="0.25">
      <c r="A1578" s="266">
        <v>43556</v>
      </c>
      <c r="B1578" s="267">
        <v>2019</v>
      </c>
      <c r="C1578" s="267">
        <v>2019</v>
      </c>
      <c r="D1578" s="267">
        <v>1</v>
      </c>
      <c r="E1578" s="267">
        <v>1</v>
      </c>
      <c r="F1578" s="267" t="s">
        <v>944</v>
      </c>
      <c r="G1578" s="267" t="s">
        <v>3926</v>
      </c>
      <c r="H1578" s="267" t="s">
        <v>5839</v>
      </c>
      <c r="I1578" s="267" t="s">
        <v>5127</v>
      </c>
      <c r="J1578" s="267" t="s">
        <v>3928</v>
      </c>
      <c r="K1578" s="267">
        <v>6778</v>
      </c>
      <c r="L1578" s="267">
        <v>300500</v>
      </c>
      <c r="M1578" s="267" t="s">
        <v>3935</v>
      </c>
      <c r="N1578" s="267" t="s">
        <v>5840</v>
      </c>
      <c r="O1578" s="267">
        <v>2526</v>
      </c>
      <c r="P1578" s="267" t="s">
        <v>3930</v>
      </c>
      <c r="Q1578" s="267" t="s">
        <v>3930</v>
      </c>
      <c r="R1578" s="267">
        <v>2526</v>
      </c>
      <c r="S1578" s="267">
        <v>36172</v>
      </c>
      <c r="T1578" s="267">
        <v>38698</v>
      </c>
      <c r="U1578" s="268" t="s">
        <v>3937</v>
      </c>
      <c r="V1578" s="267" t="s">
        <v>944</v>
      </c>
    </row>
    <row r="1579" spans="1:22" hidden="1" x14ac:dyDescent="0.25">
      <c r="A1579" s="269">
        <v>43556</v>
      </c>
      <c r="B1579" s="270">
        <v>2019</v>
      </c>
      <c r="C1579" s="270">
        <v>2019</v>
      </c>
      <c r="D1579" s="270">
        <v>1</v>
      </c>
      <c r="E1579" s="270">
        <v>1</v>
      </c>
      <c r="F1579" s="270" t="s">
        <v>944</v>
      </c>
      <c r="G1579" s="270" t="s">
        <v>3926</v>
      </c>
      <c r="H1579" s="270" t="s">
        <v>5841</v>
      </c>
      <c r="I1579" s="270" t="s">
        <v>3008</v>
      </c>
      <c r="J1579" s="270" t="s">
        <v>3928</v>
      </c>
      <c r="K1579" s="270">
        <v>6460</v>
      </c>
      <c r="L1579" s="270">
        <v>150100</v>
      </c>
      <c r="M1579" s="270" t="s">
        <v>3960</v>
      </c>
      <c r="N1579" s="270" t="s">
        <v>5842</v>
      </c>
      <c r="O1579" s="270">
        <v>1491</v>
      </c>
      <c r="P1579" s="270" t="s">
        <v>3930</v>
      </c>
      <c r="Q1579" s="270" t="s">
        <v>3930</v>
      </c>
      <c r="R1579" s="270">
        <v>1491</v>
      </c>
      <c r="S1579" s="270">
        <v>14709</v>
      </c>
      <c r="T1579" s="270">
        <v>16200</v>
      </c>
      <c r="U1579" s="271" t="s">
        <v>3937</v>
      </c>
      <c r="V1579" s="267" t="s">
        <v>944</v>
      </c>
    </row>
    <row r="1580" spans="1:22" hidden="1" x14ac:dyDescent="0.25">
      <c r="A1580" s="266">
        <v>43556</v>
      </c>
      <c r="B1580" s="267">
        <v>2019</v>
      </c>
      <c r="C1580" s="267">
        <v>2019</v>
      </c>
      <c r="D1580" s="267">
        <v>1</v>
      </c>
      <c r="E1580" s="267">
        <v>1</v>
      </c>
      <c r="F1580" s="267" t="s">
        <v>944</v>
      </c>
      <c r="G1580" s="267" t="s">
        <v>3926</v>
      </c>
      <c r="H1580" s="267" t="s">
        <v>5843</v>
      </c>
      <c r="I1580" s="267" t="s">
        <v>953</v>
      </c>
      <c r="J1580" s="267" t="s">
        <v>3928</v>
      </c>
      <c r="K1580" s="267">
        <v>6514</v>
      </c>
      <c r="L1580" s="267">
        <v>165900</v>
      </c>
      <c r="M1580" s="267" t="s">
        <v>3943</v>
      </c>
      <c r="N1580" s="267" t="s">
        <v>3944</v>
      </c>
      <c r="O1580" s="267">
        <v>6441</v>
      </c>
      <c r="P1580" s="267" t="s">
        <v>3944</v>
      </c>
      <c r="Q1580" s="267" t="s">
        <v>3944</v>
      </c>
      <c r="R1580" s="267">
        <v>6441</v>
      </c>
      <c r="S1580" s="267">
        <v>46515.199999999997</v>
      </c>
      <c r="T1580" s="267">
        <v>52956.2</v>
      </c>
      <c r="U1580" s="268" t="s">
        <v>3945</v>
      </c>
      <c r="V1580" s="267" t="s">
        <v>944</v>
      </c>
    </row>
    <row r="1581" spans="1:22" hidden="1" x14ac:dyDescent="0.25">
      <c r="A1581" s="269">
        <v>43556</v>
      </c>
      <c r="B1581" s="270">
        <v>2019</v>
      </c>
      <c r="C1581" s="270">
        <v>2019</v>
      </c>
      <c r="D1581" s="270">
        <v>1</v>
      </c>
      <c r="E1581" s="270">
        <v>1</v>
      </c>
      <c r="F1581" s="270" t="s">
        <v>944</v>
      </c>
      <c r="G1581" s="270" t="s">
        <v>3926</v>
      </c>
      <c r="H1581" s="270" t="s">
        <v>5844</v>
      </c>
      <c r="I1581" s="270" t="s">
        <v>5845</v>
      </c>
      <c r="J1581" s="270" t="s">
        <v>3928</v>
      </c>
      <c r="K1581" s="270">
        <v>6754</v>
      </c>
      <c r="L1581" s="270">
        <v>263200</v>
      </c>
      <c r="M1581" s="270" t="s">
        <v>3935</v>
      </c>
      <c r="N1581" s="270" t="s">
        <v>3944</v>
      </c>
      <c r="O1581" s="270">
        <v>3946</v>
      </c>
      <c r="P1581" s="270" t="s">
        <v>3944</v>
      </c>
      <c r="Q1581" s="270" t="s">
        <v>3944</v>
      </c>
      <c r="R1581" s="270">
        <v>3946</v>
      </c>
      <c r="S1581" s="270">
        <v>30592.54</v>
      </c>
      <c r="T1581" s="270">
        <v>34538.54</v>
      </c>
      <c r="U1581" s="271" t="s">
        <v>3945</v>
      </c>
      <c r="V1581" s="267" t="s">
        <v>944</v>
      </c>
    </row>
    <row r="1582" spans="1:22" hidden="1" x14ac:dyDescent="0.25">
      <c r="A1582" s="266">
        <v>43556</v>
      </c>
      <c r="B1582" s="267">
        <v>2019</v>
      </c>
      <c r="C1582" s="267">
        <v>2019</v>
      </c>
      <c r="D1582" s="267">
        <v>1</v>
      </c>
      <c r="E1582" s="267">
        <v>1</v>
      </c>
      <c r="F1582" s="267" t="s">
        <v>944</v>
      </c>
      <c r="G1582" s="267" t="s">
        <v>3926</v>
      </c>
      <c r="H1582" s="267" t="s">
        <v>5846</v>
      </c>
      <c r="I1582" s="267" t="s">
        <v>3949</v>
      </c>
      <c r="J1582" s="267" t="s">
        <v>3928</v>
      </c>
      <c r="K1582" s="267">
        <v>6437</v>
      </c>
      <c r="L1582" s="267">
        <v>190301</v>
      </c>
      <c r="M1582" s="267" t="s">
        <v>3943</v>
      </c>
      <c r="N1582" s="267" t="s">
        <v>3944</v>
      </c>
      <c r="O1582" s="267">
        <v>2563</v>
      </c>
      <c r="P1582" s="267" t="s">
        <v>3944</v>
      </c>
      <c r="Q1582" s="267" t="s">
        <v>3944</v>
      </c>
      <c r="R1582" s="267">
        <v>2563</v>
      </c>
      <c r="S1582" s="267">
        <v>25998.25</v>
      </c>
      <c r="T1582" s="267">
        <v>28561.25</v>
      </c>
      <c r="U1582" s="268" t="s">
        <v>3945</v>
      </c>
      <c r="V1582" s="267" t="s">
        <v>944</v>
      </c>
    </row>
    <row r="1583" spans="1:22" hidden="1" x14ac:dyDescent="0.25">
      <c r="A1583" s="269">
        <v>43556</v>
      </c>
      <c r="B1583" s="270">
        <v>2019</v>
      </c>
      <c r="C1583" s="270">
        <v>2019</v>
      </c>
      <c r="D1583" s="270">
        <v>1</v>
      </c>
      <c r="E1583" s="270">
        <v>1</v>
      </c>
      <c r="F1583" s="270" t="s">
        <v>944</v>
      </c>
      <c r="G1583" s="270" t="s">
        <v>3926</v>
      </c>
      <c r="H1583" s="270" t="s">
        <v>5847</v>
      </c>
      <c r="I1583" s="270" t="s">
        <v>953</v>
      </c>
      <c r="J1583" s="270" t="s">
        <v>3928</v>
      </c>
      <c r="K1583" s="270">
        <v>6518</v>
      </c>
      <c r="L1583" s="270">
        <v>165900</v>
      </c>
      <c r="M1583" s="270" t="s">
        <v>3943</v>
      </c>
      <c r="N1583" s="270" t="s">
        <v>3944</v>
      </c>
      <c r="O1583" s="270">
        <v>4226</v>
      </c>
      <c r="P1583" s="270" t="s">
        <v>3944</v>
      </c>
      <c r="Q1583" s="270" t="s">
        <v>3944</v>
      </c>
      <c r="R1583" s="270">
        <v>4226</v>
      </c>
      <c r="S1583" s="270">
        <v>42012.4</v>
      </c>
      <c r="T1583" s="270">
        <v>46238.400000000001</v>
      </c>
      <c r="U1583" s="271" t="s">
        <v>3945</v>
      </c>
      <c r="V1583" s="267" t="s">
        <v>944</v>
      </c>
    </row>
    <row r="1584" spans="1:22" hidden="1" x14ac:dyDescent="0.25">
      <c r="A1584" s="266">
        <v>43556</v>
      </c>
      <c r="B1584" s="267">
        <v>2019</v>
      </c>
      <c r="C1584" s="267">
        <v>2019</v>
      </c>
      <c r="D1584" s="267">
        <v>1</v>
      </c>
      <c r="E1584" s="267">
        <v>1</v>
      </c>
      <c r="F1584" s="267" t="s">
        <v>944</v>
      </c>
      <c r="G1584" s="267" t="s">
        <v>3926</v>
      </c>
      <c r="H1584" s="267" t="s">
        <v>5848</v>
      </c>
      <c r="I1584" s="267" t="s">
        <v>3968</v>
      </c>
      <c r="J1584" s="267" t="s">
        <v>3928</v>
      </c>
      <c r="K1584" s="267">
        <v>6042</v>
      </c>
      <c r="L1584" s="267">
        <v>514900</v>
      </c>
      <c r="M1584" s="267" t="s">
        <v>3960</v>
      </c>
      <c r="N1584" s="267" t="s">
        <v>3944</v>
      </c>
      <c r="O1584" s="267">
        <v>3180</v>
      </c>
      <c r="P1584" s="267" t="s">
        <v>3944</v>
      </c>
      <c r="Q1584" s="267" t="s">
        <v>3944</v>
      </c>
      <c r="R1584" s="267">
        <v>3180</v>
      </c>
      <c r="S1584" s="267">
        <v>24489.599999999999</v>
      </c>
      <c r="T1584" s="267">
        <v>27669.599999999999</v>
      </c>
      <c r="U1584" s="268" t="s">
        <v>3945</v>
      </c>
      <c r="V1584" s="267" t="s">
        <v>944</v>
      </c>
    </row>
    <row r="1585" spans="1:22" hidden="1" x14ac:dyDescent="0.25">
      <c r="A1585" s="269">
        <v>43556</v>
      </c>
      <c r="B1585" s="270">
        <v>2019</v>
      </c>
      <c r="C1585" s="270">
        <v>2019</v>
      </c>
      <c r="D1585" s="270">
        <v>1</v>
      </c>
      <c r="E1585" s="270">
        <v>1</v>
      </c>
      <c r="F1585" s="270" t="s">
        <v>944</v>
      </c>
      <c r="G1585" s="270" t="s">
        <v>3926</v>
      </c>
      <c r="H1585" s="270" t="s">
        <v>5849</v>
      </c>
      <c r="I1585" s="270" t="s">
        <v>4114</v>
      </c>
      <c r="J1585" s="270" t="s">
        <v>3928</v>
      </c>
      <c r="K1585" s="270">
        <v>6410</v>
      </c>
      <c r="L1585" s="270">
        <v>343300</v>
      </c>
      <c r="M1585" s="270" t="s">
        <v>3943</v>
      </c>
      <c r="N1585" s="270" t="s">
        <v>3944</v>
      </c>
      <c r="O1585" s="270">
        <v>3975</v>
      </c>
      <c r="P1585" s="270" t="s">
        <v>3944</v>
      </c>
      <c r="Q1585" s="270" t="s">
        <v>3944</v>
      </c>
      <c r="R1585" s="270">
        <v>3975</v>
      </c>
      <c r="S1585" s="270">
        <v>55622.51</v>
      </c>
      <c r="T1585" s="270">
        <v>59597.51</v>
      </c>
      <c r="U1585" s="271" t="s">
        <v>3945</v>
      </c>
      <c r="V1585" s="267" t="s">
        <v>944</v>
      </c>
    </row>
    <row r="1586" spans="1:22" hidden="1" x14ac:dyDescent="0.25">
      <c r="A1586" s="266">
        <v>43556</v>
      </c>
      <c r="B1586" s="267">
        <v>2019</v>
      </c>
      <c r="C1586" s="267">
        <v>2019</v>
      </c>
      <c r="D1586" s="267">
        <v>1</v>
      </c>
      <c r="E1586" s="267">
        <v>1</v>
      </c>
      <c r="F1586" s="267" t="s">
        <v>944</v>
      </c>
      <c r="G1586" s="267" t="s">
        <v>3926</v>
      </c>
      <c r="H1586" s="267" t="s">
        <v>5850</v>
      </c>
      <c r="I1586" s="267" t="s">
        <v>3975</v>
      </c>
      <c r="J1586" s="267" t="s">
        <v>3928</v>
      </c>
      <c r="K1586" s="267">
        <v>6489</v>
      </c>
      <c r="L1586" s="267">
        <v>430202</v>
      </c>
      <c r="M1586" s="267" t="s">
        <v>3943</v>
      </c>
      <c r="N1586" s="267" t="s">
        <v>3944</v>
      </c>
      <c r="O1586" s="267">
        <v>5207</v>
      </c>
      <c r="P1586" s="267" t="s">
        <v>3944</v>
      </c>
      <c r="Q1586" s="267" t="s">
        <v>3944</v>
      </c>
      <c r="R1586" s="267">
        <v>5207</v>
      </c>
      <c r="S1586" s="267">
        <v>50608.5</v>
      </c>
      <c r="T1586" s="267">
        <v>55815.5</v>
      </c>
      <c r="U1586" s="268" t="s">
        <v>3945</v>
      </c>
      <c r="V1586" s="267" t="s">
        <v>944</v>
      </c>
    </row>
    <row r="1587" spans="1:22" hidden="1" x14ac:dyDescent="0.25">
      <c r="A1587" s="269">
        <v>43556</v>
      </c>
      <c r="B1587" s="270">
        <v>2019</v>
      </c>
      <c r="C1587" s="270">
        <v>2019</v>
      </c>
      <c r="D1587" s="270">
        <v>1</v>
      </c>
      <c r="E1587" s="270">
        <v>1</v>
      </c>
      <c r="F1587" s="270" t="s">
        <v>944</v>
      </c>
      <c r="G1587" s="270" t="s">
        <v>3926</v>
      </c>
      <c r="H1587" s="270" t="s">
        <v>5851</v>
      </c>
      <c r="I1587" s="270" t="s">
        <v>4037</v>
      </c>
      <c r="J1587" s="270" t="s">
        <v>3928</v>
      </c>
      <c r="K1587" s="270">
        <v>6811</v>
      </c>
      <c r="L1587" s="270">
        <v>210800</v>
      </c>
      <c r="M1587" s="270" t="s">
        <v>3960</v>
      </c>
      <c r="N1587" s="270" t="s">
        <v>3944</v>
      </c>
      <c r="O1587" s="270">
        <v>1813</v>
      </c>
      <c r="P1587" s="270" t="s">
        <v>3944</v>
      </c>
      <c r="Q1587" s="270" t="s">
        <v>3944</v>
      </c>
      <c r="R1587" s="270">
        <v>1813</v>
      </c>
      <c r="S1587" s="270">
        <v>41046</v>
      </c>
      <c r="T1587" s="270">
        <v>42859</v>
      </c>
      <c r="U1587" s="271" t="s">
        <v>3945</v>
      </c>
      <c r="V1587" s="267" t="s">
        <v>944</v>
      </c>
    </row>
    <row r="1588" spans="1:22" hidden="1" x14ac:dyDescent="0.25">
      <c r="A1588" s="266">
        <v>43556</v>
      </c>
      <c r="B1588" s="267">
        <v>2019</v>
      </c>
      <c r="C1588" s="267">
        <v>2019</v>
      </c>
      <c r="D1588" s="267">
        <v>1</v>
      </c>
      <c r="E1588" s="267">
        <v>1</v>
      </c>
      <c r="F1588" s="267" t="s">
        <v>944</v>
      </c>
      <c r="G1588" s="267" t="s">
        <v>3926</v>
      </c>
      <c r="H1588" s="267" t="s">
        <v>5852</v>
      </c>
      <c r="I1588" s="267" t="s">
        <v>3968</v>
      </c>
      <c r="J1588" s="267" t="s">
        <v>3928</v>
      </c>
      <c r="K1588" s="267">
        <v>6042</v>
      </c>
      <c r="L1588" s="267">
        <v>514101</v>
      </c>
      <c r="M1588" s="267" t="s">
        <v>3960</v>
      </c>
      <c r="N1588" s="267" t="s">
        <v>3944</v>
      </c>
      <c r="O1588" s="267">
        <v>2510</v>
      </c>
      <c r="P1588" s="267" t="s">
        <v>3944</v>
      </c>
      <c r="Q1588" s="267" t="s">
        <v>3944</v>
      </c>
      <c r="R1588" s="267">
        <v>2510</v>
      </c>
      <c r="S1588" s="267">
        <v>23907.08</v>
      </c>
      <c r="T1588" s="267">
        <v>26417.08</v>
      </c>
      <c r="U1588" s="268" t="s">
        <v>3945</v>
      </c>
      <c r="V1588" s="267" t="s">
        <v>944</v>
      </c>
    </row>
    <row r="1589" spans="1:22" hidden="1" x14ac:dyDescent="0.25">
      <c r="A1589" s="269">
        <v>43556</v>
      </c>
      <c r="B1589" s="270">
        <v>2019</v>
      </c>
      <c r="C1589" s="270">
        <v>2019</v>
      </c>
      <c r="D1589" s="270">
        <v>1</v>
      </c>
      <c r="E1589" s="270">
        <v>1</v>
      </c>
      <c r="F1589" s="270" t="s">
        <v>944</v>
      </c>
      <c r="G1589" s="270" t="s">
        <v>3926</v>
      </c>
      <c r="H1589" s="270" t="s">
        <v>5853</v>
      </c>
      <c r="I1589" s="270" t="s">
        <v>3026</v>
      </c>
      <c r="J1589" s="270" t="s">
        <v>3928</v>
      </c>
      <c r="K1589" s="270">
        <v>6471</v>
      </c>
      <c r="L1589" s="270">
        <v>186100</v>
      </c>
      <c r="M1589" s="270" t="s">
        <v>3935</v>
      </c>
      <c r="N1589" s="270" t="s">
        <v>3944</v>
      </c>
      <c r="O1589" s="270">
        <v>3775</v>
      </c>
      <c r="P1589" s="270" t="s">
        <v>3944</v>
      </c>
      <c r="Q1589" s="270" t="s">
        <v>3944</v>
      </c>
      <c r="R1589" s="270">
        <v>3775</v>
      </c>
      <c r="S1589" s="270">
        <v>21618.5</v>
      </c>
      <c r="T1589" s="270">
        <v>25393.5</v>
      </c>
      <c r="U1589" s="271" t="s">
        <v>3945</v>
      </c>
      <c r="V1589" s="267" t="s">
        <v>944</v>
      </c>
    </row>
    <row r="1590" spans="1:22" hidden="1" x14ac:dyDescent="0.25">
      <c r="A1590" s="266">
        <v>43556</v>
      </c>
      <c r="B1590" s="267">
        <v>2019</v>
      </c>
      <c r="C1590" s="267">
        <v>2019</v>
      </c>
      <c r="D1590" s="267">
        <v>1</v>
      </c>
      <c r="E1590" s="267">
        <v>1</v>
      </c>
      <c r="F1590" s="267" t="s">
        <v>944</v>
      </c>
      <c r="G1590" s="267" t="s">
        <v>3926</v>
      </c>
      <c r="H1590" s="267" t="s">
        <v>5854</v>
      </c>
      <c r="I1590" s="267" t="s">
        <v>2981</v>
      </c>
      <c r="J1590" s="267" t="s">
        <v>3928</v>
      </c>
      <c r="K1590" s="267">
        <v>6612</v>
      </c>
      <c r="L1590" s="267">
        <v>105200</v>
      </c>
      <c r="M1590" s="267" t="s">
        <v>3943</v>
      </c>
      <c r="N1590" s="267" t="s">
        <v>3944</v>
      </c>
      <c r="O1590" s="267">
        <v>1293</v>
      </c>
      <c r="P1590" s="267" t="s">
        <v>3944</v>
      </c>
      <c r="Q1590" s="267" t="s">
        <v>3944</v>
      </c>
      <c r="R1590" s="267">
        <v>1293</v>
      </c>
      <c r="S1590" s="267">
        <v>32892</v>
      </c>
      <c r="T1590" s="267">
        <v>34185</v>
      </c>
      <c r="U1590" s="268" t="s">
        <v>3945</v>
      </c>
      <c r="V1590" s="267" t="s">
        <v>944</v>
      </c>
    </row>
    <row r="1591" spans="1:22" hidden="1" x14ac:dyDescent="0.25">
      <c r="A1591" s="269">
        <v>43556</v>
      </c>
      <c r="B1591" s="270">
        <v>2019</v>
      </c>
      <c r="C1591" s="270">
        <v>2019</v>
      </c>
      <c r="D1591" s="270">
        <v>1</v>
      </c>
      <c r="E1591" s="270">
        <v>1</v>
      </c>
      <c r="F1591" s="270" t="s">
        <v>944</v>
      </c>
      <c r="G1591" s="270" t="s">
        <v>3926</v>
      </c>
      <c r="H1591" s="270" t="s">
        <v>5855</v>
      </c>
      <c r="I1591" s="270" t="s">
        <v>4065</v>
      </c>
      <c r="J1591" s="270" t="s">
        <v>3928</v>
      </c>
      <c r="K1591" s="270">
        <v>6480</v>
      </c>
      <c r="L1591" s="270">
        <v>560100</v>
      </c>
      <c r="M1591" s="270" t="s">
        <v>3943</v>
      </c>
      <c r="N1591" s="270" t="s">
        <v>3944</v>
      </c>
      <c r="O1591" s="270">
        <v>1619.35</v>
      </c>
      <c r="P1591" s="270" t="s">
        <v>3944</v>
      </c>
      <c r="Q1591" s="270" t="s">
        <v>3944</v>
      </c>
      <c r="R1591" s="270">
        <v>1619.35</v>
      </c>
      <c r="S1591" s="270">
        <v>22320.799999999999</v>
      </c>
      <c r="T1591" s="270">
        <v>23940.15</v>
      </c>
      <c r="U1591" s="271" t="s">
        <v>3945</v>
      </c>
      <c r="V1591" s="267" t="s">
        <v>944</v>
      </c>
    </row>
    <row r="1592" spans="1:22" hidden="1" x14ac:dyDescent="0.25">
      <c r="A1592" s="266">
        <v>43556</v>
      </c>
      <c r="B1592" s="267">
        <v>2019</v>
      </c>
      <c r="C1592" s="267">
        <v>2019</v>
      </c>
      <c r="D1592" s="267">
        <v>1</v>
      </c>
      <c r="E1592" s="267">
        <v>1</v>
      </c>
      <c r="F1592" s="267" t="s">
        <v>944</v>
      </c>
      <c r="G1592" s="267" t="s">
        <v>3926</v>
      </c>
      <c r="H1592" s="267" t="s">
        <v>5856</v>
      </c>
      <c r="I1592" s="267" t="s">
        <v>2985</v>
      </c>
      <c r="J1592" s="267" t="s">
        <v>3928</v>
      </c>
      <c r="K1592" s="267">
        <v>6825</v>
      </c>
      <c r="L1592" s="267">
        <v>61400</v>
      </c>
      <c r="M1592" s="267" t="s">
        <v>3960</v>
      </c>
      <c r="N1592" s="267" t="s">
        <v>3944</v>
      </c>
      <c r="O1592" s="267">
        <v>1174.5</v>
      </c>
      <c r="P1592" s="267" t="s">
        <v>3944</v>
      </c>
      <c r="Q1592" s="267" t="s">
        <v>3944</v>
      </c>
      <c r="R1592" s="267">
        <v>1174.5</v>
      </c>
      <c r="S1592" s="267">
        <v>19028.59</v>
      </c>
      <c r="T1592" s="267">
        <v>20203.09</v>
      </c>
      <c r="U1592" s="268" t="s">
        <v>3945</v>
      </c>
      <c r="V1592" s="267" t="s">
        <v>944</v>
      </c>
    </row>
    <row r="1593" spans="1:22" hidden="1" x14ac:dyDescent="0.25">
      <c r="A1593" s="269">
        <v>43556</v>
      </c>
      <c r="B1593" s="270">
        <v>2019</v>
      </c>
      <c r="C1593" s="270">
        <v>2019</v>
      </c>
      <c r="D1593" s="270">
        <v>1</v>
      </c>
      <c r="E1593" s="270">
        <v>1</v>
      </c>
      <c r="F1593" s="270" t="s">
        <v>944</v>
      </c>
      <c r="G1593" s="270" t="s">
        <v>3926</v>
      </c>
      <c r="H1593" s="270" t="s">
        <v>5857</v>
      </c>
      <c r="I1593" s="270" t="s">
        <v>950</v>
      </c>
      <c r="J1593" s="270" t="s">
        <v>3928</v>
      </c>
      <c r="K1593" s="270">
        <v>6516</v>
      </c>
      <c r="L1593" s="270">
        <v>154800</v>
      </c>
      <c r="M1593" s="270" t="s">
        <v>3960</v>
      </c>
      <c r="N1593" s="270" t="s">
        <v>3944</v>
      </c>
      <c r="O1593" s="270">
        <v>1578.92</v>
      </c>
      <c r="P1593" s="270" t="s">
        <v>3944</v>
      </c>
      <c r="Q1593" s="270" t="s">
        <v>3944</v>
      </c>
      <c r="R1593" s="270">
        <v>1578.92</v>
      </c>
      <c r="S1593" s="270">
        <v>26393.08</v>
      </c>
      <c r="T1593" s="270">
        <v>27972</v>
      </c>
      <c r="U1593" s="271" t="s">
        <v>3945</v>
      </c>
      <c r="V1593" s="267" t="s">
        <v>944</v>
      </c>
    </row>
    <row r="1594" spans="1:22" hidden="1" x14ac:dyDescent="0.25">
      <c r="A1594" s="266">
        <v>43556</v>
      </c>
      <c r="B1594" s="267">
        <v>2019</v>
      </c>
      <c r="C1594" s="267">
        <v>2019</v>
      </c>
      <c r="D1594" s="267">
        <v>1</v>
      </c>
      <c r="E1594" s="267">
        <v>1</v>
      </c>
      <c r="F1594" s="267" t="s">
        <v>944</v>
      </c>
      <c r="G1594" s="267" t="s">
        <v>3926</v>
      </c>
      <c r="H1594" s="267" t="s">
        <v>5858</v>
      </c>
      <c r="I1594" s="267" t="s">
        <v>3968</v>
      </c>
      <c r="J1594" s="267" t="s">
        <v>3928</v>
      </c>
      <c r="K1594" s="267">
        <v>6040</v>
      </c>
      <c r="L1594" s="267">
        <v>514300</v>
      </c>
      <c r="M1594" s="267" t="s">
        <v>3935</v>
      </c>
      <c r="N1594" s="267" t="s">
        <v>3944</v>
      </c>
      <c r="O1594" s="267">
        <v>1543.64</v>
      </c>
      <c r="P1594" s="267" t="s">
        <v>3944</v>
      </c>
      <c r="Q1594" s="267" t="s">
        <v>3944</v>
      </c>
      <c r="R1594" s="267">
        <v>1543.64</v>
      </c>
      <c r="S1594" s="267">
        <v>23457.279999999999</v>
      </c>
      <c r="T1594" s="267">
        <v>25000.92</v>
      </c>
      <c r="U1594" s="268" t="s">
        <v>3945</v>
      </c>
      <c r="V1594" s="267" t="s">
        <v>944</v>
      </c>
    </row>
    <row r="1595" spans="1:22" hidden="1" x14ac:dyDescent="0.25">
      <c r="A1595" s="269">
        <v>43556</v>
      </c>
      <c r="B1595" s="270">
        <v>2019</v>
      </c>
      <c r="C1595" s="270">
        <v>2019</v>
      </c>
      <c r="D1595" s="270">
        <v>1</v>
      </c>
      <c r="E1595" s="270">
        <v>1</v>
      </c>
      <c r="F1595" s="270" t="s">
        <v>944</v>
      </c>
      <c r="G1595" s="270" t="s">
        <v>3926</v>
      </c>
      <c r="H1595" s="270" t="s">
        <v>5859</v>
      </c>
      <c r="I1595" s="270" t="s">
        <v>4019</v>
      </c>
      <c r="J1595" s="270" t="s">
        <v>3928</v>
      </c>
      <c r="K1595" s="270">
        <v>6705</v>
      </c>
      <c r="L1595" s="270">
        <v>352800</v>
      </c>
      <c r="M1595" s="270" t="s">
        <v>3940</v>
      </c>
      <c r="N1595" s="270" t="s">
        <v>3944</v>
      </c>
      <c r="O1595" s="270">
        <v>3101.18</v>
      </c>
      <c r="P1595" s="270" t="s">
        <v>3944</v>
      </c>
      <c r="Q1595" s="270" t="s">
        <v>3944</v>
      </c>
      <c r="R1595" s="270">
        <v>3101.18</v>
      </c>
      <c r="S1595" s="270">
        <v>41502.82</v>
      </c>
      <c r="T1595" s="270">
        <v>44604</v>
      </c>
      <c r="U1595" s="271" t="s">
        <v>3945</v>
      </c>
      <c r="V1595" s="267" t="s">
        <v>944</v>
      </c>
    </row>
    <row r="1596" spans="1:22" hidden="1" x14ac:dyDescent="0.25">
      <c r="A1596" s="266">
        <v>43556</v>
      </c>
      <c r="B1596" s="267">
        <v>2019</v>
      </c>
      <c r="C1596" s="267">
        <v>2019</v>
      </c>
      <c r="D1596" s="267">
        <v>1</v>
      </c>
      <c r="E1596" s="267">
        <v>1</v>
      </c>
      <c r="F1596" s="267" t="s">
        <v>944</v>
      </c>
      <c r="G1596" s="267" t="s">
        <v>3926</v>
      </c>
      <c r="H1596" s="267" t="s">
        <v>5860</v>
      </c>
      <c r="I1596" s="267" t="s">
        <v>3025</v>
      </c>
      <c r="J1596" s="267" t="s">
        <v>3928</v>
      </c>
      <c r="K1596" s="267">
        <v>6473</v>
      </c>
      <c r="L1596" s="267">
        <v>167300</v>
      </c>
      <c r="M1596" s="267" t="s">
        <v>3943</v>
      </c>
      <c r="N1596" s="267" t="s">
        <v>3944</v>
      </c>
      <c r="O1596" s="267">
        <v>3007.45</v>
      </c>
      <c r="P1596" s="267" t="s">
        <v>3944</v>
      </c>
      <c r="Q1596" s="267" t="s">
        <v>3944</v>
      </c>
      <c r="R1596" s="267">
        <v>3007.45</v>
      </c>
      <c r="S1596" s="267">
        <v>37619.06</v>
      </c>
      <c r="T1596" s="267">
        <v>40626.51</v>
      </c>
      <c r="U1596" s="268" t="s">
        <v>3945</v>
      </c>
      <c r="V1596" s="267" t="s">
        <v>944</v>
      </c>
    </row>
    <row r="1597" spans="1:22" hidden="1" x14ac:dyDescent="0.25">
      <c r="A1597" s="269">
        <v>43556</v>
      </c>
      <c r="B1597" s="270">
        <v>2019</v>
      </c>
      <c r="C1597" s="270">
        <v>2019</v>
      </c>
      <c r="D1597" s="270">
        <v>1</v>
      </c>
      <c r="E1597" s="270">
        <v>1</v>
      </c>
      <c r="F1597" s="270" t="s">
        <v>944</v>
      </c>
      <c r="G1597" s="270" t="s">
        <v>3926</v>
      </c>
      <c r="H1597" s="270" t="s">
        <v>5861</v>
      </c>
      <c r="I1597" s="270" t="s">
        <v>3009</v>
      </c>
      <c r="J1597" s="270" t="s">
        <v>3928</v>
      </c>
      <c r="K1597" s="270">
        <v>6484</v>
      </c>
      <c r="L1597" s="270">
        <v>110500</v>
      </c>
      <c r="M1597" s="270" t="s">
        <v>3943</v>
      </c>
      <c r="N1597" s="270" t="s">
        <v>3944</v>
      </c>
      <c r="O1597" s="270">
        <v>2117.29</v>
      </c>
      <c r="P1597" s="270" t="s">
        <v>3944</v>
      </c>
      <c r="Q1597" s="270" t="s">
        <v>3944</v>
      </c>
      <c r="R1597" s="270">
        <v>2117.29</v>
      </c>
      <c r="S1597" s="270">
        <v>32258.99</v>
      </c>
      <c r="T1597" s="270">
        <v>34376.28</v>
      </c>
      <c r="U1597" s="271" t="s">
        <v>3945</v>
      </c>
      <c r="V1597" s="267" t="s">
        <v>944</v>
      </c>
    </row>
    <row r="1598" spans="1:22" hidden="1" x14ac:dyDescent="0.25">
      <c r="A1598" s="266">
        <v>43556</v>
      </c>
      <c r="B1598" s="267">
        <v>2019</v>
      </c>
      <c r="C1598" s="267">
        <v>2019</v>
      </c>
      <c r="D1598" s="267">
        <v>1</v>
      </c>
      <c r="E1598" s="267">
        <v>1</v>
      </c>
      <c r="F1598" s="267" t="s">
        <v>944</v>
      </c>
      <c r="G1598" s="267" t="s">
        <v>3926</v>
      </c>
      <c r="H1598" s="267" t="s">
        <v>5862</v>
      </c>
      <c r="I1598" s="267" t="s">
        <v>3009</v>
      </c>
      <c r="J1598" s="267" t="s">
        <v>3928</v>
      </c>
      <c r="K1598" s="267">
        <v>6484</v>
      </c>
      <c r="L1598" s="267">
        <v>110202</v>
      </c>
      <c r="M1598" s="267" t="s">
        <v>3935</v>
      </c>
      <c r="N1598" s="267" t="s">
        <v>3944</v>
      </c>
      <c r="O1598" s="267">
        <v>2323.65</v>
      </c>
      <c r="P1598" s="267" t="s">
        <v>3944</v>
      </c>
      <c r="Q1598" s="267" t="s">
        <v>3944</v>
      </c>
      <c r="R1598" s="267">
        <v>2323.65</v>
      </c>
      <c r="S1598" s="267">
        <v>29969.22</v>
      </c>
      <c r="T1598" s="267">
        <v>32292.87</v>
      </c>
      <c r="U1598" s="268" t="s">
        <v>3945</v>
      </c>
      <c r="V1598" s="267" t="s">
        <v>944</v>
      </c>
    </row>
    <row r="1599" spans="1:22" hidden="1" x14ac:dyDescent="0.25">
      <c r="A1599" s="269">
        <v>43556</v>
      </c>
      <c r="B1599" s="270">
        <v>2019</v>
      </c>
      <c r="C1599" s="270">
        <v>2019</v>
      </c>
      <c r="D1599" s="270">
        <v>1</v>
      </c>
      <c r="E1599" s="270">
        <v>1</v>
      </c>
      <c r="F1599" s="270" t="s">
        <v>944</v>
      </c>
      <c r="G1599" s="270" t="s">
        <v>3926</v>
      </c>
      <c r="H1599" s="270" t="s">
        <v>5863</v>
      </c>
      <c r="I1599" s="270" t="s">
        <v>950</v>
      </c>
      <c r="J1599" s="270" t="s">
        <v>3928</v>
      </c>
      <c r="K1599" s="270">
        <v>6516</v>
      </c>
      <c r="L1599" s="270">
        <v>154800</v>
      </c>
      <c r="M1599" s="270" t="s">
        <v>3960</v>
      </c>
      <c r="N1599" s="270" t="s">
        <v>3944</v>
      </c>
      <c r="O1599" s="270">
        <v>1370.46</v>
      </c>
      <c r="P1599" s="270" t="s">
        <v>3944</v>
      </c>
      <c r="Q1599" s="270" t="s">
        <v>3944</v>
      </c>
      <c r="R1599" s="270">
        <v>1370.46</v>
      </c>
      <c r="S1599" s="270">
        <v>21187.22</v>
      </c>
      <c r="T1599" s="270">
        <v>22557.68</v>
      </c>
      <c r="U1599" s="271" t="s">
        <v>3945</v>
      </c>
      <c r="V1599" s="267" t="s">
        <v>944</v>
      </c>
    </row>
    <row r="1600" spans="1:22" hidden="1" x14ac:dyDescent="0.25">
      <c r="A1600" s="266">
        <v>43556</v>
      </c>
      <c r="B1600" s="267">
        <v>2019</v>
      </c>
      <c r="C1600" s="267">
        <v>2019</v>
      </c>
      <c r="D1600" s="267">
        <v>1</v>
      </c>
      <c r="E1600" s="267">
        <v>1</v>
      </c>
      <c r="F1600" s="267" t="s">
        <v>944</v>
      </c>
      <c r="G1600" s="267" t="s">
        <v>3926</v>
      </c>
      <c r="H1600" s="267" t="s">
        <v>5864</v>
      </c>
      <c r="I1600" s="267" t="s">
        <v>4200</v>
      </c>
      <c r="J1600" s="267" t="s">
        <v>3928</v>
      </c>
      <c r="K1600" s="267">
        <v>6779</v>
      </c>
      <c r="L1600" s="267">
        <v>360300</v>
      </c>
      <c r="M1600" s="267" t="s">
        <v>3935</v>
      </c>
      <c r="N1600" s="267" t="s">
        <v>3944</v>
      </c>
      <c r="O1600" s="267">
        <v>1618.12</v>
      </c>
      <c r="P1600" s="267" t="s">
        <v>3944</v>
      </c>
      <c r="Q1600" s="267" t="s">
        <v>3944</v>
      </c>
      <c r="R1600" s="267">
        <v>1618.12</v>
      </c>
      <c r="S1600" s="267">
        <v>23410.13</v>
      </c>
      <c r="T1600" s="267">
        <v>25028.25</v>
      </c>
      <c r="U1600" s="268" t="s">
        <v>3945</v>
      </c>
      <c r="V1600" s="267" t="s">
        <v>944</v>
      </c>
    </row>
    <row r="1601" spans="1:22" hidden="1" x14ac:dyDescent="0.25">
      <c r="A1601" s="269">
        <v>43556</v>
      </c>
      <c r="B1601" s="270">
        <v>2019</v>
      </c>
      <c r="C1601" s="270">
        <v>2019</v>
      </c>
      <c r="D1601" s="270">
        <v>1</v>
      </c>
      <c r="E1601" s="270">
        <v>1</v>
      </c>
      <c r="F1601" s="270" t="s">
        <v>944</v>
      </c>
      <c r="G1601" s="270" t="s">
        <v>3926</v>
      </c>
      <c r="H1601" s="270" t="s">
        <v>5865</v>
      </c>
      <c r="I1601" s="270" t="s">
        <v>953</v>
      </c>
      <c r="J1601" s="270" t="s">
        <v>3928</v>
      </c>
      <c r="K1601" s="270">
        <v>6514</v>
      </c>
      <c r="L1601" s="270">
        <v>165802</v>
      </c>
      <c r="M1601" s="270" t="s">
        <v>3943</v>
      </c>
      <c r="N1601" s="270" t="s">
        <v>3944</v>
      </c>
      <c r="O1601" s="270">
        <v>2167.31</v>
      </c>
      <c r="P1601" s="270" t="s">
        <v>3944</v>
      </c>
      <c r="Q1601" s="270" t="s">
        <v>3944</v>
      </c>
      <c r="R1601" s="270">
        <v>2167.31</v>
      </c>
      <c r="S1601" s="270">
        <v>28042.15</v>
      </c>
      <c r="T1601" s="270">
        <v>30209.46</v>
      </c>
      <c r="U1601" s="271" t="s">
        <v>3945</v>
      </c>
      <c r="V1601" s="267" t="s">
        <v>944</v>
      </c>
    </row>
    <row r="1602" spans="1:22" hidden="1" x14ac:dyDescent="0.25">
      <c r="A1602" s="266">
        <v>43556</v>
      </c>
      <c r="B1602" s="267">
        <v>2019</v>
      </c>
      <c r="C1602" s="267">
        <v>2019</v>
      </c>
      <c r="D1602" s="267">
        <v>1</v>
      </c>
      <c r="E1602" s="267">
        <v>1</v>
      </c>
      <c r="F1602" s="267" t="s">
        <v>944</v>
      </c>
      <c r="G1602" s="267" t="s">
        <v>3926</v>
      </c>
      <c r="H1602" s="267" t="s">
        <v>5866</v>
      </c>
      <c r="I1602" s="267" t="s">
        <v>4069</v>
      </c>
      <c r="J1602" s="267" t="s">
        <v>3928</v>
      </c>
      <c r="K1602" s="267">
        <v>6905</v>
      </c>
      <c r="L1602" s="267">
        <v>21300</v>
      </c>
      <c r="M1602" s="267" t="s">
        <v>3943</v>
      </c>
      <c r="N1602" s="267" t="s">
        <v>3944</v>
      </c>
      <c r="O1602" s="267">
        <v>1888.95</v>
      </c>
      <c r="P1602" s="267" t="s">
        <v>3944</v>
      </c>
      <c r="Q1602" s="267" t="s">
        <v>3944</v>
      </c>
      <c r="R1602" s="267">
        <v>1888.95</v>
      </c>
      <c r="S1602" s="267">
        <v>28800.01</v>
      </c>
      <c r="T1602" s="267">
        <v>30688.959999999999</v>
      </c>
      <c r="U1602" s="268" t="s">
        <v>3945</v>
      </c>
      <c r="V1602" s="267" t="s">
        <v>944</v>
      </c>
    </row>
    <row r="1603" spans="1:22" hidden="1" x14ac:dyDescent="0.25">
      <c r="A1603" s="269">
        <v>43556</v>
      </c>
      <c r="B1603" s="270">
        <v>2019</v>
      </c>
      <c r="C1603" s="270">
        <v>2019</v>
      </c>
      <c r="D1603" s="270">
        <v>1</v>
      </c>
      <c r="E1603" s="270">
        <v>1</v>
      </c>
      <c r="F1603" s="270" t="s">
        <v>944</v>
      </c>
      <c r="G1603" s="270" t="s">
        <v>3926</v>
      </c>
      <c r="H1603" s="270" t="s">
        <v>5867</v>
      </c>
      <c r="I1603" s="270" t="s">
        <v>4353</v>
      </c>
      <c r="J1603" s="270" t="s">
        <v>3928</v>
      </c>
      <c r="K1603" s="270">
        <v>6416</v>
      </c>
      <c r="L1603" s="270">
        <v>570200</v>
      </c>
      <c r="M1603" s="270" t="s">
        <v>3943</v>
      </c>
      <c r="N1603" s="270" t="s">
        <v>3944</v>
      </c>
      <c r="O1603" s="270">
        <v>1802.68</v>
      </c>
      <c r="P1603" s="270" t="s">
        <v>3944</v>
      </c>
      <c r="Q1603" s="270" t="s">
        <v>3944</v>
      </c>
      <c r="R1603" s="270">
        <v>1802.68</v>
      </c>
      <c r="S1603" s="270">
        <v>24391.72</v>
      </c>
      <c r="T1603" s="270">
        <v>26194.400000000001</v>
      </c>
      <c r="U1603" s="271" t="s">
        <v>3945</v>
      </c>
      <c r="V1603" s="267" t="s">
        <v>944</v>
      </c>
    </row>
    <row r="1604" spans="1:22" hidden="1" x14ac:dyDescent="0.25">
      <c r="A1604" s="266">
        <v>43557</v>
      </c>
      <c r="B1604" s="267">
        <v>2019</v>
      </c>
      <c r="C1604" s="267">
        <v>2019</v>
      </c>
      <c r="D1604" s="267">
        <v>1</v>
      </c>
      <c r="E1604" s="267">
        <v>1</v>
      </c>
      <c r="F1604" s="267" t="s">
        <v>944</v>
      </c>
      <c r="G1604" s="267" t="s">
        <v>3926</v>
      </c>
      <c r="H1604" s="267" t="s">
        <v>5868</v>
      </c>
      <c r="I1604" s="267" t="s">
        <v>3025</v>
      </c>
      <c r="J1604" s="267" t="s">
        <v>3928</v>
      </c>
      <c r="K1604" s="267">
        <v>6473</v>
      </c>
      <c r="L1604" s="267">
        <v>167201</v>
      </c>
      <c r="M1604" s="267" t="s">
        <v>3960</v>
      </c>
      <c r="N1604" s="267" t="s">
        <v>4755</v>
      </c>
      <c r="O1604" s="267">
        <v>0</v>
      </c>
      <c r="P1604" s="267" t="s">
        <v>3930</v>
      </c>
      <c r="Q1604" s="267" t="s">
        <v>3930</v>
      </c>
      <c r="R1604" s="267">
        <v>0</v>
      </c>
      <c r="S1604" s="267">
        <v>6500</v>
      </c>
      <c r="T1604" s="267">
        <v>6500</v>
      </c>
      <c r="U1604" s="268" t="s">
        <v>3937</v>
      </c>
      <c r="V1604" s="267" t="s">
        <v>944</v>
      </c>
    </row>
    <row r="1605" spans="1:22" hidden="1" x14ac:dyDescent="0.25">
      <c r="A1605" s="269">
        <v>43557</v>
      </c>
      <c r="B1605" s="270">
        <v>2019</v>
      </c>
      <c r="C1605" s="270">
        <v>2019</v>
      </c>
      <c r="D1605" s="270">
        <v>1</v>
      </c>
      <c r="E1605" s="270">
        <v>1</v>
      </c>
      <c r="F1605" s="270" t="s">
        <v>944</v>
      </c>
      <c r="G1605" s="270" t="s">
        <v>3926</v>
      </c>
      <c r="H1605" s="270" t="s">
        <v>5869</v>
      </c>
      <c r="I1605" s="270" t="s">
        <v>4029</v>
      </c>
      <c r="J1605" s="270" t="s">
        <v>3928</v>
      </c>
      <c r="K1605" s="270">
        <v>6851</v>
      </c>
      <c r="L1605" s="270">
        <v>42500</v>
      </c>
      <c r="M1605" s="270" t="s">
        <v>3943</v>
      </c>
      <c r="N1605" s="270" t="s">
        <v>5870</v>
      </c>
      <c r="O1605" s="270">
        <v>0</v>
      </c>
      <c r="P1605" s="270" t="s">
        <v>3930</v>
      </c>
      <c r="Q1605" s="270" t="s">
        <v>3930</v>
      </c>
      <c r="R1605" s="270">
        <v>0</v>
      </c>
      <c r="S1605" s="270">
        <v>14775</v>
      </c>
      <c r="T1605" s="270">
        <v>14775</v>
      </c>
      <c r="U1605" s="271" t="s">
        <v>3937</v>
      </c>
      <c r="V1605" s="267" t="s">
        <v>944</v>
      </c>
    </row>
    <row r="1606" spans="1:22" hidden="1" x14ac:dyDescent="0.25">
      <c r="A1606" s="266">
        <v>43557</v>
      </c>
      <c r="B1606" s="267">
        <v>2019</v>
      </c>
      <c r="C1606" s="267">
        <v>2019</v>
      </c>
      <c r="D1606" s="267">
        <v>1</v>
      </c>
      <c r="E1606" s="267">
        <v>1</v>
      </c>
      <c r="F1606" s="267" t="s">
        <v>944</v>
      </c>
      <c r="G1606" s="267" t="s">
        <v>3926</v>
      </c>
      <c r="H1606" s="267" t="s">
        <v>5871</v>
      </c>
      <c r="I1606" s="267" t="s">
        <v>4108</v>
      </c>
      <c r="J1606" s="267" t="s">
        <v>3928</v>
      </c>
      <c r="K1606" s="267">
        <v>6082</v>
      </c>
      <c r="L1606" s="267">
        <v>481200</v>
      </c>
      <c r="M1606" s="267" t="s">
        <v>3960</v>
      </c>
      <c r="N1606" s="267" t="s">
        <v>5872</v>
      </c>
      <c r="O1606" s="267">
        <v>0</v>
      </c>
      <c r="P1606" s="267" t="s">
        <v>3930</v>
      </c>
      <c r="Q1606" s="267" t="s">
        <v>3930</v>
      </c>
      <c r="R1606" s="267">
        <v>0</v>
      </c>
      <c r="S1606" s="267">
        <v>11924.74</v>
      </c>
      <c r="T1606" s="267">
        <v>11924.74</v>
      </c>
      <c r="U1606" s="268" t="s">
        <v>3937</v>
      </c>
      <c r="V1606" s="267" t="s">
        <v>944</v>
      </c>
    </row>
    <row r="1607" spans="1:22" hidden="1" x14ac:dyDescent="0.25">
      <c r="A1607" s="269">
        <v>43557</v>
      </c>
      <c r="B1607" s="270">
        <v>2019</v>
      </c>
      <c r="C1607" s="270">
        <v>2019</v>
      </c>
      <c r="D1607" s="270">
        <v>1</v>
      </c>
      <c r="E1607" s="270">
        <v>1</v>
      </c>
      <c r="F1607" s="270" t="s">
        <v>944</v>
      </c>
      <c r="G1607" s="270" t="s">
        <v>3926</v>
      </c>
      <c r="H1607" s="270" t="s">
        <v>5873</v>
      </c>
      <c r="I1607" s="270" t="s">
        <v>3966</v>
      </c>
      <c r="J1607" s="270" t="s">
        <v>3928</v>
      </c>
      <c r="K1607" s="270">
        <v>6010</v>
      </c>
      <c r="L1607" s="270">
        <v>405200</v>
      </c>
      <c r="M1607" s="270" t="s">
        <v>3940</v>
      </c>
      <c r="N1607" s="270" t="s">
        <v>3929</v>
      </c>
      <c r="O1607" s="270">
        <v>2307.48</v>
      </c>
      <c r="P1607" s="270" t="s">
        <v>3930</v>
      </c>
      <c r="Q1607" s="270" t="s">
        <v>3931</v>
      </c>
      <c r="R1607" s="270">
        <v>7307.48</v>
      </c>
      <c r="S1607" s="270">
        <v>34744</v>
      </c>
      <c r="T1607" s="270">
        <v>42051.48</v>
      </c>
      <c r="U1607" s="271" t="s">
        <v>3932</v>
      </c>
      <c r="V1607" s="267" t="s">
        <v>944</v>
      </c>
    </row>
    <row r="1608" spans="1:22" hidden="1" x14ac:dyDescent="0.25">
      <c r="A1608" s="266">
        <v>43557</v>
      </c>
      <c r="B1608" s="267">
        <v>2019</v>
      </c>
      <c r="C1608" s="267">
        <v>2019</v>
      </c>
      <c r="D1608" s="267">
        <v>1</v>
      </c>
      <c r="E1608" s="267">
        <v>1</v>
      </c>
      <c r="F1608" s="267" t="s">
        <v>944</v>
      </c>
      <c r="G1608" s="267" t="s">
        <v>3926</v>
      </c>
      <c r="H1608" s="267" t="s">
        <v>5874</v>
      </c>
      <c r="I1608" s="267" t="s">
        <v>4079</v>
      </c>
      <c r="J1608" s="267" t="s">
        <v>3928</v>
      </c>
      <c r="K1608" s="267">
        <v>6111</v>
      </c>
      <c r="L1608" s="267">
        <v>494201</v>
      </c>
      <c r="M1608" s="267" t="s">
        <v>3935</v>
      </c>
      <c r="N1608" s="267" t="s">
        <v>5875</v>
      </c>
      <c r="O1608" s="267">
        <v>0</v>
      </c>
      <c r="P1608" s="267" t="s">
        <v>3930</v>
      </c>
      <c r="Q1608" s="267" t="s">
        <v>3930</v>
      </c>
      <c r="R1608" s="267">
        <v>0</v>
      </c>
      <c r="S1608" s="267">
        <v>9250</v>
      </c>
      <c r="T1608" s="267">
        <v>9250</v>
      </c>
      <c r="U1608" s="268" t="s">
        <v>3937</v>
      </c>
      <c r="V1608" s="267" t="s">
        <v>944</v>
      </c>
    </row>
    <row r="1609" spans="1:22" x14ac:dyDescent="0.25">
      <c r="A1609" s="269">
        <v>43557</v>
      </c>
      <c r="B1609" s="270">
        <v>2019</v>
      </c>
      <c r="C1609" s="270">
        <v>2019</v>
      </c>
      <c r="D1609" s="270">
        <v>1</v>
      </c>
      <c r="E1609" s="270">
        <v>1</v>
      </c>
      <c r="F1609" s="270" t="s">
        <v>944</v>
      </c>
      <c r="G1609" s="270" t="s">
        <v>3926</v>
      </c>
      <c r="H1609" s="270" t="s">
        <v>5876</v>
      </c>
      <c r="I1609" s="270" t="s">
        <v>950</v>
      </c>
      <c r="J1609" s="270" t="s">
        <v>3928</v>
      </c>
      <c r="K1609" s="270">
        <v>6516</v>
      </c>
      <c r="L1609" s="270">
        <v>155100</v>
      </c>
      <c r="M1609" s="270">
        <v>-60</v>
      </c>
      <c r="N1609" s="270" t="s">
        <v>3944</v>
      </c>
      <c r="O1609" s="270">
        <v>1367.35</v>
      </c>
      <c r="P1609" s="270" t="s">
        <v>3944</v>
      </c>
      <c r="Q1609" s="270" t="s">
        <v>3944</v>
      </c>
      <c r="R1609" s="270">
        <v>1367.35</v>
      </c>
      <c r="S1609" s="270">
        <v>22975.85</v>
      </c>
      <c r="T1609" s="270">
        <v>24343.200000000001</v>
      </c>
      <c r="U1609" s="271" t="s">
        <v>3945</v>
      </c>
      <c r="V1609" s="276" t="s">
        <v>936</v>
      </c>
    </row>
    <row r="1610" spans="1:22" hidden="1" x14ac:dyDescent="0.25">
      <c r="A1610" s="266">
        <v>43557</v>
      </c>
      <c r="B1610" s="267">
        <v>2019</v>
      </c>
      <c r="C1610" s="267">
        <v>2019</v>
      </c>
      <c r="D1610" s="267">
        <v>1</v>
      </c>
      <c r="E1610" s="267">
        <v>1</v>
      </c>
      <c r="F1610" s="267" t="s">
        <v>944</v>
      </c>
      <c r="G1610" s="267" t="s">
        <v>3926</v>
      </c>
      <c r="H1610" s="267" t="s">
        <v>5877</v>
      </c>
      <c r="I1610" s="267" t="s">
        <v>3011</v>
      </c>
      <c r="J1610" s="267" t="s">
        <v>3928</v>
      </c>
      <c r="K1610" s="267">
        <v>6418</v>
      </c>
      <c r="L1610" s="267">
        <v>120100</v>
      </c>
      <c r="M1610" s="267" t="s">
        <v>3940</v>
      </c>
      <c r="N1610" s="267" t="s">
        <v>3944</v>
      </c>
      <c r="O1610" s="267">
        <v>1756.44</v>
      </c>
      <c r="P1610" s="267" t="s">
        <v>3944</v>
      </c>
      <c r="Q1610" s="267" t="s">
        <v>3944</v>
      </c>
      <c r="R1610" s="267">
        <v>1756.44</v>
      </c>
      <c r="S1610" s="267">
        <v>13155.56</v>
      </c>
      <c r="T1610" s="267">
        <v>14912</v>
      </c>
      <c r="U1610" s="268" t="s">
        <v>3945</v>
      </c>
      <c r="V1610" s="267" t="s">
        <v>944</v>
      </c>
    </row>
    <row r="1611" spans="1:22" hidden="1" x14ac:dyDescent="0.25">
      <c r="A1611" s="269">
        <v>43557</v>
      </c>
      <c r="B1611" s="270">
        <v>2019</v>
      </c>
      <c r="C1611" s="270">
        <v>2019</v>
      </c>
      <c r="D1611" s="270">
        <v>1</v>
      </c>
      <c r="E1611" s="270">
        <v>1</v>
      </c>
      <c r="F1611" s="270" t="s">
        <v>944</v>
      </c>
      <c r="G1611" s="270" t="s">
        <v>3926</v>
      </c>
      <c r="H1611" s="270" t="s">
        <v>5878</v>
      </c>
      <c r="I1611" s="270" t="s">
        <v>4119</v>
      </c>
      <c r="J1611" s="270" t="s">
        <v>3928</v>
      </c>
      <c r="K1611" s="270">
        <v>6078</v>
      </c>
      <c r="L1611" s="270">
        <v>477102</v>
      </c>
      <c r="M1611" s="270" t="s">
        <v>3943</v>
      </c>
      <c r="N1611" s="270" t="s">
        <v>3944</v>
      </c>
      <c r="O1611" s="270">
        <v>2047.01</v>
      </c>
      <c r="P1611" s="270" t="s">
        <v>3944</v>
      </c>
      <c r="Q1611" s="270" t="s">
        <v>3944</v>
      </c>
      <c r="R1611" s="270">
        <v>2047.01</v>
      </c>
      <c r="S1611" s="270">
        <v>16165.99</v>
      </c>
      <c r="T1611" s="270">
        <v>18213</v>
      </c>
      <c r="U1611" s="271" t="s">
        <v>3945</v>
      </c>
      <c r="V1611" s="267" t="s">
        <v>944</v>
      </c>
    </row>
    <row r="1612" spans="1:22" hidden="1" x14ac:dyDescent="0.25">
      <c r="A1612" s="266">
        <v>43557</v>
      </c>
      <c r="B1612" s="267">
        <v>2019</v>
      </c>
      <c r="C1612" s="267">
        <v>2019</v>
      </c>
      <c r="D1612" s="267">
        <v>1</v>
      </c>
      <c r="E1612" s="267">
        <v>1</v>
      </c>
      <c r="F1612" s="267" t="s">
        <v>944</v>
      </c>
      <c r="G1612" s="267" t="s">
        <v>3926</v>
      </c>
      <c r="H1612" s="267" t="s">
        <v>5879</v>
      </c>
      <c r="I1612" s="267" t="s">
        <v>3008</v>
      </c>
      <c r="J1612" s="267" t="s">
        <v>3928</v>
      </c>
      <c r="K1612" s="267">
        <v>6460</v>
      </c>
      <c r="L1612" s="267">
        <v>150400</v>
      </c>
      <c r="M1612" s="267" t="s">
        <v>3940</v>
      </c>
      <c r="N1612" s="267" t="s">
        <v>3944</v>
      </c>
      <c r="O1612" s="267">
        <v>2497.67</v>
      </c>
      <c r="P1612" s="267" t="s">
        <v>3944</v>
      </c>
      <c r="Q1612" s="267" t="s">
        <v>3944</v>
      </c>
      <c r="R1612" s="267">
        <v>2497.67</v>
      </c>
      <c r="S1612" s="267">
        <v>33070.33</v>
      </c>
      <c r="T1612" s="267">
        <v>35568</v>
      </c>
      <c r="U1612" s="268" t="s">
        <v>3945</v>
      </c>
      <c r="V1612" s="267" t="s">
        <v>944</v>
      </c>
    </row>
    <row r="1613" spans="1:22" hidden="1" x14ac:dyDescent="0.25">
      <c r="A1613" s="269">
        <v>43557</v>
      </c>
      <c r="B1613" s="270">
        <v>2019</v>
      </c>
      <c r="C1613" s="270">
        <v>2019</v>
      </c>
      <c r="D1613" s="270">
        <v>1</v>
      </c>
      <c r="E1613" s="270">
        <v>1</v>
      </c>
      <c r="F1613" s="270" t="s">
        <v>944</v>
      </c>
      <c r="G1613" s="270" t="s">
        <v>3926</v>
      </c>
      <c r="H1613" s="270" t="s">
        <v>5880</v>
      </c>
      <c r="I1613" s="270" t="s">
        <v>3966</v>
      </c>
      <c r="J1613" s="270" t="s">
        <v>3928</v>
      </c>
      <c r="K1613" s="270">
        <v>6010</v>
      </c>
      <c r="L1613" s="270">
        <v>405900</v>
      </c>
      <c r="M1613" s="270" t="s">
        <v>3960</v>
      </c>
      <c r="N1613" s="270" t="s">
        <v>3944</v>
      </c>
      <c r="O1613" s="270">
        <v>720.9</v>
      </c>
      <c r="P1613" s="270" t="s">
        <v>3944</v>
      </c>
      <c r="Q1613" s="270" t="s">
        <v>3944</v>
      </c>
      <c r="R1613" s="270">
        <v>720.9</v>
      </c>
      <c r="S1613" s="270">
        <v>11440.1</v>
      </c>
      <c r="T1613" s="270">
        <v>12161</v>
      </c>
      <c r="U1613" s="271" t="s">
        <v>3945</v>
      </c>
      <c r="V1613" s="267" t="s">
        <v>944</v>
      </c>
    </row>
    <row r="1614" spans="1:22" hidden="1" x14ac:dyDescent="0.25">
      <c r="A1614" s="266">
        <v>43557</v>
      </c>
      <c r="B1614" s="267">
        <v>2019</v>
      </c>
      <c r="C1614" s="267">
        <v>2019</v>
      </c>
      <c r="D1614" s="267">
        <v>1</v>
      </c>
      <c r="E1614" s="267">
        <v>1</v>
      </c>
      <c r="F1614" s="267" t="s">
        <v>944</v>
      </c>
      <c r="G1614" s="267" t="s">
        <v>3926</v>
      </c>
      <c r="H1614" s="267" t="s">
        <v>5881</v>
      </c>
      <c r="I1614" s="267" t="s">
        <v>4323</v>
      </c>
      <c r="J1614" s="267" t="s">
        <v>3928</v>
      </c>
      <c r="K1614" s="267">
        <v>6385</v>
      </c>
      <c r="L1614" s="267">
        <v>693300</v>
      </c>
      <c r="M1614" s="267" t="s">
        <v>3935</v>
      </c>
      <c r="N1614" s="267" t="s">
        <v>3944</v>
      </c>
      <c r="O1614" s="267">
        <v>2745.51</v>
      </c>
      <c r="P1614" s="267" t="s">
        <v>3944</v>
      </c>
      <c r="Q1614" s="267" t="s">
        <v>3944</v>
      </c>
      <c r="R1614" s="267">
        <v>2745.51</v>
      </c>
      <c r="S1614" s="267">
        <v>44466.18</v>
      </c>
      <c r="T1614" s="267">
        <v>47211.69</v>
      </c>
      <c r="U1614" s="268" t="s">
        <v>3945</v>
      </c>
      <c r="V1614" s="267" t="s">
        <v>944</v>
      </c>
    </row>
    <row r="1615" spans="1:22" hidden="1" x14ac:dyDescent="0.25">
      <c r="A1615" s="269">
        <v>43557</v>
      </c>
      <c r="B1615" s="270">
        <v>2019</v>
      </c>
      <c r="C1615" s="270">
        <v>2019</v>
      </c>
      <c r="D1615" s="270">
        <v>1</v>
      </c>
      <c r="E1615" s="270">
        <v>1</v>
      </c>
      <c r="F1615" s="270" t="s">
        <v>944</v>
      </c>
      <c r="G1615" s="270" t="s">
        <v>3926</v>
      </c>
      <c r="H1615" s="270" t="s">
        <v>5882</v>
      </c>
      <c r="I1615" s="270" t="s">
        <v>943</v>
      </c>
      <c r="J1615" s="270" t="s">
        <v>3928</v>
      </c>
      <c r="K1615" s="270">
        <v>6515</v>
      </c>
      <c r="L1615" s="270">
        <v>141100</v>
      </c>
      <c r="M1615" s="270" t="s">
        <v>3960</v>
      </c>
      <c r="N1615" s="270" t="s">
        <v>3944</v>
      </c>
      <c r="O1615" s="270">
        <v>1739.43</v>
      </c>
      <c r="P1615" s="270" t="s">
        <v>3944</v>
      </c>
      <c r="Q1615" s="270" t="s">
        <v>3944</v>
      </c>
      <c r="R1615" s="270">
        <v>1739.43</v>
      </c>
      <c r="S1615" s="270">
        <v>35485.57</v>
      </c>
      <c r="T1615" s="270">
        <v>37225</v>
      </c>
      <c r="U1615" s="271" t="s">
        <v>3945</v>
      </c>
      <c r="V1615" s="267" t="s">
        <v>944</v>
      </c>
    </row>
    <row r="1616" spans="1:22" hidden="1" x14ac:dyDescent="0.25">
      <c r="A1616" s="266">
        <v>43557</v>
      </c>
      <c r="B1616" s="267">
        <v>2019</v>
      </c>
      <c r="C1616" s="267">
        <v>2019</v>
      </c>
      <c r="D1616" s="267">
        <v>1</v>
      </c>
      <c r="E1616" s="267">
        <v>1</v>
      </c>
      <c r="F1616" s="267" t="s">
        <v>944</v>
      </c>
      <c r="G1616" s="267" t="s">
        <v>3926</v>
      </c>
      <c r="H1616" s="267" t="s">
        <v>5883</v>
      </c>
      <c r="I1616" s="267" t="s">
        <v>3956</v>
      </c>
      <c r="J1616" s="267" t="s">
        <v>3928</v>
      </c>
      <c r="K1616" s="267">
        <v>6114</v>
      </c>
      <c r="L1616" s="267">
        <v>502300</v>
      </c>
      <c r="M1616" s="267">
        <v>-60</v>
      </c>
      <c r="N1616" s="267" t="s">
        <v>3944</v>
      </c>
      <c r="O1616" s="267">
        <v>1590.33</v>
      </c>
      <c r="P1616" s="267" t="s">
        <v>3944</v>
      </c>
      <c r="Q1616" s="267" t="s">
        <v>3944</v>
      </c>
      <c r="R1616" s="267">
        <v>1590.33</v>
      </c>
      <c r="S1616" s="267">
        <v>30591.9</v>
      </c>
      <c r="T1616" s="267">
        <v>32182.23</v>
      </c>
      <c r="U1616" s="268" t="s">
        <v>3945</v>
      </c>
      <c r="V1616" s="267" t="s">
        <v>944</v>
      </c>
    </row>
    <row r="1617" spans="1:22" hidden="1" x14ac:dyDescent="0.25">
      <c r="A1617" s="269">
        <v>43557</v>
      </c>
      <c r="B1617" s="270">
        <v>2019</v>
      </c>
      <c r="C1617" s="270">
        <v>2019</v>
      </c>
      <c r="D1617" s="270">
        <v>1</v>
      </c>
      <c r="E1617" s="270">
        <v>1</v>
      </c>
      <c r="F1617" s="270" t="s">
        <v>944</v>
      </c>
      <c r="G1617" s="270" t="s">
        <v>3926</v>
      </c>
      <c r="H1617" s="270" t="s">
        <v>5884</v>
      </c>
      <c r="I1617" s="270" t="s">
        <v>953</v>
      </c>
      <c r="J1617" s="270" t="s">
        <v>3928</v>
      </c>
      <c r="K1617" s="270">
        <v>6514</v>
      </c>
      <c r="L1617" s="270">
        <v>165600</v>
      </c>
      <c r="M1617" s="270" t="s">
        <v>3940</v>
      </c>
      <c r="N1617" s="270" t="s">
        <v>3944</v>
      </c>
      <c r="O1617" s="270">
        <v>720.3</v>
      </c>
      <c r="P1617" s="270" t="s">
        <v>3944</v>
      </c>
      <c r="Q1617" s="270" t="s">
        <v>3944</v>
      </c>
      <c r="R1617" s="270">
        <v>720.3</v>
      </c>
      <c r="S1617" s="270">
        <v>7273.7</v>
      </c>
      <c r="T1617" s="270">
        <v>7994</v>
      </c>
      <c r="U1617" s="271" t="s">
        <v>3945</v>
      </c>
      <c r="V1617" s="267" t="s">
        <v>944</v>
      </c>
    </row>
    <row r="1618" spans="1:22" hidden="1" x14ac:dyDescent="0.25">
      <c r="A1618" s="266">
        <v>43557</v>
      </c>
      <c r="B1618" s="267">
        <v>2019</v>
      </c>
      <c r="C1618" s="267">
        <v>2019</v>
      </c>
      <c r="D1618" s="267">
        <v>1</v>
      </c>
      <c r="E1618" s="267">
        <v>1</v>
      </c>
      <c r="F1618" s="267" t="s">
        <v>944</v>
      </c>
      <c r="G1618" s="267" t="s">
        <v>3926</v>
      </c>
      <c r="H1618" s="267" t="s">
        <v>5885</v>
      </c>
      <c r="I1618" s="267" t="s">
        <v>3939</v>
      </c>
      <c r="J1618" s="267" t="s">
        <v>3928</v>
      </c>
      <c r="K1618" s="267">
        <v>6512</v>
      </c>
      <c r="L1618" s="267">
        <v>180601</v>
      </c>
      <c r="M1618" s="267" t="s">
        <v>3940</v>
      </c>
      <c r="N1618" s="267" t="s">
        <v>3944</v>
      </c>
      <c r="O1618" s="267">
        <v>1128.02</v>
      </c>
      <c r="P1618" s="267" t="s">
        <v>3944</v>
      </c>
      <c r="Q1618" s="267" t="s">
        <v>3944</v>
      </c>
      <c r="R1618" s="267">
        <v>1128.02</v>
      </c>
      <c r="S1618" s="267">
        <v>11889.98</v>
      </c>
      <c r="T1618" s="267">
        <v>13018</v>
      </c>
      <c r="U1618" s="268" t="s">
        <v>3945</v>
      </c>
      <c r="V1618" s="267" t="s">
        <v>944</v>
      </c>
    </row>
    <row r="1619" spans="1:22" hidden="1" x14ac:dyDescent="0.25">
      <c r="A1619" s="269">
        <v>43557</v>
      </c>
      <c r="B1619" s="270">
        <v>2019</v>
      </c>
      <c r="C1619" s="270">
        <v>2019</v>
      </c>
      <c r="D1619" s="270">
        <v>1</v>
      </c>
      <c r="E1619" s="270">
        <v>1</v>
      </c>
      <c r="F1619" s="270" t="s">
        <v>944</v>
      </c>
      <c r="G1619" s="270" t="s">
        <v>3926</v>
      </c>
      <c r="H1619" s="270" t="s">
        <v>5886</v>
      </c>
      <c r="I1619" s="270" t="s">
        <v>5010</v>
      </c>
      <c r="J1619" s="270" t="s">
        <v>3928</v>
      </c>
      <c r="K1619" s="270">
        <v>6365</v>
      </c>
      <c r="L1619" s="270">
        <v>700100</v>
      </c>
      <c r="M1619" s="270" t="s">
        <v>3935</v>
      </c>
      <c r="N1619" s="270" t="s">
        <v>3944</v>
      </c>
      <c r="O1619" s="270">
        <v>3590.44</v>
      </c>
      <c r="P1619" s="270" t="s">
        <v>3944</v>
      </c>
      <c r="Q1619" s="270" t="s">
        <v>3944</v>
      </c>
      <c r="R1619" s="270">
        <v>3590.44</v>
      </c>
      <c r="S1619" s="270">
        <v>52717.760000000002</v>
      </c>
      <c r="T1619" s="270">
        <v>56308.2</v>
      </c>
      <c r="U1619" s="271" t="s">
        <v>3945</v>
      </c>
      <c r="V1619" s="267" t="s">
        <v>944</v>
      </c>
    </row>
    <row r="1620" spans="1:22" hidden="1" x14ac:dyDescent="0.25">
      <c r="A1620" s="266">
        <v>43557</v>
      </c>
      <c r="B1620" s="267">
        <v>2019</v>
      </c>
      <c r="C1620" s="267">
        <v>2019</v>
      </c>
      <c r="D1620" s="267">
        <v>1</v>
      </c>
      <c r="E1620" s="267">
        <v>1</v>
      </c>
      <c r="F1620" s="267" t="s">
        <v>944</v>
      </c>
      <c r="G1620" s="267" t="s">
        <v>3926</v>
      </c>
      <c r="H1620" s="267" t="s">
        <v>5887</v>
      </c>
      <c r="I1620" s="267" t="s">
        <v>3008</v>
      </c>
      <c r="J1620" s="267" t="s">
        <v>3928</v>
      </c>
      <c r="K1620" s="267">
        <v>6460</v>
      </c>
      <c r="L1620" s="267">
        <v>151000</v>
      </c>
      <c r="M1620" s="267" t="s">
        <v>3960</v>
      </c>
      <c r="N1620" s="267" t="s">
        <v>3944</v>
      </c>
      <c r="O1620" s="267">
        <v>1989.75</v>
      </c>
      <c r="P1620" s="267" t="s">
        <v>3944</v>
      </c>
      <c r="Q1620" s="267" t="s">
        <v>3944</v>
      </c>
      <c r="R1620" s="267">
        <v>1989.75</v>
      </c>
      <c r="S1620" s="267">
        <v>44340.21</v>
      </c>
      <c r="T1620" s="267">
        <v>46329.96</v>
      </c>
      <c r="U1620" s="268" t="s">
        <v>3945</v>
      </c>
      <c r="V1620" s="267" t="s">
        <v>944</v>
      </c>
    </row>
    <row r="1621" spans="1:22" hidden="1" x14ac:dyDescent="0.25">
      <c r="A1621" s="269">
        <v>43558</v>
      </c>
      <c r="B1621" s="270">
        <v>2019</v>
      </c>
      <c r="C1621" s="270">
        <v>2019</v>
      </c>
      <c r="D1621" s="270">
        <v>1</v>
      </c>
      <c r="E1621" s="270">
        <v>1</v>
      </c>
      <c r="F1621" s="270" t="s">
        <v>944</v>
      </c>
      <c r="G1621" s="270" t="s">
        <v>3926</v>
      </c>
      <c r="H1621" s="270" t="s">
        <v>5888</v>
      </c>
      <c r="I1621" s="270" t="s">
        <v>4235</v>
      </c>
      <c r="J1621" s="270" t="s">
        <v>3928</v>
      </c>
      <c r="K1621" s="270">
        <v>6066</v>
      </c>
      <c r="L1621" s="270">
        <v>530100</v>
      </c>
      <c r="M1621" s="270" t="s">
        <v>3940</v>
      </c>
      <c r="N1621" s="270" t="s">
        <v>5889</v>
      </c>
      <c r="O1621" s="270">
        <v>0</v>
      </c>
      <c r="P1621" s="270" t="s">
        <v>3930</v>
      </c>
      <c r="Q1621" s="270" t="s">
        <v>3930</v>
      </c>
      <c r="R1621" s="270">
        <v>0</v>
      </c>
      <c r="S1621" s="270">
        <v>12990</v>
      </c>
      <c r="T1621" s="270">
        <v>12990</v>
      </c>
      <c r="U1621" s="271" t="s">
        <v>3937</v>
      </c>
      <c r="V1621" s="267" t="s">
        <v>944</v>
      </c>
    </row>
    <row r="1622" spans="1:22" hidden="1" x14ac:dyDescent="0.25">
      <c r="A1622" s="266">
        <v>43558</v>
      </c>
      <c r="B1622" s="267">
        <v>2019</v>
      </c>
      <c r="C1622" s="267">
        <v>2019</v>
      </c>
      <c r="D1622" s="267">
        <v>1</v>
      </c>
      <c r="E1622" s="267">
        <v>1</v>
      </c>
      <c r="F1622" s="267" t="s">
        <v>944</v>
      </c>
      <c r="G1622" s="267" t="s">
        <v>3926</v>
      </c>
      <c r="H1622" s="267" t="s">
        <v>5890</v>
      </c>
      <c r="I1622" s="267" t="s">
        <v>4016</v>
      </c>
      <c r="J1622" s="267" t="s">
        <v>3928</v>
      </c>
      <c r="K1622" s="267">
        <v>6770</v>
      </c>
      <c r="L1622" s="267">
        <v>345100</v>
      </c>
      <c r="M1622" s="267" t="s">
        <v>3940</v>
      </c>
      <c r="N1622" s="267" t="s">
        <v>5891</v>
      </c>
      <c r="O1622" s="267">
        <v>0</v>
      </c>
      <c r="P1622" s="267" t="s">
        <v>3930</v>
      </c>
      <c r="Q1622" s="267" t="s">
        <v>3930</v>
      </c>
      <c r="R1622" s="267">
        <v>0</v>
      </c>
      <c r="S1622" s="267">
        <v>3946</v>
      </c>
      <c r="T1622" s="267">
        <v>3946</v>
      </c>
      <c r="U1622" s="268" t="s">
        <v>3937</v>
      </c>
      <c r="V1622" s="267" t="s">
        <v>944</v>
      </c>
    </row>
    <row r="1623" spans="1:22" hidden="1" x14ac:dyDescent="0.25">
      <c r="A1623" s="269">
        <v>43558</v>
      </c>
      <c r="B1623" s="270">
        <v>2019</v>
      </c>
      <c r="C1623" s="270">
        <v>2019</v>
      </c>
      <c r="D1623" s="270">
        <v>1</v>
      </c>
      <c r="E1623" s="270">
        <v>1</v>
      </c>
      <c r="F1623" s="270" t="s">
        <v>944</v>
      </c>
      <c r="G1623" s="270" t="s">
        <v>3926</v>
      </c>
      <c r="H1623" s="270" t="s">
        <v>5892</v>
      </c>
      <c r="I1623" s="270" t="s">
        <v>3966</v>
      </c>
      <c r="J1623" s="270" t="s">
        <v>3928</v>
      </c>
      <c r="K1623" s="270">
        <v>6010</v>
      </c>
      <c r="L1623" s="270">
        <v>405401</v>
      </c>
      <c r="M1623" s="270" t="s">
        <v>3935</v>
      </c>
      <c r="N1623" s="270" t="s">
        <v>5893</v>
      </c>
      <c r="O1623" s="270">
        <v>0</v>
      </c>
      <c r="P1623" s="270" t="s">
        <v>3930</v>
      </c>
      <c r="Q1623" s="270" t="s">
        <v>3930</v>
      </c>
      <c r="R1623" s="270">
        <v>0</v>
      </c>
      <c r="S1623" s="270">
        <v>6478.66</v>
      </c>
      <c r="T1623" s="270">
        <v>6478.66</v>
      </c>
      <c r="U1623" s="271" t="s">
        <v>3937</v>
      </c>
      <c r="V1623" s="267" t="s">
        <v>944</v>
      </c>
    </row>
    <row r="1624" spans="1:22" hidden="1" x14ac:dyDescent="0.25">
      <c r="A1624" s="266">
        <v>43558</v>
      </c>
      <c r="B1624" s="267">
        <v>2019</v>
      </c>
      <c r="C1624" s="267">
        <v>2019</v>
      </c>
      <c r="D1624" s="267">
        <v>1</v>
      </c>
      <c r="E1624" s="267">
        <v>1</v>
      </c>
      <c r="F1624" s="267" t="s">
        <v>944</v>
      </c>
      <c r="G1624" s="267" t="s">
        <v>3926</v>
      </c>
      <c r="H1624" s="267" t="s">
        <v>5894</v>
      </c>
      <c r="I1624" s="267" t="s">
        <v>4435</v>
      </c>
      <c r="J1624" s="267" t="s">
        <v>3928</v>
      </c>
      <c r="K1624" s="267">
        <v>6249</v>
      </c>
      <c r="L1624" s="267">
        <v>870100</v>
      </c>
      <c r="M1624" s="267" t="s">
        <v>3960</v>
      </c>
      <c r="N1624" s="267" t="s">
        <v>4191</v>
      </c>
      <c r="O1624" s="267">
        <v>2306.4699999999998</v>
      </c>
      <c r="P1624" s="267" t="s">
        <v>3930</v>
      </c>
      <c r="Q1624" s="267" t="s">
        <v>3931</v>
      </c>
      <c r="R1624" s="267">
        <v>7306.47</v>
      </c>
      <c r="S1624" s="267">
        <v>38867.199999999997</v>
      </c>
      <c r="T1624" s="267">
        <v>46173.67</v>
      </c>
      <c r="U1624" s="268" t="s">
        <v>3932</v>
      </c>
      <c r="V1624" s="267" t="s">
        <v>944</v>
      </c>
    </row>
    <row r="1625" spans="1:22" hidden="1" x14ac:dyDescent="0.25">
      <c r="A1625" s="269">
        <v>43558</v>
      </c>
      <c r="B1625" s="270">
        <v>2019</v>
      </c>
      <c r="C1625" s="270">
        <v>2019</v>
      </c>
      <c r="D1625" s="270">
        <v>1</v>
      </c>
      <c r="E1625" s="270">
        <v>1</v>
      </c>
      <c r="F1625" s="270" t="s">
        <v>944</v>
      </c>
      <c r="G1625" s="270" t="s">
        <v>3926</v>
      </c>
      <c r="H1625" s="270" t="s">
        <v>5895</v>
      </c>
      <c r="I1625" s="270" t="s">
        <v>4301</v>
      </c>
      <c r="J1625" s="270" t="s">
        <v>3928</v>
      </c>
      <c r="K1625" s="270">
        <v>6359</v>
      </c>
      <c r="L1625" s="270">
        <v>707100</v>
      </c>
      <c r="M1625" s="270" t="s">
        <v>3935</v>
      </c>
      <c r="N1625" s="270" t="s">
        <v>3986</v>
      </c>
      <c r="O1625" s="270">
        <v>3388.49</v>
      </c>
      <c r="P1625" s="270" t="s">
        <v>3930</v>
      </c>
      <c r="Q1625" s="270" t="s">
        <v>3931</v>
      </c>
      <c r="R1625" s="270">
        <v>8388.49</v>
      </c>
      <c r="S1625" s="270">
        <v>16196.8</v>
      </c>
      <c r="T1625" s="270">
        <v>24585.29</v>
      </c>
      <c r="U1625" s="271" t="s">
        <v>3932</v>
      </c>
      <c r="V1625" s="267" t="s">
        <v>944</v>
      </c>
    </row>
    <row r="1626" spans="1:22" hidden="1" x14ac:dyDescent="0.25">
      <c r="A1626" s="266">
        <v>43558</v>
      </c>
      <c r="B1626" s="267">
        <v>2019</v>
      </c>
      <c r="C1626" s="267">
        <v>2019</v>
      </c>
      <c r="D1626" s="267">
        <v>1</v>
      </c>
      <c r="E1626" s="267">
        <v>1</v>
      </c>
      <c r="F1626" s="267" t="s">
        <v>944</v>
      </c>
      <c r="G1626" s="267" t="s">
        <v>3926</v>
      </c>
      <c r="H1626" s="267" t="s">
        <v>5896</v>
      </c>
      <c r="I1626" s="267" t="s">
        <v>4213</v>
      </c>
      <c r="J1626" s="267" t="s">
        <v>3928</v>
      </c>
      <c r="K1626" s="267">
        <v>6053</v>
      </c>
      <c r="L1626" s="267">
        <v>417400</v>
      </c>
      <c r="M1626" s="267" t="s">
        <v>3935</v>
      </c>
      <c r="N1626" s="267" t="s">
        <v>3944</v>
      </c>
      <c r="O1626" s="267">
        <v>2428</v>
      </c>
      <c r="P1626" s="267" t="s">
        <v>3944</v>
      </c>
      <c r="Q1626" s="267" t="s">
        <v>3944</v>
      </c>
      <c r="R1626" s="267">
        <v>2428</v>
      </c>
      <c r="S1626" s="267">
        <v>19350</v>
      </c>
      <c r="T1626" s="267">
        <v>21778</v>
      </c>
      <c r="U1626" s="268" t="s">
        <v>3945</v>
      </c>
      <c r="V1626" s="267" t="s">
        <v>944</v>
      </c>
    </row>
    <row r="1627" spans="1:22" hidden="1" x14ac:dyDescent="0.25">
      <c r="A1627" s="269">
        <v>43558</v>
      </c>
      <c r="B1627" s="270">
        <v>2019</v>
      </c>
      <c r="C1627" s="270">
        <v>2019</v>
      </c>
      <c r="D1627" s="270">
        <v>1</v>
      </c>
      <c r="E1627" s="270">
        <v>1</v>
      </c>
      <c r="F1627" s="270" t="s">
        <v>944</v>
      </c>
      <c r="G1627" s="270" t="s">
        <v>3926</v>
      </c>
      <c r="H1627" s="270" t="s">
        <v>5897</v>
      </c>
      <c r="I1627" s="270" t="s">
        <v>953</v>
      </c>
      <c r="J1627" s="270" t="s">
        <v>3928</v>
      </c>
      <c r="K1627" s="270">
        <v>6514</v>
      </c>
      <c r="L1627" s="270">
        <v>165900</v>
      </c>
      <c r="M1627" s="270" t="s">
        <v>3943</v>
      </c>
      <c r="N1627" s="270" t="s">
        <v>3944</v>
      </c>
      <c r="O1627" s="270">
        <v>2298</v>
      </c>
      <c r="P1627" s="270" t="s">
        <v>3944</v>
      </c>
      <c r="Q1627" s="270" t="s">
        <v>3944</v>
      </c>
      <c r="R1627" s="270">
        <v>2298</v>
      </c>
      <c r="S1627" s="270">
        <v>28852</v>
      </c>
      <c r="T1627" s="270">
        <v>31150</v>
      </c>
      <c r="U1627" s="271" t="s">
        <v>3945</v>
      </c>
      <c r="V1627" s="267" t="s">
        <v>944</v>
      </c>
    </row>
    <row r="1628" spans="1:22" hidden="1" x14ac:dyDescent="0.25">
      <c r="A1628" s="266">
        <v>43558</v>
      </c>
      <c r="B1628" s="267">
        <v>2019</v>
      </c>
      <c r="C1628" s="267">
        <v>2019</v>
      </c>
      <c r="D1628" s="267">
        <v>1</v>
      </c>
      <c r="E1628" s="267">
        <v>1</v>
      </c>
      <c r="F1628" s="267" t="s">
        <v>944</v>
      </c>
      <c r="G1628" s="267" t="s">
        <v>3926</v>
      </c>
      <c r="H1628" s="267" t="s">
        <v>5898</v>
      </c>
      <c r="I1628" s="267" t="s">
        <v>4244</v>
      </c>
      <c r="J1628" s="267" t="s">
        <v>3928</v>
      </c>
      <c r="K1628" s="267">
        <v>6268</v>
      </c>
      <c r="L1628" s="267">
        <v>881300</v>
      </c>
      <c r="M1628" s="267">
        <v>-60</v>
      </c>
      <c r="N1628" s="267" t="s">
        <v>3944</v>
      </c>
      <c r="O1628" s="267">
        <v>2991</v>
      </c>
      <c r="P1628" s="267" t="s">
        <v>3944</v>
      </c>
      <c r="Q1628" s="267" t="s">
        <v>3944</v>
      </c>
      <c r="R1628" s="267">
        <v>2991</v>
      </c>
      <c r="S1628" s="267">
        <v>29139</v>
      </c>
      <c r="T1628" s="267">
        <v>32130</v>
      </c>
      <c r="U1628" s="268" t="s">
        <v>3945</v>
      </c>
      <c r="V1628" s="267" t="s">
        <v>944</v>
      </c>
    </row>
    <row r="1629" spans="1:22" hidden="1" x14ac:dyDescent="0.25">
      <c r="A1629" s="269">
        <v>43558</v>
      </c>
      <c r="B1629" s="270">
        <v>2019</v>
      </c>
      <c r="C1629" s="270">
        <v>2019</v>
      </c>
      <c r="D1629" s="270">
        <v>1</v>
      </c>
      <c r="E1629" s="270">
        <v>1</v>
      </c>
      <c r="F1629" s="270" t="s">
        <v>944</v>
      </c>
      <c r="G1629" s="270" t="s">
        <v>3926</v>
      </c>
      <c r="H1629" s="270" t="s">
        <v>5899</v>
      </c>
      <c r="I1629" s="270" t="s">
        <v>3934</v>
      </c>
      <c r="J1629" s="270" t="s">
        <v>3928</v>
      </c>
      <c r="K1629" s="270">
        <v>6405</v>
      </c>
      <c r="L1629" s="270">
        <v>184600</v>
      </c>
      <c r="M1629" s="270" t="s">
        <v>3943</v>
      </c>
      <c r="N1629" s="270" t="s">
        <v>3944</v>
      </c>
      <c r="O1629" s="270">
        <v>8497</v>
      </c>
      <c r="P1629" s="270" t="s">
        <v>3944</v>
      </c>
      <c r="Q1629" s="270" t="s">
        <v>3944</v>
      </c>
      <c r="R1629" s="270">
        <v>8497</v>
      </c>
      <c r="S1629" s="270">
        <v>46831</v>
      </c>
      <c r="T1629" s="270">
        <v>55328</v>
      </c>
      <c r="U1629" s="271" t="s">
        <v>3945</v>
      </c>
      <c r="V1629" s="267" t="s">
        <v>944</v>
      </c>
    </row>
    <row r="1630" spans="1:22" hidden="1" x14ac:dyDescent="0.25">
      <c r="A1630" s="266">
        <v>43558</v>
      </c>
      <c r="B1630" s="267">
        <v>2019</v>
      </c>
      <c r="C1630" s="267">
        <v>2019</v>
      </c>
      <c r="D1630" s="267">
        <v>1</v>
      </c>
      <c r="E1630" s="267">
        <v>1</v>
      </c>
      <c r="F1630" s="267" t="s">
        <v>944</v>
      </c>
      <c r="G1630" s="267" t="s">
        <v>3926</v>
      </c>
      <c r="H1630" s="267" t="s">
        <v>5900</v>
      </c>
      <c r="I1630" s="267" t="s">
        <v>5010</v>
      </c>
      <c r="J1630" s="267" t="s">
        <v>3928</v>
      </c>
      <c r="K1630" s="267">
        <v>6365</v>
      </c>
      <c r="L1630" s="267">
        <v>700100</v>
      </c>
      <c r="M1630" s="267" t="s">
        <v>3935</v>
      </c>
      <c r="N1630" s="267" t="s">
        <v>3944</v>
      </c>
      <c r="O1630" s="267">
        <v>4052</v>
      </c>
      <c r="P1630" s="267" t="s">
        <v>3944</v>
      </c>
      <c r="Q1630" s="267" t="s">
        <v>3944</v>
      </c>
      <c r="R1630" s="267">
        <v>4052</v>
      </c>
      <c r="S1630" s="267">
        <v>37528</v>
      </c>
      <c r="T1630" s="267">
        <v>41580</v>
      </c>
      <c r="U1630" s="268" t="s">
        <v>3945</v>
      </c>
      <c r="V1630" s="267" t="s">
        <v>944</v>
      </c>
    </row>
    <row r="1631" spans="1:22" hidden="1" x14ac:dyDescent="0.25">
      <c r="A1631" s="269">
        <v>43558</v>
      </c>
      <c r="B1631" s="270">
        <v>2019</v>
      </c>
      <c r="C1631" s="270">
        <v>2019</v>
      </c>
      <c r="D1631" s="270">
        <v>1</v>
      </c>
      <c r="E1631" s="270">
        <v>1</v>
      </c>
      <c r="F1631" s="270" t="s">
        <v>944</v>
      </c>
      <c r="G1631" s="270" t="s">
        <v>3926</v>
      </c>
      <c r="H1631" s="270" t="s">
        <v>5901</v>
      </c>
      <c r="I1631" s="270" t="s">
        <v>4111</v>
      </c>
      <c r="J1631" s="270" t="s">
        <v>3928</v>
      </c>
      <c r="K1631" s="270">
        <v>6095</v>
      </c>
      <c r="L1631" s="270">
        <v>473100</v>
      </c>
      <c r="M1631" s="270" t="s">
        <v>3960</v>
      </c>
      <c r="N1631" s="270" t="s">
        <v>3944</v>
      </c>
      <c r="O1631" s="270">
        <v>2127.27</v>
      </c>
      <c r="P1631" s="270" t="s">
        <v>3944</v>
      </c>
      <c r="Q1631" s="270" t="s">
        <v>3944</v>
      </c>
      <c r="R1631" s="270">
        <v>2127.27</v>
      </c>
      <c r="S1631" s="270">
        <v>30463.51</v>
      </c>
      <c r="T1631" s="270">
        <v>32590.78</v>
      </c>
      <c r="U1631" s="271" t="s">
        <v>3945</v>
      </c>
      <c r="V1631" s="267" t="s">
        <v>944</v>
      </c>
    </row>
    <row r="1632" spans="1:22" hidden="1" x14ac:dyDescent="0.25">
      <c r="A1632" s="266">
        <v>43558</v>
      </c>
      <c r="B1632" s="267">
        <v>2019</v>
      </c>
      <c r="C1632" s="267">
        <v>2019</v>
      </c>
      <c r="D1632" s="267">
        <v>1</v>
      </c>
      <c r="E1632" s="267">
        <v>1</v>
      </c>
      <c r="F1632" s="267" t="s">
        <v>944</v>
      </c>
      <c r="G1632" s="267" t="s">
        <v>3926</v>
      </c>
      <c r="H1632" s="267" t="s">
        <v>5902</v>
      </c>
      <c r="I1632" s="267" t="s">
        <v>3968</v>
      </c>
      <c r="J1632" s="267" t="s">
        <v>3928</v>
      </c>
      <c r="K1632" s="267">
        <v>6040</v>
      </c>
      <c r="L1632" s="267">
        <v>515200</v>
      </c>
      <c r="M1632" s="267" t="s">
        <v>3943</v>
      </c>
      <c r="N1632" s="267" t="s">
        <v>3944</v>
      </c>
      <c r="O1632" s="267">
        <v>1673.28</v>
      </c>
      <c r="P1632" s="267" t="s">
        <v>3944</v>
      </c>
      <c r="Q1632" s="267" t="s">
        <v>3944</v>
      </c>
      <c r="R1632" s="267">
        <v>1673.28</v>
      </c>
      <c r="S1632" s="267">
        <v>26697.91</v>
      </c>
      <c r="T1632" s="267">
        <v>28371.19</v>
      </c>
      <c r="U1632" s="268" t="s">
        <v>3945</v>
      </c>
      <c r="V1632" s="267" t="s">
        <v>944</v>
      </c>
    </row>
    <row r="1633" spans="1:22" hidden="1" x14ac:dyDescent="0.25">
      <c r="A1633" s="269">
        <v>43558</v>
      </c>
      <c r="B1633" s="270">
        <v>2019</v>
      </c>
      <c r="C1633" s="270">
        <v>2019</v>
      </c>
      <c r="D1633" s="270">
        <v>1</v>
      </c>
      <c r="E1633" s="270">
        <v>1</v>
      </c>
      <c r="F1633" s="270" t="s">
        <v>944</v>
      </c>
      <c r="G1633" s="270" t="s">
        <v>3926</v>
      </c>
      <c r="H1633" s="270" t="s">
        <v>5903</v>
      </c>
      <c r="I1633" s="270" t="s">
        <v>4497</v>
      </c>
      <c r="J1633" s="270" t="s">
        <v>3928</v>
      </c>
      <c r="K1633" s="270">
        <v>6260</v>
      </c>
      <c r="L1633" s="270">
        <v>903100</v>
      </c>
      <c r="M1633" s="270" t="s">
        <v>3940</v>
      </c>
      <c r="N1633" s="270" t="s">
        <v>3944</v>
      </c>
      <c r="O1633" s="270">
        <v>1081.1500000000001</v>
      </c>
      <c r="P1633" s="270" t="s">
        <v>3944</v>
      </c>
      <c r="Q1633" s="270" t="s">
        <v>3944</v>
      </c>
      <c r="R1633" s="270">
        <v>1081.1500000000001</v>
      </c>
      <c r="S1633" s="270">
        <v>14227.12</v>
      </c>
      <c r="T1633" s="270">
        <v>15308.27</v>
      </c>
      <c r="U1633" s="271" t="s">
        <v>3945</v>
      </c>
      <c r="V1633" s="267" t="s">
        <v>944</v>
      </c>
    </row>
    <row r="1634" spans="1:22" hidden="1" x14ac:dyDescent="0.25">
      <c r="A1634" s="266">
        <v>43558</v>
      </c>
      <c r="B1634" s="267">
        <v>2019</v>
      </c>
      <c r="C1634" s="267">
        <v>2019</v>
      </c>
      <c r="D1634" s="267">
        <v>1</v>
      </c>
      <c r="E1634" s="267">
        <v>1</v>
      </c>
      <c r="F1634" s="267" t="s">
        <v>944</v>
      </c>
      <c r="G1634" s="267" t="s">
        <v>3926</v>
      </c>
      <c r="H1634" s="267" t="s">
        <v>5904</v>
      </c>
      <c r="I1634" s="267" t="s">
        <v>3964</v>
      </c>
      <c r="J1634" s="267" t="s">
        <v>3928</v>
      </c>
      <c r="K1634" s="267">
        <v>6033</v>
      </c>
      <c r="L1634" s="267">
        <v>520501</v>
      </c>
      <c r="M1634" s="267" t="s">
        <v>3943</v>
      </c>
      <c r="N1634" s="267" t="s">
        <v>3944</v>
      </c>
      <c r="O1634" s="267">
        <v>2534.6</v>
      </c>
      <c r="P1634" s="267" t="s">
        <v>3944</v>
      </c>
      <c r="Q1634" s="267" t="s">
        <v>3944</v>
      </c>
      <c r="R1634" s="267">
        <v>2534.6</v>
      </c>
      <c r="S1634" s="267">
        <v>30918.400000000001</v>
      </c>
      <c r="T1634" s="267">
        <v>33453</v>
      </c>
      <c r="U1634" s="268" t="s">
        <v>3945</v>
      </c>
      <c r="V1634" s="267" t="s">
        <v>944</v>
      </c>
    </row>
    <row r="1635" spans="1:22" hidden="1" x14ac:dyDescent="0.25">
      <c r="A1635" s="269">
        <v>43558</v>
      </c>
      <c r="B1635" s="270">
        <v>2019</v>
      </c>
      <c r="C1635" s="270">
        <v>2019</v>
      </c>
      <c r="D1635" s="270">
        <v>1</v>
      </c>
      <c r="E1635" s="270">
        <v>1</v>
      </c>
      <c r="F1635" s="270" t="s">
        <v>944</v>
      </c>
      <c r="G1635" s="270" t="s">
        <v>3926</v>
      </c>
      <c r="H1635" s="270" t="s">
        <v>5905</v>
      </c>
      <c r="I1635" s="270" t="s">
        <v>4042</v>
      </c>
      <c r="J1635" s="270" t="s">
        <v>3928</v>
      </c>
      <c r="K1635" s="270">
        <v>6382</v>
      </c>
      <c r="L1635" s="270">
        <v>870501</v>
      </c>
      <c r="M1635" s="270" t="s">
        <v>3935</v>
      </c>
      <c r="N1635" s="270" t="s">
        <v>3944</v>
      </c>
      <c r="O1635" s="270">
        <v>2337.16</v>
      </c>
      <c r="P1635" s="270" t="s">
        <v>3944</v>
      </c>
      <c r="Q1635" s="270" t="s">
        <v>3944</v>
      </c>
      <c r="R1635" s="270">
        <v>2337.16</v>
      </c>
      <c r="S1635" s="270">
        <v>32557.14</v>
      </c>
      <c r="T1635" s="270">
        <v>34894.300000000003</v>
      </c>
      <c r="U1635" s="271" t="s">
        <v>3945</v>
      </c>
      <c r="V1635" s="267" t="s">
        <v>944</v>
      </c>
    </row>
    <row r="1636" spans="1:22" hidden="1" x14ac:dyDescent="0.25">
      <c r="A1636" s="266">
        <v>43558</v>
      </c>
      <c r="B1636" s="267">
        <v>2019</v>
      </c>
      <c r="C1636" s="267">
        <v>2019</v>
      </c>
      <c r="D1636" s="267">
        <v>1</v>
      </c>
      <c r="E1636" s="267">
        <v>1</v>
      </c>
      <c r="F1636" s="267" t="s">
        <v>944</v>
      </c>
      <c r="G1636" s="267" t="s">
        <v>3926</v>
      </c>
      <c r="H1636" s="267" t="s">
        <v>5906</v>
      </c>
      <c r="I1636" s="267" t="s">
        <v>4323</v>
      </c>
      <c r="J1636" s="267" t="s">
        <v>3928</v>
      </c>
      <c r="K1636" s="267">
        <v>6375</v>
      </c>
      <c r="L1636" s="267">
        <v>693600</v>
      </c>
      <c r="M1636" s="267" t="s">
        <v>3960</v>
      </c>
      <c r="N1636" s="267" t="s">
        <v>3944</v>
      </c>
      <c r="O1636" s="267">
        <v>3564.72</v>
      </c>
      <c r="P1636" s="267" t="s">
        <v>3944</v>
      </c>
      <c r="Q1636" s="267" t="s">
        <v>3944</v>
      </c>
      <c r="R1636" s="267">
        <v>3564.72</v>
      </c>
      <c r="S1636" s="267">
        <v>56742.06</v>
      </c>
      <c r="T1636" s="267">
        <v>60306.78</v>
      </c>
      <c r="U1636" s="268" t="s">
        <v>3945</v>
      </c>
      <c r="V1636" s="267" t="s">
        <v>944</v>
      </c>
    </row>
    <row r="1637" spans="1:22" hidden="1" x14ac:dyDescent="0.25">
      <c r="A1637" s="269">
        <v>43558</v>
      </c>
      <c r="B1637" s="270">
        <v>2019</v>
      </c>
      <c r="C1637" s="270">
        <v>2019</v>
      </c>
      <c r="D1637" s="270">
        <v>1</v>
      </c>
      <c r="E1637" s="270">
        <v>1</v>
      </c>
      <c r="F1637" s="270" t="s">
        <v>944</v>
      </c>
      <c r="G1637" s="270" t="s">
        <v>3926</v>
      </c>
      <c r="H1637" s="270" t="s">
        <v>5907</v>
      </c>
      <c r="I1637" s="270" t="s">
        <v>4111</v>
      </c>
      <c r="J1637" s="270" t="s">
        <v>3928</v>
      </c>
      <c r="K1637" s="270">
        <v>6095</v>
      </c>
      <c r="L1637" s="270">
        <v>473700</v>
      </c>
      <c r="M1637" s="270" t="s">
        <v>3935</v>
      </c>
      <c r="N1637" s="270" t="s">
        <v>3944</v>
      </c>
      <c r="O1637" s="270">
        <v>1442.04</v>
      </c>
      <c r="P1637" s="270" t="s">
        <v>3944</v>
      </c>
      <c r="Q1637" s="270" t="s">
        <v>3944</v>
      </c>
      <c r="R1637" s="270">
        <v>1442.04</v>
      </c>
      <c r="S1637" s="270">
        <v>18292.560000000001</v>
      </c>
      <c r="T1637" s="270">
        <v>19734.599999999999</v>
      </c>
      <c r="U1637" s="271" t="s">
        <v>3945</v>
      </c>
      <c r="V1637" s="267" t="s">
        <v>944</v>
      </c>
    </row>
    <row r="1638" spans="1:22" hidden="1" x14ac:dyDescent="0.25">
      <c r="A1638" s="266">
        <v>43558</v>
      </c>
      <c r="B1638" s="267">
        <v>2019</v>
      </c>
      <c r="C1638" s="267">
        <v>2019</v>
      </c>
      <c r="D1638" s="267">
        <v>1</v>
      </c>
      <c r="E1638" s="267">
        <v>1</v>
      </c>
      <c r="F1638" s="267" t="s">
        <v>944</v>
      </c>
      <c r="G1638" s="267" t="s">
        <v>3926</v>
      </c>
      <c r="H1638" s="267" t="s">
        <v>5908</v>
      </c>
      <c r="I1638" s="267" t="s">
        <v>4042</v>
      </c>
      <c r="J1638" s="267" t="s">
        <v>3928</v>
      </c>
      <c r="K1638" s="267">
        <v>6382</v>
      </c>
      <c r="L1638" s="267">
        <v>870502</v>
      </c>
      <c r="M1638" s="267" t="s">
        <v>3940</v>
      </c>
      <c r="N1638" s="267" t="s">
        <v>3944</v>
      </c>
      <c r="O1638" s="267">
        <v>4343.08</v>
      </c>
      <c r="P1638" s="267" t="s">
        <v>3944</v>
      </c>
      <c r="Q1638" s="267" t="s">
        <v>3944</v>
      </c>
      <c r="R1638" s="267">
        <v>4343.08</v>
      </c>
      <c r="S1638" s="267">
        <v>55455.78</v>
      </c>
      <c r="T1638" s="267">
        <v>59798.86</v>
      </c>
      <c r="U1638" s="268" t="s">
        <v>3945</v>
      </c>
      <c r="V1638" s="267" t="s">
        <v>944</v>
      </c>
    </row>
    <row r="1639" spans="1:22" hidden="1" x14ac:dyDescent="0.25">
      <c r="A1639" s="269">
        <v>43558</v>
      </c>
      <c r="B1639" s="270">
        <v>2019</v>
      </c>
      <c r="C1639" s="270">
        <v>2019</v>
      </c>
      <c r="D1639" s="270">
        <v>1</v>
      </c>
      <c r="E1639" s="270">
        <v>1</v>
      </c>
      <c r="F1639" s="270" t="s">
        <v>944</v>
      </c>
      <c r="G1639" s="270" t="s">
        <v>3926</v>
      </c>
      <c r="H1639" s="270" t="s">
        <v>5909</v>
      </c>
      <c r="I1639" s="270" t="s">
        <v>3012</v>
      </c>
      <c r="J1639" s="270" t="s">
        <v>3928</v>
      </c>
      <c r="K1639" s="270">
        <v>6477</v>
      </c>
      <c r="L1639" s="270">
        <v>157400</v>
      </c>
      <c r="M1639" s="270" t="s">
        <v>3943</v>
      </c>
      <c r="N1639" s="270" t="s">
        <v>3944</v>
      </c>
      <c r="O1639" s="270">
        <v>1990.8</v>
      </c>
      <c r="P1639" s="270" t="s">
        <v>3944</v>
      </c>
      <c r="Q1639" s="270" t="s">
        <v>3944</v>
      </c>
      <c r="R1639" s="270">
        <v>1990.8</v>
      </c>
      <c r="S1639" s="270">
        <v>31055.47</v>
      </c>
      <c r="T1639" s="270">
        <v>33046.269999999997</v>
      </c>
      <c r="U1639" s="271" t="s">
        <v>3945</v>
      </c>
      <c r="V1639" s="267" t="s">
        <v>944</v>
      </c>
    </row>
    <row r="1640" spans="1:22" hidden="1" x14ac:dyDescent="0.25">
      <c r="A1640" s="266">
        <v>43559</v>
      </c>
      <c r="B1640" s="267">
        <v>2019</v>
      </c>
      <c r="C1640" s="267">
        <v>2019</v>
      </c>
      <c r="D1640" s="267">
        <v>1</v>
      </c>
      <c r="E1640" s="267">
        <v>1</v>
      </c>
      <c r="F1640" s="267" t="s">
        <v>944</v>
      </c>
      <c r="G1640" s="267" t="s">
        <v>3926</v>
      </c>
      <c r="H1640" s="267" t="s">
        <v>5910</v>
      </c>
      <c r="I1640" s="267" t="s">
        <v>943</v>
      </c>
      <c r="J1640" s="267" t="s">
        <v>3928</v>
      </c>
      <c r="K1640" s="267">
        <v>6515</v>
      </c>
      <c r="L1640" s="267">
        <v>141000</v>
      </c>
      <c r="M1640" s="267" t="s">
        <v>3960</v>
      </c>
      <c r="N1640" s="267" t="s">
        <v>5911</v>
      </c>
      <c r="O1640" s="267">
        <v>0</v>
      </c>
      <c r="P1640" s="267" t="s">
        <v>3930</v>
      </c>
      <c r="Q1640" s="267" t="s">
        <v>3930</v>
      </c>
      <c r="R1640" s="267">
        <v>0</v>
      </c>
      <c r="S1640" s="267">
        <v>24390</v>
      </c>
      <c r="T1640" s="267">
        <v>24390</v>
      </c>
      <c r="U1640" s="268" t="s">
        <v>3937</v>
      </c>
      <c r="V1640" s="267" t="s">
        <v>944</v>
      </c>
    </row>
    <row r="1641" spans="1:22" hidden="1" x14ac:dyDescent="0.25">
      <c r="A1641" s="269">
        <v>43559</v>
      </c>
      <c r="B1641" s="270">
        <v>2019</v>
      </c>
      <c r="C1641" s="270">
        <v>2019</v>
      </c>
      <c r="D1641" s="270">
        <v>1</v>
      </c>
      <c r="E1641" s="270">
        <v>1</v>
      </c>
      <c r="F1641" s="270" t="s">
        <v>944</v>
      </c>
      <c r="G1641" s="270" t="s">
        <v>3926</v>
      </c>
      <c r="H1641" s="270" t="s">
        <v>5912</v>
      </c>
      <c r="I1641" s="270" t="s">
        <v>3975</v>
      </c>
      <c r="J1641" s="270" t="s">
        <v>3928</v>
      </c>
      <c r="K1641" s="270">
        <v>6489</v>
      </c>
      <c r="L1641" s="270">
        <v>430203</v>
      </c>
      <c r="M1641" s="270" t="s">
        <v>3935</v>
      </c>
      <c r="N1641" s="270" t="s">
        <v>4578</v>
      </c>
      <c r="O1641" s="270">
        <v>0</v>
      </c>
      <c r="P1641" s="270" t="s">
        <v>3930</v>
      </c>
      <c r="Q1641" s="270" t="s">
        <v>3930</v>
      </c>
      <c r="R1641" s="270">
        <v>0</v>
      </c>
      <c r="S1641" s="270">
        <v>9375</v>
      </c>
      <c r="T1641" s="270">
        <v>9375</v>
      </c>
      <c r="U1641" s="271" t="s">
        <v>3937</v>
      </c>
      <c r="V1641" s="267" t="s">
        <v>944</v>
      </c>
    </row>
    <row r="1642" spans="1:22" hidden="1" x14ac:dyDescent="0.25">
      <c r="A1642" s="266">
        <v>43559</v>
      </c>
      <c r="B1642" s="267">
        <v>2019</v>
      </c>
      <c r="C1642" s="267">
        <v>2019</v>
      </c>
      <c r="D1642" s="267">
        <v>1</v>
      </c>
      <c r="E1642" s="267">
        <v>1</v>
      </c>
      <c r="F1642" s="267" t="s">
        <v>944</v>
      </c>
      <c r="G1642" s="267" t="s">
        <v>3926</v>
      </c>
      <c r="H1642" s="267" t="s">
        <v>5913</v>
      </c>
      <c r="I1642" s="267" t="s">
        <v>4005</v>
      </c>
      <c r="J1642" s="267" t="s">
        <v>3928</v>
      </c>
      <c r="K1642" s="267">
        <v>6108</v>
      </c>
      <c r="L1642" s="267">
        <v>511400</v>
      </c>
      <c r="M1642" s="267" t="s">
        <v>3935</v>
      </c>
      <c r="N1642" s="267" t="s">
        <v>3986</v>
      </c>
      <c r="O1642" s="267">
        <v>0</v>
      </c>
      <c r="P1642" s="267" t="s">
        <v>3930</v>
      </c>
      <c r="Q1642" s="267" t="s">
        <v>3931</v>
      </c>
      <c r="R1642" s="267">
        <v>5000</v>
      </c>
      <c r="S1642" s="267">
        <v>16196.8</v>
      </c>
      <c r="T1642" s="267">
        <v>21196.799999999999</v>
      </c>
      <c r="U1642" s="268" t="s">
        <v>3932</v>
      </c>
      <c r="V1642" s="267" t="s">
        <v>944</v>
      </c>
    </row>
    <row r="1643" spans="1:22" hidden="1" x14ac:dyDescent="0.25">
      <c r="A1643" s="269">
        <v>43559</v>
      </c>
      <c r="B1643" s="270">
        <v>2019</v>
      </c>
      <c r="C1643" s="270">
        <v>2019</v>
      </c>
      <c r="D1643" s="270">
        <v>1</v>
      </c>
      <c r="E1643" s="270">
        <v>1</v>
      </c>
      <c r="F1643" s="270" t="s">
        <v>944</v>
      </c>
      <c r="G1643" s="270" t="s">
        <v>3926</v>
      </c>
      <c r="H1643" s="270" t="s">
        <v>5914</v>
      </c>
      <c r="I1643" s="270" t="s">
        <v>4011</v>
      </c>
      <c r="J1643" s="270" t="s">
        <v>3928</v>
      </c>
      <c r="K1643" s="270">
        <v>6002</v>
      </c>
      <c r="L1643" s="270">
        <v>471100</v>
      </c>
      <c r="M1643" s="270" t="s">
        <v>3935</v>
      </c>
      <c r="N1643" s="270" t="s">
        <v>3986</v>
      </c>
      <c r="O1643" s="270">
        <v>3049.47</v>
      </c>
      <c r="P1643" s="270" t="s">
        <v>3930</v>
      </c>
      <c r="Q1643" s="270" t="s">
        <v>3931</v>
      </c>
      <c r="R1643" s="270">
        <v>8049.47</v>
      </c>
      <c r="S1643" s="270">
        <v>16196.8</v>
      </c>
      <c r="T1643" s="270">
        <v>24246.27</v>
      </c>
      <c r="U1643" s="271" t="s">
        <v>3932</v>
      </c>
      <c r="V1643" s="267" t="s">
        <v>944</v>
      </c>
    </row>
    <row r="1644" spans="1:22" hidden="1" x14ac:dyDescent="0.25">
      <c r="A1644" s="266">
        <v>43559</v>
      </c>
      <c r="B1644" s="267">
        <v>2019</v>
      </c>
      <c r="C1644" s="267">
        <v>2019</v>
      </c>
      <c r="D1644" s="267">
        <v>1</v>
      </c>
      <c r="E1644" s="267">
        <v>1</v>
      </c>
      <c r="F1644" s="267" t="s">
        <v>944</v>
      </c>
      <c r="G1644" s="267" t="s">
        <v>3926</v>
      </c>
      <c r="H1644" s="267" t="s">
        <v>5915</v>
      </c>
      <c r="I1644" s="267" t="s">
        <v>4147</v>
      </c>
      <c r="J1644" s="267" t="s">
        <v>3928</v>
      </c>
      <c r="K1644" s="267">
        <v>6109</v>
      </c>
      <c r="L1644" s="267">
        <v>492300</v>
      </c>
      <c r="M1644" s="267" t="s">
        <v>3940</v>
      </c>
      <c r="N1644" s="267" t="s">
        <v>5916</v>
      </c>
      <c r="O1644" s="267">
        <v>0</v>
      </c>
      <c r="P1644" s="267" t="s">
        <v>3930</v>
      </c>
      <c r="Q1644" s="267" t="s">
        <v>3930</v>
      </c>
      <c r="R1644" s="267">
        <v>0</v>
      </c>
      <c r="S1644" s="267">
        <v>10587</v>
      </c>
      <c r="T1644" s="267">
        <v>10587</v>
      </c>
      <c r="U1644" s="268" t="s">
        <v>3937</v>
      </c>
      <c r="V1644" s="267" t="s">
        <v>944</v>
      </c>
    </row>
    <row r="1645" spans="1:22" hidden="1" x14ac:dyDescent="0.25">
      <c r="A1645" s="269">
        <v>43559</v>
      </c>
      <c r="B1645" s="270">
        <v>2019</v>
      </c>
      <c r="C1645" s="270">
        <v>2019</v>
      </c>
      <c r="D1645" s="270">
        <v>1</v>
      </c>
      <c r="E1645" s="270">
        <v>1</v>
      </c>
      <c r="F1645" s="270" t="s">
        <v>944</v>
      </c>
      <c r="G1645" s="270" t="s">
        <v>3926</v>
      </c>
      <c r="H1645" s="270" t="s">
        <v>5917</v>
      </c>
      <c r="I1645" s="270" t="s">
        <v>953</v>
      </c>
      <c r="J1645" s="270" t="s">
        <v>3928</v>
      </c>
      <c r="K1645" s="270">
        <v>6514</v>
      </c>
      <c r="L1645" s="270">
        <v>165801</v>
      </c>
      <c r="M1645" s="270" t="s">
        <v>3935</v>
      </c>
      <c r="N1645" s="270" t="s">
        <v>3944</v>
      </c>
      <c r="O1645" s="270">
        <v>5235</v>
      </c>
      <c r="P1645" s="270" t="s">
        <v>3944</v>
      </c>
      <c r="Q1645" s="270" t="s">
        <v>3944</v>
      </c>
      <c r="R1645" s="270">
        <v>5235</v>
      </c>
      <c r="S1645" s="270">
        <v>58416</v>
      </c>
      <c r="T1645" s="270">
        <v>63651</v>
      </c>
      <c r="U1645" s="271" t="s">
        <v>3945</v>
      </c>
      <c r="V1645" s="267" t="s">
        <v>944</v>
      </c>
    </row>
    <row r="1646" spans="1:22" hidden="1" x14ac:dyDescent="0.25">
      <c r="A1646" s="266">
        <v>43559</v>
      </c>
      <c r="B1646" s="267">
        <v>2019</v>
      </c>
      <c r="C1646" s="267">
        <v>2019</v>
      </c>
      <c r="D1646" s="267">
        <v>1</v>
      </c>
      <c r="E1646" s="267">
        <v>1</v>
      </c>
      <c r="F1646" s="267" t="s">
        <v>944</v>
      </c>
      <c r="G1646" s="267" t="s">
        <v>3926</v>
      </c>
      <c r="H1646" s="267" t="s">
        <v>5918</v>
      </c>
      <c r="I1646" s="267" t="s">
        <v>3975</v>
      </c>
      <c r="J1646" s="267" t="s">
        <v>3928</v>
      </c>
      <c r="K1646" s="267">
        <v>6479</v>
      </c>
      <c r="L1646" s="267">
        <v>430302</v>
      </c>
      <c r="M1646" s="267" t="s">
        <v>3960</v>
      </c>
      <c r="N1646" s="267" t="s">
        <v>3944</v>
      </c>
      <c r="O1646" s="267">
        <v>2634.14</v>
      </c>
      <c r="P1646" s="267" t="s">
        <v>3944</v>
      </c>
      <c r="Q1646" s="267" t="s">
        <v>3944</v>
      </c>
      <c r="R1646" s="267">
        <v>2634.14</v>
      </c>
      <c r="S1646" s="267">
        <v>33940.33</v>
      </c>
      <c r="T1646" s="267">
        <v>36574.47</v>
      </c>
      <c r="U1646" s="268" t="s">
        <v>3945</v>
      </c>
      <c r="V1646" s="267" t="s">
        <v>944</v>
      </c>
    </row>
    <row r="1647" spans="1:22" hidden="1" x14ac:dyDescent="0.25">
      <c r="A1647" s="269">
        <v>43559</v>
      </c>
      <c r="B1647" s="270">
        <v>2019</v>
      </c>
      <c r="C1647" s="270">
        <v>2019</v>
      </c>
      <c r="D1647" s="270">
        <v>1</v>
      </c>
      <c r="E1647" s="270">
        <v>1</v>
      </c>
      <c r="F1647" s="270" t="s">
        <v>944</v>
      </c>
      <c r="G1647" s="270" t="s">
        <v>3926</v>
      </c>
      <c r="H1647" s="270" t="s">
        <v>5919</v>
      </c>
      <c r="I1647" s="270" t="s">
        <v>3939</v>
      </c>
      <c r="J1647" s="270" t="s">
        <v>3928</v>
      </c>
      <c r="K1647" s="270">
        <v>6512</v>
      </c>
      <c r="L1647" s="270">
        <v>180500</v>
      </c>
      <c r="M1647" s="270" t="s">
        <v>3935</v>
      </c>
      <c r="N1647" s="270" t="s">
        <v>3944</v>
      </c>
      <c r="O1647" s="270">
        <v>3070.31</v>
      </c>
      <c r="P1647" s="270" t="s">
        <v>3944</v>
      </c>
      <c r="Q1647" s="270" t="s">
        <v>3944</v>
      </c>
      <c r="R1647" s="270">
        <v>3070.31</v>
      </c>
      <c r="S1647" s="270">
        <v>44302.54</v>
      </c>
      <c r="T1647" s="270">
        <v>47372.85</v>
      </c>
      <c r="U1647" s="271" t="s">
        <v>3945</v>
      </c>
      <c r="V1647" s="267" t="s">
        <v>944</v>
      </c>
    </row>
    <row r="1648" spans="1:22" hidden="1" x14ac:dyDescent="0.25">
      <c r="A1648" s="266">
        <v>43559</v>
      </c>
      <c r="B1648" s="267">
        <v>2019</v>
      </c>
      <c r="C1648" s="267">
        <v>2019</v>
      </c>
      <c r="D1648" s="267">
        <v>1</v>
      </c>
      <c r="E1648" s="267">
        <v>1</v>
      </c>
      <c r="F1648" s="267" t="s">
        <v>944</v>
      </c>
      <c r="G1648" s="267" t="s">
        <v>3926</v>
      </c>
      <c r="H1648" s="267" t="s">
        <v>5920</v>
      </c>
      <c r="I1648" s="267" t="s">
        <v>3962</v>
      </c>
      <c r="J1648" s="267" t="s">
        <v>3928</v>
      </c>
      <c r="K1648" s="267">
        <v>6379</v>
      </c>
      <c r="L1648" s="267">
        <v>705101</v>
      </c>
      <c r="M1648" s="267" t="s">
        <v>3935</v>
      </c>
      <c r="N1648" s="267" t="s">
        <v>3944</v>
      </c>
      <c r="O1648" s="267">
        <v>950.71</v>
      </c>
      <c r="P1648" s="267" t="s">
        <v>3944</v>
      </c>
      <c r="Q1648" s="267" t="s">
        <v>3944</v>
      </c>
      <c r="R1648" s="267">
        <v>950.71</v>
      </c>
      <c r="S1648" s="267">
        <v>14947.51</v>
      </c>
      <c r="T1648" s="267">
        <v>15898.22</v>
      </c>
      <c r="U1648" s="268" t="s">
        <v>3945</v>
      </c>
      <c r="V1648" s="267" t="s">
        <v>944</v>
      </c>
    </row>
    <row r="1649" spans="1:22" hidden="1" x14ac:dyDescent="0.25">
      <c r="A1649" s="269">
        <v>43559</v>
      </c>
      <c r="B1649" s="270">
        <v>2019</v>
      </c>
      <c r="C1649" s="270">
        <v>2019</v>
      </c>
      <c r="D1649" s="270">
        <v>1</v>
      </c>
      <c r="E1649" s="270">
        <v>1</v>
      </c>
      <c r="F1649" s="270" t="s">
        <v>944</v>
      </c>
      <c r="G1649" s="270" t="s">
        <v>3926</v>
      </c>
      <c r="H1649" s="270" t="s">
        <v>5921</v>
      </c>
      <c r="I1649" s="270" t="s">
        <v>3962</v>
      </c>
      <c r="J1649" s="270" t="s">
        <v>3928</v>
      </c>
      <c r="K1649" s="270">
        <v>6355</v>
      </c>
      <c r="L1649" s="270">
        <v>702100</v>
      </c>
      <c r="M1649" s="270" t="s">
        <v>3960</v>
      </c>
      <c r="N1649" s="270" t="s">
        <v>3944</v>
      </c>
      <c r="O1649" s="270">
        <v>1497.2</v>
      </c>
      <c r="P1649" s="270" t="s">
        <v>3944</v>
      </c>
      <c r="Q1649" s="270" t="s">
        <v>3944</v>
      </c>
      <c r="R1649" s="270">
        <v>1497.2</v>
      </c>
      <c r="S1649" s="270">
        <v>23734.62</v>
      </c>
      <c r="T1649" s="270">
        <v>25231.82</v>
      </c>
      <c r="U1649" s="271" t="s">
        <v>3945</v>
      </c>
      <c r="V1649" s="267" t="s">
        <v>944</v>
      </c>
    </row>
    <row r="1650" spans="1:22" hidden="1" x14ac:dyDescent="0.25">
      <c r="A1650" s="266">
        <v>43559</v>
      </c>
      <c r="B1650" s="267">
        <v>2019</v>
      </c>
      <c r="C1650" s="267">
        <v>2019</v>
      </c>
      <c r="D1650" s="267">
        <v>1</v>
      </c>
      <c r="E1650" s="267">
        <v>1</v>
      </c>
      <c r="F1650" s="267" t="s">
        <v>944</v>
      </c>
      <c r="G1650" s="267" t="s">
        <v>3926</v>
      </c>
      <c r="H1650" s="267" t="s">
        <v>5922</v>
      </c>
      <c r="I1650" s="267" t="s">
        <v>4019</v>
      </c>
      <c r="J1650" s="267" t="s">
        <v>3928</v>
      </c>
      <c r="K1650" s="267">
        <v>6708</v>
      </c>
      <c r="L1650" s="267">
        <v>351800</v>
      </c>
      <c r="M1650" s="267" t="s">
        <v>3940</v>
      </c>
      <c r="N1650" s="267" t="s">
        <v>3944</v>
      </c>
      <c r="O1650" s="267">
        <v>678.41</v>
      </c>
      <c r="P1650" s="267" t="s">
        <v>3944</v>
      </c>
      <c r="Q1650" s="267" t="s">
        <v>3944</v>
      </c>
      <c r="R1650" s="267">
        <v>678.41</v>
      </c>
      <c r="S1650" s="267">
        <v>10505.15</v>
      </c>
      <c r="T1650" s="267">
        <v>11183.56</v>
      </c>
      <c r="U1650" s="268" t="s">
        <v>3945</v>
      </c>
      <c r="V1650" s="267" t="s">
        <v>944</v>
      </c>
    </row>
    <row r="1651" spans="1:22" hidden="1" x14ac:dyDescent="0.25">
      <c r="A1651" s="269">
        <v>43559</v>
      </c>
      <c r="B1651" s="270">
        <v>2019</v>
      </c>
      <c r="C1651" s="270">
        <v>2019</v>
      </c>
      <c r="D1651" s="270">
        <v>1</v>
      </c>
      <c r="E1651" s="270">
        <v>1</v>
      </c>
      <c r="F1651" s="270" t="s">
        <v>944</v>
      </c>
      <c r="G1651" s="270" t="s">
        <v>3926</v>
      </c>
      <c r="H1651" s="270" t="s">
        <v>5923</v>
      </c>
      <c r="I1651" s="270" t="s">
        <v>3993</v>
      </c>
      <c r="J1651" s="270" t="s">
        <v>3928</v>
      </c>
      <c r="K1651" s="270">
        <v>6415</v>
      </c>
      <c r="L1651" s="270">
        <v>714101</v>
      </c>
      <c r="M1651" s="270" t="s">
        <v>3940</v>
      </c>
      <c r="N1651" s="270" t="s">
        <v>3944</v>
      </c>
      <c r="O1651" s="270">
        <v>2664.83</v>
      </c>
      <c r="P1651" s="270" t="s">
        <v>3944</v>
      </c>
      <c r="Q1651" s="270" t="s">
        <v>3944</v>
      </c>
      <c r="R1651" s="270">
        <v>2664.83</v>
      </c>
      <c r="S1651" s="270">
        <v>36282.74</v>
      </c>
      <c r="T1651" s="270">
        <v>38947.57</v>
      </c>
      <c r="U1651" s="271" t="s">
        <v>3945</v>
      </c>
      <c r="V1651" s="267" t="s">
        <v>944</v>
      </c>
    </row>
    <row r="1652" spans="1:22" hidden="1" x14ac:dyDescent="0.25">
      <c r="A1652" s="266">
        <v>43559</v>
      </c>
      <c r="B1652" s="267">
        <v>2019</v>
      </c>
      <c r="C1652" s="267">
        <v>2019</v>
      </c>
      <c r="D1652" s="267">
        <v>1</v>
      </c>
      <c r="E1652" s="267">
        <v>1</v>
      </c>
      <c r="F1652" s="267" t="s">
        <v>944</v>
      </c>
      <c r="G1652" s="267" t="s">
        <v>3926</v>
      </c>
      <c r="H1652" s="267" t="s">
        <v>5924</v>
      </c>
      <c r="I1652" s="267" t="s">
        <v>4276</v>
      </c>
      <c r="J1652" s="267" t="s">
        <v>3928</v>
      </c>
      <c r="K1652" s="267">
        <v>6331</v>
      </c>
      <c r="L1652" s="267">
        <v>906100</v>
      </c>
      <c r="M1652" s="267" t="s">
        <v>3960</v>
      </c>
      <c r="N1652" s="267" t="s">
        <v>3944</v>
      </c>
      <c r="O1652" s="267">
        <v>1892.07</v>
      </c>
      <c r="P1652" s="267" t="s">
        <v>3944</v>
      </c>
      <c r="Q1652" s="267" t="s">
        <v>3944</v>
      </c>
      <c r="R1652" s="267">
        <v>1892.07</v>
      </c>
      <c r="S1652" s="267">
        <v>27088.58</v>
      </c>
      <c r="T1652" s="267">
        <v>28980.65</v>
      </c>
      <c r="U1652" s="268" t="s">
        <v>3945</v>
      </c>
      <c r="V1652" s="267" t="s">
        <v>944</v>
      </c>
    </row>
    <row r="1653" spans="1:22" hidden="1" x14ac:dyDescent="0.25">
      <c r="A1653" s="269">
        <v>43559</v>
      </c>
      <c r="B1653" s="270">
        <v>2019</v>
      </c>
      <c r="C1653" s="270">
        <v>2019</v>
      </c>
      <c r="D1653" s="270">
        <v>1</v>
      </c>
      <c r="E1653" s="270">
        <v>1</v>
      </c>
      <c r="F1653" s="270" t="s">
        <v>944</v>
      </c>
      <c r="G1653" s="270" t="s">
        <v>3926</v>
      </c>
      <c r="H1653" s="270" t="s">
        <v>5925</v>
      </c>
      <c r="I1653" s="270" t="s">
        <v>4005</v>
      </c>
      <c r="J1653" s="270" t="s">
        <v>3928</v>
      </c>
      <c r="K1653" s="270">
        <v>6118</v>
      </c>
      <c r="L1653" s="270">
        <v>510800</v>
      </c>
      <c r="M1653" s="270" t="s">
        <v>3940</v>
      </c>
      <c r="N1653" s="270" t="s">
        <v>3944</v>
      </c>
      <c r="O1653" s="270">
        <v>1241.8699999999999</v>
      </c>
      <c r="P1653" s="270" t="s">
        <v>3944</v>
      </c>
      <c r="Q1653" s="270" t="s">
        <v>3944</v>
      </c>
      <c r="R1653" s="270">
        <v>1241.8699999999999</v>
      </c>
      <c r="S1653" s="270">
        <v>18238.71</v>
      </c>
      <c r="T1653" s="270">
        <v>19480.580000000002</v>
      </c>
      <c r="U1653" s="271" t="s">
        <v>3945</v>
      </c>
      <c r="V1653" s="267" t="s">
        <v>944</v>
      </c>
    </row>
    <row r="1654" spans="1:22" hidden="1" x14ac:dyDescent="0.25">
      <c r="A1654" s="266">
        <v>43559</v>
      </c>
      <c r="B1654" s="267">
        <v>2019</v>
      </c>
      <c r="C1654" s="267">
        <v>2019</v>
      </c>
      <c r="D1654" s="267">
        <v>1</v>
      </c>
      <c r="E1654" s="267">
        <v>1</v>
      </c>
      <c r="F1654" s="267" t="s">
        <v>944</v>
      </c>
      <c r="G1654" s="267" t="s">
        <v>3926</v>
      </c>
      <c r="H1654" s="267" t="s">
        <v>5926</v>
      </c>
      <c r="I1654" s="267" t="s">
        <v>3012</v>
      </c>
      <c r="J1654" s="267" t="s">
        <v>3928</v>
      </c>
      <c r="K1654" s="267">
        <v>6477</v>
      </c>
      <c r="L1654" s="267">
        <v>157400</v>
      </c>
      <c r="M1654" s="267" t="s">
        <v>3943</v>
      </c>
      <c r="N1654" s="267" t="s">
        <v>3944</v>
      </c>
      <c r="O1654" s="267">
        <v>1383.13</v>
      </c>
      <c r="P1654" s="267" t="s">
        <v>3944</v>
      </c>
      <c r="Q1654" s="267" t="s">
        <v>3944</v>
      </c>
      <c r="R1654" s="267">
        <v>1383.13</v>
      </c>
      <c r="S1654" s="267">
        <v>17072.189999999999</v>
      </c>
      <c r="T1654" s="267">
        <v>18455.32</v>
      </c>
      <c r="U1654" s="268" t="s">
        <v>3945</v>
      </c>
      <c r="V1654" s="267" t="s">
        <v>944</v>
      </c>
    </row>
    <row r="1655" spans="1:22" hidden="1" x14ac:dyDescent="0.25">
      <c r="A1655" s="269">
        <v>43559</v>
      </c>
      <c r="B1655" s="270">
        <v>2019</v>
      </c>
      <c r="C1655" s="270">
        <v>2019</v>
      </c>
      <c r="D1655" s="270">
        <v>1</v>
      </c>
      <c r="E1655" s="270">
        <v>1</v>
      </c>
      <c r="F1655" s="270" t="s">
        <v>944</v>
      </c>
      <c r="G1655" s="270" t="s">
        <v>3926</v>
      </c>
      <c r="H1655" s="270" t="s">
        <v>5927</v>
      </c>
      <c r="I1655" s="270" t="s">
        <v>4037</v>
      </c>
      <c r="J1655" s="270" t="s">
        <v>3928</v>
      </c>
      <c r="K1655" s="270">
        <v>6810</v>
      </c>
      <c r="L1655" s="270">
        <v>210200</v>
      </c>
      <c r="M1655" s="270">
        <v>-60</v>
      </c>
      <c r="N1655" s="270" t="s">
        <v>3944</v>
      </c>
      <c r="O1655" s="270">
        <v>3923.33</v>
      </c>
      <c r="P1655" s="270" t="s">
        <v>3944</v>
      </c>
      <c r="Q1655" s="270" t="s">
        <v>3944</v>
      </c>
      <c r="R1655" s="270">
        <v>3923.33</v>
      </c>
      <c r="S1655" s="270">
        <v>54231.86</v>
      </c>
      <c r="T1655" s="270">
        <v>58155.19</v>
      </c>
      <c r="U1655" s="271" t="s">
        <v>3945</v>
      </c>
      <c r="V1655" s="267" t="s">
        <v>944</v>
      </c>
    </row>
    <row r="1656" spans="1:22" hidden="1" x14ac:dyDescent="0.25">
      <c r="A1656" s="266">
        <v>43559</v>
      </c>
      <c r="B1656" s="267">
        <v>2019</v>
      </c>
      <c r="C1656" s="267">
        <v>2019</v>
      </c>
      <c r="D1656" s="267">
        <v>1</v>
      </c>
      <c r="E1656" s="267">
        <v>1</v>
      </c>
      <c r="F1656" s="267" t="s">
        <v>944</v>
      </c>
      <c r="G1656" s="267" t="s">
        <v>3926</v>
      </c>
      <c r="H1656" s="267" t="s">
        <v>5928</v>
      </c>
      <c r="I1656" s="267" t="s">
        <v>4011</v>
      </c>
      <c r="J1656" s="267" t="s">
        <v>3928</v>
      </c>
      <c r="K1656" s="267">
        <v>6002</v>
      </c>
      <c r="L1656" s="267">
        <v>471100</v>
      </c>
      <c r="M1656" s="267" t="s">
        <v>3935</v>
      </c>
      <c r="N1656" s="267" t="s">
        <v>3944</v>
      </c>
      <c r="O1656" s="267">
        <v>1416.1</v>
      </c>
      <c r="P1656" s="267" t="s">
        <v>3944</v>
      </c>
      <c r="Q1656" s="267" t="s">
        <v>3944</v>
      </c>
      <c r="R1656" s="267">
        <v>1416.1</v>
      </c>
      <c r="S1656" s="267">
        <v>19956.650000000001</v>
      </c>
      <c r="T1656" s="267">
        <v>21372.75</v>
      </c>
      <c r="U1656" s="268" t="s">
        <v>3945</v>
      </c>
      <c r="V1656" s="267" t="s">
        <v>944</v>
      </c>
    </row>
    <row r="1657" spans="1:22" hidden="1" x14ac:dyDescent="0.25">
      <c r="A1657" s="269">
        <v>43559</v>
      </c>
      <c r="B1657" s="270">
        <v>2019</v>
      </c>
      <c r="C1657" s="270">
        <v>2019</v>
      </c>
      <c r="D1657" s="270">
        <v>1</v>
      </c>
      <c r="E1657" s="270">
        <v>1</v>
      </c>
      <c r="F1657" s="270" t="s">
        <v>944</v>
      </c>
      <c r="G1657" s="270" t="s">
        <v>3926</v>
      </c>
      <c r="H1657" s="270" t="s">
        <v>5929</v>
      </c>
      <c r="I1657" s="270" t="s">
        <v>4137</v>
      </c>
      <c r="J1657" s="270" t="s">
        <v>3928</v>
      </c>
      <c r="K1657" s="270">
        <v>6067</v>
      </c>
      <c r="L1657" s="270">
        <v>490302</v>
      </c>
      <c r="M1657" s="270" t="s">
        <v>3960</v>
      </c>
      <c r="N1657" s="270" t="s">
        <v>3944</v>
      </c>
      <c r="O1657" s="270">
        <v>2552.41</v>
      </c>
      <c r="P1657" s="270" t="s">
        <v>3944</v>
      </c>
      <c r="Q1657" s="270" t="s">
        <v>3944</v>
      </c>
      <c r="R1657" s="270">
        <v>2552.41</v>
      </c>
      <c r="S1657" s="270">
        <v>31574.05</v>
      </c>
      <c r="T1657" s="270">
        <v>34126.46</v>
      </c>
      <c r="U1657" s="271" t="s">
        <v>3945</v>
      </c>
      <c r="V1657" s="267" t="s">
        <v>944</v>
      </c>
    </row>
    <row r="1658" spans="1:22" hidden="1" x14ac:dyDescent="0.25">
      <c r="A1658" s="266">
        <v>43559</v>
      </c>
      <c r="B1658" s="267">
        <v>2019</v>
      </c>
      <c r="C1658" s="267">
        <v>2019</v>
      </c>
      <c r="D1658" s="267">
        <v>1</v>
      </c>
      <c r="E1658" s="267">
        <v>1</v>
      </c>
      <c r="F1658" s="267" t="s">
        <v>944</v>
      </c>
      <c r="G1658" s="267" t="s">
        <v>3926</v>
      </c>
      <c r="H1658" s="267" t="s">
        <v>5930</v>
      </c>
      <c r="I1658" s="267" t="s">
        <v>4301</v>
      </c>
      <c r="J1658" s="267" t="s">
        <v>3928</v>
      </c>
      <c r="K1658" s="267">
        <v>6359</v>
      </c>
      <c r="L1658" s="267">
        <v>707100</v>
      </c>
      <c r="M1658" s="267" t="s">
        <v>3935</v>
      </c>
      <c r="N1658" s="267" t="s">
        <v>3944</v>
      </c>
      <c r="O1658" s="267">
        <v>2245.46</v>
      </c>
      <c r="P1658" s="267" t="s">
        <v>3944</v>
      </c>
      <c r="Q1658" s="267" t="s">
        <v>3944</v>
      </c>
      <c r="R1658" s="267">
        <v>2245.46</v>
      </c>
      <c r="S1658" s="267">
        <v>30923.24</v>
      </c>
      <c r="T1658" s="267">
        <v>33168.699999999997</v>
      </c>
      <c r="U1658" s="268" t="s">
        <v>3945</v>
      </c>
      <c r="V1658" s="267" t="s">
        <v>944</v>
      </c>
    </row>
    <row r="1659" spans="1:22" hidden="1" x14ac:dyDescent="0.25">
      <c r="A1659" s="269">
        <v>43559</v>
      </c>
      <c r="B1659" s="270">
        <v>2019</v>
      </c>
      <c r="C1659" s="270">
        <v>2019</v>
      </c>
      <c r="D1659" s="270">
        <v>1</v>
      </c>
      <c r="E1659" s="270">
        <v>1</v>
      </c>
      <c r="F1659" s="270" t="s">
        <v>944</v>
      </c>
      <c r="G1659" s="270" t="s">
        <v>3926</v>
      </c>
      <c r="H1659" s="270" t="s">
        <v>5931</v>
      </c>
      <c r="I1659" s="270" t="s">
        <v>3010</v>
      </c>
      <c r="J1659" s="270" t="s">
        <v>3928</v>
      </c>
      <c r="K1659" s="270">
        <v>6401</v>
      </c>
      <c r="L1659" s="270">
        <v>125200</v>
      </c>
      <c r="M1659" s="270">
        <v>-60</v>
      </c>
      <c r="N1659" s="270" t="s">
        <v>3944</v>
      </c>
      <c r="O1659" s="270">
        <v>1655.85</v>
      </c>
      <c r="P1659" s="270" t="s">
        <v>3944</v>
      </c>
      <c r="Q1659" s="270" t="s">
        <v>3944</v>
      </c>
      <c r="R1659" s="270">
        <v>1655.85</v>
      </c>
      <c r="S1659" s="270">
        <v>24142.65</v>
      </c>
      <c r="T1659" s="270">
        <v>25798.5</v>
      </c>
      <c r="U1659" s="271" t="s">
        <v>3945</v>
      </c>
      <c r="V1659" s="267" t="s">
        <v>944</v>
      </c>
    </row>
    <row r="1660" spans="1:22" hidden="1" x14ac:dyDescent="0.25">
      <c r="A1660" s="266">
        <v>43559</v>
      </c>
      <c r="B1660" s="267">
        <v>2019</v>
      </c>
      <c r="C1660" s="267">
        <v>2019</v>
      </c>
      <c r="D1660" s="267">
        <v>1</v>
      </c>
      <c r="E1660" s="267">
        <v>1</v>
      </c>
      <c r="F1660" s="267" t="s">
        <v>944</v>
      </c>
      <c r="G1660" s="267" t="s">
        <v>3926</v>
      </c>
      <c r="H1660" s="267" t="s">
        <v>5932</v>
      </c>
      <c r="I1660" s="267" t="s">
        <v>4172</v>
      </c>
      <c r="J1660" s="267" t="s">
        <v>3928</v>
      </c>
      <c r="K1660" s="267">
        <v>6786</v>
      </c>
      <c r="L1660" s="267">
        <v>425400</v>
      </c>
      <c r="M1660" s="267" t="s">
        <v>3935</v>
      </c>
      <c r="N1660" s="267" t="s">
        <v>3944</v>
      </c>
      <c r="O1660" s="267">
        <v>2566.73</v>
      </c>
      <c r="P1660" s="267" t="s">
        <v>3944</v>
      </c>
      <c r="Q1660" s="267" t="s">
        <v>3944</v>
      </c>
      <c r="R1660" s="267">
        <v>2566.73</v>
      </c>
      <c r="S1660" s="267">
        <v>30401.88</v>
      </c>
      <c r="T1660" s="267">
        <v>32968.61</v>
      </c>
      <c r="U1660" s="268" t="s">
        <v>3945</v>
      </c>
      <c r="V1660" s="267" t="s">
        <v>944</v>
      </c>
    </row>
    <row r="1661" spans="1:22" hidden="1" x14ac:dyDescent="0.25">
      <c r="A1661" s="269">
        <v>43559</v>
      </c>
      <c r="B1661" s="270">
        <v>2019</v>
      </c>
      <c r="C1661" s="270">
        <v>2019</v>
      </c>
      <c r="D1661" s="270">
        <v>1</v>
      </c>
      <c r="E1661" s="270">
        <v>1</v>
      </c>
      <c r="F1661" s="270" t="s">
        <v>944</v>
      </c>
      <c r="G1661" s="270" t="s">
        <v>3926</v>
      </c>
      <c r="H1661" s="270" t="s">
        <v>5933</v>
      </c>
      <c r="I1661" s="270" t="s">
        <v>3962</v>
      </c>
      <c r="J1661" s="270" t="s">
        <v>3928</v>
      </c>
      <c r="K1661" s="270">
        <v>6355</v>
      </c>
      <c r="L1661" s="270">
        <v>702800</v>
      </c>
      <c r="M1661" s="270" t="s">
        <v>3935</v>
      </c>
      <c r="N1661" s="270" t="s">
        <v>3944</v>
      </c>
      <c r="O1661" s="270">
        <v>1361.96</v>
      </c>
      <c r="P1661" s="270" t="s">
        <v>3944</v>
      </c>
      <c r="Q1661" s="270" t="s">
        <v>3944</v>
      </c>
      <c r="R1661" s="270">
        <v>1361.96</v>
      </c>
      <c r="S1661" s="270">
        <v>23895.32</v>
      </c>
      <c r="T1661" s="270">
        <v>25257.279999999999</v>
      </c>
      <c r="U1661" s="271" t="s">
        <v>3945</v>
      </c>
      <c r="V1661" s="267" t="s">
        <v>944</v>
      </c>
    </row>
    <row r="1662" spans="1:22" hidden="1" x14ac:dyDescent="0.25">
      <c r="A1662" s="266">
        <v>43559</v>
      </c>
      <c r="B1662" s="267">
        <v>2019</v>
      </c>
      <c r="C1662" s="267">
        <v>2019</v>
      </c>
      <c r="D1662" s="267">
        <v>1</v>
      </c>
      <c r="E1662" s="267">
        <v>1</v>
      </c>
      <c r="F1662" s="267" t="s">
        <v>944</v>
      </c>
      <c r="G1662" s="267" t="s">
        <v>3926</v>
      </c>
      <c r="H1662" s="267" t="s">
        <v>5934</v>
      </c>
      <c r="I1662" s="267" t="s">
        <v>943</v>
      </c>
      <c r="J1662" s="267" t="s">
        <v>3928</v>
      </c>
      <c r="K1662" s="267">
        <v>6513</v>
      </c>
      <c r="L1662" s="267">
        <v>142601</v>
      </c>
      <c r="M1662" s="267" t="s">
        <v>3940</v>
      </c>
      <c r="N1662" s="267" t="s">
        <v>3944</v>
      </c>
      <c r="O1662" s="267">
        <v>1712.27</v>
      </c>
      <c r="P1662" s="267" t="s">
        <v>3944</v>
      </c>
      <c r="Q1662" s="267" t="s">
        <v>3944</v>
      </c>
      <c r="R1662" s="267">
        <v>1712.27</v>
      </c>
      <c r="S1662" s="267">
        <v>29169.26</v>
      </c>
      <c r="T1662" s="267">
        <v>30881.53</v>
      </c>
      <c r="U1662" s="268" t="s">
        <v>3945</v>
      </c>
      <c r="V1662" s="267" t="s">
        <v>944</v>
      </c>
    </row>
    <row r="1663" spans="1:22" hidden="1" x14ac:dyDescent="0.25">
      <c r="A1663" s="269">
        <v>43559</v>
      </c>
      <c r="B1663" s="270">
        <v>2019</v>
      </c>
      <c r="C1663" s="270">
        <v>2019</v>
      </c>
      <c r="D1663" s="270">
        <v>1</v>
      </c>
      <c r="E1663" s="270">
        <v>1</v>
      </c>
      <c r="F1663" s="270" t="s">
        <v>944</v>
      </c>
      <c r="G1663" s="270" t="s">
        <v>3926</v>
      </c>
      <c r="H1663" s="270" t="s">
        <v>5935</v>
      </c>
      <c r="I1663" s="270" t="s">
        <v>3956</v>
      </c>
      <c r="J1663" s="270" t="s">
        <v>3928</v>
      </c>
      <c r="K1663" s="270">
        <v>6112</v>
      </c>
      <c r="L1663" s="270">
        <v>503900</v>
      </c>
      <c r="M1663" s="270">
        <v>-60</v>
      </c>
      <c r="N1663" s="270" t="s">
        <v>3944</v>
      </c>
      <c r="O1663" s="270">
        <v>1841.07</v>
      </c>
      <c r="P1663" s="270" t="s">
        <v>3944</v>
      </c>
      <c r="Q1663" s="270" t="s">
        <v>3944</v>
      </c>
      <c r="R1663" s="270">
        <v>1841.07</v>
      </c>
      <c r="S1663" s="270">
        <v>21570.63</v>
      </c>
      <c r="T1663" s="270">
        <v>23411.7</v>
      </c>
      <c r="U1663" s="271" t="s">
        <v>3945</v>
      </c>
      <c r="V1663" s="267" t="s">
        <v>944</v>
      </c>
    </row>
    <row r="1664" spans="1:22" hidden="1" x14ac:dyDescent="0.25">
      <c r="A1664" s="266">
        <v>43559</v>
      </c>
      <c r="B1664" s="267">
        <v>2019</v>
      </c>
      <c r="C1664" s="267">
        <v>2019</v>
      </c>
      <c r="D1664" s="267">
        <v>1</v>
      </c>
      <c r="E1664" s="267">
        <v>1</v>
      </c>
      <c r="F1664" s="267" t="s">
        <v>944</v>
      </c>
      <c r="G1664" s="267" t="s">
        <v>3926</v>
      </c>
      <c r="H1664" s="267" t="s">
        <v>5936</v>
      </c>
      <c r="I1664" s="267" t="s">
        <v>3966</v>
      </c>
      <c r="J1664" s="267" t="s">
        <v>3928</v>
      </c>
      <c r="K1664" s="267">
        <v>6010</v>
      </c>
      <c r="L1664" s="267">
        <v>405900</v>
      </c>
      <c r="M1664" s="267" t="s">
        <v>3960</v>
      </c>
      <c r="N1664" s="267" t="s">
        <v>3944</v>
      </c>
      <c r="O1664" s="267">
        <v>2495.8200000000002</v>
      </c>
      <c r="P1664" s="267" t="s">
        <v>3944</v>
      </c>
      <c r="Q1664" s="267" t="s">
        <v>3944</v>
      </c>
      <c r="R1664" s="267">
        <v>2495.8200000000002</v>
      </c>
      <c r="S1664" s="267">
        <v>36047.279999999999</v>
      </c>
      <c r="T1664" s="267">
        <v>38543.1</v>
      </c>
      <c r="U1664" s="268" t="s">
        <v>3945</v>
      </c>
      <c r="V1664" s="267" t="s">
        <v>944</v>
      </c>
    </row>
    <row r="1665" spans="1:22" hidden="1" x14ac:dyDescent="0.25">
      <c r="A1665" s="269">
        <v>43559</v>
      </c>
      <c r="B1665" s="270">
        <v>2019</v>
      </c>
      <c r="C1665" s="270">
        <v>2019</v>
      </c>
      <c r="D1665" s="270">
        <v>1</v>
      </c>
      <c r="E1665" s="270">
        <v>1</v>
      </c>
      <c r="F1665" s="270" t="s">
        <v>944</v>
      </c>
      <c r="G1665" s="270" t="s">
        <v>3926</v>
      </c>
      <c r="H1665" s="270" t="s">
        <v>5937</v>
      </c>
      <c r="I1665" s="270" t="s">
        <v>4042</v>
      </c>
      <c r="J1665" s="270" t="s">
        <v>3928</v>
      </c>
      <c r="K1665" s="270">
        <v>6382</v>
      </c>
      <c r="L1665" s="270">
        <v>695201</v>
      </c>
      <c r="M1665" s="270" t="s">
        <v>3935</v>
      </c>
      <c r="N1665" s="270" t="s">
        <v>3944</v>
      </c>
      <c r="O1665" s="270">
        <v>1806.63</v>
      </c>
      <c r="P1665" s="270" t="s">
        <v>3944</v>
      </c>
      <c r="Q1665" s="270" t="s">
        <v>3944</v>
      </c>
      <c r="R1665" s="270">
        <v>1806.63</v>
      </c>
      <c r="S1665" s="270">
        <v>27929.37</v>
      </c>
      <c r="T1665" s="270">
        <v>29736</v>
      </c>
      <c r="U1665" s="271" t="s">
        <v>3945</v>
      </c>
      <c r="V1665" s="267" t="s">
        <v>944</v>
      </c>
    </row>
    <row r="1666" spans="1:22" x14ac:dyDescent="0.25">
      <c r="A1666" s="266">
        <v>43559</v>
      </c>
      <c r="B1666" s="267">
        <v>2019</v>
      </c>
      <c r="C1666" s="267">
        <v>2019</v>
      </c>
      <c r="D1666" s="267">
        <v>1</v>
      </c>
      <c r="E1666" s="267">
        <v>1</v>
      </c>
      <c r="F1666" s="267" t="s">
        <v>944</v>
      </c>
      <c r="G1666" s="267" t="s">
        <v>3926</v>
      </c>
      <c r="H1666" s="267" t="s">
        <v>5938</v>
      </c>
      <c r="I1666" s="267" t="s">
        <v>934</v>
      </c>
      <c r="J1666" s="267" t="s">
        <v>3928</v>
      </c>
      <c r="K1666" s="267">
        <v>6606</v>
      </c>
      <c r="L1666" s="267">
        <v>72200</v>
      </c>
      <c r="M1666" s="267">
        <v>-60</v>
      </c>
      <c r="N1666" s="267" t="s">
        <v>3944</v>
      </c>
      <c r="O1666" s="267">
        <v>1793.37</v>
      </c>
      <c r="P1666" s="267" t="s">
        <v>3944</v>
      </c>
      <c r="Q1666" s="267" t="s">
        <v>3944</v>
      </c>
      <c r="R1666" s="267">
        <v>1793.37</v>
      </c>
      <c r="S1666" s="267">
        <v>28480.84</v>
      </c>
      <c r="T1666" s="267">
        <v>30274.21</v>
      </c>
      <c r="U1666" s="268" t="s">
        <v>3945</v>
      </c>
      <c r="V1666" s="276" t="s">
        <v>936</v>
      </c>
    </row>
    <row r="1667" spans="1:22" hidden="1" x14ac:dyDescent="0.25">
      <c r="A1667" s="269">
        <v>43559</v>
      </c>
      <c r="B1667" s="270">
        <v>2019</v>
      </c>
      <c r="C1667" s="270">
        <v>2019</v>
      </c>
      <c r="D1667" s="270">
        <v>1</v>
      </c>
      <c r="E1667" s="270">
        <v>1</v>
      </c>
      <c r="F1667" s="270" t="s">
        <v>944</v>
      </c>
      <c r="G1667" s="270" t="s">
        <v>3926</v>
      </c>
      <c r="H1667" s="270" t="s">
        <v>5939</v>
      </c>
      <c r="I1667" s="270" t="s">
        <v>943</v>
      </c>
      <c r="J1667" s="270" t="s">
        <v>3928</v>
      </c>
      <c r="K1667" s="270">
        <v>6512</v>
      </c>
      <c r="L1667" s="270">
        <v>142800</v>
      </c>
      <c r="M1667" s="270" t="s">
        <v>3940</v>
      </c>
      <c r="N1667" s="270" t="s">
        <v>3944</v>
      </c>
      <c r="O1667" s="270">
        <v>867.76</v>
      </c>
      <c r="P1667" s="270" t="s">
        <v>3944</v>
      </c>
      <c r="Q1667" s="270" t="s">
        <v>3944</v>
      </c>
      <c r="R1667" s="270">
        <v>867.76</v>
      </c>
      <c r="S1667" s="270">
        <v>13118.24</v>
      </c>
      <c r="T1667" s="270">
        <v>13986</v>
      </c>
      <c r="U1667" s="271" t="s">
        <v>3945</v>
      </c>
      <c r="V1667" s="267" t="s">
        <v>944</v>
      </c>
    </row>
    <row r="1668" spans="1:22" hidden="1" x14ac:dyDescent="0.25">
      <c r="A1668" s="266">
        <v>43559</v>
      </c>
      <c r="B1668" s="267">
        <v>2019</v>
      </c>
      <c r="C1668" s="267">
        <v>2019</v>
      </c>
      <c r="D1668" s="267">
        <v>1</v>
      </c>
      <c r="E1668" s="267">
        <v>1</v>
      </c>
      <c r="F1668" s="267" t="s">
        <v>944</v>
      </c>
      <c r="G1668" s="267" t="s">
        <v>3926</v>
      </c>
      <c r="H1668" s="267" t="s">
        <v>5940</v>
      </c>
      <c r="I1668" s="267" t="s">
        <v>3985</v>
      </c>
      <c r="J1668" s="267" t="s">
        <v>3928</v>
      </c>
      <c r="K1668" s="267">
        <v>6280</v>
      </c>
      <c r="L1668" s="267">
        <v>800500</v>
      </c>
      <c r="M1668" s="267" t="s">
        <v>3940</v>
      </c>
      <c r="N1668" s="267" t="s">
        <v>3944</v>
      </c>
      <c r="O1668" s="267">
        <v>1674.51</v>
      </c>
      <c r="P1668" s="267" t="s">
        <v>3944</v>
      </c>
      <c r="Q1668" s="267" t="s">
        <v>3944</v>
      </c>
      <c r="R1668" s="267">
        <v>1674.51</v>
      </c>
      <c r="S1668" s="267">
        <v>22645.38</v>
      </c>
      <c r="T1668" s="267">
        <v>24319.89</v>
      </c>
      <c r="U1668" s="268" t="s">
        <v>3945</v>
      </c>
      <c r="V1668" s="267" t="s">
        <v>944</v>
      </c>
    </row>
    <row r="1669" spans="1:22" hidden="1" x14ac:dyDescent="0.25">
      <c r="A1669" s="269">
        <v>43559</v>
      </c>
      <c r="B1669" s="270">
        <v>2019</v>
      </c>
      <c r="C1669" s="270">
        <v>2019</v>
      </c>
      <c r="D1669" s="270">
        <v>1</v>
      </c>
      <c r="E1669" s="270">
        <v>1</v>
      </c>
      <c r="F1669" s="270" t="s">
        <v>944</v>
      </c>
      <c r="G1669" s="270" t="s">
        <v>3926</v>
      </c>
      <c r="H1669" s="270" t="s">
        <v>5941</v>
      </c>
      <c r="I1669" s="270" t="s">
        <v>953</v>
      </c>
      <c r="J1669" s="270" t="s">
        <v>3928</v>
      </c>
      <c r="K1669" s="270">
        <v>6514</v>
      </c>
      <c r="L1669" s="270">
        <v>165600</v>
      </c>
      <c r="M1669" s="270" t="s">
        <v>3940</v>
      </c>
      <c r="N1669" s="270" t="s">
        <v>3944</v>
      </c>
      <c r="O1669" s="270">
        <v>743.93</v>
      </c>
      <c r="P1669" s="270" t="s">
        <v>3944</v>
      </c>
      <c r="Q1669" s="270" t="s">
        <v>3944</v>
      </c>
      <c r="R1669" s="270">
        <v>743.93</v>
      </c>
      <c r="S1669" s="270">
        <v>12254.14</v>
      </c>
      <c r="T1669" s="270">
        <v>12998.07</v>
      </c>
      <c r="U1669" s="271" t="s">
        <v>3945</v>
      </c>
      <c r="V1669" s="267" t="s">
        <v>944</v>
      </c>
    </row>
    <row r="1670" spans="1:22" hidden="1" x14ac:dyDescent="0.25">
      <c r="A1670" s="266">
        <v>43559</v>
      </c>
      <c r="B1670" s="267">
        <v>2019</v>
      </c>
      <c r="C1670" s="267">
        <v>2019</v>
      </c>
      <c r="D1670" s="267">
        <v>1</v>
      </c>
      <c r="E1670" s="267">
        <v>1</v>
      </c>
      <c r="F1670" s="267" t="s">
        <v>944</v>
      </c>
      <c r="G1670" s="267" t="s">
        <v>3926</v>
      </c>
      <c r="H1670" s="267" t="s">
        <v>5942</v>
      </c>
      <c r="I1670" s="267" t="s">
        <v>3968</v>
      </c>
      <c r="J1670" s="267" t="s">
        <v>3928</v>
      </c>
      <c r="K1670" s="267">
        <v>6042</v>
      </c>
      <c r="L1670" s="267">
        <v>514900</v>
      </c>
      <c r="M1670" s="267" t="s">
        <v>3960</v>
      </c>
      <c r="N1670" s="267" t="s">
        <v>3944</v>
      </c>
      <c r="O1670" s="267">
        <v>1176.98</v>
      </c>
      <c r="P1670" s="267" t="s">
        <v>3944</v>
      </c>
      <c r="Q1670" s="267" t="s">
        <v>3944</v>
      </c>
      <c r="R1670" s="267">
        <v>1176.98</v>
      </c>
      <c r="S1670" s="267">
        <v>23622.97</v>
      </c>
      <c r="T1670" s="267">
        <v>24799.95</v>
      </c>
      <c r="U1670" s="268" t="s">
        <v>3945</v>
      </c>
      <c r="V1670" s="267" t="s">
        <v>944</v>
      </c>
    </row>
    <row r="1671" spans="1:22" hidden="1" x14ac:dyDescent="0.25">
      <c r="A1671" s="269">
        <v>43559</v>
      </c>
      <c r="B1671" s="270">
        <v>2019</v>
      </c>
      <c r="C1671" s="270">
        <v>2019</v>
      </c>
      <c r="D1671" s="270">
        <v>1</v>
      </c>
      <c r="E1671" s="270">
        <v>1</v>
      </c>
      <c r="F1671" s="270" t="s">
        <v>944</v>
      </c>
      <c r="G1671" s="270" t="s">
        <v>3926</v>
      </c>
      <c r="H1671" s="270" t="s">
        <v>5943</v>
      </c>
      <c r="I1671" s="270" t="s">
        <v>4065</v>
      </c>
      <c r="J1671" s="270" t="s">
        <v>3928</v>
      </c>
      <c r="K1671" s="270">
        <v>6480</v>
      </c>
      <c r="L1671" s="270">
        <v>560200</v>
      </c>
      <c r="M1671" s="270" t="s">
        <v>3935</v>
      </c>
      <c r="N1671" s="270" t="s">
        <v>3944</v>
      </c>
      <c r="O1671" s="270">
        <v>2017.96</v>
      </c>
      <c r="P1671" s="270" t="s">
        <v>3944</v>
      </c>
      <c r="Q1671" s="270" t="s">
        <v>3944</v>
      </c>
      <c r="R1671" s="270">
        <v>2017.96</v>
      </c>
      <c r="S1671" s="270">
        <v>32196.68</v>
      </c>
      <c r="T1671" s="270">
        <v>34214.639999999999</v>
      </c>
      <c r="U1671" s="271" t="s">
        <v>3945</v>
      </c>
      <c r="V1671" s="267" t="s">
        <v>944</v>
      </c>
    </row>
    <row r="1672" spans="1:22" hidden="1" x14ac:dyDescent="0.25">
      <c r="A1672" s="266">
        <v>43559</v>
      </c>
      <c r="B1672" s="267">
        <v>2019</v>
      </c>
      <c r="C1672" s="267">
        <v>2019</v>
      </c>
      <c r="D1672" s="267">
        <v>1</v>
      </c>
      <c r="E1672" s="267">
        <v>1</v>
      </c>
      <c r="F1672" s="267" t="s">
        <v>944</v>
      </c>
      <c r="G1672" s="267" t="s">
        <v>3926</v>
      </c>
      <c r="H1672" s="267" t="s">
        <v>5944</v>
      </c>
      <c r="I1672" s="267" t="s">
        <v>3012</v>
      </c>
      <c r="J1672" s="267" t="s">
        <v>3928</v>
      </c>
      <c r="K1672" s="267">
        <v>6477</v>
      </c>
      <c r="L1672" s="267">
        <v>157200</v>
      </c>
      <c r="M1672" s="267" t="s">
        <v>3943</v>
      </c>
      <c r="N1672" s="267" t="s">
        <v>3944</v>
      </c>
      <c r="O1672" s="267">
        <v>1725.12</v>
      </c>
      <c r="P1672" s="267" t="s">
        <v>3944</v>
      </c>
      <c r="Q1672" s="267" t="s">
        <v>3944</v>
      </c>
      <c r="R1672" s="267">
        <v>1725.12</v>
      </c>
      <c r="S1672" s="267">
        <v>28779.79</v>
      </c>
      <c r="T1672" s="267">
        <v>30504.91</v>
      </c>
      <c r="U1672" s="268" t="s">
        <v>3945</v>
      </c>
      <c r="V1672" s="267" t="s">
        <v>944</v>
      </c>
    </row>
    <row r="1673" spans="1:22" hidden="1" x14ac:dyDescent="0.25">
      <c r="A1673" s="269">
        <v>43560</v>
      </c>
      <c r="B1673" s="270">
        <v>2019</v>
      </c>
      <c r="C1673" s="270">
        <v>2019</v>
      </c>
      <c r="D1673" s="270">
        <v>1</v>
      </c>
      <c r="E1673" s="270">
        <v>1</v>
      </c>
      <c r="F1673" s="270" t="s">
        <v>944</v>
      </c>
      <c r="G1673" s="270" t="s">
        <v>3926</v>
      </c>
      <c r="H1673" s="270" t="s">
        <v>5945</v>
      </c>
      <c r="I1673" s="270" t="s">
        <v>3975</v>
      </c>
      <c r="J1673" s="270" t="s">
        <v>3928</v>
      </c>
      <c r="K1673" s="270">
        <v>6489</v>
      </c>
      <c r="L1673" s="270">
        <v>430203</v>
      </c>
      <c r="M1673" s="270" t="s">
        <v>3935</v>
      </c>
      <c r="N1673" s="270" t="s">
        <v>4103</v>
      </c>
      <c r="O1673" s="270">
        <v>1561.07</v>
      </c>
      <c r="P1673" s="270" t="s">
        <v>3930</v>
      </c>
      <c r="Q1673" s="270" t="s">
        <v>3931</v>
      </c>
      <c r="R1673" s="270">
        <v>6561.07</v>
      </c>
      <c r="S1673" s="270">
        <v>24145.599999999999</v>
      </c>
      <c r="T1673" s="270">
        <v>30706.67</v>
      </c>
      <c r="U1673" s="271" t="s">
        <v>3932</v>
      </c>
      <c r="V1673" s="267" t="s">
        <v>944</v>
      </c>
    </row>
    <row r="1674" spans="1:22" hidden="1" x14ac:dyDescent="0.25">
      <c r="A1674" s="266">
        <v>43560</v>
      </c>
      <c r="B1674" s="267">
        <v>2019</v>
      </c>
      <c r="C1674" s="267">
        <v>2019</v>
      </c>
      <c r="D1674" s="267">
        <v>1</v>
      </c>
      <c r="E1674" s="267">
        <v>1</v>
      </c>
      <c r="F1674" s="267" t="s">
        <v>944</v>
      </c>
      <c r="G1674" s="267" t="s">
        <v>3926</v>
      </c>
      <c r="H1674" s="267" t="s">
        <v>5946</v>
      </c>
      <c r="I1674" s="267" t="s">
        <v>3962</v>
      </c>
      <c r="J1674" s="267" t="s">
        <v>3928</v>
      </c>
      <c r="K1674" s="267">
        <v>6378</v>
      </c>
      <c r="L1674" s="267">
        <v>705400</v>
      </c>
      <c r="M1674" s="267" t="s">
        <v>3943</v>
      </c>
      <c r="N1674" s="267" t="s">
        <v>3944</v>
      </c>
      <c r="O1674" s="267">
        <v>1861.37</v>
      </c>
      <c r="P1674" s="267" t="s">
        <v>3944</v>
      </c>
      <c r="Q1674" s="267" t="s">
        <v>3944</v>
      </c>
      <c r="R1674" s="267">
        <v>1861.37</v>
      </c>
      <c r="S1674" s="267">
        <v>28870.25</v>
      </c>
      <c r="T1674" s="267">
        <v>30731.62</v>
      </c>
      <c r="U1674" s="268" t="s">
        <v>3945</v>
      </c>
      <c r="V1674" s="267" t="s">
        <v>944</v>
      </c>
    </row>
    <row r="1675" spans="1:22" hidden="1" x14ac:dyDescent="0.25">
      <c r="A1675" s="269">
        <v>43560</v>
      </c>
      <c r="B1675" s="270">
        <v>2019</v>
      </c>
      <c r="C1675" s="270">
        <v>2019</v>
      </c>
      <c r="D1675" s="270">
        <v>1</v>
      </c>
      <c r="E1675" s="270">
        <v>1</v>
      </c>
      <c r="F1675" s="270" t="s">
        <v>944</v>
      </c>
      <c r="G1675" s="270" t="s">
        <v>3926</v>
      </c>
      <c r="H1675" s="270" t="s">
        <v>5947</v>
      </c>
      <c r="I1675" s="270" t="s">
        <v>953</v>
      </c>
      <c r="J1675" s="270" t="s">
        <v>3928</v>
      </c>
      <c r="K1675" s="270">
        <v>6518</v>
      </c>
      <c r="L1675" s="270">
        <v>165900</v>
      </c>
      <c r="M1675" s="270" t="s">
        <v>3943</v>
      </c>
      <c r="N1675" s="270" t="s">
        <v>3944</v>
      </c>
      <c r="O1675" s="270">
        <v>4594.66</v>
      </c>
      <c r="P1675" s="270" t="s">
        <v>3944</v>
      </c>
      <c r="Q1675" s="270" t="s">
        <v>3944</v>
      </c>
      <c r="R1675" s="270">
        <v>4594.66</v>
      </c>
      <c r="S1675" s="270">
        <v>61287.68</v>
      </c>
      <c r="T1675" s="270">
        <v>65882.34</v>
      </c>
      <c r="U1675" s="271" t="s">
        <v>3945</v>
      </c>
      <c r="V1675" s="267" t="s">
        <v>944</v>
      </c>
    </row>
    <row r="1676" spans="1:22" hidden="1" x14ac:dyDescent="0.25">
      <c r="A1676" s="266">
        <v>43560</v>
      </c>
      <c r="B1676" s="267">
        <v>2019</v>
      </c>
      <c r="C1676" s="267">
        <v>2019</v>
      </c>
      <c r="D1676" s="267">
        <v>1</v>
      </c>
      <c r="E1676" s="267">
        <v>1</v>
      </c>
      <c r="F1676" s="267" t="s">
        <v>944</v>
      </c>
      <c r="G1676" s="267" t="s">
        <v>3926</v>
      </c>
      <c r="H1676" s="267" t="s">
        <v>5948</v>
      </c>
      <c r="I1676" s="267" t="s">
        <v>4005</v>
      </c>
      <c r="J1676" s="267" t="s">
        <v>3928</v>
      </c>
      <c r="K1676" s="267">
        <v>6108</v>
      </c>
      <c r="L1676" s="267">
        <v>510400</v>
      </c>
      <c r="M1676" s="267">
        <v>-60</v>
      </c>
      <c r="N1676" s="267" t="s">
        <v>3944</v>
      </c>
      <c r="O1676" s="267">
        <v>1974.63</v>
      </c>
      <c r="P1676" s="267" t="s">
        <v>3944</v>
      </c>
      <c r="Q1676" s="267" t="s">
        <v>3944</v>
      </c>
      <c r="R1676" s="267">
        <v>1974.63</v>
      </c>
      <c r="S1676" s="267">
        <v>27001.16</v>
      </c>
      <c r="T1676" s="267">
        <v>28975.79</v>
      </c>
      <c r="U1676" s="268" t="s">
        <v>3945</v>
      </c>
      <c r="V1676" s="267" t="s">
        <v>944</v>
      </c>
    </row>
    <row r="1677" spans="1:22" hidden="1" x14ac:dyDescent="0.25">
      <c r="A1677" s="269">
        <v>43561</v>
      </c>
      <c r="B1677" s="270">
        <v>2019</v>
      </c>
      <c r="C1677" s="270">
        <v>2019</v>
      </c>
      <c r="D1677" s="270">
        <v>1</v>
      </c>
      <c r="E1677" s="270">
        <v>1</v>
      </c>
      <c r="F1677" s="270" t="s">
        <v>944</v>
      </c>
      <c r="G1677" s="270" t="s">
        <v>3926</v>
      </c>
      <c r="H1677" s="270" t="s">
        <v>5949</v>
      </c>
      <c r="I1677" s="270" t="s">
        <v>4005</v>
      </c>
      <c r="J1677" s="270" t="s">
        <v>3928</v>
      </c>
      <c r="K1677" s="270">
        <v>6118</v>
      </c>
      <c r="L1677" s="270">
        <v>511100</v>
      </c>
      <c r="M1677" s="270" t="s">
        <v>3960</v>
      </c>
      <c r="N1677" s="270" t="s">
        <v>5489</v>
      </c>
      <c r="O1677" s="270">
        <v>1261.79</v>
      </c>
      <c r="P1677" s="270" t="s">
        <v>3930</v>
      </c>
      <c r="Q1677" s="270" t="s">
        <v>3931</v>
      </c>
      <c r="R1677" s="270">
        <v>6261.79</v>
      </c>
      <c r="S1677" s="270">
        <v>16817.8</v>
      </c>
      <c r="T1677" s="270">
        <v>23079.59</v>
      </c>
      <c r="U1677" s="271" t="s">
        <v>3932</v>
      </c>
      <c r="V1677" s="267" t="s">
        <v>944</v>
      </c>
    </row>
    <row r="1678" spans="1:22" hidden="1" x14ac:dyDescent="0.25">
      <c r="A1678" s="266">
        <v>43561</v>
      </c>
      <c r="B1678" s="267">
        <v>2019</v>
      </c>
      <c r="C1678" s="267">
        <v>2019</v>
      </c>
      <c r="D1678" s="267">
        <v>1</v>
      </c>
      <c r="E1678" s="267">
        <v>1</v>
      </c>
      <c r="F1678" s="267" t="s">
        <v>944</v>
      </c>
      <c r="G1678" s="267" t="s">
        <v>3926</v>
      </c>
      <c r="H1678" s="267" t="s">
        <v>5950</v>
      </c>
      <c r="I1678" s="267" t="s">
        <v>943</v>
      </c>
      <c r="J1678" s="267" t="s">
        <v>3928</v>
      </c>
      <c r="K1678" s="267">
        <v>6515</v>
      </c>
      <c r="L1678" s="267">
        <v>141200</v>
      </c>
      <c r="M1678" s="267">
        <v>-60</v>
      </c>
      <c r="N1678" s="267" t="s">
        <v>3986</v>
      </c>
      <c r="O1678" s="267">
        <v>2297.09</v>
      </c>
      <c r="P1678" s="267" t="s">
        <v>3930</v>
      </c>
      <c r="Q1678" s="267" t="s">
        <v>3931</v>
      </c>
      <c r="R1678" s="267">
        <v>7297.09</v>
      </c>
      <c r="S1678" s="267">
        <v>16196.8</v>
      </c>
      <c r="T1678" s="267">
        <v>23493.89</v>
      </c>
      <c r="U1678" s="268" t="s">
        <v>3932</v>
      </c>
      <c r="V1678" s="267" t="s">
        <v>944</v>
      </c>
    </row>
    <row r="1679" spans="1:22" hidden="1" x14ac:dyDescent="0.25">
      <c r="A1679" s="269">
        <v>43561</v>
      </c>
      <c r="B1679" s="270">
        <v>2019</v>
      </c>
      <c r="C1679" s="270">
        <v>2019</v>
      </c>
      <c r="D1679" s="270">
        <v>1</v>
      </c>
      <c r="E1679" s="270">
        <v>1</v>
      </c>
      <c r="F1679" s="270" t="s">
        <v>944</v>
      </c>
      <c r="G1679" s="270" t="s">
        <v>3926</v>
      </c>
      <c r="H1679" s="270" t="s">
        <v>5951</v>
      </c>
      <c r="I1679" s="270" t="s">
        <v>4019</v>
      </c>
      <c r="J1679" s="270" t="s">
        <v>3928</v>
      </c>
      <c r="K1679" s="270">
        <v>6704</v>
      </c>
      <c r="L1679" s="270">
        <v>352300</v>
      </c>
      <c r="M1679" s="270">
        <v>-60</v>
      </c>
      <c r="N1679" s="270" t="s">
        <v>4103</v>
      </c>
      <c r="O1679" s="270">
        <v>1899.35</v>
      </c>
      <c r="P1679" s="270" t="s">
        <v>3930</v>
      </c>
      <c r="Q1679" s="270" t="s">
        <v>3931</v>
      </c>
      <c r="R1679" s="270">
        <v>6899.35</v>
      </c>
      <c r="S1679" s="270">
        <v>24145.599999999999</v>
      </c>
      <c r="T1679" s="270">
        <v>31044.95</v>
      </c>
      <c r="U1679" s="271" t="s">
        <v>3932</v>
      </c>
      <c r="V1679" s="267" t="s">
        <v>944</v>
      </c>
    </row>
    <row r="1680" spans="1:22" hidden="1" x14ac:dyDescent="0.25">
      <c r="A1680" s="266">
        <v>43561</v>
      </c>
      <c r="B1680" s="267">
        <v>2019</v>
      </c>
      <c r="C1680" s="267">
        <v>2019</v>
      </c>
      <c r="D1680" s="267">
        <v>1</v>
      </c>
      <c r="E1680" s="267">
        <v>1</v>
      </c>
      <c r="F1680" s="267" t="s">
        <v>944</v>
      </c>
      <c r="G1680" s="267" t="s">
        <v>3926</v>
      </c>
      <c r="H1680" s="267" t="s">
        <v>5952</v>
      </c>
      <c r="I1680" s="267" t="s">
        <v>3010</v>
      </c>
      <c r="J1680" s="267" t="s">
        <v>3928</v>
      </c>
      <c r="K1680" s="267">
        <v>6401</v>
      </c>
      <c r="L1680" s="267">
        <v>125400</v>
      </c>
      <c r="M1680" s="267">
        <v>-60</v>
      </c>
      <c r="N1680" s="267" t="s">
        <v>4103</v>
      </c>
      <c r="O1680" s="267">
        <v>1661.03</v>
      </c>
      <c r="P1680" s="267" t="s">
        <v>3930</v>
      </c>
      <c r="Q1680" s="267" t="s">
        <v>3931</v>
      </c>
      <c r="R1680" s="267">
        <v>6661.03</v>
      </c>
      <c r="S1680" s="267">
        <v>24145.599999999999</v>
      </c>
      <c r="T1680" s="267">
        <v>30806.63</v>
      </c>
      <c r="U1680" s="268" t="s">
        <v>3932</v>
      </c>
      <c r="V1680" s="267" t="s">
        <v>944</v>
      </c>
    </row>
    <row r="1681" spans="1:22" hidden="1" x14ac:dyDescent="0.25">
      <c r="A1681" s="269">
        <v>43561</v>
      </c>
      <c r="B1681" s="270">
        <v>2019</v>
      </c>
      <c r="C1681" s="270">
        <v>2019</v>
      </c>
      <c r="D1681" s="270">
        <v>1</v>
      </c>
      <c r="E1681" s="270">
        <v>1</v>
      </c>
      <c r="F1681" s="270" t="s">
        <v>944</v>
      </c>
      <c r="G1681" s="270" t="s">
        <v>3926</v>
      </c>
      <c r="H1681" s="270" t="s">
        <v>5953</v>
      </c>
      <c r="I1681" s="270" t="s">
        <v>4005</v>
      </c>
      <c r="J1681" s="270" t="s">
        <v>3928</v>
      </c>
      <c r="K1681" s="270">
        <v>6108</v>
      </c>
      <c r="L1681" s="270">
        <v>511200</v>
      </c>
      <c r="M1681" s="270">
        <v>-60</v>
      </c>
      <c r="N1681" s="270" t="s">
        <v>3986</v>
      </c>
      <c r="O1681" s="270">
        <v>3225.42</v>
      </c>
      <c r="P1681" s="270" t="s">
        <v>3930</v>
      </c>
      <c r="Q1681" s="270" t="s">
        <v>3931</v>
      </c>
      <c r="R1681" s="270">
        <v>8225.42</v>
      </c>
      <c r="S1681" s="270">
        <v>16196.8</v>
      </c>
      <c r="T1681" s="270">
        <v>24422.22</v>
      </c>
      <c r="U1681" s="271" t="s">
        <v>3932</v>
      </c>
      <c r="V1681" s="267" t="s">
        <v>944</v>
      </c>
    </row>
    <row r="1682" spans="1:22" hidden="1" x14ac:dyDescent="0.25">
      <c r="A1682" s="266">
        <v>43561</v>
      </c>
      <c r="B1682" s="267">
        <v>2019</v>
      </c>
      <c r="C1682" s="267">
        <v>2019</v>
      </c>
      <c r="D1682" s="267">
        <v>1</v>
      </c>
      <c r="E1682" s="267">
        <v>1</v>
      </c>
      <c r="F1682" s="267" t="s">
        <v>944</v>
      </c>
      <c r="G1682" s="267" t="s">
        <v>3926</v>
      </c>
      <c r="H1682" s="267" t="s">
        <v>5954</v>
      </c>
      <c r="I1682" s="267" t="s">
        <v>4079</v>
      </c>
      <c r="J1682" s="267" t="s">
        <v>3928</v>
      </c>
      <c r="K1682" s="267">
        <v>6111</v>
      </c>
      <c r="L1682" s="267">
        <v>494500</v>
      </c>
      <c r="M1682" s="267" t="s">
        <v>3960</v>
      </c>
      <c r="N1682" s="267" t="s">
        <v>4493</v>
      </c>
      <c r="O1682" s="267">
        <v>1681.37</v>
      </c>
      <c r="P1682" s="267" t="s">
        <v>3930</v>
      </c>
      <c r="Q1682" s="267" t="s">
        <v>3931</v>
      </c>
      <c r="R1682" s="267">
        <v>6681.37</v>
      </c>
      <c r="S1682" s="267">
        <v>27900.400000000001</v>
      </c>
      <c r="T1682" s="267">
        <v>34581.769999999997</v>
      </c>
      <c r="U1682" s="268" t="s">
        <v>3932</v>
      </c>
      <c r="V1682" s="267" t="s">
        <v>944</v>
      </c>
    </row>
    <row r="1683" spans="1:22" hidden="1" x14ac:dyDescent="0.25">
      <c r="A1683" s="269">
        <v>43561</v>
      </c>
      <c r="B1683" s="270">
        <v>2019</v>
      </c>
      <c r="C1683" s="270">
        <v>2019</v>
      </c>
      <c r="D1683" s="270">
        <v>1</v>
      </c>
      <c r="E1683" s="270">
        <v>1</v>
      </c>
      <c r="F1683" s="270" t="s">
        <v>944</v>
      </c>
      <c r="G1683" s="270" t="s">
        <v>3926</v>
      </c>
      <c r="H1683" s="270" t="s">
        <v>5955</v>
      </c>
      <c r="I1683" s="270" t="s">
        <v>4042</v>
      </c>
      <c r="J1683" s="270" t="s">
        <v>3928</v>
      </c>
      <c r="K1683" s="270">
        <v>6370</v>
      </c>
      <c r="L1683" s="270">
        <v>695202</v>
      </c>
      <c r="M1683" s="270" t="s">
        <v>3935</v>
      </c>
      <c r="N1683" s="270" t="s">
        <v>4103</v>
      </c>
      <c r="O1683" s="270">
        <v>0</v>
      </c>
      <c r="P1683" s="270" t="s">
        <v>3930</v>
      </c>
      <c r="Q1683" s="270" t="s">
        <v>3931</v>
      </c>
      <c r="R1683" s="270">
        <v>5000</v>
      </c>
      <c r="S1683" s="270">
        <v>24145.599999999999</v>
      </c>
      <c r="T1683" s="270">
        <v>29145.599999999999</v>
      </c>
      <c r="U1683" s="271" t="s">
        <v>3932</v>
      </c>
      <c r="V1683" s="267" t="s">
        <v>944</v>
      </c>
    </row>
    <row r="1684" spans="1:22" hidden="1" x14ac:dyDescent="0.25">
      <c r="A1684" s="266">
        <v>43561</v>
      </c>
      <c r="B1684" s="267">
        <v>2019</v>
      </c>
      <c r="C1684" s="267">
        <v>2019</v>
      </c>
      <c r="D1684" s="267">
        <v>1</v>
      </c>
      <c r="E1684" s="267">
        <v>1</v>
      </c>
      <c r="F1684" s="267" t="s">
        <v>944</v>
      </c>
      <c r="G1684" s="267" t="s">
        <v>3926</v>
      </c>
      <c r="H1684" s="267" t="s">
        <v>5956</v>
      </c>
      <c r="I1684" s="267" t="s">
        <v>3999</v>
      </c>
      <c r="J1684" s="267" t="s">
        <v>3928</v>
      </c>
      <c r="K1684" s="267">
        <v>6450</v>
      </c>
      <c r="L1684" s="267">
        <v>171300</v>
      </c>
      <c r="M1684" s="267" t="s">
        <v>3935</v>
      </c>
      <c r="N1684" s="267" t="s">
        <v>3944</v>
      </c>
      <c r="O1684" s="267">
        <v>2960</v>
      </c>
      <c r="P1684" s="267" t="s">
        <v>3944</v>
      </c>
      <c r="Q1684" s="267" t="s">
        <v>3944</v>
      </c>
      <c r="R1684" s="267">
        <v>2960</v>
      </c>
      <c r="S1684" s="267">
        <v>28225</v>
      </c>
      <c r="T1684" s="267">
        <v>31185</v>
      </c>
      <c r="U1684" s="268" t="s">
        <v>3945</v>
      </c>
      <c r="V1684" s="267" t="s">
        <v>944</v>
      </c>
    </row>
    <row r="1685" spans="1:22" hidden="1" x14ac:dyDescent="0.25">
      <c r="A1685" s="269">
        <v>43561</v>
      </c>
      <c r="B1685" s="270">
        <v>2019</v>
      </c>
      <c r="C1685" s="270">
        <v>2019</v>
      </c>
      <c r="D1685" s="270">
        <v>1</v>
      </c>
      <c r="E1685" s="270">
        <v>1</v>
      </c>
      <c r="F1685" s="270" t="s">
        <v>944</v>
      </c>
      <c r="G1685" s="270" t="s">
        <v>3926</v>
      </c>
      <c r="H1685" s="270" t="s">
        <v>5957</v>
      </c>
      <c r="I1685" s="270" t="s">
        <v>3962</v>
      </c>
      <c r="J1685" s="270" t="s">
        <v>3928</v>
      </c>
      <c r="K1685" s="270">
        <v>6378</v>
      </c>
      <c r="L1685" s="270">
        <v>705200</v>
      </c>
      <c r="M1685" s="270" t="s">
        <v>3960</v>
      </c>
      <c r="N1685" s="270" t="s">
        <v>3944</v>
      </c>
      <c r="O1685" s="270">
        <v>1012.1</v>
      </c>
      <c r="P1685" s="270" t="s">
        <v>3944</v>
      </c>
      <c r="Q1685" s="270" t="s">
        <v>3944</v>
      </c>
      <c r="R1685" s="270">
        <v>1012.1</v>
      </c>
      <c r="S1685" s="270">
        <v>14008.36</v>
      </c>
      <c r="T1685" s="270">
        <v>15020.46</v>
      </c>
      <c r="U1685" s="271" t="s">
        <v>3945</v>
      </c>
      <c r="V1685" s="267" t="s">
        <v>944</v>
      </c>
    </row>
    <row r="1686" spans="1:22" hidden="1" x14ac:dyDescent="0.25">
      <c r="A1686" s="266">
        <v>43561</v>
      </c>
      <c r="B1686" s="267">
        <v>2019</v>
      </c>
      <c r="C1686" s="267">
        <v>2019</v>
      </c>
      <c r="D1686" s="267">
        <v>1</v>
      </c>
      <c r="E1686" s="267">
        <v>1</v>
      </c>
      <c r="F1686" s="267" t="s">
        <v>944</v>
      </c>
      <c r="G1686" s="267" t="s">
        <v>3926</v>
      </c>
      <c r="H1686" s="267" t="s">
        <v>5958</v>
      </c>
      <c r="I1686" s="267" t="s">
        <v>4213</v>
      </c>
      <c r="J1686" s="267" t="s">
        <v>3928</v>
      </c>
      <c r="K1686" s="267">
        <v>6053</v>
      </c>
      <c r="L1686" s="267">
        <v>416700</v>
      </c>
      <c r="M1686" s="267">
        <v>-60</v>
      </c>
      <c r="N1686" s="267" t="s">
        <v>3944</v>
      </c>
      <c r="O1686" s="267">
        <v>1156.23</v>
      </c>
      <c r="P1686" s="267" t="s">
        <v>3944</v>
      </c>
      <c r="Q1686" s="267" t="s">
        <v>3944</v>
      </c>
      <c r="R1686" s="267">
        <v>1156.23</v>
      </c>
      <c r="S1686" s="267">
        <v>15263.15</v>
      </c>
      <c r="T1686" s="267">
        <v>16419.38</v>
      </c>
      <c r="U1686" s="268" t="s">
        <v>3945</v>
      </c>
      <c r="V1686" s="267" t="s">
        <v>944</v>
      </c>
    </row>
    <row r="1687" spans="1:22" hidden="1" x14ac:dyDescent="0.25">
      <c r="A1687" s="269">
        <v>43561</v>
      </c>
      <c r="B1687" s="270">
        <v>2019</v>
      </c>
      <c r="C1687" s="270">
        <v>2019</v>
      </c>
      <c r="D1687" s="270">
        <v>1</v>
      </c>
      <c r="E1687" s="270">
        <v>1</v>
      </c>
      <c r="F1687" s="270" t="s">
        <v>944</v>
      </c>
      <c r="G1687" s="270" t="s">
        <v>3926</v>
      </c>
      <c r="H1687" s="270" t="s">
        <v>5959</v>
      </c>
      <c r="I1687" s="270" t="s">
        <v>4490</v>
      </c>
      <c r="J1687" s="270" t="s">
        <v>3928</v>
      </c>
      <c r="K1687" s="270">
        <v>6442</v>
      </c>
      <c r="L1687" s="270">
        <v>630100</v>
      </c>
      <c r="M1687" s="270" t="s">
        <v>3960</v>
      </c>
      <c r="N1687" s="270" t="s">
        <v>3944</v>
      </c>
      <c r="O1687" s="270">
        <v>1509.62</v>
      </c>
      <c r="P1687" s="270" t="s">
        <v>3944</v>
      </c>
      <c r="Q1687" s="270" t="s">
        <v>3944</v>
      </c>
      <c r="R1687" s="270">
        <v>1509.62</v>
      </c>
      <c r="S1687" s="270">
        <v>24035.25</v>
      </c>
      <c r="T1687" s="270">
        <v>25544.87</v>
      </c>
      <c r="U1687" s="271" t="s">
        <v>3945</v>
      </c>
      <c r="V1687" s="267" t="s">
        <v>944</v>
      </c>
    </row>
    <row r="1688" spans="1:22" hidden="1" x14ac:dyDescent="0.25">
      <c r="A1688" s="266">
        <v>43561</v>
      </c>
      <c r="B1688" s="267">
        <v>2019</v>
      </c>
      <c r="C1688" s="267">
        <v>2019</v>
      </c>
      <c r="D1688" s="267">
        <v>1</v>
      </c>
      <c r="E1688" s="267">
        <v>1</v>
      </c>
      <c r="F1688" s="267" t="s">
        <v>944</v>
      </c>
      <c r="G1688" s="267" t="s">
        <v>3926</v>
      </c>
      <c r="H1688" s="267" t="s">
        <v>5960</v>
      </c>
      <c r="I1688" s="267" t="s">
        <v>4435</v>
      </c>
      <c r="J1688" s="267" t="s">
        <v>3928</v>
      </c>
      <c r="K1688" s="267">
        <v>6249</v>
      </c>
      <c r="L1688" s="267">
        <v>870100</v>
      </c>
      <c r="M1688" s="267" t="s">
        <v>3960</v>
      </c>
      <c r="N1688" s="267" t="s">
        <v>3944</v>
      </c>
      <c r="O1688" s="267">
        <v>2558.85</v>
      </c>
      <c r="P1688" s="267" t="s">
        <v>3944</v>
      </c>
      <c r="Q1688" s="267" t="s">
        <v>3944</v>
      </c>
      <c r="R1688" s="267">
        <v>2558.85</v>
      </c>
      <c r="S1688" s="267">
        <v>34588.58</v>
      </c>
      <c r="T1688" s="267">
        <v>37147.43</v>
      </c>
      <c r="U1688" s="268" t="s">
        <v>3945</v>
      </c>
      <c r="V1688" s="267" t="s">
        <v>944</v>
      </c>
    </row>
    <row r="1689" spans="1:22" hidden="1" x14ac:dyDescent="0.25">
      <c r="A1689" s="269">
        <v>43561</v>
      </c>
      <c r="B1689" s="270">
        <v>2019</v>
      </c>
      <c r="C1689" s="270">
        <v>2019</v>
      </c>
      <c r="D1689" s="270">
        <v>1</v>
      </c>
      <c r="E1689" s="270">
        <v>1</v>
      </c>
      <c r="F1689" s="270" t="s">
        <v>944</v>
      </c>
      <c r="G1689" s="270" t="s">
        <v>3926</v>
      </c>
      <c r="H1689" s="270" t="s">
        <v>5961</v>
      </c>
      <c r="I1689" s="270" t="s">
        <v>934</v>
      </c>
      <c r="J1689" s="270" t="s">
        <v>3928</v>
      </c>
      <c r="K1689" s="270">
        <v>6606</v>
      </c>
      <c r="L1689" s="270">
        <v>72500</v>
      </c>
      <c r="M1689" s="270" t="s">
        <v>3940</v>
      </c>
      <c r="N1689" s="270" t="s">
        <v>3944</v>
      </c>
      <c r="O1689" s="270">
        <v>1686.34</v>
      </c>
      <c r="P1689" s="270" t="s">
        <v>3944</v>
      </c>
      <c r="Q1689" s="270" t="s">
        <v>3944</v>
      </c>
      <c r="R1689" s="270">
        <v>1686.34</v>
      </c>
      <c r="S1689" s="270">
        <v>22253.66</v>
      </c>
      <c r="T1689" s="270">
        <v>23940</v>
      </c>
      <c r="U1689" s="271" t="s">
        <v>3945</v>
      </c>
      <c r="V1689" s="267" t="s">
        <v>944</v>
      </c>
    </row>
    <row r="1690" spans="1:22" hidden="1" x14ac:dyDescent="0.25">
      <c r="A1690" s="266">
        <v>43561</v>
      </c>
      <c r="B1690" s="267">
        <v>2019</v>
      </c>
      <c r="C1690" s="267">
        <v>2019</v>
      </c>
      <c r="D1690" s="267">
        <v>1</v>
      </c>
      <c r="E1690" s="267">
        <v>1</v>
      </c>
      <c r="F1690" s="267" t="s">
        <v>944</v>
      </c>
      <c r="G1690" s="267" t="s">
        <v>3926</v>
      </c>
      <c r="H1690" s="267" t="s">
        <v>5962</v>
      </c>
      <c r="I1690" s="267" t="s">
        <v>4293</v>
      </c>
      <c r="J1690" s="267" t="s">
        <v>3928</v>
      </c>
      <c r="K1690" s="267">
        <v>6412</v>
      </c>
      <c r="L1690" s="267">
        <v>600100</v>
      </c>
      <c r="M1690" s="267" t="s">
        <v>3960</v>
      </c>
      <c r="N1690" s="267" t="s">
        <v>3944</v>
      </c>
      <c r="O1690" s="267">
        <v>1801.66</v>
      </c>
      <c r="P1690" s="267" t="s">
        <v>3944</v>
      </c>
      <c r="Q1690" s="267" t="s">
        <v>3944</v>
      </c>
      <c r="R1690" s="267">
        <v>1801.66</v>
      </c>
      <c r="S1690" s="267">
        <v>27934.34</v>
      </c>
      <c r="T1690" s="267">
        <v>29736</v>
      </c>
      <c r="U1690" s="268" t="s">
        <v>3945</v>
      </c>
      <c r="V1690" s="267" t="s">
        <v>944</v>
      </c>
    </row>
    <row r="1691" spans="1:22" hidden="1" x14ac:dyDescent="0.25">
      <c r="A1691" s="269">
        <v>43561</v>
      </c>
      <c r="B1691" s="270">
        <v>2019</v>
      </c>
      <c r="C1691" s="270">
        <v>2019</v>
      </c>
      <c r="D1691" s="270">
        <v>1</v>
      </c>
      <c r="E1691" s="270">
        <v>1</v>
      </c>
      <c r="F1691" s="270" t="s">
        <v>944</v>
      </c>
      <c r="G1691" s="270" t="s">
        <v>3926</v>
      </c>
      <c r="H1691" s="270" t="s">
        <v>5963</v>
      </c>
      <c r="I1691" s="270" t="s">
        <v>4111</v>
      </c>
      <c r="J1691" s="270" t="s">
        <v>3928</v>
      </c>
      <c r="K1691" s="270">
        <v>6095</v>
      </c>
      <c r="L1691" s="270">
        <v>473501</v>
      </c>
      <c r="M1691" s="270" t="s">
        <v>3943</v>
      </c>
      <c r="N1691" s="270" t="s">
        <v>3944</v>
      </c>
      <c r="O1691" s="270">
        <v>2614.64</v>
      </c>
      <c r="P1691" s="270" t="s">
        <v>3944</v>
      </c>
      <c r="Q1691" s="270" t="s">
        <v>3944</v>
      </c>
      <c r="R1691" s="270">
        <v>2614.64</v>
      </c>
      <c r="S1691" s="270">
        <v>36385.83</v>
      </c>
      <c r="T1691" s="270">
        <v>39000.47</v>
      </c>
      <c r="U1691" s="271" t="s">
        <v>3945</v>
      </c>
      <c r="V1691" s="267" t="s">
        <v>944</v>
      </c>
    </row>
    <row r="1692" spans="1:22" hidden="1" x14ac:dyDescent="0.25">
      <c r="A1692" s="266">
        <v>43561</v>
      </c>
      <c r="B1692" s="267">
        <v>2019</v>
      </c>
      <c r="C1692" s="267">
        <v>2019</v>
      </c>
      <c r="D1692" s="267">
        <v>1</v>
      </c>
      <c r="E1692" s="267">
        <v>1</v>
      </c>
      <c r="F1692" s="267" t="s">
        <v>944</v>
      </c>
      <c r="G1692" s="267" t="s">
        <v>3926</v>
      </c>
      <c r="H1692" s="267" t="s">
        <v>5964</v>
      </c>
      <c r="I1692" s="267" t="s">
        <v>3966</v>
      </c>
      <c r="J1692" s="267" t="s">
        <v>3928</v>
      </c>
      <c r="K1692" s="267">
        <v>6010</v>
      </c>
      <c r="L1692" s="267">
        <v>406001</v>
      </c>
      <c r="M1692" s="267">
        <v>-60</v>
      </c>
      <c r="N1692" s="267" t="s">
        <v>3944</v>
      </c>
      <c r="O1692" s="267">
        <v>1312.82</v>
      </c>
      <c r="P1692" s="267" t="s">
        <v>3944</v>
      </c>
      <c r="Q1692" s="267" t="s">
        <v>3944</v>
      </c>
      <c r="R1692" s="267">
        <v>1312.82</v>
      </c>
      <c r="S1692" s="267">
        <v>17203.12</v>
      </c>
      <c r="T1692" s="267">
        <v>18515.939999999999</v>
      </c>
      <c r="U1692" s="268" t="s">
        <v>3945</v>
      </c>
      <c r="V1692" s="267" t="s">
        <v>944</v>
      </c>
    </row>
    <row r="1693" spans="1:22" hidden="1" x14ac:dyDescent="0.25">
      <c r="A1693" s="269">
        <v>43561</v>
      </c>
      <c r="B1693" s="270">
        <v>2019</v>
      </c>
      <c r="C1693" s="270">
        <v>2019</v>
      </c>
      <c r="D1693" s="270">
        <v>1</v>
      </c>
      <c r="E1693" s="270">
        <v>1</v>
      </c>
      <c r="F1693" s="270" t="s">
        <v>944</v>
      </c>
      <c r="G1693" s="270" t="s">
        <v>3926</v>
      </c>
      <c r="H1693" s="270" t="s">
        <v>5965</v>
      </c>
      <c r="I1693" s="270" t="s">
        <v>3010</v>
      </c>
      <c r="J1693" s="270" t="s">
        <v>3928</v>
      </c>
      <c r="K1693" s="270">
        <v>6401</v>
      </c>
      <c r="L1693" s="270">
        <v>125400</v>
      </c>
      <c r="M1693" s="270">
        <v>-60</v>
      </c>
      <c r="N1693" s="270" t="s">
        <v>3944</v>
      </c>
      <c r="O1693" s="270">
        <v>2313.92</v>
      </c>
      <c r="P1693" s="270" t="s">
        <v>3944</v>
      </c>
      <c r="Q1693" s="270" t="s">
        <v>3944</v>
      </c>
      <c r="R1693" s="270">
        <v>2313.92</v>
      </c>
      <c r="S1693" s="270">
        <v>35448.28</v>
      </c>
      <c r="T1693" s="270">
        <v>37762.199999999997</v>
      </c>
      <c r="U1693" s="271" t="s">
        <v>3945</v>
      </c>
      <c r="V1693" s="267" t="s">
        <v>944</v>
      </c>
    </row>
    <row r="1694" spans="1:22" hidden="1" x14ac:dyDescent="0.25">
      <c r="A1694" s="266">
        <v>43561</v>
      </c>
      <c r="B1694" s="267">
        <v>2019</v>
      </c>
      <c r="C1694" s="267">
        <v>2019</v>
      </c>
      <c r="D1694" s="267">
        <v>1</v>
      </c>
      <c r="E1694" s="267">
        <v>1</v>
      </c>
      <c r="F1694" s="267" t="s">
        <v>944</v>
      </c>
      <c r="G1694" s="267" t="s">
        <v>3926</v>
      </c>
      <c r="H1694" s="267" t="s">
        <v>5966</v>
      </c>
      <c r="I1694" s="267" t="s">
        <v>3975</v>
      </c>
      <c r="J1694" s="267" t="s">
        <v>3928</v>
      </c>
      <c r="K1694" s="267">
        <v>6489</v>
      </c>
      <c r="L1694" s="267">
        <v>430203</v>
      </c>
      <c r="M1694" s="267" t="s">
        <v>3935</v>
      </c>
      <c r="N1694" s="267" t="s">
        <v>3944</v>
      </c>
      <c r="O1694" s="267">
        <v>2242.98</v>
      </c>
      <c r="P1694" s="267" t="s">
        <v>3944</v>
      </c>
      <c r="Q1694" s="267" t="s">
        <v>3944</v>
      </c>
      <c r="R1694" s="267">
        <v>2242.98</v>
      </c>
      <c r="S1694" s="267">
        <v>28607.98</v>
      </c>
      <c r="T1694" s="267">
        <v>30850.959999999999</v>
      </c>
      <c r="U1694" s="268" t="s">
        <v>3945</v>
      </c>
      <c r="V1694" s="267" t="s">
        <v>944</v>
      </c>
    </row>
    <row r="1695" spans="1:22" hidden="1" x14ac:dyDescent="0.25">
      <c r="A1695" s="269">
        <v>43562</v>
      </c>
      <c r="B1695" s="270">
        <v>2019</v>
      </c>
      <c r="C1695" s="270">
        <v>2019</v>
      </c>
      <c r="D1695" s="270">
        <v>1</v>
      </c>
      <c r="E1695" s="270">
        <v>1</v>
      </c>
      <c r="F1695" s="270" t="s">
        <v>944</v>
      </c>
      <c r="G1695" s="270" t="s">
        <v>3926</v>
      </c>
      <c r="H1695" s="270" t="s">
        <v>5967</v>
      </c>
      <c r="I1695" s="270" t="s">
        <v>4269</v>
      </c>
      <c r="J1695" s="270" t="s">
        <v>3928</v>
      </c>
      <c r="K1695" s="270">
        <v>6110</v>
      </c>
      <c r="L1695" s="270">
        <v>496100</v>
      </c>
      <c r="M1695" s="270" t="s">
        <v>3940</v>
      </c>
      <c r="N1695" s="270" t="s">
        <v>3986</v>
      </c>
      <c r="O1695" s="270">
        <v>3167.28</v>
      </c>
      <c r="P1695" s="270" t="s">
        <v>3930</v>
      </c>
      <c r="Q1695" s="270" t="s">
        <v>3931</v>
      </c>
      <c r="R1695" s="270">
        <v>8167.28</v>
      </c>
      <c r="S1695" s="270">
        <v>16196.8</v>
      </c>
      <c r="T1695" s="270">
        <v>24364.080000000002</v>
      </c>
      <c r="U1695" s="271" t="s">
        <v>3932</v>
      </c>
      <c r="V1695" s="267" t="s">
        <v>944</v>
      </c>
    </row>
    <row r="1696" spans="1:22" hidden="1" x14ac:dyDescent="0.25">
      <c r="A1696" s="266">
        <v>43562</v>
      </c>
      <c r="B1696" s="267">
        <v>2019</v>
      </c>
      <c r="C1696" s="267">
        <v>2019</v>
      </c>
      <c r="D1696" s="267">
        <v>1</v>
      </c>
      <c r="E1696" s="267">
        <v>1</v>
      </c>
      <c r="F1696" s="267" t="s">
        <v>944</v>
      </c>
      <c r="G1696" s="267" t="s">
        <v>3926</v>
      </c>
      <c r="H1696" s="267" t="s">
        <v>5968</v>
      </c>
      <c r="I1696" s="267" t="s">
        <v>3009</v>
      </c>
      <c r="J1696" s="267" t="s">
        <v>3928</v>
      </c>
      <c r="K1696" s="267">
        <v>6484</v>
      </c>
      <c r="L1696" s="267">
        <v>110202</v>
      </c>
      <c r="M1696" s="267" t="s">
        <v>3935</v>
      </c>
      <c r="N1696" s="267" t="s">
        <v>5969</v>
      </c>
      <c r="O1696" s="267">
        <v>0</v>
      </c>
      <c r="P1696" s="267" t="s">
        <v>3930</v>
      </c>
      <c r="Q1696" s="267" t="s">
        <v>3930</v>
      </c>
      <c r="R1696" s="267">
        <v>0</v>
      </c>
      <c r="S1696" s="267">
        <v>9060</v>
      </c>
      <c r="T1696" s="267">
        <v>9060</v>
      </c>
      <c r="U1696" s="268" t="s">
        <v>3937</v>
      </c>
      <c r="V1696" s="267" t="s">
        <v>944</v>
      </c>
    </row>
    <row r="1697" spans="1:22" hidden="1" x14ac:dyDescent="0.25">
      <c r="A1697" s="269">
        <v>43563</v>
      </c>
      <c r="B1697" s="270">
        <v>2019</v>
      </c>
      <c r="C1697" s="270">
        <v>2019</v>
      </c>
      <c r="D1697" s="270">
        <v>1</v>
      </c>
      <c r="E1697" s="270">
        <v>1</v>
      </c>
      <c r="F1697" s="270" t="s">
        <v>944</v>
      </c>
      <c r="G1697" s="270" t="s">
        <v>3926</v>
      </c>
      <c r="H1697" s="270" t="s">
        <v>5970</v>
      </c>
      <c r="I1697" s="270" t="s">
        <v>4871</v>
      </c>
      <c r="J1697" s="270" t="s">
        <v>3928</v>
      </c>
      <c r="K1697" s="270">
        <v>6877</v>
      </c>
      <c r="L1697" s="270">
        <v>245100</v>
      </c>
      <c r="M1697" s="270" t="s">
        <v>3943</v>
      </c>
      <c r="N1697" s="270" t="s">
        <v>5971</v>
      </c>
      <c r="O1697" s="270">
        <v>0</v>
      </c>
      <c r="P1697" s="270" t="s">
        <v>3930</v>
      </c>
      <c r="Q1697" s="270" t="s">
        <v>3930</v>
      </c>
      <c r="R1697" s="270">
        <v>0</v>
      </c>
      <c r="S1697" s="270">
        <v>11315</v>
      </c>
      <c r="T1697" s="270">
        <v>11315</v>
      </c>
      <c r="U1697" s="271" t="s">
        <v>3937</v>
      </c>
      <c r="V1697" s="267" t="s">
        <v>944</v>
      </c>
    </row>
    <row r="1698" spans="1:22" hidden="1" x14ac:dyDescent="0.25">
      <c r="A1698" s="266">
        <v>43563</v>
      </c>
      <c r="B1698" s="267">
        <v>2019</v>
      </c>
      <c r="C1698" s="267">
        <v>2019</v>
      </c>
      <c r="D1698" s="267">
        <v>1</v>
      </c>
      <c r="E1698" s="267">
        <v>1</v>
      </c>
      <c r="F1698" s="267" t="s">
        <v>944</v>
      </c>
      <c r="G1698" s="267" t="s">
        <v>3926</v>
      </c>
      <c r="H1698" s="267" t="s">
        <v>5972</v>
      </c>
      <c r="I1698" s="267" t="s">
        <v>4008</v>
      </c>
      <c r="J1698" s="267" t="s">
        <v>3928</v>
      </c>
      <c r="K1698" s="267">
        <v>6320</v>
      </c>
      <c r="L1698" s="267">
        <v>690300</v>
      </c>
      <c r="M1698" s="267">
        <v>-60</v>
      </c>
      <c r="N1698" s="267" t="s">
        <v>3986</v>
      </c>
      <c r="O1698" s="267">
        <v>1354.5</v>
      </c>
      <c r="P1698" s="267" t="s">
        <v>3930</v>
      </c>
      <c r="Q1698" s="267" t="s">
        <v>3931</v>
      </c>
      <c r="R1698" s="267">
        <v>6354.5</v>
      </c>
      <c r="S1698" s="267">
        <v>16196.8</v>
      </c>
      <c r="T1698" s="267">
        <v>22551.3</v>
      </c>
      <c r="U1698" s="268" t="s">
        <v>3932</v>
      </c>
      <c r="V1698" s="267" t="s">
        <v>944</v>
      </c>
    </row>
    <row r="1699" spans="1:22" hidden="1" x14ac:dyDescent="0.25">
      <c r="A1699" s="269">
        <v>43563</v>
      </c>
      <c r="B1699" s="270">
        <v>2019</v>
      </c>
      <c r="C1699" s="270">
        <v>2019</v>
      </c>
      <c r="D1699" s="270">
        <v>1</v>
      </c>
      <c r="E1699" s="270">
        <v>1</v>
      </c>
      <c r="F1699" s="270" t="s">
        <v>944</v>
      </c>
      <c r="G1699" s="270" t="s">
        <v>3926</v>
      </c>
      <c r="H1699" s="270" t="s">
        <v>5973</v>
      </c>
      <c r="I1699" s="270" t="s">
        <v>4011</v>
      </c>
      <c r="J1699" s="270" t="s">
        <v>3928</v>
      </c>
      <c r="K1699" s="270">
        <v>6002</v>
      </c>
      <c r="L1699" s="270">
        <v>471100</v>
      </c>
      <c r="M1699" s="270" t="s">
        <v>3935</v>
      </c>
      <c r="N1699" s="270" t="s">
        <v>4103</v>
      </c>
      <c r="O1699" s="270">
        <v>4942.84</v>
      </c>
      <c r="P1699" s="270" t="s">
        <v>3930</v>
      </c>
      <c r="Q1699" s="270" t="s">
        <v>3931</v>
      </c>
      <c r="R1699" s="270">
        <v>9942.84</v>
      </c>
      <c r="S1699" s="270">
        <v>24145.599999999999</v>
      </c>
      <c r="T1699" s="270">
        <v>34088.44</v>
      </c>
      <c r="U1699" s="271" t="s">
        <v>3932</v>
      </c>
      <c r="V1699" s="267" t="s">
        <v>944</v>
      </c>
    </row>
    <row r="1700" spans="1:22" hidden="1" x14ac:dyDescent="0.25">
      <c r="A1700" s="266">
        <v>43563</v>
      </c>
      <c r="B1700" s="267">
        <v>2019</v>
      </c>
      <c r="C1700" s="267">
        <v>2019</v>
      </c>
      <c r="D1700" s="267">
        <v>1</v>
      </c>
      <c r="E1700" s="267">
        <v>1</v>
      </c>
      <c r="F1700" s="267" t="s">
        <v>944</v>
      </c>
      <c r="G1700" s="267" t="s">
        <v>3926</v>
      </c>
      <c r="H1700" s="267" t="s">
        <v>5974</v>
      </c>
      <c r="I1700" s="267" t="s">
        <v>3956</v>
      </c>
      <c r="J1700" s="267" t="s">
        <v>3928</v>
      </c>
      <c r="K1700" s="267">
        <v>6106</v>
      </c>
      <c r="L1700" s="267">
        <v>524700</v>
      </c>
      <c r="M1700" s="267" t="s">
        <v>3935</v>
      </c>
      <c r="N1700" s="267" t="s">
        <v>4714</v>
      </c>
      <c r="O1700" s="267">
        <v>1731.14</v>
      </c>
      <c r="P1700" s="267" t="s">
        <v>3930</v>
      </c>
      <c r="Q1700" s="267" t="s">
        <v>3931</v>
      </c>
      <c r="R1700" s="267">
        <v>6731.14</v>
      </c>
      <c r="S1700" s="267">
        <v>24518.2</v>
      </c>
      <c r="T1700" s="267">
        <v>31249.34</v>
      </c>
      <c r="U1700" s="268" t="s">
        <v>3932</v>
      </c>
      <c r="V1700" s="267" t="s">
        <v>944</v>
      </c>
    </row>
    <row r="1701" spans="1:22" hidden="1" x14ac:dyDescent="0.25">
      <c r="A1701" s="269">
        <v>43563</v>
      </c>
      <c r="B1701" s="270">
        <v>2019</v>
      </c>
      <c r="C1701" s="270">
        <v>2019</v>
      </c>
      <c r="D1701" s="270">
        <v>1</v>
      </c>
      <c r="E1701" s="270">
        <v>1</v>
      </c>
      <c r="F1701" s="270" t="s">
        <v>944</v>
      </c>
      <c r="G1701" s="270" t="s">
        <v>3926</v>
      </c>
      <c r="H1701" s="270" t="s">
        <v>5975</v>
      </c>
      <c r="I1701" s="270" t="s">
        <v>3939</v>
      </c>
      <c r="J1701" s="270" t="s">
        <v>3928</v>
      </c>
      <c r="K1701" s="270">
        <v>6512</v>
      </c>
      <c r="L1701" s="270">
        <v>180100</v>
      </c>
      <c r="M1701" s="270" t="s">
        <v>3940</v>
      </c>
      <c r="N1701" s="270" t="s">
        <v>3986</v>
      </c>
      <c r="O1701" s="270">
        <v>2980.08</v>
      </c>
      <c r="P1701" s="270" t="s">
        <v>3930</v>
      </c>
      <c r="Q1701" s="270" t="s">
        <v>3931</v>
      </c>
      <c r="R1701" s="270">
        <v>7980.08</v>
      </c>
      <c r="S1701" s="270">
        <v>16196.8</v>
      </c>
      <c r="T1701" s="270">
        <v>24176.880000000001</v>
      </c>
      <c r="U1701" s="271" t="s">
        <v>3932</v>
      </c>
      <c r="V1701" s="267" t="s">
        <v>944</v>
      </c>
    </row>
    <row r="1702" spans="1:22" hidden="1" x14ac:dyDescent="0.25">
      <c r="A1702" s="266">
        <v>43563</v>
      </c>
      <c r="B1702" s="267">
        <v>2019</v>
      </c>
      <c r="C1702" s="267">
        <v>2019</v>
      </c>
      <c r="D1702" s="267">
        <v>1</v>
      </c>
      <c r="E1702" s="267">
        <v>1</v>
      </c>
      <c r="F1702" s="267" t="s">
        <v>944</v>
      </c>
      <c r="G1702" s="267" t="s">
        <v>3926</v>
      </c>
      <c r="H1702" s="267" t="s">
        <v>5976</v>
      </c>
      <c r="I1702" s="267" t="s">
        <v>3993</v>
      </c>
      <c r="J1702" s="267" t="s">
        <v>3928</v>
      </c>
      <c r="K1702" s="267">
        <v>6415</v>
      </c>
      <c r="L1702" s="267">
        <v>714104</v>
      </c>
      <c r="M1702" s="267" t="s">
        <v>3960</v>
      </c>
      <c r="N1702" s="267" t="s">
        <v>4647</v>
      </c>
      <c r="O1702" s="267">
        <v>0</v>
      </c>
      <c r="P1702" s="267" t="s">
        <v>3930</v>
      </c>
      <c r="Q1702" s="267" t="s">
        <v>3930</v>
      </c>
      <c r="R1702" s="267">
        <v>0</v>
      </c>
      <c r="S1702" s="267">
        <v>9050</v>
      </c>
      <c r="T1702" s="267">
        <v>9050</v>
      </c>
      <c r="U1702" s="268" t="s">
        <v>3937</v>
      </c>
      <c r="V1702" s="267" t="s">
        <v>944</v>
      </c>
    </row>
    <row r="1703" spans="1:22" hidden="1" x14ac:dyDescent="0.25">
      <c r="A1703" s="269">
        <v>43563</v>
      </c>
      <c r="B1703" s="270">
        <v>2019</v>
      </c>
      <c r="C1703" s="270">
        <v>2019</v>
      </c>
      <c r="D1703" s="270">
        <v>1</v>
      </c>
      <c r="E1703" s="270">
        <v>1</v>
      </c>
      <c r="F1703" s="270" t="s">
        <v>944</v>
      </c>
      <c r="G1703" s="270" t="s">
        <v>3926</v>
      </c>
      <c r="H1703" s="270" t="s">
        <v>5977</v>
      </c>
      <c r="I1703" s="270" t="s">
        <v>4147</v>
      </c>
      <c r="J1703" s="270" t="s">
        <v>3928</v>
      </c>
      <c r="K1703" s="270">
        <v>6109</v>
      </c>
      <c r="L1703" s="270">
        <v>492600</v>
      </c>
      <c r="M1703" s="270" t="s">
        <v>3960</v>
      </c>
      <c r="N1703" s="270" t="s">
        <v>5978</v>
      </c>
      <c r="O1703" s="270">
        <v>0</v>
      </c>
      <c r="P1703" s="270" t="s">
        <v>3930</v>
      </c>
      <c r="Q1703" s="270" t="s">
        <v>3930</v>
      </c>
      <c r="R1703" s="270">
        <v>0</v>
      </c>
      <c r="S1703" s="270">
        <v>19772.5</v>
      </c>
      <c r="T1703" s="270">
        <v>19772.5</v>
      </c>
      <c r="U1703" s="271" t="s">
        <v>3937</v>
      </c>
      <c r="V1703" s="267" t="s">
        <v>944</v>
      </c>
    </row>
    <row r="1704" spans="1:22" hidden="1" x14ac:dyDescent="0.25">
      <c r="A1704" s="266">
        <v>43563</v>
      </c>
      <c r="B1704" s="267">
        <v>2019</v>
      </c>
      <c r="C1704" s="267">
        <v>2019</v>
      </c>
      <c r="D1704" s="267">
        <v>1</v>
      </c>
      <c r="E1704" s="267">
        <v>1</v>
      </c>
      <c r="F1704" s="267" t="s">
        <v>944</v>
      </c>
      <c r="G1704" s="267" t="s">
        <v>3926</v>
      </c>
      <c r="H1704" s="267" t="s">
        <v>5979</v>
      </c>
      <c r="I1704" s="267" t="s">
        <v>943</v>
      </c>
      <c r="J1704" s="267" t="s">
        <v>3928</v>
      </c>
      <c r="K1704" s="267">
        <v>6515</v>
      </c>
      <c r="L1704" s="267">
        <v>141000</v>
      </c>
      <c r="M1704" s="267" t="s">
        <v>3960</v>
      </c>
      <c r="N1704" s="267" t="s">
        <v>3944</v>
      </c>
      <c r="O1704" s="267">
        <v>1450</v>
      </c>
      <c r="P1704" s="267" t="s">
        <v>3944</v>
      </c>
      <c r="Q1704" s="267" t="s">
        <v>3944</v>
      </c>
      <c r="R1704" s="267">
        <v>1450</v>
      </c>
      <c r="S1704" s="267">
        <v>18395.009999999998</v>
      </c>
      <c r="T1704" s="267">
        <v>19845.009999999998</v>
      </c>
      <c r="U1704" s="268" t="s">
        <v>3945</v>
      </c>
      <c r="V1704" s="267" t="s">
        <v>944</v>
      </c>
    </row>
    <row r="1705" spans="1:22" hidden="1" x14ac:dyDescent="0.25">
      <c r="A1705" s="269">
        <v>43563</v>
      </c>
      <c r="B1705" s="270">
        <v>2019</v>
      </c>
      <c r="C1705" s="270">
        <v>2019</v>
      </c>
      <c r="D1705" s="270">
        <v>1</v>
      </c>
      <c r="E1705" s="270">
        <v>1</v>
      </c>
      <c r="F1705" s="270" t="s">
        <v>944</v>
      </c>
      <c r="G1705" s="270" t="s">
        <v>3926</v>
      </c>
      <c r="H1705" s="270" t="s">
        <v>5980</v>
      </c>
      <c r="I1705" s="270" t="s">
        <v>3011</v>
      </c>
      <c r="J1705" s="270" t="s">
        <v>3928</v>
      </c>
      <c r="K1705" s="270">
        <v>6418</v>
      </c>
      <c r="L1705" s="270">
        <v>120200</v>
      </c>
      <c r="M1705" s="270">
        <v>-60</v>
      </c>
      <c r="N1705" s="270" t="s">
        <v>3944</v>
      </c>
      <c r="O1705" s="270">
        <v>6940</v>
      </c>
      <c r="P1705" s="270" t="s">
        <v>3944</v>
      </c>
      <c r="Q1705" s="270" t="s">
        <v>3944</v>
      </c>
      <c r="R1705" s="270">
        <v>6940</v>
      </c>
      <c r="S1705" s="270">
        <v>54296</v>
      </c>
      <c r="T1705" s="270">
        <v>61236</v>
      </c>
      <c r="U1705" s="271" t="s">
        <v>3945</v>
      </c>
      <c r="V1705" s="267" t="s">
        <v>944</v>
      </c>
    </row>
    <row r="1706" spans="1:22" hidden="1" x14ac:dyDescent="0.25">
      <c r="A1706" s="266">
        <v>43563</v>
      </c>
      <c r="B1706" s="267">
        <v>2019</v>
      </c>
      <c r="C1706" s="267">
        <v>2019</v>
      </c>
      <c r="D1706" s="267">
        <v>1</v>
      </c>
      <c r="E1706" s="267">
        <v>1</v>
      </c>
      <c r="F1706" s="267" t="s">
        <v>944</v>
      </c>
      <c r="G1706" s="267" t="s">
        <v>3926</v>
      </c>
      <c r="H1706" s="267" t="s">
        <v>5981</v>
      </c>
      <c r="I1706" s="267" t="s">
        <v>3026</v>
      </c>
      <c r="J1706" s="267" t="s">
        <v>3928</v>
      </c>
      <c r="K1706" s="267">
        <v>6471</v>
      </c>
      <c r="L1706" s="267">
        <v>186100</v>
      </c>
      <c r="M1706" s="267" t="s">
        <v>3935</v>
      </c>
      <c r="N1706" s="267" t="s">
        <v>3944</v>
      </c>
      <c r="O1706" s="267">
        <v>2714.81</v>
      </c>
      <c r="P1706" s="267" t="s">
        <v>3944</v>
      </c>
      <c r="Q1706" s="267" t="s">
        <v>3944</v>
      </c>
      <c r="R1706" s="267">
        <v>2714.81</v>
      </c>
      <c r="S1706" s="267">
        <v>40216.629999999997</v>
      </c>
      <c r="T1706" s="267">
        <v>42931.44</v>
      </c>
      <c r="U1706" s="268" t="s">
        <v>3945</v>
      </c>
      <c r="V1706" s="267" t="s">
        <v>944</v>
      </c>
    </row>
    <row r="1707" spans="1:22" hidden="1" x14ac:dyDescent="0.25">
      <c r="A1707" s="269">
        <v>43563</v>
      </c>
      <c r="B1707" s="270">
        <v>2019</v>
      </c>
      <c r="C1707" s="270">
        <v>2019</v>
      </c>
      <c r="D1707" s="270">
        <v>1</v>
      </c>
      <c r="E1707" s="270">
        <v>1</v>
      </c>
      <c r="F1707" s="270" t="s">
        <v>944</v>
      </c>
      <c r="G1707" s="270" t="s">
        <v>3926</v>
      </c>
      <c r="H1707" s="270" t="s">
        <v>5982</v>
      </c>
      <c r="I1707" s="270" t="s">
        <v>4019</v>
      </c>
      <c r="J1707" s="270" t="s">
        <v>3928</v>
      </c>
      <c r="K1707" s="270">
        <v>6706</v>
      </c>
      <c r="L1707" s="270">
        <v>351500</v>
      </c>
      <c r="M1707" s="270" t="s">
        <v>3940</v>
      </c>
      <c r="N1707" s="270" t="s">
        <v>3944</v>
      </c>
      <c r="O1707" s="270">
        <v>3577.6</v>
      </c>
      <c r="P1707" s="270" t="s">
        <v>3944</v>
      </c>
      <c r="Q1707" s="270" t="s">
        <v>3944</v>
      </c>
      <c r="R1707" s="270">
        <v>3577.6</v>
      </c>
      <c r="S1707" s="270">
        <v>48160.160000000003</v>
      </c>
      <c r="T1707" s="270">
        <v>51737.760000000002</v>
      </c>
      <c r="U1707" s="271" t="s">
        <v>3945</v>
      </c>
      <c r="V1707" s="267" t="s">
        <v>944</v>
      </c>
    </row>
    <row r="1708" spans="1:22" hidden="1" x14ac:dyDescent="0.25">
      <c r="A1708" s="266">
        <v>43563</v>
      </c>
      <c r="B1708" s="267">
        <v>2019</v>
      </c>
      <c r="C1708" s="267">
        <v>2019</v>
      </c>
      <c r="D1708" s="267">
        <v>1</v>
      </c>
      <c r="E1708" s="267">
        <v>1</v>
      </c>
      <c r="F1708" s="267" t="s">
        <v>944</v>
      </c>
      <c r="G1708" s="267" t="s">
        <v>3926</v>
      </c>
      <c r="H1708" s="267" t="s">
        <v>5983</v>
      </c>
      <c r="I1708" s="267" t="s">
        <v>4306</v>
      </c>
      <c r="J1708" s="267" t="s">
        <v>3928</v>
      </c>
      <c r="K1708" s="267">
        <v>6716</v>
      </c>
      <c r="L1708" s="267">
        <v>361100</v>
      </c>
      <c r="M1708" s="267" t="s">
        <v>3960</v>
      </c>
      <c r="N1708" s="267" t="s">
        <v>3944</v>
      </c>
      <c r="O1708" s="267">
        <v>1786.09</v>
      </c>
      <c r="P1708" s="267" t="s">
        <v>3944</v>
      </c>
      <c r="Q1708" s="267" t="s">
        <v>3944</v>
      </c>
      <c r="R1708" s="267">
        <v>1786.09</v>
      </c>
      <c r="S1708" s="267">
        <v>25618.42</v>
      </c>
      <c r="T1708" s="267">
        <v>27404.51</v>
      </c>
      <c r="U1708" s="268" t="s">
        <v>3945</v>
      </c>
      <c r="V1708" s="267" t="s">
        <v>944</v>
      </c>
    </row>
    <row r="1709" spans="1:22" hidden="1" x14ac:dyDescent="0.25">
      <c r="A1709" s="269">
        <v>43563</v>
      </c>
      <c r="B1709" s="270">
        <v>2019</v>
      </c>
      <c r="C1709" s="270">
        <v>2019</v>
      </c>
      <c r="D1709" s="270">
        <v>1</v>
      </c>
      <c r="E1709" s="270">
        <v>1</v>
      </c>
      <c r="F1709" s="270" t="s">
        <v>944</v>
      </c>
      <c r="G1709" s="270" t="s">
        <v>3926</v>
      </c>
      <c r="H1709" s="270" t="s">
        <v>5984</v>
      </c>
      <c r="I1709" s="270" t="s">
        <v>4497</v>
      </c>
      <c r="J1709" s="270" t="s">
        <v>3928</v>
      </c>
      <c r="K1709" s="270">
        <v>6260</v>
      </c>
      <c r="L1709" s="270">
        <v>903100</v>
      </c>
      <c r="M1709" s="270" t="s">
        <v>3940</v>
      </c>
      <c r="N1709" s="270" t="s">
        <v>3944</v>
      </c>
      <c r="O1709" s="270">
        <v>1612.7</v>
      </c>
      <c r="P1709" s="270" t="s">
        <v>3944</v>
      </c>
      <c r="Q1709" s="270" t="s">
        <v>3944</v>
      </c>
      <c r="R1709" s="270">
        <v>1612.7</v>
      </c>
      <c r="S1709" s="270">
        <v>20336.48</v>
      </c>
      <c r="T1709" s="270">
        <v>21949.18</v>
      </c>
      <c r="U1709" s="271" t="s">
        <v>3945</v>
      </c>
      <c r="V1709" s="267" t="s">
        <v>944</v>
      </c>
    </row>
    <row r="1710" spans="1:22" hidden="1" x14ac:dyDescent="0.25">
      <c r="A1710" s="266">
        <v>43563</v>
      </c>
      <c r="B1710" s="267">
        <v>2019</v>
      </c>
      <c r="C1710" s="267">
        <v>2019</v>
      </c>
      <c r="D1710" s="267">
        <v>1</v>
      </c>
      <c r="E1710" s="267">
        <v>1</v>
      </c>
      <c r="F1710" s="267" t="s">
        <v>944</v>
      </c>
      <c r="G1710" s="267" t="s">
        <v>3926</v>
      </c>
      <c r="H1710" s="267" t="s">
        <v>5985</v>
      </c>
      <c r="I1710" s="267" t="s">
        <v>3010</v>
      </c>
      <c r="J1710" s="267" t="s">
        <v>3928</v>
      </c>
      <c r="K1710" s="267">
        <v>6401</v>
      </c>
      <c r="L1710" s="267">
        <v>125400</v>
      </c>
      <c r="M1710" s="267">
        <v>-60</v>
      </c>
      <c r="N1710" s="267" t="s">
        <v>3944</v>
      </c>
      <c r="O1710" s="267">
        <v>1723.89</v>
      </c>
      <c r="P1710" s="267" t="s">
        <v>3944</v>
      </c>
      <c r="Q1710" s="267" t="s">
        <v>3944</v>
      </c>
      <c r="R1710" s="267">
        <v>1723.89</v>
      </c>
      <c r="S1710" s="267">
        <v>27810.16</v>
      </c>
      <c r="T1710" s="267">
        <v>29534.05</v>
      </c>
      <c r="U1710" s="268" t="s">
        <v>3945</v>
      </c>
      <c r="V1710" s="267" t="s">
        <v>944</v>
      </c>
    </row>
    <row r="1711" spans="1:22" hidden="1" x14ac:dyDescent="0.25">
      <c r="A1711" s="269">
        <v>43563</v>
      </c>
      <c r="B1711" s="270">
        <v>2019</v>
      </c>
      <c r="C1711" s="270">
        <v>2019</v>
      </c>
      <c r="D1711" s="270">
        <v>1</v>
      </c>
      <c r="E1711" s="270">
        <v>1</v>
      </c>
      <c r="F1711" s="270" t="s">
        <v>944</v>
      </c>
      <c r="G1711" s="270" t="s">
        <v>3926</v>
      </c>
      <c r="H1711" s="270" t="s">
        <v>5986</v>
      </c>
      <c r="I1711" s="270" t="s">
        <v>4200</v>
      </c>
      <c r="J1711" s="270" t="s">
        <v>3928</v>
      </c>
      <c r="K1711" s="270">
        <v>6795</v>
      </c>
      <c r="L1711" s="270">
        <v>360200</v>
      </c>
      <c r="M1711" s="270" t="s">
        <v>3943</v>
      </c>
      <c r="N1711" s="270" t="s">
        <v>3944</v>
      </c>
      <c r="O1711" s="270">
        <v>2590.6</v>
      </c>
      <c r="P1711" s="270" t="s">
        <v>3944</v>
      </c>
      <c r="Q1711" s="270" t="s">
        <v>3944</v>
      </c>
      <c r="R1711" s="270">
        <v>2590.6</v>
      </c>
      <c r="S1711" s="270">
        <v>35864.230000000003</v>
      </c>
      <c r="T1711" s="270">
        <v>38454.83</v>
      </c>
      <c r="U1711" s="271" t="s">
        <v>3945</v>
      </c>
      <c r="V1711" s="267" t="s">
        <v>944</v>
      </c>
    </row>
    <row r="1712" spans="1:22" hidden="1" x14ac:dyDescent="0.25">
      <c r="A1712" s="266">
        <v>43563</v>
      </c>
      <c r="B1712" s="267">
        <v>2019</v>
      </c>
      <c r="C1712" s="267">
        <v>2019</v>
      </c>
      <c r="D1712" s="267">
        <v>1</v>
      </c>
      <c r="E1712" s="267">
        <v>1</v>
      </c>
      <c r="F1712" s="267" t="s">
        <v>944</v>
      </c>
      <c r="G1712" s="267" t="s">
        <v>3926</v>
      </c>
      <c r="H1712" s="267" t="s">
        <v>5987</v>
      </c>
      <c r="I1712" s="267" t="s">
        <v>3962</v>
      </c>
      <c r="J1712" s="267" t="s">
        <v>3928</v>
      </c>
      <c r="K1712" s="267">
        <v>6355</v>
      </c>
      <c r="L1712" s="267">
        <v>705300</v>
      </c>
      <c r="M1712" s="267" t="s">
        <v>3960</v>
      </c>
      <c r="N1712" s="267" t="s">
        <v>3944</v>
      </c>
      <c r="O1712" s="267">
        <v>728.81</v>
      </c>
      <c r="P1712" s="267" t="s">
        <v>3944</v>
      </c>
      <c r="Q1712" s="267" t="s">
        <v>3944</v>
      </c>
      <c r="R1712" s="267">
        <v>728.81</v>
      </c>
      <c r="S1712" s="267">
        <v>10612.94</v>
      </c>
      <c r="T1712" s="267">
        <v>11341.75</v>
      </c>
      <c r="U1712" s="268" t="s">
        <v>3945</v>
      </c>
      <c r="V1712" s="267" t="s">
        <v>944</v>
      </c>
    </row>
    <row r="1713" spans="1:22" hidden="1" x14ac:dyDescent="0.25">
      <c r="A1713" s="269">
        <v>43563</v>
      </c>
      <c r="B1713" s="270">
        <v>2019</v>
      </c>
      <c r="C1713" s="270">
        <v>2019</v>
      </c>
      <c r="D1713" s="270">
        <v>1</v>
      </c>
      <c r="E1713" s="270">
        <v>1</v>
      </c>
      <c r="F1713" s="270" t="s">
        <v>944</v>
      </c>
      <c r="G1713" s="270" t="s">
        <v>3926</v>
      </c>
      <c r="H1713" s="270" t="s">
        <v>5988</v>
      </c>
      <c r="I1713" s="270" t="s">
        <v>950</v>
      </c>
      <c r="J1713" s="270" t="s">
        <v>3928</v>
      </c>
      <c r="K1713" s="270">
        <v>6516</v>
      </c>
      <c r="L1713" s="270">
        <v>155000</v>
      </c>
      <c r="M1713" s="270" t="s">
        <v>3940</v>
      </c>
      <c r="N1713" s="270" t="s">
        <v>3944</v>
      </c>
      <c r="O1713" s="270">
        <v>1064.1400000000001</v>
      </c>
      <c r="P1713" s="270" t="s">
        <v>3944</v>
      </c>
      <c r="Q1713" s="270" t="s">
        <v>3944</v>
      </c>
      <c r="R1713" s="270">
        <v>1064.1400000000001</v>
      </c>
      <c r="S1713" s="270">
        <v>17012.27</v>
      </c>
      <c r="T1713" s="270">
        <v>18076.41</v>
      </c>
      <c r="U1713" s="271" t="s">
        <v>3945</v>
      </c>
      <c r="V1713" s="267" t="s">
        <v>944</v>
      </c>
    </row>
    <row r="1714" spans="1:22" hidden="1" x14ac:dyDescent="0.25">
      <c r="A1714" s="266">
        <v>43563</v>
      </c>
      <c r="B1714" s="267">
        <v>2019</v>
      </c>
      <c r="C1714" s="267">
        <v>2019</v>
      </c>
      <c r="D1714" s="267">
        <v>1</v>
      </c>
      <c r="E1714" s="267">
        <v>1</v>
      </c>
      <c r="F1714" s="267" t="s">
        <v>944</v>
      </c>
      <c r="G1714" s="267" t="s">
        <v>3926</v>
      </c>
      <c r="H1714" s="267" t="s">
        <v>5989</v>
      </c>
      <c r="I1714" s="267" t="s">
        <v>950</v>
      </c>
      <c r="J1714" s="267" t="s">
        <v>3928</v>
      </c>
      <c r="K1714" s="267">
        <v>6516</v>
      </c>
      <c r="L1714" s="267">
        <v>154800</v>
      </c>
      <c r="M1714" s="267" t="s">
        <v>3960</v>
      </c>
      <c r="N1714" s="267" t="s">
        <v>3944</v>
      </c>
      <c r="O1714" s="267">
        <v>1246.67</v>
      </c>
      <c r="P1714" s="267" t="s">
        <v>3944</v>
      </c>
      <c r="Q1714" s="267" t="s">
        <v>3944</v>
      </c>
      <c r="R1714" s="267">
        <v>1246.67</v>
      </c>
      <c r="S1714" s="267">
        <v>19340.939999999999</v>
      </c>
      <c r="T1714" s="267">
        <v>20587.61</v>
      </c>
      <c r="U1714" s="268" t="s">
        <v>3945</v>
      </c>
      <c r="V1714" s="267" t="s">
        <v>944</v>
      </c>
    </row>
    <row r="1715" spans="1:22" hidden="1" x14ac:dyDescent="0.25">
      <c r="A1715" s="269">
        <v>43563</v>
      </c>
      <c r="B1715" s="270">
        <v>2019</v>
      </c>
      <c r="C1715" s="270">
        <v>2019</v>
      </c>
      <c r="D1715" s="270">
        <v>1</v>
      </c>
      <c r="E1715" s="270">
        <v>1</v>
      </c>
      <c r="F1715" s="270" t="s">
        <v>944</v>
      </c>
      <c r="G1715" s="270" t="s">
        <v>3926</v>
      </c>
      <c r="H1715" s="270" t="s">
        <v>5990</v>
      </c>
      <c r="I1715" s="270" t="s">
        <v>3956</v>
      </c>
      <c r="J1715" s="270" t="s">
        <v>3928</v>
      </c>
      <c r="K1715" s="270">
        <v>6112</v>
      </c>
      <c r="L1715" s="270">
        <v>503900</v>
      </c>
      <c r="M1715" s="270">
        <v>-60</v>
      </c>
      <c r="N1715" s="270" t="s">
        <v>3944</v>
      </c>
      <c r="O1715" s="270">
        <v>1560.02</v>
      </c>
      <c r="P1715" s="270" t="s">
        <v>3944</v>
      </c>
      <c r="Q1715" s="270" t="s">
        <v>3944</v>
      </c>
      <c r="R1715" s="270">
        <v>1560.02</v>
      </c>
      <c r="S1715" s="270">
        <v>21073.81</v>
      </c>
      <c r="T1715" s="270">
        <v>22633.83</v>
      </c>
      <c r="U1715" s="271" t="s">
        <v>3945</v>
      </c>
      <c r="V1715" s="267" t="s">
        <v>944</v>
      </c>
    </row>
    <row r="1716" spans="1:22" hidden="1" x14ac:dyDescent="0.25">
      <c r="A1716" s="266">
        <v>43563</v>
      </c>
      <c r="B1716" s="267">
        <v>2019</v>
      </c>
      <c r="C1716" s="267">
        <v>2019</v>
      </c>
      <c r="D1716" s="267">
        <v>1</v>
      </c>
      <c r="E1716" s="267">
        <v>1</v>
      </c>
      <c r="F1716" s="267" t="s">
        <v>944</v>
      </c>
      <c r="G1716" s="267" t="s">
        <v>3926</v>
      </c>
      <c r="H1716" s="267" t="s">
        <v>5991</v>
      </c>
      <c r="I1716" s="267" t="s">
        <v>4293</v>
      </c>
      <c r="J1716" s="267" t="s">
        <v>3928</v>
      </c>
      <c r="K1716" s="267">
        <v>6412</v>
      </c>
      <c r="L1716" s="267">
        <v>600100</v>
      </c>
      <c r="M1716" s="267" t="s">
        <v>3960</v>
      </c>
      <c r="N1716" s="267" t="s">
        <v>3944</v>
      </c>
      <c r="O1716" s="267">
        <v>749.32</v>
      </c>
      <c r="P1716" s="267" t="s">
        <v>3944</v>
      </c>
      <c r="Q1716" s="267" t="s">
        <v>3944</v>
      </c>
      <c r="R1716" s="267">
        <v>749.32</v>
      </c>
      <c r="S1716" s="267">
        <v>11273.86</v>
      </c>
      <c r="T1716" s="267">
        <v>12023.18</v>
      </c>
      <c r="U1716" s="268" t="s">
        <v>3945</v>
      </c>
      <c r="V1716" s="267" t="s">
        <v>944</v>
      </c>
    </row>
    <row r="1717" spans="1:22" hidden="1" x14ac:dyDescent="0.25">
      <c r="A1717" s="269">
        <v>43563</v>
      </c>
      <c r="B1717" s="270">
        <v>2019</v>
      </c>
      <c r="C1717" s="270">
        <v>2019</v>
      </c>
      <c r="D1717" s="270">
        <v>1</v>
      </c>
      <c r="E1717" s="270">
        <v>1</v>
      </c>
      <c r="F1717" s="270" t="s">
        <v>944</v>
      </c>
      <c r="G1717" s="270" t="s">
        <v>3926</v>
      </c>
      <c r="H1717" s="270" t="s">
        <v>5992</v>
      </c>
      <c r="I1717" s="270" t="s">
        <v>3934</v>
      </c>
      <c r="J1717" s="270" t="s">
        <v>3928</v>
      </c>
      <c r="K1717" s="270">
        <v>6405</v>
      </c>
      <c r="L1717" s="270">
        <v>184300</v>
      </c>
      <c r="M1717" s="270" t="s">
        <v>3960</v>
      </c>
      <c r="N1717" s="270" t="s">
        <v>3944</v>
      </c>
      <c r="O1717" s="270">
        <v>3567.41</v>
      </c>
      <c r="P1717" s="270" t="s">
        <v>3944</v>
      </c>
      <c r="Q1717" s="270" t="s">
        <v>3944</v>
      </c>
      <c r="R1717" s="270">
        <v>3567.41</v>
      </c>
      <c r="S1717" s="270">
        <v>43669.99</v>
      </c>
      <c r="T1717" s="270">
        <v>47237.4</v>
      </c>
      <c r="U1717" s="271" t="s">
        <v>3945</v>
      </c>
      <c r="V1717" s="267" t="s">
        <v>944</v>
      </c>
    </row>
    <row r="1718" spans="1:22" x14ac:dyDescent="0.25">
      <c r="A1718" s="266">
        <v>43563</v>
      </c>
      <c r="B1718" s="267">
        <v>2019</v>
      </c>
      <c r="C1718" s="267">
        <v>2019</v>
      </c>
      <c r="D1718" s="267">
        <v>1</v>
      </c>
      <c r="E1718" s="267">
        <v>1</v>
      </c>
      <c r="F1718" s="267" t="s">
        <v>944</v>
      </c>
      <c r="G1718" s="267" t="s">
        <v>3926</v>
      </c>
      <c r="H1718" s="267" t="s">
        <v>5993</v>
      </c>
      <c r="I1718" s="267" t="s">
        <v>934</v>
      </c>
      <c r="J1718" s="267" t="s">
        <v>3928</v>
      </c>
      <c r="K1718" s="267">
        <v>6604</v>
      </c>
      <c r="L1718" s="267">
        <v>72200</v>
      </c>
      <c r="M1718" s="267">
        <v>-60</v>
      </c>
      <c r="N1718" s="267" t="s">
        <v>3944</v>
      </c>
      <c r="O1718" s="267">
        <v>1130.5</v>
      </c>
      <c r="P1718" s="267" t="s">
        <v>3944</v>
      </c>
      <c r="Q1718" s="267" t="s">
        <v>3944</v>
      </c>
      <c r="R1718" s="267">
        <v>1130.5</v>
      </c>
      <c r="S1718" s="267">
        <v>18324.48</v>
      </c>
      <c r="T1718" s="267">
        <v>19454.98</v>
      </c>
      <c r="U1718" s="268" t="s">
        <v>3945</v>
      </c>
      <c r="V1718" s="276" t="s">
        <v>936</v>
      </c>
    </row>
    <row r="1719" spans="1:22" hidden="1" x14ac:dyDescent="0.25">
      <c r="A1719" s="269">
        <v>43563</v>
      </c>
      <c r="B1719" s="270">
        <v>2019</v>
      </c>
      <c r="C1719" s="270">
        <v>2019</v>
      </c>
      <c r="D1719" s="270">
        <v>1</v>
      </c>
      <c r="E1719" s="270">
        <v>1</v>
      </c>
      <c r="F1719" s="270" t="s">
        <v>944</v>
      </c>
      <c r="G1719" s="270" t="s">
        <v>3926</v>
      </c>
      <c r="H1719" s="270" t="s">
        <v>5994</v>
      </c>
      <c r="I1719" s="270" t="s">
        <v>4392</v>
      </c>
      <c r="J1719" s="270" t="s">
        <v>3928</v>
      </c>
      <c r="K1719" s="270">
        <v>6457</v>
      </c>
      <c r="L1719" s="270">
        <v>542000</v>
      </c>
      <c r="M1719" s="270" t="s">
        <v>3935</v>
      </c>
      <c r="N1719" s="270" t="s">
        <v>3944</v>
      </c>
      <c r="O1719" s="270">
        <v>1767.01</v>
      </c>
      <c r="P1719" s="270" t="s">
        <v>3944</v>
      </c>
      <c r="Q1719" s="270" t="s">
        <v>3944</v>
      </c>
      <c r="R1719" s="270">
        <v>1767.01</v>
      </c>
      <c r="S1719" s="270">
        <v>23813.87</v>
      </c>
      <c r="T1719" s="270">
        <v>25580.880000000001</v>
      </c>
      <c r="U1719" s="271" t="s">
        <v>3945</v>
      </c>
      <c r="V1719" s="267" t="s">
        <v>944</v>
      </c>
    </row>
    <row r="1720" spans="1:22" hidden="1" x14ac:dyDescent="0.25">
      <c r="A1720" s="266">
        <v>43563</v>
      </c>
      <c r="B1720" s="267">
        <v>2019</v>
      </c>
      <c r="C1720" s="267">
        <v>2019</v>
      </c>
      <c r="D1720" s="267">
        <v>1</v>
      </c>
      <c r="E1720" s="267">
        <v>1</v>
      </c>
      <c r="F1720" s="267" t="s">
        <v>944</v>
      </c>
      <c r="G1720" s="267" t="s">
        <v>3926</v>
      </c>
      <c r="H1720" s="267" t="s">
        <v>5995</v>
      </c>
      <c r="I1720" s="267" t="s">
        <v>950</v>
      </c>
      <c r="J1720" s="267" t="s">
        <v>3928</v>
      </c>
      <c r="K1720" s="267">
        <v>6516</v>
      </c>
      <c r="L1720" s="267">
        <v>155000</v>
      </c>
      <c r="M1720" s="267" t="s">
        <v>3940</v>
      </c>
      <c r="N1720" s="267" t="s">
        <v>3944</v>
      </c>
      <c r="O1720" s="267">
        <v>909.23</v>
      </c>
      <c r="P1720" s="267" t="s">
        <v>3944</v>
      </c>
      <c r="Q1720" s="267" t="s">
        <v>3944</v>
      </c>
      <c r="R1720" s="267">
        <v>909.23</v>
      </c>
      <c r="S1720" s="267">
        <v>13566.44</v>
      </c>
      <c r="T1720" s="267">
        <v>14475.67</v>
      </c>
      <c r="U1720" s="268" t="s">
        <v>3945</v>
      </c>
      <c r="V1720" s="267" t="s">
        <v>944</v>
      </c>
    </row>
    <row r="1721" spans="1:22" hidden="1" x14ac:dyDescent="0.25">
      <c r="A1721" s="269">
        <v>43563</v>
      </c>
      <c r="B1721" s="270">
        <v>2019</v>
      </c>
      <c r="C1721" s="270">
        <v>2019</v>
      </c>
      <c r="D1721" s="270">
        <v>1</v>
      </c>
      <c r="E1721" s="270">
        <v>1</v>
      </c>
      <c r="F1721" s="270" t="s">
        <v>944</v>
      </c>
      <c r="G1721" s="270" t="s">
        <v>3926</v>
      </c>
      <c r="H1721" s="270" t="s">
        <v>5996</v>
      </c>
      <c r="I1721" s="270" t="s">
        <v>3975</v>
      </c>
      <c r="J1721" s="270" t="s">
        <v>3928</v>
      </c>
      <c r="K1721" s="270">
        <v>6489</v>
      </c>
      <c r="L1721" s="270">
        <v>430203</v>
      </c>
      <c r="M1721" s="270" t="s">
        <v>3935</v>
      </c>
      <c r="N1721" s="270" t="s">
        <v>3944</v>
      </c>
      <c r="O1721" s="270">
        <v>1802.47</v>
      </c>
      <c r="P1721" s="270" t="s">
        <v>3944</v>
      </c>
      <c r="Q1721" s="270" t="s">
        <v>3944</v>
      </c>
      <c r="R1721" s="270">
        <v>1802.47</v>
      </c>
      <c r="S1721" s="270">
        <v>26565.29</v>
      </c>
      <c r="T1721" s="270">
        <v>28367.759999999998</v>
      </c>
      <c r="U1721" s="271" t="s">
        <v>3945</v>
      </c>
      <c r="V1721" s="267" t="s">
        <v>944</v>
      </c>
    </row>
    <row r="1722" spans="1:22" hidden="1" x14ac:dyDescent="0.25">
      <c r="A1722" s="266">
        <v>43563</v>
      </c>
      <c r="B1722" s="267">
        <v>2019</v>
      </c>
      <c r="C1722" s="267">
        <v>2019</v>
      </c>
      <c r="D1722" s="267">
        <v>1</v>
      </c>
      <c r="E1722" s="267">
        <v>1</v>
      </c>
      <c r="F1722" s="267" t="s">
        <v>944</v>
      </c>
      <c r="G1722" s="267" t="s">
        <v>3926</v>
      </c>
      <c r="H1722" s="267" t="s">
        <v>5997</v>
      </c>
      <c r="I1722" s="267" t="s">
        <v>3026</v>
      </c>
      <c r="J1722" s="267" t="s">
        <v>3928</v>
      </c>
      <c r="K1722" s="267">
        <v>6471</v>
      </c>
      <c r="L1722" s="267">
        <v>186100</v>
      </c>
      <c r="M1722" s="267" t="s">
        <v>3935</v>
      </c>
      <c r="N1722" s="267" t="s">
        <v>3944</v>
      </c>
      <c r="O1722" s="267">
        <v>3554.57</v>
      </c>
      <c r="P1722" s="267" t="s">
        <v>3944</v>
      </c>
      <c r="Q1722" s="267" t="s">
        <v>3944</v>
      </c>
      <c r="R1722" s="267">
        <v>3554.57</v>
      </c>
      <c r="S1722" s="267">
        <v>57983.83</v>
      </c>
      <c r="T1722" s="267">
        <v>61538.400000000001</v>
      </c>
      <c r="U1722" s="268" t="s">
        <v>3945</v>
      </c>
      <c r="V1722" s="267" t="s">
        <v>944</v>
      </c>
    </row>
    <row r="1723" spans="1:22" hidden="1" x14ac:dyDescent="0.25">
      <c r="A1723" s="269">
        <v>43563</v>
      </c>
      <c r="B1723" s="270">
        <v>2019</v>
      </c>
      <c r="C1723" s="270">
        <v>2019</v>
      </c>
      <c r="D1723" s="270">
        <v>1</v>
      </c>
      <c r="E1723" s="270">
        <v>1</v>
      </c>
      <c r="F1723" s="270" t="s">
        <v>944</v>
      </c>
      <c r="G1723" s="270" t="s">
        <v>3926</v>
      </c>
      <c r="H1723" s="270" t="s">
        <v>5998</v>
      </c>
      <c r="I1723" s="270" t="s">
        <v>4065</v>
      </c>
      <c r="J1723" s="270" t="s">
        <v>3928</v>
      </c>
      <c r="K1723" s="270">
        <v>6480</v>
      </c>
      <c r="L1723" s="270">
        <v>560100</v>
      </c>
      <c r="M1723" s="270" t="s">
        <v>3943</v>
      </c>
      <c r="N1723" s="270" t="s">
        <v>3944</v>
      </c>
      <c r="O1723" s="270">
        <v>1965.71</v>
      </c>
      <c r="P1723" s="270" t="s">
        <v>3944</v>
      </c>
      <c r="Q1723" s="270" t="s">
        <v>3944</v>
      </c>
      <c r="R1723" s="270">
        <v>1965.71</v>
      </c>
      <c r="S1723" s="270">
        <v>28098.27</v>
      </c>
      <c r="T1723" s="270">
        <v>30063.98</v>
      </c>
      <c r="U1723" s="271" t="s">
        <v>3945</v>
      </c>
      <c r="V1723" s="267" t="s">
        <v>944</v>
      </c>
    </row>
    <row r="1724" spans="1:22" hidden="1" x14ac:dyDescent="0.25">
      <c r="A1724" s="266">
        <v>43563</v>
      </c>
      <c r="B1724" s="267">
        <v>2019</v>
      </c>
      <c r="C1724" s="267">
        <v>2019</v>
      </c>
      <c r="D1724" s="267">
        <v>1</v>
      </c>
      <c r="E1724" s="267">
        <v>1</v>
      </c>
      <c r="F1724" s="267" t="s">
        <v>944</v>
      </c>
      <c r="G1724" s="267" t="s">
        <v>3926</v>
      </c>
      <c r="H1724" s="267" t="s">
        <v>5999</v>
      </c>
      <c r="I1724" s="267" t="s">
        <v>943</v>
      </c>
      <c r="J1724" s="267" t="s">
        <v>3928</v>
      </c>
      <c r="K1724" s="267">
        <v>6512</v>
      </c>
      <c r="L1724" s="267">
        <v>142800</v>
      </c>
      <c r="M1724" s="267" t="s">
        <v>3940</v>
      </c>
      <c r="N1724" s="267" t="s">
        <v>3944</v>
      </c>
      <c r="O1724" s="267">
        <v>3061.8</v>
      </c>
      <c r="P1724" s="267" t="s">
        <v>3944</v>
      </c>
      <c r="Q1724" s="267" t="s">
        <v>3944</v>
      </c>
      <c r="R1724" s="267">
        <v>3061.8</v>
      </c>
      <c r="S1724" s="267">
        <v>50628.91</v>
      </c>
      <c r="T1724" s="267">
        <v>53690.71</v>
      </c>
      <c r="U1724" s="268" t="s">
        <v>3945</v>
      </c>
      <c r="V1724" s="267" t="s">
        <v>944</v>
      </c>
    </row>
    <row r="1725" spans="1:22" hidden="1" x14ac:dyDescent="0.25">
      <c r="A1725" s="269">
        <v>43563</v>
      </c>
      <c r="B1725" s="270">
        <v>2019</v>
      </c>
      <c r="C1725" s="270">
        <v>2019</v>
      </c>
      <c r="D1725" s="270">
        <v>1</v>
      </c>
      <c r="E1725" s="270">
        <v>1</v>
      </c>
      <c r="F1725" s="270" t="s">
        <v>944</v>
      </c>
      <c r="G1725" s="270" t="s">
        <v>3926</v>
      </c>
      <c r="H1725" s="270" t="s">
        <v>6000</v>
      </c>
      <c r="I1725" s="270" t="s">
        <v>4330</v>
      </c>
      <c r="J1725" s="270" t="s">
        <v>3928</v>
      </c>
      <c r="K1725" s="270">
        <v>6413</v>
      </c>
      <c r="L1725" s="270">
        <v>610300</v>
      </c>
      <c r="M1725" s="270" t="s">
        <v>3960</v>
      </c>
      <c r="N1725" s="270" t="s">
        <v>3944</v>
      </c>
      <c r="O1725" s="270">
        <v>4679.26</v>
      </c>
      <c r="P1725" s="270" t="s">
        <v>3944</v>
      </c>
      <c r="Q1725" s="270" t="s">
        <v>3944</v>
      </c>
      <c r="R1725" s="270">
        <v>4679.26</v>
      </c>
      <c r="S1725" s="270">
        <v>65488.09</v>
      </c>
      <c r="T1725" s="270">
        <v>70167.350000000006</v>
      </c>
      <c r="U1725" s="271" t="s">
        <v>3945</v>
      </c>
      <c r="V1725" s="267" t="s">
        <v>944</v>
      </c>
    </row>
    <row r="1726" spans="1:22" hidden="1" x14ac:dyDescent="0.25">
      <c r="A1726" s="266">
        <v>43563</v>
      </c>
      <c r="B1726" s="267">
        <v>2019</v>
      </c>
      <c r="C1726" s="267">
        <v>2019</v>
      </c>
      <c r="D1726" s="267">
        <v>1</v>
      </c>
      <c r="E1726" s="267">
        <v>1</v>
      </c>
      <c r="F1726" s="267" t="s">
        <v>944</v>
      </c>
      <c r="G1726" s="267" t="s">
        <v>3926</v>
      </c>
      <c r="H1726" s="267" t="s">
        <v>6001</v>
      </c>
      <c r="I1726" s="267" t="s">
        <v>4621</v>
      </c>
      <c r="J1726" s="267" t="s">
        <v>3928</v>
      </c>
      <c r="K1726" s="267">
        <v>6443</v>
      </c>
      <c r="L1726" s="267">
        <v>194100</v>
      </c>
      <c r="M1726" s="267" t="s">
        <v>3935</v>
      </c>
      <c r="N1726" s="267" t="s">
        <v>3944</v>
      </c>
      <c r="O1726" s="267">
        <v>2134.5100000000002</v>
      </c>
      <c r="P1726" s="267" t="s">
        <v>3944</v>
      </c>
      <c r="Q1726" s="267" t="s">
        <v>3944</v>
      </c>
      <c r="R1726" s="267">
        <v>2134.5100000000002</v>
      </c>
      <c r="S1726" s="267">
        <v>21002.49</v>
      </c>
      <c r="T1726" s="267">
        <v>23137</v>
      </c>
      <c r="U1726" s="268" t="s">
        <v>3945</v>
      </c>
      <c r="V1726" s="267" t="s">
        <v>944</v>
      </c>
    </row>
    <row r="1727" spans="1:22" hidden="1" x14ac:dyDescent="0.25">
      <c r="A1727" s="269">
        <v>43563</v>
      </c>
      <c r="B1727" s="270">
        <v>2019</v>
      </c>
      <c r="C1727" s="270">
        <v>2019</v>
      </c>
      <c r="D1727" s="270">
        <v>1</v>
      </c>
      <c r="E1727" s="270">
        <v>1</v>
      </c>
      <c r="F1727" s="270" t="s">
        <v>944</v>
      </c>
      <c r="G1727" s="270" t="s">
        <v>3926</v>
      </c>
      <c r="H1727" s="270" t="s">
        <v>6002</v>
      </c>
      <c r="I1727" s="270" t="s">
        <v>934</v>
      </c>
      <c r="J1727" s="270" t="s">
        <v>3928</v>
      </c>
      <c r="K1727" s="270">
        <v>6606</v>
      </c>
      <c r="L1727" s="270">
        <v>72500</v>
      </c>
      <c r="M1727" s="270" t="s">
        <v>3940</v>
      </c>
      <c r="N1727" s="270" t="s">
        <v>3944</v>
      </c>
      <c r="O1727" s="270">
        <v>1726.8</v>
      </c>
      <c r="P1727" s="270" t="s">
        <v>3944</v>
      </c>
      <c r="Q1727" s="270" t="s">
        <v>3944</v>
      </c>
      <c r="R1727" s="270">
        <v>1726.8</v>
      </c>
      <c r="S1727" s="270">
        <v>24654.45</v>
      </c>
      <c r="T1727" s="270">
        <v>26381.25</v>
      </c>
      <c r="U1727" s="271" t="s">
        <v>3945</v>
      </c>
      <c r="V1727" s="267" t="s">
        <v>944</v>
      </c>
    </row>
    <row r="1728" spans="1:22" hidden="1" x14ac:dyDescent="0.25">
      <c r="A1728" s="266">
        <v>43563</v>
      </c>
      <c r="B1728" s="267">
        <v>2019</v>
      </c>
      <c r="C1728" s="267">
        <v>2019</v>
      </c>
      <c r="D1728" s="267">
        <v>1</v>
      </c>
      <c r="E1728" s="267">
        <v>1</v>
      </c>
      <c r="F1728" s="267" t="s">
        <v>944</v>
      </c>
      <c r="G1728" s="267" t="s">
        <v>3926</v>
      </c>
      <c r="H1728" s="267" t="s">
        <v>6003</v>
      </c>
      <c r="I1728" s="267" t="s">
        <v>4168</v>
      </c>
      <c r="J1728" s="267" t="s">
        <v>3928</v>
      </c>
      <c r="K1728" s="267">
        <v>6475</v>
      </c>
      <c r="L1728" s="267">
        <v>670200</v>
      </c>
      <c r="M1728" s="267" t="s">
        <v>3935</v>
      </c>
      <c r="N1728" s="267" t="s">
        <v>3944</v>
      </c>
      <c r="O1728" s="267">
        <v>965.86</v>
      </c>
      <c r="P1728" s="267" t="s">
        <v>3944</v>
      </c>
      <c r="Q1728" s="267" t="s">
        <v>3944</v>
      </c>
      <c r="R1728" s="267">
        <v>965.86</v>
      </c>
      <c r="S1728" s="267">
        <v>15419.3</v>
      </c>
      <c r="T1728" s="267">
        <v>16385.16</v>
      </c>
      <c r="U1728" s="268" t="s">
        <v>3945</v>
      </c>
      <c r="V1728" s="267" t="s">
        <v>944</v>
      </c>
    </row>
    <row r="1729" spans="1:22" hidden="1" x14ac:dyDescent="0.25">
      <c r="A1729" s="269">
        <v>43563</v>
      </c>
      <c r="B1729" s="270">
        <v>2019</v>
      </c>
      <c r="C1729" s="270">
        <v>2019</v>
      </c>
      <c r="D1729" s="270">
        <v>1</v>
      </c>
      <c r="E1729" s="270">
        <v>1</v>
      </c>
      <c r="F1729" s="270" t="s">
        <v>944</v>
      </c>
      <c r="G1729" s="270" t="s">
        <v>3926</v>
      </c>
      <c r="H1729" s="270" t="s">
        <v>6004</v>
      </c>
      <c r="I1729" s="270" t="s">
        <v>943</v>
      </c>
      <c r="J1729" s="270" t="s">
        <v>3928</v>
      </c>
      <c r="K1729" s="270">
        <v>6513</v>
      </c>
      <c r="L1729" s="270">
        <v>142604</v>
      </c>
      <c r="M1729" s="270" t="s">
        <v>3935</v>
      </c>
      <c r="N1729" s="270" t="s">
        <v>3944</v>
      </c>
      <c r="O1729" s="270">
        <v>1672.65</v>
      </c>
      <c r="P1729" s="270" t="s">
        <v>3944</v>
      </c>
      <c r="Q1729" s="270" t="s">
        <v>3944</v>
      </c>
      <c r="R1729" s="270">
        <v>1672.65</v>
      </c>
      <c r="S1729" s="270">
        <v>23157.919999999998</v>
      </c>
      <c r="T1729" s="270">
        <v>24830.57</v>
      </c>
      <c r="U1729" s="271" t="s">
        <v>3945</v>
      </c>
      <c r="V1729" s="267" t="s">
        <v>944</v>
      </c>
    </row>
    <row r="1730" spans="1:22" hidden="1" x14ac:dyDescent="0.25">
      <c r="A1730" s="266">
        <v>43564</v>
      </c>
      <c r="B1730" s="267">
        <v>2019</v>
      </c>
      <c r="C1730" s="267">
        <v>2019</v>
      </c>
      <c r="D1730" s="267">
        <v>1</v>
      </c>
      <c r="E1730" s="267">
        <v>1</v>
      </c>
      <c r="F1730" s="267" t="s">
        <v>944</v>
      </c>
      <c r="G1730" s="267" t="s">
        <v>3926</v>
      </c>
      <c r="H1730" s="267" t="s">
        <v>6005</v>
      </c>
      <c r="I1730" s="267" t="s">
        <v>4993</v>
      </c>
      <c r="J1730" s="267" t="s">
        <v>3928</v>
      </c>
      <c r="K1730" s="267">
        <v>6237</v>
      </c>
      <c r="L1730" s="267">
        <v>860100</v>
      </c>
      <c r="M1730" s="267" t="s">
        <v>3943</v>
      </c>
      <c r="N1730" s="267" t="s">
        <v>6006</v>
      </c>
      <c r="O1730" s="267">
        <v>0</v>
      </c>
      <c r="P1730" s="267" t="s">
        <v>3930</v>
      </c>
      <c r="Q1730" s="267" t="s">
        <v>3930</v>
      </c>
      <c r="R1730" s="267">
        <v>0</v>
      </c>
      <c r="S1730" s="267">
        <v>8900</v>
      </c>
      <c r="T1730" s="267">
        <v>8900</v>
      </c>
      <c r="U1730" s="268" t="s">
        <v>3937</v>
      </c>
      <c r="V1730" s="267" t="s">
        <v>944</v>
      </c>
    </row>
    <row r="1731" spans="1:22" hidden="1" x14ac:dyDescent="0.25">
      <c r="A1731" s="269">
        <v>43564</v>
      </c>
      <c r="B1731" s="270">
        <v>2019</v>
      </c>
      <c r="C1731" s="270">
        <v>2019</v>
      </c>
      <c r="D1731" s="270">
        <v>1</v>
      </c>
      <c r="E1731" s="270">
        <v>1</v>
      </c>
      <c r="F1731" s="270" t="s">
        <v>944</v>
      </c>
      <c r="G1731" s="270" t="s">
        <v>3926</v>
      </c>
      <c r="H1731" s="270" t="s">
        <v>6007</v>
      </c>
      <c r="I1731" s="270" t="s">
        <v>956</v>
      </c>
      <c r="J1731" s="270" t="s">
        <v>3928</v>
      </c>
      <c r="K1731" s="270">
        <v>6614</v>
      </c>
      <c r="L1731" s="270">
        <v>80100</v>
      </c>
      <c r="M1731" s="270" t="s">
        <v>3935</v>
      </c>
      <c r="N1731" s="270" t="s">
        <v>4103</v>
      </c>
      <c r="O1731" s="270">
        <v>1800.4</v>
      </c>
      <c r="P1731" s="270" t="s">
        <v>3930</v>
      </c>
      <c r="Q1731" s="270" t="s">
        <v>3931</v>
      </c>
      <c r="R1731" s="270">
        <v>6800.4</v>
      </c>
      <c r="S1731" s="270">
        <v>24145.599999999999</v>
      </c>
      <c r="T1731" s="270">
        <v>30946</v>
      </c>
      <c r="U1731" s="271" t="s">
        <v>3932</v>
      </c>
      <c r="V1731" s="267" t="s">
        <v>944</v>
      </c>
    </row>
    <row r="1732" spans="1:22" hidden="1" x14ac:dyDescent="0.25">
      <c r="A1732" s="266">
        <v>43564</v>
      </c>
      <c r="B1732" s="267">
        <v>2019</v>
      </c>
      <c r="C1732" s="267">
        <v>2019</v>
      </c>
      <c r="D1732" s="267">
        <v>1</v>
      </c>
      <c r="E1732" s="267">
        <v>1</v>
      </c>
      <c r="F1732" s="267" t="s">
        <v>944</v>
      </c>
      <c r="G1732" s="267" t="s">
        <v>3926</v>
      </c>
      <c r="H1732" s="267" t="s">
        <v>6008</v>
      </c>
      <c r="I1732" s="267" t="s">
        <v>934</v>
      </c>
      <c r="J1732" s="267" t="s">
        <v>3928</v>
      </c>
      <c r="K1732" s="267">
        <v>6606</v>
      </c>
      <c r="L1732" s="267">
        <v>72400</v>
      </c>
      <c r="M1732" s="267" t="s">
        <v>3940</v>
      </c>
      <c r="N1732" s="267" t="s">
        <v>4701</v>
      </c>
      <c r="O1732" s="267">
        <v>6906.78</v>
      </c>
      <c r="P1732" s="267" t="s">
        <v>3930</v>
      </c>
      <c r="Q1732" s="267" t="s">
        <v>3931</v>
      </c>
      <c r="R1732" s="267">
        <v>11906.78</v>
      </c>
      <c r="S1732" s="267">
        <v>34648</v>
      </c>
      <c r="T1732" s="267">
        <v>46554.78</v>
      </c>
      <c r="U1732" s="268" t="s">
        <v>3932</v>
      </c>
      <c r="V1732" s="267" t="s">
        <v>944</v>
      </c>
    </row>
    <row r="1733" spans="1:22" hidden="1" x14ac:dyDescent="0.25">
      <c r="A1733" s="269">
        <v>43564</v>
      </c>
      <c r="B1733" s="270">
        <v>2019</v>
      </c>
      <c r="C1733" s="270">
        <v>2019</v>
      </c>
      <c r="D1733" s="270">
        <v>1</v>
      </c>
      <c r="E1733" s="270">
        <v>1</v>
      </c>
      <c r="F1733" s="270" t="s">
        <v>944</v>
      </c>
      <c r="G1733" s="270" t="s">
        <v>3926</v>
      </c>
      <c r="H1733" s="270" t="s">
        <v>6009</v>
      </c>
      <c r="I1733" s="270" t="s">
        <v>934</v>
      </c>
      <c r="J1733" s="270" t="s">
        <v>3928</v>
      </c>
      <c r="K1733" s="270">
        <v>6606</v>
      </c>
      <c r="L1733" s="270">
        <v>72900</v>
      </c>
      <c r="M1733" s="270" t="s">
        <v>3940</v>
      </c>
      <c r="N1733" s="270" t="s">
        <v>3986</v>
      </c>
      <c r="O1733" s="270">
        <v>1313.03</v>
      </c>
      <c r="P1733" s="270" t="s">
        <v>3930</v>
      </c>
      <c r="Q1733" s="270" t="s">
        <v>3931</v>
      </c>
      <c r="R1733" s="270">
        <v>6313.03</v>
      </c>
      <c r="S1733" s="270">
        <v>16196.8</v>
      </c>
      <c r="T1733" s="270">
        <v>22509.83</v>
      </c>
      <c r="U1733" s="271" t="s">
        <v>3932</v>
      </c>
      <c r="V1733" s="267" t="s">
        <v>944</v>
      </c>
    </row>
    <row r="1734" spans="1:22" hidden="1" x14ac:dyDescent="0.25">
      <c r="A1734" s="266">
        <v>43564</v>
      </c>
      <c r="B1734" s="267">
        <v>2019</v>
      </c>
      <c r="C1734" s="267">
        <v>2019</v>
      </c>
      <c r="D1734" s="267">
        <v>1</v>
      </c>
      <c r="E1734" s="267">
        <v>1</v>
      </c>
      <c r="F1734" s="267" t="s">
        <v>944</v>
      </c>
      <c r="G1734" s="267" t="s">
        <v>3926</v>
      </c>
      <c r="H1734" s="267" t="s">
        <v>6010</v>
      </c>
      <c r="I1734" s="267" t="s">
        <v>950</v>
      </c>
      <c r="J1734" s="267" t="s">
        <v>3928</v>
      </c>
      <c r="K1734" s="267">
        <v>6516</v>
      </c>
      <c r="L1734" s="267">
        <v>154600</v>
      </c>
      <c r="M1734" s="267">
        <v>-60</v>
      </c>
      <c r="N1734" s="267" t="s">
        <v>5559</v>
      </c>
      <c r="O1734" s="267">
        <v>4959.18</v>
      </c>
      <c r="P1734" s="267" t="s">
        <v>3930</v>
      </c>
      <c r="Q1734" s="267" t="s">
        <v>3931</v>
      </c>
      <c r="R1734" s="267">
        <v>9959.18</v>
      </c>
      <c r="S1734" s="267">
        <v>35447.800000000003</v>
      </c>
      <c r="T1734" s="267">
        <v>45406.98</v>
      </c>
      <c r="U1734" s="268" t="s">
        <v>3932</v>
      </c>
      <c r="V1734" s="267" t="s">
        <v>944</v>
      </c>
    </row>
    <row r="1735" spans="1:22" hidden="1" x14ac:dyDescent="0.25">
      <c r="A1735" s="269">
        <v>43564</v>
      </c>
      <c r="B1735" s="270">
        <v>2019</v>
      </c>
      <c r="C1735" s="270">
        <v>2019</v>
      </c>
      <c r="D1735" s="270">
        <v>1</v>
      </c>
      <c r="E1735" s="270">
        <v>1</v>
      </c>
      <c r="F1735" s="270" t="s">
        <v>944</v>
      </c>
      <c r="G1735" s="270" t="s">
        <v>3926</v>
      </c>
      <c r="H1735" s="270" t="s">
        <v>6011</v>
      </c>
      <c r="I1735" s="270" t="s">
        <v>2987</v>
      </c>
      <c r="J1735" s="270" t="s">
        <v>3928</v>
      </c>
      <c r="K1735" s="270">
        <v>6611</v>
      </c>
      <c r="L1735" s="270">
        <v>90200</v>
      </c>
      <c r="M1735" s="270" t="s">
        <v>3943</v>
      </c>
      <c r="N1735" s="270" t="s">
        <v>3944</v>
      </c>
      <c r="O1735" s="270">
        <v>4130</v>
      </c>
      <c r="P1735" s="270" t="s">
        <v>3944</v>
      </c>
      <c r="Q1735" s="270" t="s">
        <v>3944</v>
      </c>
      <c r="R1735" s="270">
        <v>4130</v>
      </c>
      <c r="S1735" s="270">
        <v>26990</v>
      </c>
      <c r="T1735" s="270">
        <v>31120</v>
      </c>
      <c r="U1735" s="271" t="s">
        <v>3945</v>
      </c>
      <c r="V1735" s="267" t="s">
        <v>944</v>
      </c>
    </row>
    <row r="1736" spans="1:22" hidden="1" x14ac:dyDescent="0.25">
      <c r="A1736" s="266">
        <v>43564</v>
      </c>
      <c r="B1736" s="267">
        <v>2019</v>
      </c>
      <c r="C1736" s="267">
        <v>2019</v>
      </c>
      <c r="D1736" s="267">
        <v>1</v>
      </c>
      <c r="E1736" s="267">
        <v>1</v>
      </c>
      <c r="F1736" s="267" t="s">
        <v>944</v>
      </c>
      <c r="G1736" s="267" t="s">
        <v>3926</v>
      </c>
      <c r="H1736" s="267" t="s">
        <v>6012</v>
      </c>
      <c r="I1736" s="267" t="s">
        <v>4461</v>
      </c>
      <c r="J1736" s="267" t="s">
        <v>3928</v>
      </c>
      <c r="K1736" s="267">
        <v>6831</v>
      </c>
      <c r="L1736" s="267">
        <v>10102</v>
      </c>
      <c r="M1736" s="267" t="s">
        <v>3943</v>
      </c>
      <c r="N1736" s="267" t="s">
        <v>3944</v>
      </c>
      <c r="O1736" s="267">
        <v>3956</v>
      </c>
      <c r="P1736" s="267" t="s">
        <v>3944</v>
      </c>
      <c r="Q1736" s="267" t="s">
        <v>3944</v>
      </c>
      <c r="R1736" s="267">
        <v>3956</v>
      </c>
      <c r="S1736" s="267">
        <v>66899</v>
      </c>
      <c r="T1736" s="267">
        <v>70855</v>
      </c>
      <c r="U1736" s="268" t="s">
        <v>3945</v>
      </c>
      <c r="V1736" s="267" t="s">
        <v>944</v>
      </c>
    </row>
    <row r="1737" spans="1:22" hidden="1" x14ac:dyDescent="0.25">
      <c r="A1737" s="269">
        <v>43564</v>
      </c>
      <c r="B1737" s="270">
        <v>2019</v>
      </c>
      <c r="C1737" s="270">
        <v>2019</v>
      </c>
      <c r="D1737" s="270">
        <v>1</v>
      </c>
      <c r="E1737" s="270">
        <v>1</v>
      </c>
      <c r="F1737" s="270" t="s">
        <v>944</v>
      </c>
      <c r="G1737" s="270" t="s">
        <v>3926</v>
      </c>
      <c r="H1737" s="270" t="s">
        <v>6013</v>
      </c>
      <c r="I1737" s="270" t="s">
        <v>3949</v>
      </c>
      <c r="J1737" s="270" t="s">
        <v>3928</v>
      </c>
      <c r="K1737" s="270">
        <v>6437</v>
      </c>
      <c r="L1737" s="270">
        <v>190200</v>
      </c>
      <c r="M1737" s="270" t="s">
        <v>3943</v>
      </c>
      <c r="N1737" s="270" t="s">
        <v>3944</v>
      </c>
      <c r="O1737" s="270">
        <v>6605</v>
      </c>
      <c r="P1737" s="270" t="s">
        <v>3944</v>
      </c>
      <c r="Q1737" s="270" t="s">
        <v>3944</v>
      </c>
      <c r="R1737" s="270">
        <v>6605</v>
      </c>
      <c r="S1737" s="270">
        <v>79599</v>
      </c>
      <c r="T1737" s="270">
        <v>86204</v>
      </c>
      <c r="U1737" s="271" t="s">
        <v>3945</v>
      </c>
      <c r="V1737" s="267" t="s">
        <v>944</v>
      </c>
    </row>
    <row r="1738" spans="1:22" hidden="1" x14ac:dyDescent="0.25">
      <c r="A1738" s="266">
        <v>43564</v>
      </c>
      <c r="B1738" s="267">
        <v>2019</v>
      </c>
      <c r="C1738" s="267">
        <v>2019</v>
      </c>
      <c r="D1738" s="267">
        <v>1</v>
      </c>
      <c r="E1738" s="267">
        <v>1</v>
      </c>
      <c r="F1738" s="267" t="s">
        <v>944</v>
      </c>
      <c r="G1738" s="267" t="s">
        <v>3926</v>
      </c>
      <c r="H1738" s="267" t="s">
        <v>6014</v>
      </c>
      <c r="I1738" s="267" t="s">
        <v>4087</v>
      </c>
      <c r="J1738" s="267" t="s">
        <v>3928</v>
      </c>
      <c r="K1738" s="267">
        <v>6340</v>
      </c>
      <c r="L1738" s="267">
        <v>702900</v>
      </c>
      <c r="M1738" s="267" t="s">
        <v>3943</v>
      </c>
      <c r="N1738" s="267" t="s">
        <v>3944</v>
      </c>
      <c r="O1738" s="267">
        <v>2477</v>
      </c>
      <c r="P1738" s="267" t="s">
        <v>3944</v>
      </c>
      <c r="Q1738" s="267" t="s">
        <v>3944</v>
      </c>
      <c r="R1738" s="267">
        <v>2477</v>
      </c>
      <c r="S1738" s="267">
        <v>16531</v>
      </c>
      <c r="T1738" s="267">
        <v>19008</v>
      </c>
      <c r="U1738" s="268" t="s">
        <v>3945</v>
      </c>
      <c r="V1738" s="267" t="s">
        <v>944</v>
      </c>
    </row>
    <row r="1739" spans="1:22" hidden="1" x14ac:dyDescent="0.25">
      <c r="A1739" s="269">
        <v>43564</v>
      </c>
      <c r="B1739" s="270">
        <v>2019</v>
      </c>
      <c r="C1739" s="270">
        <v>2019</v>
      </c>
      <c r="D1739" s="270">
        <v>1</v>
      </c>
      <c r="E1739" s="270">
        <v>1</v>
      </c>
      <c r="F1739" s="270" t="s">
        <v>944</v>
      </c>
      <c r="G1739" s="270" t="s">
        <v>3926</v>
      </c>
      <c r="H1739" s="270" t="s">
        <v>6015</v>
      </c>
      <c r="I1739" s="270" t="s">
        <v>3975</v>
      </c>
      <c r="J1739" s="270" t="s">
        <v>3928</v>
      </c>
      <c r="K1739" s="270">
        <v>6489</v>
      </c>
      <c r="L1739" s="270">
        <v>430602</v>
      </c>
      <c r="M1739" s="270" t="s">
        <v>3960</v>
      </c>
      <c r="N1739" s="270" t="s">
        <v>3944</v>
      </c>
      <c r="O1739" s="270">
        <v>1547</v>
      </c>
      <c r="P1739" s="270" t="s">
        <v>3944</v>
      </c>
      <c r="Q1739" s="270" t="s">
        <v>3944</v>
      </c>
      <c r="R1739" s="270">
        <v>1547</v>
      </c>
      <c r="S1739" s="270">
        <v>16653</v>
      </c>
      <c r="T1739" s="270">
        <v>18200</v>
      </c>
      <c r="U1739" s="271" t="s">
        <v>3945</v>
      </c>
      <c r="V1739" s="267" t="s">
        <v>944</v>
      </c>
    </row>
    <row r="1740" spans="1:22" hidden="1" x14ac:dyDescent="0.25">
      <c r="A1740" s="266">
        <v>43564</v>
      </c>
      <c r="B1740" s="267">
        <v>2019</v>
      </c>
      <c r="C1740" s="267">
        <v>2019</v>
      </c>
      <c r="D1740" s="267">
        <v>1</v>
      </c>
      <c r="E1740" s="267">
        <v>1</v>
      </c>
      <c r="F1740" s="267" t="s">
        <v>944</v>
      </c>
      <c r="G1740" s="267" t="s">
        <v>3926</v>
      </c>
      <c r="H1740" s="267" t="s">
        <v>6016</v>
      </c>
      <c r="I1740" s="267" t="s">
        <v>3008</v>
      </c>
      <c r="J1740" s="267" t="s">
        <v>3928</v>
      </c>
      <c r="K1740" s="267">
        <v>6460</v>
      </c>
      <c r="L1740" s="267">
        <v>151100</v>
      </c>
      <c r="M1740" s="267" t="s">
        <v>3960</v>
      </c>
      <c r="N1740" s="267" t="s">
        <v>3944</v>
      </c>
      <c r="O1740" s="267">
        <v>5315</v>
      </c>
      <c r="P1740" s="267" t="s">
        <v>3944</v>
      </c>
      <c r="Q1740" s="267" t="s">
        <v>3944</v>
      </c>
      <c r="R1740" s="267">
        <v>5315</v>
      </c>
      <c r="S1740" s="267">
        <v>38503</v>
      </c>
      <c r="T1740" s="267">
        <v>43818</v>
      </c>
      <c r="U1740" s="268" t="s">
        <v>3945</v>
      </c>
      <c r="V1740" s="267" t="s">
        <v>944</v>
      </c>
    </row>
    <row r="1741" spans="1:22" hidden="1" x14ac:dyDescent="0.25">
      <c r="A1741" s="269">
        <v>43564</v>
      </c>
      <c r="B1741" s="270">
        <v>2019</v>
      </c>
      <c r="C1741" s="270">
        <v>2019</v>
      </c>
      <c r="D1741" s="270">
        <v>1</v>
      </c>
      <c r="E1741" s="270">
        <v>1</v>
      </c>
      <c r="F1741" s="270" t="s">
        <v>944</v>
      </c>
      <c r="G1741" s="270" t="s">
        <v>3926</v>
      </c>
      <c r="H1741" s="270" t="s">
        <v>6017</v>
      </c>
      <c r="I1741" s="270" t="s">
        <v>4461</v>
      </c>
      <c r="J1741" s="270" t="s">
        <v>3928</v>
      </c>
      <c r="K1741" s="270">
        <v>6870</v>
      </c>
      <c r="L1741" s="270">
        <v>11000</v>
      </c>
      <c r="M1741" s="270" t="s">
        <v>3943</v>
      </c>
      <c r="N1741" s="270" t="s">
        <v>3944</v>
      </c>
      <c r="O1741" s="270">
        <v>5609</v>
      </c>
      <c r="P1741" s="270" t="s">
        <v>3944</v>
      </c>
      <c r="Q1741" s="270" t="s">
        <v>3944</v>
      </c>
      <c r="R1741" s="270">
        <v>5609</v>
      </c>
      <c r="S1741" s="270">
        <v>61706</v>
      </c>
      <c r="T1741" s="270">
        <v>67315</v>
      </c>
      <c r="U1741" s="271" t="s">
        <v>3945</v>
      </c>
      <c r="V1741" s="267" t="s">
        <v>944</v>
      </c>
    </row>
    <row r="1742" spans="1:22" hidden="1" x14ac:dyDescent="0.25">
      <c r="A1742" s="266">
        <v>43564</v>
      </c>
      <c r="B1742" s="267">
        <v>2019</v>
      </c>
      <c r="C1742" s="267">
        <v>2019</v>
      </c>
      <c r="D1742" s="267">
        <v>1</v>
      </c>
      <c r="E1742" s="267">
        <v>1</v>
      </c>
      <c r="F1742" s="267" t="s">
        <v>944</v>
      </c>
      <c r="G1742" s="267" t="s">
        <v>3926</v>
      </c>
      <c r="H1742" s="267" t="s">
        <v>6018</v>
      </c>
      <c r="I1742" s="267" t="s">
        <v>4323</v>
      </c>
      <c r="J1742" s="267" t="s">
        <v>3928</v>
      </c>
      <c r="K1742" s="267">
        <v>6385</v>
      </c>
      <c r="L1742" s="267">
        <v>693400</v>
      </c>
      <c r="M1742" s="267" t="s">
        <v>3940</v>
      </c>
      <c r="N1742" s="267" t="s">
        <v>3944</v>
      </c>
      <c r="O1742" s="267">
        <v>2540</v>
      </c>
      <c r="P1742" s="267" t="s">
        <v>3944</v>
      </c>
      <c r="Q1742" s="267" t="s">
        <v>3944</v>
      </c>
      <c r="R1742" s="267">
        <v>2540</v>
      </c>
      <c r="S1742" s="267">
        <v>27058</v>
      </c>
      <c r="T1742" s="267">
        <v>29598</v>
      </c>
      <c r="U1742" s="268" t="s">
        <v>3945</v>
      </c>
      <c r="V1742" s="267" t="s">
        <v>944</v>
      </c>
    </row>
    <row r="1743" spans="1:22" hidden="1" x14ac:dyDescent="0.25">
      <c r="A1743" s="269">
        <v>43564</v>
      </c>
      <c r="B1743" s="270">
        <v>2019</v>
      </c>
      <c r="C1743" s="270">
        <v>2019</v>
      </c>
      <c r="D1743" s="270">
        <v>1</v>
      </c>
      <c r="E1743" s="270">
        <v>1</v>
      </c>
      <c r="F1743" s="270" t="s">
        <v>944</v>
      </c>
      <c r="G1743" s="270" t="s">
        <v>3926</v>
      </c>
      <c r="H1743" s="270" t="s">
        <v>6019</v>
      </c>
      <c r="I1743" s="270" t="s">
        <v>4016</v>
      </c>
      <c r="J1743" s="270" t="s">
        <v>3928</v>
      </c>
      <c r="K1743" s="270">
        <v>6770</v>
      </c>
      <c r="L1743" s="270">
        <v>345100</v>
      </c>
      <c r="M1743" s="270" t="s">
        <v>3940</v>
      </c>
      <c r="N1743" s="270" t="s">
        <v>3944</v>
      </c>
      <c r="O1743" s="270">
        <v>3501.89</v>
      </c>
      <c r="P1743" s="270" t="s">
        <v>3944</v>
      </c>
      <c r="Q1743" s="270" t="s">
        <v>3944</v>
      </c>
      <c r="R1743" s="270">
        <v>3501.89</v>
      </c>
      <c r="S1743" s="270">
        <v>72246.19</v>
      </c>
      <c r="T1743" s="270">
        <v>75748.08</v>
      </c>
      <c r="U1743" s="271" t="s">
        <v>3945</v>
      </c>
      <c r="V1743" s="267" t="s">
        <v>944</v>
      </c>
    </row>
    <row r="1744" spans="1:22" hidden="1" x14ac:dyDescent="0.25">
      <c r="A1744" s="266">
        <v>43564</v>
      </c>
      <c r="B1744" s="267">
        <v>2019</v>
      </c>
      <c r="C1744" s="267">
        <v>2019</v>
      </c>
      <c r="D1744" s="267">
        <v>1</v>
      </c>
      <c r="E1744" s="267">
        <v>1</v>
      </c>
      <c r="F1744" s="267" t="s">
        <v>944</v>
      </c>
      <c r="G1744" s="267" t="s">
        <v>3926</v>
      </c>
      <c r="H1744" s="267" t="s">
        <v>6020</v>
      </c>
      <c r="I1744" s="267" t="s">
        <v>5401</v>
      </c>
      <c r="J1744" s="267" t="s">
        <v>3928</v>
      </c>
      <c r="K1744" s="267">
        <v>6820</v>
      </c>
      <c r="L1744" s="267">
        <v>30400</v>
      </c>
      <c r="M1744" s="267" t="s">
        <v>3943</v>
      </c>
      <c r="N1744" s="267" t="s">
        <v>3944</v>
      </c>
      <c r="O1744" s="267">
        <v>2586.64</v>
      </c>
      <c r="P1744" s="267" t="s">
        <v>3944</v>
      </c>
      <c r="Q1744" s="267" t="s">
        <v>3944</v>
      </c>
      <c r="R1744" s="267">
        <v>2586.64</v>
      </c>
      <c r="S1744" s="267">
        <v>42211.360000000001</v>
      </c>
      <c r="T1744" s="267">
        <v>44798</v>
      </c>
      <c r="U1744" s="268" t="s">
        <v>3945</v>
      </c>
      <c r="V1744" s="267" t="s">
        <v>944</v>
      </c>
    </row>
    <row r="1745" spans="1:22" hidden="1" x14ac:dyDescent="0.25">
      <c r="A1745" s="269">
        <v>43564</v>
      </c>
      <c r="B1745" s="270">
        <v>2019</v>
      </c>
      <c r="C1745" s="270">
        <v>2019</v>
      </c>
      <c r="D1745" s="270">
        <v>1</v>
      </c>
      <c r="E1745" s="270">
        <v>1</v>
      </c>
      <c r="F1745" s="270" t="s">
        <v>944</v>
      </c>
      <c r="G1745" s="270" t="s">
        <v>3926</v>
      </c>
      <c r="H1745" s="270" t="s">
        <v>6021</v>
      </c>
      <c r="I1745" s="270" t="s">
        <v>4069</v>
      </c>
      <c r="J1745" s="270" t="s">
        <v>3928</v>
      </c>
      <c r="K1745" s="270">
        <v>6902</v>
      </c>
      <c r="L1745" s="270">
        <v>20500</v>
      </c>
      <c r="M1745" s="270" t="s">
        <v>3943</v>
      </c>
      <c r="N1745" s="270" t="s">
        <v>3944</v>
      </c>
      <c r="O1745" s="270">
        <v>3041.68</v>
      </c>
      <c r="P1745" s="270" t="s">
        <v>3944</v>
      </c>
      <c r="Q1745" s="270" t="s">
        <v>3944</v>
      </c>
      <c r="R1745" s="270">
        <v>3041.68</v>
      </c>
      <c r="S1745" s="270">
        <v>55211.519999999997</v>
      </c>
      <c r="T1745" s="270">
        <v>58253.2</v>
      </c>
      <c r="U1745" s="271" t="s">
        <v>3945</v>
      </c>
      <c r="V1745" s="267" t="s">
        <v>944</v>
      </c>
    </row>
    <row r="1746" spans="1:22" hidden="1" x14ac:dyDescent="0.25">
      <c r="A1746" s="266">
        <v>43564</v>
      </c>
      <c r="B1746" s="267">
        <v>2019</v>
      </c>
      <c r="C1746" s="267">
        <v>2019</v>
      </c>
      <c r="D1746" s="267">
        <v>1</v>
      </c>
      <c r="E1746" s="267">
        <v>1</v>
      </c>
      <c r="F1746" s="267" t="s">
        <v>944</v>
      </c>
      <c r="G1746" s="267" t="s">
        <v>3926</v>
      </c>
      <c r="H1746" s="267" t="s">
        <v>6022</v>
      </c>
      <c r="I1746" s="267" t="s">
        <v>4172</v>
      </c>
      <c r="J1746" s="267" t="s">
        <v>3928</v>
      </c>
      <c r="K1746" s="267">
        <v>6786</v>
      </c>
      <c r="L1746" s="267">
        <v>425300</v>
      </c>
      <c r="M1746" s="267" t="s">
        <v>3960</v>
      </c>
      <c r="N1746" s="267" t="s">
        <v>3944</v>
      </c>
      <c r="O1746" s="267">
        <v>2429.25</v>
      </c>
      <c r="P1746" s="267" t="s">
        <v>3944</v>
      </c>
      <c r="Q1746" s="267" t="s">
        <v>3944</v>
      </c>
      <c r="R1746" s="267">
        <v>2429.25</v>
      </c>
      <c r="S1746" s="267">
        <v>40194.75</v>
      </c>
      <c r="T1746" s="267">
        <v>42624</v>
      </c>
      <c r="U1746" s="268" t="s">
        <v>3945</v>
      </c>
      <c r="V1746" s="267" t="s">
        <v>944</v>
      </c>
    </row>
    <row r="1747" spans="1:22" hidden="1" x14ac:dyDescent="0.25">
      <c r="A1747" s="269">
        <v>43564</v>
      </c>
      <c r="B1747" s="270">
        <v>2019</v>
      </c>
      <c r="C1747" s="270">
        <v>2019</v>
      </c>
      <c r="D1747" s="270">
        <v>1</v>
      </c>
      <c r="E1747" s="270">
        <v>1</v>
      </c>
      <c r="F1747" s="270" t="s">
        <v>944</v>
      </c>
      <c r="G1747" s="270" t="s">
        <v>3926</v>
      </c>
      <c r="H1747" s="270" t="s">
        <v>6023</v>
      </c>
      <c r="I1747" s="270" t="s">
        <v>4119</v>
      </c>
      <c r="J1747" s="270" t="s">
        <v>3928</v>
      </c>
      <c r="K1747" s="270">
        <v>6078</v>
      </c>
      <c r="L1747" s="270">
        <v>477102</v>
      </c>
      <c r="M1747" s="270" t="s">
        <v>3943</v>
      </c>
      <c r="N1747" s="270" t="s">
        <v>3944</v>
      </c>
      <c r="O1747" s="270">
        <v>2227.44</v>
      </c>
      <c r="P1747" s="270" t="s">
        <v>3944</v>
      </c>
      <c r="Q1747" s="270" t="s">
        <v>3944</v>
      </c>
      <c r="R1747" s="270">
        <v>2227.44</v>
      </c>
      <c r="S1747" s="270">
        <v>37898.160000000003</v>
      </c>
      <c r="T1747" s="270">
        <v>40125.599999999999</v>
      </c>
      <c r="U1747" s="271" t="s">
        <v>3945</v>
      </c>
      <c r="V1747" s="267" t="s">
        <v>944</v>
      </c>
    </row>
    <row r="1748" spans="1:22" hidden="1" x14ac:dyDescent="0.25">
      <c r="A1748" s="266">
        <v>43564</v>
      </c>
      <c r="B1748" s="267">
        <v>2019</v>
      </c>
      <c r="C1748" s="267">
        <v>2019</v>
      </c>
      <c r="D1748" s="267">
        <v>1</v>
      </c>
      <c r="E1748" s="267">
        <v>1</v>
      </c>
      <c r="F1748" s="267" t="s">
        <v>944</v>
      </c>
      <c r="G1748" s="267" t="s">
        <v>3926</v>
      </c>
      <c r="H1748" s="267" t="s">
        <v>6024</v>
      </c>
      <c r="I1748" s="267" t="s">
        <v>5032</v>
      </c>
      <c r="J1748" s="267" t="s">
        <v>3928</v>
      </c>
      <c r="K1748" s="267">
        <v>6062</v>
      </c>
      <c r="L1748" s="267">
        <v>420600</v>
      </c>
      <c r="M1748" s="267" t="s">
        <v>3935</v>
      </c>
      <c r="N1748" s="267" t="s">
        <v>3944</v>
      </c>
      <c r="O1748" s="267">
        <v>4113.6899999999996</v>
      </c>
      <c r="P1748" s="267" t="s">
        <v>3944</v>
      </c>
      <c r="Q1748" s="267" t="s">
        <v>3944</v>
      </c>
      <c r="R1748" s="267">
        <v>4113.6899999999996</v>
      </c>
      <c r="S1748" s="267">
        <v>55826.31</v>
      </c>
      <c r="T1748" s="267">
        <v>59940</v>
      </c>
      <c r="U1748" s="268" t="s">
        <v>3945</v>
      </c>
      <c r="V1748" s="267" t="s">
        <v>944</v>
      </c>
    </row>
    <row r="1749" spans="1:22" hidden="1" x14ac:dyDescent="0.25">
      <c r="A1749" s="269">
        <v>43564</v>
      </c>
      <c r="B1749" s="270">
        <v>2019</v>
      </c>
      <c r="C1749" s="270">
        <v>2019</v>
      </c>
      <c r="D1749" s="270">
        <v>1</v>
      </c>
      <c r="E1749" s="270">
        <v>1</v>
      </c>
      <c r="F1749" s="270" t="s">
        <v>944</v>
      </c>
      <c r="G1749" s="270" t="s">
        <v>3926</v>
      </c>
      <c r="H1749" s="270" t="s">
        <v>6025</v>
      </c>
      <c r="I1749" s="270" t="s">
        <v>3956</v>
      </c>
      <c r="J1749" s="270" t="s">
        <v>3928</v>
      </c>
      <c r="K1749" s="270">
        <v>6106</v>
      </c>
      <c r="L1749" s="270">
        <v>524700</v>
      </c>
      <c r="M1749" s="270" t="s">
        <v>3935</v>
      </c>
      <c r="N1749" s="270" t="s">
        <v>3944</v>
      </c>
      <c r="O1749" s="270">
        <v>923.76</v>
      </c>
      <c r="P1749" s="270" t="s">
        <v>3944</v>
      </c>
      <c r="Q1749" s="270" t="s">
        <v>3944</v>
      </c>
      <c r="R1749" s="270">
        <v>923.76</v>
      </c>
      <c r="S1749" s="270">
        <v>19157.72</v>
      </c>
      <c r="T1749" s="270">
        <v>20081.48</v>
      </c>
      <c r="U1749" s="271" t="s">
        <v>3945</v>
      </c>
      <c r="V1749" s="267" t="s">
        <v>944</v>
      </c>
    </row>
    <row r="1750" spans="1:22" hidden="1" x14ac:dyDescent="0.25">
      <c r="A1750" s="266">
        <v>43564</v>
      </c>
      <c r="B1750" s="267">
        <v>2019</v>
      </c>
      <c r="C1750" s="267">
        <v>2019</v>
      </c>
      <c r="D1750" s="267">
        <v>1</v>
      </c>
      <c r="E1750" s="267">
        <v>1</v>
      </c>
      <c r="F1750" s="267" t="s">
        <v>944</v>
      </c>
      <c r="G1750" s="267" t="s">
        <v>3926</v>
      </c>
      <c r="H1750" s="267" t="s">
        <v>6026</v>
      </c>
      <c r="I1750" s="267" t="s">
        <v>3968</v>
      </c>
      <c r="J1750" s="267" t="s">
        <v>3928</v>
      </c>
      <c r="K1750" s="267">
        <v>6042</v>
      </c>
      <c r="L1750" s="267">
        <v>514102</v>
      </c>
      <c r="M1750" s="267" t="s">
        <v>3935</v>
      </c>
      <c r="N1750" s="267" t="s">
        <v>3944</v>
      </c>
      <c r="O1750" s="267">
        <v>1386.04</v>
      </c>
      <c r="P1750" s="267" t="s">
        <v>3944</v>
      </c>
      <c r="Q1750" s="267" t="s">
        <v>3944</v>
      </c>
      <c r="R1750" s="267">
        <v>1386.04</v>
      </c>
      <c r="S1750" s="267">
        <v>20550.189999999999</v>
      </c>
      <c r="T1750" s="267">
        <v>21936.23</v>
      </c>
      <c r="U1750" s="268" t="s">
        <v>3945</v>
      </c>
      <c r="V1750" s="267" t="s">
        <v>944</v>
      </c>
    </row>
    <row r="1751" spans="1:22" x14ac:dyDescent="0.25">
      <c r="A1751" s="269">
        <v>43565</v>
      </c>
      <c r="B1751" s="270">
        <v>2019</v>
      </c>
      <c r="C1751" s="270">
        <v>2019</v>
      </c>
      <c r="D1751" s="270">
        <v>1</v>
      </c>
      <c r="E1751" s="270">
        <v>1</v>
      </c>
      <c r="F1751" s="270" t="s">
        <v>944</v>
      </c>
      <c r="G1751" s="270" t="s">
        <v>3926</v>
      </c>
      <c r="H1751" s="270" t="s">
        <v>6027</v>
      </c>
      <c r="I1751" s="270" t="s">
        <v>934</v>
      </c>
      <c r="J1751" s="270" t="s">
        <v>3928</v>
      </c>
      <c r="K1751" s="270">
        <v>6610</v>
      </c>
      <c r="L1751" s="270">
        <v>73400</v>
      </c>
      <c r="M1751" s="270" t="s">
        <v>3940</v>
      </c>
      <c r="N1751" s="270" t="s">
        <v>4719</v>
      </c>
      <c r="O1751" s="270">
        <v>0</v>
      </c>
      <c r="P1751" s="270" t="s">
        <v>3930</v>
      </c>
      <c r="Q1751" s="270" t="s">
        <v>3931</v>
      </c>
      <c r="R1751" s="270">
        <v>5000</v>
      </c>
      <c r="S1751" s="270">
        <v>25015</v>
      </c>
      <c r="T1751" s="270">
        <v>30015</v>
      </c>
      <c r="U1751" s="271" t="s">
        <v>3932</v>
      </c>
      <c r="V1751" s="276" t="s">
        <v>936</v>
      </c>
    </row>
    <row r="1752" spans="1:22" x14ac:dyDescent="0.25">
      <c r="A1752" s="266">
        <v>43565</v>
      </c>
      <c r="B1752" s="267">
        <v>2019</v>
      </c>
      <c r="C1752" s="267">
        <v>2019</v>
      </c>
      <c r="D1752" s="267">
        <v>1</v>
      </c>
      <c r="E1752" s="267">
        <v>1</v>
      </c>
      <c r="F1752" s="267" t="s">
        <v>944</v>
      </c>
      <c r="G1752" s="267" t="s">
        <v>3997</v>
      </c>
      <c r="H1752" s="267" t="s">
        <v>6028</v>
      </c>
      <c r="I1752" s="267" t="s">
        <v>934</v>
      </c>
      <c r="J1752" s="267" t="s">
        <v>3928</v>
      </c>
      <c r="K1752" s="267">
        <v>6610</v>
      </c>
      <c r="L1752" s="267">
        <v>73100</v>
      </c>
      <c r="M1752" s="267">
        <v>-60</v>
      </c>
      <c r="N1752" s="267" t="s">
        <v>4498</v>
      </c>
      <c r="O1752" s="267">
        <v>3207.68</v>
      </c>
      <c r="P1752" s="267" t="s">
        <v>3930</v>
      </c>
      <c r="Q1752" s="267" t="s">
        <v>3931</v>
      </c>
      <c r="R1752" s="267">
        <v>8207.68</v>
      </c>
      <c r="S1752" s="267">
        <v>21752</v>
      </c>
      <c r="T1752" s="267">
        <v>29959.68</v>
      </c>
      <c r="U1752" s="268" t="s">
        <v>3932</v>
      </c>
      <c r="V1752" s="276" t="s">
        <v>936</v>
      </c>
    </row>
    <row r="1753" spans="1:22" hidden="1" x14ac:dyDescent="0.25">
      <c r="A1753" s="269">
        <v>43565</v>
      </c>
      <c r="B1753" s="270">
        <v>2019</v>
      </c>
      <c r="C1753" s="270">
        <v>2019</v>
      </c>
      <c r="D1753" s="270">
        <v>1</v>
      </c>
      <c r="E1753" s="270">
        <v>1</v>
      </c>
      <c r="F1753" s="270" t="s">
        <v>944</v>
      </c>
      <c r="G1753" s="270" t="s">
        <v>3926</v>
      </c>
      <c r="H1753" s="270" t="s">
        <v>6029</v>
      </c>
      <c r="I1753" s="270" t="s">
        <v>953</v>
      </c>
      <c r="J1753" s="270" t="s">
        <v>3928</v>
      </c>
      <c r="K1753" s="270">
        <v>6514</v>
      </c>
      <c r="L1753" s="270">
        <v>165802</v>
      </c>
      <c r="M1753" s="270" t="s">
        <v>3943</v>
      </c>
      <c r="N1753" s="270" t="s">
        <v>3929</v>
      </c>
      <c r="O1753" s="270">
        <v>1995.98</v>
      </c>
      <c r="P1753" s="270" t="s">
        <v>3930</v>
      </c>
      <c r="Q1753" s="270" t="s">
        <v>3931</v>
      </c>
      <c r="R1753" s="270">
        <v>6995.98</v>
      </c>
      <c r="S1753" s="270">
        <v>34744</v>
      </c>
      <c r="T1753" s="270">
        <v>41739.980000000003</v>
      </c>
      <c r="U1753" s="271" t="s">
        <v>3932</v>
      </c>
      <c r="V1753" s="267" t="s">
        <v>944</v>
      </c>
    </row>
    <row r="1754" spans="1:22" hidden="1" x14ac:dyDescent="0.25">
      <c r="A1754" s="266">
        <v>43565</v>
      </c>
      <c r="B1754" s="267">
        <v>2019</v>
      </c>
      <c r="C1754" s="267">
        <v>2019</v>
      </c>
      <c r="D1754" s="267">
        <v>1</v>
      </c>
      <c r="E1754" s="267">
        <v>1</v>
      </c>
      <c r="F1754" s="267" t="s">
        <v>944</v>
      </c>
      <c r="G1754" s="267" t="s">
        <v>3926</v>
      </c>
      <c r="H1754" s="267" t="s">
        <v>6030</v>
      </c>
      <c r="I1754" s="267" t="s">
        <v>4757</v>
      </c>
      <c r="J1754" s="267" t="s">
        <v>3928</v>
      </c>
      <c r="K1754" s="267">
        <v>6063</v>
      </c>
      <c r="L1754" s="267">
        <v>290100</v>
      </c>
      <c r="M1754" s="267" t="s">
        <v>3943</v>
      </c>
      <c r="N1754" s="267" t="s">
        <v>3944</v>
      </c>
      <c r="O1754" s="267">
        <v>6863</v>
      </c>
      <c r="P1754" s="267" t="s">
        <v>3944</v>
      </c>
      <c r="Q1754" s="267" t="s">
        <v>3944</v>
      </c>
      <c r="R1754" s="267">
        <v>6863</v>
      </c>
      <c r="S1754" s="267">
        <v>47547.199999999997</v>
      </c>
      <c r="T1754" s="267">
        <v>54410.2</v>
      </c>
      <c r="U1754" s="268" t="s">
        <v>3945</v>
      </c>
      <c r="V1754" s="267" t="s">
        <v>944</v>
      </c>
    </row>
    <row r="1755" spans="1:22" hidden="1" x14ac:dyDescent="0.25">
      <c r="A1755" s="269">
        <v>43565</v>
      </c>
      <c r="B1755" s="270">
        <v>2019</v>
      </c>
      <c r="C1755" s="270">
        <v>2019</v>
      </c>
      <c r="D1755" s="270">
        <v>1</v>
      </c>
      <c r="E1755" s="270">
        <v>1</v>
      </c>
      <c r="F1755" s="270" t="s">
        <v>944</v>
      </c>
      <c r="G1755" s="270" t="s">
        <v>3926</v>
      </c>
      <c r="H1755" s="270" t="s">
        <v>6031</v>
      </c>
      <c r="I1755" s="270" t="s">
        <v>5485</v>
      </c>
      <c r="J1755" s="270" t="s">
        <v>3928</v>
      </c>
      <c r="K1755" s="270">
        <v>6001</v>
      </c>
      <c r="L1755" s="270">
        <v>462101</v>
      </c>
      <c r="M1755" s="270" t="s">
        <v>3943</v>
      </c>
      <c r="N1755" s="270" t="s">
        <v>3944</v>
      </c>
      <c r="O1755" s="270">
        <v>4988</v>
      </c>
      <c r="P1755" s="270" t="s">
        <v>3944</v>
      </c>
      <c r="Q1755" s="270" t="s">
        <v>3944</v>
      </c>
      <c r="R1755" s="270">
        <v>4988</v>
      </c>
      <c r="S1755" s="270">
        <v>91131</v>
      </c>
      <c r="T1755" s="270">
        <v>96119</v>
      </c>
      <c r="U1755" s="271" t="s">
        <v>3945</v>
      </c>
      <c r="V1755" s="267" t="s">
        <v>944</v>
      </c>
    </row>
    <row r="1756" spans="1:22" hidden="1" x14ac:dyDescent="0.25">
      <c r="A1756" s="266">
        <v>43565</v>
      </c>
      <c r="B1756" s="267">
        <v>2019</v>
      </c>
      <c r="C1756" s="267">
        <v>2019</v>
      </c>
      <c r="D1756" s="267">
        <v>1</v>
      </c>
      <c r="E1756" s="267">
        <v>1</v>
      </c>
      <c r="F1756" s="267" t="s">
        <v>944</v>
      </c>
      <c r="G1756" s="267" t="s">
        <v>3926</v>
      </c>
      <c r="H1756" s="267" t="s">
        <v>6032</v>
      </c>
      <c r="I1756" s="267" t="s">
        <v>2985</v>
      </c>
      <c r="J1756" s="267" t="s">
        <v>3928</v>
      </c>
      <c r="K1756" s="267">
        <v>6890</v>
      </c>
      <c r="L1756" s="267">
        <v>60600</v>
      </c>
      <c r="M1756" s="267" t="s">
        <v>3943</v>
      </c>
      <c r="N1756" s="267" t="s">
        <v>3944</v>
      </c>
      <c r="O1756" s="267">
        <v>2390</v>
      </c>
      <c r="P1756" s="267" t="s">
        <v>3944</v>
      </c>
      <c r="Q1756" s="267" t="s">
        <v>3944</v>
      </c>
      <c r="R1756" s="267">
        <v>2390</v>
      </c>
      <c r="S1756" s="267">
        <v>25908</v>
      </c>
      <c r="T1756" s="267">
        <v>28298</v>
      </c>
      <c r="U1756" s="268" t="s">
        <v>3945</v>
      </c>
      <c r="V1756" s="267" t="s">
        <v>944</v>
      </c>
    </row>
    <row r="1757" spans="1:22" hidden="1" x14ac:dyDescent="0.25">
      <c r="A1757" s="269">
        <v>43565</v>
      </c>
      <c r="B1757" s="270">
        <v>2019</v>
      </c>
      <c r="C1757" s="270">
        <v>2019</v>
      </c>
      <c r="D1757" s="270">
        <v>1</v>
      </c>
      <c r="E1757" s="270">
        <v>1</v>
      </c>
      <c r="F1757" s="270" t="s">
        <v>944</v>
      </c>
      <c r="G1757" s="270" t="s">
        <v>3926</v>
      </c>
      <c r="H1757" s="270" t="s">
        <v>6033</v>
      </c>
      <c r="I1757" s="270" t="s">
        <v>956</v>
      </c>
      <c r="J1757" s="270" t="s">
        <v>3928</v>
      </c>
      <c r="K1757" s="270">
        <v>6614</v>
      </c>
      <c r="L1757" s="270">
        <v>81100</v>
      </c>
      <c r="M1757" s="270" t="s">
        <v>3960</v>
      </c>
      <c r="N1757" s="270" t="s">
        <v>3944</v>
      </c>
      <c r="O1757" s="270">
        <v>3758</v>
      </c>
      <c r="P1757" s="270" t="s">
        <v>3944</v>
      </c>
      <c r="Q1757" s="270" t="s">
        <v>3944</v>
      </c>
      <c r="R1757" s="270">
        <v>3758</v>
      </c>
      <c r="S1757" s="270">
        <v>31642</v>
      </c>
      <c r="T1757" s="270">
        <v>35400</v>
      </c>
      <c r="U1757" s="271" t="s">
        <v>3945</v>
      </c>
      <c r="V1757" s="267" t="s">
        <v>944</v>
      </c>
    </row>
    <row r="1758" spans="1:22" hidden="1" x14ac:dyDescent="0.25">
      <c r="A1758" s="266">
        <v>43565</v>
      </c>
      <c r="B1758" s="267">
        <v>2019</v>
      </c>
      <c r="C1758" s="267">
        <v>2019</v>
      </c>
      <c r="D1758" s="267">
        <v>1</v>
      </c>
      <c r="E1758" s="267">
        <v>1</v>
      </c>
      <c r="F1758" s="267" t="s">
        <v>944</v>
      </c>
      <c r="G1758" s="267" t="s">
        <v>3926</v>
      </c>
      <c r="H1758" s="267" t="s">
        <v>6034</v>
      </c>
      <c r="I1758" s="267" t="s">
        <v>956</v>
      </c>
      <c r="J1758" s="267" t="s">
        <v>3928</v>
      </c>
      <c r="K1758" s="267">
        <v>6614</v>
      </c>
      <c r="L1758" s="267">
        <v>80900</v>
      </c>
      <c r="M1758" s="267" t="s">
        <v>3960</v>
      </c>
      <c r="N1758" s="267" t="s">
        <v>3944</v>
      </c>
      <c r="O1758" s="267">
        <v>2101</v>
      </c>
      <c r="P1758" s="267" t="s">
        <v>3944</v>
      </c>
      <c r="Q1758" s="267" t="s">
        <v>3944</v>
      </c>
      <c r="R1758" s="267">
        <v>2101</v>
      </c>
      <c r="S1758" s="267">
        <v>32900</v>
      </c>
      <c r="T1758" s="267">
        <v>35001</v>
      </c>
      <c r="U1758" s="268" t="s">
        <v>3945</v>
      </c>
      <c r="V1758" s="267" t="s">
        <v>944</v>
      </c>
    </row>
    <row r="1759" spans="1:22" hidden="1" x14ac:dyDescent="0.25">
      <c r="A1759" s="269">
        <v>43565</v>
      </c>
      <c r="B1759" s="270">
        <v>2019</v>
      </c>
      <c r="C1759" s="270">
        <v>2019</v>
      </c>
      <c r="D1759" s="270">
        <v>1</v>
      </c>
      <c r="E1759" s="270">
        <v>1</v>
      </c>
      <c r="F1759" s="270" t="s">
        <v>944</v>
      </c>
      <c r="G1759" s="270" t="s">
        <v>3926</v>
      </c>
      <c r="H1759" s="270" t="s">
        <v>6035</v>
      </c>
      <c r="I1759" s="270" t="s">
        <v>4042</v>
      </c>
      <c r="J1759" s="270" t="s">
        <v>3928</v>
      </c>
      <c r="K1759" s="270">
        <v>6370</v>
      </c>
      <c r="L1759" s="270">
        <v>695202</v>
      </c>
      <c r="M1759" s="270" t="s">
        <v>3935</v>
      </c>
      <c r="N1759" s="270" t="s">
        <v>3944</v>
      </c>
      <c r="O1759" s="270">
        <v>2441</v>
      </c>
      <c r="P1759" s="270" t="s">
        <v>3944</v>
      </c>
      <c r="Q1759" s="270" t="s">
        <v>3944</v>
      </c>
      <c r="R1759" s="270">
        <v>2441</v>
      </c>
      <c r="S1759" s="270">
        <v>29479</v>
      </c>
      <c r="T1759" s="270">
        <v>31920</v>
      </c>
      <c r="U1759" s="271" t="s">
        <v>3945</v>
      </c>
      <c r="V1759" s="267" t="s">
        <v>944</v>
      </c>
    </row>
    <row r="1760" spans="1:22" hidden="1" x14ac:dyDescent="0.25">
      <c r="A1760" s="266">
        <v>43565</v>
      </c>
      <c r="B1760" s="267">
        <v>2019</v>
      </c>
      <c r="C1760" s="267">
        <v>2019</v>
      </c>
      <c r="D1760" s="267">
        <v>1</v>
      </c>
      <c r="E1760" s="267">
        <v>1</v>
      </c>
      <c r="F1760" s="267" t="s">
        <v>944</v>
      </c>
      <c r="G1760" s="267" t="s">
        <v>3926</v>
      </c>
      <c r="H1760" s="267" t="s">
        <v>6036</v>
      </c>
      <c r="I1760" s="267" t="s">
        <v>3956</v>
      </c>
      <c r="J1760" s="267" t="s">
        <v>3928</v>
      </c>
      <c r="K1760" s="267">
        <v>6105</v>
      </c>
      <c r="L1760" s="267">
        <v>503100</v>
      </c>
      <c r="M1760" s="267">
        <v>-60</v>
      </c>
      <c r="N1760" s="267" t="s">
        <v>3944</v>
      </c>
      <c r="O1760" s="267">
        <v>1148.77</v>
      </c>
      <c r="P1760" s="267" t="s">
        <v>3944</v>
      </c>
      <c r="Q1760" s="267" t="s">
        <v>3944</v>
      </c>
      <c r="R1760" s="267">
        <v>1148.77</v>
      </c>
      <c r="S1760" s="267">
        <v>12290.23</v>
      </c>
      <c r="T1760" s="267">
        <v>13439</v>
      </c>
      <c r="U1760" s="268" t="s">
        <v>3945</v>
      </c>
      <c r="V1760" s="267" t="s">
        <v>944</v>
      </c>
    </row>
    <row r="1761" spans="1:22" hidden="1" x14ac:dyDescent="0.25">
      <c r="A1761" s="269">
        <v>43565</v>
      </c>
      <c r="B1761" s="270">
        <v>2019</v>
      </c>
      <c r="C1761" s="270">
        <v>2019</v>
      </c>
      <c r="D1761" s="270">
        <v>1</v>
      </c>
      <c r="E1761" s="270">
        <v>1</v>
      </c>
      <c r="F1761" s="270" t="s">
        <v>944</v>
      </c>
      <c r="G1761" s="270" t="s">
        <v>3926</v>
      </c>
      <c r="H1761" s="270" t="s">
        <v>6037</v>
      </c>
      <c r="I1761" s="270" t="s">
        <v>4200</v>
      </c>
      <c r="J1761" s="270" t="s">
        <v>3928</v>
      </c>
      <c r="K1761" s="270">
        <v>6779</v>
      </c>
      <c r="L1761" s="270">
        <v>360400</v>
      </c>
      <c r="M1761" s="270" t="s">
        <v>3940</v>
      </c>
      <c r="N1761" s="270" t="s">
        <v>3944</v>
      </c>
      <c r="O1761" s="270">
        <v>2740.54</v>
      </c>
      <c r="P1761" s="270" t="s">
        <v>3944</v>
      </c>
      <c r="Q1761" s="270" t="s">
        <v>3944</v>
      </c>
      <c r="R1761" s="270">
        <v>2740.54</v>
      </c>
      <c r="S1761" s="270">
        <v>20642.259999999998</v>
      </c>
      <c r="T1761" s="270">
        <v>23382.799999999999</v>
      </c>
      <c r="U1761" s="271" t="s">
        <v>3945</v>
      </c>
      <c r="V1761" s="267" t="s">
        <v>944</v>
      </c>
    </row>
    <row r="1762" spans="1:22" hidden="1" x14ac:dyDescent="0.25">
      <c r="A1762" s="266">
        <v>43565</v>
      </c>
      <c r="B1762" s="267">
        <v>2019</v>
      </c>
      <c r="C1762" s="267">
        <v>2019</v>
      </c>
      <c r="D1762" s="267">
        <v>1</v>
      </c>
      <c r="E1762" s="267">
        <v>1</v>
      </c>
      <c r="F1762" s="267" t="s">
        <v>944</v>
      </c>
      <c r="G1762" s="267" t="s">
        <v>3926</v>
      </c>
      <c r="H1762" s="267" t="s">
        <v>6038</v>
      </c>
      <c r="I1762" s="267" t="s">
        <v>3968</v>
      </c>
      <c r="J1762" s="267" t="s">
        <v>3928</v>
      </c>
      <c r="K1762" s="267">
        <v>6042</v>
      </c>
      <c r="L1762" s="267">
        <v>514102</v>
      </c>
      <c r="M1762" s="267" t="s">
        <v>3935</v>
      </c>
      <c r="N1762" s="267" t="s">
        <v>3944</v>
      </c>
      <c r="O1762" s="267">
        <v>1410.71</v>
      </c>
      <c r="P1762" s="267" t="s">
        <v>3944</v>
      </c>
      <c r="Q1762" s="267" t="s">
        <v>3944</v>
      </c>
      <c r="R1762" s="267">
        <v>1410.71</v>
      </c>
      <c r="S1762" s="267">
        <v>24365.89</v>
      </c>
      <c r="T1762" s="267">
        <v>25776.6</v>
      </c>
      <c r="U1762" s="268" t="s">
        <v>3945</v>
      </c>
      <c r="V1762" s="267" t="s">
        <v>944</v>
      </c>
    </row>
    <row r="1763" spans="1:22" hidden="1" x14ac:dyDescent="0.25">
      <c r="A1763" s="269">
        <v>43565</v>
      </c>
      <c r="B1763" s="270">
        <v>2019</v>
      </c>
      <c r="C1763" s="270">
        <v>2019</v>
      </c>
      <c r="D1763" s="270">
        <v>1</v>
      </c>
      <c r="E1763" s="270">
        <v>1</v>
      </c>
      <c r="F1763" s="270" t="s">
        <v>944</v>
      </c>
      <c r="G1763" s="270" t="s">
        <v>3926</v>
      </c>
      <c r="H1763" s="270" t="s">
        <v>6039</v>
      </c>
      <c r="I1763" s="270" t="s">
        <v>3968</v>
      </c>
      <c r="J1763" s="270" t="s">
        <v>3928</v>
      </c>
      <c r="K1763" s="270">
        <v>6042</v>
      </c>
      <c r="L1763" s="270">
        <v>514500</v>
      </c>
      <c r="M1763" s="270" t="s">
        <v>3935</v>
      </c>
      <c r="N1763" s="270" t="s">
        <v>3944</v>
      </c>
      <c r="O1763" s="270">
        <v>1428.35</v>
      </c>
      <c r="P1763" s="270" t="s">
        <v>3944</v>
      </c>
      <c r="Q1763" s="270" t="s">
        <v>3944</v>
      </c>
      <c r="R1763" s="270">
        <v>1428.35</v>
      </c>
      <c r="S1763" s="270">
        <v>20815.53</v>
      </c>
      <c r="T1763" s="270">
        <v>22243.88</v>
      </c>
      <c r="U1763" s="271" t="s">
        <v>3945</v>
      </c>
      <c r="V1763" s="267" t="s">
        <v>944</v>
      </c>
    </row>
    <row r="1764" spans="1:22" hidden="1" x14ac:dyDescent="0.25">
      <c r="A1764" s="266">
        <v>43565</v>
      </c>
      <c r="B1764" s="267">
        <v>2019</v>
      </c>
      <c r="C1764" s="267">
        <v>2019</v>
      </c>
      <c r="D1764" s="267">
        <v>1</v>
      </c>
      <c r="E1764" s="267">
        <v>1</v>
      </c>
      <c r="F1764" s="267" t="s">
        <v>944</v>
      </c>
      <c r="G1764" s="267" t="s">
        <v>3926</v>
      </c>
      <c r="H1764" s="267" t="s">
        <v>6040</v>
      </c>
      <c r="I1764" s="267" t="s">
        <v>4005</v>
      </c>
      <c r="J1764" s="267" t="s">
        <v>3928</v>
      </c>
      <c r="K1764" s="267">
        <v>6118</v>
      </c>
      <c r="L1764" s="267">
        <v>511000</v>
      </c>
      <c r="M1764" s="267" t="s">
        <v>3935</v>
      </c>
      <c r="N1764" s="267" t="s">
        <v>3944</v>
      </c>
      <c r="O1764" s="267">
        <v>1603.6</v>
      </c>
      <c r="P1764" s="267" t="s">
        <v>3944</v>
      </c>
      <c r="Q1764" s="267" t="s">
        <v>3944</v>
      </c>
      <c r="R1764" s="267">
        <v>1603.6</v>
      </c>
      <c r="S1764" s="267">
        <v>43858.12</v>
      </c>
      <c r="T1764" s="267">
        <v>45461.72</v>
      </c>
      <c r="U1764" s="268" t="s">
        <v>3945</v>
      </c>
      <c r="V1764" s="267" t="s">
        <v>944</v>
      </c>
    </row>
    <row r="1765" spans="1:22" hidden="1" x14ac:dyDescent="0.25">
      <c r="A1765" s="269">
        <v>43565</v>
      </c>
      <c r="B1765" s="270">
        <v>2019</v>
      </c>
      <c r="C1765" s="270">
        <v>2019</v>
      </c>
      <c r="D1765" s="270">
        <v>1</v>
      </c>
      <c r="E1765" s="270">
        <v>1</v>
      </c>
      <c r="F1765" s="270" t="s">
        <v>944</v>
      </c>
      <c r="G1765" s="270" t="s">
        <v>3926</v>
      </c>
      <c r="H1765" s="270" t="s">
        <v>6041</v>
      </c>
      <c r="I1765" s="270" t="s">
        <v>4029</v>
      </c>
      <c r="J1765" s="270" t="s">
        <v>3928</v>
      </c>
      <c r="K1765" s="270">
        <v>6850</v>
      </c>
      <c r="L1765" s="270">
        <v>43100</v>
      </c>
      <c r="M1765" s="270" t="s">
        <v>3943</v>
      </c>
      <c r="N1765" s="270" t="s">
        <v>3944</v>
      </c>
      <c r="O1765" s="270">
        <v>3827.29</v>
      </c>
      <c r="P1765" s="270" t="s">
        <v>3944</v>
      </c>
      <c r="Q1765" s="270" t="s">
        <v>3944</v>
      </c>
      <c r="R1765" s="270">
        <v>3827.29</v>
      </c>
      <c r="S1765" s="270">
        <v>30091.71</v>
      </c>
      <c r="T1765" s="270">
        <v>33919</v>
      </c>
      <c r="U1765" s="271" t="s">
        <v>3945</v>
      </c>
      <c r="V1765" s="267" t="s">
        <v>944</v>
      </c>
    </row>
    <row r="1766" spans="1:22" hidden="1" x14ac:dyDescent="0.25">
      <c r="A1766" s="266">
        <v>43566</v>
      </c>
      <c r="B1766" s="267">
        <v>2019</v>
      </c>
      <c r="C1766" s="267">
        <v>2019</v>
      </c>
      <c r="D1766" s="267">
        <v>1</v>
      </c>
      <c r="E1766" s="267">
        <v>1</v>
      </c>
      <c r="F1766" s="267" t="s">
        <v>944</v>
      </c>
      <c r="G1766" s="267" t="s">
        <v>3926</v>
      </c>
      <c r="H1766" s="267" t="s">
        <v>6042</v>
      </c>
      <c r="I1766" s="267" t="s">
        <v>3968</v>
      </c>
      <c r="J1766" s="267" t="s">
        <v>3928</v>
      </c>
      <c r="K1766" s="267">
        <v>6040</v>
      </c>
      <c r="L1766" s="267">
        <v>514800</v>
      </c>
      <c r="M1766" s="267" t="s">
        <v>3940</v>
      </c>
      <c r="N1766" s="267" t="s">
        <v>3986</v>
      </c>
      <c r="O1766" s="267">
        <v>3109.79</v>
      </c>
      <c r="P1766" s="267" t="s">
        <v>3930</v>
      </c>
      <c r="Q1766" s="267" t="s">
        <v>3931</v>
      </c>
      <c r="R1766" s="267">
        <v>8109.79</v>
      </c>
      <c r="S1766" s="267">
        <v>16196.8</v>
      </c>
      <c r="T1766" s="267">
        <v>24306.59</v>
      </c>
      <c r="U1766" s="268" t="s">
        <v>3932</v>
      </c>
      <c r="V1766" s="267" t="s">
        <v>944</v>
      </c>
    </row>
    <row r="1767" spans="1:22" hidden="1" x14ac:dyDescent="0.25">
      <c r="A1767" s="269">
        <v>43566</v>
      </c>
      <c r="B1767" s="270">
        <v>2019</v>
      </c>
      <c r="C1767" s="270">
        <v>2019</v>
      </c>
      <c r="D1767" s="270">
        <v>1</v>
      </c>
      <c r="E1767" s="270">
        <v>1</v>
      </c>
      <c r="F1767" s="270" t="s">
        <v>944</v>
      </c>
      <c r="G1767" s="270" t="s">
        <v>3926</v>
      </c>
      <c r="H1767" s="270" t="s">
        <v>6043</v>
      </c>
      <c r="I1767" s="270" t="s">
        <v>953</v>
      </c>
      <c r="J1767" s="270" t="s">
        <v>3928</v>
      </c>
      <c r="K1767" s="270">
        <v>6514</v>
      </c>
      <c r="L1767" s="270">
        <v>165801</v>
      </c>
      <c r="M1767" s="270" t="s">
        <v>3935</v>
      </c>
      <c r="N1767" s="270" t="s">
        <v>6044</v>
      </c>
      <c r="O1767" s="270">
        <v>0</v>
      </c>
      <c r="P1767" s="270" t="s">
        <v>3930</v>
      </c>
      <c r="Q1767" s="270" t="s">
        <v>3930</v>
      </c>
      <c r="R1767" s="270">
        <v>0</v>
      </c>
      <c r="S1767" s="270">
        <v>10595</v>
      </c>
      <c r="T1767" s="270">
        <v>10595</v>
      </c>
      <c r="U1767" s="271" t="s">
        <v>3937</v>
      </c>
      <c r="V1767" s="267" t="s">
        <v>944</v>
      </c>
    </row>
    <row r="1768" spans="1:22" hidden="1" x14ac:dyDescent="0.25">
      <c r="A1768" s="266">
        <v>43566</v>
      </c>
      <c r="B1768" s="267">
        <v>2019</v>
      </c>
      <c r="C1768" s="267">
        <v>2019</v>
      </c>
      <c r="D1768" s="267">
        <v>1</v>
      </c>
      <c r="E1768" s="267">
        <v>1</v>
      </c>
      <c r="F1768" s="267" t="s">
        <v>944</v>
      </c>
      <c r="G1768" s="267" t="s">
        <v>3926</v>
      </c>
      <c r="H1768" s="267" t="s">
        <v>6045</v>
      </c>
      <c r="I1768" s="267" t="s">
        <v>3990</v>
      </c>
      <c r="J1768" s="267" t="s">
        <v>3928</v>
      </c>
      <c r="K1768" s="267">
        <v>6804</v>
      </c>
      <c r="L1768" s="267">
        <v>205300</v>
      </c>
      <c r="M1768" s="267" t="s">
        <v>3960</v>
      </c>
      <c r="N1768" s="267" t="s">
        <v>3929</v>
      </c>
      <c r="O1768" s="267">
        <v>1928.15</v>
      </c>
      <c r="P1768" s="267" t="s">
        <v>3930</v>
      </c>
      <c r="Q1768" s="267" t="s">
        <v>3931</v>
      </c>
      <c r="R1768" s="267">
        <v>6928.15</v>
      </c>
      <c r="S1768" s="267">
        <v>34744</v>
      </c>
      <c r="T1768" s="267">
        <v>41672.15</v>
      </c>
      <c r="U1768" s="268" t="s">
        <v>3932</v>
      </c>
      <c r="V1768" s="267" t="s">
        <v>944</v>
      </c>
    </row>
    <row r="1769" spans="1:22" hidden="1" x14ac:dyDescent="0.25">
      <c r="A1769" s="269">
        <v>43566</v>
      </c>
      <c r="B1769" s="270">
        <v>2019</v>
      </c>
      <c r="C1769" s="270">
        <v>2019</v>
      </c>
      <c r="D1769" s="270">
        <v>1</v>
      </c>
      <c r="E1769" s="270">
        <v>1</v>
      </c>
      <c r="F1769" s="270" t="s">
        <v>944</v>
      </c>
      <c r="G1769" s="270" t="s">
        <v>3926</v>
      </c>
      <c r="H1769" s="270" t="s">
        <v>6046</v>
      </c>
      <c r="I1769" s="270" t="s">
        <v>3968</v>
      </c>
      <c r="J1769" s="270" t="s">
        <v>3928</v>
      </c>
      <c r="K1769" s="270">
        <v>6040</v>
      </c>
      <c r="L1769" s="270">
        <v>514500</v>
      </c>
      <c r="M1769" s="270" t="s">
        <v>3935</v>
      </c>
      <c r="N1769" s="270" t="s">
        <v>5489</v>
      </c>
      <c r="O1769" s="270">
        <v>0</v>
      </c>
      <c r="P1769" s="270" t="s">
        <v>3930</v>
      </c>
      <c r="Q1769" s="270" t="s">
        <v>3931</v>
      </c>
      <c r="R1769" s="270">
        <v>5000</v>
      </c>
      <c r="S1769" s="270">
        <v>16817.8</v>
      </c>
      <c r="T1769" s="270">
        <v>21817.8</v>
      </c>
      <c r="U1769" s="271" t="s">
        <v>3932</v>
      </c>
      <c r="V1769" s="267" t="s">
        <v>944</v>
      </c>
    </row>
    <row r="1770" spans="1:22" hidden="1" x14ac:dyDescent="0.25">
      <c r="A1770" s="266">
        <v>43566</v>
      </c>
      <c r="B1770" s="267">
        <v>2019</v>
      </c>
      <c r="C1770" s="267">
        <v>2019</v>
      </c>
      <c r="D1770" s="267">
        <v>1</v>
      </c>
      <c r="E1770" s="267">
        <v>1</v>
      </c>
      <c r="F1770" s="267" t="s">
        <v>944</v>
      </c>
      <c r="G1770" s="267" t="s">
        <v>3926</v>
      </c>
      <c r="H1770" s="267" t="s">
        <v>6047</v>
      </c>
      <c r="I1770" s="267" t="s">
        <v>956</v>
      </c>
      <c r="J1770" s="267" t="s">
        <v>3928</v>
      </c>
      <c r="K1770" s="267">
        <v>6615</v>
      </c>
      <c r="L1770" s="267">
        <v>80500</v>
      </c>
      <c r="M1770" s="267" t="s">
        <v>3960</v>
      </c>
      <c r="N1770" s="267" t="s">
        <v>4103</v>
      </c>
      <c r="O1770" s="267">
        <v>1408.65</v>
      </c>
      <c r="P1770" s="267" t="s">
        <v>3930</v>
      </c>
      <c r="Q1770" s="267" t="s">
        <v>3931</v>
      </c>
      <c r="R1770" s="267">
        <v>6408.65</v>
      </c>
      <c r="S1770" s="267">
        <v>24145.599999999999</v>
      </c>
      <c r="T1770" s="267">
        <v>30554.25</v>
      </c>
      <c r="U1770" s="268" t="s">
        <v>3932</v>
      </c>
      <c r="V1770" s="267" t="s">
        <v>944</v>
      </c>
    </row>
    <row r="1771" spans="1:22" hidden="1" x14ac:dyDescent="0.25">
      <c r="A1771" s="269">
        <v>43566</v>
      </c>
      <c r="B1771" s="270">
        <v>2019</v>
      </c>
      <c r="C1771" s="270">
        <v>2019</v>
      </c>
      <c r="D1771" s="270">
        <v>1</v>
      </c>
      <c r="E1771" s="270">
        <v>1</v>
      </c>
      <c r="F1771" s="270" t="s">
        <v>944</v>
      </c>
      <c r="G1771" s="270" t="s">
        <v>3926</v>
      </c>
      <c r="H1771" s="270" t="s">
        <v>6048</v>
      </c>
      <c r="I1771" s="270" t="s">
        <v>3956</v>
      </c>
      <c r="J1771" s="270" t="s">
        <v>3928</v>
      </c>
      <c r="K1771" s="270">
        <v>6120</v>
      </c>
      <c r="L1771" s="270">
        <v>524400</v>
      </c>
      <c r="M1771" s="270">
        <v>-60</v>
      </c>
      <c r="N1771" s="270" t="s">
        <v>6049</v>
      </c>
      <c r="O1771" s="270">
        <v>0</v>
      </c>
      <c r="P1771" s="270" t="s">
        <v>3930</v>
      </c>
      <c r="Q1771" s="270" t="s">
        <v>3931</v>
      </c>
      <c r="R1771" s="270">
        <v>5000</v>
      </c>
      <c r="S1771" s="270">
        <v>21334</v>
      </c>
      <c r="T1771" s="270">
        <v>26334</v>
      </c>
      <c r="U1771" s="271" t="s">
        <v>3932</v>
      </c>
      <c r="V1771" s="267" t="s">
        <v>944</v>
      </c>
    </row>
    <row r="1772" spans="1:22" hidden="1" x14ac:dyDescent="0.25">
      <c r="A1772" s="266">
        <v>43566</v>
      </c>
      <c r="B1772" s="267">
        <v>2019</v>
      </c>
      <c r="C1772" s="267">
        <v>2019</v>
      </c>
      <c r="D1772" s="267">
        <v>1</v>
      </c>
      <c r="E1772" s="267">
        <v>1</v>
      </c>
      <c r="F1772" s="267" t="s">
        <v>944</v>
      </c>
      <c r="G1772" s="267" t="s">
        <v>3926</v>
      </c>
      <c r="H1772" s="267" t="s">
        <v>6050</v>
      </c>
      <c r="I1772" s="267" t="s">
        <v>934</v>
      </c>
      <c r="J1772" s="267" t="s">
        <v>3928</v>
      </c>
      <c r="K1772" s="267">
        <v>6606</v>
      </c>
      <c r="L1772" s="267">
        <v>72500</v>
      </c>
      <c r="M1772" s="267" t="s">
        <v>3940</v>
      </c>
      <c r="N1772" s="267" t="s">
        <v>4493</v>
      </c>
      <c r="O1772" s="267">
        <v>0</v>
      </c>
      <c r="P1772" s="267" t="s">
        <v>3930</v>
      </c>
      <c r="Q1772" s="267" t="s">
        <v>3931</v>
      </c>
      <c r="R1772" s="267">
        <v>5000</v>
      </c>
      <c r="S1772" s="267">
        <v>27900.400000000001</v>
      </c>
      <c r="T1772" s="267">
        <v>32900.400000000001</v>
      </c>
      <c r="U1772" s="268" t="s">
        <v>3932</v>
      </c>
      <c r="V1772" s="267" t="s">
        <v>944</v>
      </c>
    </row>
    <row r="1773" spans="1:22" hidden="1" x14ac:dyDescent="0.25">
      <c r="A1773" s="269">
        <v>43566</v>
      </c>
      <c r="B1773" s="270">
        <v>2019</v>
      </c>
      <c r="C1773" s="270">
        <v>2019</v>
      </c>
      <c r="D1773" s="270">
        <v>1</v>
      </c>
      <c r="E1773" s="270">
        <v>1</v>
      </c>
      <c r="F1773" s="270" t="s">
        <v>944</v>
      </c>
      <c r="G1773" s="270" t="s">
        <v>3926</v>
      </c>
      <c r="H1773" s="270" t="s">
        <v>6051</v>
      </c>
      <c r="I1773" s="270" t="s">
        <v>6052</v>
      </c>
      <c r="J1773" s="270" t="s">
        <v>3928</v>
      </c>
      <c r="K1773" s="270">
        <v>6039</v>
      </c>
      <c r="L1773" s="270">
        <v>261100</v>
      </c>
      <c r="M1773" s="270" t="s">
        <v>3935</v>
      </c>
      <c r="N1773" s="270" t="s">
        <v>3944</v>
      </c>
      <c r="O1773" s="270">
        <v>6754</v>
      </c>
      <c r="P1773" s="270" t="s">
        <v>3944</v>
      </c>
      <c r="Q1773" s="270" t="s">
        <v>3944</v>
      </c>
      <c r="R1773" s="270">
        <v>6754</v>
      </c>
      <c r="S1773" s="270">
        <v>60611</v>
      </c>
      <c r="T1773" s="270">
        <v>67365</v>
      </c>
      <c r="U1773" s="271" t="s">
        <v>3945</v>
      </c>
      <c r="V1773" s="267" t="s">
        <v>944</v>
      </c>
    </row>
    <row r="1774" spans="1:22" hidden="1" x14ac:dyDescent="0.25">
      <c r="A1774" s="266">
        <v>43566</v>
      </c>
      <c r="B1774" s="267">
        <v>2019</v>
      </c>
      <c r="C1774" s="267">
        <v>2019</v>
      </c>
      <c r="D1774" s="267">
        <v>1</v>
      </c>
      <c r="E1774" s="267">
        <v>1</v>
      </c>
      <c r="F1774" s="267" t="s">
        <v>944</v>
      </c>
      <c r="G1774" s="267" t="s">
        <v>3926</v>
      </c>
      <c r="H1774" s="267" t="s">
        <v>6053</v>
      </c>
      <c r="I1774" s="267" t="s">
        <v>4821</v>
      </c>
      <c r="J1774" s="267" t="s">
        <v>3928</v>
      </c>
      <c r="K1774" s="267">
        <v>6784</v>
      </c>
      <c r="L1774" s="267">
        <v>257100</v>
      </c>
      <c r="M1774" s="267" t="s">
        <v>3960</v>
      </c>
      <c r="N1774" s="267" t="s">
        <v>3944</v>
      </c>
      <c r="O1774" s="267">
        <v>7246</v>
      </c>
      <c r="P1774" s="267" t="s">
        <v>3944</v>
      </c>
      <c r="Q1774" s="267" t="s">
        <v>3944</v>
      </c>
      <c r="R1774" s="267">
        <v>7246</v>
      </c>
      <c r="S1774" s="267">
        <v>45792</v>
      </c>
      <c r="T1774" s="267">
        <v>53038</v>
      </c>
      <c r="U1774" s="268" t="s">
        <v>3945</v>
      </c>
      <c r="V1774" s="267" t="s">
        <v>944</v>
      </c>
    </row>
    <row r="1775" spans="1:22" hidden="1" x14ac:dyDescent="0.25">
      <c r="A1775" s="269">
        <v>43566</v>
      </c>
      <c r="B1775" s="270">
        <v>2019</v>
      </c>
      <c r="C1775" s="270">
        <v>2019</v>
      </c>
      <c r="D1775" s="270">
        <v>1</v>
      </c>
      <c r="E1775" s="270">
        <v>1</v>
      </c>
      <c r="F1775" s="270" t="s">
        <v>944</v>
      </c>
      <c r="G1775" s="270" t="s">
        <v>3926</v>
      </c>
      <c r="H1775" s="270" t="s">
        <v>6054</v>
      </c>
      <c r="I1775" s="270" t="s">
        <v>4621</v>
      </c>
      <c r="J1775" s="270" t="s">
        <v>3928</v>
      </c>
      <c r="K1775" s="270">
        <v>6443</v>
      </c>
      <c r="L1775" s="270">
        <v>194100</v>
      </c>
      <c r="M1775" s="270" t="s">
        <v>3935</v>
      </c>
      <c r="N1775" s="270" t="s">
        <v>3944</v>
      </c>
      <c r="O1775" s="270">
        <v>3120</v>
      </c>
      <c r="P1775" s="270" t="s">
        <v>3944</v>
      </c>
      <c r="Q1775" s="270" t="s">
        <v>3944</v>
      </c>
      <c r="R1775" s="270">
        <v>3120</v>
      </c>
      <c r="S1775" s="270">
        <v>18759</v>
      </c>
      <c r="T1775" s="270">
        <v>21879</v>
      </c>
      <c r="U1775" s="271" t="s">
        <v>3945</v>
      </c>
      <c r="V1775" s="267" t="s">
        <v>944</v>
      </c>
    </row>
    <row r="1776" spans="1:22" hidden="1" x14ac:dyDescent="0.25">
      <c r="A1776" s="266">
        <v>43566</v>
      </c>
      <c r="B1776" s="267">
        <v>2019</v>
      </c>
      <c r="C1776" s="267">
        <v>2019</v>
      </c>
      <c r="D1776" s="267">
        <v>1</v>
      </c>
      <c r="E1776" s="267">
        <v>1</v>
      </c>
      <c r="F1776" s="267" t="s">
        <v>944</v>
      </c>
      <c r="G1776" s="267" t="s">
        <v>3926</v>
      </c>
      <c r="H1776" s="267" t="s">
        <v>6055</v>
      </c>
      <c r="I1776" s="267" t="s">
        <v>4029</v>
      </c>
      <c r="J1776" s="267" t="s">
        <v>3928</v>
      </c>
      <c r="K1776" s="267">
        <v>6851</v>
      </c>
      <c r="L1776" s="267">
        <v>43500</v>
      </c>
      <c r="M1776" s="267" t="s">
        <v>3943</v>
      </c>
      <c r="N1776" s="267" t="s">
        <v>3944</v>
      </c>
      <c r="O1776" s="267">
        <v>3714</v>
      </c>
      <c r="P1776" s="267" t="s">
        <v>3944</v>
      </c>
      <c r="Q1776" s="267" t="s">
        <v>3944</v>
      </c>
      <c r="R1776" s="267">
        <v>3714</v>
      </c>
      <c r="S1776" s="267">
        <v>26286</v>
      </c>
      <c r="T1776" s="267">
        <v>30000</v>
      </c>
      <c r="U1776" s="268" t="s">
        <v>3945</v>
      </c>
      <c r="V1776" s="267" t="s">
        <v>944</v>
      </c>
    </row>
    <row r="1777" spans="1:22" hidden="1" x14ac:dyDescent="0.25">
      <c r="A1777" s="269">
        <v>43566</v>
      </c>
      <c r="B1777" s="270">
        <v>2019</v>
      </c>
      <c r="C1777" s="270">
        <v>2019</v>
      </c>
      <c r="D1777" s="270">
        <v>1</v>
      </c>
      <c r="E1777" s="270">
        <v>1</v>
      </c>
      <c r="F1777" s="270" t="s">
        <v>944</v>
      </c>
      <c r="G1777" s="270" t="s">
        <v>3926</v>
      </c>
      <c r="H1777" s="270" t="s">
        <v>6056</v>
      </c>
      <c r="I1777" s="270" t="s">
        <v>3968</v>
      </c>
      <c r="J1777" s="270" t="s">
        <v>3928</v>
      </c>
      <c r="K1777" s="270">
        <v>6040</v>
      </c>
      <c r="L1777" s="270">
        <v>515000</v>
      </c>
      <c r="M1777" s="270" t="s">
        <v>3943</v>
      </c>
      <c r="N1777" s="270" t="s">
        <v>3944</v>
      </c>
      <c r="O1777" s="270">
        <v>2812</v>
      </c>
      <c r="P1777" s="270" t="s">
        <v>3944</v>
      </c>
      <c r="Q1777" s="270" t="s">
        <v>3944</v>
      </c>
      <c r="R1777" s="270">
        <v>2812</v>
      </c>
      <c r="S1777" s="270">
        <v>26438.240000000002</v>
      </c>
      <c r="T1777" s="270">
        <v>29250.240000000002</v>
      </c>
      <c r="U1777" s="271" t="s">
        <v>3945</v>
      </c>
      <c r="V1777" s="267" t="s">
        <v>944</v>
      </c>
    </row>
    <row r="1778" spans="1:22" hidden="1" x14ac:dyDescent="0.25">
      <c r="A1778" s="266">
        <v>43566</v>
      </c>
      <c r="B1778" s="267">
        <v>2019</v>
      </c>
      <c r="C1778" s="267">
        <v>2019</v>
      </c>
      <c r="D1778" s="267">
        <v>1</v>
      </c>
      <c r="E1778" s="267">
        <v>1</v>
      </c>
      <c r="F1778" s="267" t="s">
        <v>944</v>
      </c>
      <c r="G1778" s="267" t="s">
        <v>3926</v>
      </c>
      <c r="H1778" s="267" t="s">
        <v>6057</v>
      </c>
      <c r="I1778" s="267" t="s">
        <v>5325</v>
      </c>
      <c r="J1778" s="267" t="s">
        <v>3928</v>
      </c>
      <c r="K1778" s="267">
        <v>6057</v>
      </c>
      <c r="L1778" s="267">
        <v>306100</v>
      </c>
      <c r="M1778" s="267" t="s">
        <v>3943</v>
      </c>
      <c r="N1778" s="267" t="s">
        <v>3944</v>
      </c>
      <c r="O1778" s="267">
        <v>3973</v>
      </c>
      <c r="P1778" s="267" t="s">
        <v>3944</v>
      </c>
      <c r="Q1778" s="267" t="s">
        <v>3944</v>
      </c>
      <c r="R1778" s="267">
        <v>3973</v>
      </c>
      <c r="S1778" s="267">
        <v>44782.7</v>
      </c>
      <c r="T1778" s="267">
        <v>48755.7</v>
      </c>
      <c r="U1778" s="268" t="s">
        <v>3945</v>
      </c>
      <c r="V1778" s="267" t="s">
        <v>944</v>
      </c>
    </row>
    <row r="1779" spans="1:22" hidden="1" x14ac:dyDescent="0.25">
      <c r="A1779" s="269">
        <v>43566</v>
      </c>
      <c r="B1779" s="270">
        <v>2019</v>
      </c>
      <c r="C1779" s="270">
        <v>2019</v>
      </c>
      <c r="D1779" s="270">
        <v>1</v>
      </c>
      <c r="E1779" s="270">
        <v>1</v>
      </c>
      <c r="F1779" s="270" t="s">
        <v>944</v>
      </c>
      <c r="G1779" s="270" t="s">
        <v>3926</v>
      </c>
      <c r="H1779" s="270" t="s">
        <v>6058</v>
      </c>
      <c r="I1779" s="270" t="s">
        <v>3014</v>
      </c>
      <c r="J1779" s="270" t="s">
        <v>3928</v>
      </c>
      <c r="K1779" s="270">
        <v>6525</v>
      </c>
      <c r="L1779" s="270">
        <v>160100</v>
      </c>
      <c r="M1779" s="270" t="s">
        <v>3943</v>
      </c>
      <c r="N1779" s="270" t="s">
        <v>3944</v>
      </c>
      <c r="O1779" s="270">
        <v>2774</v>
      </c>
      <c r="P1779" s="270" t="s">
        <v>3944</v>
      </c>
      <c r="Q1779" s="270" t="s">
        <v>3944</v>
      </c>
      <c r="R1779" s="270">
        <v>2774</v>
      </c>
      <c r="S1779" s="270">
        <v>31624</v>
      </c>
      <c r="T1779" s="270">
        <v>34398</v>
      </c>
      <c r="U1779" s="271" t="s">
        <v>3945</v>
      </c>
      <c r="V1779" s="267" t="s">
        <v>944</v>
      </c>
    </row>
    <row r="1780" spans="1:22" hidden="1" x14ac:dyDescent="0.25">
      <c r="A1780" s="266">
        <v>43566</v>
      </c>
      <c r="B1780" s="267">
        <v>2019</v>
      </c>
      <c r="C1780" s="267">
        <v>2019</v>
      </c>
      <c r="D1780" s="267">
        <v>1</v>
      </c>
      <c r="E1780" s="267">
        <v>1</v>
      </c>
      <c r="F1780" s="267" t="s">
        <v>944</v>
      </c>
      <c r="G1780" s="267" t="s">
        <v>3926</v>
      </c>
      <c r="H1780" s="267" t="s">
        <v>6059</v>
      </c>
      <c r="I1780" s="267" t="s">
        <v>4232</v>
      </c>
      <c r="J1780" s="267" t="s">
        <v>3928</v>
      </c>
      <c r="K1780" s="267">
        <v>6483</v>
      </c>
      <c r="L1780" s="267">
        <v>130101</v>
      </c>
      <c r="M1780" s="267" t="s">
        <v>3940</v>
      </c>
      <c r="N1780" s="267" t="s">
        <v>3944</v>
      </c>
      <c r="O1780" s="267">
        <v>4323</v>
      </c>
      <c r="P1780" s="267" t="s">
        <v>3944</v>
      </c>
      <c r="Q1780" s="267" t="s">
        <v>3944</v>
      </c>
      <c r="R1780" s="267">
        <v>4323</v>
      </c>
      <c r="S1780" s="267">
        <v>29847</v>
      </c>
      <c r="T1780" s="267">
        <v>34170</v>
      </c>
      <c r="U1780" s="268" t="s">
        <v>3945</v>
      </c>
      <c r="V1780" s="267" t="s">
        <v>944</v>
      </c>
    </row>
    <row r="1781" spans="1:22" hidden="1" x14ac:dyDescent="0.25">
      <c r="A1781" s="269">
        <v>43566</v>
      </c>
      <c r="B1781" s="270">
        <v>2019</v>
      </c>
      <c r="C1781" s="270">
        <v>2019</v>
      </c>
      <c r="D1781" s="270">
        <v>1</v>
      </c>
      <c r="E1781" s="270">
        <v>1</v>
      </c>
      <c r="F1781" s="270" t="s">
        <v>944</v>
      </c>
      <c r="G1781" s="270" t="s">
        <v>3926</v>
      </c>
      <c r="H1781" s="270" t="s">
        <v>6060</v>
      </c>
      <c r="I1781" s="270" t="s">
        <v>4129</v>
      </c>
      <c r="J1781" s="270" t="s">
        <v>3928</v>
      </c>
      <c r="K1781" s="270">
        <v>6258</v>
      </c>
      <c r="L1781" s="270">
        <v>902500</v>
      </c>
      <c r="M1781" s="270" t="s">
        <v>3960</v>
      </c>
      <c r="N1781" s="270" t="s">
        <v>3944</v>
      </c>
      <c r="O1781" s="270">
        <v>2533</v>
      </c>
      <c r="P1781" s="270" t="s">
        <v>3944</v>
      </c>
      <c r="Q1781" s="270" t="s">
        <v>3944</v>
      </c>
      <c r="R1781" s="270">
        <v>2533</v>
      </c>
      <c r="S1781" s="270">
        <v>31637.33</v>
      </c>
      <c r="T1781" s="270">
        <v>34170.33</v>
      </c>
      <c r="U1781" s="271" t="s">
        <v>3945</v>
      </c>
      <c r="V1781" s="267" t="s">
        <v>944</v>
      </c>
    </row>
    <row r="1782" spans="1:22" hidden="1" x14ac:dyDescent="0.25">
      <c r="A1782" s="266">
        <v>43566</v>
      </c>
      <c r="B1782" s="267">
        <v>2019</v>
      </c>
      <c r="C1782" s="267">
        <v>2019</v>
      </c>
      <c r="D1782" s="267">
        <v>1</v>
      </c>
      <c r="E1782" s="267">
        <v>1</v>
      </c>
      <c r="F1782" s="267" t="s">
        <v>944</v>
      </c>
      <c r="G1782" s="267" t="s">
        <v>3926</v>
      </c>
      <c r="H1782" s="267" t="s">
        <v>6061</v>
      </c>
      <c r="I1782" s="267" t="s">
        <v>2985</v>
      </c>
      <c r="J1782" s="267" t="s">
        <v>3928</v>
      </c>
      <c r="K1782" s="267">
        <v>6824</v>
      </c>
      <c r="L1782" s="267">
        <v>61500</v>
      </c>
      <c r="M1782" s="267" t="s">
        <v>3943</v>
      </c>
      <c r="N1782" s="267" t="s">
        <v>3944</v>
      </c>
      <c r="O1782" s="267">
        <v>5278</v>
      </c>
      <c r="P1782" s="267" t="s">
        <v>3944</v>
      </c>
      <c r="Q1782" s="267" t="s">
        <v>3944</v>
      </c>
      <c r="R1782" s="267">
        <v>5278</v>
      </c>
      <c r="S1782" s="267">
        <v>37208</v>
      </c>
      <c r="T1782" s="267">
        <v>42486</v>
      </c>
      <c r="U1782" s="268" t="s">
        <v>3945</v>
      </c>
      <c r="V1782" s="267" t="s">
        <v>944</v>
      </c>
    </row>
    <row r="1783" spans="1:22" hidden="1" x14ac:dyDescent="0.25">
      <c r="A1783" s="269">
        <v>43566</v>
      </c>
      <c r="B1783" s="270">
        <v>2019</v>
      </c>
      <c r="C1783" s="270">
        <v>2019</v>
      </c>
      <c r="D1783" s="270">
        <v>1</v>
      </c>
      <c r="E1783" s="270">
        <v>1</v>
      </c>
      <c r="F1783" s="270" t="s">
        <v>944</v>
      </c>
      <c r="G1783" s="270" t="s">
        <v>3926</v>
      </c>
      <c r="H1783" s="270" t="s">
        <v>6062</v>
      </c>
      <c r="I1783" s="270" t="s">
        <v>3949</v>
      </c>
      <c r="J1783" s="270" t="s">
        <v>3928</v>
      </c>
      <c r="K1783" s="270">
        <v>6437</v>
      </c>
      <c r="L1783" s="270">
        <v>190301</v>
      </c>
      <c r="M1783" s="270" t="s">
        <v>3943</v>
      </c>
      <c r="N1783" s="270" t="s">
        <v>3944</v>
      </c>
      <c r="O1783" s="270">
        <v>5924</v>
      </c>
      <c r="P1783" s="270" t="s">
        <v>3944</v>
      </c>
      <c r="Q1783" s="270" t="s">
        <v>3944</v>
      </c>
      <c r="R1783" s="270">
        <v>5924</v>
      </c>
      <c r="S1783" s="270">
        <v>43599.13</v>
      </c>
      <c r="T1783" s="270">
        <v>49523.13</v>
      </c>
      <c r="U1783" s="271" t="s">
        <v>3945</v>
      </c>
      <c r="V1783" s="267" t="s">
        <v>944</v>
      </c>
    </row>
    <row r="1784" spans="1:22" hidden="1" x14ac:dyDescent="0.25">
      <c r="A1784" s="266">
        <v>43566</v>
      </c>
      <c r="B1784" s="267">
        <v>2019</v>
      </c>
      <c r="C1784" s="267">
        <v>2019</v>
      </c>
      <c r="D1784" s="267">
        <v>1</v>
      </c>
      <c r="E1784" s="267">
        <v>1</v>
      </c>
      <c r="F1784" s="267" t="s">
        <v>944</v>
      </c>
      <c r="G1784" s="267" t="s">
        <v>3926</v>
      </c>
      <c r="H1784" s="267" t="s">
        <v>6063</v>
      </c>
      <c r="I1784" s="267" t="s">
        <v>4200</v>
      </c>
      <c r="J1784" s="267" t="s">
        <v>3928</v>
      </c>
      <c r="K1784" s="267">
        <v>6795</v>
      </c>
      <c r="L1784" s="267">
        <v>360200</v>
      </c>
      <c r="M1784" s="267" t="s">
        <v>3943</v>
      </c>
      <c r="N1784" s="267" t="s">
        <v>3944</v>
      </c>
      <c r="O1784" s="267">
        <v>1803.1</v>
      </c>
      <c r="P1784" s="267" t="s">
        <v>3944</v>
      </c>
      <c r="Q1784" s="267" t="s">
        <v>3944</v>
      </c>
      <c r="R1784" s="267">
        <v>1803.1</v>
      </c>
      <c r="S1784" s="267">
        <v>32155.9</v>
      </c>
      <c r="T1784" s="267">
        <v>33959</v>
      </c>
      <c r="U1784" s="268" t="s">
        <v>3945</v>
      </c>
      <c r="V1784" s="267" t="s">
        <v>944</v>
      </c>
    </row>
    <row r="1785" spans="1:22" hidden="1" x14ac:dyDescent="0.25">
      <c r="A1785" s="269">
        <v>43566</v>
      </c>
      <c r="B1785" s="270">
        <v>2019</v>
      </c>
      <c r="C1785" s="270">
        <v>2019</v>
      </c>
      <c r="D1785" s="270">
        <v>1</v>
      </c>
      <c r="E1785" s="270">
        <v>1</v>
      </c>
      <c r="F1785" s="270" t="s">
        <v>944</v>
      </c>
      <c r="G1785" s="270" t="s">
        <v>3926</v>
      </c>
      <c r="H1785" s="270" t="s">
        <v>6064</v>
      </c>
      <c r="I1785" s="270" t="s">
        <v>4124</v>
      </c>
      <c r="J1785" s="270" t="s">
        <v>3928</v>
      </c>
      <c r="K1785" s="270">
        <v>6482</v>
      </c>
      <c r="L1785" s="270">
        <v>230100</v>
      </c>
      <c r="M1785" s="270" t="s">
        <v>3943</v>
      </c>
      <c r="N1785" s="270" t="s">
        <v>3944</v>
      </c>
      <c r="O1785" s="270">
        <v>3687.08</v>
      </c>
      <c r="P1785" s="270" t="s">
        <v>3944</v>
      </c>
      <c r="Q1785" s="270" t="s">
        <v>3944</v>
      </c>
      <c r="R1785" s="270">
        <v>3687.08</v>
      </c>
      <c r="S1785" s="270">
        <v>62890.94</v>
      </c>
      <c r="T1785" s="270">
        <v>66578.02</v>
      </c>
      <c r="U1785" s="271" t="s">
        <v>3945</v>
      </c>
      <c r="V1785" s="267" t="s">
        <v>944</v>
      </c>
    </row>
    <row r="1786" spans="1:22" hidden="1" x14ac:dyDescent="0.25">
      <c r="A1786" s="266">
        <v>43566</v>
      </c>
      <c r="B1786" s="267">
        <v>2019</v>
      </c>
      <c r="C1786" s="267">
        <v>2019</v>
      </c>
      <c r="D1786" s="267">
        <v>1</v>
      </c>
      <c r="E1786" s="267">
        <v>1</v>
      </c>
      <c r="F1786" s="267" t="s">
        <v>944</v>
      </c>
      <c r="G1786" s="267" t="s">
        <v>3926</v>
      </c>
      <c r="H1786" s="267" t="s">
        <v>6065</v>
      </c>
      <c r="I1786" s="267" t="s">
        <v>4683</v>
      </c>
      <c r="J1786" s="267" t="s">
        <v>3928</v>
      </c>
      <c r="K1786" s="267">
        <v>6762</v>
      </c>
      <c r="L1786" s="267">
        <v>344200</v>
      </c>
      <c r="M1786" s="267" t="s">
        <v>3943</v>
      </c>
      <c r="N1786" s="267" t="s">
        <v>3944</v>
      </c>
      <c r="O1786" s="267">
        <v>1858.05</v>
      </c>
      <c r="P1786" s="267" t="s">
        <v>3944</v>
      </c>
      <c r="Q1786" s="267" t="s">
        <v>3944</v>
      </c>
      <c r="R1786" s="267">
        <v>1858.05</v>
      </c>
      <c r="S1786" s="267">
        <v>29677.95</v>
      </c>
      <c r="T1786" s="267">
        <v>31536</v>
      </c>
      <c r="U1786" s="268" t="s">
        <v>3945</v>
      </c>
      <c r="V1786" s="267" t="s">
        <v>944</v>
      </c>
    </row>
    <row r="1787" spans="1:22" hidden="1" x14ac:dyDescent="0.25">
      <c r="A1787" s="269">
        <v>43566</v>
      </c>
      <c r="B1787" s="270">
        <v>2019</v>
      </c>
      <c r="C1787" s="270">
        <v>2019</v>
      </c>
      <c r="D1787" s="270">
        <v>1</v>
      </c>
      <c r="E1787" s="270">
        <v>1</v>
      </c>
      <c r="F1787" s="270" t="s">
        <v>944</v>
      </c>
      <c r="G1787" s="270" t="s">
        <v>3926</v>
      </c>
      <c r="H1787" s="270" t="s">
        <v>6066</v>
      </c>
      <c r="I1787" s="270" t="s">
        <v>4306</v>
      </c>
      <c r="J1787" s="270" t="s">
        <v>3928</v>
      </c>
      <c r="K1787" s="270">
        <v>6716</v>
      </c>
      <c r="L1787" s="270">
        <v>361100</v>
      </c>
      <c r="M1787" s="270" t="s">
        <v>3960</v>
      </c>
      <c r="N1787" s="270" t="s">
        <v>3944</v>
      </c>
      <c r="O1787" s="270">
        <v>2194.89</v>
      </c>
      <c r="P1787" s="270" t="s">
        <v>3944</v>
      </c>
      <c r="Q1787" s="270" t="s">
        <v>3944</v>
      </c>
      <c r="R1787" s="270">
        <v>2194.89</v>
      </c>
      <c r="S1787" s="270">
        <v>41292.11</v>
      </c>
      <c r="T1787" s="270">
        <v>43487</v>
      </c>
      <c r="U1787" s="271" t="s">
        <v>3945</v>
      </c>
      <c r="V1787" s="267" t="s">
        <v>944</v>
      </c>
    </row>
    <row r="1788" spans="1:22" hidden="1" x14ac:dyDescent="0.25">
      <c r="A1788" s="266">
        <v>43566</v>
      </c>
      <c r="B1788" s="267">
        <v>2019</v>
      </c>
      <c r="C1788" s="267">
        <v>2019</v>
      </c>
      <c r="D1788" s="267">
        <v>1</v>
      </c>
      <c r="E1788" s="267">
        <v>1</v>
      </c>
      <c r="F1788" s="267" t="s">
        <v>944</v>
      </c>
      <c r="G1788" s="267" t="s">
        <v>3926</v>
      </c>
      <c r="H1788" s="267" t="s">
        <v>6067</v>
      </c>
      <c r="I1788" s="267" t="s">
        <v>2987</v>
      </c>
      <c r="J1788" s="267" t="s">
        <v>3928</v>
      </c>
      <c r="K1788" s="267">
        <v>6611</v>
      </c>
      <c r="L1788" s="267">
        <v>90200</v>
      </c>
      <c r="M1788" s="267" t="s">
        <v>3943</v>
      </c>
      <c r="N1788" s="267" t="s">
        <v>3944</v>
      </c>
      <c r="O1788" s="267">
        <v>3771.92</v>
      </c>
      <c r="P1788" s="267" t="s">
        <v>3944</v>
      </c>
      <c r="Q1788" s="267" t="s">
        <v>3944</v>
      </c>
      <c r="R1788" s="267">
        <v>3771.92</v>
      </c>
      <c r="S1788" s="267">
        <v>55798.080000000002</v>
      </c>
      <c r="T1788" s="267">
        <v>59570</v>
      </c>
      <c r="U1788" s="268" t="s">
        <v>3945</v>
      </c>
      <c r="V1788" s="267" t="s">
        <v>944</v>
      </c>
    </row>
    <row r="1789" spans="1:22" hidden="1" x14ac:dyDescent="0.25">
      <c r="A1789" s="269">
        <v>43566</v>
      </c>
      <c r="B1789" s="270">
        <v>2019</v>
      </c>
      <c r="C1789" s="270">
        <v>2019</v>
      </c>
      <c r="D1789" s="270">
        <v>1</v>
      </c>
      <c r="E1789" s="270">
        <v>1</v>
      </c>
      <c r="F1789" s="270" t="s">
        <v>944</v>
      </c>
      <c r="G1789" s="270" t="s">
        <v>3926</v>
      </c>
      <c r="H1789" s="270" t="s">
        <v>6068</v>
      </c>
      <c r="I1789" s="270" t="s">
        <v>4069</v>
      </c>
      <c r="J1789" s="270" t="s">
        <v>3928</v>
      </c>
      <c r="K1789" s="270">
        <v>6902</v>
      </c>
      <c r="L1789" s="270">
        <v>20500</v>
      </c>
      <c r="M1789" s="270" t="s">
        <v>3943</v>
      </c>
      <c r="N1789" s="270" t="s">
        <v>3944</v>
      </c>
      <c r="O1789" s="270">
        <v>3456.25</v>
      </c>
      <c r="P1789" s="270" t="s">
        <v>3944</v>
      </c>
      <c r="Q1789" s="270" t="s">
        <v>3944</v>
      </c>
      <c r="R1789" s="270">
        <v>3456.25</v>
      </c>
      <c r="S1789" s="270">
        <v>59622.55</v>
      </c>
      <c r="T1789" s="270">
        <v>63078.8</v>
      </c>
      <c r="U1789" s="271" t="s">
        <v>3945</v>
      </c>
      <c r="V1789" s="267" t="s">
        <v>944</v>
      </c>
    </row>
    <row r="1790" spans="1:22" hidden="1" x14ac:dyDescent="0.25">
      <c r="A1790" s="266">
        <v>43566</v>
      </c>
      <c r="B1790" s="267">
        <v>2019</v>
      </c>
      <c r="C1790" s="267">
        <v>2019</v>
      </c>
      <c r="D1790" s="267">
        <v>1</v>
      </c>
      <c r="E1790" s="267">
        <v>1</v>
      </c>
      <c r="F1790" s="267" t="s">
        <v>944</v>
      </c>
      <c r="G1790" s="267" t="s">
        <v>3926</v>
      </c>
      <c r="H1790" s="267" t="s">
        <v>6069</v>
      </c>
      <c r="I1790" s="267" t="s">
        <v>2987</v>
      </c>
      <c r="J1790" s="267" t="s">
        <v>3928</v>
      </c>
      <c r="K1790" s="267">
        <v>6611</v>
      </c>
      <c r="L1790" s="267">
        <v>90300</v>
      </c>
      <c r="M1790" s="267" t="s">
        <v>3943</v>
      </c>
      <c r="N1790" s="267" t="s">
        <v>3944</v>
      </c>
      <c r="O1790" s="267">
        <v>2931.53</v>
      </c>
      <c r="P1790" s="267" t="s">
        <v>3944</v>
      </c>
      <c r="Q1790" s="267" t="s">
        <v>3944</v>
      </c>
      <c r="R1790" s="267">
        <v>2931.53</v>
      </c>
      <c r="S1790" s="267">
        <v>21264.47</v>
      </c>
      <c r="T1790" s="267">
        <v>24196</v>
      </c>
      <c r="U1790" s="268" t="s">
        <v>3945</v>
      </c>
      <c r="V1790" s="267" t="s">
        <v>944</v>
      </c>
    </row>
    <row r="1791" spans="1:22" hidden="1" x14ac:dyDescent="0.25">
      <c r="A1791" s="269">
        <v>43566</v>
      </c>
      <c r="B1791" s="270">
        <v>2019</v>
      </c>
      <c r="C1791" s="270">
        <v>2019</v>
      </c>
      <c r="D1791" s="270">
        <v>1</v>
      </c>
      <c r="E1791" s="270">
        <v>1</v>
      </c>
      <c r="F1791" s="270" t="s">
        <v>944</v>
      </c>
      <c r="G1791" s="270" t="s">
        <v>3926</v>
      </c>
      <c r="H1791" s="270" t="s">
        <v>6070</v>
      </c>
      <c r="I1791" s="270" t="s">
        <v>4213</v>
      </c>
      <c r="J1791" s="270" t="s">
        <v>3928</v>
      </c>
      <c r="K1791" s="270">
        <v>6051</v>
      </c>
      <c r="L1791" s="270">
        <v>416300</v>
      </c>
      <c r="M1791" s="270">
        <v>-60</v>
      </c>
      <c r="N1791" s="270" t="s">
        <v>3944</v>
      </c>
      <c r="O1791" s="270">
        <v>1398.46</v>
      </c>
      <c r="P1791" s="270" t="s">
        <v>3944</v>
      </c>
      <c r="Q1791" s="270" t="s">
        <v>3944</v>
      </c>
      <c r="R1791" s="270">
        <v>1398.46</v>
      </c>
      <c r="S1791" s="270">
        <v>35200.410000000003</v>
      </c>
      <c r="T1791" s="270">
        <v>36598.870000000003</v>
      </c>
      <c r="U1791" s="271" t="s">
        <v>3945</v>
      </c>
      <c r="V1791" s="267" t="s">
        <v>944</v>
      </c>
    </row>
    <row r="1792" spans="1:22" hidden="1" x14ac:dyDescent="0.25">
      <c r="A1792" s="266">
        <v>43567</v>
      </c>
      <c r="B1792" s="267">
        <v>2019</v>
      </c>
      <c r="C1792" s="267">
        <v>2019</v>
      </c>
      <c r="D1792" s="267">
        <v>1</v>
      </c>
      <c r="E1792" s="267">
        <v>1</v>
      </c>
      <c r="F1792" s="267" t="s">
        <v>944</v>
      </c>
      <c r="G1792" s="267" t="s">
        <v>3926</v>
      </c>
      <c r="H1792" s="267" t="s">
        <v>6071</v>
      </c>
      <c r="I1792" s="267" t="s">
        <v>4213</v>
      </c>
      <c r="J1792" s="267" t="s">
        <v>3928</v>
      </c>
      <c r="K1792" s="267">
        <v>6051</v>
      </c>
      <c r="L1792" s="267">
        <v>415600</v>
      </c>
      <c r="M1792" s="267">
        <v>-60</v>
      </c>
      <c r="N1792" s="267" t="s">
        <v>6072</v>
      </c>
      <c r="O1792" s="267">
        <v>0</v>
      </c>
      <c r="P1792" s="267" t="s">
        <v>3930</v>
      </c>
      <c r="Q1792" s="267" t="s">
        <v>3930</v>
      </c>
      <c r="R1792" s="267">
        <v>0</v>
      </c>
      <c r="S1792" s="267">
        <v>6779.52</v>
      </c>
      <c r="T1792" s="267">
        <v>6779.52</v>
      </c>
      <c r="U1792" s="268" t="s">
        <v>3937</v>
      </c>
      <c r="V1792" s="267" t="s">
        <v>944</v>
      </c>
    </row>
    <row r="1793" spans="1:22" x14ac:dyDescent="0.25">
      <c r="A1793" s="269">
        <v>43567</v>
      </c>
      <c r="B1793" s="270">
        <v>2019</v>
      </c>
      <c r="C1793" s="270">
        <v>2019</v>
      </c>
      <c r="D1793" s="270">
        <v>1</v>
      </c>
      <c r="E1793" s="270">
        <v>1</v>
      </c>
      <c r="F1793" s="270" t="s">
        <v>944</v>
      </c>
      <c r="G1793" s="270" t="s">
        <v>3926</v>
      </c>
      <c r="H1793" s="270" t="s">
        <v>6073</v>
      </c>
      <c r="I1793" s="270" t="s">
        <v>934</v>
      </c>
      <c r="J1793" s="270" t="s">
        <v>3928</v>
      </c>
      <c r="K1793" s="270">
        <v>6604</v>
      </c>
      <c r="L1793" s="270">
        <v>71300</v>
      </c>
      <c r="M1793" s="270">
        <v>-60</v>
      </c>
      <c r="N1793" s="270" t="s">
        <v>3983</v>
      </c>
      <c r="O1793" s="270">
        <v>0</v>
      </c>
      <c r="P1793" s="270" t="s">
        <v>3930</v>
      </c>
      <c r="Q1793" s="270" t="s">
        <v>3931</v>
      </c>
      <c r="R1793" s="270">
        <v>5000</v>
      </c>
      <c r="S1793" s="270">
        <v>16504</v>
      </c>
      <c r="T1793" s="270">
        <v>21504</v>
      </c>
      <c r="U1793" s="271" t="s">
        <v>3932</v>
      </c>
      <c r="V1793" s="276" t="s">
        <v>936</v>
      </c>
    </row>
    <row r="1794" spans="1:22" x14ac:dyDescent="0.25">
      <c r="A1794" s="266">
        <v>43567</v>
      </c>
      <c r="B1794" s="267">
        <v>2019</v>
      </c>
      <c r="C1794" s="267">
        <v>2019</v>
      </c>
      <c r="D1794" s="267">
        <v>1</v>
      </c>
      <c r="E1794" s="267">
        <v>1</v>
      </c>
      <c r="F1794" s="267" t="s">
        <v>944</v>
      </c>
      <c r="G1794" s="267" t="s">
        <v>3926</v>
      </c>
      <c r="H1794" s="267" t="s">
        <v>6074</v>
      </c>
      <c r="I1794" s="267" t="s">
        <v>943</v>
      </c>
      <c r="J1794" s="267" t="s">
        <v>3928</v>
      </c>
      <c r="K1794" s="267">
        <v>6511</v>
      </c>
      <c r="L1794" s="267">
        <v>141500</v>
      </c>
      <c r="M1794" s="267">
        <v>-60</v>
      </c>
      <c r="N1794" s="267" t="s">
        <v>3929</v>
      </c>
      <c r="O1794" s="267">
        <v>1957.41</v>
      </c>
      <c r="P1794" s="267" t="s">
        <v>3930</v>
      </c>
      <c r="Q1794" s="267" t="s">
        <v>3931</v>
      </c>
      <c r="R1794" s="267">
        <v>6957.41</v>
      </c>
      <c r="S1794" s="267">
        <v>34744</v>
      </c>
      <c r="T1794" s="267">
        <v>41701.410000000003</v>
      </c>
      <c r="U1794" s="268" t="s">
        <v>3932</v>
      </c>
      <c r="V1794" s="276" t="s">
        <v>936</v>
      </c>
    </row>
    <row r="1795" spans="1:22" hidden="1" x14ac:dyDescent="0.25">
      <c r="A1795" s="269">
        <v>43567</v>
      </c>
      <c r="B1795" s="270">
        <v>2019</v>
      </c>
      <c r="C1795" s="270">
        <v>2019</v>
      </c>
      <c r="D1795" s="270">
        <v>1</v>
      </c>
      <c r="E1795" s="270">
        <v>1</v>
      </c>
      <c r="F1795" s="270" t="s">
        <v>944</v>
      </c>
      <c r="G1795" s="270" t="s">
        <v>3926</v>
      </c>
      <c r="H1795" s="270" t="s">
        <v>6075</v>
      </c>
      <c r="I1795" s="270" t="s">
        <v>3956</v>
      </c>
      <c r="J1795" s="270" t="s">
        <v>3928</v>
      </c>
      <c r="K1795" s="270">
        <v>6112</v>
      </c>
      <c r="L1795" s="270">
        <v>504000</v>
      </c>
      <c r="M1795" s="270" t="s">
        <v>3940</v>
      </c>
      <c r="N1795" s="270" t="s">
        <v>4975</v>
      </c>
      <c r="O1795" s="270">
        <v>0</v>
      </c>
      <c r="P1795" s="270" t="s">
        <v>3930</v>
      </c>
      <c r="Q1795" s="270" t="s">
        <v>3930</v>
      </c>
      <c r="R1795" s="270">
        <v>0</v>
      </c>
      <c r="S1795" s="270">
        <v>8000</v>
      </c>
      <c r="T1795" s="270">
        <v>8000</v>
      </c>
      <c r="U1795" s="271" t="s">
        <v>3937</v>
      </c>
      <c r="V1795" s="267" t="s">
        <v>944</v>
      </c>
    </row>
    <row r="1796" spans="1:22" hidden="1" x14ac:dyDescent="0.25">
      <c r="A1796" s="266">
        <v>43567</v>
      </c>
      <c r="B1796" s="267">
        <v>2019</v>
      </c>
      <c r="C1796" s="267">
        <v>2019</v>
      </c>
      <c r="D1796" s="267">
        <v>1</v>
      </c>
      <c r="E1796" s="267">
        <v>1</v>
      </c>
      <c r="F1796" s="267" t="s">
        <v>944</v>
      </c>
      <c r="G1796" s="267" t="s">
        <v>3926</v>
      </c>
      <c r="H1796" s="267" t="s">
        <v>6076</v>
      </c>
      <c r="I1796" s="267" t="s">
        <v>934</v>
      </c>
      <c r="J1796" s="267" t="s">
        <v>3928</v>
      </c>
      <c r="K1796" s="267">
        <v>6605</v>
      </c>
      <c r="L1796" s="267">
        <v>71100</v>
      </c>
      <c r="M1796" s="267">
        <v>-60</v>
      </c>
      <c r="N1796" s="267" t="s">
        <v>6077</v>
      </c>
      <c r="O1796" s="267">
        <v>2837.16</v>
      </c>
      <c r="P1796" s="267" t="s">
        <v>3930</v>
      </c>
      <c r="Q1796" s="267" t="s">
        <v>3931</v>
      </c>
      <c r="R1796" s="267">
        <v>7837.16</v>
      </c>
      <c r="S1796" s="267">
        <v>17680</v>
      </c>
      <c r="T1796" s="267">
        <v>25517.16</v>
      </c>
      <c r="U1796" s="268" t="s">
        <v>3932</v>
      </c>
      <c r="V1796" s="267" t="s">
        <v>944</v>
      </c>
    </row>
    <row r="1797" spans="1:22" hidden="1" x14ac:dyDescent="0.25">
      <c r="A1797" s="269">
        <v>43567</v>
      </c>
      <c r="B1797" s="270">
        <v>2019</v>
      </c>
      <c r="C1797" s="270">
        <v>2019</v>
      </c>
      <c r="D1797" s="270">
        <v>1</v>
      </c>
      <c r="E1797" s="270">
        <v>1</v>
      </c>
      <c r="F1797" s="270" t="s">
        <v>944</v>
      </c>
      <c r="G1797" s="270" t="s">
        <v>3926</v>
      </c>
      <c r="H1797" s="270" t="s">
        <v>6078</v>
      </c>
      <c r="I1797" s="270" t="s">
        <v>4108</v>
      </c>
      <c r="J1797" s="270" t="s">
        <v>3928</v>
      </c>
      <c r="K1797" s="270">
        <v>6082</v>
      </c>
      <c r="L1797" s="270">
        <v>481000</v>
      </c>
      <c r="M1797" s="270" t="s">
        <v>3943</v>
      </c>
      <c r="N1797" s="270" t="s">
        <v>6079</v>
      </c>
      <c r="O1797" s="270">
        <v>1706.25</v>
      </c>
      <c r="P1797" s="270" t="s">
        <v>3930</v>
      </c>
      <c r="Q1797" s="270" t="s">
        <v>3931</v>
      </c>
      <c r="R1797" s="270">
        <v>6706.25</v>
      </c>
      <c r="S1797" s="270">
        <v>24808</v>
      </c>
      <c r="T1797" s="270">
        <v>31514.25</v>
      </c>
      <c r="U1797" s="271" t="s">
        <v>3932</v>
      </c>
      <c r="V1797" s="267" t="s">
        <v>944</v>
      </c>
    </row>
    <row r="1798" spans="1:22" hidden="1" x14ac:dyDescent="0.25">
      <c r="A1798" s="266">
        <v>43567</v>
      </c>
      <c r="B1798" s="267">
        <v>2019</v>
      </c>
      <c r="C1798" s="267">
        <v>2019</v>
      </c>
      <c r="D1798" s="267">
        <v>1</v>
      </c>
      <c r="E1798" s="267">
        <v>1</v>
      </c>
      <c r="F1798" s="267" t="s">
        <v>944</v>
      </c>
      <c r="G1798" s="267" t="s">
        <v>3926</v>
      </c>
      <c r="H1798" s="267" t="s">
        <v>6080</v>
      </c>
      <c r="I1798" s="267" t="s">
        <v>4159</v>
      </c>
      <c r="J1798" s="267" t="s">
        <v>3928</v>
      </c>
      <c r="K1798" s="267">
        <v>6060</v>
      </c>
      <c r="L1798" s="267">
        <v>468101</v>
      </c>
      <c r="M1798" s="267" t="s">
        <v>3943</v>
      </c>
      <c r="N1798" s="267" t="s">
        <v>3929</v>
      </c>
      <c r="O1798" s="267">
        <v>2072.11</v>
      </c>
      <c r="P1798" s="267" t="s">
        <v>3930</v>
      </c>
      <c r="Q1798" s="267" t="s">
        <v>3931</v>
      </c>
      <c r="R1798" s="267">
        <v>7072.11</v>
      </c>
      <c r="S1798" s="267">
        <v>34744</v>
      </c>
      <c r="T1798" s="267">
        <v>41816.11</v>
      </c>
      <c r="U1798" s="268" t="s">
        <v>3932</v>
      </c>
      <c r="V1798" s="267" t="s">
        <v>944</v>
      </c>
    </row>
    <row r="1799" spans="1:22" hidden="1" x14ac:dyDescent="0.25">
      <c r="A1799" s="269">
        <v>43567</v>
      </c>
      <c r="B1799" s="270">
        <v>2019</v>
      </c>
      <c r="C1799" s="270">
        <v>2019</v>
      </c>
      <c r="D1799" s="270">
        <v>1</v>
      </c>
      <c r="E1799" s="270">
        <v>1</v>
      </c>
      <c r="F1799" s="270" t="s">
        <v>944</v>
      </c>
      <c r="G1799" s="270" t="s">
        <v>3926</v>
      </c>
      <c r="H1799" s="270" t="s">
        <v>6081</v>
      </c>
      <c r="I1799" s="270" t="s">
        <v>3956</v>
      </c>
      <c r="J1799" s="270" t="s">
        <v>3928</v>
      </c>
      <c r="K1799" s="270">
        <v>6112</v>
      </c>
      <c r="L1799" s="270">
        <v>503900</v>
      </c>
      <c r="M1799" s="270">
        <v>-60</v>
      </c>
      <c r="N1799" s="270" t="s">
        <v>6082</v>
      </c>
      <c r="O1799" s="270">
        <v>0</v>
      </c>
      <c r="P1799" s="270" t="s">
        <v>3930</v>
      </c>
      <c r="Q1799" s="270" t="s">
        <v>3930</v>
      </c>
      <c r="R1799" s="270">
        <v>0</v>
      </c>
      <c r="S1799" s="270">
        <v>18049</v>
      </c>
      <c r="T1799" s="270">
        <v>18049</v>
      </c>
      <c r="U1799" s="271" t="s">
        <v>3937</v>
      </c>
      <c r="V1799" s="267" t="s">
        <v>944</v>
      </c>
    </row>
    <row r="1800" spans="1:22" hidden="1" x14ac:dyDescent="0.25">
      <c r="A1800" s="266">
        <v>43567</v>
      </c>
      <c r="B1800" s="267">
        <v>2019</v>
      </c>
      <c r="C1800" s="267">
        <v>2019</v>
      </c>
      <c r="D1800" s="267">
        <v>1</v>
      </c>
      <c r="E1800" s="267">
        <v>1</v>
      </c>
      <c r="F1800" s="267" t="s">
        <v>944</v>
      </c>
      <c r="G1800" s="267" t="s">
        <v>3926</v>
      </c>
      <c r="H1800" s="267" t="s">
        <v>6083</v>
      </c>
      <c r="I1800" s="267" t="s">
        <v>4046</v>
      </c>
      <c r="J1800" s="267" t="s">
        <v>3928</v>
      </c>
      <c r="K1800" s="267">
        <v>6281</v>
      </c>
      <c r="L1800" s="267">
        <v>901100</v>
      </c>
      <c r="M1800" s="267" t="s">
        <v>3960</v>
      </c>
      <c r="N1800" s="267" t="s">
        <v>6084</v>
      </c>
      <c r="O1800" s="267">
        <v>0</v>
      </c>
      <c r="P1800" s="267" t="s">
        <v>3930</v>
      </c>
      <c r="Q1800" s="267" t="s">
        <v>3930</v>
      </c>
      <c r="R1800" s="267">
        <v>0</v>
      </c>
      <c r="S1800" s="267">
        <v>24600</v>
      </c>
      <c r="T1800" s="267">
        <v>24600</v>
      </c>
      <c r="U1800" s="268" t="s">
        <v>3937</v>
      </c>
      <c r="V1800" s="267" t="s">
        <v>944</v>
      </c>
    </row>
    <row r="1801" spans="1:22" hidden="1" x14ac:dyDescent="0.25">
      <c r="A1801" s="269">
        <v>43568</v>
      </c>
      <c r="B1801" s="270">
        <v>2019</v>
      </c>
      <c r="C1801" s="270">
        <v>2019</v>
      </c>
      <c r="D1801" s="270">
        <v>1</v>
      </c>
      <c r="E1801" s="270">
        <v>1</v>
      </c>
      <c r="F1801" s="270" t="s">
        <v>944</v>
      </c>
      <c r="G1801" s="270" t="s">
        <v>3926</v>
      </c>
      <c r="H1801" s="270" t="s">
        <v>6085</v>
      </c>
      <c r="I1801" s="270" t="s">
        <v>4019</v>
      </c>
      <c r="J1801" s="270" t="s">
        <v>3928</v>
      </c>
      <c r="K1801" s="270">
        <v>6708</v>
      </c>
      <c r="L1801" s="270">
        <v>352100</v>
      </c>
      <c r="M1801" s="270" t="s">
        <v>3940</v>
      </c>
      <c r="N1801" s="270" t="s">
        <v>4103</v>
      </c>
      <c r="O1801" s="270">
        <v>1777.37</v>
      </c>
      <c r="P1801" s="270" t="s">
        <v>3930</v>
      </c>
      <c r="Q1801" s="270" t="s">
        <v>3931</v>
      </c>
      <c r="R1801" s="270">
        <v>6777.37</v>
      </c>
      <c r="S1801" s="270">
        <v>24145.599999999999</v>
      </c>
      <c r="T1801" s="270">
        <v>30922.97</v>
      </c>
      <c r="U1801" s="271" t="s">
        <v>3932</v>
      </c>
      <c r="V1801" s="267" t="s">
        <v>944</v>
      </c>
    </row>
    <row r="1802" spans="1:22" hidden="1" x14ac:dyDescent="0.25">
      <c r="A1802" s="266">
        <v>43568</v>
      </c>
      <c r="B1802" s="267">
        <v>2019</v>
      </c>
      <c r="C1802" s="267">
        <v>2019</v>
      </c>
      <c r="D1802" s="267">
        <v>1</v>
      </c>
      <c r="E1802" s="267">
        <v>1</v>
      </c>
      <c r="F1802" s="267" t="s">
        <v>944</v>
      </c>
      <c r="G1802" s="267" t="s">
        <v>3926</v>
      </c>
      <c r="H1802" s="267" t="s">
        <v>6086</v>
      </c>
      <c r="I1802" s="267" t="s">
        <v>4029</v>
      </c>
      <c r="J1802" s="267" t="s">
        <v>3928</v>
      </c>
      <c r="K1802" s="267">
        <v>6850</v>
      </c>
      <c r="L1802" s="267">
        <v>43300</v>
      </c>
      <c r="M1802" s="267" t="s">
        <v>3935</v>
      </c>
      <c r="N1802" s="267" t="s">
        <v>4103</v>
      </c>
      <c r="O1802" s="267">
        <v>1875.9</v>
      </c>
      <c r="P1802" s="267" t="s">
        <v>3930</v>
      </c>
      <c r="Q1802" s="267" t="s">
        <v>3931</v>
      </c>
      <c r="R1802" s="267">
        <v>6875.9</v>
      </c>
      <c r="S1802" s="267">
        <v>24145.599999999999</v>
      </c>
      <c r="T1802" s="267">
        <v>31021.5</v>
      </c>
      <c r="U1802" s="268" t="s">
        <v>3932</v>
      </c>
      <c r="V1802" s="267" t="s">
        <v>944</v>
      </c>
    </row>
    <row r="1803" spans="1:22" hidden="1" x14ac:dyDescent="0.25">
      <c r="A1803" s="269">
        <v>43568</v>
      </c>
      <c r="B1803" s="270">
        <v>2019</v>
      </c>
      <c r="C1803" s="270">
        <v>2019</v>
      </c>
      <c r="D1803" s="270">
        <v>1</v>
      </c>
      <c r="E1803" s="270">
        <v>1</v>
      </c>
      <c r="F1803" s="270" t="s">
        <v>944</v>
      </c>
      <c r="G1803" s="270" t="s">
        <v>3926</v>
      </c>
      <c r="H1803" s="270" t="s">
        <v>6087</v>
      </c>
      <c r="I1803" s="270" t="s">
        <v>950</v>
      </c>
      <c r="J1803" s="270" t="s">
        <v>3928</v>
      </c>
      <c r="K1803" s="270">
        <v>6516</v>
      </c>
      <c r="L1803" s="270">
        <v>154700</v>
      </c>
      <c r="M1803" s="270" t="s">
        <v>3960</v>
      </c>
      <c r="N1803" s="270" t="s">
        <v>4582</v>
      </c>
      <c r="O1803" s="270">
        <v>2604.0700000000002</v>
      </c>
      <c r="P1803" s="270" t="s">
        <v>3930</v>
      </c>
      <c r="Q1803" s="270" t="s">
        <v>3931</v>
      </c>
      <c r="R1803" s="270">
        <v>7604.07</v>
      </c>
      <c r="S1803" s="270">
        <v>34785.4</v>
      </c>
      <c r="T1803" s="270">
        <v>42389.47</v>
      </c>
      <c r="U1803" s="271" t="s">
        <v>3932</v>
      </c>
      <c r="V1803" s="267" t="s">
        <v>944</v>
      </c>
    </row>
    <row r="1804" spans="1:22" hidden="1" x14ac:dyDescent="0.25">
      <c r="A1804" s="266">
        <v>43568</v>
      </c>
      <c r="B1804" s="267">
        <v>2019</v>
      </c>
      <c r="C1804" s="267">
        <v>2019</v>
      </c>
      <c r="D1804" s="267">
        <v>1</v>
      </c>
      <c r="E1804" s="267">
        <v>1</v>
      </c>
      <c r="F1804" s="267" t="s">
        <v>944</v>
      </c>
      <c r="G1804" s="267" t="s">
        <v>3926</v>
      </c>
      <c r="H1804" s="267" t="s">
        <v>6088</v>
      </c>
      <c r="I1804" s="267" t="s">
        <v>3968</v>
      </c>
      <c r="J1804" s="267" t="s">
        <v>3928</v>
      </c>
      <c r="K1804" s="267">
        <v>6042</v>
      </c>
      <c r="L1804" s="267">
        <v>514500</v>
      </c>
      <c r="M1804" s="267" t="s">
        <v>3935</v>
      </c>
      <c r="N1804" s="267" t="s">
        <v>4714</v>
      </c>
      <c r="O1804" s="267">
        <v>1574.13</v>
      </c>
      <c r="P1804" s="267" t="s">
        <v>3930</v>
      </c>
      <c r="Q1804" s="267" t="s">
        <v>3931</v>
      </c>
      <c r="R1804" s="267">
        <v>6574.13</v>
      </c>
      <c r="S1804" s="267">
        <v>24518.2</v>
      </c>
      <c r="T1804" s="267">
        <v>31092.33</v>
      </c>
      <c r="U1804" s="268" t="s">
        <v>3932</v>
      </c>
      <c r="V1804" s="267" t="s">
        <v>944</v>
      </c>
    </row>
    <row r="1805" spans="1:22" hidden="1" x14ac:dyDescent="0.25">
      <c r="A1805" s="269">
        <v>43569</v>
      </c>
      <c r="B1805" s="270">
        <v>2019</v>
      </c>
      <c r="C1805" s="270">
        <v>2019</v>
      </c>
      <c r="D1805" s="270">
        <v>1</v>
      </c>
      <c r="E1805" s="270">
        <v>1</v>
      </c>
      <c r="F1805" s="270" t="s">
        <v>944</v>
      </c>
      <c r="G1805" s="270" t="s">
        <v>3926</v>
      </c>
      <c r="H1805" s="270" t="s">
        <v>6089</v>
      </c>
      <c r="I1805" s="270" t="s">
        <v>4019</v>
      </c>
      <c r="J1805" s="270" t="s">
        <v>3928</v>
      </c>
      <c r="K1805" s="270">
        <v>6704</v>
      </c>
      <c r="L1805" s="270">
        <v>352500</v>
      </c>
      <c r="M1805" s="270">
        <v>-60</v>
      </c>
      <c r="N1805" s="270" t="s">
        <v>3929</v>
      </c>
      <c r="O1805" s="270">
        <v>2712.54</v>
      </c>
      <c r="P1805" s="270" t="s">
        <v>3930</v>
      </c>
      <c r="Q1805" s="270" t="s">
        <v>3931</v>
      </c>
      <c r="R1805" s="270">
        <v>7712.54</v>
      </c>
      <c r="S1805" s="270">
        <v>34744</v>
      </c>
      <c r="T1805" s="270">
        <v>42456.54</v>
      </c>
      <c r="U1805" s="271" t="s">
        <v>3932</v>
      </c>
      <c r="V1805" s="267" t="s">
        <v>944</v>
      </c>
    </row>
    <row r="1806" spans="1:22" hidden="1" x14ac:dyDescent="0.25">
      <c r="A1806" s="266">
        <v>43570</v>
      </c>
      <c r="B1806" s="267">
        <v>2019</v>
      </c>
      <c r="C1806" s="267">
        <v>2019</v>
      </c>
      <c r="D1806" s="267">
        <v>1</v>
      </c>
      <c r="E1806" s="267">
        <v>1</v>
      </c>
      <c r="F1806" s="267" t="s">
        <v>944</v>
      </c>
      <c r="G1806" s="267" t="s">
        <v>3926</v>
      </c>
      <c r="H1806" s="267" t="s">
        <v>6090</v>
      </c>
      <c r="I1806" s="267" t="s">
        <v>4353</v>
      </c>
      <c r="J1806" s="267" t="s">
        <v>3928</v>
      </c>
      <c r="K1806" s="267">
        <v>6416</v>
      </c>
      <c r="L1806" s="267">
        <v>570300</v>
      </c>
      <c r="M1806" s="267" t="s">
        <v>3940</v>
      </c>
      <c r="N1806" s="267" t="s">
        <v>6091</v>
      </c>
      <c r="O1806" s="267">
        <v>0</v>
      </c>
      <c r="P1806" s="267" t="s">
        <v>3930</v>
      </c>
      <c r="Q1806" s="267" t="s">
        <v>3930</v>
      </c>
      <c r="R1806" s="267">
        <v>0</v>
      </c>
      <c r="S1806" s="267">
        <v>17655</v>
      </c>
      <c r="T1806" s="267">
        <v>17655</v>
      </c>
      <c r="U1806" s="268" t="s">
        <v>3937</v>
      </c>
      <c r="V1806" s="267" t="s">
        <v>944</v>
      </c>
    </row>
    <row r="1807" spans="1:22" hidden="1" x14ac:dyDescent="0.25">
      <c r="A1807" s="269">
        <v>43570</v>
      </c>
      <c r="B1807" s="270">
        <v>2019</v>
      </c>
      <c r="C1807" s="270">
        <v>2019</v>
      </c>
      <c r="D1807" s="270">
        <v>1</v>
      </c>
      <c r="E1807" s="270">
        <v>1</v>
      </c>
      <c r="F1807" s="270" t="s">
        <v>944</v>
      </c>
      <c r="G1807" s="270" t="s">
        <v>3926</v>
      </c>
      <c r="H1807" s="270" t="s">
        <v>6092</v>
      </c>
      <c r="I1807" s="270" t="s">
        <v>4213</v>
      </c>
      <c r="J1807" s="270" t="s">
        <v>3928</v>
      </c>
      <c r="K1807" s="270">
        <v>6051</v>
      </c>
      <c r="L1807" s="270">
        <v>415400</v>
      </c>
      <c r="M1807" s="270">
        <v>-60</v>
      </c>
      <c r="N1807" s="270" t="s">
        <v>6093</v>
      </c>
      <c r="O1807" s="270">
        <v>0</v>
      </c>
      <c r="P1807" s="270" t="s">
        <v>3930</v>
      </c>
      <c r="Q1807" s="270" t="s">
        <v>3930</v>
      </c>
      <c r="R1807" s="270">
        <v>0</v>
      </c>
      <c r="S1807" s="270">
        <v>16580</v>
      </c>
      <c r="T1807" s="270">
        <v>16580</v>
      </c>
      <c r="U1807" s="271" t="s">
        <v>3937</v>
      </c>
      <c r="V1807" s="267" t="s">
        <v>944</v>
      </c>
    </row>
    <row r="1808" spans="1:22" hidden="1" x14ac:dyDescent="0.25">
      <c r="A1808" s="266">
        <v>43570</v>
      </c>
      <c r="B1808" s="267">
        <v>2019</v>
      </c>
      <c r="C1808" s="267">
        <v>2019</v>
      </c>
      <c r="D1808" s="267">
        <v>1</v>
      </c>
      <c r="E1808" s="267">
        <v>1</v>
      </c>
      <c r="F1808" s="267" t="s">
        <v>944</v>
      </c>
      <c r="G1808" s="267" t="s">
        <v>3926</v>
      </c>
      <c r="H1808" s="267" t="s">
        <v>6094</v>
      </c>
      <c r="I1808" s="267" t="s">
        <v>950</v>
      </c>
      <c r="J1808" s="267" t="s">
        <v>3928</v>
      </c>
      <c r="K1808" s="267">
        <v>6516</v>
      </c>
      <c r="L1808" s="267">
        <v>154100</v>
      </c>
      <c r="M1808" s="267" t="s">
        <v>3940</v>
      </c>
      <c r="N1808" s="267" t="s">
        <v>3986</v>
      </c>
      <c r="O1808" s="267">
        <v>941.78</v>
      </c>
      <c r="P1808" s="267" t="s">
        <v>3930</v>
      </c>
      <c r="Q1808" s="267" t="s">
        <v>3931</v>
      </c>
      <c r="R1808" s="267">
        <v>5941.78</v>
      </c>
      <c r="S1808" s="267">
        <v>16196.8</v>
      </c>
      <c r="T1808" s="267">
        <v>22138.58</v>
      </c>
      <c r="U1808" s="268" t="s">
        <v>3932</v>
      </c>
      <c r="V1808" s="267" t="s">
        <v>944</v>
      </c>
    </row>
    <row r="1809" spans="1:22" hidden="1" x14ac:dyDescent="0.25">
      <c r="A1809" s="269">
        <v>43570</v>
      </c>
      <c r="B1809" s="270">
        <v>2019</v>
      </c>
      <c r="C1809" s="270">
        <v>2019</v>
      </c>
      <c r="D1809" s="270">
        <v>1</v>
      </c>
      <c r="E1809" s="270">
        <v>1</v>
      </c>
      <c r="F1809" s="270" t="s">
        <v>944</v>
      </c>
      <c r="G1809" s="270" t="s">
        <v>3926</v>
      </c>
      <c r="H1809" s="270" t="s">
        <v>6095</v>
      </c>
      <c r="I1809" s="270" t="s">
        <v>4016</v>
      </c>
      <c r="J1809" s="270" t="s">
        <v>3928</v>
      </c>
      <c r="K1809" s="270">
        <v>6770</v>
      </c>
      <c r="L1809" s="270">
        <v>345201</v>
      </c>
      <c r="M1809" s="270" t="s">
        <v>3935</v>
      </c>
      <c r="N1809" s="270" t="s">
        <v>4714</v>
      </c>
      <c r="O1809" s="270">
        <v>1792.11</v>
      </c>
      <c r="P1809" s="270" t="s">
        <v>3930</v>
      </c>
      <c r="Q1809" s="270" t="s">
        <v>3931</v>
      </c>
      <c r="R1809" s="270">
        <v>6792.11</v>
      </c>
      <c r="S1809" s="270">
        <v>24518.2</v>
      </c>
      <c r="T1809" s="270">
        <v>31310.31</v>
      </c>
      <c r="U1809" s="271" t="s">
        <v>3932</v>
      </c>
      <c r="V1809" s="267" t="s">
        <v>944</v>
      </c>
    </row>
    <row r="1810" spans="1:22" hidden="1" x14ac:dyDescent="0.25">
      <c r="A1810" s="266">
        <v>43570</v>
      </c>
      <c r="B1810" s="267">
        <v>2019</v>
      </c>
      <c r="C1810" s="267">
        <v>2019</v>
      </c>
      <c r="D1810" s="267">
        <v>1</v>
      </c>
      <c r="E1810" s="267">
        <v>1</v>
      </c>
      <c r="F1810" s="267" t="s">
        <v>944</v>
      </c>
      <c r="G1810" s="267" t="s">
        <v>3926</v>
      </c>
      <c r="H1810" s="267" t="s">
        <v>6096</v>
      </c>
      <c r="I1810" s="267" t="s">
        <v>3964</v>
      </c>
      <c r="J1810" s="267" t="s">
        <v>3928</v>
      </c>
      <c r="K1810" s="267">
        <v>6033</v>
      </c>
      <c r="L1810" s="267">
        <v>520100</v>
      </c>
      <c r="M1810" s="267" t="s">
        <v>3943</v>
      </c>
      <c r="N1810" s="267" t="s">
        <v>5483</v>
      </c>
      <c r="O1810" s="267">
        <v>0</v>
      </c>
      <c r="P1810" s="267" t="s">
        <v>3930</v>
      </c>
      <c r="Q1810" s="267" t="s">
        <v>3930</v>
      </c>
      <c r="R1810" s="267">
        <v>0</v>
      </c>
      <c r="S1810" s="267">
        <v>21000</v>
      </c>
      <c r="T1810" s="267">
        <v>21000</v>
      </c>
      <c r="U1810" s="268" t="s">
        <v>3937</v>
      </c>
      <c r="V1810" s="267" t="s">
        <v>944</v>
      </c>
    </row>
    <row r="1811" spans="1:22" hidden="1" x14ac:dyDescent="0.25">
      <c r="A1811" s="269">
        <v>43570</v>
      </c>
      <c r="B1811" s="270">
        <v>2019</v>
      </c>
      <c r="C1811" s="270">
        <v>2019</v>
      </c>
      <c r="D1811" s="270">
        <v>1</v>
      </c>
      <c r="E1811" s="270">
        <v>1</v>
      </c>
      <c r="F1811" s="270" t="s">
        <v>944</v>
      </c>
      <c r="G1811" s="270" t="s">
        <v>3926</v>
      </c>
      <c r="H1811" s="270" t="s">
        <v>6097</v>
      </c>
      <c r="I1811" s="270" t="s">
        <v>4016</v>
      </c>
      <c r="J1811" s="270" t="s">
        <v>3928</v>
      </c>
      <c r="K1811" s="270">
        <v>6770</v>
      </c>
      <c r="L1811" s="270">
        <v>345100</v>
      </c>
      <c r="M1811" s="270" t="s">
        <v>3940</v>
      </c>
      <c r="N1811" s="270" t="s">
        <v>3944</v>
      </c>
      <c r="O1811" s="270">
        <v>3092.08</v>
      </c>
      <c r="P1811" s="270" t="s">
        <v>3944</v>
      </c>
      <c r="Q1811" s="270" t="s">
        <v>3944</v>
      </c>
      <c r="R1811" s="270">
        <v>3092.08</v>
      </c>
      <c r="S1811" s="270">
        <v>25171.919999999998</v>
      </c>
      <c r="T1811" s="270">
        <v>28264</v>
      </c>
      <c r="U1811" s="271" t="s">
        <v>3945</v>
      </c>
      <c r="V1811" s="267" t="s">
        <v>944</v>
      </c>
    </row>
    <row r="1812" spans="1:22" hidden="1" x14ac:dyDescent="0.25">
      <c r="A1812" s="266">
        <v>43570</v>
      </c>
      <c r="B1812" s="267">
        <v>2019</v>
      </c>
      <c r="C1812" s="267">
        <v>2019</v>
      </c>
      <c r="D1812" s="267">
        <v>1</v>
      </c>
      <c r="E1812" s="267">
        <v>1</v>
      </c>
      <c r="F1812" s="267" t="s">
        <v>944</v>
      </c>
      <c r="G1812" s="267" t="s">
        <v>3926</v>
      </c>
      <c r="H1812" s="267" t="s">
        <v>6098</v>
      </c>
      <c r="I1812" s="267" t="s">
        <v>934</v>
      </c>
      <c r="J1812" s="267" t="s">
        <v>3928</v>
      </c>
      <c r="K1812" s="267">
        <v>6604</v>
      </c>
      <c r="L1812" s="267">
        <v>72100</v>
      </c>
      <c r="M1812" s="267" t="s">
        <v>3940</v>
      </c>
      <c r="N1812" s="267" t="s">
        <v>3944</v>
      </c>
      <c r="O1812" s="267">
        <v>1414.67</v>
      </c>
      <c r="P1812" s="267" t="s">
        <v>3944</v>
      </c>
      <c r="Q1812" s="267" t="s">
        <v>3944</v>
      </c>
      <c r="R1812" s="267">
        <v>1414.67</v>
      </c>
      <c r="S1812" s="267">
        <v>14114.33</v>
      </c>
      <c r="T1812" s="267">
        <v>15529</v>
      </c>
      <c r="U1812" s="268" t="s">
        <v>3945</v>
      </c>
      <c r="V1812" s="267" t="s">
        <v>944</v>
      </c>
    </row>
    <row r="1813" spans="1:22" hidden="1" x14ac:dyDescent="0.25">
      <c r="A1813" s="269">
        <v>43570</v>
      </c>
      <c r="B1813" s="270">
        <v>2019</v>
      </c>
      <c r="C1813" s="270">
        <v>2019</v>
      </c>
      <c r="D1813" s="270">
        <v>1</v>
      </c>
      <c r="E1813" s="270">
        <v>1</v>
      </c>
      <c r="F1813" s="270" t="s">
        <v>944</v>
      </c>
      <c r="G1813" s="270" t="s">
        <v>3926</v>
      </c>
      <c r="H1813" s="270" t="s">
        <v>6099</v>
      </c>
      <c r="I1813" s="270" t="s">
        <v>4008</v>
      </c>
      <c r="J1813" s="270" t="s">
        <v>3928</v>
      </c>
      <c r="K1813" s="270">
        <v>6320</v>
      </c>
      <c r="L1813" s="270">
        <v>690500</v>
      </c>
      <c r="M1813" s="270">
        <v>-60</v>
      </c>
      <c r="N1813" s="270" t="s">
        <v>6100</v>
      </c>
      <c r="O1813" s="270"/>
      <c r="P1813" s="270" t="s">
        <v>3944</v>
      </c>
      <c r="Q1813" s="270" t="s">
        <v>3930</v>
      </c>
      <c r="R1813" s="270">
        <v>0</v>
      </c>
      <c r="S1813" s="270">
        <v>676651.05</v>
      </c>
      <c r="T1813" s="270">
        <v>676651.05</v>
      </c>
      <c r="U1813" s="271" t="s">
        <v>4099</v>
      </c>
      <c r="V1813" s="267" t="s">
        <v>944</v>
      </c>
    </row>
    <row r="1814" spans="1:22" hidden="1" x14ac:dyDescent="0.25">
      <c r="A1814" s="266">
        <v>43571</v>
      </c>
      <c r="B1814" s="267">
        <v>2019</v>
      </c>
      <c r="C1814" s="267">
        <v>2019</v>
      </c>
      <c r="D1814" s="267">
        <v>1</v>
      </c>
      <c r="E1814" s="267">
        <v>1</v>
      </c>
      <c r="F1814" s="267" t="s">
        <v>944</v>
      </c>
      <c r="G1814" s="267" t="s">
        <v>3926</v>
      </c>
      <c r="H1814" s="267" t="s">
        <v>6101</v>
      </c>
      <c r="I1814" s="267" t="s">
        <v>4213</v>
      </c>
      <c r="J1814" s="267" t="s">
        <v>3928</v>
      </c>
      <c r="K1814" s="267">
        <v>6051</v>
      </c>
      <c r="L1814" s="267">
        <v>416100</v>
      </c>
      <c r="M1814" s="267">
        <v>-60</v>
      </c>
      <c r="N1814" s="267" t="s">
        <v>6102</v>
      </c>
      <c r="O1814" s="267">
        <v>0</v>
      </c>
      <c r="P1814" s="267" t="s">
        <v>3930</v>
      </c>
      <c r="Q1814" s="267" t="s">
        <v>3930</v>
      </c>
      <c r="R1814" s="267">
        <v>0</v>
      </c>
      <c r="S1814" s="267">
        <v>6675</v>
      </c>
      <c r="T1814" s="267">
        <v>6675</v>
      </c>
      <c r="U1814" s="268" t="s">
        <v>3937</v>
      </c>
      <c r="V1814" s="267" t="s">
        <v>944</v>
      </c>
    </row>
    <row r="1815" spans="1:22" hidden="1" x14ac:dyDescent="0.25">
      <c r="A1815" s="269">
        <v>43571</v>
      </c>
      <c r="B1815" s="270">
        <v>2019</v>
      </c>
      <c r="C1815" s="270">
        <v>2019</v>
      </c>
      <c r="D1815" s="270">
        <v>1</v>
      </c>
      <c r="E1815" s="270">
        <v>1</v>
      </c>
      <c r="F1815" s="270" t="s">
        <v>944</v>
      </c>
      <c r="G1815" s="270" t="s">
        <v>3926</v>
      </c>
      <c r="H1815" s="270" t="s">
        <v>6103</v>
      </c>
      <c r="I1815" s="270" t="s">
        <v>4011</v>
      </c>
      <c r="J1815" s="270" t="s">
        <v>3928</v>
      </c>
      <c r="K1815" s="270">
        <v>6002</v>
      </c>
      <c r="L1815" s="270">
        <v>471400</v>
      </c>
      <c r="M1815" s="270" t="s">
        <v>3943</v>
      </c>
      <c r="N1815" s="270" t="s">
        <v>6104</v>
      </c>
      <c r="O1815" s="270">
        <v>0</v>
      </c>
      <c r="P1815" s="270" t="s">
        <v>3930</v>
      </c>
      <c r="Q1815" s="270" t="s">
        <v>3930</v>
      </c>
      <c r="R1815" s="270">
        <v>0</v>
      </c>
      <c r="S1815" s="270">
        <v>34102.6</v>
      </c>
      <c r="T1815" s="270">
        <v>34102.6</v>
      </c>
      <c r="U1815" s="271" t="s">
        <v>3937</v>
      </c>
      <c r="V1815" s="267" t="s">
        <v>944</v>
      </c>
    </row>
    <row r="1816" spans="1:22" hidden="1" x14ac:dyDescent="0.25">
      <c r="A1816" s="266">
        <v>43571</v>
      </c>
      <c r="B1816" s="267">
        <v>2019</v>
      </c>
      <c r="C1816" s="267">
        <v>2019</v>
      </c>
      <c r="D1816" s="267">
        <v>1</v>
      </c>
      <c r="E1816" s="267">
        <v>1</v>
      </c>
      <c r="F1816" s="267" t="s">
        <v>944</v>
      </c>
      <c r="G1816" s="267" t="s">
        <v>3926</v>
      </c>
      <c r="H1816" s="267" t="s">
        <v>6105</v>
      </c>
      <c r="I1816" s="267" t="s">
        <v>3939</v>
      </c>
      <c r="J1816" s="267" t="s">
        <v>3928</v>
      </c>
      <c r="K1816" s="267">
        <v>6512</v>
      </c>
      <c r="L1816" s="267">
        <v>180100</v>
      </c>
      <c r="M1816" s="267" t="s">
        <v>3940</v>
      </c>
      <c r="N1816" s="267" t="s">
        <v>6106</v>
      </c>
      <c r="O1816" s="267">
        <v>0</v>
      </c>
      <c r="P1816" s="267" t="s">
        <v>3930</v>
      </c>
      <c r="Q1816" s="267" t="s">
        <v>3930</v>
      </c>
      <c r="R1816" s="267">
        <v>0</v>
      </c>
      <c r="S1816" s="267">
        <v>23399</v>
      </c>
      <c r="T1816" s="267">
        <v>23399</v>
      </c>
      <c r="U1816" s="268" t="s">
        <v>3937</v>
      </c>
      <c r="V1816" s="267" t="s">
        <v>944</v>
      </c>
    </row>
    <row r="1817" spans="1:22" hidden="1" x14ac:dyDescent="0.25">
      <c r="A1817" s="269">
        <v>43571</v>
      </c>
      <c r="B1817" s="270">
        <v>2019</v>
      </c>
      <c r="C1817" s="270">
        <v>2019</v>
      </c>
      <c r="D1817" s="270">
        <v>1</v>
      </c>
      <c r="E1817" s="270">
        <v>1</v>
      </c>
      <c r="F1817" s="270" t="s">
        <v>944</v>
      </c>
      <c r="G1817" s="270" t="s">
        <v>3926</v>
      </c>
      <c r="H1817" s="270" t="s">
        <v>6107</v>
      </c>
      <c r="I1817" s="270" t="s">
        <v>950</v>
      </c>
      <c r="J1817" s="270" t="s">
        <v>3928</v>
      </c>
      <c r="K1817" s="270">
        <v>6516</v>
      </c>
      <c r="L1817" s="270">
        <v>154800</v>
      </c>
      <c r="M1817" s="270" t="s">
        <v>3960</v>
      </c>
      <c r="N1817" s="270" t="s">
        <v>4975</v>
      </c>
      <c r="O1817" s="270">
        <v>0</v>
      </c>
      <c r="P1817" s="270" t="s">
        <v>3930</v>
      </c>
      <c r="Q1817" s="270" t="s">
        <v>3930</v>
      </c>
      <c r="R1817" s="270">
        <v>0</v>
      </c>
      <c r="S1817" s="270">
        <v>8454.82</v>
      </c>
      <c r="T1817" s="270">
        <v>8454.82</v>
      </c>
      <c r="U1817" s="271" t="s">
        <v>3937</v>
      </c>
      <c r="V1817" s="267" t="s">
        <v>944</v>
      </c>
    </row>
    <row r="1818" spans="1:22" hidden="1" x14ac:dyDescent="0.25">
      <c r="A1818" s="266">
        <v>43571</v>
      </c>
      <c r="B1818" s="267">
        <v>2019</v>
      </c>
      <c r="C1818" s="267">
        <v>2019</v>
      </c>
      <c r="D1818" s="267">
        <v>1</v>
      </c>
      <c r="E1818" s="267">
        <v>1</v>
      </c>
      <c r="F1818" s="267" t="s">
        <v>944</v>
      </c>
      <c r="G1818" s="267" t="s">
        <v>3926</v>
      </c>
      <c r="H1818" s="267" t="s">
        <v>6108</v>
      </c>
      <c r="I1818" s="267" t="s">
        <v>3956</v>
      </c>
      <c r="J1818" s="267" t="s">
        <v>3928</v>
      </c>
      <c r="K1818" s="267">
        <v>6120</v>
      </c>
      <c r="L1818" s="267">
        <v>524400</v>
      </c>
      <c r="M1818" s="267">
        <v>-60</v>
      </c>
      <c r="N1818" s="267" t="s">
        <v>5607</v>
      </c>
      <c r="O1818" s="267">
        <v>1321.53</v>
      </c>
      <c r="P1818" s="267" t="s">
        <v>3930</v>
      </c>
      <c r="Q1818" s="267" t="s">
        <v>3931</v>
      </c>
      <c r="R1818" s="267">
        <v>6321.53</v>
      </c>
      <c r="S1818" s="267">
        <v>17190.400000000001</v>
      </c>
      <c r="T1818" s="267">
        <v>23511.93</v>
      </c>
      <c r="U1818" s="268" t="s">
        <v>3932</v>
      </c>
      <c r="V1818" s="267" t="s">
        <v>944</v>
      </c>
    </row>
    <row r="1819" spans="1:22" hidden="1" x14ac:dyDescent="0.25">
      <c r="A1819" s="269">
        <v>43571</v>
      </c>
      <c r="B1819" s="270">
        <v>2019</v>
      </c>
      <c r="C1819" s="270">
        <v>2019</v>
      </c>
      <c r="D1819" s="270">
        <v>1</v>
      </c>
      <c r="E1819" s="270">
        <v>1</v>
      </c>
      <c r="F1819" s="270" t="s">
        <v>944</v>
      </c>
      <c r="G1819" s="270" t="s">
        <v>3926</v>
      </c>
      <c r="H1819" s="270" t="s">
        <v>6109</v>
      </c>
      <c r="I1819" s="270" t="s">
        <v>4087</v>
      </c>
      <c r="J1819" s="270" t="s">
        <v>3928</v>
      </c>
      <c r="K1819" s="270">
        <v>6355</v>
      </c>
      <c r="L1819" s="270">
        <v>702100</v>
      </c>
      <c r="M1819" s="270" t="s">
        <v>3960</v>
      </c>
      <c r="N1819" s="270" t="s">
        <v>6110</v>
      </c>
      <c r="O1819" s="270">
        <v>5108</v>
      </c>
      <c r="P1819" s="270" t="s">
        <v>3930</v>
      </c>
      <c r="Q1819" s="270" t="s">
        <v>3930</v>
      </c>
      <c r="R1819" s="270">
        <v>5108</v>
      </c>
      <c r="S1819" s="270">
        <v>32278</v>
      </c>
      <c r="T1819" s="270">
        <v>37386</v>
      </c>
      <c r="U1819" s="271" t="s">
        <v>3937</v>
      </c>
      <c r="V1819" s="267" t="s">
        <v>944</v>
      </c>
    </row>
    <row r="1820" spans="1:22" hidden="1" x14ac:dyDescent="0.25">
      <c r="A1820" s="266">
        <v>43571</v>
      </c>
      <c r="B1820" s="267">
        <v>2019</v>
      </c>
      <c r="C1820" s="267">
        <v>2019</v>
      </c>
      <c r="D1820" s="267">
        <v>1</v>
      </c>
      <c r="E1820" s="267">
        <v>1</v>
      </c>
      <c r="F1820" s="267" t="s">
        <v>944</v>
      </c>
      <c r="G1820" s="267" t="s">
        <v>3926</v>
      </c>
      <c r="H1820" s="267" t="s">
        <v>6111</v>
      </c>
      <c r="I1820" s="267" t="s">
        <v>4019</v>
      </c>
      <c r="J1820" s="267" t="s">
        <v>3928</v>
      </c>
      <c r="K1820" s="267">
        <v>6704</v>
      </c>
      <c r="L1820" s="267">
        <v>352500</v>
      </c>
      <c r="M1820" s="267">
        <v>-60</v>
      </c>
      <c r="N1820" s="267" t="s">
        <v>3929</v>
      </c>
      <c r="O1820" s="267">
        <v>2141.16</v>
      </c>
      <c r="P1820" s="267" t="s">
        <v>3930</v>
      </c>
      <c r="Q1820" s="267" t="s">
        <v>3931</v>
      </c>
      <c r="R1820" s="267">
        <v>7141.16</v>
      </c>
      <c r="S1820" s="267">
        <v>34744</v>
      </c>
      <c r="T1820" s="267">
        <v>41885.160000000003</v>
      </c>
      <c r="U1820" s="268" t="s">
        <v>3932</v>
      </c>
      <c r="V1820" s="267" t="s">
        <v>944</v>
      </c>
    </row>
    <row r="1821" spans="1:22" hidden="1" x14ac:dyDescent="0.25">
      <c r="A1821" s="269">
        <v>43571</v>
      </c>
      <c r="B1821" s="270">
        <v>2019</v>
      </c>
      <c r="C1821" s="270">
        <v>2019</v>
      </c>
      <c r="D1821" s="270">
        <v>1</v>
      </c>
      <c r="E1821" s="270">
        <v>1</v>
      </c>
      <c r="F1821" s="270" t="s">
        <v>944</v>
      </c>
      <c r="G1821" s="270" t="s">
        <v>3926</v>
      </c>
      <c r="H1821" s="270" t="s">
        <v>6112</v>
      </c>
      <c r="I1821" s="270" t="s">
        <v>3956</v>
      </c>
      <c r="J1821" s="270" t="s">
        <v>3928</v>
      </c>
      <c r="K1821" s="270">
        <v>6120</v>
      </c>
      <c r="L1821" s="270">
        <v>524400</v>
      </c>
      <c r="M1821" s="270">
        <v>-60</v>
      </c>
      <c r="N1821" s="270" t="s">
        <v>5489</v>
      </c>
      <c r="O1821" s="270">
        <v>2985.76</v>
      </c>
      <c r="P1821" s="270" t="s">
        <v>3930</v>
      </c>
      <c r="Q1821" s="270" t="s">
        <v>3931</v>
      </c>
      <c r="R1821" s="270">
        <v>7985.76</v>
      </c>
      <c r="S1821" s="270">
        <v>16817.8</v>
      </c>
      <c r="T1821" s="270">
        <v>24803.56</v>
      </c>
      <c r="U1821" s="271" t="s">
        <v>3932</v>
      </c>
      <c r="V1821" s="267" t="s">
        <v>944</v>
      </c>
    </row>
    <row r="1822" spans="1:22" hidden="1" x14ac:dyDescent="0.25">
      <c r="A1822" s="266">
        <v>43571</v>
      </c>
      <c r="B1822" s="267">
        <v>2019</v>
      </c>
      <c r="C1822" s="267">
        <v>2019</v>
      </c>
      <c r="D1822" s="267">
        <v>1</v>
      </c>
      <c r="E1822" s="267">
        <v>1</v>
      </c>
      <c r="F1822" s="267" t="s">
        <v>944</v>
      </c>
      <c r="G1822" s="267" t="s">
        <v>3926</v>
      </c>
      <c r="H1822" s="267" t="s">
        <v>6113</v>
      </c>
      <c r="I1822" s="267" t="s">
        <v>3014</v>
      </c>
      <c r="J1822" s="267" t="s">
        <v>3928</v>
      </c>
      <c r="K1822" s="267">
        <v>6525</v>
      </c>
      <c r="L1822" s="267">
        <v>160100</v>
      </c>
      <c r="M1822" s="267" t="s">
        <v>3943</v>
      </c>
      <c r="N1822" s="267" t="s">
        <v>3944</v>
      </c>
      <c r="O1822" s="267">
        <v>5958</v>
      </c>
      <c r="P1822" s="267" t="s">
        <v>3944</v>
      </c>
      <c r="Q1822" s="267" t="s">
        <v>3944</v>
      </c>
      <c r="R1822" s="267">
        <v>5958</v>
      </c>
      <c r="S1822" s="267">
        <v>54869.25</v>
      </c>
      <c r="T1822" s="267">
        <v>60827.25</v>
      </c>
      <c r="U1822" s="268" t="s">
        <v>3945</v>
      </c>
      <c r="V1822" s="267" t="s">
        <v>944</v>
      </c>
    </row>
    <row r="1823" spans="1:22" hidden="1" x14ac:dyDescent="0.25">
      <c r="A1823" s="269">
        <v>43571</v>
      </c>
      <c r="B1823" s="270">
        <v>2019</v>
      </c>
      <c r="C1823" s="270">
        <v>2019</v>
      </c>
      <c r="D1823" s="270">
        <v>1</v>
      </c>
      <c r="E1823" s="270">
        <v>1</v>
      </c>
      <c r="F1823" s="270" t="s">
        <v>944</v>
      </c>
      <c r="G1823" s="270" t="s">
        <v>3926</v>
      </c>
      <c r="H1823" s="270" t="s">
        <v>6114</v>
      </c>
      <c r="I1823" s="270" t="s">
        <v>4126</v>
      </c>
      <c r="J1823" s="270" t="s">
        <v>3928</v>
      </c>
      <c r="K1823" s="270">
        <v>6880</v>
      </c>
      <c r="L1823" s="270">
        <v>50600</v>
      </c>
      <c r="M1823" s="270" t="s">
        <v>3943</v>
      </c>
      <c r="N1823" s="270" t="s">
        <v>3944</v>
      </c>
      <c r="O1823" s="270">
        <v>5061</v>
      </c>
      <c r="P1823" s="270" t="s">
        <v>3944</v>
      </c>
      <c r="Q1823" s="270" t="s">
        <v>3944</v>
      </c>
      <c r="R1823" s="270">
        <v>5061</v>
      </c>
      <c r="S1823" s="270">
        <v>56210</v>
      </c>
      <c r="T1823" s="270">
        <v>61271</v>
      </c>
      <c r="U1823" s="271" t="s">
        <v>3945</v>
      </c>
      <c r="V1823" s="267" t="s">
        <v>944</v>
      </c>
    </row>
    <row r="1824" spans="1:22" hidden="1" x14ac:dyDescent="0.25">
      <c r="A1824" s="266">
        <v>43571</v>
      </c>
      <c r="B1824" s="267">
        <v>2019</v>
      </c>
      <c r="C1824" s="267">
        <v>2019</v>
      </c>
      <c r="D1824" s="267">
        <v>1</v>
      </c>
      <c r="E1824" s="267">
        <v>1</v>
      </c>
      <c r="F1824" s="267" t="s">
        <v>944</v>
      </c>
      <c r="G1824" s="267" t="s">
        <v>3926</v>
      </c>
      <c r="H1824" s="267" t="s">
        <v>6115</v>
      </c>
      <c r="I1824" s="267" t="s">
        <v>2987</v>
      </c>
      <c r="J1824" s="267" t="s">
        <v>3928</v>
      </c>
      <c r="K1824" s="267">
        <v>6611</v>
      </c>
      <c r="L1824" s="267">
        <v>90100</v>
      </c>
      <c r="M1824" s="267" t="s">
        <v>3943</v>
      </c>
      <c r="N1824" s="267" t="s">
        <v>3944</v>
      </c>
      <c r="O1824" s="267">
        <v>3901</v>
      </c>
      <c r="P1824" s="267" t="s">
        <v>3944</v>
      </c>
      <c r="Q1824" s="267" t="s">
        <v>3944</v>
      </c>
      <c r="R1824" s="267">
        <v>3901</v>
      </c>
      <c r="S1824" s="267">
        <v>28465</v>
      </c>
      <c r="T1824" s="267">
        <v>32366</v>
      </c>
      <c r="U1824" s="268" t="s">
        <v>3945</v>
      </c>
      <c r="V1824" s="267" t="s">
        <v>944</v>
      </c>
    </row>
    <row r="1825" spans="1:22" hidden="1" x14ac:dyDescent="0.25">
      <c r="A1825" s="269">
        <v>43571</v>
      </c>
      <c r="B1825" s="270">
        <v>2019</v>
      </c>
      <c r="C1825" s="270">
        <v>2019</v>
      </c>
      <c r="D1825" s="270">
        <v>1</v>
      </c>
      <c r="E1825" s="270">
        <v>1</v>
      </c>
      <c r="F1825" s="270" t="s">
        <v>944</v>
      </c>
      <c r="G1825" s="270" t="s">
        <v>3926</v>
      </c>
      <c r="H1825" s="270" t="s">
        <v>6116</v>
      </c>
      <c r="I1825" s="270" t="s">
        <v>953</v>
      </c>
      <c r="J1825" s="270" t="s">
        <v>3928</v>
      </c>
      <c r="K1825" s="270">
        <v>6518</v>
      </c>
      <c r="L1825" s="270">
        <v>165900</v>
      </c>
      <c r="M1825" s="270" t="s">
        <v>3943</v>
      </c>
      <c r="N1825" s="270" t="s">
        <v>3944</v>
      </c>
      <c r="O1825" s="270">
        <v>3163</v>
      </c>
      <c r="P1825" s="270" t="s">
        <v>3944</v>
      </c>
      <c r="Q1825" s="270" t="s">
        <v>3944</v>
      </c>
      <c r="R1825" s="270">
        <v>3163</v>
      </c>
      <c r="S1825" s="270">
        <v>24297</v>
      </c>
      <c r="T1825" s="270">
        <v>27460</v>
      </c>
      <c r="U1825" s="271" t="s">
        <v>3945</v>
      </c>
      <c r="V1825" s="267" t="s">
        <v>944</v>
      </c>
    </row>
    <row r="1826" spans="1:22" hidden="1" x14ac:dyDescent="0.25">
      <c r="A1826" s="266">
        <v>43571</v>
      </c>
      <c r="B1826" s="267">
        <v>2019</v>
      </c>
      <c r="C1826" s="267">
        <v>2019</v>
      </c>
      <c r="D1826" s="267">
        <v>1</v>
      </c>
      <c r="E1826" s="267">
        <v>1</v>
      </c>
      <c r="F1826" s="267" t="s">
        <v>944</v>
      </c>
      <c r="G1826" s="267" t="s">
        <v>3926</v>
      </c>
      <c r="H1826" s="267" t="s">
        <v>6117</v>
      </c>
      <c r="I1826" s="267" t="s">
        <v>2987</v>
      </c>
      <c r="J1826" s="267" t="s">
        <v>3928</v>
      </c>
      <c r="K1826" s="267">
        <v>6611</v>
      </c>
      <c r="L1826" s="267">
        <v>90400</v>
      </c>
      <c r="M1826" s="267" t="s">
        <v>3943</v>
      </c>
      <c r="N1826" s="267" t="s">
        <v>3944</v>
      </c>
      <c r="O1826" s="267">
        <v>2890</v>
      </c>
      <c r="P1826" s="267" t="s">
        <v>3944</v>
      </c>
      <c r="Q1826" s="267" t="s">
        <v>3944</v>
      </c>
      <c r="R1826" s="267">
        <v>2890</v>
      </c>
      <c r="S1826" s="267">
        <v>29656</v>
      </c>
      <c r="T1826" s="267">
        <v>32546</v>
      </c>
      <c r="U1826" s="268" t="s">
        <v>3945</v>
      </c>
      <c r="V1826" s="267" t="s">
        <v>944</v>
      </c>
    </row>
    <row r="1827" spans="1:22" hidden="1" x14ac:dyDescent="0.25">
      <c r="A1827" s="269">
        <v>43571</v>
      </c>
      <c r="B1827" s="270">
        <v>2019</v>
      </c>
      <c r="C1827" s="270">
        <v>2019</v>
      </c>
      <c r="D1827" s="270">
        <v>1</v>
      </c>
      <c r="E1827" s="270">
        <v>1</v>
      </c>
      <c r="F1827" s="270" t="s">
        <v>944</v>
      </c>
      <c r="G1827" s="270" t="s">
        <v>3926</v>
      </c>
      <c r="H1827" s="270" t="s">
        <v>6118</v>
      </c>
      <c r="I1827" s="270" t="s">
        <v>4250</v>
      </c>
      <c r="J1827" s="270" t="s">
        <v>3928</v>
      </c>
      <c r="K1827" s="270">
        <v>6241</v>
      </c>
      <c r="L1827" s="270">
        <v>904100</v>
      </c>
      <c r="M1827" s="270" t="s">
        <v>3935</v>
      </c>
      <c r="N1827" s="270" t="s">
        <v>3944</v>
      </c>
      <c r="O1827" s="270">
        <v>5599</v>
      </c>
      <c r="P1827" s="270" t="s">
        <v>3944</v>
      </c>
      <c r="Q1827" s="270" t="s">
        <v>3944</v>
      </c>
      <c r="R1827" s="270">
        <v>5599</v>
      </c>
      <c r="S1827" s="270">
        <v>27000</v>
      </c>
      <c r="T1827" s="270">
        <v>32599</v>
      </c>
      <c r="U1827" s="271" t="s">
        <v>3945</v>
      </c>
      <c r="V1827" s="267" t="s">
        <v>944</v>
      </c>
    </row>
    <row r="1828" spans="1:22" hidden="1" x14ac:dyDescent="0.25">
      <c r="A1828" s="266">
        <v>43571</v>
      </c>
      <c r="B1828" s="267">
        <v>2019</v>
      </c>
      <c r="C1828" s="267">
        <v>2019</v>
      </c>
      <c r="D1828" s="267">
        <v>1</v>
      </c>
      <c r="E1828" s="267">
        <v>1</v>
      </c>
      <c r="F1828" s="267" t="s">
        <v>944</v>
      </c>
      <c r="G1828" s="267" t="s">
        <v>3926</v>
      </c>
      <c r="H1828" s="267" t="s">
        <v>6119</v>
      </c>
      <c r="I1828" s="267" t="s">
        <v>5147</v>
      </c>
      <c r="J1828" s="267" t="s">
        <v>3928</v>
      </c>
      <c r="K1828" s="267">
        <v>6468</v>
      </c>
      <c r="L1828" s="267">
        <v>100300</v>
      </c>
      <c r="M1828" s="267" t="s">
        <v>3943</v>
      </c>
      <c r="N1828" s="267" t="s">
        <v>3944</v>
      </c>
      <c r="O1828" s="267">
        <v>3875.83</v>
      </c>
      <c r="P1828" s="267" t="s">
        <v>3944</v>
      </c>
      <c r="Q1828" s="267" t="s">
        <v>3944</v>
      </c>
      <c r="R1828" s="267">
        <v>3875.83</v>
      </c>
      <c r="S1828" s="267">
        <v>52288.67</v>
      </c>
      <c r="T1828" s="267">
        <v>56164.5</v>
      </c>
      <c r="U1828" s="268" t="s">
        <v>3945</v>
      </c>
      <c r="V1828" s="267" t="s">
        <v>944</v>
      </c>
    </row>
    <row r="1829" spans="1:22" hidden="1" x14ac:dyDescent="0.25">
      <c r="A1829" s="269">
        <v>43571</v>
      </c>
      <c r="B1829" s="270">
        <v>2019</v>
      </c>
      <c r="C1829" s="270">
        <v>2019</v>
      </c>
      <c r="D1829" s="270">
        <v>1</v>
      </c>
      <c r="E1829" s="270">
        <v>1</v>
      </c>
      <c r="F1829" s="270" t="s">
        <v>944</v>
      </c>
      <c r="G1829" s="270" t="s">
        <v>3926</v>
      </c>
      <c r="H1829" s="270" t="s">
        <v>6120</v>
      </c>
      <c r="I1829" s="270" t="s">
        <v>3009</v>
      </c>
      <c r="J1829" s="270" t="s">
        <v>3928</v>
      </c>
      <c r="K1829" s="270">
        <v>6484</v>
      </c>
      <c r="L1829" s="270">
        <v>110201</v>
      </c>
      <c r="M1829" s="270" t="s">
        <v>3960</v>
      </c>
      <c r="N1829" s="270" t="s">
        <v>3944</v>
      </c>
      <c r="O1829" s="270">
        <v>1872.57</v>
      </c>
      <c r="P1829" s="270" t="s">
        <v>3944</v>
      </c>
      <c r="Q1829" s="270" t="s">
        <v>3944</v>
      </c>
      <c r="R1829" s="270">
        <v>1872.57</v>
      </c>
      <c r="S1829" s="270">
        <v>42352.7</v>
      </c>
      <c r="T1829" s="270">
        <v>44225.27</v>
      </c>
      <c r="U1829" s="271" t="s">
        <v>3945</v>
      </c>
      <c r="V1829" s="267" t="s">
        <v>944</v>
      </c>
    </row>
    <row r="1830" spans="1:22" hidden="1" x14ac:dyDescent="0.25">
      <c r="A1830" s="266">
        <v>43571</v>
      </c>
      <c r="B1830" s="267">
        <v>2019</v>
      </c>
      <c r="C1830" s="267">
        <v>2019</v>
      </c>
      <c r="D1830" s="267">
        <v>1</v>
      </c>
      <c r="E1830" s="267">
        <v>1</v>
      </c>
      <c r="F1830" s="267" t="s">
        <v>944</v>
      </c>
      <c r="G1830" s="267" t="s">
        <v>3926</v>
      </c>
      <c r="H1830" s="267" t="s">
        <v>6121</v>
      </c>
      <c r="I1830" s="267" t="s">
        <v>4200</v>
      </c>
      <c r="J1830" s="267" t="s">
        <v>3928</v>
      </c>
      <c r="K1830" s="267">
        <v>6779</v>
      </c>
      <c r="L1830" s="267">
        <v>360300</v>
      </c>
      <c r="M1830" s="267" t="s">
        <v>3935</v>
      </c>
      <c r="N1830" s="267" t="s">
        <v>3944</v>
      </c>
      <c r="O1830" s="267">
        <v>3083.99</v>
      </c>
      <c r="P1830" s="267" t="s">
        <v>3944</v>
      </c>
      <c r="Q1830" s="267" t="s">
        <v>3944</v>
      </c>
      <c r="R1830" s="267">
        <v>3083.99</v>
      </c>
      <c r="S1830" s="267">
        <v>45273.61</v>
      </c>
      <c r="T1830" s="267">
        <v>48357.599999999999</v>
      </c>
      <c r="U1830" s="268" t="s">
        <v>3945</v>
      </c>
      <c r="V1830" s="267" t="s">
        <v>944</v>
      </c>
    </row>
    <row r="1831" spans="1:22" hidden="1" x14ac:dyDescent="0.25">
      <c r="A1831" s="269">
        <v>43571</v>
      </c>
      <c r="B1831" s="270">
        <v>2019</v>
      </c>
      <c r="C1831" s="270">
        <v>2019</v>
      </c>
      <c r="D1831" s="270">
        <v>1</v>
      </c>
      <c r="E1831" s="270">
        <v>1</v>
      </c>
      <c r="F1831" s="270" t="s">
        <v>944</v>
      </c>
      <c r="G1831" s="270" t="s">
        <v>3926</v>
      </c>
      <c r="H1831" s="270" t="s">
        <v>6122</v>
      </c>
      <c r="I1831" s="270" t="s">
        <v>3975</v>
      </c>
      <c r="J1831" s="270" t="s">
        <v>3928</v>
      </c>
      <c r="K1831" s="270">
        <v>6489</v>
      </c>
      <c r="L1831" s="270">
        <v>430203</v>
      </c>
      <c r="M1831" s="270" t="s">
        <v>3935</v>
      </c>
      <c r="N1831" s="270" t="s">
        <v>3944</v>
      </c>
      <c r="O1831" s="270">
        <v>2769.17</v>
      </c>
      <c r="P1831" s="270" t="s">
        <v>3944</v>
      </c>
      <c r="Q1831" s="270" t="s">
        <v>3944</v>
      </c>
      <c r="R1831" s="270">
        <v>2769.17</v>
      </c>
      <c r="S1831" s="270">
        <v>39560.93</v>
      </c>
      <c r="T1831" s="270">
        <v>42330.1</v>
      </c>
      <c r="U1831" s="271" t="s">
        <v>3945</v>
      </c>
      <c r="V1831" s="267" t="s">
        <v>944</v>
      </c>
    </row>
    <row r="1832" spans="1:22" hidden="1" x14ac:dyDescent="0.25">
      <c r="A1832" s="266">
        <v>43571</v>
      </c>
      <c r="B1832" s="267">
        <v>2019</v>
      </c>
      <c r="C1832" s="267">
        <v>2019</v>
      </c>
      <c r="D1832" s="267">
        <v>1</v>
      </c>
      <c r="E1832" s="267">
        <v>1</v>
      </c>
      <c r="F1832" s="267" t="s">
        <v>944</v>
      </c>
      <c r="G1832" s="267" t="s">
        <v>3926</v>
      </c>
      <c r="H1832" s="267" t="s">
        <v>6123</v>
      </c>
      <c r="I1832" s="267" t="s">
        <v>4213</v>
      </c>
      <c r="J1832" s="267" t="s">
        <v>3928</v>
      </c>
      <c r="K1832" s="267">
        <v>6051</v>
      </c>
      <c r="L1832" s="267">
        <v>415400</v>
      </c>
      <c r="M1832" s="267">
        <v>-60</v>
      </c>
      <c r="N1832" s="267" t="s">
        <v>3944</v>
      </c>
      <c r="O1832" s="267">
        <v>1594.04</v>
      </c>
      <c r="P1832" s="267" t="s">
        <v>3944</v>
      </c>
      <c r="Q1832" s="267" t="s">
        <v>3944</v>
      </c>
      <c r="R1832" s="267">
        <v>1594.04</v>
      </c>
      <c r="S1832" s="267">
        <v>27036.25</v>
      </c>
      <c r="T1832" s="267">
        <v>28630.29</v>
      </c>
      <c r="U1832" s="268" t="s">
        <v>3945</v>
      </c>
      <c r="V1832" s="267" t="s">
        <v>944</v>
      </c>
    </row>
    <row r="1833" spans="1:22" hidden="1" x14ac:dyDescent="0.25">
      <c r="A1833" s="269">
        <v>43571</v>
      </c>
      <c r="B1833" s="270">
        <v>2019</v>
      </c>
      <c r="C1833" s="270">
        <v>2019</v>
      </c>
      <c r="D1833" s="270">
        <v>1</v>
      </c>
      <c r="E1833" s="270">
        <v>1</v>
      </c>
      <c r="F1833" s="270" t="s">
        <v>944</v>
      </c>
      <c r="G1833" s="270" t="s">
        <v>3926</v>
      </c>
      <c r="H1833" s="270" t="s">
        <v>6124</v>
      </c>
      <c r="I1833" s="270" t="s">
        <v>4037</v>
      </c>
      <c r="J1833" s="270" t="s">
        <v>3928</v>
      </c>
      <c r="K1833" s="270">
        <v>6811</v>
      </c>
      <c r="L1833" s="270">
        <v>211400</v>
      </c>
      <c r="M1833" s="270" t="s">
        <v>3935</v>
      </c>
      <c r="N1833" s="270" t="s">
        <v>3944</v>
      </c>
      <c r="O1833" s="270">
        <v>1948.7</v>
      </c>
      <c r="P1833" s="270" t="s">
        <v>3944</v>
      </c>
      <c r="Q1833" s="270" t="s">
        <v>3944</v>
      </c>
      <c r="R1833" s="270">
        <v>1948.7</v>
      </c>
      <c r="S1833" s="270">
        <v>29028.880000000001</v>
      </c>
      <c r="T1833" s="270">
        <v>30977.58</v>
      </c>
      <c r="U1833" s="271" t="s">
        <v>3945</v>
      </c>
      <c r="V1833" s="267" t="s">
        <v>944</v>
      </c>
    </row>
    <row r="1834" spans="1:22" hidden="1" x14ac:dyDescent="0.25">
      <c r="A1834" s="266">
        <v>43572</v>
      </c>
      <c r="B1834" s="267">
        <v>2019</v>
      </c>
      <c r="C1834" s="267">
        <v>2019</v>
      </c>
      <c r="D1834" s="267">
        <v>1</v>
      </c>
      <c r="E1834" s="267">
        <v>1</v>
      </c>
      <c r="F1834" s="267" t="s">
        <v>944</v>
      </c>
      <c r="G1834" s="267" t="s">
        <v>3926</v>
      </c>
      <c r="H1834" s="267" t="s">
        <v>6125</v>
      </c>
      <c r="I1834" s="267" t="s">
        <v>4172</v>
      </c>
      <c r="J1834" s="267" t="s">
        <v>3928</v>
      </c>
      <c r="K1834" s="267">
        <v>6786</v>
      </c>
      <c r="L1834" s="267">
        <v>425300</v>
      </c>
      <c r="M1834" s="267" t="s">
        <v>3960</v>
      </c>
      <c r="N1834" s="267" t="s">
        <v>6126</v>
      </c>
      <c r="O1834" s="267">
        <v>0</v>
      </c>
      <c r="P1834" s="267" t="s">
        <v>3930</v>
      </c>
      <c r="Q1834" s="267" t="s">
        <v>3930</v>
      </c>
      <c r="R1834" s="267">
        <v>0</v>
      </c>
      <c r="S1834" s="267">
        <v>7976.25</v>
      </c>
      <c r="T1834" s="267">
        <v>7976.25</v>
      </c>
      <c r="U1834" s="268" t="s">
        <v>3937</v>
      </c>
      <c r="V1834" s="267" t="s">
        <v>944</v>
      </c>
    </row>
    <row r="1835" spans="1:22" hidden="1" x14ac:dyDescent="0.25">
      <c r="A1835" s="269">
        <v>43572</v>
      </c>
      <c r="B1835" s="270">
        <v>2019</v>
      </c>
      <c r="C1835" s="270">
        <v>2019</v>
      </c>
      <c r="D1835" s="270">
        <v>1</v>
      </c>
      <c r="E1835" s="270">
        <v>1</v>
      </c>
      <c r="F1835" s="270" t="s">
        <v>944</v>
      </c>
      <c r="G1835" s="270" t="s">
        <v>3926</v>
      </c>
      <c r="H1835" s="270" t="s">
        <v>6127</v>
      </c>
      <c r="I1835" s="270" t="s">
        <v>934</v>
      </c>
      <c r="J1835" s="270" t="s">
        <v>3928</v>
      </c>
      <c r="K1835" s="270">
        <v>6606</v>
      </c>
      <c r="L1835" s="270">
        <v>72400</v>
      </c>
      <c r="M1835" s="270" t="s">
        <v>3940</v>
      </c>
      <c r="N1835" s="270" t="s">
        <v>4582</v>
      </c>
      <c r="O1835" s="270">
        <v>4934.16</v>
      </c>
      <c r="P1835" s="270" t="s">
        <v>3930</v>
      </c>
      <c r="Q1835" s="270" t="s">
        <v>3931</v>
      </c>
      <c r="R1835" s="270">
        <v>9934.16</v>
      </c>
      <c r="S1835" s="270">
        <v>34785.4</v>
      </c>
      <c r="T1835" s="270">
        <v>44719.56</v>
      </c>
      <c r="U1835" s="271" t="s">
        <v>3932</v>
      </c>
      <c r="V1835" s="267" t="s">
        <v>944</v>
      </c>
    </row>
    <row r="1836" spans="1:22" hidden="1" x14ac:dyDescent="0.25">
      <c r="A1836" s="266">
        <v>43572</v>
      </c>
      <c r="B1836" s="267">
        <v>2019</v>
      </c>
      <c r="C1836" s="267">
        <v>2019</v>
      </c>
      <c r="D1836" s="267">
        <v>1</v>
      </c>
      <c r="E1836" s="267">
        <v>1</v>
      </c>
      <c r="F1836" s="267" t="s">
        <v>944</v>
      </c>
      <c r="G1836" s="267" t="s">
        <v>3926</v>
      </c>
      <c r="H1836" s="267" t="s">
        <v>6128</v>
      </c>
      <c r="I1836" s="267" t="s">
        <v>3990</v>
      </c>
      <c r="J1836" s="267" t="s">
        <v>3928</v>
      </c>
      <c r="K1836" s="267">
        <v>6804</v>
      </c>
      <c r="L1836" s="267">
        <v>205200</v>
      </c>
      <c r="M1836" s="267" t="s">
        <v>3943</v>
      </c>
      <c r="N1836" s="267" t="s">
        <v>3929</v>
      </c>
      <c r="O1836" s="267">
        <v>2082.6799999999998</v>
      </c>
      <c r="P1836" s="267" t="s">
        <v>3930</v>
      </c>
      <c r="Q1836" s="267" t="s">
        <v>3931</v>
      </c>
      <c r="R1836" s="267">
        <v>7082.68</v>
      </c>
      <c r="S1836" s="267">
        <v>34744</v>
      </c>
      <c r="T1836" s="267">
        <v>41826.68</v>
      </c>
      <c r="U1836" s="268" t="s">
        <v>3932</v>
      </c>
      <c r="V1836" s="267" t="s">
        <v>944</v>
      </c>
    </row>
    <row r="1837" spans="1:22" hidden="1" x14ac:dyDescent="0.25">
      <c r="A1837" s="269">
        <v>43572</v>
      </c>
      <c r="B1837" s="270">
        <v>2019</v>
      </c>
      <c r="C1837" s="270">
        <v>2019</v>
      </c>
      <c r="D1837" s="270">
        <v>1</v>
      </c>
      <c r="E1837" s="270">
        <v>1</v>
      </c>
      <c r="F1837" s="270" t="s">
        <v>944</v>
      </c>
      <c r="G1837" s="270" t="s">
        <v>3926</v>
      </c>
      <c r="H1837" s="270" t="s">
        <v>6129</v>
      </c>
      <c r="I1837" s="270" t="s">
        <v>4042</v>
      </c>
      <c r="J1837" s="270" t="s">
        <v>3928</v>
      </c>
      <c r="K1837" s="270">
        <v>6370</v>
      </c>
      <c r="L1837" s="270">
        <v>695202</v>
      </c>
      <c r="M1837" s="270" t="s">
        <v>3935</v>
      </c>
      <c r="N1837" s="270" t="s">
        <v>6130</v>
      </c>
      <c r="O1837" s="270">
        <v>0</v>
      </c>
      <c r="P1837" s="270" t="s">
        <v>3930</v>
      </c>
      <c r="Q1837" s="270" t="s">
        <v>3930</v>
      </c>
      <c r="R1837" s="270">
        <v>0</v>
      </c>
      <c r="S1837" s="270">
        <v>5200</v>
      </c>
      <c r="T1837" s="270">
        <v>5200</v>
      </c>
      <c r="U1837" s="271" t="s">
        <v>3937</v>
      </c>
      <c r="V1837" s="267" t="s">
        <v>944</v>
      </c>
    </row>
    <row r="1838" spans="1:22" hidden="1" x14ac:dyDescent="0.25">
      <c r="A1838" s="266">
        <v>43572</v>
      </c>
      <c r="B1838" s="267">
        <v>2019</v>
      </c>
      <c r="C1838" s="267">
        <v>2019</v>
      </c>
      <c r="D1838" s="267">
        <v>1</v>
      </c>
      <c r="E1838" s="267">
        <v>1</v>
      </c>
      <c r="F1838" s="267" t="s">
        <v>944</v>
      </c>
      <c r="G1838" s="267" t="s">
        <v>3926</v>
      </c>
      <c r="H1838" s="267" t="s">
        <v>6131</v>
      </c>
      <c r="I1838" s="267" t="s">
        <v>3025</v>
      </c>
      <c r="J1838" s="267" t="s">
        <v>3928</v>
      </c>
      <c r="K1838" s="267">
        <v>6473</v>
      </c>
      <c r="L1838" s="267">
        <v>167300</v>
      </c>
      <c r="M1838" s="267" t="s">
        <v>3943</v>
      </c>
      <c r="N1838" s="267" t="s">
        <v>3944</v>
      </c>
      <c r="O1838" s="267">
        <v>2488.96</v>
      </c>
      <c r="P1838" s="267" t="s">
        <v>3944</v>
      </c>
      <c r="Q1838" s="267" t="s">
        <v>3944</v>
      </c>
      <c r="R1838" s="267">
        <v>2488.96</v>
      </c>
      <c r="S1838" s="267">
        <v>33970.730000000003</v>
      </c>
      <c r="T1838" s="267">
        <v>36459.69</v>
      </c>
      <c r="U1838" s="268" t="s">
        <v>3945</v>
      </c>
      <c r="V1838" s="267" t="s">
        <v>944</v>
      </c>
    </row>
    <row r="1839" spans="1:22" hidden="1" x14ac:dyDescent="0.25">
      <c r="A1839" s="269">
        <v>43572</v>
      </c>
      <c r="B1839" s="270">
        <v>2019</v>
      </c>
      <c r="C1839" s="270">
        <v>2019</v>
      </c>
      <c r="D1839" s="270">
        <v>1</v>
      </c>
      <c r="E1839" s="270">
        <v>1</v>
      </c>
      <c r="F1839" s="270" t="s">
        <v>944</v>
      </c>
      <c r="G1839" s="270" t="s">
        <v>3926</v>
      </c>
      <c r="H1839" s="270" t="s">
        <v>6132</v>
      </c>
      <c r="I1839" s="270" t="s">
        <v>4124</v>
      </c>
      <c r="J1839" s="270" t="s">
        <v>3928</v>
      </c>
      <c r="K1839" s="270">
        <v>6470</v>
      </c>
      <c r="L1839" s="270">
        <v>230502</v>
      </c>
      <c r="M1839" s="270" t="s">
        <v>3943</v>
      </c>
      <c r="N1839" s="270" t="s">
        <v>6133</v>
      </c>
      <c r="O1839" s="270"/>
      <c r="P1839" s="270" t="s">
        <v>3944</v>
      </c>
      <c r="Q1839" s="270" t="s">
        <v>6133</v>
      </c>
      <c r="R1839" s="270">
        <v>785182.86</v>
      </c>
      <c r="S1839" s="270">
        <v>14257.2</v>
      </c>
      <c r="T1839" s="270">
        <v>799440.06</v>
      </c>
      <c r="U1839" s="271" t="s">
        <v>4099</v>
      </c>
      <c r="V1839" s="267" t="s">
        <v>944</v>
      </c>
    </row>
    <row r="1840" spans="1:22" hidden="1" x14ac:dyDescent="0.25">
      <c r="A1840" s="266">
        <v>43573</v>
      </c>
      <c r="B1840" s="267">
        <v>2019</v>
      </c>
      <c r="C1840" s="267">
        <v>2019</v>
      </c>
      <c r="D1840" s="267">
        <v>1</v>
      </c>
      <c r="E1840" s="267">
        <v>1</v>
      </c>
      <c r="F1840" s="267" t="s">
        <v>944</v>
      </c>
      <c r="G1840" s="267" t="s">
        <v>3926</v>
      </c>
      <c r="H1840" s="267" t="s">
        <v>6134</v>
      </c>
      <c r="I1840" s="267" t="s">
        <v>6135</v>
      </c>
      <c r="J1840" s="267" t="s">
        <v>3928</v>
      </c>
      <c r="K1840" s="267">
        <v>6492</v>
      </c>
      <c r="L1840" s="267">
        <v>175100</v>
      </c>
      <c r="M1840" s="267" t="s">
        <v>3935</v>
      </c>
      <c r="N1840" s="267" t="s">
        <v>6136</v>
      </c>
      <c r="O1840" s="267">
        <v>0</v>
      </c>
      <c r="P1840" s="267" t="s">
        <v>3930</v>
      </c>
      <c r="Q1840" s="267" t="s">
        <v>3930</v>
      </c>
      <c r="R1840" s="267">
        <v>0</v>
      </c>
      <c r="S1840" s="267">
        <v>9241.82</v>
      </c>
      <c r="T1840" s="267">
        <v>9241.82</v>
      </c>
      <c r="U1840" s="268" t="s">
        <v>3937</v>
      </c>
      <c r="V1840" s="267" t="s">
        <v>944</v>
      </c>
    </row>
    <row r="1841" spans="1:22" x14ac:dyDescent="0.25">
      <c r="A1841" s="269">
        <v>43573</v>
      </c>
      <c r="B1841" s="270">
        <v>2019</v>
      </c>
      <c r="C1841" s="270">
        <v>2019</v>
      </c>
      <c r="D1841" s="270">
        <v>1</v>
      </c>
      <c r="E1841" s="270">
        <v>1</v>
      </c>
      <c r="F1841" s="270" t="s">
        <v>944</v>
      </c>
      <c r="G1841" s="270" t="s">
        <v>3926</v>
      </c>
      <c r="H1841" s="270" t="s">
        <v>6137</v>
      </c>
      <c r="I1841" s="270" t="s">
        <v>934</v>
      </c>
      <c r="J1841" s="270" t="s">
        <v>3928</v>
      </c>
      <c r="K1841" s="270">
        <v>6610</v>
      </c>
      <c r="L1841" s="270">
        <v>74300</v>
      </c>
      <c r="M1841" s="270">
        <v>-60</v>
      </c>
      <c r="N1841" s="270" t="s">
        <v>4103</v>
      </c>
      <c r="O1841" s="270">
        <v>3910.68</v>
      </c>
      <c r="P1841" s="270" t="s">
        <v>3930</v>
      </c>
      <c r="Q1841" s="270" t="s">
        <v>3931</v>
      </c>
      <c r="R1841" s="270">
        <v>8910.68</v>
      </c>
      <c r="S1841" s="270">
        <v>24145.599999999999</v>
      </c>
      <c r="T1841" s="270">
        <v>33056.28</v>
      </c>
      <c r="U1841" s="271" t="s">
        <v>3932</v>
      </c>
      <c r="V1841" s="276" t="s">
        <v>936</v>
      </c>
    </row>
    <row r="1842" spans="1:22" hidden="1" x14ac:dyDescent="0.25">
      <c r="A1842" s="266">
        <v>43573</v>
      </c>
      <c r="B1842" s="267">
        <v>2019</v>
      </c>
      <c r="C1842" s="267">
        <v>2019</v>
      </c>
      <c r="D1842" s="267">
        <v>1</v>
      </c>
      <c r="E1842" s="267">
        <v>1</v>
      </c>
      <c r="F1842" s="267" t="s">
        <v>944</v>
      </c>
      <c r="G1842" s="267" t="s">
        <v>3926</v>
      </c>
      <c r="H1842" s="267" t="s">
        <v>6138</v>
      </c>
      <c r="I1842" s="267" t="s">
        <v>4137</v>
      </c>
      <c r="J1842" s="267" t="s">
        <v>3928</v>
      </c>
      <c r="K1842" s="267">
        <v>6067</v>
      </c>
      <c r="L1842" s="267">
        <v>490302</v>
      </c>
      <c r="M1842" s="267" t="s">
        <v>3960</v>
      </c>
      <c r="N1842" s="267" t="s">
        <v>6139</v>
      </c>
      <c r="O1842" s="267">
        <v>2970</v>
      </c>
      <c r="P1842" s="267" t="s">
        <v>3930</v>
      </c>
      <c r="Q1842" s="267" t="s">
        <v>3930</v>
      </c>
      <c r="R1842" s="267">
        <v>2970</v>
      </c>
      <c r="S1842" s="267">
        <v>14932</v>
      </c>
      <c r="T1842" s="267">
        <v>17902</v>
      </c>
      <c r="U1842" s="268" t="s">
        <v>3937</v>
      </c>
      <c r="V1842" s="267" t="s">
        <v>944</v>
      </c>
    </row>
    <row r="1843" spans="1:22" hidden="1" x14ac:dyDescent="0.25">
      <c r="A1843" s="269">
        <v>43573</v>
      </c>
      <c r="B1843" s="270">
        <v>2019</v>
      </c>
      <c r="C1843" s="270">
        <v>2019</v>
      </c>
      <c r="D1843" s="270">
        <v>1</v>
      </c>
      <c r="E1843" s="270">
        <v>1</v>
      </c>
      <c r="F1843" s="270" t="s">
        <v>944</v>
      </c>
      <c r="G1843" s="270" t="s">
        <v>3926</v>
      </c>
      <c r="H1843" s="270" t="s">
        <v>6140</v>
      </c>
      <c r="I1843" s="270" t="s">
        <v>3964</v>
      </c>
      <c r="J1843" s="270" t="s">
        <v>3928</v>
      </c>
      <c r="K1843" s="270">
        <v>6033</v>
      </c>
      <c r="L1843" s="270">
        <v>520400</v>
      </c>
      <c r="M1843" s="270" t="s">
        <v>3943</v>
      </c>
      <c r="N1843" s="270" t="s">
        <v>4975</v>
      </c>
      <c r="O1843" s="270">
        <v>0</v>
      </c>
      <c r="P1843" s="270" t="s">
        <v>3930</v>
      </c>
      <c r="Q1843" s="270" t="s">
        <v>3930</v>
      </c>
      <c r="R1843" s="270">
        <v>0</v>
      </c>
      <c r="S1843" s="270">
        <v>11638</v>
      </c>
      <c r="T1843" s="270">
        <v>11638</v>
      </c>
      <c r="U1843" s="271" t="s">
        <v>3937</v>
      </c>
      <c r="V1843" s="267" t="s">
        <v>944</v>
      </c>
    </row>
    <row r="1844" spans="1:22" hidden="1" x14ac:dyDescent="0.25">
      <c r="A1844" s="266">
        <v>43573</v>
      </c>
      <c r="B1844" s="267">
        <v>2019</v>
      </c>
      <c r="C1844" s="267">
        <v>2019</v>
      </c>
      <c r="D1844" s="267">
        <v>1</v>
      </c>
      <c r="E1844" s="267">
        <v>1</v>
      </c>
      <c r="F1844" s="267" t="s">
        <v>944</v>
      </c>
      <c r="G1844" s="267" t="s">
        <v>3926</v>
      </c>
      <c r="H1844" s="267" t="s">
        <v>6141</v>
      </c>
      <c r="I1844" s="267" t="s">
        <v>4055</v>
      </c>
      <c r="J1844" s="267" t="s">
        <v>3928</v>
      </c>
      <c r="K1844" s="267">
        <v>6089</v>
      </c>
      <c r="L1844" s="267">
        <v>466101</v>
      </c>
      <c r="M1844" s="267" t="s">
        <v>3943</v>
      </c>
      <c r="N1844" s="267" t="s">
        <v>3944</v>
      </c>
      <c r="O1844" s="267">
        <v>1085</v>
      </c>
      <c r="P1844" s="267" t="s">
        <v>3944</v>
      </c>
      <c r="Q1844" s="267" t="s">
        <v>3944</v>
      </c>
      <c r="R1844" s="267">
        <v>1085</v>
      </c>
      <c r="S1844" s="267">
        <v>15045</v>
      </c>
      <c r="T1844" s="267">
        <v>16130</v>
      </c>
      <c r="U1844" s="268" t="s">
        <v>3945</v>
      </c>
      <c r="V1844" s="267" t="s">
        <v>944</v>
      </c>
    </row>
    <row r="1845" spans="1:22" hidden="1" x14ac:dyDescent="0.25">
      <c r="A1845" s="269">
        <v>43573</v>
      </c>
      <c r="B1845" s="270">
        <v>2019</v>
      </c>
      <c r="C1845" s="270">
        <v>2019</v>
      </c>
      <c r="D1845" s="270">
        <v>1</v>
      </c>
      <c r="E1845" s="270">
        <v>1</v>
      </c>
      <c r="F1845" s="270" t="s">
        <v>944</v>
      </c>
      <c r="G1845" s="270" t="s">
        <v>3926</v>
      </c>
      <c r="H1845" s="270" t="s">
        <v>6142</v>
      </c>
      <c r="I1845" s="270" t="s">
        <v>4461</v>
      </c>
      <c r="J1845" s="270" t="s">
        <v>3928</v>
      </c>
      <c r="K1845" s="270">
        <v>6807</v>
      </c>
      <c r="L1845" s="270">
        <v>10202</v>
      </c>
      <c r="M1845" s="270" t="s">
        <v>3943</v>
      </c>
      <c r="N1845" s="270" t="s">
        <v>3944</v>
      </c>
      <c r="O1845" s="270">
        <v>2569</v>
      </c>
      <c r="P1845" s="270" t="s">
        <v>3944</v>
      </c>
      <c r="Q1845" s="270" t="s">
        <v>3944</v>
      </c>
      <c r="R1845" s="270">
        <v>2569</v>
      </c>
      <c r="S1845" s="270">
        <v>18797.45</v>
      </c>
      <c r="T1845" s="270">
        <v>21366.45</v>
      </c>
      <c r="U1845" s="271" t="s">
        <v>3945</v>
      </c>
      <c r="V1845" s="267" t="s">
        <v>944</v>
      </c>
    </row>
    <row r="1846" spans="1:22" hidden="1" x14ac:dyDescent="0.25">
      <c r="A1846" s="266">
        <v>43573</v>
      </c>
      <c r="B1846" s="267">
        <v>2019</v>
      </c>
      <c r="C1846" s="267">
        <v>2019</v>
      </c>
      <c r="D1846" s="267">
        <v>1</v>
      </c>
      <c r="E1846" s="267">
        <v>1</v>
      </c>
      <c r="F1846" s="267" t="s">
        <v>944</v>
      </c>
      <c r="G1846" s="267" t="s">
        <v>3926</v>
      </c>
      <c r="H1846" s="267" t="s">
        <v>6143</v>
      </c>
      <c r="I1846" s="267" t="s">
        <v>4387</v>
      </c>
      <c r="J1846" s="267" t="s">
        <v>3928</v>
      </c>
      <c r="K1846" s="267">
        <v>6751</v>
      </c>
      <c r="L1846" s="267">
        <v>342100</v>
      </c>
      <c r="M1846" s="267" t="s">
        <v>3960</v>
      </c>
      <c r="N1846" s="267" t="s">
        <v>3944</v>
      </c>
      <c r="O1846" s="267">
        <v>6940</v>
      </c>
      <c r="P1846" s="267" t="s">
        <v>3944</v>
      </c>
      <c r="Q1846" s="267" t="s">
        <v>3944</v>
      </c>
      <c r="R1846" s="267">
        <v>6940</v>
      </c>
      <c r="S1846" s="267">
        <v>50894</v>
      </c>
      <c r="T1846" s="267">
        <v>57834</v>
      </c>
      <c r="U1846" s="268" t="s">
        <v>3945</v>
      </c>
      <c r="V1846" s="267" t="s">
        <v>944</v>
      </c>
    </row>
    <row r="1847" spans="1:22" hidden="1" x14ac:dyDescent="0.25">
      <c r="A1847" s="269">
        <v>43573</v>
      </c>
      <c r="B1847" s="270">
        <v>2019</v>
      </c>
      <c r="C1847" s="270">
        <v>2019</v>
      </c>
      <c r="D1847" s="270">
        <v>1</v>
      </c>
      <c r="E1847" s="270">
        <v>1</v>
      </c>
      <c r="F1847" s="270" t="s">
        <v>944</v>
      </c>
      <c r="G1847" s="270" t="s">
        <v>3926</v>
      </c>
      <c r="H1847" s="270" t="s">
        <v>6144</v>
      </c>
      <c r="I1847" s="270" t="s">
        <v>3949</v>
      </c>
      <c r="J1847" s="270" t="s">
        <v>3928</v>
      </c>
      <c r="K1847" s="270">
        <v>6437</v>
      </c>
      <c r="L1847" s="270">
        <v>190301</v>
      </c>
      <c r="M1847" s="270" t="s">
        <v>3943</v>
      </c>
      <c r="N1847" s="270" t="s">
        <v>3944</v>
      </c>
      <c r="O1847" s="270">
        <v>4425</v>
      </c>
      <c r="P1847" s="270" t="s">
        <v>3944</v>
      </c>
      <c r="Q1847" s="270" t="s">
        <v>3944</v>
      </c>
      <c r="R1847" s="270">
        <v>4425</v>
      </c>
      <c r="S1847" s="270">
        <v>34556.25</v>
      </c>
      <c r="T1847" s="270">
        <v>38981.25</v>
      </c>
      <c r="U1847" s="271" t="s">
        <v>3945</v>
      </c>
      <c r="V1847" s="267" t="s">
        <v>944</v>
      </c>
    </row>
    <row r="1848" spans="1:22" hidden="1" x14ac:dyDescent="0.25">
      <c r="A1848" s="266">
        <v>43573</v>
      </c>
      <c r="B1848" s="267">
        <v>2019</v>
      </c>
      <c r="C1848" s="267">
        <v>2019</v>
      </c>
      <c r="D1848" s="267">
        <v>1</v>
      </c>
      <c r="E1848" s="267">
        <v>1</v>
      </c>
      <c r="F1848" s="267" t="s">
        <v>944</v>
      </c>
      <c r="G1848" s="267" t="s">
        <v>3926</v>
      </c>
      <c r="H1848" s="267" t="s">
        <v>6145</v>
      </c>
      <c r="I1848" s="267" t="s">
        <v>2985</v>
      </c>
      <c r="J1848" s="267" t="s">
        <v>3928</v>
      </c>
      <c r="K1848" s="267">
        <v>6432</v>
      </c>
      <c r="L1848" s="267">
        <v>60200</v>
      </c>
      <c r="M1848" s="267" t="s">
        <v>3943</v>
      </c>
      <c r="N1848" s="267" t="s">
        <v>3944</v>
      </c>
      <c r="O1848" s="267">
        <v>3945</v>
      </c>
      <c r="P1848" s="267" t="s">
        <v>3944</v>
      </c>
      <c r="Q1848" s="267" t="s">
        <v>3944</v>
      </c>
      <c r="R1848" s="267">
        <v>3945</v>
      </c>
      <c r="S1848" s="267">
        <v>31545</v>
      </c>
      <c r="T1848" s="267">
        <v>35490</v>
      </c>
      <c r="U1848" s="268" t="s">
        <v>3945</v>
      </c>
      <c r="V1848" s="267" t="s">
        <v>944</v>
      </c>
    </row>
    <row r="1849" spans="1:22" hidden="1" x14ac:dyDescent="0.25">
      <c r="A1849" s="269">
        <v>43573</v>
      </c>
      <c r="B1849" s="270">
        <v>2019</v>
      </c>
      <c r="C1849" s="270">
        <v>2019</v>
      </c>
      <c r="D1849" s="270">
        <v>1</v>
      </c>
      <c r="E1849" s="270">
        <v>1</v>
      </c>
      <c r="F1849" s="270" t="s">
        <v>944</v>
      </c>
      <c r="G1849" s="270" t="s">
        <v>3926</v>
      </c>
      <c r="H1849" s="270" t="s">
        <v>6146</v>
      </c>
      <c r="I1849" s="270" t="s">
        <v>4079</v>
      </c>
      <c r="J1849" s="270" t="s">
        <v>3928</v>
      </c>
      <c r="K1849" s="270">
        <v>6111</v>
      </c>
      <c r="L1849" s="270">
        <v>494500</v>
      </c>
      <c r="M1849" s="270" t="s">
        <v>3960</v>
      </c>
      <c r="N1849" s="270" t="s">
        <v>3944</v>
      </c>
      <c r="O1849" s="270">
        <v>2291</v>
      </c>
      <c r="P1849" s="270" t="s">
        <v>3944</v>
      </c>
      <c r="Q1849" s="270" t="s">
        <v>3944</v>
      </c>
      <c r="R1849" s="270">
        <v>2291</v>
      </c>
      <c r="S1849" s="270">
        <v>15951</v>
      </c>
      <c r="T1849" s="270">
        <v>18242</v>
      </c>
      <c r="U1849" s="271" t="s">
        <v>3945</v>
      </c>
      <c r="V1849" s="267" t="s">
        <v>944</v>
      </c>
    </row>
    <row r="1850" spans="1:22" hidden="1" x14ac:dyDescent="0.25">
      <c r="A1850" s="266">
        <v>43573</v>
      </c>
      <c r="B1850" s="267">
        <v>2019</v>
      </c>
      <c r="C1850" s="267">
        <v>2019</v>
      </c>
      <c r="D1850" s="267">
        <v>1</v>
      </c>
      <c r="E1850" s="267">
        <v>1</v>
      </c>
      <c r="F1850" s="267" t="s">
        <v>944</v>
      </c>
      <c r="G1850" s="267" t="s">
        <v>3926</v>
      </c>
      <c r="H1850" s="267" t="s">
        <v>6147</v>
      </c>
      <c r="I1850" s="267" t="s">
        <v>4008</v>
      </c>
      <c r="J1850" s="267" t="s">
        <v>3928</v>
      </c>
      <c r="K1850" s="267">
        <v>6320</v>
      </c>
      <c r="L1850" s="267">
        <v>690900</v>
      </c>
      <c r="M1850" s="267" t="s">
        <v>3935</v>
      </c>
      <c r="N1850" s="267" t="s">
        <v>3944</v>
      </c>
      <c r="O1850" s="267">
        <v>4992</v>
      </c>
      <c r="P1850" s="267" t="s">
        <v>3944</v>
      </c>
      <c r="Q1850" s="267" t="s">
        <v>3944</v>
      </c>
      <c r="R1850" s="267">
        <v>4992</v>
      </c>
      <c r="S1850" s="267">
        <v>33433</v>
      </c>
      <c r="T1850" s="267">
        <v>38425</v>
      </c>
      <c r="U1850" s="268" t="s">
        <v>3945</v>
      </c>
      <c r="V1850" s="267" t="s">
        <v>944</v>
      </c>
    </row>
    <row r="1851" spans="1:22" hidden="1" x14ac:dyDescent="0.25">
      <c r="A1851" s="269">
        <v>43573</v>
      </c>
      <c r="B1851" s="270">
        <v>2019</v>
      </c>
      <c r="C1851" s="270">
        <v>2019</v>
      </c>
      <c r="D1851" s="270">
        <v>1</v>
      </c>
      <c r="E1851" s="270">
        <v>1</v>
      </c>
      <c r="F1851" s="270" t="s">
        <v>944</v>
      </c>
      <c r="G1851" s="270" t="s">
        <v>3926</v>
      </c>
      <c r="H1851" s="270" t="s">
        <v>6148</v>
      </c>
      <c r="I1851" s="270" t="s">
        <v>3996</v>
      </c>
      <c r="J1851" s="270" t="s">
        <v>3928</v>
      </c>
      <c r="K1851" s="270">
        <v>6790</v>
      </c>
      <c r="L1851" s="270">
        <v>310700</v>
      </c>
      <c r="M1851" s="270" t="s">
        <v>3940</v>
      </c>
      <c r="N1851" s="270" t="s">
        <v>3944</v>
      </c>
      <c r="O1851" s="270">
        <v>1487</v>
      </c>
      <c r="P1851" s="270" t="s">
        <v>3944</v>
      </c>
      <c r="Q1851" s="270" t="s">
        <v>3944</v>
      </c>
      <c r="R1851" s="270">
        <v>1487</v>
      </c>
      <c r="S1851" s="270">
        <v>10640.5</v>
      </c>
      <c r="T1851" s="270">
        <v>12127.5</v>
      </c>
      <c r="U1851" s="271" t="s">
        <v>3945</v>
      </c>
      <c r="V1851" s="267" t="s">
        <v>944</v>
      </c>
    </row>
    <row r="1852" spans="1:22" x14ac:dyDescent="0.25">
      <c r="A1852" s="266">
        <v>43573</v>
      </c>
      <c r="B1852" s="267">
        <v>2019</v>
      </c>
      <c r="C1852" s="267">
        <v>2019</v>
      </c>
      <c r="D1852" s="267">
        <v>1</v>
      </c>
      <c r="E1852" s="267">
        <v>1</v>
      </c>
      <c r="F1852" s="267" t="s">
        <v>944</v>
      </c>
      <c r="G1852" s="267" t="s">
        <v>3926</v>
      </c>
      <c r="H1852" s="267" t="s">
        <v>6149</v>
      </c>
      <c r="I1852" s="267" t="s">
        <v>934</v>
      </c>
      <c r="J1852" s="267" t="s">
        <v>3928</v>
      </c>
      <c r="K1852" s="267">
        <v>6608</v>
      </c>
      <c r="L1852" s="267">
        <v>73500</v>
      </c>
      <c r="M1852" s="267">
        <v>-60</v>
      </c>
      <c r="N1852" s="267" t="s">
        <v>3944</v>
      </c>
      <c r="O1852" s="267">
        <v>1352</v>
      </c>
      <c r="P1852" s="267" t="s">
        <v>3944</v>
      </c>
      <c r="Q1852" s="267" t="s">
        <v>3944</v>
      </c>
      <c r="R1852" s="267">
        <v>1352</v>
      </c>
      <c r="S1852" s="267">
        <v>11308</v>
      </c>
      <c r="T1852" s="267">
        <v>12660</v>
      </c>
      <c r="U1852" s="268" t="s">
        <v>3945</v>
      </c>
      <c r="V1852" s="276" t="s">
        <v>936</v>
      </c>
    </row>
    <row r="1853" spans="1:22" hidden="1" x14ac:dyDescent="0.25">
      <c r="A1853" s="269">
        <v>43573</v>
      </c>
      <c r="B1853" s="270">
        <v>2019</v>
      </c>
      <c r="C1853" s="270">
        <v>2019</v>
      </c>
      <c r="D1853" s="270">
        <v>1</v>
      </c>
      <c r="E1853" s="270">
        <v>1</v>
      </c>
      <c r="F1853" s="270" t="s">
        <v>944</v>
      </c>
      <c r="G1853" s="270" t="s">
        <v>3926</v>
      </c>
      <c r="H1853" s="270" t="s">
        <v>6150</v>
      </c>
      <c r="I1853" s="270" t="s">
        <v>4037</v>
      </c>
      <c r="J1853" s="270" t="s">
        <v>3928</v>
      </c>
      <c r="K1853" s="270">
        <v>6810</v>
      </c>
      <c r="L1853" s="270">
        <v>210600</v>
      </c>
      <c r="M1853" s="270" t="s">
        <v>3940</v>
      </c>
      <c r="N1853" s="270" t="s">
        <v>3944</v>
      </c>
      <c r="O1853" s="270">
        <v>2522</v>
      </c>
      <c r="P1853" s="270" t="s">
        <v>3944</v>
      </c>
      <c r="Q1853" s="270" t="s">
        <v>3944</v>
      </c>
      <c r="R1853" s="270">
        <v>2522</v>
      </c>
      <c r="S1853" s="270">
        <v>25040</v>
      </c>
      <c r="T1853" s="270">
        <v>27562</v>
      </c>
      <c r="U1853" s="271" t="s">
        <v>3945</v>
      </c>
      <c r="V1853" s="267" t="s">
        <v>944</v>
      </c>
    </row>
    <row r="1854" spans="1:22" hidden="1" x14ac:dyDescent="0.25">
      <c r="A1854" s="266">
        <v>43573</v>
      </c>
      <c r="B1854" s="267">
        <v>2019</v>
      </c>
      <c r="C1854" s="267">
        <v>2019</v>
      </c>
      <c r="D1854" s="267">
        <v>1</v>
      </c>
      <c r="E1854" s="267">
        <v>1</v>
      </c>
      <c r="F1854" s="267" t="s">
        <v>944</v>
      </c>
      <c r="G1854" s="267" t="s">
        <v>3926</v>
      </c>
      <c r="H1854" s="267" t="s">
        <v>6151</v>
      </c>
      <c r="I1854" s="267" t="s">
        <v>956</v>
      </c>
      <c r="J1854" s="267" t="s">
        <v>3928</v>
      </c>
      <c r="K1854" s="267">
        <v>6614</v>
      </c>
      <c r="L1854" s="267">
        <v>81300</v>
      </c>
      <c r="M1854" s="267" t="s">
        <v>3935</v>
      </c>
      <c r="N1854" s="267" t="s">
        <v>3944</v>
      </c>
      <c r="O1854" s="267">
        <v>1769</v>
      </c>
      <c r="P1854" s="267" t="s">
        <v>3944</v>
      </c>
      <c r="Q1854" s="267" t="s">
        <v>3944</v>
      </c>
      <c r="R1854" s="267">
        <v>1769</v>
      </c>
      <c r="S1854" s="267">
        <v>25726.47</v>
      </c>
      <c r="T1854" s="267">
        <v>27495.47</v>
      </c>
      <c r="U1854" s="268" t="s">
        <v>3945</v>
      </c>
      <c r="V1854" s="267" t="s">
        <v>944</v>
      </c>
    </row>
    <row r="1855" spans="1:22" hidden="1" x14ac:dyDescent="0.25">
      <c r="A1855" s="269">
        <v>43573</v>
      </c>
      <c r="B1855" s="270">
        <v>2019</v>
      </c>
      <c r="C1855" s="270">
        <v>2019</v>
      </c>
      <c r="D1855" s="270">
        <v>1</v>
      </c>
      <c r="E1855" s="270">
        <v>1</v>
      </c>
      <c r="F1855" s="270" t="s">
        <v>944</v>
      </c>
      <c r="G1855" s="270" t="s">
        <v>3926</v>
      </c>
      <c r="H1855" s="270" t="s">
        <v>6152</v>
      </c>
      <c r="I1855" s="270" t="s">
        <v>3025</v>
      </c>
      <c r="J1855" s="270" t="s">
        <v>3928</v>
      </c>
      <c r="K1855" s="270">
        <v>6473</v>
      </c>
      <c r="L1855" s="270">
        <v>167300</v>
      </c>
      <c r="M1855" s="270" t="s">
        <v>3943</v>
      </c>
      <c r="N1855" s="270" t="s">
        <v>3944</v>
      </c>
      <c r="O1855" s="270">
        <v>3805</v>
      </c>
      <c r="P1855" s="270" t="s">
        <v>3944</v>
      </c>
      <c r="Q1855" s="270" t="s">
        <v>3944</v>
      </c>
      <c r="R1855" s="270">
        <v>3805</v>
      </c>
      <c r="S1855" s="270">
        <v>53084</v>
      </c>
      <c r="T1855" s="270">
        <v>56889</v>
      </c>
      <c r="U1855" s="271" t="s">
        <v>3945</v>
      </c>
      <c r="V1855" s="267" t="s">
        <v>944</v>
      </c>
    </row>
    <row r="1856" spans="1:22" hidden="1" x14ac:dyDescent="0.25">
      <c r="A1856" s="266">
        <v>43573</v>
      </c>
      <c r="B1856" s="267">
        <v>2019</v>
      </c>
      <c r="C1856" s="267">
        <v>2019</v>
      </c>
      <c r="D1856" s="267">
        <v>1</v>
      </c>
      <c r="E1856" s="267">
        <v>1</v>
      </c>
      <c r="F1856" s="267" t="s">
        <v>944</v>
      </c>
      <c r="G1856" s="267" t="s">
        <v>3926</v>
      </c>
      <c r="H1856" s="267" t="s">
        <v>6153</v>
      </c>
      <c r="I1856" s="267" t="s">
        <v>4392</v>
      </c>
      <c r="J1856" s="267" t="s">
        <v>3928</v>
      </c>
      <c r="K1856" s="267">
        <v>6457</v>
      </c>
      <c r="L1856" s="267">
        <v>541500</v>
      </c>
      <c r="M1856" s="267" t="s">
        <v>3940</v>
      </c>
      <c r="N1856" s="267" t="s">
        <v>3944</v>
      </c>
      <c r="O1856" s="267">
        <v>4950</v>
      </c>
      <c r="P1856" s="267" t="s">
        <v>3944</v>
      </c>
      <c r="Q1856" s="267" t="s">
        <v>3944</v>
      </c>
      <c r="R1856" s="267">
        <v>4950</v>
      </c>
      <c r="S1856" s="267">
        <v>34750</v>
      </c>
      <c r="T1856" s="267">
        <v>39700</v>
      </c>
      <c r="U1856" s="268" t="s">
        <v>3945</v>
      </c>
      <c r="V1856" s="267" t="s">
        <v>944</v>
      </c>
    </row>
    <row r="1857" spans="1:22" hidden="1" x14ac:dyDescent="0.25">
      <c r="A1857" s="269">
        <v>43573</v>
      </c>
      <c r="B1857" s="270">
        <v>2019</v>
      </c>
      <c r="C1857" s="270">
        <v>2019</v>
      </c>
      <c r="D1857" s="270">
        <v>1</v>
      </c>
      <c r="E1857" s="270">
        <v>1</v>
      </c>
      <c r="F1857" s="270" t="s">
        <v>944</v>
      </c>
      <c r="G1857" s="270" t="s">
        <v>3926</v>
      </c>
      <c r="H1857" s="270" t="s">
        <v>6154</v>
      </c>
      <c r="I1857" s="270" t="s">
        <v>4111</v>
      </c>
      <c r="J1857" s="270" t="s">
        <v>3928</v>
      </c>
      <c r="K1857" s="270">
        <v>6074</v>
      </c>
      <c r="L1857" s="270">
        <v>487400</v>
      </c>
      <c r="M1857" s="270" t="s">
        <v>3943</v>
      </c>
      <c r="N1857" s="270" t="s">
        <v>3944</v>
      </c>
      <c r="O1857" s="270">
        <v>1352</v>
      </c>
      <c r="P1857" s="270" t="s">
        <v>3944</v>
      </c>
      <c r="Q1857" s="270" t="s">
        <v>3944</v>
      </c>
      <c r="R1857" s="270">
        <v>1352</v>
      </c>
      <c r="S1857" s="270">
        <v>9681</v>
      </c>
      <c r="T1857" s="270">
        <v>11033</v>
      </c>
      <c r="U1857" s="271" t="s">
        <v>3945</v>
      </c>
      <c r="V1857" s="267" t="s">
        <v>944</v>
      </c>
    </row>
    <row r="1858" spans="1:22" hidden="1" x14ac:dyDescent="0.25">
      <c r="A1858" s="266">
        <v>43573</v>
      </c>
      <c r="B1858" s="267">
        <v>2019</v>
      </c>
      <c r="C1858" s="267">
        <v>2019</v>
      </c>
      <c r="D1858" s="267">
        <v>1</v>
      </c>
      <c r="E1858" s="267">
        <v>1</v>
      </c>
      <c r="F1858" s="267" t="s">
        <v>944</v>
      </c>
      <c r="G1858" s="267" t="s">
        <v>3926</v>
      </c>
      <c r="H1858" s="267" t="s">
        <v>6155</v>
      </c>
      <c r="I1858" s="267" t="s">
        <v>2987</v>
      </c>
      <c r="J1858" s="267" t="s">
        <v>3928</v>
      </c>
      <c r="K1858" s="267">
        <v>6611</v>
      </c>
      <c r="L1858" s="267">
        <v>90600</v>
      </c>
      <c r="M1858" s="267" t="s">
        <v>3960</v>
      </c>
      <c r="N1858" s="267" t="s">
        <v>3944</v>
      </c>
      <c r="O1858" s="267">
        <v>2434</v>
      </c>
      <c r="P1858" s="267" t="s">
        <v>3944</v>
      </c>
      <c r="Q1858" s="267" t="s">
        <v>3944</v>
      </c>
      <c r="R1858" s="267">
        <v>2434</v>
      </c>
      <c r="S1858" s="267">
        <v>19246</v>
      </c>
      <c r="T1858" s="267">
        <v>21680</v>
      </c>
      <c r="U1858" s="268" t="s">
        <v>3945</v>
      </c>
      <c r="V1858" s="267" t="s">
        <v>944</v>
      </c>
    </row>
    <row r="1859" spans="1:22" hidden="1" x14ac:dyDescent="0.25">
      <c r="A1859" s="269">
        <v>43573</v>
      </c>
      <c r="B1859" s="270">
        <v>2019</v>
      </c>
      <c r="C1859" s="270">
        <v>2019</v>
      </c>
      <c r="D1859" s="270">
        <v>1</v>
      </c>
      <c r="E1859" s="270">
        <v>1</v>
      </c>
      <c r="F1859" s="270" t="s">
        <v>944</v>
      </c>
      <c r="G1859" s="270" t="s">
        <v>3926</v>
      </c>
      <c r="H1859" s="270" t="s">
        <v>6156</v>
      </c>
      <c r="I1859" s="270" t="s">
        <v>4621</v>
      </c>
      <c r="J1859" s="270" t="s">
        <v>3928</v>
      </c>
      <c r="K1859" s="270">
        <v>6443</v>
      </c>
      <c r="L1859" s="270">
        <v>194201</v>
      </c>
      <c r="M1859" s="270" t="s">
        <v>3943</v>
      </c>
      <c r="N1859" s="270" t="s">
        <v>3944</v>
      </c>
      <c r="O1859" s="270">
        <v>2175</v>
      </c>
      <c r="P1859" s="270" t="s">
        <v>3944</v>
      </c>
      <c r="Q1859" s="270" t="s">
        <v>3944</v>
      </c>
      <c r="R1859" s="270">
        <v>2175</v>
      </c>
      <c r="S1859" s="270">
        <v>27924</v>
      </c>
      <c r="T1859" s="270">
        <v>30099</v>
      </c>
      <c r="U1859" s="271" t="s">
        <v>3945</v>
      </c>
      <c r="V1859" s="267" t="s">
        <v>944</v>
      </c>
    </row>
    <row r="1860" spans="1:22" hidden="1" x14ac:dyDescent="0.25">
      <c r="A1860" s="266">
        <v>43573</v>
      </c>
      <c r="B1860" s="267">
        <v>2019</v>
      </c>
      <c r="C1860" s="267">
        <v>2019</v>
      </c>
      <c r="D1860" s="267">
        <v>1</v>
      </c>
      <c r="E1860" s="267">
        <v>1</v>
      </c>
      <c r="F1860" s="267" t="s">
        <v>944</v>
      </c>
      <c r="G1860" s="267" t="s">
        <v>3926</v>
      </c>
      <c r="H1860" s="267" t="s">
        <v>6157</v>
      </c>
      <c r="I1860" s="267" t="s">
        <v>3996</v>
      </c>
      <c r="J1860" s="267" t="s">
        <v>3928</v>
      </c>
      <c r="K1860" s="267">
        <v>6790</v>
      </c>
      <c r="L1860" s="267">
        <v>310100</v>
      </c>
      <c r="M1860" s="267" t="s">
        <v>3940</v>
      </c>
      <c r="N1860" s="267" t="s">
        <v>3944</v>
      </c>
      <c r="O1860" s="267">
        <v>3278.73</v>
      </c>
      <c r="P1860" s="267" t="s">
        <v>3944</v>
      </c>
      <c r="Q1860" s="267" t="s">
        <v>3944</v>
      </c>
      <c r="R1860" s="267">
        <v>3278.73</v>
      </c>
      <c r="S1860" s="267">
        <v>44882.59</v>
      </c>
      <c r="T1860" s="267">
        <v>48161.32</v>
      </c>
      <c r="U1860" s="268" t="s">
        <v>3945</v>
      </c>
      <c r="V1860" s="267" t="s">
        <v>944</v>
      </c>
    </row>
    <row r="1861" spans="1:22" hidden="1" x14ac:dyDescent="0.25">
      <c r="A1861" s="269">
        <v>43573</v>
      </c>
      <c r="B1861" s="270">
        <v>2019</v>
      </c>
      <c r="C1861" s="270">
        <v>2019</v>
      </c>
      <c r="D1861" s="270">
        <v>1</v>
      </c>
      <c r="E1861" s="270">
        <v>1</v>
      </c>
      <c r="F1861" s="270" t="s">
        <v>944</v>
      </c>
      <c r="G1861" s="270" t="s">
        <v>3926</v>
      </c>
      <c r="H1861" s="270" t="s">
        <v>6158</v>
      </c>
      <c r="I1861" s="270" t="s">
        <v>956</v>
      </c>
      <c r="J1861" s="270" t="s">
        <v>3928</v>
      </c>
      <c r="K1861" s="270">
        <v>6615</v>
      </c>
      <c r="L1861" s="270">
        <v>80200</v>
      </c>
      <c r="M1861" s="270" t="s">
        <v>3935</v>
      </c>
      <c r="N1861" s="270" t="s">
        <v>3944</v>
      </c>
      <c r="O1861" s="270">
        <v>1711.22</v>
      </c>
      <c r="P1861" s="270" t="s">
        <v>3944</v>
      </c>
      <c r="Q1861" s="270" t="s">
        <v>3944</v>
      </c>
      <c r="R1861" s="270">
        <v>1711.22</v>
      </c>
      <c r="S1861" s="270">
        <v>26385.62</v>
      </c>
      <c r="T1861" s="270">
        <v>28096.84</v>
      </c>
      <c r="U1861" s="271" t="s">
        <v>3945</v>
      </c>
      <c r="V1861" s="267" t="s">
        <v>944</v>
      </c>
    </row>
    <row r="1862" spans="1:22" hidden="1" x14ac:dyDescent="0.25">
      <c r="A1862" s="266">
        <v>43573</v>
      </c>
      <c r="B1862" s="267">
        <v>2019</v>
      </c>
      <c r="C1862" s="267">
        <v>2019</v>
      </c>
      <c r="D1862" s="267">
        <v>1</v>
      </c>
      <c r="E1862" s="267">
        <v>1</v>
      </c>
      <c r="F1862" s="267" t="s">
        <v>944</v>
      </c>
      <c r="G1862" s="267" t="s">
        <v>3926</v>
      </c>
      <c r="H1862" s="267" t="s">
        <v>6159</v>
      </c>
      <c r="I1862" s="267" t="s">
        <v>3008</v>
      </c>
      <c r="J1862" s="267" t="s">
        <v>3928</v>
      </c>
      <c r="K1862" s="267">
        <v>6461</v>
      </c>
      <c r="L1862" s="267">
        <v>150600</v>
      </c>
      <c r="M1862" s="267" t="s">
        <v>3960</v>
      </c>
      <c r="N1862" s="267" t="s">
        <v>3944</v>
      </c>
      <c r="O1862" s="267">
        <v>2089.5</v>
      </c>
      <c r="P1862" s="267" t="s">
        <v>3944</v>
      </c>
      <c r="Q1862" s="267" t="s">
        <v>3944</v>
      </c>
      <c r="R1862" s="267">
        <v>2089.5</v>
      </c>
      <c r="S1862" s="267">
        <v>34342.79</v>
      </c>
      <c r="T1862" s="267">
        <v>36432.29</v>
      </c>
      <c r="U1862" s="268" t="s">
        <v>3945</v>
      </c>
      <c r="V1862" s="267" t="s">
        <v>944</v>
      </c>
    </row>
    <row r="1863" spans="1:22" hidden="1" x14ac:dyDescent="0.25">
      <c r="A1863" s="269">
        <v>43573</v>
      </c>
      <c r="B1863" s="270">
        <v>2019</v>
      </c>
      <c r="C1863" s="270">
        <v>2019</v>
      </c>
      <c r="D1863" s="270">
        <v>1</v>
      </c>
      <c r="E1863" s="270">
        <v>1</v>
      </c>
      <c r="F1863" s="270" t="s">
        <v>944</v>
      </c>
      <c r="G1863" s="270" t="s">
        <v>3926</v>
      </c>
      <c r="H1863" s="270" t="s">
        <v>6160</v>
      </c>
      <c r="I1863" s="270" t="s">
        <v>3993</v>
      </c>
      <c r="J1863" s="270" t="s">
        <v>3928</v>
      </c>
      <c r="K1863" s="270">
        <v>6415</v>
      </c>
      <c r="L1863" s="270">
        <v>714104</v>
      </c>
      <c r="M1863" s="270" t="s">
        <v>3960</v>
      </c>
      <c r="N1863" s="270" t="s">
        <v>3944</v>
      </c>
      <c r="O1863" s="270">
        <v>2427.7800000000002</v>
      </c>
      <c r="P1863" s="270" t="s">
        <v>3944</v>
      </c>
      <c r="Q1863" s="270" t="s">
        <v>3944</v>
      </c>
      <c r="R1863" s="270">
        <v>2427.7800000000002</v>
      </c>
      <c r="S1863" s="270">
        <v>30562.240000000002</v>
      </c>
      <c r="T1863" s="270">
        <v>32990.019999999997</v>
      </c>
      <c r="U1863" s="271" t="s">
        <v>3945</v>
      </c>
      <c r="V1863" s="267" t="s">
        <v>944</v>
      </c>
    </row>
    <row r="1864" spans="1:22" hidden="1" x14ac:dyDescent="0.25">
      <c r="A1864" s="266">
        <v>43573</v>
      </c>
      <c r="B1864" s="267">
        <v>2019</v>
      </c>
      <c r="C1864" s="267">
        <v>2019</v>
      </c>
      <c r="D1864" s="267">
        <v>1</v>
      </c>
      <c r="E1864" s="267">
        <v>1</v>
      </c>
      <c r="F1864" s="267" t="s">
        <v>944</v>
      </c>
      <c r="G1864" s="267" t="s">
        <v>3926</v>
      </c>
      <c r="H1864" s="267" t="s">
        <v>6161</v>
      </c>
      <c r="I1864" s="267" t="s">
        <v>4392</v>
      </c>
      <c r="J1864" s="267" t="s">
        <v>3928</v>
      </c>
      <c r="K1864" s="267">
        <v>6457</v>
      </c>
      <c r="L1864" s="267">
        <v>542000</v>
      </c>
      <c r="M1864" s="267" t="s">
        <v>3935</v>
      </c>
      <c r="N1864" s="267" t="s">
        <v>3944</v>
      </c>
      <c r="O1864" s="267">
        <v>2611.9499999999998</v>
      </c>
      <c r="P1864" s="267" t="s">
        <v>3944</v>
      </c>
      <c r="Q1864" s="267" t="s">
        <v>3944</v>
      </c>
      <c r="R1864" s="267">
        <v>2611.9499999999998</v>
      </c>
      <c r="S1864" s="267">
        <v>35424.559999999998</v>
      </c>
      <c r="T1864" s="267">
        <v>38036.51</v>
      </c>
      <c r="U1864" s="268" t="s">
        <v>3945</v>
      </c>
      <c r="V1864" s="267" t="s">
        <v>944</v>
      </c>
    </row>
    <row r="1865" spans="1:22" hidden="1" x14ac:dyDescent="0.25">
      <c r="A1865" s="269">
        <v>43573</v>
      </c>
      <c r="B1865" s="270">
        <v>2019</v>
      </c>
      <c r="C1865" s="270">
        <v>2019</v>
      </c>
      <c r="D1865" s="270">
        <v>1</v>
      </c>
      <c r="E1865" s="270"/>
      <c r="F1865" s="270" t="s">
        <v>944</v>
      </c>
      <c r="G1865" s="270" t="s">
        <v>3926</v>
      </c>
      <c r="H1865" s="270" t="s">
        <v>6162</v>
      </c>
      <c r="I1865" s="270" t="s">
        <v>4029</v>
      </c>
      <c r="J1865" s="270" t="s">
        <v>3928</v>
      </c>
      <c r="K1865" s="270">
        <v>6853</v>
      </c>
      <c r="L1865" s="270">
        <v>44600</v>
      </c>
      <c r="M1865" s="270" t="s">
        <v>3943</v>
      </c>
      <c r="N1865" s="270" t="s">
        <v>3930</v>
      </c>
      <c r="O1865" s="270"/>
      <c r="P1865" s="270" t="s">
        <v>3944</v>
      </c>
      <c r="Q1865" s="270" t="s">
        <v>3930</v>
      </c>
      <c r="R1865" s="270">
        <v>0</v>
      </c>
      <c r="S1865" s="270">
        <v>0</v>
      </c>
      <c r="T1865" s="270">
        <v>0</v>
      </c>
      <c r="U1865" s="271" t="s">
        <v>5605</v>
      </c>
      <c r="V1865" s="267" t="s">
        <v>944</v>
      </c>
    </row>
    <row r="1866" spans="1:22" hidden="1" x14ac:dyDescent="0.25">
      <c r="A1866" s="266">
        <v>43574</v>
      </c>
      <c r="B1866" s="267">
        <v>2019</v>
      </c>
      <c r="C1866" s="267">
        <v>2019</v>
      </c>
      <c r="D1866" s="267">
        <v>1</v>
      </c>
      <c r="E1866" s="267">
        <v>1</v>
      </c>
      <c r="F1866" s="267" t="s">
        <v>944</v>
      </c>
      <c r="G1866" s="267" t="s">
        <v>3926</v>
      </c>
      <c r="H1866" s="267" t="s">
        <v>6163</v>
      </c>
      <c r="I1866" s="267" t="s">
        <v>3008</v>
      </c>
      <c r="J1866" s="267" t="s">
        <v>3928</v>
      </c>
      <c r="K1866" s="267">
        <v>6460</v>
      </c>
      <c r="L1866" s="267">
        <v>150300</v>
      </c>
      <c r="M1866" s="267" t="s">
        <v>3960</v>
      </c>
      <c r="N1866" s="267" t="s">
        <v>6164</v>
      </c>
      <c r="O1866" s="267">
        <v>0</v>
      </c>
      <c r="P1866" s="267" t="s">
        <v>3930</v>
      </c>
      <c r="Q1866" s="267" t="s">
        <v>3930</v>
      </c>
      <c r="R1866" s="267">
        <v>0</v>
      </c>
      <c r="S1866" s="267">
        <v>12850.3</v>
      </c>
      <c r="T1866" s="267">
        <v>12850.3</v>
      </c>
      <c r="U1866" s="268" t="s">
        <v>3937</v>
      </c>
      <c r="V1866" s="267" t="s">
        <v>944</v>
      </c>
    </row>
    <row r="1867" spans="1:22" hidden="1" x14ac:dyDescent="0.25">
      <c r="A1867" s="269">
        <v>43574</v>
      </c>
      <c r="B1867" s="270">
        <v>2019</v>
      </c>
      <c r="C1867" s="270">
        <v>2019</v>
      </c>
      <c r="D1867" s="270">
        <v>1</v>
      </c>
      <c r="E1867" s="270">
        <v>1</v>
      </c>
      <c r="F1867" s="270" t="s">
        <v>944</v>
      </c>
      <c r="G1867" s="270" t="s">
        <v>3926</v>
      </c>
      <c r="H1867" s="270" t="s">
        <v>6165</v>
      </c>
      <c r="I1867" s="270" t="s">
        <v>4621</v>
      </c>
      <c r="J1867" s="270" t="s">
        <v>3928</v>
      </c>
      <c r="K1867" s="270">
        <v>6443</v>
      </c>
      <c r="L1867" s="270">
        <v>194201</v>
      </c>
      <c r="M1867" s="270" t="s">
        <v>3943</v>
      </c>
      <c r="N1867" s="270" t="s">
        <v>6166</v>
      </c>
      <c r="O1867" s="270">
        <v>6159</v>
      </c>
      <c r="P1867" s="270" t="s">
        <v>3930</v>
      </c>
      <c r="Q1867" s="270" t="s">
        <v>3930</v>
      </c>
      <c r="R1867" s="270">
        <v>6159</v>
      </c>
      <c r="S1867" s="270">
        <v>34581.4</v>
      </c>
      <c r="T1867" s="270">
        <v>40740.400000000001</v>
      </c>
      <c r="U1867" s="271" t="s">
        <v>3937</v>
      </c>
      <c r="V1867" s="267" t="s">
        <v>944</v>
      </c>
    </row>
    <row r="1868" spans="1:22" x14ac:dyDescent="0.25">
      <c r="A1868" s="266">
        <v>43574</v>
      </c>
      <c r="B1868" s="267">
        <v>2019</v>
      </c>
      <c r="C1868" s="267">
        <v>2019</v>
      </c>
      <c r="D1868" s="267">
        <v>1</v>
      </c>
      <c r="E1868" s="267">
        <v>1</v>
      </c>
      <c r="F1868" s="267" t="s">
        <v>944</v>
      </c>
      <c r="G1868" s="267" t="s">
        <v>3926</v>
      </c>
      <c r="H1868" s="267" t="s">
        <v>6167</v>
      </c>
      <c r="I1868" s="267" t="s">
        <v>953</v>
      </c>
      <c r="J1868" s="267" t="s">
        <v>3928</v>
      </c>
      <c r="K1868" s="267">
        <v>6514</v>
      </c>
      <c r="L1868" s="267">
        <v>165500</v>
      </c>
      <c r="M1868" s="267">
        <v>-60</v>
      </c>
      <c r="N1868" s="267" t="s">
        <v>3944</v>
      </c>
      <c r="O1868" s="267">
        <v>1873</v>
      </c>
      <c r="P1868" s="267" t="s">
        <v>3944</v>
      </c>
      <c r="Q1868" s="267" t="s">
        <v>3944</v>
      </c>
      <c r="R1868" s="267">
        <v>1873</v>
      </c>
      <c r="S1868" s="267">
        <v>15440.48</v>
      </c>
      <c r="T1868" s="267">
        <v>17313.48</v>
      </c>
      <c r="U1868" s="268" t="s">
        <v>3945</v>
      </c>
      <c r="V1868" s="276" t="s">
        <v>936</v>
      </c>
    </row>
    <row r="1869" spans="1:22" hidden="1" x14ac:dyDescent="0.25">
      <c r="A1869" s="269">
        <v>43574</v>
      </c>
      <c r="B1869" s="270">
        <v>2019</v>
      </c>
      <c r="C1869" s="270">
        <v>2019</v>
      </c>
      <c r="D1869" s="270">
        <v>1</v>
      </c>
      <c r="E1869" s="270">
        <v>1</v>
      </c>
      <c r="F1869" s="270" t="s">
        <v>944</v>
      </c>
      <c r="G1869" s="270" t="s">
        <v>3926</v>
      </c>
      <c r="H1869" s="270" t="s">
        <v>6168</v>
      </c>
      <c r="I1869" s="270" t="s">
        <v>4108</v>
      </c>
      <c r="J1869" s="270" t="s">
        <v>3928</v>
      </c>
      <c r="K1869" s="270">
        <v>6082</v>
      </c>
      <c r="L1869" s="270">
        <v>480400</v>
      </c>
      <c r="M1869" s="270" t="s">
        <v>3935</v>
      </c>
      <c r="N1869" s="270" t="s">
        <v>3944</v>
      </c>
      <c r="O1869" s="270">
        <v>3245</v>
      </c>
      <c r="P1869" s="270" t="s">
        <v>3944</v>
      </c>
      <c r="Q1869" s="270" t="s">
        <v>3944</v>
      </c>
      <c r="R1869" s="270">
        <v>3245</v>
      </c>
      <c r="S1869" s="270">
        <v>22054.9</v>
      </c>
      <c r="T1869" s="270">
        <v>25299.9</v>
      </c>
      <c r="U1869" s="271" t="s">
        <v>3945</v>
      </c>
      <c r="V1869" s="267" t="s">
        <v>944</v>
      </c>
    </row>
    <row r="1870" spans="1:22" hidden="1" x14ac:dyDescent="0.25">
      <c r="A1870" s="266">
        <v>43574</v>
      </c>
      <c r="B1870" s="267">
        <v>2019</v>
      </c>
      <c r="C1870" s="267">
        <v>2019</v>
      </c>
      <c r="D1870" s="267">
        <v>1</v>
      </c>
      <c r="E1870" s="267">
        <v>1</v>
      </c>
      <c r="F1870" s="267" t="s">
        <v>944</v>
      </c>
      <c r="G1870" s="267" t="s">
        <v>3926</v>
      </c>
      <c r="H1870" s="267" t="s">
        <v>6169</v>
      </c>
      <c r="I1870" s="267" t="s">
        <v>4323</v>
      </c>
      <c r="J1870" s="267" t="s">
        <v>3928</v>
      </c>
      <c r="K1870" s="267">
        <v>6385</v>
      </c>
      <c r="L1870" s="267">
        <v>693500</v>
      </c>
      <c r="M1870" s="267" t="s">
        <v>3943</v>
      </c>
      <c r="N1870" s="267" t="s">
        <v>3944</v>
      </c>
      <c r="O1870" s="267">
        <v>1861</v>
      </c>
      <c r="P1870" s="267" t="s">
        <v>3944</v>
      </c>
      <c r="Q1870" s="267" t="s">
        <v>3944</v>
      </c>
      <c r="R1870" s="267">
        <v>1861</v>
      </c>
      <c r="S1870" s="267">
        <v>15639</v>
      </c>
      <c r="T1870" s="267">
        <v>17500</v>
      </c>
      <c r="U1870" s="268" t="s">
        <v>3945</v>
      </c>
      <c r="V1870" s="267" t="s">
        <v>944</v>
      </c>
    </row>
    <row r="1871" spans="1:22" hidden="1" x14ac:dyDescent="0.25">
      <c r="A1871" s="269">
        <v>43574</v>
      </c>
      <c r="B1871" s="270">
        <v>2019</v>
      </c>
      <c r="C1871" s="270">
        <v>2019</v>
      </c>
      <c r="D1871" s="270">
        <v>1</v>
      </c>
      <c r="E1871" s="270">
        <v>1</v>
      </c>
      <c r="F1871" s="270" t="s">
        <v>944</v>
      </c>
      <c r="G1871" s="270" t="s">
        <v>3926</v>
      </c>
      <c r="H1871" s="270" t="s">
        <v>6170</v>
      </c>
      <c r="I1871" s="270" t="s">
        <v>4516</v>
      </c>
      <c r="J1871" s="270" t="s">
        <v>3928</v>
      </c>
      <c r="K1871" s="270">
        <v>6371</v>
      </c>
      <c r="L1871" s="270">
        <v>650100</v>
      </c>
      <c r="M1871" s="270" t="s">
        <v>3960</v>
      </c>
      <c r="N1871" s="270" t="s">
        <v>3944</v>
      </c>
      <c r="O1871" s="270">
        <v>2346</v>
      </c>
      <c r="P1871" s="270" t="s">
        <v>3944</v>
      </c>
      <c r="Q1871" s="270" t="s">
        <v>3944</v>
      </c>
      <c r="R1871" s="270">
        <v>2346</v>
      </c>
      <c r="S1871" s="270">
        <v>15226.18</v>
      </c>
      <c r="T1871" s="270">
        <v>17572.18</v>
      </c>
      <c r="U1871" s="271" t="s">
        <v>3945</v>
      </c>
      <c r="V1871" s="267" t="s">
        <v>944</v>
      </c>
    </row>
    <row r="1872" spans="1:22" hidden="1" x14ac:dyDescent="0.25">
      <c r="A1872" s="266">
        <v>43574</v>
      </c>
      <c r="B1872" s="267">
        <v>2019</v>
      </c>
      <c r="C1872" s="267">
        <v>2019</v>
      </c>
      <c r="D1872" s="267">
        <v>1</v>
      </c>
      <c r="E1872" s="267">
        <v>1</v>
      </c>
      <c r="F1872" s="267" t="s">
        <v>944</v>
      </c>
      <c r="G1872" s="267" t="s">
        <v>3926</v>
      </c>
      <c r="H1872" s="267" t="s">
        <v>6171</v>
      </c>
      <c r="I1872" s="267" t="s">
        <v>4546</v>
      </c>
      <c r="J1872" s="267" t="s">
        <v>3928</v>
      </c>
      <c r="K1872" s="267">
        <v>6235</v>
      </c>
      <c r="L1872" s="267">
        <v>815000</v>
      </c>
      <c r="M1872" s="267" t="s">
        <v>3935</v>
      </c>
      <c r="N1872" s="267" t="s">
        <v>3944</v>
      </c>
      <c r="O1872" s="267">
        <v>2821</v>
      </c>
      <c r="P1872" s="267" t="s">
        <v>3944</v>
      </c>
      <c r="Q1872" s="267" t="s">
        <v>3944</v>
      </c>
      <c r="R1872" s="267">
        <v>2821</v>
      </c>
      <c r="S1872" s="267">
        <v>44336.15</v>
      </c>
      <c r="T1872" s="267">
        <v>47157.15</v>
      </c>
      <c r="U1872" s="268" t="s">
        <v>3945</v>
      </c>
      <c r="V1872" s="267" t="s">
        <v>944</v>
      </c>
    </row>
    <row r="1873" spans="1:22" hidden="1" x14ac:dyDescent="0.25">
      <c r="A1873" s="269">
        <v>43574</v>
      </c>
      <c r="B1873" s="270">
        <v>2019</v>
      </c>
      <c r="C1873" s="270">
        <v>2019</v>
      </c>
      <c r="D1873" s="270">
        <v>1</v>
      </c>
      <c r="E1873" s="270"/>
      <c r="F1873" s="270" t="s">
        <v>944</v>
      </c>
      <c r="G1873" s="270" t="s">
        <v>3926</v>
      </c>
      <c r="H1873" s="270" t="s">
        <v>6172</v>
      </c>
      <c r="I1873" s="270" t="s">
        <v>3939</v>
      </c>
      <c r="J1873" s="270" t="s">
        <v>3928</v>
      </c>
      <c r="K1873" s="270">
        <v>6512</v>
      </c>
      <c r="L1873" s="270">
        <v>180300</v>
      </c>
      <c r="M1873" s="270">
        <v>-60</v>
      </c>
      <c r="N1873" s="270" t="s">
        <v>3930</v>
      </c>
      <c r="O1873" s="270"/>
      <c r="P1873" s="270" t="s">
        <v>3944</v>
      </c>
      <c r="Q1873" s="270" t="s">
        <v>3930</v>
      </c>
      <c r="R1873" s="270">
        <v>0</v>
      </c>
      <c r="S1873" s="270">
        <v>0</v>
      </c>
      <c r="T1873" s="270">
        <v>0</v>
      </c>
      <c r="U1873" s="271" t="s">
        <v>5605</v>
      </c>
      <c r="V1873" s="267" t="s">
        <v>944</v>
      </c>
    </row>
    <row r="1874" spans="1:22" hidden="1" x14ac:dyDescent="0.25">
      <c r="A1874" s="266">
        <v>43575</v>
      </c>
      <c r="B1874" s="267">
        <v>2019</v>
      </c>
      <c r="C1874" s="267">
        <v>2019</v>
      </c>
      <c r="D1874" s="267">
        <v>1</v>
      </c>
      <c r="E1874" s="267">
        <v>1</v>
      </c>
      <c r="F1874" s="267" t="s">
        <v>944</v>
      </c>
      <c r="G1874" s="267" t="s">
        <v>3926</v>
      </c>
      <c r="H1874" s="267" t="s">
        <v>6173</v>
      </c>
      <c r="I1874" s="267" t="s">
        <v>934</v>
      </c>
      <c r="J1874" s="267" t="s">
        <v>3928</v>
      </c>
      <c r="K1874" s="267">
        <v>6606</v>
      </c>
      <c r="L1874" s="267">
        <v>72600</v>
      </c>
      <c r="M1874" s="267" t="s">
        <v>3940</v>
      </c>
      <c r="N1874" s="267" t="s">
        <v>4103</v>
      </c>
      <c r="O1874" s="267">
        <v>0</v>
      </c>
      <c r="P1874" s="267" t="s">
        <v>3930</v>
      </c>
      <c r="Q1874" s="267" t="s">
        <v>3931</v>
      </c>
      <c r="R1874" s="267">
        <v>5000</v>
      </c>
      <c r="S1874" s="267">
        <v>24145.599999999999</v>
      </c>
      <c r="T1874" s="267">
        <v>29145.599999999999</v>
      </c>
      <c r="U1874" s="268" t="s">
        <v>3932</v>
      </c>
      <c r="V1874" s="267" t="s">
        <v>944</v>
      </c>
    </row>
    <row r="1875" spans="1:22" hidden="1" x14ac:dyDescent="0.25">
      <c r="A1875" s="269">
        <v>43575</v>
      </c>
      <c r="B1875" s="270">
        <v>2019</v>
      </c>
      <c r="C1875" s="270">
        <v>2019</v>
      </c>
      <c r="D1875" s="270">
        <v>1</v>
      </c>
      <c r="E1875" s="270">
        <v>1</v>
      </c>
      <c r="F1875" s="270" t="s">
        <v>944</v>
      </c>
      <c r="G1875" s="270" t="s">
        <v>3926</v>
      </c>
      <c r="H1875" s="270" t="s">
        <v>6174</v>
      </c>
      <c r="I1875" s="270" t="s">
        <v>3939</v>
      </c>
      <c r="J1875" s="270" t="s">
        <v>3928</v>
      </c>
      <c r="K1875" s="270">
        <v>6512</v>
      </c>
      <c r="L1875" s="270">
        <v>180100</v>
      </c>
      <c r="M1875" s="270" t="s">
        <v>3940</v>
      </c>
      <c r="N1875" s="270" t="s">
        <v>3986</v>
      </c>
      <c r="O1875" s="270">
        <v>3258.7</v>
      </c>
      <c r="P1875" s="270" t="s">
        <v>3930</v>
      </c>
      <c r="Q1875" s="270" t="s">
        <v>3931</v>
      </c>
      <c r="R1875" s="270">
        <v>8258.7000000000007</v>
      </c>
      <c r="S1875" s="270">
        <v>16196.8</v>
      </c>
      <c r="T1875" s="270">
        <v>24455.5</v>
      </c>
      <c r="U1875" s="271" t="s">
        <v>3932</v>
      </c>
      <c r="V1875" s="267" t="s">
        <v>944</v>
      </c>
    </row>
    <row r="1876" spans="1:22" hidden="1" x14ac:dyDescent="0.25">
      <c r="A1876" s="266">
        <v>43575</v>
      </c>
      <c r="B1876" s="267">
        <v>2019</v>
      </c>
      <c r="C1876" s="267">
        <v>2019</v>
      </c>
      <c r="D1876" s="267">
        <v>1</v>
      </c>
      <c r="E1876" s="267">
        <v>1</v>
      </c>
      <c r="F1876" s="267" t="s">
        <v>944</v>
      </c>
      <c r="G1876" s="267" t="s">
        <v>3926</v>
      </c>
      <c r="H1876" s="267" t="s">
        <v>6175</v>
      </c>
      <c r="I1876" s="267" t="s">
        <v>4213</v>
      </c>
      <c r="J1876" s="267" t="s">
        <v>3928</v>
      </c>
      <c r="K1876" s="267">
        <v>6053</v>
      </c>
      <c r="L1876" s="267">
        <v>417400</v>
      </c>
      <c r="M1876" s="267" t="s">
        <v>3935</v>
      </c>
      <c r="N1876" s="267" t="s">
        <v>3944</v>
      </c>
      <c r="O1876" s="267">
        <v>1655</v>
      </c>
      <c r="P1876" s="267" t="s">
        <v>3944</v>
      </c>
      <c r="Q1876" s="267" t="s">
        <v>3944</v>
      </c>
      <c r="R1876" s="267">
        <v>1655</v>
      </c>
      <c r="S1876" s="267">
        <v>13353</v>
      </c>
      <c r="T1876" s="267">
        <v>15008</v>
      </c>
      <c r="U1876" s="268" t="s">
        <v>3945</v>
      </c>
      <c r="V1876" s="267" t="s">
        <v>944</v>
      </c>
    </row>
    <row r="1877" spans="1:22" hidden="1" x14ac:dyDescent="0.25">
      <c r="A1877" s="269">
        <v>43575</v>
      </c>
      <c r="B1877" s="270">
        <v>2019</v>
      </c>
      <c r="C1877" s="270">
        <v>2019</v>
      </c>
      <c r="D1877" s="270">
        <v>1</v>
      </c>
      <c r="E1877" s="270">
        <v>1</v>
      </c>
      <c r="F1877" s="270" t="s">
        <v>944</v>
      </c>
      <c r="G1877" s="270" t="s">
        <v>3926</v>
      </c>
      <c r="H1877" s="270" t="s">
        <v>6176</v>
      </c>
      <c r="I1877" s="270" t="s">
        <v>4046</v>
      </c>
      <c r="J1877" s="270" t="s">
        <v>3928</v>
      </c>
      <c r="K1877" s="270">
        <v>6281</v>
      </c>
      <c r="L1877" s="270">
        <v>901100</v>
      </c>
      <c r="M1877" s="270" t="s">
        <v>3960</v>
      </c>
      <c r="N1877" s="270" t="s">
        <v>3944</v>
      </c>
      <c r="O1877" s="270">
        <v>5107</v>
      </c>
      <c r="P1877" s="270" t="s">
        <v>3944</v>
      </c>
      <c r="Q1877" s="270" t="s">
        <v>3944</v>
      </c>
      <c r="R1877" s="270">
        <v>5107</v>
      </c>
      <c r="S1877" s="270">
        <v>35243</v>
      </c>
      <c r="T1877" s="270">
        <v>40350</v>
      </c>
      <c r="U1877" s="271" t="s">
        <v>3945</v>
      </c>
      <c r="V1877" s="267" t="s">
        <v>944</v>
      </c>
    </row>
    <row r="1878" spans="1:22" hidden="1" x14ac:dyDescent="0.25">
      <c r="A1878" s="266">
        <v>43575</v>
      </c>
      <c r="B1878" s="267">
        <v>2019</v>
      </c>
      <c r="C1878" s="267">
        <v>2019</v>
      </c>
      <c r="D1878" s="267">
        <v>1</v>
      </c>
      <c r="E1878" s="267">
        <v>1</v>
      </c>
      <c r="F1878" s="267" t="s">
        <v>944</v>
      </c>
      <c r="G1878" s="267" t="s">
        <v>3926</v>
      </c>
      <c r="H1878" s="267" t="s">
        <v>6177</v>
      </c>
      <c r="I1878" s="267" t="s">
        <v>4042</v>
      </c>
      <c r="J1878" s="267" t="s">
        <v>3928</v>
      </c>
      <c r="K1878" s="267">
        <v>6370</v>
      </c>
      <c r="L1878" s="267">
        <v>695202</v>
      </c>
      <c r="M1878" s="267" t="s">
        <v>3935</v>
      </c>
      <c r="N1878" s="267" t="s">
        <v>3944</v>
      </c>
      <c r="O1878" s="267">
        <v>1403</v>
      </c>
      <c r="P1878" s="267" t="s">
        <v>3944</v>
      </c>
      <c r="Q1878" s="267" t="s">
        <v>3944</v>
      </c>
      <c r="R1878" s="267">
        <v>1403</v>
      </c>
      <c r="S1878" s="267">
        <v>10272</v>
      </c>
      <c r="T1878" s="267">
        <v>11675</v>
      </c>
      <c r="U1878" s="268" t="s">
        <v>3945</v>
      </c>
      <c r="V1878" s="267" t="s">
        <v>944</v>
      </c>
    </row>
    <row r="1879" spans="1:22" hidden="1" x14ac:dyDescent="0.25">
      <c r="A1879" s="269">
        <v>43575</v>
      </c>
      <c r="B1879" s="270">
        <v>2019</v>
      </c>
      <c r="C1879" s="270">
        <v>2019</v>
      </c>
      <c r="D1879" s="270">
        <v>1</v>
      </c>
      <c r="E1879" s="270">
        <v>1</v>
      </c>
      <c r="F1879" s="270" t="s">
        <v>944</v>
      </c>
      <c r="G1879" s="270" t="s">
        <v>3926</v>
      </c>
      <c r="H1879" s="270" t="s">
        <v>6178</v>
      </c>
      <c r="I1879" s="270" t="s">
        <v>2985</v>
      </c>
      <c r="J1879" s="270" t="s">
        <v>3928</v>
      </c>
      <c r="K1879" s="270">
        <v>6825</v>
      </c>
      <c r="L1879" s="270">
        <v>61000</v>
      </c>
      <c r="M1879" s="270" t="s">
        <v>3935</v>
      </c>
      <c r="N1879" s="270" t="s">
        <v>3944</v>
      </c>
      <c r="O1879" s="270">
        <v>2994</v>
      </c>
      <c r="P1879" s="270" t="s">
        <v>3944</v>
      </c>
      <c r="Q1879" s="270" t="s">
        <v>3944</v>
      </c>
      <c r="R1879" s="270">
        <v>2994</v>
      </c>
      <c r="S1879" s="270">
        <v>18702</v>
      </c>
      <c r="T1879" s="270">
        <v>21696</v>
      </c>
      <c r="U1879" s="271" t="s">
        <v>3945</v>
      </c>
      <c r="V1879" s="267" t="s">
        <v>944</v>
      </c>
    </row>
    <row r="1880" spans="1:22" hidden="1" x14ac:dyDescent="0.25">
      <c r="A1880" s="266">
        <v>43576</v>
      </c>
      <c r="B1880" s="267">
        <v>2019</v>
      </c>
      <c r="C1880" s="267">
        <v>2019</v>
      </c>
      <c r="D1880" s="267">
        <v>1</v>
      </c>
      <c r="E1880" s="267">
        <v>1</v>
      </c>
      <c r="F1880" s="267" t="s">
        <v>944</v>
      </c>
      <c r="G1880" s="267" t="s">
        <v>3926</v>
      </c>
      <c r="H1880" s="267" t="s">
        <v>6179</v>
      </c>
      <c r="I1880" s="267" t="s">
        <v>3999</v>
      </c>
      <c r="J1880" s="267" t="s">
        <v>3928</v>
      </c>
      <c r="K1880" s="267">
        <v>6450</v>
      </c>
      <c r="L1880" s="267">
        <v>171200</v>
      </c>
      <c r="M1880" s="267" t="s">
        <v>3960</v>
      </c>
      <c r="N1880" s="267" t="s">
        <v>3944</v>
      </c>
      <c r="O1880" s="267">
        <v>2860</v>
      </c>
      <c r="P1880" s="267" t="s">
        <v>3944</v>
      </c>
      <c r="Q1880" s="267" t="s">
        <v>3944</v>
      </c>
      <c r="R1880" s="267">
        <v>2860</v>
      </c>
      <c r="S1880" s="267">
        <v>12040</v>
      </c>
      <c r="T1880" s="267">
        <v>14900</v>
      </c>
      <c r="U1880" s="268" t="s">
        <v>3945</v>
      </c>
      <c r="V1880" s="267" t="s">
        <v>944</v>
      </c>
    </row>
    <row r="1881" spans="1:22" hidden="1" x14ac:dyDescent="0.25">
      <c r="A1881" s="269">
        <v>43576</v>
      </c>
      <c r="B1881" s="270">
        <v>2019</v>
      </c>
      <c r="C1881" s="270">
        <v>2019</v>
      </c>
      <c r="D1881" s="270">
        <v>1</v>
      </c>
      <c r="E1881" s="270">
        <v>1</v>
      </c>
      <c r="F1881" s="270" t="s">
        <v>944</v>
      </c>
      <c r="G1881" s="270" t="s">
        <v>3926</v>
      </c>
      <c r="H1881" s="270" t="s">
        <v>6180</v>
      </c>
      <c r="I1881" s="270" t="s">
        <v>4392</v>
      </c>
      <c r="J1881" s="270" t="s">
        <v>3928</v>
      </c>
      <c r="K1881" s="270">
        <v>6457</v>
      </c>
      <c r="L1881" s="270">
        <v>680200</v>
      </c>
      <c r="M1881" s="270" t="s">
        <v>3935</v>
      </c>
      <c r="N1881" s="270" t="s">
        <v>3944</v>
      </c>
      <c r="O1881" s="270">
        <v>4632</v>
      </c>
      <c r="P1881" s="270" t="s">
        <v>3944</v>
      </c>
      <c r="Q1881" s="270" t="s">
        <v>3944</v>
      </c>
      <c r="R1881" s="270">
        <v>4632</v>
      </c>
      <c r="S1881" s="270">
        <v>34064.36</v>
      </c>
      <c r="T1881" s="270">
        <v>38696.36</v>
      </c>
      <c r="U1881" s="271" t="s">
        <v>3945</v>
      </c>
      <c r="V1881" s="267" t="s">
        <v>944</v>
      </c>
    </row>
    <row r="1882" spans="1:22" hidden="1" x14ac:dyDescent="0.25">
      <c r="A1882" s="266">
        <v>43576</v>
      </c>
      <c r="B1882" s="267">
        <v>2019</v>
      </c>
      <c r="C1882" s="267">
        <v>2019</v>
      </c>
      <c r="D1882" s="267">
        <v>1</v>
      </c>
      <c r="E1882" s="267">
        <v>1</v>
      </c>
      <c r="F1882" s="267" t="s">
        <v>944</v>
      </c>
      <c r="G1882" s="267" t="s">
        <v>3926</v>
      </c>
      <c r="H1882" s="267" t="s">
        <v>6181</v>
      </c>
      <c r="I1882" s="267" t="s">
        <v>3939</v>
      </c>
      <c r="J1882" s="267" t="s">
        <v>3928</v>
      </c>
      <c r="K1882" s="267">
        <v>6512</v>
      </c>
      <c r="L1882" s="267">
        <v>180100</v>
      </c>
      <c r="M1882" s="267" t="s">
        <v>3940</v>
      </c>
      <c r="N1882" s="267" t="s">
        <v>3944</v>
      </c>
      <c r="O1882" s="267">
        <v>4329</v>
      </c>
      <c r="P1882" s="267" t="s">
        <v>3944</v>
      </c>
      <c r="Q1882" s="267" t="s">
        <v>3944</v>
      </c>
      <c r="R1882" s="267">
        <v>4329</v>
      </c>
      <c r="S1882" s="267">
        <v>35780.54</v>
      </c>
      <c r="T1882" s="267">
        <v>40109.54</v>
      </c>
      <c r="U1882" s="268" t="s">
        <v>3945</v>
      </c>
      <c r="V1882" s="267" t="s">
        <v>944</v>
      </c>
    </row>
    <row r="1883" spans="1:22" hidden="1" x14ac:dyDescent="0.25">
      <c r="A1883" s="269">
        <v>43576</v>
      </c>
      <c r="B1883" s="270">
        <v>2019</v>
      </c>
      <c r="C1883" s="270">
        <v>2019</v>
      </c>
      <c r="D1883" s="270">
        <v>1</v>
      </c>
      <c r="E1883" s="270">
        <v>1</v>
      </c>
      <c r="F1883" s="270" t="s">
        <v>944</v>
      </c>
      <c r="G1883" s="270" t="s">
        <v>3926</v>
      </c>
      <c r="H1883" s="270" t="s">
        <v>6182</v>
      </c>
      <c r="I1883" s="270" t="s">
        <v>953</v>
      </c>
      <c r="J1883" s="270" t="s">
        <v>3928</v>
      </c>
      <c r="K1883" s="270">
        <v>6517</v>
      </c>
      <c r="L1883" s="270">
        <v>165400</v>
      </c>
      <c r="M1883" s="270" t="s">
        <v>3935</v>
      </c>
      <c r="N1883" s="270" t="s">
        <v>3944</v>
      </c>
      <c r="O1883" s="270">
        <v>1701</v>
      </c>
      <c r="P1883" s="270" t="s">
        <v>3944</v>
      </c>
      <c r="Q1883" s="270" t="s">
        <v>3944</v>
      </c>
      <c r="R1883" s="270">
        <v>1701</v>
      </c>
      <c r="S1883" s="270">
        <v>13466</v>
      </c>
      <c r="T1883" s="270">
        <v>15167</v>
      </c>
      <c r="U1883" s="271" t="s">
        <v>3945</v>
      </c>
      <c r="V1883" s="267" t="s">
        <v>944</v>
      </c>
    </row>
    <row r="1884" spans="1:22" hidden="1" x14ac:dyDescent="0.25">
      <c r="A1884" s="266">
        <v>43576</v>
      </c>
      <c r="B1884" s="267">
        <v>2019</v>
      </c>
      <c r="C1884" s="267">
        <v>2019</v>
      </c>
      <c r="D1884" s="267">
        <v>1</v>
      </c>
      <c r="E1884" s="267">
        <v>1</v>
      </c>
      <c r="F1884" s="267" t="s">
        <v>944</v>
      </c>
      <c r="G1884" s="267" t="s">
        <v>3926</v>
      </c>
      <c r="H1884" s="267" t="s">
        <v>6183</v>
      </c>
      <c r="I1884" s="267" t="s">
        <v>4993</v>
      </c>
      <c r="J1884" s="267" t="s">
        <v>3928</v>
      </c>
      <c r="K1884" s="267">
        <v>6237</v>
      </c>
      <c r="L1884" s="267">
        <v>860100</v>
      </c>
      <c r="M1884" s="267" t="s">
        <v>3943</v>
      </c>
      <c r="N1884" s="267" t="s">
        <v>3944</v>
      </c>
      <c r="O1884" s="267">
        <v>2647</v>
      </c>
      <c r="P1884" s="267" t="s">
        <v>3944</v>
      </c>
      <c r="Q1884" s="267" t="s">
        <v>3944</v>
      </c>
      <c r="R1884" s="267">
        <v>2647</v>
      </c>
      <c r="S1884" s="267">
        <v>31211</v>
      </c>
      <c r="T1884" s="267">
        <v>33858</v>
      </c>
      <c r="U1884" s="268" t="s">
        <v>3945</v>
      </c>
      <c r="V1884" s="267" t="s">
        <v>944</v>
      </c>
    </row>
    <row r="1885" spans="1:22" hidden="1" x14ac:dyDescent="0.25">
      <c r="A1885" s="269">
        <v>43576</v>
      </c>
      <c r="B1885" s="270">
        <v>2019</v>
      </c>
      <c r="C1885" s="270">
        <v>2019</v>
      </c>
      <c r="D1885" s="270">
        <v>1</v>
      </c>
      <c r="E1885" s="270">
        <v>1</v>
      </c>
      <c r="F1885" s="270" t="s">
        <v>944</v>
      </c>
      <c r="G1885" s="270" t="s">
        <v>3926</v>
      </c>
      <c r="H1885" s="270" t="s">
        <v>6184</v>
      </c>
      <c r="I1885" s="270" t="s">
        <v>3975</v>
      </c>
      <c r="J1885" s="270" t="s">
        <v>3928</v>
      </c>
      <c r="K1885" s="270">
        <v>6489</v>
      </c>
      <c r="L1885" s="270">
        <v>430301</v>
      </c>
      <c r="M1885" s="270" t="s">
        <v>3943</v>
      </c>
      <c r="N1885" s="270" t="s">
        <v>3944</v>
      </c>
      <c r="O1885" s="270">
        <v>4516</v>
      </c>
      <c r="P1885" s="270" t="s">
        <v>3944</v>
      </c>
      <c r="Q1885" s="270" t="s">
        <v>3944</v>
      </c>
      <c r="R1885" s="270">
        <v>4516</v>
      </c>
      <c r="S1885" s="270">
        <v>30226</v>
      </c>
      <c r="T1885" s="270">
        <v>34742</v>
      </c>
      <c r="U1885" s="271" t="s">
        <v>3945</v>
      </c>
      <c r="V1885" s="267" t="s">
        <v>944</v>
      </c>
    </row>
    <row r="1886" spans="1:22" hidden="1" x14ac:dyDescent="0.25">
      <c r="A1886" s="266">
        <v>43577</v>
      </c>
      <c r="B1886" s="267">
        <v>2019</v>
      </c>
      <c r="C1886" s="267">
        <v>2019</v>
      </c>
      <c r="D1886" s="267">
        <v>1</v>
      </c>
      <c r="E1886" s="267">
        <v>1</v>
      </c>
      <c r="F1886" s="267" t="s">
        <v>944</v>
      </c>
      <c r="G1886" s="267" t="s">
        <v>3926</v>
      </c>
      <c r="H1886" s="267" t="s">
        <v>6185</v>
      </c>
      <c r="I1886" s="267" t="s">
        <v>3971</v>
      </c>
      <c r="J1886" s="267" t="s">
        <v>3928</v>
      </c>
      <c r="K1886" s="267">
        <v>6084</v>
      </c>
      <c r="L1886" s="267">
        <v>533101</v>
      </c>
      <c r="M1886" s="267" t="s">
        <v>3943</v>
      </c>
      <c r="N1886" s="267" t="s">
        <v>5559</v>
      </c>
      <c r="O1886" s="267">
        <v>6517.53</v>
      </c>
      <c r="P1886" s="267" t="s">
        <v>3930</v>
      </c>
      <c r="Q1886" s="267" t="s">
        <v>3931</v>
      </c>
      <c r="R1886" s="267">
        <v>11517.53</v>
      </c>
      <c r="S1886" s="267">
        <v>35447.800000000003</v>
      </c>
      <c r="T1886" s="267">
        <v>46965.33</v>
      </c>
      <c r="U1886" s="268" t="s">
        <v>3932</v>
      </c>
      <c r="V1886" s="267" t="s">
        <v>944</v>
      </c>
    </row>
    <row r="1887" spans="1:22" hidden="1" x14ac:dyDescent="0.25">
      <c r="A1887" s="269">
        <v>43577</v>
      </c>
      <c r="B1887" s="270">
        <v>2019</v>
      </c>
      <c r="C1887" s="270">
        <v>2019</v>
      </c>
      <c r="D1887" s="270">
        <v>1</v>
      </c>
      <c r="E1887" s="270">
        <v>1</v>
      </c>
      <c r="F1887" s="270" t="s">
        <v>944</v>
      </c>
      <c r="G1887" s="270" t="s">
        <v>3926</v>
      </c>
      <c r="H1887" s="270" t="s">
        <v>6186</v>
      </c>
      <c r="I1887" s="270" t="s">
        <v>956</v>
      </c>
      <c r="J1887" s="270" t="s">
        <v>3928</v>
      </c>
      <c r="K1887" s="270">
        <v>6615</v>
      </c>
      <c r="L1887" s="270">
        <v>80400</v>
      </c>
      <c r="M1887" s="270" t="s">
        <v>3940</v>
      </c>
      <c r="N1887" s="270" t="s">
        <v>5613</v>
      </c>
      <c r="O1887" s="270">
        <v>1021.23</v>
      </c>
      <c r="P1887" s="270" t="s">
        <v>3930</v>
      </c>
      <c r="Q1887" s="270" t="s">
        <v>3931</v>
      </c>
      <c r="R1887" s="270">
        <v>6021.23</v>
      </c>
      <c r="S1887" s="270">
        <v>19675.3</v>
      </c>
      <c r="T1887" s="270">
        <v>25696.53</v>
      </c>
      <c r="U1887" s="271" t="s">
        <v>3932</v>
      </c>
      <c r="V1887" s="267" t="s">
        <v>944</v>
      </c>
    </row>
    <row r="1888" spans="1:22" hidden="1" x14ac:dyDescent="0.25">
      <c r="A1888" s="266">
        <v>43577</v>
      </c>
      <c r="B1888" s="267">
        <v>2019</v>
      </c>
      <c r="C1888" s="267">
        <v>2019</v>
      </c>
      <c r="D1888" s="267">
        <v>1</v>
      </c>
      <c r="E1888" s="267">
        <v>1</v>
      </c>
      <c r="F1888" s="267" t="s">
        <v>944</v>
      </c>
      <c r="G1888" s="267" t="s">
        <v>3926</v>
      </c>
      <c r="H1888" s="267" t="s">
        <v>6187</v>
      </c>
      <c r="I1888" s="267" t="s">
        <v>4046</v>
      </c>
      <c r="J1888" s="267" t="s">
        <v>3928</v>
      </c>
      <c r="K1888" s="267">
        <v>6281</v>
      </c>
      <c r="L1888" s="267">
        <v>901100</v>
      </c>
      <c r="M1888" s="267" t="s">
        <v>3960</v>
      </c>
      <c r="N1888" s="267" t="s">
        <v>6188</v>
      </c>
      <c r="O1888" s="267">
        <v>3225</v>
      </c>
      <c r="P1888" s="267" t="s">
        <v>3930</v>
      </c>
      <c r="Q1888" s="267" t="s">
        <v>3930</v>
      </c>
      <c r="R1888" s="267">
        <v>3225</v>
      </c>
      <c r="S1888" s="267">
        <v>17392</v>
      </c>
      <c r="T1888" s="267">
        <v>20617</v>
      </c>
      <c r="U1888" s="268" t="s">
        <v>3937</v>
      </c>
      <c r="V1888" s="267" t="s">
        <v>944</v>
      </c>
    </row>
    <row r="1889" spans="1:22" hidden="1" x14ac:dyDescent="0.25">
      <c r="A1889" s="269">
        <v>43577</v>
      </c>
      <c r="B1889" s="270">
        <v>2019</v>
      </c>
      <c r="C1889" s="270">
        <v>2019</v>
      </c>
      <c r="D1889" s="270">
        <v>1</v>
      </c>
      <c r="E1889" s="270">
        <v>1</v>
      </c>
      <c r="F1889" s="270" t="s">
        <v>944</v>
      </c>
      <c r="G1889" s="270" t="s">
        <v>3926</v>
      </c>
      <c r="H1889" s="270" t="s">
        <v>6189</v>
      </c>
      <c r="I1889" s="270" t="s">
        <v>3954</v>
      </c>
      <c r="J1889" s="270" t="s">
        <v>3928</v>
      </c>
      <c r="K1889" s="270">
        <v>6357</v>
      </c>
      <c r="L1889" s="270">
        <v>870703</v>
      </c>
      <c r="M1889" s="270" t="s">
        <v>3935</v>
      </c>
      <c r="N1889" s="270" t="s">
        <v>6190</v>
      </c>
      <c r="O1889" s="270">
        <v>2068.5700000000002</v>
      </c>
      <c r="P1889" s="270" t="s">
        <v>3930</v>
      </c>
      <c r="Q1889" s="270" t="s">
        <v>3931</v>
      </c>
      <c r="R1889" s="270">
        <v>7068.57</v>
      </c>
      <c r="S1889" s="270">
        <v>30148</v>
      </c>
      <c r="T1889" s="270">
        <v>37216.57</v>
      </c>
      <c r="U1889" s="271" t="s">
        <v>3932</v>
      </c>
      <c r="V1889" s="267" t="s">
        <v>944</v>
      </c>
    </row>
    <row r="1890" spans="1:22" hidden="1" x14ac:dyDescent="0.25">
      <c r="A1890" s="266">
        <v>43577</v>
      </c>
      <c r="B1890" s="267">
        <v>2019</v>
      </c>
      <c r="C1890" s="267">
        <v>2019</v>
      </c>
      <c r="D1890" s="267">
        <v>1</v>
      </c>
      <c r="E1890" s="267">
        <v>1</v>
      </c>
      <c r="F1890" s="267" t="s">
        <v>944</v>
      </c>
      <c r="G1890" s="267" t="s">
        <v>3926</v>
      </c>
      <c r="H1890" s="267" t="s">
        <v>6191</v>
      </c>
      <c r="I1890" s="267" t="s">
        <v>953</v>
      </c>
      <c r="J1890" s="267" t="s">
        <v>3928</v>
      </c>
      <c r="K1890" s="267">
        <v>6518</v>
      </c>
      <c r="L1890" s="267">
        <v>165900</v>
      </c>
      <c r="M1890" s="267" t="s">
        <v>3943</v>
      </c>
      <c r="N1890" s="267" t="s">
        <v>6192</v>
      </c>
      <c r="O1890" s="267">
        <v>2999</v>
      </c>
      <c r="P1890" s="267" t="s">
        <v>3930</v>
      </c>
      <c r="Q1890" s="267" t="s">
        <v>3930</v>
      </c>
      <c r="R1890" s="267">
        <v>2999</v>
      </c>
      <c r="S1890" s="267">
        <v>27394</v>
      </c>
      <c r="T1890" s="267">
        <v>30393</v>
      </c>
      <c r="U1890" s="268" t="s">
        <v>3937</v>
      </c>
      <c r="V1890" s="267" t="s">
        <v>944</v>
      </c>
    </row>
    <row r="1891" spans="1:22" hidden="1" x14ac:dyDescent="0.25">
      <c r="A1891" s="269">
        <v>43577</v>
      </c>
      <c r="B1891" s="270">
        <v>2019</v>
      </c>
      <c r="C1891" s="270">
        <v>2019</v>
      </c>
      <c r="D1891" s="270">
        <v>1</v>
      </c>
      <c r="E1891" s="270">
        <v>1</v>
      </c>
      <c r="F1891" s="270" t="s">
        <v>944</v>
      </c>
      <c r="G1891" s="270" t="s">
        <v>3926</v>
      </c>
      <c r="H1891" s="270" t="s">
        <v>6193</v>
      </c>
      <c r="I1891" s="270" t="s">
        <v>4042</v>
      </c>
      <c r="J1891" s="270" t="s">
        <v>3928</v>
      </c>
      <c r="K1891" s="270">
        <v>6382</v>
      </c>
      <c r="L1891" s="270">
        <v>695201</v>
      </c>
      <c r="M1891" s="270" t="s">
        <v>3935</v>
      </c>
      <c r="N1891" s="270" t="s">
        <v>4534</v>
      </c>
      <c r="O1891" s="270">
        <v>0</v>
      </c>
      <c r="P1891" s="270" t="s">
        <v>3930</v>
      </c>
      <c r="Q1891" s="270" t="s">
        <v>3930</v>
      </c>
      <c r="R1891" s="270">
        <v>0</v>
      </c>
      <c r="S1891" s="270">
        <v>10080</v>
      </c>
      <c r="T1891" s="270">
        <v>10080</v>
      </c>
      <c r="U1891" s="271" t="s">
        <v>3937</v>
      </c>
      <c r="V1891" s="267" t="s">
        <v>944</v>
      </c>
    </row>
    <row r="1892" spans="1:22" hidden="1" x14ac:dyDescent="0.25">
      <c r="A1892" s="266">
        <v>43577</v>
      </c>
      <c r="B1892" s="267">
        <v>2019</v>
      </c>
      <c r="C1892" s="267">
        <v>2019</v>
      </c>
      <c r="D1892" s="267">
        <v>1</v>
      </c>
      <c r="E1892" s="267">
        <v>1</v>
      </c>
      <c r="F1892" s="267" t="s">
        <v>944</v>
      </c>
      <c r="G1892" s="267" t="s">
        <v>3926</v>
      </c>
      <c r="H1892" s="267" t="s">
        <v>6194</v>
      </c>
      <c r="I1892" s="267" t="s">
        <v>2985</v>
      </c>
      <c r="J1892" s="267" t="s">
        <v>3928</v>
      </c>
      <c r="K1892" s="267">
        <v>6824</v>
      </c>
      <c r="L1892" s="267">
        <v>60800</v>
      </c>
      <c r="M1892" s="267" t="s">
        <v>3943</v>
      </c>
      <c r="N1892" s="267" t="s">
        <v>3944</v>
      </c>
      <c r="O1892" s="267">
        <v>3887</v>
      </c>
      <c r="P1892" s="267" t="s">
        <v>3944</v>
      </c>
      <c r="Q1892" s="267" t="s">
        <v>3944</v>
      </c>
      <c r="R1892" s="267">
        <v>3887</v>
      </c>
      <c r="S1892" s="267">
        <v>27046.9</v>
      </c>
      <c r="T1892" s="267">
        <v>30933.9</v>
      </c>
      <c r="U1892" s="268" t="s">
        <v>3945</v>
      </c>
      <c r="V1892" s="267" t="s">
        <v>944</v>
      </c>
    </row>
    <row r="1893" spans="1:22" hidden="1" x14ac:dyDescent="0.25">
      <c r="A1893" s="269">
        <v>43577</v>
      </c>
      <c r="B1893" s="270">
        <v>2019</v>
      </c>
      <c r="C1893" s="270">
        <v>2019</v>
      </c>
      <c r="D1893" s="270">
        <v>1</v>
      </c>
      <c r="E1893" s="270">
        <v>1</v>
      </c>
      <c r="F1893" s="270" t="s">
        <v>944</v>
      </c>
      <c r="G1893" s="270" t="s">
        <v>3926</v>
      </c>
      <c r="H1893" s="270" t="s">
        <v>6195</v>
      </c>
      <c r="I1893" s="270" t="s">
        <v>4124</v>
      </c>
      <c r="J1893" s="270" t="s">
        <v>3928</v>
      </c>
      <c r="K1893" s="270">
        <v>6470</v>
      </c>
      <c r="L1893" s="270">
        <v>230300</v>
      </c>
      <c r="M1893" s="270" t="s">
        <v>3943</v>
      </c>
      <c r="N1893" s="270" t="s">
        <v>3944</v>
      </c>
      <c r="O1893" s="270">
        <v>1852</v>
      </c>
      <c r="P1893" s="270" t="s">
        <v>3944</v>
      </c>
      <c r="Q1893" s="270" t="s">
        <v>3944</v>
      </c>
      <c r="R1893" s="270">
        <v>1852</v>
      </c>
      <c r="S1893" s="270">
        <v>25000</v>
      </c>
      <c r="T1893" s="270">
        <v>26852</v>
      </c>
      <c r="U1893" s="271" t="s">
        <v>3945</v>
      </c>
      <c r="V1893" s="267" t="s">
        <v>944</v>
      </c>
    </row>
    <row r="1894" spans="1:22" hidden="1" x14ac:dyDescent="0.25">
      <c r="A1894" s="266">
        <v>43577</v>
      </c>
      <c r="B1894" s="267">
        <v>2019</v>
      </c>
      <c r="C1894" s="267">
        <v>2019</v>
      </c>
      <c r="D1894" s="267">
        <v>1</v>
      </c>
      <c r="E1894" s="267">
        <v>1</v>
      </c>
      <c r="F1894" s="267" t="s">
        <v>944</v>
      </c>
      <c r="G1894" s="267" t="s">
        <v>3926</v>
      </c>
      <c r="H1894" s="267" t="s">
        <v>6196</v>
      </c>
      <c r="I1894" s="267" t="s">
        <v>3939</v>
      </c>
      <c r="J1894" s="267" t="s">
        <v>3928</v>
      </c>
      <c r="K1894" s="267">
        <v>6512</v>
      </c>
      <c r="L1894" s="267">
        <v>180100</v>
      </c>
      <c r="M1894" s="267" t="s">
        <v>3940</v>
      </c>
      <c r="N1894" s="267" t="s">
        <v>3944</v>
      </c>
      <c r="O1894" s="267">
        <v>4821</v>
      </c>
      <c r="P1894" s="267" t="s">
        <v>3944</v>
      </c>
      <c r="Q1894" s="267" t="s">
        <v>3944</v>
      </c>
      <c r="R1894" s="267">
        <v>4821</v>
      </c>
      <c r="S1894" s="267">
        <v>25797</v>
      </c>
      <c r="T1894" s="267">
        <v>30618</v>
      </c>
      <c r="U1894" s="268" t="s">
        <v>3945</v>
      </c>
      <c r="V1894" s="267" t="s">
        <v>944</v>
      </c>
    </row>
    <row r="1895" spans="1:22" hidden="1" x14ac:dyDescent="0.25">
      <c r="A1895" s="269">
        <v>43577</v>
      </c>
      <c r="B1895" s="270">
        <v>2019</v>
      </c>
      <c r="C1895" s="270">
        <v>2019</v>
      </c>
      <c r="D1895" s="270">
        <v>1</v>
      </c>
      <c r="E1895" s="270">
        <v>1</v>
      </c>
      <c r="F1895" s="270" t="s">
        <v>944</v>
      </c>
      <c r="G1895" s="270" t="s">
        <v>3926</v>
      </c>
      <c r="H1895" s="270" t="s">
        <v>6197</v>
      </c>
      <c r="I1895" s="270" t="s">
        <v>956</v>
      </c>
      <c r="J1895" s="270" t="s">
        <v>3928</v>
      </c>
      <c r="K1895" s="270">
        <v>6614</v>
      </c>
      <c r="L1895" s="270">
        <v>81100</v>
      </c>
      <c r="M1895" s="270" t="s">
        <v>3960</v>
      </c>
      <c r="N1895" s="270" t="s">
        <v>3944</v>
      </c>
      <c r="O1895" s="270">
        <v>2434</v>
      </c>
      <c r="P1895" s="270" t="s">
        <v>3944</v>
      </c>
      <c r="Q1895" s="270" t="s">
        <v>3944</v>
      </c>
      <c r="R1895" s="270">
        <v>2434</v>
      </c>
      <c r="S1895" s="270">
        <v>19185.8</v>
      </c>
      <c r="T1895" s="270">
        <v>21619.8</v>
      </c>
      <c r="U1895" s="271" t="s">
        <v>3945</v>
      </c>
      <c r="V1895" s="267" t="s">
        <v>944</v>
      </c>
    </row>
    <row r="1896" spans="1:22" hidden="1" x14ac:dyDescent="0.25">
      <c r="A1896" s="266">
        <v>43577</v>
      </c>
      <c r="B1896" s="267">
        <v>2019</v>
      </c>
      <c r="C1896" s="267">
        <v>2019</v>
      </c>
      <c r="D1896" s="267">
        <v>1</v>
      </c>
      <c r="E1896" s="267">
        <v>1</v>
      </c>
      <c r="F1896" s="267" t="s">
        <v>944</v>
      </c>
      <c r="G1896" s="267" t="s">
        <v>3926</v>
      </c>
      <c r="H1896" s="267" t="s">
        <v>6198</v>
      </c>
      <c r="I1896" s="267" t="s">
        <v>3975</v>
      </c>
      <c r="J1896" s="267" t="s">
        <v>3928</v>
      </c>
      <c r="K1896" s="267">
        <v>6489</v>
      </c>
      <c r="L1896" s="267">
        <v>430203</v>
      </c>
      <c r="M1896" s="267" t="s">
        <v>3935</v>
      </c>
      <c r="N1896" s="267" t="s">
        <v>3944</v>
      </c>
      <c r="O1896" s="267">
        <v>1954.72</v>
      </c>
      <c r="P1896" s="267" t="s">
        <v>3944</v>
      </c>
      <c r="Q1896" s="267" t="s">
        <v>3944</v>
      </c>
      <c r="R1896" s="267">
        <v>1954.72</v>
      </c>
      <c r="S1896" s="267">
        <v>28062.93</v>
      </c>
      <c r="T1896" s="267">
        <v>30017.65</v>
      </c>
      <c r="U1896" s="268" t="s">
        <v>3945</v>
      </c>
      <c r="V1896" s="267" t="s">
        <v>944</v>
      </c>
    </row>
    <row r="1897" spans="1:22" hidden="1" x14ac:dyDescent="0.25">
      <c r="A1897" s="269">
        <v>43577</v>
      </c>
      <c r="B1897" s="270">
        <v>2019</v>
      </c>
      <c r="C1897" s="270">
        <v>2019</v>
      </c>
      <c r="D1897" s="270">
        <v>1</v>
      </c>
      <c r="E1897" s="270">
        <v>1</v>
      </c>
      <c r="F1897" s="270" t="s">
        <v>944</v>
      </c>
      <c r="G1897" s="270" t="s">
        <v>3926</v>
      </c>
      <c r="H1897" s="270" t="s">
        <v>6199</v>
      </c>
      <c r="I1897" s="270" t="s">
        <v>4111</v>
      </c>
      <c r="J1897" s="270" t="s">
        <v>3928</v>
      </c>
      <c r="K1897" s="270">
        <v>6095</v>
      </c>
      <c r="L1897" s="270">
        <v>473602</v>
      </c>
      <c r="M1897" s="270" t="s">
        <v>3935</v>
      </c>
      <c r="N1897" s="270" t="s">
        <v>3944</v>
      </c>
      <c r="O1897" s="270">
        <v>2240.6999999999998</v>
      </c>
      <c r="P1897" s="270" t="s">
        <v>3944</v>
      </c>
      <c r="Q1897" s="270" t="s">
        <v>3944</v>
      </c>
      <c r="R1897" s="270">
        <v>2240.6999999999998</v>
      </c>
      <c r="S1897" s="270">
        <v>31301.31</v>
      </c>
      <c r="T1897" s="270">
        <v>33542.01</v>
      </c>
      <c r="U1897" s="271" t="s">
        <v>3945</v>
      </c>
      <c r="V1897" s="267" t="s">
        <v>944</v>
      </c>
    </row>
    <row r="1898" spans="1:22" hidden="1" x14ac:dyDescent="0.25">
      <c r="A1898" s="266">
        <v>43577</v>
      </c>
      <c r="B1898" s="267">
        <v>2019</v>
      </c>
      <c r="C1898" s="267">
        <v>2019</v>
      </c>
      <c r="D1898" s="267">
        <v>1</v>
      </c>
      <c r="E1898" s="267">
        <v>1</v>
      </c>
      <c r="F1898" s="267" t="s">
        <v>944</v>
      </c>
      <c r="G1898" s="267" t="s">
        <v>3926</v>
      </c>
      <c r="H1898" s="267" t="s">
        <v>6200</v>
      </c>
      <c r="I1898" s="267" t="s">
        <v>3008</v>
      </c>
      <c r="J1898" s="267" t="s">
        <v>3928</v>
      </c>
      <c r="K1898" s="267">
        <v>6460</v>
      </c>
      <c r="L1898" s="267">
        <v>151200</v>
      </c>
      <c r="M1898" s="267" t="s">
        <v>3935</v>
      </c>
      <c r="N1898" s="267" t="s">
        <v>3944</v>
      </c>
      <c r="O1898" s="267">
        <v>2115.86</v>
      </c>
      <c r="P1898" s="267" t="s">
        <v>3944</v>
      </c>
      <c r="Q1898" s="267" t="s">
        <v>3944</v>
      </c>
      <c r="R1898" s="267">
        <v>2115.86</v>
      </c>
      <c r="S1898" s="267">
        <v>28093.599999999999</v>
      </c>
      <c r="T1898" s="267">
        <v>30209.46</v>
      </c>
      <c r="U1898" s="268" t="s">
        <v>3945</v>
      </c>
      <c r="V1898" s="267" t="s">
        <v>944</v>
      </c>
    </row>
    <row r="1899" spans="1:22" hidden="1" x14ac:dyDescent="0.25">
      <c r="A1899" s="269">
        <v>43577</v>
      </c>
      <c r="B1899" s="270">
        <v>2019</v>
      </c>
      <c r="C1899" s="270">
        <v>2019</v>
      </c>
      <c r="D1899" s="270">
        <v>1</v>
      </c>
      <c r="E1899" s="270">
        <v>1</v>
      </c>
      <c r="F1899" s="270" t="s">
        <v>944</v>
      </c>
      <c r="G1899" s="270" t="s">
        <v>3926</v>
      </c>
      <c r="H1899" s="270" t="s">
        <v>6201</v>
      </c>
      <c r="I1899" s="270" t="s">
        <v>4108</v>
      </c>
      <c r="J1899" s="270" t="s">
        <v>3928</v>
      </c>
      <c r="K1899" s="270">
        <v>6082</v>
      </c>
      <c r="L1899" s="270">
        <v>480300</v>
      </c>
      <c r="M1899" s="270" t="s">
        <v>3940</v>
      </c>
      <c r="N1899" s="270" t="s">
        <v>3944</v>
      </c>
      <c r="O1899" s="270">
        <v>1624.74</v>
      </c>
      <c r="P1899" s="270" t="s">
        <v>3944</v>
      </c>
      <c r="Q1899" s="270" t="s">
        <v>3944</v>
      </c>
      <c r="R1899" s="270">
        <v>1624.74</v>
      </c>
      <c r="S1899" s="270">
        <v>15676.26</v>
      </c>
      <c r="T1899" s="270">
        <v>17301</v>
      </c>
      <c r="U1899" s="271" t="s">
        <v>3945</v>
      </c>
      <c r="V1899" s="267" t="s">
        <v>944</v>
      </c>
    </row>
    <row r="1900" spans="1:22" hidden="1" x14ac:dyDescent="0.25">
      <c r="A1900" s="266">
        <v>43577</v>
      </c>
      <c r="B1900" s="267">
        <v>2019</v>
      </c>
      <c r="C1900" s="267">
        <v>2019</v>
      </c>
      <c r="D1900" s="267">
        <v>1</v>
      </c>
      <c r="E1900" s="267">
        <v>1</v>
      </c>
      <c r="F1900" s="267" t="s">
        <v>944</v>
      </c>
      <c r="G1900" s="267" t="s">
        <v>3926</v>
      </c>
      <c r="H1900" s="267" t="s">
        <v>6202</v>
      </c>
      <c r="I1900" s="267" t="s">
        <v>4037</v>
      </c>
      <c r="J1900" s="267" t="s">
        <v>3928</v>
      </c>
      <c r="K1900" s="267">
        <v>6811</v>
      </c>
      <c r="L1900" s="267">
        <v>211200</v>
      </c>
      <c r="M1900" s="267" t="s">
        <v>3960</v>
      </c>
      <c r="N1900" s="267" t="s">
        <v>3944</v>
      </c>
      <c r="O1900" s="267">
        <v>568.04999999999995</v>
      </c>
      <c r="P1900" s="267" t="s">
        <v>3944</v>
      </c>
      <c r="Q1900" s="267" t="s">
        <v>3944</v>
      </c>
      <c r="R1900" s="267">
        <v>568.04999999999995</v>
      </c>
      <c r="S1900" s="267">
        <v>7022.95</v>
      </c>
      <c r="T1900" s="267">
        <v>7591</v>
      </c>
      <c r="U1900" s="268" t="s">
        <v>3945</v>
      </c>
      <c r="V1900" s="267" t="s">
        <v>944</v>
      </c>
    </row>
    <row r="1901" spans="1:22" hidden="1" x14ac:dyDescent="0.25">
      <c r="A1901" s="269">
        <v>43577</v>
      </c>
      <c r="B1901" s="270">
        <v>2019</v>
      </c>
      <c r="C1901" s="270">
        <v>2019</v>
      </c>
      <c r="D1901" s="270">
        <v>1</v>
      </c>
      <c r="E1901" s="270">
        <v>1</v>
      </c>
      <c r="F1901" s="270" t="s">
        <v>944</v>
      </c>
      <c r="G1901" s="270" t="s">
        <v>3926</v>
      </c>
      <c r="H1901" s="270" t="s">
        <v>6203</v>
      </c>
      <c r="I1901" s="270" t="s">
        <v>3010</v>
      </c>
      <c r="J1901" s="270" t="s">
        <v>3928</v>
      </c>
      <c r="K1901" s="270">
        <v>6401</v>
      </c>
      <c r="L1901" s="270">
        <v>125400</v>
      </c>
      <c r="M1901" s="270">
        <v>-60</v>
      </c>
      <c r="N1901" s="270" t="s">
        <v>3944</v>
      </c>
      <c r="O1901" s="270">
        <v>2073.12</v>
      </c>
      <c r="P1901" s="270" t="s">
        <v>3944</v>
      </c>
      <c r="Q1901" s="270" t="s">
        <v>3944</v>
      </c>
      <c r="R1901" s="270">
        <v>2073.12</v>
      </c>
      <c r="S1901" s="270">
        <v>30496.91</v>
      </c>
      <c r="T1901" s="270">
        <v>32570.03</v>
      </c>
      <c r="U1901" s="271" t="s">
        <v>3945</v>
      </c>
      <c r="V1901" s="267" t="s">
        <v>944</v>
      </c>
    </row>
    <row r="1902" spans="1:22" hidden="1" x14ac:dyDescent="0.25">
      <c r="A1902" s="266">
        <v>43577</v>
      </c>
      <c r="B1902" s="267">
        <v>2019</v>
      </c>
      <c r="C1902" s="267">
        <v>2019</v>
      </c>
      <c r="D1902" s="267">
        <v>1</v>
      </c>
      <c r="E1902" s="267">
        <v>1</v>
      </c>
      <c r="F1902" s="267" t="s">
        <v>944</v>
      </c>
      <c r="G1902" s="267" t="s">
        <v>3926</v>
      </c>
      <c r="H1902" s="267" t="s">
        <v>6204</v>
      </c>
      <c r="I1902" s="267" t="s">
        <v>4244</v>
      </c>
      <c r="J1902" s="267" t="s">
        <v>3928</v>
      </c>
      <c r="K1902" s="267">
        <v>6268</v>
      </c>
      <c r="L1902" s="267">
        <v>881500</v>
      </c>
      <c r="M1902" s="267" t="s">
        <v>3940</v>
      </c>
      <c r="N1902" s="267" t="s">
        <v>3944</v>
      </c>
      <c r="O1902" s="267">
        <v>3225.64</v>
      </c>
      <c r="P1902" s="267" t="s">
        <v>3944</v>
      </c>
      <c r="Q1902" s="267" t="s">
        <v>3944</v>
      </c>
      <c r="R1902" s="267">
        <v>3225.64</v>
      </c>
      <c r="S1902" s="267">
        <v>42806.49</v>
      </c>
      <c r="T1902" s="267">
        <v>46032.13</v>
      </c>
      <c r="U1902" s="268" t="s">
        <v>3945</v>
      </c>
      <c r="V1902" s="267" t="s">
        <v>944</v>
      </c>
    </row>
    <row r="1903" spans="1:22" hidden="1" x14ac:dyDescent="0.25">
      <c r="A1903" s="269">
        <v>43577</v>
      </c>
      <c r="B1903" s="270">
        <v>2019</v>
      </c>
      <c r="C1903" s="270">
        <v>2019</v>
      </c>
      <c r="D1903" s="270">
        <v>1</v>
      </c>
      <c r="E1903" s="270">
        <v>1</v>
      </c>
      <c r="F1903" s="270" t="s">
        <v>944</v>
      </c>
      <c r="G1903" s="270" t="s">
        <v>3926</v>
      </c>
      <c r="H1903" s="270" t="s">
        <v>6205</v>
      </c>
      <c r="I1903" s="270" t="s">
        <v>4005</v>
      </c>
      <c r="J1903" s="270" t="s">
        <v>3928</v>
      </c>
      <c r="K1903" s="270">
        <v>6108</v>
      </c>
      <c r="L1903" s="270">
        <v>510400</v>
      </c>
      <c r="M1903" s="270">
        <v>-60</v>
      </c>
      <c r="N1903" s="270" t="s">
        <v>3944</v>
      </c>
      <c r="O1903" s="270">
        <v>890.37</v>
      </c>
      <c r="P1903" s="270" t="s">
        <v>3944</v>
      </c>
      <c r="Q1903" s="270" t="s">
        <v>3944</v>
      </c>
      <c r="R1903" s="270">
        <v>890.37</v>
      </c>
      <c r="S1903" s="270">
        <v>12634.63</v>
      </c>
      <c r="T1903" s="270">
        <v>13525</v>
      </c>
      <c r="U1903" s="271" t="s">
        <v>3945</v>
      </c>
      <c r="V1903" s="267" t="s">
        <v>944</v>
      </c>
    </row>
    <row r="1904" spans="1:22" hidden="1" x14ac:dyDescent="0.25">
      <c r="A1904" s="266">
        <v>43577</v>
      </c>
      <c r="B1904" s="267">
        <v>2019</v>
      </c>
      <c r="C1904" s="267">
        <v>2019</v>
      </c>
      <c r="D1904" s="267">
        <v>1</v>
      </c>
      <c r="E1904" s="267">
        <v>1</v>
      </c>
      <c r="F1904" s="267" t="s">
        <v>944</v>
      </c>
      <c r="G1904" s="267" t="s">
        <v>3926</v>
      </c>
      <c r="H1904" s="267" t="s">
        <v>6206</v>
      </c>
      <c r="I1904" s="267" t="s">
        <v>4323</v>
      </c>
      <c r="J1904" s="267" t="s">
        <v>3928</v>
      </c>
      <c r="K1904" s="267">
        <v>6385</v>
      </c>
      <c r="L1904" s="267">
        <v>693300</v>
      </c>
      <c r="M1904" s="267" t="s">
        <v>3935</v>
      </c>
      <c r="N1904" s="267" t="s">
        <v>3944</v>
      </c>
      <c r="O1904" s="267">
        <v>2288.83</v>
      </c>
      <c r="P1904" s="267" t="s">
        <v>3944</v>
      </c>
      <c r="Q1904" s="267" t="s">
        <v>3944</v>
      </c>
      <c r="R1904" s="267">
        <v>2288.83</v>
      </c>
      <c r="S1904" s="267">
        <v>35493.620000000003</v>
      </c>
      <c r="T1904" s="267">
        <v>37782.449999999997</v>
      </c>
      <c r="U1904" s="268" t="s">
        <v>3945</v>
      </c>
      <c r="V1904" s="267" t="s">
        <v>944</v>
      </c>
    </row>
    <row r="1905" spans="1:22" hidden="1" x14ac:dyDescent="0.25">
      <c r="A1905" s="269">
        <v>43577</v>
      </c>
      <c r="B1905" s="270">
        <v>2019</v>
      </c>
      <c r="C1905" s="270">
        <v>2019</v>
      </c>
      <c r="D1905" s="270">
        <v>1</v>
      </c>
      <c r="E1905" s="270">
        <v>1</v>
      </c>
      <c r="F1905" s="270" t="s">
        <v>944</v>
      </c>
      <c r="G1905" s="270" t="s">
        <v>3926</v>
      </c>
      <c r="H1905" s="270" t="s">
        <v>6207</v>
      </c>
      <c r="I1905" s="270" t="s">
        <v>4556</v>
      </c>
      <c r="J1905" s="270" t="s">
        <v>3928</v>
      </c>
      <c r="K1905" s="270">
        <v>6029</v>
      </c>
      <c r="L1905" s="270">
        <v>535100</v>
      </c>
      <c r="M1905" s="270" t="s">
        <v>3935</v>
      </c>
      <c r="N1905" s="270" t="s">
        <v>3944</v>
      </c>
      <c r="O1905" s="270">
        <v>4846.63</v>
      </c>
      <c r="P1905" s="270" t="s">
        <v>3944</v>
      </c>
      <c r="Q1905" s="270" t="s">
        <v>3944</v>
      </c>
      <c r="R1905" s="270">
        <v>4846.63</v>
      </c>
      <c r="S1905" s="270">
        <v>71761.37</v>
      </c>
      <c r="T1905" s="270">
        <v>76608</v>
      </c>
      <c r="U1905" s="271" t="s">
        <v>3945</v>
      </c>
      <c r="V1905" s="267" t="s">
        <v>944</v>
      </c>
    </row>
    <row r="1906" spans="1:22" hidden="1" x14ac:dyDescent="0.25">
      <c r="A1906" s="266">
        <v>43577</v>
      </c>
      <c r="B1906" s="267">
        <v>2019</v>
      </c>
      <c r="C1906" s="267">
        <v>2019</v>
      </c>
      <c r="D1906" s="267">
        <v>1</v>
      </c>
      <c r="E1906" s="267">
        <v>1</v>
      </c>
      <c r="F1906" s="267" t="s">
        <v>944</v>
      </c>
      <c r="G1906" s="267" t="s">
        <v>3926</v>
      </c>
      <c r="H1906" s="267" t="s">
        <v>6208</v>
      </c>
      <c r="I1906" s="267" t="s">
        <v>6209</v>
      </c>
      <c r="J1906" s="267" t="s">
        <v>3928</v>
      </c>
      <c r="K1906" s="267">
        <v>6403</v>
      </c>
      <c r="L1906" s="267">
        <v>341100</v>
      </c>
      <c r="M1906" s="267" t="s">
        <v>3935</v>
      </c>
      <c r="N1906" s="267" t="s">
        <v>3944</v>
      </c>
      <c r="O1906" s="267">
        <v>1913.24</v>
      </c>
      <c r="P1906" s="267" t="s">
        <v>3944</v>
      </c>
      <c r="Q1906" s="267" t="s">
        <v>3944</v>
      </c>
      <c r="R1906" s="267">
        <v>1913.24</v>
      </c>
      <c r="S1906" s="267">
        <v>19104.759999999998</v>
      </c>
      <c r="T1906" s="267">
        <v>21018</v>
      </c>
      <c r="U1906" s="268" t="s">
        <v>3945</v>
      </c>
      <c r="V1906" s="267" t="s">
        <v>944</v>
      </c>
    </row>
    <row r="1907" spans="1:22" hidden="1" x14ac:dyDescent="0.25">
      <c r="A1907" s="269">
        <v>43577</v>
      </c>
      <c r="B1907" s="270">
        <v>2019</v>
      </c>
      <c r="C1907" s="270">
        <v>2019</v>
      </c>
      <c r="D1907" s="270">
        <v>1</v>
      </c>
      <c r="E1907" s="270">
        <v>1</v>
      </c>
      <c r="F1907" s="270" t="s">
        <v>944</v>
      </c>
      <c r="G1907" s="270" t="s">
        <v>3926</v>
      </c>
      <c r="H1907" s="270" t="s">
        <v>6210</v>
      </c>
      <c r="I1907" s="270" t="s">
        <v>950</v>
      </c>
      <c r="J1907" s="270" t="s">
        <v>3928</v>
      </c>
      <c r="K1907" s="270">
        <v>6516</v>
      </c>
      <c r="L1907" s="270">
        <v>155000</v>
      </c>
      <c r="M1907" s="270" t="s">
        <v>3940</v>
      </c>
      <c r="N1907" s="270" t="s">
        <v>3944</v>
      </c>
      <c r="O1907" s="270">
        <v>1180.9000000000001</v>
      </c>
      <c r="P1907" s="270" t="s">
        <v>3944</v>
      </c>
      <c r="Q1907" s="270" t="s">
        <v>3944</v>
      </c>
      <c r="R1907" s="270">
        <v>1180.9000000000001</v>
      </c>
      <c r="S1907" s="270">
        <v>18097.099999999999</v>
      </c>
      <c r="T1907" s="270">
        <v>19278</v>
      </c>
      <c r="U1907" s="271" t="s">
        <v>3945</v>
      </c>
      <c r="V1907" s="267" t="s">
        <v>944</v>
      </c>
    </row>
    <row r="1908" spans="1:22" hidden="1" x14ac:dyDescent="0.25">
      <c r="A1908" s="266">
        <v>43577</v>
      </c>
      <c r="B1908" s="267">
        <v>2019</v>
      </c>
      <c r="C1908" s="267">
        <v>2019</v>
      </c>
      <c r="D1908" s="267">
        <v>1</v>
      </c>
      <c r="E1908" s="267">
        <v>1</v>
      </c>
      <c r="F1908" s="267" t="s">
        <v>944</v>
      </c>
      <c r="G1908" s="267" t="s">
        <v>3926</v>
      </c>
      <c r="H1908" s="267" t="s">
        <v>6211</v>
      </c>
      <c r="I1908" s="267" t="s">
        <v>4069</v>
      </c>
      <c r="J1908" s="267" t="s">
        <v>3928</v>
      </c>
      <c r="K1908" s="267">
        <v>6902</v>
      </c>
      <c r="L1908" s="267">
        <v>21900</v>
      </c>
      <c r="M1908" s="267" t="s">
        <v>3940</v>
      </c>
      <c r="N1908" s="267" t="s">
        <v>3944</v>
      </c>
      <c r="O1908" s="267">
        <v>649.36</v>
      </c>
      <c r="P1908" s="267" t="s">
        <v>3944</v>
      </c>
      <c r="Q1908" s="267" t="s">
        <v>3944</v>
      </c>
      <c r="R1908" s="267">
        <v>649.36</v>
      </c>
      <c r="S1908" s="267">
        <v>7093.64</v>
      </c>
      <c r="T1908" s="267">
        <v>7743</v>
      </c>
      <c r="U1908" s="268" t="s">
        <v>3945</v>
      </c>
      <c r="V1908" s="267" t="s">
        <v>944</v>
      </c>
    </row>
    <row r="1909" spans="1:22" hidden="1" x14ac:dyDescent="0.25">
      <c r="A1909" s="269">
        <v>43577</v>
      </c>
      <c r="B1909" s="270">
        <v>2019</v>
      </c>
      <c r="C1909" s="270">
        <v>2019</v>
      </c>
      <c r="D1909" s="270">
        <v>1</v>
      </c>
      <c r="E1909" s="270">
        <v>1</v>
      </c>
      <c r="F1909" s="270" t="s">
        <v>944</v>
      </c>
      <c r="G1909" s="270" t="s">
        <v>3926</v>
      </c>
      <c r="H1909" s="270" t="s">
        <v>6212</v>
      </c>
      <c r="I1909" s="270" t="s">
        <v>3968</v>
      </c>
      <c r="J1909" s="270" t="s">
        <v>3928</v>
      </c>
      <c r="K1909" s="270">
        <v>6040</v>
      </c>
      <c r="L1909" s="270">
        <v>514800</v>
      </c>
      <c r="M1909" s="270" t="s">
        <v>3940</v>
      </c>
      <c r="N1909" s="270" t="s">
        <v>3944</v>
      </c>
      <c r="O1909" s="270">
        <v>990.96</v>
      </c>
      <c r="P1909" s="270" t="s">
        <v>3944</v>
      </c>
      <c r="Q1909" s="270" t="s">
        <v>3944</v>
      </c>
      <c r="R1909" s="270">
        <v>990.96</v>
      </c>
      <c r="S1909" s="270">
        <v>11903.04</v>
      </c>
      <c r="T1909" s="270">
        <v>12894</v>
      </c>
      <c r="U1909" s="271" t="s">
        <v>3945</v>
      </c>
      <c r="V1909" s="267" t="s">
        <v>944</v>
      </c>
    </row>
    <row r="1910" spans="1:22" hidden="1" x14ac:dyDescent="0.25">
      <c r="A1910" s="266">
        <v>43577</v>
      </c>
      <c r="B1910" s="267">
        <v>2019</v>
      </c>
      <c r="C1910" s="267">
        <v>2019</v>
      </c>
      <c r="D1910" s="267">
        <v>1</v>
      </c>
      <c r="E1910" s="267">
        <v>1</v>
      </c>
      <c r="F1910" s="267" t="s">
        <v>944</v>
      </c>
      <c r="G1910" s="267" t="s">
        <v>3926</v>
      </c>
      <c r="H1910" s="267" t="s">
        <v>6213</v>
      </c>
      <c r="I1910" s="267" t="s">
        <v>3956</v>
      </c>
      <c r="J1910" s="267" t="s">
        <v>3928</v>
      </c>
      <c r="K1910" s="267">
        <v>6112</v>
      </c>
      <c r="L1910" s="267">
        <v>504000</v>
      </c>
      <c r="M1910" s="267" t="s">
        <v>3940</v>
      </c>
      <c r="N1910" s="267" t="s">
        <v>3944</v>
      </c>
      <c r="O1910" s="267">
        <v>1295.81</v>
      </c>
      <c r="P1910" s="267" t="s">
        <v>3944</v>
      </c>
      <c r="Q1910" s="267" t="s">
        <v>3944</v>
      </c>
      <c r="R1910" s="267">
        <v>1295.81</v>
      </c>
      <c r="S1910" s="267">
        <v>14187.19</v>
      </c>
      <c r="T1910" s="267">
        <v>15483</v>
      </c>
      <c r="U1910" s="268" t="s">
        <v>3945</v>
      </c>
      <c r="V1910" s="267" t="s">
        <v>944</v>
      </c>
    </row>
    <row r="1911" spans="1:22" hidden="1" x14ac:dyDescent="0.25">
      <c r="A1911" s="269">
        <v>43577</v>
      </c>
      <c r="B1911" s="270">
        <v>2019</v>
      </c>
      <c r="C1911" s="270">
        <v>2019</v>
      </c>
      <c r="D1911" s="270">
        <v>1</v>
      </c>
      <c r="E1911" s="270">
        <v>1</v>
      </c>
      <c r="F1911" s="270" t="s">
        <v>944</v>
      </c>
      <c r="G1911" s="270" t="s">
        <v>3926</v>
      </c>
      <c r="H1911" s="270" t="s">
        <v>6214</v>
      </c>
      <c r="I1911" s="270" t="s">
        <v>4069</v>
      </c>
      <c r="J1911" s="270" t="s">
        <v>3928</v>
      </c>
      <c r="K1911" s="270">
        <v>6902</v>
      </c>
      <c r="L1911" s="270">
        <v>21802</v>
      </c>
      <c r="M1911" s="270" t="s">
        <v>3940</v>
      </c>
      <c r="N1911" s="270" t="s">
        <v>3944</v>
      </c>
      <c r="O1911" s="270">
        <v>1394.33</v>
      </c>
      <c r="P1911" s="270" t="s">
        <v>3944</v>
      </c>
      <c r="Q1911" s="270" t="s">
        <v>3944</v>
      </c>
      <c r="R1911" s="270">
        <v>1394.33</v>
      </c>
      <c r="S1911" s="270">
        <v>14246.67</v>
      </c>
      <c r="T1911" s="270">
        <v>15641</v>
      </c>
      <c r="U1911" s="271" t="s">
        <v>3945</v>
      </c>
      <c r="V1911" s="267" t="s">
        <v>944</v>
      </c>
    </row>
    <row r="1912" spans="1:22" hidden="1" x14ac:dyDescent="0.25">
      <c r="A1912" s="266">
        <v>43577</v>
      </c>
      <c r="B1912" s="267">
        <v>2019</v>
      </c>
      <c r="C1912" s="267">
        <v>2019</v>
      </c>
      <c r="D1912" s="267">
        <v>1</v>
      </c>
      <c r="E1912" s="267">
        <v>1</v>
      </c>
      <c r="F1912" s="267" t="s">
        <v>944</v>
      </c>
      <c r="G1912" s="267" t="s">
        <v>3926</v>
      </c>
      <c r="H1912" s="267" t="s">
        <v>6215</v>
      </c>
      <c r="I1912" s="267" t="s">
        <v>934</v>
      </c>
      <c r="J1912" s="267" t="s">
        <v>3928</v>
      </c>
      <c r="K1912" s="267">
        <v>6606</v>
      </c>
      <c r="L1912" s="267">
        <v>72500</v>
      </c>
      <c r="M1912" s="267" t="s">
        <v>3940</v>
      </c>
      <c r="N1912" s="267" t="s">
        <v>3944</v>
      </c>
      <c r="O1912" s="267">
        <v>750.79</v>
      </c>
      <c r="P1912" s="267" t="s">
        <v>3944</v>
      </c>
      <c r="Q1912" s="267" t="s">
        <v>3944</v>
      </c>
      <c r="R1912" s="267">
        <v>750.79</v>
      </c>
      <c r="S1912" s="267">
        <v>10968.51</v>
      </c>
      <c r="T1912" s="267">
        <v>11719.3</v>
      </c>
      <c r="U1912" s="268" t="s">
        <v>3945</v>
      </c>
      <c r="V1912" s="267" t="s">
        <v>944</v>
      </c>
    </row>
    <row r="1913" spans="1:22" hidden="1" x14ac:dyDescent="0.25">
      <c r="A1913" s="269">
        <v>43577</v>
      </c>
      <c r="B1913" s="270">
        <v>2019</v>
      </c>
      <c r="C1913" s="270">
        <v>2019</v>
      </c>
      <c r="D1913" s="270">
        <v>1</v>
      </c>
      <c r="E1913" s="270">
        <v>1</v>
      </c>
      <c r="F1913" s="270" t="s">
        <v>944</v>
      </c>
      <c r="G1913" s="270" t="s">
        <v>3926</v>
      </c>
      <c r="H1913" s="270" t="s">
        <v>6216</v>
      </c>
      <c r="I1913" s="270" t="s">
        <v>4301</v>
      </c>
      <c r="J1913" s="270" t="s">
        <v>3928</v>
      </c>
      <c r="K1913" s="270">
        <v>6359</v>
      </c>
      <c r="L1913" s="270">
        <v>707100</v>
      </c>
      <c r="M1913" s="270" t="s">
        <v>3935</v>
      </c>
      <c r="N1913" s="270" t="s">
        <v>3944</v>
      </c>
      <c r="O1913" s="270">
        <v>2207.31</v>
      </c>
      <c r="P1913" s="270" t="s">
        <v>3944</v>
      </c>
      <c r="Q1913" s="270" t="s">
        <v>3944</v>
      </c>
      <c r="R1913" s="270">
        <v>2207.31</v>
      </c>
      <c r="S1913" s="270">
        <v>20860.689999999999</v>
      </c>
      <c r="T1913" s="270">
        <v>23068</v>
      </c>
      <c r="U1913" s="271" t="s">
        <v>3945</v>
      </c>
      <c r="V1913" s="267" t="s">
        <v>944</v>
      </c>
    </row>
    <row r="1914" spans="1:22" hidden="1" x14ac:dyDescent="0.25">
      <c r="A1914" s="266">
        <v>43577</v>
      </c>
      <c r="B1914" s="267">
        <v>2019</v>
      </c>
      <c r="C1914" s="267">
        <v>2019</v>
      </c>
      <c r="D1914" s="267">
        <v>1</v>
      </c>
      <c r="E1914" s="267">
        <v>1</v>
      </c>
      <c r="F1914" s="267" t="s">
        <v>944</v>
      </c>
      <c r="G1914" s="267" t="s">
        <v>3926</v>
      </c>
      <c r="H1914" s="267" t="s">
        <v>6217</v>
      </c>
      <c r="I1914" s="267" t="s">
        <v>950</v>
      </c>
      <c r="J1914" s="267" t="s">
        <v>3928</v>
      </c>
      <c r="K1914" s="267">
        <v>6516</v>
      </c>
      <c r="L1914" s="267">
        <v>154100</v>
      </c>
      <c r="M1914" s="267" t="s">
        <v>3940</v>
      </c>
      <c r="N1914" s="267" t="s">
        <v>3944</v>
      </c>
      <c r="O1914" s="267">
        <v>1767.01</v>
      </c>
      <c r="P1914" s="267" t="s">
        <v>3944</v>
      </c>
      <c r="Q1914" s="267" t="s">
        <v>3944</v>
      </c>
      <c r="R1914" s="267">
        <v>1767.01</v>
      </c>
      <c r="S1914" s="267">
        <v>17792.990000000002</v>
      </c>
      <c r="T1914" s="267">
        <v>19560</v>
      </c>
      <c r="U1914" s="268" t="s">
        <v>3945</v>
      </c>
      <c r="V1914" s="267" t="s">
        <v>944</v>
      </c>
    </row>
    <row r="1915" spans="1:22" hidden="1" x14ac:dyDescent="0.25">
      <c r="A1915" s="269">
        <v>43577</v>
      </c>
      <c r="B1915" s="270">
        <v>2019</v>
      </c>
      <c r="C1915" s="270">
        <v>2019</v>
      </c>
      <c r="D1915" s="270">
        <v>1</v>
      </c>
      <c r="E1915" s="270">
        <v>1</v>
      </c>
      <c r="F1915" s="270" t="s">
        <v>944</v>
      </c>
      <c r="G1915" s="270" t="s">
        <v>3926</v>
      </c>
      <c r="H1915" s="270" t="s">
        <v>6218</v>
      </c>
      <c r="I1915" s="270" t="s">
        <v>5183</v>
      </c>
      <c r="J1915" s="270" t="s">
        <v>3928</v>
      </c>
      <c r="K1915" s="270">
        <v>6277</v>
      </c>
      <c r="L1915" s="270">
        <v>900100</v>
      </c>
      <c r="M1915" s="270" t="s">
        <v>3935</v>
      </c>
      <c r="N1915" s="270" t="s">
        <v>3944</v>
      </c>
      <c r="O1915" s="270">
        <v>1889.79</v>
      </c>
      <c r="P1915" s="270" t="s">
        <v>3944</v>
      </c>
      <c r="Q1915" s="270" t="s">
        <v>3944</v>
      </c>
      <c r="R1915" s="270">
        <v>1889.79</v>
      </c>
      <c r="S1915" s="270">
        <v>13606.21</v>
      </c>
      <c r="T1915" s="270">
        <v>15496</v>
      </c>
      <c r="U1915" s="271" t="s">
        <v>3945</v>
      </c>
      <c r="V1915" s="267" t="s">
        <v>944</v>
      </c>
    </row>
    <row r="1916" spans="1:22" hidden="1" x14ac:dyDescent="0.25">
      <c r="A1916" s="266">
        <v>43577</v>
      </c>
      <c r="B1916" s="267">
        <v>2019</v>
      </c>
      <c r="C1916" s="267">
        <v>2019</v>
      </c>
      <c r="D1916" s="267">
        <v>1</v>
      </c>
      <c r="E1916" s="267">
        <v>1</v>
      </c>
      <c r="F1916" s="267" t="s">
        <v>944</v>
      </c>
      <c r="G1916" s="267" t="s">
        <v>3926</v>
      </c>
      <c r="H1916" s="267" t="s">
        <v>6219</v>
      </c>
      <c r="I1916" s="267" t="s">
        <v>4422</v>
      </c>
      <c r="J1916" s="267" t="s">
        <v>3928</v>
      </c>
      <c r="K1916" s="267">
        <v>6801</v>
      </c>
      <c r="L1916" s="267">
        <v>200302</v>
      </c>
      <c r="M1916" s="267" t="s">
        <v>3943</v>
      </c>
      <c r="N1916" s="267" t="s">
        <v>3944</v>
      </c>
      <c r="O1916" s="267">
        <v>2426.13</v>
      </c>
      <c r="P1916" s="267" t="s">
        <v>3944</v>
      </c>
      <c r="Q1916" s="267" t="s">
        <v>3944</v>
      </c>
      <c r="R1916" s="267">
        <v>2426.13</v>
      </c>
      <c r="S1916" s="267">
        <v>18325.87</v>
      </c>
      <c r="T1916" s="267">
        <v>20752</v>
      </c>
      <c r="U1916" s="268" t="s">
        <v>3945</v>
      </c>
      <c r="V1916" s="267" t="s">
        <v>944</v>
      </c>
    </row>
    <row r="1917" spans="1:22" hidden="1" x14ac:dyDescent="0.25">
      <c r="A1917" s="269">
        <v>43577</v>
      </c>
      <c r="B1917" s="270">
        <v>2019</v>
      </c>
      <c r="C1917" s="270">
        <v>2019</v>
      </c>
      <c r="D1917" s="270">
        <v>1</v>
      </c>
      <c r="E1917" s="270">
        <v>1</v>
      </c>
      <c r="F1917" s="270" t="s">
        <v>944</v>
      </c>
      <c r="G1917" s="270" t="s">
        <v>3926</v>
      </c>
      <c r="H1917" s="270" t="s">
        <v>6220</v>
      </c>
      <c r="I1917" s="270" t="s">
        <v>3949</v>
      </c>
      <c r="J1917" s="270" t="s">
        <v>3928</v>
      </c>
      <c r="K1917" s="270">
        <v>6437</v>
      </c>
      <c r="L1917" s="270">
        <v>190301</v>
      </c>
      <c r="M1917" s="270" t="s">
        <v>3943</v>
      </c>
      <c r="N1917" s="270" t="s">
        <v>3944</v>
      </c>
      <c r="O1917" s="270">
        <v>3196.38</v>
      </c>
      <c r="P1917" s="270" t="s">
        <v>3944</v>
      </c>
      <c r="Q1917" s="270" t="s">
        <v>3944</v>
      </c>
      <c r="R1917" s="270">
        <v>3196.38</v>
      </c>
      <c r="S1917" s="270">
        <v>51117.22</v>
      </c>
      <c r="T1917" s="270">
        <v>54313.599999999999</v>
      </c>
      <c r="U1917" s="271" t="s">
        <v>3945</v>
      </c>
      <c r="V1917" s="267" t="s">
        <v>944</v>
      </c>
    </row>
    <row r="1918" spans="1:22" x14ac:dyDescent="0.25">
      <c r="A1918" s="266">
        <v>43578</v>
      </c>
      <c r="B1918" s="267">
        <v>2019</v>
      </c>
      <c r="C1918" s="267">
        <v>2019</v>
      </c>
      <c r="D1918" s="267">
        <v>1</v>
      </c>
      <c r="E1918" s="267">
        <v>1</v>
      </c>
      <c r="F1918" s="267" t="s">
        <v>944</v>
      </c>
      <c r="G1918" s="267" t="s">
        <v>3926</v>
      </c>
      <c r="H1918" s="267" t="s">
        <v>6221</v>
      </c>
      <c r="I1918" s="267" t="s">
        <v>934</v>
      </c>
      <c r="J1918" s="267" t="s">
        <v>3928</v>
      </c>
      <c r="K1918" s="267">
        <v>6604</v>
      </c>
      <c r="L1918" s="267">
        <v>72000</v>
      </c>
      <c r="M1918" s="267" t="s">
        <v>3940</v>
      </c>
      <c r="N1918" s="267" t="s">
        <v>3986</v>
      </c>
      <c r="O1918" s="267">
        <v>1321.32</v>
      </c>
      <c r="P1918" s="267" t="s">
        <v>3930</v>
      </c>
      <c r="Q1918" s="267" t="s">
        <v>3931</v>
      </c>
      <c r="R1918" s="267">
        <v>6321.32</v>
      </c>
      <c r="S1918" s="267">
        <v>16196.8</v>
      </c>
      <c r="T1918" s="267">
        <v>22518.12</v>
      </c>
      <c r="U1918" s="268" t="s">
        <v>3932</v>
      </c>
      <c r="V1918" s="276" t="s">
        <v>936</v>
      </c>
    </row>
    <row r="1919" spans="1:22" hidden="1" x14ac:dyDescent="0.25">
      <c r="A1919" s="269">
        <v>43578</v>
      </c>
      <c r="B1919" s="270">
        <v>2019</v>
      </c>
      <c r="C1919" s="270">
        <v>2019</v>
      </c>
      <c r="D1919" s="270">
        <v>1</v>
      </c>
      <c r="E1919" s="270">
        <v>1</v>
      </c>
      <c r="F1919" s="270" t="s">
        <v>944</v>
      </c>
      <c r="G1919" s="270" t="s">
        <v>3926</v>
      </c>
      <c r="H1919" s="270" t="s">
        <v>6222</v>
      </c>
      <c r="I1919" s="270" t="s">
        <v>943</v>
      </c>
      <c r="J1919" s="270" t="s">
        <v>3928</v>
      </c>
      <c r="K1919" s="270">
        <v>6513</v>
      </c>
      <c r="L1919" s="270">
        <v>142604</v>
      </c>
      <c r="M1919" s="270" t="s">
        <v>3935</v>
      </c>
      <c r="N1919" s="270" t="s">
        <v>3944</v>
      </c>
      <c r="O1919" s="270">
        <v>1809</v>
      </c>
      <c r="P1919" s="270" t="s">
        <v>3944</v>
      </c>
      <c r="Q1919" s="270" t="s">
        <v>3944</v>
      </c>
      <c r="R1919" s="270">
        <v>1809</v>
      </c>
      <c r="S1919" s="270">
        <v>23394.15</v>
      </c>
      <c r="T1919" s="270">
        <v>25203.15</v>
      </c>
      <c r="U1919" s="271" t="s">
        <v>3945</v>
      </c>
      <c r="V1919" s="267" t="s">
        <v>944</v>
      </c>
    </row>
    <row r="1920" spans="1:22" x14ac:dyDescent="0.25">
      <c r="A1920" s="266">
        <v>43578</v>
      </c>
      <c r="B1920" s="267">
        <v>2019</v>
      </c>
      <c r="C1920" s="267">
        <v>2019</v>
      </c>
      <c r="D1920" s="267">
        <v>1</v>
      </c>
      <c r="E1920" s="267">
        <v>1</v>
      </c>
      <c r="F1920" s="267" t="s">
        <v>944</v>
      </c>
      <c r="G1920" s="267" t="s">
        <v>3926</v>
      </c>
      <c r="H1920" s="267" t="s">
        <v>6223</v>
      </c>
      <c r="I1920" s="267" t="s">
        <v>934</v>
      </c>
      <c r="J1920" s="267" t="s">
        <v>3928</v>
      </c>
      <c r="K1920" s="267">
        <v>6610</v>
      </c>
      <c r="L1920" s="267">
        <v>73100</v>
      </c>
      <c r="M1920" s="267">
        <v>-60</v>
      </c>
      <c r="N1920" s="267" t="s">
        <v>3944</v>
      </c>
      <c r="O1920" s="267">
        <v>3245</v>
      </c>
      <c r="P1920" s="267" t="s">
        <v>3944</v>
      </c>
      <c r="Q1920" s="267" t="s">
        <v>3944</v>
      </c>
      <c r="R1920" s="267">
        <v>3245</v>
      </c>
      <c r="S1920" s="267">
        <v>26995</v>
      </c>
      <c r="T1920" s="267">
        <v>30240</v>
      </c>
      <c r="U1920" s="268" t="s">
        <v>3945</v>
      </c>
      <c r="V1920" s="276" t="s">
        <v>936</v>
      </c>
    </row>
    <row r="1921" spans="1:22" hidden="1" x14ac:dyDescent="0.25">
      <c r="A1921" s="269">
        <v>43578</v>
      </c>
      <c r="B1921" s="270">
        <v>2019</v>
      </c>
      <c r="C1921" s="270">
        <v>2019</v>
      </c>
      <c r="D1921" s="270">
        <v>1</v>
      </c>
      <c r="E1921" s="270">
        <v>1</v>
      </c>
      <c r="F1921" s="270" t="s">
        <v>944</v>
      </c>
      <c r="G1921" s="270" t="s">
        <v>3926</v>
      </c>
      <c r="H1921" s="270" t="s">
        <v>6224</v>
      </c>
      <c r="I1921" s="270" t="s">
        <v>956</v>
      </c>
      <c r="J1921" s="270" t="s">
        <v>3928</v>
      </c>
      <c r="K1921" s="270">
        <v>6615</v>
      </c>
      <c r="L1921" s="270">
        <v>80500</v>
      </c>
      <c r="M1921" s="270" t="s">
        <v>3960</v>
      </c>
      <c r="N1921" s="270" t="s">
        <v>3944</v>
      </c>
      <c r="O1921" s="270">
        <v>1798</v>
      </c>
      <c r="P1921" s="270" t="s">
        <v>3944</v>
      </c>
      <c r="Q1921" s="270" t="s">
        <v>3944</v>
      </c>
      <c r="R1921" s="270">
        <v>1798</v>
      </c>
      <c r="S1921" s="270">
        <v>20642</v>
      </c>
      <c r="T1921" s="270">
        <v>22440</v>
      </c>
      <c r="U1921" s="271" t="s">
        <v>3945</v>
      </c>
      <c r="V1921" s="267" t="s">
        <v>944</v>
      </c>
    </row>
    <row r="1922" spans="1:22" hidden="1" x14ac:dyDescent="0.25">
      <c r="A1922" s="266">
        <v>43578</v>
      </c>
      <c r="B1922" s="267">
        <v>2019</v>
      </c>
      <c r="C1922" s="267">
        <v>2019</v>
      </c>
      <c r="D1922" s="267">
        <v>1</v>
      </c>
      <c r="E1922" s="267">
        <v>1</v>
      </c>
      <c r="F1922" s="267" t="s">
        <v>944</v>
      </c>
      <c r="G1922" s="267" t="s">
        <v>3926</v>
      </c>
      <c r="H1922" s="267" t="s">
        <v>6225</v>
      </c>
      <c r="I1922" s="267" t="s">
        <v>950</v>
      </c>
      <c r="J1922" s="267" t="s">
        <v>3928</v>
      </c>
      <c r="K1922" s="267">
        <v>6516</v>
      </c>
      <c r="L1922" s="267">
        <v>154800</v>
      </c>
      <c r="M1922" s="267" t="s">
        <v>3960</v>
      </c>
      <c r="N1922" s="267" t="s">
        <v>3944</v>
      </c>
      <c r="O1922" s="267">
        <v>1488.69</v>
      </c>
      <c r="P1922" s="267" t="s">
        <v>3944</v>
      </c>
      <c r="Q1922" s="267" t="s">
        <v>3944</v>
      </c>
      <c r="R1922" s="267">
        <v>1488.69</v>
      </c>
      <c r="S1922" s="267">
        <v>25847.98</v>
      </c>
      <c r="T1922" s="267">
        <v>27336.67</v>
      </c>
      <c r="U1922" s="268" t="s">
        <v>3945</v>
      </c>
      <c r="V1922" s="267" t="s">
        <v>944</v>
      </c>
    </row>
    <row r="1923" spans="1:22" hidden="1" x14ac:dyDescent="0.25">
      <c r="A1923" s="269">
        <v>43578</v>
      </c>
      <c r="B1923" s="270">
        <v>2019</v>
      </c>
      <c r="C1923" s="270">
        <v>2019</v>
      </c>
      <c r="D1923" s="270">
        <v>1</v>
      </c>
      <c r="E1923" s="270">
        <v>1</v>
      </c>
      <c r="F1923" s="270" t="s">
        <v>944</v>
      </c>
      <c r="G1923" s="270" t="s">
        <v>3926</v>
      </c>
      <c r="H1923" s="270" t="s">
        <v>6226</v>
      </c>
      <c r="I1923" s="270" t="s">
        <v>3962</v>
      </c>
      <c r="J1923" s="270" t="s">
        <v>3928</v>
      </c>
      <c r="K1923" s="270">
        <v>6378</v>
      </c>
      <c r="L1923" s="270">
        <v>705200</v>
      </c>
      <c r="M1923" s="270" t="s">
        <v>3960</v>
      </c>
      <c r="N1923" s="270" t="s">
        <v>3944</v>
      </c>
      <c r="O1923" s="270">
        <v>1703.14</v>
      </c>
      <c r="P1923" s="270" t="s">
        <v>3944</v>
      </c>
      <c r="Q1923" s="270" t="s">
        <v>3944</v>
      </c>
      <c r="R1923" s="270">
        <v>1703.14</v>
      </c>
      <c r="S1923" s="270">
        <v>25067.66</v>
      </c>
      <c r="T1923" s="270">
        <v>26770.799999999999</v>
      </c>
      <c r="U1923" s="271" t="s">
        <v>3945</v>
      </c>
      <c r="V1923" s="267" t="s">
        <v>944</v>
      </c>
    </row>
    <row r="1924" spans="1:22" hidden="1" x14ac:dyDescent="0.25">
      <c r="A1924" s="266">
        <v>43578</v>
      </c>
      <c r="B1924" s="267">
        <v>2019</v>
      </c>
      <c r="C1924" s="267">
        <v>2019</v>
      </c>
      <c r="D1924" s="267">
        <v>1</v>
      </c>
      <c r="E1924" s="267">
        <v>1</v>
      </c>
      <c r="F1924" s="267" t="s">
        <v>944</v>
      </c>
      <c r="G1924" s="267" t="s">
        <v>3926</v>
      </c>
      <c r="H1924" s="267" t="s">
        <v>6227</v>
      </c>
      <c r="I1924" s="267" t="s">
        <v>3025</v>
      </c>
      <c r="J1924" s="267" t="s">
        <v>3928</v>
      </c>
      <c r="K1924" s="267">
        <v>6473</v>
      </c>
      <c r="L1924" s="267">
        <v>167201</v>
      </c>
      <c r="M1924" s="267" t="s">
        <v>3960</v>
      </c>
      <c r="N1924" s="267" t="s">
        <v>3944</v>
      </c>
      <c r="O1924" s="267">
        <v>2700.08</v>
      </c>
      <c r="P1924" s="267" t="s">
        <v>3944</v>
      </c>
      <c r="Q1924" s="267" t="s">
        <v>3944</v>
      </c>
      <c r="R1924" s="267">
        <v>2700.08</v>
      </c>
      <c r="S1924" s="267">
        <v>44860.24</v>
      </c>
      <c r="T1924" s="267">
        <v>47560.32</v>
      </c>
      <c r="U1924" s="268" t="s">
        <v>3945</v>
      </c>
      <c r="V1924" s="267" t="s">
        <v>944</v>
      </c>
    </row>
    <row r="1925" spans="1:22" hidden="1" x14ac:dyDescent="0.25">
      <c r="A1925" s="269">
        <v>43578</v>
      </c>
      <c r="B1925" s="270">
        <v>2019</v>
      </c>
      <c r="C1925" s="270">
        <v>2019</v>
      </c>
      <c r="D1925" s="270">
        <v>1</v>
      </c>
      <c r="E1925" s="270">
        <v>1</v>
      </c>
      <c r="F1925" s="270" t="s">
        <v>944</v>
      </c>
      <c r="G1925" s="270" t="s">
        <v>3926</v>
      </c>
      <c r="H1925" s="270" t="s">
        <v>6228</v>
      </c>
      <c r="I1925" s="270" t="s">
        <v>4306</v>
      </c>
      <c r="J1925" s="270" t="s">
        <v>3928</v>
      </c>
      <c r="K1925" s="270">
        <v>6716</v>
      </c>
      <c r="L1925" s="270">
        <v>361200</v>
      </c>
      <c r="M1925" s="270" t="s">
        <v>3960</v>
      </c>
      <c r="N1925" s="270" t="s">
        <v>3944</v>
      </c>
      <c r="O1925" s="270">
        <v>1539.93</v>
      </c>
      <c r="P1925" s="270" t="s">
        <v>3944</v>
      </c>
      <c r="Q1925" s="270" t="s">
        <v>3944</v>
      </c>
      <c r="R1925" s="270">
        <v>1539.93</v>
      </c>
      <c r="S1925" s="270">
        <v>16679.57</v>
      </c>
      <c r="T1925" s="270">
        <v>18219.5</v>
      </c>
      <c r="U1925" s="271" t="s">
        <v>3945</v>
      </c>
      <c r="V1925" s="267" t="s">
        <v>944</v>
      </c>
    </row>
    <row r="1926" spans="1:22" hidden="1" x14ac:dyDescent="0.25">
      <c r="A1926" s="266">
        <v>43578</v>
      </c>
      <c r="B1926" s="267">
        <v>2019</v>
      </c>
      <c r="C1926" s="267">
        <v>2019</v>
      </c>
      <c r="D1926" s="267">
        <v>1</v>
      </c>
      <c r="E1926" s="267">
        <v>1</v>
      </c>
      <c r="F1926" s="267" t="s">
        <v>944</v>
      </c>
      <c r="G1926" s="267" t="s">
        <v>3926</v>
      </c>
      <c r="H1926" s="267" t="s">
        <v>6229</v>
      </c>
      <c r="I1926" s="267" t="s">
        <v>3985</v>
      </c>
      <c r="J1926" s="267" t="s">
        <v>3928</v>
      </c>
      <c r="K1926" s="267">
        <v>6280</v>
      </c>
      <c r="L1926" s="267">
        <v>800500</v>
      </c>
      <c r="M1926" s="267" t="s">
        <v>3940</v>
      </c>
      <c r="N1926" s="267" t="s">
        <v>3944</v>
      </c>
      <c r="O1926" s="267">
        <v>1317.16</v>
      </c>
      <c r="P1926" s="267" t="s">
        <v>3944</v>
      </c>
      <c r="Q1926" s="267" t="s">
        <v>3944</v>
      </c>
      <c r="R1926" s="267">
        <v>1317.16</v>
      </c>
      <c r="S1926" s="267">
        <v>18551.88</v>
      </c>
      <c r="T1926" s="267">
        <v>19869.04</v>
      </c>
      <c r="U1926" s="268" t="s">
        <v>3945</v>
      </c>
      <c r="V1926" s="267" t="s">
        <v>944</v>
      </c>
    </row>
    <row r="1927" spans="1:22" hidden="1" x14ac:dyDescent="0.25">
      <c r="A1927" s="269">
        <v>43578</v>
      </c>
      <c r="B1927" s="270">
        <v>2019</v>
      </c>
      <c r="C1927" s="270">
        <v>2019</v>
      </c>
      <c r="D1927" s="270">
        <v>1</v>
      </c>
      <c r="E1927" s="270">
        <v>1</v>
      </c>
      <c r="F1927" s="270" t="s">
        <v>944</v>
      </c>
      <c r="G1927" s="270" t="s">
        <v>3926</v>
      </c>
      <c r="H1927" s="270" t="s">
        <v>6230</v>
      </c>
      <c r="I1927" s="270" t="s">
        <v>3968</v>
      </c>
      <c r="J1927" s="270" t="s">
        <v>3928</v>
      </c>
      <c r="K1927" s="270">
        <v>6042</v>
      </c>
      <c r="L1927" s="270">
        <v>514900</v>
      </c>
      <c r="M1927" s="270" t="s">
        <v>3960</v>
      </c>
      <c r="N1927" s="270" t="s">
        <v>3944</v>
      </c>
      <c r="O1927" s="270">
        <v>1320.69</v>
      </c>
      <c r="P1927" s="270" t="s">
        <v>3944</v>
      </c>
      <c r="Q1927" s="270" t="s">
        <v>3944</v>
      </c>
      <c r="R1927" s="270">
        <v>1320.69</v>
      </c>
      <c r="S1927" s="270">
        <v>19924.7</v>
      </c>
      <c r="T1927" s="270">
        <v>21245.39</v>
      </c>
      <c r="U1927" s="271" t="s">
        <v>3945</v>
      </c>
      <c r="V1927" s="267" t="s">
        <v>944</v>
      </c>
    </row>
    <row r="1928" spans="1:22" hidden="1" x14ac:dyDescent="0.25">
      <c r="A1928" s="266">
        <v>43578</v>
      </c>
      <c r="B1928" s="267">
        <v>2019</v>
      </c>
      <c r="C1928" s="267">
        <v>2019</v>
      </c>
      <c r="D1928" s="267">
        <v>1</v>
      </c>
      <c r="E1928" s="267">
        <v>1</v>
      </c>
      <c r="F1928" s="267" t="s">
        <v>944</v>
      </c>
      <c r="G1928" s="267" t="s">
        <v>3926</v>
      </c>
      <c r="H1928" s="267" t="s">
        <v>6231</v>
      </c>
      <c r="I1928" s="267" t="s">
        <v>3949</v>
      </c>
      <c r="J1928" s="267" t="s">
        <v>3928</v>
      </c>
      <c r="K1928" s="267">
        <v>6437</v>
      </c>
      <c r="L1928" s="267">
        <v>190301</v>
      </c>
      <c r="M1928" s="267" t="s">
        <v>3943</v>
      </c>
      <c r="N1928" s="267" t="s">
        <v>3944</v>
      </c>
      <c r="O1928" s="267">
        <v>3341.77</v>
      </c>
      <c r="P1928" s="267" t="s">
        <v>3944</v>
      </c>
      <c r="Q1928" s="267" t="s">
        <v>3944</v>
      </c>
      <c r="R1928" s="267">
        <v>3341.77</v>
      </c>
      <c r="S1928" s="267">
        <v>49153.64</v>
      </c>
      <c r="T1928" s="267">
        <v>52495.41</v>
      </c>
      <c r="U1928" s="268" t="s">
        <v>3945</v>
      </c>
      <c r="V1928" s="267" t="s">
        <v>944</v>
      </c>
    </row>
    <row r="1929" spans="1:22" hidden="1" x14ac:dyDescent="0.25">
      <c r="A1929" s="269">
        <v>43578</v>
      </c>
      <c r="B1929" s="270">
        <v>2019</v>
      </c>
      <c r="C1929" s="270">
        <v>2019</v>
      </c>
      <c r="D1929" s="270">
        <v>1</v>
      </c>
      <c r="E1929" s="270">
        <v>1</v>
      </c>
      <c r="F1929" s="270" t="s">
        <v>944</v>
      </c>
      <c r="G1929" s="270" t="s">
        <v>3926</v>
      </c>
      <c r="H1929" s="270" t="s">
        <v>6232</v>
      </c>
      <c r="I1929" s="270" t="s">
        <v>4040</v>
      </c>
      <c r="J1929" s="270" t="s">
        <v>3928</v>
      </c>
      <c r="K1929" s="270">
        <v>6339</v>
      </c>
      <c r="L1929" s="270">
        <v>701100</v>
      </c>
      <c r="M1929" s="270" t="s">
        <v>3960</v>
      </c>
      <c r="N1929" s="270" t="s">
        <v>3944</v>
      </c>
      <c r="O1929" s="270">
        <v>2662.35</v>
      </c>
      <c r="P1929" s="270" t="s">
        <v>3944</v>
      </c>
      <c r="Q1929" s="270" t="s">
        <v>3944</v>
      </c>
      <c r="R1929" s="270">
        <v>2662.35</v>
      </c>
      <c r="S1929" s="270">
        <v>41240.1</v>
      </c>
      <c r="T1929" s="270">
        <v>43902.45</v>
      </c>
      <c r="U1929" s="271" t="s">
        <v>3945</v>
      </c>
      <c r="V1929" s="267" t="s">
        <v>944</v>
      </c>
    </row>
    <row r="1930" spans="1:22" hidden="1" x14ac:dyDescent="0.25">
      <c r="A1930" s="266">
        <v>43578</v>
      </c>
      <c r="B1930" s="267">
        <v>2019</v>
      </c>
      <c r="C1930" s="267">
        <v>2019</v>
      </c>
      <c r="D1930" s="267">
        <v>1</v>
      </c>
      <c r="E1930" s="267">
        <v>1</v>
      </c>
      <c r="F1930" s="267" t="s">
        <v>944</v>
      </c>
      <c r="G1930" s="267" t="s">
        <v>3926</v>
      </c>
      <c r="H1930" s="267" t="s">
        <v>6233</v>
      </c>
      <c r="I1930" s="267" t="s">
        <v>950</v>
      </c>
      <c r="J1930" s="267" t="s">
        <v>3928</v>
      </c>
      <c r="K1930" s="267">
        <v>6516</v>
      </c>
      <c r="L1930" s="267">
        <v>154100</v>
      </c>
      <c r="M1930" s="267" t="s">
        <v>3940</v>
      </c>
      <c r="N1930" s="267" t="s">
        <v>3944</v>
      </c>
      <c r="O1930" s="267">
        <v>834.58</v>
      </c>
      <c r="P1930" s="267" t="s">
        <v>3944</v>
      </c>
      <c r="Q1930" s="267" t="s">
        <v>3944</v>
      </c>
      <c r="R1930" s="267">
        <v>834.58</v>
      </c>
      <c r="S1930" s="267">
        <v>14230.63</v>
      </c>
      <c r="T1930" s="267">
        <v>15065.21</v>
      </c>
      <c r="U1930" s="268" t="s">
        <v>3945</v>
      </c>
      <c r="V1930" s="267" t="s">
        <v>944</v>
      </c>
    </row>
    <row r="1931" spans="1:22" hidden="1" x14ac:dyDescent="0.25">
      <c r="A1931" s="269">
        <v>43578</v>
      </c>
      <c r="B1931" s="270">
        <v>2019</v>
      </c>
      <c r="C1931" s="270">
        <v>2019</v>
      </c>
      <c r="D1931" s="270">
        <v>1</v>
      </c>
      <c r="E1931" s="270">
        <v>1</v>
      </c>
      <c r="F1931" s="270" t="s">
        <v>944</v>
      </c>
      <c r="G1931" s="270" t="s">
        <v>3926</v>
      </c>
      <c r="H1931" s="270" t="s">
        <v>6234</v>
      </c>
      <c r="I1931" s="270" t="s">
        <v>934</v>
      </c>
      <c r="J1931" s="270" t="s">
        <v>3928</v>
      </c>
      <c r="K1931" s="270">
        <v>6606</v>
      </c>
      <c r="L1931" s="270">
        <v>72600</v>
      </c>
      <c r="M1931" s="270" t="s">
        <v>3940</v>
      </c>
      <c r="N1931" s="270" t="s">
        <v>3944</v>
      </c>
      <c r="O1931" s="270">
        <v>1741.71</v>
      </c>
      <c r="P1931" s="270" t="s">
        <v>3944</v>
      </c>
      <c r="Q1931" s="270" t="s">
        <v>3944</v>
      </c>
      <c r="R1931" s="270">
        <v>1741.71</v>
      </c>
      <c r="S1931" s="270">
        <v>25348.29</v>
      </c>
      <c r="T1931" s="270">
        <v>27090</v>
      </c>
      <c r="U1931" s="271" t="s">
        <v>3945</v>
      </c>
      <c r="V1931" s="267" t="s">
        <v>944</v>
      </c>
    </row>
    <row r="1932" spans="1:22" hidden="1" x14ac:dyDescent="0.25">
      <c r="A1932" s="266">
        <v>43578</v>
      </c>
      <c r="B1932" s="267">
        <v>2019</v>
      </c>
      <c r="C1932" s="267">
        <v>2019</v>
      </c>
      <c r="D1932" s="267">
        <v>1</v>
      </c>
      <c r="E1932" s="267">
        <v>1</v>
      </c>
      <c r="F1932" s="267" t="s">
        <v>944</v>
      </c>
      <c r="G1932" s="267" t="s">
        <v>3926</v>
      </c>
      <c r="H1932" s="267" t="s">
        <v>6235</v>
      </c>
      <c r="I1932" s="267" t="s">
        <v>4490</v>
      </c>
      <c r="J1932" s="267" t="s">
        <v>3928</v>
      </c>
      <c r="K1932" s="267">
        <v>6442</v>
      </c>
      <c r="L1932" s="267">
        <v>630100</v>
      </c>
      <c r="M1932" s="267" t="s">
        <v>3960</v>
      </c>
      <c r="N1932" s="267" t="s">
        <v>3944</v>
      </c>
      <c r="O1932" s="267">
        <v>1288.98</v>
      </c>
      <c r="P1932" s="267" t="s">
        <v>3944</v>
      </c>
      <c r="Q1932" s="267" t="s">
        <v>3944</v>
      </c>
      <c r="R1932" s="267">
        <v>1288.98</v>
      </c>
      <c r="S1932" s="267">
        <v>19328.86</v>
      </c>
      <c r="T1932" s="267">
        <v>20617.84</v>
      </c>
      <c r="U1932" s="268" t="s">
        <v>3945</v>
      </c>
      <c r="V1932" s="267" t="s">
        <v>944</v>
      </c>
    </row>
    <row r="1933" spans="1:22" hidden="1" x14ac:dyDescent="0.25">
      <c r="A1933" s="269">
        <v>43578</v>
      </c>
      <c r="B1933" s="270">
        <v>2019</v>
      </c>
      <c r="C1933" s="270">
        <v>2019</v>
      </c>
      <c r="D1933" s="270">
        <v>1</v>
      </c>
      <c r="E1933" s="270">
        <v>1</v>
      </c>
      <c r="F1933" s="270" t="s">
        <v>944</v>
      </c>
      <c r="G1933" s="270" t="s">
        <v>3926</v>
      </c>
      <c r="H1933" s="270" t="s">
        <v>6236</v>
      </c>
      <c r="I1933" s="270" t="s">
        <v>3025</v>
      </c>
      <c r="J1933" s="270" t="s">
        <v>3928</v>
      </c>
      <c r="K1933" s="270">
        <v>6473</v>
      </c>
      <c r="L1933" s="270">
        <v>167100</v>
      </c>
      <c r="M1933" s="270" t="s">
        <v>3943</v>
      </c>
      <c r="N1933" s="270" t="s">
        <v>3944</v>
      </c>
      <c r="O1933" s="270">
        <v>3477.01</v>
      </c>
      <c r="P1933" s="270" t="s">
        <v>3944</v>
      </c>
      <c r="Q1933" s="270" t="s">
        <v>3944</v>
      </c>
      <c r="R1933" s="270">
        <v>3477.01</v>
      </c>
      <c r="S1933" s="270">
        <v>56941.88</v>
      </c>
      <c r="T1933" s="270">
        <v>60418.89</v>
      </c>
      <c r="U1933" s="271" t="s">
        <v>3945</v>
      </c>
      <c r="V1933" s="267" t="s">
        <v>944</v>
      </c>
    </row>
    <row r="1934" spans="1:22" hidden="1" x14ac:dyDescent="0.25">
      <c r="A1934" s="266">
        <v>43578</v>
      </c>
      <c r="B1934" s="267">
        <v>2019</v>
      </c>
      <c r="C1934" s="267">
        <v>2019</v>
      </c>
      <c r="D1934" s="267">
        <v>1</v>
      </c>
      <c r="E1934" s="267">
        <v>1</v>
      </c>
      <c r="F1934" s="267" t="s">
        <v>944</v>
      </c>
      <c r="G1934" s="267" t="s">
        <v>3926</v>
      </c>
      <c r="H1934" s="267" t="s">
        <v>6237</v>
      </c>
      <c r="I1934" s="267" t="s">
        <v>5147</v>
      </c>
      <c r="J1934" s="267" t="s">
        <v>3928</v>
      </c>
      <c r="K1934" s="267">
        <v>6468</v>
      </c>
      <c r="L1934" s="267">
        <v>100200</v>
      </c>
      <c r="M1934" s="267" t="s">
        <v>3943</v>
      </c>
      <c r="N1934" s="267" t="s">
        <v>3944</v>
      </c>
      <c r="O1934" s="267">
        <v>2488.96</v>
      </c>
      <c r="P1934" s="267" t="s">
        <v>3944</v>
      </c>
      <c r="Q1934" s="267" t="s">
        <v>3944</v>
      </c>
      <c r="R1934" s="267">
        <v>2488.96</v>
      </c>
      <c r="S1934" s="267">
        <v>30845.599999999999</v>
      </c>
      <c r="T1934" s="267">
        <v>33334.559999999998</v>
      </c>
      <c r="U1934" s="268" t="s">
        <v>3945</v>
      </c>
      <c r="V1934" s="267" t="s">
        <v>944</v>
      </c>
    </row>
    <row r="1935" spans="1:22" hidden="1" x14ac:dyDescent="0.25">
      <c r="A1935" s="269">
        <v>43578</v>
      </c>
      <c r="B1935" s="270">
        <v>2019</v>
      </c>
      <c r="C1935" s="270">
        <v>2019</v>
      </c>
      <c r="D1935" s="270">
        <v>1</v>
      </c>
      <c r="E1935" s="270">
        <v>1</v>
      </c>
      <c r="F1935" s="270" t="s">
        <v>944</v>
      </c>
      <c r="G1935" s="270" t="s">
        <v>3926</v>
      </c>
      <c r="H1935" s="270" t="s">
        <v>6238</v>
      </c>
      <c r="I1935" s="270" t="s">
        <v>4005</v>
      </c>
      <c r="J1935" s="270" t="s">
        <v>3928</v>
      </c>
      <c r="K1935" s="270">
        <v>6108</v>
      </c>
      <c r="L1935" s="270">
        <v>510300</v>
      </c>
      <c r="M1935" s="270" t="s">
        <v>3940</v>
      </c>
      <c r="N1935" s="270" t="s">
        <v>3944</v>
      </c>
      <c r="O1935" s="270">
        <v>868.18</v>
      </c>
      <c r="P1935" s="270" t="s">
        <v>3944</v>
      </c>
      <c r="Q1935" s="270" t="s">
        <v>3944</v>
      </c>
      <c r="R1935" s="270">
        <v>868.18</v>
      </c>
      <c r="S1935" s="270">
        <v>11804.97</v>
      </c>
      <c r="T1935" s="270">
        <v>12673.15</v>
      </c>
      <c r="U1935" s="271" t="s">
        <v>3945</v>
      </c>
      <c r="V1935" s="267" t="s">
        <v>944</v>
      </c>
    </row>
    <row r="1936" spans="1:22" hidden="1" x14ac:dyDescent="0.25">
      <c r="A1936" s="266">
        <v>43578</v>
      </c>
      <c r="B1936" s="267">
        <v>2019</v>
      </c>
      <c r="C1936" s="267">
        <v>2019</v>
      </c>
      <c r="D1936" s="267">
        <v>1</v>
      </c>
      <c r="E1936" s="267">
        <v>1</v>
      </c>
      <c r="F1936" s="267" t="s">
        <v>944</v>
      </c>
      <c r="G1936" s="267" t="s">
        <v>3926</v>
      </c>
      <c r="H1936" s="267" t="s">
        <v>6239</v>
      </c>
      <c r="I1936" s="267" t="s">
        <v>3999</v>
      </c>
      <c r="J1936" s="267" t="s">
        <v>3928</v>
      </c>
      <c r="K1936" s="267">
        <v>6450</v>
      </c>
      <c r="L1936" s="267">
        <v>171700</v>
      </c>
      <c r="M1936" s="267" t="s">
        <v>3935</v>
      </c>
      <c r="N1936" s="267" t="s">
        <v>3944</v>
      </c>
      <c r="O1936" s="267">
        <v>2526.09</v>
      </c>
      <c r="P1936" s="267" t="s">
        <v>3944</v>
      </c>
      <c r="Q1936" s="267" t="s">
        <v>3944</v>
      </c>
      <c r="R1936" s="267">
        <v>2526.09</v>
      </c>
      <c r="S1936" s="267">
        <v>35969.879999999997</v>
      </c>
      <c r="T1936" s="267">
        <v>38495.97</v>
      </c>
      <c r="U1936" s="268" t="s">
        <v>3945</v>
      </c>
      <c r="V1936" s="267" t="s">
        <v>944</v>
      </c>
    </row>
    <row r="1937" spans="1:22" hidden="1" x14ac:dyDescent="0.25">
      <c r="A1937" s="269">
        <v>43578</v>
      </c>
      <c r="B1937" s="270">
        <v>2019</v>
      </c>
      <c r="C1937" s="270">
        <v>2019</v>
      </c>
      <c r="D1937" s="270">
        <v>1</v>
      </c>
      <c r="E1937" s="270">
        <v>1</v>
      </c>
      <c r="F1937" s="270" t="s">
        <v>944</v>
      </c>
      <c r="G1937" s="270" t="s">
        <v>3926</v>
      </c>
      <c r="H1937" s="270" t="s">
        <v>6240</v>
      </c>
      <c r="I1937" s="270" t="s">
        <v>3999</v>
      </c>
      <c r="J1937" s="270" t="s">
        <v>3928</v>
      </c>
      <c r="K1937" s="270">
        <v>6450</v>
      </c>
      <c r="L1937" s="270">
        <v>171700</v>
      </c>
      <c r="M1937" s="270" t="s">
        <v>3935</v>
      </c>
      <c r="N1937" s="270" t="s">
        <v>3944</v>
      </c>
      <c r="O1937" s="270">
        <v>1570</v>
      </c>
      <c r="P1937" s="270" t="s">
        <v>3944</v>
      </c>
      <c r="Q1937" s="270" t="s">
        <v>3944</v>
      </c>
      <c r="R1937" s="270">
        <v>1570</v>
      </c>
      <c r="S1937" s="270">
        <v>24472.639999999999</v>
      </c>
      <c r="T1937" s="270">
        <v>26042.639999999999</v>
      </c>
      <c r="U1937" s="271" t="s">
        <v>3945</v>
      </c>
      <c r="V1937" s="267" t="s">
        <v>944</v>
      </c>
    </row>
    <row r="1938" spans="1:22" hidden="1" x14ac:dyDescent="0.25">
      <c r="A1938" s="266">
        <v>43578</v>
      </c>
      <c r="B1938" s="267">
        <v>2019</v>
      </c>
      <c r="C1938" s="267">
        <v>2019</v>
      </c>
      <c r="D1938" s="267">
        <v>1</v>
      </c>
      <c r="E1938" s="267">
        <v>1</v>
      </c>
      <c r="F1938" s="267" t="s">
        <v>944</v>
      </c>
      <c r="G1938" s="267" t="s">
        <v>3926</v>
      </c>
      <c r="H1938" s="267" t="s">
        <v>6241</v>
      </c>
      <c r="I1938" s="267" t="s">
        <v>4029</v>
      </c>
      <c r="J1938" s="267" t="s">
        <v>3928</v>
      </c>
      <c r="K1938" s="267">
        <v>6851</v>
      </c>
      <c r="L1938" s="267">
        <v>43400</v>
      </c>
      <c r="M1938" s="267" t="s">
        <v>3935</v>
      </c>
      <c r="N1938" s="267" t="s">
        <v>6242</v>
      </c>
      <c r="O1938" s="267">
        <v>0</v>
      </c>
      <c r="P1938" s="267" t="s">
        <v>3944</v>
      </c>
      <c r="Q1938" s="267" t="s">
        <v>6243</v>
      </c>
      <c r="R1938" s="267">
        <v>137990.53</v>
      </c>
      <c r="S1938" s="267">
        <v>182917.69</v>
      </c>
      <c r="T1938" s="267">
        <v>320908.21999999997</v>
      </c>
      <c r="U1938" s="268" t="s">
        <v>5737</v>
      </c>
      <c r="V1938" s="267" t="s">
        <v>944</v>
      </c>
    </row>
    <row r="1939" spans="1:22" hidden="1" x14ac:dyDescent="0.25">
      <c r="A1939" s="269">
        <v>43579</v>
      </c>
      <c r="B1939" s="270">
        <v>2019</v>
      </c>
      <c r="C1939" s="270">
        <v>2019</v>
      </c>
      <c r="D1939" s="270">
        <v>1</v>
      </c>
      <c r="E1939" s="270">
        <v>1</v>
      </c>
      <c r="F1939" s="270" t="s">
        <v>944</v>
      </c>
      <c r="G1939" s="270" t="s">
        <v>3926</v>
      </c>
      <c r="H1939" s="270" t="s">
        <v>6244</v>
      </c>
      <c r="I1939" s="270" t="s">
        <v>3012</v>
      </c>
      <c r="J1939" s="270" t="s">
        <v>3928</v>
      </c>
      <c r="K1939" s="270">
        <v>6477</v>
      </c>
      <c r="L1939" s="270">
        <v>157200</v>
      </c>
      <c r="M1939" s="270" t="s">
        <v>3943</v>
      </c>
      <c r="N1939" s="270" t="s">
        <v>6245</v>
      </c>
      <c r="O1939" s="270">
        <v>0</v>
      </c>
      <c r="P1939" s="270" t="s">
        <v>3930</v>
      </c>
      <c r="Q1939" s="270" t="s">
        <v>3930</v>
      </c>
      <c r="R1939" s="270">
        <v>0</v>
      </c>
      <c r="S1939" s="270">
        <v>8492.98</v>
      </c>
      <c r="T1939" s="270">
        <v>8492.98</v>
      </c>
      <c r="U1939" s="271" t="s">
        <v>3937</v>
      </c>
      <c r="V1939" s="267" t="s">
        <v>944</v>
      </c>
    </row>
    <row r="1940" spans="1:22" hidden="1" x14ac:dyDescent="0.25">
      <c r="A1940" s="266">
        <v>43579</v>
      </c>
      <c r="B1940" s="267">
        <v>2019</v>
      </c>
      <c r="C1940" s="267">
        <v>2019</v>
      </c>
      <c r="D1940" s="267">
        <v>1</v>
      </c>
      <c r="E1940" s="267">
        <v>1</v>
      </c>
      <c r="F1940" s="267" t="s">
        <v>944</v>
      </c>
      <c r="G1940" s="267" t="s">
        <v>3926</v>
      </c>
      <c r="H1940" s="267" t="s">
        <v>6246</v>
      </c>
      <c r="I1940" s="267" t="s">
        <v>6135</v>
      </c>
      <c r="J1940" s="267" t="s">
        <v>3928</v>
      </c>
      <c r="K1940" s="267">
        <v>6492</v>
      </c>
      <c r="L1940" s="267">
        <v>175500</v>
      </c>
      <c r="M1940" s="267" t="s">
        <v>3935</v>
      </c>
      <c r="N1940" s="267" t="s">
        <v>6247</v>
      </c>
      <c r="O1940" s="267">
        <v>0</v>
      </c>
      <c r="P1940" s="267" t="s">
        <v>3930</v>
      </c>
      <c r="Q1940" s="267" t="s">
        <v>3930</v>
      </c>
      <c r="R1940" s="267">
        <v>0</v>
      </c>
      <c r="S1940" s="267">
        <v>7900</v>
      </c>
      <c r="T1940" s="267">
        <v>7900</v>
      </c>
      <c r="U1940" s="268" t="s">
        <v>3937</v>
      </c>
      <c r="V1940" s="267" t="s">
        <v>944</v>
      </c>
    </row>
    <row r="1941" spans="1:22" hidden="1" x14ac:dyDescent="0.25">
      <c r="A1941" s="269">
        <v>43579</v>
      </c>
      <c r="B1941" s="270">
        <v>2019</v>
      </c>
      <c r="C1941" s="270">
        <v>2019</v>
      </c>
      <c r="D1941" s="270">
        <v>1</v>
      </c>
      <c r="E1941" s="270">
        <v>1</v>
      </c>
      <c r="F1941" s="270" t="s">
        <v>944</v>
      </c>
      <c r="G1941" s="270" t="s">
        <v>3926</v>
      </c>
      <c r="H1941" s="270" t="s">
        <v>6248</v>
      </c>
      <c r="I1941" s="270" t="s">
        <v>953</v>
      </c>
      <c r="J1941" s="270" t="s">
        <v>3928</v>
      </c>
      <c r="K1941" s="270">
        <v>6514</v>
      </c>
      <c r="L1941" s="270">
        <v>165802</v>
      </c>
      <c r="M1941" s="270" t="s">
        <v>3943</v>
      </c>
      <c r="N1941" s="270" t="s">
        <v>4103</v>
      </c>
      <c r="O1941" s="270">
        <v>3921.93</v>
      </c>
      <c r="P1941" s="270" t="s">
        <v>3930</v>
      </c>
      <c r="Q1941" s="270" t="s">
        <v>3931</v>
      </c>
      <c r="R1941" s="270">
        <v>8921.93</v>
      </c>
      <c r="S1941" s="270">
        <v>24145.599999999999</v>
      </c>
      <c r="T1941" s="270">
        <v>33067.53</v>
      </c>
      <c r="U1941" s="271" t="s">
        <v>3932</v>
      </c>
      <c r="V1941" s="267" t="s">
        <v>944</v>
      </c>
    </row>
    <row r="1942" spans="1:22" hidden="1" x14ac:dyDescent="0.25">
      <c r="A1942" s="266">
        <v>43579</v>
      </c>
      <c r="B1942" s="267">
        <v>2019</v>
      </c>
      <c r="C1942" s="267">
        <v>2019</v>
      </c>
      <c r="D1942" s="267">
        <v>1</v>
      </c>
      <c r="E1942" s="267">
        <v>1</v>
      </c>
      <c r="F1942" s="267" t="s">
        <v>944</v>
      </c>
      <c r="G1942" s="267" t="s">
        <v>3926</v>
      </c>
      <c r="H1942" s="267" t="s">
        <v>6249</v>
      </c>
      <c r="I1942" s="267" t="s">
        <v>3962</v>
      </c>
      <c r="J1942" s="267" t="s">
        <v>3928</v>
      </c>
      <c r="K1942" s="267">
        <v>6379</v>
      </c>
      <c r="L1942" s="267">
        <v>705101</v>
      </c>
      <c r="M1942" s="267" t="s">
        <v>3935</v>
      </c>
      <c r="N1942" s="267" t="s">
        <v>6079</v>
      </c>
      <c r="O1942" s="267">
        <v>4336.83</v>
      </c>
      <c r="P1942" s="267" t="s">
        <v>3930</v>
      </c>
      <c r="Q1942" s="267" t="s">
        <v>3931</v>
      </c>
      <c r="R1942" s="267">
        <v>9336.83</v>
      </c>
      <c r="S1942" s="267">
        <v>24808</v>
      </c>
      <c r="T1942" s="267">
        <v>34144.83</v>
      </c>
      <c r="U1942" s="268" t="s">
        <v>3932</v>
      </c>
      <c r="V1942" s="267" t="s">
        <v>944</v>
      </c>
    </row>
    <row r="1943" spans="1:22" hidden="1" x14ac:dyDescent="0.25">
      <c r="A1943" s="269">
        <v>43579</v>
      </c>
      <c r="B1943" s="270">
        <v>2019</v>
      </c>
      <c r="C1943" s="270">
        <v>2019</v>
      </c>
      <c r="D1943" s="270">
        <v>1</v>
      </c>
      <c r="E1943" s="270">
        <v>1</v>
      </c>
      <c r="F1943" s="270" t="s">
        <v>944</v>
      </c>
      <c r="G1943" s="270" t="s">
        <v>3926</v>
      </c>
      <c r="H1943" s="270" t="s">
        <v>6250</v>
      </c>
      <c r="I1943" s="270" t="s">
        <v>956</v>
      </c>
      <c r="J1943" s="270" t="s">
        <v>3928</v>
      </c>
      <c r="K1943" s="270">
        <v>6614</v>
      </c>
      <c r="L1943" s="270">
        <v>80100</v>
      </c>
      <c r="M1943" s="270" t="s">
        <v>3935</v>
      </c>
      <c r="N1943" s="270" t="s">
        <v>3986</v>
      </c>
      <c r="O1943" s="270">
        <v>2989.17</v>
      </c>
      <c r="P1943" s="270" t="s">
        <v>3930</v>
      </c>
      <c r="Q1943" s="270" t="s">
        <v>3931</v>
      </c>
      <c r="R1943" s="270">
        <v>7989.17</v>
      </c>
      <c r="S1943" s="270">
        <v>16196.8</v>
      </c>
      <c r="T1943" s="270">
        <v>24185.97</v>
      </c>
      <c r="U1943" s="271" t="s">
        <v>3932</v>
      </c>
      <c r="V1943" s="267" t="s">
        <v>944</v>
      </c>
    </row>
    <row r="1944" spans="1:22" hidden="1" x14ac:dyDescent="0.25">
      <c r="A1944" s="266">
        <v>43579</v>
      </c>
      <c r="B1944" s="267">
        <v>2019</v>
      </c>
      <c r="C1944" s="267">
        <v>2019</v>
      </c>
      <c r="D1944" s="267">
        <v>1</v>
      </c>
      <c r="E1944" s="267">
        <v>1</v>
      </c>
      <c r="F1944" s="267" t="s">
        <v>944</v>
      </c>
      <c r="G1944" s="267" t="s">
        <v>3926</v>
      </c>
      <c r="H1944" s="267" t="s">
        <v>6251</v>
      </c>
      <c r="I1944" s="267" t="s">
        <v>4731</v>
      </c>
      <c r="J1944" s="267" t="s">
        <v>3928</v>
      </c>
      <c r="K1944" s="267">
        <v>6478</v>
      </c>
      <c r="L1944" s="267">
        <v>346102</v>
      </c>
      <c r="M1944" s="267" t="s">
        <v>3943</v>
      </c>
      <c r="N1944" s="267" t="s">
        <v>3944</v>
      </c>
      <c r="O1944" s="267">
        <v>2513</v>
      </c>
      <c r="P1944" s="267" t="s">
        <v>3944</v>
      </c>
      <c r="Q1944" s="267" t="s">
        <v>3944</v>
      </c>
      <c r="R1944" s="267">
        <v>2513</v>
      </c>
      <c r="S1944" s="267">
        <v>37531.07</v>
      </c>
      <c r="T1944" s="267">
        <v>40044.07</v>
      </c>
      <c r="U1944" s="268" t="s">
        <v>3945</v>
      </c>
      <c r="V1944" s="267" t="s">
        <v>944</v>
      </c>
    </row>
    <row r="1945" spans="1:22" hidden="1" x14ac:dyDescent="0.25">
      <c r="A1945" s="269">
        <v>43579</v>
      </c>
      <c r="B1945" s="270">
        <v>2019</v>
      </c>
      <c r="C1945" s="270">
        <v>2019</v>
      </c>
      <c r="D1945" s="270">
        <v>1</v>
      </c>
      <c r="E1945" s="270">
        <v>1</v>
      </c>
      <c r="F1945" s="270" t="s">
        <v>944</v>
      </c>
      <c r="G1945" s="270" t="s">
        <v>3926</v>
      </c>
      <c r="H1945" s="270" t="s">
        <v>6252</v>
      </c>
      <c r="I1945" s="270" t="s">
        <v>3956</v>
      </c>
      <c r="J1945" s="270" t="s">
        <v>3928</v>
      </c>
      <c r="K1945" s="270">
        <v>6120</v>
      </c>
      <c r="L1945" s="270">
        <v>500900</v>
      </c>
      <c r="M1945" s="270">
        <v>-60</v>
      </c>
      <c r="N1945" s="270" t="s">
        <v>3944</v>
      </c>
      <c r="O1945" s="270">
        <v>639.21</v>
      </c>
      <c r="P1945" s="270" t="s">
        <v>3944</v>
      </c>
      <c r="Q1945" s="270" t="s">
        <v>3944</v>
      </c>
      <c r="R1945" s="270">
        <v>639.21</v>
      </c>
      <c r="S1945" s="270">
        <v>8886.5400000000009</v>
      </c>
      <c r="T1945" s="270">
        <v>9525.75</v>
      </c>
      <c r="U1945" s="271" t="s">
        <v>3945</v>
      </c>
      <c r="V1945" s="267" t="s">
        <v>944</v>
      </c>
    </row>
    <row r="1946" spans="1:22" hidden="1" x14ac:dyDescent="0.25">
      <c r="A1946" s="266">
        <v>43579</v>
      </c>
      <c r="B1946" s="267">
        <v>2019</v>
      </c>
      <c r="C1946" s="267">
        <v>2019</v>
      </c>
      <c r="D1946" s="267">
        <v>1</v>
      </c>
      <c r="E1946" s="267">
        <v>1</v>
      </c>
      <c r="F1946" s="267" t="s">
        <v>944</v>
      </c>
      <c r="G1946" s="267" t="s">
        <v>3926</v>
      </c>
      <c r="H1946" s="267" t="s">
        <v>6253</v>
      </c>
      <c r="I1946" s="267" t="s">
        <v>4310</v>
      </c>
      <c r="J1946" s="267" t="s">
        <v>3928</v>
      </c>
      <c r="K1946" s="267">
        <v>6351</v>
      </c>
      <c r="L1946" s="267">
        <v>710100</v>
      </c>
      <c r="M1946" s="267" t="s">
        <v>3960</v>
      </c>
      <c r="N1946" s="267" t="s">
        <v>3944</v>
      </c>
      <c r="O1946" s="267">
        <v>2043.27</v>
      </c>
      <c r="P1946" s="267" t="s">
        <v>3944</v>
      </c>
      <c r="Q1946" s="267" t="s">
        <v>3944</v>
      </c>
      <c r="R1946" s="267">
        <v>2043.27</v>
      </c>
      <c r="S1946" s="267">
        <v>39200.82</v>
      </c>
      <c r="T1946" s="267">
        <v>41244.089999999997</v>
      </c>
      <c r="U1946" s="268" t="s">
        <v>3945</v>
      </c>
      <c r="V1946" s="267" t="s">
        <v>944</v>
      </c>
    </row>
    <row r="1947" spans="1:22" hidden="1" x14ac:dyDescent="0.25">
      <c r="A1947" s="269">
        <v>43579</v>
      </c>
      <c r="B1947" s="270">
        <v>2019</v>
      </c>
      <c r="C1947" s="270">
        <v>2019</v>
      </c>
      <c r="D1947" s="270">
        <v>1</v>
      </c>
      <c r="E1947" s="270">
        <v>1</v>
      </c>
      <c r="F1947" s="270" t="s">
        <v>944</v>
      </c>
      <c r="G1947" s="270" t="s">
        <v>3926</v>
      </c>
      <c r="H1947" s="270" t="s">
        <v>6254</v>
      </c>
      <c r="I1947" s="270" t="s">
        <v>3026</v>
      </c>
      <c r="J1947" s="270" t="s">
        <v>3928</v>
      </c>
      <c r="K1947" s="270">
        <v>6471</v>
      </c>
      <c r="L1947" s="270">
        <v>186100</v>
      </c>
      <c r="M1947" s="270" t="s">
        <v>3935</v>
      </c>
      <c r="N1947" s="270" t="s">
        <v>3944</v>
      </c>
      <c r="O1947" s="270">
        <v>2856.25</v>
      </c>
      <c r="P1947" s="270" t="s">
        <v>3944</v>
      </c>
      <c r="Q1947" s="270" t="s">
        <v>3944</v>
      </c>
      <c r="R1947" s="270">
        <v>2856.25</v>
      </c>
      <c r="S1947" s="270">
        <v>46275.4</v>
      </c>
      <c r="T1947" s="270">
        <v>49131.65</v>
      </c>
      <c r="U1947" s="271" t="s">
        <v>3945</v>
      </c>
      <c r="V1947" s="267" t="s">
        <v>944</v>
      </c>
    </row>
    <row r="1948" spans="1:22" hidden="1" x14ac:dyDescent="0.25">
      <c r="A1948" s="266">
        <v>43579</v>
      </c>
      <c r="B1948" s="267">
        <v>2019</v>
      </c>
      <c r="C1948" s="267">
        <v>2019</v>
      </c>
      <c r="D1948" s="267">
        <v>1</v>
      </c>
      <c r="E1948" s="267">
        <v>1</v>
      </c>
      <c r="F1948" s="267" t="s">
        <v>944</v>
      </c>
      <c r="G1948" s="267" t="s">
        <v>3926</v>
      </c>
      <c r="H1948" s="267" t="s">
        <v>6255</v>
      </c>
      <c r="I1948" s="267" t="s">
        <v>4435</v>
      </c>
      <c r="J1948" s="267" t="s">
        <v>3928</v>
      </c>
      <c r="K1948" s="267">
        <v>6249</v>
      </c>
      <c r="L1948" s="267">
        <v>870100</v>
      </c>
      <c r="M1948" s="267" t="s">
        <v>3960</v>
      </c>
      <c r="N1948" s="267" t="s">
        <v>3944</v>
      </c>
      <c r="O1948" s="267">
        <v>2353.54</v>
      </c>
      <c r="P1948" s="267" t="s">
        <v>3944</v>
      </c>
      <c r="Q1948" s="267" t="s">
        <v>3944</v>
      </c>
      <c r="R1948" s="267">
        <v>2353.54</v>
      </c>
      <c r="S1948" s="267">
        <v>33451.46</v>
      </c>
      <c r="T1948" s="267">
        <v>35805</v>
      </c>
      <c r="U1948" s="268" t="s">
        <v>3945</v>
      </c>
      <c r="V1948" s="267" t="s">
        <v>944</v>
      </c>
    </row>
    <row r="1949" spans="1:22" hidden="1" x14ac:dyDescent="0.25">
      <c r="A1949" s="269">
        <v>43579</v>
      </c>
      <c r="B1949" s="270">
        <v>2019</v>
      </c>
      <c r="C1949" s="270">
        <v>2019</v>
      </c>
      <c r="D1949" s="270">
        <v>1</v>
      </c>
      <c r="E1949" s="270">
        <v>1</v>
      </c>
      <c r="F1949" s="270" t="s">
        <v>944</v>
      </c>
      <c r="G1949" s="270" t="s">
        <v>3926</v>
      </c>
      <c r="H1949" s="270" t="s">
        <v>6256</v>
      </c>
      <c r="I1949" s="270" t="s">
        <v>4301</v>
      </c>
      <c r="J1949" s="270" t="s">
        <v>3928</v>
      </c>
      <c r="K1949" s="270">
        <v>6359</v>
      </c>
      <c r="L1949" s="270">
        <v>707100</v>
      </c>
      <c r="M1949" s="270" t="s">
        <v>3935</v>
      </c>
      <c r="N1949" s="270" t="s">
        <v>3944</v>
      </c>
      <c r="O1949" s="270">
        <v>1591.77</v>
      </c>
      <c r="P1949" s="270" t="s">
        <v>3944</v>
      </c>
      <c r="Q1949" s="270" t="s">
        <v>3944</v>
      </c>
      <c r="R1949" s="270">
        <v>1591.77</v>
      </c>
      <c r="S1949" s="270">
        <v>24559.93</v>
      </c>
      <c r="T1949" s="270">
        <v>26151.7</v>
      </c>
      <c r="U1949" s="271" t="s">
        <v>3945</v>
      </c>
      <c r="V1949" s="267" t="s">
        <v>944</v>
      </c>
    </row>
    <row r="1950" spans="1:22" hidden="1" x14ac:dyDescent="0.25">
      <c r="A1950" s="266">
        <v>43579</v>
      </c>
      <c r="B1950" s="267">
        <v>2019</v>
      </c>
      <c r="C1950" s="267">
        <v>2019</v>
      </c>
      <c r="D1950" s="267">
        <v>1</v>
      </c>
      <c r="E1950" s="267">
        <v>1</v>
      </c>
      <c r="F1950" s="267" t="s">
        <v>944</v>
      </c>
      <c r="G1950" s="267" t="s">
        <v>3926</v>
      </c>
      <c r="H1950" s="267" t="s">
        <v>6257</v>
      </c>
      <c r="I1950" s="267" t="s">
        <v>4147</v>
      </c>
      <c r="J1950" s="267" t="s">
        <v>3928</v>
      </c>
      <c r="K1950" s="267">
        <v>6109</v>
      </c>
      <c r="L1950" s="267">
        <v>492600</v>
      </c>
      <c r="M1950" s="267" t="s">
        <v>3960</v>
      </c>
      <c r="N1950" s="267" t="s">
        <v>3944</v>
      </c>
      <c r="O1950" s="267">
        <v>1142.54</v>
      </c>
      <c r="P1950" s="267" t="s">
        <v>3944</v>
      </c>
      <c r="Q1950" s="267" t="s">
        <v>3944</v>
      </c>
      <c r="R1950" s="267">
        <v>1142.54</v>
      </c>
      <c r="S1950" s="267">
        <v>16106.11</v>
      </c>
      <c r="T1950" s="267">
        <v>17248.650000000001</v>
      </c>
      <c r="U1950" s="268" t="s">
        <v>3945</v>
      </c>
      <c r="V1950" s="267" t="s">
        <v>944</v>
      </c>
    </row>
    <row r="1951" spans="1:22" hidden="1" x14ac:dyDescent="0.25">
      <c r="A1951" s="269">
        <v>43579</v>
      </c>
      <c r="B1951" s="270">
        <v>2019</v>
      </c>
      <c r="C1951" s="270">
        <v>2019</v>
      </c>
      <c r="D1951" s="270">
        <v>1</v>
      </c>
      <c r="E1951" s="270">
        <v>1</v>
      </c>
      <c r="F1951" s="270" t="s">
        <v>944</v>
      </c>
      <c r="G1951" s="270" t="s">
        <v>3926</v>
      </c>
      <c r="H1951" s="270" t="s">
        <v>6258</v>
      </c>
      <c r="I1951" s="270" t="s">
        <v>4035</v>
      </c>
      <c r="J1951" s="270" t="s">
        <v>3928</v>
      </c>
      <c r="K1951" s="270">
        <v>6074</v>
      </c>
      <c r="L1951" s="270">
        <v>487500</v>
      </c>
      <c r="M1951" s="270" t="s">
        <v>3935</v>
      </c>
      <c r="N1951" s="270" t="s">
        <v>3944</v>
      </c>
      <c r="O1951" s="270">
        <v>1812.23</v>
      </c>
      <c r="P1951" s="270" t="s">
        <v>3944</v>
      </c>
      <c r="Q1951" s="270" t="s">
        <v>3944</v>
      </c>
      <c r="R1951" s="270">
        <v>1812.23</v>
      </c>
      <c r="S1951" s="270">
        <v>24540.83</v>
      </c>
      <c r="T1951" s="270">
        <v>26353.06</v>
      </c>
      <c r="U1951" s="271" t="s">
        <v>3945</v>
      </c>
      <c r="V1951" s="267" t="s">
        <v>944</v>
      </c>
    </row>
    <row r="1952" spans="1:22" hidden="1" x14ac:dyDescent="0.25">
      <c r="A1952" s="266">
        <v>43580</v>
      </c>
      <c r="B1952" s="267">
        <v>2019</v>
      </c>
      <c r="C1952" s="267">
        <v>2019</v>
      </c>
      <c r="D1952" s="267">
        <v>1</v>
      </c>
      <c r="E1952" s="267">
        <v>1</v>
      </c>
      <c r="F1952" s="267" t="s">
        <v>944</v>
      </c>
      <c r="G1952" s="267" t="s">
        <v>3926</v>
      </c>
      <c r="H1952" s="267" t="s">
        <v>6259</v>
      </c>
      <c r="I1952" s="267" t="s">
        <v>4203</v>
      </c>
      <c r="J1952" s="267" t="s">
        <v>3928</v>
      </c>
      <c r="K1952" s="267">
        <v>6071</v>
      </c>
      <c r="L1952" s="267">
        <v>538201</v>
      </c>
      <c r="M1952" s="267" t="s">
        <v>3943</v>
      </c>
      <c r="N1952" s="267" t="s">
        <v>6260</v>
      </c>
      <c r="O1952" s="267">
        <v>0</v>
      </c>
      <c r="P1952" s="267" t="s">
        <v>3930</v>
      </c>
      <c r="Q1952" s="267" t="s">
        <v>3930</v>
      </c>
      <c r="R1952" s="267">
        <v>0</v>
      </c>
      <c r="S1952" s="267">
        <v>10791.21</v>
      </c>
      <c r="T1952" s="267">
        <v>10791.21</v>
      </c>
      <c r="U1952" s="268" t="s">
        <v>3937</v>
      </c>
      <c r="V1952" s="267" t="s">
        <v>944</v>
      </c>
    </row>
    <row r="1953" spans="1:22" hidden="1" x14ac:dyDescent="0.25">
      <c r="A1953" s="269">
        <v>43580</v>
      </c>
      <c r="B1953" s="270">
        <v>2019</v>
      </c>
      <c r="C1953" s="270">
        <v>2019</v>
      </c>
      <c r="D1953" s="270">
        <v>1</v>
      </c>
      <c r="E1953" s="270">
        <v>1</v>
      </c>
      <c r="F1953" s="270" t="s">
        <v>944</v>
      </c>
      <c r="G1953" s="270" t="s">
        <v>3926</v>
      </c>
      <c r="H1953" s="270" t="s">
        <v>6261</v>
      </c>
      <c r="I1953" s="270" t="s">
        <v>3964</v>
      </c>
      <c r="J1953" s="270" t="s">
        <v>3928</v>
      </c>
      <c r="K1953" s="270">
        <v>6073</v>
      </c>
      <c r="L1953" s="270">
        <v>520202</v>
      </c>
      <c r="M1953" s="270" t="s">
        <v>3943</v>
      </c>
      <c r="N1953" s="270" t="s">
        <v>6262</v>
      </c>
      <c r="O1953" s="270">
        <v>0</v>
      </c>
      <c r="P1953" s="270" t="s">
        <v>3930</v>
      </c>
      <c r="Q1953" s="270" t="s">
        <v>3930</v>
      </c>
      <c r="R1953" s="270">
        <v>0</v>
      </c>
      <c r="S1953" s="270">
        <v>10700</v>
      </c>
      <c r="T1953" s="270">
        <v>10700</v>
      </c>
      <c r="U1953" s="271" t="s">
        <v>3937</v>
      </c>
      <c r="V1953" s="267" t="s">
        <v>944</v>
      </c>
    </row>
    <row r="1954" spans="1:22" hidden="1" x14ac:dyDescent="0.25">
      <c r="A1954" s="266">
        <v>43580</v>
      </c>
      <c r="B1954" s="267">
        <v>2019</v>
      </c>
      <c r="C1954" s="267">
        <v>2019</v>
      </c>
      <c r="D1954" s="267">
        <v>1</v>
      </c>
      <c r="E1954" s="267">
        <v>1</v>
      </c>
      <c r="F1954" s="267" t="s">
        <v>944</v>
      </c>
      <c r="G1954" s="267" t="s">
        <v>3926</v>
      </c>
      <c r="H1954" s="267" t="s">
        <v>6263</v>
      </c>
      <c r="I1954" s="267" t="s">
        <v>3934</v>
      </c>
      <c r="J1954" s="267" t="s">
        <v>3928</v>
      </c>
      <c r="K1954" s="267">
        <v>6405</v>
      </c>
      <c r="L1954" s="267">
        <v>184100</v>
      </c>
      <c r="M1954" s="267" t="s">
        <v>3940</v>
      </c>
      <c r="N1954" s="267" t="s">
        <v>5607</v>
      </c>
      <c r="O1954" s="267">
        <v>1428.56</v>
      </c>
      <c r="P1954" s="267" t="s">
        <v>3930</v>
      </c>
      <c r="Q1954" s="267" t="s">
        <v>3931</v>
      </c>
      <c r="R1954" s="267">
        <v>6428.56</v>
      </c>
      <c r="S1954" s="267">
        <v>17190.400000000001</v>
      </c>
      <c r="T1954" s="267">
        <v>23618.959999999999</v>
      </c>
      <c r="U1954" s="268" t="s">
        <v>3932</v>
      </c>
      <c r="V1954" s="267" t="s">
        <v>944</v>
      </c>
    </row>
    <row r="1955" spans="1:22" hidden="1" x14ac:dyDescent="0.25">
      <c r="A1955" s="269">
        <v>43580</v>
      </c>
      <c r="B1955" s="270">
        <v>2019</v>
      </c>
      <c r="C1955" s="270">
        <v>2019</v>
      </c>
      <c r="D1955" s="270">
        <v>1</v>
      </c>
      <c r="E1955" s="270">
        <v>1</v>
      </c>
      <c r="F1955" s="270" t="s">
        <v>944</v>
      </c>
      <c r="G1955" s="270" t="s">
        <v>3926</v>
      </c>
      <c r="H1955" s="270" t="s">
        <v>6264</v>
      </c>
      <c r="I1955" s="270" t="s">
        <v>3956</v>
      </c>
      <c r="J1955" s="270" t="s">
        <v>3928</v>
      </c>
      <c r="K1955" s="270">
        <v>6112</v>
      </c>
      <c r="L1955" s="270">
        <v>503900</v>
      </c>
      <c r="M1955" s="270">
        <v>-60</v>
      </c>
      <c r="N1955" s="270" t="s">
        <v>5489</v>
      </c>
      <c r="O1955" s="270">
        <v>1249.3599999999999</v>
      </c>
      <c r="P1955" s="270" t="s">
        <v>3930</v>
      </c>
      <c r="Q1955" s="270" t="s">
        <v>3931</v>
      </c>
      <c r="R1955" s="270">
        <v>6249.36</v>
      </c>
      <c r="S1955" s="270">
        <v>16817.8</v>
      </c>
      <c r="T1955" s="270">
        <v>23067.16</v>
      </c>
      <c r="U1955" s="271" t="s">
        <v>3932</v>
      </c>
      <c r="V1955" s="267" t="s">
        <v>944</v>
      </c>
    </row>
    <row r="1956" spans="1:22" hidden="1" x14ac:dyDescent="0.25">
      <c r="A1956" s="266">
        <v>43580</v>
      </c>
      <c r="B1956" s="267">
        <v>2019</v>
      </c>
      <c r="C1956" s="267">
        <v>2019</v>
      </c>
      <c r="D1956" s="267">
        <v>1</v>
      </c>
      <c r="E1956" s="267">
        <v>1</v>
      </c>
      <c r="F1956" s="267" t="s">
        <v>944</v>
      </c>
      <c r="G1956" s="267" t="s">
        <v>3926</v>
      </c>
      <c r="H1956" s="267" t="s">
        <v>6265</v>
      </c>
      <c r="I1956" s="267" t="s">
        <v>3971</v>
      </c>
      <c r="J1956" s="267" t="s">
        <v>3928</v>
      </c>
      <c r="K1956" s="267">
        <v>6084</v>
      </c>
      <c r="L1956" s="267">
        <v>533101</v>
      </c>
      <c r="M1956" s="267" t="s">
        <v>3943</v>
      </c>
      <c r="N1956" s="267" t="s">
        <v>6266</v>
      </c>
      <c r="O1956" s="267">
        <v>0</v>
      </c>
      <c r="P1956" s="267" t="s">
        <v>3930</v>
      </c>
      <c r="Q1956" s="267" t="s">
        <v>3930</v>
      </c>
      <c r="R1956" s="267">
        <v>0</v>
      </c>
      <c r="S1956" s="267">
        <v>8860</v>
      </c>
      <c r="T1956" s="267">
        <v>8860</v>
      </c>
      <c r="U1956" s="268" t="s">
        <v>3937</v>
      </c>
      <c r="V1956" s="267" t="s">
        <v>944</v>
      </c>
    </row>
    <row r="1957" spans="1:22" hidden="1" x14ac:dyDescent="0.25">
      <c r="A1957" s="269">
        <v>43580</v>
      </c>
      <c r="B1957" s="270">
        <v>2019</v>
      </c>
      <c r="C1957" s="270">
        <v>2019</v>
      </c>
      <c r="D1957" s="270">
        <v>1</v>
      </c>
      <c r="E1957" s="270">
        <v>1</v>
      </c>
      <c r="F1957" s="270" t="s">
        <v>944</v>
      </c>
      <c r="G1957" s="270" t="s">
        <v>3926</v>
      </c>
      <c r="H1957" s="270" t="s">
        <v>6267</v>
      </c>
      <c r="I1957" s="270" t="s">
        <v>6268</v>
      </c>
      <c r="J1957" s="270" t="s">
        <v>3928</v>
      </c>
      <c r="K1957" s="270">
        <v>6371</v>
      </c>
      <c r="L1957" s="270">
        <v>660101</v>
      </c>
      <c r="M1957" s="270" t="s">
        <v>3960</v>
      </c>
      <c r="N1957" s="270" t="s">
        <v>3944</v>
      </c>
      <c r="O1957" s="270">
        <v>6435</v>
      </c>
      <c r="P1957" s="270" t="s">
        <v>3944</v>
      </c>
      <c r="Q1957" s="270" t="s">
        <v>3944</v>
      </c>
      <c r="R1957" s="270">
        <v>6435</v>
      </c>
      <c r="S1957" s="270">
        <v>39231</v>
      </c>
      <c r="T1957" s="270">
        <v>45666</v>
      </c>
      <c r="U1957" s="271" t="s">
        <v>3945</v>
      </c>
      <c r="V1957" s="267" t="s">
        <v>944</v>
      </c>
    </row>
    <row r="1958" spans="1:22" hidden="1" x14ac:dyDescent="0.25">
      <c r="A1958" s="266">
        <v>43580</v>
      </c>
      <c r="B1958" s="267">
        <v>2019</v>
      </c>
      <c r="C1958" s="267">
        <v>2019</v>
      </c>
      <c r="D1958" s="267">
        <v>1</v>
      </c>
      <c r="E1958" s="267">
        <v>1</v>
      </c>
      <c r="F1958" s="267" t="s">
        <v>944</v>
      </c>
      <c r="G1958" s="267" t="s">
        <v>3926</v>
      </c>
      <c r="H1958" s="267" t="s">
        <v>6269</v>
      </c>
      <c r="I1958" s="267" t="s">
        <v>4014</v>
      </c>
      <c r="J1958" s="267" t="s">
        <v>3928</v>
      </c>
      <c r="K1958" s="267">
        <v>6420</v>
      </c>
      <c r="L1958" s="267">
        <v>715100</v>
      </c>
      <c r="M1958" s="267" t="s">
        <v>3943</v>
      </c>
      <c r="N1958" s="267" t="s">
        <v>3944</v>
      </c>
      <c r="O1958" s="267">
        <v>3315</v>
      </c>
      <c r="P1958" s="267" t="s">
        <v>3944</v>
      </c>
      <c r="Q1958" s="267" t="s">
        <v>3944</v>
      </c>
      <c r="R1958" s="267">
        <v>3315</v>
      </c>
      <c r="S1958" s="267">
        <v>23789</v>
      </c>
      <c r="T1958" s="267">
        <v>27104</v>
      </c>
      <c r="U1958" s="268" t="s">
        <v>3945</v>
      </c>
      <c r="V1958" s="267" t="s">
        <v>944</v>
      </c>
    </row>
    <row r="1959" spans="1:22" hidden="1" x14ac:dyDescent="0.25">
      <c r="A1959" s="269">
        <v>43580</v>
      </c>
      <c r="B1959" s="270">
        <v>2019</v>
      </c>
      <c r="C1959" s="270">
        <v>2019</v>
      </c>
      <c r="D1959" s="270">
        <v>1</v>
      </c>
      <c r="E1959" s="270">
        <v>1</v>
      </c>
      <c r="F1959" s="270" t="s">
        <v>944</v>
      </c>
      <c r="G1959" s="270" t="s">
        <v>3926</v>
      </c>
      <c r="H1959" s="270" t="s">
        <v>6270</v>
      </c>
      <c r="I1959" s="270" t="s">
        <v>3966</v>
      </c>
      <c r="J1959" s="270" t="s">
        <v>3928</v>
      </c>
      <c r="K1959" s="270">
        <v>6010</v>
      </c>
      <c r="L1959" s="270">
        <v>405500</v>
      </c>
      <c r="M1959" s="270" t="s">
        <v>3935</v>
      </c>
      <c r="N1959" s="270" t="s">
        <v>3944</v>
      </c>
      <c r="O1959" s="270">
        <v>4500</v>
      </c>
      <c r="P1959" s="270" t="s">
        <v>3944</v>
      </c>
      <c r="Q1959" s="270" t="s">
        <v>3944</v>
      </c>
      <c r="R1959" s="270">
        <v>4500</v>
      </c>
      <c r="S1959" s="270">
        <v>33200.58</v>
      </c>
      <c r="T1959" s="270">
        <v>37700.58</v>
      </c>
      <c r="U1959" s="271" t="s">
        <v>3945</v>
      </c>
      <c r="V1959" s="267" t="s">
        <v>944</v>
      </c>
    </row>
    <row r="1960" spans="1:22" hidden="1" x14ac:dyDescent="0.25">
      <c r="A1960" s="266">
        <v>43580</v>
      </c>
      <c r="B1960" s="267">
        <v>2019</v>
      </c>
      <c r="C1960" s="267">
        <v>2019</v>
      </c>
      <c r="D1960" s="267">
        <v>1</v>
      </c>
      <c r="E1960" s="267">
        <v>1</v>
      </c>
      <c r="F1960" s="267" t="s">
        <v>944</v>
      </c>
      <c r="G1960" s="267" t="s">
        <v>3926</v>
      </c>
      <c r="H1960" s="267" t="s">
        <v>6271</v>
      </c>
      <c r="I1960" s="267" t="s">
        <v>4147</v>
      </c>
      <c r="J1960" s="267" t="s">
        <v>3928</v>
      </c>
      <c r="K1960" s="267">
        <v>6109</v>
      </c>
      <c r="L1960" s="267">
        <v>492600</v>
      </c>
      <c r="M1960" s="267" t="s">
        <v>3960</v>
      </c>
      <c r="N1960" s="267" t="s">
        <v>3944</v>
      </c>
      <c r="O1960" s="267">
        <v>1731.56</v>
      </c>
      <c r="P1960" s="267" t="s">
        <v>3944</v>
      </c>
      <c r="Q1960" s="267" t="s">
        <v>3944</v>
      </c>
      <c r="R1960" s="267">
        <v>1731.56</v>
      </c>
      <c r="S1960" s="267">
        <v>23111.29</v>
      </c>
      <c r="T1960" s="267">
        <v>24842.85</v>
      </c>
      <c r="U1960" s="268" t="s">
        <v>3945</v>
      </c>
      <c r="V1960" s="267" t="s">
        <v>944</v>
      </c>
    </row>
    <row r="1961" spans="1:22" hidden="1" x14ac:dyDescent="0.25">
      <c r="A1961" s="269">
        <v>43580</v>
      </c>
      <c r="B1961" s="270">
        <v>2019</v>
      </c>
      <c r="C1961" s="270">
        <v>2019</v>
      </c>
      <c r="D1961" s="270">
        <v>1</v>
      </c>
      <c r="E1961" s="270">
        <v>1</v>
      </c>
      <c r="F1961" s="270" t="s">
        <v>944</v>
      </c>
      <c r="G1961" s="270" t="s">
        <v>3926</v>
      </c>
      <c r="H1961" s="270" t="s">
        <v>6272</v>
      </c>
      <c r="I1961" s="270" t="s">
        <v>4556</v>
      </c>
      <c r="J1961" s="270" t="s">
        <v>3928</v>
      </c>
      <c r="K1961" s="270">
        <v>6029</v>
      </c>
      <c r="L1961" s="270">
        <v>535100</v>
      </c>
      <c r="M1961" s="270" t="s">
        <v>3935</v>
      </c>
      <c r="N1961" s="270" t="s">
        <v>3944</v>
      </c>
      <c r="O1961" s="270">
        <v>1664.99</v>
      </c>
      <c r="P1961" s="270" t="s">
        <v>3944</v>
      </c>
      <c r="Q1961" s="270" t="s">
        <v>3944</v>
      </c>
      <c r="R1961" s="270">
        <v>1664.99</v>
      </c>
      <c r="S1961" s="270">
        <v>21061.22</v>
      </c>
      <c r="T1961" s="270">
        <v>22726.21</v>
      </c>
      <c r="U1961" s="271" t="s">
        <v>3945</v>
      </c>
      <c r="V1961" s="267" t="s">
        <v>944</v>
      </c>
    </row>
    <row r="1962" spans="1:22" hidden="1" x14ac:dyDescent="0.25">
      <c r="A1962" s="266">
        <v>43580</v>
      </c>
      <c r="B1962" s="267">
        <v>2019</v>
      </c>
      <c r="C1962" s="267">
        <v>2019</v>
      </c>
      <c r="D1962" s="267">
        <v>1</v>
      </c>
      <c r="E1962" s="267">
        <v>1</v>
      </c>
      <c r="F1962" s="267" t="s">
        <v>944</v>
      </c>
      <c r="G1962" s="267" t="s">
        <v>3926</v>
      </c>
      <c r="H1962" s="267" t="s">
        <v>6273</v>
      </c>
      <c r="I1962" s="267" t="s">
        <v>4172</v>
      </c>
      <c r="J1962" s="267" t="s">
        <v>3928</v>
      </c>
      <c r="K1962" s="267">
        <v>6786</v>
      </c>
      <c r="L1962" s="267">
        <v>425400</v>
      </c>
      <c r="M1962" s="267" t="s">
        <v>3935</v>
      </c>
      <c r="N1962" s="267" t="s">
        <v>3944</v>
      </c>
      <c r="O1962" s="267">
        <v>1639.26</v>
      </c>
      <c r="P1962" s="267" t="s">
        <v>3944</v>
      </c>
      <c r="Q1962" s="267" t="s">
        <v>3944</v>
      </c>
      <c r="R1962" s="267">
        <v>1639.26</v>
      </c>
      <c r="S1962" s="267">
        <v>17169.740000000002</v>
      </c>
      <c r="T1962" s="267">
        <v>18809</v>
      </c>
      <c r="U1962" s="268" t="s">
        <v>3945</v>
      </c>
      <c r="V1962" s="267" t="s">
        <v>944</v>
      </c>
    </row>
    <row r="1963" spans="1:22" hidden="1" x14ac:dyDescent="0.25">
      <c r="A1963" s="269">
        <v>43580</v>
      </c>
      <c r="B1963" s="270">
        <v>2019</v>
      </c>
      <c r="C1963" s="270">
        <v>2019</v>
      </c>
      <c r="D1963" s="270">
        <v>1</v>
      </c>
      <c r="E1963" s="270">
        <v>1</v>
      </c>
      <c r="F1963" s="270" t="s">
        <v>944</v>
      </c>
      <c r="G1963" s="270" t="s">
        <v>3926</v>
      </c>
      <c r="H1963" s="270" t="s">
        <v>6274</v>
      </c>
      <c r="I1963" s="270" t="s">
        <v>3939</v>
      </c>
      <c r="J1963" s="270" t="s">
        <v>3928</v>
      </c>
      <c r="K1963" s="270">
        <v>6512</v>
      </c>
      <c r="L1963" s="270">
        <v>180200</v>
      </c>
      <c r="M1963" s="270" t="s">
        <v>3940</v>
      </c>
      <c r="N1963" s="270" t="s">
        <v>3944</v>
      </c>
      <c r="O1963" s="270">
        <v>644.17999999999995</v>
      </c>
      <c r="P1963" s="270" t="s">
        <v>3944</v>
      </c>
      <c r="Q1963" s="270" t="s">
        <v>3944</v>
      </c>
      <c r="R1963" s="270">
        <v>644.17999999999995</v>
      </c>
      <c r="S1963" s="270">
        <v>9408.83</v>
      </c>
      <c r="T1963" s="270">
        <v>10053.01</v>
      </c>
      <c r="U1963" s="271" t="s">
        <v>3945</v>
      </c>
      <c r="V1963" s="267" t="s">
        <v>944</v>
      </c>
    </row>
    <row r="1964" spans="1:22" hidden="1" x14ac:dyDescent="0.25">
      <c r="A1964" s="266">
        <v>43580</v>
      </c>
      <c r="B1964" s="267">
        <v>2019</v>
      </c>
      <c r="C1964" s="267">
        <v>2019</v>
      </c>
      <c r="D1964" s="267">
        <v>1</v>
      </c>
      <c r="E1964" s="267">
        <v>1</v>
      </c>
      <c r="F1964" s="267" t="s">
        <v>944</v>
      </c>
      <c r="G1964" s="267" t="s">
        <v>3926</v>
      </c>
      <c r="H1964" s="267" t="s">
        <v>6275</v>
      </c>
      <c r="I1964" s="267" t="s">
        <v>4548</v>
      </c>
      <c r="J1964" s="267" t="s">
        <v>3928</v>
      </c>
      <c r="K1964" s="267">
        <v>6037</v>
      </c>
      <c r="L1964" s="267">
        <v>400300</v>
      </c>
      <c r="M1964" s="267" t="s">
        <v>3960</v>
      </c>
      <c r="N1964" s="267" t="s">
        <v>3944</v>
      </c>
      <c r="O1964" s="267">
        <v>1718.5</v>
      </c>
      <c r="P1964" s="267" t="s">
        <v>3944</v>
      </c>
      <c r="Q1964" s="267" t="s">
        <v>3944</v>
      </c>
      <c r="R1964" s="267">
        <v>1718.5</v>
      </c>
      <c r="S1964" s="267">
        <v>19673.099999999999</v>
      </c>
      <c r="T1964" s="267">
        <v>21391.599999999999</v>
      </c>
      <c r="U1964" s="268" t="s">
        <v>3945</v>
      </c>
      <c r="V1964" s="267" t="s">
        <v>944</v>
      </c>
    </row>
    <row r="1965" spans="1:22" hidden="1" x14ac:dyDescent="0.25">
      <c r="A1965" s="269">
        <v>43580</v>
      </c>
      <c r="B1965" s="270">
        <v>2019</v>
      </c>
      <c r="C1965" s="270">
        <v>2019</v>
      </c>
      <c r="D1965" s="270">
        <v>1</v>
      </c>
      <c r="E1965" s="270">
        <v>1</v>
      </c>
      <c r="F1965" s="270" t="s">
        <v>944</v>
      </c>
      <c r="G1965" s="270" t="s">
        <v>3926</v>
      </c>
      <c r="H1965" s="270" t="s">
        <v>6276</v>
      </c>
      <c r="I1965" s="270" t="s">
        <v>4019</v>
      </c>
      <c r="J1965" s="270" t="s">
        <v>3928</v>
      </c>
      <c r="K1965" s="270">
        <v>6704</v>
      </c>
      <c r="L1965" s="270">
        <v>352500</v>
      </c>
      <c r="M1965" s="270">
        <v>-60</v>
      </c>
      <c r="N1965" s="270" t="s">
        <v>3944</v>
      </c>
      <c r="O1965" s="270">
        <v>1110.4100000000001</v>
      </c>
      <c r="P1965" s="270" t="s">
        <v>3944</v>
      </c>
      <c r="Q1965" s="270" t="s">
        <v>3944</v>
      </c>
      <c r="R1965" s="270">
        <v>1110.4100000000001</v>
      </c>
      <c r="S1965" s="270">
        <v>13954.15</v>
      </c>
      <c r="T1965" s="270">
        <v>15064.56</v>
      </c>
      <c r="U1965" s="271" t="s">
        <v>3945</v>
      </c>
      <c r="V1965" s="267" t="s">
        <v>944</v>
      </c>
    </row>
    <row r="1966" spans="1:22" hidden="1" x14ac:dyDescent="0.25">
      <c r="A1966" s="266">
        <v>43580</v>
      </c>
      <c r="B1966" s="267">
        <v>2019</v>
      </c>
      <c r="C1966" s="267">
        <v>2019</v>
      </c>
      <c r="D1966" s="267">
        <v>1</v>
      </c>
      <c r="E1966" s="267">
        <v>1</v>
      </c>
      <c r="F1966" s="267" t="s">
        <v>944</v>
      </c>
      <c r="G1966" s="267" t="s">
        <v>3926</v>
      </c>
      <c r="H1966" s="267" t="s">
        <v>6277</v>
      </c>
      <c r="I1966" s="267" t="s">
        <v>4014</v>
      </c>
      <c r="J1966" s="267" t="s">
        <v>3928</v>
      </c>
      <c r="K1966" s="267">
        <v>6420</v>
      </c>
      <c r="L1966" s="267">
        <v>715100</v>
      </c>
      <c r="M1966" s="267" t="s">
        <v>3943</v>
      </c>
      <c r="N1966" s="267" t="s">
        <v>3944</v>
      </c>
      <c r="O1966" s="267">
        <v>2191.14</v>
      </c>
      <c r="P1966" s="267" t="s">
        <v>3944</v>
      </c>
      <c r="Q1966" s="267" t="s">
        <v>3944</v>
      </c>
      <c r="R1966" s="267">
        <v>2191.14</v>
      </c>
      <c r="S1966" s="267">
        <v>28479.42</v>
      </c>
      <c r="T1966" s="267">
        <v>30670.560000000001</v>
      </c>
      <c r="U1966" s="268" t="s">
        <v>3945</v>
      </c>
      <c r="V1966" s="267" t="s">
        <v>944</v>
      </c>
    </row>
    <row r="1967" spans="1:22" hidden="1" x14ac:dyDescent="0.25">
      <c r="A1967" s="269">
        <v>43581</v>
      </c>
      <c r="B1967" s="270">
        <v>2019</v>
      </c>
      <c r="C1967" s="270">
        <v>2019</v>
      </c>
      <c r="D1967" s="270">
        <v>1</v>
      </c>
      <c r="E1967" s="270">
        <v>1</v>
      </c>
      <c r="F1967" s="270" t="s">
        <v>944</v>
      </c>
      <c r="G1967" s="270" t="s">
        <v>3926</v>
      </c>
      <c r="H1967" s="270" t="s">
        <v>6278</v>
      </c>
      <c r="I1967" s="270" t="s">
        <v>4019</v>
      </c>
      <c r="J1967" s="270" t="s">
        <v>3928</v>
      </c>
      <c r="K1967" s="270">
        <v>6704</v>
      </c>
      <c r="L1967" s="270">
        <v>352400</v>
      </c>
      <c r="M1967" s="270">
        <v>-60</v>
      </c>
      <c r="N1967" s="270" t="s">
        <v>6279</v>
      </c>
      <c r="O1967" s="270">
        <v>0</v>
      </c>
      <c r="P1967" s="270" t="s">
        <v>3930</v>
      </c>
      <c r="Q1967" s="270" t="s">
        <v>3930</v>
      </c>
      <c r="R1967" s="270">
        <v>0</v>
      </c>
      <c r="S1967" s="270">
        <v>15403.12</v>
      </c>
      <c r="T1967" s="270">
        <v>15403.12</v>
      </c>
      <c r="U1967" s="271" t="s">
        <v>3937</v>
      </c>
      <c r="V1967" s="267" t="s">
        <v>944</v>
      </c>
    </row>
    <row r="1968" spans="1:22" x14ac:dyDescent="0.25">
      <c r="A1968" s="266">
        <v>43581</v>
      </c>
      <c r="B1968" s="267">
        <v>2019</v>
      </c>
      <c r="C1968" s="267">
        <v>2019</v>
      </c>
      <c r="D1968" s="267">
        <v>1</v>
      </c>
      <c r="E1968" s="267">
        <v>1</v>
      </c>
      <c r="F1968" s="267" t="s">
        <v>944</v>
      </c>
      <c r="G1968" s="267" t="s">
        <v>3926</v>
      </c>
      <c r="H1968" s="267" t="s">
        <v>6280</v>
      </c>
      <c r="I1968" s="267" t="s">
        <v>943</v>
      </c>
      <c r="J1968" s="267" t="s">
        <v>3928</v>
      </c>
      <c r="K1968" s="267">
        <v>6511</v>
      </c>
      <c r="L1968" s="267">
        <v>141500</v>
      </c>
      <c r="M1968" s="267">
        <v>-60</v>
      </c>
      <c r="N1968" s="267" t="s">
        <v>5489</v>
      </c>
      <c r="O1968" s="267">
        <v>1300.78</v>
      </c>
      <c r="P1968" s="267" t="s">
        <v>3930</v>
      </c>
      <c r="Q1968" s="267" t="s">
        <v>3931</v>
      </c>
      <c r="R1968" s="267">
        <v>6300.78</v>
      </c>
      <c r="S1968" s="267">
        <v>16817.8</v>
      </c>
      <c r="T1968" s="267">
        <v>23118.58</v>
      </c>
      <c r="U1968" s="268" t="s">
        <v>3932</v>
      </c>
      <c r="V1968" s="276" t="s">
        <v>936</v>
      </c>
    </row>
    <row r="1969" spans="1:22" hidden="1" x14ac:dyDescent="0.25">
      <c r="A1969" s="269">
        <v>43581</v>
      </c>
      <c r="B1969" s="270">
        <v>2019</v>
      </c>
      <c r="C1969" s="270">
        <v>2019</v>
      </c>
      <c r="D1969" s="270">
        <v>1</v>
      </c>
      <c r="E1969" s="270">
        <v>1</v>
      </c>
      <c r="F1969" s="270" t="s">
        <v>944</v>
      </c>
      <c r="G1969" s="270" t="s">
        <v>3926</v>
      </c>
      <c r="H1969" s="270" t="s">
        <v>6281</v>
      </c>
      <c r="I1969" s="270" t="s">
        <v>2985</v>
      </c>
      <c r="J1969" s="270" t="s">
        <v>3928</v>
      </c>
      <c r="K1969" s="270">
        <v>6824</v>
      </c>
      <c r="L1969" s="270">
        <v>61400</v>
      </c>
      <c r="M1969" s="270" t="s">
        <v>3960</v>
      </c>
      <c r="N1969" s="270" t="s">
        <v>4103</v>
      </c>
      <c r="O1969" s="270">
        <v>1482.04</v>
      </c>
      <c r="P1969" s="270" t="s">
        <v>3930</v>
      </c>
      <c r="Q1969" s="270" t="s">
        <v>3931</v>
      </c>
      <c r="R1969" s="270">
        <v>6482.04</v>
      </c>
      <c r="S1969" s="270">
        <v>24145.599999999999</v>
      </c>
      <c r="T1969" s="270">
        <v>30627.64</v>
      </c>
      <c r="U1969" s="271" t="s">
        <v>3932</v>
      </c>
      <c r="V1969" s="267" t="s">
        <v>944</v>
      </c>
    </row>
    <row r="1970" spans="1:22" hidden="1" x14ac:dyDescent="0.25">
      <c r="A1970" s="266">
        <v>43581</v>
      </c>
      <c r="B1970" s="267">
        <v>2019</v>
      </c>
      <c r="C1970" s="267">
        <v>2019</v>
      </c>
      <c r="D1970" s="267">
        <v>1</v>
      </c>
      <c r="E1970" s="267">
        <v>1</v>
      </c>
      <c r="F1970" s="267" t="s">
        <v>944</v>
      </c>
      <c r="G1970" s="267" t="s">
        <v>3926</v>
      </c>
      <c r="H1970" s="267" t="s">
        <v>6282</v>
      </c>
      <c r="I1970" s="267" t="s">
        <v>2985</v>
      </c>
      <c r="J1970" s="267" t="s">
        <v>3928</v>
      </c>
      <c r="K1970" s="267">
        <v>6824</v>
      </c>
      <c r="L1970" s="267">
        <v>61400</v>
      </c>
      <c r="M1970" s="267" t="s">
        <v>3960</v>
      </c>
      <c r="N1970" s="267" t="s">
        <v>4493</v>
      </c>
      <c r="O1970" s="267">
        <v>1461.53</v>
      </c>
      <c r="P1970" s="267" t="s">
        <v>3930</v>
      </c>
      <c r="Q1970" s="267" t="s">
        <v>3931</v>
      </c>
      <c r="R1970" s="267">
        <v>6461.53</v>
      </c>
      <c r="S1970" s="267">
        <v>27900.400000000001</v>
      </c>
      <c r="T1970" s="267">
        <v>34361.93</v>
      </c>
      <c r="U1970" s="268" t="s">
        <v>3932</v>
      </c>
      <c r="V1970" s="267" t="s">
        <v>944</v>
      </c>
    </row>
    <row r="1971" spans="1:22" x14ac:dyDescent="0.25">
      <c r="A1971" s="269">
        <v>43581</v>
      </c>
      <c r="B1971" s="270">
        <v>2019</v>
      </c>
      <c r="C1971" s="270">
        <v>2019</v>
      </c>
      <c r="D1971" s="270">
        <v>1</v>
      </c>
      <c r="E1971" s="270">
        <v>1</v>
      </c>
      <c r="F1971" s="270" t="s">
        <v>944</v>
      </c>
      <c r="G1971" s="270" t="s">
        <v>3926</v>
      </c>
      <c r="H1971" s="270" t="s">
        <v>6283</v>
      </c>
      <c r="I1971" s="270" t="s">
        <v>934</v>
      </c>
      <c r="J1971" s="270" t="s">
        <v>3928</v>
      </c>
      <c r="K1971" s="270">
        <v>6610</v>
      </c>
      <c r="L1971" s="270">
        <v>73300</v>
      </c>
      <c r="M1971" s="270">
        <v>-60</v>
      </c>
      <c r="N1971" s="270" t="s">
        <v>4103</v>
      </c>
      <c r="O1971" s="270">
        <v>4096.3500000000004</v>
      </c>
      <c r="P1971" s="270" t="s">
        <v>3930</v>
      </c>
      <c r="Q1971" s="270" t="s">
        <v>3931</v>
      </c>
      <c r="R1971" s="270">
        <v>9096.35</v>
      </c>
      <c r="S1971" s="270">
        <v>24145.599999999999</v>
      </c>
      <c r="T1971" s="270">
        <v>33241.949999999997</v>
      </c>
      <c r="U1971" s="271" t="s">
        <v>3932</v>
      </c>
      <c r="V1971" s="276" t="s">
        <v>936</v>
      </c>
    </row>
    <row r="1972" spans="1:22" hidden="1" x14ac:dyDescent="0.25">
      <c r="A1972" s="266">
        <v>43581</v>
      </c>
      <c r="B1972" s="267">
        <v>2019</v>
      </c>
      <c r="C1972" s="267">
        <v>2019</v>
      </c>
      <c r="D1972" s="267">
        <v>1</v>
      </c>
      <c r="E1972" s="267">
        <v>1</v>
      </c>
      <c r="F1972" s="267" t="s">
        <v>944</v>
      </c>
      <c r="G1972" s="267" t="s">
        <v>3926</v>
      </c>
      <c r="H1972" s="267" t="s">
        <v>6284</v>
      </c>
      <c r="I1972" s="267" t="s">
        <v>4353</v>
      </c>
      <c r="J1972" s="267" t="s">
        <v>3928</v>
      </c>
      <c r="K1972" s="267">
        <v>6416</v>
      </c>
      <c r="L1972" s="267">
        <v>570200</v>
      </c>
      <c r="M1972" s="267" t="s">
        <v>3943</v>
      </c>
      <c r="N1972" s="267" t="s">
        <v>3944</v>
      </c>
      <c r="O1972" s="267">
        <v>2699.27</v>
      </c>
      <c r="P1972" s="267" t="s">
        <v>3944</v>
      </c>
      <c r="Q1972" s="267" t="s">
        <v>3944</v>
      </c>
      <c r="R1972" s="267">
        <v>2699.27</v>
      </c>
      <c r="S1972" s="267">
        <v>38968.93</v>
      </c>
      <c r="T1972" s="267">
        <v>41668.199999999997</v>
      </c>
      <c r="U1972" s="268" t="s">
        <v>3945</v>
      </c>
      <c r="V1972" s="267" t="s">
        <v>944</v>
      </c>
    </row>
    <row r="1973" spans="1:22" hidden="1" x14ac:dyDescent="0.25">
      <c r="A1973" s="269">
        <v>43581</v>
      </c>
      <c r="B1973" s="270">
        <v>2019</v>
      </c>
      <c r="C1973" s="270">
        <v>2019</v>
      </c>
      <c r="D1973" s="270">
        <v>1</v>
      </c>
      <c r="E1973" s="270">
        <v>1</v>
      </c>
      <c r="F1973" s="270" t="s">
        <v>944</v>
      </c>
      <c r="G1973" s="270" t="s">
        <v>3926</v>
      </c>
      <c r="H1973" s="270" t="s">
        <v>6285</v>
      </c>
      <c r="I1973" s="270" t="s">
        <v>3990</v>
      </c>
      <c r="J1973" s="270" t="s">
        <v>3928</v>
      </c>
      <c r="K1973" s="270">
        <v>6804</v>
      </c>
      <c r="L1973" s="270">
        <v>205200</v>
      </c>
      <c r="M1973" s="270" t="s">
        <v>3943</v>
      </c>
      <c r="N1973" s="270" t="s">
        <v>3944</v>
      </c>
      <c r="O1973" s="270">
        <v>3739.37</v>
      </c>
      <c r="P1973" s="270" t="s">
        <v>3944</v>
      </c>
      <c r="Q1973" s="270" t="s">
        <v>3944</v>
      </c>
      <c r="R1973" s="270">
        <v>3739.37</v>
      </c>
      <c r="S1973" s="270">
        <v>41690.629999999997</v>
      </c>
      <c r="T1973" s="270">
        <v>45430</v>
      </c>
      <c r="U1973" s="271" t="s">
        <v>3945</v>
      </c>
      <c r="V1973" s="267" t="s">
        <v>944</v>
      </c>
    </row>
    <row r="1974" spans="1:22" hidden="1" x14ac:dyDescent="0.25">
      <c r="A1974" s="266">
        <v>43581</v>
      </c>
      <c r="B1974" s="267">
        <v>2019</v>
      </c>
      <c r="C1974" s="267">
        <v>2019</v>
      </c>
      <c r="D1974" s="267">
        <v>1</v>
      </c>
      <c r="E1974" s="267">
        <v>1</v>
      </c>
      <c r="F1974" s="267" t="s">
        <v>944</v>
      </c>
      <c r="G1974" s="267" t="s">
        <v>3926</v>
      </c>
      <c r="H1974" s="267" t="s">
        <v>6286</v>
      </c>
      <c r="I1974" s="267" t="s">
        <v>4114</v>
      </c>
      <c r="J1974" s="267" t="s">
        <v>3928</v>
      </c>
      <c r="K1974" s="267">
        <v>6410</v>
      </c>
      <c r="L1974" s="267">
        <v>343102</v>
      </c>
      <c r="M1974" s="267" t="s">
        <v>3943</v>
      </c>
      <c r="N1974" s="267" t="s">
        <v>3944</v>
      </c>
      <c r="O1974" s="267">
        <v>2245.46</v>
      </c>
      <c r="P1974" s="267" t="s">
        <v>3944</v>
      </c>
      <c r="Q1974" s="267" t="s">
        <v>3944</v>
      </c>
      <c r="R1974" s="267">
        <v>2245.46</v>
      </c>
      <c r="S1974" s="267">
        <v>30027.54</v>
      </c>
      <c r="T1974" s="267">
        <v>32273</v>
      </c>
      <c r="U1974" s="268" t="s">
        <v>3945</v>
      </c>
      <c r="V1974" s="267" t="s">
        <v>944</v>
      </c>
    </row>
    <row r="1975" spans="1:22" hidden="1" x14ac:dyDescent="0.25">
      <c r="A1975" s="269">
        <v>43581</v>
      </c>
      <c r="B1975" s="270">
        <v>2019</v>
      </c>
      <c r="C1975" s="270">
        <v>2019</v>
      </c>
      <c r="D1975" s="270">
        <v>1</v>
      </c>
      <c r="E1975" s="270">
        <v>1</v>
      </c>
      <c r="F1975" s="270" t="s">
        <v>944</v>
      </c>
      <c r="G1975" s="270" t="s">
        <v>3926</v>
      </c>
      <c r="H1975" s="270" t="s">
        <v>6287</v>
      </c>
      <c r="I1975" s="270" t="s">
        <v>4839</v>
      </c>
      <c r="J1975" s="270" t="s">
        <v>3928</v>
      </c>
      <c r="K1975" s="270">
        <v>6524</v>
      </c>
      <c r="L1975" s="270">
        <v>161100</v>
      </c>
      <c r="M1975" s="270" t="s">
        <v>3943</v>
      </c>
      <c r="N1975" s="270" t="s">
        <v>3944</v>
      </c>
      <c r="O1975" s="270">
        <v>4077.61</v>
      </c>
      <c r="P1975" s="270" t="s">
        <v>3944</v>
      </c>
      <c r="Q1975" s="270" t="s">
        <v>3944</v>
      </c>
      <c r="R1975" s="270">
        <v>4077.61</v>
      </c>
      <c r="S1975" s="270">
        <v>51221.91</v>
      </c>
      <c r="T1975" s="270">
        <v>55299.519999999997</v>
      </c>
      <c r="U1975" s="271" t="s">
        <v>3945</v>
      </c>
      <c r="V1975" s="267" t="s">
        <v>944</v>
      </c>
    </row>
    <row r="1976" spans="1:22" hidden="1" x14ac:dyDescent="0.25">
      <c r="A1976" s="266">
        <v>43581</v>
      </c>
      <c r="B1976" s="267">
        <v>2019</v>
      </c>
      <c r="C1976" s="267">
        <v>2019</v>
      </c>
      <c r="D1976" s="267">
        <v>1</v>
      </c>
      <c r="E1976" s="267">
        <v>1</v>
      </c>
      <c r="F1976" s="267" t="s">
        <v>944</v>
      </c>
      <c r="G1976" s="267" t="s">
        <v>3926</v>
      </c>
      <c r="H1976" s="267" t="s">
        <v>6288</v>
      </c>
      <c r="I1976" s="267" t="s">
        <v>4422</v>
      </c>
      <c r="J1976" s="267" t="s">
        <v>3928</v>
      </c>
      <c r="K1976" s="267">
        <v>6801</v>
      </c>
      <c r="L1976" s="267">
        <v>200301</v>
      </c>
      <c r="M1976" s="267" t="s">
        <v>3943</v>
      </c>
      <c r="N1976" s="267" t="s">
        <v>3944</v>
      </c>
      <c r="O1976" s="267">
        <v>1834.84</v>
      </c>
      <c r="P1976" s="267" t="s">
        <v>3944</v>
      </c>
      <c r="Q1976" s="267" t="s">
        <v>3944</v>
      </c>
      <c r="R1976" s="267">
        <v>1834.84</v>
      </c>
      <c r="S1976" s="267">
        <v>25675</v>
      </c>
      <c r="T1976" s="267">
        <v>27509.84</v>
      </c>
      <c r="U1976" s="268" t="s">
        <v>3945</v>
      </c>
      <c r="V1976" s="267" t="s">
        <v>944</v>
      </c>
    </row>
    <row r="1977" spans="1:22" hidden="1" x14ac:dyDescent="0.25">
      <c r="A1977" s="269">
        <v>43582</v>
      </c>
      <c r="B1977" s="270">
        <v>2019</v>
      </c>
      <c r="C1977" s="270">
        <v>2019</v>
      </c>
      <c r="D1977" s="270">
        <v>1</v>
      </c>
      <c r="E1977" s="270">
        <v>1</v>
      </c>
      <c r="F1977" s="270" t="s">
        <v>944</v>
      </c>
      <c r="G1977" s="270" t="s">
        <v>3926</v>
      </c>
      <c r="H1977" s="270" t="s">
        <v>6289</v>
      </c>
      <c r="I1977" s="270" t="s">
        <v>4037</v>
      </c>
      <c r="J1977" s="270" t="s">
        <v>3928</v>
      </c>
      <c r="K1977" s="270">
        <v>6811</v>
      </c>
      <c r="L1977" s="270">
        <v>211200</v>
      </c>
      <c r="M1977" s="270" t="s">
        <v>3960</v>
      </c>
      <c r="N1977" s="270" t="s">
        <v>6290</v>
      </c>
      <c r="O1977" s="270">
        <v>0</v>
      </c>
      <c r="P1977" s="270" t="s">
        <v>3930</v>
      </c>
      <c r="Q1977" s="270" t="s">
        <v>3930</v>
      </c>
      <c r="R1977" s="270">
        <v>0</v>
      </c>
      <c r="S1977" s="270">
        <v>18740</v>
      </c>
      <c r="T1977" s="270">
        <v>18740</v>
      </c>
      <c r="U1977" s="271" t="s">
        <v>3937</v>
      </c>
      <c r="V1977" s="267" t="s">
        <v>944</v>
      </c>
    </row>
    <row r="1978" spans="1:22" hidden="1" x14ac:dyDescent="0.25">
      <c r="A1978" s="266">
        <v>43582</v>
      </c>
      <c r="B1978" s="267">
        <v>2019</v>
      </c>
      <c r="C1978" s="267">
        <v>2019</v>
      </c>
      <c r="D1978" s="267">
        <v>1</v>
      </c>
      <c r="E1978" s="267">
        <v>1</v>
      </c>
      <c r="F1978" s="267" t="s">
        <v>944</v>
      </c>
      <c r="G1978" s="267" t="s">
        <v>3926</v>
      </c>
      <c r="H1978" s="267" t="s">
        <v>6291</v>
      </c>
      <c r="I1978" s="267" t="s">
        <v>4011</v>
      </c>
      <c r="J1978" s="267" t="s">
        <v>3928</v>
      </c>
      <c r="K1978" s="267">
        <v>6002</v>
      </c>
      <c r="L1978" s="267">
        <v>471400</v>
      </c>
      <c r="M1978" s="267" t="s">
        <v>3943</v>
      </c>
      <c r="N1978" s="267" t="s">
        <v>4495</v>
      </c>
      <c r="O1978" s="267">
        <v>0</v>
      </c>
      <c r="P1978" s="267" t="s">
        <v>3930</v>
      </c>
      <c r="Q1978" s="267" t="s">
        <v>3931</v>
      </c>
      <c r="R1978" s="267">
        <v>5000</v>
      </c>
      <c r="S1978" s="267">
        <v>33976</v>
      </c>
      <c r="T1978" s="267">
        <v>38976</v>
      </c>
      <c r="U1978" s="268" t="s">
        <v>3932</v>
      </c>
      <c r="V1978" s="267" t="s">
        <v>944</v>
      </c>
    </row>
    <row r="1979" spans="1:22" hidden="1" x14ac:dyDescent="0.25">
      <c r="A1979" s="269">
        <v>43582</v>
      </c>
      <c r="B1979" s="270">
        <v>2019</v>
      </c>
      <c r="C1979" s="270">
        <v>2019</v>
      </c>
      <c r="D1979" s="270">
        <v>1</v>
      </c>
      <c r="E1979" s="270">
        <v>1</v>
      </c>
      <c r="F1979" s="270" t="s">
        <v>944</v>
      </c>
      <c r="G1979" s="270" t="s">
        <v>3926</v>
      </c>
      <c r="H1979" s="270" t="s">
        <v>6292</v>
      </c>
      <c r="I1979" s="270" t="s">
        <v>4172</v>
      </c>
      <c r="J1979" s="270" t="s">
        <v>3928</v>
      </c>
      <c r="K1979" s="270">
        <v>6782</v>
      </c>
      <c r="L1979" s="270">
        <v>425300</v>
      </c>
      <c r="M1979" s="270" t="s">
        <v>3960</v>
      </c>
      <c r="N1979" s="270" t="s">
        <v>6293</v>
      </c>
      <c r="O1979" s="270">
        <v>0</v>
      </c>
      <c r="P1979" s="270" t="s">
        <v>3930</v>
      </c>
      <c r="Q1979" s="270" t="s">
        <v>3930</v>
      </c>
      <c r="R1979" s="270">
        <v>0</v>
      </c>
      <c r="S1979" s="270">
        <v>3200</v>
      </c>
      <c r="T1979" s="270">
        <v>3200</v>
      </c>
      <c r="U1979" s="271" t="s">
        <v>3937</v>
      </c>
      <c r="V1979" s="267" t="s">
        <v>944</v>
      </c>
    </row>
    <row r="1980" spans="1:22" hidden="1" x14ac:dyDescent="0.25">
      <c r="A1980" s="266">
        <v>43584</v>
      </c>
      <c r="B1980" s="267">
        <v>2019</v>
      </c>
      <c r="C1980" s="267">
        <v>2019</v>
      </c>
      <c r="D1980" s="267">
        <v>1</v>
      </c>
      <c r="E1980" s="267">
        <v>1</v>
      </c>
      <c r="F1980" s="267" t="s">
        <v>944</v>
      </c>
      <c r="G1980" s="267" t="s">
        <v>3926</v>
      </c>
      <c r="H1980" s="267" t="s">
        <v>6294</v>
      </c>
      <c r="I1980" s="267" t="s">
        <v>4003</v>
      </c>
      <c r="J1980" s="267" t="s">
        <v>3928</v>
      </c>
      <c r="K1980" s="267">
        <v>6374</v>
      </c>
      <c r="L1980" s="267">
        <v>907300</v>
      </c>
      <c r="M1980" s="267" t="s">
        <v>3935</v>
      </c>
      <c r="N1980" s="267" t="s">
        <v>6295</v>
      </c>
      <c r="O1980" s="267">
        <v>0</v>
      </c>
      <c r="P1980" s="267" t="s">
        <v>3930</v>
      </c>
      <c r="Q1980" s="267" t="s">
        <v>3930</v>
      </c>
      <c r="R1980" s="267">
        <v>0</v>
      </c>
      <c r="S1980" s="267">
        <v>6200</v>
      </c>
      <c r="T1980" s="267">
        <v>6200</v>
      </c>
      <c r="U1980" s="268" t="s">
        <v>3937</v>
      </c>
      <c r="V1980" s="267" t="s">
        <v>944</v>
      </c>
    </row>
    <row r="1981" spans="1:22" hidden="1" x14ac:dyDescent="0.25">
      <c r="A1981" s="269">
        <v>43584</v>
      </c>
      <c r="B1981" s="270">
        <v>2019</v>
      </c>
      <c r="C1981" s="270">
        <v>2019</v>
      </c>
      <c r="D1981" s="270">
        <v>1</v>
      </c>
      <c r="E1981" s="270">
        <v>1</v>
      </c>
      <c r="F1981" s="270" t="s">
        <v>944</v>
      </c>
      <c r="G1981" s="270" t="s">
        <v>3926</v>
      </c>
      <c r="H1981" s="270" t="s">
        <v>6296</v>
      </c>
      <c r="I1981" s="270" t="s">
        <v>934</v>
      </c>
      <c r="J1981" s="270" t="s">
        <v>3928</v>
      </c>
      <c r="K1981" s="270">
        <v>6610</v>
      </c>
      <c r="L1981" s="270">
        <v>73200</v>
      </c>
      <c r="M1981" s="270">
        <v>-60</v>
      </c>
      <c r="N1981" s="270" t="s">
        <v>3986</v>
      </c>
      <c r="O1981" s="270">
        <v>3130.85</v>
      </c>
      <c r="P1981" s="270" t="s">
        <v>3930</v>
      </c>
      <c r="Q1981" s="270" t="s">
        <v>3931</v>
      </c>
      <c r="R1981" s="270">
        <v>8130.85</v>
      </c>
      <c r="S1981" s="270">
        <v>16196.8</v>
      </c>
      <c r="T1981" s="270">
        <v>24327.65</v>
      </c>
      <c r="U1981" s="271" t="s">
        <v>3932</v>
      </c>
      <c r="V1981" s="267" t="s">
        <v>944</v>
      </c>
    </row>
    <row r="1982" spans="1:22" hidden="1" x14ac:dyDescent="0.25">
      <c r="A1982" s="266">
        <v>43584</v>
      </c>
      <c r="B1982" s="267">
        <v>2019</v>
      </c>
      <c r="C1982" s="267">
        <v>2019</v>
      </c>
      <c r="D1982" s="267">
        <v>1</v>
      </c>
      <c r="E1982" s="267">
        <v>1</v>
      </c>
      <c r="F1982" s="267" t="s">
        <v>944</v>
      </c>
      <c r="G1982" s="267" t="s">
        <v>3926</v>
      </c>
      <c r="H1982" s="267" t="s">
        <v>6297</v>
      </c>
      <c r="I1982" s="267" t="s">
        <v>956</v>
      </c>
      <c r="J1982" s="267" t="s">
        <v>3928</v>
      </c>
      <c r="K1982" s="267">
        <v>6614</v>
      </c>
      <c r="L1982" s="267">
        <v>81300</v>
      </c>
      <c r="M1982" s="267" t="s">
        <v>3935</v>
      </c>
      <c r="N1982" s="267" t="s">
        <v>4103</v>
      </c>
      <c r="O1982" s="267">
        <v>1470.25</v>
      </c>
      <c r="P1982" s="267" t="s">
        <v>3930</v>
      </c>
      <c r="Q1982" s="267" t="s">
        <v>3931</v>
      </c>
      <c r="R1982" s="267">
        <v>6470.25</v>
      </c>
      <c r="S1982" s="267">
        <v>24145.599999999999</v>
      </c>
      <c r="T1982" s="267">
        <v>30615.85</v>
      </c>
      <c r="U1982" s="268" t="s">
        <v>3932</v>
      </c>
      <c r="V1982" s="267" t="s">
        <v>944</v>
      </c>
    </row>
    <row r="1983" spans="1:22" hidden="1" x14ac:dyDescent="0.25">
      <c r="A1983" s="269">
        <v>43584</v>
      </c>
      <c r="B1983" s="270">
        <v>2019</v>
      </c>
      <c r="C1983" s="270">
        <v>2019</v>
      </c>
      <c r="D1983" s="270">
        <v>1</v>
      </c>
      <c r="E1983" s="270">
        <v>1</v>
      </c>
      <c r="F1983" s="270" t="s">
        <v>944</v>
      </c>
      <c r="G1983" s="270" t="s">
        <v>3926</v>
      </c>
      <c r="H1983" s="270" t="s">
        <v>6298</v>
      </c>
      <c r="I1983" s="270" t="s">
        <v>4019</v>
      </c>
      <c r="J1983" s="270" t="s">
        <v>3928</v>
      </c>
      <c r="K1983" s="270">
        <v>6708</v>
      </c>
      <c r="L1983" s="270">
        <v>351800</v>
      </c>
      <c r="M1983" s="270" t="s">
        <v>3940</v>
      </c>
      <c r="N1983" s="270" t="s">
        <v>3986</v>
      </c>
      <c r="O1983" s="270">
        <v>1199.8</v>
      </c>
      <c r="P1983" s="270" t="s">
        <v>3930</v>
      </c>
      <c r="Q1983" s="270" t="s">
        <v>3931</v>
      </c>
      <c r="R1983" s="270">
        <v>6199.8</v>
      </c>
      <c r="S1983" s="270">
        <v>16196.8</v>
      </c>
      <c r="T1983" s="270">
        <v>22396.6</v>
      </c>
      <c r="U1983" s="271" t="s">
        <v>3932</v>
      </c>
      <c r="V1983" s="267" t="s">
        <v>944</v>
      </c>
    </row>
    <row r="1984" spans="1:22" hidden="1" x14ac:dyDescent="0.25">
      <c r="A1984" s="266">
        <v>43584</v>
      </c>
      <c r="B1984" s="267">
        <v>2019</v>
      </c>
      <c r="C1984" s="267">
        <v>2019</v>
      </c>
      <c r="D1984" s="267">
        <v>1</v>
      </c>
      <c r="E1984" s="267">
        <v>1</v>
      </c>
      <c r="F1984" s="267" t="s">
        <v>944</v>
      </c>
      <c r="G1984" s="267" t="s">
        <v>3926</v>
      </c>
      <c r="H1984" s="267" t="s">
        <v>6299</v>
      </c>
      <c r="I1984" s="267" t="s">
        <v>956</v>
      </c>
      <c r="J1984" s="267" t="s">
        <v>3928</v>
      </c>
      <c r="K1984" s="267">
        <v>6614</v>
      </c>
      <c r="L1984" s="267">
        <v>80800</v>
      </c>
      <c r="M1984" s="267" t="s">
        <v>3960</v>
      </c>
      <c r="N1984" s="267" t="s">
        <v>5607</v>
      </c>
      <c r="O1984" s="267">
        <v>1299.3399999999999</v>
      </c>
      <c r="P1984" s="267" t="s">
        <v>3930</v>
      </c>
      <c r="Q1984" s="267" t="s">
        <v>3931</v>
      </c>
      <c r="R1984" s="267">
        <v>6299.34</v>
      </c>
      <c r="S1984" s="267">
        <v>17190.400000000001</v>
      </c>
      <c r="T1984" s="267">
        <v>23489.74</v>
      </c>
      <c r="U1984" s="268" t="s">
        <v>3932</v>
      </c>
      <c r="V1984" s="267" t="s">
        <v>944</v>
      </c>
    </row>
    <row r="1985" spans="1:22" hidden="1" x14ac:dyDescent="0.25">
      <c r="A1985" s="269">
        <v>43584</v>
      </c>
      <c r="B1985" s="270">
        <v>2019</v>
      </c>
      <c r="C1985" s="270">
        <v>2019</v>
      </c>
      <c r="D1985" s="270">
        <v>1</v>
      </c>
      <c r="E1985" s="270">
        <v>1</v>
      </c>
      <c r="F1985" s="270" t="s">
        <v>944</v>
      </c>
      <c r="G1985" s="270" t="s">
        <v>3926</v>
      </c>
      <c r="H1985" s="270" t="s">
        <v>6300</v>
      </c>
      <c r="I1985" s="270" t="s">
        <v>3026</v>
      </c>
      <c r="J1985" s="270" t="s">
        <v>3928</v>
      </c>
      <c r="K1985" s="270">
        <v>6471</v>
      </c>
      <c r="L1985" s="270">
        <v>186100</v>
      </c>
      <c r="M1985" s="270" t="s">
        <v>3935</v>
      </c>
      <c r="N1985" s="270" t="s">
        <v>4103</v>
      </c>
      <c r="O1985" s="270">
        <v>1556.91</v>
      </c>
      <c r="P1985" s="270" t="s">
        <v>3930</v>
      </c>
      <c r="Q1985" s="270" t="s">
        <v>3931</v>
      </c>
      <c r="R1985" s="270">
        <v>6556.91</v>
      </c>
      <c r="S1985" s="270">
        <v>24145.599999999999</v>
      </c>
      <c r="T1985" s="270">
        <v>30702.51</v>
      </c>
      <c r="U1985" s="271" t="s">
        <v>3932</v>
      </c>
      <c r="V1985" s="267" t="s">
        <v>944</v>
      </c>
    </row>
    <row r="1986" spans="1:22" hidden="1" x14ac:dyDescent="0.25">
      <c r="A1986" s="266">
        <v>43584</v>
      </c>
      <c r="B1986" s="267">
        <v>2019</v>
      </c>
      <c r="C1986" s="267">
        <v>2019</v>
      </c>
      <c r="D1986" s="267">
        <v>1</v>
      </c>
      <c r="E1986" s="267">
        <v>1</v>
      </c>
      <c r="F1986" s="267" t="s">
        <v>944</v>
      </c>
      <c r="G1986" s="267" t="s">
        <v>3926</v>
      </c>
      <c r="H1986" s="267" t="s">
        <v>6301</v>
      </c>
      <c r="I1986" s="267" t="s">
        <v>3990</v>
      </c>
      <c r="J1986" s="267" t="s">
        <v>3928</v>
      </c>
      <c r="K1986" s="267">
        <v>6804</v>
      </c>
      <c r="L1986" s="267">
        <v>205200</v>
      </c>
      <c r="M1986" s="267" t="s">
        <v>3943</v>
      </c>
      <c r="N1986" s="267" t="s">
        <v>3929</v>
      </c>
      <c r="O1986" s="267">
        <v>2187.19</v>
      </c>
      <c r="P1986" s="267" t="s">
        <v>3930</v>
      </c>
      <c r="Q1986" s="267" t="s">
        <v>3931</v>
      </c>
      <c r="R1986" s="267">
        <v>7187.19</v>
      </c>
      <c r="S1986" s="267">
        <v>34744</v>
      </c>
      <c r="T1986" s="267">
        <v>41931.19</v>
      </c>
      <c r="U1986" s="268" t="s">
        <v>3932</v>
      </c>
      <c r="V1986" s="267" t="s">
        <v>944</v>
      </c>
    </row>
    <row r="1987" spans="1:22" hidden="1" x14ac:dyDescent="0.25">
      <c r="A1987" s="269">
        <v>43584</v>
      </c>
      <c r="B1987" s="270">
        <v>2019</v>
      </c>
      <c r="C1987" s="270">
        <v>2019</v>
      </c>
      <c r="D1987" s="270">
        <v>1</v>
      </c>
      <c r="E1987" s="270">
        <v>1</v>
      </c>
      <c r="F1987" s="270" t="s">
        <v>944</v>
      </c>
      <c r="G1987" s="270" t="s">
        <v>3926</v>
      </c>
      <c r="H1987" s="270" t="s">
        <v>6302</v>
      </c>
      <c r="I1987" s="270" t="s">
        <v>3949</v>
      </c>
      <c r="J1987" s="270" t="s">
        <v>3928</v>
      </c>
      <c r="K1987" s="270">
        <v>6437</v>
      </c>
      <c r="L1987" s="270">
        <v>190200</v>
      </c>
      <c r="M1987" s="270" t="s">
        <v>3943</v>
      </c>
      <c r="N1987" s="270" t="s">
        <v>3944</v>
      </c>
      <c r="O1987" s="270">
        <v>4949</v>
      </c>
      <c r="P1987" s="270" t="s">
        <v>3944</v>
      </c>
      <c r="Q1987" s="270" t="s">
        <v>3944</v>
      </c>
      <c r="R1987" s="270">
        <v>4949</v>
      </c>
      <c r="S1987" s="270">
        <v>29611</v>
      </c>
      <c r="T1987" s="270">
        <v>34560</v>
      </c>
      <c r="U1987" s="271" t="s">
        <v>3945</v>
      </c>
      <c r="V1987" s="267" t="s">
        <v>944</v>
      </c>
    </row>
    <row r="1988" spans="1:22" hidden="1" x14ac:dyDescent="0.25">
      <c r="A1988" s="266">
        <v>43584</v>
      </c>
      <c r="B1988" s="267">
        <v>2019</v>
      </c>
      <c r="C1988" s="267">
        <v>2019</v>
      </c>
      <c r="D1988" s="267">
        <v>1</v>
      </c>
      <c r="E1988" s="267">
        <v>1</v>
      </c>
      <c r="F1988" s="267" t="s">
        <v>944</v>
      </c>
      <c r="G1988" s="267" t="s">
        <v>3926</v>
      </c>
      <c r="H1988" s="267" t="s">
        <v>6303</v>
      </c>
      <c r="I1988" s="267" t="s">
        <v>4665</v>
      </c>
      <c r="J1988" s="267" t="s">
        <v>3928</v>
      </c>
      <c r="K1988" s="267">
        <v>6013</v>
      </c>
      <c r="L1988" s="267">
        <v>410101</v>
      </c>
      <c r="M1988" s="267" t="s">
        <v>3943</v>
      </c>
      <c r="N1988" s="267" t="s">
        <v>3944</v>
      </c>
      <c r="O1988" s="267">
        <v>4178</v>
      </c>
      <c r="P1988" s="267" t="s">
        <v>3944</v>
      </c>
      <c r="Q1988" s="267" t="s">
        <v>3944</v>
      </c>
      <c r="R1988" s="267">
        <v>4178</v>
      </c>
      <c r="S1988" s="267">
        <v>39720</v>
      </c>
      <c r="T1988" s="267">
        <v>43898</v>
      </c>
      <c r="U1988" s="268" t="s">
        <v>3945</v>
      </c>
      <c r="V1988" s="267" t="s">
        <v>944</v>
      </c>
    </row>
    <row r="1989" spans="1:22" hidden="1" x14ac:dyDescent="0.25">
      <c r="A1989" s="269">
        <v>43584</v>
      </c>
      <c r="B1989" s="270">
        <v>2019</v>
      </c>
      <c r="C1989" s="270">
        <v>2019</v>
      </c>
      <c r="D1989" s="270">
        <v>1</v>
      </c>
      <c r="E1989" s="270">
        <v>1</v>
      </c>
      <c r="F1989" s="270" t="s">
        <v>944</v>
      </c>
      <c r="G1989" s="270" t="s">
        <v>3926</v>
      </c>
      <c r="H1989" s="270" t="s">
        <v>6304</v>
      </c>
      <c r="I1989" s="270" t="s">
        <v>2981</v>
      </c>
      <c r="J1989" s="270" t="s">
        <v>3928</v>
      </c>
      <c r="K1989" s="270">
        <v>6612</v>
      </c>
      <c r="L1989" s="270">
        <v>105100</v>
      </c>
      <c r="M1989" s="270" t="s">
        <v>3943</v>
      </c>
      <c r="N1989" s="270" t="s">
        <v>3944</v>
      </c>
      <c r="O1989" s="270">
        <v>5041</v>
      </c>
      <c r="P1989" s="270" t="s">
        <v>3944</v>
      </c>
      <c r="Q1989" s="270" t="s">
        <v>3944</v>
      </c>
      <c r="R1989" s="270">
        <v>5041</v>
      </c>
      <c r="S1989" s="270">
        <v>43343</v>
      </c>
      <c r="T1989" s="270">
        <v>48384</v>
      </c>
      <c r="U1989" s="271" t="s">
        <v>3945</v>
      </c>
      <c r="V1989" s="267" t="s">
        <v>944</v>
      </c>
    </row>
    <row r="1990" spans="1:22" hidden="1" x14ac:dyDescent="0.25">
      <c r="A1990" s="266">
        <v>43584</v>
      </c>
      <c r="B1990" s="267">
        <v>2019</v>
      </c>
      <c r="C1990" s="267">
        <v>2019</v>
      </c>
      <c r="D1990" s="267">
        <v>1</v>
      </c>
      <c r="E1990" s="267">
        <v>1</v>
      </c>
      <c r="F1990" s="267" t="s">
        <v>944</v>
      </c>
      <c r="G1990" s="267" t="s">
        <v>3926</v>
      </c>
      <c r="H1990" s="267" t="s">
        <v>6305</v>
      </c>
      <c r="I1990" s="267" t="s">
        <v>943</v>
      </c>
      <c r="J1990" s="267" t="s">
        <v>3928</v>
      </c>
      <c r="K1990" s="267">
        <v>6512</v>
      </c>
      <c r="L1990" s="267">
        <v>142800</v>
      </c>
      <c r="M1990" s="267" t="s">
        <v>3940</v>
      </c>
      <c r="N1990" s="267" t="s">
        <v>3944</v>
      </c>
      <c r="O1990" s="267">
        <v>3703</v>
      </c>
      <c r="P1990" s="267" t="s">
        <v>3944</v>
      </c>
      <c r="Q1990" s="267" t="s">
        <v>3944</v>
      </c>
      <c r="R1990" s="267">
        <v>3703</v>
      </c>
      <c r="S1990" s="267">
        <v>23891</v>
      </c>
      <c r="T1990" s="267">
        <v>27594</v>
      </c>
      <c r="U1990" s="268" t="s">
        <v>3945</v>
      </c>
      <c r="V1990" s="267" t="s">
        <v>944</v>
      </c>
    </row>
    <row r="1991" spans="1:22" hidden="1" x14ac:dyDescent="0.25">
      <c r="A1991" s="269">
        <v>43584</v>
      </c>
      <c r="B1991" s="270">
        <v>2019</v>
      </c>
      <c r="C1991" s="270">
        <v>2019</v>
      </c>
      <c r="D1991" s="270">
        <v>1</v>
      </c>
      <c r="E1991" s="270">
        <v>1</v>
      </c>
      <c r="F1991" s="270" t="s">
        <v>944</v>
      </c>
      <c r="G1991" s="270" t="s">
        <v>3926</v>
      </c>
      <c r="H1991" s="270" t="s">
        <v>6306</v>
      </c>
      <c r="I1991" s="270" t="s">
        <v>4621</v>
      </c>
      <c r="J1991" s="270" t="s">
        <v>3928</v>
      </c>
      <c r="K1991" s="270">
        <v>6443</v>
      </c>
      <c r="L1991" s="270">
        <v>194100</v>
      </c>
      <c r="M1991" s="270" t="s">
        <v>3935</v>
      </c>
      <c r="N1991" s="270" t="s">
        <v>3944</v>
      </c>
      <c r="O1991" s="270">
        <v>5039</v>
      </c>
      <c r="P1991" s="270" t="s">
        <v>3944</v>
      </c>
      <c r="Q1991" s="270" t="s">
        <v>3944</v>
      </c>
      <c r="R1991" s="270">
        <v>5039</v>
      </c>
      <c r="S1991" s="270">
        <v>30957</v>
      </c>
      <c r="T1991" s="270">
        <v>35996</v>
      </c>
      <c r="U1991" s="271" t="s">
        <v>3945</v>
      </c>
      <c r="V1991" s="267" t="s">
        <v>944</v>
      </c>
    </row>
    <row r="1992" spans="1:22" hidden="1" x14ac:dyDescent="0.25">
      <c r="A1992" s="266">
        <v>43584</v>
      </c>
      <c r="B1992" s="267">
        <v>2019</v>
      </c>
      <c r="C1992" s="267">
        <v>2019</v>
      </c>
      <c r="D1992" s="267">
        <v>1</v>
      </c>
      <c r="E1992" s="267">
        <v>1</v>
      </c>
      <c r="F1992" s="267" t="s">
        <v>944</v>
      </c>
      <c r="G1992" s="267" t="s">
        <v>3926</v>
      </c>
      <c r="H1992" s="267" t="s">
        <v>6307</v>
      </c>
      <c r="I1992" s="267" t="s">
        <v>3962</v>
      </c>
      <c r="J1992" s="267" t="s">
        <v>3928</v>
      </c>
      <c r="K1992" s="267">
        <v>6355</v>
      </c>
      <c r="L1992" s="267">
        <v>702800</v>
      </c>
      <c r="M1992" s="267" t="s">
        <v>3935</v>
      </c>
      <c r="N1992" s="267" t="s">
        <v>3944</v>
      </c>
      <c r="O1992" s="267">
        <v>2162.9299999999998</v>
      </c>
      <c r="P1992" s="267" t="s">
        <v>3944</v>
      </c>
      <c r="Q1992" s="267" t="s">
        <v>3944</v>
      </c>
      <c r="R1992" s="267">
        <v>2162.9299999999998</v>
      </c>
      <c r="S1992" s="267">
        <v>39617.42</v>
      </c>
      <c r="T1992" s="267">
        <v>41780.35</v>
      </c>
      <c r="U1992" s="268" t="s">
        <v>3945</v>
      </c>
      <c r="V1992" s="267" t="s">
        <v>944</v>
      </c>
    </row>
    <row r="1993" spans="1:22" hidden="1" x14ac:dyDescent="0.25">
      <c r="A1993" s="269">
        <v>43584</v>
      </c>
      <c r="B1993" s="270">
        <v>2019</v>
      </c>
      <c r="C1993" s="270">
        <v>2019</v>
      </c>
      <c r="D1993" s="270">
        <v>1</v>
      </c>
      <c r="E1993" s="270">
        <v>1</v>
      </c>
      <c r="F1993" s="270" t="s">
        <v>944</v>
      </c>
      <c r="G1993" s="270" t="s">
        <v>3926</v>
      </c>
      <c r="H1993" s="270" t="s">
        <v>6308</v>
      </c>
      <c r="I1993" s="270" t="s">
        <v>4037</v>
      </c>
      <c r="J1993" s="270" t="s">
        <v>3928</v>
      </c>
      <c r="K1993" s="270">
        <v>6810</v>
      </c>
      <c r="L1993" s="270">
        <v>210300</v>
      </c>
      <c r="M1993" s="270" t="s">
        <v>3940</v>
      </c>
      <c r="N1993" s="270" t="s">
        <v>3944</v>
      </c>
      <c r="O1993" s="270">
        <v>1920.7</v>
      </c>
      <c r="P1993" s="270" t="s">
        <v>3944</v>
      </c>
      <c r="Q1993" s="270" t="s">
        <v>3944</v>
      </c>
      <c r="R1993" s="270">
        <v>1920.7</v>
      </c>
      <c r="S1993" s="270">
        <v>26425.34</v>
      </c>
      <c r="T1993" s="270">
        <v>28346.04</v>
      </c>
      <c r="U1993" s="271" t="s">
        <v>3945</v>
      </c>
      <c r="V1993" s="267" t="s">
        <v>944</v>
      </c>
    </row>
    <row r="1994" spans="1:22" hidden="1" x14ac:dyDescent="0.25">
      <c r="A1994" s="266">
        <v>43584</v>
      </c>
      <c r="B1994" s="267">
        <v>2019</v>
      </c>
      <c r="C1994" s="267">
        <v>2019</v>
      </c>
      <c r="D1994" s="267">
        <v>1</v>
      </c>
      <c r="E1994" s="267">
        <v>1</v>
      </c>
      <c r="F1994" s="267" t="s">
        <v>944</v>
      </c>
      <c r="G1994" s="267" t="s">
        <v>3926</v>
      </c>
      <c r="H1994" s="267" t="s">
        <v>6309</v>
      </c>
      <c r="I1994" s="267" t="s">
        <v>3962</v>
      </c>
      <c r="J1994" s="267" t="s">
        <v>3928</v>
      </c>
      <c r="K1994" s="267">
        <v>6355</v>
      </c>
      <c r="L1994" s="267">
        <v>702800</v>
      </c>
      <c r="M1994" s="267" t="s">
        <v>3935</v>
      </c>
      <c r="N1994" s="267" t="s">
        <v>3944</v>
      </c>
      <c r="O1994" s="267">
        <v>1072.02</v>
      </c>
      <c r="P1994" s="267" t="s">
        <v>3944</v>
      </c>
      <c r="Q1994" s="267" t="s">
        <v>3944</v>
      </c>
      <c r="R1994" s="267">
        <v>1072.02</v>
      </c>
      <c r="S1994" s="267">
        <v>15274.94</v>
      </c>
      <c r="T1994" s="267">
        <v>16346.96</v>
      </c>
      <c r="U1994" s="268" t="s">
        <v>3945</v>
      </c>
      <c r="V1994" s="267" t="s">
        <v>944</v>
      </c>
    </row>
    <row r="1995" spans="1:22" hidden="1" x14ac:dyDescent="0.25">
      <c r="A1995" s="269">
        <v>43584</v>
      </c>
      <c r="B1995" s="270">
        <v>2019</v>
      </c>
      <c r="C1995" s="270">
        <v>2019</v>
      </c>
      <c r="D1995" s="270">
        <v>1</v>
      </c>
      <c r="E1995" s="270">
        <v>1</v>
      </c>
      <c r="F1995" s="270" t="s">
        <v>944</v>
      </c>
      <c r="G1995" s="270" t="s">
        <v>3926</v>
      </c>
      <c r="H1995" s="270" t="s">
        <v>6310</v>
      </c>
      <c r="I1995" s="270" t="s">
        <v>4037</v>
      </c>
      <c r="J1995" s="270" t="s">
        <v>3928</v>
      </c>
      <c r="K1995" s="270">
        <v>6810</v>
      </c>
      <c r="L1995" s="270">
        <v>210300</v>
      </c>
      <c r="M1995" s="270" t="s">
        <v>3940</v>
      </c>
      <c r="N1995" s="270" t="s">
        <v>3944</v>
      </c>
      <c r="O1995" s="270">
        <v>2029.37</v>
      </c>
      <c r="P1995" s="270" t="s">
        <v>3944</v>
      </c>
      <c r="Q1995" s="270" t="s">
        <v>3944</v>
      </c>
      <c r="R1995" s="270">
        <v>2029.37</v>
      </c>
      <c r="S1995" s="270">
        <v>29772.44</v>
      </c>
      <c r="T1995" s="270">
        <v>31801.81</v>
      </c>
      <c r="U1995" s="271" t="s">
        <v>3945</v>
      </c>
      <c r="V1995" s="267" t="s">
        <v>944</v>
      </c>
    </row>
    <row r="1996" spans="1:22" x14ac:dyDescent="0.25">
      <c r="A1996" s="266">
        <v>43584</v>
      </c>
      <c r="B1996" s="267">
        <v>2019</v>
      </c>
      <c r="C1996" s="267">
        <v>2019</v>
      </c>
      <c r="D1996" s="267">
        <v>1</v>
      </c>
      <c r="E1996" s="267">
        <v>1</v>
      </c>
      <c r="F1996" s="267" t="s">
        <v>944</v>
      </c>
      <c r="G1996" s="267" t="s">
        <v>3926</v>
      </c>
      <c r="H1996" s="267" t="s">
        <v>6311</v>
      </c>
      <c r="I1996" s="267" t="s">
        <v>934</v>
      </c>
      <c r="J1996" s="267" t="s">
        <v>3928</v>
      </c>
      <c r="K1996" s="267">
        <v>6606</v>
      </c>
      <c r="L1996" s="267">
        <v>72200</v>
      </c>
      <c r="M1996" s="267">
        <v>-60</v>
      </c>
      <c r="N1996" s="267" t="s">
        <v>3944</v>
      </c>
      <c r="O1996" s="267">
        <v>1491.39</v>
      </c>
      <c r="P1996" s="267" t="s">
        <v>3944</v>
      </c>
      <c r="Q1996" s="267" t="s">
        <v>3944</v>
      </c>
      <c r="R1996" s="267">
        <v>1491.39</v>
      </c>
      <c r="S1996" s="267">
        <v>20206.63</v>
      </c>
      <c r="T1996" s="267">
        <v>21698.02</v>
      </c>
      <c r="U1996" s="268" t="s">
        <v>3945</v>
      </c>
      <c r="V1996" s="276" t="s">
        <v>936</v>
      </c>
    </row>
    <row r="1997" spans="1:22" hidden="1" x14ac:dyDescent="0.25">
      <c r="A1997" s="269">
        <v>43584</v>
      </c>
      <c r="B1997" s="270">
        <v>2019</v>
      </c>
      <c r="C1997" s="270">
        <v>2019</v>
      </c>
      <c r="D1997" s="270">
        <v>1</v>
      </c>
      <c r="E1997" s="270">
        <v>1</v>
      </c>
      <c r="F1997" s="270" t="s">
        <v>944</v>
      </c>
      <c r="G1997" s="270" t="s">
        <v>3926</v>
      </c>
      <c r="H1997" s="270" t="s">
        <v>6312</v>
      </c>
      <c r="I1997" s="270" t="s">
        <v>4019</v>
      </c>
      <c r="J1997" s="270" t="s">
        <v>3928</v>
      </c>
      <c r="K1997" s="270">
        <v>6704</v>
      </c>
      <c r="L1997" s="270">
        <v>351100</v>
      </c>
      <c r="M1997" s="270">
        <v>-60</v>
      </c>
      <c r="N1997" s="270" t="s">
        <v>3944</v>
      </c>
      <c r="O1997" s="270">
        <v>1765.96</v>
      </c>
      <c r="P1997" s="270" t="s">
        <v>3944</v>
      </c>
      <c r="Q1997" s="270" t="s">
        <v>3944</v>
      </c>
      <c r="R1997" s="270">
        <v>1765.96</v>
      </c>
      <c r="S1997" s="270">
        <v>23360.44</v>
      </c>
      <c r="T1997" s="270">
        <v>25126.400000000001</v>
      </c>
      <c r="U1997" s="271" t="s">
        <v>3945</v>
      </c>
      <c r="V1997" s="267" t="s">
        <v>944</v>
      </c>
    </row>
    <row r="1998" spans="1:22" hidden="1" x14ac:dyDescent="0.25">
      <c r="A1998" s="266">
        <v>43584</v>
      </c>
      <c r="B1998" s="267">
        <v>2019</v>
      </c>
      <c r="C1998" s="267">
        <v>2019</v>
      </c>
      <c r="D1998" s="267">
        <v>1</v>
      </c>
      <c r="E1998" s="267">
        <v>1</v>
      </c>
      <c r="F1998" s="267" t="s">
        <v>944</v>
      </c>
      <c r="G1998" s="267" t="s">
        <v>3926</v>
      </c>
      <c r="H1998" s="267" t="s">
        <v>6313</v>
      </c>
      <c r="I1998" s="267" t="s">
        <v>4290</v>
      </c>
      <c r="J1998" s="267" t="s">
        <v>3928</v>
      </c>
      <c r="K1998" s="267">
        <v>6798</v>
      </c>
      <c r="L1998" s="267">
        <v>362101</v>
      </c>
      <c r="M1998" s="267" t="s">
        <v>3935</v>
      </c>
      <c r="N1998" s="267" t="s">
        <v>3944</v>
      </c>
      <c r="O1998" s="267">
        <v>1226.33</v>
      </c>
      <c r="P1998" s="267" t="s">
        <v>3944</v>
      </c>
      <c r="Q1998" s="267" t="s">
        <v>3944</v>
      </c>
      <c r="R1998" s="267">
        <v>1226.33</v>
      </c>
      <c r="S1998" s="267">
        <v>16060.67</v>
      </c>
      <c r="T1998" s="267">
        <v>17287</v>
      </c>
      <c r="U1998" s="268" t="s">
        <v>3945</v>
      </c>
      <c r="V1998" s="267" t="s">
        <v>944</v>
      </c>
    </row>
    <row r="1999" spans="1:22" hidden="1" x14ac:dyDescent="0.25">
      <c r="A1999" s="269">
        <v>43584</v>
      </c>
      <c r="B1999" s="270">
        <v>2019</v>
      </c>
      <c r="C1999" s="270">
        <v>2019</v>
      </c>
      <c r="D1999" s="270">
        <v>1</v>
      </c>
      <c r="E1999" s="270">
        <v>1</v>
      </c>
      <c r="F1999" s="270" t="s">
        <v>944</v>
      </c>
      <c r="G1999" s="270" t="s">
        <v>3926</v>
      </c>
      <c r="H1999" s="270" t="s">
        <v>6314</v>
      </c>
      <c r="I1999" s="270" t="s">
        <v>4235</v>
      </c>
      <c r="J1999" s="270" t="s">
        <v>3928</v>
      </c>
      <c r="K1999" s="270">
        <v>6066</v>
      </c>
      <c r="L1999" s="270">
        <v>535200</v>
      </c>
      <c r="M1999" s="270" t="s">
        <v>3960</v>
      </c>
      <c r="N1999" s="270" t="s">
        <v>3944</v>
      </c>
      <c r="O1999" s="270">
        <v>1137.3599999999999</v>
      </c>
      <c r="P1999" s="270" t="s">
        <v>3944</v>
      </c>
      <c r="Q1999" s="270" t="s">
        <v>3944</v>
      </c>
      <c r="R1999" s="270">
        <v>1137.3599999999999</v>
      </c>
      <c r="S1999" s="270">
        <v>14358.99</v>
      </c>
      <c r="T1999" s="270">
        <v>15496.35</v>
      </c>
      <c r="U1999" s="271" t="s">
        <v>3945</v>
      </c>
      <c r="V1999" s="267" t="s">
        <v>944</v>
      </c>
    </row>
    <row r="2000" spans="1:22" hidden="1" x14ac:dyDescent="0.25">
      <c r="A2000" s="266">
        <v>43584</v>
      </c>
      <c r="B2000" s="267">
        <v>2019</v>
      </c>
      <c r="C2000" s="267">
        <v>2019</v>
      </c>
      <c r="D2000" s="267">
        <v>1</v>
      </c>
      <c r="E2000" s="267">
        <v>1</v>
      </c>
      <c r="F2000" s="267" t="s">
        <v>944</v>
      </c>
      <c r="G2000" s="267" t="s">
        <v>3926</v>
      </c>
      <c r="H2000" s="267" t="s">
        <v>6315</v>
      </c>
      <c r="I2000" s="267" t="s">
        <v>3999</v>
      </c>
      <c r="J2000" s="267" t="s">
        <v>3928</v>
      </c>
      <c r="K2000" s="267">
        <v>6451</v>
      </c>
      <c r="L2000" s="267">
        <v>170300</v>
      </c>
      <c r="M2000" s="267">
        <v>-60</v>
      </c>
      <c r="N2000" s="267" t="s">
        <v>3944</v>
      </c>
      <c r="O2000" s="267">
        <v>1988.32</v>
      </c>
      <c r="P2000" s="267" t="s">
        <v>3944</v>
      </c>
      <c r="Q2000" s="267" t="s">
        <v>3944</v>
      </c>
      <c r="R2000" s="267">
        <v>1988.32</v>
      </c>
      <c r="S2000" s="267">
        <v>24142.400000000001</v>
      </c>
      <c r="T2000" s="267">
        <v>26130.720000000001</v>
      </c>
      <c r="U2000" s="268" t="s">
        <v>3945</v>
      </c>
      <c r="V2000" s="267" t="s">
        <v>944</v>
      </c>
    </row>
    <row r="2001" spans="1:22" hidden="1" x14ac:dyDescent="0.25">
      <c r="A2001" s="269">
        <v>43584</v>
      </c>
      <c r="B2001" s="270">
        <v>2019</v>
      </c>
      <c r="C2001" s="270">
        <v>2019</v>
      </c>
      <c r="D2001" s="270">
        <v>1</v>
      </c>
      <c r="E2001" s="270">
        <v>1</v>
      </c>
      <c r="F2001" s="270" t="s">
        <v>944</v>
      </c>
      <c r="G2001" s="270" t="s">
        <v>3926</v>
      </c>
      <c r="H2001" s="270" t="s">
        <v>6316</v>
      </c>
      <c r="I2001" s="270" t="s">
        <v>4250</v>
      </c>
      <c r="J2001" s="270" t="s">
        <v>3928</v>
      </c>
      <c r="K2001" s="270">
        <v>6239</v>
      </c>
      <c r="L2001" s="270">
        <v>904100</v>
      </c>
      <c r="M2001" s="270" t="s">
        <v>3935</v>
      </c>
      <c r="N2001" s="270" t="s">
        <v>3944</v>
      </c>
      <c r="O2001" s="270">
        <v>3120.08</v>
      </c>
      <c r="P2001" s="270" t="s">
        <v>3944</v>
      </c>
      <c r="Q2001" s="270" t="s">
        <v>3944</v>
      </c>
      <c r="R2001" s="270">
        <v>3120.08</v>
      </c>
      <c r="S2001" s="270">
        <v>36704.92</v>
      </c>
      <c r="T2001" s="270">
        <v>39825</v>
      </c>
      <c r="U2001" s="271" t="s">
        <v>3945</v>
      </c>
      <c r="V2001" s="267" t="s">
        <v>944</v>
      </c>
    </row>
    <row r="2002" spans="1:22" hidden="1" x14ac:dyDescent="0.25">
      <c r="A2002" s="266">
        <v>43584</v>
      </c>
      <c r="B2002" s="267">
        <v>2019</v>
      </c>
      <c r="C2002" s="267">
        <v>2019</v>
      </c>
      <c r="D2002" s="267">
        <v>1</v>
      </c>
      <c r="E2002" s="267">
        <v>1</v>
      </c>
      <c r="F2002" s="267" t="s">
        <v>944</v>
      </c>
      <c r="G2002" s="267" t="s">
        <v>3926</v>
      </c>
      <c r="H2002" s="267" t="s">
        <v>6317</v>
      </c>
      <c r="I2002" s="267" t="s">
        <v>4422</v>
      </c>
      <c r="J2002" s="267" t="s">
        <v>3928</v>
      </c>
      <c r="K2002" s="267">
        <v>6801</v>
      </c>
      <c r="L2002" s="267">
        <v>200100</v>
      </c>
      <c r="M2002" s="267" t="s">
        <v>3935</v>
      </c>
      <c r="N2002" s="267" t="s">
        <v>3944</v>
      </c>
      <c r="O2002" s="267">
        <v>1374.63</v>
      </c>
      <c r="P2002" s="267" t="s">
        <v>3944</v>
      </c>
      <c r="Q2002" s="267" t="s">
        <v>3944</v>
      </c>
      <c r="R2002" s="267">
        <v>1374.63</v>
      </c>
      <c r="S2002" s="267">
        <v>17835.77</v>
      </c>
      <c r="T2002" s="267">
        <v>19210.400000000001</v>
      </c>
      <c r="U2002" s="268" t="s">
        <v>3945</v>
      </c>
      <c r="V2002" s="267" t="s">
        <v>944</v>
      </c>
    </row>
    <row r="2003" spans="1:22" hidden="1" x14ac:dyDescent="0.25">
      <c r="A2003" s="269">
        <v>43584</v>
      </c>
      <c r="B2003" s="270">
        <v>2019</v>
      </c>
      <c r="C2003" s="270">
        <v>2019</v>
      </c>
      <c r="D2003" s="270">
        <v>1</v>
      </c>
      <c r="E2003" s="270">
        <v>1</v>
      </c>
      <c r="F2003" s="270" t="s">
        <v>944</v>
      </c>
      <c r="G2003" s="270" t="s">
        <v>3926</v>
      </c>
      <c r="H2003" s="270" t="s">
        <v>6318</v>
      </c>
      <c r="I2003" s="270" t="s">
        <v>3962</v>
      </c>
      <c r="J2003" s="270" t="s">
        <v>3928</v>
      </c>
      <c r="K2003" s="270">
        <v>6379</v>
      </c>
      <c r="L2003" s="270">
        <v>705101</v>
      </c>
      <c r="M2003" s="270" t="s">
        <v>3935</v>
      </c>
      <c r="N2003" s="270" t="s">
        <v>3944</v>
      </c>
      <c r="O2003" s="270">
        <v>1271.1300000000001</v>
      </c>
      <c r="P2003" s="270" t="s">
        <v>3944</v>
      </c>
      <c r="Q2003" s="270" t="s">
        <v>3944</v>
      </c>
      <c r="R2003" s="270">
        <v>1271.1300000000001</v>
      </c>
      <c r="S2003" s="270">
        <v>15784.89</v>
      </c>
      <c r="T2003" s="270">
        <v>17056.02</v>
      </c>
      <c r="U2003" s="271" t="s">
        <v>3945</v>
      </c>
      <c r="V2003" s="267" t="s">
        <v>944</v>
      </c>
    </row>
    <row r="2004" spans="1:22" hidden="1" x14ac:dyDescent="0.25">
      <c r="A2004" s="266">
        <v>43584</v>
      </c>
      <c r="B2004" s="267">
        <v>2019</v>
      </c>
      <c r="C2004" s="267">
        <v>2019</v>
      </c>
      <c r="D2004" s="267">
        <v>1</v>
      </c>
      <c r="E2004" s="267">
        <v>1</v>
      </c>
      <c r="F2004" s="267" t="s">
        <v>944</v>
      </c>
      <c r="G2004" s="267" t="s">
        <v>3926</v>
      </c>
      <c r="H2004" s="267" t="s">
        <v>6319</v>
      </c>
      <c r="I2004" s="267" t="s">
        <v>5183</v>
      </c>
      <c r="J2004" s="267" t="s">
        <v>3928</v>
      </c>
      <c r="K2004" s="267">
        <v>6277</v>
      </c>
      <c r="L2004" s="267">
        <v>900100</v>
      </c>
      <c r="M2004" s="267" t="s">
        <v>3935</v>
      </c>
      <c r="N2004" s="267" t="s">
        <v>3944</v>
      </c>
      <c r="O2004" s="267">
        <v>2729.76</v>
      </c>
      <c r="P2004" s="267" t="s">
        <v>3944</v>
      </c>
      <c r="Q2004" s="267" t="s">
        <v>3944</v>
      </c>
      <c r="R2004" s="267">
        <v>2729.76</v>
      </c>
      <c r="S2004" s="267">
        <v>33071.440000000002</v>
      </c>
      <c r="T2004" s="267">
        <v>35801.199999999997</v>
      </c>
      <c r="U2004" s="268" t="s">
        <v>3945</v>
      </c>
      <c r="V2004" s="267" t="s">
        <v>944</v>
      </c>
    </row>
    <row r="2005" spans="1:22" hidden="1" x14ac:dyDescent="0.25">
      <c r="A2005" s="269">
        <v>43584</v>
      </c>
      <c r="B2005" s="270">
        <v>2019</v>
      </c>
      <c r="C2005" s="270">
        <v>2019</v>
      </c>
      <c r="D2005" s="270">
        <v>1</v>
      </c>
      <c r="E2005" s="270">
        <v>1</v>
      </c>
      <c r="F2005" s="270" t="s">
        <v>944</v>
      </c>
      <c r="G2005" s="270" t="s">
        <v>3926</v>
      </c>
      <c r="H2005" s="270" t="s">
        <v>6320</v>
      </c>
      <c r="I2005" s="270" t="s">
        <v>4042</v>
      </c>
      <c r="J2005" s="270" t="s">
        <v>3928</v>
      </c>
      <c r="K2005" s="270">
        <v>6370</v>
      </c>
      <c r="L2005" s="270">
        <v>695202</v>
      </c>
      <c r="M2005" s="270" t="s">
        <v>3935</v>
      </c>
      <c r="N2005" s="270" t="s">
        <v>3944</v>
      </c>
      <c r="O2005" s="270">
        <v>1201.8699999999999</v>
      </c>
      <c r="P2005" s="270" t="s">
        <v>3944</v>
      </c>
      <c r="Q2005" s="270" t="s">
        <v>3944</v>
      </c>
      <c r="R2005" s="270">
        <v>1201.8699999999999</v>
      </c>
      <c r="S2005" s="270">
        <v>16356.53</v>
      </c>
      <c r="T2005" s="270">
        <v>17558.400000000001</v>
      </c>
      <c r="U2005" s="271" t="s">
        <v>3945</v>
      </c>
      <c r="V2005" s="267" t="s">
        <v>944</v>
      </c>
    </row>
    <row r="2006" spans="1:22" hidden="1" x14ac:dyDescent="0.25">
      <c r="A2006" s="266">
        <v>43584</v>
      </c>
      <c r="B2006" s="267">
        <v>2019</v>
      </c>
      <c r="C2006" s="267">
        <v>2019</v>
      </c>
      <c r="D2006" s="267">
        <v>1</v>
      </c>
      <c r="E2006" s="267">
        <v>1</v>
      </c>
      <c r="F2006" s="267" t="s">
        <v>944</v>
      </c>
      <c r="G2006" s="267" t="s">
        <v>3926</v>
      </c>
      <c r="H2006" s="267" t="s">
        <v>6321</v>
      </c>
      <c r="I2006" s="267" t="s">
        <v>4016</v>
      </c>
      <c r="J2006" s="267" t="s">
        <v>3928</v>
      </c>
      <c r="K2006" s="267">
        <v>6770</v>
      </c>
      <c r="L2006" s="267">
        <v>345300</v>
      </c>
      <c r="M2006" s="267" t="s">
        <v>3940</v>
      </c>
      <c r="N2006" s="267" t="s">
        <v>3944</v>
      </c>
      <c r="O2006" s="267">
        <v>1005.03</v>
      </c>
      <c r="P2006" s="267" t="s">
        <v>3944</v>
      </c>
      <c r="Q2006" s="267" t="s">
        <v>3944</v>
      </c>
      <c r="R2006" s="267">
        <v>1005.03</v>
      </c>
      <c r="S2006" s="267">
        <v>11100</v>
      </c>
      <c r="T2006" s="267">
        <v>12105.03</v>
      </c>
      <c r="U2006" s="268" t="s">
        <v>3945</v>
      </c>
      <c r="V2006" s="267" t="s">
        <v>944</v>
      </c>
    </row>
    <row r="2007" spans="1:22" hidden="1" x14ac:dyDescent="0.25">
      <c r="A2007" s="269">
        <v>43584</v>
      </c>
      <c r="B2007" s="270">
        <v>2019</v>
      </c>
      <c r="C2007" s="270">
        <v>2019</v>
      </c>
      <c r="D2007" s="270">
        <v>1</v>
      </c>
      <c r="E2007" s="270">
        <v>1</v>
      </c>
      <c r="F2007" s="270" t="s">
        <v>944</v>
      </c>
      <c r="G2007" s="270" t="s">
        <v>3926</v>
      </c>
      <c r="H2007" s="270" t="s">
        <v>6322</v>
      </c>
      <c r="I2007" s="270" t="s">
        <v>943</v>
      </c>
      <c r="J2007" s="270" t="s">
        <v>3928</v>
      </c>
      <c r="K2007" s="270">
        <v>6515</v>
      </c>
      <c r="L2007" s="270">
        <v>141200</v>
      </c>
      <c r="M2007" s="270">
        <v>-60</v>
      </c>
      <c r="N2007" s="270" t="s">
        <v>3944</v>
      </c>
      <c r="O2007" s="270">
        <v>1151.26</v>
      </c>
      <c r="P2007" s="270" t="s">
        <v>3944</v>
      </c>
      <c r="Q2007" s="270" t="s">
        <v>3944</v>
      </c>
      <c r="R2007" s="270">
        <v>1151.26</v>
      </c>
      <c r="S2007" s="270">
        <v>17899.740000000002</v>
      </c>
      <c r="T2007" s="270">
        <v>19051</v>
      </c>
      <c r="U2007" s="271" t="s">
        <v>3945</v>
      </c>
      <c r="V2007" s="267" t="s">
        <v>944</v>
      </c>
    </row>
    <row r="2008" spans="1:22" hidden="1" x14ac:dyDescent="0.25">
      <c r="A2008" s="266">
        <v>43584</v>
      </c>
      <c r="B2008" s="267">
        <v>2019</v>
      </c>
      <c r="C2008" s="267">
        <v>2019</v>
      </c>
      <c r="D2008" s="267">
        <v>1</v>
      </c>
      <c r="E2008" s="267">
        <v>1</v>
      </c>
      <c r="F2008" s="267" t="s">
        <v>944</v>
      </c>
      <c r="G2008" s="267" t="s">
        <v>3926</v>
      </c>
      <c r="H2008" s="267" t="s">
        <v>6323</v>
      </c>
      <c r="I2008" s="267" t="s">
        <v>3947</v>
      </c>
      <c r="J2008" s="267" t="s">
        <v>3928</v>
      </c>
      <c r="K2008" s="267">
        <v>6035</v>
      </c>
      <c r="L2008" s="267">
        <v>468101</v>
      </c>
      <c r="M2008" s="267" t="s">
        <v>3943</v>
      </c>
      <c r="N2008" s="267" t="s">
        <v>3944</v>
      </c>
      <c r="O2008" s="267">
        <v>811.13</v>
      </c>
      <c r="P2008" s="267" t="s">
        <v>3944</v>
      </c>
      <c r="Q2008" s="267" t="s">
        <v>3944</v>
      </c>
      <c r="R2008" s="267">
        <v>811.13</v>
      </c>
      <c r="S2008" s="267">
        <v>10070.83</v>
      </c>
      <c r="T2008" s="267">
        <v>10881.96</v>
      </c>
      <c r="U2008" s="268" t="s">
        <v>3945</v>
      </c>
      <c r="V2008" s="267" t="s">
        <v>944</v>
      </c>
    </row>
    <row r="2009" spans="1:22" hidden="1" x14ac:dyDescent="0.25">
      <c r="A2009" s="269">
        <v>43585</v>
      </c>
      <c r="B2009" s="270">
        <v>2019</v>
      </c>
      <c r="C2009" s="270">
        <v>2019</v>
      </c>
      <c r="D2009" s="270">
        <v>1</v>
      </c>
      <c r="E2009" s="270">
        <v>1</v>
      </c>
      <c r="F2009" s="270" t="s">
        <v>944</v>
      </c>
      <c r="G2009" s="270" t="s">
        <v>3926</v>
      </c>
      <c r="H2009" s="270" t="s">
        <v>6324</v>
      </c>
      <c r="I2009" s="270" t="s">
        <v>5410</v>
      </c>
      <c r="J2009" s="270" t="s">
        <v>3928</v>
      </c>
      <c r="K2009" s="270">
        <v>6712</v>
      </c>
      <c r="L2009" s="270">
        <v>347100</v>
      </c>
      <c r="M2009" s="270" t="s">
        <v>3960</v>
      </c>
      <c r="N2009" s="270" t="s">
        <v>6325</v>
      </c>
      <c r="O2009" s="270">
        <v>0</v>
      </c>
      <c r="P2009" s="270" t="s">
        <v>3930</v>
      </c>
      <c r="Q2009" s="270" t="s">
        <v>3930</v>
      </c>
      <c r="R2009" s="270">
        <v>0</v>
      </c>
      <c r="S2009" s="270">
        <v>7504</v>
      </c>
      <c r="T2009" s="270">
        <v>7504</v>
      </c>
      <c r="U2009" s="271" t="s">
        <v>3937</v>
      </c>
      <c r="V2009" s="267" t="s">
        <v>944</v>
      </c>
    </row>
    <row r="2010" spans="1:22" hidden="1" x14ac:dyDescent="0.25">
      <c r="A2010" s="266">
        <v>43585</v>
      </c>
      <c r="B2010" s="267">
        <v>2019</v>
      </c>
      <c r="C2010" s="267">
        <v>2019</v>
      </c>
      <c r="D2010" s="267">
        <v>1</v>
      </c>
      <c r="E2010" s="267">
        <v>1</v>
      </c>
      <c r="F2010" s="267" t="s">
        <v>944</v>
      </c>
      <c r="G2010" s="267" t="s">
        <v>3926</v>
      </c>
      <c r="H2010" s="267" t="s">
        <v>6326</v>
      </c>
      <c r="I2010" s="267" t="s">
        <v>4019</v>
      </c>
      <c r="J2010" s="267" t="s">
        <v>3928</v>
      </c>
      <c r="K2010" s="267">
        <v>6710</v>
      </c>
      <c r="L2010" s="267">
        <v>350800</v>
      </c>
      <c r="M2010" s="267">
        <v>-60</v>
      </c>
      <c r="N2010" s="267" t="s">
        <v>6327</v>
      </c>
      <c r="O2010" s="267">
        <v>0</v>
      </c>
      <c r="P2010" s="267" t="s">
        <v>3930</v>
      </c>
      <c r="Q2010" s="267" t="s">
        <v>3930</v>
      </c>
      <c r="R2010" s="267">
        <v>0</v>
      </c>
      <c r="S2010" s="267">
        <v>11900</v>
      </c>
      <c r="T2010" s="267">
        <v>11900</v>
      </c>
      <c r="U2010" s="268" t="s">
        <v>3937</v>
      </c>
      <c r="V2010" s="267" t="s">
        <v>944</v>
      </c>
    </row>
    <row r="2011" spans="1:22" hidden="1" x14ac:dyDescent="0.25">
      <c r="A2011" s="269">
        <v>43585</v>
      </c>
      <c r="B2011" s="270">
        <v>2019</v>
      </c>
      <c r="C2011" s="270">
        <v>2019</v>
      </c>
      <c r="D2011" s="270">
        <v>1</v>
      </c>
      <c r="E2011" s="270">
        <v>1</v>
      </c>
      <c r="F2011" s="270" t="s">
        <v>944</v>
      </c>
      <c r="G2011" s="270" t="s">
        <v>3926</v>
      </c>
      <c r="H2011" s="270" t="s">
        <v>6328</v>
      </c>
      <c r="I2011" s="270" t="s">
        <v>5156</v>
      </c>
      <c r="J2011" s="270" t="s">
        <v>3928</v>
      </c>
      <c r="K2011" s="270">
        <v>6360</v>
      </c>
      <c r="L2011" s="270">
        <v>696100</v>
      </c>
      <c r="M2011" s="270">
        <v>-60</v>
      </c>
      <c r="N2011" s="270" t="s">
        <v>4464</v>
      </c>
      <c r="O2011" s="270">
        <v>0</v>
      </c>
      <c r="P2011" s="270" t="s">
        <v>3930</v>
      </c>
      <c r="Q2011" s="270" t="s">
        <v>3930</v>
      </c>
      <c r="R2011" s="270">
        <v>0</v>
      </c>
      <c r="S2011" s="270">
        <v>8500</v>
      </c>
      <c r="T2011" s="270">
        <v>8500</v>
      </c>
      <c r="U2011" s="271" t="s">
        <v>3937</v>
      </c>
      <c r="V2011" s="267" t="s">
        <v>944</v>
      </c>
    </row>
    <row r="2012" spans="1:22" hidden="1" x14ac:dyDescent="0.25">
      <c r="A2012" s="266">
        <v>43585</v>
      </c>
      <c r="B2012" s="267">
        <v>2019</v>
      </c>
      <c r="C2012" s="267">
        <v>2019</v>
      </c>
      <c r="D2012" s="267">
        <v>1</v>
      </c>
      <c r="E2012" s="267">
        <v>1</v>
      </c>
      <c r="F2012" s="267" t="s">
        <v>944</v>
      </c>
      <c r="G2012" s="267" t="s">
        <v>3926</v>
      </c>
      <c r="H2012" s="267" t="s">
        <v>6329</v>
      </c>
      <c r="I2012" s="267" t="s">
        <v>6330</v>
      </c>
      <c r="J2012" s="267" t="s">
        <v>3928</v>
      </c>
      <c r="K2012" s="267">
        <v>6791</v>
      </c>
      <c r="L2012" s="267">
        <v>298400</v>
      </c>
      <c r="M2012" s="267" t="s">
        <v>3943</v>
      </c>
      <c r="N2012" s="267" t="s">
        <v>3944</v>
      </c>
      <c r="O2012" s="267">
        <v>4960</v>
      </c>
      <c r="P2012" s="267" t="s">
        <v>3944</v>
      </c>
      <c r="Q2012" s="267" t="s">
        <v>3944</v>
      </c>
      <c r="R2012" s="267">
        <v>4960</v>
      </c>
      <c r="S2012" s="267">
        <v>32680</v>
      </c>
      <c r="T2012" s="267">
        <v>37640</v>
      </c>
      <c r="U2012" s="268" t="s">
        <v>3945</v>
      </c>
      <c r="V2012" s="267" t="s">
        <v>944</v>
      </c>
    </row>
    <row r="2013" spans="1:22" hidden="1" x14ac:dyDescent="0.25">
      <c r="A2013" s="269">
        <v>43585</v>
      </c>
      <c r="B2013" s="270">
        <v>2019</v>
      </c>
      <c r="C2013" s="270">
        <v>2019</v>
      </c>
      <c r="D2013" s="270">
        <v>1</v>
      </c>
      <c r="E2013" s="270">
        <v>1</v>
      </c>
      <c r="F2013" s="270" t="s">
        <v>944</v>
      </c>
      <c r="G2013" s="270" t="s">
        <v>3926</v>
      </c>
      <c r="H2013" s="270" t="s">
        <v>6331</v>
      </c>
      <c r="I2013" s="270" t="s">
        <v>3934</v>
      </c>
      <c r="J2013" s="270" t="s">
        <v>3928</v>
      </c>
      <c r="K2013" s="270">
        <v>6405</v>
      </c>
      <c r="L2013" s="270">
        <v>184400</v>
      </c>
      <c r="M2013" s="270" t="s">
        <v>3935</v>
      </c>
      <c r="N2013" s="270" t="s">
        <v>3944</v>
      </c>
      <c r="O2013" s="270">
        <v>4200</v>
      </c>
      <c r="P2013" s="270" t="s">
        <v>3944</v>
      </c>
      <c r="Q2013" s="270" t="s">
        <v>3944</v>
      </c>
      <c r="R2013" s="270">
        <v>4200</v>
      </c>
      <c r="S2013" s="270">
        <v>33274.160000000003</v>
      </c>
      <c r="T2013" s="270">
        <v>37474.160000000003</v>
      </c>
      <c r="U2013" s="271" t="s">
        <v>3945</v>
      </c>
      <c r="V2013" s="267" t="s">
        <v>944</v>
      </c>
    </row>
    <row r="2014" spans="1:22" hidden="1" x14ac:dyDescent="0.25">
      <c r="A2014" s="266">
        <v>43585</v>
      </c>
      <c r="B2014" s="267">
        <v>2019</v>
      </c>
      <c r="C2014" s="267">
        <v>2019</v>
      </c>
      <c r="D2014" s="267">
        <v>1</v>
      </c>
      <c r="E2014" s="267">
        <v>1</v>
      </c>
      <c r="F2014" s="267" t="s">
        <v>944</v>
      </c>
      <c r="G2014" s="267" t="s">
        <v>3926</v>
      </c>
      <c r="H2014" s="267" t="s">
        <v>6332</v>
      </c>
      <c r="I2014" s="267" t="s">
        <v>3985</v>
      </c>
      <c r="J2014" s="267" t="s">
        <v>3928</v>
      </c>
      <c r="K2014" s="267">
        <v>6226</v>
      </c>
      <c r="L2014" s="267">
        <v>800600</v>
      </c>
      <c r="M2014" s="267">
        <v>-60</v>
      </c>
      <c r="N2014" s="267" t="s">
        <v>3944</v>
      </c>
      <c r="O2014" s="267">
        <v>1490.34</v>
      </c>
      <c r="P2014" s="267" t="s">
        <v>3944</v>
      </c>
      <c r="Q2014" s="267" t="s">
        <v>3944</v>
      </c>
      <c r="R2014" s="267">
        <v>1490.34</v>
      </c>
      <c r="S2014" s="267">
        <v>18622.759999999998</v>
      </c>
      <c r="T2014" s="267">
        <v>20113.099999999999</v>
      </c>
      <c r="U2014" s="268" t="s">
        <v>3945</v>
      </c>
      <c r="V2014" s="267" t="s">
        <v>944</v>
      </c>
    </row>
    <row r="2015" spans="1:22" hidden="1" x14ac:dyDescent="0.25">
      <c r="A2015" s="269">
        <v>43585</v>
      </c>
      <c r="B2015" s="270">
        <v>2019</v>
      </c>
      <c r="C2015" s="270">
        <v>2019</v>
      </c>
      <c r="D2015" s="270">
        <v>1</v>
      </c>
      <c r="E2015" s="270">
        <v>1</v>
      </c>
      <c r="F2015" s="270" t="s">
        <v>944</v>
      </c>
      <c r="G2015" s="270" t="s">
        <v>3926</v>
      </c>
      <c r="H2015" s="270" t="s">
        <v>6333</v>
      </c>
      <c r="I2015" s="270" t="s">
        <v>953</v>
      </c>
      <c r="J2015" s="270" t="s">
        <v>3928</v>
      </c>
      <c r="K2015" s="270">
        <v>6514</v>
      </c>
      <c r="L2015" s="270">
        <v>165700</v>
      </c>
      <c r="M2015" s="270" t="s">
        <v>3935</v>
      </c>
      <c r="N2015" s="270" t="s">
        <v>3944</v>
      </c>
      <c r="O2015" s="270">
        <v>2345.84</v>
      </c>
      <c r="P2015" s="270" t="s">
        <v>3944</v>
      </c>
      <c r="Q2015" s="270" t="s">
        <v>3944</v>
      </c>
      <c r="R2015" s="270">
        <v>2345.84</v>
      </c>
      <c r="S2015" s="270">
        <v>37698.639999999999</v>
      </c>
      <c r="T2015" s="270">
        <v>40044.480000000003</v>
      </c>
      <c r="U2015" s="271" t="s">
        <v>3945</v>
      </c>
      <c r="V2015" s="267" t="s">
        <v>944</v>
      </c>
    </row>
    <row r="2016" spans="1:22" hidden="1" x14ac:dyDescent="0.25">
      <c r="A2016" s="266">
        <v>43585</v>
      </c>
      <c r="B2016" s="267">
        <v>2019</v>
      </c>
      <c r="C2016" s="267">
        <v>2019</v>
      </c>
      <c r="D2016" s="267">
        <v>1</v>
      </c>
      <c r="E2016" s="267">
        <v>1</v>
      </c>
      <c r="F2016" s="267" t="s">
        <v>944</v>
      </c>
      <c r="G2016" s="267" t="s">
        <v>3926</v>
      </c>
      <c r="H2016" s="267" t="s">
        <v>6334</v>
      </c>
      <c r="I2016" s="267" t="s">
        <v>4250</v>
      </c>
      <c r="J2016" s="267" t="s">
        <v>3928</v>
      </c>
      <c r="K2016" s="267">
        <v>6239</v>
      </c>
      <c r="L2016" s="267">
        <v>904500</v>
      </c>
      <c r="M2016" s="267" t="s">
        <v>3940</v>
      </c>
      <c r="N2016" s="267" t="s">
        <v>3944</v>
      </c>
      <c r="O2016" s="267">
        <v>3649.14</v>
      </c>
      <c r="P2016" s="267" t="s">
        <v>3944</v>
      </c>
      <c r="Q2016" s="267" t="s">
        <v>3944</v>
      </c>
      <c r="R2016" s="267">
        <v>3649.14</v>
      </c>
      <c r="S2016" s="267">
        <v>22313.86</v>
      </c>
      <c r="T2016" s="267">
        <v>25963</v>
      </c>
      <c r="U2016" s="268" t="s">
        <v>3945</v>
      </c>
      <c r="V2016" s="267" t="s">
        <v>944</v>
      </c>
    </row>
    <row r="2017" spans="1:22" x14ac:dyDescent="0.25">
      <c r="A2017" s="269">
        <v>43585</v>
      </c>
      <c r="B2017" s="270">
        <v>2019</v>
      </c>
      <c r="C2017" s="270">
        <v>2019</v>
      </c>
      <c r="D2017" s="270">
        <v>1</v>
      </c>
      <c r="E2017" s="270">
        <v>1</v>
      </c>
      <c r="F2017" s="270" t="s">
        <v>944</v>
      </c>
      <c r="G2017" s="270" t="s">
        <v>3926</v>
      </c>
      <c r="H2017" s="270" t="s">
        <v>6335</v>
      </c>
      <c r="I2017" s="270" t="s">
        <v>943</v>
      </c>
      <c r="J2017" s="270" t="s">
        <v>3928</v>
      </c>
      <c r="K2017" s="270">
        <v>6511</v>
      </c>
      <c r="L2017" s="270">
        <v>141600</v>
      </c>
      <c r="M2017" s="270">
        <v>-60</v>
      </c>
      <c r="N2017" s="270" t="s">
        <v>3944</v>
      </c>
      <c r="O2017" s="270">
        <v>1418.8</v>
      </c>
      <c r="P2017" s="270" t="s">
        <v>3944</v>
      </c>
      <c r="Q2017" s="270" t="s">
        <v>3944</v>
      </c>
      <c r="R2017" s="270">
        <v>1418.8</v>
      </c>
      <c r="S2017" s="270">
        <v>16740.22</v>
      </c>
      <c r="T2017" s="270">
        <v>18159.02</v>
      </c>
      <c r="U2017" s="271" t="s">
        <v>3945</v>
      </c>
      <c r="V2017" s="276" t="s">
        <v>936</v>
      </c>
    </row>
    <row r="2018" spans="1:22" hidden="1" x14ac:dyDescent="0.25">
      <c r="A2018" s="266">
        <v>43585</v>
      </c>
      <c r="B2018" s="267">
        <v>2019</v>
      </c>
      <c r="C2018" s="267">
        <v>2019</v>
      </c>
      <c r="D2018" s="267">
        <v>1</v>
      </c>
      <c r="E2018" s="267">
        <v>1</v>
      </c>
      <c r="F2018" s="267" t="s">
        <v>944</v>
      </c>
      <c r="G2018" s="267" t="s">
        <v>3926</v>
      </c>
      <c r="H2018" s="267" t="s">
        <v>6336</v>
      </c>
      <c r="I2018" s="267" t="s">
        <v>4254</v>
      </c>
      <c r="J2018" s="267" t="s">
        <v>3928</v>
      </c>
      <c r="K2018" s="267">
        <v>6076</v>
      </c>
      <c r="L2018" s="267">
        <v>890202</v>
      </c>
      <c r="M2018" s="267" t="s">
        <v>3960</v>
      </c>
      <c r="N2018" s="267" t="s">
        <v>3944</v>
      </c>
      <c r="O2018" s="267">
        <v>705.15</v>
      </c>
      <c r="P2018" s="267" t="s">
        <v>3944</v>
      </c>
      <c r="Q2018" s="267" t="s">
        <v>3944</v>
      </c>
      <c r="R2018" s="267">
        <v>705.15</v>
      </c>
      <c r="S2018" s="267">
        <v>8069.59</v>
      </c>
      <c r="T2018" s="267">
        <v>8774.74</v>
      </c>
      <c r="U2018" s="268" t="s">
        <v>3945</v>
      </c>
      <c r="V2018" s="267" t="s">
        <v>944</v>
      </c>
    </row>
    <row r="2019" spans="1:22" hidden="1" x14ac:dyDescent="0.25">
      <c r="A2019" s="269">
        <v>43585</v>
      </c>
      <c r="B2019" s="270">
        <v>2019</v>
      </c>
      <c r="C2019" s="270">
        <v>2019</v>
      </c>
      <c r="D2019" s="270">
        <v>1</v>
      </c>
      <c r="E2019" s="270">
        <v>1</v>
      </c>
      <c r="F2019" s="270" t="s">
        <v>944</v>
      </c>
      <c r="G2019" s="270" t="s">
        <v>3926</v>
      </c>
      <c r="H2019" s="270" t="s">
        <v>6337</v>
      </c>
      <c r="I2019" s="270" t="s">
        <v>4330</v>
      </c>
      <c r="J2019" s="270" t="s">
        <v>3928</v>
      </c>
      <c r="K2019" s="270">
        <v>6413</v>
      </c>
      <c r="L2019" s="270">
        <v>610100</v>
      </c>
      <c r="M2019" s="270" t="s">
        <v>3935</v>
      </c>
      <c r="N2019" s="270" t="s">
        <v>3944</v>
      </c>
      <c r="O2019" s="270">
        <v>2781.59</v>
      </c>
      <c r="P2019" s="270" t="s">
        <v>3944</v>
      </c>
      <c r="Q2019" s="270" t="s">
        <v>3944</v>
      </c>
      <c r="R2019" s="270">
        <v>2781.59</v>
      </c>
      <c r="S2019" s="270">
        <v>24746</v>
      </c>
      <c r="T2019" s="270">
        <v>27527.59</v>
      </c>
      <c r="U2019" s="271" t="s">
        <v>3945</v>
      </c>
      <c r="V2019" s="267" t="s">
        <v>944</v>
      </c>
    </row>
    <row r="2020" spans="1:22" hidden="1" x14ac:dyDescent="0.25">
      <c r="A2020" s="266">
        <v>43585</v>
      </c>
      <c r="B2020" s="267">
        <v>2019</v>
      </c>
      <c r="C2020" s="267">
        <v>2019</v>
      </c>
      <c r="D2020" s="267">
        <v>1</v>
      </c>
      <c r="E2020" s="267">
        <v>1</v>
      </c>
      <c r="F2020" s="267" t="s">
        <v>944</v>
      </c>
      <c r="G2020" s="267" t="s">
        <v>3926</v>
      </c>
      <c r="H2020" s="267" t="s">
        <v>6338</v>
      </c>
      <c r="I2020" s="267" t="s">
        <v>4250</v>
      </c>
      <c r="J2020" s="267" t="s">
        <v>3928</v>
      </c>
      <c r="K2020" s="267">
        <v>6239</v>
      </c>
      <c r="L2020" s="267">
        <v>904400</v>
      </c>
      <c r="M2020" s="267" t="s">
        <v>3940</v>
      </c>
      <c r="N2020" s="267" t="s">
        <v>3944</v>
      </c>
      <c r="O2020" s="267">
        <v>1622.25</v>
      </c>
      <c r="P2020" s="267" t="s">
        <v>3944</v>
      </c>
      <c r="Q2020" s="267" t="s">
        <v>3944</v>
      </c>
      <c r="R2020" s="267">
        <v>1622.25</v>
      </c>
      <c r="S2020" s="267">
        <v>20474.689999999999</v>
      </c>
      <c r="T2020" s="267">
        <v>22096.94</v>
      </c>
      <c r="U2020" s="268" t="s">
        <v>3945</v>
      </c>
      <c r="V2020" s="267" t="s">
        <v>944</v>
      </c>
    </row>
    <row r="2021" spans="1:22" hidden="1" x14ac:dyDescent="0.25">
      <c r="A2021" s="269">
        <v>43585</v>
      </c>
      <c r="B2021" s="270">
        <v>2019</v>
      </c>
      <c r="C2021" s="270">
        <v>2019</v>
      </c>
      <c r="D2021" s="270">
        <v>1</v>
      </c>
      <c r="E2021" s="270">
        <v>1</v>
      </c>
      <c r="F2021" s="270" t="s">
        <v>944</v>
      </c>
      <c r="G2021" s="270" t="s">
        <v>3926</v>
      </c>
      <c r="H2021" s="270" t="s">
        <v>6339</v>
      </c>
      <c r="I2021" s="270" t="s">
        <v>4250</v>
      </c>
      <c r="J2021" s="270" t="s">
        <v>3928</v>
      </c>
      <c r="K2021" s="270">
        <v>6241</v>
      </c>
      <c r="L2021" s="270">
        <v>904400</v>
      </c>
      <c r="M2021" s="270" t="s">
        <v>3940</v>
      </c>
      <c r="N2021" s="270" t="s">
        <v>3944</v>
      </c>
      <c r="O2021" s="270">
        <v>942.62</v>
      </c>
      <c r="P2021" s="270" t="s">
        <v>3944</v>
      </c>
      <c r="Q2021" s="270" t="s">
        <v>3944</v>
      </c>
      <c r="R2021" s="270">
        <v>942.62</v>
      </c>
      <c r="S2021" s="270">
        <v>10703.98</v>
      </c>
      <c r="T2021" s="270">
        <v>11646.6</v>
      </c>
      <c r="U2021" s="271" t="s">
        <v>3945</v>
      </c>
      <c r="V2021" s="267" t="s">
        <v>944</v>
      </c>
    </row>
    <row r="2022" spans="1:22" hidden="1" x14ac:dyDescent="0.25">
      <c r="A2022" s="266">
        <v>43585</v>
      </c>
      <c r="B2022" s="267">
        <v>2019</v>
      </c>
      <c r="C2022" s="267">
        <v>2019</v>
      </c>
      <c r="D2022" s="267">
        <v>1</v>
      </c>
      <c r="E2022" s="267">
        <v>1</v>
      </c>
      <c r="F2022" s="267" t="s">
        <v>944</v>
      </c>
      <c r="G2022" s="267" t="s">
        <v>3926</v>
      </c>
      <c r="H2022" s="267" t="s">
        <v>6340</v>
      </c>
      <c r="I2022" s="267" t="s">
        <v>3971</v>
      </c>
      <c r="J2022" s="267" t="s">
        <v>3928</v>
      </c>
      <c r="K2022" s="267">
        <v>6084</v>
      </c>
      <c r="L2022" s="267">
        <v>533102</v>
      </c>
      <c r="M2022" s="267" t="s">
        <v>3943</v>
      </c>
      <c r="N2022" s="267" t="s">
        <v>3944</v>
      </c>
      <c r="O2022" s="267">
        <v>1672.23</v>
      </c>
      <c r="P2022" s="267" t="s">
        <v>3944</v>
      </c>
      <c r="Q2022" s="267" t="s">
        <v>3944</v>
      </c>
      <c r="R2022" s="267">
        <v>1672.23</v>
      </c>
      <c r="S2022" s="267">
        <v>22314.81</v>
      </c>
      <c r="T2022" s="267">
        <v>23987.040000000001</v>
      </c>
      <c r="U2022" s="268" t="s">
        <v>3945</v>
      </c>
      <c r="V2022" s="267" t="s">
        <v>944</v>
      </c>
    </row>
    <row r="2023" spans="1:22" hidden="1" x14ac:dyDescent="0.25">
      <c r="A2023" s="269">
        <v>43585</v>
      </c>
      <c r="B2023" s="270">
        <v>2019</v>
      </c>
      <c r="C2023" s="270">
        <v>2019</v>
      </c>
      <c r="D2023" s="270">
        <v>1</v>
      </c>
      <c r="E2023" s="270">
        <v>1</v>
      </c>
      <c r="F2023" s="270" t="s">
        <v>944</v>
      </c>
      <c r="G2023" s="270" t="s">
        <v>3926</v>
      </c>
      <c r="H2023" s="270" t="s">
        <v>6341</v>
      </c>
      <c r="I2023" s="270" t="s">
        <v>4073</v>
      </c>
      <c r="J2023" s="270" t="s">
        <v>3928</v>
      </c>
      <c r="K2023" s="270">
        <v>6776</v>
      </c>
      <c r="L2023" s="270">
        <v>253400</v>
      </c>
      <c r="M2023" s="270" t="s">
        <v>3943</v>
      </c>
      <c r="N2023" s="270" t="s">
        <v>3944</v>
      </c>
      <c r="O2023" s="270">
        <v>1837.75</v>
      </c>
      <c r="P2023" s="270" t="s">
        <v>3944</v>
      </c>
      <c r="Q2023" s="270" t="s">
        <v>3944</v>
      </c>
      <c r="R2023" s="270">
        <v>1837.75</v>
      </c>
      <c r="S2023" s="270">
        <v>27973.43</v>
      </c>
      <c r="T2023" s="270">
        <v>29811.18</v>
      </c>
      <c r="U2023" s="271" t="s">
        <v>3945</v>
      </c>
      <c r="V2023" s="267" t="s">
        <v>944</v>
      </c>
    </row>
    <row r="2024" spans="1:22" hidden="1" x14ac:dyDescent="0.25">
      <c r="A2024" s="266">
        <v>43585</v>
      </c>
      <c r="B2024" s="267">
        <v>2019</v>
      </c>
      <c r="C2024" s="267">
        <v>2019</v>
      </c>
      <c r="D2024" s="267">
        <v>1</v>
      </c>
      <c r="E2024" s="267">
        <v>1</v>
      </c>
      <c r="F2024" s="267" t="s">
        <v>944</v>
      </c>
      <c r="G2024" s="267" t="s">
        <v>3926</v>
      </c>
      <c r="H2024" s="267" t="s">
        <v>6342</v>
      </c>
      <c r="I2024" s="267" t="s">
        <v>4108</v>
      </c>
      <c r="J2024" s="267" t="s">
        <v>3928</v>
      </c>
      <c r="K2024" s="267">
        <v>6082</v>
      </c>
      <c r="L2024" s="267">
        <v>480900</v>
      </c>
      <c r="M2024" s="267" t="s">
        <v>3960</v>
      </c>
      <c r="N2024" s="267" t="s">
        <v>3944</v>
      </c>
      <c r="O2024" s="267">
        <v>544.42999999999995</v>
      </c>
      <c r="P2024" s="267" t="s">
        <v>3944</v>
      </c>
      <c r="Q2024" s="267" t="s">
        <v>3944</v>
      </c>
      <c r="R2024" s="267">
        <v>544.42999999999995</v>
      </c>
      <c r="S2024" s="267">
        <v>7789.21</v>
      </c>
      <c r="T2024" s="267">
        <v>8333.64</v>
      </c>
      <c r="U2024" s="268" t="s">
        <v>3945</v>
      </c>
      <c r="V2024" s="267" t="s">
        <v>944</v>
      </c>
    </row>
    <row r="2025" spans="1:22" hidden="1" x14ac:dyDescent="0.25">
      <c r="A2025" s="269">
        <v>43585</v>
      </c>
      <c r="B2025" s="270">
        <v>2019</v>
      </c>
      <c r="C2025" s="270">
        <v>2019</v>
      </c>
      <c r="D2025" s="270">
        <v>1</v>
      </c>
      <c r="E2025" s="270">
        <v>1</v>
      </c>
      <c r="F2025" s="270" t="s">
        <v>944</v>
      </c>
      <c r="G2025" s="270" t="s">
        <v>3926</v>
      </c>
      <c r="H2025" s="270" t="s">
        <v>6343</v>
      </c>
      <c r="I2025" s="270" t="s">
        <v>5032</v>
      </c>
      <c r="J2025" s="270" t="s">
        <v>3928</v>
      </c>
      <c r="K2025" s="270">
        <v>6062</v>
      </c>
      <c r="L2025" s="270">
        <v>420600</v>
      </c>
      <c r="M2025" s="270" t="s">
        <v>3935</v>
      </c>
      <c r="N2025" s="270" t="s">
        <v>3944</v>
      </c>
      <c r="O2025" s="270">
        <v>2176.62</v>
      </c>
      <c r="P2025" s="270" t="s">
        <v>3944</v>
      </c>
      <c r="Q2025" s="270" t="s">
        <v>3944</v>
      </c>
      <c r="R2025" s="270">
        <v>2176.62</v>
      </c>
      <c r="S2025" s="270">
        <v>18481.38</v>
      </c>
      <c r="T2025" s="270">
        <v>20658</v>
      </c>
      <c r="U2025" s="271" t="s">
        <v>3945</v>
      </c>
      <c r="V2025" s="267" t="s">
        <v>944</v>
      </c>
    </row>
    <row r="2026" spans="1:22" hidden="1" x14ac:dyDescent="0.25">
      <c r="A2026" s="266">
        <v>43585</v>
      </c>
      <c r="B2026" s="267">
        <v>2019</v>
      </c>
      <c r="C2026" s="267">
        <v>2019</v>
      </c>
      <c r="D2026" s="267">
        <v>1</v>
      </c>
      <c r="E2026" s="267">
        <v>1</v>
      </c>
      <c r="F2026" s="267" t="s">
        <v>944</v>
      </c>
      <c r="G2026" s="267" t="s">
        <v>3926</v>
      </c>
      <c r="H2026" s="267" t="s">
        <v>6344</v>
      </c>
      <c r="I2026" s="267" t="s">
        <v>4170</v>
      </c>
      <c r="J2026" s="267" t="s">
        <v>3928</v>
      </c>
      <c r="K2026" s="267">
        <v>6498</v>
      </c>
      <c r="L2026" s="267">
        <v>680100</v>
      </c>
      <c r="M2026" s="267" t="s">
        <v>3935</v>
      </c>
      <c r="N2026" s="267" t="s">
        <v>3944</v>
      </c>
      <c r="O2026" s="267">
        <v>1112.27</v>
      </c>
      <c r="P2026" s="267" t="s">
        <v>3944</v>
      </c>
      <c r="Q2026" s="267" t="s">
        <v>3944</v>
      </c>
      <c r="R2026" s="267">
        <v>1112.27</v>
      </c>
      <c r="S2026" s="267">
        <v>13878</v>
      </c>
      <c r="T2026" s="267">
        <v>14990.27</v>
      </c>
      <c r="U2026" s="268" t="s">
        <v>3945</v>
      </c>
      <c r="V2026" s="267" t="s">
        <v>944</v>
      </c>
    </row>
    <row r="2027" spans="1:22" hidden="1" x14ac:dyDescent="0.25">
      <c r="A2027" s="269">
        <v>43585</v>
      </c>
      <c r="B2027" s="270">
        <v>2019</v>
      </c>
      <c r="C2027" s="270">
        <v>2019</v>
      </c>
      <c r="D2027" s="270">
        <v>1</v>
      </c>
      <c r="E2027" s="270">
        <v>1</v>
      </c>
      <c r="F2027" s="270" t="s">
        <v>944</v>
      </c>
      <c r="G2027" s="270" t="s">
        <v>3926</v>
      </c>
      <c r="H2027" s="270" t="s">
        <v>6345</v>
      </c>
      <c r="I2027" s="270" t="s">
        <v>934</v>
      </c>
      <c r="J2027" s="270" t="s">
        <v>3928</v>
      </c>
      <c r="K2027" s="270">
        <v>6606</v>
      </c>
      <c r="L2027" s="270">
        <v>72500</v>
      </c>
      <c r="M2027" s="270" t="s">
        <v>3940</v>
      </c>
      <c r="N2027" s="270" t="s">
        <v>3944</v>
      </c>
      <c r="O2027" s="270">
        <v>2173.29</v>
      </c>
      <c r="P2027" s="270" t="s">
        <v>3944</v>
      </c>
      <c r="Q2027" s="270" t="s">
        <v>3944</v>
      </c>
      <c r="R2027" s="270">
        <v>2173.29</v>
      </c>
      <c r="S2027" s="270">
        <v>31617.78</v>
      </c>
      <c r="T2027" s="270">
        <v>33791.07</v>
      </c>
      <c r="U2027" s="271" t="s">
        <v>3945</v>
      </c>
      <c r="V2027" s="267" t="s">
        <v>944</v>
      </c>
    </row>
    <row r="2028" spans="1:22" hidden="1" x14ac:dyDescent="0.25">
      <c r="A2028" s="266">
        <v>43585</v>
      </c>
      <c r="B2028" s="267">
        <v>2019</v>
      </c>
      <c r="C2028" s="267">
        <v>2019</v>
      </c>
      <c r="D2028" s="267">
        <v>1</v>
      </c>
      <c r="E2028" s="267">
        <v>1</v>
      </c>
      <c r="F2028" s="267" t="s">
        <v>944</v>
      </c>
      <c r="G2028" s="267" t="s">
        <v>3926</v>
      </c>
      <c r="H2028" s="267" t="s">
        <v>6346</v>
      </c>
      <c r="I2028" s="267" t="s">
        <v>934</v>
      </c>
      <c r="J2028" s="267" t="s">
        <v>3928</v>
      </c>
      <c r="K2028" s="267">
        <v>6606</v>
      </c>
      <c r="L2028" s="267">
        <v>72500</v>
      </c>
      <c r="M2028" s="267" t="s">
        <v>3940</v>
      </c>
      <c r="N2028" s="267" t="s">
        <v>3944</v>
      </c>
      <c r="O2028" s="267">
        <v>1609.83</v>
      </c>
      <c r="P2028" s="267" t="s">
        <v>3944</v>
      </c>
      <c r="Q2028" s="267" t="s">
        <v>3944</v>
      </c>
      <c r="R2028" s="267">
        <v>1609.83</v>
      </c>
      <c r="S2028" s="267">
        <v>23453.25</v>
      </c>
      <c r="T2028" s="267">
        <v>25063.08</v>
      </c>
      <c r="U2028" s="268" t="s">
        <v>3945</v>
      </c>
      <c r="V2028" s="267" t="s">
        <v>944</v>
      </c>
    </row>
    <row r="2029" spans="1:22" hidden="1" x14ac:dyDescent="0.25">
      <c r="A2029" s="269">
        <v>43585</v>
      </c>
      <c r="B2029" s="270">
        <v>2019</v>
      </c>
      <c r="C2029" s="270">
        <v>2019</v>
      </c>
      <c r="D2029" s="270">
        <v>1</v>
      </c>
      <c r="E2029" s="270">
        <v>1</v>
      </c>
      <c r="F2029" s="270" t="s">
        <v>944</v>
      </c>
      <c r="G2029" s="270" t="s">
        <v>3926</v>
      </c>
      <c r="H2029" s="270" t="s">
        <v>6347</v>
      </c>
      <c r="I2029" s="270" t="s">
        <v>953</v>
      </c>
      <c r="J2029" s="270" t="s">
        <v>3928</v>
      </c>
      <c r="K2029" s="270">
        <v>6514</v>
      </c>
      <c r="L2029" s="270">
        <v>165802</v>
      </c>
      <c r="M2029" s="270" t="s">
        <v>3943</v>
      </c>
      <c r="N2029" s="270" t="s">
        <v>3944</v>
      </c>
      <c r="O2029" s="270">
        <v>2569.21</v>
      </c>
      <c r="P2029" s="270" t="s">
        <v>3944</v>
      </c>
      <c r="Q2029" s="270" t="s">
        <v>3944</v>
      </c>
      <c r="R2029" s="270">
        <v>2569.21</v>
      </c>
      <c r="S2029" s="270">
        <v>45129.41</v>
      </c>
      <c r="T2029" s="270">
        <v>47698.62</v>
      </c>
      <c r="U2029" s="271" t="s">
        <v>3945</v>
      </c>
      <c r="V2029" s="267" t="s">
        <v>944</v>
      </c>
    </row>
    <row r="2030" spans="1:22" hidden="1" x14ac:dyDescent="0.25">
      <c r="A2030" s="266">
        <v>43585</v>
      </c>
      <c r="B2030" s="267">
        <v>2019</v>
      </c>
      <c r="C2030" s="267">
        <v>2019</v>
      </c>
      <c r="D2030" s="267">
        <v>1</v>
      </c>
      <c r="E2030" s="267">
        <v>1</v>
      </c>
      <c r="F2030" s="267" t="s">
        <v>944</v>
      </c>
      <c r="G2030" s="267" t="s">
        <v>3926</v>
      </c>
      <c r="H2030" s="267" t="s">
        <v>6348</v>
      </c>
      <c r="I2030" s="267" t="s">
        <v>4014</v>
      </c>
      <c r="J2030" s="267" t="s">
        <v>3928</v>
      </c>
      <c r="K2030" s="267">
        <v>6420</v>
      </c>
      <c r="L2030" s="267">
        <v>715100</v>
      </c>
      <c r="M2030" s="267" t="s">
        <v>3943</v>
      </c>
      <c r="N2030" s="267" t="s">
        <v>3944</v>
      </c>
      <c r="O2030" s="267">
        <v>1403.26</v>
      </c>
      <c r="P2030" s="267" t="s">
        <v>3944</v>
      </c>
      <c r="Q2030" s="267" t="s">
        <v>3944</v>
      </c>
      <c r="R2030" s="267">
        <v>1403.26</v>
      </c>
      <c r="S2030" s="267">
        <v>23599.66</v>
      </c>
      <c r="T2030" s="267">
        <v>25002.92</v>
      </c>
      <c r="U2030" s="268" t="s">
        <v>3945</v>
      </c>
      <c r="V2030" s="267" t="s">
        <v>944</v>
      </c>
    </row>
    <row r="2031" spans="1:22" hidden="1" x14ac:dyDescent="0.25">
      <c r="A2031" s="269">
        <v>43585</v>
      </c>
      <c r="B2031" s="270">
        <v>2019</v>
      </c>
      <c r="C2031" s="270">
        <v>2019</v>
      </c>
      <c r="D2031" s="270">
        <v>1</v>
      </c>
      <c r="E2031" s="270">
        <v>1</v>
      </c>
      <c r="F2031" s="270" t="s">
        <v>944</v>
      </c>
      <c r="G2031" s="270" t="s">
        <v>3926</v>
      </c>
      <c r="H2031" s="270" t="s">
        <v>6349</v>
      </c>
      <c r="I2031" s="270" t="s">
        <v>4005</v>
      </c>
      <c r="J2031" s="270" t="s">
        <v>3928</v>
      </c>
      <c r="K2031" s="270">
        <v>6108</v>
      </c>
      <c r="L2031" s="270">
        <v>511400</v>
      </c>
      <c r="M2031" s="270" t="s">
        <v>3935</v>
      </c>
      <c r="N2031" s="270" t="s">
        <v>3944</v>
      </c>
      <c r="O2031" s="270">
        <v>3528.63</v>
      </c>
      <c r="P2031" s="270" t="s">
        <v>3944</v>
      </c>
      <c r="Q2031" s="270" t="s">
        <v>3944</v>
      </c>
      <c r="R2031" s="270">
        <v>3528.63</v>
      </c>
      <c r="S2031" s="270">
        <v>53171.37</v>
      </c>
      <c r="T2031" s="270">
        <v>56700</v>
      </c>
      <c r="U2031" s="271" t="s">
        <v>3945</v>
      </c>
      <c r="V2031" s="267" t="s">
        <v>944</v>
      </c>
    </row>
    <row r="2032" spans="1:22" x14ac:dyDescent="0.25">
      <c r="A2032" s="266">
        <v>43585</v>
      </c>
      <c r="B2032" s="267">
        <v>2019</v>
      </c>
      <c r="C2032" s="267">
        <v>2019</v>
      </c>
      <c r="D2032" s="267">
        <v>1</v>
      </c>
      <c r="E2032" s="267">
        <v>1</v>
      </c>
      <c r="F2032" s="267" t="s">
        <v>944</v>
      </c>
      <c r="G2032" s="267" t="s">
        <v>3926</v>
      </c>
      <c r="H2032" s="267" t="s">
        <v>6350</v>
      </c>
      <c r="I2032" s="267" t="s">
        <v>953</v>
      </c>
      <c r="J2032" s="267" t="s">
        <v>3928</v>
      </c>
      <c r="K2032" s="267">
        <v>6517</v>
      </c>
      <c r="L2032" s="267">
        <v>165500</v>
      </c>
      <c r="M2032" s="267">
        <v>-60</v>
      </c>
      <c r="N2032" s="267" t="s">
        <v>3944</v>
      </c>
      <c r="O2032" s="267">
        <v>1508.61</v>
      </c>
      <c r="P2032" s="267" t="s">
        <v>3944</v>
      </c>
      <c r="Q2032" s="267" t="s">
        <v>3944</v>
      </c>
      <c r="R2032" s="267">
        <v>1508.61</v>
      </c>
      <c r="S2032" s="267">
        <v>19768.560000000001</v>
      </c>
      <c r="T2032" s="267">
        <v>21277.17</v>
      </c>
      <c r="U2032" s="268" t="s">
        <v>3945</v>
      </c>
      <c r="V2032" s="276" t="s">
        <v>936</v>
      </c>
    </row>
    <row r="2033" spans="1:22" hidden="1" x14ac:dyDescent="0.25">
      <c r="A2033" s="269">
        <v>43585</v>
      </c>
      <c r="B2033" s="270">
        <v>2019</v>
      </c>
      <c r="C2033" s="270">
        <v>2019</v>
      </c>
      <c r="D2033" s="270">
        <v>1</v>
      </c>
      <c r="E2033" s="270">
        <v>1</v>
      </c>
      <c r="F2033" s="270" t="s">
        <v>944</v>
      </c>
      <c r="G2033" s="270" t="s">
        <v>3926</v>
      </c>
      <c r="H2033" s="270" t="s">
        <v>6351</v>
      </c>
      <c r="I2033" s="270" t="s">
        <v>3011</v>
      </c>
      <c r="J2033" s="270" t="s">
        <v>3928</v>
      </c>
      <c r="K2033" s="270">
        <v>6418</v>
      </c>
      <c r="L2033" s="270">
        <v>120200</v>
      </c>
      <c r="M2033" s="270">
        <v>-60</v>
      </c>
      <c r="N2033" s="270" t="s">
        <v>3944</v>
      </c>
      <c r="O2033" s="270">
        <v>1857.03</v>
      </c>
      <c r="P2033" s="270" t="s">
        <v>3944</v>
      </c>
      <c r="Q2033" s="270" t="s">
        <v>3944</v>
      </c>
      <c r="R2033" s="270">
        <v>1857.03</v>
      </c>
      <c r="S2033" s="270">
        <v>23994.71</v>
      </c>
      <c r="T2033" s="270">
        <v>25851.74</v>
      </c>
      <c r="U2033" s="271" t="s">
        <v>3945</v>
      </c>
      <c r="V2033" s="267" t="s">
        <v>944</v>
      </c>
    </row>
    <row r="2034" spans="1:22" hidden="1" x14ac:dyDescent="0.25">
      <c r="A2034" s="266">
        <v>43585</v>
      </c>
      <c r="B2034" s="267">
        <v>2019</v>
      </c>
      <c r="C2034" s="267">
        <v>2019</v>
      </c>
      <c r="D2034" s="267">
        <v>1</v>
      </c>
      <c r="E2034" s="267">
        <v>1</v>
      </c>
      <c r="F2034" s="267" t="s">
        <v>944</v>
      </c>
      <c r="G2034" s="267" t="s">
        <v>3926</v>
      </c>
      <c r="H2034" s="267" t="s">
        <v>6352</v>
      </c>
      <c r="I2034" s="267" t="s">
        <v>4016</v>
      </c>
      <c r="J2034" s="267" t="s">
        <v>3928</v>
      </c>
      <c r="K2034" s="267">
        <v>6770</v>
      </c>
      <c r="L2034" s="267">
        <v>345202</v>
      </c>
      <c r="M2034" s="267" t="s">
        <v>3960</v>
      </c>
      <c r="N2034" s="267" t="s">
        <v>3944</v>
      </c>
      <c r="O2034" s="267">
        <v>2021.29</v>
      </c>
      <c r="P2034" s="267" t="s">
        <v>3944</v>
      </c>
      <c r="Q2034" s="267" t="s">
        <v>3944</v>
      </c>
      <c r="R2034" s="267">
        <v>2021.29</v>
      </c>
      <c r="S2034" s="267">
        <v>25907.54</v>
      </c>
      <c r="T2034" s="267">
        <v>27928.83</v>
      </c>
      <c r="U2034" s="268" t="s">
        <v>3945</v>
      </c>
      <c r="V2034" s="267" t="s">
        <v>944</v>
      </c>
    </row>
    <row r="2035" spans="1:22" hidden="1" x14ac:dyDescent="0.25">
      <c r="A2035" s="269">
        <v>43585</v>
      </c>
      <c r="B2035" s="270">
        <v>2019</v>
      </c>
      <c r="C2035" s="270">
        <v>2019</v>
      </c>
      <c r="D2035" s="270">
        <v>1</v>
      </c>
      <c r="E2035" s="270">
        <v>1</v>
      </c>
      <c r="F2035" s="270" t="s">
        <v>944</v>
      </c>
      <c r="G2035" s="270" t="s">
        <v>3926</v>
      </c>
      <c r="H2035" s="270" t="s">
        <v>6353</v>
      </c>
      <c r="I2035" s="270" t="s">
        <v>956</v>
      </c>
      <c r="J2035" s="270" t="s">
        <v>3928</v>
      </c>
      <c r="K2035" s="270">
        <v>6615</v>
      </c>
      <c r="L2035" s="270">
        <v>80500</v>
      </c>
      <c r="M2035" s="270" t="s">
        <v>3960</v>
      </c>
      <c r="N2035" s="270" t="s">
        <v>3944</v>
      </c>
      <c r="O2035" s="270">
        <v>1356.36</v>
      </c>
      <c r="P2035" s="270" t="s">
        <v>3944</v>
      </c>
      <c r="Q2035" s="270" t="s">
        <v>3944</v>
      </c>
      <c r="R2035" s="270">
        <v>1356.36</v>
      </c>
      <c r="S2035" s="270">
        <v>32815.64</v>
      </c>
      <c r="T2035" s="270">
        <v>34172</v>
      </c>
      <c r="U2035" s="271" t="s">
        <v>3945</v>
      </c>
      <c r="V2035" s="267" t="s">
        <v>944</v>
      </c>
    </row>
    <row r="2036" spans="1:22" hidden="1" x14ac:dyDescent="0.25">
      <c r="A2036" s="266">
        <v>43585</v>
      </c>
      <c r="B2036" s="267">
        <v>2019</v>
      </c>
      <c r="C2036" s="267">
        <v>2019</v>
      </c>
      <c r="D2036" s="267">
        <v>1</v>
      </c>
      <c r="E2036" s="267">
        <v>1</v>
      </c>
      <c r="F2036" s="267" t="s">
        <v>944</v>
      </c>
      <c r="G2036" s="267" t="s">
        <v>3926</v>
      </c>
      <c r="H2036" s="267" t="s">
        <v>6354</v>
      </c>
      <c r="I2036" s="267" t="s">
        <v>4387</v>
      </c>
      <c r="J2036" s="267" t="s">
        <v>3928</v>
      </c>
      <c r="K2036" s="267">
        <v>6751</v>
      </c>
      <c r="L2036" s="267">
        <v>342100</v>
      </c>
      <c r="M2036" s="267" t="s">
        <v>3960</v>
      </c>
      <c r="N2036" s="267" t="s">
        <v>3944</v>
      </c>
      <c r="O2036" s="267">
        <v>1996.4</v>
      </c>
      <c r="P2036" s="267" t="s">
        <v>3944</v>
      </c>
      <c r="Q2036" s="267" t="s">
        <v>3944</v>
      </c>
      <c r="R2036" s="267">
        <v>1996.4</v>
      </c>
      <c r="S2036" s="267">
        <v>26720.080000000002</v>
      </c>
      <c r="T2036" s="267">
        <v>28716.48</v>
      </c>
      <c r="U2036" s="268" t="s">
        <v>3945</v>
      </c>
      <c r="V2036" s="267" t="s">
        <v>944</v>
      </c>
    </row>
    <row r="2037" spans="1:22" hidden="1" x14ac:dyDescent="0.25">
      <c r="A2037" s="269">
        <v>43586</v>
      </c>
      <c r="B2037" s="270">
        <v>2019</v>
      </c>
      <c r="C2037" s="270">
        <v>2019</v>
      </c>
      <c r="D2037" s="270">
        <v>1</v>
      </c>
      <c r="E2037" s="270">
        <v>1</v>
      </c>
      <c r="F2037" s="270" t="s">
        <v>944</v>
      </c>
      <c r="G2037" s="270" t="s">
        <v>3926</v>
      </c>
      <c r="H2037" s="270" t="s">
        <v>6355</v>
      </c>
      <c r="I2037" s="270" t="s">
        <v>3956</v>
      </c>
      <c r="J2037" s="270" t="s">
        <v>3928</v>
      </c>
      <c r="K2037" s="270">
        <v>6105</v>
      </c>
      <c r="L2037" s="270">
        <v>504200</v>
      </c>
      <c r="M2037" s="270">
        <v>-60</v>
      </c>
      <c r="N2037" s="270" t="s">
        <v>5313</v>
      </c>
      <c r="O2037" s="270">
        <v>0</v>
      </c>
      <c r="P2037" s="270" t="s">
        <v>3930</v>
      </c>
      <c r="Q2037" s="270" t="s">
        <v>3930</v>
      </c>
      <c r="R2037" s="270">
        <v>0</v>
      </c>
      <c r="S2037" s="270">
        <v>40000</v>
      </c>
      <c r="T2037" s="270">
        <v>40000</v>
      </c>
      <c r="U2037" s="271" t="s">
        <v>3937</v>
      </c>
      <c r="V2037" s="267" t="s">
        <v>944</v>
      </c>
    </row>
    <row r="2038" spans="1:22" hidden="1" x14ac:dyDescent="0.25">
      <c r="A2038" s="266">
        <v>43586</v>
      </c>
      <c r="B2038" s="267">
        <v>2019</v>
      </c>
      <c r="C2038" s="267">
        <v>2019</v>
      </c>
      <c r="D2038" s="267">
        <v>1</v>
      </c>
      <c r="E2038" s="267">
        <v>1</v>
      </c>
      <c r="F2038" s="267" t="s">
        <v>944</v>
      </c>
      <c r="G2038" s="267" t="s">
        <v>3926</v>
      </c>
      <c r="H2038" s="267" t="s">
        <v>6356</v>
      </c>
      <c r="I2038" s="267" t="s">
        <v>953</v>
      </c>
      <c r="J2038" s="267" t="s">
        <v>3928</v>
      </c>
      <c r="K2038" s="267">
        <v>6514</v>
      </c>
      <c r="L2038" s="267">
        <v>165802</v>
      </c>
      <c r="M2038" s="267" t="s">
        <v>3943</v>
      </c>
      <c r="N2038" s="267" t="s">
        <v>5685</v>
      </c>
      <c r="O2038" s="267">
        <v>0</v>
      </c>
      <c r="P2038" s="267" t="s">
        <v>3930</v>
      </c>
      <c r="Q2038" s="267" t="s">
        <v>3930</v>
      </c>
      <c r="R2038" s="267">
        <v>0</v>
      </c>
      <c r="S2038" s="267">
        <v>7000</v>
      </c>
      <c r="T2038" s="267">
        <v>7000</v>
      </c>
      <c r="U2038" s="268" t="s">
        <v>3937</v>
      </c>
      <c r="V2038" s="267" t="s">
        <v>944</v>
      </c>
    </row>
    <row r="2039" spans="1:22" hidden="1" x14ac:dyDescent="0.25">
      <c r="A2039" s="269">
        <v>43586</v>
      </c>
      <c r="B2039" s="270">
        <v>2019</v>
      </c>
      <c r="C2039" s="270">
        <v>2019</v>
      </c>
      <c r="D2039" s="270">
        <v>1</v>
      </c>
      <c r="E2039" s="270">
        <v>1</v>
      </c>
      <c r="F2039" s="270" t="s">
        <v>944</v>
      </c>
      <c r="G2039" s="270" t="s">
        <v>3926</v>
      </c>
      <c r="H2039" s="270" t="s">
        <v>6357</v>
      </c>
      <c r="I2039" s="270" t="s">
        <v>3968</v>
      </c>
      <c r="J2039" s="270" t="s">
        <v>3928</v>
      </c>
      <c r="K2039" s="270">
        <v>6042</v>
      </c>
      <c r="L2039" s="270">
        <v>514102</v>
      </c>
      <c r="M2039" s="270" t="s">
        <v>3935</v>
      </c>
      <c r="N2039" s="270" t="s">
        <v>3929</v>
      </c>
      <c r="O2039" s="270">
        <v>6158.61</v>
      </c>
      <c r="P2039" s="270" t="s">
        <v>3930</v>
      </c>
      <c r="Q2039" s="270" t="s">
        <v>3931</v>
      </c>
      <c r="R2039" s="270">
        <v>11158.61</v>
      </c>
      <c r="S2039" s="270">
        <v>34744</v>
      </c>
      <c r="T2039" s="270">
        <v>45902.61</v>
      </c>
      <c r="U2039" s="271" t="s">
        <v>3932</v>
      </c>
      <c r="V2039" s="267" t="s">
        <v>944</v>
      </c>
    </row>
    <row r="2040" spans="1:22" hidden="1" x14ac:dyDescent="0.25">
      <c r="A2040" s="266">
        <v>43586</v>
      </c>
      <c r="B2040" s="267">
        <v>2019</v>
      </c>
      <c r="C2040" s="267">
        <v>2019</v>
      </c>
      <c r="D2040" s="267">
        <v>1</v>
      </c>
      <c r="E2040" s="267">
        <v>1</v>
      </c>
      <c r="F2040" s="267" t="s">
        <v>944</v>
      </c>
      <c r="G2040" s="267" t="s">
        <v>3926</v>
      </c>
      <c r="H2040" s="267" t="s">
        <v>6358</v>
      </c>
      <c r="I2040" s="267" t="s">
        <v>4213</v>
      </c>
      <c r="J2040" s="267" t="s">
        <v>3928</v>
      </c>
      <c r="K2040" s="267">
        <v>6051</v>
      </c>
      <c r="L2040" s="267">
        <v>415400</v>
      </c>
      <c r="M2040" s="267">
        <v>-60</v>
      </c>
      <c r="N2040" s="267" t="s">
        <v>4777</v>
      </c>
      <c r="O2040" s="267">
        <v>0</v>
      </c>
      <c r="P2040" s="267" t="s">
        <v>3930</v>
      </c>
      <c r="Q2040" s="267" t="s">
        <v>3931</v>
      </c>
      <c r="R2040" s="267">
        <v>5000</v>
      </c>
      <c r="S2040" s="267">
        <v>9136</v>
      </c>
      <c r="T2040" s="267">
        <v>14136</v>
      </c>
      <c r="U2040" s="268" t="s">
        <v>3932</v>
      </c>
      <c r="V2040" s="267" t="s">
        <v>944</v>
      </c>
    </row>
    <row r="2041" spans="1:22" hidden="1" x14ac:dyDescent="0.25">
      <c r="A2041" s="269">
        <v>43586</v>
      </c>
      <c r="B2041" s="270">
        <v>2019</v>
      </c>
      <c r="C2041" s="270">
        <v>2019</v>
      </c>
      <c r="D2041" s="270">
        <v>1</v>
      </c>
      <c r="E2041" s="270">
        <v>1</v>
      </c>
      <c r="F2041" s="270" t="s">
        <v>944</v>
      </c>
      <c r="G2041" s="270" t="s">
        <v>3926</v>
      </c>
      <c r="H2041" s="270" t="s">
        <v>6359</v>
      </c>
      <c r="I2041" s="270" t="s">
        <v>4269</v>
      </c>
      <c r="J2041" s="270" t="s">
        <v>3928</v>
      </c>
      <c r="K2041" s="270">
        <v>6117</v>
      </c>
      <c r="L2041" s="270">
        <v>497300</v>
      </c>
      <c r="M2041" s="270" t="s">
        <v>3943</v>
      </c>
      <c r="N2041" s="270" t="s">
        <v>6360</v>
      </c>
      <c r="O2041" s="270">
        <v>0</v>
      </c>
      <c r="P2041" s="270" t="s">
        <v>3930</v>
      </c>
      <c r="Q2041" s="270" t="s">
        <v>3930</v>
      </c>
      <c r="R2041" s="270">
        <v>0</v>
      </c>
      <c r="S2041" s="270">
        <v>18300</v>
      </c>
      <c r="T2041" s="270">
        <v>18300</v>
      </c>
      <c r="U2041" s="271" t="s">
        <v>3937</v>
      </c>
      <c r="V2041" s="267" t="s">
        <v>944</v>
      </c>
    </row>
    <row r="2042" spans="1:22" hidden="1" x14ac:dyDescent="0.25">
      <c r="A2042" s="266">
        <v>43586</v>
      </c>
      <c r="B2042" s="267">
        <v>2019</v>
      </c>
      <c r="C2042" s="267">
        <v>2019</v>
      </c>
      <c r="D2042" s="267">
        <v>1</v>
      </c>
      <c r="E2042" s="267">
        <v>1</v>
      </c>
      <c r="F2042" s="267" t="s">
        <v>944</v>
      </c>
      <c r="G2042" s="267" t="s">
        <v>3926</v>
      </c>
      <c r="H2042" s="267" t="s">
        <v>6361</v>
      </c>
      <c r="I2042" s="267" t="s">
        <v>6362</v>
      </c>
      <c r="J2042" s="267" t="s">
        <v>3928</v>
      </c>
      <c r="K2042" s="267">
        <v>6026</v>
      </c>
      <c r="L2042" s="267">
        <v>470100</v>
      </c>
      <c r="M2042" s="267" t="s">
        <v>3943</v>
      </c>
      <c r="N2042" s="267" t="s">
        <v>6363</v>
      </c>
      <c r="O2042" s="267">
        <v>4127</v>
      </c>
      <c r="P2042" s="267" t="s">
        <v>3930</v>
      </c>
      <c r="Q2042" s="267" t="s">
        <v>3930</v>
      </c>
      <c r="R2042" s="267">
        <v>4127</v>
      </c>
      <c r="S2042" s="267">
        <v>25433</v>
      </c>
      <c r="T2042" s="267">
        <v>29560</v>
      </c>
      <c r="U2042" s="268" t="s">
        <v>3937</v>
      </c>
      <c r="V2042" s="267" t="s">
        <v>944</v>
      </c>
    </row>
    <row r="2043" spans="1:22" hidden="1" x14ac:dyDescent="0.25">
      <c r="A2043" s="269">
        <v>43586</v>
      </c>
      <c r="B2043" s="270">
        <v>2019</v>
      </c>
      <c r="C2043" s="270">
        <v>2019</v>
      </c>
      <c r="D2043" s="270">
        <v>1</v>
      </c>
      <c r="E2043" s="270">
        <v>1</v>
      </c>
      <c r="F2043" s="270" t="s">
        <v>944</v>
      </c>
      <c r="G2043" s="270" t="s">
        <v>3926</v>
      </c>
      <c r="H2043" s="270" t="s">
        <v>6364</v>
      </c>
      <c r="I2043" s="270" t="s">
        <v>4435</v>
      </c>
      <c r="J2043" s="270" t="s">
        <v>3928</v>
      </c>
      <c r="K2043" s="270">
        <v>6249</v>
      </c>
      <c r="L2043" s="270">
        <v>870100</v>
      </c>
      <c r="M2043" s="270" t="s">
        <v>3960</v>
      </c>
      <c r="N2043" s="270" t="s">
        <v>3944</v>
      </c>
      <c r="O2043" s="270">
        <v>2108</v>
      </c>
      <c r="P2043" s="270" t="s">
        <v>3944</v>
      </c>
      <c r="Q2043" s="270" t="s">
        <v>3944</v>
      </c>
      <c r="R2043" s="270">
        <v>2108</v>
      </c>
      <c r="S2043" s="270">
        <v>24087.4</v>
      </c>
      <c r="T2043" s="270">
        <v>26195.4</v>
      </c>
      <c r="U2043" s="271" t="s">
        <v>3945</v>
      </c>
      <c r="V2043" s="267" t="s">
        <v>944</v>
      </c>
    </row>
    <row r="2044" spans="1:22" hidden="1" x14ac:dyDescent="0.25">
      <c r="A2044" s="266">
        <v>43586</v>
      </c>
      <c r="B2044" s="267">
        <v>2019</v>
      </c>
      <c r="C2044" s="267">
        <v>2019</v>
      </c>
      <c r="D2044" s="267">
        <v>1</v>
      </c>
      <c r="E2044" s="267">
        <v>1</v>
      </c>
      <c r="F2044" s="267" t="s">
        <v>944</v>
      </c>
      <c r="G2044" s="267" t="s">
        <v>3926</v>
      </c>
      <c r="H2044" s="267" t="s">
        <v>6365</v>
      </c>
      <c r="I2044" s="267" t="s">
        <v>4323</v>
      </c>
      <c r="J2044" s="267" t="s">
        <v>3928</v>
      </c>
      <c r="K2044" s="267">
        <v>6385</v>
      </c>
      <c r="L2044" s="267">
        <v>693300</v>
      </c>
      <c r="M2044" s="267" t="s">
        <v>3935</v>
      </c>
      <c r="N2044" s="267" t="s">
        <v>3944</v>
      </c>
      <c r="O2044" s="267">
        <v>6107</v>
      </c>
      <c r="P2044" s="267" t="s">
        <v>3944</v>
      </c>
      <c r="Q2044" s="267" t="s">
        <v>3944</v>
      </c>
      <c r="R2044" s="267">
        <v>6107</v>
      </c>
      <c r="S2044" s="267">
        <v>35275</v>
      </c>
      <c r="T2044" s="267">
        <v>41382</v>
      </c>
      <c r="U2044" s="268" t="s">
        <v>3945</v>
      </c>
      <c r="V2044" s="267" t="s">
        <v>944</v>
      </c>
    </row>
    <row r="2045" spans="1:22" hidden="1" x14ac:dyDescent="0.25">
      <c r="A2045" s="269">
        <v>43586</v>
      </c>
      <c r="B2045" s="270">
        <v>2019</v>
      </c>
      <c r="C2045" s="270">
        <v>2019</v>
      </c>
      <c r="D2045" s="270">
        <v>1</v>
      </c>
      <c r="E2045" s="270">
        <v>1</v>
      </c>
      <c r="F2045" s="270" t="s">
        <v>944</v>
      </c>
      <c r="G2045" s="270" t="s">
        <v>3926</v>
      </c>
      <c r="H2045" s="270" t="s">
        <v>6366</v>
      </c>
      <c r="I2045" s="270" t="s">
        <v>3026</v>
      </c>
      <c r="J2045" s="270" t="s">
        <v>3928</v>
      </c>
      <c r="K2045" s="270">
        <v>6471</v>
      </c>
      <c r="L2045" s="270">
        <v>186100</v>
      </c>
      <c r="M2045" s="270" t="s">
        <v>3935</v>
      </c>
      <c r="N2045" s="270" t="s">
        <v>3944</v>
      </c>
      <c r="O2045" s="270">
        <v>5330</v>
      </c>
      <c r="P2045" s="270" t="s">
        <v>3944</v>
      </c>
      <c r="Q2045" s="270" t="s">
        <v>3944</v>
      </c>
      <c r="R2045" s="270">
        <v>5330</v>
      </c>
      <c r="S2045" s="270">
        <v>39920</v>
      </c>
      <c r="T2045" s="270">
        <v>45250</v>
      </c>
      <c r="U2045" s="271" t="s">
        <v>3945</v>
      </c>
      <c r="V2045" s="267" t="s">
        <v>944</v>
      </c>
    </row>
    <row r="2046" spans="1:22" hidden="1" x14ac:dyDescent="0.25">
      <c r="A2046" s="266">
        <v>43586</v>
      </c>
      <c r="B2046" s="267">
        <v>2019</v>
      </c>
      <c r="C2046" s="267">
        <v>2019</v>
      </c>
      <c r="D2046" s="267">
        <v>1</v>
      </c>
      <c r="E2046" s="267">
        <v>1</v>
      </c>
      <c r="F2046" s="267" t="s">
        <v>944</v>
      </c>
      <c r="G2046" s="267" t="s">
        <v>3926</v>
      </c>
      <c r="H2046" s="267" t="s">
        <v>6367</v>
      </c>
      <c r="I2046" s="267" t="s">
        <v>956</v>
      </c>
      <c r="J2046" s="267" t="s">
        <v>3928</v>
      </c>
      <c r="K2046" s="267">
        <v>6614</v>
      </c>
      <c r="L2046" s="267">
        <v>80900</v>
      </c>
      <c r="M2046" s="267" t="s">
        <v>3960</v>
      </c>
      <c r="N2046" s="267" t="s">
        <v>3944</v>
      </c>
      <c r="O2046" s="267">
        <v>2969</v>
      </c>
      <c r="P2046" s="267" t="s">
        <v>3944</v>
      </c>
      <c r="Q2046" s="267" t="s">
        <v>3944</v>
      </c>
      <c r="R2046" s="267">
        <v>2969</v>
      </c>
      <c r="S2046" s="267">
        <v>23216.48</v>
      </c>
      <c r="T2046" s="267">
        <v>26185.48</v>
      </c>
      <c r="U2046" s="268" t="s">
        <v>3945</v>
      </c>
      <c r="V2046" s="267" t="s">
        <v>944</v>
      </c>
    </row>
    <row r="2047" spans="1:22" hidden="1" x14ac:dyDescent="0.25">
      <c r="A2047" s="269">
        <v>43586</v>
      </c>
      <c r="B2047" s="270">
        <v>2019</v>
      </c>
      <c r="C2047" s="270">
        <v>2019</v>
      </c>
      <c r="D2047" s="270">
        <v>1</v>
      </c>
      <c r="E2047" s="270">
        <v>1</v>
      </c>
      <c r="F2047" s="270" t="s">
        <v>944</v>
      </c>
      <c r="G2047" s="270" t="s">
        <v>3926</v>
      </c>
      <c r="H2047" s="270" t="s">
        <v>6368</v>
      </c>
      <c r="I2047" s="270" t="s">
        <v>4040</v>
      </c>
      <c r="J2047" s="270" t="s">
        <v>3928</v>
      </c>
      <c r="K2047" s="270">
        <v>6339</v>
      </c>
      <c r="L2047" s="270">
        <v>701200</v>
      </c>
      <c r="M2047" s="270" t="s">
        <v>3960</v>
      </c>
      <c r="N2047" s="270" t="s">
        <v>3944</v>
      </c>
      <c r="O2047" s="270">
        <v>2410</v>
      </c>
      <c r="P2047" s="270" t="s">
        <v>3944</v>
      </c>
      <c r="Q2047" s="270" t="s">
        <v>3944</v>
      </c>
      <c r="R2047" s="270">
        <v>2410</v>
      </c>
      <c r="S2047" s="270">
        <v>15681</v>
      </c>
      <c r="T2047" s="270">
        <v>18091</v>
      </c>
      <c r="U2047" s="271" t="s">
        <v>3945</v>
      </c>
      <c r="V2047" s="267" t="s">
        <v>944</v>
      </c>
    </row>
    <row r="2048" spans="1:22" hidden="1" x14ac:dyDescent="0.25">
      <c r="A2048" s="266">
        <v>43586</v>
      </c>
      <c r="B2048" s="267">
        <v>2019</v>
      </c>
      <c r="C2048" s="267">
        <v>2019</v>
      </c>
      <c r="D2048" s="267">
        <v>1</v>
      </c>
      <c r="E2048" s="267">
        <v>1</v>
      </c>
      <c r="F2048" s="267" t="s">
        <v>944</v>
      </c>
      <c r="G2048" s="267" t="s">
        <v>3926</v>
      </c>
      <c r="H2048" s="267" t="s">
        <v>6369</v>
      </c>
      <c r="I2048" s="267" t="s">
        <v>950</v>
      </c>
      <c r="J2048" s="267" t="s">
        <v>3928</v>
      </c>
      <c r="K2048" s="267">
        <v>6516</v>
      </c>
      <c r="L2048" s="267">
        <v>154700</v>
      </c>
      <c r="M2048" s="267" t="s">
        <v>3960</v>
      </c>
      <c r="N2048" s="267" t="s">
        <v>3944</v>
      </c>
      <c r="O2048" s="267">
        <v>2475</v>
      </c>
      <c r="P2048" s="267" t="s">
        <v>3944</v>
      </c>
      <c r="Q2048" s="267" t="s">
        <v>3944</v>
      </c>
      <c r="R2048" s="267">
        <v>2475</v>
      </c>
      <c r="S2048" s="267">
        <v>19701</v>
      </c>
      <c r="T2048" s="267">
        <v>22176</v>
      </c>
      <c r="U2048" s="268" t="s">
        <v>3945</v>
      </c>
      <c r="V2048" s="267" t="s">
        <v>944</v>
      </c>
    </row>
    <row r="2049" spans="1:22" hidden="1" x14ac:dyDescent="0.25">
      <c r="A2049" s="269">
        <v>43586</v>
      </c>
      <c r="B2049" s="270">
        <v>2019</v>
      </c>
      <c r="C2049" s="270">
        <v>2019</v>
      </c>
      <c r="D2049" s="270">
        <v>1</v>
      </c>
      <c r="E2049" s="270">
        <v>1</v>
      </c>
      <c r="F2049" s="270" t="s">
        <v>944</v>
      </c>
      <c r="G2049" s="270" t="s">
        <v>3926</v>
      </c>
      <c r="H2049" s="270" t="s">
        <v>6370</v>
      </c>
      <c r="I2049" s="270" t="s">
        <v>3009</v>
      </c>
      <c r="J2049" s="270" t="s">
        <v>3928</v>
      </c>
      <c r="K2049" s="270">
        <v>6484</v>
      </c>
      <c r="L2049" s="270">
        <v>110201</v>
      </c>
      <c r="M2049" s="270" t="s">
        <v>3960</v>
      </c>
      <c r="N2049" s="270" t="s">
        <v>3944</v>
      </c>
      <c r="O2049" s="270">
        <v>3424</v>
      </c>
      <c r="P2049" s="270" t="s">
        <v>3944</v>
      </c>
      <c r="Q2049" s="270" t="s">
        <v>3944</v>
      </c>
      <c r="R2049" s="270">
        <v>3424</v>
      </c>
      <c r="S2049" s="270">
        <v>22593</v>
      </c>
      <c r="T2049" s="270">
        <v>26017</v>
      </c>
      <c r="U2049" s="271" t="s">
        <v>3945</v>
      </c>
      <c r="V2049" s="267" t="s">
        <v>944</v>
      </c>
    </row>
    <row r="2050" spans="1:22" hidden="1" x14ac:dyDescent="0.25">
      <c r="A2050" s="266">
        <v>43586</v>
      </c>
      <c r="B2050" s="267">
        <v>2019</v>
      </c>
      <c r="C2050" s="267">
        <v>2019</v>
      </c>
      <c r="D2050" s="267">
        <v>1</v>
      </c>
      <c r="E2050" s="267">
        <v>1</v>
      </c>
      <c r="F2050" s="267" t="s">
        <v>944</v>
      </c>
      <c r="G2050" s="267" t="s">
        <v>3926</v>
      </c>
      <c r="H2050" s="267" t="s">
        <v>6371</v>
      </c>
      <c r="I2050" s="267" t="s">
        <v>953</v>
      </c>
      <c r="J2050" s="267" t="s">
        <v>3928</v>
      </c>
      <c r="K2050" s="267">
        <v>6517</v>
      </c>
      <c r="L2050" s="267">
        <v>165200</v>
      </c>
      <c r="M2050" s="267" t="s">
        <v>3943</v>
      </c>
      <c r="N2050" s="267" t="s">
        <v>3944</v>
      </c>
      <c r="O2050" s="267">
        <v>3942</v>
      </c>
      <c r="P2050" s="267" t="s">
        <v>3944</v>
      </c>
      <c r="Q2050" s="267" t="s">
        <v>3944</v>
      </c>
      <c r="R2050" s="267">
        <v>3942</v>
      </c>
      <c r="S2050" s="267">
        <v>30054.63</v>
      </c>
      <c r="T2050" s="267">
        <v>33996.629999999997</v>
      </c>
      <c r="U2050" s="268" t="s">
        <v>3945</v>
      </c>
      <c r="V2050" s="267" t="s">
        <v>944</v>
      </c>
    </row>
    <row r="2051" spans="1:22" hidden="1" x14ac:dyDescent="0.25">
      <c r="A2051" s="269">
        <v>43586</v>
      </c>
      <c r="B2051" s="270">
        <v>2019</v>
      </c>
      <c r="C2051" s="270">
        <v>2019</v>
      </c>
      <c r="D2051" s="270">
        <v>1</v>
      </c>
      <c r="E2051" s="270">
        <v>1</v>
      </c>
      <c r="F2051" s="270" t="s">
        <v>944</v>
      </c>
      <c r="G2051" s="270" t="s">
        <v>3926</v>
      </c>
      <c r="H2051" s="270" t="s">
        <v>6372</v>
      </c>
      <c r="I2051" s="270" t="s">
        <v>4011</v>
      </c>
      <c r="J2051" s="270" t="s">
        <v>3928</v>
      </c>
      <c r="K2051" s="270">
        <v>6002</v>
      </c>
      <c r="L2051" s="270">
        <v>471400</v>
      </c>
      <c r="M2051" s="270" t="s">
        <v>3943</v>
      </c>
      <c r="N2051" s="270" t="s">
        <v>3944</v>
      </c>
      <c r="O2051" s="270">
        <v>6069</v>
      </c>
      <c r="P2051" s="270" t="s">
        <v>3944</v>
      </c>
      <c r="Q2051" s="270" t="s">
        <v>3944</v>
      </c>
      <c r="R2051" s="270">
        <v>6069</v>
      </c>
      <c r="S2051" s="270">
        <v>42245.64</v>
      </c>
      <c r="T2051" s="270">
        <v>48314.64</v>
      </c>
      <c r="U2051" s="271" t="s">
        <v>3945</v>
      </c>
      <c r="V2051" s="267" t="s">
        <v>944</v>
      </c>
    </row>
    <row r="2052" spans="1:22" hidden="1" x14ac:dyDescent="0.25">
      <c r="A2052" s="266">
        <v>43586</v>
      </c>
      <c r="B2052" s="267">
        <v>2019</v>
      </c>
      <c r="C2052" s="267">
        <v>2019</v>
      </c>
      <c r="D2052" s="267">
        <v>1</v>
      </c>
      <c r="E2052" s="267">
        <v>1</v>
      </c>
      <c r="F2052" s="267" t="s">
        <v>944</v>
      </c>
      <c r="G2052" s="267" t="s">
        <v>3926</v>
      </c>
      <c r="H2052" s="267" t="s">
        <v>6373</v>
      </c>
      <c r="I2052" s="267" t="s">
        <v>4062</v>
      </c>
      <c r="J2052" s="267" t="s">
        <v>3928</v>
      </c>
      <c r="K2052" s="267">
        <v>6763</v>
      </c>
      <c r="L2052" s="267">
        <v>303100</v>
      </c>
      <c r="M2052" s="267" t="s">
        <v>3960</v>
      </c>
      <c r="N2052" s="267" t="s">
        <v>3944</v>
      </c>
      <c r="O2052" s="267">
        <v>1367.77</v>
      </c>
      <c r="P2052" s="267" t="s">
        <v>3944</v>
      </c>
      <c r="Q2052" s="267" t="s">
        <v>3944</v>
      </c>
      <c r="R2052" s="267">
        <v>1367.77</v>
      </c>
      <c r="S2052" s="267">
        <v>16739</v>
      </c>
      <c r="T2052" s="267">
        <v>18106.77</v>
      </c>
      <c r="U2052" s="268" t="s">
        <v>3945</v>
      </c>
      <c r="V2052" s="267" t="s">
        <v>944</v>
      </c>
    </row>
    <row r="2053" spans="1:22" hidden="1" x14ac:dyDescent="0.25">
      <c r="A2053" s="269">
        <v>43586</v>
      </c>
      <c r="B2053" s="270">
        <v>2019</v>
      </c>
      <c r="C2053" s="270">
        <v>2019</v>
      </c>
      <c r="D2053" s="270">
        <v>1</v>
      </c>
      <c r="E2053" s="270">
        <v>1</v>
      </c>
      <c r="F2053" s="270" t="s">
        <v>944</v>
      </c>
      <c r="G2053" s="270" t="s">
        <v>3926</v>
      </c>
      <c r="H2053" s="270" t="s">
        <v>6374</v>
      </c>
      <c r="I2053" s="270" t="s">
        <v>3939</v>
      </c>
      <c r="J2053" s="270" t="s">
        <v>3928</v>
      </c>
      <c r="K2053" s="270">
        <v>6512</v>
      </c>
      <c r="L2053" s="270">
        <v>180100</v>
      </c>
      <c r="M2053" s="270" t="s">
        <v>3940</v>
      </c>
      <c r="N2053" s="270" t="s">
        <v>3944</v>
      </c>
      <c r="O2053" s="270">
        <v>1163.3</v>
      </c>
      <c r="P2053" s="270" t="s">
        <v>3944</v>
      </c>
      <c r="Q2053" s="270" t="s">
        <v>3944</v>
      </c>
      <c r="R2053" s="270">
        <v>1163.3</v>
      </c>
      <c r="S2053" s="270">
        <v>15505</v>
      </c>
      <c r="T2053" s="270">
        <v>16668.3</v>
      </c>
      <c r="U2053" s="271" t="s">
        <v>3945</v>
      </c>
      <c r="V2053" s="267" t="s">
        <v>944</v>
      </c>
    </row>
    <row r="2054" spans="1:22" hidden="1" x14ac:dyDescent="0.25">
      <c r="A2054" s="266">
        <v>43586</v>
      </c>
      <c r="B2054" s="267">
        <v>2019</v>
      </c>
      <c r="C2054" s="267">
        <v>2019</v>
      </c>
      <c r="D2054" s="267">
        <v>1</v>
      </c>
      <c r="E2054" s="267">
        <v>1</v>
      </c>
      <c r="F2054" s="267" t="s">
        <v>944</v>
      </c>
      <c r="G2054" s="267" t="s">
        <v>3926</v>
      </c>
      <c r="H2054" s="267" t="s">
        <v>6375</v>
      </c>
      <c r="I2054" s="267" t="s">
        <v>3010</v>
      </c>
      <c r="J2054" s="267" t="s">
        <v>3928</v>
      </c>
      <c r="K2054" s="267">
        <v>6401</v>
      </c>
      <c r="L2054" s="267">
        <v>125100</v>
      </c>
      <c r="M2054" s="267" t="s">
        <v>3960</v>
      </c>
      <c r="N2054" s="267" t="s">
        <v>3944</v>
      </c>
      <c r="O2054" s="267">
        <v>2346.6799999999998</v>
      </c>
      <c r="P2054" s="267" t="s">
        <v>3944</v>
      </c>
      <c r="Q2054" s="267" t="s">
        <v>3944</v>
      </c>
      <c r="R2054" s="267">
        <v>2346.6799999999998</v>
      </c>
      <c r="S2054" s="267">
        <v>29192.36</v>
      </c>
      <c r="T2054" s="267">
        <v>31539.040000000001</v>
      </c>
      <c r="U2054" s="268" t="s">
        <v>3945</v>
      </c>
      <c r="V2054" s="267" t="s">
        <v>944</v>
      </c>
    </row>
    <row r="2055" spans="1:22" hidden="1" x14ac:dyDescent="0.25">
      <c r="A2055" s="269">
        <v>43586</v>
      </c>
      <c r="B2055" s="270">
        <v>2019</v>
      </c>
      <c r="C2055" s="270">
        <v>2019</v>
      </c>
      <c r="D2055" s="270">
        <v>1</v>
      </c>
      <c r="E2055" s="270">
        <v>1</v>
      </c>
      <c r="F2055" s="270" t="s">
        <v>944</v>
      </c>
      <c r="G2055" s="270" t="s">
        <v>3926</v>
      </c>
      <c r="H2055" s="270" t="s">
        <v>6376</v>
      </c>
      <c r="I2055" s="270" t="s">
        <v>934</v>
      </c>
      <c r="J2055" s="270" t="s">
        <v>3928</v>
      </c>
      <c r="K2055" s="270">
        <v>6606</v>
      </c>
      <c r="L2055" s="270">
        <v>72700</v>
      </c>
      <c r="M2055" s="270" t="s">
        <v>3935</v>
      </c>
      <c r="N2055" s="270" t="s">
        <v>3944</v>
      </c>
      <c r="O2055" s="270">
        <v>2008.23</v>
      </c>
      <c r="P2055" s="270" t="s">
        <v>3944</v>
      </c>
      <c r="Q2055" s="270" t="s">
        <v>3944</v>
      </c>
      <c r="R2055" s="270">
        <v>2008.23</v>
      </c>
      <c r="S2055" s="270">
        <v>31203.91</v>
      </c>
      <c r="T2055" s="270">
        <v>33212.14</v>
      </c>
      <c r="U2055" s="271" t="s">
        <v>3945</v>
      </c>
      <c r="V2055" s="267" t="s">
        <v>944</v>
      </c>
    </row>
    <row r="2056" spans="1:22" hidden="1" x14ac:dyDescent="0.25">
      <c r="A2056" s="266">
        <v>43586</v>
      </c>
      <c r="B2056" s="267">
        <v>2019</v>
      </c>
      <c r="C2056" s="267">
        <v>2019</v>
      </c>
      <c r="D2056" s="267">
        <v>1</v>
      </c>
      <c r="E2056" s="267">
        <v>1</v>
      </c>
      <c r="F2056" s="267" t="s">
        <v>944</v>
      </c>
      <c r="G2056" s="267" t="s">
        <v>3926</v>
      </c>
      <c r="H2056" s="267" t="s">
        <v>6377</v>
      </c>
      <c r="I2056" s="267" t="s">
        <v>4330</v>
      </c>
      <c r="J2056" s="267" t="s">
        <v>3928</v>
      </c>
      <c r="K2056" s="267">
        <v>6413</v>
      </c>
      <c r="L2056" s="267">
        <v>610400</v>
      </c>
      <c r="M2056" s="267" t="s">
        <v>3960</v>
      </c>
      <c r="N2056" s="267" t="s">
        <v>3944</v>
      </c>
      <c r="O2056" s="267">
        <v>3247.2</v>
      </c>
      <c r="P2056" s="267" t="s">
        <v>3944</v>
      </c>
      <c r="Q2056" s="267" t="s">
        <v>3944</v>
      </c>
      <c r="R2056" s="267">
        <v>3247.2</v>
      </c>
      <c r="S2056" s="267">
        <v>31777.8</v>
      </c>
      <c r="T2056" s="267">
        <v>35025</v>
      </c>
      <c r="U2056" s="268" t="s">
        <v>3945</v>
      </c>
      <c r="V2056" s="267" t="s">
        <v>944</v>
      </c>
    </row>
    <row r="2057" spans="1:22" hidden="1" x14ac:dyDescent="0.25">
      <c r="A2057" s="269">
        <v>43586</v>
      </c>
      <c r="B2057" s="270">
        <v>2019</v>
      </c>
      <c r="C2057" s="270">
        <v>2019</v>
      </c>
      <c r="D2057" s="270">
        <v>1</v>
      </c>
      <c r="E2057" s="270">
        <v>1</v>
      </c>
      <c r="F2057" s="270" t="s">
        <v>944</v>
      </c>
      <c r="G2057" s="270" t="s">
        <v>3926</v>
      </c>
      <c r="H2057" s="270" t="s">
        <v>6378</v>
      </c>
      <c r="I2057" s="270" t="s">
        <v>4069</v>
      </c>
      <c r="J2057" s="270" t="s">
        <v>3928</v>
      </c>
      <c r="K2057" s="270">
        <v>6902</v>
      </c>
      <c r="L2057" s="270">
        <v>20600</v>
      </c>
      <c r="M2057" s="270" t="s">
        <v>3943</v>
      </c>
      <c r="N2057" s="270" t="s">
        <v>3944</v>
      </c>
      <c r="O2057" s="270">
        <v>1771.39</v>
      </c>
      <c r="P2057" s="270" t="s">
        <v>3944</v>
      </c>
      <c r="Q2057" s="270" t="s">
        <v>3944</v>
      </c>
      <c r="R2057" s="270">
        <v>1771.39</v>
      </c>
      <c r="S2057" s="270">
        <v>23834.61</v>
      </c>
      <c r="T2057" s="270">
        <v>25606</v>
      </c>
      <c r="U2057" s="271" t="s">
        <v>3945</v>
      </c>
      <c r="V2057" s="267" t="s">
        <v>944</v>
      </c>
    </row>
    <row r="2058" spans="1:22" hidden="1" x14ac:dyDescent="0.25">
      <c r="A2058" s="266">
        <v>43586</v>
      </c>
      <c r="B2058" s="267">
        <v>2019</v>
      </c>
      <c r="C2058" s="267">
        <v>2019</v>
      </c>
      <c r="D2058" s="267">
        <v>1</v>
      </c>
      <c r="E2058" s="267">
        <v>1</v>
      </c>
      <c r="F2058" s="267" t="s">
        <v>944</v>
      </c>
      <c r="G2058" s="267" t="s">
        <v>3926</v>
      </c>
      <c r="H2058" s="267" t="s">
        <v>6379</v>
      </c>
      <c r="I2058" s="267" t="s">
        <v>4392</v>
      </c>
      <c r="J2058" s="267" t="s">
        <v>3928</v>
      </c>
      <c r="K2058" s="267">
        <v>6457</v>
      </c>
      <c r="L2058" s="267">
        <v>541300</v>
      </c>
      <c r="M2058" s="267" t="s">
        <v>3940</v>
      </c>
      <c r="N2058" s="267" t="s">
        <v>3944</v>
      </c>
      <c r="O2058" s="267">
        <v>1579.73</v>
      </c>
      <c r="P2058" s="267" t="s">
        <v>3944</v>
      </c>
      <c r="Q2058" s="267" t="s">
        <v>3944</v>
      </c>
      <c r="R2058" s="267">
        <v>1579.73</v>
      </c>
      <c r="S2058" s="267">
        <v>19128.09</v>
      </c>
      <c r="T2058" s="267">
        <v>20707.82</v>
      </c>
      <c r="U2058" s="268" t="s">
        <v>3945</v>
      </c>
      <c r="V2058" s="267" t="s">
        <v>944</v>
      </c>
    </row>
    <row r="2059" spans="1:22" hidden="1" x14ac:dyDescent="0.25">
      <c r="A2059" s="269">
        <v>43586</v>
      </c>
      <c r="B2059" s="270">
        <v>2019</v>
      </c>
      <c r="C2059" s="270">
        <v>2019</v>
      </c>
      <c r="D2059" s="270">
        <v>1</v>
      </c>
      <c r="E2059" s="270">
        <v>1</v>
      </c>
      <c r="F2059" s="270" t="s">
        <v>944</v>
      </c>
      <c r="G2059" s="270" t="s">
        <v>3926</v>
      </c>
      <c r="H2059" s="270" t="s">
        <v>6380</v>
      </c>
      <c r="I2059" s="270" t="s">
        <v>5325</v>
      </c>
      <c r="J2059" s="270" t="s">
        <v>3928</v>
      </c>
      <c r="K2059" s="270">
        <v>6057</v>
      </c>
      <c r="L2059" s="270">
        <v>306100</v>
      </c>
      <c r="M2059" s="270" t="s">
        <v>3943</v>
      </c>
      <c r="N2059" s="270" t="s">
        <v>3944</v>
      </c>
      <c r="O2059" s="270">
        <v>1495.55</v>
      </c>
      <c r="P2059" s="270" t="s">
        <v>3944</v>
      </c>
      <c r="Q2059" s="270" t="s">
        <v>3944</v>
      </c>
      <c r="R2059" s="270">
        <v>1495.55</v>
      </c>
      <c r="S2059" s="270">
        <v>15622.45</v>
      </c>
      <c r="T2059" s="270">
        <v>17118</v>
      </c>
      <c r="U2059" s="271" t="s">
        <v>3945</v>
      </c>
      <c r="V2059" s="267" t="s">
        <v>944</v>
      </c>
    </row>
    <row r="2060" spans="1:22" hidden="1" x14ac:dyDescent="0.25">
      <c r="A2060" s="266">
        <v>43586</v>
      </c>
      <c r="B2060" s="267">
        <v>2019</v>
      </c>
      <c r="C2060" s="267">
        <v>2019</v>
      </c>
      <c r="D2060" s="267">
        <v>1</v>
      </c>
      <c r="E2060" s="267">
        <v>1</v>
      </c>
      <c r="F2060" s="267" t="s">
        <v>944</v>
      </c>
      <c r="G2060" s="267" t="s">
        <v>3926</v>
      </c>
      <c r="H2060" s="267" t="s">
        <v>6381</v>
      </c>
      <c r="I2060" s="267" t="s">
        <v>956</v>
      </c>
      <c r="J2060" s="267" t="s">
        <v>3928</v>
      </c>
      <c r="K2060" s="267">
        <v>6615</v>
      </c>
      <c r="L2060" s="267">
        <v>80700</v>
      </c>
      <c r="M2060" s="267" t="s">
        <v>3935</v>
      </c>
      <c r="N2060" s="267" t="s">
        <v>3944</v>
      </c>
      <c r="O2060" s="267">
        <v>2547.65</v>
      </c>
      <c r="P2060" s="267" t="s">
        <v>3944</v>
      </c>
      <c r="Q2060" s="267" t="s">
        <v>3944</v>
      </c>
      <c r="R2060" s="267">
        <v>2547.65</v>
      </c>
      <c r="S2060" s="267">
        <v>35476.19</v>
      </c>
      <c r="T2060" s="267">
        <v>38023.839999999997</v>
      </c>
      <c r="U2060" s="268" t="s">
        <v>3945</v>
      </c>
      <c r="V2060" s="267" t="s">
        <v>944</v>
      </c>
    </row>
    <row r="2061" spans="1:22" x14ac:dyDescent="0.25">
      <c r="A2061" s="269">
        <v>43586</v>
      </c>
      <c r="B2061" s="270">
        <v>2019</v>
      </c>
      <c r="C2061" s="270">
        <v>2019</v>
      </c>
      <c r="D2061" s="270">
        <v>1</v>
      </c>
      <c r="E2061" s="270">
        <v>1</v>
      </c>
      <c r="F2061" s="270" t="s">
        <v>944</v>
      </c>
      <c r="G2061" s="270" t="s">
        <v>3926</v>
      </c>
      <c r="H2061" s="270" t="s">
        <v>6382</v>
      </c>
      <c r="I2061" s="270" t="s">
        <v>934</v>
      </c>
      <c r="J2061" s="270" t="s">
        <v>3928</v>
      </c>
      <c r="K2061" s="270">
        <v>6606</v>
      </c>
      <c r="L2061" s="270">
        <v>72200</v>
      </c>
      <c r="M2061" s="270">
        <v>-60</v>
      </c>
      <c r="N2061" s="270" t="s">
        <v>3944</v>
      </c>
      <c r="O2061" s="270">
        <v>1797.71</v>
      </c>
      <c r="P2061" s="270" t="s">
        <v>3944</v>
      </c>
      <c r="Q2061" s="270" t="s">
        <v>3944</v>
      </c>
      <c r="R2061" s="270">
        <v>1797.71</v>
      </c>
      <c r="S2061" s="270">
        <v>26174.29</v>
      </c>
      <c r="T2061" s="270">
        <v>27972</v>
      </c>
      <c r="U2061" s="271" t="s">
        <v>3945</v>
      </c>
      <c r="V2061" s="276" t="s">
        <v>936</v>
      </c>
    </row>
    <row r="2062" spans="1:22" hidden="1" x14ac:dyDescent="0.25">
      <c r="A2062" s="266">
        <v>43586</v>
      </c>
      <c r="B2062" s="267">
        <v>2019</v>
      </c>
      <c r="C2062" s="267">
        <v>2019</v>
      </c>
      <c r="D2062" s="267">
        <v>1</v>
      </c>
      <c r="E2062" s="267">
        <v>1</v>
      </c>
      <c r="F2062" s="267" t="s">
        <v>944</v>
      </c>
      <c r="G2062" s="267" t="s">
        <v>3926</v>
      </c>
      <c r="H2062" s="267" t="s">
        <v>6383</v>
      </c>
      <c r="I2062" s="267" t="s">
        <v>3985</v>
      </c>
      <c r="J2062" s="267" t="s">
        <v>3928</v>
      </c>
      <c r="K2062" s="267">
        <v>6226</v>
      </c>
      <c r="L2062" s="267">
        <v>800700</v>
      </c>
      <c r="M2062" s="267">
        <v>-60</v>
      </c>
      <c r="N2062" s="267" t="s">
        <v>3944</v>
      </c>
      <c r="O2062" s="267">
        <v>2175.9899999999998</v>
      </c>
      <c r="P2062" s="267" t="s">
        <v>3944</v>
      </c>
      <c r="Q2062" s="267" t="s">
        <v>3944</v>
      </c>
      <c r="R2062" s="267">
        <v>2175.9899999999998</v>
      </c>
      <c r="S2062" s="267">
        <v>28858.75</v>
      </c>
      <c r="T2062" s="267">
        <v>31034.74</v>
      </c>
      <c r="U2062" s="268" t="s">
        <v>3945</v>
      </c>
      <c r="V2062" s="267" t="s">
        <v>944</v>
      </c>
    </row>
    <row r="2063" spans="1:22" hidden="1" x14ac:dyDescent="0.25">
      <c r="A2063" s="269">
        <v>43586</v>
      </c>
      <c r="B2063" s="270">
        <v>2019</v>
      </c>
      <c r="C2063" s="270">
        <v>2019</v>
      </c>
      <c r="D2063" s="270">
        <v>1</v>
      </c>
      <c r="E2063" s="270">
        <v>1</v>
      </c>
      <c r="F2063" s="270" t="s">
        <v>944</v>
      </c>
      <c r="G2063" s="270" t="s">
        <v>3926</v>
      </c>
      <c r="H2063" s="270" t="s">
        <v>6384</v>
      </c>
      <c r="I2063" s="270" t="s">
        <v>3990</v>
      </c>
      <c r="J2063" s="270" t="s">
        <v>3928</v>
      </c>
      <c r="K2063" s="270">
        <v>6804</v>
      </c>
      <c r="L2063" s="270">
        <v>205200</v>
      </c>
      <c r="M2063" s="270" t="s">
        <v>3943</v>
      </c>
      <c r="N2063" s="270" t="s">
        <v>3944</v>
      </c>
      <c r="O2063" s="270">
        <v>3476.38</v>
      </c>
      <c r="P2063" s="270" t="s">
        <v>3944</v>
      </c>
      <c r="Q2063" s="270" t="s">
        <v>3944</v>
      </c>
      <c r="R2063" s="270">
        <v>3476.38</v>
      </c>
      <c r="S2063" s="270">
        <v>27546.62</v>
      </c>
      <c r="T2063" s="270">
        <v>31023</v>
      </c>
      <c r="U2063" s="271" t="s">
        <v>3945</v>
      </c>
      <c r="V2063" s="267" t="s">
        <v>944</v>
      </c>
    </row>
    <row r="2064" spans="1:22" hidden="1" x14ac:dyDescent="0.25">
      <c r="A2064" s="266">
        <v>43586</v>
      </c>
      <c r="B2064" s="267">
        <v>2019</v>
      </c>
      <c r="C2064" s="267">
        <v>2019</v>
      </c>
      <c r="D2064" s="267">
        <v>1</v>
      </c>
      <c r="E2064" s="267">
        <v>1</v>
      </c>
      <c r="F2064" s="267" t="s">
        <v>944</v>
      </c>
      <c r="G2064" s="267" t="s">
        <v>3926</v>
      </c>
      <c r="H2064" s="267" t="s">
        <v>6385</v>
      </c>
      <c r="I2064" s="267" t="s">
        <v>953</v>
      </c>
      <c r="J2064" s="267" t="s">
        <v>3928</v>
      </c>
      <c r="K2064" s="267">
        <v>6518</v>
      </c>
      <c r="L2064" s="267">
        <v>165900</v>
      </c>
      <c r="M2064" s="267" t="s">
        <v>3943</v>
      </c>
      <c r="N2064" s="267" t="s">
        <v>3944</v>
      </c>
      <c r="O2064" s="267">
        <v>968.73</v>
      </c>
      <c r="P2064" s="267" t="s">
        <v>3944</v>
      </c>
      <c r="Q2064" s="267" t="s">
        <v>3944</v>
      </c>
      <c r="R2064" s="267">
        <v>968.73</v>
      </c>
      <c r="S2064" s="267">
        <v>11482</v>
      </c>
      <c r="T2064" s="267">
        <v>12450.73</v>
      </c>
      <c r="U2064" s="268" t="s">
        <v>3945</v>
      </c>
      <c r="V2064" s="267" t="s">
        <v>944</v>
      </c>
    </row>
    <row r="2065" spans="1:22" hidden="1" x14ac:dyDescent="0.25">
      <c r="A2065" s="269">
        <v>43586</v>
      </c>
      <c r="B2065" s="270">
        <v>2019</v>
      </c>
      <c r="C2065" s="270">
        <v>2019</v>
      </c>
      <c r="D2065" s="270">
        <v>1</v>
      </c>
      <c r="E2065" s="270">
        <v>1</v>
      </c>
      <c r="F2065" s="270" t="s">
        <v>944</v>
      </c>
      <c r="G2065" s="270" t="s">
        <v>3926</v>
      </c>
      <c r="H2065" s="270" t="s">
        <v>6386</v>
      </c>
      <c r="I2065" s="270" t="s">
        <v>2987</v>
      </c>
      <c r="J2065" s="270" t="s">
        <v>3928</v>
      </c>
      <c r="K2065" s="270">
        <v>6611</v>
      </c>
      <c r="L2065" s="270">
        <v>90400</v>
      </c>
      <c r="M2065" s="270" t="s">
        <v>3943</v>
      </c>
      <c r="N2065" s="270" t="s">
        <v>3944</v>
      </c>
      <c r="O2065" s="270">
        <v>1633.03</v>
      </c>
      <c r="P2065" s="270" t="s">
        <v>3944</v>
      </c>
      <c r="Q2065" s="270" t="s">
        <v>3944</v>
      </c>
      <c r="R2065" s="270">
        <v>1633.03</v>
      </c>
      <c r="S2065" s="270">
        <v>28599.77</v>
      </c>
      <c r="T2065" s="270">
        <v>30232.799999999999</v>
      </c>
      <c r="U2065" s="271" t="s">
        <v>3945</v>
      </c>
      <c r="V2065" s="267" t="s">
        <v>944</v>
      </c>
    </row>
    <row r="2066" spans="1:22" hidden="1" x14ac:dyDescent="0.25">
      <c r="A2066" s="266">
        <v>43586</v>
      </c>
      <c r="B2066" s="267">
        <v>2019</v>
      </c>
      <c r="C2066" s="267">
        <v>2019</v>
      </c>
      <c r="D2066" s="267">
        <v>1</v>
      </c>
      <c r="E2066" s="267">
        <v>1</v>
      </c>
      <c r="F2066" s="267" t="s">
        <v>944</v>
      </c>
      <c r="G2066" s="267" t="s">
        <v>3926</v>
      </c>
      <c r="H2066" s="267" t="s">
        <v>6387</v>
      </c>
      <c r="I2066" s="267" t="s">
        <v>6209</v>
      </c>
      <c r="J2066" s="267" t="s">
        <v>3928</v>
      </c>
      <c r="K2066" s="267">
        <v>6403</v>
      </c>
      <c r="L2066" s="267">
        <v>341100</v>
      </c>
      <c r="M2066" s="267" t="s">
        <v>3935</v>
      </c>
      <c r="N2066" s="267" t="s">
        <v>3944</v>
      </c>
      <c r="O2066" s="267">
        <v>1742.13</v>
      </c>
      <c r="P2066" s="267" t="s">
        <v>3944</v>
      </c>
      <c r="Q2066" s="267" t="s">
        <v>3944</v>
      </c>
      <c r="R2066" s="267">
        <v>1742.13</v>
      </c>
      <c r="S2066" s="267">
        <v>27606.67</v>
      </c>
      <c r="T2066" s="267">
        <v>29348.799999999999</v>
      </c>
      <c r="U2066" s="268" t="s">
        <v>3945</v>
      </c>
      <c r="V2066" s="267" t="s">
        <v>944</v>
      </c>
    </row>
    <row r="2067" spans="1:22" hidden="1" x14ac:dyDescent="0.25">
      <c r="A2067" s="269">
        <v>43586</v>
      </c>
      <c r="B2067" s="270">
        <v>2019</v>
      </c>
      <c r="C2067" s="270">
        <v>2019</v>
      </c>
      <c r="D2067" s="270">
        <v>1</v>
      </c>
      <c r="E2067" s="270">
        <v>1</v>
      </c>
      <c r="F2067" s="270" t="s">
        <v>944</v>
      </c>
      <c r="G2067" s="270" t="s">
        <v>3926</v>
      </c>
      <c r="H2067" s="270" t="s">
        <v>6388</v>
      </c>
      <c r="I2067" s="270" t="s">
        <v>4042</v>
      </c>
      <c r="J2067" s="270" t="s">
        <v>3928</v>
      </c>
      <c r="K2067" s="270">
        <v>6370</v>
      </c>
      <c r="L2067" s="270">
        <v>695201</v>
      </c>
      <c r="M2067" s="270" t="s">
        <v>3935</v>
      </c>
      <c r="N2067" s="270" t="s">
        <v>3944</v>
      </c>
      <c r="O2067" s="270">
        <v>2066.5100000000002</v>
      </c>
      <c r="P2067" s="270" t="s">
        <v>3944</v>
      </c>
      <c r="Q2067" s="270" t="s">
        <v>3944</v>
      </c>
      <c r="R2067" s="270">
        <v>2066.5100000000002</v>
      </c>
      <c r="S2067" s="270">
        <v>24333.040000000001</v>
      </c>
      <c r="T2067" s="270">
        <v>26399.55</v>
      </c>
      <c r="U2067" s="271" t="s">
        <v>3945</v>
      </c>
      <c r="V2067" s="267" t="s">
        <v>944</v>
      </c>
    </row>
    <row r="2068" spans="1:22" hidden="1" x14ac:dyDescent="0.25">
      <c r="A2068" s="266">
        <v>43586</v>
      </c>
      <c r="B2068" s="267">
        <v>2019</v>
      </c>
      <c r="C2068" s="267">
        <v>2019</v>
      </c>
      <c r="D2068" s="267">
        <v>1</v>
      </c>
      <c r="E2068" s="267">
        <v>1</v>
      </c>
      <c r="F2068" s="267" t="s">
        <v>944</v>
      </c>
      <c r="G2068" s="267" t="s">
        <v>3926</v>
      </c>
      <c r="H2068" s="267" t="s">
        <v>6389</v>
      </c>
      <c r="I2068" s="267" t="s">
        <v>943</v>
      </c>
      <c r="J2068" s="267" t="s">
        <v>3928</v>
      </c>
      <c r="K2068" s="267">
        <v>6512</v>
      </c>
      <c r="L2068" s="267">
        <v>142700</v>
      </c>
      <c r="M2068" s="267">
        <v>-60</v>
      </c>
      <c r="N2068" s="267" t="s">
        <v>3944</v>
      </c>
      <c r="O2068" s="267">
        <v>1020.6</v>
      </c>
      <c r="P2068" s="267" t="s">
        <v>3944</v>
      </c>
      <c r="Q2068" s="267" t="s">
        <v>3944</v>
      </c>
      <c r="R2068" s="267">
        <v>1020.6</v>
      </c>
      <c r="S2068" s="267">
        <v>14531.4</v>
      </c>
      <c r="T2068" s="267">
        <v>15552</v>
      </c>
      <c r="U2068" s="268" t="s">
        <v>3945</v>
      </c>
      <c r="V2068" s="267" t="s">
        <v>944</v>
      </c>
    </row>
    <row r="2069" spans="1:22" hidden="1" x14ac:dyDescent="0.25">
      <c r="A2069" s="269">
        <v>43586</v>
      </c>
      <c r="B2069" s="270">
        <v>2019</v>
      </c>
      <c r="C2069" s="270">
        <v>2019</v>
      </c>
      <c r="D2069" s="270">
        <v>1</v>
      </c>
      <c r="E2069" s="270">
        <v>1</v>
      </c>
      <c r="F2069" s="270" t="s">
        <v>944</v>
      </c>
      <c r="G2069" s="270" t="s">
        <v>3926</v>
      </c>
      <c r="H2069" s="270" t="s">
        <v>6390</v>
      </c>
      <c r="I2069" s="270" t="s">
        <v>5388</v>
      </c>
      <c r="J2069" s="270" t="s">
        <v>3928</v>
      </c>
      <c r="K2069" s="270">
        <v>6384</v>
      </c>
      <c r="L2069" s="270">
        <v>708100</v>
      </c>
      <c r="M2069" s="270" t="s">
        <v>3935</v>
      </c>
      <c r="N2069" s="270" t="s">
        <v>3944</v>
      </c>
      <c r="O2069" s="270">
        <v>1989.75</v>
      </c>
      <c r="P2069" s="270" t="s">
        <v>3944</v>
      </c>
      <c r="Q2069" s="270" t="s">
        <v>3944</v>
      </c>
      <c r="R2069" s="270">
        <v>1989.75</v>
      </c>
      <c r="S2069" s="270">
        <v>28230.639999999999</v>
      </c>
      <c r="T2069" s="270">
        <v>30220.39</v>
      </c>
      <c r="U2069" s="271" t="s">
        <v>3945</v>
      </c>
      <c r="V2069" s="267" t="s">
        <v>944</v>
      </c>
    </row>
    <row r="2070" spans="1:22" hidden="1" x14ac:dyDescent="0.25">
      <c r="A2070" s="266">
        <v>43586</v>
      </c>
      <c r="B2070" s="267">
        <v>2019</v>
      </c>
      <c r="C2070" s="267">
        <v>2019</v>
      </c>
      <c r="D2070" s="267">
        <v>1</v>
      </c>
      <c r="E2070" s="267">
        <v>1</v>
      </c>
      <c r="F2070" s="267" t="s">
        <v>944</v>
      </c>
      <c r="G2070" s="267" t="s">
        <v>3926</v>
      </c>
      <c r="H2070" s="267" t="s">
        <v>6391</v>
      </c>
      <c r="I2070" s="267" t="s">
        <v>3966</v>
      </c>
      <c r="J2070" s="267" t="s">
        <v>3928</v>
      </c>
      <c r="K2070" s="267">
        <v>6010</v>
      </c>
      <c r="L2070" s="267">
        <v>405800</v>
      </c>
      <c r="M2070" s="267" t="s">
        <v>3935</v>
      </c>
      <c r="N2070" s="267" t="s">
        <v>3944</v>
      </c>
      <c r="O2070" s="267">
        <v>2423.65</v>
      </c>
      <c r="P2070" s="267" t="s">
        <v>3944</v>
      </c>
      <c r="Q2070" s="267" t="s">
        <v>3944</v>
      </c>
      <c r="R2070" s="267">
        <v>2423.65</v>
      </c>
      <c r="S2070" s="267">
        <v>31792.22</v>
      </c>
      <c r="T2070" s="267">
        <v>34215.870000000003</v>
      </c>
      <c r="U2070" s="268" t="s">
        <v>3945</v>
      </c>
      <c r="V2070" s="267" t="s">
        <v>944</v>
      </c>
    </row>
    <row r="2071" spans="1:22" hidden="1" x14ac:dyDescent="0.25">
      <c r="A2071" s="269">
        <v>43586</v>
      </c>
      <c r="B2071" s="270">
        <v>2019</v>
      </c>
      <c r="C2071" s="270">
        <v>2019</v>
      </c>
      <c r="D2071" s="270">
        <v>1</v>
      </c>
      <c r="E2071" s="270">
        <v>1</v>
      </c>
      <c r="F2071" s="270" t="s">
        <v>944</v>
      </c>
      <c r="G2071" s="270" t="s">
        <v>3926</v>
      </c>
      <c r="H2071" s="270" t="s">
        <v>6392</v>
      </c>
      <c r="I2071" s="270" t="s">
        <v>4005</v>
      </c>
      <c r="J2071" s="270" t="s">
        <v>3928</v>
      </c>
      <c r="K2071" s="270">
        <v>6108</v>
      </c>
      <c r="L2071" s="270">
        <v>511200</v>
      </c>
      <c r="M2071" s="270">
        <v>-60</v>
      </c>
      <c r="N2071" s="270" t="s">
        <v>3944</v>
      </c>
      <c r="O2071" s="270">
        <v>1932.95</v>
      </c>
      <c r="P2071" s="270" t="s">
        <v>3944</v>
      </c>
      <c r="Q2071" s="270" t="s">
        <v>3944</v>
      </c>
      <c r="R2071" s="270">
        <v>1932.95</v>
      </c>
      <c r="S2071" s="270">
        <v>31211.65</v>
      </c>
      <c r="T2071" s="270">
        <v>33144.6</v>
      </c>
      <c r="U2071" s="271" t="s">
        <v>3945</v>
      </c>
      <c r="V2071" s="267" t="s">
        <v>944</v>
      </c>
    </row>
    <row r="2072" spans="1:22" hidden="1" x14ac:dyDescent="0.25">
      <c r="A2072" s="266">
        <v>43586</v>
      </c>
      <c r="B2072" s="267">
        <v>2019</v>
      </c>
      <c r="C2072" s="267">
        <v>2019</v>
      </c>
      <c r="D2072" s="267">
        <v>1</v>
      </c>
      <c r="E2072" s="267">
        <v>1</v>
      </c>
      <c r="F2072" s="267" t="s">
        <v>944</v>
      </c>
      <c r="G2072" s="267" t="s">
        <v>3926</v>
      </c>
      <c r="H2072" s="267" t="s">
        <v>6393</v>
      </c>
      <c r="I2072" s="267" t="s">
        <v>3962</v>
      </c>
      <c r="J2072" s="267" t="s">
        <v>3928</v>
      </c>
      <c r="K2072" s="267">
        <v>6355</v>
      </c>
      <c r="L2072" s="267">
        <v>702100</v>
      </c>
      <c r="M2072" s="267" t="s">
        <v>3960</v>
      </c>
      <c r="N2072" s="267" t="s">
        <v>3944</v>
      </c>
      <c r="O2072" s="267">
        <v>2783.27</v>
      </c>
      <c r="P2072" s="267" t="s">
        <v>3944</v>
      </c>
      <c r="Q2072" s="267" t="s">
        <v>3944</v>
      </c>
      <c r="R2072" s="267">
        <v>2783.27</v>
      </c>
      <c r="S2072" s="267">
        <v>51576.73</v>
      </c>
      <c r="T2072" s="267">
        <v>54360</v>
      </c>
      <c r="U2072" s="268" t="s">
        <v>3945</v>
      </c>
      <c r="V2072" s="267" t="s">
        <v>944</v>
      </c>
    </row>
    <row r="2073" spans="1:22" hidden="1" x14ac:dyDescent="0.25">
      <c r="A2073" s="269">
        <v>43586</v>
      </c>
      <c r="B2073" s="270">
        <v>2019</v>
      </c>
      <c r="C2073" s="270">
        <v>2019</v>
      </c>
      <c r="D2073" s="270">
        <v>1</v>
      </c>
      <c r="E2073" s="270">
        <v>1</v>
      </c>
      <c r="F2073" s="270" t="s">
        <v>944</v>
      </c>
      <c r="G2073" s="270" t="s">
        <v>3926</v>
      </c>
      <c r="H2073" s="270" t="s">
        <v>6394</v>
      </c>
      <c r="I2073" s="270" t="s">
        <v>3954</v>
      </c>
      <c r="J2073" s="270" t="s">
        <v>3928</v>
      </c>
      <c r="K2073" s="270">
        <v>6333</v>
      </c>
      <c r="L2073" s="270">
        <v>716102</v>
      </c>
      <c r="M2073" s="270" t="s">
        <v>3943</v>
      </c>
      <c r="N2073" s="270" t="s">
        <v>3944</v>
      </c>
      <c r="O2073" s="270">
        <v>2651.78</v>
      </c>
      <c r="P2073" s="270" t="s">
        <v>3944</v>
      </c>
      <c r="Q2073" s="270" t="s">
        <v>3944</v>
      </c>
      <c r="R2073" s="270">
        <v>2651.78</v>
      </c>
      <c r="S2073" s="270">
        <v>44933.15</v>
      </c>
      <c r="T2073" s="270">
        <v>47584.93</v>
      </c>
      <c r="U2073" s="271" t="s">
        <v>3945</v>
      </c>
      <c r="V2073" s="267" t="s">
        <v>944</v>
      </c>
    </row>
    <row r="2074" spans="1:22" hidden="1" x14ac:dyDescent="0.25">
      <c r="A2074" s="266">
        <v>43586</v>
      </c>
      <c r="B2074" s="267">
        <v>2019</v>
      </c>
      <c r="C2074" s="267">
        <v>2019</v>
      </c>
      <c r="D2074" s="267">
        <v>1</v>
      </c>
      <c r="E2074" s="267">
        <v>1</v>
      </c>
      <c r="F2074" s="267" t="s">
        <v>944</v>
      </c>
      <c r="G2074" s="267" t="s">
        <v>3926</v>
      </c>
      <c r="H2074" s="267" t="s">
        <v>6395</v>
      </c>
      <c r="I2074" s="267" t="s">
        <v>4200</v>
      </c>
      <c r="J2074" s="267" t="s">
        <v>3928</v>
      </c>
      <c r="K2074" s="267">
        <v>6779</v>
      </c>
      <c r="L2074" s="267">
        <v>360300</v>
      </c>
      <c r="M2074" s="267" t="s">
        <v>3935</v>
      </c>
      <c r="N2074" s="267" t="s">
        <v>3944</v>
      </c>
      <c r="O2074" s="267">
        <v>1468.36</v>
      </c>
      <c r="P2074" s="267" t="s">
        <v>3944</v>
      </c>
      <c r="Q2074" s="267" t="s">
        <v>3944</v>
      </c>
      <c r="R2074" s="267">
        <v>1468.36</v>
      </c>
      <c r="S2074" s="267">
        <v>21795.439999999999</v>
      </c>
      <c r="T2074" s="267">
        <v>23263.8</v>
      </c>
      <c r="U2074" s="268" t="s">
        <v>3945</v>
      </c>
      <c r="V2074" s="267" t="s">
        <v>944</v>
      </c>
    </row>
    <row r="2075" spans="1:22" hidden="1" x14ac:dyDescent="0.25">
      <c r="A2075" s="269">
        <v>43586</v>
      </c>
      <c r="B2075" s="270">
        <v>2019</v>
      </c>
      <c r="C2075" s="270">
        <v>2019</v>
      </c>
      <c r="D2075" s="270">
        <v>1</v>
      </c>
      <c r="E2075" s="270">
        <v>1</v>
      </c>
      <c r="F2075" s="270" t="s">
        <v>944</v>
      </c>
      <c r="G2075" s="270" t="s">
        <v>3926</v>
      </c>
      <c r="H2075" s="270" t="s">
        <v>6396</v>
      </c>
      <c r="I2075" s="270" t="s">
        <v>4005</v>
      </c>
      <c r="J2075" s="270" t="s">
        <v>3928</v>
      </c>
      <c r="K2075" s="270">
        <v>6108</v>
      </c>
      <c r="L2075" s="270">
        <v>510100</v>
      </c>
      <c r="M2075" s="270" t="s">
        <v>3940</v>
      </c>
      <c r="N2075" s="270" t="s">
        <v>3944</v>
      </c>
      <c r="O2075" s="270">
        <v>2524.41</v>
      </c>
      <c r="P2075" s="270" t="s">
        <v>3944</v>
      </c>
      <c r="Q2075" s="270" t="s">
        <v>3944</v>
      </c>
      <c r="R2075" s="270">
        <v>2524.41</v>
      </c>
      <c r="S2075" s="270">
        <v>47274</v>
      </c>
      <c r="T2075" s="270">
        <v>49798.41</v>
      </c>
      <c r="U2075" s="271" t="s">
        <v>3945</v>
      </c>
      <c r="V2075" s="267" t="s">
        <v>944</v>
      </c>
    </row>
    <row r="2076" spans="1:22" hidden="1" x14ac:dyDescent="0.25">
      <c r="A2076" s="266">
        <v>43586</v>
      </c>
      <c r="B2076" s="267">
        <v>2019</v>
      </c>
      <c r="C2076" s="267">
        <v>2019</v>
      </c>
      <c r="D2076" s="267">
        <v>1</v>
      </c>
      <c r="E2076" s="267">
        <v>1</v>
      </c>
      <c r="F2076" s="267" t="s">
        <v>944</v>
      </c>
      <c r="G2076" s="267" t="s">
        <v>3926</v>
      </c>
      <c r="H2076" s="267" t="s">
        <v>6397</v>
      </c>
      <c r="I2076" s="267" t="s">
        <v>3010</v>
      </c>
      <c r="J2076" s="267" t="s">
        <v>3928</v>
      </c>
      <c r="K2076" s="267">
        <v>6401</v>
      </c>
      <c r="L2076" s="267">
        <v>125400</v>
      </c>
      <c r="M2076" s="267">
        <v>-60</v>
      </c>
      <c r="N2076" s="267" t="s">
        <v>3944</v>
      </c>
      <c r="O2076" s="267">
        <v>2464.2800000000002</v>
      </c>
      <c r="P2076" s="267" t="s">
        <v>3944</v>
      </c>
      <c r="Q2076" s="267" t="s">
        <v>3944</v>
      </c>
      <c r="R2076" s="267">
        <v>2464.2800000000002</v>
      </c>
      <c r="S2076" s="267">
        <v>35213.699999999997</v>
      </c>
      <c r="T2076" s="267">
        <v>37677.980000000003</v>
      </c>
      <c r="U2076" s="268" t="s">
        <v>3945</v>
      </c>
      <c r="V2076" s="267" t="s">
        <v>944</v>
      </c>
    </row>
    <row r="2077" spans="1:22" hidden="1" x14ac:dyDescent="0.25">
      <c r="A2077" s="269">
        <v>43586</v>
      </c>
      <c r="B2077" s="270">
        <v>2019</v>
      </c>
      <c r="C2077" s="270">
        <v>2019</v>
      </c>
      <c r="D2077" s="270">
        <v>1</v>
      </c>
      <c r="E2077" s="270">
        <v>1</v>
      </c>
      <c r="F2077" s="270" t="s">
        <v>944</v>
      </c>
      <c r="G2077" s="270" t="s">
        <v>3926</v>
      </c>
      <c r="H2077" s="270" t="s">
        <v>6398</v>
      </c>
      <c r="I2077" s="270" t="s">
        <v>3014</v>
      </c>
      <c r="J2077" s="270" t="s">
        <v>3928</v>
      </c>
      <c r="K2077" s="270">
        <v>6525</v>
      </c>
      <c r="L2077" s="270">
        <v>160200</v>
      </c>
      <c r="M2077" s="270" t="s">
        <v>3943</v>
      </c>
      <c r="N2077" s="270" t="s">
        <v>3944</v>
      </c>
      <c r="O2077" s="270">
        <v>830.83</v>
      </c>
      <c r="P2077" s="270" t="s">
        <v>3944</v>
      </c>
      <c r="Q2077" s="270" t="s">
        <v>3944</v>
      </c>
      <c r="R2077" s="270">
        <v>830.83</v>
      </c>
      <c r="S2077" s="270">
        <v>10650.57</v>
      </c>
      <c r="T2077" s="270">
        <v>11481.4</v>
      </c>
      <c r="U2077" s="271" t="s">
        <v>3945</v>
      </c>
      <c r="V2077" s="267" t="s">
        <v>944</v>
      </c>
    </row>
    <row r="2078" spans="1:22" hidden="1" x14ac:dyDescent="0.25">
      <c r="A2078" s="266">
        <v>43586</v>
      </c>
      <c r="B2078" s="267">
        <v>2019</v>
      </c>
      <c r="C2078" s="267">
        <v>2019</v>
      </c>
      <c r="D2078" s="267">
        <v>1</v>
      </c>
      <c r="E2078" s="267">
        <v>1</v>
      </c>
      <c r="F2078" s="267" t="s">
        <v>944</v>
      </c>
      <c r="G2078" s="267" t="s">
        <v>3926</v>
      </c>
      <c r="H2078" s="267" t="s">
        <v>6399</v>
      </c>
      <c r="I2078" s="267" t="s">
        <v>3964</v>
      </c>
      <c r="J2078" s="267" t="s">
        <v>3928</v>
      </c>
      <c r="K2078" s="267">
        <v>6073</v>
      </c>
      <c r="L2078" s="267">
        <v>520202</v>
      </c>
      <c r="M2078" s="267" t="s">
        <v>3943</v>
      </c>
      <c r="N2078" s="267" t="s">
        <v>3944</v>
      </c>
      <c r="O2078" s="267">
        <v>3449.22</v>
      </c>
      <c r="P2078" s="267" t="s">
        <v>3944</v>
      </c>
      <c r="Q2078" s="267" t="s">
        <v>3944</v>
      </c>
      <c r="R2078" s="267">
        <v>3449.22</v>
      </c>
      <c r="S2078" s="267">
        <v>43131.78</v>
      </c>
      <c r="T2078" s="267">
        <v>46581</v>
      </c>
      <c r="U2078" s="268" t="s">
        <v>3945</v>
      </c>
      <c r="V2078" s="267" t="s">
        <v>944</v>
      </c>
    </row>
    <row r="2079" spans="1:22" hidden="1" x14ac:dyDescent="0.25">
      <c r="A2079" s="269">
        <v>43586</v>
      </c>
      <c r="B2079" s="270">
        <v>2019</v>
      </c>
      <c r="C2079" s="270">
        <v>2019</v>
      </c>
      <c r="D2079" s="270">
        <v>1</v>
      </c>
      <c r="E2079" s="270">
        <v>1</v>
      </c>
      <c r="F2079" s="270" t="s">
        <v>944</v>
      </c>
      <c r="G2079" s="270" t="s">
        <v>3926</v>
      </c>
      <c r="H2079" s="270" t="s">
        <v>6400</v>
      </c>
      <c r="I2079" s="270" t="s">
        <v>3954</v>
      </c>
      <c r="J2079" s="270" t="s">
        <v>3928</v>
      </c>
      <c r="K2079" s="270">
        <v>6357</v>
      </c>
      <c r="L2079" s="270">
        <v>870704</v>
      </c>
      <c r="M2079" s="270" t="s">
        <v>3935</v>
      </c>
      <c r="N2079" s="270" t="s">
        <v>3944</v>
      </c>
      <c r="O2079" s="270">
        <v>1803.94</v>
      </c>
      <c r="P2079" s="270" t="s">
        <v>3944</v>
      </c>
      <c r="Q2079" s="270" t="s">
        <v>3944</v>
      </c>
      <c r="R2079" s="270">
        <v>1803.94</v>
      </c>
      <c r="S2079" s="270">
        <v>31886.07</v>
      </c>
      <c r="T2079" s="270">
        <v>33690.01</v>
      </c>
      <c r="U2079" s="271" t="s">
        <v>3945</v>
      </c>
      <c r="V2079" s="267" t="s">
        <v>944</v>
      </c>
    </row>
    <row r="2080" spans="1:22" hidden="1" x14ac:dyDescent="0.25">
      <c r="A2080" s="266">
        <v>43586</v>
      </c>
      <c r="B2080" s="267">
        <v>2019</v>
      </c>
      <c r="C2080" s="267">
        <v>2019</v>
      </c>
      <c r="D2080" s="267">
        <v>1</v>
      </c>
      <c r="E2080" s="267">
        <v>1</v>
      </c>
      <c r="F2080" s="267" t="s">
        <v>944</v>
      </c>
      <c r="G2080" s="267" t="s">
        <v>3926</v>
      </c>
      <c r="H2080" s="267" t="s">
        <v>6401</v>
      </c>
      <c r="I2080" s="267" t="s">
        <v>4200</v>
      </c>
      <c r="J2080" s="267" t="s">
        <v>3928</v>
      </c>
      <c r="K2080" s="267">
        <v>6779</v>
      </c>
      <c r="L2080" s="267">
        <v>360300</v>
      </c>
      <c r="M2080" s="267" t="s">
        <v>3935</v>
      </c>
      <c r="N2080" s="267" t="s">
        <v>3944</v>
      </c>
      <c r="O2080" s="267">
        <v>2711.28</v>
      </c>
      <c r="P2080" s="267" t="s">
        <v>3944</v>
      </c>
      <c r="Q2080" s="267" t="s">
        <v>3944</v>
      </c>
      <c r="R2080" s="267">
        <v>2711.28</v>
      </c>
      <c r="S2080" s="267">
        <v>40256.720000000001</v>
      </c>
      <c r="T2080" s="267">
        <v>42968</v>
      </c>
      <c r="U2080" s="268" t="s">
        <v>3945</v>
      </c>
      <c r="V2080" s="267" t="s">
        <v>944</v>
      </c>
    </row>
    <row r="2081" spans="1:22" hidden="1" x14ac:dyDescent="0.25">
      <c r="A2081" s="269">
        <v>43586</v>
      </c>
      <c r="B2081" s="270">
        <v>2019</v>
      </c>
      <c r="C2081" s="270">
        <v>2019</v>
      </c>
      <c r="D2081" s="270">
        <v>1</v>
      </c>
      <c r="E2081" s="270">
        <v>1</v>
      </c>
      <c r="F2081" s="270" t="s">
        <v>944</v>
      </c>
      <c r="G2081" s="270" t="s">
        <v>3926</v>
      </c>
      <c r="H2081" s="270" t="s">
        <v>6402</v>
      </c>
      <c r="I2081" s="270" t="s">
        <v>4213</v>
      </c>
      <c r="J2081" s="270" t="s">
        <v>3928</v>
      </c>
      <c r="K2081" s="270">
        <v>6051</v>
      </c>
      <c r="L2081" s="270">
        <v>415500</v>
      </c>
      <c r="M2081" s="270">
        <v>-60</v>
      </c>
      <c r="N2081" s="270" t="s">
        <v>3944</v>
      </c>
      <c r="O2081" s="270">
        <v>2197.16</v>
      </c>
      <c r="P2081" s="270" t="s">
        <v>3944</v>
      </c>
      <c r="Q2081" s="270" t="s">
        <v>3944</v>
      </c>
      <c r="R2081" s="270">
        <v>2197.16</v>
      </c>
      <c r="S2081" s="270">
        <v>31152.84</v>
      </c>
      <c r="T2081" s="270">
        <v>33350</v>
      </c>
      <c r="U2081" s="271" t="s">
        <v>3945</v>
      </c>
      <c r="V2081" s="267" t="s">
        <v>944</v>
      </c>
    </row>
    <row r="2082" spans="1:22" hidden="1" x14ac:dyDescent="0.25">
      <c r="A2082" s="266">
        <v>43587</v>
      </c>
      <c r="B2082" s="267">
        <v>2019</v>
      </c>
      <c r="C2082" s="267">
        <v>2019</v>
      </c>
      <c r="D2082" s="267">
        <v>1</v>
      </c>
      <c r="E2082" s="267">
        <v>1</v>
      </c>
      <c r="F2082" s="267" t="s">
        <v>944</v>
      </c>
      <c r="G2082" s="267" t="s">
        <v>3926</v>
      </c>
      <c r="H2082" s="267" t="s">
        <v>6403</v>
      </c>
      <c r="I2082" s="267" t="s">
        <v>4019</v>
      </c>
      <c r="J2082" s="267" t="s">
        <v>3928</v>
      </c>
      <c r="K2082" s="267">
        <v>6708</v>
      </c>
      <c r="L2082" s="267">
        <v>351900</v>
      </c>
      <c r="M2082" s="267" t="s">
        <v>3935</v>
      </c>
      <c r="N2082" s="267" t="s">
        <v>6404</v>
      </c>
      <c r="O2082" s="267">
        <v>0</v>
      </c>
      <c r="P2082" s="267" t="s">
        <v>3930</v>
      </c>
      <c r="Q2082" s="267" t="s">
        <v>3930</v>
      </c>
      <c r="R2082" s="267">
        <v>0</v>
      </c>
      <c r="S2082" s="267">
        <v>4661.8</v>
      </c>
      <c r="T2082" s="267">
        <v>4661.8</v>
      </c>
      <c r="U2082" s="268" t="s">
        <v>3937</v>
      </c>
      <c r="V2082" s="267" t="s">
        <v>944</v>
      </c>
    </row>
    <row r="2083" spans="1:22" hidden="1" x14ac:dyDescent="0.25">
      <c r="A2083" s="269">
        <v>43587</v>
      </c>
      <c r="B2083" s="270">
        <v>2019</v>
      </c>
      <c r="C2083" s="270">
        <v>2019</v>
      </c>
      <c r="D2083" s="270">
        <v>1</v>
      </c>
      <c r="E2083" s="270">
        <v>1</v>
      </c>
      <c r="F2083" s="270" t="s">
        <v>944</v>
      </c>
      <c r="G2083" s="270" t="s">
        <v>3926</v>
      </c>
      <c r="H2083" s="270" t="s">
        <v>6405</v>
      </c>
      <c r="I2083" s="270" t="s">
        <v>3964</v>
      </c>
      <c r="J2083" s="270" t="s">
        <v>3928</v>
      </c>
      <c r="K2083" s="270">
        <v>6033</v>
      </c>
      <c r="L2083" s="270">
        <v>520301</v>
      </c>
      <c r="M2083" s="270" t="s">
        <v>3960</v>
      </c>
      <c r="N2083" s="270" t="s">
        <v>6406</v>
      </c>
      <c r="O2083" s="270">
        <v>0</v>
      </c>
      <c r="P2083" s="270" t="s">
        <v>3930</v>
      </c>
      <c r="Q2083" s="270" t="s">
        <v>3930</v>
      </c>
      <c r="R2083" s="270">
        <v>0</v>
      </c>
      <c r="S2083" s="270">
        <v>6680</v>
      </c>
      <c r="T2083" s="270">
        <v>6680</v>
      </c>
      <c r="U2083" s="271" t="s">
        <v>3937</v>
      </c>
      <c r="V2083" s="267" t="s">
        <v>944</v>
      </c>
    </row>
    <row r="2084" spans="1:22" hidden="1" x14ac:dyDescent="0.25">
      <c r="A2084" s="266">
        <v>43587</v>
      </c>
      <c r="B2084" s="267">
        <v>2019</v>
      </c>
      <c r="C2084" s="267">
        <v>2019</v>
      </c>
      <c r="D2084" s="267">
        <v>1</v>
      </c>
      <c r="E2084" s="267">
        <v>1</v>
      </c>
      <c r="F2084" s="267" t="s">
        <v>944</v>
      </c>
      <c r="G2084" s="267" t="s">
        <v>3926</v>
      </c>
      <c r="H2084" s="267" t="s">
        <v>6407</v>
      </c>
      <c r="I2084" s="267" t="s">
        <v>3009</v>
      </c>
      <c r="J2084" s="267" t="s">
        <v>3928</v>
      </c>
      <c r="K2084" s="267">
        <v>6484</v>
      </c>
      <c r="L2084" s="267">
        <v>110600</v>
      </c>
      <c r="M2084" s="267" t="s">
        <v>3943</v>
      </c>
      <c r="N2084" s="267" t="s">
        <v>6408</v>
      </c>
      <c r="O2084" s="267">
        <v>0</v>
      </c>
      <c r="P2084" s="267" t="s">
        <v>3930</v>
      </c>
      <c r="Q2084" s="267" t="s">
        <v>3930</v>
      </c>
      <c r="R2084" s="267">
        <v>0</v>
      </c>
      <c r="S2084" s="267">
        <v>13394</v>
      </c>
      <c r="T2084" s="267">
        <v>13394</v>
      </c>
      <c r="U2084" s="268" t="s">
        <v>3937</v>
      </c>
      <c r="V2084" s="267" t="s">
        <v>944</v>
      </c>
    </row>
    <row r="2085" spans="1:22" hidden="1" x14ac:dyDescent="0.25">
      <c r="A2085" s="269">
        <v>43587</v>
      </c>
      <c r="B2085" s="270">
        <v>2019</v>
      </c>
      <c r="C2085" s="270">
        <v>2019</v>
      </c>
      <c r="D2085" s="270">
        <v>1</v>
      </c>
      <c r="E2085" s="270">
        <v>1</v>
      </c>
      <c r="F2085" s="270" t="s">
        <v>944</v>
      </c>
      <c r="G2085" s="270" t="s">
        <v>3926</v>
      </c>
      <c r="H2085" s="270" t="s">
        <v>6409</v>
      </c>
      <c r="I2085" s="270" t="s">
        <v>5032</v>
      </c>
      <c r="J2085" s="270" t="s">
        <v>3928</v>
      </c>
      <c r="K2085" s="270">
        <v>6062</v>
      </c>
      <c r="L2085" s="270">
        <v>420700</v>
      </c>
      <c r="M2085" s="270" t="s">
        <v>3935</v>
      </c>
      <c r="N2085" s="270" t="s">
        <v>6410</v>
      </c>
      <c r="O2085" s="270">
        <v>0</v>
      </c>
      <c r="P2085" s="270" t="s">
        <v>3930</v>
      </c>
      <c r="Q2085" s="270" t="s">
        <v>3930</v>
      </c>
      <c r="R2085" s="270">
        <v>0</v>
      </c>
      <c r="S2085" s="270">
        <v>12188.93</v>
      </c>
      <c r="T2085" s="270">
        <v>12188.93</v>
      </c>
      <c r="U2085" s="271" t="s">
        <v>3937</v>
      </c>
      <c r="V2085" s="267" t="s">
        <v>944</v>
      </c>
    </row>
    <row r="2086" spans="1:22" x14ac:dyDescent="0.25">
      <c r="A2086" s="266">
        <v>43587</v>
      </c>
      <c r="B2086" s="267">
        <v>2019</v>
      </c>
      <c r="C2086" s="267">
        <v>2019</v>
      </c>
      <c r="D2086" s="267">
        <v>1</v>
      </c>
      <c r="E2086" s="267">
        <v>1</v>
      </c>
      <c r="F2086" s="267" t="s">
        <v>944</v>
      </c>
      <c r="G2086" s="267" t="s">
        <v>3926</v>
      </c>
      <c r="H2086" s="267" t="s">
        <v>6411</v>
      </c>
      <c r="I2086" s="267" t="s">
        <v>934</v>
      </c>
      <c r="J2086" s="267" t="s">
        <v>3928</v>
      </c>
      <c r="K2086" s="267">
        <v>6607</v>
      </c>
      <c r="L2086" s="267">
        <v>74400</v>
      </c>
      <c r="M2086" s="267">
        <v>-60</v>
      </c>
      <c r="N2086" s="267" t="s">
        <v>3983</v>
      </c>
      <c r="O2086" s="267">
        <v>3121.47</v>
      </c>
      <c r="P2086" s="267" t="s">
        <v>3930</v>
      </c>
      <c r="Q2086" s="267" t="s">
        <v>3931</v>
      </c>
      <c r="R2086" s="267">
        <v>8121.47</v>
      </c>
      <c r="S2086" s="267">
        <v>16504</v>
      </c>
      <c r="T2086" s="267">
        <v>24625.47</v>
      </c>
      <c r="U2086" s="268" t="s">
        <v>3932</v>
      </c>
      <c r="V2086" s="276" t="s">
        <v>936</v>
      </c>
    </row>
    <row r="2087" spans="1:22" hidden="1" x14ac:dyDescent="0.25">
      <c r="A2087" s="269">
        <v>43587</v>
      </c>
      <c r="B2087" s="270">
        <v>2019</v>
      </c>
      <c r="C2087" s="270">
        <v>2019</v>
      </c>
      <c r="D2087" s="270">
        <v>1</v>
      </c>
      <c r="E2087" s="270">
        <v>1</v>
      </c>
      <c r="F2087" s="270" t="s">
        <v>944</v>
      </c>
      <c r="G2087" s="270" t="s">
        <v>3926</v>
      </c>
      <c r="H2087" s="270" t="s">
        <v>6412</v>
      </c>
      <c r="I2087" s="270" t="s">
        <v>956</v>
      </c>
      <c r="J2087" s="270" t="s">
        <v>3928</v>
      </c>
      <c r="K2087" s="270">
        <v>6614</v>
      </c>
      <c r="L2087" s="270">
        <v>80800</v>
      </c>
      <c r="M2087" s="270" t="s">
        <v>3960</v>
      </c>
      <c r="N2087" s="270" t="s">
        <v>6084</v>
      </c>
      <c r="O2087" s="270">
        <v>0</v>
      </c>
      <c r="P2087" s="270" t="s">
        <v>3930</v>
      </c>
      <c r="Q2087" s="270" t="s">
        <v>3930</v>
      </c>
      <c r="R2087" s="270">
        <v>0</v>
      </c>
      <c r="S2087" s="270">
        <v>12000</v>
      </c>
      <c r="T2087" s="270">
        <v>12000</v>
      </c>
      <c r="U2087" s="271" t="s">
        <v>3937</v>
      </c>
      <c r="V2087" s="267" t="s">
        <v>944</v>
      </c>
    </row>
    <row r="2088" spans="1:22" hidden="1" x14ac:dyDescent="0.25">
      <c r="A2088" s="266">
        <v>43587</v>
      </c>
      <c r="B2088" s="267">
        <v>2019</v>
      </c>
      <c r="C2088" s="267">
        <v>2019</v>
      </c>
      <c r="D2088" s="267">
        <v>1</v>
      </c>
      <c r="E2088" s="267">
        <v>1</v>
      </c>
      <c r="F2088" s="267" t="s">
        <v>944</v>
      </c>
      <c r="G2088" s="267" t="s">
        <v>3926</v>
      </c>
      <c r="H2088" s="267" t="s">
        <v>6413</v>
      </c>
      <c r="I2088" s="267" t="s">
        <v>4200</v>
      </c>
      <c r="J2088" s="267" t="s">
        <v>3928</v>
      </c>
      <c r="K2088" s="267">
        <v>6795</v>
      </c>
      <c r="L2088" s="267">
        <v>360200</v>
      </c>
      <c r="M2088" s="267" t="s">
        <v>3943</v>
      </c>
      <c r="N2088" s="267" t="s">
        <v>6414</v>
      </c>
      <c r="O2088" s="267">
        <v>0</v>
      </c>
      <c r="P2088" s="267" t="s">
        <v>3930</v>
      </c>
      <c r="Q2088" s="267" t="s">
        <v>3930</v>
      </c>
      <c r="R2088" s="267">
        <v>0</v>
      </c>
      <c r="S2088" s="267">
        <v>3099</v>
      </c>
      <c r="T2088" s="267">
        <v>3099</v>
      </c>
      <c r="U2088" s="268" t="s">
        <v>3937</v>
      </c>
      <c r="V2088" s="267" t="s">
        <v>944</v>
      </c>
    </row>
    <row r="2089" spans="1:22" hidden="1" x14ac:dyDescent="0.25">
      <c r="A2089" s="269">
        <v>43587</v>
      </c>
      <c r="B2089" s="270">
        <v>2019</v>
      </c>
      <c r="C2089" s="270">
        <v>2019</v>
      </c>
      <c r="D2089" s="270">
        <v>1</v>
      </c>
      <c r="E2089" s="270">
        <v>1</v>
      </c>
      <c r="F2089" s="270" t="s">
        <v>944</v>
      </c>
      <c r="G2089" s="270" t="s">
        <v>3926</v>
      </c>
      <c r="H2089" s="270" t="s">
        <v>6415</v>
      </c>
      <c r="I2089" s="270" t="s">
        <v>4239</v>
      </c>
      <c r="J2089" s="270" t="s">
        <v>3928</v>
      </c>
      <c r="K2089" s="270">
        <v>6032</v>
      </c>
      <c r="L2089" s="270">
        <v>460204</v>
      </c>
      <c r="M2089" s="270" t="s">
        <v>3935</v>
      </c>
      <c r="N2089" s="270" t="s">
        <v>3944</v>
      </c>
      <c r="O2089" s="270">
        <v>2702</v>
      </c>
      <c r="P2089" s="270" t="s">
        <v>3944</v>
      </c>
      <c r="Q2089" s="270" t="s">
        <v>3944</v>
      </c>
      <c r="R2089" s="270">
        <v>2702</v>
      </c>
      <c r="S2089" s="270">
        <v>19442</v>
      </c>
      <c r="T2089" s="270">
        <v>22144</v>
      </c>
      <c r="U2089" s="271" t="s">
        <v>3945</v>
      </c>
      <c r="V2089" s="267" t="s">
        <v>944</v>
      </c>
    </row>
    <row r="2090" spans="1:22" hidden="1" x14ac:dyDescent="0.25">
      <c r="A2090" s="266">
        <v>43587</v>
      </c>
      <c r="B2090" s="267">
        <v>2019</v>
      </c>
      <c r="C2090" s="267">
        <v>2019</v>
      </c>
      <c r="D2090" s="267">
        <v>1</v>
      </c>
      <c r="E2090" s="267">
        <v>1</v>
      </c>
      <c r="F2090" s="267" t="s">
        <v>944</v>
      </c>
      <c r="G2090" s="267" t="s">
        <v>3926</v>
      </c>
      <c r="H2090" s="267" t="s">
        <v>6416</v>
      </c>
      <c r="I2090" s="267" t="s">
        <v>3975</v>
      </c>
      <c r="J2090" s="267" t="s">
        <v>3928</v>
      </c>
      <c r="K2090" s="267">
        <v>6489</v>
      </c>
      <c r="L2090" s="267">
        <v>430302</v>
      </c>
      <c r="M2090" s="267" t="s">
        <v>3960</v>
      </c>
      <c r="N2090" s="267" t="s">
        <v>3944</v>
      </c>
      <c r="O2090" s="267">
        <v>2974</v>
      </c>
      <c r="P2090" s="267" t="s">
        <v>3944</v>
      </c>
      <c r="Q2090" s="267" t="s">
        <v>3944</v>
      </c>
      <c r="R2090" s="267">
        <v>2974</v>
      </c>
      <c r="S2090" s="267">
        <v>21226</v>
      </c>
      <c r="T2090" s="267">
        <v>24200</v>
      </c>
      <c r="U2090" s="268" t="s">
        <v>3945</v>
      </c>
      <c r="V2090" s="267" t="s">
        <v>944</v>
      </c>
    </row>
    <row r="2091" spans="1:22" hidden="1" x14ac:dyDescent="0.25">
      <c r="A2091" s="269">
        <v>43587</v>
      </c>
      <c r="B2091" s="270">
        <v>2019</v>
      </c>
      <c r="C2091" s="270">
        <v>2019</v>
      </c>
      <c r="D2091" s="270">
        <v>1</v>
      </c>
      <c r="E2091" s="270">
        <v>1</v>
      </c>
      <c r="F2091" s="270" t="s">
        <v>944</v>
      </c>
      <c r="G2091" s="270" t="s">
        <v>3926</v>
      </c>
      <c r="H2091" s="270" t="s">
        <v>6417</v>
      </c>
      <c r="I2091" s="270" t="s">
        <v>4087</v>
      </c>
      <c r="J2091" s="270" t="s">
        <v>3928</v>
      </c>
      <c r="K2091" s="270">
        <v>6355</v>
      </c>
      <c r="L2091" s="270">
        <v>703000</v>
      </c>
      <c r="M2091" s="270" t="s">
        <v>3960</v>
      </c>
      <c r="N2091" s="270" t="s">
        <v>3944</v>
      </c>
      <c r="O2091" s="270">
        <v>3364</v>
      </c>
      <c r="P2091" s="270" t="s">
        <v>3944</v>
      </c>
      <c r="Q2091" s="270" t="s">
        <v>3944</v>
      </c>
      <c r="R2091" s="270">
        <v>3364</v>
      </c>
      <c r="S2091" s="270">
        <v>26850.799999999999</v>
      </c>
      <c r="T2091" s="270">
        <v>30214.799999999999</v>
      </c>
      <c r="U2091" s="271" t="s">
        <v>3945</v>
      </c>
      <c r="V2091" s="267" t="s">
        <v>944</v>
      </c>
    </row>
    <row r="2092" spans="1:22" hidden="1" x14ac:dyDescent="0.25">
      <c r="A2092" s="266">
        <v>43587</v>
      </c>
      <c r="B2092" s="267">
        <v>2019</v>
      </c>
      <c r="C2092" s="267">
        <v>2019</v>
      </c>
      <c r="D2092" s="267">
        <v>1</v>
      </c>
      <c r="E2092" s="267">
        <v>1</v>
      </c>
      <c r="F2092" s="267" t="s">
        <v>944</v>
      </c>
      <c r="G2092" s="267" t="s">
        <v>3926</v>
      </c>
      <c r="H2092" s="267" t="s">
        <v>6418</v>
      </c>
      <c r="I2092" s="267" t="s">
        <v>4548</v>
      </c>
      <c r="J2092" s="267" t="s">
        <v>3928</v>
      </c>
      <c r="K2092" s="267">
        <v>6037</v>
      </c>
      <c r="L2092" s="267">
        <v>400200</v>
      </c>
      <c r="M2092" s="267" t="s">
        <v>3943</v>
      </c>
      <c r="N2092" s="267" t="s">
        <v>3944</v>
      </c>
      <c r="O2092" s="267">
        <v>2453</v>
      </c>
      <c r="P2092" s="267" t="s">
        <v>3944</v>
      </c>
      <c r="Q2092" s="267" t="s">
        <v>3944</v>
      </c>
      <c r="R2092" s="267">
        <v>2453</v>
      </c>
      <c r="S2092" s="267">
        <v>28160</v>
      </c>
      <c r="T2092" s="267">
        <v>30613</v>
      </c>
      <c r="U2092" s="268" t="s">
        <v>3945</v>
      </c>
      <c r="V2092" s="267" t="s">
        <v>944</v>
      </c>
    </row>
    <row r="2093" spans="1:22" hidden="1" x14ac:dyDescent="0.25">
      <c r="A2093" s="269">
        <v>43587</v>
      </c>
      <c r="B2093" s="270">
        <v>2019</v>
      </c>
      <c r="C2093" s="270">
        <v>2019</v>
      </c>
      <c r="D2093" s="270">
        <v>1</v>
      </c>
      <c r="E2093" s="270">
        <v>1</v>
      </c>
      <c r="F2093" s="270" t="s">
        <v>944</v>
      </c>
      <c r="G2093" s="270" t="s">
        <v>3926</v>
      </c>
      <c r="H2093" s="270" t="s">
        <v>6419</v>
      </c>
      <c r="I2093" s="270" t="s">
        <v>6420</v>
      </c>
      <c r="J2093" s="270" t="s">
        <v>3928</v>
      </c>
      <c r="K2093" s="270">
        <v>6777</v>
      </c>
      <c r="L2093" s="270">
        <v>267100</v>
      </c>
      <c r="M2093" s="270" t="s">
        <v>3943</v>
      </c>
      <c r="N2093" s="270" t="s">
        <v>3944</v>
      </c>
      <c r="O2093" s="270">
        <v>8093</v>
      </c>
      <c r="P2093" s="270" t="s">
        <v>3944</v>
      </c>
      <c r="Q2093" s="270" t="s">
        <v>3944</v>
      </c>
      <c r="R2093" s="270">
        <v>8093</v>
      </c>
      <c r="S2093" s="270">
        <v>61179</v>
      </c>
      <c r="T2093" s="270">
        <v>69272</v>
      </c>
      <c r="U2093" s="271" t="s">
        <v>3945</v>
      </c>
      <c r="V2093" s="267" t="s">
        <v>944</v>
      </c>
    </row>
    <row r="2094" spans="1:22" hidden="1" x14ac:dyDescent="0.25">
      <c r="A2094" s="266">
        <v>43587</v>
      </c>
      <c r="B2094" s="267">
        <v>2019</v>
      </c>
      <c r="C2094" s="267">
        <v>2019</v>
      </c>
      <c r="D2094" s="267">
        <v>1</v>
      </c>
      <c r="E2094" s="267">
        <v>1</v>
      </c>
      <c r="F2094" s="267" t="s">
        <v>944</v>
      </c>
      <c r="G2094" s="267" t="s">
        <v>3926</v>
      </c>
      <c r="H2094" s="267" t="s">
        <v>6421</v>
      </c>
      <c r="I2094" s="267" t="s">
        <v>3990</v>
      </c>
      <c r="J2094" s="267" t="s">
        <v>3928</v>
      </c>
      <c r="K2094" s="267">
        <v>6804</v>
      </c>
      <c r="L2094" s="267">
        <v>205100</v>
      </c>
      <c r="M2094" s="267" t="s">
        <v>3943</v>
      </c>
      <c r="N2094" s="267" t="s">
        <v>3944</v>
      </c>
      <c r="O2094" s="267">
        <v>8629</v>
      </c>
      <c r="P2094" s="267" t="s">
        <v>3944</v>
      </c>
      <c r="Q2094" s="267" t="s">
        <v>3944</v>
      </c>
      <c r="R2094" s="267">
        <v>8629</v>
      </c>
      <c r="S2094" s="267">
        <v>70655</v>
      </c>
      <c r="T2094" s="267">
        <v>79284</v>
      </c>
      <c r="U2094" s="268" t="s">
        <v>3945</v>
      </c>
      <c r="V2094" s="267" t="s">
        <v>944</v>
      </c>
    </row>
    <row r="2095" spans="1:22" hidden="1" x14ac:dyDescent="0.25">
      <c r="A2095" s="269">
        <v>43587</v>
      </c>
      <c r="B2095" s="270">
        <v>2019</v>
      </c>
      <c r="C2095" s="270">
        <v>2019</v>
      </c>
      <c r="D2095" s="270">
        <v>1</v>
      </c>
      <c r="E2095" s="270">
        <v>1</v>
      </c>
      <c r="F2095" s="270" t="s">
        <v>944</v>
      </c>
      <c r="G2095" s="270" t="s">
        <v>3926</v>
      </c>
      <c r="H2095" s="270" t="s">
        <v>6422</v>
      </c>
      <c r="I2095" s="270" t="s">
        <v>4079</v>
      </c>
      <c r="J2095" s="270" t="s">
        <v>3928</v>
      </c>
      <c r="K2095" s="270">
        <v>6111</v>
      </c>
      <c r="L2095" s="270">
        <v>494600</v>
      </c>
      <c r="M2095" s="270" t="s">
        <v>3935</v>
      </c>
      <c r="N2095" s="270" t="s">
        <v>3944</v>
      </c>
      <c r="O2095" s="270">
        <v>1342</v>
      </c>
      <c r="P2095" s="270" t="s">
        <v>3944</v>
      </c>
      <c r="Q2095" s="270" t="s">
        <v>3944</v>
      </c>
      <c r="R2095" s="270">
        <v>1342</v>
      </c>
      <c r="S2095" s="270">
        <v>12320</v>
      </c>
      <c r="T2095" s="270">
        <v>13662</v>
      </c>
      <c r="U2095" s="271" t="s">
        <v>3945</v>
      </c>
      <c r="V2095" s="267" t="s">
        <v>944</v>
      </c>
    </row>
    <row r="2096" spans="1:22" hidden="1" x14ac:dyDescent="0.25">
      <c r="A2096" s="266">
        <v>43587</v>
      </c>
      <c r="B2096" s="267">
        <v>2019</v>
      </c>
      <c r="C2096" s="267">
        <v>2019</v>
      </c>
      <c r="D2096" s="267">
        <v>1</v>
      </c>
      <c r="E2096" s="267">
        <v>1</v>
      </c>
      <c r="F2096" s="267" t="s">
        <v>944</v>
      </c>
      <c r="G2096" s="267" t="s">
        <v>3926</v>
      </c>
      <c r="H2096" s="267" t="s">
        <v>6423</v>
      </c>
      <c r="I2096" s="267" t="s">
        <v>4323</v>
      </c>
      <c r="J2096" s="267" t="s">
        <v>3928</v>
      </c>
      <c r="K2096" s="267">
        <v>6385</v>
      </c>
      <c r="L2096" s="267">
        <v>693300</v>
      </c>
      <c r="M2096" s="267" t="s">
        <v>3935</v>
      </c>
      <c r="N2096" s="267" t="s">
        <v>3944</v>
      </c>
      <c r="O2096" s="267">
        <v>4177</v>
      </c>
      <c r="P2096" s="267" t="s">
        <v>3944</v>
      </c>
      <c r="Q2096" s="267" t="s">
        <v>3944</v>
      </c>
      <c r="R2096" s="267">
        <v>4177</v>
      </c>
      <c r="S2096" s="267">
        <v>33263</v>
      </c>
      <c r="T2096" s="267">
        <v>37440</v>
      </c>
      <c r="U2096" s="268" t="s">
        <v>3945</v>
      </c>
      <c r="V2096" s="267" t="s">
        <v>944</v>
      </c>
    </row>
    <row r="2097" spans="1:22" hidden="1" x14ac:dyDescent="0.25">
      <c r="A2097" s="269">
        <v>43587</v>
      </c>
      <c r="B2097" s="270">
        <v>2019</v>
      </c>
      <c r="C2097" s="270">
        <v>2019</v>
      </c>
      <c r="D2097" s="270">
        <v>1</v>
      </c>
      <c r="E2097" s="270">
        <v>1</v>
      </c>
      <c r="F2097" s="270" t="s">
        <v>944</v>
      </c>
      <c r="G2097" s="270" t="s">
        <v>3926</v>
      </c>
      <c r="H2097" s="270" t="s">
        <v>6424</v>
      </c>
      <c r="I2097" s="270" t="s">
        <v>4323</v>
      </c>
      <c r="J2097" s="270" t="s">
        <v>3928</v>
      </c>
      <c r="K2097" s="270">
        <v>6385</v>
      </c>
      <c r="L2097" s="270">
        <v>693500</v>
      </c>
      <c r="M2097" s="270" t="s">
        <v>3943</v>
      </c>
      <c r="N2097" s="270" t="s">
        <v>3944</v>
      </c>
      <c r="O2097" s="270">
        <v>4773</v>
      </c>
      <c r="P2097" s="270" t="s">
        <v>3944</v>
      </c>
      <c r="Q2097" s="270" t="s">
        <v>3944</v>
      </c>
      <c r="R2097" s="270">
        <v>4773</v>
      </c>
      <c r="S2097" s="270">
        <v>40387</v>
      </c>
      <c r="T2097" s="270">
        <v>45160</v>
      </c>
      <c r="U2097" s="271" t="s">
        <v>3945</v>
      </c>
      <c r="V2097" s="267" t="s">
        <v>944</v>
      </c>
    </row>
    <row r="2098" spans="1:22" hidden="1" x14ac:dyDescent="0.25">
      <c r="A2098" s="266">
        <v>43587</v>
      </c>
      <c r="B2098" s="267">
        <v>2019</v>
      </c>
      <c r="C2098" s="267">
        <v>2019</v>
      </c>
      <c r="D2098" s="267">
        <v>1</v>
      </c>
      <c r="E2098" s="267">
        <v>1</v>
      </c>
      <c r="F2098" s="267" t="s">
        <v>944</v>
      </c>
      <c r="G2098" s="267" t="s">
        <v>3926</v>
      </c>
      <c r="H2098" s="267" t="s">
        <v>6425</v>
      </c>
      <c r="I2098" s="267" t="s">
        <v>6426</v>
      </c>
      <c r="J2098" s="267" t="s">
        <v>3928</v>
      </c>
      <c r="K2098" s="267">
        <v>6422</v>
      </c>
      <c r="L2098" s="267">
        <v>585100</v>
      </c>
      <c r="M2098" s="267" t="s">
        <v>3943</v>
      </c>
      <c r="N2098" s="267" t="s">
        <v>3944</v>
      </c>
      <c r="O2098" s="267">
        <v>5922</v>
      </c>
      <c r="P2098" s="267" t="s">
        <v>3944</v>
      </c>
      <c r="Q2098" s="267" t="s">
        <v>3944</v>
      </c>
      <c r="R2098" s="267">
        <v>5922</v>
      </c>
      <c r="S2098" s="267">
        <v>52388</v>
      </c>
      <c r="T2098" s="267">
        <v>58310</v>
      </c>
      <c r="U2098" s="268" t="s">
        <v>3945</v>
      </c>
      <c r="V2098" s="267" t="s">
        <v>944</v>
      </c>
    </row>
    <row r="2099" spans="1:22" hidden="1" x14ac:dyDescent="0.25">
      <c r="A2099" s="269">
        <v>43587</v>
      </c>
      <c r="B2099" s="270">
        <v>2019</v>
      </c>
      <c r="C2099" s="270">
        <v>2019</v>
      </c>
      <c r="D2099" s="270">
        <v>1</v>
      </c>
      <c r="E2099" s="270">
        <v>1</v>
      </c>
      <c r="F2099" s="270" t="s">
        <v>944</v>
      </c>
      <c r="G2099" s="270" t="s">
        <v>3926</v>
      </c>
      <c r="H2099" s="270" t="s">
        <v>6427</v>
      </c>
      <c r="I2099" s="270" t="s">
        <v>4290</v>
      </c>
      <c r="J2099" s="270" t="s">
        <v>3928</v>
      </c>
      <c r="K2099" s="270">
        <v>6798</v>
      </c>
      <c r="L2099" s="270">
        <v>362102</v>
      </c>
      <c r="M2099" s="270" t="s">
        <v>3960</v>
      </c>
      <c r="N2099" s="270" t="s">
        <v>3944</v>
      </c>
      <c r="O2099" s="270">
        <v>2419.9</v>
      </c>
      <c r="P2099" s="270" t="s">
        <v>3944</v>
      </c>
      <c r="Q2099" s="270" t="s">
        <v>3944</v>
      </c>
      <c r="R2099" s="270">
        <v>2419.9</v>
      </c>
      <c r="S2099" s="270">
        <v>42326.73</v>
      </c>
      <c r="T2099" s="270">
        <v>44746.63</v>
      </c>
      <c r="U2099" s="271" t="s">
        <v>3945</v>
      </c>
      <c r="V2099" s="267" t="s">
        <v>944</v>
      </c>
    </row>
    <row r="2100" spans="1:22" hidden="1" x14ac:dyDescent="0.25">
      <c r="A2100" s="266">
        <v>43587</v>
      </c>
      <c r="B2100" s="267">
        <v>2019</v>
      </c>
      <c r="C2100" s="267">
        <v>2019</v>
      </c>
      <c r="D2100" s="267">
        <v>1</v>
      </c>
      <c r="E2100" s="267">
        <v>1</v>
      </c>
      <c r="F2100" s="267" t="s">
        <v>944</v>
      </c>
      <c r="G2100" s="267" t="s">
        <v>3926</v>
      </c>
      <c r="H2100" s="267" t="s">
        <v>6428</v>
      </c>
      <c r="I2100" s="267" t="s">
        <v>4203</v>
      </c>
      <c r="J2100" s="267" t="s">
        <v>3928</v>
      </c>
      <c r="K2100" s="267">
        <v>6071</v>
      </c>
      <c r="L2100" s="267">
        <v>538201</v>
      </c>
      <c r="M2100" s="267" t="s">
        <v>3943</v>
      </c>
      <c r="N2100" s="267" t="s">
        <v>3944</v>
      </c>
      <c r="O2100" s="267">
        <v>2017.12</v>
      </c>
      <c r="P2100" s="267" t="s">
        <v>3944</v>
      </c>
      <c r="Q2100" s="267" t="s">
        <v>3944</v>
      </c>
      <c r="R2100" s="267">
        <v>2017.12</v>
      </c>
      <c r="S2100" s="267">
        <v>30208.880000000001</v>
      </c>
      <c r="T2100" s="267">
        <v>32226</v>
      </c>
      <c r="U2100" s="268" t="s">
        <v>3945</v>
      </c>
      <c r="V2100" s="267" t="s">
        <v>944</v>
      </c>
    </row>
    <row r="2101" spans="1:22" hidden="1" x14ac:dyDescent="0.25">
      <c r="A2101" s="269">
        <v>43587</v>
      </c>
      <c r="B2101" s="270">
        <v>2019</v>
      </c>
      <c r="C2101" s="270">
        <v>2019</v>
      </c>
      <c r="D2101" s="270">
        <v>1</v>
      </c>
      <c r="E2101" s="270">
        <v>1</v>
      </c>
      <c r="F2101" s="270" t="s">
        <v>944</v>
      </c>
      <c r="G2101" s="270" t="s">
        <v>3926</v>
      </c>
      <c r="H2101" s="270" t="s">
        <v>6429</v>
      </c>
      <c r="I2101" s="270" t="s">
        <v>3011</v>
      </c>
      <c r="J2101" s="270" t="s">
        <v>3928</v>
      </c>
      <c r="K2101" s="270">
        <v>6418</v>
      </c>
      <c r="L2101" s="270">
        <v>120100</v>
      </c>
      <c r="M2101" s="270" t="s">
        <v>3940</v>
      </c>
      <c r="N2101" s="270" t="s">
        <v>3944</v>
      </c>
      <c r="O2101" s="270">
        <v>4019.96</v>
      </c>
      <c r="P2101" s="270" t="s">
        <v>3944</v>
      </c>
      <c r="Q2101" s="270" t="s">
        <v>3944</v>
      </c>
      <c r="R2101" s="270">
        <v>4019.96</v>
      </c>
      <c r="S2101" s="270">
        <v>61976.24</v>
      </c>
      <c r="T2101" s="270">
        <v>65996.2</v>
      </c>
      <c r="U2101" s="271" t="s">
        <v>3945</v>
      </c>
      <c r="V2101" s="267" t="s">
        <v>944</v>
      </c>
    </row>
    <row r="2102" spans="1:22" hidden="1" x14ac:dyDescent="0.25">
      <c r="A2102" s="266">
        <v>43587</v>
      </c>
      <c r="B2102" s="267">
        <v>2019</v>
      </c>
      <c r="C2102" s="267">
        <v>2019</v>
      </c>
      <c r="D2102" s="267">
        <v>1</v>
      </c>
      <c r="E2102" s="267">
        <v>1</v>
      </c>
      <c r="F2102" s="267" t="s">
        <v>944</v>
      </c>
      <c r="G2102" s="267" t="s">
        <v>3926</v>
      </c>
      <c r="H2102" s="267" t="s">
        <v>6430</v>
      </c>
      <c r="I2102" s="267" t="s">
        <v>4003</v>
      </c>
      <c r="J2102" s="267" t="s">
        <v>3928</v>
      </c>
      <c r="K2102" s="267">
        <v>6076</v>
      </c>
      <c r="L2102" s="267">
        <v>890201</v>
      </c>
      <c r="M2102" s="267" t="s">
        <v>3960</v>
      </c>
      <c r="N2102" s="267" t="s">
        <v>3944</v>
      </c>
      <c r="O2102" s="267">
        <v>1830.05</v>
      </c>
      <c r="P2102" s="267" t="s">
        <v>3944</v>
      </c>
      <c r="Q2102" s="267" t="s">
        <v>3944</v>
      </c>
      <c r="R2102" s="267">
        <v>1830.05</v>
      </c>
      <c r="S2102" s="267">
        <v>20133.71</v>
      </c>
      <c r="T2102" s="267">
        <v>21963.759999999998</v>
      </c>
      <c r="U2102" s="268" t="s">
        <v>3945</v>
      </c>
      <c r="V2102" s="267" t="s">
        <v>944</v>
      </c>
    </row>
    <row r="2103" spans="1:22" hidden="1" x14ac:dyDescent="0.25">
      <c r="A2103" s="269">
        <v>43587</v>
      </c>
      <c r="B2103" s="270">
        <v>2019</v>
      </c>
      <c r="C2103" s="270">
        <v>2019</v>
      </c>
      <c r="D2103" s="270">
        <v>1</v>
      </c>
      <c r="E2103" s="270">
        <v>1</v>
      </c>
      <c r="F2103" s="270" t="s">
        <v>944</v>
      </c>
      <c r="G2103" s="270" t="s">
        <v>3926</v>
      </c>
      <c r="H2103" s="270" t="s">
        <v>6431</v>
      </c>
      <c r="I2103" s="270" t="s">
        <v>4757</v>
      </c>
      <c r="J2103" s="270" t="s">
        <v>3928</v>
      </c>
      <c r="K2103" s="270">
        <v>6063</v>
      </c>
      <c r="L2103" s="270">
        <v>290100</v>
      </c>
      <c r="M2103" s="270" t="s">
        <v>3943</v>
      </c>
      <c r="N2103" s="270" t="s">
        <v>3944</v>
      </c>
      <c r="O2103" s="270">
        <v>2657.8</v>
      </c>
      <c r="P2103" s="270" t="s">
        <v>3944</v>
      </c>
      <c r="Q2103" s="270" t="s">
        <v>3944</v>
      </c>
      <c r="R2103" s="270">
        <v>2657.8</v>
      </c>
      <c r="S2103" s="270">
        <v>17293.2</v>
      </c>
      <c r="T2103" s="270">
        <v>19951</v>
      </c>
      <c r="U2103" s="271" t="s">
        <v>3945</v>
      </c>
      <c r="V2103" s="267" t="s">
        <v>944</v>
      </c>
    </row>
    <row r="2104" spans="1:22" hidden="1" x14ac:dyDescent="0.25">
      <c r="A2104" s="266">
        <v>43587</v>
      </c>
      <c r="B2104" s="267">
        <v>2019</v>
      </c>
      <c r="C2104" s="267">
        <v>2019</v>
      </c>
      <c r="D2104" s="267">
        <v>1</v>
      </c>
      <c r="E2104" s="267">
        <v>1</v>
      </c>
      <c r="F2104" s="267" t="s">
        <v>944</v>
      </c>
      <c r="G2104" s="267" t="s">
        <v>3926</v>
      </c>
      <c r="H2104" s="267" t="s">
        <v>6432</v>
      </c>
      <c r="I2104" s="267" t="s">
        <v>4042</v>
      </c>
      <c r="J2104" s="267" t="s">
        <v>3928</v>
      </c>
      <c r="K2104" s="267">
        <v>6382</v>
      </c>
      <c r="L2104" s="267">
        <v>695201</v>
      </c>
      <c r="M2104" s="267" t="s">
        <v>3935</v>
      </c>
      <c r="N2104" s="267" t="s">
        <v>3944</v>
      </c>
      <c r="O2104" s="267">
        <v>1047.97</v>
      </c>
      <c r="P2104" s="267" t="s">
        <v>3944</v>
      </c>
      <c r="Q2104" s="267" t="s">
        <v>3944</v>
      </c>
      <c r="R2104" s="267">
        <v>1047.97</v>
      </c>
      <c r="S2104" s="267">
        <v>15777.02</v>
      </c>
      <c r="T2104" s="267">
        <v>16824.990000000002</v>
      </c>
      <c r="U2104" s="268" t="s">
        <v>3945</v>
      </c>
      <c r="V2104" s="267" t="s">
        <v>944</v>
      </c>
    </row>
    <row r="2105" spans="1:22" hidden="1" x14ac:dyDescent="0.25">
      <c r="A2105" s="269">
        <v>43587</v>
      </c>
      <c r="B2105" s="270">
        <v>2019</v>
      </c>
      <c r="C2105" s="270">
        <v>2019</v>
      </c>
      <c r="D2105" s="270">
        <v>1</v>
      </c>
      <c r="E2105" s="270">
        <v>1</v>
      </c>
      <c r="F2105" s="270" t="s">
        <v>944</v>
      </c>
      <c r="G2105" s="270" t="s">
        <v>3926</v>
      </c>
      <c r="H2105" s="270" t="s">
        <v>6433</v>
      </c>
      <c r="I2105" s="270" t="s">
        <v>3968</v>
      </c>
      <c r="J2105" s="270" t="s">
        <v>3928</v>
      </c>
      <c r="K2105" s="270">
        <v>6042</v>
      </c>
      <c r="L2105" s="270">
        <v>514500</v>
      </c>
      <c r="M2105" s="270" t="s">
        <v>3935</v>
      </c>
      <c r="N2105" s="270" t="s">
        <v>3944</v>
      </c>
      <c r="O2105" s="270">
        <v>3642.91</v>
      </c>
      <c r="P2105" s="270" t="s">
        <v>3944</v>
      </c>
      <c r="Q2105" s="270" t="s">
        <v>3944</v>
      </c>
      <c r="R2105" s="270">
        <v>3642.91</v>
      </c>
      <c r="S2105" s="270">
        <v>52233.07</v>
      </c>
      <c r="T2105" s="270">
        <v>55875.98</v>
      </c>
      <c r="U2105" s="271" t="s">
        <v>3945</v>
      </c>
      <c r="V2105" s="267" t="s">
        <v>944</v>
      </c>
    </row>
    <row r="2106" spans="1:22" hidden="1" x14ac:dyDescent="0.25">
      <c r="A2106" s="266">
        <v>43587</v>
      </c>
      <c r="B2106" s="267">
        <v>2019</v>
      </c>
      <c r="C2106" s="267">
        <v>2019</v>
      </c>
      <c r="D2106" s="267">
        <v>1</v>
      </c>
      <c r="E2106" s="267">
        <v>1</v>
      </c>
      <c r="F2106" s="267" t="s">
        <v>944</v>
      </c>
      <c r="G2106" s="267" t="s">
        <v>3926</v>
      </c>
      <c r="H2106" s="267" t="s">
        <v>6434</v>
      </c>
      <c r="I2106" s="267" t="s">
        <v>4947</v>
      </c>
      <c r="J2106" s="267" t="s">
        <v>3928</v>
      </c>
      <c r="K2106" s="267">
        <v>6787</v>
      </c>
      <c r="L2106" s="267">
        <v>349100</v>
      </c>
      <c r="M2106" s="267" t="s">
        <v>3935</v>
      </c>
      <c r="N2106" s="267" t="s">
        <v>3944</v>
      </c>
      <c r="O2106" s="267">
        <v>2483.9899999999998</v>
      </c>
      <c r="P2106" s="267" t="s">
        <v>3944</v>
      </c>
      <c r="Q2106" s="267" t="s">
        <v>3944</v>
      </c>
      <c r="R2106" s="267">
        <v>2483.9899999999998</v>
      </c>
      <c r="S2106" s="267">
        <v>32825.089999999997</v>
      </c>
      <c r="T2106" s="267">
        <v>35309.08</v>
      </c>
      <c r="U2106" s="268" t="s">
        <v>3945</v>
      </c>
      <c r="V2106" s="267" t="s">
        <v>944</v>
      </c>
    </row>
    <row r="2107" spans="1:22" hidden="1" x14ac:dyDescent="0.25">
      <c r="A2107" s="269">
        <v>43587</v>
      </c>
      <c r="B2107" s="270">
        <v>2019</v>
      </c>
      <c r="C2107" s="270">
        <v>2019</v>
      </c>
      <c r="D2107" s="270">
        <v>1</v>
      </c>
      <c r="E2107" s="270">
        <v>1</v>
      </c>
      <c r="F2107" s="270" t="s">
        <v>944</v>
      </c>
      <c r="G2107" s="270" t="s">
        <v>3926</v>
      </c>
      <c r="H2107" s="270" t="s">
        <v>6435</v>
      </c>
      <c r="I2107" s="270" t="s">
        <v>4019</v>
      </c>
      <c r="J2107" s="270" t="s">
        <v>3928</v>
      </c>
      <c r="K2107" s="270">
        <v>6710</v>
      </c>
      <c r="L2107" s="270">
        <v>350800</v>
      </c>
      <c r="M2107" s="270">
        <v>-60</v>
      </c>
      <c r="N2107" s="270" t="s">
        <v>3944</v>
      </c>
      <c r="O2107" s="270">
        <v>647.08000000000004</v>
      </c>
      <c r="P2107" s="270" t="s">
        <v>3944</v>
      </c>
      <c r="Q2107" s="270" t="s">
        <v>3944</v>
      </c>
      <c r="R2107" s="270">
        <v>647.08000000000004</v>
      </c>
      <c r="S2107" s="270">
        <v>7909.67</v>
      </c>
      <c r="T2107" s="270">
        <v>8556.75</v>
      </c>
      <c r="U2107" s="271" t="s">
        <v>3945</v>
      </c>
      <c r="V2107" s="267" t="s">
        <v>944</v>
      </c>
    </row>
    <row r="2108" spans="1:22" hidden="1" x14ac:dyDescent="0.25">
      <c r="A2108" s="266">
        <v>43587</v>
      </c>
      <c r="B2108" s="267">
        <v>2019</v>
      </c>
      <c r="C2108" s="267">
        <v>2019</v>
      </c>
      <c r="D2108" s="267">
        <v>1</v>
      </c>
      <c r="E2108" s="267">
        <v>1</v>
      </c>
      <c r="F2108" s="267" t="s">
        <v>944</v>
      </c>
      <c r="G2108" s="267" t="s">
        <v>3926</v>
      </c>
      <c r="H2108" s="267" t="s">
        <v>6436</v>
      </c>
      <c r="I2108" s="267" t="s">
        <v>956</v>
      </c>
      <c r="J2108" s="267" t="s">
        <v>3928</v>
      </c>
      <c r="K2108" s="267">
        <v>6614</v>
      </c>
      <c r="L2108" s="267">
        <v>80900</v>
      </c>
      <c r="M2108" s="267" t="s">
        <v>3960</v>
      </c>
      <c r="N2108" s="267" t="s">
        <v>3944</v>
      </c>
      <c r="O2108" s="267">
        <v>774.62</v>
      </c>
      <c r="P2108" s="267" t="s">
        <v>3944</v>
      </c>
      <c r="Q2108" s="267" t="s">
        <v>3944</v>
      </c>
      <c r="R2108" s="267">
        <v>774.62</v>
      </c>
      <c r="S2108" s="267">
        <v>9000.3799999999992</v>
      </c>
      <c r="T2108" s="267">
        <v>9775</v>
      </c>
      <c r="U2108" s="268" t="s">
        <v>3945</v>
      </c>
      <c r="V2108" s="267" t="s">
        <v>944</v>
      </c>
    </row>
    <row r="2109" spans="1:22" hidden="1" x14ac:dyDescent="0.25">
      <c r="A2109" s="269">
        <v>43587</v>
      </c>
      <c r="B2109" s="270">
        <v>2019</v>
      </c>
      <c r="C2109" s="270">
        <v>2019</v>
      </c>
      <c r="D2109" s="270">
        <v>1</v>
      </c>
      <c r="E2109" s="270">
        <v>1</v>
      </c>
      <c r="F2109" s="270" t="s">
        <v>944</v>
      </c>
      <c r="G2109" s="270" t="s">
        <v>3926</v>
      </c>
      <c r="H2109" s="270" t="s">
        <v>6437</v>
      </c>
      <c r="I2109" s="270" t="s">
        <v>4232</v>
      </c>
      <c r="J2109" s="270" t="s">
        <v>3928</v>
      </c>
      <c r="K2109" s="270">
        <v>6483</v>
      </c>
      <c r="L2109" s="270">
        <v>130200</v>
      </c>
      <c r="M2109" s="270" t="s">
        <v>3935</v>
      </c>
      <c r="N2109" s="270" t="s">
        <v>3944</v>
      </c>
      <c r="O2109" s="270">
        <v>1516.9</v>
      </c>
      <c r="P2109" s="270" t="s">
        <v>3944</v>
      </c>
      <c r="Q2109" s="270" t="s">
        <v>3944</v>
      </c>
      <c r="R2109" s="270">
        <v>1516.9</v>
      </c>
      <c r="S2109" s="270">
        <v>18926.599999999999</v>
      </c>
      <c r="T2109" s="270">
        <v>20443.5</v>
      </c>
      <c r="U2109" s="271" t="s">
        <v>3945</v>
      </c>
      <c r="V2109" s="267" t="s">
        <v>944</v>
      </c>
    </row>
    <row r="2110" spans="1:22" hidden="1" x14ac:dyDescent="0.25">
      <c r="A2110" s="266">
        <v>43587</v>
      </c>
      <c r="B2110" s="267">
        <v>2019</v>
      </c>
      <c r="C2110" s="267">
        <v>2019</v>
      </c>
      <c r="D2110" s="267">
        <v>1</v>
      </c>
      <c r="E2110" s="267">
        <v>1</v>
      </c>
      <c r="F2110" s="267" t="s">
        <v>944</v>
      </c>
      <c r="G2110" s="267" t="s">
        <v>3926</v>
      </c>
      <c r="H2110" s="267" t="s">
        <v>6438</v>
      </c>
      <c r="I2110" s="267" t="s">
        <v>934</v>
      </c>
      <c r="J2110" s="267" t="s">
        <v>3928</v>
      </c>
      <c r="K2110" s="267">
        <v>6606</v>
      </c>
      <c r="L2110" s="267">
        <v>72900</v>
      </c>
      <c r="M2110" s="267" t="s">
        <v>3940</v>
      </c>
      <c r="N2110" s="267" t="s">
        <v>3944</v>
      </c>
      <c r="O2110" s="267">
        <v>1990.17</v>
      </c>
      <c r="P2110" s="267" t="s">
        <v>3944</v>
      </c>
      <c r="Q2110" s="267" t="s">
        <v>3944</v>
      </c>
      <c r="R2110" s="267">
        <v>1990.17</v>
      </c>
      <c r="S2110" s="267">
        <v>33209.29</v>
      </c>
      <c r="T2110" s="267">
        <v>35199.46</v>
      </c>
      <c r="U2110" s="268" t="s">
        <v>3945</v>
      </c>
      <c r="V2110" s="267" t="s">
        <v>944</v>
      </c>
    </row>
    <row r="2111" spans="1:22" hidden="1" x14ac:dyDescent="0.25">
      <c r="A2111" s="269">
        <v>43587</v>
      </c>
      <c r="B2111" s="270">
        <v>2019</v>
      </c>
      <c r="C2111" s="270">
        <v>2019</v>
      </c>
      <c r="D2111" s="270">
        <v>1</v>
      </c>
      <c r="E2111" s="270">
        <v>1</v>
      </c>
      <c r="F2111" s="270" t="s">
        <v>944</v>
      </c>
      <c r="G2111" s="270" t="s">
        <v>3926</v>
      </c>
      <c r="H2111" s="270" t="s">
        <v>6439</v>
      </c>
      <c r="I2111" s="270" t="s">
        <v>4016</v>
      </c>
      <c r="J2111" s="270" t="s">
        <v>3928</v>
      </c>
      <c r="K2111" s="270">
        <v>6770</v>
      </c>
      <c r="L2111" s="270">
        <v>345201</v>
      </c>
      <c r="M2111" s="270" t="s">
        <v>3935</v>
      </c>
      <c r="N2111" s="270" t="s">
        <v>3944</v>
      </c>
      <c r="O2111" s="270">
        <v>2049.92</v>
      </c>
      <c r="P2111" s="270" t="s">
        <v>3944</v>
      </c>
      <c r="Q2111" s="270" t="s">
        <v>3944</v>
      </c>
      <c r="R2111" s="270">
        <v>2049.92</v>
      </c>
      <c r="S2111" s="270">
        <v>29231.91</v>
      </c>
      <c r="T2111" s="270">
        <v>31281.83</v>
      </c>
      <c r="U2111" s="271" t="s">
        <v>3945</v>
      </c>
      <c r="V2111" s="267" t="s">
        <v>944</v>
      </c>
    </row>
    <row r="2112" spans="1:22" hidden="1" x14ac:dyDescent="0.25">
      <c r="A2112" s="266">
        <v>43587</v>
      </c>
      <c r="B2112" s="267">
        <v>2019</v>
      </c>
      <c r="C2112" s="267">
        <v>2019</v>
      </c>
      <c r="D2112" s="267">
        <v>1</v>
      </c>
      <c r="E2112" s="267">
        <v>1</v>
      </c>
      <c r="F2112" s="267" t="s">
        <v>944</v>
      </c>
      <c r="G2112" s="267" t="s">
        <v>3926</v>
      </c>
      <c r="H2112" s="267" t="s">
        <v>6440</v>
      </c>
      <c r="I2112" s="267" t="s">
        <v>3956</v>
      </c>
      <c r="J2112" s="267" t="s">
        <v>3928</v>
      </c>
      <c r="K2112" s="267">
        <v>6112</v>
      </c>
      <c r="L2112" s="267">
        <v>503900</v>
      </c>
      <c r="M2112" s="267">
        <v>-60</v>
      </c>
      <c r="N2112" s="267" t="s">
        <v>3944</v>
      </c>
      <c r="O2112" s="267">
        <v>1110.4100000000001</v>
      </c>
      <c r="P2112" s="267" t="s">
        <v>3944</v>
      </c>
      <c r="Q2112" s="267" t="s">
        <v>3944</v>
      </c>
      <c r="R2112" s="267">
        <v>1110.4100000000001</v>
      </c>
      <c r="S2112" s="267">
        <v>15063.34</v>
      </c>
      <c r="T2112" s="267">
        <v>16173.75</v>
      </c>
      <c r="U2112" s="268" t="s">
        <v>3945</v>
      </c>
      <c r="V2112" s="267" t="s">
        <v>944</v>
      </c>
    </row>
    <row r="2113" spans="1:22" hidden="1" x14ac:dyDescent="0.25">
      <c r="A2113" s="269">
        <v>43587</v>
      </c>
      <c r="B2113" s="270">
        <v>2019</v>
      </c>
      <c r="C2113" s="270">
        <v>2019</v>
      </c>
      <c r="D2113" s="270">
        <v>1</v>
      </c>
      <c r="E2113" s="270">
        <v>1</v>
      </c>
      <c r="F2113" s="270" t="s">
        <v>944</v>
      </c>
      <c r="G2113" s="270" t="s">
        <v>3926</v>
      </c>
      <c r="H2113" s="270" t="s">
        <v>6441</v>
      </c>
      <c r="I2113" s="270" t="s">
        <v>4687</v>
      </c>
      <c r="J2113" s="270" t="s">
        <v>3928</v>
      </c>
      <c r="K2113" s="270">
        <v>6424</v>
      </c>
      <c r="L2113" s="270">
        <v>550202</v>
      </c>
      <c r="M2113" s="270" t="s">
        <v>3960</v>
      </c>
      <c r="N2113" s="270" t="s">
        <v>3944</v>
      </c>
      <c r="O2113" s="270">
        <v>2140.9499999999998</v>
      </c>
      <c r="P2113" s="270" t="s">
        <v>3944</v>
      </c>
      <c r="Q2113" s="270" t="s">
        <v>3944</v>
      </c>
      <c r="R2113" s="270">
        <v>2140.9499999999998</v>
      </c>
      <c r="S2113" s="270">
        <v>26578.959999999999</v>
      </c>
      <c r="T2113" s="270">
        <v>28719.91</v>
      </c>
      <c r="U2113" s="271" t="s">
        <v>3945</v>
      </c>
      <c r="V2113" s="267" t="s">
        <v>944</v>
      </c>
    </row>
    <row r="2114" spans="1:22" hidden="1" x14ac:dyDescent="0.25">
      <c r="A2114" s="266">
        <v>43587</v>
      </c>
      <c r="B2114" s="267">
        <v>2019</v>
      </c>
      <c r="C2114" s="267">
        <v>2019</v>
      </c>
      <c r="D2114" s="267">
        <v>1</v>
      </c>
      <c r="E2114" s="267">
        <v>1</v>
      </c>
      <c r="F2114" s="267" t="s">
        <v>944</v>
      </c>
      <c r="G2114" s="267" t="s">
        <v>3926</v>
      </c>
      <c r="H2114" s="267" t="s">
        <v>6442</v>
      </c>
      <c r="I2114" s="267" t="s">
        <v>4200</v>
      </c>
      <c r="J2114" s="267" t="s">
        <v>3928</v>
      </c>
      <c r="K2114" s="267">
        <v>6795</v>
      </c>
      <c r="L2114" s="267">
        <v>360100</v>
      </c>
      <c r="M2114" s="267" t="s">
        <v>3935</v>
      </c>
      <c r="N2114" s="267" t="s">
        <v>3944</v>
      </c>
      <c r="O2114" s="267">
        <v>3552.08</v>
      </c>
      <c r="P2114" s="267" t="s">
        <v>3944</v>
      </c>
      <c r="Q2114" s="267" t="s">
        <v>3944</v>
      </c>
      <c r="R2114" s="267">
        <v>3552.08</v>
      </c>
      <c r="S2114" s="267">
        <v>48947.95</v>
      </c>
      <c r="T2114" s="267">
        <v>52500.03</v>
      </c>
      <c r="U2114" s="268" t="s">
        <v>3945</v>
      </c>
      <c r="V2114" s="267" t="s">
        <v>944</v>
      </c>
    </row>
    <row r="2115" spans="1:22" hidden="1" x14ac:dyDescent="0.25">
      <c r="A2115" s="269">
        <v>43587</v>
      </c>
      <c r="B2115" s="270">
        <v>2019</v>
      </c>
      <c r="C2115" s="270">
        <v>2019</v>
      </c>
      <c r="D2115" s="270">
        <v>1</v>
      </c>
      <c r="E2115" s="270">
        <v>1</v>
      </c>
      <c r="F2115" s="270" t="s">
        <v>944</v>
      </c>
      <c r="G2115" s="270" t="s">
        <v>3926</v>
      </c>
      <c r="H2115" s="270" t="s">
        <v>6443</v>
      </c>
      <c r="I2115" s="270" t="s">
        <v>4019</v>
      </c>
      <c r="J2115" s="270" t="s">
        <v>3928</v>
      </c>
      <c r="K2115" s="270">
        <v>6704</v>
      </c>
      <c r="L2115" s="270">
        <v>352300</v>
      </c>
      <c r="M2115" s="270">
        <v>-60</v>
      </c>
      <c r="N2115" s="270" t="s">
        <v>3944</v>
      </c>
      <c r="O2115" s="270">
        <v>3024.67</v>
      </c>
      <c r="P2115" s="270" t="s">
        <v>3944</v>
      </c>
      <c r="Q2115" s="270" t="s">
        <v>3944</v>
      </c>
      <c r="R2115" s="270">
        <v>3024.67</v>
      </c>
      <c r="S2115" s="270">
        <v>40487.83</v>
      </c>
      <c r="T2115" s="270">
        <v>43512.5</v>
      </c>
      <c r="U2115" s="271" t="s">
        <v>3945</v>
      </c>
      <c r="V2115" s="267" t="s">
        <v>944</v>
      </c>
    </row>
    <row r="2116" spans="1:22" hidden="1" x14ac:dyDescent="0.25">
      <c r="A2116" s="266">
        <v>43587</v>
      </c>
      <c r="B2116" s="267">
        <v>2019</v>
      </c>
      <c r="C2116" s="267">
        <v>2019</v>
      </c>
      <c r="D2116" s="267">
        <v>1</v>
      </c>
      <c r="E2116" s="267">
        <v>1</v>
      </c>
      <c r="F2116" s="267" t="s">
        <v>944</v>
      </c>
      <c r="G2116" s="267" t="s">
        <v>3926</v>
      </c>
      <c r="H2116" s="267" t="s">
        <v>6444</v>
      </c>
      <c r="I2116" s="267" t="s">
        <v>3956</v>
      </c>
      <c r="J2116" s="267" t="s">
        <v>3928</v>
      </c>
      <c r="K2116" s="267">
        <v>6106</v>
      </c>
      <c r="L2116" s="267">
        <v>502700</v>
      </c>
      <c r="M2116" s="267">
        <v>-60</v>
      </c>
      <c r="N2116" s="267" t="s">
        <v>3944</v>
      </c>
      <c r="O2116" s="267">
        <v>1016.05</v>
      </c>
      <c r="P2116" s="267" t="s">
        <v>3944</v>
      </c>
      <c r="Q2116" s="267" t="s">
        <v>3944</v>
      </c>
      <c r="R2116" s="267">
        <v>1016.05</v>
      </c>
      <c r="S2116" s="267">
        <v>11874.75</v>
      </c>
      <c r="T2116" s="267">
        <v>12890.8</v>
      </c>
      <c r="U2116" s="268" t="s">
        <v>3945</v>
      </c>
      <c r="V2116" s="267" t="s">
        <v>944</v>
      </c>
    </row>
    <row r="2117" spans="1:22" hidden="1" x14ac:dyDescent="0.25">
      <c r="A2117" s="269">
        <v>43587</v>
      </c>
      <c r="B2117" s="270">
        <v>2019</v>
      </c>
      <c r="C2117" s="270">
        <v>2019</v>
      </c>
      <c r="D2117" s="270">
        <v>1</v>
      </c>
      <c r="E2117" s="270">
        <v>1</v>
      </c>
      <c r="F2117" s="270" t="s">
        <v>944</v>
      </c>
      <c r="G2117" s="270" t="s">
        <v>3926</v>
      </c>
      <c r="H2117" s="270" t="s">
        <v>6445</v>
      </c>
      <c r="I2117" s="270" t="s">
        <v>4114</v>
      </c>
      <c r="J2117" s="270" t="s">
        <v>3928</v>
      </c>
      <c r="K2117" s="270">
        <v>6410</v>
      </c>
      <c r="L2117" s="270">
        <v>343300</v>
      </c>
      <c r="M2117" s="270" t="s">
        <v>3943</v>
      </c>
      <c r="N2117" s="270" t="s">
        <v>3944</v>
      </c>
      <c r="O2117" s="270">
        <v>1008.56</v>
      </c>
      <c r="P2117" s="270" t="s">
        <v>3944</v>
      </c>
      <c r="Q2117" s="270" t="s">
        <v>3944</v>
      </c>
      <c r="R2117" s="270">
        <v>1008.56</v>
      </c>
      <c r="S2117" s="270">
        <v>9573.44</v>
      </c>
      <c r="T2117" s="270">
        <v>10582</v>
      </c>
      <c r="U2117" s="271" t="s">
        <v>3945</v>
      </c>
      <c r="V2117" s="267" t="s">
        <v>944</v>
      </c>
    </row>
    <row r="2118" spans="1:22" hidden="1" x14ac:dyDescent="0.25">
      <c r="A2118" s="266">
        <v>43587</v>
      </c>
      <c r="B2118" s="267">
        <v>2019</v>
      </c>
      <c r="C2118" s="267">
        <v>2019</v>
      </c>
      <c r="D2118" s="267">
        <v>1</v>
      </c>
      <c r="E2118" s="267">
        <v>1</v>
      </c>
      <c r="F2118" s="267" t="s">
        <v>944</v>
      </c>
      <c r="G2118" s="267" t="s">
        <v>3926</v>
      </c>
      <c r="H2118" s="267" t="s">
        <v>6446</v>
      </c>
      <c r="I2118" s="267" t="s">
        <v>956</v>
      </c>
      <c r="J2118" s="267" t="s">
        <v>3928</v>
      </c>
      <c r="K2118" s="267">
        <v>6614</v>
      </c>
      <c r="L2118" s="267">
        <v>81100</v>
      </c>
      <c r="M2118" s="267" t="s">
        <v>3960</v>
      </c>
      <c r="N2118" s="267" t="s">
        <v>3944</v>
      </c>
      <c r="O2118" s="267">
        <v>661.82</v>
      </c>
      <c r="P2118" s="267" t="s">
        <v>3944</v>
      </c>
      <c r="Q2118" s="267" t="s">
        <v>3944</v>
      </c>
      <c r="R2118" s="267">
        <v>661.82</v>
      </c>
      <c r="S2118" s="267">
        <v>8220</v>
      </c>
      <c r="T2118" s="267">
        <v>8881.82</v>
      </c>
      <c r="U2118" s="268" t="s">
        <v>3945</v>
      </c>
      <c r="V2118" s="267" t="s">
        <v>944</v>
      </c>
    </row>
    <row r="2119" spans="1:22" hidden="1" x14ac:dyDescent="0.25">
      <c r="A2119" s="269">
        <v>43587</v>
      </c>
      <c r="B2119" s="270">
        <v>2019</v>
      </c>
      <c r="C2119" s="270">
        <v>2019</v>
      </c>
      <c r="D2119" s="270">
        <v>1</v>
      </c>
      <c r="E2119" s="270">
        <v>1</v>
      </c>
      <c r="F2119" s="270" t="s">
        <v>944</v>
      </c>
      <c r="G2119" s="270" t="s">
        <v>3926</v>
      </c>
      <c r="H2119" s="270" t="s">
        <v>6447</v>
      </c>
      <c r="I2119" s="270" t="s">
        <v>4108</v>
      </c>
      <c r="J2119" s="270" t="s">
        <v>3928</v>
      </c>
      <c r="K2119" s="270">
        <v>6082</v>
      </c>
      <c r="L2119" s="270">
        <v>481200</v>
      </c>
      <c r="M2119" s="270" t="s">
        <v>3960</v>
      </c>
      <c r="N2119" s="270" t="s">
        <v>3944</v>
      </c>
      <c r="O2119" s="270">
        <v>2257.71</v>
      </c>
      <c r="P2119" s="270" t="s">
        <v>3944</v>
      </c>
      <c r="Q2119" s="270" t="s">
        <v>3944</v>
      </c>
      <c r="R2119" s="270">
        <v>2257.71</v>
      </c>
      <c r="S2119" s="270">
        <v>21730</v>
      </c>
      <c r="T2119" s="270">
        <v>23987.71</v>
      </c>
      <c r="U2119" s="271" t="s">
        <v>3945</v>
      </c>
      <c r="V2119" s="267" t="s">
        <v>944</v>
      </c>
    </row>
    <row r="2120" spans="1:22" hidden="1" x14ac:dyDescent="0.25">
      <c r="A2120" s="266">
        <v>43587</v>
      </c>
      <c r="B2120" s="267">
        <v>2019</v>
      </c>
      <c r="C2120" s="267">
        <v>2019</v>
      </c>
      <c r="D2120" s="267">
        <v>1</v>
      </c>
      <c r="E2120" s="267">
        <v>1</v>
      </c>
      <c r="F2120" s="267" t="s">
        <v>944</v>
      </c>
      <c r="G2120" s="267" t="s">
        <v>3926</v>
      </c>
      <c r="H2120" s="267" t="s">
        <v>6448</v>
      </c>
      <c r="I2120" s="267" t="s">
        <v>3975</v>
      </c>
      <c r="J2120" s="267" t="s">
        <v>3928</v>
      </c>
      <c r="K2120" s="267">
        <v>6479</v>
      </c>
      <c r="L2120" s="267">
        <v>430500</v>
      </c>
      <c r="M2120" s="267" t="s">
        <v>3943</v>
      </c>
      <c r="N2120" s="267" t="s">
        <v>3944</v>
      </c>
      <c r="O2120" s="267">
        <v>3014.9</v>
      </c>
      <c r="P2120" s="267" t="s">
        <v>3944</v>
      </c>
      <c r="Q2120" s="267" t="s">
        <v>3944</v>
      </c>
      <c r="R2120" s="267">
        <v>3014.9</v>
      </c>
      <c r="S2120" s="267">
        <v>47978.81</v>
      </c>
      <c r="T2120" s="267">
        <v>50993.71</v>
      </c>
      <c r="U2120" s="268" t="s">
        <v>3945</v>
      </c>
      <c r="V2120" s="267" t="s">
        <v>944</v>
      </c>
    </row>
    <row r="2121" spans="1:22" hidden="1" x14ac:dyDescent="0.25">
      <c r="A2121" s="269">
        <v>43587</v>
      </c>
      <c r="B2121" s="270">
        <v>2019</v>
      </c>
      <c r="C2121" s="270">
        <v>2019</v>
      </c>
      <c r="D2121" s="270">
        <v>1</v>
      </c>
      <c r="E2121" s="270">
        <v>1</v>
      </c>
      <c r="F2121" s="270" t="s">
        <v>944</v>
      </c>
      <c r="G2121" s="270" t="s">
        <v>3926</v>
      </c>
      <c r="H2121" s="270" t="s">
        <v>6449</v>
      </c>
      <c r="I2121" s="270" t="s">
        <v>3962</v>
      </c>
      <c r="J2121" s="270" t="s">
        <v>3928</v>
      </c>
      <c r="K2121" s="270">
        <v>6379</v>
      </c>
      <c r="L2121" s="270">
        <v>705101</v>
      </c>
      <c r="M2121" s="270" t="s">
        <v>3935</v>
      </c>
      <c r="N2121" s="270" t="s">
        <v>3944</v>
      </c>
      <c r="O2121" s="270">
        <v>1291.26</v>
      </c>
      <c r="P2121" s="270" t="s">
        <v>3944</v>
      </c>
      <c r="Q2121" s="270" t="s">
        <v>3944</v>
      </c>
      <c r="R2121" s="270">
        <v>1291.26</v>
      </c>
      <c r="S2121" s="270">
        <v>14117.74</v>
      </c>
      <c r="T2121" s="270">
        <v>15409</v>
      </c>
      <c r="U2121" s="271" t="s">
        <v>3945</v>
      </c>
      <c r="V2121" s="267" t="s">
        <v>944</v>
      </c>
    </row>
    <row r="2122" spans="1:22" hidden="1" x14ac:dyDescent="0.25">
      <c r="A2122" s="266">
        <v>43587</v>
      </c>
      <c r="B2122" s="267">
        <v>2019</v>
      </c>
      <c r="C2122" s="267">
        <v>2019</v>
      </c>
      <c r="D2122" s="267">
        <v>1</v>
      </c>
      <c r="E2122" s="267">
        <v>1</v>
      </c>
      <c r="F2122" s="267" t="s">
        <v>944</v>
      </c>
      <c r="G2122" s="267" t="s">
        <v>3926</v>
      </c>
      <c r="H2122" s="267" t="s">
        <v>6450</v>
      </c>
      <c r="I2122" s="267" t="s">
        <v>953</v>
      </c>
      <c r="J2122" s="267" t="s">
        <v>3928</v>
      </c>
      <c r="K2122" s="267">
        <v>6514</v>
      </c>
      <c r="L2122" s="267">
        <v>165700</v>
      </c>
      <c r="M2122" s="267" t="s">
        <v>3935</v>
      </c>
      <c r="N2122" s="267" t="s">
        <v>3944</v>
      </c>
      <c r="O2122" s="267">
        <v>559.97</v>
      </c>
      <c r="P2122" s="267" t="s">
        <v>3944</v>
      </c>
      <c r="Q2122" s="267" t="s">
        <v>3944</v>
      </c>
      <c r="R2122" s="267">
        <v>559.97</v>
      </c>
      <c r="S2122" s="267">
        <v>8346.16</v>
      </c>
      <c r="T2122" s="267">
        <v>8906.1299999999992</v>
      </c>
      <c r="U2122" s="268" t="s">
        <v>3945</v>
      </c>
      <c r="V2122" s="267" t="s">
        <v>944</v>
      </c>
    </row>
    <row r="2123" spans="1:22" hidden="1" x14ac:dyDescent="0.25">
      <c r="A2123" s="269">
        <v>43587</v>
      </c>
      <c r="B2123" s="270">
        <v>2019</v>
      </c>
      <c r="C2123" s="270">
        <v>2019</v>
      </c>
      <c r="D2123" s="270">
        <v>1</v>
      </c>
      <c r="E2123" s="270">
        <v>1</v>
      </c>
      <c r="F2123" s="270" t="s">
        <v>944</v>
      </c>
      <c r="G2123" s="270" t="s">
        <v>3926</v>
      </c>
      <c r="H2123" s="270" t="s">
        <v>6451</v>
      </c>
      <c r="I2123" s="270" t="s">
        <v>4250</v>
      </c>
      <c r="J2123" s="270" t="s">
        <v>3928</v>
      </c>
      <c r="K2123" s="270">
        <v>6239</v>
      </c>
      <c r="L2123" s="270">
        <v>904500</v>
      </c>
      <c r="M2123" s="270" t="s">
        <v>3940</v>
      </c>
      <c r="N2123" s="270" t="s">
        <v>3944</v>
      </c>
      <c r="O2123" s="270">
        <v>955.68</v>
      </c>
      <c r="P2123" s="270" t="s">
        <v>3944</v>
      </c>
      <c r="Q2123" s="270" t="s">
        <v>3944</v>
      </c>
      <c r="R2123" s="270">
        <v>955.68</v>
      </c>
      <c r="S2123" s="270">
        <v>12252.54</v>
      </c>
      <c r="T2123" s="270">
        <v>13208.22</v>
      </c>
      <c r="U2123" s="271" t="s">
        <v>3945</v>
      </c>
      <c r="V2123" s="267" t="s">
        <v>944</v>
      </c>
    </row>
    <row r="2124" spans="1:22" hidden="1" x14ac:dyDescent="0.25">
      <c r="A2124" s="266">
        <v>43587</v>
      </c>
      <c r="B2124" s="267">
        <v>2019</v>
      </c>
      <c r="C2124" s="267">
        <v>2019</v>
      </c>
      <c r="D2124" s="267">
        <v>1</v>
      </c>
      <c r="E2124" s="267">
        <v>1</v>
      </c>
      <c r="F2124" s="267" t="s">
        <v>944</v>
      </c>
      <c r="G2124" s="267" t="s">
        <v>3926</v>
      </c>
      <c r="H2124" s="267" t="s">
        <v>6452</v>
      </c>
      <c r="I2124" s="267" t="s">
        <v>4005</v>
      </c>
      <c r="J2124" s="267" t="s">
        <v>3928</v>
      </c>
      <c r="K2124" s="267">
        <v>6108</v>
      </c>
      <c r="L2124" s="267">
        <v>510100</v>
      </c>
      <c r="M2124" s="267" t="s">
        <v>3940</v>
      </c>
      <c r="N2124" s="267" t="s">
        <v>3944</v>
      </c>
      <c r="O2124" s="267">
        <v>1709.16</v>
      </c>
      <c r="P2124" s="267" t="s">
        <v>3944</v>
      </c>
      <c r="Q2124" s="267" t="s">
        <v>3944</v>
      </c>
      <c r="R2124" s="267">
        <v>1709.16</v>
      </c>
      <c r="S2124" s="267">
        <v>23682.61</v>
      </c>
      <c r="T2124" s="267">
        <v>25391.77</v>
      </c>
      <c r="U2124" s="268" t="s">
        <v>3945</v>
      </c>
      <c r="V2124" s="267" t="s">
        <v>944</v>
      </c>
    </row>
    <row r="2125" spans="1:22" hidden="1" x14ac:dyDescent="0.25">
      <c r="A2125" s="269">
        <v>43587</v>
      </c>
      <c r="B2125" s="270">
        <v>2019</v>
      </c>
      <c r="C2125" s="270">
        <v>2019</v>
      </c>
      <c r="D2125" s="270">
        <v>1</v>
      </c>
      <c r="E2125" s="270">
        <v>1</v>
      </c>
      <c r="F2125" s="270" t="s">
        <v>944</v>
      </c>
      <c r="G2125" s="270" t="s">
        <v>3926</v>
      </c>
      <c r="H2125" s="270" t="s">
        <v>6453</v>
      </c>
      <c r="I2125" s="270" t="s">
        <v>4042</v>
      </c>
      <c r="J2125" s="270" t="s">
        <v>3928</v>
      </c>
      <c r="K2125" s="270">
        <v>6382</v>
      </c>
      <c r="L2125" s="270">
        <v>870502</v>
      </c>
      <c r="M2125" s="270" t="s">
        <v>3940</v>
      </c>
      <c r="N2125" s="270" t="s">
        <v>3944</v>
      </c>
      <c r="O2125" s="270">
        <v>1784.44</v>
      </c>
      <c r="P2125" s="270" t="s">
        <v>3944</v>
      </c>
      <c r="Q2125" s="270" t="s">
        <v>3944</v>
      </c>
      <c r="R2125" s="270">
        <v>1784.44</v>
      </c>
      <c r="S2125" s="270">
        <v>16694</v>
      </c>
      <c r="T2125" s="270">
        <v>18478.439999999999</v>
      </c>
      <c r="U2125" s="271" t="s">
        <v>3945</v>
      </c>
      <c r="V2125" s="267" t="s">
        <v>944</v>
      </c>
    </row>
    <row r="2126" spans="1:22" hidden="1" x14ac:dyDescent="0.25">
      <c r="A2126" s="266">
        <v>43587</v>
      </c>
      <c r="B2126" s="267">
        <v>2019</v>
      </c>
      <c r="C2126" s="267">
        <v>2019</v>
      </c>
      <c r="D2126" s="267">
        <v>1</v>
      </c>
      <c r="E2126" s="267">
        <v>1</v>
      </c>
      <c r="F2126" s="267" t="s">
        <v>944</v>
      </c>
      <c r="G2126" s="267" t="s">
        <v>3926</v>
      </c>
      <c r="H2126" s="267" t="s">
        <v>6454</v>
      </c>
      <c r="I2126" s="267" t="s">
        <v>4029</v>
      </c>
      <c r="J2126" s="267" t="s">
        <v>3928</v>
      </c>
      <c r="K2126" s="267">
        <v>6851</v>
      </c>
      <c r="L2126" s="267">
        <v>42800</v>
      </c>
      <c r="M2126" s="267" t="s">
        <v>3960</v>
      </c>
      <c r="N2126" s="267" t="s">
        <v>3944</v>
      </c>
      <c r="O2126" s="267">
        <v>1414.46</v>
      </c>
      <c r="P2126" s="267" t="s">
        <v>3944</v>
      </c>
      <c r="Q2126" s="267" t="s">
        <v>3944</v>
      </c>
      <c r="R2126" s="267">
        <v>1414.46</v>
      </c>
      <c r="S2126" s="267">
        <v>20105.61</v>
      </c>
      <c r="T2126" s="267">
        <v>21520.07</v>
      </c>
      <c r="U2126" s="268" t="s">
        <v>3945</v>
      </c>
      <c r="V2126" s="267" t="s">
        <v>944</v>
      </c>
    </row>
    <row r="2127" spans="1:22" hidden="1" x14ac:dyDescent="0.25">
      <c r="A2127" s="269">
        <v>43587</v>
      </c>
      <c r="B2127" s="270">
        <v>2019</v>
      </c>
      <c r="C2127" s="270">
        <v>2019</v>
      </c>
      <c r="D2127" s="270">
        <v>1</v>
      </c>
      <c r="E2127" s="270">
        <v>1</v>
      </c>
      <c r="F2127" s="270" t="s">
        <v>944</v>
      </c>
      <c r="G2127" s="270" t="s">
        <v>3926</v>
      </c>
      <c r="H2127" s="270" t="s">
        <v>6455</v>
      </c>
      <c r="I2127" s="270" t="s">
        <v>4200</v>
      </c>
      <c r="J2127" s="270" t="s">
        <v>3928</v>
      </c>
      <c r="K2127" s="270">
        <v>6795</v>
      </c>
      <c r="L2127" s="270">
        <v>360200</v>
      </c>
      <c r="M2127" s="270" t="s">
        <v>3943</v>
      </c>
      <c r="N2127" s="270" t="s">
        <v>3944</v>
      </c>
      <c r="O2127" s="270">
        <v>2414.3000000000002</v>
      </c>
      <c r="P2127" s="270" t="s">
        <v>3944</v>
      </c>
      <c r="Q2127" s="270" t="s">
        <v>3944</v>
      </c>
      <c r="R2127" s="270">
        <v>2414.3000000000002</v>
      </c>
      <c r="S2127" s="270">
        <v>30986.82</v>
      </c>
      <c r="T2127" s="270">
        <v>33401.120000000003</v>
      </c>
      <c r="U2127" s="271" t="s">
        <v>3945</v>
      </c>
      <c r="V2127" s="267" t="s">
        <v>944</v>
      </c>
    </row>
    <row r="2128" spans="1:22" hidden="1" x14ac:dyDescent="0.25">
      <c r="A2128" s="266">
        <v>43587</v>
      </c>
      <c r="B2128" s="267">
        <v>2019</v>
      </c>
      <c r="C2128" s="267">
        <v>2019</v>
      </c>
      <c r="D2128" s="267">
        <v>1</v>
      </c>
      <c r="E2128" s="267">
        <v>1</v>
      </c>
      <c r="F2128" s="267" t="s">
        <v>944</v>
      </c>
      <c r="G2128" s="267" t="s">
        <v>3926</v>
      </c>
      <c r="H2128" s="267" t="s">
        <v>6456</v>
      </c>
      <c r="I2128" s="267" t="s">
        <v>950</v>
      </c>
      <c r="J2128" s="267" t="s">
        <v>3928</v>
      </c>
      <c r="K2128" s="267">
        <v>6516</v>
      </c>
      <c r="L2128" s="267">
        <v>155000</v>
      </c>
      <c r="M2128" s="267" t="s">
        <v>3940</v>
      </c>
      <c r="N2128" s="267" t="s">
        <v>3944</v>
      </c>
      <c r="O2128" s="267">
        <v>1156.23</v>
      </c>
      <c r="P2128" s="267" t="s">
        <v>3944</v>
      </c>
      <c r="Q2128" s="267" t="s">
        <v>3944</v>
      </c>
      <c r="R2128" s="267">
        <v>1156.23</v>
      </c>
      <c r="S2128" s="267">
        <v>19759.669999999998</v>
      </c>
      <c r="T2128" s="267">
        <v>20915.900000000001</v>
      </c>
      <c r="U2128" s="268" t="s">
        <v>3945</v>
      </c>
      <c r="V2128" s="267" t="s">
        <v>944</v>
      </c>
    </row>
    <row r="2129" spans="1:22" hidden="1" x14ac:dyDescent="0.25">
      <c r="A2129" s="269">
        <v>43587</v>
      </c>
      <c r="B2129" s="270">
        <v>2019</v>
      </c>
      <c r="C2129" s="270">
        <v>2019</v>
      </c>
      <c r="D2129" s="270">
        <v>1</v>
      </c>
      <c r="E2129" s="270">
        <v>1</v>
      </c>
      <c r="F2129" s="270" t="s">
        <v>944</v>
      </c>
      <c r="G2129" s="270" t="s">
        <v>3926</v>
      </c>
      <c r="H2129" s="270" t="s">
        <v>6457</v>
      </c>
      <c r="I2129" s="270" t="s">
        <v>4016</v>
      </c>
      <c r="J2129" s="270" t="s">
        <v>3928</v>
      </c>
      <c r="K2129" s="270">
        <v>6770</v>
      </c>
      <c r="L2129" s="270">
        <v>345300</v>
      </c>
      <c r="M2129" s="270" t="s">
        <v>3940</v>
      </c>
      <c r="N2129" s="270" t="s">
        <v>3944</v>
      </c>
      <c r="O2129" s="270">
        <v>1590.12</v>
      </c>
      <c r="P2129" s="270" t="s">
        <v>3944</v>
      </c>
      <c r="Q2129" s="270" t="s">
        <v>3944</v>
      </c>
      <c r="R2129" s="270">
        <v>1590.12</v>
      </c>
      <c r="S2129" s="270">
        <v>21925.39</v>
      </c>
      <c r="T2129" s="270">
        <v>23515.51</v>
      </c>
      <c r="U2129" s="271" t="s">
        <v>3945</v>
      </c>
      <c r="V2129" s="267" t="s">
        <v>944</v>
      </c>
    </row>
    <row r="2130" spans="1:22" hidden="1" x14ac:dyDescent="0.25">
      <c r="A2130" s="266">
        <v>43587</v>
      </c>
      <c r="B2130" s="267">
        <v>2019</v>
      </c>
      <c r="C2130" s="267">
        <v>2019</v>
      </c>
      <c r="D2130" s="267">
        <v>1</v>
      </c>
      <c r="E2130" s="267">
        <v>1</v>
      </c>
      <c r="F2130" s="267" t="s">
        <v>944</v>
      </c>
      <c r="G2130" s="267" t="s">
        <v>3926</v>
      </c>
      <c r="H2130" s="267" t="s">
        <v>6458</v>
      </c>
      <c r="I2130" s="267" t="s">
        <v>4065</v>
      </c>
      <c r="J2130" s="267" t="s">
        <v>3928</v>
      </c>
      <c r="K2130" s="267">
        <v>6480</v>
      </c>
      <c r="L2130" s="267">
        <v>560100</v>
      </c>
      <c r="M2130" s="267" t="s">
        <v>3943</v>
      </c>
      <c r="N2130" s="267" t="s">
        <v>3944</v>
      </c>
      <c r="O2130" s="267">
        <v>1507.56</v>
      </c>
      <c r="P2130" s="267" t="s">
        <v>3944</v>
      </c>
      <c r="Q2130" s="267" t="s">
        <v>3944</v>
      </c>
      <c r="R2130" s="267">
        <v>1507.56</v>
      </c>
      <c r="S2130" s="267">
        <v>20374.07</v>
      </c>
      <c r="T2130" s="267">
        <v>21881.63</v>
      </c>
      <c r="U2130" s="268" t="s">
        <v>3945</v>
      </c>
      <c r="V2130" s="267" t="s">
        <v>944</v>
      </c>
    </row>
    <row r="2131" spans="1:22" hidden="1" x14ac:dyDescent="0.25">
      <c r="A2131" s="269">
        <v>43587</v>
      </c>
      <c r="B2131" s="270">
        <v>2019</v>
      </c>
      <c r="C2131" s="270">
        <v>2019</v>
      </c>
      <c r="D2131" s="270">
        <v>1</v>
      </c>
      <c r="E2131" s="270">
        <v>1</v>
      </c>
      <c r="F2131" s="270" t="s">
        <v>944</v>
      </c>
      <c r="G2131" s="270" t="s">
        <v>3926</v>
      </c>
      <c r="H2131" s="270" t="s">
        <v>6459</v>
      </c>
      <c r="I2131" s="270" t="s">
        <v>5010</v>
      </c>
      <c r="J2131" s="270" t="s">
        <v>3928</v>
      </c>
      <c r="K2131" s="270">
        <v>6365</v>
      </c>
      <c r="L2131" s="270">
        <v>700100</v>
      </c>
      <c r="M2131" s="270" t="s">
        <v>3935</v>
      </c>
      <c r="N2131" s="270" t="s">
        <v>3944</v>
      </c>
      <c r="O2131" s="270">
        <v>912.56</v>
      </c>
      <c r="P2131" s="270" t="s">
        <v>3944</v>
      </c>
      <c r="Q2131" s="270" t="s">
        <v>3944</v>
      </c>
      <c r="R2131" s="270">
        <v>912.56</v>
      </c>
      <c r="S2131" s="270">
        <v>14269.65</v>
      </c>
      <c r="T2131" s="270">
        <v>15182.21</v>
      </c>
      <c r="U2131" s="271" t="s">
        <v>3945</v>
      </c>
      <c r="V2131" s="267" t="s">
        <v>944</v>
      </c>
    </row>
    <row r="2132" spans="1:22" hidden="1" x14ac:dyDescent="0.25">
      <c r="A2132" s="266">
        <v>43587</v>
      </c>
      <c r="B2132" s="267">
        <v>2019</v>
      </c>
      <c r="C2132" s="267">
        <v>2019</v>
      </c>
      <c r="D2132" s="267">
        <v>1</v>
      </c>
      <c r="E2132" s="267">
        <v>1</v>
      </c>
      <c r="F2132" s="267" t="s">
        <v>944</v>
      </c>
      <c r="G2132" s="267" t="s">
        <v>3926</v>
      </c>
      <c r="H2132" s="267" t="s">
        <v>6460</v>
      </c>
      <c r="I2132" s="267" t="s">
        <v>4168</v>
      </c>
      <c r="J2132" s="267" t="s">
        <v>3928</v>
      </c>
      <c r="K2132" s="267">
        <v>6475</v>
      </c>
      <c r="L2132" s="267">
        <v>670200</v>
      </c>
      <c r="M2132" s="267" t="s">
        <v>3935</v>
      </c>
      <c r="N2132" s="267" t="s">
        <v>3944</v>
      </c>
      <c r="O2132" s="267">
        <v>1402</v>
      </c>
      <c r="P2132" s="267" t="s">
        <v>3944</v>
      </c>
      <c r="Q2132" s="267" t="s">
        <v>3944</v>
      </c>
      <c r="R2132" s="267">
        <v>1402</v>
      </c>
      <c r="S2132" s="267">
        <v>20330.939999999999</v>
      </c>
      <c r="T2132" s="267">
        <v>21732.94</v>
      </c>
      <c r="U2132" s="268" t="s">
        <v>3945</v>
      </c>
      <c r="V2132" s="267" t="s">
        <v>944</v>
      </c>
    </row>
    <row r="2133" spans="1:22" hidden="1" x14ac:dyDescent="0.25">
      <c r="A2133" s="269">
        <v>43587</v>
      </c>
      <c r="B2133" s="270">
        <v>2019</v>
      </c>
      <c r="C2133" s="270">
        <v>2019</v>
      </c>
      <c r="D2133" s="270">
        <v>1</v>
      </c>
      <c r="E2133" s="270">
        <v>1</v>
      </c>
      <c r="F2133" s="270" t="s">
        <v>944</v>
      </c>
      <c r="G2133" s="270" t="s">
        <v>3926</v>
      </c>
      <c r="H2133" s="270" t="s">
        <v>6461</v>
      </c>
      <c r="I2133" s="270" t="s">
        <v>5010</v>
      </c>
      <c r="J2133" s="270" t="s">
        <v>3928</v>
      </c>
      <c r="K2133" s="270">
        <v>6365</v>
      </c>
      <c r="L2133" s="270">
        <v>700100</v>
      </c>
      <c r="M2133" s="270" t="s">
        <v>3935</v>
      </c>
      <c r="N2133" s="270" t="s">
        <v>3944</v>
      </c>
      <c r="O2133" s="270">
        <v>3839.75</v>
      </c>
      <c r="P2133" s="270" t="s">
        <v>3944</v>
      </c>
      <c r="Q2133" s="270" t="s">
        <v>3944</v>
      </c>
      <c r="R2133" s="270">
        <v>3839.75</v>
      </c>
      <c r="S2133" s="270">
        <v>54815.66</v>
      </c>
      <c r="T2133" s="270">
        <v>58655.41</v>
      </c>
      <c r="U2133" s="271" t="s">
        <v>3945</v>
      </c>
      <c r="V2133" s="267" t="s">
        <v>944</v>
      </c>
    </row>
    <row r="2134" spans="1:22" hidden="1" x14ac:dyDescent="0.25">
      <c r="A2134" s="266">
        <v>43587</v>
      </c>
      <c r="B2134" s="267">
        <v>2019</v>
      </c>
      <c r="C2134" s="267">
        <v>2019</v>
      </c>
      <c r="D2134" s="267">
        <v>1</v>
      </c>
      <c r="E2134" s="267">
        <v>1</v>
      </c>
      <c r="F2134" s="267" t="s">
        <v>944</v>
      </c>
      <c r="G2134" s="267" t="s">
        <v>3926</v>
      </c>
      <c r="H2134" s="267" t="s">
        <v>6462</v>
      </c>
      <c r="I2134" s="267" t="s">
        <v>4019</v>
      </c>
      <c r="J2134" s="267" t="s">
        <v>3928</v>
      </c>
      <c r="K2134" s="267">
        <v>6710</v>
      </c>
      <c r="L2134" s="267">
        <v>350800</v>
      </c>
      <c r="M2134" s="267">
        <v>-60</v>
      </c>
      <c r="N2134" s="267" t="s">
        <v>3944</v>
      </c>
      <c r="O2134" s="267">
        <v>1417.75</v>
      </c>
      <c r="P2134" s="267" t="s">
        <v>3944</v>
      </c>
      <c r="Q2134" s="267" t="s">
        <v>3944</v>
      </c>
      <c r="R2134" s="267">
        <v>1417.75</v>
      </c>
      <c r="S2134" s="267">
        <v>19021.39</v>
      </c>
      <c r="T2134" s="267">
        <v>20439.14</v>
      </c>
      <c r="U2134" s="268" t="s">
        <v>3945</v>
      </c>
      <c r="V2134" s="267" t="s">
        <v>944</v>
      </c>
    </row>
    <row r="2135" spans="1:22" hidden="1" x14ac:dyDescent="0.25">
      <c r="A2135" s="269">
        <v>43587</v>
      </c>
      <c r="B2135" s="270">
        <v>2019</v>
      </c>
      <c r="C2135" s="270">
        <v>2019</v>
      </c>
      <c r="D2135" s="270">
        <v>1</v>
      </c>
      <c r="E2135" s="270">
        <v>1</v>
      </c>
      <c r="F2135" s="270" t="s">
        <v>944</v>
      </c>
      <c r="G2135" s="270" t="s">
        <v>3926</v>
      </c>
      <c r="H2135" s="270" t="s">
        <v>6463</v>
      </c>
      <c r="I2135" s="270" t="s">
        <v>4079</v>
      </c>
      <c r="J2135" s="270" t="s">
        <v>3928</v>
      </c>
      <c r="K2135" s="270">
        <v>6111</v>
      </c>
      <c r="L2135" s="270">
        <v>494202</v>
      </c>
      <c r="M2135" s="270" t="s">
        <v>3960</v>
      </c>
      <c r="N2135" s="270" t="s">
        <v>3944</v>
      </c>
      <c r="O2135" s="270">
        <v>1999.31</v>
      </c>
      <c r="P2135" s="270" t="s">
        <v>3944</v>
      </c>
      <c r="Q2135" s="270" t="s">
        <v>3944</v>
      </c>
      <c r="R2135" s="270">
        <v>1999.31</v>
      </c>
      <c r="S2135" s="270">
        <v>34572.800000000003</v>
      </c>
      <c r="T2135" s="270">
        <v>36572.11</v>
      </c>
      <c r="U2135" s="271" t="s">
        <v>3945</v>
      </c>
      <c r="V2135" s="267" t="s">
        <v>944</v>
      </c>
    </row>
    <row r="2136" spans="1:22" hidden="1" x14ac:dyDescent="0.25">
      <c r="A2136" s="266">
        <v>43587</v>
      </c>
      <c r="B2136" s="267">
        <v>2019</v>
      </c>
      <c r="C2136" s="267">
        <v>2019</v>
      </c>
      <c r="D2136" s="267">
        <v>1</v>
      </c>
      <c r="E2136" s="267">
        <v>1</v>
      </c>
      <c r="F2136" s="267" t="s">
        <v>944</v>
      </c>
      <c r="G2136" s="267" t="s">
        <v>3926</v>
      </c>
      <c r="H2136" s="267" t="s">
        <v>6464</v>
      </c>
      <c r="I2136" s="267" t="s">
        <v>4111</v>
      </c>
      <c r="J2136" s="267" t="s">
        <v>3928</v>
      </c>
      <c r="K2136" s="267">
        <v>6095</v>
      </c>
      <c r="L2136" s="267">
        <v>473700</v>
      </c>
      <c r="M2136" s="267" t="s">
        <v>3935</v>
      </c>
      <c r="N2136" s="267" t="s">
        <v>3944</v>
      </c>
      <c r="O2136" s="267">
        <v>1904.95</v>
      </c>
      <c r="P2136" s="267" t="s">
        <v>3944</v>
      </c>
      <c r="Q2136" s="267" t="s">
        <v>3944</v>
      </c>
      <c r="R2136" s="267">
        <v>1904.95</v>
      </c>
      <c r="S2136" s="267">
        <v>37913.85</v>
      </c>
      <c r="T2136" s="267">
        <v>39818.800000000003</v>
      </c>
      <c r="U2136" s="268" t="s">
        <v>3945</v>
      </c>
      <c r="V2136" s="267" t="s">
        <v>944</v>
      </c>
    </row>
    <row r="2137" spans="1:22" hidden="1" x14ac:dyDescent="0.25">
      <c r="A2137" s="269">
        <v>43587</v>
      </c>
      <c r="B2137" s="270">
        <v>2019</v>
      </c>
      <c r="C2137" s="270">
        <v>2019</v>
      </c>
      <c r="D2137" s="270">
        <v>1</v>
      </c>
      <c r="E2137" s="270">
        <v>1</v>
      </c>
      <c r="F2137" s="270" t="s">
        <v>944</v>
      </c>
      <c r="G2137" s="270" t="s">
        <v>3926</v>
      </c>
      <c r="H2137" s="270" t="s">
        <v>6465</v>
      </c>
      <c r="I2137" s="270" t="s">
        <v>3999</v>
      </c>
      <c r="J2137" s="270" t="s">
        <v>3928</v>
      </c>
      <c r="K2137" s="270">
        <v>6450</v>
      </c>
      <c r="L2137" s="270">
        <v>171100</v>
      </c>
      <c r="M2137" s="270" t="s">
        <v>3940</v>
      </c>
      <c r="N2137" s="270" t="s">
        <v>3944</v>
      </c>
      <c r="O2137" s="270">
        <v>3874.15</v>
      </c>
      <c r="P2137" s="270" t="s">
        <v>3944</v>
      </c>
      <c r="Q2137" s="270" t="s">
        <v>3944</v>
      </c>
      <c r="R2137" s="270">
        <v>3874.15</v>
      </c>
      <c r="S2137" s="270">
        <v>54209.46</v>
      </c>
      <c r="T2137" s="270">
        <v>58083.61</v>
      </c>
      <c r="U2137" s="271" t="s">
        <v>3945</v>
      </c>
      <c r="V2137" s="267" t="s">
        <v>944</v>
      </c>
    </row>
    <row r="2138" spans="1:22" hidden="1" x14ac:dyDescent="0.25">
      <c r="A2138" s="266">
        <v>43587</v>
      </c>
      <c r="B2138" s="267">
        <v>2019</v>
      </c>
      <c r="C2138" s="267">
        <v>2019</v>
      </c>
      <c r="D2138" s="267">
        <v>1</v>
      </c>
      <c r="E2138" s="267">
        <v>1</v>
      </c>
      <c r="F2138" s="267" t="s">
        <v>944</v>
      </c>
      <c r="G2138" s="267" t="s">
        <v>3926</v>
      </c>
      <c r="H2138" s="267" t="s">
        <v>6466</v>
      </c>
      <c r="I2138" s="267" t="s">
        <v>3966</v>
      </c>
      <c r="J2138" s="267" t="s">
        <v>3928</v>
      </c>
      <c r="K2138" s="267">
        <v>6010</v>
      </c>
      <c r="L2138" s="267">
        <v>406002</v>
      </c>
      <c r="M2138" s="267" t="s">
        <v>3935</v>
      </c>
      <c r="N2138" s="267" t="s">
        <v>3944</v>
      </c>
      <c r="O2138" s="267">
        <v>1335.64</v>
      </c>
      <c r="P2138" s="267" t="s">
        <v>3944</v>
      </c>
      <c r="Q2138" s="267" t="s">
        <v>3944</v>
      </c>
      <c r="R2138" s="267">
        <v>1335.64</v>
      </c>
      <c r="S2138" s="267">
        <v>14372.36</v>
      </c>
      <c r="T2138" s="267">
        <v>15708</v>
      </c>
      <c r="U2138" s="268" t="s">
        <v>3945</v>
      </c>
      <c r="V2138" s="267" t="s">
        <v>944</v>
      </c>
    </row>
    <row r="2139" spans="1:22" hidden="1" x14ac:dyDescent="0.25">
      <c r="A2139" s="269">
        <v>43587</v>
      </c>
      <c r="B2139" s="270">
        <v>2019</v>
      </c>
      <c r="C2139" s="270">
        <v>2019</v>
      </c>
      <c r="D2139" s="270">
        <v>1</v>
      </c>
      <c r="E2139" s="270">
        <v>1</v>
      </c>
      <c r="F2139" s="270" t="s">
        <v>944</v>
      </c>
      <c r="G2139" s="270" t="s">
        <v>3926</v>
      </c>
      <c r="H2139" s="270" t="s">
        <v>6467</v>
      </c>
      <c r="I2139" s="270" t="s">
        <v>4003</v>
      </c>
      <c r="J2139" s="270" t="s">
        <v>3928</v>
      </c>
      <c r="K2139" s="270">
        <v>6354</v>
      </c>
      <c r="L2139" s="270">
        <v>907200</v>
      </c>
      <c r="M2139" s="270" t="s">
        <v>3940</v>
      </c>
      <c r="N2139" s="270" t="s">
        <v>3944</v>
      </c>
      <c r="O2139" s="270">
        <v>3109.68</v>
      </c>
      <c r="P2139" s="270" t="s">
        <v>3944</v>
      </c>
      <c r="Q2139" s="270" t="s">
        <v>3944</v>
      </c>
      <c r="R2139" s="270">
        <v>3109.68</v>
      </c>
      <c r="S2139" s="270">
        <v>19812.32</v>
      </c>
      <c r="T2139" s="270">
        <v>22922</v>
      </c>
      <c r="U2139" s="271" t="s">
        <v>3945</v>
      </c>
      <c r="V2139" s="267" t="s">
        <v>944</v>
      </c>
    </row>
    <row r="2140" spans="1:22" hidden="1" x14ac:dyDescent="0.25">
      <c r="A2140" s="266">
        <v>43587</v>
      </c>
      <c r="B2140" s="267">
        <v>2019</v>
      </c>
      <c r="C2140" s="267">
        <v>2019</v>
      </c>
      <c r="D2140" s="267">
        <v>1</v>
      </c>
      <c r="E2140" s="267">
        <v>1</v>
      </c>
      <c r="F2140" s="267" t="s">
        <v>944</v>
      </c>
      <c r="G2140" s="267" t="s">
        <v>3926</v>
      </c>
      <c r="H2140" s="267" t="s">
        <v>6468</v>
      </c>
      <c r="I2140" s="267" t="s">
        <v>4069</v>
      </c>
      <c r="J2140" s="267" t="s">
        <v>3928</v>
      </c>
      <c r="K2140" s="267">
        <v>6905</v>
      </c>
      <c r="L2140" s="267">
        <v>20800</v>
      </c>
      <c r="M2140" s="267" t="s">
        <v>3943</v>
      </c>
      <c r="N2140" s="267" t="s">
        <v>3944</v>
      </c>
      <c r="O2140" s="267">
        <v>1083.6400000000001</v>
      </c>
      <c r="P2140" s="267" t="s">
        <v>3944</v>
      </c>
      <c r="Q2140" s="267" t="s">
        <v>3944</v>
      </c>
      <c r="R2140" s="267">
        <v>1083.6400000000001</v>
      </c>
      <c r="S2140" s="267">
        <v>9950.36</v>
      </c>
      <c r="T2140" s="267">
        <v>11034</v>
      </c>
      <c r="U2140" s="268" t="s">
        <v>3945</v>
      </c>
      <c r="V2140" s="267" t="s">
        <v>944</v>
      </c>
    </row>
    <row r="2141" spans="1:22" hidden="1" x14ac:dyDescent="0.25">
      <c r="A2141" s="269">
        <v>43587</v>
      </c>
      <c r="B2141" s="270">
        <v>2019</v>
      </c>
      <c r="C2141" s="270">
        <v>2019</v>
      </c>
      <c r="D2141" s="270">
        <v>1</v>
      </c>
      <c r="E2141" s="270">
        <v>1</v>
      </c>
      <c r="F2141" s="270" t="s">
        <v>944</v>
      </c>
      <c r="G2141" s="270" t="s">
        <v>3926</v>
      </c>
      <c r="H2141" s="270" t="s">
        <v>6469</v>
      </c>
      <c r="I2141" s="270" t="s">
        <v>934</v>
      </c>
      <c r="J2141" s="270" t="s">
        <v>3928</v>
      </c>
      <c r="K2141" s="270">
        <v>6606</v>
      </c>
      <c r="L2141" s="270">
        <v>72500</v>
      </c>
      <c r="M2141" s="270" t="s">
        <v>3940</v>
      </c>
      <c r="N2141" s="270" t="s">
        <v>3944</v>
      </c>
      <c r="O2141" s="270">
        <v>1544.27</v>
      </c>
      <c r="P2141" s="270" t="s">
        <v>3944</v>
      </c>
      <c r="Q2141" s="270" t="s">
        <v>3944</v>
      </c>
      <c r="R2141" s="270">
        <v>1544.27</v>
      </c>
      <c r="S2141" s="270">
        <v>26475.59</v>
      </c>
      <c r="T2141" s="270">
        <v>28019.86</v>
      </c>
      <c r="U2141" s="271" t="s">
        <v>3945</v>
      </c>
      <c r="V2141" s="267" t="s">
        <v>944</v>
      </c>
    </row>
    <row r="2142" spans="1:22" hidden="1" x14ac:dyDescent="0.25">
      <c r="A2142" s="266">
        <v>43587</v>
      </c>
      <c r="B2142" s="267">
        <v>2019</v>
      </c>
      <c r="C2142" s="267">
        <v>2019</v>
      </c>
      <c r="D2142" s="267">
        <v>1</v>
      </c>
      <c r="E2142" s="267">
        <v>1</v>
      </c>
      <c r="F2142" s="267" t="s">
        <v>944</v>
      </c>
      <c r="G2142" s="267" t="s">
        <v>3926</v>
      </c>
      <c r="H2142" s="267" t="s">
        <v>6470</v>
      </c>
      <c r="I2142" s="267" t="s">
        <v>4005</v>
      </c>
      <c r="J2142" s="267" t="s">
        <v>3928</v>
      </c>
      <c r="K2142" s="267">
        <v>6118</v>
      </c>
      <c r="L2142" s="267">
        <v>510600</v>
      </c>
      <c r="M2142" s="267">
        <v>-60</v>
      </c>
      <c r="N2142" s="267" t="s">
        <v>3944</v>
      </c>
      <c r="O2142" s="267">
        <v>1113.53</v>
      </c>
      <c r="P2142" s="267" t="s">
        <v>3944</v>
      </c>
      <c r="Q2142" s="267" t="s">
        <v>3944</v>
      </c>
      <c r="R2142" s="267">
        <v>1113.53</v>
      </c>
      <c r="S2142" s="267">
        <v>16907.14</v>
      </c>
      <c r="T2142" s="267">
        <v>18020.669999999998</v>
      </c>
      <c r="U2142" s="268" t="s">
        <v>3945</v>
      </c>
      <c r="V2142" s="267" t="s">
        <v>944</v>
      </c>
    </row>
    <row r="2143" spans="1:22" hidden="1" x14ac:dyDescent="0.25">
      <c r="A2143" s="269">
        <v>43588</v>
      </c>
      <c r="B2143" s="270">
        <v>2019</v>
      </c>
      <c r="C2143" s="270">
        <v>2019</v>
      </c>
      <c r="D2143" s="270">
        <v>1</v>
      </c>
      <c r="E2143" s="270">
        <v>1</v>
      </c>
      <c r="F2143" s="270" t="s">
        <v>944</v>
      </c>
      <c r="G2143" s="270" t="s">
        <v>3926</v>
      </c>
      <c r="H2143" s="270" t="s">
        <v>6471</v>
      </c>
      <c r="I2143" s="270" t="s">
        <v>4035</v>
      </c>
      <c r="J2143" s="270" t="s">
        <v>3928</v>
      </c>
      <c r="K2143" s="270">
        <v>6074</v>
      </c>
      <c r="L2143" s="270">
        <v>487100</v>
      </c>
      <c r="M2143" s="270" t="s">
        <v>3943</v>
      </c>
      <c r="N2143" s="270" t="s">
        <v>6472</v>
      </c>
      <c r="O2143" s="270">
        <v>0</v>
      </c>
      <c r="P2143" s="270" t="s">
        <v>3930</v>
      </c>
      <c r="Q2143" s="270" t="s">
        <v>3930</v>
      </c>
      <c r="R2143" s="270">
        <v>0</v>
      </c>
      <c r="S2143" s="270">
        <v>6800</v>
      </c>
      <c r="T2143" s="270">
        <v>6800</v>
      </c>
      <c r="U2143" s="271" t="s">
        <v>3937</v>
      </c>
      <c r="V2143" s="267" t="s">
        <v>944</v>
      </c>
    </row>
    <row r="2144" spans="1:22" hidden="1" x14ac:dyDescent="0.25">
      <c r="A2144" s="266">
        <v>43588</v>
      </c>
      <c r="B2144" s="267">
        <v>2019</v>
      </c>
      <c r="C2144" s="267">
        <v>2019</v>
      </c>
      <c r="D2144" s="267">
        <v>1</v>
      </c>
      <c r="E2144" s="267">
        <v>1</v>
      </c>
      <c r="F2144" s="267" t="s">
        <v>944</v>
      </c>
      <c r="G2144" s="267" t="s">
        <v>3926</v>
      </c>
      <c r="H2144" s="267" t="s">
        <v>6473</v>
      </c>
      <c r="I2144" s="267" t="s">
        <v>4318</v>
      </c>
      <c r="J2144" s="267" t="s">
        <v>3928</v>
      </c>
      <c r="K2144" s="267">
        <v>6278</v>
      </c>
      <c r="L2144" s="267">
        <v>830100</v>
      </c>
      <c r="M2144" s="267" t="s">
        <v>3935</v>
      </c>
      <c r="N2144" s="267" t="s">
        <v>6474</v>
      </c>
      <c r="O2144" s="267">
        <v>0</v>
      </c>
      <c r="P2144" s="267" t="s">
        <v>3930</v>
      </c>
      <c r="Q2144" s="267" t="s">
        <v>3930</v>
      </c>
      <c r="R2144" s="267">
        <v>0</v>
      </c>
      <c r="S2144" s="267">
        <v>12994.4</v>
      </c>
      <c r="T2144" s="267">
        <v>12994.4</v>
      </c>
      <c r="U2144" s="268" t="s">
        <v>3937</v>
      </c>
      <c r="V2144" s="267" t="s">
        <v>944</v>
      </c>
    </row>
    <row r="2145" spans="1:22" hidden="1" x14ac:dyDescent="0.25">
      <c r="A2145" s="269">
        <v>43588</v>
      </c>
      <c r="B2145" s="270">
        <v>2019</v>
      </c>
      <c r="C2145" s="270">
        <v>2019</v>
      </c>
      <c r="D2145" s="270">
        <v>1</v>
      </c>
      <c r="E2145" s="270">
        <v>1</v>
      </c>
      <c r="F2145" s="270" t="s">
        <v>944</v>
      </c>
      <c r="G2145" s="270" t="s">
        <v>3926</v>
      </c>
      <c r="H2145" s="270" t="s">
        <v>6475</v>
      </c>
      <c r="I2145" s="270" t="s">
        <v>4111</v>
      </c>
      <c r="J2145" s="270" t="s">
        <v>3928</v>
      </c>
      <c r="K2145" s="270">
        <v>6095</v>
      </c>
      <c r="L2145" s="270">
        <v>473501</v>
      </c>
      <c r="M2145" s="270" t="s">
        <v>3943</v>
      </c>
      <c r="N2145" s="270" t="s">
        <v>6476</v>
      </c>
      <c r="O2145" s="270">
        <v>0</v>
      </c>
      <c r="P2145" s="270" t="s">
        <v>3930</v>
      </c>
      <c r="Q2145" s="270" t="s">
        <v>3930</v>
      </c>
      <c r="R2145" s="270">
        <v>0</v>
      </c>
      <c r="S2145" s="270">
        <v>10400</v>
      </c>
      <c r="T2145" s="270">
        <v>10400</v>
      </c>
      <c r="U2145" s="271" t="s">
        <v>3937</v>
      </c>
      <c r="V2145" s="267" t="s">
        <v>944</v>
      </c>
    </row>
    <row r="2146" spans="1:22" hidden="1" x14ac:dyDescent="0.25">
      <c r="A2146" s="266">
        <v>43588</v>
      </c>
      <c r="B2146" s="267">
        <v>2019</v>
      </c>
      <c r="C2146" s="267">
        <v>2019</v>
      </c>
      <c r="D2146" s="267">
        <v>1</v>
      </c>
      <c r="E2146" s="267">
        <v>1</v>
      </c>
      <c r="F2146" s="267" t="s">
        <v>944</v>
      </c>
      <c r="G2146" s="267" t="s">
        <v>3926</v>
      </c>
      <c r="H2146" s="267" t="s">
        <v>6477</v>
      </c>
      <c r="I2146" s="267" t="s">
        <v>4046</v>
      </c>
      <c r="J2146" s="267" t="s">
        <v>3928</v>
      </c>
      <c r="K2146" s="267">
        <v>6281</v>
      </c>
      <c r="L2146" s="267">
        <v>901100</v>
      </c>
      <c r="M2146" s="267" t="s">
        <v>3960</v>
      </c>
      <c r="N2146" s="267" t="s">
        <v>3929</v>
      </c>
      <c r="O2146" s="267">
        <v>1992.24</v>
      </c>
      <c r="P2146" s="267" t="s">
        <v>3930</v>
      </c>
      <c r="Q2146" s="267" t="s">
        <v>3931</v>
      </c>
      <c r="R2146" s="267">
        <v>6992.24</v>
      </c>
      <c r="S2146" s="267">
        <v>34744</v>
      </c>
      <c r="T2146" s="267">
        <v>41736.239999999998</v>
      </c>
      <c r="U2146" s="268" t="s">
        <v>3932</v>
      </c>
      <c r="V2146" s="267" t="s">
        <v>944</v>
      </c>
    </row>
    <row r="2147" spans="1:22" hidden="1" x14ac:dyDescent="0.25">
      <c r="A2147" s="269">
        <v>43588</v>
      </c>
      <c r="B2147" s="270">
        <v>2019</v>
      </c>
      <c r="C2147" s="270">
        <v>2019</v>
      </c>
      <c r="D2147" s="270">
        <v>1</v>
      </c>
      <c r="E2147" s="270">
        <v>1</v>
      </c>
      <c r="F2147" s="270" t="s">
        <v>944</v>
      </c>
      <c r="G2147" s="270" t="s">
        <v>3926</v>
      </c>
      <c r="H2147" s="270" t="s">
        <v>6478</v>
      </c>
      <c r="I2147" s="270" t="s">
        <v>934</v>
      </c>
      <c r="J2147" s="270" t="s">
        <v>3928</v>
      </c>
      <c r="K2147" s="270">
        <v>6606</v>
      </c>
      <c r="L2147" s="270">
        <v>72700</v>
      </c>
      <c r="M2147" s="270" t="s">
        <v>3935</v>
      </c>
      <c r="N2147" s="270" t="s">
        <v>4701</v>
      </c>
      <c r="O2147" s="270">
        <v>2298.35</v>
      </c>
      <c r="P2147" s="270" t="s">
        <v>3930</v>
      </c>
      <c r="Q2147" s="270" t="s">
        <v>3931</v>
      </c>
      <c r="R2147" s="270">
        <v>7298.35</v>
      </c>
      <c r="S2147" s="270">
        <v>34648</v>
      </c>
      <c r="T2147" s="270">
        <v>41946.35</v>
      </c>
      <c r="U2147" s="271" t="s">
        <v>3932</v>
      </c>
      <c r="V2147" s="267" t="s">
        <v>944</v>
      </c>
    </row>
    <row r="2148" spans="1:22" hidden="1" x14ac:dyDescent="0.25">
      <c r="A2148" s="266">
        <v>43588</v>
      </c>
      <c r="B2148" s="267">
        <v>2019</v>
      </c>
      <c r="C2148" s="267">
        <v>2019</v>
      </c>
      <c r="D2148" s="267">
        <v>1</v>
      </c>
      <c r="E2148" s="267">
        <v>1</v>
      </c>
      <c r="F2148" s="267" t="s">
        <v>944</v>
      </c>
      <c r="G2148" s="267" t="s">
        <v>3926</v>
      </c>
      <c r="H2148" s="267" t="s">
        <v>6479</v>
      </c>
      <c r="I2148" s="267" t="s">
        <v>4269</v>
      </c>
      <c r="J2148" s="267" t="s">
        <v>3928</v>
      </c>
      <c r="K2148" s="267">
        <v>6110</v>
      </c>
      <c r="L2148" s="267">
        <v>496800</v>
      </c>
      <c r="M2148" s="267" t="s">
        <v>3935</v>
      </c>
      <c r="N2148" s="267" t="s">
        <v>3986</v>
      </c>
      <c r="O2148" s="267">
        <v>0</v>
      </c>
      <c r="P2148" s="267" t="s">
        <v>3930</v>
      </c>
      <c r="Q2148" s="267" t="s">
        <v>3931</v>
      </c>
      <c r="R2148" s="267">
        <v>5000</v>
      </c>
      <c r="S2148" s="267">
        <v>16196.8</v>
      </c>
      <c r="T2148" s="267">
        <v>21196.799999999999</v>
      </c>
      <c r="U2148" s="268" t="s">
        <v>3932</v>
      </c>
      <c r="V2148" s="267" t="s">
        <v>944</v>
      </c>
    </row>
    <row r="2149" spans="1:22" hidden="1" x14ac:dyDescent="0.25">
      <c r="A2149" s="269">
        <v>43588</v>
      </c>
      <c r="B2149" s="270">
        <v>2019</v>
      </c>
      <c r="C2149" s="270">
        <v>2019</v>
      </c>
      <c r="D2149" s="270">
        <v>1</v>
      </c>
      <c r="E2149" s="270">
        <v>1</v>
      </c>
      <c r="F2149" s="270" t="s">
        <v>944</v>
      </c>
      <c r="G2149" s="270" t="s">
        <v>3926</v>
      </c>
      <c r="H2149" s="270" t="s">
        <v>6480</v>
      </c>
      <c r="I2149" s="270" t="s">
        <v>3975</v>
      </c>
      <c r="J2149" s="270" t="s">
        <v>3928</v>
      </c>
      <c r="K2149" s="270">
        <v>6489</v>
      </c>
      <c r="L2149" s="270">
        <v>430202</v>
      </c>
      <c r="M2149" s="270" t="s">
        <v>3943</v>
      </c>
      <c r="N2149" s="270" t="s">
        <v>3944</v>
      </c>
      <c r="O2149" s="270">
        <v>7980</v>
      </c>
      <c r="P2149" s="270" t="s">
        <v>3944</v>
      </c>
      <c r="Q2149" s="270" t="s">
        <v>3944</v>
      </c>
      <c r="R2149" s="270">
        <v>7980</v>
      </c>
      <c r="S2149" s="270">
        <v>66605.89</v>
      </c>
      <c r="T2149" s="270">
        <v>74585.89</v>
      </c>
      <c r="U2149" s="271" t="s">
        <v>3945</v>
      </c>
      <c r="V2149" s="267" t="s">
        <v>944</v>
      </c>
    </row>
    <row r="2150" spans="1:22" hidden="1" x14ac:dyDescent="0.25">
      <c r="A2150" s="266">
        <v>43588</v>
      </c>
      <c r="B2150" s="267">
        <v>2019</v>
      </c>
      <c r="C2150" s="267">
        <v>2019</v>
      </c>
      <c r="D2150" s="267">
        <v>1</v>
      </c>
      <c r="E2150" s="267">
        <v>1</v>
      </c>
      <c r="F2150" s="267" t="s">
        <v>944</v>
      </c>
      <c r="G2150" s="267" t="s">
        <v>3926</v>
      </c>
      <c r="H2150" s="267" t="s">
        <v>6481</v>
      </c>
      <c r="I2150" s="267" t="s">
        <v>3996</v>
      </c>
      <c r="J2150" s="267" t="s">
        <v>3928</v>
      </c>
      <c r="K2150" s="267">
        <v>6790</v>
      </c>
      <c r="L2150" s="267">
        <v>310803</v>
      </c>
      <c r="M2150" s="267">
        <v>-60</v>
      </c>
      <c r="N2150" s="267" t="s">
        <v>3944</v>
      </c>
      <c r="O2150" s="267">
        <v>1541.16</v>
      </c>
      <c r="P2150" s="267" t="s">
        <v>3944</v>
      </c>
      <c r="Q2150" s="267" t="s">
        <v>3944</v>
      </c>
      <c r="R2150" s="267">
        <v>1541.16</v>
      </c>
      <c r="S2150" s="267">
        <v>21033.77</v>
      </c>
      <c r="T2150" s="267">
        <v>22574.93</v>
      </c>
      <c r="U2150" s="268" t="s">
        <v>3945</v>
      </c>
      <c r="V2150" s="267" t="s">
        <v>944</v>
      </c>
    </row>
    <row r="2151" spans="1:22" hidden="1" x14ac:dyDescent="0.25">
      <c r="A2151" s="269">
        <v>43588</v>
      </c>
      <c r="B2151" s="270">
        <v>2019</v>
      </c>
      <c r="C2151" s="270">
        <v>2019</v>
      </c>
      <c r="D2151" s="270">
        <v>1</v>
      </c>
      <c r="E2151" s="270">
        <v>1</v>
      </c>
      <c r="F2151" s="270" t="s">
        <v>944</v>
      </c>
      <c r="G2151" s="270" t="s">
        <v>3926</v>
      </c>
      <c r="H2151" s="270" t="s">
        <v>6482</v>
      </c>
      <c r="I2151" s="270" t="s">
        <v>4548</v>
      </c>
      <c r="J2151" s="270" t="s">
        <v>3928</v>
      </c>
      <c r="K2151" s="270">
        <v>6037</v>
      </c>
      <c r="L2151" s="270">
        <v>400300</v>
      </c>
      <c r="M2151" s="270" t="s">
        <v>3960</v>
      </c>
      <c r="N2151" s="270" t="s">
        <v>3944</v>
      </c>
      <c r="O2151" s="270">
        <v>1383.13</v>
      </c>
      <c r="P2151" s="270" t="s">
        <v>3944</v>
      </c>
      <c r="Q2151" s="270" t="s">
        <v>3944</v>
      </c>
      <c r="R2151" s="270">
        <v>1383.13</v>
      </c>
      <c r="S2151" s="270">
        <v>18706.259999999998</v>
      </c>
      <c r="T2151" s="270">
        <v>20089.39</v>
      </c>
      <c r="U2151" s="271" t="s">
        <v>3945</v>
      </c>
      <c r="V2151" s="267" t="s">
        <v>944</v>
      </c>
    </row>
    <row r="2152" spans="1:22" hidden="1" x14ac:dyDescent="0.25">
      <c r="A2152" s="266">
        <v>43588</v>
      </c>
      <c r="B2152" s="267">
        <v>2019</v>
      </c>
      <c r="C2152" s="267">
        <v>2019</v>
      </c>
      <c r="D2152" s="267">
        <v>1</v>
      </c>
      <c r="E2152" s="267">
        <v>1</v>
      </c>
      <c r="F2152" s="267" t="s">
        <v>944</v>
      </c>
      <c r="G2152" s="267" t="s">
        <v>3926</v>
      </c>
      <c r="H2152" s="267" t="s">
        <v>6483</v>
      </c>
      <c r="I2152" s="267" t="s">
        <v>4019</v>
      </c>
      <c r="J2152" s="267" t="s">
        <v>3928</v>
      </c>
      <c r="K2152" s="267">
        <v>6706</v>
      </c>
      <c r="L2152" s="267">
        <v>352800</v>
      </c>
      <c r="M2152" s="267" t="s">
        <v>3940</v>
      </c>
      <c r="N2152" s="267" t="s">
        <v>3944</v>
      </c>
      <c r="O2152" s="267">
        <v>2534.39</v>
      </c>
      <c r="P2152" s="267" t="s">
        <v>3944</v>
      </c>
      <c r="Q2152" s="267" t="s">
        <v>3944</v>
      </c>
      <c r="R2152" s="267">
        <v>2534.39</v>
      </c>
      <c r="S2152" s="267">
        <v>32165.34</v>
      </c>
      <c r="T2152" s="267">
        <v>34699.730000000003</v>
      </c>
      <c r="U2152" s="268" t="s">
        <v>3945</v>
      </c>
      <c r="V2152" s="267" t="s">
        <v>944</v>
      </c>
    </row>
    <row r="2153" spans="1:22" hidden="1" x14ac:dyDescent="0.25">
      <c r="A2153" s="269">
        <v>43588</v>
      </c>
      <c r="B2153" s="270">
        <v>2019</v>
      </c>
      <c r="C2153" s="270">
        <v>2019</v>
      </c>
      <c r="D2153" s="270">
        <v>1</v>
      </c>
      <c r="E2153" s="270">
        <v>1</v>
      </c>
      <c r="F2153" s="270" t="s">
        <v>944</v>
      </c>
      <c r="G2153" s="270" t="s">
        <v>3926</v>
      </c>
      <c r="H2153" s="270" t="s">
        <v>6484</v>
      </c>
      <c r="I2153" s="270" t="s">
        <v>4069</v>
      </c>
      <c r="J2153" s="270" t="s">
        <v>3928</v>
      </c>
      <c r="K2153" s="270">
        <v>6902</v>
      </c>
      <c r="L2153" s="270">
        <v>22100</v>
      </c>
      <c r="M2153" s="270" t="s">
        <v>3940</v>
      </c>
      <c r="N2153" s="270" t="s">
        <v>3944</v>
      </c>
      <c r="O2153" s="270">
        <v>1536.82</v>
      </c>
      <c r="P2153" s="270" t="s">
        <v>3944</v>
      </c>
      <c r="Q2153" s="270" t="s">
        <v>3944</v>
      </c>
      <c r="R2153" s="270">
        <v>1536.82</v>
      </c>
      <c r="S2153" s="270">
        <v>20876.29</v>
      </c>
      <c r="T2153" s="270">
        <v>22413.11</v>
      </c>
      <c r="U2153" s="271" t="s">
        <v>3945</v>
      </c>
      <c r="V2153" s="267" t="s">
        <v>944</v>
      </c>
    </row>
    <row r="2154" spans="1:22" hidden="1" x14ac:dyDescent="0.25">
      <c r="A2154" s="266">
        <v>43588</v>
      </c>
      <c r="B2154" s="267">
        <v>2019</v>
      </c>
      <c r="C2154" s="267">
        <v>2019</v>
      </c>
      <c r="D2154" s="267">
        <v>1</v>
      </c>
      <c r="E2154" s="267">
        <v>1</v>
      </c>
      <c r="F2154" s="267" t="s">
        <v>944</v>
      </c>
      <c r="G2154" s="267" t="s">
        <v>3926</v>
      </c>
      <c r="H2154" s="267" t="s">
        <v>6485</v>
      </c>
      <c r="I2154" s="267" t="s">
        <v>4108</v>
      </c>
      <c r="J2154" s="267" t="s">
        <v>3928</v>
      </c>
      <c r="K2154" s="267">
        <v>6082</v>
      </c>
      <c r="L2154" s="267">
        <v>480600</v>
      </c>
      <c r="M2154" s="267">
        <v>-60</v>
      </c>
      <c r="N2154" s="267" t="s">
        <v>3944</v>
      </c>
      <c r="O2154" s="267">
        <v>1111.8499999999999</v>
      </c>
      <c r="P2154" s="267" t="s">
        <v>3944</v>
      </c>
      <c r="Q2154" s="267" t="s">
        <v>3944</v>
      </c>
      <c r="R2154" s="267">
        <v>1111.8499999999999</v>
      </c>
      <c r="S2154" s="267">
        <v>14021.65</v>
      </c>
      <c r="T2154" s="267">
        <v>15133.5</v>
      </c>
      <c r="U2154" s="268" t="s">
        <v>3945</v>
      </c>
      <c r="V2154" s="267" t="s">
        <v>944</v>
      </c>
    </row>
    <row r="2155" spans="1:22" hidden="1" x14ac:dyDescent="0.25">
      <c r="A2155" s="269">
        <v>43588</v>
      </c>
      <c r="B2155" s="270">
        <v>2019</v>
      </c>
      <c r="C2155" s="270">
        <v>2019</v>
      </c>
      <c r="D2155" s="270">
        <v>1</v>
      </c>
      <c r="E2155" s="270">
        <v>1</v>
      </c>
      <c r="F2155" s="270" t="s">
        <v>944</v>
      </c>
      <c r="G2155" s="270" t="s">
        <v>3926</v>
      </c>
      <c r="H2155" s="270" t="s">
        <v>6486</v>
      </c>
      <c r="I2155" s="270" t="s">
        <v>4665</v>
      </c>
      <c r="J2155" s="270" t="s">
        <v>3928</v>
      </c>
      <c r="K2155" s="270">
        <v>6013</v>
      </c>
      <c r="L2155" s="270">
        <v>410102</v>
      </c>
      <c r="M2155" s="270" t="s">
        <v>3943</v>
      </c>
      <c r="N2155" s="270" t="s">
        <v>3944</v>
      </c>
      <c r="O2155" s="270">
        <v>839.76</v>
      </c>
      <c r="P2155" s="270" t="s">
        <v>3944</v>
      </c>
      <c r="Q2155" s="270" t="s">
        <v>3944</v>
      </c>
      <c r="R2155" s="270">
        <v>839.76</v>
      </c>
      <c r="S2155" s="270">
        <v>9608.24</v>
      </c>
      <c r="T2155" s="270">
        <v>10448</v>
      </c>
      <c r="U2155" s="271" t="s">
        <v>3945</v>
      </c>
      <c r="V2155" s="267" t="s">
        <v>944</v>
      </c>
    </row>
    <row r="2156" spans="1:22" hidden="1" x14ac:dyDescent="0.25">
      <c r="A2156" s="266">
        <v>43588</v>
      </c>
      <c r="B2156" s="267">
        <v>2019</v>
      </c>
      <c r="C2156" s="267">
        <v>2019</v>
      </c>
      <c r="D2156" s="267">
        <v>1</v>
      </c>
      <c r="E2156" s="267">
        <v>1</v>
      </c>
      <c r="F2156" s="267" t="s">
        <v>944</v>
      </c>
      <c r="G2156" s="267" t="s">
        <v>3926</v>
      </c>
      <c r="H2156" s="267" t="s">
        <v>6487</v>
      </c>
      <c r="I2156" s="267" t="s">
        <v>3966</v>
      </c>
      <c r="J2156" s="267" t="s">
        <v>3928</v>
      </c>
      <c r="K2156" s="267">
        <v>6010</v>
      </c>
      <c r="L2156" s="267">
        <v>405900</v>
      </c>
      <c r="M2156" s="267" t="s">
        <v>3960</v>
      </c>
      <c r="N2156" s="267" t="s">
        <v>3944</v>
      </c>
      <c r="O2156" s="267">
        <v>1798.13</v>
      </c>
      <c r="P2156" s="267" t="s">
        <v>3944</v>
      </c>
      <c r="Q2156" s="267" t="s">
        <v>3944</v>
      </c>
      <c r="R2156" s="267">
        <v>1798.13</v>
      </c>
      <c r="S2156" s="267">
        <v>26212.16</v>
      </c>
      <c r="T2156" s="267">
        <v>28010.29</v>
      </c>
      <c r="U2156" s="268" t="s">
        <v>3945</v>
      </c>
      <c r="V2156" s="267" t="s">
        <v>944</v>
      </c>
    </row>
    <row r="2157" spans="1:22" hidden="1" x14ac:dyDescent="0.25">
      <c r="A2157" s="269">
        <v>43588</v>
      </c>
      <c r="B2157" s="270">
        <v>2019</v>
      </c>
      <c r="C2157" s="270">
        <v>2019</v>
      </c>
      <c r="D2157" s="270">
        <v>1</v>
      </c>
      <c r="E2157" s="270">
        <v>1</v>
      </c>
      <c r="F2157" s="270" t="s">
        <v>944</v>
      </c>
      <c r="G2157" s="270" t="s">
        <v>3926</v>
      </c>
      <c r="H2157" s="270" t="s">
        <v>6488</v>
      </c>
      <c r="I2157" s="270" t="s">
        <v>3962</v>
      </c>
      <c r="J2157" s="270" t="s">
        <v>3928</v>
      </c>
      <c r="K2157" s="270">
        <v>6355</v>
      </c>
      <c r="L2157" s="270">
        <v>702800</v>
      </c>
      <c r="M2157" s="270" t="s">
        <v>3935</v>
      </c>
      <c r="N2157" s="270" t="s">
        <v>3944</v>
      </c>
      <c r="O2157" s="270">
        <v>3169.85</v>
      </c>
      <c r="P2157" s="270" t="s">
        <v>3944</v>
      </c>
      <c r="Q2157" s="270" t="s">
        <v>3944</v>
      </c>
      <c r="R2157" s="270">
        <v>3169.85</v>
      </c>
      <c r="S2157" s="270">
        <v>45060.959999999999</v>
      </c>
      <c r="T2157" s="270">
        <v>48230.81</v>
      </c>
      <c r="U2157" s="271" t="s">
        <v>3945</v>
      </c>
      <c r="V2157" s="267" t="s">
        <v>944</v>
      </c>
    </row>
    <row r="2158" spans="1:22" hidden="1" x14ac:dyDescent="0.25">
      <c r="A2158" s="266">
        <v>43588</v>
      </c>
      <c r="B2158" s="267">
        <v>2019</v>
      </c>
      <c r="C2158" s="267">
        <v>2019</v>
      </c>
      <c r="D2158" s="267">
        <v>1</v>
      </c>
      <c r="E2158" s="267">
        <v>1</v>
      </c>
      <c r="F2158" s="267" t="s">
        <v>944</v>
      </c>
      <c r="G2158" s="267" t="s">
        <v>3926</v>
      </c>
      <c r="H2158" s="267" t="s">
        <v>6489</v>
      </c>
      <c r="I2158" s="267" t="s">
        <v>953</v>
      </c>
      <c r="J2158" s="267" t="s">
        <v>3928</v>
      </c>
      <c r="K2158" s="267">
        <v>6514</v>
      </c>
      <c r="L2158" s="267">
        <v>165802</v>
      </c>
      <c r="M2158" s="267" t="s">
        <v>3943</v>
      </c>
      <c r="N2158" s="267" t="s">
        <v>3944</v>
      </c>
      <c r="O2158" s="267">
        <v>2000.74</v>
      </c>
      <c r="P2158" s="267" t="s">
        <v>3944</v>
      </c>
      <c r="Q2158" s="267" t="s">
        <v>3944</v>
      </c>
      <c r="R2158" s="267">
        <v>2000.74</v>
      </c>
      <c r="S2158" s="267">
        <v>31973.41</v>
      </c>
      <c r="T2158" s="267">
        <v>33974.15</v>
      </c>
      <c r="U2158" s="268" t="s">
        <v>3945</v>
      </c>
      <c r="V2158" s="267" t="s">
        <v>944</v>
      </c>
    </row>
    <row r="2159" spans="1:22" hidden="1" x14ac:dyDescent="0.25">
      <c r="A2159" s="269">
        <v>43588</v>
      </c>
      <c r="B2159" s="270">
        <v>2019</v>
      </c>
      <c r="C2159" s="270">
        <v>2019</v>
      </c>
      <c r="D2159" s="270">
        <v>1</v>
      </c>
      <c r="E2159" s="270">
        <v>1</v>
      </c>
      <c r="F2159" s="270" t="s">
        <v>944</v>
      </c>
      <c r="G2159" s="270" t="s">
        <v>3926</v>
      </c>
      <c r="H2159" s="270" t="s">
        <v>6490</v>
      </c>
      <c r="I2159" s="270" t="s">
        <v>4147</v>
      </c>
      <c r="J2159" s="270" t="s">
        <v>3928</v>
      </c>
      <c r="K2159" s="270">
        <v>6109</v>
      </c>
      <c r="L2159" s="270">
        <v>492300</v>
      </c>
      <c r="M2159" s="270" t="s">
        <v>3940</v>
      </c>
      <c r="N2159" s="270" t="s">
        <v>3944</v>
      </c>
      <c r="O2159" s="270">
        <v>1022.25</v>
      </c>
      <c r="P2159" s="270" t="s">
        <v>3944</v>
      </c>
      <c r="Q2159" s="270" t="s">
        <v>3944</v>
      </c>
      <c r="R2159" s="270">
        <v>1022.25</v>
      </c>
      <c r="S2159" s="270">
        <v>14138.36</v>
      </c>
      <c r="T2159" s="270">
        <v>15160.61</v>
      </c>
      <c r="U2159" s="271" t="s">
        <v>3945</v>
      </c>
      <c r="V2159" s="267" t="s">
        <v>944</v>
      </c>
    </row>
    <row r="2160" spans="1:22" hidden="1" x14ac:dyDescent="0.25">
      <c r="A2160" s="266">
        <v>43588</v>
      </c>
      <c r="B2160" s="267">
        <v>2019</v>
      </c>
      <c r="C2160" s="267">
        <v>2019</v>
      </c>
      <c r="D2160" s="267">
        <v>1</v>
      </c>
      <c r="E2160" s="267">
        <v>1</v>
      </c>
      <c r="F2160" s="267" t="s">
        <v>944</v>
      </c>
      <c r="G2160" s="267" t="s">
        <v>3926</v>
      </c>
      <c r="H2160" s="267" t="s">
        <v>6491</v>
      </c>
      <c r="I2160" s="267" t="s">
        <v>3975</v>
      </c>
      <c r="J2160" s="267" t="s">
        <v>3928</v>
      </c>
      <c r="K2160" s="267">
        <v>6489</v>
      </c>
      <c r="L2160" s="267">
        <v>430500</v>
      </c>
      <c r="M2160" s="267" t="s">
        <v>3943</v>
      </c>
      <c r="N2160" s="267" t="s">
        <v>3944</v>
      </c>
      <c r="O2160" s="267">
        <v>2667.74</v>
      </c>
      <c r="P2160" s="267" t="s">
        <v>3944</v>
      </c>
      <c r="Q2160" s="267" t="s">
        <v>3944</v>
      </c>
      <c r="R2160" s="267">
        <v>2667.74</v>
      </c>
      <c r="S2160" s="267">
        <v>39733.660000000003</v>
      </c>
      <c r="T2160" s="267">
        <v>42401.4</v>
      </c>
      <c r="U2160" s="268" t="s">
        <v>3945</v>
      </c>
      <c r="V2160" s="267" t="s">
        <v>944</v>
      </c>
    </row>
    <row r="2161" spans="1:22" hidden="1" x14ac:dyDescent="0.25">
      <c r="A2161" s="269">
        <v>43588</v>
      </c>
      <c r="B2161" s="270">
        <v>2019</v>
      </c>
      <c r="C2161" s="270">
        <v>2019</v>
      </c>
      <c r="D2161" s="270">
        <v>1</v>
      </c>
      <c r="E2161" s="270">
        <v>1</v>
      </c>
      <c r="F2161" s="270" t="s">
        <v>944</v>
      </c>
      <c r="G2161" s="270" t="s">
        <v>3926</v>
      </c>
      <c r="H2161" s="270" t="s">
        <v>6492</v>
      </c>
      <c r="I2161" s="270" t="s">
        <v>6493</v>
      </c>
      <c r="J2161" s="270" t="s">
        <v>3928</v>
      </c>
      <c r="K2161" s="270">
        <v>6447</v>
      </c>
      <c r="L2161" s="270">
        <v>524100</v>
      </c>
      <c r="M2161" s="270" t="s">
        <v>3943</v>
      </c>
      <c r="N2161" s="270" t="s">
        <v>3944</v>
      </c>
      <c r="O2161" s="270">
        <v>1396.19</v>
      </c>
      <c r="P2161" s="270" t="s">
        <v>3944</v>
      </c>
      <c r="Q2161" s="270" t="s">
        <v>3944</v>
      </c>
      <c r="R2161" s="270">
        <v>1396.19</v>
      </c>
      <c r="S2161" s="270">
        <v>21821.63</v>
      </c>
      <c r="T2161" s="270">
        <v>23217.82</v>
      </c>
      <c r="U2161" s="271" t="s">
        <v>3945</v>
      </c>
      <c r="V2161" s="267" t="s">
        <v>944</v>
      </c>
    </row>
    <row r="2162" spans="1:22" hidden="1" x14ac:dyDescent="0.25">
      <c r="A2162" s="266">
        <v>43588</v>
      </c>
      <c r="B2162" s="267">
        <v>2019</v>
      </c>
      <c r="C2162" s="267">
        <v>2019</v>
      </c>
      <c r="D2162" s="267">
        <v>1</v>
      </c>
      <c r="E2162" s="267">
        <v>1</v>
      </c>
      <c r="F2162" s="267" t="s">
        <v>944</v>
      </c>
      <c r="G2162" s="267" t="s">
        <v>3926</v>
      </c>
      <c r="H2162" s="267" t="s">
        <v>6494</v>
      </c>
      <c r="I2162" s="267" t="s">
        <v>3996</v>
      </c>
      <c r="J2162" s="267" t="s">
        <v>3928</v>
      </c>
      <c r="K2162" s="267">
        <v>6790</v>
      </c>
      <c r="L2162" s="267">
        <v>310804</v>
      </c>
      <c r="M2162" s="267" t="s">
        <v>3935</v>
      </c>
      <c r="N2162" s="267" t="s">
        <v>3944</v>
      </c>
      <c r="O2162" s="267">
        <v>1367.77</v>
      </c>
      <c r="P2162" s="267" t="s">
        <v>3944</v>
      </c>
      <c r="Q2162" s="267" t="s">
        <v>3944</v>
      </c>
      <c r="R2162" s="267">
        <v>1367.77</v>
      </c>
      <c r="S2162" s="267">
        <v>17578.93</v>
      </c>
      <c r="T2162" s="267">
        <v>18946.7</v>
      </c>
      <c r="U2162" s="268" t="s">
        <v>3945</v>
      </c>
      <c r="V2162" s="267" t="s">
        <v>944</v>
      </c>
    </row>
    <row r="2163" spans="1:22" hidden="1" x14ac:dyDescent="0.25">
      <c r="A2163" s="269">
        <v>43588</v>
      </c>
      <c r="B2163" s="270">
        <v>2019</v>
      </c>
      <c r="C2163" s="270">
        <v>2019</v>
      </c>
      <c r="D2163" s="270">
        <v>1</v>
      </c>
      <c r="E2163" s="270">
        <v>1</v>
      </c>
      <c r="F2163" s="270" t="s">
        <v>944</v>
      </c>
      <c r="G2163" s="270" t="s">
        <v>3926</v>
      </c>
      <c r="H2163" s="270" t="s">
        <v>6495</v>
      </c>
      <c r="I2163" s="270" t="s">
        <v>4306</v>
      </c>
      <c r="J2163" s="270" t="s">
        <v>3928</v>
      </c>
      <c r="K2163" s="270">
        <v>6716</v>
      </c>
      <c r="L2163" s="270">
        <v>361100</v>
      </c>
      <c r="M2163" s="270" t="s">
        <v>3960</v>
      </c>
      <c r="N2163" s="270" t="s">
        <v>3944</v>
      </c>
      <c r="O2163" s="270">
        <v>1999.73</v>
      </c>
      <c r="P2163" s="270" t="s">
        <v>3944</v>
      </c>
      <c r="Q2163" s="270" t="s">
        <v>3944</v>
      </c>
      <c r="R2163" s="270">
        <v>1999.73</v>
      </c>
      <c r="S2163" s="270">
        <v>26958.22</v>
      </c>
      <c r="T2163" s="270">
        <v>28957.95</v>
      </c>
      <c r="U2163" s="271" t="s">
        <v>3945</v>
      </c>
      <c r="V2163" s="267" t="s">
        <v>944</v>
      </c>
    </row>
    <row r="2164" spans="1:22" hidden="1" x14ac:dyDescent="0.25">
      <c r="A2164" s="266">
        <v>43588</v>
      </c>
      <c r="B2164" s="267">
        <v>2019</v>
      </c>
      <c r="C2164" s="267">
        <v>2019</v>
      </c>
      <c r="D2164" s="267">
        <v>1</v>
      </c>
      <c r="E2164" s="267">
        <v>1</v>
      </c>
      <c r="F2164" s="267" t="s">
        <v>944</v>
      </c>
      <c r="G2164" s="267" t="s">
        <v>3926</v>
      </c>
      <c r="H2164" s="267" t="s">
        <v>6496</v>
      </c>
      <c r="I2164" s="267" t="s">
        <v>4069</v>
      </c>
      <c r="J2164" s="267" t="s">
        <v>3928</v>
      </c>
      <c r="K2164" s="267">
        <v>6907</v>
      </c>
      <c r="L2164" s="267">
        <v>21000</v>
      </c>
      <c r="M2164" s="267" t="s">
        <v>3943</v>
      </c>
      <c r="N2164" s="267" t="s">
        <v>3944</v>
      </c>
      <c r="O2164" s="267">
        <v>2092.83</v>
      </c>
      <c r="P2164" s="267" t="s">
        <v>3944</v>
      </c>
      <c r="Q2164" s="267" t="s">
        <v>3944</v>
      </c>
      <c r="R2164" s="267">
        <v>2092.83</v>
      </c>
      <c r="S2164" s="267">
        <v>28714.17</v>
      </c>
      <c r="T2164" s="267">
        <v>30807</v>
      </c>
      <c r="U2164" s="268" t="s">
        <v>3945</v>
      </c>
      <c r="V2164" s="267" t="s">
        <v>944</v>
      </c>
    </row>
    <row r="2165" spans="1:22" hidden="1" x14ac:dyDescent="0.25">
      <c r="A2165" s="269">
        <v>43588</v>
      </c>
      <c r="B2165" s="270">
        <v>2019</v>
      </c>
      <c r="C2165" s="270">
        <v>2019</v>
      </c>
      <c r="D2165" s="270">
        <v>1</v>
      </c>
      <c r="E2165" s="270">
        <v>1</v>
      </c>
      <c r="F2165" s="270" t="s">
        <v>944</v>
      </c>
      <c r="G2165" s="270" t="s">
        <v>3926</v>
      </c>
      <c r="H2165" s="270" t="s">
        <v>6497</v>
      </c>
      <c r="I2165" s="270" t="s">
        <v>4035</v>
      </c>
      <c r="J2165" s="270" t="s">
        <v>3928</v>
      </c>
      <c r="K2165" s="270">
        <v>6074</v>
      </c>
      <c r="L2165" s="270">
        <v>487500</v>
      </c>
      <c r="M2165" s="270" t="s">
        <v>3935</v>
      </c>
      <c r="N2165" s="270" t="s">
        <v>3944</v>
      </c>
      <c r="O2165" s="270">
        <v>1016.23</v>
      </c>
      <c r="P2165" s="270" t="s">
        <v>3944</v>
      </c>
      <c r="Q2165" s="270" t="s">
        <v>3944</v>
      </c>
      <c r="R2165" s="270">
        <v>1016.23</v>
      </c>
      <c r="S2165" s="270">
        <v>13957.21</v>
      </c>
      <c r="T2165" s="270">
        <v>14973.44</v>
      </c>
      <c r="U2165" s="271" t="s">
        <v>3945</v>
      </c>
      <c r="V2165" s="267" t="s">
        <v>944</v>
      </c>
    </row>
    <row r="2166" spans="1:22" hidden="1" x14ac:dyDescent="0.25">
      <c r="A2166" s="266">
        <v>43588</v>
      </c>
      <c r="B2166" s="267">
        <v>2019</v>
      </c>
      <c r="C2166" s="267">
        <v>2019</v>
      </c>
      <c r="D2166" s="267">
        <v>1</v>
      </c>
      <c r="E2166" s="267">
        <v>1</v>
      </c>
      <c r="F2166" s="267" t="s">
        <v>944</v>
      </c>
      <c r="G2166" s="267" t="s">
        <v>3926</v>
      </c>
      <c r="H2166" s="267" t="s">
        <v>6498</v>
      </c>
      <c r="I2166" s="267" t="s">
        <v>4172</v>
      </c>
      <c r="J2166" s="267" t="s">
        <v>3928</v>
      </c>
      <c r="K2166" s="267">
        <v>6786</v>
      </c>
      <c r="L2166" s="267">
        <v>425400</v>
      </c>
      <c r="M2166" s="267" t="s">
        <v>3935</v>
      </c>
      <c r="N2166" s="267" t="s">
        <v>3944</v>
      </c>
      <c r="O2166" s="267">
        <v>2630.18</v>
      </c>
      <c r="P2166" s="267" t="s">
        <v>3944</v>
      </c>
      <c r="Q2166" s="267" t="s">
        <v>3944</v>
      </c>
      <c r="R2166" s="267">
        <v>2630.18</v>
      </c>
      <c r="S2166" s="267">
        <v>35053.54</v>
      </c>
      <c r="T2166" s="267">
        <v>37683.72</v>
      </c>
      <c r="U2166" s="268" t="s">
        <v>3945</v>
      </c>
      <c r="V2166" s="267" t="s">
        <v>944</v>
      </c>
    </row>
    <row r="2167" spans="1:22" hidden="1" x14ac:dyDescent="0.25">
      <c r="A2167" s="269">
        <v>43588</v>
      </c>
      <c r="B2167" s="270">
        <v>2019</v>
      </c>
      <c r="C2167" s="270">
        <v>2019</v>
      </c>
      <c r="D2167" s="270">
        <v>1</v>
      </c>
      <c r="E2167" s="270">
        <v>1</v>
      </c>
      <c r="F2167" s="270" t="s">
        <v>944</v>
      </c>
      <c r="G2167" s="270" t="s">
        <v>3926</v>
      </c>
      <c r="H2167" s="270" t="s">
        <v>6499</v>
      </c>
      <c r="I2167" s="270" t="s">
        <v>4108</v>
      </c>
      <c r="J2167" s="270" t="s">
        <v>3928</v>
      </c>
      <c r="K2167" s="270">
        <v>6082</v>
      </c>
      <c r="L2167" s="270">
        <v>480300</v>
      </c>
      <c r="M2167" s="270" t="s">
        <v>3940</v>
      </c>
      <c r="N2167" s="270" t="s">
        <v>3944</v>
      </c>
      <c r="O2167" s="270">
        <v>2142.81</v>
      </c>
      <c r="P2167" s="270" t="s">
        <v>3944</v>
      </c>
      <c r="Q2167" s="270" t="s">
        <v>3944</v>
      </c>
      <c r="R2167" s="270">
        <v>2142.81</v>
      </c>
      <c r="S2167" s="270">
        <v>25720.86</v>
      </c>
      <c r="T2167" s="270">
        <v>27863.67</v>
      </c>
      <c r="U2167" s="271" t="s">
        <v>3945</v>
      </c>
      <c r="V2167" s="267" t="s">
        <v>944</v>
      </c>
    </row>
    <row r="2168" spans="1:22" hidden="1" x14ac:dyDescent="0.25">
      <c r="A2168" s="266">
        <v>43588</v>
      </c>
      <c r="B2168" s="267">
        <v>2019</v>
      </c>
      <c r="C2168" s="267">
        <v>2019</v>
      </c>
      <c r="D2168" s="267">
        <v>1</v>
      </c>
      <c r="E2168" s="267">
        <v>1</v>
      </c>
      <c r="F2168" s="267" t="s">
        <v>944</v>
      </c>
      <c r="G2168" s="267" t="s">
        <v>3926</v>
      </c>
      <c r="H2168" s="267" t="s">
        <v>6500</v>
      </c>
      <c r="I2168" s="267" t="s">
        <v>4035</v>
      </c>
      <c r="J2168" s="267" t="s">
        <v>3928</v>
      </c>
      <c r="K2168" s="267">
        <v>6074</v>
      </c>
      <c r="L2168" s="267">
        <v>487500</v>
      </c>
      <c r="M2168" s="267" t="s">
        <v>3935</v>
      </c>
      <c r="N2168" s="267" t="s">
        <v>3944</v>
      </c>
      <c r="O2168" s="267">
        <v>1459.85</v>
      </c>
      <c r="P2168" s="267" t="s">
        <v>3944</v>
      </c>
      <c r="Q2168" s="267" t="s">
        <v>3944</v>
      </c>
      <c r="R2168" s="267">
        <v>1459.85</v>
      </c>
      <c r="S2168" s="267">
        <v>19517.330000000002</v>
      </c>
      <c r="T2168" s="267">
        <v>20977.18</v>
      </c>
      <c r="U2168" s="268" t="s">
        <v>3945</v>
      </c>
      <c r="V2168" s="267" t="s">
        <v>944</v>
      </c>
    </row>
    <row r="2169" spans="1:22" hidden="1" x14ac:dyDescent="0.25">
      <c r="A2169" s="269">
        <v>43588</v>
      </c>
      <c r="B2169" s="270">
        <v>2019</v>
      </c>
      <c r="C2169" s="270">
        <v>2019</v>
      </c>
      <c r="D2169" s="270">
        <v>1</v>
      </c>
      <c r="E2169" s="270">
        <v>1</v>
      </c>
      <c r="F2169" s="270" t="s">
        <v>944</v>
      </c>
      <c r="G2169" s="270" t="s">
        <v>3926</v>
      </c>
      <c r="H2169" s="270" t="s">
        <v>6501</v>
      </c>
      <c r="I2169" s="270" t="s">
        <v>4008</v>
      </c>
      <c r="J2169" s="270" t="s">
        <v>3928</v>
      </c>
      <c r="K2169" s="270">
        <v>6320</v>
      </c>
      <c r="L2169" s="270">
        <v>690700</v>
      </c>
      <c r="M2169" s="270">
        <v>-60</v>
      </c>
      <c r="N2169" s="270" t="s">
        <v>3944</v>
      </c>
      <c r="O2169" s="270">
        <v>833.74</v>
      </c>
      <c r="P2169" s="270" t="s">
        <v>3944</v>
      </c>
      <c r="Q2169" s="270" t="s">
        <v>3944</v>
      </c>
      <c r="R2169" s="270">
        <v>833.74</v>
      </c>
      <c r="S2169" s="270">
        <v>15939.66</v>
      </c>
      <c r="T2169" s="270">
        <v>16773.400000000001</v>
      </c>
      <c r="U2169" s="271" t="s">
        <v>3945</v>
      </c>
      <c r="V2169" s="267" t="s">
        <v>944</v>
      </c>
    </row>
    <row r="2170" spans="1:22" hidden="1" x14ac:dyDescent="0.25">
      <c r="A2170" s="266">
        <v>43588</v>
      </c>
      <c r="B2170" s="267">
        <v>2019</v>
      </c>
      <c r="C2170" s="267">
        <v>2019</v>
      </c>
      <c r="D2170" s="267">
        <v>1</v>
      </c>
      <c r="E2170" s="267">
        <v>1</v>
      </c>
      <c r="F2170" s="267" t="s">
        <v>944</v>
      </c>
      <c r="G2170" s="267" t="s">
        <v>3926</v>
      </c>
      <c r="H2170" s="267" t="s">
        <v>6502</v>
      </c>
      <c r="I2170" s="267" t="s">
        <v>4306</v>
      </c>
      <c r="J2170" s="267" t="s">
        <v>3928</v>
      </c>
      <c r="K2170" s="267">
        <v>6716</v>
      </c>
      <c r="L2170" s="267">
        <v>361200</v>
      </c>
      <c r="M2170" s="267" t="s">
        <v>3960</v>
      </c>
      <c r="N2170" s="267" t="s">
        <v>3944</v>
      </c>
      <c r="O2170" s="267">
        <v>2538.31</v>
      </c>
      <c r="P2170" s="267" t="s">
        <v>3944</v>
      </c>
      <c r="Q2170" s="267" t="s">
        <v>3944</v>
      </c>
      <c r="R2170" s="267">
        <v>2538.31</v>
      </c>
      <c r="S2170" s="267">
        <v>32799.910000000003</v>
      </c>
      <c r="T2170" s="267">
        <v>35338.22</v>
      </c>
      <c r="U2170" s="268" t="s">
        <v>3945</v>
      </c>
      <c r="V2170" s="267" t="s">
        <v>944</v>
      </c>
    </row>
    <row r="2171" spans="1:22" hidden="1" x14ac:dyDescent="0.25">
      <c r="A2171" s="269">
        <v>43588</v>
      </c>
      <c r="B2171" s="270">
        <v>2019</v>
      </c>
      <c r="C2171" s="270">
        <v>2019</v>
      </c>
      <c r="D2171" s="270">
        <v>1</v>
      </c>
      <c r="E2171" s="270">
        <v>1</v>
      </c>
      <c r="F2171" s="270" t="s">
        <v>944</v>
      </c>
      <c r="G2171" s="270" t="s">
        <v>3926</v>
      </c>
      <c r="H2171" s="270" t="s">
        <v>6503</v>
      </c>
      <c r="I2171" s="270" t="s">
        <v>4200</v>
      </c>
      <c r="J2171" s="270" t="s">
        <v>3928</v>
      </c>
      <c r="K2171" s="270">
        <v>6795</v>
      </c>
      <c r="L2171" s="270">
        <v>360200</v>
      </c>
      <c r="M2171" s="270" t="s">
        <v>3943</v>
      </c>
      <c r="N2171" s="270" t="s">
        <v>3944</v>
      </c>
      <c r="O2171" s="270">
        <v>3037.3</v>
      </c>
      <c r="P2171" s="270" t="s">
        <v>3944</v>
      </c>
      <c r="Q2171" s="270" t="s">
        <v>3944</v>
      </c>
      <c r="R2171" s="270">
        <v>3037.3</v>
      </c>
      <c r="S2171" s="270">
        <v>38937.43</v>
      </c>
      <c r="T2171" s="270">
        <v>41974.73</v>
      </c>
      <c r="U2171" s="271" t="s">
        <v>3945</v>
      </c>
      <c r="V2171" s="267" t="s">
        <v>944</v>
      </c>
    </row>
    <row r="2172" spans="1:22" hidden="1" x14ac:dyDescent="0.25">
      <c r="A2172" s="266">
        <v>43588</v>
      </c>
      <c r="B2172" s="267">
        <v>2019</v>
      </c>
      <c r="C2172" s="267">
        <v>2019</v>
      </c>
      <c r="D2172" s="267">
        <v>1</v>
      </c>
      <c r="E2172" s="267">
        <v>1</v>
      </c>
      <c r="F2172" s="267" t="s">
        <v>944</v>
      </c>
      <c r="G2172" s="267" t="s">
        <v>3926</v>
      </c>
      <c r="H2172" s="267" t="s">
        <v>6504</v>
      </c>
      <c r="I2172" s="267" t="s">
        <v>953</v>
      </c>
      <c r="J2172" s="267" t="s">
        <v>3928</v>
      </c>
      <c r="K2172" s="267">
        <v>6514</v>
      </c>
      <c r="L2172" s="267">
        <v>165900</v>
      </c>
      <c r="M2172" s="267" t="s">
        <v>3943</v>
      </c>
      <c r="N2172" s="267" t="s">
        <v>3944</v>
      </c>
      <c r="O2172" s="267">
        <v>2218.5100000000002</v>
      </c>
      <c r="P2172" s="267" t="s">
        <v>3944</v>
      </c>
      <c r="Q2172" s="267" t="s">
        <v>3944</v>
      </c>
      <c r="R2172" s="267">
        <v>2218.5100000000002</v>
      </c>
      <c r="S2172" s="267">
        <v>39009.58</v>
      </c>
      <c r="T2172" s="267">
        <v>41228.089999999997</v>
      </c>
      <c r="U2172" s="268" t="s">
        <v>3945</v>
      </c>
      <c r="V2172" s="267" t="s">
        <v>944</v>
      </c>
    </row>
    <row r="2173" spans="1:22" hidden="1" x14ac:dyDescent="0.25">
      <c r="A2173" s="269">
        <v>43588</v>
      </c>
      <c r="B2173" s="270">
        <v>2019</v>
      </c>
      <c r="C2173" s="270">
        <v>2019</v>
      </c>
      <c r="D2173" s="270">
        <v>1</v>
      </c>
      <c r="E2173" s="270">
        <v>1</v>
      </c>
      <c r="F2173" s="270" t="s">
        <v>944</v>
      </c>
      <c r="G2173" s="270" t="s">
        <v>3926</v>
      </c>
      <c r="H2173" s="270" t="s">
        <v>6505</v>
      </c>
      <c r="I2173" s="270" t="s">
        <v>3010</v>
      </c>
      <c r="J2173" s="270" t="s">
        <v>3928</v>
      </c>
      <c r="K2173" s="270">
        <v>6401</v>
      </c>
      <c r="L2173" s="270">
        <v>125200</v>
      </c>
      <c r="M2173" s="270">
        <v>-60</v>
      </c>
      <c r="N2173" s="270" t="s">
        <v>3944</v>
      </c>
      <c r="O2173" s="270">
        <v>2527.3200000000002</v>
      </c>
      <c r="P2173" s="270" t="s">
        <v>3944</v>
      </c>
      <c r="Q2173" s="270" t="s">
        <v>3944</v>
      </c>
      <c r="R2173" s="270">
        <v>2527.3200000000002</v>
      </c>
      <c r="S2173" s="270">
        <v>38155</v>
      </c>
      <c r="T2173" s="270">
        <v>40682.32</v>
      </c>
      <c r="U2173" s="271" t="s">
        <v>3945</v>
      </c>
      <c r="V2173" s="267" t="s">
        <v>944</v>
      </c>
    </row>
    <row r="2174" spans="1:22" hidden="1" x14ac:dyDescent="0.25">
      <c r="A2174" s="266">
        <v>43588</v>
      </c>
      <c r="B2174" s="267">
        <v>2019</v>
      </c>
      <c r="C2174" s="267">
        <v>2019</v>
      </c>
      <c r="D2174" s="267">
        <v>1</v>
      </c>
      <c r="E2174" s="267">
        <v>1</v>
      </c>
      <c r="F2174" s="267" t="s">
        <v>944</v>
      </c>
      <c r="G2174" s="267" t="s">
        <v>3926</v>
      </c>
      <c r="H2174" s="267" t="s">
        <v>6506</v>
      </c>
      <c r="I2174" s="267" t="s">
        <v>4114</v>
      </c>
      <c r="J2174" s="267" t="s">
        <v>3928</v>
      </c>
      <c r="K2174" s="267">
        <v>6410</v>
      </c>
      <c r="L2174" s="267">
        <v>343200</v>
      </c>
      <c r="M2174" s="267" t="s">
        <v>3943</v>
      </c>
      <c r="N2174" s="267" t="s">
        <v>3944</v>
      </c>
      <c r="O2174" s="267">
        <v>1887.94</v>
      </c>
      <c r="P2174" s="267" t="s">
        <v>3944</v>
      </c>
      <c r="Q2174" s="267" t="s">
        <v>3944</v>
      </c>
      <c r="R2174" s="267">
        <v>1887.94</v>
      </c>
      <c r="S2174" s="267">
        <v>26511.24</v>
      </c>
      <c r="T2174" s="267">
        <v>28399.18</v>
      </c>
      <c r="U2174" s="268" t="s">
        <v>3945</v>
      </c>
      <c r="V2174" s="267" t="s">
        <v>944</v>
      </c>
    </row>
    <row r="2175" spans="1:22" hidden="1" x14ac:dyDescent="0.25">
      <c r="A2175" s="269">
        <v>43588</v>
      </c>
      <c r="B2175" s="270">
        <v>2019</v>
      </c>
      <c r="C2175" s="270">
        <v>2019</v>
      </c>
      <c r="D2175" s="270">
        <v>1</v>
      </c>
      <c r="E2175" s="270">
        <v>1</v>
      </c>
      <c r="F2175" s="270" t="s">
        <v>944</v>
      </c>
      <c r="G2175" s="270" t="s">
        <v>3997</v>
      </c>
      <c r="H2175" s="270" t="s">
        <v>6507</v>
      </c>
      <c r="I2175" s="270" t="s">
        <v>5156</v>
      </c>
      <c r="J2175" s="270" t="s">
        <v>3928</v>
      </c>
      <c r="K2175" s="270">
        <v>6360</v>
      </c>
      <c r="L2175" s="270">
        <v>696800</v>
      </c>
      <c r="M2175" s="270">
        <v>-60</v>
      </c>
      <c r="N2175" s="270" t="s">
        <v>6508</v>
      </c>
      <c r="O2175" s="270"/>
      <c r="P2175" s="270" t="s">
        <v>3944</v>
      </c>
      <c r="Q2175" s="270" t="s">
        <v>3930</v>
      </c>
      <c r="R2175" s="270">
        <v>0</v>
      </c>
      <c r="S2175" s="270">
        <v>1059174.58</v>
      </c>
      <c r="T2175" s="270">
        <v>1059174.58</v>
      </c>
      <c r="U2175" s="271" t="s">
        <v>4099</v>
      </c>
      <c r="V2175" s="267" t="s">
        <v>944</v>
      </c>
    </row>
    <row r="2176" spans="1:22" hidden="1" x14ac:dyDescent="0.25">
      <c r="A2176" s="266">
        <v>43589</v>
      </c>
      <c r="B2176" s="267">
        <v>2019</v>
      </c>
      <c r="C2176" s="267">
        <v>2019</v>
      </c>
      <c r="D2176" s="267">
        <v>1</v>
      </c>
      <c r="E2176" s="267">
        <v>1</v>
      </c>
      <c r="F2176" s="267" t="s">
        <v>944</v>
      </c>
      <c r="G2176" s="267" t="s">
        <v>3926</v>
      </c>
      <c r="H2176" s="267" t="s">
        <v>6509</v>
      </c>
      <c r="I2176" s="267" t="s">
        <v>953</v>
      </c>
      <c r="J2176" s="267" t="s">
        <v>3928</v>
      </c>
      <c r="K2176" s="267">
        <v>6518</v>
      </c>
      <c r="L2176" s="267">
        <v>166001</v>
      </c>
      <c r="M2176" s="267" t="s">
        <v>3935</v>
      </c>
      <c r="N2176" s="267" t="s">
        <v>6510</v>
      </c>
      <c r="O2176" s="267">
        <v>0</v>
      </c>
      <c r="P2176" s="267" t="s">
        <v>3930</v>
      </c>
      <c r="Q2176" s="267" t="s">
        <v>3930</v>
      </c>
      <c r="R2176" s="267">
        <v>0</v>
      </c>
      <c r="S2176" s="267">
        <v>8645</v>
      </c>
      <c r="T2176" s="267">
        <v>8645</v>
      </c>
      <c r="U2176" s="268" t="s">
        <v>3937</v>
      </c>
      <c r="V2176" s="267" t="s">
        <v>944</v>
      </c>
    </row>
    <row r="2177" spans="1:22" hidden="1" x14ac:dyDescent="0.25">
      <c r="A2177" s="269">
        <v>43589</v>
      </c>
      <c r="B2177" s="270">
        <v>2019</v>
      </c>
      <c r="C2177" s="270">
        <v>2019</v>
      </c>
      <c r="D2177" s="270">
        <v>1</v>
      </c>
      <c r="E2177" s="270">
        <v>1</v>
      </c>
      <c r="F2177" s="270" t="s">
        <v>944</v>
      </c>
      <c r="G2177" s="270" t="s">
        <v>3926</v>
      </c>
      <c r="H2177" s="270" t="s">
        <v>6511</v>
      </c>
      <c r="I2177" s="270" t="s">
        <v>950</v>
      </c>
      <c r="J2177" s="270" t="s">
        <v>3928</v>
      </c>
      <c r="K2177" s="270">
        <v>6516</v>
      </c>
      <c r="L2177" s="270">
        <v>154700</v>
      </c>
      <c r="M2177" s="270" t="s">
        <v>3960</v>
      </c>
      <c r="N2177" s="270" t="s">
        <v>6512</v>
      </c>
      <c r="O2177" s="270">
        <v>2332.86</v>
      </c>
      <c r="P2177" s="270" t="s">
        <v>3930</v>
      </c>
      <c r="Q2177" s="270" t="s">
        <v>3931</v>
      </c>
      <c r="R2177" s="270">
        <v>7332.86</v>
      </c>
      <c r="S2177" s="270">
        <v>54644</v>
      </c>
      <c r="T2177" s="270">
        <v>61976.86</v>
      </c>
      <c r="U2177" s="271" t="s">
        <v>3932</v>
      </c>
      <c r="V2177" s="267" t="s">
        <v>944</v>
      </c>
    </row>
    <row r="2178" spans="1:22" hidden="1" x14ac:dyDescent="0.25">
      <c r="A2178" s="266">
        <v>43590</v>
      </c>
      <c r="B2178" s="267">
        <v>2019</v>
      </c>
      <c r="C2178" s="267">
        <v>2019</v>
      </c>
      <c r="D2178" s="267">
        <v>1</v>
      </c>
      <c r="E2178" s="267">
        <v>1</v>
      </c>
      <c r="F2178" s="267" t="s">
        <v>944</v>
      </c>
      <c r="G2178" s="267" t="s">
        <v>3926</v>
      </c>
      <c r="H2178" s="267" t="s">
        <v>6513</v>
      </c>
      <c r="I2178" s="267" t="s">
        <v>956</v>
      </c>
      <c r="J2178" s="267" t="s">
        <v>3928</v>
      </c>
      <c r="K2178" s="267">
        <v>6614</v>
      </c>
      <c r="L2178" s="267">
        <v>81300</v>
      </c>
      <c r="M2178" s="267" t="s">
        <v>3935</v>
      </c>
      <c r="N2178" s="267" t="s">
        <v>4719</v>
      </c>
      <c r="O2178" s="267">
        <v>1503.01</v>
      </c>
      <c r="P2178" s="267" t="s">
        <v>3930</v>
      </c>
      <c r="Q2178" s="267" t="s">
        <v>3931</v>
      </c>
      <c r="R2178" s="267">
        <v>6503.01</v>
      </c>
      <c r="S2178" s="267">
        <v>25015</v>
      </c>
      <c r="T2178" s="267">
        <v>31518.01</v>
      </c>
      <c r="U2178" s="268" t="s">
        <v>3932</v>
      </c>
      <c r="V2178" s="267" t="s">
        <v>944</v>
      </c>
    </row>
    <row r="2179" spans="1:22" x14ac:dyDescent="0.25">
      <c r="A2179" s="269">
        <v>43590</v>
      </c>
      <c r="B2179" s="270">
        <v>2019</v>
      </c>
      <c r="C2179" s="270">
        <v>2019</v>
      </c>
      <c r="D2179" s="270">
        <v>1</v>
      </c>
      <c r="E2179" s="270">
        <v>1</v>
      </c>
      <c r="F2179" s="270" t="s">
        <v>944</v>
      </c>
      <c r="G2179" s="270" t="s">
        <v>3926</v>
      </c>
      <c r="H2179" s="270" t="s">
        <v>6514</v>
      </c>
      <c r="I2179" s="270" t="s">
        <v>934</v>
      </c>
      <c r="J2179" s="270" t="s">
        <v>3928</v>
      </c>
      <c r="K2179" s="270">
        <v>6604</v>
      </c>
      <c r="L2179" s="270">
        <v>71300</v>
      </c>
      <c r="M2179" s="270">
        <v>-60</v>
      </c>
      <c r="N2179" s="270" t="s">
        <v>4103</v>
      </c>
      <c r="O2179" s="270">
        <v>4176.2700000000004</v>
      </c>
      <c r="P2179" s="270" t="s">
        <v>3930</v>
      </c>
      <c r="Q2179" s="270" t="s">
        <v>3931</v>
      </c>
      <c r="R2179" s="270">
        <v>9176.27</v>
      </c>
      <c r="S2179" s="270">
        <v>24145.599999999999</v>
      </c>
      <c r="T2179" s="270">
        <v>33321.870000000003</v>
      </c>
      <c r="U2179" s="271" t="s">
        <v>3932</v>
      </c>
      <c r="V2179" s="276" t="s">
        <v>936</v>
      </c>
    </row>
    <row r="2180" spans="1:22" hidden="1" x14ac:dyDescent="0.25">
      <c r="A2180" s="266">
        <v>43590</v>
      </c>
      <c r="B2180" s="267">
        <v>2019</v>
      </c>
      <c r="C2180" s="267">
        <v>2019</v>
      </c>
      <c r="D2180" s="267">
        <v>1</v>
      </c>
      <c r="E2180" s="267">
        <v>1</v>
      </c>
      <c r="F2180" s="267" t="s">
        <v>944</v>
      </c>
      <c r="G2180" s="267" t="s">
        <v>3926</v>
      </c>
      <c r="H2180" s="267" t="s">
        <v>6515</v>
      </c>
      <c r="I2180" s="267" t="s">
        <v>3009</v>
      </c>
      <c r="J2180" s="267" t="s">
        <v>3928</v>
      </c>
      <c r="K2180" s="267">
        <v>6484</v>
      </c>
      <c r="L2180" s="267">
        <v>110100</v>
      </c>
      <c r="M2180" s="267" t="s">
        <v>3940</v>
      </c>
      <c r="N2180" s="267" t="s">
        <v>5489</v>
      </c>
      <c r="O2180" s="267">
        <v>1372.95</v>
      </c>
      <c r="P2180" s="267" t="s">
        <v>3930</v>
      </c>
      <c r="Q2180" s="267" t="s">
        <v>3931</v>
      </c>
      <c r="R2180" s="267">
        <v>6372.95</v>
      </c>
      <c r="S2180" s="267">
        <v>16817.8</v>
      </c>
      <c r="T2180" s="267">
        <v>23190.75</v>
      </c>
      <c r="U2180" s="268" t="s">
        <v>3932</v>
      </c>
      <c r="V2180" s="267" t="s">
        <v>944</v>
      </c>
    </row>
    <row r="2181" spans="1:22" hidden="1" x14ac:dyDescent="0.25">
      <c r="A2181" s="269">
        <v>43590</v>
      </c>
      <c r="B2181" s="270">
        <v>2019</v>
      </c>
      <c r="C2181" s="270">
        <v>2019</v>
      </c>
      <c r="D2181" s="270">
        <v>1</v>
      </c>
      <c r="E2181" s="270">
        <v>1</v>
      </c>
      <c r="F2181" s="270" t="s">
        <v>944</v>
      </c>
      <c r="G2181" s="270" t="s">
        <v>3926</v>
      </c>
      <c r="H2181" s="270" t="s">
        <v>6516</v>
      </c>
      <c r="I2181" s="270" t="s">
        <v>4159</v>
      </c>
      <c r="J2181" s="270" t="s">
        <v>3928</v>
      </c>
      <c r="K2181" s="270">
        <v>6016</v>
      </c>
      <c r="L2181" s="270">
        <v>484200</v>
      </c>
      <c r="M2181" s="270" t="s">
        <v>3935</v>
      </c>
      <c r="N2181" s="270" t="s">
        <v>6517</v>
      </c>
      <c r="O2181" s="270">
        <v>0</v>
      </c>
      <c r="P2181" s="270" t="s">
        <v>3930</v>
      </c>
      <c r="Q2181" s="270" t="s">
        <v>3930</v>
      </c>
      <c r="R2181" s="270">
        <v>0</v>
      </c>
      <c r="S2181" s="270">
        <v>10487.22</v>
      </c>
      <c r="T2181" s="270">
        <v>10487.22</v>
      </c>
      <c r="U2181" s="271" t="s">
        <v>3937</v>
      </c>
      <c r="V2181" s="267" t="s">
        <v>944</v>
      </c>
    </row>
    <row r="2182" spans="1:22" hidden="1" x14ac:dyDescent="0.25">
      <c r="A2182" s="266">
        <v>43590</v>
      </c>
      <c r="B2182" s="267">
        <v>2019</v>
      </c>
      <c r="C2182" s="267">
        <v>2019</v>
      </c>
      <c r="D2182" s="267">
        <v>1</v>
      </c>
      <c r="E2182" s="267">
        <v>1</v>
      </c>
      <c r="F2182" s="267" t="s">
        <v>944</v>
      </c>
      <c r="G2182" s="267" t="s">
        <v>3926</v>
      </c>
      <c r="H2182" s="267" t="s">
        <v>6518</v>
      </c>
      <c r="I2182" s="267" t="s">
        <v>4203</v>
      </c>
      <c r="J2182" s="267" t="s">
        <v>3928</v>
      </c>
      <c r="K2182" s="267">
        <v>6071</v>
      </c>
      <c r="L2182" s="267">
        <v>538201</v>
      </c>
      <c r="M2182" s="267" t="s">
        <v>3943</v>
      </c>
      <c r="N2182" s="267" t="s">
        <v>3944</v>
      </c>
      <c r="O2182" s="267">
        <v>5308</v>
      </c>
      <c r="P2182" s="267" t="s">
        <v>3944</v>
      </c>
      <c r="Q2182" s="267" t="s">
        <v>3944</v>
      </c>
      <c r="R2182" s="267">
        <v>5308</v>
      </c>
      <c r="S2182" s="267">
        <v>40934</v>
      </c>
      <c r="T2182" s="267">
        <v>46242</v>
      </c>
      <c r="U2182" s="268" t="s">
        <v>3945</v>
      </c>
      <c r="V2182" s="267" t="s">
        <v>944</v>
      </c>
    </row>
    <row r="2183" spans="1:22" hidden="1" x14ac:dyDescent="0.25">
      <c r="A2183" s="269">
        <v>43590</v>
      </c>
      <c r="B2183" s="270">
        <v>2019</v>
      </c>
      <c r="C2183" s="270">
        <v>2019</v>
      </c>
      <c r="D2183" s="270">
        <v>1</v>
      </c>
      <c r="E2183" s="270">
        <v>1</v>
      </c>
      <c r="F2183" s="270" t="s">
        <v>944</v>
      </c>
      <c r="G2183" s="270" t="s">
        <v>3926</v>
      </c>
      <c r="H2183" s="270" t="s">
        <v>6519</v>
      </c>
      <c r="I2183" s="270" t="s">
        <v>4137</v>
      </c>
      <c r="J2183" s="270" t="s">
        <v>3928</v>
      </c>
      <c r="K2183" s="270">
        <v>6067</v>
      </c>
      <c r="L2183" s="270">
        <v>490302</v>
      </c>
      <c r="M2183" s="270" t="s">
        <v>3960</v>
      </c>
      <c r="N2183" s="270" t="s">
        <v>3944</v>
      </c>
      <c r="O2183" s="270">
        <v>1910.34</v>
      </c>
      <c r="P2183" s="270" t="s">
        <v>3944</v>
      </c>
      <c r="Q2183" s="270" t="s">
        <v>3944</v>
      </c>
      <c r="R2183" s="270">
        <v>1910.34</v>
      </c>
      <c r="S2183" s="270">
        <v>25527.67</v>
      </c>
      <c r="T2183" s="270">
        <v>27438.01</v>
      </c>
      <c r="U2183" s="271" t="s">
        <v>3945</v>
      </c>
      <c r="V2183" s="267" t="s">
        <v>944</v>
      </c>
    </row>
    <row r="2184" spans="1:22" hidden="1" x14ac:dyDescent="0.25">
      <c r="A2184" s="266">
        <v>43590</v>
      </c>
      <c r="B2184" s="267">
        <v>2019</v>
      </c>
      <c r="C2184" s="267">
        <v>2019</v>
      </c>
      <c r="D2184" s="267">
        <v>1</v>
      </c>
      <c r="E2184" s="267">
        <v>1</v>
      </c>
      <c r="F2184" s="267" t="s">
        <v>944</v>
      </c>
      <c r="G2184" s="267" t="s">
        <v>3926</v>
      </c>
      <c r="H2184" s="267" t="s">
        <v>6520</v>
      </c>
      <c r="I2184" s="267" t="s">
        <v>4005</v>
      </c>
      <c r="J2184" s="267" t="s">
        <v>3928</v>
      </c>
      <c r="K2184" s="267">
        <v>6118</v>
      </c>
      <c r="L2184" s="267">
        <v>510600</v>
      </c>
      <c r="M2184" s="267">
        <v>-60</v>
      </c>
      <c r="N2184" s="267" t="s">
        <v>3944</v>
      </c>
      <c r="O2184" s="267">
        <v>464.35</v>
      </c>
      <c r="P2184" s="267" t="s">
        <v>3944</v>
      </c>
      <c r="Q2184" s="267" t="s">
        <v>3944</v>
      </c>
      <c r="R2184" s="267">
        <v>464.35</v>
      </c>
      <c r="S2184" s="267">
        <v>6908.65</v>
      </c>
      <c r="T2184" s="267">
        <v>7373</v>
      </c>
      <c r="U2184" s="268" t="s">
        <v>3945</v>
      </c>
      <c r="V2184" s="267" t="s">
        <v>944</v>
      </c>
    </row>
    <row r="2185" spans="1:22" hidden="1" x14ac:dyDescent="0.25">
      <c r="A2185" s="269">
        <v>43590</v>
      </c>
      <c r="B2185" s="270">
        <v>2019</v>
      </c>
      <c r="C2185" s="270">
        <v>2019</v>
      </c>
      <c r="D2185" s="270">
        <v>1</v>
      </c>
      <c r="E2185" s="270">
        <v>1</v>
      </c>
      <c r="F2185" s="270" t="s">
        <v>944</v>
      </c>
      <c r="G2185" s="270" t="s">
        <v>3926</v>
      </c>
      <c r="H2185" s="270" t="s">
        <v>6521</v>
      </c>
      <c r="I2185" s="270" t="s">
        <v>956</v>
      </c>
      <c r="J2185" s="270" t="s">
        <v>3928</v>
      </c>
      <c r="K2185" s="270">
        <v>6614</v>
      </c>
      <c r="L2185" s="270">
        <v>80800</v>
      </c>
      <c r="M2185" s="270" t="s">
        <v>3960</v>
      </c>
      <c r="N2185" s="270" t="s">
        <v>3944</v>
      </c>
      <c r="O2185" s="270">
        <v>1394.96</v>
      </c>
      <c r="P2185" s="270" t="s">
        <v>3944</v>
      </c>
      <c r="Q2185" s="270" t="s">
        <v>3944</v>
      </c>
      <c r="R2185" s="270">
        <v>1394.96</v>
      </c>
      <c r="S2185" s="270">
        <v>21774.2</v>
      </c>
      <c r="T2185" s="270">
        <v>23169.16</v>
      </c>
      <c r="U2185" s="271" t="s">
        <v>3945</v>
      </c>
      <c r="V2185" s="267" t="s">
        <v>944</v>
      </c>
    </row>
    <row r="2186" spans="1:22" hidden="1" x14ac:dyDescent="0.25">
      <c r="A2186" s="266">
        <v>43590</v>
      </c>
      <c r="B2186" s="267">
        <v>2019</v>
      </c>
      <c r="C2186" s="267">
        <v>2019</v>
      </c>
      <c r="D2186" s="267">
        <v>1</v>
      </c>
      <c r="E2186" s="267">
        <v>1</v>
      </c>
      <c r="F2186" s="267" t="s">
        <v>944</v>
      </c>
      <c r="G2186" s="267" t="s">
        <v>3926</v>
      </c>
      <c r="H2186" s="267" t="s">
        <v>6522</v>
      </c>
      <c r="I2186" s="267" t="s">
        <v>3966</v>
      </c>
      <c r="J2186" s="267" t="s">
        <v>3928</v>
      </c>
      <c r="K2186" s="267">
        <v>6010</v>
      </c>
      <c r="L2186" s="267">
        <v>405300</v>
      </c>
      <c r="M2186" s="267" t="s">
        <v>3940</v>
      </c>
      <c r="N2186" s="267" t="s">
        <v>3944</v>
      </c>
      <c r="O2186" s="267">
        <v>1617.7</v>
      </c>
      <c r="P2186" s="267" t="s">
        <v>3944</v>
      </c>
      <c r="Q2186" s="267" t="s">
        <v>3944</v>
      </c>
      <c r="R2186" s="267">
        <v>1617.7</v>
      </c>
      <c r="S2186" s="267">
        <v>13305.3</v>
      </c>
      <c r="T2186" s="267">
        <v>14923</v>
      </c>
      <c r="U2186" s="268" t="s">
        <v>3945</v>
      </c>
      <c r="V2186" s="267" t="s">
        <v>944</v>
      </c>
    </row>
    <row r="2187" spans="1:22" hidden="1" x14ac:dyDescent="0.25">
      <c r="A2187" s="269">
        <v>43590</v>
      </c>
      <c r="B2187" s="270">
        <v>2019</v>
      </c>
      <c r="C2187" s="270">
        <v>2019</v>
      </c>
      <c r="D2187" s="270">
        <v>1</v>
      </c>
      <c r="E2187" s="270">
        <v>1</v>
      </c>
      <c r="F2187" s="270" t="s">
        <v>944</v>
      </c>
      <c r="G2187" s="270" t="s">
        <v>3926</v>
      </c>
      <c r="H2187" s="270" t="s">
        <v>6523</v>
      </c>
      <c r="I2187" s="270" t="s">
        <v>5032</v>
      </c>
      <c r="J2187" s="270" t="s">
        <v>3928</v>
      </c>
      <c r="K2187" s="270">
        <v>6062</v>
      </c>
      <c r="L2187" s="270">
        <v>420500</v>
      </c>
      <c r="M2187" s="270" t="s">
        <v>3940</v>
      </c>
      <c r="N2187" s="270" t="s">
        <v>3944</v>
      </c>
      <c r="O2187" s="270">
        <v>1142.33</v>
      </c>
      <c r="P2187" s="270" t="s">
        <v>3944</v>
      </c>
      <c r="Q2187" s="270" t="s">
        <v>3944</v>
      </c>
      <c r="R2187" s="270">
        <v>1142.33</v>
      </c>
      <c r="S2187" s="270">
        <v>14858.38</v>
      </c>
      <c r="T2187" s="270">
        <v>16000.71</v>
      </c>
      <c r="U2187" s="271" t="s">
        <v>3945</v>
      </c>
      <c r="V2187" s="267" t="s">
        <v>944</v>
      </c>
    </row>
    <row r="2188" spans="1:22" hidden="1" x14ac:dyDescent="0.25">
      <c r="A2188" s="266">
        <v>43590</v>
      </c>
      <c r="B2188" s="267">
        <v>2019</v>
      </c>
      <c r="C2188" s="267">
        <v>2019</v>
      </c>
      <c r="D2188" s="267">
        <v>1</v>
      </c>
      <c r="E2188" s="267">
        <v>1</v>
      </c>
      <c r="F2188" s="267" t="s">
        <v>944</v>
      </c>
      <c r="G2188" s="267" t="s">
        <v>3926</v>
      </c>
      <c r="H2188" s="267" t="s">
        <v>6524</v>
      </c>
      <c r="I2188" s="267" t="s">
        <v>4037</v>
      </c>
      <c r="J2188" s="267" t="s">
        <v>3928</v>
      </c>
      <c r="K2188" s="267">
        <v>6811</v>
      </c>
      <c r="L2188" s="267">
        <v>210800</v>
      </c>
      <c r="M2188" s="267" t="s">
        <v>3960</v>
      </c>
      <c r="N2188" s="267" t="s">
        <v>3944</v>
      </c>
      <c r="O2188" s="267">
        <v>2685.17</v>
      </c>
      <c r="P2188" s="267" t="s">
        <v>3944</v>
      </c>
      <c r="Q2188" s="267" t="s">
        <v>3944</v>
      </c>
      <c r="R2188" s="267">
        <v>2685.17</v>
      </c>
      <c r="S2188" s="267">
        <v>15931.83</v>
      </c>
      <c r="T2188" s="267">
        <v>18617</v>
      </c>
      <c r="U2188" s="268" t="s">
        <v>3945</v>
      </c>
      <c r="V2188" s="267" t="s">
        <v>944</v>
      </c>
    </row>
    <row r="2189" spans="1:22" hidden="1" x14ac:dyDescent="0.25">
      <c r="A2189" s="269">
        <v>43590</v>
      </c>
      <c r="B2189" s="270">
        <v>2019</v>
      </c>
      <c r="C2189" s="270">
        <v>2019</v>
      </c>
      <c r="D2189" s="270">
        <v>1</v>
      </c>
      <c r="E2189" s="270">
        <v>1</v>
      </c>
      <c r="F2189" s="270" t="s">
        <v>944</v>
      </c>
      <c r="G2189" s="270" t="s">
        <v>3926</v>
      </c>
      <c r="H2189" s="270" t="s">
        <v>6525</v>
      </c>
      <c r="I2189" s="270" t="s">
        <v>953</v>
      </c>
      <c r="J2189" s="270" t="s">
        <v>3928</v>
      </c>
      <c r="K2189" s="270">
        <v>6514</v>
      </c>
      <c r="L2189" s="270">
        <v>165802</v>
      </c>
      <c r="M2189" s="270" t="s">
        <v>3943</v>
      </c>
      <c r="N2189" s="270" t="s">
        <v>3944</v>
      </c>
      <c r="O2189" s="270">
        <v>1249.57</v>
      </c>
      <c r="P2189" s="270" t="s">
        <v>3944</v>
      </c>
      <c r="Q2189" s="270" t="s">
        <v>3944</v>
      </c>
      <c r="R2189" s="270">
        <v>1249.57</v>
      </c>
      <c r="S2189" s="270">
        <v>12395.43</v>
      </c>
      <c r="T2189" s="270">
        <v>13645</v>
      </c>
      <c r="U2189" s="271" t="s">
        <v>3945</v>
      </c>
      <c r="V2189" s="267" t="s">
        <v>944</v>
      </c>
    </row>
    <row r="2190" spans="1:22" hidden="1" x14ac:dyDescent="0.25">
      <c r="A2190" s="266">
        <v>43590</v>
      </c>
      <c r="B2190" s="267">
        <v>2019</v>
      </c>
      <c r="C2190" s="267">
        <v>2019</v>
      </c>
      <c r="D2190" s="267">
        <v>1</v>
      </c>
      <c r="E2190" s="267">
        <v>1</v>
      </c>
      <c r="F2190" s="267" t="s">
        <v>944</v>
      </c>
      <c r="G2190" s="267" t="s">
        <v>3926</v>
      </c>
      <c r="H2190" s="267" t="s">
        <v>6526</v>
      </c>
      <c r="I2190" s="267" t="s">
        <v>3985</v>
      </c>
      <c r="J2190" s="267" t="s">
        <v>3928</v>
      </c>
      <c r="K2190" s="267">
        <v>6226</v>
      </c>
      <c r="L2190" s="267">
        <v>800700</v>
      </c>
      <c r="M2190" s="267">
        <v>-60</v>
      </c>
      <c r="N2190" s="267" t="s">
        <v>3944</v>
      </c>
      <c r="O2190" s="267">
        <v>857.57</v>
      </c>
      <c r="P2190" s="267" t="s">
        <v>3944</v>
      </c>
      <c r="Q2190" s="267" t="s">
        <v>3944</v>
      </c>
      <c r="R2190" s="267">
        <v>857.57</v>
      </c>
      <c r="S2190" s="267">
        <v>11342.99</v>
      </c>
      <c r="T2190" s="267">
        <v>12200.56</v>
      </c>
      <c r="U2190" s="268" t="s">
        <v>3945</v>
      </c>
      <c r="V2190" s="267" t="s">
        <v>944</v>
      </c>
    </row>
    <row r="2191" spans="1:22" hidden="1" x14ac:dyDescent="0.25">
      <c r="A2191" s="269">
        <v>43590</v>
      </c>
      <c r="B2191" s="270">
        <v>2019</v>
      </c>
      <c r="C2191" s="270">
        <v>2019</v>
      </c>
      <c r="D2191" s="270">
        <v>1</v>
      </c>
      <c r="E2191" s="270">
        <v>1</v>
      </c>
      <c r="F2191" s="270" t="s">
        <v>944</v>
      </c>
      <c r="G2191" s="270" t="s">
        <v>3926</v>
      </c>
      <c r="H2191" s="270" t="s">
        <v>6527</v>
      </c>
      <c r="I2191" s="270" t="s">
        <v>4435</v>
      </c>
      <c r="J2191" s="270" t="s">
        <v>3928</v>
      </c>
      <c r="K2191" s="270">
        <v>6249</v>
      </c>
      <c r="L2191" s="270">
        <v>870100</v>
      </c>
      <c r="M2191" s="270" t="s">
        <v>3960</v>
      </c>
      <c r="N2191" s="270" t="s">
        <v>3944</v>
      </c>
      <c r="O2191" s="270">
        <v>2720.62</v>
      </c>
      <c r="P2191" s="270" t="s">
        <v>3944</v>
      </c>
      <c r="Q2191" s="270" t="s">
        <v>3944</v>
      </c>
      <c r="R2191" s="270">
        <v>2720.62</v>
      </c>
      <c r="S2191" s="270">
        <v>38529.07</v>
      </c>
      <c r="T2191" s="270">
        <v>41249.69</v>
      </c>
      <c r="U2191" s="271" t="s">
        <v>3945</v>
      </c>
      <c r="V2191" s="267" t="s">
        <v>944</v>
      </c>
    </row>
    <row r="2192" spans="1:22" hidden="1" x14ac:dyDescent="0.25">
      <c r="A2192" s="266">
        <v>43590</v>
      </c>
      <c r="B2192" s="267">
        <v>2019</v>
      </c>
      <c r="C2192" s="267">
        <v>2019</v>
      </c>
      <c r="D2192" s="267">
        <v>1</v>
      </c>
      <c r="E2192" s="267">
        <v>1</v>
      </c>
      <c r="F2192" s="267" t="s">
        <v>944</v>
      </c>
      <c r="G2192" s="267" t="s">
        <v>3926</v>
      </c>
      <c r="H2192" s="267" t="s">
        <v>6528</v>
      </c>
      <c r="I2192" s="267" t="s">
        <v>943</v>
      </c>
      <c r="J2192" s="267" t="s">
        <v>3928</v>
      </c>
      <c r="K2192" s="267">
        <v>6515</v>
      </c>
      <c r="L2192" s="267">
        <v>141100</v>
      </c>
      <c r="M2192" s="267" t="s">
        <v>3960</v>
      </c>
      <c r="N2192" s="267" t="s">
        <v>3944</v>
      </c>
      <c r="O2192" s="267">
        <v>2472.37</v>
      </c>
      <c r="P2192" s="267" t="s">
        <v>3944</v>
      </c>
      <c r="Q2192" s="267" t="s">
        <v>3944</v>
      </c>
      <c r="R2192" s="267">
        <v>2472.37</v>
      </c>
      <c r="S2192" s="267">
        <v>36345.11</v>
      </c>
      <c r="T2192" s="267">
        <v>38817.480000000003</v>
      </c>
      <c r="U2192" s="268" t="s">
        <v>3945</v>
      </c>
      <c r="V2192" s="267" t="s">
        <v>944</v>
      </c>
    </row>
    <row r="2193" spans="1:22" hidden="1" x14ac:dyDescent="0.25">
      <c r="A2193" s="269">
        <v>43590</v>
      </c>
      <c r="B2193" s="270">
        <v>2019</v>
      </c>
      <c r="C2193" s="270">
        <v>2019</v>
      </c>
      <c r="D2193" s="270">
        <v>1</v>
      </c>
      <c r="E2193" s="270">
        <v>1</v>
      </c>
      <c r="F2193" s="270" t="s">
        <v>944</v>
      </c>
      <c r="G2193" s="270" t="s">
        <v>3926</v>
      </c>
      <c r="H2193" s="270" t="s">
        <v>6529</v>
      </c>
      <c r="I2193" s="270" t="s">
        <v>943</v>
      </c>
      <c r="J2193" s="270" t="s">
        <v>3928</v>
      </c>
      <c r="K2193" s="270">
        <v>6515</v>
      </c>
      <c r="L2193" s="270">
        <v>141000</v>
      </c>
      <c r="M2193" s="270" t="s">
        <v>3960</v>
      </c>
      <c r="N2193" s="270" t="s">
        <v>3944</v>
      </c>
      <c r="O2193" s="270">
        <v>700.81</v>
      </c>
      <c r="P2193" s="270" t="s">
        <v>3944</v>
      </c>
      <c r="Q2193" s="270" t="s">
        <v>3944</v>
      </c>
      <c r="R2193" s="270">
        <v>700.81</v>
      </c>
      <c r="S2193" s="270">
        <v>10098.549999999999</v>
      </c>
      <c r="T2193" s="270">
        <v>10799.36</v>
      </c>
      <c r="U2193" s="271" t="s">
        <v>3945</v>
      </c>
      <c r="V2193" s="267" t="s">
        <v>944</v>
      </c>
    </row>
    <row r="2194" spans="1:22" hidden="1" x14ac:dyDescent="0.25">
      <c r="A2194" s="266">
        <v>43590</v>
      </c>
      <c r="B2194" s="267">
        <v>2019</v>
      </c>
      <c r="C2194" s="267">
        <v>2019</v>
      </c>
      <c r="D2194" s="267">
        <v>1</v>
      </c>
      <c r="E2194" s="267">
        <v>1</v>
      </c>
      <c r="F2194" s="267" t="s">
        <v>944</v>
      </c>
      <c r="G2194" s="267" t="s">
        <v>3926</v>
      </c>
      <c r="H2194" s="267" t="s">
        <v>6530</v>
      </c>
      <c r="I2194" s="267" t="s">
        <v>4269</v>
      </c>
      <c r="J2194" s="267" t="s">
        <v>3928</v>
      </c>
      <c r="K2194" s="267">
        <v>6107</v>
      </c>
      <c r="L2194" s="267">
        <v>496400</v>
      </c>
      <c r="M2194" s="267" t="s">
        <v>3943</v>
      </c>
      <c r="N2194" s="267" t="s">
        <v>3944</v>
      </c>
      <c r="O2194" s="267">
        <v>1719.52</v>
      </c>
      <c r="P2194" s="267" t="s">
        <v>3944</v>
      </c>
      <c r="Q2194" s="267" t="s">
        <v>3944</v>
      </c>
      <c r="R2194" s="267">
        <v>1719.52</v>
      </c>
      <c r="S2194" s="267">
        <v>26296.18</v>
      </c>
      <c r="T2194" s="267">
        <v>28015.7</v>
      </c>
      <c r="U2194" s="268" t="s">
        <v>3945</v>
      </c>
      <c r="V2194" s="267" t="s">
        <v>944</v>
      </c>
    </row>
    <row r="2195" spans="1:22" hidden="1" x14ac:dyDescent="0.25">
      <c r="A2195" s="269">
        <v>43590</v>
      </c>
      <c r="B2195" s="270">
        <v>2019</v>
      </c>
      <c r="C2195" s="270">
        <v>2019</v>
      </c>
      <c r="D2195" s="270">
        <v>1</v>
      </c>
      <c r="E2195" s="270">
        <v>1</v>
      </c>
      <c r="F2195" s="270" t="s">
        <v>944</v>
      </c>
      <c r="G2195" s="270" t="s">
        <v>3926</v>
      </c>
      <c r="H2195" s="270" t="s">
        <v>6531</v>
      </c>
      <c r="I2195" s="270" t="s">
        <v>953</v>
      </c>
      <c r="J2195" s="270" t="s">
        <v>3928</v>
      </c>
      <c r="K2195" s="270">
        <v>6517</v>
      </c>
      <c r="L2195" s="270">
        <v>165100</v>
      </c>
      <c r="M2195" s="270" t="s">
        <v>3935</v>
      </c>
      <c r="N2195" s="270" t="s">
        <v>3944</v>
      </c>
      <c r="O2195" s="270">
        <v>1659.18</v>
      </c>
      <c r="P2195" s="270" t="s">
        <v>3944</v>
      </c>
      <c r="Q2195" s="270" t="s">
        <v>3944</v>
      </c>
      <c r="R2195" s="270">
        <v>1659.18</v>
      </c>
      <c r="S2195" s="270">
        <v>24259.52</v>
      </c>
      <c r="T2195" s="270">
        <v>25918.7</v>
      </c>
      <c r="U2195" s="271" t="s">
        <v>3945</v>
      </c>
      <c r="V2195" s="267" t="s">
        <v>944</v>
      </c>
    </row>
    <row r="2196" spans="1:22" hidden="1" x14ac:dyDescent="0.25">
      <c r="A2196" s="266">
        <v>43590</v>
      </c>
      <c r="B2196" s="267">
        <v>2019</v>
      </c>
      <c r="C2196" s="267">
        <v>2019</v>
      </c>
      <c r="D2196" s="267">
        <v>1</v>
      </c>
      <c r="E2196" s="267">
        <v>1</v>
      </c>
      <c r="F2196" s="267" t="s">
        <v>944</v>
      </c>
      <c r="G2196" s="267" t="s">
        <v>3926</v>
      </c>
      <c r="H2196" s="267" t="s">
        <v>6532</v>
      </c>
      <c r="I2196" s="267" t="s">
        <v>4239</v>
      </c>
      <c r="J2196" s="267" t="s">
        <v>3928</v>
      </c>
      <c r="K2196" s="267">
        <v>6085</v>
      </c>
      <c r="L2196" s="267">
        <v>460302</v>
      </c>
      <c r="M2196" s="267" t="s">
        <v>3960</v>
      </c>
      <c r="N2196" s="267" t="s">
        <v>3944</v>
      </c>
      <c r="O2196" s="267">
        <v>1574.55</v>
      </c>
      <c r="P2196" s="267" t="s">
        <v>3944</v>
      </c>
      <c r="Q2196" s="267" t="s">
        <v>3944</v>
      </c>
      <c r="R2196" s="267">
        <v>1574.55</v>
      </c>
      <c r="S2196" s="267">
        <v>14034.45</v>
      </c>
      <c r="T2196" s="267">
        <v>15609</v>
      </c>
      <c r="U2196" s="268" t="s">
        <v>3945</v>
      </c>
      <c r="V2196" s="267" t="s">
        <v>944</v>
      </c>
    </row>
    <row r="2197" spans="1:22" hidden="1" x14ac:dyDescent="0.25">
      <c r="A2197" s="269">
        <v>43590</v>
      </c>
      <c r="B2197" s="270">
        <v>2019</v>
      </c>
      <c r="C2197" s="270">
        <v>2019</v>
      </c>
      <c r="D2197" s="270">
        <v>1</v>
      </c>
      <c r="E2197" s="270">
        <v>1</v>
      </c>
      <c r="F2197" s="270" t="s">
        <v>944</v>
      </c>
      <c r="G2197" s="270" t="s">
        <v>3926</v>
      </c>
      <c r="H2197" s="270" t="s">
        <v>6533</v>
      </c>
      <c r="I2197" s="270" t="s">
        <v>3012</v>
      </c>
      <c r="J2197" s="270" t="s">
        <v>3928</v>
      </c>
      <c r="K2197" s="270">
        <v>6477</v>
      </c>
      <c r="L2197" s="270">
        <v>157200</v>
      </c>
      <c r="M2197" s="270" t="s">
        <v>3943</v>
      </c>
      <c r="N2197" s="270" t="s">
        <v>3944</v>
      </c>
      <c r="O2197" s="270">
        <v>4775.72</v>
      </c>
      <c r="P2197" s="270" t="s">
        <v>3944</v>
      </c>
      <c r="Q2197" s="270" t="s">
        <v>3944</v>
      </c>
      <c r="R2197" s="270">
        <v>4775.72</v>
      </c>
      <c r="S2197" s="270">
        <v>78264.83</v>
      </c>
      <c r="T2197" s="270">
        <v>83040.55</v>
      </c>
      <c r="U2197" s="271" t="s">
        <v>3945</v>
      </c>
      <c r="V2197" s="267" t="s">
        <v>944</v>
      </c>
    </row>
    <row r="2198" spans="1:22" hidden="1" x14ac:dyDescent="0.25">
      <c r="A2198" s="266">
        <v>43590</v>
      </c>
      <c r="B2198" s="267">
        <v>2019</v>
      </c>
      <c r="C2198" s="267">
        <v>2019</v>
      </c>
      <c r="D2198" s="267">
        <v>1</v>
      </c>
      <c r="E2198" s="267">
        <v>1</v>
      </c>
      <c r="F2198" s="267" t="s">
        <v>944</v>
      </c>
      <c r="G2198" s="267" t="s">
        <v>3926</v>
      </c>
      <c r="H2198" s="267" t="s">
        <v>6534</v>
      </c>
      <c r="I2198" s="267" t="s">
        <v>4073</v>
      </c>
      <c r="J2198" s="267" t="s">
        <v>3928</v>
      </c>
      <c r="K2198" s="267">
        <v>6776</v>
      </c>
      <c r="L2198" s="267">
        <v>253200</v>
      </c>
      <c r="M2198" s="267" t="s">
        <v>3960</v>
      </c>
      <c r="N2198" s="267" t="s">
        <v>3944</v>
      </c>
      <c r="O2198" s="267">
        <v>2170.6</v>
      </c>
      <c r="P2198" s="267" t="s">
        <v>3944</v>
      </c>
      <c r="Q2198" s="267" t="s">
        <v>3944</v>
      </c>
      <c r="R2198" s="267">
        <v>2170.6</v>
      </c>
      <c r="S2198" s="267">
        <v>29418.19</v>
      </c>
      <c r="T2198" s="267">
        <v>31588.79</v>
      </c>
      <c r="U2198" s="268" t="s">
        <v>3945</v>
      </c>
      <c r="V2198" s="267" t="s">
        <v>944</v>
      </c>
    </row>
    <row r="2199" spans="1:22" hidden="1" x14ac:dyDescent="0.25">
      <c r="A2199" s="269">
        <v>43590</v>
      </c>
      <c r="B2199" s="270">
        <v>2019</v>
      </c>
      <c r="C2199" s="270">
        <v>2019</v>
      </c>
      <c r="D2199" s="270">
        <v>1</v>
      </c>
      <c r="E2199" s="270">
        <v>1</v>
      </c>
      <c r="F2199" s="270" t="s">
        <v>944</v>
      </c>
      <c r="G2199" s="270" t="s">
        <v>3926</v>
      </c>
      <c r="H2199" s="270" t="s">
        <v>6535</v>
      </c>
      <c r="I2199" s="270" t="s">
        <v>953</v>
      </c>
      <c r="J2199" s="270" t="s">
        <v>3928</v>
      </c>
      <c r="K2199" s="270">
        <v>6517</v>
      </c>
      <c r="L2199" s="270">
        <v>165100</v>
      </c>
      <c r="M2199" s="270" t="s">
        <v>3935</v>
      </c>
      <c r="N2199" s="270" t="s">
        <v>3944</v>
      </c>
      <c r="O2199" s="270">
        <v>2421.7600000000002</v>
      </c>
      <c r="P2199" s="270" t="s">
        <v>3944</v>
      </c>
      <c r="Q2199" s="270" t="s">
        <v>3944</v>
      </c>
      <c r="R2199" s="270">
        <v>2421.7600000000002</v>
      </c>
      <c r="S2199" s="270">
        <v>32996.21</v>
      </c>
      <c r="T2199" s="270">
        <v>35417.97</v>
      </c>
      <c r="U2199" s="271" t="s">
        <v>3945</v>
      </c>
      <c r="V2199" s="267" t="s">
        <v>944</v>
      </c>
    </row>
    <row r="2200" spans="1:22" hidden="1" x14ac:dyDescent="0.25">
      <c r="A2200" s="266">
        <v>43590</v>
      </c>
      <c r="B2200" s="267">
        <v>2019</v>
      </c>
      <c r="C2200" s="267">
        <v>2019</v>
      </c>
      <c r="D2200" s="267">
        <v>1</v>
      </c>
      <c r="E2200" s="267">
        <v>1</v>
      </c>
      <c r="F2200" s="267" t="s">
        <v>944</v>
      </c>
      <c r="G2200" s="267" t="s">
        <v>3926</v>
      </c>
      <c r="H2200" s="267" t="s">
        <v>6536</v>
      </c>
      <c r="I2200" s="267" t="s">
        <v>4301</v>
      </c>
      <c r="J2200" s="267" t="s">
        <v>3928</v>
      </c>
      <c r="K2200" s="267">
        <v>6359</v>
      </c>
      <c r="L2200" s="267">
        <v>707100</v>
      </c>
      <c r="M2200" s="267" t="s">
        <v>3935</v>
      </c>
      <c r="N2200" s="267" t="s">
        <v>3944</v>
      </c>
      <c r="O2200" s="267">
        <v>1999.31</v>
      </c>
      <c r="P2200" s="267" t="s">
        <v>3944</v>
      </c>
      <c r="Q2200" s="267" t="s">
        <v>3944</v>
      </c>
      <c r="R2200" s="267">
        <v>1999.31</v>
      </c>
      <c r="S2200" s="267">
        <v>27941.4</v>
      </c>
      <c r="T2200" s="267">
        <v>29940.71</v>
      </c>
      <c r="U2200" s="268" t="s">
        <v>3945</v>
      </c>
      <c r="V2200" s="267" t="s">
        <v>944</v>
      </c>
    </row>
    <row r="2201" spans="1:22" hidden="1" x14ac:dyDescent="0.25">
      <c r="A2201" s="269">
        <v>43590</v>
      </c>
      <c r="B2201" s="270">
        <v>2019</v>
      </c>
      <c r="C2201" s="270">
        <v>2019</v>
      </c>
      <c r="D2201" s="270">
        <v>1</v>
      </c>
      <c r="E2201" s="270">
        <v>1</v>
      </c>
      <c r="F2201" s="270" t="s">
        <v>944</v>
      </c>
      <c r="G2201" s="270" t="s">
        <v>3926</v>
      </c>
      <c r="H2201" s="270" t="s">
        <v>6537</v>
      </c>
      <c r="I2201" s="270" t="s">
        <v>2987</v>
      </c>
      <c r="J2201" s="270" t="s">
        <v>3928</v>
      </c>
      <c r="K2201" s="270">
        <v>6611</v>
      </c>
      <c r="L2201" s="270">
        <v>90400</v>
      </c>
      <c r="M2201" s="270" t="s">
        <v>3943</v>
      </c>
      <c r="N2201" s="270" t="s">
        <v>3944</v>
      </c>
      <c r="O2201" s="270">
        <v>1380.02</v>
      </c>
      <c r="P2201" s="270" t="s">
        <v>3944</v>
      </c>
      <c r="Q2201" s="270" t="s">
        <v>3944</v>
      </c>
      <c r="R2201" s="270">
        <v>1380.02</v>
      </c>
      <c r="S2201" s="270">
        <v>14709.98</v>
      </c>
      <c r="T2201" s="270">
        <v>16090</v>
      </c>
      <c r="U2201" s="271" t="s">
        <v>3945</v>
      </c>
      <c r="V2201" s="267" t="s">
        <v>944</v>
      </c>
    </row>
    <row r="2202" spans="1:22" hidden="1" x14ac:dyDescent="0.25">
      <c r="A2202" s="266">
        <v>43590</v>
      </c>
      <c r="B2202" s="267">
        <v>2019</v>
      </c>
      <c r="C2202" s="267">
        <v>2019</v>
      </c>
      <c r="D2202" s="267">
        <v>1</v>
      </c>
      <c r="E2202" s="267">
        <v>1</v>
      </c>
      <c r="F2202" s="267" t="s">
        <v>944</v>
      </c>
      <c r="G2202" s="267" t="s">
        <v>3926</v>
      </c>
      <c r="H2202" s="267" t="s">
        <v>6538</v>
      </c>
      <c r="I2202" s="267" t="s">
        <v>4019</v>
      </c>
      <c r="J2202" s="267" t="s">
        <v>3928</v>
      </c>
      <c r="K2202" s="267">
        <v>6705</v>
      </c>
      <c r="L2202" s="267">
        <v>352800</v>
      </c>
      <c r="M2202" s="267" t="s">
        <v>3940</v>
      </c>
      <c r="N2202" s="267" t="s">
        <v>3944</v>
      </c>
      <c r="O2202" s="267">
        <v>1607.94</v>
      </c>
      <c r="P2202" s="267" t="s">
        <v>3944</v>
      </c>
      <c r="Q2202" s="267" t="s">
        <v>3944</v>
      </c>
      <c r="R2202" s="267">
        <v>1607.94</v>
      </c>
      <c r="S2202" s="267">
        <v>24515.98</v>
      </c>
      <c r="T2202" s="267">
        <v>26123.919999999998</v>
      </c>
      <c r="U2202" s="268" t="s">
        <v>3945</v>
      </c>
      <c r="V2202" s="267" t="s">
        <v>944</v>
      </c>
    </row>
    <row r="2203" spans="1:22" hidden="1" x14ac:dyDescent="0.25">
      <c r="A2203" s="269">
        <v>43590</v>
      </c>
      <c r="B2203" s="270">
        <v>2019</v>
      </c>
      <c r="C2203" s="270">
        <v>2019</v>
      </c>
      <c r="D2203" s="270">
        <v>1</v>
      </c>
      <c r="E2203" s="270">
        <v>1</v>
      </c>
      <c r="F2203" s="270" t="s">
        <v>944</v>
      </c>
      <c r="G2203" s="270" t="s">
        <v>3926</v>
      </c>
      <c r="H2203" s="270" t="s">
        <v>6539</v>
      </c>
      <c r="I2203" s="270" t="s">
        <v>4435</v>
      </c>
      <c r="J2203" s="270" t="s">
        <v>3928</v>
      </c>
      <c r="K2203" s="270">
        <v>6249</v>
      </c>
      <c r="L2203" s="270">
        <v>870100</v>
      </c>
      <c r="M2203" s="270" t="s">
        <v>3960</v>
      </c>
      <c r="N2203" s="270" t="s">
        <v>3944</v>
      </c>
      <c r="O2203" s="270">
        <v>1790.46</v>
      </c>
      <c r="P2203" s="270" t="s">
        <v>3944</v>
      </c>
      <c r="Q2203" s="270" t="s">
        <v>3944</v>
      </c>
      <c r="R2203" s="270">
        <v>1790.46</v>
      </c>
      <c r="S2203" s="270">
        <v>24945.88</v>
      </c>
      <c r="T2203" s="270">
        <v>26736.34</v>
      </c>
      <c r="U2203" s="271" t="s">
        <v>3945</v>
      </c>
      <c r="V2203" s="267" t="s">
        <v>944</v>
      </c>
    </row>
    <row r="2204" spans="1:22" hidden="1" x14ac:dyDescent="0.25">
      <c r="A2204" s="266">
        <v>43590</v>
      </c>
      <c r="B2204" s="267">
        <v>2019</v>
      </c>
      <c r="C2204" s="267">
        <v>2019</v>
      </c>
      <c r="D2204" s="267">
        <v>1</v>
      </c>
      <c r="E2204" s="267">
        <v>1</v>
      </c>
      <c r="F2204" s="267" t="s">
        <v>944</v>
      </c>
      <c r="G2204" s="267" t="s">
        <v>3926</v>
      </c>
      <c r="H2204" s="267" t="s">
        <v>6540</v>
      </c>
      <c r="I2204" s="267" t="s">
        <v>953</v>
      </c>
      <c r="J2204" s="267" t="s">
        <v>3928</v>
      </c>
      <c r="K2204" s="267">
        <v>6518</v>
      </c>
      <c r="L2204" s="267">
        <v>165900</v>
      </c>
      <c r="M2204" s="267" t="s">
        <v>3943</v>
      </c>
      <c r="N2204" s="267" t="s">
        <v>3944</v>
      </c>
      <c r="O2204" s="267">
        <v>1847.06</v>
      </c>
      <c r="P2204" s="267" t="s">
        <v>3944</v>
      </c>
      <c r="Q2204" s="267" t="s">
        <v>3944</v>
      </c>
      <c r="R2204" s="267">
        <v>1847.06</v>
      </c>
      <c r="S2204" s="267">
        <v>27904.3</v>
      </c>
      <c r="T2204" s="267">
        <v>29751.360000000001</v>
      </c>
      <c r="U2204" s="268" t="s">
        <v>3945</v>
      </c>
      <c r="V2204" s="267" t="s">
        <v>944</v>
      </c>
    </row>
    <row r="2205" spans="1:22" hidden="1" x14ac:dyDescent="0.25">
      <c r="A2205" s="269">
        <v>43590</v>
      </c>
      <c r="B2205" s="270">
        <v>2019</v>
      </c>
      <c r="C2205" s="270">
        <v>2019</v>
      </c>
      <c r="D2205" s="270">
        <v>1</v>
      </c>
      <c r="E2205" s="270">
        <v>1</v>
      </c>
      <c r="F2205" s="270" t="s">
        <v>944</v>
      </c>
      <c r="G2205" s="270" t="s">
        <v>3926</v>
      </c>
      <c r="H2205" s="270" t="s">
        <v>6541</v>
      </c>
      <c r="I2205" s="270" t="s">
        <v>4073</v>
      </c>
      <c r="J2205" s="270" t="s">
        <v>3928</v>
      </c>
      <c r="K2205" s="270">
        <v>6776</v>
      </c>
      <c r="L2205" s="270">
        <v>253200</v>
      </c>
      <c r="M2205" s="270" t="s">
        <v>3960</v>
      </c>
      <c r="N2205" s="270" t="s">
        <v>3944</v>
      </c>
      <c r="O2205" s="270">
        <v>2450.1799999999998</v>
      </c>
      <c r="P2205" s="270" t="s">
        <v>3944</v>
      </c>
      <c r="Q2205" s="270" t="s">
        <v>3944</v>
      </c>
      <c r="R2205" s="270">
        <v>2450.1799999999998</v>
      </c>
      <c r="S2205" s="270">
        <v>24481.82</v>
      </c>
      <c r="T2205" s="270">
        <v>26932</v>
      </c>
      <c r="U2205" s="271" t="s">
        <v>3945</v>
      </c>
      <c r="V2205" s="267" t="s">
        <v>944</v>
      </c>
    </row>
    <row r="2206" spans="1:22" hidden="1" x14ac:dyDescent="0.25">
      <c r="A2206" s="266">
        <v>43590</v>
      </c>
      <c r="B2206" s="267">
        <v>2019</v>
      </c>
      <c r="C2206" s="267">
        <v>2019</v>
      </c>
      <c r="D2206" s="267">
        <v>1</v>
      </c>
      <c r="E2206" s="267">
        <v>1</v>
      </c>
      <c r="F2206" s="267" t="s">
        <v>944</v>
      </c>
      <c r="G2206" s="267" t="s">
        <v>3926</v>
      </c>
      <c r="H2206" s="267" t="s">
        <v>6542</v>
      </c>
      <c r="I2206" s="267" t="s">
        <v>5659</v>
      </c>
      <c r="J2206" s="267" t="s">
        <v>3928</v>
      </c>
      <c r="K2206" s="267">
        <v>6419</v>
      </c>
      <c r="L2206" s="267">
        <v>640100</v>
      </c>
      <c r="M2206" s="267" t="s">
        <v>3943</v>
      </c>
      <c r="N2206" s="267" t="s">
        <v>3944</v>
      </c>
      <c r="O2206" s="267">
        <v>1612.7</v>
      </c>
      <c r="P2206" s="267" t="s">
        <v>3944</v>
      </c>
      <c r="Q2206" s="267" t="s">
        <v>3944</v>
      </c>
      <c r="R2206" s="267">
        <v>1612.7</v>
      </c>
      <c r="S2206" s="267">
        <v>20979.1</v>
      </c>
      <c r="T2206" s="267">
        <v>22591.8</v>
      </c>
      <c r="U2206" s="268" t="s">
        <v>3945</v>
      </c>
      <c r="V2206" s="267" t="s">
        <v>944</v>
      </c>
    </row>
    <row r="2207" spans="1:22" hidden="1" x14ac:dyDescent="0.25">
      <c r="A2207" s="269">
        <v>43590</v>
      </c>
      <c r="B2207" s="270">
        <v>2019</v>
      </c>
      <c r="C2207" s="270">
        <v>2019</v>
      </c>
      <c r="D2207" s="270">
        <v>1</v>
      </c>
      <c r="E2207" s="270">
        <v>1</v>
      </c>
      <c r="F2207" s="270" t="s">
        <v>944</v>
      </c>
      <c r="G2207" s="270" t="s">
        <v>3926</v>
      </c>
      <c r="H2207" s="270" t="s">
        <v>6543</v>
      </c>
      <c r="I2207" s="270" t="s">
        <v>4250</v>
      </c>
      <c r="J2207" s="270" t="s">
        <v>3928</v>
      </c>
      <c r="K2207" s="270">
        <v>6239</v>
      </c>
      <c r="L2207" s="270">
        <v>904500</v>
      </c>
      <c r="M2207" s="270" t="s">
        <v>3940</v>
      </c>
      <c r="N2207" s="270" t="s">
        <v>3944</v>
      </c>
      <c r="O2207" s="270">
        <v>2460.12</v>
      </c>
      <c r="P2207" s="270" t="s">
        <v>3944</v>
      </c>
      <c r="Q2207" s="270" t="s">
        <v>3944</v>
      </c>
      <c r="R2207" s="270">
        <v>2460.12</v>
      </c>
      <c r="S2207" s="270">
        <v>35329.06</v>
      </c>
      <c r="T2207" s="270">
        <v>37789.18</v>
      </c>
      <c r="U2207" s="271" t="s">
        <v>3945</v>
      </c>
      <c r="V2207" s="267" t="s">
        <v>944</v>
      </c>
    </row>
    <row r="2208" spans="1:22" hidden="1" x14ac:dyDescent="0.25">
      <c r="A2208" s="266">
        <v>43590</v>
      </c>
      <c r="B2208" s="267">
        <v>2019</v>
      </c>
      <c r="C2208" s="267">
        <v>2019</v>
      </c>
      <c r="D2208" s="267">
        <v>1</v>
      </c>
      <c r="E2208" s="267">
        <v>1</v>
      </c>
      <c r="F2208" s="267" t="s">
        <v>944</v>
      </c>
      <c r="G2208" s="267" t="s">
        <v>3926</v>
      </c>
      <c r="H2208" s="267" t="s">
        <v>6544</v>
      </c>
      <c r="I2208" s="267" t="s">
        <v>4073</v>
      </c>
      <c r="J2208" s="267" t="s">
        <v>3928</v>
      </c>
      <c r="K2208" s="267">
        <v>6776</v>
      </c>
      <c r="L2208" s="267">
        <v>253500</v>
      </c>
      <c r="M2208" s="267" t="s">
        <v>3943</v>
      </c>
      <c r="N2208" s="267" t="s">
        <v>3944</v>
      </c>
      <c r="O2208" s="267">
        <v>2639.95</v>
      </c>
      <c r="P2208" s="267" t="s">
        <v>3944</v>
      </c>
      <c r="Q2208" s="267" t="s">
        <v>3944</v>
      </c>
      <c r="R2208" s="267">
        <v>2639.95</v>
      </c>
      <c r="S2208" s="267">
        <v>37007.379999999997</v>
      </c>
      <c r="T2208" s="267">
        <v>39647.33</v>
      </c>
      <c r="U2208" s="268" t="s">
        <v>3945</v>
      </c>
      <c r="V2208" s="267" t="s">
        <v>944</v>
      </c>
    </row>
    <row r="2209" spans="1:22" x14ac:dyDescent="0.25">
      <c r="A2209" s="269">
        <v>43590</v>
      </c>
      <c r="B2209" s="270">
        <v>2019</v>
      </c>
      <c r="C2209" s="270">
        <v>2019</v>
      </c>
      <c r="D2209" s="270">
        <v>1</v>
      </c>
      <c r="E2209" s="270">
        <v>1</v>
      </c>
      <c r="F2209" s="270" t="s">
        <v>944</v>
      </c>
      <c r="G2209" s="270" t="s">
        <v>3926</v>
      </c>
      <c r="H2209" s="270" t="s">
        <v>6545</v>
      </c>
      <c r="I2209" s="270" t="s">
        <v>950</v>
      </c>
      <c r="J2209" s="270" t="s">
        <v>3928</v>
      </c>
      <c r="K2209" s="270">
        <v>6516</v>
      </c>
      <c r="L2209" s="270">
        <v>154500</v>
      </c>
      <c r="M2209" s="270">
        <v>-60</v>
      </c>
      <c r="N2209" s="270" t="s">
        <v>3944</v>
      </c>
      <c r="O2209" s="270">
        <v>1387.26</v>
      </c>
      <c r="P2209" s="270" t="s">
        <v>3944</v>
      </c>
      <c r="Q2209" s="270" t="s">
        <v>3944</v>
      </c>
      <c r="R2209" s="270">
        <v>1387.26</v>
      </c>
      <c r="S2209" s="270">
        <v>19149.060000000001</v>
      </c>
      <c r="T2209" s="270">
        <v>20536.32</v>
      </c>
      <c r="U2209" s="271" t="s">
        <v>3945</v>
      </c>
      <c r="V2209" s="276" t="s">
        <v>936</v>
      </c>
    </row>
    <row r="2210" spans="1:22" hidden="1" x14ac:dyDescent="0.25">
      <c r="A2210" s="266">
        <v>43590</v>
      </c>
      <c r="B2210" s="267">
        <v>2019</v>
      </c>
      <c r="C2210" s="267">
        <v>2019</v>
      </c>
      <c r="D2210" s="267">
        <v>1</v>
      </c>
      <c r="E2210" s="267">
        <v>1</v>
      </c>
      <c r="F2210" s="267" t="s">
        <v>944</v>
      </c>
      <c r="G2210" s="267" t="s">
        <v>3926</v>
      </c>
      <c r="H2210" s="267" t="s">
        <v>6546</v>
      </c>
      <c r="I2210" s="267" t="s">
        <v>4200</v>
      </c>
      <c r="J2210" s="267" t="s">
        <v>3928</v>
      </c>
      <c r="K2210" s="267">
        <v>6795</v>
      </c>
      <c r="L2210" s="267">
        <v>360100</v>
      </c>
      <c r="M2210" s="267" t="s">
        <v>3935</v>
      </c>
      <c r="N2210" s="267" t="s">
        <v>3944</v>
      </c>
      <c r="O2210" s="267">
        <v>1628.69</v>
      </c>
      <c r="P2210" s="267" t="s">
        <v>3944</v>
      </c>
      <c r="Q2210" s="267" t="s">
        <v>3944</v>
      </c>
      <c r="R2210" s="267">
        <v>1628.69</v>
      </c>
      <c r="S2210" s="267">
        <v>21946.74</v>
      </c>
      <c r="T2210" s="267">
        <v>23575.43</v>
      </c>
      <c r="U2210" s="268" t="s">
        <v>3945</v>
      </c>
      <c r="V2210" s="267" t="s">
        <v>944</v>
      </c>
    </row>
    <row r="2211" spans="1:22" hidden="1" x14ac:dyDescent="0.25">
      <c r="A2211" s="269">
        <v>43591</v>
      </c>
      <c r="B2211" s="270">
        <v>2019</v>
      </c>
      <c r="C2211" s="270">
        <v>2019</v>
      </c>
      <c r="D2211" s="270">
        <v>1</v>
      </c>
      <c r="E2211" s="270">
        <v>1</v>
      </c>
      <c r="F2211" s="270" t="s">
        <v>944</v>
      </c>
      <c r="G2211" s="270" t="s">
        <v>3926</v>
      </c>
      <c r="H2211" s="270" t="s">
        <v>6547</v>
      </c>
      <c r="I2211" s="270" t="s">
        <v>934</v>
      </c>
      <c r="J2211" s="270" t="s">
        <v>3928</v>
      </c>
      <c r="K2211" s="270">
        <v>6610</v>
      </c>
      <c r="L2211" s="270">
        <v>73000</v>
      </c>
      <c r="M2211" s="270" t="s">
        <v>3960</v>
      </c>
      <c r="N2211" s="270" t="s">
        <v>6548</v>
      </c>
      <c r="O2211" s="270">
        <v>0</v>
      </c>
      <c r="P2211" s="270" t="s">
        <v>3930</v>
      </c>
      <c r="Q2211" s="270" t="s">
        <v>3931</v>
      </c>
      <c r="R2211" s="270">
        <v>5000</v>
      </c>
      <c r="S2211" s="270">
        <v>17512</v>
      </c>
      <c r="T2211" s="270">
        <v>22512</v>
      </c>
      <c r="U2211" s="271" t="s">
        <v>3932</v>
      </c>
      <c r="V2211" s="267" t="s">
        <v>944</v>
      </c>
    </row>
    <row r="2212" spans="1:22" hidden="1" x14ac:dyDescent="0.25">
      <c r="A2212" s="266">
        <v>43591</v>
      </c>
      <c r="B2212" s="267">
        <v>2019</v>
      </c>
      <c r="C2212" s="267">
        <v>2019</v>
      </c>
      <c r="D2212" s="267">
        <v>1</v>
      </c>
      <c r="E2212" s="267">
        <v>1</v>
      </c>
      <c r="F2212" s="267" t="s">
        <v>944</v>
      </c>
      <c r="G2212" s="267" t="s">
        <v>3926</v>
      </c>
      <c r="H2212" s="267" t="s">
        <v>6549</v>
      </c>
      <c r="I2212" s="267" t="s">
        <v>2987</v>
      </c>
      <c r="J2212" s="267" t="s">
        <v>3928</v>
      </c>
      <c r="K2212" s="267">
        <v>6611</v>
      </c>
      <c r="L2212" s="267">
        <v>90400</v>
      </c>
      <c r="M2212" s="267" t="s">
        <v>3943</v>
      </c>
      <c r="N2212" s="267" t="s">
        <v>3986</v>
      </c>
      <c r="O2212" s="267">
        <v>3000.74</v>
      </c>
      <c r="P2212" s="267" t="s">
        <v>3930</v>
      </c>
      <c r="Q2212" s="267" t="s">
        <v>3931</v>
      </c>
      <c r="R2212" s="267">
        <v>8000.74</v>
      </c>
      <c r="S2212" s="267">
        <v>16196.8</v>
      </c>
      <c r="T2212" s="267">
        <v>24197.54</v>
      </c>
      <c r="U2212" s="268" t="s">
        <v>3932</v>
      </c>
      <c r="V2212" s="267" t="s">
        <v>944</v>
      </c>
    </row>
    <row r="2213" spans="1:22" hidden="1" x14ac:dyDescent="0.25">
      <c r="A2213" s="269">
        <v>43591</v>
      </c>
      <c r="B2213" s="270">
        <v>2019</v>
      </c>
      <c r="C2213" s="270">
        <v>2019</v>
      </c>
      <c r="D2213" s="270">
        <v>1</v>
      </c>
      <c r="E2213" s="270">
        <v>1</v>
      </c>
      <c r="F2213" s="270" t="s">
        <v>944</v>
      </c>
      <c r="G2213" s="270" t="s">
        <v>3926</v>
      </c>
      <c r="H2213" s="270" t="s">
        <v>6550</v>
      </c>
      <c r="I2213" s="270" t="s">
        <v>4250</v>
      </c>
      <c r="J2213" s="270" t="s">
        <v>3928</v>
      </c>
      <c r="K2213" s="270">
        <v>6239</v>
      </c>
      <c r="L2213" s="270">
        <v>904500</v>
      </c>
      <c r="M2213" s="270" t="s">
        <v>3940</v>
      </c>
      <c r="N2213" s="270" t="s">
        <v>4582</v>
      </c>
      <c r="O2213" s="270">
        <v>2052.4</v>
      </c>
      <c r="P2213" s="270" t="s">
        <v>3930</v>
      </c>
      <c r="Q2213" s="270" t="s">
        <v>3931</v>
      </c>
      <c r="R2213" s="270">
        <v>7052.4</v>
      </c>
      <c r="S2213" s="270">
        <v>34785.4</v>
      </c>
      <c r="T2213" s="270">
        <v>41837.800000000003</v>
      </c>
      <c r="U2213" s="271" t="s">
        <v>3932</v>
      </c>
      <c r="V2213" s="267" t="s">
        <v>944</v>
      </c>
    </row>
    <row r="2214" spans="1:22" hidden="1" x14ac:dyDescent="0.25">
      <c r="A2214" s="266">
        <v>43591</v>
      </c>
      <c r="B2214" s="267">
        <v>2019</v>
      </c>
      <c r="C2214" s="267">
        <v>2019</v>
      </c>
      <c r="D2214" s="267">
        <v>1</v>
      </c>
      <c r="E2214" s="267">
        <v>1</v>
      </c>
      <c r="F2214" s="267" t="s">
        <v>944</v>
      </c>
      <c r="G2214" s="267" t="s">
        <v>3926</v>
      </c>
      <c r="H2214" s="267" t="s">
        <v>6551</v>
      </c>
      <c r="I2214" s="267" t="s">
        <v>3968</v>
      </c>
      <c r="J2214" s="267" t="s">
        <v>3928</v>
      </c>
      <c r="K2214" s="267">
        <v>6040</v>
      </c>
      <c r="L2214" s="267">
        <v>514800</v>
      </c>
      <c r="M2214" s="267" t="s">
        <v>3940</v>
      </c>
      <c r="N2214" s="267" t="s">
        <v>3929</v>
      </c>
      <c r="O2214" s="267">
        <v>2202.34</v>
      </c>
      <c r="P2214" s="267" t="s">
        <v>3930</v>
      </c>
      <c r="Q2214" s="267" t="s">
        <v>3931</v>
      </c>
      <c r="R2214" s="267">
        <v>7202.34</v>
      </c>
      <c r="S2214" s="267">
        <v>34744</v>
      </c>
      <c r="T2214" s="267">
        <v>41946.34</v>
      </c>
      <c r="U2214" s="268" t="s">
        <v>3932</v>
      </c>
      <c r="V2214" s="267" t="s">
        <v>944</v>
      </c>
    </row>
    <row r="2215" spans="1:22" hidden="1" x14ac:dyDescent="0.25">
      <c r="A2215" s="269">
        <v>43591</v>
      </c>
      <c r="B2215" s="270">
        <v>2019</v>
      </c>
      <c r="C2215" s="270">
        <v>2019</v>
      </c>
      <c r="D2215" s="270">
        <v>1</v>
      </c>
      <c r="E2215" s="270">
        <v>1</v>
      </c>
      <c r="F2215" s="270" t="s">
        <v>944</v>
      </c>
      <c r="G2215" s="270" t="s">
        <v>3926</v>
      </c>
      <c r="H2215" s="270" t="s">
        <v>6552</v>
      </c>
      <c r="I2215" s="270" t="s">
        <v>4323</v>
      </c>
      <c r="J2215" s="270" t="s">
        <v>3928</v>
      </c>
      <c r="K2215" s="270">
        <v>6385</v>
      </c>
      <c r="L2215" s="270">
        <v>693500</v>
      </c>
      <c r="M2215" s="270" t="s">
        <v>3943</v>
      </c>
      <c r="N2215" s="270" t="s">
        <v>3944</v>
      </c>
      <c r="O2215" s="270">
        <v>1590</v>
      </c>
      <c r="P2215" s="270" t="s">
        <v>3944</v>
      </c>
      <c r="Q2215" s="270" t="s">
        <v>3944</v>
      </c>
      <c r="R2215" s="270">
        <v>1590</v>
      </c>
      <c r="S2215" s="270">
        <v>15962.5</v>
      </c>
      <c r="T2215" s="270">
        <v>17552.5</v>
      </c>
      <c r="U2215" s="271" t="s">
        <v>3945</v>
      </c>
      <c r="V2215" s="267" t="s">
        <v>944</v>
      </c>
    </row>
    <row r="2216" spans="1:22" hidden="1" x14ac:dyDescent="0.25">
      <c r="A2216" s="266">
        <v>43591</v>
      </c>
      <c r="B2216" s="267">
        <v>2019</v>
      </c>
      <c r="C2216" s="267">
        <v>2019</v>
      </c>
      <c r="D2216" s="267">
        <v>1</v>
      </c>
      <c r="E2216" s="267">
        <v>1</v>
      </c>
      <c r="F2216" s="267" t="s">
        <v>944</v>
      </c>
      <c r="G2216" s="267" t="s">
        <v>3926</v>
      </c>
      <c r="H2216" s="267" t="s">
        <v>6553</v>
      </c>
      <c r="I2216" s="267" t="s">
        <v>4119</v>
      </c>
      <c r="J2216" s="267" t="s">
        <v>3928</v>
      </c>
      <c r="K2216" s="267">
        <v>6093</v>
      </c>
      <c r="L2216" s="267">
        <v>477200</v>
      </c>
      <c r="M2216" s="267" t="s">
        <v>3943</v>
      </c>
      <c r="N2216" s="267" t="s">
        <v>3944</v>
      </c>
      <c r="O2216" s="267">
        <v>4400</v>
      </c>
      <c r="P2216" s="267" t="s">
        <v>3944</v>
      </c>
      <c r="Q2216" s="267" t="s">
        <v>3944</v>
      </c>
      <c r="R2216" s="267">
        <v>4400</v>
      </c>
      <c r="S2216" s="267">
        <v>33155</v>
      </c>
      <c r="T2216" s="267">
        <v>37555</v>
      </c>
      <c r="U2216" s="268" t="s">
        <v>3945</v>
      </c>
      <c r="V2216" s="267" t="s">
        <v>944</v>
      </c>
    </row>
    <row r="2217" spans="1:22" hidden="1" x14ac:dyDescent="0.25">
      <c r="A2217" s="269">
        <v>43591</v>
      </c>
      <c r="B2217" s="270">
        <v>2019</v>
      </c>
      <c r="C2217" s="270">
        <v>2019</v>
      </c>
      <c r="D2217" s="270">
        <v>1</v>
      </c>
      <c r="E2217" s="270">
        <v>1</v>
      </c>
      <c r="F2217" s="270" t="s">
        <v>944</v>
      </c>
      <c r="G2217" s="270" t="s">
        <v>3926</v>
      </c>
      <c r="H2217" s="270" t="s">
        <v>6554</v>
      </c>
      <c r="I2217" s="270" t="s">
        <v>4244</v>
      </c>
      <c r="J2217" s="270" t="s">
        <v>3928</v>
      </c>
      <c r="K2217" s="270">
        <v>6250</v>
      </c>
      <c r="L2217" s="270">
        <v>881100</v>
      </c>
      <c r="M2217" s="270" t="s">
        <v>3935</v>
      </c>
      <c r="N2217" s="270" t="s">
        <v>3944</v>
      </c>
      <c r="O2217" s="270">
        <v>4308</v>
      </c>
      <c r="P2217" s="270" t="s">
        <v>3944</v>
      </c>
      <c r="Q2217" s="270" t="s">
        <v>3944</v>
      </c>
      <c r="R2217" s="270">
        <v>4308</v>
      </c>
      <c r="S2217" s="270">
        <v>31778</v>
      </c>
      <c r="T2217" s="270">
        <v>36086</v>
      </c>
      <c r="U2217" s="271" t="s">
        <v>3945</v>
      </c>
      <c r="V2217" s="267" t="s">
        <v>944</v>
      </c>
    </row>
    <row r="2218" spans="1:22" hidden="1" x14ac:dyDescent="0.25">
      <c r="A2218" s="266">
        <v>43591</v>
      </c>
      <c r="B2218" s="267">
        <v>2019</v>
      </c>
      <c r="C2218" s="267">
        <v>2019</v>
      </c>
      <c r="D2218" s="267">
        <v>1</v>
      </c>
      <c r="E2218" s="267">
        <v>1</v>
      </c>
      <c r="F2218" s="267" t="s">
        <v>944</v>
      </c>
      <c r="G2218" s="267" t="s">
        <v>3926</v>
      </c>
      <c r="H2218" s="267" t="s">
        <v>6555</v>
      </c>
      <c r="I2218" s="267" t="s">
        <v>4126</v>
      </c>
      <c r="J2218" s="267" t="s">
        <v>3928</v>
      </c>
      <c r="K2218" s="267">
        <v>6880</v>
      </c>
      <c r="L2218" s="267">
        <v>50100</v>
      </c>
      <c r="M2218" s="267" t="s">
        <v>3943</v>
      </c>
      <c r="N2218" s="267" t="s">
        <v>3944</v>
      </c>
      <c r="O2218" s="267">
        <v>3437</v>
      </c>
      <c r="P2218" s="267" t="s">
        <v>3944</v>
      </c>
      <c r="Q2218" s="267" t="s">
        <v>3944</v>
      </c>
      <c r="R2218" s="267">
        <v>3437</v>
      </c>
      <c r="S2218" s="267">
        <v>25889</v>
      </c>
      <c r="T2218" s="267">
        <v>29326</v>
      </c>
      <c r="U2218" s="268" t="s">
        <v>3945</v>
      </c>
      <c r="V2218" s="267" t="s">
        <v>944</v>
      </c>
    </row>
    <row r="2219" spans="1:22" hidden="1" x14ac:dyDescent="0.25">
      <c r="A2219" s="269">
        <v>43591</v>
      </c>
      <c r="B2219" s="270">
        <v>2019</v>
      </c>
      <c r="C2219" s="270">
        <v>2019</v>
      </c>
      <c r="D2219" s="270">
        <v>1</v>
      </c>
      <c r="E2219" s="270">
        <v>1</v>
      </c>
      <c r="F2219" s="270" t="s">
        <v>944</v>
      </c>
      <c r="G2219" s="270" t="s">
        <v>3926</v>
      </c>
      <c r="H2219" s="270" t="s">
        <v>6556</v>
      </c>
      <c r="I2219" s="270" t="s">
        <v>956</v>
      </c>
      <c r="J2219" s="270" t="s">
        <v>3928</v>
      </c>
      <c r="K2219" s="270">
        <v>6614</v>
      </c>
      <c r="L2219" s="270">
        <v>81100</v>
      </c>
      <c r="M2219" s="270" t="s">
        <v>3960</v>
      </c>
      <c r="N2219" s="270" t="s">
        <v>3944</v>
      </c>
      <c r="O2219" s="270">
        <v>2016</v>
      </c>
      <c r="P2219" s="270" t="s">
        <v>3944</v>
      </c>
      <c r="Q2219" s="270" t="s">
        <v>3944</v>
      </c>
      <c r="R2219" s="270">
        <v>2016</v>
      </c>
      <c r="S2219" s="270">
        <v>14399</v>
      </c>
      <c r="T2219" s="270">
        <v>16415</v>
      </c>
      <c r="U2219" s="271" t="s">
        <v>3945</v>
      </c>
      <c r="V2219" s="267" t="s">
        <v>944</v>
      </c>
    </row>
    <row r="2220" spans="1:22" hidden="1" x14ac:dyDescent="0.25">
      <c r="A2220" s="266">
        <v>43591</v>
      </c>
      <c r="B2220" s="267">
        <v>2019</v>
      </c>
      <c r="C2220" s="267">
        <v>2019</v>
      </c>
      <c r="D2220" s="267">
        <v>1</v>
      </c>
      <c r="E2220" s="267">
        <v>1</v>
      </c>
      <c r="F2220" s="267" t="s">
        <v>944</v>
      </c>
      <c r="G2220" s="267" t="s">
        <v>3926</v>
      </c>
      <c r="H2220" s="267" t="s">
        <v>6557</v>
      </c>
      <c r="I2220" s="267" t="s">
        <v>3947</v>
      </c>
      <c r="J2220" s="267" t="s">
        <v>3928</v>
      </c>
      <c r="K2220" s="267">
        <v>6090</v>
      </c>
      <c r="L2220" s="267">
        <v>468101</v>
      </c>
      <c r="M2220" s="267" t="s">
        <v>3943</v>
      </c>
      <c r="N2220" s="267" t="s">
        <v>3944</v>
      </c>
      <c r="O2220" s="267">
        <v>1400</v>
      </c>
      <c r="P2220" s="267" t="s">
        <v>3944</v>
      </c>
      <c r="Q2220" s="267" t="s">
        <v>3944</v>
      </c>
      <c r="R2220" s="267">
        <v>1400</v>
      </c>
      <c r="S2220" s="267">
        <v>27085.26</v>
      </c>
      <c r="T2220" s="267">
        <v>28485.26</v>
      </c>
      <c r="U2220" s="268" t="s">
        <v>3945</v>
      </c>
      <c r="V2220" s="267" t="s">
        <v>944</v>
      </c>
    </row>
    <row r="2221" spans="1:22" hidden="1" x14ac:dyDescent="0.25">
      <c r="A2221" s="269">
        <v>43591</v>
      </c>
      <c r="B2221" s="270">
        <v>2019</v>
      </c>
      <c r="C2221" s="270">
        <v>2019</v>
      </c>
      <c r="D2221" s="270">
        <v>1</v>
      </c>
      <c r="E2221" s="270">
        <v>1</v>
      </c>
      <c r="F2221" s="270" t="s">
        <v>944</v>
      </c>
      <c r="G2221" s="270" t="s">
        <v>3926</v>
      </c>
      <c r="H2221" s="270" t="s">
        <v>6558</v>
      </c>
      <c r="I2221" s="270" t="s">
        <v>3939</v>
      </c>
      <c r="J2221" s="270" t="s">
        <v>3928</v>
      </c>
      <c r="K2221" s="270">
        <v>6512</v>
      </c>
      <c r="L2221" s="270">
        <v>180100</v>
      </c>
      <c r="M2221" s="270" t="s">
        <v>3940</v>
      </c>
      <c r="N2221" s="270" t="s">
        <v>3944</v>
      </c>
      <c r="O2221" s="270">
        <v>3457</v>
      </c>
      <c r="P2221" s="270" t="s">
        <v>3944</v>
      </c>
      <c r="Q2221" s="270" t="s">
        <v>3944</v>
      </c>
      <c r="R2221" s="270">
        <v>3457</v>
      </c>
      <c r="S2221" s="270">
        <v>36297</v>
      </c>
      <c r="T2221" s="270">
        <v>39754</v>
      </c>
      <c r="U2221" s="271" t="s">
        <v>3945</v>
      </c>
      <c r="V2221" s="267" t="s">
        <v>944</v>
      </c>
    </row>
    <row r="2222" spans="1:22" hidden="1" x14ac:dyDescent="0.25">
      <c r="A2222" s="266">
        <v>43591</v>
      </c>
      <c r="B2222" s="267">
        <v>2019</v>
      </c>
      <c r="C2222" s="267">
        <v>2019</v>
      </c>
      <c r="D2222" s="267">
        <v>1</v>
      </c>
      <c r="E2222" s="267">
        <v>1</v>
      </c>
      <c r="F2222" s="267" t="s">
        <v>944</v>
      </c>
      <c r="G2222" s="267" t="s">
        <v>3926</v>
      </c>
      <c r="H2222" s="267" t="s">
        <v>6559</v>
      </c>
      <c r="I2222" s="267" t="s">
        <v>4035</v>
      </c>
      <c r="J2222" s="267" t="s">
        <v>3928</v>
      </c>
      <c r="K2222" s="267">
        <v>6074</v>
      </c>
      <c r="L2222" s="267">
        <v>487400</v>
      </c>
      <c r="M2222" s="267" t="s">
        <v>3943</v>
      </c>
      <c r="N2222" s="267" t="s">
        <v>3944</v>
      </c>
      <c r="O2222" s="267">
        <v>3249</v>
      </c>
      <c r="P2222" s="267" t="s">
        <v>3944</v>
      </c>
      <c r="Q2222" s="267" t="s">
        <v>3944</v>
      </c>
      <c r="R2222" s="267">
        <v>3249</v>
      </c>
      <c r="S2222" s="267">
        <v>24496.2</v>
      </c>
      <c r="T2222" s="267">
        <v>27745.200000000001</v>
      </c>
      <c r="U2222" s="268" t="s">
        <v>3945</v>
      </c>
      <c r="V2222" s="267" t="s">
        <v>944</v>
      </c>
    </row>
    <row r="2223" spans="1:22" hidden="1" x14ac:dyDescent="0.25">
      <c r="A2223" s="269">
        <v>43591</v>
      </c>
      <c r="B2223" s="270">
        <v>2019</v>
      </c>
      <c r="C2223" s="270">
        <v>2019</v>
      </c>
      <c r="D2223" s="270">
        <v>1</v>
      </c>
      <c r="E2223" s="270">
        <v>1</v>
      </c>
      <c r="F2223" s="270" t="s">
        <v>944</v>
      </c>
      <c r="G2223" s="270" t="s">
        <v>3926</v>
      </c>
      <c r="H2223" s="270" t="s">
        <v>6560</v>
      </c>
      <c r="I2223" s="270" t="s">
        <v>3012</v>
      </c>
      <c r="J2223" s="270" t="s">
        <v>3928</v>
      </c>
      <c r="K2223" s="270">
        <v>6477</v>
      </c>
      <c r="L2223" s="270">
        <v>157300</v>
      </c>
      <c r="M2223" s="270" t="s">
        <v>3943</v>
      </c>
      <c r="N2223" s="270" t="s">
        <v>3944</v>
      </c>
      <c r="O2223" s="270">
        <v>2611</v>
      </c>
      <c r="P2223" s="270" t="s">
        <v>3944</v>
      </c>
      <c r="Q2223" s="270" t="s">
        <v>3944</v>
      </c>
      <c r="R2223" s="270">
        <v>2611</v>
      </c>
      <c r="S2223" s="270">
        <v>21162</v>
      </c>
      <c r="T2223" s="270">
        <v>23773</v>
      </c>
      <c r="U2223" s="271" t="s">
        <v>3945</v>
      </c>
      <c r="V2223" s="267" t="s">
        <v>944</v>
      </c>
    </row>
    <row r="2224" spans="1:22" hidden="1" x14ac:dyDescent="0.25">
      <c r="A2224" s="266">
        <v>43591</v>
      </c>
      <c r="B2224" s="267">
        <v>2019</v>
      </c>
      <c r="C2224" s="267">
        <v>2019</v>
      </c>
      <c r="D2224" s="267">
        <v>1</v>
      </c>
      <c r="E2224" s="267">
        <v>1</v>
      </c>
      <c r="F2224" s="267" t="s">
        <v>944</v>
      </c>
      <c r="G2224" s="267" t="s">
        <v>3926</v>
      </c>
      <c r="H2224" s="267" t="s">
        <v>6561</v>
      </c>
      <c r="I2224" s="267" t="s">
        <v>3012</v>
      </c>
      <c r="J2224" s="267" t="s">
        <v>3928</v>
      </c>
      <c r="K2224" s="267">
        <v>6477</v>
      </c>
      <c r="L2224" s="267">
        <v>157400</v>
      </c>
      <c r="M2224" s="267" t="s">
        <v>3943</v>
      </c>
      <c r="N2224" s="267" t="s">
        <v>3944</v>
      </c>
      <c r="O2224" s="267">
        <v>6122</v>
      </c>
      <c r="P2224" s="267" t="s">
        <v>3944</v>
      </c>
      <c r="Q2224" s="267" t="s">
        <v>3944</v>
      </c>
      <c r="R2224" s="267">
        <v>6122</v>
      </c>
      <c r="S2224" s="267">
        <v>50877</v>
      </c>
      <c r="T2224" s="267">
        <v>56999</v>
      </c>
      <c r="U2224" s="268" t="s">
        <v>3945</v>
      </c>
      <c r="V2224" s="267" t="s">
        <v>944</v>
      </c>
    </row>
    <row r="2225" spans="1:22" hidden="1" x14ac:dyDescent="0.25">
      <c r="A2225" s="269">
        <v>43591</v>
      </c>
      <c r="B2225" s="270">
        <v>2019</v>
      </c>
      <c r="C2225" s="270">
        <v>2019</v>
      </c>
      <c r="D2225" s="270">
        <v>1</v>
      </c>
      <c r="E2225" s="270">
        <v>1</v>
      </c>
      <c r="F2225" s="270" t="s">
        <v>944</v>
      </c>
      <c r="G2225" s="270" t="s">
        <v>3926</v>
      </c>
      <c r="H2225" s="270" t="s">
        <v>6562</v>
      </c>
      <c r="I2225" s="270" t="s">
        <v>3975</v>
      </c>
      <c r="J2225" s="270" t="s">
        <v>3928</v>
      </c>
      <c r="K2225" s="270">
        <v>6489</v>
      </c>
      <c r="L2225" s="270">
        <v>430203</v>
      </c>
      <c r="M2225" s="270" t="s">
        <v>3935</v>
      </c>
      <c r="N2225" s="270" t="s">
        <v>3944</v>
      </c>
      <c r="O2225" s="270">
        <v>1920</v>
      </c>
      <c r="P2225" s="270" t="s">
        <v>3944</v>
      </c>
      <c r="Q2225" s="270" t="s">
        <v>3944</v>
      </c>
      <c r="R2225" s="270">
        <v>1920</v>
      </c>
      <c r="S2225" s="270">
        <v>22295</v>
      </c>
      <c r="T2225" s="270">
        <v>24215</v>
      </c>
      <c r="U2225" s="271" t="s">
        <v>3945</v>
      </c>
      <c r="V2225" s="267" t="s">
        <v>944</v>
      </c>
    </row>
    <row r="2226" spans="1:22" hidden="1" x14ac:dyDescent="0.25">
      <c r="A2226" s="266">
        <v>43591</v>
      </c>
      <c r="B2226" s="267">
        <v>2019</v>
      </c>
      <c r="C2226" s="267">
        <v>2019</v>
      </c>
      <c r="D2226" s="267">
        <v>1</v>
      </c>
      <c r="E2226" s="267">
        <v>1</v>
      </c>
      <c r="F2226" s="267" t="s">
        <v>944</v>
      </c>
      <c r="G2226" s="267" t="s">
        <v>3926</v>
      </c>
      <c r="H2226" s="267" t="s">
        <v>6563</v>
      </c>
      <c r="I2226" s="267" t="s">
        <v>3008</v>
      </c>
      <c r="J2226" s="267" t="s">
        <v>3928</v>
      </c>
      <c r="K2226" s="267">
        <v>6460</v>
      </c>
      <c r="L2226" s="267">
        <v>151200</v>
      </c>
      <c r="M2226" s="267" t="s">
        <v>3935</v>
      </c>
      <c r="N2226" s="267" t="s">
        <v>3944</v>
      </c>
      <c r="O2226" s="267">
        <v>1238</v>
      </c>
      <c r="P2226" s="267" t="s">
        <v>3944</v>
      </c>
      <c r="Q2226" s="267" t="s">
        <v>3944</v>
      </c>
      <c r="R2226" s="267">
        <v>1238</v>
      </c>
      <c r="S2226" s="267">
        <v>10138</v>
      </c>
      <c r="T2226" s="267">
        <v>11376</v>
      </c>
      <c r="U2226" s="268" t="s">
        <v>3945</v>
      </c>
      <c r="V2226" s="267" t="s">
        <v>944</v>
      </c>
    </row>
    <row r="2227" spans="1:22" hidden="1" x14ac:dyDescent="0.25">
      <c r="A2227" s="269">
        <v>43591</v>
      </c>
      <c r="B2227" s="270">
        <v>2019</v>
      </c>
      <c r="C2227" s="270">
        <v>2019</v>
      </c>
      <c r="D2227" s="270">
        <v>1</v>
      </c>
      <c r="E2227" s="270">
        <v>1</v>
      </c>
      <c r="F2227" s="270" t="s">
        <v>944</v>
      </c>
      <c r="G2227" s="270" t="s">
        <v>3926</v>
      </c>
      <c r="H2227" s="270" t="s">
        <v>6564</v>
      </c>
      <c r="I2227" s="270" t="s">
        <v>6565</v>
      </c>
      <c r="J2227" s="270" t="s">
        <v>3928</v>
      </c>
      <c r="K2227" s="270">
        <v>6098</v>
      </c>
      <c r="L2227" s="270">
        <v>293100</v>
      </c>
      <c r="M2227" s="270" t="s">
        <v>3960</v>
      </c>
      <c r="N2227" s="270" t="s">
        <v>3944</v>
      </c>
      <c r="O2227" s="270">
        <v>6711</v>
      </c>
      <c r="P2227" s="270" t="s">
        <v>3944</v>
      </c>
      <c r="Q2227" s="270" t="s">
        <v>3944</v>
      </c>
      <c r="R2227" s="270">
        <v>6711</v>
      </c>
      <c r="S2227" s="270">
        <v>45993</v>
      </c>
      <c r="T2227" s="270">
        <v>52704</v>
      </c>
      <c r="U2227" s="271" t="s">
        <v>3945</v>
      </c>
      <c r="V2227" s="267" t="s">
        <v>944</v>
      </c>
    </row>
    <row r="2228" spans="1:22" hidden="1" x14ac:dyDescent="0.25">
      <c r="A2228" s="266">
        <v>43591</v>
      </c>
      <c r="B2228" s="267">
        <v>2019</v>
      </c>
      <c r="C2228" s="267">
        <v>2019</v>
      </c>
      <c r="D2228" s="267">
        <v>1</v>
      </c>
      <c r="E2228" s="267">
        <v>1</v>
      </c>
      <c r="F2228" s="267" t="s">
        <v>944</v>
      </c>
      <c r="G2228" s="267" t="s">
        <v>3926</v>
      </c>
      <c r="H2228" s="267" t="s">
        <v>6566</v>
      </c>
      <c r="I2228" s="267" t="s">
        <v>4126</v>
      </c>
      <c r="J2228" s="267" t="s">
        <v>3928</v>
      </c>
      <c r="K2228" s="267">
        <v>6880</v>
      </c>
      <c r="L2228" s="267">
        <v>50600</v>
      </c>
      <c r="M2228" s="267" t="s">
        <v>3943</v>
      </c>
      <c r="N2228" s="267" t="s">
        <v>3944</v>
      </c>
      <c r="O2228" s="267">
        <v>5920</v>
      </c>
      <c r="P2228" s="267" t="s">
        <v>3944</v>
      </c>
      <c r="Q2228" s="267" t="s">
        <v>3944</v>
      </c>
      <c r="R2228" s="267">
        <v>5920</v>
      </c>
      <c r="S2228" s="267">
        <v>98171</v>
      </c>
      <c r="T2228" s="267">
        <v>104091</v>
      </c>
      <c r="U2228" s="268" t="s">
        <v>3945</v>
      </c>
      <c r="V2228" s="267" t="s">
        <v>944</v>
      </c>
    </row>
    <row r="2229" spans="1:22" hidden="1" x14ac:dyDescent="0.25">
      <c r="A2229" s="269">
        <v>43591</v>
      </c>
      <c r="B2229" s="270">
        <v>2019</v>
      </c>
      <c r="C2229" s="270">
        <v>2019</v>
      </c>
      <c r="D2229" s="270">
        <v>1</v>
      </c>
      <c r="E2229" s="270">
        <v>1</v>
      </c>
      <c r="F2229" s="270" t="s">
        <v>944</v>
      </c>
      <c r="G2229" s="270" t="s">
        <v>3926</v>
      </c>
      <c r="H2229" s="270" t="s">
        <v>6567</v>
      </c>
      <c r="I2229" s="270" t="s">
        <v>4016</v>
      </c>
      <c r="J2229" s="270" t="s">
        <v>3928</v>
      </c>
      <c r="K2229" s="270">
        <v>6770</v>
      </c>
      <c r="L2229" s="270">
        <v>345100</v>
      </c>
      <c r="M2229" s="270" t="s">
        <v>3940</v>
      </c>
      <c r="N2229" s="270" t="s">
        <v>3944</v>
      </c>
      <c r="O2229" s="270">
        <v>2505</v>
      </c>
      <c r="P2229" s="270" t="s">
        <v>3944</v>
      </c>
      <c r="Q2229" s="270" t="s">
        <v>3944</v>
      </c>
      <c r="R2229" s="270">
        <v>2505</v>
      </c>
      <c r="S2229" s="270">
        <v>29688.5</v>
      </c>
      <c r="T2229" s="270">
        <v>32193.5</v>
      </c>
      <c r="U2229" s="271" t="s">
        <v>3945</v>
      </c>
      <c r="V2229" s="267" t="s">
        <v>944</v>
      </c>
    </row>
    <row r="2230" spans="1:22" hidden="1" x14ac:dyDescent="0.25">
      <c r="A2230" s="266">
        <v>43591</v>
      </c>
      <c r="B2230" s="267">
        <v>2019</v>
      </c>
      <c r="C2230" s="267">
        <v>2019</v>
      </c>
      <c r="D2230" s="267">
        <v>1</v>
      </c>
      <c r="E2230" s="267">
        <v>1</v>
      </c>
      <c r="F2230" s="267" t="s">
        <v>944</v>
      </c>
      <c r="G2230" s="267" t="s">
        <v>3926</v>
      </c>
      <c r="H2230" s="267" t="s">
        <v>6568</v>
      </c>
      <c r="I2230" s="267" t="s">
        <v>3025</v>
      </c>
      <c r="J2230" s="267" t="s">
        <v>3928</v>
      </c>
      <c r="K2230" s="267">
        <v>6473</v>
      </c>
      <c r="L2230" s="267">
        <v>167201</v>
      </c>
      <c r="M2230" s="267" t="s">
        <v>3960</v>
      </c>
      <c r="N2230" s="267" t="s">
        <v>3944</v>
      </c>
      <c r="O2230" s="267">
        <v>2767</v>
      </c>
      <c r="P2230" s="267" t="s">
        <v>3944</v>
      </c>
      <c r="Q2230" s="267" t="s">
        <v>3944</v>
      </c>
      <c r="R2230" s="267">
        <v>2767</v>
      </c>
      <c r="S2230" s="267">
        <v>27233.66</v>
      </c>
      <c r="T2230" s="267">
        <v>30000.66</v>
      </c>
      <c r="U2230" s="268" t="s">
        <v>3945</v>
      </c>
      <c r="V2230" s="267" t="s">
        <v>944</v>
      </c>
    </row>
    <row r="2231" spans="1:22" hidden="1" x14ac:dyDescent="0.25">
      <c r="A2231" s="269">
        <v>43591</v>
      </c>
      <c r="B2231" s="270">
        <v>2019</v>
      </c>
      <c r="C2231" s="270">
        <v>2019</v>
      </c>
      <c r="D2231" s="270">
        <v>1</v>
      </c>
      <c r="E2231" s="270">
        <v>1</v>
      </c>
      <c r="F2231" s="270" t="s">
        <v>944</v>
      </c>
      <c r="G2231" s="270" t="s">
        <v>3926</v>
      </c>
      <c r="H2231" s="270" t="s">
        <v>6569</v>
      </c>
      <c r="I2231" s="270" t="s">
        <v>4035</v>
      </c>
      <c r="J2231" s="270" t="s">
        <v>3928</v>
      </c>
      <c r="K2231" s="270">
        <v>6074</v>
      </c>
      <c r="L2231" s="270">
        <v>487100</v>
      </c>
      <c r="M2231" s="270" t="s">
        <v>3943</v>
      </c>
      <c r="N2231" s="270" t="s">
        <v>3944</v>
      </c>
      <c r="O2231" s="270">
        <v>2570</v>
      </c>
      <c r="P2231" s="270" t="s">
        <v>3944</v>
      </c>
      <c r="Q2231" s="270" t="s">
        <v>3944</v>
      </c>
      <c r="R2231" s="270">
        <v>2570</v>
      </c>
      <c r="S2231" s="270">
        <v>34033</v>
      </c>
      <c r="T2231" s="270">
        <v>36603</v>
      </c>
      <c r="U2231" s="271" t="s">
        <v>3945</v>
      </c>
      <c r="V2231" s="267" t="s">
        <v>944</v>
      </c>
    </row>
    <row r="2232" spans="1:22" hidden="1" x14ac:dyDescent="0.25">
      <c r="A2232" s="266">
        <v>43591</v>
      </c>
      <c r="B2232" s="267">
        <v>2019</v>
      </c>
      <c r="C2232" s="267">
        <v>2019</v>
      </c>
      <c r="D2232" s="267">
        <v>1</v>
      </c>
      <c r="E2232" s="267">
        <v>1</v>
      </c>
      <c r="F2232" s="267" t="s">
        <v>944</v>
      </c>
      <c r="G2232" s="267" t="s">
        <v>3926</v>
      </c>
      <c r="H2232" s="267" t="s">
        <v>6570</v>
      </c>
      <c r="I2232" s="267" t="s">
        <v>4019</v>
      </c>
      <c r="J2232" s="267" t="s">
        <v>3928</v>
      </c>
      <c r="K2232" s="267">
        <v>6706</v>
      </c>
      <c r="L2232" s="267">
        <v>352800</v>
      </c>
      <c r="M2232" s="267" t="s">
        <v>3940</v>
      </c>
      <c r="N2232" s="267" t="s">
        <v>3944</v>
      </c>
      <c r="O2232" s="267">
        <v>876</v>
      </c>
      <c r="P2232" s="267" t="s">
        <v>3944</v>
      </c>
      <c r="Q2232" s="267" t="s">
        <v>3944</v>
      </c>
      <c r="R2232" s="267">
        <v>876</v>
      </c>
      <c r="S2232" s="267">
        <v>13299</v>
      </c>
      <c r="T2232" s="267">
        <v>14175</v>
      </c>
      <c r="U2232" s="268" t="s">
        <v>3945</v>
      </c>
      <c r="V2232" s="267" t="s">
        <v>944</v>
      </c>
    </row>
    <row r="2233" spans="1:22" hidden="1" x14ac:dyDescent="0.25">
      <c r="A2233" s="269">
        <v>43591</v>
      </c>
      <c r="B2233" s="270">
        <v>2019</v>
      </c>
      <c r="C2233" s="270">
        <v>2019</v>
      </c>
      <c r="D2233" s="270">
        <v>1</v>
      </c>
      <c r="E2233" s="270">
        <v>1</v>
      </c>
      <c r="F2233" s="270" t="s">
        <v>944</v>
      </c>
      <c r="G2233" s="270" t="s">
        <v>3926</v>
      </c>
      <c r="H2233" s="270" t="s">
        <v>6571</v>
      </c>
      <c r="I2233" s="270" t="s">
        <v>3011</v>
      </c>
      <c r="J2233" s="270" t="s">
        <v>3928</v>
      </c>
      <c r="K2233" s="270">
        <v>6418</v>
      </c>
      <c r="L2233" s="270">
        <v>120100</v>
      </c>
      <c r="M2233" s="270" t="s">
        <v>3940</v>
      </c>
      <c r="N2233" s="270" t="s">
        <v>3944</v>
      </c>
      <c r="O2233" s="270">
        <v>2087</v>
      </c>
      <c r="P2233" s="270" t="s">
        <v>3944</v>
      </c>
      <c r="Q2233" s="270" t="s">
        <v>3944</v>
      </c>
      <c r="R2233" s="270">
        <v>2087</v>
      </c>
      <c r="S2233" s="270">
        <v>21827</v>
      </c>
      <c r="T2233" s="270">
        <v>23914</v>
      </c>
      <c r="U2233" s="271" t="s">
        <v>3945</v>
      </c>
      <c r="V2233" s="267" t="s">
        <v>944</v>
      </c>
    </row>
    <row r="2234" spans="1:22" hidden="1" x14ac:dyDescent="0.25">
      <c r="A2234" s="266">
        <v>43591</v>
      </c>
      <c r="B2234" s="267">
        <v>2019</v>
      </c>
      <c r="C2234" s="267">
        <v>2019</v>
      </c>
      <c r="D2234" s="267">
        <v>1</v>
      </c>
      <c r="E2234" s="267">
        <v>1</v>
      </c>
      <c r="F2234" s="267" t="s">
        <v>944</v>
      </c>
      <c r="G2234" s="267" t="s">
        <v>3926</v>
      </c>
      <c r="H2234" s="267" t="s">
        <v>6572</v>
      </c>
      <c r="I2234" s="267" t="s">
        <v>3964</v>
      </c>
      <c r="J2234" s="267" t="s">
        <v>3928</v>
      </c>
      <c r="K2234" s="267">
        <v>6073</v>
      </c>
      <c r="L2234" s="267">
        <v>520501</v>
      </c>
      <c r="M2234" s="267" t="s">
        <v>3943</v>
      </c>
      <c r="N2234" s="267" t="s">
        <v>3944</v>
      </c>
      <c r="O2234" s="267">
        <v>3249</v>
      </c>
      <c r="P2234" s="267" t="s">
        <v>3944</v>
      </c>
      <c r="Q2234" s="267" t="s">
        <v>3944</v>
      </c>
      <c r="R2234" s="267">
        <v>3249</v>
      </c>
      <c r="S2234" s="267">
        <v>25252.2</v>
      </c>
      <c r="T2234" s="267">
        <v>28501.200000000001</v>
      </c>
      <c r="U2234" s="268" t="s">
        <v>3945</v>
      </c>
      <c r="V2234" s="267" t="s">
        <v>944</v>
      </c>
    </row>
    <row r="2235" spans="1:22" hidden="1" x14ac:dyDescent="0.25">
      <c r="A2235" s="269">
        <v>43591</v>
      </c>
      <c r="B2235" s="270">
        <v>2019</v>
      </c>
      <c r="C2235" s="270">
        <v>2019</v>
      </c>
      <c r="D2235" s="270">
        <v>1</v>
      </c>
      <c r="E2235" s="270">
        <v>1</v>
      </c>
      <c r="F2235" s="270" t="s">
        <v>944</v>
      </c>
      <c r="G2235" s="270" t="s">
        <v>3926</v>
      </c>
      <c r="H2235" s="270" t="s">
        <v>6573</v>
      </c>
      <c r="I2235" s="270" t="s">
        <v>5497</v>
      </c>
      <c r="J2235" s="270" t="s">
        <v>3928</v>
      </c>
      <c r="K2235" s="270">
        <v>6897</v>
      </c>
      <c r="L2235" s="270">
        <v>45400</v>
      </c>
      <c r="M2235" s="270" t="s">
        <v>3943</v>
      </c>
      <c r="N2235" s="270" t="s">
        <v>3944</v>
      </c>
      <c r="O2235" s="270">
        <v>3312</v>
      </c>
      <c r="P2235" s="270" t="s">
        <v>3944</v>
      </c>
      <c r="Q2235" s="270" t="s">
        <v>3944</v>
      </c>
      <c r="R2235" s="270">
        <v>3312</v>
      </c>
      <c r="S2235" s="270">
        <v>42786</v>
      </c>
      <c r="T2235" s="270">
        <v>46098</v>
      </c>
      <c r="U2235" s="271" t="s">
        <v>3945</v>
      </c>
      <c r="V2235" s="267" t="s">
        <v>944</v>
      </c>
    </row>
    <row r="2236" spans="1:22" x14ac:dyDescent="0.25">
      <c r="A2236" s="266">
        <v>43591</v>
      </c>
      <c r="B2236" s="267">
        <v>2019</v>
      </c>
      <c r="C2236" s="267">
        <v>2019</v>
      </c>
      <c r="D2236" s="267">
        <v>1</v>
      </c>
      <c r="E2236" s="267">
        <v>1</v>
      </c>
      <c r="F2236" s="267" t="s">
        <v>944</v>
      </c>
      <c r="G2236" s="267" t="s">
        <v>3926</v>
      </c>
      <c r="H2236" s="267" t="s">
        <v>6574</v>
      </c>
      <c r="I2236" s="267" t="s">
        <v>943</v>
      </c>
      <c r="J2236" s="267" t="s">
        <v>3928</v>
      </c>
      <c r="K2236" s="267">
        <v>6513</v>
      </c>
      <c r="L2236" s="267">
        <v>142603</v>
      </c>
      <c r="M2236" s="267">
        <v>-60</v>
      </c>
      <c r="N2236" s="267" t="s">
        <v>3944</v>
      </c>
      <c r="O2236" s="267">
        <v>1532.44</v>
      </c>
      <c r="P2236" s="267" t="s">
        <v>3944</v>
      </c>
      <c r="Q2236" s="267" t="s">
        <v>3944</v>
      </c>
      <c r="R2236" s="267">
        <v>1532.44</v>
      </c>
      <c r="S2236" s="267">
        <v>24171.56</v>
      </c>
      <c r="T2236" s="267">
        <v>25704</v>
      </c>
      <c r="U2236" s="268" t="s">
        <v>3945</v>
      </c>
      <c r="V2236" s="276" t="s">
        <v>936</v>
      </c>
    </row>
    <row r="2237" spans="1:22" x14ac:dyDescent="0.25">
      <c r="A2237" s="269">
        <v>43591</v>
      </c>
      <c r="B2237" s="270">
        <v>2019</v>
      </c>
      <c r="C2237" s="270">
        <v>2019</v>
      </c>
      <c r="D2237" s="270">
        <v>1</v>
      </c>
      <c r="E2237" s="270">
        <v>1</v>
      </c>
      <c r="F2237" s="270" t="s">
        <v>944</v>
      </c>
      <c r="G2237" s="270" t="s">
        <v>3926</v>
      </c>
      <c r="H2237" s="270" t="s">
        <v>6575</v>
      </c>
      <c r="I2237" s="270" t="s">
        <v>950</v>
      </c>
      <c r="J2237" s="270" t="s">
        <v>3928</v>
      </c>
      <c r="K2237" s="270">
        <v>6516</v>
      </c>
      <c r="L2237" s="270">
        <v>154500</v>
      </c>
      <c r="M2237" s="270">
        <v>-60</v>
      </c>
      <c r="N2237" s="270" t="s">
        <v>3944</v>
      </c>
      <c r="O2237" s="270">
        <v>1371.3</v>
      </c>
      <c r="P2237" s="270" t="s">
        <v>3944</v>
      </c>
      <c r="Q2237" s="270" t="s">
        <v>3944</v>
      </c>
      <c r="R2237" s="270">
        <v>1371.3</v>
      </c>
      <c r="S2237" s="270">
        <v>21559.7</v>
      </c>
      <c r="T2237" s="270">
        <v>22931</v>
      </c>
      <c r="U2237" s="271" t="s">
        <v>3945</v>
      </c>
      <c r="V2237" s="276" t="s">
        <v>936</v>
      </c>
    </row>
    <row r="2238" spans="1:22" hidden="1" x14ac:dyDescent="0.25">
      <c r="A2238" s="266">
        <v>43591</v>
      </c>
      <c r="B2238" s="267">
        <v>2019</v>
      </c>
      <c r="C2238" s="267">
        <v>2019</v>
      </c>
      <c r="D2238" s="267">
        <v>1</v>
      </c>
      <c r="E2238" s="267">
        <v>1</v>
      </c>
      <c r="F2238" s="267" t="s">
        <v>944</v>
      </c>
      <c r="G2238" s="267" t="s">
        <v>3926</v>
      </c>
      <c r="H2238" s="267" t="s">
        <v>6576</v>
      </c>
      <c r="I2238" s="267" t="s">
        <v>3025</v>
      </c>
      <c r="J2238" s="267" t="s">
        <v>3928</v>
      </c>
      <c r="K2238" s="267">
        <v>6473</v>
      </c>
      <c r="L2238" s="267">
        <v>167100</v>
      </c>
      <c r="M2238" s="267" t="s">
        <v>3943</v>
      </c>
      <c r="N2238" s="267" t="s">
        <v>3944</v>
      </c>
      <c r="O2238" s="267">
        <v>3244.08</v>
      </c>
      <c r="P2238" s="267" t="s">
        <v>3944</v>
      </c>
      <c r="Q2238" s="267" t="s">
        <v>3944</v>
      </c>
      <c r="R2238" s="267">
        <v>3244.08</v>
      </c>
      <c r="S2238" s="267">
        <v>46757.760000000002</v>
      </c>
      <c r="T2238" s="267">
        <v>50001.84</v>
      </c>
      <c r="U2238" s="268" t="s">
        <v>3945</v>
      </c>
      <c r="V2238" s="267" t="s">
        <v>944</v>
      </c>
    </row>
    <row r="2239" spans="1:22" hidden="1" x14ac:dyDescent="0.25">
      <c r="A2239" s="269">
        <v>43591</v>
      </c>
      <c r="B2239" s="270">
        <v>2019</v>
      </c>
      <c r="C2239" s="270">
        <v>2019</v>
      </c>
      <c r="D2239" s="270">
        <v>1</v>
      </c>
      <c r="E2239" s="270">
        <v>1</v>
      </c>
      <c r="F2239" s="270" t="s">
        <v>944</v>
      </c>
      <c r="G2239" s="270" t="s">
        <v>3926</v>
      </c>
      <c r="H2239" s="270" t="s">
        <v>6577</v>
      </c>
      <c r="I2239" s="270" t="s">
        <v>4172</v>
      </c>
      <c r="J2239" s="270" t="s">
        <v>3928</v>
      </c>
      <c r="K2239" s="270">
        <v>6786</v>
      </c>
      <c r="L2239" s="270">
        <v>425300</v>
      </c>
      <c r="M2239" s="270" t="s">
        <v>3960</v>
      </c>
      <c r="N2239" s="270" t="s">
        <v>3944</v>
      </c>
      <c r="O2239" s="270">
        <v>2793.42</v>
      </c>
      <c r="P2239" s="270" t="s">
        <v>3944</v>
      </c>
      <c r="Q2239" s="270" t="s">
        <v>3944</v>
      </c>
      <c r="R2239" s="270">
        <v>2793.42</v>
      </c>
      <c r="S2239" s="270">
        <v>28201.58</v>
      </c>
      <c r="T2239" s="270">
        <v>30995</v>
      </c>
      <c r="U2239" s="271" t="s">
        <v>3945</v>
      </c>
      <c r="V2239" s="267" t="s">
        <v>944</v>
      </c>
    </row>
    <row r="2240" spans="1:22" hidden="1" x14ac:dyDescent="0.25">
      <c r="A2240" s="266">
        <v>43591</v>
      </c>
      <c r="B2240" s="267">
        <v>2019</v>
      </c>
      <c r="C2240" s="267">
        <v>2019</v>
      </c>
      <c r="D2240" s="267">
        <v>1</v>
      </c>
      <c r="E2240" s="267">
        <v>1</v>
      </c>
      <c r="F2240" s="267" t="s">
        <v>944</v>
      </c>
      <c r="G2240" s="267" t="s">
        <v>3926</v>
      </c>
      <c r="H2240" s="267" t="s">
        <v>6578</v>
      </c>
      <c r="I2240" s="267" t="s">
        <v>4037</v>
      </c>
      <c r="J2240" s="267" t="s">
        <v>3928</v>
      </c>
      <c r="K2240" s="267">
        <v>6810</v>
      </c>
      <c r="L2240" s="267">
        <v>210300</v>
      </c>
      <c r="M2240" s="267" t="s">
        <v>3940</v>
      </c>
      <c r="N2240" s="267" t="s">
        <v>3944</v>
      </c>
      <c r="O2240" s="267">
        <v>835.17</v>
      </c>
      <c r="P2240" s="267" t="s">
        <v>3944</v>
      </c>
      <c r="Q2240" s="267" t="s">
        <v>3944</v>
      </c>
      <c r="R2240" s="267">
        <v>835.17</v>
      </c>
      <c r="S2240" s="267">
        <v>6983.83</v>
      </c>
      <c r="T2240" s="267">
        <v>7819</v>
      </c>
      <c r="U2240" s="268" t="s">
        <v>3945</v>
      </c>
      <c r="V2240" s="267" t="s">
        <v>944</v>
      </c>
    </row>
    <row r="2241" spans="1:22" hidden="1" x14ac:dyDescent="0.25">
      <c r="A2241" s="269">
        <v>43591</v>
      </c>
      <c r="B2241" s="270">
        <v>2019</v>
      </c>
      <c r="C2241" s="270">
        <v>2019</v>
      </c>
      <c r="D2241" s="270">
        <v>1</v>
      </c>
      <c r="E2241" s="270">
        <v>1</v>
      </c>
      <c r="F2241" s="270" t="s">
        <v>944</v>
      </c>
      <c r="G2241" s="270" t="s">
        <v>3926</v>
      </c>
      <c r="H2241" s="270" t="s">
        <v>6579</v>
      </c>
      <c r="I2241" s="270" t="s">
        <v>5485</v>
      </c>
      <c r="J2241" s="270" t="s">
        <v>3928</v>
      </c>
      <c r="K2241" s="270">
        <v>6001</v>
      </c>
      <c r="L2241" s="270">
        <v>462101</v>
      </c>
      <c r="M2241" s="270" t="s">
        <v>3943</v>
      </c>
      <c r="N2241" s="270" t="s">
        <v>3944</v>
      </c>
      <c r="O2241" s="270">
        <v>2136.4</v>
      </c>
      <c r="P2241" s="270" t="s">
        <v>3944</v>
      </c>
      <c r="Q2241" s="270" t="s">
        <v>3944</v>
      </c>
      <c r="R2241" s="270">
        <v>2136.4</v>
      </c>
      <c r="S2241" s="270">
        <v>19281.599999999999</v>
      </c>
      <c r="T2241" s="270">
        <v>21418</v>
      </c>
      <c r="U2241" s="271" t="s">
        <v>3945</v>
      </c>
      <c r="V2241" s="267" t="s">
        <v>944</v>
      </c>
    </row>
    <row r="2242" spans="1:22" hidden="1" x14ac:dyDescent="0.25">
      <c r="A2242" s="266">
        <v>43591</v>
      </c>
      <c r="B2242" s="267">
        <v>2019</v>
      </c>
      <c r="C2242" s="267">
        <v>2019</v>
      </c>
      <c r="D2242" s="267">
        <v>1</v>
      </c>
      <c r="E2242" s="267">
        <v>1</v>
      </c>
      <c r="F2242" s="267" t="s">
        <v>944</v>
      </c>
      <c r="G2242" s="267" t="s">
        <v>3926</v>
      </c>
      <c r="H2242" s="267" t="s">
        <v>6580</v>
      </c>
      <c r="I2242" s="267" t="s">
        <v>3939</v>
      </c>
      <c r="J2242" s="267" t="s">
        <v>3928</v>
      </c>
      <c r="K2242" s="267">
        <v>6512</v>
      </c>
      <c r="L2242" s="267">
        <v>180500</v>
      </c>
      <c r="M2242" s="267" t="s">
        <v>3935</v>
      </c>
      <c r="N2242" s="267" t="s">
        <v>3944</v>
      </c>
      <c r="O2242" s="267">
        <v>2527.3200000000002</v>
      </c>
      <c r="P2242" s="267" t="s">
        <v>3944</v>
      </c>
      <c r="Q2242" s="267" t="s">
        <v>3944</v>
      </c>
      <c r="R2242" s="267">
        <v>2527.3200000000002</v>
      </c>
      <c r="S2242" s="267">
        <v>39575.58</v>
      </c>
      <c r="T2242" s="267">
        <v>42102.9</v>
      </c>
      <c r="U2242" s="268" t="s">
        <v>3945</v>
      </c>
      <c r="V2242" s="267" t="s">
        <v>944</v>
      </c>
    </row>
    <row r="2243" spans="1:22" hidden="1" x14ac:dyDescent="0.25">
      <c r="A2243" s="269">
        <v>43591</v>
      </c>
      <c r="B2243" s="270">
        <v>2019</v>
      </c>
      <c r="C2243" s="270">
        <v>2019</v>
      </c>
      <c r="D2243" s="270">
        <v>1</v>
      </c>
      <c r="E2243" s="270">
        <v>1</v>
      </c>
      <c r="F2243" s="270" t="s">
        <v>944</v>
      </c>
      <c r="G2243" s="270" t="s">
        <v>3926</v>
      </c>
      <c r="H2243" s="270" t="s">
        <v>6581</v>
      </c>
      <c r="I2243" s="270" t="s">
        <v>4170</v>
      </c>
      <c r="J2243" s="270" t="s">
        <v>3928</v>
      </c>
      <c r="K2243" s="270">
        <v>6498</v>
      </c>
      <c r="L2243" s="270">
        <v>680100</v>
      </c>
      <c r="M2243" s="270" t="s">
        <v>3935</v>
      </c>
      <c r="N2243" s="270" t="s">
        <v>3944</v>
      </c>
      <c r="O2243" s="270">
        <v>1451.14</v>
      </c>
      <c r="P2243" s="270" t="s">
        <v>3944</v>
      </c>
      <c r="Q2243" s="270" t="s">
        <v>3944</v>
      </c>
      <c r="R2243" s="270">
        <v>1451.14</v>
      </c>
      <c r="S2243" s="270">
        <v>23304.880000000001</v>
      </c>
      <c r="T2243" s="270">
        <v>24756.02</v>
      </c>
      <c r="U2243" s="271" t="s">
        <v>3945</v>
      </c>
      <c r="V2243" s="267" t="s">
        <v>944</v>
      </c>
    </row>
    <row r="2244" spans="1:22" hidden="1" x14ac:dyDescent="0.25">
      <c r="A2244" s="266">
        <v>43591</v>
      </c>
      <c r="B2244" s="267">
        <v>2019</v>
      </c>
      <c r="C2244" s="267">
        <v>2019</v>
      </c>
      <c r="D2244" s="267">
        <v>1</v>
      </c>
      <c r="E2244" s="267">
        <v>1</v>
      </c>
      <c r="F2244" s="267" t="s">
        <v>944</v>
      </c>
      <c r="G2244" s="267" t="s">
        <v>3926</v>
      </c>
      <c r="H2244" s="267" t="s">
        <v>6582</v>
      </c>
      <c r="I2244" s="267" t="s">
        <v>934</v>
      </c>
      <c r="J2244" s="267" t="s">
        <v>3928</v>
      </c>
      <c r="K2244" s="267">
        <v>6606</v>
      </c>
      <c r="L2244" s="267">
        <v>72500</v>
      </c>
      <c r="M2244" s="267" t="s">
        <v>3940</v>
      </c>
      <c r="N2244" s="267" t="s">
        <v>3944</v>
      </c>
      <c r="O2244" s="267">
        <v>836.22</v>
      </c>
      <c r="P2244" s="267" t="s">
        <v>3944</v>
      </c>
      <c r="Q2244" s="267" t="s">
        <v>3944</v>
      </c>
      <c r="R2244" s="267">
        <v>836.22</v>
      </c>
      <c r="S2244" s="267">
        <v>12199.5</v>
      </c>
      <c r="T2244" s="267">
        <v>13035.72</v>
      </c>
      <c r="U2244" s="268" t="s">
        <v>3945</v>
      </c>
      <c r="V2244" s="267" t="s">
        <v>944</v>
      </c>
    </row>
    <row r="2245" spans="1:22" hidden="1" x14ac:dyDescent="0.25">
      <c r="A2245" s="269">
        <v>43591</v>
      </c>
      <c r="B2245" s="270">
        <v>2019</v>
      </c>
      <c r="C2245" s="270">
        <v>2019</v>
      </c>
      <c r="D2245" s="270">
        <v>1</v>
      </c>
      <c r="E2245" s="270">
        <v>1</v>
      </c>
      <c r="F2245" s="270" t="s">
        <v>944</v>
      </c>
      <c r="G2245" s="270" t="s">
        <v>3926</v>
      </c>
      <c r="H2245" s="270" t="s">
        <v>6583</v>
      </c>
      <c r="I2245" s="270" t="s">
        <v>4170</v>
      </c>
      <c r="J2245" s="270" t="s">
        <v>3928</v>
      </c>
      <c r="K2245" s="270">
        <v>6498</v>
      </c>
      <c r="L2245" s="270">
        <v>680100</v>
      </c>
      <c r="M2245" s="270" t="s">
        <v>3935</v>
      </c>
      <c r="N2245" s="270" t="s">
        <v>3944</v>
      </c>
      <c r="O2245" s="270">
        <v>1915.31</v>
      </c>
      <c r="P2245" s="270" t="s">
        <v>3944</v>
      </c>
      <c r="Q2245" s="270" t="s">
        <v>3944</v>
      </c>
      <c r="R2245" s="270">
        <v>1915.31</v>
      </c>
      <c r="S2245" s="270">
        <v>33883.42</v>
      </c>
      <c r="T2245" s="270">
        <v>35798.730000000003</v>
      </c>
      <c r="U2245" s="271" t="s">
        <v>3945</v>
      </c>
      <c r="V2245" s="267" t="s">
        <v>944</v>
      </c>
    </row>
    <row r="2246" spans="1:22" hidden="1" x14ac:dyDescent="0.25">
      <c r="A2246" s="266">
        <v>43591</v>
      </c>
      <c r="B2246" s="267">
        <v>2019</v>
      </c>
      <c r="C2246" s="267">
        <v>2019</v>
      </c>
      <c r="D2246" s="267">
        <v>1</v>
      </c>
      <c r="E2246" s="267">
        <v>1</v>
      </c>
      <c r="F2246" s="267" t="s">
        <v>944</v>
      </c>
      <c r="G2246" s="267" t="s">
        <v>3926</v>
      </c>
      <c r="H2246" s="267" t="s">
        <v>6584</v>
      </c>
      <c r="I2246" s="267" t="s">
        <v>3954</v>
      </c>
      <c r="J2246" s="267" t="s">
        <v>3928</v>
      </c>
      <c r="K2246" s="267">
        <v>6333</v>
      </c>
      <c r="L2246" s="267">
        <v>716101</v>
      </c>
      <c r="M2246" s="267" t="s">
        <v>3935</v>
      </c>
      <c r="N2246" s="267" t="s">
        <v>3944</v>
      </c>
      <c r="O2246" s="267">
        <v>2501.21</v>
      </c>
      <c r="P2246" s="267" t="s">
        <v>3944</v>
      </c>
      <c r="Q2246" s="267" t="s">
        <v>3944</v>
      </c>
      <c r="R2246" s="267">
        <v>2501.21</v>
      </c>
      <c r="S2246" s="267">
        <v>22472.79</v>
      </c>
      <c r="T2246" s="267">
        <v>24974</v>
      </c>
      <c r="U2246" s="268" t="s">
        <v>3945</v>
      </c>
      <c r="V2246" s="267" t="s">
        <v>944</v>
      </c>
    </row>
    <row r="2247" spans="1:22" hidden="1" x14ac:dyDescent="0.25">
      <c r="A2247" s="269">
        <v>43591</v>
      </c>
      <c r="B2247" s="270">
        <v>2019</v>
      </c>
      <c r="C2247" s="270">
        <v>2019</v>
      </c>
      <c r="D2247" s="270">
        <v>1</v>
      </c>
      <c r="E2247" s="270">
        <v>1</v>
      </c>
      <c r="F2247" s="270" t="s">
        <v>944</v>
      </c>
      <c r="G2247" s="270" t="s">
        <v>3926</v>
      </c>
      <c r="H2247" s="270" t="s">
        <v>6585</v>
      </c>
      <c r="I2247" s="270" t="s">
        <v>3025</v>
      </c>
      <c r="J2247" s="270" t="s">
        <v>3928</v>
      </c>
      <c r="K2247" s="270">
        <v>6473</v>
      </c>
      <c r="L2247" s="270">
        <v>167100</v>
      </c>
      <c r="M2247" s="270" t="s">
        <v>3943</v>
      </c>
      <c r="N2247" s="270" t="s">
        <v>3944</v>
      </c>
      <c r="O2247" s="270">
        <v>2688.67</v>
      </c>
      <c r="P2247" s="270" t="s">
        <v>3944</v>
      </c>
      <c r="Q2247" s="270" t="s">
        <v>3944</v>
      </c>
      <c r="R2247" s="270">
        <v>2688.67</v>
      </c>
      <c r="S2247" s="270">
        <v>19893.330000000002</v>
      </c>
      <c r="T2247" s="270">
        <v>22582</v>
      </c>
      <c r="U2247" s="271" t="s">
        <v>3945</v>
      </c>
      <c r="V2247" s="267" t="s">
        <v>944</v>
      </c>
    </row>
    <row r="2248" spans="1:22" hidden="1" x14ac:dyDescent="0.25">
      <c r="A2248" s="266">
        <v>43591</v>
      </c>
      <c r="B2248" s="267">
        <v>2019</v>
      </c>
      <c r="C2248" s="267">
        <v>2019</v>
      </c>
      <c r="D2248" s="267">
        <v>1</v>
      </c>
      <c r="E2248" s="267">
        <v>1</v>
      </c>
      <c r="F2248" s="267" t="s">
        <v>944</v>
      </c>
      <c r="G2248" s="267" t="s">
        <v>3926</v>
      </c>
      <c r="H2248" s="267" t="s">
        <v>6586</v>
      </c>
      <c r="I2248" s="267" t="s">
        <v>4235</v>
      </c>
      <c r="J2248" s="267" t="s">
        <v>3928</v>
      </c>
      <c r="K2248" s="267">
        <v>6066</v>
      </c>
      <c r="L2248" s="267">
        <v>530600</v>
      </c>
      <c r="M2248" s="267" t="s">
        <v>3960</v>
      </c>
      <c r="N2248" s="267" t="s">
        <v>3944</v>
      </c>
      <c r="O2248" s="267">
        <v>2059.86</v>
      </c>
      <c r="P2248" s="267" t="s">
        <v>3944</v>
      </c>
      <c r="Q2248" s="267" t="s">
        <v>3944</v>
      </c>
      <c r="R2248" s="267">
        <v>2059.86</v>
      </c>
      <c r="S2248" s="267">
        <v>32581.66</v>
      </c>
      <c r="T2248" s="267">
        <v>34641.519999999997</v>
      </c>
      <c r="U2248" s="268" t="s">
        <v>3945</v>
      </c>
      <c r="V2248" s="267" t="s">
        <v>944</v>
      </c>
    </row>
    <row r="2249" spans="1:22" hidden="1" x14ac:dyDescent="0.25">
      <c r="A2249" s="269">
        <v>43591</v>
      </c>
      <c r="B2249" s="270">
        <v>2019</v>
      </c>
      <c r="C2249" s="270">
        <v>2019</v>
      </c>
      <c r="D2249" s="270">
        <v>1</v>
      </c>
      <c r="E2249" s="270">
        <v>1</v>
      </c>
      <c r="F2249" s="270" t="s">
        <v>944</v>
      </c>
      <c r="G2249" s="270" t="s">
        <v>3926</v>
      </c>
      <c r="H2249" s="270" t="s">
        <v>6587</v>
      </c>
      <c r="I2249" s="270" t="s">
        <v>3009</v>
      </c>
      <c r="J2249" s="270" t="s">
        <v>3928</v>
      </c>
      <c r="K2249" s="270">
        <v>6484</v>
      </c>
      <c r="L2249" s="270">
        <v>110500</v>
      </c>
      <c r="M2249" s="270" t="s">
        <v>3943</v>
      </c>
      <c r="N2249" s="270" t="s">
        <v>3944</v>
      </c>
      <c r="O2249" s="270">
        <v>1968.19</v>
      </c>
      <c r="P2249" s="270" t="s">
        <v>3944</v>
      </c>
      <c r="Q2249" s="270" t="s">
        <v>3944</v>
      </c>
      <c r="R2249" s="270">
        <v>1968.19</v>
      </c>
      <c r="S2249" s="270">
        <v>34484.81</v>
      </c>
      <c r="T2249" s="270">
        <v>36453</v>
      </c>
      <c r="U2249" s="271" t="s">
        <v>3945</v>
      </c>
      <c r="V2249" s="267" t="s">
        <v>944</v>
      </c>
    </row>
    <row r="2250" spans="1:22" hidden="1" x14ac:dyDescent="0.25">
      <c r="A2250" s="266">
        <v>43591</v>
      </c>
      <c r="B2250" s="267">
        <v>2019</v>
      </c>
      <c r="C2250" s="267">
        <v>2019</v>
      </c>
      <c r="D2250" s="267">
        <v>1</v>
      </c>
      <c r="E2250" s="267">
        <v>1</v>
      </c>
      <c r="F2250" s="267" t="s">
        <v>944</v>
      </c>
      <c r="G2250" s="267" t="s">
        <v>3926</v>
      </c>
      <c r="H2250" s="267" t="s">
        <v>6588</v>
      </c>
      <c r="I2250" s="267" t="s">
        <v>4310</v>
      </c>
      <c r="J2250" s="267" t="s">
        <v>3928</v>
      </c>
      <c r="K2250" s="267">
        <v>6351</v>
      </c>
      <c r="L2250" s="267">
        <v>709200</v>
      </c>
      <c r="M2250" s="267" t="s">
        <v>3940</v>
      </c>
      <c r="N2250" s="267" t="s">
        <v>3944</v>
      </c>
      <c r="O2250" s="267">
        <v>1929.41</v>
      </c>
      <c r="P2250" s="267" t="s">
        <v>3944</v>
      </c>
      <c r="Q2250" s="267" t="s">
        <v>3944</v>
      </c>
      <c r="R2250" s="267">
        <v>1929.41</v>
      </c>
      <c r="S2250" s="267">
        <v>12517.59</v>
      </c>
      <c r="T2250" s="267">
        <v>14447</v>
      </c>
      <c r="U2250" s="268" t="s">
        <v>3945</v>
      </c>
      <c r="V2250" s="267" t="s">
        <v>944</v>
      </c>
    </row>
    <row r="2251" spans="1:22" hidden="1" x14ac:dyDescent="0.25">
      <c r="A2251" s="269">
        <v>43591</v>
      </c>
      <c r="B2251" s="270">
        <v>2019</v>
      </c>
      <c r="C2251" s="270">
        <v>2019</v>
      </c>
      <c r="D2251" s="270">
        <v>1</v>
      </c>
      <c r="E2251" s="270">
        <v>1</v>
      </c>
      <c r="F2251" s="270" t="s">
        <v>944</v>
      </c>
      <c r="G2251" s="270" t="s">
        <v>3926</v>
      </c>
      <c r="H2251" s="270" t="s">
        <v>6589</v>
      </c>
      <c r="I2251" s="270" t="s">
        <v>943</v>
      </c>
      <c r="J2251" s="270" t="s">
        <v>3928</v>
      </c>
      <c r="K2251" s="270">
        <v>6512</v>
      </c>
      <c r="L2251" s="270">
        <v>142800</v>
      </c>
      <c r="M2251" s="270" t="s">
        <v>3940</v>
      </c>
      <c r="N2251" s="270" t="s">
        <v>3944</v>
      </c>
      <c r="O2251" s="270">
        <v>1966.72</v>
      </c>
      <c r="P2251" s="270" t="s">
        <v>3944</v>
      </c>
      <c r="Q2251" s="270" t="s">
        <v>3944</v>
      </c>
      <c r="R2251" s="270">
        <v>1966.72</v>
      </c>
      <c r="S2251" s="270">
        <v>29812.12</v>
      </c>
      <c r="T2251" s="270">
        <v>31778.84</v>
      </c>
      <c r="U2251" s="271" t="s">
        <v>3945</v>
      </c>
      <c r="V2251" s="267" t="s">
        <v>944</v>
      </c>
    </row>
    <row r="2252" spans="1:22" hidden="1" x14ac:dyDescent="0.25">
      <c r="A2252" s="266">
        <v>43591</v>
      </c>
      <c r="B2252" s="267">
        <v>2019</v>
      </c>
      <c r="C2252" s="267">
        <v>2019</v>
      </c>
      <c r="D2252" s="267">
        <v>1</v>
      </c>
      <c r="E2252" s="267">
        <v>1</v>
      </c>
      <c r="F2252" s="267" t="s">
        <v>944</v>
      </c>
      <c r="G2252" s="267" t="s">
        <v>3926</v>
      </c>
      <c r="H2252" s="267" t="s">
        <v>6590</v>
      </c>
      <c r="I2252" s="267" t="s">
        <v>3962</v>
      </c>
      <c r="J2252" s="267" t="s">
        <v>3928</v>
      </c>
      <c r="K2252" s="267">
        <v>6355</v>
      </c>
      <c r="L2252" s="267">
        <v>702800</v>
      </c>
      <c r="M2252" s="267" t="s">
        <v>3935</v>
      </c>
      <c r="N2252" s="267" t="s">
        <v>3944</v>
      </c>
      <c r="O2252" s="267">
        <v>3911.5</v>
      </c>
      <c r="P2252" s="267" t="s">
        <v>3944</v>
      </c>
      <c r="Q2252" s="267" t="s">
        <v>3944</v>
      </c>
      <c r="R2252" s="267">
        <v>3911.5</v>
      </c>
      <c r="S2252" s="267">
        <v>61755</v>
      </c>
      <c r="T2252" s="267">
        <v>65666.5</v>
      </c>
      <c r="U2252" s="268" t="s">
        <v>3945</v>
      </c>
      <c r="V2252" s="267" t="s">
        <v>944</v>
      </c>
    </row>
    <row r="2253" spans="1:22" hidden="1" x14ac:dyDescent="0.25">
      <c r="A2253" s="269">
        <v>43591</v>
      </c>
      <c r="B2253" s="270">
        <v>2019</v>
      </c>
      <c r="C2253" s="270">
        <v>2019</v>
      </c>
      <c r="D2253" s="270">
        <v>1</v>
      </c>
      <c r="E2253" s="270">
        <v>1</v>
      </c>
      <c r="F2253" s="270" t="s">
        <v>944</v>
      </c>
      <c r="G2253" s="270" t="s">
        <v>3926</v>
      </c>
      <c r="H2253" s="270" t="s">
        <v>6591</v>
      </c>
      <c r="I2253" s="270" t="s">
        <v>3026</v>
      </c>
      <c r="J2253" s="270" t="s">
        <v>3928</v>
      </c>
      <c r="K2253" s="270">
        <v>6471</v>
      </c>
      <c r="L2253" s="270">
        <v>186100</v>
      </c>
      <c r="M2253" s="270" t="s">
        <v>3935</v>
      </c>
      <c r="N2253" s="270" t="s">
        <v>3944</v>
      </c>
      <c r="O2253" s="270">
        <v>1495.34</v>
      </c>
      <c r="P2253" s="270" t="s">
        <v>3944</v>
      </c>
      <c r="Q2253" s="270" t="s">
        <v>3944</v>
      </c>
      <c r="R2253" s="270">
        <v>1495.34</v>
      </c>
      <c r="S2253" s="270">
        <v>19712.8</v>
      </c>
      <c r="T2253" s="270">
        <v>21208.14</v>
      </c>
      <c r="U2253" s="271" t="s">
        <v>3945</v>
      </c>
      <c r="V2253" s="267" t="s">
        <v>944</v>
      </c>
    </row>
    <row r="2254" spans="1:22" hidden="1" x14ac:dyDescent="0.25">
      <c r="A2254" s="266">
        <v>43591</v>
      </c>
      <c r="B2254" s="267">
        <v>2019</v>
      </c>
      <c r="C2254" s="267">
        <v>2019</v>
      </c>
      <c r="D2254" s="267">
        <v>1</v>
      </c>
      <c r="E2254" s="267">
        <v>1</v>
      </c>
      <c r="F2254" s="267" t="s">
        <v>944</v>
      </c>
      <c r="G2254" s="267" t="s">
        <v>3926</v>
      </c>
      <c r="H2254" s="267" t="s">
        <v>6592</v>
      </c>
      <c r="I2254" s="267" t="s">
        <v>950</v>
      </c>
      <c r="J2254" s="267" t="s">
        <v>3928</v>
      </c>
      <c r="K2254" s="267">
        <v>6516</v>
      </c>
      <c r="L2254" s="267">
        <v>154800</v>
      </c>
      <c r="M2254" s="267" t="s">
        <v>3960</v>
      </c>
      <c r="N2254" s="267" t="s">
        <v>3944</v>
      </c>
      <c r="O2254" s="267">
        <v>1332.94</v>
      </c>
      <c r="P2254" s="267" t="s">
        <v>3944</v>
      </c>
      <c r="Q2254" s="267" t="s">
        <v>3944</v>
      </c>
      <c r="R2254" s="267">
        <v>1332.94</v>
      </c>
      <c r="S2254" s="267">
        <v>20933.66</v>
      </c>
      <c r="T2254" s="267">
        <v>22266.6</v>
      </c>
      <c r="U2254" s="268" t="s">
        <v>3945</v>
      </c>
      <c r="V2254" s="267" t="s">
        <v>944</v>
      </c>
    </row>
    <row r="2255" spans="1:22" hidden="1" x14ac:dyDescent="0.25">
      <c r="A2255" s="269">
        <v>43591</v>
      </c>
      <c r="B2255" s="270">
        <v>2019</v>
      </c>
      <c r="C2255" s="270">
        <v>2019</v>
      </c>
      <c r="D2255" s="270">
        <v>1</v>
      </c>
      <c r="E2255" s="270">
        <v>1</v>
      </c>
      <c r="F2255" s="270" t="s">
        <v>944</v>
      </c>
      <c r="G2255" s="270" t="s">
        <v>3926</v>
      </c>
      <c r="H2255" s="270" t="s">
        <v>6593</v>
      </c>
      <c r="I2255" s="270" t="s">
        <v>3011</v>
      </c>
      <c r="J2255" s="270" t="s">
        <v>3928</v>
      </c>
      <c r="K2255" s="270">
        <v>6418</v>
      </c>
      <c r="L2255" s="270">
        <v>120100</v>
      </c>
      <c r="M2255" s="270" t="s">
        <v>3940</v>
      </c>
      <c r="N2255" s="270" t="s">
        <v>3944</v>
      </c>
      <c r="O2255" s="270">
        <v>2852.33</v>
      </c>
      <c r="P2255" s="270" t="s">
        <v>3944</v>
      </c>
      <c r="Q2255" s="270" t="s">
        <v>3944</v>
      </c>
      <c r="R2255" s="270">
        <v>2852.33</v>
      </c>
      <c r="S2255" s="270">
        <v>39871.26</v>
      </c>
      <c r="T2255" s="270">
        <v>42723.59</v>
      </c>
      <c r="U2255" s="271" t="s">
        <v>3945</v>
      </c>
      <c r="V2255" s="267" t="s">
        <v>944</v>
      </c>
    </row>
    <row r="2256" spans="1:22" hidden="1" x14ac:dyDescent="0.25">
      <c r="A2256" s="266">
        <v>43591</v>
      </c>
      <c r="B2256" s="267">
        <v>2019</v>
      </c>
      <c r="C2256" s="267">
        <v>2019</v>
      </c>
      <c r="D2256" s="267">
        <v>1</v>
      </c>
      <c r="E2256" s="267">
        <v>1</v>
      </c>
      <c r="F2256" s="267" t="s">
        <v>944</v>
      </c>
      <c r="G2256" s="267" t="s">
        <v>3926</v>
      </c>
      <c r="H2256" s="267" t="s">
        <v>6594</v>
      </c>
      <c r="I2256" s="267" t="s">
        <v>934</v>
      </c>
      <c r="J2256" s="267" t="s">
        <v>3928</v>
      </c>
      <c r="K2256" s="267">
        <v>6604</v>
      </c>
      <c r="L2256" s="267">
        <v>72100</v>
      </c>
      <c r="M2256" s="267" t="s">
        <v>3940</v>
      </c>
      <c r="N2256" s="267" t="s">
        <v>3944</v>
      </c>
      <c r="O2256" s="267">
        <v>1139.22</v>
      </c>
      <c r="P2256" s="267" t="s">
        <v>3944</v>
      </c>
      <c r="Q2256" s="267" t="s">
        <v>3944</v>
      </c>
      <c r="R2256" s="267">
        <v>1139.22</v>
      </c>
      <c r="S2256" s="267">
        <v>11782.78</v>
      </c>
      <c r="T2256" s="267">
        <v>12922</v>
      </c>
      <c r="U2256" s="268" t="s">
        <v>3945</v>
      </c>
      <c r="V2256" s="267" t="s">
        <v>944</v>
      </c>
    </row>
    <row r="2257" spans="1:22" hidden="1" x14ac:dyDescent="0.25">
      <c r="A2257" s="269">
        <v>43591</v>
      </c>
      <c r="B2257" s="270">
        <v>2019</v>
      </c>
      <c r="C2257" s="270">
        <v>2019</v>
      </c>
      <c r="D2257" s="270">
        <v>1</v>
      </c>
      <c r="E2257" s="270">
        <v>1</v>
      </c>
      <c r="F2257" s="270" t="s">
        <v>944</v>
      </c>
      <c r="G2257" s="270" t="s">
        <v>3926</v>
      </c>
      <c r="H2257" s="270" t="s">
        <v>6595</v>
      </c>
      <c r="I2257" s="270" t="s">
        <v>3966</v>
      </c>
      <c r="J2257" s="270" t="s">
        <v>3928</v>
      </c>
      <c r="K2257" s="270">
        <v>6010</v>
      </c>
      <c r="L2257" s="270">
        <v>406001</v>
      </c>
      <c r="M2257" s="270">
        <v>-60</v>
      </c>
      <c r="N2257" s="270" t="s">
        <v>3944</v>
      </c>
      <c r="O2257" s="270">
        <v>2758.35</v>
      </c>
      <c r="P2257" s="270" t="s">
        <v>3944</v>
      </c>
      <c r="Q2257" s="270" t="s">
        <v>3944</v>
      </c>
      <c r="R2257" s="270">
        <v>2758.35</v>
      </c>
      <c r="S2257" s="270">
        <v>38573.879999999997</v>
      </c>
      <c r="T2257" s="270">
        <v>41332.230000000003</v>
      </c>
      <c r="U2257" s="271" t="s">
        <v>3945</v>
      </c>
      <c r="V2257" s="267" t="s">
        <v>944</v>
      </c>
    </row>
    <row r="2258" spans="1:22" hidden="1" x14ac:dyDescent="0.25">
      <c r="A2258" s="266">
        <v>43591</v>
      </c>
      <c r="B2258" s="267">
        <v>2019</v>
      </c>
      <c r="C2258" s="267">
        <v>2019</v>
      </c>
      <c r="D2258" s="267">
        <v>1</v>
      </c>
      <c r="E2258" s="267">
        <v>1</v>
      </c>
      <c r="F2258" s="267" t="s">
        <v>944</v>
      </c>
      <c r="G2258" s="267" t="s">
        <v>3926</v>
      </c>
      <c r="H2258" s="267" t="s">
        <v>6596</v>
      </c>
      <c r="I2258" s="267" t="s">
        <v>2987</v>
      </c>
      <c r="J2258" s="267" t="s">
        <v>3928</v>
      </c>
      <c r="K2258" s="267">
        <v>6611</v>
      </c>
      <c r="L2258" s="267">
        <v>90400</v>
      </c>
      <c r="M2258" s="267" t="s">
        <v>3943</v>
      </c>
      <c r="N2258" s="267" t="s">
        <v>3944</v>
      </c>
      <c r="O2258" s="267">
        <v>1726.59</v>
      </c>
      <c r="P2258" s="267" t="s">
        <v>3944</v>
      </c>
      <c r="Q2258" s="267" t="s">
        <v>3944</v>
      </c>
      <c r="R2258" s="267">
        <v>1726.59</v>
      </c>
      <c r="S2258" s="267">
        <v>15860.41</v>
      </c>
      <c r="T2258" s="267">
        <v>17587</v>
      </c>
      <c r="U2258" s="268" t="s">
        <v>3945</v>
      </c>
      <c r="V2258" s="267" t="s">
        <v>944</v>
      </c>
    </row>
    <row r="2259" spans="1:22" hidden="1" x14ac:dyDescent="0.25">
      <c r="A2259" s="269">
        <v>43591</v>
      </c>
      <c r="B2259" s="270">
        <v>2019</v>
      </c>
      <c r="C2259" s="270">
        <v>2019</v>
      </c>
      <c r="D2259" s="270">
        <v>1</v>
      </c>
      <c r="E2259" s="270">
        <v>1</v>
      </c>
      <c r="F2259" s="270" t="s">
        <v>944</v>
      </c>
      <c r="G2259" s="270" t="s">
        <v>3926</v>
      </c>
      <c r="H2259" s="270" t="s">
        <v>6597</v>
      </c>
      <c r="I2259" s="270" t="s">
        <v>3009</v>
      </c>
      <c r="J2259" s="270" t="s">
        <v>3928</v>
      </c>
      <c r="K2259" s="270">
        <v>6484</v>
      </c>
      <c r="L2259" s="270">
        <v>110500</v>
      </c>
      <c r="M2259" s="270" t="s">
        <v>3943</v>
      </c>
      <c r="N2259" s="270" t="s">
        <v>3944</v>
      </c>
      <c r="O2259" s="270">
        <v>4273.3999999999996</v>
      </c>
      <c r="P2259" s="270" t="s">
        <v>3944</v>
      </c>
      <c r="Q2259" s="270" t="s">
        <v>3944</v>
      </c>
      <c r="R2259" s="270">
        <v>4273.3999999999996</v>
      </c>
      <c r="S2259" s="270">
        <v>66338.460000000006</v>
      </c>
      <c r="T2259" s="270">
        <v>70611.86</v>
      </c>
      <c r="U2259" s="271" t="s">
        <v>3945</v>
      </c>
      <c r="V2259" s="267" t="s">
        <v>944</v>
      </c>
    </row>
    <row r="2260" spans="1:22" hidden="1" x14ac:dyDescent="0.25">
      <c r="A2260" s="266">
        <v>43591</v>
      </c>
      <c r="B2260" s="267">
        <v>2019</v>
      </c>
      <c r="C2260" s="267">
        <v>2019</v>
      </c>
      <c r="D2260" s="267">
        <v>1</v>
      </c>
      <c r="E2260" s="267">
        <v>1</v>
      </c>
      <c r="F2260" s="267" t="s">
        <v>944</v>
      </c>
      <c r="G2260" s="267" t="s">
        <v>3926</v>
      </c>
      <c r="H2260" s="267" t="s">
        <v>6598</v>
      </c>
      <c r="I2260" s="267" t="s">
        <v>956</v>
      </c>
      <c r="J2260" s="267" t="s">
        <v>3928</v>
      </c>
      <c r="K2260" s="267">
        <v>6615</v>
      </c>
      <c r="L2260" s="267">
        <v>80600</v>
      </c>
      <c r="M2260" s="267" t="s">
        <v>3935</v>
      </c>
      <c r="N2260" s="267" t="s">
        <v>3944</v>
      </c>
      <c r="O2260" s="267">
        <v>1545.92</v>
      </c>
      <c r="P2260" s="267" t="s">
        <v>3944</v>
      </c>
      <c r="Q2260" s="267" t="s">
        <v>3944</v>
      </c>
      <c r="R2260" s="267">
        <v>1545.92</v>
      </c>
      <c r="S2260" s="267">
        <v>23223.84</v>
      </c>
      <c r="T2260" s="267">
        <v>24769.759999999998</v>
      </c>
      <c r="U2260" s="268" t="s">
        <v>3945</v>
      </c>
      <c r="V2260" s="267" t="s">
        <v>944</v>
      </c>
    </row>
    <row r="2261" spans="1:22" hidden="1" x14ac:dyDescent="0.25">
      <c r="A2261" s="269">
        <v>43591</v>
      </c>
      <c r="B2261" s="270">
        <v>2019</v>
      </c>
      <c r="C2261" s="270">
        <v>2019</v>
      </c>
      <c r="D2261" s="270">
        <v>1</v>
      </c>
      <c r="E2261" s="270">
        <v>1</v>
      </c>
      <c r="F2261" s="270" t="s">
        <v>944</v>
      </c>
      <c r="G2261" s="270" t="s">
        <v>3926</v>
      </c>
      <c r="H2261" s="270" t="s">
        <v>6599</v>
      </c>
      <c r="I2261" s="270" t="s">
        <v>4168</v>
      </c>
      <c r="J2261" s="270" t="s">
        <v>3928</v>
      </c>
      <c r="K2261" s="270">
        <v>6475</v>
      </c>
      <c r="L2261" s="270">
        <v>670200</v>
      </c>
      <c r="M2261" s="270" t="s">
        <v>3935</v>
      </c>
      <c r="N2261" s="270" t="s">
        <v>3944</v>
      </c>
      <c r="O2261" s="270">
        <v>1937.92</v>
      </c>
      <c r="P2261" s="270" t="s">
        <v>3944</v>
      </c>
      <c r="Q2261" s="270" t="s">
        <v>3944</v>
      </c>
      <c r="R2261" s="270">
        <v>1937.92</v>
      </c>
      <c r="S2261" s="270">
        <v>30355.77</v>
      </c>
      <c r="T2261" s="270">
        <v>32293.69</v>
      </c>
      <c r="U2261" s="271" t="s">
        <v>3945</v>
      </c>
      <c r="V2261" s="267" t="s">
        <v>944</v>
      </c>
    </row>
    <row r="2262" spans="1:22" hidden="1" x14ac:dyDescent="0.25">
      <c r="A2262" s="266">
        <v>43591</v>
      </c>
      <c r="B2262" s="267">
        <v>2019</v>
      </c>
      <c r="C2262" s="267">
        <v>2019</v>
      </c>
      <c r="D2262" s="267">
        <v>1</v>
      </c>
      <c r="E2262" s="267">
        <v>1</v>
      </c>
      <c r="F2262" s="267" t="s">
        <v>944</v>
      </c>
      <c r="G2262" s="267" t="s">
        <v>3926</v>
      </c>
      <c r="H2262" s="267" t="s">
        <v>6600</v>
      </c>
      <c r="I2262" s="267" t="s">
        <v>4392</v>
      </c>
      <c r="J2262" s="267" t="s">
        <v>3928</v>
      </c>
      <c r="K2262" s="267">
        <v>6457</v>
      </c>
      <c r="L2262" s="267">
        <v>541200</v>
      </c>
      <c r="M2262" s="267" t="s">
        <v>3935</v>
      </c>
      <c r="N2262" s="267" t="s">
        <v>3944</v>
      </c>
      <c r="O2262" s="267">
        <v>1664.15</v>
      </c>
      <c r="P2262" s="267" t="s">
        <v>3944</v>
      </c>
      <c r="Q2262" s="267" t="s">
        <v>3944</v>
      </c>
      <c r="R2262" s="267">
        <v>1664.15</v>
      </c>
      <c r="S2262" s="267">
        <v>23393.81</v>
      </c>
      <c r="T2262" s="267">
        <v>25057.96</v>
      </c>
      <c r="U2262" s="268" t="s">
        <v>3945</v>
      </c>
      <c r="V2262" s="267" t="s">
        <v>944</v>
      </c>
    </row>
    <row r="2263" spans="1:22" hidden="1" x14ac:dyDescent="0.25">
      <c r="A2263" s="269">
        <v>43591</v>
      </c>
      <c r="B2263" s="270">
        <v>2019</v>
      </c>
      <c r="C2263" s="270">
        <v>2019</v>
      </c>
      <c r="D2263" s="270">
        <v>1</v>
      </c>
      <c r="E2263" s="270">
        <v>1</v>
      </c>
      <c r="F2263" s="270" t="s">
        <v>944</v>
      </c>
      <c r="G2263" s="270" t="s">
        <v>3926</v>
      </c>
      <c r="H2263" s="270" t="s">
        <v>6601</v>
      </c>
      <c r="I2263" s="270" t="s">
        <v>943</v>
      </c>
      <c r="J2263" s="270" t="s">
        <v>3928</v>
      </c>
      <c r="K2263" s="270">
        <v>6515</v>
      </c>
      <c r="L2263" s="270">
        <v>141000</v>
      </c>
      <c r="M2263" s="270" t="s">
        <v>3960</v>
      </c>
      <c r="N2263" s="270" t="s">
        <v>3944</v>
      </c>
      <c r="O2263" s="270">
        <v>2661.09</v>
      </c>
      <c r="P2263" s="270" t="s">
        <v>3944</v>
      </c>
      <c r="Q2263" s="270" t="s">
        <v>3944</v>
      </c>
      <c r="R2263" s="270">
        <v>2661.09</v>
      </c>
      <c r="S2263" s="270">
        <v>45189.88</v>
      </c>
      <c r="T2263" s="270">
        <v>47850.97</v>
      </c>
      <c r="U2263" s="271" t="s">
        <v>3945</v>
      </c>
      <c r="V2263" s="267" t="s">
        <v>944</v>
      </c>
    </row>
    <row r="2264" spans="1:22" hidden="1" x14ac:dyDescent="0.25">
      <c r="A2264" s="266">
        <v>43591</v>
      </c>
      <c r="B2264" s="267">
        <v>2019</v>
      </c>
      <c r="C2264" s="267">
        <v>2019</v>
      </c>
      <c r="D2264" s="267">
        <v>1</v>
      </c>
      <c r="E2264" s="267">
        <v>1</v>
      </c>
      <c r="F2264" s="267" t="s">
        <v>944</v>
      </c>
      <c r="G2264" s="267" t="s">
        <v>3926</v>
      </c>
      <c r="H2264" s="267" t="s">
        <v>6602</v>
      </c>
      <c r="I2264" s="267" t="s">
        <v>3962</v>
      </c>
      <c r="J2264" s="267" t="s">
        <v>3928</v>
      </c>
      <c r="K2264" s="267">
        <v>6355</v>
      </c>
      <c r="L2264" s="267">
        <v>702800</v>
      </c>
      <c r="M2264" s="267" t="s">
        <v>3935</v>
      </c>
      <c r="N2264" s="267" t="s">
        <v>3944</v>
      </c>
      <c r="O2264" s="267">
        <v>968.56</v>
      </c>
      <c r="P2264" s="267" t="s">
        <v>3944</v>
      </c>
      <c r="Q2264" s="267" t="s">
        <v>3944</v>
      </c>
      <c r="R2264" s="267">
        <v>968.56</v>
      </c>
      <c r="S2264" s="267">
        <v>15810.56</v>
      </c>
      <c r="T2264" s="267">
        <v>16779.12</v>
      </c>
      <c r="U2264" s="268" t="s">
        <v>3945</v>
      </c>
      <c r="V2264" s="267" t="s">
        <v>944</v>
      </c>
    </row>
    <row r="2265" spans="1:22" hidden="1" x14ac:dyDescent="0.25">
      <c r="A2265" s="269">
        <v>43591</v>
      </c>
      <c r="B2265" s="270">
        <v>2019</v>
      </c>
      <c r="C2265" s="270">
        <v>2019</v>
      </c>
      <c r="D2265" s="270">
        <v>1</v>
      </c>
      <c r="E2265" s="270">
        <v>1</v>
      </c>
      <c r="F2265" s="270" t="s">
        <v>944</v>
      </c>
      <c r="G2265" s="270" t="s">
        <v>3926</v>
      </c>
      <c r="H2265" s="270" t="s">
        <v>6603</v>
      </c>
      <c r="I2265" s="270" t="s">
        <v>4213</v>
      </c>
      <c r="J2265" s="270" t="s">
        <v>3928</v>
      </c>
      <c r="K2265" s="270">
        <v>6053</v>
      </c>
      <c r="L2265" s="270">
        <v>417500</v>
      </c>
      <c r="M2265" s="270" t="s">
        <v>3940</v>
      </c>
      <c r="N2265" s="270" t="s">
        <v>3944</v>
      </c>
      <c r="O2265" s="270">
        <v>1657.29</v>
      </c>
      <c r="P2265" s="270" t="s">
        <v>3944</v>
      </c>
      <c r="Q2265" s="270" t="s">
        <v>3944</v>
      </c>
      <c r="R2265" s="270">
        <v>1657.29</v>
      </c>
      <c r="S2265" s="270">
        <v>20488.71</v>
      </c>
      <c r="T2265" s="270">
        <v>22146</v>
      </c>
      <c r="U2265" s="271" t="s">
        <v>3945</v>
      </c>
      <c r="V2265" s="267" t="s">
        <v>944</v>
      </c>
    </row>
    <row r="2266" spans="1:22" hidden="1" x14ac:dyDescent="0.25">
      <c r="A2266" s="266">
        <v>43591</v>
      </c>
      <c r="B2266" s="267">
        <v>2019</v>
      </c>
      <c r="C2266" s="267">
        <v>2019</v>
      </c>
      <c r="D2266" s="267">
        <v>1</v>
      </c>
      <c r="E2266" s="267">
        <v>1</v>
      </c>
      <c r="F2266" s="267" t="s">
        <v>944</v>
      </c>
      <c r="G2266" s="267" t="s">
        <v>3926</v>
      </c>
      <c r="H2266" s="267" t="s">
        <v>6604</v>
      </c>
      <c r="I2266" s="267" t="s">
        <v>3999</v>
      </c>
      <c r="J2266" s="267" t="s">
        <v>3928</v>
      </c>
      <c r="K2266" s="267">
        <v>6450</v>
      </c>
      <c r="L2266" s="267">
        <v>171700</v>
      </c>
      <c r="M2266" s="267" t="s">
        <v>3935</v>
      </c>
      <c r="N2266" s="267" t="s">
        <v>3944</v>
      </c>
      <c r="O2266" s="267">
        <v>1067.26</v>
      </c>
      <c r="P2266" s="267" t="s">
        <v>3944</v>
      </c>
      <c r="Q2266" s="267" t="s">
        <v>3944</v>
      </c>
      <c r="R2266" s="267">
        <v>1067.26</v>
      </c>
      <c r="S2266" s="267">
        <v>9608.74</v>
      </c>
      <c r="T2266" s="267">
        <v>10676</v>
      </c>
      <c r="U2266" s="268" t="s">
        <v>3945</v>
      </c>
      <c r="V2266" s="267" t="s">
        <v>944</v>
      </c>
    </row>
    <row r="2267" spans="1:22" hidden="1" x14ac:dyDescent="0.25">
      <c r="A2267" s="269">
        <v>43591</v>
      </c>
      <c r="B2267" s="270">
        <v>2019</v>
      </c>
      <c r="C2267" s="270">
        <v>2019</v>
      </c>
      <c r="D2267" s="270">
        <v>1</v>
      </c>
      <c r="E2267" s="270">
        <v>1</v>
      </c>
      <c r="F2267" s="270" t="s">
        <v>944</v>
      </c>
      <c r="G2267" s="270" t="s">
        <v>3926</v>
      </c>
      <c r="H2267" s="270" t="s">
        <v>6605</v>
      </c>
      <c r="I2267" s="270" t="s">
        <v>4069</v>
      </c>
      <c r="J2267" s="270" t="s">
        <v>3928</v>
      </c>
      <c r="K2267" s="270">
        <v>6907</v>
      </c>
      <c r="L2267" s="270">
        <v>21000</v>
      </c>
      <c r="M2267" s="270" t="s">
        <v>3943</v>
      </c>
      <c r="N2267" s="270" t="s">
        <v>3944</v>
      </c>
      <c r="O2267" s="270">
        <v>1184.02</v>
      </c>
      <c r="P2267" s="270" t="s">
        <v>3944</v>
      </c>
      <c r="Q2267" s="270" t="s">
        <v>3944</v>
      </c>
      <c r="R2267" s="270">
        <v>1184.02</v>
      </c>
      <c r="S2267" s="270">
        <v>13631.34</v>
      </c>
      <c r="T2267" s="270">
        <v>14815.36</v>
      </c>
      <c r="U2267" s="271" t="s">
        <v>3945</v>
      </c>
      <c r="V2267" s="267" t="s">
        <v>944</v>
      </c>
    </row>
    <row r="2268" spans="1:22" hidden="1" x14ac:dyDescent="0.25">
      <c r="A2268" s="266">
        <v>43591</v>
      </c>
      <c r="B2268" s="267">
        <v>2019</v>
      </c>
      <c r="C2268" s="267">
        <v>2019</v>
      </c>
      <c r="D2268" s="267">
        <v>1</v>
      </c>
      <c r="E2268" s="267">
        <v>1</v>
      </c>
      <c r="F2268" s="267" t="s">
        <v>944</v>
      </c>
      <c r="G2268" s="267" t="s">
        <v>3926</v>
      </c>
      <c r="H2268" s="267" t="s">
        <v>6606</v>
      </c>
      <c r="I2268" s="267" t="s">
        <v>4008</v>
      </c>
      <c r="J2268" s="267" t="s">
        <v>3928</v>
      </c>
      <c r="K2268" s="267">
        <v>6320</v>
      </c>
      <c r="L2268" s="267">
        <v>690900</v>
      </c>
      <c r="M2268" s="267" t="s">
        <v>3935</v>
      </c>
      <c r="N2268" s="267" t="s">
        <v>3944</v>
      </c>
      <c r="O2268" s="267">
        <v>1473.75</v>
      </c>
      <c r="P2268" s="267" t="s">
        <v>3944</v>
      </c>
      <c r="Q2268" s="267" t="s">
        <v>3944</v>
      </c>
      <c r="R2268" s="267">
        <v>1473.75</v>
      </c>
      <c r="S2268" s="267">
        <v>24975.87</v>
      </c>
      <c r="T2268" s="267">
        <v>26449.62</v>
      </c>
      <c r="U2268" s="268" t="s">
        <v>3945</v>
      </c>
      <c r="V2268" s="267" t="s">
        <v>944</v>
      </c>
    </row>
    <row r="2269" spans="1:22" hidden="1" x14ac:dyDescent="0.25">
      <c r="A2269" s="269">
        <v>43591</v>
      </c>
      <c r="B2269" s="270">
        <v>2019</v>
      </c>
      <c r="C2269" s="270">
        <v>2019</v>
      </c>
      <c r="D2269" s="270">
        <v>1</v>
      </c>
      <c r="E2269" s="270">
        <v>1</v>
      </c>
      <c r="F2269" s="270" t="s">
        <v>944</v>
      </c>
      <c r="G2269" s="270" t="s">
        <v>3926</v>
      </c>
      <c r="H2269" s="270" t="s">
        <v>6607</v>
      </c>
      <c r="I2269" s="270" t="s">
        <v>3010</v>
      </c>
      <c r="J2269" s="270" t="s">
        <v>3928</v>
      </c>
      <c r="K2269" s="270">
        <v>6401</v>
      </c>
      <c r="L2269" s="270">
        <v>125100</v>
      </c>
      <c r="M2269" s="270" t="s">
        <v>3960</v>
      </c>
      <c r="N2269" s="270" t="s">
        <v>3944</v>
      </c>
      <c r="O2269" s="270">
        <v>3639.79</v>
      </c>
      <c r="P2269" s="270" t="s">
        <v>3944</v>
      </c>
      <c r="Q2269" s="270" t="s">
        <v>3944</v>
      </c>
      <c r="R2269" s="270">
        <v>3639.79</v>
      </c>
      <c r="S2269" s="270">
        <v>61444.5</v>
      </c>
      <c r="T2269" s="270">
        <v>65084.29</v>
      </c>
      <c r="U2269" s="271" t="s">
        <v>3945</v>
      </c>
      <c r="V2269" s="267" t="s">
        <v>944</v>
      </c>
    </row>
    <row r="2270" spans="1:22" hidden="1" x14ac:dyDescent="0.25">
      <c r="A2270" s="266">
        <v>43592</v>
      </c>
      <c r="B2270" s="267">
        <v>2019</v>
      </c>
      <c r="C2270" s="267">
        <v>2019</v>
      </c>
      <c r="D2270" s="267">
        <v>1</v>
      </c>
      <c r="E2270" s="267">
        <v>1</v>
      </c>
      <c r="F2270" s="267" t="s">
        <v>944</v>
      </c>
      <c r="G2270" s="267" t="s">
        <v>3926</v>
      </c>
      <c r="H2270" s="267" t="s">
        <v>6608</v>
      </c>
      <c r="I2270" s="267" t="s">
        <v>5156</v>
      </c>
      <c r="J2270" s="267" t="s">
        <v>3928</v>
      </c>
      <c r="K2270" s="267">
        <v>6380</v>
      </c>
      <c r="L2270" s="267">
        <v>696100</v>
      </c>
      <c r="M2270" s="267">
        <v>-60</v>
      </c>
      <c r="N2270" s="267" t="s">
        <v>4732</v>
      </c>
      <c r="O2270" s="267">
        <v>0</v>
      </c>
      <c r="P2270" s="267" t="s">
        <v>3930</v>
      </c>
      <c r="Q2270" s="267" t="s">
        <v>3930</v>
      </c>
      <c r="R2270" s="267">
        <v>0</v>
      </c>
      <c r="S2270" s="267">
        <v>9073</v>
      </c>
      <c r="T2270" s="267">
        <v>9073</v>
      </c>
      <c r="U2270" s="268" t="s">
        <v>3937</v>
      </c>
      <c r="V2270" s="267" t="s">
        <v>944</v>
      </c>
    </row>
    <row r="2271" spans="1:22" hidden="1" x14ac:dyDescent="0.25">
      <c r="A2271" s="269">
        <v>43592</v>
      </c>
      <c r="B2271" s="270">
        <v>2019</v>
      </c>
      <c r="C2271" s="270">
        <v>2019</v>
      </c>
      <c r="D2271" s="270">
        <v>1</v>
      </c>
      <c r="E2271" s="270">
        <v>1</v>
      </c>
      <c r="F2271" s="270" t="s">
        <v>944</v>
      </c>
      <c r="G2271" s="270" t="s">
        <v>3926</v>
      </c>
      <c r="H2271" s="270" t="s">
        <v>6609</v>
      </c>
      <c r="I2271" s="270" t="s">
        <v>4029</v>
      </c>
      <c r="J2271" s="270" t="s">
        <v>3928</v>
      </c>
      <c r="K2271" s="270">
        <v>6851</v>
      </c>
      <c r="L2271" s="270">
        <v>43400</v>
      </c>
      <c r="M2271" s="270" t="s">
        <v>3935</v>
      </c>
      <c r="N2271" s="270" t="s">
        <v>5607</v>
      </c>
      <c r="O2271" s="270">
        <v>1212.23</v>
      </c>
      <c r="P2271" s="270" t="s">
        <v>3930</v>
      </c>
      <c r="Q2271" s="270" t="s">
        <v>3931</v>
      </c>
      <c r="R2271" s="270">
        <v>6212.23</v>
      </c>
      <c r="S2271" s="270">
        <v>17190.400000000001</v>
      </c>
      <c r="T2271" s="270">
        <v>23402.63</v>
      </c>
      <c r="U2271" s="271" t="s">
        <v>3932</v>
      </c>
      <c r="V2271" s="267" t="s">
        <v>944</v>
      </c>
    </row>
    <row r="2272" spans="1:22" hidden="1" x14ac:dyDescent="0.25">
      <c r="A2272" s="266">
        <v>43592</v>
      </c>
      <c r="B2272" s="267">
        <v>2019</v>
      </c>
      <c r="C2272" s="267">
        <v>2019</v>
      </c>
      <c r="D2272" s="267">
        <v>1</v>
      </c>
      <c r="E2272" s="267">
        <v>1</v>
      </c>
      <c r="F2272" s="267" t="s">
        <v>944</v>
      </c>
      <c r="G2272" s="267" t="s">
        <v>3926</v>
      </c>
      <c r="H2272" s="267" t="s">
        <v>6610</v>
      </c>
      <c r="I2272" s="267" t="s">
        <v>4108</v>
      </c>
      <c r="J2272" s="267" t="s">
        <v>3928</v>
      </c>
      <c r="K2272" s="267">
        <v>6082</v>
      </c>
      <c r="L2272" s="267">
        <v>480300</v>
      </c>
      <c r="M2272" s="267" t="s">
        <v>3940</v>
      </c>
      <c r="N2272" s="267" t="s">
        <v>6611</v>
      </c>
      <c r="O2272" s="267">
        <v>0</v>
      </c>
      <c r="P2272" s="267" t="s">
        <v>3930</v>
      </c>
      <c r="Q2272" s="267" t="s">
        <v>3930</v>
      </c>
      <c r="R2272" s="267">
        <v>0</v>
      </c>
      <c r="S2272" s="267">
        <v>9286</v>
      </c>
      <c r="T2272" s="267">
        <v>9286</v>
      </c>
      <c r="U2272" s="268" t="s">
        <v>3937</v>
      </c>
      <c r="V2272" s="267" t="s">
        <v>944</v>
      </c>
    </row>
    <row r="2273" spans="1:22" hidden="1" x14ac:dyDescent="0.25">
      <c r="A2273" s="269">
        <v>43592</v>
      </c>
      <c r="B2273" s="270">
        <v>2019</v>
      </c>
      <c r="C2273" s="270">
        <v>2019</v>
      </c>
      <c r="D2273" s="270">
        <v>1</v>
      </c>
      <c r="E2273" s="270">
        <v>1</v>
      </c>
      <c r="F2273" s="270" t="s">
        <v>944</v>
      </c>
      <c r="G2273" s="270" t="s">
        <v>3926</v>
      </c>
      <c r="H2273" s="270" t="s">
        <v>6612</v>
      </c>
      <c r="I2273" s="270" t="s">
        <v>3011</v>
      </c>
      <c r="J2273" s="270" t="s">
        <v>3928</v>
      </c>
      <c r="K2273" s="270">
        <v>6418</v>
      </c>
      <c r="L2273" s="270">
        <v>120100</v>
      </c>
      <c r="M2273" s="270" t="s">
        <v>3940</v>
      </c>
      <c r="N2273" s="270" t="s">
        <v>3944</v>
      </c>
      <c r="O2273" s="270">
        <v>3046</v>
      </c>
      <c r="P2273" s="270" t="s">
        <v>3944</v>
      </c>
      <c r="Q2273" s="270" t="s">
        <v>3944</v>
      </c>
      <c r="R2273" s="270">
        <v>3046</v>
      </c>
      <c r="S2273" s="270">
        <v>54282</v>
      </c>
      <c r="T2273" s="270">
        <v>57328</v>
      </c>
      <c r="U2273" s="271" t="s">
        <v>3945</v>
      </c>
      <c r="V2273" s="267" t="s">
        <v>944</v>
      </c>
    </row>
    <row r="2274" spans="1:22" hidden="1" x14ac:dyDescent="0.25">
      <c r="A2274" s="266">
        <v>43592</v>
      </c>
      <c r="B2274" s="267">
        <v>2019</v>
      </c>
      <c r="C2274" s="267">
        <v>2019</v>
      </c>
      <c r="D2274" s="267">
        <v>1</v>
      </c>
      <c r="E2274" s="267">
        <v>1</v>
      </c>
      <c r="F2274" s="267" t="s">
        <v>944</v>
      </c>
      <c r="G2274" s="267" t="s">
        <v>3926</v>
      </c>
      <c r="H2274" s="267" t="s">
        <v>6613</v>
      </c>
      <c r="I2274" s="267" t="s">
        <v>4461</v>
      </c>
      <c r="J2274" s="267" t="s">
        <v>3928</v>
      </c>
      <c r="K2274" s="267">
        <v>6878</v>
      </c>
      <c r="L2274" s="267">
        <v>11100</v>
      </c>
      <c r="M2274" s="267" t="s">
        <v>3943</v>
      </c>
      <c r="N2274" s="267" t="s">
        <v>3944</v>
      </c>
      <c r="O2274" s="267">
        <v>4179</v>
      </c>
      <c r="P2274" s="267" t="s">
        <v>3944</v>
      </c>
      <c r="Q2274" s="267" t="s">
        <v>3944</v>
      </c>
      <c r="R2274" s="267">
        <v>4179</v>
      </c>
      <c r="S2274" s="267">
        <v>24036</v>
      </c>
      <c r="T2274" s="267">
        <v>28215</v>
      </c>
      <c r="U2274" s="268" t="s">
        <v>3945</v>
      </c>
      <c r="V2274" s="267" t="s">
        <v>944</v>
      </c>
    </row>
    <row r="2275" spans="1:22" hidden="1" x14ac:dyDescent="0.25">
      <c r="A2275" s="269">
        <v>43592</v>
      </c>
      <c r="B2275" s="270">
        <v>2019</v>
      </c>
      <c r="C2275" s="270">
        <v>2019</v>
      </c>
      <c r="D2275" s="270">
        <v>1</v>
      </c>
      <c r="E2275" s="270">
        <v>1</v>
      </c>
      <c r="F2275" s="270" t="s">
        <v>944</v>
      </c>
      <c r="G2275" s="270" t="s">
        <v>3926</v>
      </c>
      <c r="H2275" s="270" t="s">
        <v>6614</v>
      </c>
      <c r="I2275" s="270" t="s">
        <v>3025</v>
      </c>
      <c r="J2275" s="270" t="s">
        <v>3928</v>
      </c>
      <c r="K2275" s="270">
        <v>6473</v>
      </c>
      <c r="L2275" s="270">
        <v>167100</v>
      </c>
      <c r="M2275" s="270" t="s">
        <v>3943</v>
      </c>
      <c r="N2275" s="270" t="s">
        <v>3944</v>
      </c>
      <c r="O2275" s="270">
        <v>3183</v>
      </c>
      <c r="P2275" s="270" t="s">
        <v>3944</v>
      </c>
      <c r="Q2275" s="270" t="s">
        <v>3944</v>
      </c>
      <c r="R2275" s="270">
        <v>3183</v>
      </c>
      <c r="S2275" s="270">
        <v>28569</v>
      </c>
      <c r="T2275" s="270">
        <v>31752</v>
      </c>
      <c r="U2275" s="271" t="s">
        <v>3945</v>
      </c>
      <c r="V2275" s="267" t="s">
        <v>944</v>
      </c>
    </row>
    <row r="2276" spans="1:22" hidden="1" x14ac:dyDescent="0.25">
      <c r="A2276" s="266">
        <v>43592</v>
      </c>
      <c r="B2276" s="267">
        <v>2019</v>
      </c>
      <c r="C2276" s="267">
        <v>2019</v>
      </c>
      <c r="D2276" s="267">
        <v>1</v>
      </c>
      <c r="E2276" s="267">
        <v>1</v>
      </c>
      <c r="F2276" s="267" t="s">
        <v>944</v>
      </c>
      <c r="G2276" s="267" t="s">
        <v>3926</v>
      </c>
      <c r="H2276" s="267" t="s">
        <v>6615</v>
      </c>
      <c r="I2276" s="267" t="s">
        <v>4269</v>
      </c>
      <c r="J2276" s="267" t="s">
        <v>3928</v>
      </c>
      <c r="K2276" s="267">
        <v>6107</v>
      </c>
      <c r="L2276" s="267">
        <v>497400</v>
      </c>
      <c r="M2276" s="267" t="s">
        <v>3943</v>
      </c>
      <c r="N2276" s="267" t="s">
        <v>3944</v>
      </c>
      <c r="O2276" s="267">
        <v>2462</v>
      </c>
      <c r="P2276" s="267" t="s">
        <v>3944</v>
      </c>
      <c r="Q2276" s="267" t="s">
        <v>3944</v>
      </c>
      <c r="R2276" s="267">
        <v>2462</v>
      </c>
      <c r="S2276" s="267">
        <v>30753</v>
      </c>
      <c r="T2276" s="267">
        <v>33215</v>
      </c>
      <c r="U2276" s="268" t="s">
        <v>3945</v>
      </c>
      <c r="V2276" s="267" t="s">
        <v>944</v>
      </c>
    </row>
    <row r="2277" spans="1:22" hidden="1" x14ac:dyDescent="0.25">
      <c r="A2277" s="269">
        <v>43592</v>
      </c>
      <c r="B2277" s="270">
        <v>2019</v>
      </c>
      <c r="C2277" s="270">
        <v>2019</v>
      </c>
      <c r="D2277" s="270">
        <v>1</v>
      </c>
      <c r="E2277" s="270">
        <v>1</v>
      </c>
      <c r="F2277" s="270" t="s">
        <v>944</v>
      </c>
      <c r="G2277" s="270" t="s">
        <v>3926</v>
      </c>
      <c r="H2277" s="270" t="s">
        <v>6616</v>
      </c>
      <c r="I2277" s="270" t="s">
        <v>943</v>
      </c>
      <c r="J2277" s="270" t="s">
        <v>3928</v>
      </c>
      <c r="K2277" s="270">
        <v>6515</v>
      </c>
      <c r="L2277" s="270">
        <v>141100</v>
      </c>
      <c r="M2277" s="270" t="s">
        <v>3960</v>
      </c>
      <c r="N2277" s="270" t="s">
        <v>3944</v>
      </c>
      <c r="O2277" s="270">
        <v>2661</v>
      </c>
      <c r="P2277" s="270" t="s">
        <v>3944</v>
      </c>
      <c r="Q2277" s="270" t="s">
        <v>3944</v>
      </c>
      <c r="R2277" s="270">
        <v>2661</v>
      </c>
      <c r="S2277" s="270">
        <v>19829.330000000002</v>
      </c>
      <c r="T2277" s="270">
        <v>22490.33</v>
      </c>
      <c r="U2277" s="271" t="s">
        <v>3945</v>
      </c>
      <c r="V2277" s="267" t="s">
        <v>944</v>
      </c>
    </row>
    <row r="2278" spans="1:22" hidden="1" x14ac:dyDescent="0.25">
      <c r="A2278" s="266">
        <v>43592</v>
      </c>
      <c r="B2278" s="267">
        <v>2019</v>
      </c>
      <c r="C2278" s="267">
        <v>2019</v>
      </c>
      <c r="D2278" s="267">
        <v>1</v>
      </c>
      <c r="E2278" s="267">
        <v>1</v>
      </c>
      <c r="F2278" s="267" t="s">
        <v>944</v>
      </c>
      <c r="G2278" s="267" t="s">
        <v>3926</v>
      </c>
      <c r="H2278" s="267" t="s">
        <v>6617</v>
      </c>
      <c r="I2278" s="267" t="s">
        <v>4213</v>
      </c>
      <c r="J2278" s="267" t="s">
        <v>3928</v>
      </c>
      <c r="K2278" s="267">
        <v>6052</v>
      </c>
      <c r="L2278" s="267">
        <v>416400</v>
      </c>
      <c r="M2278" s="267" t="s">
        <v>3960</v>
      </c>
      <c r="N2278" s="267" t="s">
        <v>3944</v>
      </c>
      <c r="O2278" s="267">
        <v>2397.92</v>
      </c>
      <c r="P2278" s="267" t="s">
        <v>3944</v>
      </c>
      <c r="Q2278" s="267" t="s">
        <v>3944</v>
      </c>
      <c r="R2278" s="267">
        <v>2397.92</v>
      </c>
      <c r="S2278" s="267">
        <v>29207.200000000001</v>
      </c>
      <c r="T2278" s="267">
        <v>31605.119999999999</v>
      </c>
      <c r="U2278" s="268" t="s">
        <v>3945</v>
      </c>
      <c r="V2278" s="267" t="s">
        <v>944</v>
      </c>
    </row>
    <row r="2279" spans="1:22" hidden="1" x14ac:dyDescent="0.25">
      <c r="A2279" s="269">
        <v>43592</v>
      </c>
      <c r="B2279" s="270">
        <v>2019</v>
      </c>
      <c r="C2279" s="270">
        <v>2019</v>
      </c>
      <c r="D2279" s="270">
        <v>1</v>
      </c>
      <c r="E2279" s="270">
        <v>1</v>
      </c>
      <c r="F2279" s="270" t="s">
        <v>944</v>
      </c>
      <c r="G2279" s="270" t="s">
        <v>3926</v>
      </c>
      <c r="H2279" s="270" t="s">
        <v>6618</v>
      </c>
      <c r="I2279" s="270" t="s">
        <v>3011</v>
      </c>
      <c r="J2279" s="270" t="s">
        <v>3928</v>
      </c>
      <c r="K2279" s="270">
        <v>6418</v>
      </c>
      <c r="L2279" s="270">
        <v>120100</v>
      </c>
      <c r="M2279" s="270" t="s">
        <v>3940</v>
      </c>
      <c r="N2279" s="270" t="s">
        <v>3944</v>
      </c>
      <c r="O2279" s="270">
        <v>657.65</v>
      </c>
      <c r="P2279" s="270" t="s">
        <v>3944</v>
      </c>
      <c r="Q2279" s="270" t="s">
        <v>3944</v>
      </c>
      <c r="R2279" s="270">
        <v>657.65</v>
      </c>
      <c r="S2279" s="270">
        <v>10552.35</v>
      </c>
      <c r="T2279" s="270">
        <v>11210</v>
      </c>
      <c r="U2279" s="271" t="s">
        <v>3945</v>
      </c>
      <c r="V2279" s="267" t="s">
        <v>944</v>
      </c>
    </row>
    <row r="2280" spans="1:22" hidden="1" x14ac:dyDescent="0.25">
      <c r="A2280" s="266">
        <v>43592</v>
      </c>
      <c r="B2280" s="267">
        <v>2019</v>
      </c>
      <c r="C2280" s="267">
        <v>2019</v>
      </c>
      <c r="D2280" s="267">
        <v>1</v>
      </c>
      <c r="E2280" s="267">
        <v>1</v>
      </c>
      <c r="F2280" s="267" t="s">
        <v>944</v>
      </c>
      <c r="G2280" s="267" t="s">
        <v>3926</v>
      </c>
      <c r="H2280" s="267" t="s">
        <v>6619</v>
      </c>
      <c r="I2280" s="267" t="s">
        <v>956</v>
      </c>
      <c r="J2280" s="267" t="s">
        <v>3928</v>
      </c>
      <c r="K2280" s="267">
        <v>6614</v>
      </c>
      <c r="L2280" s="267">
        <v>80900</v>
      </c>
      <c r="M2280" s="267" t="s">
        <v>3960</v>
      </c>
      <c r="N2280" s="267" t="s">
        <v>3944</v>
      </c>
      <c r="O2280" s="267">
        <v>959.63</v>
      </c>
      <c r="P2280" s="267" t="s">
        <v>3944</v>
      </c>
      <c r="Q2280" s="267" t="s">
        <v>3944</v>
      </c>
      <c r="R2280" s="267">
        <v>959.63</v>
      </c>
      <c r="S2280" s="267">
        <v>12582.55</v>
      </c>
      <c r="T2280" s="267">
        <v>13542.18</v>
      </c>
      <c r="U2280" s="268" t="s">
        <v>3945</v>
      </c>
      <c r="V2280" s="267" t="s">
        <v>944</v>
      </c>
    </row>
    <row r="2281" spans="1:22" hidden="1" x14ac:dyDescent="0.25">
      <c r="A2281" s="269">
        <v>43592</v>
      </c>
      <c r="B2281" s="270">
        <v>2019</v>
      </c>
      <c r="C2281" s="270">
        <v>2019</v>
      </c>
      <c r="D2281" s="270">
        <v>1</v>
      </c>
      <c r="E2281" s="270">
        <v>1</v>
      </c>
      <c r="F2281" s="270" t="s">
        <v>944</v>
      </c>
      <c r="G2281" s="270" t="s">
        <v>3926</v>
      </c>
      <c r="H2281" s="270" t="s">
        <v>6620</v>
      </c>
      <c r="I2281" s="270" t="s">
        <v>4839</v>
      </c>
      <c r="J2281" s="270" t="s">
        <v>3928</v>
      </c>
      <c r="K2281" s="270">
        <v>6524</v>
      </c>
      <c r="L2281" s="270">
        <v>161100</v>
      </c>
      <c r="M2281" s="270" t="s">
        <v>3943</v>
      </c>
      <c r="N2281" s="270" t="s">
        <v>3944</v>
      </c>
      <c r="O2281" s="270">
        <v>1552.99</v>
      </c>
      <c r="P2281" s="270" t="s">
        <v>3944</v>
      </c>
      <c r="Q2281" s="270" t="s">
        <v>3944</v>
      </c>
      <c r="R2281" s="270">
        <v>1552.99</v>
      </c>
      <c r="S2281" s="270">
        <v>14109.01</v>
      </c>
      <c r="T2281" s="270">
        <v>15662</v>
      </c>
      <c r="U2281" s="271" t="s">
        <v>3945</v>
      </c>
      <c r="V2281" s="267" t="s">
        <v>944</v>
      </c>
    </row>
    <row r="2282" spans="1:22" hidden="1" x14ac:dyDescent="0.25">
      <c r="A2282" s="266">
        <v>43592</v>
      </c>
      <c r="B2282" s="267">
        <v>2019</v>
      </c>
      <c r="C2282" s="267">
        <v>2019</v>
      </c>
      <c r="D2282" s="267">
        <v>1</v>
      </c>
      <c r="E2282" s="267">
        <v>1</v>
      </c>
      <c r="F2282" s="267" t="s">
        <v>944</v>
      </c>
      <c r="G2282" s="267" t="s">
        <v>3926</v>
      </c>
      <c r="H2282" s="267" t="s">
        <v>6621</v>
      </c>
      <c r="I2282" s="267" t="s">
        <v>3025</v>
      </c>
      <c r="J2282" s="267" t="s">
        <v>3928</v>
      </c>
      <c r="K2282" s="267">
        <v>6473</v>
      </c>
      <c r="L2282" s="267">
        <v>167300</v>
      </c>
      <c r="M2282" s="267" t="s">
        <v>3943</v>
      </c>
      <c r="N2282" s="267" t="s">
        <v>3944</v>
      </c>
      <c r="O2282" s="267">
        <v>2474.0100000000002</v>
      </c>
      <c r="P2282" s="267" t="s">
        <v>3944</v>
      </c>
      <c r="Q2282" s="267" t="s">
        <v>3944</v>
      </c>
      <c r="R2282" s="267">
        <v>2474.0100000000002</v>
      </c>
      <c r="S2282" s="267">
        <v>41184.99</v>
      </c>
      <c r="T2282" s="267">
        <v>43659</v>
      </c>
      <c r="U2282" s="268" t="s">
        <v>3945</v>
      </c>
      <c r="V2282" s="267" t="s">
        <v>944</v>
      </c>
    </row>
    <row r="2283" spans="1:22" hidden="1" x14ac:dyDescent="0.25">
      <c r="A2283" s="269">
        <v>43592</v>
      </c>
      <c r="B2283" s="270">
        <v>2019</v>
      </c>
      <c r="C2283" s="270">
        <v>2019</v>
      </c>
      <c r="D2283" s="270">
        <v>1</v>
      </c>
      <c r="E2283" s="270">
        <v>1</v>
      </c>
      <c r="F2283" s="270" t="s">
        <v>944</v>
      </c>
      <c r="G2283" s="270" t="s">
        <v>3926</v>
      </c>
      <c r="H2283" s="270" t="s">
        <v>6622</v>
      </c>
      <c r="I2283" s="270" t="s">
        <v>4306</v>
      </c>
      <c r="J2283" s="270" t="s">
        <v>3928</v>
      </c>
      <c r="K2283" s="270">
        <v>6716</v>
      </c>
      <c r="L2283" s="270">
        <v>361200</v>
      </c>
      <c r="M2283" s="270" t="s">
        <v>3960</v>
      </c>
      <c r="N2283" s="270" t="s">
        <v>3944</v>
      </c>
      <c r="O2283" s="270">
        <v>1595.09</v>
      </c>
      <c r="P2283" s="270" t="s">
        <v>3944</v>
      </c>
      <c r="Q2283" s="270" t="s">
        <v>3944</v>
      </c>
      <c r="R2283" s="270">
        <v>1595.09</v>
      </c>
      <c r="S2283" s="270">
        <v>15244.91</v>
      </c>
      <c r="T2283" s="270">
        <v>16840</v>
      </c>
      <c r="U2283" s="271" t="s">
        <v>3945</v>
      </c>
      <c r="V2283" s="267" t="s">
        <v>944</v>
      </c>
    </row>
    <row r="2284" spans="1:22" hidden="1" x14ac:dyDescent="0.25">
      <c r="A2284" s="266">
        <v>43592</v>
      </c>
      <c r="B2284" s="267">
        <v>2019</v>
      </c>
      <c r="C2284" s="267">
        <v>2019</v>
      </c>
      <c r="D2284" s="267">
        <v>1</v>
      </c>
      <c r="E2284" s="267">
        <v>1</v>
      </c>
      <c r="F2284" s="267" t="s">
        <v>944</v>
      </c>
      <c r="G2284" s="267" t="s">
        <v>3926</v>
      </c>
      <c r="H2284" s="267" t="s">
        <v>6623</v>
      </c>
      <c r="I2284" s="267" t="s">
        <v>4461</v>
      </c>
      <c r="J2284" s="267" t="s">
        <v>3928</v>
      </c>
      <c r="K2284" s="267">
        <v>6870</v>
      </c>
      <c r="L2284" s="267">
        <v>10900</v>
      </c>
      <c r="M2284" s="267" t="s">
        <v>3943</v>
      </c>
      <c r="N2284" s="267" t="s">
        <v>3944</v>
      </c>
      <c r="O2284" s="267">
        <v>1438.08</v>
      </c>
      <c r="P2284" s="267" t="s">
        <v>3944</v>
      </c>
      <c r="Q2284" s="267" t="s">
        <v>3944</v>
      </c>
      <c r="R2284" s="267">
        <v>1438.08</v>
      </c>
      <c r="S2284" s="267">
        <v>14023.92</v>
      </c>
      <c r="T2284" s="267">
        <v>15462</v>
      </c>
      <c r="U2284" s="268" t="s">
        <v>3945</v>
      </c>
      <c r="V2284" s="267" t="s">
        <v>944</v>
      </c>
    </row>
    <row r="2285" spans="1:22" hidden="1" x14ac:dyDescent="0.25">
      <c r="A2285" s="269">
        <v>43592</v>
      </c>
      <c r="B2285" s="270">
        <v>2019</v>
      </c>
      <c r="C2285" s="270">
        <v>2019</v>
      </c>
      <c r="D2285" s="270">
        <v>1</v>
      </c>
      <c r="E2285" s="270">
        <v>1</v>
      </c>
      <c r="F2285" s="270" t="s">
        <v>944</v>
      </c>
      <c r="G2285" s="270" t="s">
        <v>3926</v>
      </c>
      <c r="H2285" s="270" t="s">
        <v>6624</v>
      </c>
      <c r="I2285" s="270" t="s">
        <v>4422</v>
      </c>
      <c r="J2285" s="270" t="s">
        <v>3928</v>
      </c>
      <c r="K2285" s="270">
        <v>6801</v>
      </c>
      <c r="L2285" s="270">
        <v>200301</v>
      </c>
      <c r="M2285" s="270" t="s">
        <v>3943</v>
      </c>
      <c r="N2285" s="270" t="s">
        <v>3944</v>
      </c>
      <c r="O2285" s="270">
        <v>2537.08</v>
      </c>
      <c r="P2285" s="270" t="s">
        <v>3944</v>
      </c>
      <c r="Q2285" s="270" t="s">
        <v>3944</v>
      </c>
      <c r="R2285" s="270">
        <v>2537.08</v>
      </c>
      <c r="S2285" s="270">
        <v>18213.919999999998</v>
      </c>
      <c r="T2285" s="270">
        <v>20751</v>
      </c>
      <c r="U2285" s="271" t="s">
        <v>3945</v>
      </c>
      <c r="V2285" s="267" t="s">
        <v>944</v>
      </c>
    </row>
    <row r="2286" spans="1:22" hidden="1" x14ac:dyDescent="0.25">
      <c r="A2286" s="266">
        <v>43592</v>
      </c>
      <c r="B2286" s="267">
        <v>2019</v>
      </c>
      <c r="C2286" s="267">
        <v>2019</v>
      </c>
      <c r="D2286" s="267">
        <v>1</v>
      </c>
      <c r="E2286" s="267">
        <v>1</v>
      </c>
      <c r="F2286" s="267" t="s">
        <v>944</v>
      </c>
      <c r="G2286" s="267" t="s">
        <v>3926</v>
      </c>
      <c r="H2286" s="267" t="s">
        <v>6625</v>
      </c>
      <c r="I2286" s="267" t="s">
        <v>3009</v>
      </c>
      <c r="J2286" s="267" t="s">
        <v>3928</v>
      </c>
      <c r="K2286" s="267">
        <v>6484</v>
      </c>
      <c r="L2286" s="267">
        <v>110202</v>
      </c>
      <c r="M2286" s="267" t="s">
        <v>3935</v>
      </c>
      <c r="N2286" s="267" t="s">
        <v>3944</v>
      </c>
      <c r="O2286" s="267">
        <v>1177.4000000000001</v>
      </c>
      <c r="P2286" s="267" t="s">
        <v>3944</v>
      </c>
      <c r="Q2286" s="267" t="s">
        <v>3944</v>
      </c>
      <c r="R2286" s="267">
        <v>1177.4000000000001</v>
      </c>
      <c r="S2286" s="267">
        <v>13471.6</v>
      </c>
      <c r="T2286" s="267">
        <v>14649</v>
      </c>
      <c r="U2286" s="268" t="s">
        <v>3945</v>
      </c>
      <c r="V2286" s="267" t="s">
        <v>944</v>
      </c>
    </row>
    <row r="2287" spans="1:22" hidden="1" x14ac:dyDescent="0.25">
      <c r="A2287" s="269">
        <v>43592</v>
      </c>
      <c r="B2287" s="270">
        <v>2019</v>
      </c>
      <c r="C2287" s="270">
        <v>2019</v>
      </c>
      <c r="D2287" s="270">
        <v>1</v>
      </c>
      <c r="E2287" s="270">
        <v>1</v>
      </c>
      <c r="F2287" s="270" t="s">
        <v>944</v>
      </c>
      <c r="G2287" s="270" t="s">
        <v>3926</v>
      </c>
      <c r="H2287" s="270" t="s">
        <v>6626</v>
      </c>
      <c r="I2287" s="270" t="s">
        <v>950</v>
      </c>
      <c r="J2287" s="270" t="s">
        <v>3928</v>
      </c>
      <c r="K2287" s="270">
        <v>6516</v>
      </c>
      <c r="L2287" s="270">
        <v>155000</v>
      </c>
      <c r="M2287" s="270" t="s">
        <v>3940</v>
      </c>
      <c r="N2287" s="270" t="s">
        <v>3944</v>
      </c>
      <c r="O2287" s="270">
        <v>1371.93</v>
      </c>
      <c r="P2287" s="270" t="s">
        <v>3944</v>
      </c>
      <c r="Q2287" s="270" t="s">
        <v>3944</v>
      </c>
      <c r="R2287" s="270">
        <v>1371.93</v>
      </c>
      <c r="S2287" s="270">
        <v>21545.58</v>
      </c>
      <c r="T2287" s="270">
        <v>22917.51</v>
      </c>
      <c r="U2287" s="271" t="s">
        <v>3945</v>
      </c>
      <c r="V2287" s="267" t="s">
        <v>944</v>
      </c>
    </row>
    <row r="2288" spans="1:22" hidden="1" x14ac:dyDescent="0.25">
      <c r="A2288" s="266">
        <v>43593</v>
      </c>
      <c r="B2288" s="267">
        <v>2019</v>
      </c>
      <c r="C2288" s="267">
        <v>2019</v>
      </c>
      <c r="D2288" s="267">
        <v>1</v>
      </c>
      <c r="E2288" s="267">
        <v>1</v>
      </c>
      <c r="F2288" s="267" t="s">
        <v>944</v>
      </c>
      <c r="G2288" s="267" t="s">
        <v>3926</v>
      </c>
      <c r="H2288" s="267" t="s">
        <v>6627</v>
      </c>
      <c r="I2288" s="267" t="s">
        <v>4213</v>
      </c>
      <c r="J2288" s="267" t="s">
        <v>3928</v>
      </c>
      <c r="K2288" s="267">
        <v>6053</v>
      </c>
      <c r="L2288" s="267">
        <v>416600</v>
      </c>
      <c r="M2288" s="267">
        <v>-60</v>
      </c>
      <c r="N2288" s="267" t="s">
        <v>6628</v>
      </c>
      <c r="O2288" s="267">
        <v>0</v>
      </c>
      <c r="P2288" s="267" t="s">
        <v>3930</v>
      </c>
      <c r="Q2288" s="267" t="s">
        <v>3930</v>
      </c>
      <c r="R2288" s="267">
        <v>0</v>
      </c>
      <c r="S2288" s="267">
        <v>14500</v>
      </c>
      <c r="T2288" s="267">
        <v>14500</v>
      </c>
      <c r="U2288" s="268" t="s">
        <v>3937</v>
      </c>
      <c r="V2288" s="267" t="s">
        <v>944</v>
      </c>
    </row>
    <row r="2289" spans="1:22" hidden="1" x14ac:dyDescent="0.25">
      <c r="A2289" s="269">
        <v>43593</v>
      </c>
      <c r="B2289" s="270">
        <v>2019</v>
      </c>
      <c r="C2289" s="270">
        <v>2019</v>
      </c>
      <c r="D2289" s="270">
        <v>1</v>
      </c>
      <c r="E2289" s="270">
        <v>1</v>
      </c>
      <c r="F2289" s="270" t="s">
        <v>944</v>
      </c>
      <c r="G2289" s="270" t="s">
        <v>3926</v>
      </c>
      <c r="H2289" s="270" t="s">
        <v>6629</v>
      </c>
      <c r="I2289" s="270" t="s">
        <v>3009</v>
      </c>
      <c r="J2289" s="270" t="s">
        <v>3928</v>
      </c>
      <c r="K2289" s="270">
        <v>6484</v>
      </c>
      <c r="L2289" s="270">
        <v>110201</v>
      </c>
      <c r="M2289" s="270" t="s">
        <v>3960</v>
      </c>
      <c r="N2289" s="270" t="s">
        <v>6630</v>
      </c>
      <c r="O2289" s="270">
        <v>0</v>
      </c>
      <c r="P2289" s="270" t="s">
        <v>3930</v>
      </c>
      <c r="Q2289" s="270" t="s">
        <v>3930</v>
      </c>
      <c r="R2289" s="270">
        <v>0</v>
      </c>
      <c r="S2289" s="270">
        <v>10200</v>
      </c>
      <c r="T2289" s="270">
        <v>10200</v>
      </c>
      <c r="U2289" s="271" t="s">
        <v>3937</v>
      </c>
      <c r="V2289" s="267" t="s">
        <v>944</v>
      </c>
    </row>
    <row r="2290" spans="1:22" hidden="1" x14ac:dyDescent="0.25">
      <c r="A2290" s="266">
        <v>43593</v>
      </c>
      <c r="B2290" s="267">
        <v>2019</v>
      </c>
      <c r="C2290" s="267">
        <v>2019</v>
      </c>
      <c r="D2290" s="267">
        <v>1</v>
      </c>
      <c r="E2290" s="267">
        <v>1</v>
      </c>
      <c r="F2290" s="267" t="s">
        <v>944</v>
      </c>
      <c r="G2290" s="267" t="s">
        <v>3926</v>
      </c>
      <c r="H2290" s="267" t="s">
        <v>6631</v>
      </c>
      <c r="I2290" s="267" t="s">
        <v>3964</v>
      </c>
      <c r="J2290" s="267" t="s">
        <v>3928</v>
      </c>
      <c r="K2290" s="267">
        <v>6073</v>
      </c>
      <c r="L2290" s="267">
        <v>520501</v>
      </c>
      <c r="M2290" s="267" t="s">
        <v>3943</v>
      </c>
      <c r="N2290" s="267" t="s">
        <v>6632</v>
      </c>
      <c r="O2290" s="267">
        <v>0</v>
      </c>
      <c r="P2290" s="267" t="s">
        <v>3930</v>
      </c>
      <c r="Q2290" s="267" t="s">
        <v>3930</v>
      </c>
      <c r="R2290" s="267">
        <v>0</v>
      </c>
      <c r="S2290" s="267">
        <v>3926</v>
      </c>
      <c r="T2290" s="267">
        <v>3926</v>
      </c>
      <c r="U2290" s="268" t="s">
        <v>3937</v>
      </c>
      <c r="V2290" s="267" t="s">
        <v>944</v>
      </c>
    </row>
    <row r="2291" spans="1:22" hidden="1" x14ac:dyDescent="0.25">
      <c r="A2291" s="269">
        <v>43593</v>
      </c>
      <c r="B2291" s="270">
        <v>2019</v>
      </c>
      <c r="C2291" s="270">
        <v>2019</v>
      </c>
      <c r="D2291" s="270">
        <v>1</v>
      </c>
      <c r="E2291" s="270">
        <v>1</v>
      </c>
      <c r="F2291" s="270" t="s">
        <v>944</v>
      </c>
      <c r="G2291" s="270" t="s">
        <v>3926</v>
      </c>
      <c r="H2291" s="270" t="s">
        <v>6633</v>
      </c>
      <c r="I2291" s="270" t="s">
        <v>3008</v>
      </c>
      <c r="J2291" s="270" t="s">
        <v>3928</v>
      </c>
      <c r="K2291" s="270">
        <v>6461</v>
      </c>
      <c r="L2291" s="270">
        <v>150600</v>
      </c>
      <c r="M2291" s="270" t="s">
        <v>3960</v>
      </c>
      <c r="N2291" s="270" t="s">
        <v>6634</v>
      </c>
      <c r="O2291" s="270">
        <v>0</v>
      </c>
      <c r="P2291" s="270" t="s">
        <v>3930</v>
      </c>
      <c r="Q2291" s="270" t="s">
        <v>3930</v>
      </c>
      <c r="R2291" s="270">
        <v>0</v>
      </c>
      <c r="S2291" s="270">
        <v>13808.51</v>
      </c>
      <c r="T2291" s="270">
        <v>13808.51</v>
      </c>
      <c r="U2291" s="271" t="s">
        <v>3937</v>
      </c>
      <c r="V2291" s="267" t="s">
        <v>944</v>
      </c>
    </row>
    <row r="2292" spans="1:22" hidden="1" x14ac:dyDescent="0.25">
      <c r="A2292" s="266">
        <v>43593</v>
      </c>
      <c r="B2292" s="267">
        <v>2019</v>
      </c>
      <c r="C2292" s="267">
        <v>2019</v>
      </c>
      <c r="D2292" s="267">
        <v>1</v>
      </c>
      <c r="E2292" s="267">
        <v>1</v>
      </c>
      <c r="F2292" s="267" t="s">
        <v>944</v>
      </c>
      <c r="G2292" s="267" t="s">
        <v>3926</v>
      </c>
      <c r="H2292" s="267" t="s">
        <v>6635</v>
      </c>
      <c r="I2292" s="267" t="s">
        <v>4019</v>
      </c>
      <c r="J2292" s="267" t="s">
        <v>3928</v>
      </c>
      <c r="K2292" s="267">
        <v>6708</v>
      </c>
      <c r="L2292" s="267">
        <v>352000</v>
      </c>
      <c r="M2292" s="267" t="s">
        <v>3935</v>
      </c>
      <c r="N2292" s="267" t="s">
        <v>3986</v>
      </c>
      <c r="O2292" s="267">
        <v>1219.68</v>
      </c>
      <c r="P2292" s="267" t="s">
        <v>3930</v>
      </c>
      <c r="Q2292" s="267" t="s">
        <v>3931</v>
      </c>
      <c r="R2292" s="267">
        <v>6219.68</v>
      </c>
      <c r="S2292" s="267">
        <v>16196.8</v>
      </c>
      <c r="T2292" s="267">
        <v>22416.48</v>
      </c>
      <c r="U2292" s="268" t="s">
        <v>3932</v>
      </c>
      <c r="V2292" s="267" t="s">
        <v>944</v>
      </c>
    </row>
    <row r="2293" spans="1:22" hidden="1" x14ac:dyDescent="0.25">
      <c r="A2293" s="269">
        <v>43593</v>
      </c>
      <c r="B2293" s="270">
        <v>2019</v>
      </c>
      <c r="C2293" s="270">
        <v>2019</v>
      </c>
      <c r="D2293" s="270">
        <v>1</v>
      </c>
      <c r="E2293" s="270">
        <v>1</v>
      </c>
      <c r="F2293" s="270" t="s">
        <v>944</v>
      </c>
      <c r="G2293" s="270" t="s">
        <v>3926</v>
      </c>
      <c r="H2293" s="270" t="s">
        <v>6636</v>
      </c>
      <c r="I2293" s="270" t="s">
        <v>5325</v>
      </c>
      <c r="J2293" s="270" t="s">
        <v>3928</v>
      </c>
      <c r="K2293" s="270">
        <v>6057</v>
      </c>
      <c r="L2293" s="270">
        <v>306100</v>
      </c>
      <c r="M2293" s="270" t="s">
        <v>3943</v>
      </c>
      <c r="N2293" s="270" t="s">
        <v>6637</v>
      </c>
      <c r="O2293" s="270">
        <v>4353</v>
      </c>
      <c r="P2293" s="270" t="s">
        <v>3930</v>
      </c>
      <c r="Q2293" s="270" t="s">
        <v>3930</v>
      </c>
      <c r="R2293" s="270">
        <v>4353</v>
      </c>
      <c r="S2293" s="270">
        <v>21658</v>
      </c>
      <c r="T2293" s="270">
        <v>26011</v>
      </c>
      <c r="U2293" s="271" t="s">
        <v>3937</v>
      </c>
      <c r="V2293" s="267" t="s">
        <v>944</v>
      </c>
    </row>
    <row r="2294" spans="1:22" hidden="1" x14ac:dyDescent="0.25">
      <c r="A2294" s="266">
        <v>43593</v>
      </c>
      <c r="B2294" s="267">
        <v>2019</v>
      </c>
      <c r="C2294" s="267">
        <v>2019</v>
      </c>
      <c r="D2294" s="267">
        <v>1</v>
      </c>
      <c r="E2294" s="267">
        <v>1</v>
      </c>
      <c r="F2294" s="267" t="s">
        <v>944</v>
      </c>
      <c r="G2294" s="267" t="s">
        <v>3926</v>
      </c>
      <c r="H2294" s="267" t="s">
        <v>6638</v>
      </c>
      <c r="I2294" s="267" t="s">
        <v>956</v>
      </c>
      <c r="J2294" s="267" t="s">
        <v>3928</v>
      </c>
      <c r="K2294" s="267">
        <v>6614</v>
      </c>
      <c r="L2294" s="267">
        <v>80900</v>
      </c>
      <c r="M2294" s="267" t="s">
        <v>3960</v>
      </c>
      <c r="N2294" s="267" t="s">
        <v>5607</v>
      </c>
      <c r="O2294" s="267">
        <v>3234.51</v>
      </c>
      <c r="P2294" s="267" t="s">
        <v>3930</v>
      </c>
      <c r="Q2294" s="267" t="s">
        <v>3931</v>
      </c>
      <c r="R2294" s="267">
        <v>8234.51</v>
      </c>
      <c r="S2294" s="267">
        <v>17190.400000000001</v>
      </c>
      <c r="T2294" s="267">
        <v>25424.91</v>
      </c>
      <c r="U2294" s="268" t="s">
        <v>3932</v>
      </c>
      <c r="V2294" s="267" t="s">
        <v>944</v>
      </c>
    </row>
    <row r="2295" spans="1:22" hidden="1" x14ac:dyDescent="0.25">
      <c r="A2295" s="269">
        <v>43593</v>
      </c>
      <c r="B2295" s="270">
        <v>2019</v>
      </c>
      <c r="C2295" s="270">
        <v>2019</v>
      </c>
      <c r="D2295" s="270">
        <v>1</v>
      </c>
      <c r="E2295" s="270">
        <v>1</v>
      </c>
      <c r="F2295" s="270" t="s">
        <v>944</v>
      </c>
      <c r="G2295" s="270" t="s">
        <v>3926</v>
      </c>
      <c r="H2295" s="270" t="s">
        <v>6639</v>
      </c>
      <c r="I2295" s="270" t="s">
        <v>4548</v>
      </c>
      <c r="J2295" s="270" t="s">
        <v>3928</v>
      </c>
      <c r="K2295" s="270">
        <v>6037</v>
      </c>
      <c r="L2295" s="270">
        <v>400300</v>
      </c>
      <c r="M2295" s="270" t="s">
        <v>3960</v>
      </c>
      <c r="N2295" s="270" t="s">
        <v>4464</v>
      </c>
      <c r="O2295" s="270">
        <v>0</v>
      </c>
      <c r="P2295" s="270" t="s">
        <v>3930</v>
      </c>
      <c r="Q2295" s="270" t="s">
        <v>3930</v>
      </c>
      <c r="R2295" s="270">
        <v>0</v>
      </c>
      <c r="S2295" s="270">
        <v>8500</v>
      </c>
      <c r="T2295" s="270">
        <v>8500</v>
      </c>
      <c r="U2295" s="271" t="s">
        <v>3937</v>
      </c>
      <c r="V2295" s="267" t="s">
        <v>944</v>
      </c>
    </row>
    <row r="2296" spans="1:22" hidden="1" x14ac:dyDescent="0.25">
      <c r="A2296" s="266">
        <v>43593</v>
      </c>
      <c r="B2296" s="267">
        <v>2019</v>
      </c>
      <c r="C2296" s="267">
        <v>2019</v>
      </c>
      <c r="D2296" s="267">
        <v>1</v>
      </c>
      <c r="E2296" s="267">
        <v>1</v>
      </c>
      <c r="F2296" s="267" t="s">
        <v>944</v>
      </c>
      <c r="G2296" s="267" t="s">
        <v>3926</v>
      </c>
      <c r="H2296" s="267" t="s">
        <v>6640</v>
      </c>
      <c r="I2296" s="267" t="s">
        <v>4239</v>
      </c>
      <c r="J2296" s="267" t="s">
        <v>3928</v>
      </c>
      <c r="K2296" s="267">
        <v>6085</v>
      </c>
      <c r="L2296" s="267">
        <v>460301</v>
      </c>
      <c r="M2296" s="267" t="s">
        <v>3943</v>
      </c>
      <c r="N2296" s="267" t="s">
        <v>3944</v>
      </c>
      <c r="O2296" s="267">
        <v>1911</v>
      </c>
      <c r="P2296" s="267" t="s">
        <v>3944</v>
      </c>
      <c r="Q2296" s="267" t="s">
        <v>3944</v>
      </c>
      <c r="R2296" s="267">
        <v>1911</v>
      </c>
      <c r="S2296" s="267">
        <v>32109</v>
      </c>
      <c r="T2296" s="267">
        <v>34020</v>
      </c>
      <c r="U2296" s="268" t="s">
        <v>3945</v>
      </c>
      <c r="V2296" s="267" t="s">
        <v>944</v>
      </c>
    </row>
    <row r="2297" spans="1:22" hidden="1" x14ac:dyDescent="0.25">
      <c r="A2297" s="269">
        <v>43593</v>
      </c>
      <c r="B2297" s="270">
        <v>2019</v>
      </c>
      <c r="C2297" s="270">
        <v>2019</v>
      </c>
      <c r="D2297" s="270">
        <v>1</v>
      </c>
      <c r="E2297" s="270">
        <v>1</v>
      </c>
      <c r="F2297" s="270" t="s">
        <v>944</v>
      </c>
      <c r="G2297" s="270" t="s">
        <v>3926</v>
      </c>
      <c r="H2297" s="270" t="s">
        <v>6641</v>
      </c>
      <c r="I2297" s="270" t="s">
        <v>3025</v>
      </c>
      <c r="J2297" s="270" t="s">
        <v>3928</v>
      </c>
      <c r="K2297" s="270">
        <v>6473</v>
      </c>
      <c r="L2297" s="270">
        <v>167201</v>
      </c>
      <c r="M2297" s="270" t="s">
        <v>3960</v>
      </c>
      <c r="N2297" s="270" t="s">
        <v>3944</v>
      </c>
      <c r="O2297" s="270">
        <v>2710</v>
      </c>
      <c r="P2297" s="270" t="s">
        <v>3944</v>
      </c>
      <c r="Q2297" s="270" t="s">
        <v>3944</v>
      </c>
      <c r="R2297" s="270">
        <v>2710</v>
      </c>
      <c r="S2297" s="270">
        <v>32570</v>
      </c>
      <c r="T2297" s="270">
        <v>35280</v>
      </c>
      <c r="U2297" s="271" t="s">
        <v>3945</v>
      </c>
      <c r="V2297" s="267" t="s">
        <v>944</v>
      </c>
    </row>
    <row r="2298" spans="1:22" hidden="1" x14ac:dyDescent="0.25">
      <c r="A2298" s="266">
        <v>43593</v>
      </c>
      <c r="B2298" s="267">
        <v>2019</v>
      </c>
      <c r="C2298" s="267">
        <v>2019</v>
      </c>
      <c r="D2298" s="267">
        <v>1</v>
      </c>
      <c r="E2298" s="267">
        <v>1</v>
      </c>
      <c r="F2298" s="267" t="s">
        <v>944</v>
      </c>
      <c r="G2298" s="267" t="s">
        <v>3926</v>
      </c>
      <c r="H2298" s="267" t="s">
        <v>6642</v>
      </c>
      <c r="I2298" s="267" t="s">
        <v>4147</v>
      </c>
      <c r="J2298" s="267" t="s">
        <v>3928</v>
      </c>
      <c r="K2298" s="267">
        <v>6109</v>
      </c>
      <c r="L2298" s="267">
        <v>492300</v>
      </c>
      <c r="M2298" s="267" t="s">
        <v>3940</v>
      </c>
      <c r="N2298" s="267" t="s">
        <v>3944</v>
      </c>
      <c r="O2298" s="267">
        <v>2351</v>
      </c>
      <c r="P2298" s="267" t="s">
        <v>3944</v>
      </c>
      <c r="Q2298" s="267" t="s">
        <v>3944</v>
      </c>
      <c r="R2298" s="267">
        <v>2351</v>
      </c>
      <c r="S2298" s="267">
        <v>20329</v>
      </c>
      <c r="T2298" s="267">
        <v>22680</v>
      </c>
      <c r="U2298" s="268" t="s">
        <v>3945</v>
      </c>
      <c r="V2298" s="267" t="s">
        <v>944</v>
      </c>
    </row>
    <row r="2299" spans="1:22" hidden="1" x14ac:dyDescent="0.25">
      <c r="A2299" s="269">
        <v>43593</v>
      </c>
      <c r="B2299" s="270">
        <v>2019</v>
      </c>
      <c r="C2299" s="270">
        <v>2019</v>
      </c>
      <c r="D2299" s="270">
        <v>1</v>
      </c>
      <c r="E2299" s="270">
        <v>1</v>
      </c>
      <c r="F2299" s="270" t="s">
        <v>944</v>
      </c>
      <c r="G2299" s="270" t="s">
        <v>3926</v>
      </c>
      <c r="H2299" s="270" t="s">
        <v>6643</v>
      </c>
      <c r="I2299" s="270" t="s">
        <v>943</v>
      </c>
      <c r="J2299" s="270" t="s">
        <v>3928</v>
      </c>
      <c r="K2299" s="270">
        <v>6512</v>
      </c>
      <c r="L2299" s="270">
        <v>142800</v>
      </c>
      <c r="M2299" s="270" t="s">
        <v>3940</v>
      </c>
      <c r="N2299" s="270" t="s">
        <v>3944</v>
      </c>
      <c r="O2299" s="270">
        <v>1341.24</v>
      </c>
      <c r="P2299" s="270" t="s">
        <v>3944</v>
      </c>
      <c r="Q2299" s="270" t="s">
        <v>3944</v>
      </c>
      <c r="R2299" s="270">
        <v>1341.24</v>
      </c>
      <c r="S2299" s="270">
        <v>21890.01</v>
      </c>
      <c r="T2299" s="270">
        <v>23231.25</v>
      </c>
      <c r="U2299" s="271" t="s">
        <v>3945</v>
      </c>
      <c r="V2299" s="267" t="s">
        <v>944</v>
      </c>
    </row>
    <row r="2300" spans="1:22" hidden="1" x14ac:dyDescent="0.25">
      <c r="A2300" s="266">
        <v>43593</v>
      </c>
      <c r="B2300" s="267">
        <v>2019</v>
      </c>
      <c r="C2300" s="267">
        <v>2019</v>
      </c>
      <c r="D2300" s="267">
        <v>1</v>
      </c>
      <c r="E2300" s="267">
        <v>1</v>
      </c>
      <c r="F2300" s="267" t="s">
        <v>944</v>
      </c>
      <c r="G2300" s="267" t="s">
        <v>3926</v>
      </c>
      <c r="H2300" s="267" t="s">
        <v>6644</v>
      </c>
      <c r="I2300" s="267" t="s">
        <v>3012</v>
      </c>
      <c r="J2300" s="267" t="s">
        <v>3928</v>
      </c>
      <c r="K2300" s="267">
        <v>6477</v>
      </c>
      <c r="L2300" s="267">
        <v>157400</v>
      </c>
      <c r="M2300" s="267" t="s">
        <v>3943</v>
      </c>
      <c r="N2300" s="267" t="s">
        <v>3944</v>
      </c>
      <c r="O2300" s="267">
        <v>1114.54</v>
      </c>
      <c r="P2300" s="267" t="s">
        <v>3944</v>
      </c>
      <c r="Q2300" s="267" t="s">
        <v>3944</v>
      </c>
      <c r="R2300" s="267">
        <v>1114.54</v>
      </c>
      <c r="S2300" s="267">
        <v>18999.07</v>
      </c>
      <c r="T2300" s="267">
        <v>20113.61</v>
      </c>
      <c r="U2300" s="268" t="s">
        <v>3945</v>
      </c>
      <c r="V2300" s="267" t="s">
        <v>944</v>
      </c>
    </row>
    <row r="2301" spans="1:22" x14ac:dyDescent="0.25">
      <c r="A2301" s="269">
        <v>43593</v>
      </c>
      <c r="B2301" s="270">
        <v>2019</v>
      </c>
      <c r="C2301" s="270">
        <v>2019</v>
      </c>
      <c r="D2301" s="270">
        <v>1</v>
      </c>
      <c r="E2301" s="270">
        <v>1</v>
      </c>
      <c r="F2301" s="270" t="s">
        <v>944</v>
      </c>
      <c r="G2301" s="270" t="s">
        <v>3926</v>
      </c>
      <c r="H2301" s="270" t="s">
        <v>6645</v>
      </c>
      <c r="I2301" s="270" t="s">
        <v>4213</v>
      </c>
      <c r="J2301" s="270" t="s">
        <v>3928</v>
      </c>
      <c r="K2301" s="270">
        <v>6051</v>
      </c>
      <c r="L2301" s="270">
        <v>417100</v>
      </c>
      <c r="M2301" s="270">
        <v>-60</v>
      </c>
      <c r="N2301" s="270" t="s">
        <v>3944</v>
      </c>
      <c r="O2301" s="270">
        <v>1291.68</v>
      </c>
      <c r="P2301" s="270" t="s">
        <v>3944</v>
      </c>
      <c r="Q2301" s="270" t="s">
        <v>3944</v>
      </c>
      <c r="R2301" s="270">
        <v>1291.68</v>
      </c>
      <c r="S2301" s="270">
        <v>17620.53</v>
      </c>
      <c r="T2301" s="270">
        <v>18912.21</v>
      </c>
      <c r="U2301" s="271" t="s">
        <v>3945</v>
      </c>
      <c r="V2301" s="267" t="s">
        <v>936</v>
      </c>
    </row>
    <row r="2302" spans="1:22" hidden="1" x14ac:dyDescent="0.25">
      <c r="A2302" s="266">
        <v>43593</v>
      </c>
      <c r="B2302" s="267">
        <v>2019</v>
      </c>
      <c r="C2302" s="267">
        <v>2019</v>
      </c>
      <c r="D2302" s="267">
        <v>1</v>
      </c>
      <c r="E2302" s="267">
        <v>1</v>
      </c>
      <c r="F2302" s="267" t="s">
        <v>944</v>
      </c>
      <c r="G2302" s="267" t="s">
        <v>3926</v>
      </c>
      <c r="H2302" s="267" t="s">
        <v>6646</v>
      </c>
      <c r="I2302" s="267" t="s">
        <v>4042</v>
      </c>
      <c r="J2302" s="267" t="s">
        <v>3928</v>
      </c>
      <c r="K2302" s="267">
        <v>6382</v>
      </c>
      <c r="L2302" s="267">
        <v>870501</v>
      </c>
      <c r="M2302" s="267" t="s">
        <v>3935</v>
      </c>
      <c r="N2302" s="267" t="s">
        <v>3944</v>
      </c>
      <c r="O2302" s="267">
        <v>1823.01</v>
      </c>
      <c r="P2302" s="267" t="s">
        <v>3944</v>
      </c>
      <c r="Q2302" s="267" t="s">
        <v>3944</v>
      </c>
      <c r="R2302" s="267">
        <v>1823.01</v>
      </c>
      <c r="S2302" s="267">
        <v>28041.61</v>
      </c>
      <c r="T2302" s="267">
        <v>29864.62</v>
      </c>
      <c r="U2302" s="268" t="s">
        <v>3945</v>
      </c>
      <c r="V2302" s="267" t="s">
        <v>944</v>
      </c>
    </row>
    <row r="2303" spans="1:22" hidden="1" x14ac:dyDescent="0.25">
      <c r="A2303" s="269">
        <v>43593</v>
      </c>
      <c r="B2303" s="270">
        <v>2019</v>
      </c>
      <c r="C2303" s="270">
        <v>2019</v>
      </c>
      <c r="D2303" s="270">
        <v>1</v>
      </c>
      <c r="E2303" s="270">
        <v>1</v>
      </c>
      <c r="F2303" s="270" t="s">
        <v>944</v>
      </c>
      <c r="G2303" s="270" t="s">
        <v>3926</v>
      </c>
      <c r="H2303" s="270" t="s">
        <v>6647</v>
      </c>
      <c r="I2303" s="270" t="s">
        <v>3966</v>
      </c>
      <c r="J2303" s="270" t="s">
        <v>3928</v>
      </c>
      <c r="K2303" s="270">
        <v>6010</v>
      </c>
      <c r="L2303" s="270">
        <v>405500</v>
      </c>
      <c r="M2303" s="270" t="s">
        <v>3935</v>
      </c>
      <c r="N2303" s="270" t="s">
        <v>3944</v>
      </c>
      <c r="O2303" s="270">
        <v>1171.3800000000001</v>
      </c>
      <c r="P2303" s="270" t="s">
        <v>3944</v>
      </c>
      <c r="Q2303" s="270" t="s">
        <v>3944</v>
      </c>
      <c r="R2303" s="270">
        <v>1171.3800000000001</v>
      </c>
      <c r="S2303" s="270">
        <v>17175.099999999999</v>
      </c>
      <c r="T2303" s="270">
        <v>18346.48</v>
      </c>
      <c r="U2303" s="271" t="s">
        <v>3945</v>
      </c>
      <c r="V2303" s="267" t="s">
        <v>944</v>
      </c>
    </row>
    <row r="2304" spans="1:22" hidden="1" x14ac:dyDescent="0.25">
      <c r="A2304" s="266">
        <v>43593</v>
      </c>
      <c r="B2304" s="267">
        <v>2019</v>
      </c>
      <c r="C2304" s="267">
        <v>2019</v>
      </c>
      <c r="D2304" s="267">
        <v>1</v>
      </c>
      <c r="E2304" s="267">
        <v>1</v>
      </c>
      <c r="F2304" s="267" t="s">
        <v>944</v>
      </c>
      <c r="G2304" s="267" t="s">
        <v>3926</v>
      </c>
      <c r="H2304" s="267" t="s">
        <v>6648</v>
      </c>
      <c r="I2304" s="267" t="s">
        <v>4269</v>
      </c>
      <c r="J2304" s="267" t="s">
        <v>3928</v>
      </c>
      <c r="K2304" s="267">
        <v>6117</v>
      </c>
      <c r="L2304" s="267">
        <v>497300</v>
      </c>
      <c r="M2304" s="267" t="s">
        <v>3943</v>
      </c>
      <c r="N2304" s="267" t="s">
        <v>3944</v>
      </c>
      <c r="O2304" s="267">
        <v>1493.66</v>
      </c>
      <c r="P2304" s="267" t="s">
        <v>3944</v>
      </c>
      <c r="Q2304" s="267" t="s">
        <v>3944</v>
      </c>
      <c r="R2304" s="267">
        <v>1493.66</v>
      </c>
      <c r="S2304" s="267">
        <v>21302.75</v>
      </c>
      <c r="T2304" s="267">
        <v>22796.41</v>
      </c>
      <c r="U2304" s="268" t="s">
        <v>3945</v>
      </c>
      <c r="V2304" s="267" t="s">
        <v>944</v>
      </c>
    </row>
    <row r="2305" spans="1:22" hidden="1" x14ac:dyDescent="0.25">
      <c r="A2305" s="269">
        <v>43593</v>
      </c>
      <c r="B2305" s="270">
        <v>2019</v>
      </c>
      <c r="C2305" s="270">
        <v>2019</v>
      </c>
      <c r="D2305" s="270">
        <v>1</v>
      </c>
      <c r="E2305" s="270">
        <v>1</v>
      </c>
      <c r="F2305" s="270" t="s">
        <v>944</v>
      </c>
      <c r="G2305" s="270" t="s">
        <v>3926</v>
      </c>
      <c r="H2305" s="270" t="s">
        <v>6649</v>
      </c>
      <c r="I2305" s="270" t="s">
        <v>4019</v>
      </c>
      <c r="J2305" s="270" t="s">
        <v>3928</v>
      </c>
      <c r="K2305" s="270">
        <v>6708</v>
      </c>
      <c r="L2305" s="270">
        <v>352100</v>
      </c>
      <c r="M2305" s="270" t="s">
        <v>3940</v>
      </c>
      <c r="N2305" s="270" t="s">
        <v>3944</v>
      </c>
      <c r="O2305" s="270">
        <v>1303.68</v>
      </c>
      <c r="P2305" s="270" t="s">
        <v>3944</v>
      </c>
      <c r="Q2305" s="270" t="s">
        <v>3944</v>
      </c>
      <c r="R2305" s="270">
        <v>1303.68</v>
      </c>
      <c r="S2305" s="270">
        <v>18212.400000000001</v>
      </c>
      <c r="T2305" s="270">
        <v>19516.080000000002</v>
      </c>
      <c r="U2305" s="271" t="s">
        <v>3945</v>
      </c>
      <c r="V2305" s="267" t="s">
        <v>944</v>
      </c>
    </row>
    <row r="2306" spans="1:22" hidden="1" x14ac:dyDescent="0.25">
      <c r="A2306" s="266">
        <v>43593</v>
      </c>
      <c r="B2306" s="267">
        <v>2019</v>
      </c>
      <c r="C2306" s="267">
        <v>2019</v>
      </c>
      <c r="D2306" s="267">
        <v>1</v>
      </c>
      <c r="E2306" s="267">
        <v>1</v>
      </c>
      <c r="F2306" s="267" t="s">
        <v>944</v>
      </c>
      <c r="G2306" s="267" t="s">
        <v>3926</v>
      </c>
      <c r="H2306" s="267" t="s">
        <v>6650</v>
      </c>
      <c r="I2306" s="267" t="s">
        <v>3975</v>
      </c>
      <c r="J2306" s="267" t="s">
        <v>3928</v>
      </c>
      <c r="K2306" s="267">
        <v>6489</v>
      </c>
      <c r="L2306" s="267">
        <v>430203</v>
      </c>
      <c r="M2306" s="267" t="s">
        <v>3935</v>
      </c>
      <c r="N2306" s="267" t="s">
        <v>3944</v>
      </c>
      <c r="O2306" s="267">
        <v>3476.17</v>
      </c>
      <c r="P2306" s="267" t="s">
        <v>3944</v>
      </c>
      <c r="Q2306" s="267" t="s">
        <v>3944</v>
      </c>
      <c r="R2306" s="267">
        <v>3476.17</v>
      </c>
      <c r="S2306" s="267">
        <v>57189.58</v>
      </c>
      <c r="T2306" s="267">
        <v>60665.75</v>
      </c>
      <c r="U2306" s="268" t="s">
        <v>3945</v>
      </c>
      <c r="V2306" s="267" t="s">
        <v>944</v>
      </c>
    </row>
    <row r="2307" spans="1:22" hidden="1" x14ac:dyDescent="0.25">
      <c r="A2307" s="269">
        <v>43593</v>
      </c>
      <c r="B2307" s="270">
        <v>2019</v>
      </c>
      <c r="C2307" s="270">
        <v>2019</v>
      </c>
      <c r="D2307" s="270">
        <v>1</v>
      </c>
      <c r="E2307" s="270">
        <v>1</v>
      </c>
      <c r="F2307" s="270" t="s">
        <v>944</v>
      </c>
      <c r="G2307" s="270" t="s">
        <v>3926</v>
      </c>
      <c r="H2307" s="270" t="s">
        <v>6651</v>
      </c>
      <c r="I2307" s="270" t="s">
        <v>950</v>
      </c>
      <c r="J2307" s="270" t="s">
        <v>3928</v>
      </c>
      <c r="K2307" s="270">
        <v>6516</v>
      </c>
      <c r="L2307" s="270">
        <v>154800</v>
      </c>
      <c r="M2307" s="270" t="s">
        <v>3960</v>
      </c>
      <c r="N2307" s="270" t="s">
        <v>3944</v>
      </c>
      <c r="O2307" s="270">
        <v>2294.2199999999998</v>
      </c>
      <c r="P2307" s="270" t="s">
        <v>3944</v>
      </c>
      <c r="Q2307" s="270" t="s">
        <v>3944</v>
      </c>
      <c r="R2307" s="270">
        <v>2294.2199999999998</v>
      </c>
      <c r="S2307" s="270">
        <v>35159.019999999997</v>
      </c>
      <c r="T2307" s="270">
        <v>37453.24</v>
      </c>
      <c r="U2307" s="271" t="s">
        <v>3945</v>
      </c>
      <c r="V2307" s="267" t="s">
        <v>944</v>
      </c>
    </row>
    <row r="2308" spans="1:22" hidden="1" x14ac:dyDescent="0.25">
      <c r="A2308" s="266">
        <v>43593</v>
      </c>
      <c r="B2308" s="267">
        <v>2019</v>
      </c>
      <c r="C2308" s="267">
        <v>2019</v>
      </c>
      <c r="D2308" s="267">
        <v>1</v>
      </c>
      <c r="E2308" s="267">
        <v>1</v>
      </c>
      <c r="F2308" s="267" t="s">
        <v>944</v>
      </c>
      <c r="G2308" s="267" t="s">
        <v>3926</v>
      </c>
      <c r="H2308" s="267" t="s">
        <v>6652</v>
      </c>
      <c r="I2308" s="267" t="s">
        <v>3999</v>
      </c>
      <c r="J2308" s="267" t="s">
        <v>3928</v>
      </c>
      <c r="K2308" s="267">
        <v>6451</v>
      </c>
      <c r="L2308" s="267">
        <v>170500</v>
      </c>
      <c r="M2308" s="267" t="s">
        <v>3935</v>
      </c>
      <c r="N2308" s="267" t="s">
        <v>3944</v>
      </c>
      <c r="O2308" s="267">
        <v>1255.98</v>
      </c>
      <c r="P2308" s="267" t="s">
        <v>3944</v>
      </c>
      <c r="Q2308" s="267" t="s">
        <v>3944</v>
      </c>
      <c r="R2308" s="267">
        <v>1255.98</v>
      </c>
      <c r="S2308" s="267">
        <v>17970.21</v>
      </c>
      <c r="T2308" s="267">
        <v>19226.189999999999</v>
      </c>
      <c r="U2308" s="268" t="s">
        <v>3945</v>
      </c>
      <c r="V2308" s="267" t="s">
        <v>944</v>
      </c>
    </row>
    <row r="2309" spans="1:22" hidden="1" x14ac:dyDescent="0.25">
      <c r="A2309" s="269">
        <v>43593</v>
      </c>
      <c r="B2309" s="270">
        <v>2019</v>
      </c>
      <c r="C2309" s="270">
        <v>2019</v>
      </c>
      <c r="D2309" s="270">
        <v>1</v>
      </c>
      <c r="E2309" s="270">
        <v>1</v>
      </c>
      <c r="F2309" s="270" t="s">
        <v>944</v>
      </c>
      <c r="G2309" s="270" t="s">
        <v>3926</v>
      </c>
      <c r="H2309" s="270" t="s">
        <v>6653</v>
      </c>
      <c r="I2309" s="270" t="s">
        <v>4200</v>
      </c>
      <c r="J2309" s="270" t="s">
        <v>3928</v>
      </c>
      <c r="K2309" s="270">
        <v>6795</v>
      </c>
      <c r="L2309" s="270">
        <v>360200</v>
      </c>
      <c r="M2309" s="270" t="s">
        <v>3943</v>
      </c>
      <c r="N2309" s="270" t="s">
        <v>3944</v>
      </c>
      <c r="O2309" s="270">
        <v>3606.82</v>
      </c>
      <c r="P2309" s="270" t="s">
        <v>3944</v>
      </c>
      <c r="Q2309" s="270" t="s">
        <v>3944</v>
      </c>
      <c r="R2309" s="270">
        <v>3606.82</v>
      </c>
      <c r="S2309" s="270">
        <v>49464.65</v>
      </c>
      <c r="T2309" s="270">
        <v>53071.47</v>
      </c>
      <c r="U2309" s="271" t="s">
        <v>3945</v>
      </c>
      <c r="V2309" s="267" t="s">
        <v>944</v>
      </c>
    </row>
    <row r="2310" spans="1:22" hidden="1" x14ac:dyDescent="0.25">
      <c r="A2310" s="266">
        <v>43593</v>
      </c>
      <c r="B2310" s="267">
        <v>2019</v>
      </c>
      <c r="C2310" s="267">
        <v>2019</v>
      </c>
      <c r="D2310" s="267">
        <v>1</v>
      </c>
      <c r="E2310" s="267">
        <v>1</v>
      </c>
      <c r="F2310" s="267" t="s">
        <v>944</v>
      </c>
      <c r="G2310" s="267" t="s">
        <v>3926</v>
      </c>
      <c r="H2310" s="267" t="s">
        <v>6654</v>
      </c>
      <c r="I2310" s="267" t="s">
        <v>4035</v>
      </c>
      <c r="J2310" s="267" t="s">
        <v>3928</v>
      </c>
      <c r="K2310" s="267">
        <v>6074</v>
      </c>
      <c r="L2310" s="267">
        <v>487500</v>
      </c>
      <c r="M2310" s="267" t="s">
        <v>3935</v>
      </c>
      <c r="N2310" s="267" t="s">
        <v>3944</v>
      </c>
      <c r="O2310" s="267">
        <v>1702.51</v>
      </c>
      <c r="P2310" s="267" t="s">
        <v>3944</v>
      </c>
      <c r="Q2310" s="267" t="s">
        <v>3944</v>
      </c>
      <c r="R2310" s="267">
        <v>1702.51</v>
      </c>
      <c r="S2310" s="267">
        <v>24101.55</v>
      </c>
      <c r="T2310" s="267">
        <v>25804.06</v>
      </c>
      <c r="U2310" s="268" t="s">
        <v>3945</v>
      </c>
      <c r="V2310" s="267" t="s">
        <v>944</v>
      </c>
    </row>
    <row r="2311" spans="1:22" hidden="1" x14ac:dyDescent="0.25">
      <c r="A2311" s="269">
        <v>43593</v>
      </c>
      <c r="B2311" s="270">
        <v>2019</v>
      </c>
      <c r="C2311" s="270">
        <v>2019</v>
      </c>
      <c r="D2311" s="270">
        <v>1</v>
      </c>
      <c r="E2311" s="270">
        <v>1</v>
      </c>
      <c r="F2311" s="270" t="s">
        <v>944</v>
      </c>
      <c r="G2311" s="270" t="s">
        <v>3926</v>
      </c>
      <c r="H2311" s="270" t="s">
        <v>6655</v>
      </c>
      <c r="I2311" s="270" t="s">
        <v>950</v>
      </c>
      <c r="J2311" s="270" t="s">
        <v>3928</v>
      </c>
      <c r="K2311" s="270">
        <v>6516</v>
      </c>
      <c r="L2311" s="270">
        <v>154800</v>
      </c>
      <c r="M2311" s="270" t="s">
        <v>3960</v>
      </c>
      <c r="N2311" s="270" t="s">
        <v>3944</v>
      </c>
      <c r="O2311" s="270">
        <v>1028.06</v>
      </c>
      <c r="P2311" s="270" t="s">
        <v>3944</v>
      </c>
      <c r="Q2311" s="270" t="s">
        <v>3944</v>
      </c>
      <c r="R2311" s="270">
        <v>1028.06</v>
      </c>
      <c r="S2311" s="270">
        <v>16768.939999999999</v>
      </c>
      <c r="T2311" s="270">
        <v>17797</v>
      </c>
      <c r="U2311" s="271" t="s">
        <v>3945</v>
      </c>
      <c r="V2311" s="267" t="s">
        <v>944</v>
      </c>
    </row>
    <row r="2312" spans="1:22" hidden="1" x14ac:dyDescent="0.25">
      <c r="A2312" s="266">
        <v>43593</v>
      </c>
      <c r="B2312" s="267">
        <v>2019</v>
      </c>
      <c r="C2312" s="267">
        <v>2019</v>
      </c>
      <c r="D2312" s="267">
        <v>1</v>
      </c>
      <c r="E2312" s="267">
        <v>1</v>
      </c>
      <c r="F2312" s="267" t="s">
        <v>944</v>
      </c>
      <c r="G2312" s="267" t="s">
        <v>3926</v>
      </c>
      <c r="H2312" s="267" t="s">
        <v>6656</v>
      </c>
      <c r="I2312" s="267" t="s">
        <v>4297</v>
      </c>
      <c r="J2312" s="267" t="s">
        <v>3928</v>
      </c>
      <c r="K2312" s="267">
        <v>6248</v>
      </c>
      <c r="L2312" s="267">
        <v>526102</v>
      </c>
      <c r="M2312" s="267" t="s">
        <v>3943</v>
      </c>
      <c r="N2312" s="267" t="s">
        <v>3944</v>
      </c>
      <c r="O2312" s="267">
        <v>1528.1</v>
      </c>
      <c r="P2312" s="267" t="s">
        <v>3944</v>
      </c>
      <c r="Q2312" s="267" t="s">
        <v>3944</v>
      </c>
      <c r="R2312" s="267">
        <v>1528.1</v>
      </c>
      <c r="S2312" s="267">
        <v>20136.43</v>
      </c>
      <c r="T2312" s="267">
        <v>21664.53</v>
      </c>
      <c r="U2312" s="268" t="s">
        <v>3945</v>
      </c>
      <c r="V2312" s="267" t="s">
        <v>944</v>
      </c>
    </row>
    <row r="2313" spans="1:22" hidden="1" x14ac:dyDescent="0.25">
      <c r="A2313" s="269">
        <v>43593</v>
      </c>
      <c r="B2313" s="270">
        <v>2019</v>
      </c>
      <c r="C2313" s="270">
        <v>2019</v>
      </c>
      <c r="D2313" s="270">
        <v>1</v>
      </c>
      <c r="E2313" s="270">
        <v>1</v>
      </c>
      <c r="F2313" s="270" t="s">
        <v>944</v>
      </c>
      <c r="G2313" s="270" t="s">
        <v>3926</v>
      </c>
      <c r="H2313" s="270" t="s">
        <v>6657</v>
      </c>
      <c r="I2313" s="270" t="s">
        <v>3999</v>
      </c>
      <c r="J2313" s="270" t="s">
        <v>3928</v>
      </c>
      <c r="K2313" s="270">
        <v>6451</v>
      </c>
      <c r="L2313" s="270">
        <v>170400</v>
      </c>
      <c r="M2313" s="270" t="s">
        <v>3940</v>
      </c>
      <c r="N2313" s="270" t="s">
        <v>3944</v>
      </c>
      <c r="O2313" s="270">
        <v>1194.5899999999999</v>
      </c>
      <c r="P2313" s="270" t="s">
        <v>3944</v>
      </c>
      <c r="Q2313" s="270" t="s">
        <v>3944</v>
      </c>
      <c r="R2313" s="270">
        <v>1194.5899999999999</v>
      </c>
      <c r="S2313" s="270">
        <v>16878.2</v>
      </c>
      <c r="T2313" s="270">
        <v>18072.79</v>
      </c>
      <c r="U2313" s="271" t="s">
        <v>3945</v>
      </c>
      <c r="V2313" s="267" t="s">
        <v>944</v>
      </c>
    </row>
    <row r="2314" spans="1:22" hidden="1" x14ac:dyDescent="0.25">
      <c r="A2314" s="266">
        <v>43593</v>
      </c>
      <c r="B2314" s="267">
        <v>2019</v>
      </c>
      <c r="C2314" s="267">
        <v>2019</v>
      </c>
      <c r="D2314" s="267">
        <v>1</v>
      </c>
      <c r="E2314" s="267">
        <v>1</v>
      </c>
      <c r="F2314" s="267" t="s">
        <v>944</v>
      </c>
      <c r="G2314" s="267" t="s">
        <v>3926</v>
      </c>
      <c r="H2314" s="267" t="s">
        <v>6658</v>
      </c>
      <c r="I2314" s="267" t="s">
        <v>934</v>
      </c>
      <c r="J2314" s="267" t="s">
        <v>3928</v>
      </c>
      <c r="K2314" s="267">
        <v>6606</v>
      </c>
      <c r="L2314" s="267">
        <v>72700</v>
      </c>
      <c r="M2314" s="267" t="s">
        <v>3935</v>
      </c>
      <c r="N2314" s="267" t="s">
        <v>3944</v>
      </c>
      <c r="O2314" s="267">
        <v>1488.48</v>
      </c>
      <c r="P2314" s="267" t="s">
        <v>3944</v>
      </c>
      <c r="Q2314" s="267" t="s">
        <v>3944</v>
      </c>
      <c r="R2314" s="267">
        <v>1488.48</v>
      </c>
      <c r="S2314" s="267">
        <v>27302.3</v>
      </c>
      <c r="T2314" s="267">
        <v>28790.78</v>
      </c>
      <c r="U2314" s="268" t="s">
        <v>3945</v>
      </c>
      <c r="V2314" s="267" t="s">
        <v>944</v>
      </c>
    </row>
    <row r="2315" spans="1:22" hidden="1" x14ac:dyDescent="0.25">
      <c r="A2315" s="269">
        <v>43593</v>
      </c>
      <c r="B2315" s="270">
        <v>2019</v>
      </c>
      <c r="C2315" s="270">
        <v>2019</v>
      </c>
      <c r="D2315" s="270">
        <v>1</v>
      </c>
      <c r="E2315" s="270">
        <v>1</v>
      </c>
      <c r="F2315" s="270" t="s">
        <v>944</v>
      </c>
      <c r="G2315" s="270" t="s">
        <v>3926</v>
      </c>
      <c r="H2315" s="270" t="s">
        <v>6659</v>
      </c>
      <c r="I2315" s="270" t="s">
        <v>4993</v>
      </c>
      <c r="J2315" s="270" t="s">
        <v>3928</v>
      </c>
      <c r="K2315" s="270">
        <v>6237</v>
      </c>
      <c r="L2315" s="270">
        <v>860100</v>
      </c>
      <c r="M2315" s="270" t="s">
        <v>3943</v>
      </c>
      <c r="N2315" s="270" t="s">
        <v>3944</v>
      </c>
      <c r="O2315" s="270">
        <v>1907.85</v>
      </c>
      <c r="P2315" s="270" t="s">
        <v>3944</v>
      </c>
      <c r="Q2315" s="270" t="s">
        <v>3944</v>
      </c>
      <c r="R2315" s="270">
        <v>1907.85</v>
      </c>
      <c r="S2315" s="270">
        <v>26634.67</v>
      </c>
      <c r="T2315" s="270">
        <v>28542.52</v>
      </c>
      <c r="U2315" s="271" t="s">
        <v>3945</v>
      </c>
      <c r="V2315" s="267" t="s">
        <v>944</v>
      </c>
    </row>
    <row r="2316" spans="1:22" hidden="1" x14ac:dyDescent="0.25">
      <c r="A2316" s="266">
        <v>43593</v>
      </c>
      <c r="B2316" s="267">
        <v>2019</v>
      </c>
      <c r="C2316" s="267">
        <v>2019</v>
      </c>
      <c r="D2316" s="267">
        <v>1</v>
      </c>
      <c r="E2316" s="267">
        <v>1</v>
      </c>
      <c r="F2316" s="267" t="s">
        <v>944</v>
      </c>
      <c r="G2316" s="267" t="s">
        <v>3926</v>
      </c>
      <c r="H2316" s="267" t="s">
        <v>6660</v>
      </c>
      <c r="I2316" s="267" t="s">
        <v>5032</v>
      </c>
      <c r="J2316" s="267" t="s">
        <v>3928</v>
      </c>
      <c r="K2316" s="267">
        <v>6062</v>
      </c>
      <c r="L2316" s="267">
        <v>420600</v>
      </c>
      <c r="M2316" s="267" t="s">
        <v>3935</v>
      </c>
      <c r="N2316" s="267" t="s">
        <v>3944</v>
      </c>
      <c r="O2316" s="267">
        <v>962.54</v>
      </c>
      <c r="P2316" s="267" t="s">
        <v>3944</v>
      </c>
      <c r="Q2316" s="267" t="s">
        <v>3944</v>
      </c>
      <c r="R2316" s="267">
        <v>962.54</v>
      </c>
      <c r="S2316" s="267">
        <v>14663.05</v>
      </c>
      <c r="T2316" s="267">
        <v>15625.59</v>
      </c>
      <c r="U2316" s="268" t="s">
        <v>3945</v>
      </c>
      <c r="V2316" s="267" t="s">
        <v>944</v>
      </c>
    </row>
    <row r="2317" spans="1:22" hidden="1" x14ac:dyDescent="0.25">
      <c r="A2317" s="269">
        <v>43593</v>
      </c>
      <c r="B2317" s="270">
        <v>2019</v>
      </c>
      <c r="C2317" s="270">
        <v>2019</v>
      </c>
      <c r="D2317" s="270">
        <v>1</v>
      </c>
      <c r="E2317" s="270">
        <v>1</v>
      </c>
      <c r="F2317" s="270" t="s">
        <v>944</v>
      </c>
      <c r="G2317" s="270" t="s">
        <v>3926</v>
      </c>
      <c r="H2317" s="270" t="s">
        <v>6661</v>
      </c>
      <c r="I2317" s="270" t="s">
        <v>4353</v>
      </c>
      <c r="J2317" s="270" t="s">
        <v>3928</v>
      </c>
      <c r="K2317" s="270">
        <v>6416</v>
      </c>
      <c r="L2317" s="270">
        <v>570200</v>
      </c>
      <c r="M2317" s="270" t="s">
        <v>3943</v>
      </c>
      <c r="N2317" s="270" t="s">
        <v>3944</v>
      </c>
      <c r="O2317" s="270">
        <v>1021.65</v>
      </c>
      <c r="P2317" s="270" t="s">
        <v>3944</v>
      </c>
      <c r="Q2317" s="270" t="s">
        <v>3944</v>
      </c>
      <c r="R2317" s="270">
        <v>1021.65</v>
      </c>
      <c r="S2317" s="270">
        <v>11478.81</v>
      </c>
      <c r="T2317" s="270">
        <v>12500.46</v>
      </c>
      <c r="U2317" s="271" t="s">
        <v>3945</v>
      </c>
      <c r="V2317" s="267" t="s">
        <v>944</v>
      </c>
    </row>
    <row r="2318" spans="1:22" hidden="1" x14ac:dyDescent="0.25">
      <c r="A2318" s="266">
        <v>43593</v>
      </c>
      <c r="B2318" s="267">
        <v>2019</v>
      </c>
      <c r="C2318" s="267">
        <v>2019</v>
      </c>
      <c r="D2318" s="267">
        <v>1</v>
      </c>
      <c r="E2318" s="267">
        <v>1</v>
      </c>
      <c r="F2318" s="267" t="s">
        <v>944</v>
      </c>
      <c r="G2318" s="267" t="s">
        <v>3926</v>
      </c>
      <c r="H2318" s="267" t="s">
        <v>6662</v>
      </c>
      <c r="I2318" s="267" t="s">
        <v>950</v>
      </c>
      <c r="J2318" s="267" t="s">
        <v>3928</v>
      </c>
      <c r="K2318" s="267">
        <v>6516</v>
      </c>
      <c r="L2318" s="267">
        <v>154800</v>
      </c>
      <c r="M2318" s="267" t="s">
        <v>3960</v>
      </c>
      <c r="N2318" s="267" t="s">
        <v>3944</v>
      </c>
      <c r="O2318" s="267">
        <v>821.7</v>
      </c>
      <c r="P2318" s="267" t="s">
        <v>3944</v>
      </c>
      <c r="Q2318" s="267" t="s">
        <v>3944</v>
      </c>
      <c r="R2318" s="267">
        <v>821.7</v>
      </c>
      <c r="S2318" s="267">
        <v>13189.6</v>
      </c>
      <c r="T2318" s="267">
        <v>14011.3</v>
      </c>
      <c r="U2318" s="268" t="s">
        <v>3945</v>
      </c>
      <c r="V2318" s="267" t="s">
        <v>944</v>
      </c>
    </row>
    <row r="2319" spans="1:22" hidden="1" x14ac:dyDescent="0.25">
      <c r="A2319" s="269">
        <v>43593</v>
      </c>
      <c r="B2319" s="270">
        <v>2019</v>
      </c>
      <c r="C2319" s="270">
        <v>2019</v>
      </c>
      <c r="D2319" s="270">
        <v>1</v>
      </c>
      <c r="E2319" s="270">
        <v>1</v>
      </c>
      <c r="F2319" s="270" t="s">
        <v>944</v>
      </c>
      <c r="G2319" s="270" t="s">
        <v>3926</v>
      </c>
      <c r="H2319" s="270" t="s">
        <v>6663</v>
      </c>
      <c r="I2319" s="270" t="s">
        <v>4003</v>
      </c>
      <c r="J2319" s="270" t="s">
        <v>3928</v>
      </c>
      <c r="K2319" s="270">
        <v>6374</v>
      </c>
      <c r="L2319" s="270">
        <v>907100</v>
      </c>
      <c r="M2319" s="270" t="s">
        <v>3935</v>
      </c>
      <c r="N2319" s="270" t="s">
        <v>3944</v>
      </c>
      <c r="O2319" s="270">
        <v>1962.59</v>
      </c>
      <c r="P2319" s="270" t="s">
        <v>3944</v>
      </c>
      <c r="Q2319" s="270" t="s">
        <v>3944</v>
      </c>
      <c r="R2319" s="270">
        <v>1962.59</v>
      </c>
      <c r="S2319" s="270">
        <v>26122.13</v>
      </c>
      <c r="T2319" s="270">
        <v>28084.720000000001</v>
      </c>
      <c r="U2319" s="271" t="s">
        <v>3945</v>
      </c>
      <c r="V2319" s="267" t="s">
        <v>944</v>
      </c>
    </row>
    <row r="2320" spans="1:22" x14ac:dyDescent="0.25">
      <c r="A2320" s="266">
        <v>43593</v>
      </c>
      <c r="B2320" s="267">
        <v>2019</v>
      </c>
      <c r="C2320" s="267">
        <v>2019</v>
      </c>
      <c r="D2320" s="267">
        <v>1</v>
      </c>
      <c r="E2320" s="267">
        <v>1</v>
      </c>
      <c r="F2320" s="267" t="s">
        <v>944</v>
      </c>
      <c r="G2320" s="267" t="s">
        <v>3926</v>
      </c>
      <c r="H2320" s="267" t="s">
        <v>6664</v>
      </c>
      <c r="I2320" s="267" t="s">
        <v>3010</v>
      </c>
      <c r="J2320" s="267" t="s">
        <v>3928</v>
      </c>
      <c r="K2320" s="267">
        <v>6401</v>
      </c>
      <c r="L2320" s="267">
        <v>125300</v>
      </c>
      <c r="M2320" s="267" t="s">
        <v>3940</v>
      </c>
      <c r="N2320" s="267" t="s">
        <v>3944</v>
      </c>
      <c r="O2320" s="267">
        <v>759.29</v>
      </c>
      <c r="P2320" s="267" t="s">
        <v>3944</v>
      </c>
      <c r="Q2320" s="267" t="s">
        <v>3944</v>
      </c>
      <c r="R2320" s="267">
        <v>759.29</v>
      </c>
      <c r="S2320" s="267">
        <v>11828.11</v>
      </c>
      <c r="T2320" s="267">
        <v>12587.4</v>
      </c>
      <c r="U2320" s="268" t="s">
        <v>3945</v>
      </c>
      <c r="V2320" s="276" t="s">
        <v>936</v>
      </c>
    </row>
    <row r="2321" spans="1:22" hidden="1" x14ac:dyDescent="0.25">
      <c r="A2321" s="269">
        <v>43593</v>
      </c>
      <c r="B2321" s="270">
        <v>2019</v>
      </c>
      <c r="C2321" s="270">
        <v>2019</v>
      </c>
      <c r="D2321" s="270">
        <v>1</v>
      </c>
      <c r="E2321" s="270">
        <v>1</v>
      </c>
      <c r="F2321" s="270" t="s">
        <v>944</v>
      </c>
      <c r="G2321" s="270" t="s">
        <v>3926</v>
      </c>
      <c r="H2321" s="270" t="s">
        <v>6665</v>
      </c>
      <c r="I2321" s="270" t="s">
        <v>6209</v>
      </c>
      <c r="J2321" s="270" t="s">
        <v>3928</v>
      </c>
      <c r="K2321" s="270">
        <v>6403</v>
      </c>
      <c r="L2321" s="270">
        <v>341100</v>
      </c>
      <c r="M2321" s="270" t="s">
        <v>3935</v>
      </c>
      <c r="N2321" s="270" t="s">
        <v>3944</v>
      </c>
      <c r="O2321" s="270">
        <v>2500.16</v>
      </c>
      <c r="P2321" s="270" t="s">
        <v>3944</v>
      </c>
      <c r="Q2321" s="270" t="s">
        <v>3944</v>
      </c>
      <c r="R2321" s="270">
        <v>2500.16</v>
      </c>
      <c r="S2321" s="270">
        <v>41251.449999999997</v>
      </c>
      <c r="T2321" s="270">
        <v>43751.61</v>
      </c>
      <c r="U2321" s="271" t="s">
        <v>3945</v>
      </c>
      <c r="V2321" s="267" t="s">
        <v>944</v>
      </c>
    </row>
    <row r="2322" spans="1:22" hidden="1" x14ac:dyDescent="0.25">
      <c r="A2322" s="266">
        <v>43593</v>
      </c>
      <c r="B2322" s="267">
        <v>2019</v>
      </c>
      <c r="C2322" s="267">
        <v>2019</v>
      </c>
      <c r="D2322" s="267">
        <v>1</v>
      </c>
      <c r="E2322" s="267">
        <v>1</v>
      </c>
      <c r="F2322" s="267" t="s">
        <v>944</v>
      </c>
      <c r="G2322" s="267" t="s">
        <v>3926</v>
      </c>
      <c r="H2322" s="267" t="s">
        <v>6666</v>
      </c>
      <c r="I2322" s="267" t="s">
        <v>943</v>
      </c>
      <c r="J2322" s="267" t="s">
        <v>3928</v>
      </c>
      <c r="K2322" s="267">
        <v>6515</v>
      </c>
      <c r="L2322" s="267">
        <v>141000</v>
      </c>
      <c r="M2322" s="267" t="s">
        <v>3960</v>
      </c>
      <c r="N2322" s="267" t="s">
        <v>3944</v>
      </c>
      <c r="O2322" s="267">
        <v>1350.97</v>
      </c>
      <c r="P2322" s="267" t="s">
        <v>3944</v>
      </c>
      <c r="Q2322" s="267" t="s">
        <v>3944</v>
      </c>
      <c r="R2322" s="267">
        <v>1350.97</v>
      </c>
      <c r="S2322" s="267">
        <v>22965.09</v>
      </c>
      <c r="T2322" s="267">
        <v>24316.06</v>
      </c>
      <c r="U2322" s="268" t="s">
        <v>3945</v>
      </c>
      <c r="V2322" s="267" t="s">
        <v>944</v>
      </c>
    </row>
    <row r="2323" spans="1:22" hidden="1" x14ac:dyDescent="0.25">
      <c r="A2323" s="269">
        <v>43593</v>
      </c>
      <c r="B2323" s="270">
        <v>2019</v>
      </c>
      <c r="C2323" s="270">
        <v>2019</v>
      </c>
      <c r="D2323" s="270">
        <v>1</v>
      </c>
      <c r="E2323" s="270">
        <v>1</v>
      </c>
      <c r="F2323" s="270" t="s">
        <v>944</v>
      </c>
      <c r="G2323" s="270" t="s">
        <v>3926</v>
      </c>
      <c r="H2323" s="270" t="s">
        <v>6667</v>
      </c>
      <c r="I2323" s="270" t="s">
        <v>3968</v>
      </c>
      <c r="J2323" s="270" t="s">
        <v>3928</v>
      </c>
      <c r="K2323" s="270">
        <v>6040</v>
      </c>
      <c r="L2323" s="270">
        <v>514800</v>
      </c>
      <c r="M2323" s="270" t="s">
        <v>3940</v>
      </c>
      <c r="N2323" s="270" t="s">
        <v>3944</v>
      </c>
      <c r="O2323" s="270">
        <v>1673.07</v>
      </c>
      <c r="P2323" s="270" t="s">
        <v>3944</v>
      </c>
      <c r="Q2323" s="270" t="s">
        <v>3944</v>
      </c>
      <c r="R2323" s="270">
        <v>1673.07</v>
      </c>
      <c r="S2323" s="270">
        <v>27319.82</v>
      </c>
      <c r="T2323" s="270">
        <v>28992.89</v>
      </c>
      <c r="U2323" s="271" t="s">
        <v>3945</v>
      </c>
      <c r="V2323" s="267" t="s">
        <v>944</v>
      </c>
    </row>
    <row r="2324" spans="1:22" hidden="1" x14ac:dyDescent="0.25">
      <c r="A2324" s="266">
        <v>43593</v>
      </c>
      <c r="B2324" s="267">
        <v>2019</v>
      </c>
      <c r="C2324" s="267">
        <v>2019</v>
      </c>
      <c r="D2324" s="267">
        <v>1</v>
      </c>
      <c r="E2324" s="267">
        <v>1</v>
      </c>
      <c r="F2324" s="267" t="s">
        <v>944</v>
      </c>
      <c r="G2324" s="267" t="s">
        <v>3926</v>
      </c>
      <c r="H2324" s="267" t="s">
        <v>6668</v>
      </c>
      <c r="I2324" s="267" t="s">
        <v>3025</v>
      </c>
      <c r="J2324" s="267" t="s">
        <v>3928</v>
      </c>
      <c r="K2324" s="267">
        <v>6473</v>
      </c>
      <c r="L2324" s="267">
        <v>167202</v>
      </c>
      <c r="M2324" s="267" t="s">
        <v>3935</v>
      </c>
      <c r="N2324" s="267" t="s">
        <v>3944</v>
      </c>
      <c r="O2324" s="267">
        <v>2060.2800000000002</v>
      </c>
      <c r="P2324" s="267" t="s">
        <v>3944</v>
      </c>
      <c r="Q2324" s="267" t="s">
        <v>3944</v>
      </c>
      <c r="R2324" s="267">
        <v>2060.2800000000002</v>
      </c>
      <c r="S2324" s="267">
        <v>28939.61</v>
      </c>
      <c r="T2324" s="267">
        <v>30999.89</v>
      </c>
      <c r="U2324" s="268" t="s">
        <v>3945</v>
      </c>
      <c r="V2324" s="267" t="s">
        <v>944</v>
      </c>
    </row>
    <row r="2325" spans="1:22" hidden="1" x14ac:dyDescent="0.25">
      <c r="A2325" s="269">
        <v>43593</v>
      </c>
      <c r="B2325" s="270">
        <v>2019</v>
      </c>
      <c r="C2325" s="270">
        <v>2019</v>
      </c>
      <c r="D2325" s="270">
        <v>1</v>
      </c>
      <c r="E2325" s="270">
        <v>1</v>
      </c>
      <c r="F2325" s="270" t="s">
        <v>944</v>
      </c>
      <c r="G2325" s="270" t="s">
        <v>3926</v>
      </c>
      <c r="H2325" s="270" t="s">
        <v>6669</v>
      </c>
      <c r="I2325" s="270" t="s">
        <v>950</v>
      </c>
      <c r="J2325" s="270" t="s">
        <v>3928</v>
      </c>
      <c r="K2325" s="270">
        <v>6516</v>
      </c>
      <c r="L2325" s="270">
        <v>154100</v>
      </c>
      <c r="M2325" s="270" t="s">
        <v>3940</v>
      </c>
      <c r="N2325" s="270" t="s">
        <v>3944</v>
      </c>
      <c r="O2325" s="270">
        <v>1802.08</v>
      </c>
      <c r="P2325" s="270" t="s">
        <v>3944</v>
      </c>
      <c r="Q2325" s="270" t="s">
        <v>3944</v>
      </c>
      <c r="R2325" s="270">
        <v>1802.08</v>
      </c>
      <c r="S2325" s="270">
        <v>28468.93</v>
      </c>
      <c r="T2325" s="270">
        <v>30271.01</v>
      </c>
      <c r="U2325" s="271" t="s">
        <v>3945</v>
      </c>
      <c r="V2325" s="267" t="s">
        <v>944</v>
      </c>
    </row>
    <row r="2326" spans="1:22" hidden="1" x14ac:dyDescent="0.25">
      <c r="A2326" s="266">
        <v>43593</v>
      </c>
      <c r="B2326" s="267">
        <v>2019</v>
      </c>
      <c r="C2326" s="267">
        <v>2019</v>
      </c>
      <c r="D2326" s="267">
        <v>1</v>
      </c>
      <c r="E2326" s="267">
        <v>1</v>
      </c>
      <c r="F2326" s="267" t="s">
        <v>944</v>
      </c>
      <c r="G2326" s="267" t="s">
        <v>3926</v>
      </c>
      <c r="H2326" s="267" t="s">
        <v>6670</v>
      </c>
      <c r="I2326" s="267" t="s">
        <v>4310</v>
      </c>
      <c r="J2326" s="267" t="s">
        <v>3928</v>
      </c>
      <c r="K2326" s="267">
        <v>6351</v>
      </c>
      <c r="L2326" s="267">
        <v>710100</v>
      </c>
      <c r="M2326" s="267" t="s">
        <v>3960</v>
      </c>
      <c r="N2326" s="267" t="s">
        <v>3944</v>
      </c>
      <c r="O2326" s="267">
        <v>2999.99</v>
      </c>
      <c r="P2326" s="267" t="s">
        <v>3944</v>
      </c>
      <c r="Q2326" s="267" t="s">
        <v>3944</v>
      </c>
      <c r="R2326" s="267">
        <v>2999.99</v>
      </c>
      <c r="S2326" s="267">
        <v>37166.339999999997</v>
      </c>
      <c r="T2326" s="267">
        <v>40166.33</v>
      </c>
      <c r="U2326" s="268" t="s">
        <v>3945</v>
      </c>
      <c r="V2326" s="267" t="s">
        <v>944</v>
      </c>
    </row>
    <row r="2327" spans="1:22" hidden="1" x14ac:dyDescent="0.25">
      <c r="A2327" s="269">
        <v>43593</v>
      </c>
      <c r="B2327" s="270">
        <v>2019</v>
      </c>
      <c r="C2327" s="270">
        <v>2019</v>
      </c>
      <c r="D2327" s="270">
        <v>1</v>
      </c>
      <c r="E2327" s="270">
        <v>1</v>
      </c>
      <c r="F2327" s="270" t="s">
        <v>944</v>
      </c>
      <c r="G2327" s="270" t="s">
        <v>3926</v>
      </c>
      <c r="H2327" s="270" t="s">
        <v>6671</v>
      </c>
      <c r="I2327" s="270" t="s">
        <v>3008</v>
      </c>
      <c r="J2327" s="270" t="s">
        <v>3928</v>
      </c>
      <c r="K2327" s="270">
        <v>6460</v>
      </c>
      <c r="L2327" s="270">
        <v>150300</v>
      </c>
      <c r="M2327" s="270" t="s">
        <v>3960</v>
      </c>
      <c r="N2327" s="270" t="s">
        <v>3944</v>
      </c>
      <c r="O2327" s="270">
        <v>1059.3800000000001</v>
      </c>
      <c r="P2327" s="270" t="s">
        <v>3944</v>
      </c>
      <c r="Q2327" s="270" t="s">
        <v>3944</v>
      </c>
      <c r="R2327" s="270">
        <v>1059.3800000000001</v>
      </c>
      <c r="S2327" s="270">
        <v>12482.8</v>
      </c>
      <c r="T2327" s="270">
        <v>13542.18</v>
      </c>
      <c r="U2327" s="271" t="s">
        <v>3945</v>
      </c>
      <c r="V2327" s="267" t="s">
        <v>944</v>
      </c>
    </row>
    <row r="2328" spans="1:22" x14ac:dyDescent="0.25">
      <c r="A2328" s="266">
        <v>43593</v>
      </c>
      <c r="B2328" s="267">
        <v>2019</v>
      </c>
      <c r="C2328" s="267">
        <v>2019</v>
      </c>
      <c r="D2328" s="267">
        <v>1</v>
      </c>
      <c r="E2328" s="267">
        <v>1</v>
      </c>
      <c r="F2328" s="267" t="s">
        <v>944</v>
      </c>
      <c r="G2328" s="267" t="s">
        <v>3926</v>
      </c>
      <c r="H2328" s="267" t="s">
        <v>6672</v>
      </c>
      <c r="I2328" s="267" t="s">
        <v>3010</v>
      </c>
      <c r="J2328" s="267" t="s">
        <v>3928</v>
      </c>
      <c r="K2328" s="267">
        <v>6401</v>
      </c>
      <c r="L2328" s="267">
        <v>125300</v>
      </c>
      <c r="M2328" s="267" t="s">
        <v>3940</v>
      </c>
      <c r="N2328" s="267" t="s">
        <v>3944</v>
      </c>
      <c r="O2328" s="267">
        <v>1728.02</v>
      </c>
      <c r="P2328" s="267" t="s">
        <v>3944</v>
      </c>
      <c r="Q2328" s="267" t="s">
        <v>3944</v>
      </c>
      <c r="R2328" s="267">
        <v>1728.02</v>
      </c>
      <c r="S2328" s="267">
        <v>27562.15</v>
      </c>
      <c r="T2328" s="267">
        <v>29290.17</v>
      </c>
      <c r="U2328" s="268" t="s">
        <v>3945</v>
      </c>
      <c r="V2328" s="276" t="s">
        <v>936</v>
      </c>
    </row>
    <row r="2329" spans="1:22" hidden="1" x14ac:dyDescent="0.25">
      <c r="A2329" s="269">
        <v>43593</v>
      </c>
      <c r="B2329" s="270">
        <v>2019</v>
      </c>
      <c r="C2329" s="270">
        <v>2019</v>
      </c>
      <c r="D2329" s="270">
        <v>1</v>
      </c>
      <c r="E2329" s="270">
        <v>1</v>
      </c>
      <c r="F2329" s="270" t="s">
        <v>944</v>
      </c>
      <c r="G2329" s="270" t="s">
        <v>3926</v>
      </c>
      <c r="H2329" s="270" t="s">
        <v>6673</v>
      </c>
      <c r="I2329" s="270" t="s">
        <v>3985</v>
      </c>
      <c r="J2329" s="270" t="s">
        <v>3928</v>
      </c>
      <c r="K2329" s="270">
        <v>6256</v>
      </c>
      <c r="L2329" s="270">
        <v>800500</v>
      </c>
      <c r="M2329" s="270" t="s">
        <v>3940</v>
      </c>
      <c r="N2329" s="270" t="s">
        <v>3944</v>
      </c>
      <c r="O2329" s="270">
        <v>1351.39</v>
      </c>
      <c r="P2329" s="270" t="s">
        <v>3944</v>
      </c>
      <c r="Q2329" s="270" t="s">
        <v>3944</v>
      </c>
      <c r="R2329" s="270">
        <v>1351.39</v>
      </c>
      <c r="S2329" s="270">
        <v>19355.650000000001</v>
      </c>
      <c r="T2329" s="270">
        <v>20707.04</v>
      </c>
      <c r="U2329" s="271" t="s">
        <v>3945</v>
      </c>
      <c r="V2329" s="267" t="s">
        <v>944</v>
      </c>
    </row>
    <row r="2330" spans="1:22" hidden="1" x14ac:dyDescent="0.25">
      <c r="A2330" s="266">
        <v>43593</v>
      </c>
      <c r="B2330" s="267">
        <v>2019</v>
      </c>
      <c r="C2330" s="267">
        <v>2019</v>
      </c>
      <c r="D2330" s="267">
        <v>1</v>
      </c>
      <c r="E2330" s="267">
        <v>1</v>
      </c>
      <c r="F2330" s="267" t="s">
        <v>944</v>
      </c>
      <c r="G2330" s="267" t="s">
        <v>3926</v>
      </c>
      <c r="H2330" s="267" t="s">
        <v>6674</v>
      </c>
      <c r="I2330" s="267" t="s">
        <v>4220</v>
      </c>
      <c r="J2330" s="267" t="s">
        <v>3928</v>
      </c>
      <c r="K2330" s="267">
        <v>6481</v>
      </c>
      <c r="L2330" s="267">
        <v>580100</v>
      </c>
      <c r="M2330" s="267" t="s">
        <v>3960</v>
      </c>
      <c r="N2330" s="267" t="s">
        <v>3944</v>
      </c>
      <c r="O2330" s="267">
        <v>3832.05</v>
      </c>
      <c r="P2330" s="267" t="s">
        <v>3944</v>
      </c>
      <c r="Q2330" s="267" t="s">
        <v>3944</v>
      </c>
      <c r="R2330" s="267">
        <v>3832.05</v>
      </c>
      <c r="S2330" s="267">
        <v>56840.42</v>
      </c>
      <c r="T2330" s="267">
        <v>60672.47</v>
      </c>
      <c r="U2330" s="268" t="s">
        <v>3945</v>
      </c>
      <c r="V2330" s="267" t="s">
        <v>944</v>
      </c>
    </row>
    <row r="2331" spans="1:22" hidden="1" x14ac:dyDescent="0.25">
      <c r="A2331" s="269">
        <v>43594</v>
      </c>
      <c r="B2331" s="270">
        <v>2019</v>
      </c>
      <c r="C2331" s="270">
        <v>2019</v>
      </c>
      <c r="D2331" s="270">
        <v>1</v>
      </c>
      <c r="E2331" s="270">
        <v>1</v>
      </c>
      <c r="F2331" s="270" t="s">
        <v>944</v>
      </c>
      <c r="G2331" s="270" t="s">
        <v>3926</v>
      </c>
      <c r="H2331" s="270" t="s">
        <v>6675</v>
      </c>
      <c r="I2331" s="270" t="s">
        <v>6268</v>
      </c>
      <c r="J2331" s="270" t="s">
        <v>3928</v>
      </c>
      <c r="K2331" s="270">
        <v>6376</v>
      </c>
      <c r="L2331" s="270">
        <v>660102</v>
      </c>
      <c r="M2331" s="270" t="s">
        <v>3960</v>
      </c>
      <c r="N2331" s="270" t="s">
        <v>6676</v>
      </c>
      <c r="O2331" s="270">
        <v>0</v>
      </c>
      <c r="P2331" s="270" t="s">
        <v>3930</v>
      </c>
      <c r="Q2331" s="270" t="s">
        <v>3930</v>
      </c>
      <c r="R2331" s="270">
        <v>0</v>
      </c>
      <c r="S2331" s="270">
        <v>11942</v>
      </c>
      <c r="T2331" s="270">
        <v>11942</v>
      </c>
      <c r="U2331" s="271" t="s">
        <v>3937</v>
      </c>
      <c r="V2331" s="267" t="s">
        <v>944</v>
      </c>
    </row>
    <row r="2332" spans="1:22" hidden="1" x14ac:dyDescent="0.25">
      <c r="A2332" s="266">
        <v>43594</v>
      </c>
      <c r="B2332" s="267">
        <v>2019</v>
      </c>
      <c r="C2332" s="267">
        <v>2019</v>
      </c>
      <c r="D2332" s="267">
        <v>1</v>
      </c>
      <c r="E2332" s="267">
        <v>1</v>
      </c>
      <c r="F2332" s="267" t="s">
        <v>944</v>
      </c>
      <c r="G2332" s="267" t="s">
        <v>3926</v>
      </c>
      <c r="H2332" s="267" t="s">
        <v>6677</v>
      </c>
      <c r="I2332" s="267" t="s">
        <v>3962</v>
      </c>
      <c r="J2332" s="267" t="s">
        <v>3928</v>
      </c>
      <c r="K2332" s="267">
        <v>6355</v>
      </c>
      <c r="L2332" s="267">
        <v>702100</v>
      </c>
      <c r="M2332" s="267" t="s">
        <v>3960</v>
      </c>
      <c r="N2332" s="267" t="s">
        <v>6678</v>
      </c>
      <c r="O2332" s="267">
        <v>0</v>
      </c>
      <c r="P2332" s="267" t="s">
        <v>3930</v>
      </c>
      <c r="Q2332" s="267" t="s">
        <v>3930</v>
      </c>
      <c r="R2332" s="267">
        <v>0</v>
      </c>
      <c r="S2332" s="267">
        <v>21924</v>
      </c>
      <c r="T2332" s="267">
        <v>21924</v>
      </c>
      <c r="U2332" s="268" t="s">
        <v>3937</v>
      </c>
      <c r="V2332" s="267" t="s">
        <v>944</v>
      </c>
    </row>
    <row r="2333" spans="1:22" hidden="1" x14ac:dyDescent="0.25">
      <c r="A2333" s="269">
        <v>43594</v>
      </c>
      <c r="B2333" s="270">
        <v>2019</v>
      </c>
      <c r="C2333" s="270">
        <v>2019</v>
      </c>
      <c r="D2333" s="270">
        <v>1</v>
      </c>
      <c r="E2333" s="270">
        <v>1</v>
      </c>
      <c r="F2333" s="270" t="s">
        <v>944</v>
      </c>
      <c r="G2333" s="270" t="s">
        <v>3926</v>
      </c>
      <c r="H2333" s="270" t="s">
        <v>6679</v>
      </c>
      <c r="I2333" s="270" t="s">
        <v>3975</v>
      </c>
      <c r="J2333" s="270" t="s">
        <v>3928</v>
      </c>
      <c r="K2333" s="270">
        <v>6489</v>
      </c>
      <c r="L2333" s="270">
        <v>430201</v>
      </c>
      <c r="M2333" s="270" t="s">
        <v>3960</v>
      </c>
      <c r="N2333" s="270" t="s">
        <v>6680</v>
      </c>
      <c r="O2333" s="270">
        <v>0</v>
      </c>
      <c r="P2333" s="270" t="s">
        <v>3930</v>
      </c>
      <c r="Q2333" s="270" t="s">
        <v>3930</v>
      </c>
      <c r="R2333" s="270">
        <v>0</v>
      </c>
      <c r="S2333" s="270">
        <v>8239</v>
      </c>
      <c r="T2333" s="270">
        <v>8239</v>
      </c>
      <c r="U2333" s="271" t="s">
        <v>3937</v>
      </c>
      <c r="V2333" s="267" t="s">
        <v>944</v>
      </c>
    </row>
    <row r="2334" spans="1:22" hidden="1" x14ac:dyDescent="0.25">
      <c r="A2334" s="266">
        <v>43594</v>
      </c>
      <c r="B2334" s="267">
        <v>2019</v>
      </c>
      <c r="C2334" s="267">
        <v>2019</v>
      </c>
      <c r="D2334" s="267">
        <v>1</v>
      </c>
      <c r="E2334" s="267">
        <v>1</v>
      </c>
      <c r="F2334" s="267" t="s">
        <v>944</v>
      </c>
      <c r="G2334" s="267" t="s">
        <v>3926</v>
      </c>
      <c r="H2334" s="267" t="s">
        <v>6681</v>
      </c>
      <c r="I2334" s="267" t="s">
        <v>934</v>
      </c>
      <c r="J2334" s="267" t="s">
        <v>3928</v>
      </c>
      <c r="K2334" s="267">
        <v>6606</v>
      </c>
      <c r="L2334" s="267">
        <v>72900</v>
      </c>
      <c r="M2334" s="267" t="s">
        <v>3940</v>
      </c>
      <c r="N2334" s="267" t="s">
        <v>3983</v>
      </c>
      <c r="O2334" s="267">
        <v>0</v>
      </c>
      <c r="P2334" s="267" t="s">
        <v>3930</v>
      </c>
      <c r="Q2334" s="267" t="s">
        <v>3931</v>
      </c>
      <c r="R2334" s="267">
        <v>5000</v>
      </c>
      <c r="S2334" s="267">
        <v>16504</v>
      </c>
      <c r="T2334" s="267">
        <v>21504</v>
      </c>
      <c r="U2334" s="268" t="s">
        <v>3932</v>
      </c>
      <c r="V2334" s="267" t="s">
        <v>944</v>
      </c>
    </row>
    <row r="2335" spans="1:22" hidden="1" x14ac:dyDescent="0.25">
      <c r="A2335" s="269">
        <v>43594</v>
      </c>
      <c r="B2335" s="270">
        <v>2019</v>
      </c>
      <c r="C2335" s="270">
        <v>2019</v>
      </c>
      <c r="D2335" s="270">
        <v>1</v>
      </c>
      <c r="E2335" s="270">
        <v>1</v>
      </c>
      <c r="F2335" s="270" t="s">
        <v>944</v>
      </c>
      <c r="G2335" s="270" t="s">
        <v>3926</v>
      </c>
      <c r="H2335" s="270" t="s">
        <v>6682</v>
      </c>
      <c r="I2335" s="270" t="s">
        <v>4353</v>
      </c>
      <c r="J2335" s="270" t="s">
        <v>3928</v>
      </c>
      <c r="K2335" s="270">
        <v>6416</v>
      </c>
      <c r="L2335" s="270">
        <v>570100</v>
      </c>
      <c r="M2335" s="270" t="s">
        <v>3960</v>
      </c>
      <c r="N2335" s="270" t="s">
        <v>6683</v>
      </c>
      <c r="O2335" s="270">
        <v>0</v>
      </c>
      <c r="P2335" s="270" t="s">
        <v>3930</v>
      </c>
      <c r="Q2335" s="270" t="s">
        <v>3930</v>
      </c>
      <c r="R2335" s="270">
        <v>0</v>
      </c>
      <c r="S2335" s="270">
        <v>7301</v>
      </c>
      <c r="T2335" s="270">
        <v>7301</v>
      </c>
      <c r="U2335" s="271" t="s">
        <v>3937</v>
      </c>
      <c r="V2335" s="267" t="s">
        <v>944</v>
      </c>
    </row>
    <row r="2336" spans="1:22" hidden="1" x14ac:dyDescent="0.25">
      <c r="A2336" s="266">
        <v>43594</v>
      </c>
      <c r="B2336" s="267">
        <v>2019</v>
      </c>
      <c r="C2336" s="267">
        <v>2019</v>
      </c>
      <c r="D2336" s="267">
        <v>1</v>
      </c>
      <c r="E2336" s="267">
        <v>1</v>
      </c>
      <c r="F2336" s="267" t="s">
        <v>944</v>
      </c>
      <c r="G2336" s="267" t="s">
        <v>3926</v>
      </c>
      <c r="H2336" s="267" t="s">
        <v>6684</v>
      </c>
      <c r="I2336" s="267" t="s">
        <v>4073</v>
      </c>
      <c r="J2336" s="267" t="s">
        <v>3928</v>
      </c>
      <c r="K2336" s="267">
        <v>6776</v>
      </c>
      <c r="L2336" s="267">
        <v>253200</v>
      </c>
      <c r="M2336" s="267" t="s">
        <v>3960</v>
      </c>
      <c r="N2336" s="267" t="s">
        <v>3944</v>
      </c>
      <c r="O2336" s="267">
        <v>5651</v>
      </c>
      <c r="P2336" s="267" t="s">
        <v>3944</v>
      </c>
      <c r="Q2336" s="267" t="s">
        <v>3944</v>
      </c>
      <c r="R2336" s="267">
        <v>5651</v>
      </c>
      <c r="S2336" s="267">
        <v>36425</v>
      </c>
      <c r="T2336" s="267">
        <v>42076</v>
      </c>
      <c r="U2336" s="268" t="s">
        <v>3945</v>
      </c>
      <c r="V2336" s="267" t="s">
        <v>944</v>
      </c>
    </row>
    <row r="2337" spans="1:22" hidden="1" x14ac:dyDescent="0.25">
      <c r="A2337" s="269">
        <v>43594</v>
      </c>
      <c r="B2337" s="270">
        <v>2019</v>
      </c>
      <c r="C2337" s="270">
        <v>2019</v>
      </c>
      <c r="D2337" s="270">
        <v>1</v>
      </c>
      <c r="E2337" s="270">
        <v>1</v>
      </c>
      <c r="F2337" s="270" t="s">
        <v>944</v>
      </c>
      <c r="G2337" s="270" t="s">
        <v>3926</v>
      </c>
      <c r="H2337" s="270" t="s">
        <v>6685</v>
      </c>
      <c r="I2337" s="270" t="s">
        <v>3009</v>
      </c>
      <c r="J2337" s="270" t="s">
        <v>3928</v>
      </c>
      <c r="K2337" s="270">
        <v>6484</v>
      </c>
      <c r="L2337" s="270">
        <v>110302</v>
      </c>
      <c r="M2337" s="270" t="s">
        <v>3943</v>
      </c>
      <c r="N2337" s="270" t="s">
        <v>3944</v>
      </c>
      <c r="O2337" s="270">
        <v>3100</v>
      </c>
      <c r="P2337" s="270" t="s">
        <v>3944</v>
      </c>
      <c r="Q2337" s="270" t="s">
        <v>3944</v>
      </c>
      <c r="R2337" s="270">
        <v>3100</v>
      </c>
      <c r="S2337" s="270">
        <v>23400</v>
      </c>
      <c r="T2337" s="270">
        <v>26500</v>
      </c>
      <c r="U2337" s="271" t="s">
        <v>3945</v>
      </c>
      <c r="V2337" s="267" t="s">
        <v>944</v>
      </c>
    </row>
    <row r="2338" spans="1:22" hidden="1" x14ac:dyDescent="0.25">
      <c r="A2338" s="266">
        <v>43594</v>
      </c>
      <c r="B2338" s="267">
        <v>2019</v>
      </c>
      <c r="C2338" s="267">
        <v>2019</v>
      </c>
      <c r="D2338" s="267">
        <v>1</v>
      </c>
      <c r="E2338" s="267">
        <v>1</v>
      </c>
      <c r="F2338" s="267" t="s">
        <v>944</v>
      </c>
      <c r="G2338" s="267" t="s">
        <v>3926</v>
      </c>
      <c r="H2338" s="267" t="s">
        <v>6686</v>
      </c>
      <c r="I2338" s="267" t="s">
        <v>4407</v>
      </c>
      <c r="J2338" s="267" t="s">
        <v>3928</v>
      </c>
      <c r="K2338" s="267">
        <v>6238</v>
      </c>
      <c r="L2338" s="267">
        <v>850200</v>
      </c>
      <c r="M2338" s="267" t="s">
        <v>3960</v>
      </c>
      <c r="N2338" s="267" t="s">
        <v>3944</v>
      </c>
      <c r="O2338" s="267">
        <v>3409</v>
      </c>
      <c r="P2338" s="267" t="s">
        <v>3944</v>
      </c>
      <c r="Q2338" s="267" t="s">
        <v>3944</v>
      </c>
      <c r="R2338" s="267">
        <v>3409</v>
      </c>
      <c r="S2338" s="267">
        <v>24705</v>
      </c>
      <c r="T2338" s="267">
        <v>28114</v>
      </c>
      <c r="U2338" s="268" t="s">
        <v>3945</v>
      </c>
      <c r="V2338" s="267" t="s">
        <v>944</v>
      </c>
    </row>
    <row r="2339" spans="1:22" hidden="1" x14ac:dyDescent="0.25">
      <c r="A2339" s="269">
        <v>43594</v>
      </c>
      <c r="B2339" s="270">
        <v>2019</v>
      </c>
      <c r="C2339" s="270">
        <v>2019</v>
      </c>
      <c r="D2339" s="270">
        <v>1</v>
      </c>
      <c r="E2339" s="270">
        <v>1</v>
      </c>
      <c r="F2339" s="270" t="s">
        <v>944</v>
      </c>
      <c r="G2339" s="270" t="s">
        <v>3926</v>
      </c>
      <c r="H2339" s="270" t="s">
        <v>6687</v>
      </c>
      <c r="I2339" s="270" t="s">
        <v>4111</v>
      </c>
      <c r="J2339" s="270" t="s">
        <v>3928</v>
      </c>
      <c r="K2339" s="270">
        <v>6095</v>
      </c>
      <c r="L2339" s="270">
        <v>473501</v>
      </c>
      <c r="M2339" s="270" t="s">
        <v>3943</v>
      </c>
      <c r="N2339" s="270" t="s">
        <v>3944</v>
      </c>
      <c r="O2339" s="270">
        <v>2702</v>
      </c>
      <c r="P2339" s="270" t="s">
        <v>3944</v>
      </c>
      <c r="Q2339" s="270" t="s">
        <v>3944</v>
      </c>
      <c r="R2339" s="270">
        <v>2702</v>
      </c>
      <c r="S2339" s="270">
        <v>20432</v>
      </c>
      <c r="T2339" s="270">
        <v>23134</v>
      </c>
      <c r="U2339" s="271" t="s">
        <v>3945</v>
      </c>
      <c r="V2339" s="267" t="s">
        <v>944</v>
      </c>
    </row>
    <row r="2340" spans="1:22" hidden="1" x14ac:dyDescent="0.25">
      <c r="A2340" s="266">
        <v>43594</v>
      </c>
      <c r="B2340" s="267">
        <v>2019</v>
      </c>
      <c r="C2340" s="267">
        <v>2019</v>
      </c>
      <c r="D2340" s="267">
        <v>1</v>
      </c>
      <c r="E2340" s="267">
        <v>1</v>
      </c>
      <c r="F2340" s="267" t="s">
        <v>944</v>
      </c>
      <c r="G2340" s="267" t="s">
        <v>3926</v>
      </c>
      <c r="H2340" s="267" t="s">
        <v>6688</v>
      </c>
      <c r="I2340" s="267" t="s">
        <v>4016</v>
      </c>
      <c r="J2340" s="267" t="s">
        <v>3928</v>
      </c>
      <c r="K2340" s="267">
        <v>6770</v>
      </c>
      <c r="L2340" s="267">
        <v>345100</v>
      </c>
      <c r="M2340" s="267" t="s">
        <v>3940</v>
      </c>
      <c r="N2340" s="267" t="s">
        <v>3944</v>
      </c>
      <c r="O2340" s="267">
        <v>4111</v>
      </c>
      <c r="P2340" s="267" t="s">
        <v>3944</v>
      </c>
      <c r="Q2340" s="267" t="s">
        <v>3944</v>
      </c>
      <c r="R2340" s="267">
        <v>4111</v>
      </c>
      <c r="S2340" s="267">
        <v>23450.6</v>
      </c>
      <c r="T2340" s="267">
        <v>27561.599999999999</v>
      </c>
      <c r="U2340" s="268" t="s">
        <v>3945</v>
      </c>
      <c r="V2340" s="267" t="s">
        <v>944</v>
      </c>
    </row>
    <row r="2341" spans="1:22" hidden="1" x14ac:dyDescent="0.25">
      <c r="A2341" s="269">
        <v>43594</v>
      </c>
      <c r="B2341" s="270">
        <v>2019</v>
      </c>
      <c r="C2341" s="270">
        <v>2019</v>
      </c>
      <c r="D2341" s="270">
        <v>1</v>
      </c>
      <c r="E2341" s="270">
        <v>1</v>
      </c>
      <c r="F2341" s="270" t="s">
        <v>944</v>
      </c>
      <c r="G2341" s="270" t="s">
        <v>3926</v>
      </c>
      <c r="H2341" s="270" t="s">
        <v>6689</v>
      </c>
      <c r="I2341" s="270" t="s">
        <v>3009</v>
      </c>
      <c r="J2341" s="270" t="s">
        <v>3928</v>
      </c>
      <c r="K2341" s="270">
        <v>6484</v>
      </c>
      <c r="L2341" s="270">
        <v>110201</v>
      </c>
      <c r="M2341" s="270" t="s">
        <v>3960</v>
      </c>
      <c r="N2341" s="270" t="s">
        <v>3944</v>
      </c>
      <c r="O2341" s="270">
        <v>3388</v>
      </c>
      <c r="P2341" s="270" t="s">
        <v>3944</v>
      </c>
      <c r="Q2341" s="270" t="s">
        <v>3944</v>
      </c>
      <c r="R2341" s="270">
        <v>3388</v>
      </c>
      <c r="S2341" s="270">
        <v>35953.949999999997</v>
      </c>
      <c r="T2341" s="270">
        <v>39341.949999999997</v>
      </c>
      <c r="U2341" s="271" t="s">
        <v>3945</v>
      </c>
      <c r="V2341" s="267" t="s">
        <v>944</v>
      </c>
    </row>
    <row r="2342" spans="1:22" hidden="1" x14ac:dyDescent="0.25">
      <c r="A2342" s="266">
        <v>43594</v>
      </c>
      <c r="B2342" s="267">
        <v>2019</v>
      </c>
      <c r="C2342" s="267">
        <v>2019</v>
      </c>
      <c r="D2342" s="267">
        <v>1</v>
      </c>
      <c r="E2342" s="267">
        <v>1</v>
      </c>
      <c r="F2342" s="267" t="s">
        <v>944</v>
      </c>
      <c r="G2342" s="267" t="s">
        <v>3926</v>
      </c>
      <c r="H2342" s="267" t="s">
        <v>6690</v>
      </c>
      <c r="I2342" s="267" t="s">
        <v>950</v>
      </c>
      <c r="J2342" s="267" t="s">
        <v>3928</v>
      </c>
      <c r="K2342" s="267">
        <v>6516</v>
      </c>
      <c r="L2342" s="267">
        <v>154800</v>
      </c>
      <c r="M2342" s="267" t="s">
        <v>3960</v>
      </c>
      <c r="N2342" s="267" t="s">
        <v>3944</v>
      </c>
      <c r="O2342" s="267">
        <v>1240.6500000000001</v>
      </c>
      <c r="P2342" s="267" t="s">
        <v>3944</v>
      </c>
      <c r="Q2342" s="267" t="s">
        <v>3944</v>
      </c>
      <c r="R2342" s="267">
        <v>1240.6500000000001</v>
      </c>
      <c r="S2342" s="267">
        <v>21099.22</v>
      </c>
      <c r="T2342" s="267">
        <v>22339.87</v>
      </c>
      <c r="U2342" s="268" t="s">
        <v>3945</v>
      </c>
      <c r="V2342" s="267" t="s">
        <v>944</v>
      </c>
    </row>
    <row r="2343" spans="1:22" hidden="1" x14ac:dyDescent="0.25">
      <c r="A2343" s="269">
        <v>43594</v>
      </c>
      <c r="B2343" s="270">
        <v>2019</v>
      </c>
      <c r="C2343" s="270">
        <v>2019</v>
      </c>
      <c r="D2343" s="270">
        <v>1</v>
      </c>
      <c r="E2343" s="270">
        <v>1</v>
      </c>
      <c r="F2343" s="270" t="s">
        <v>944</v>
      </c>
      <c r="G2343" s="270" t="s">
        <v>3926</v>
      </c>
      <c r="H2343" s="270" t="s">
        <v>6691</v>
      </c>
      <c r="I2343" s="270" t="s">
        <v>3025</v>
      </c>
      <c r="J2343" s="270" t="s">
        <v>3928</v>
      </c>
      <c r="K2343" s="270">
        <v>6473</v>
      </c>
      <c r="L2343" s="270">
        <v>167300</v>
      </c>
      <c r="M2343" s="270" t="s">
        <v>3943</v>
      </c>
      <c r="N2343" s="270" t="s">
        <v>3944</v>
      </c>
      <c r="O2343" s="270">
        <v>1930.85</v>
      </c>
      <c r="P2343" s="270" t="s">
        <v>3944</v>
      </c>
      <c r="Q2343" s="270" t="s">
        <v>3944</v>
      </c>
      <c r="R2343" s="270">
        <v>1930.85</v>
      </c>
      <c r="S2343" s="270">
        <v>31566.38</v>
      </c>
      <c r="T2343" s="270">
        <v>33497.230000000003</v>
      </c>
      <c r="U2343" s="271" t="s">
        <v>3945</v>
      </c>
      <c r="V2343" s="267" t="s">
        <v>944</v>
      </c>
    </row>
    <row r="2344" spans="1:22" hidden="1" x14ac:dyDescent="0.25">
      <c r="A2344" s="266">
        <v>43594</v>
      </c>
      <c r="B2344" s="267">
        <v>2019</v>
      </c>
      <c r="C2344" s="267">
        <v>2019</v>
      </c>
      <c r="D2344" s="267">
        <v>1</v>
      </c>
      <c r="E2344" s="267">
        <v>1</v>
      </c>
      <c r="F2344" s="267" t="s">
        <v>944</v>
      </c>
      <c r="G2344" s="267" t="s">
        <v>3926</v>
      </c>
      <c r="H2344" s="267" t="s">
        <v>6692</v>
      </c>
      <c r="I2344" s="267" t="s">
        <v>4250</v>
      </c>
      <c r="J2344" s="267" t="s">
        <v>3928</v>
      </c>
      <c r="K2344" s="267">
        <v>6241</v>
      </c>
      <c r="L2344" s="267">
        <v>904400</v>
      </c>
      <c r="M2344" s="267" t="s">
        <v>3940</v>
      </c>
      <c r="N2344" s="267" t="s">
        <v>3944</v>
      </c>
      <c r="O2344" s="267">
        <v>1598.63</v>
      </c>
      <c r="P2344" s="267" t="s">
        <v>3944</v>
      </c>
      <c r="Q2344" s="267" t="s">
        <v>3944</v>
      </c>
      <c r="R2344" s="267">
        <v>1598.63</v>
      </c>
      <c r="S2344" s="267">
        <v>24093.19</v>
      </c>
      <c r="T2344" s="267">
        <v>25691.82</v>
      </c>
      <c r="U2344" s="268" t="s">
        <v>3945</v>
      </c>
      <c r="V2344" s="267" t="s">
        <v>944</v>
      </c>
    </row>
    <row r="2345" spans="1:22" hidden="1" x14ac:dyDescent="0.25">
      <c r="A2345" s="269">
        <v>43594</v>
      </c>
      <c r="B2345" s="270">
        <v>2019</v>
      </c>
      <c r="C2345" s="270">
        <v>2019</v>
      </c>
      <c r="D2345" s="270">
        <v>1</v>
      </c>
      <c r="E2345" s="270">
        <v>1</v>
      </c>
      <c r="F2345" s="270" t="s">
        <v>944</v>
      </c>
      <c r="G2345" s="270" t="s">
        <v>3926</v>
      </c>
      <c r="H2345" s="270" t="s">
        <v>6693</v>
      </c>
      <c r="I2345" s="270" t="s">
        <v>3956</v>
      </c>
      <c r="J2345" s="270" t="s">
        <v>3928</v>
      </c>
      <c r="K2345" s="270">
        <v>6112</v>
      </c>
      <c r="L2345" s="270">
        <v>503900</v>
      </c>
      <c r="M2345" s="270">
        <v>-60</v>
      </c>
      <c r="N2345" s="270" t="s">
        <v>3944</v>
      </c>
      <c r="O2345" s="270">
        <v>1169.1099999999999</v>
      </c>
      <c r="P2345" s="270" t="s">
        <v>3944</v>
      </c>
      <c r="Q2345" s="270" t="s">
        <v>3944</v>
      </c>
      <c r="R2345" s="270">
        <v>1169.1099999999999</v>
      </c>
      <c r="S2345" s="270">
        <v>17193.72</v>
      </c>
      <c r="T2345" s="270">
        <v>18362.830000000002</v>
      </c>
      <c r="U2345" s="271" t="s">
        <v>3945</v>
      </c>
      <c r="V2345" s="267" t="s">
        <v>944</v>
      </c>
    </row>
    <row r="2346" spans="1:22" hidden="1" x14ac:dyDescent="0.25">
      <c r="A2346" s="266">
        <v>43594</v>
      </c>
      <c r="B2346" s="267">
        <v>2019</v>
      </c>
      <c r="C2346" s="267">
        <v>2019</v>
      </c>
      <c r="D2346" s="267">
        <v>1</v>
      </c>
      <c r="E2346" s="267">
        <v>1</v>
      </c>
      <c r="F2346" s="267" t="s">
        <v>944</v>
      </c>
      <c r="G2346" s="267" t="s">
        <v>3926</v>
      </c>
      <c r="H2346" s="267" t="s">
        <v>6694</v>
      </c>
      <c r="I2346" s="267" t="s">
        <v>4037</v>
      </c>
      <c r="J2346" s="267" t="s">
        <v>3928</v>
      </c>
      <c r="K2346" s="267">
        <v>6810</v>
      </c>
      <c r="L2346" s="267">
        <v>210400</v>
      </c>
      <c r="M2346" s="267" t="s">
        <v>3935</v>
      </c>
      <c r="N2346" s="267" t="s">
        <v>3944</v>
      </c>
      <c r="O2346" s="267">
        <v>2404.15</v>
      </c>
      <c r="P2346" s="267" t="s">
        <v>3944</v>
      </c>
      <c r="Q2346" s="267" t="s">
        <v>3944</v>
      </c>
      <c r="R2346" s="267">
        <v>2404.15</v>
      </c>
      <c r="S2346" s="267">
        <v>34727.480000000003</v>
      </c>
      <c r="T2346" s="267">
        <v>37131.629999999997</v>
      </c>
      <c r="U2346" s="268" t="s">
        <v>3945</v>
      </c>
      <c r="V2346" s="267" t="s">
        <v>944</v>
      </c>
    </row>
    <row r="2347" spans="1:22" hidden="1" x14ac:dyDescent="0.25">
      <c r="A2347" s="269">
        <v>43594</v>
      </c>
      <c r="B2347" s="270">
        <v>2019</v>
      </c>
      <c r="C2347" s="270">
        <v>2019</v>
      </c>
      <c r="D2347" s="270">
        <v>1</v>
      </c>
      <c r="E2347" s="270">
        <v>1</v>
      </c>
      <c r="F2347" s="270" t="s">
        <v>944</v>
      </c>
      <c r="G2347" s="270" t="s">
        <v>3926</v>
      </c>
      <c r="H2347" s="270" t="s">
        <v>6695</v>
      </c>
      <c r="I2347" s="270" t="s">
        <v>3008</v>
      </c>
      <c r="J2347" s="270" t="s">
        <v>3928</v>
      </c>
      <c r="K2347" s="270">
        <v>6461</v>
      </c>
      <c r="L2347" s="270">
        <v>150600</v>
      </c>
      <c r="M2347" s="270" t="s">
        <v>3960</v>
      </c>
      <c r="N2347" s="270" t="s">
        <v>3944</v>
      </c>
      <c r="O2347" s="270">
        <v>1259.0899999999999</v>
      </c>
      <c r="P2347" s="270" t="s">
        <v>3944</v>
      </c>
      <c r="Q2347" s="270" t="s">
        <v>3944</v>
      </c>
      <c r="R2347" s="270">
        <v>1259.0899999999999</v>
      </c>
      <c r="S2347" s="270">
        <v>20252.91</v>
      </c>
      <c r="T2347" s="270">
        <v>21512</v>
      </c>
      <c r="U2347" s="271" t="s">
        <v>3945</v>
      </c>
      <c r="V2347" s="267" t="s">
        <v>944</v>
      </c>
    </row>
    <row r="2348" spans="1:22" hidden="1" x14ac:dyDescent="0.25">
      <c r="A2348" s="266">
        <v>43594</v>
      </c>
      <c r="B2348" s="267">
        <v>2019</v>
      </c>
      <c r="C2348" s="267">
        <v>2019</v>
      </c>
      <c r="D2348" s="267">
        <v>1</v>
      </c>
      <c r="E2348" s="267">
        <v>1</v>
      </c>
      <c r="F2348" s="267" t="s">
        <v>944</v>
      </c>
      <c r="G2348" s="267" t="s">
        <v>3926</v>
      </c>
      <c r="H2348" s="267" t="s">
        <v>6696</v>
      </c>
      <c r="I2348" s="267" t="s">
        <v>953</v>
      </c>
      <c r="J2348" s="267" t="s">
        <v>3928</v>
      </c>
      <c r="K2348" s="267">
        <v>6514</v>
      </c>
      <c r="L2348" s="267">
        <v>165700</v>
      </c>
      <c r="M2348" s="267" t="s">
        <v>3935</v>
      </c>
      <c r="N2348" s="267" t="s">
        <v>3944</v>
      </c>
      <c r="O2348" s="267">
        <v>2273.08</v>
      </c>
      <c r="P2348" s="267" t="s">
        <v>3944</v>
      </c>
      <c r="Q2348" s="267" t="s">
        <v>3944</v>
      </c>
      <c r="R2348" s="267">
        <v>2273.08</v>
      </c>
      <c r="S2348" s="267">
        <v>37842.639999999999</v>
      </c>
      <c r="T2348" s="267">
        <v>40115.72</v>
      </c>
      <c r="U2348" s="268" t="s">
        <v>3945</v>
      </c>
      <c r="V2348" s="267" t="s">
        <v>944</v>
      </c>
    </row>
    <row r="2349" spans="1:22" hidden="1" x14ac:dyDescent="0.25">
      <c r="A2349" s="269">
        <v>43594</v>
      </c>
      <c r="B2349" s="270">
        <v>2019</v>
      </c>
      <c r="C2349" s="270">
        <v>2019</v>
      </c>
      <c r="D2349" s="270">
        <v>1</v>
      </c>
      <c r="E2349" s="270">
        <v>1</v>
      </c>
      <c r="F2349" s="270" t="s">
        <v>944</v>
      </c>
      <c r="G2349" s="270" t="s">
        <v>3926</v>
      </c>
      <c r="H2349" s="270" t="s">
        <v>6697</v>
      </c>
      <c r="I2349" s="270" t="s">
        <v>3009</v>
      </c>
      <c r="J2349" s="270" t="s">
        <v>3928</v>
      </c>
      <c r="K2349" s="270">
        <v>6484</v>
      </c>
      <c r="L2349" s="270">
        <v>110400</v>
      </c>
      <c r="M2349" s="270" t="s">
        <v>3943</v>
      </c>
      <c r="N2349" s="270" t="s">
        <v>3944</v>
      </c>
      <c r="O2349" s="270">
        <v>2475.69</v>
      </c>
      <c r="P2349" s="270" t="s">
        <v>3944</v>
      </c>
      <c r="Q2349" s="270" t="s">
        <v>3944</v>
      </c>
      <c r="R2349" s="270">
        <v>2475.69</v>
      </c>
      <c r="S2349" s="270">
        <v>43605</v>
      </c>
      <c r="T2349" s="270">
        <v>46080.69</v>
      </c>
      <c r="U2349" s="271" t="s">
        <v>3945</v>
      </c>
      <c r="V2349" s="267" t="s">
        <v>944</v>
      </c>
    </row>
    <row r="2350" spans="1:22" hidden="1" x14ac:dyDescent="0.25">
      <c r="A2350" s="266">
        <v>43594</v>
      </c>
      <c r="B2350" s="267">
        <v>2019</v>
      </c>
      <c r="C2350" s="267">
        <v>2019</v>
      </c>
      <c r="D2350" s="267">
        <v>1</v>
      </c>
      <c r="E2350" s="267">
        <v>1</v>
      </c>
      <c r="F2350" s="267" t="s">
        <v>944</v>
      </c>
      <c r="G2350" s="267" t="s">
        <v>3926</v>
      </c>
      <c r="H2350" s="267" t="s">
        <v>6698</v>
      </c>
      <c r="I2350" s="267" t="s">
        <v>2987</v>
      </c>
      <c r="J2350" s="267" t="s">
        <v>3928</v>
      </c>
      <c r="K2350" s="267">
        <v>6611</v>
      </c>
      <c r="L2350" s="267">
        <v>90400</v>
      </c>
      <c r="M2350" s="267" t="s">
        <v>3943</v>
      </c>
      <c r="N2350" s="267" t="s">
        <v>3944</v>
      </c>
      <c r="O2350" s="267">
        <v>1249.3599999999999</v>
      </c>
      <c r="P2350" s="267" t="s">
        <v>3944</v>
      </c>
      <c r="Q2350" s="267" t="s">
        <v>3944</v>
      </c>
      <c r="R2350" s="267">
        <v>1249.3599999999999</v>
      </c>
      <c r="S2350" s="267">
        <v>19720.97</v>
      </c>
      <c r="T2350" s="267">
        <v>20970.330000000002</v>
      </c>
      <c r="U2350" s="268" t="s">
        <v>3945</v>
      </c>
      <c r="V2350" s="267" t="s">
        <v>944</v>
      </c>
    </row>
    <row r="2351" spans="1:22" hidden="1" x14ac:dyDescent="0.25">
      <c r="A2351" s="269">
        <v>43594</v>
      </c>
      <c r="B2351" s="270">
        <v>2019</v>
      </c>
      <c r="C2351" s="270">
        <v>2019</v>
      </c>
      <c r="D2351" s="270">
        <v>1</v>
      </c>
      <c r="E2351" s="270">
        <v>1</v>
      </c>
      <c r="F2351" s="270" t="s">
        <v>944</v>
      </c>
      <c r="G2351" s="270" t="s">
        <v>3926</v>
      </c>
      <c r="H2351" s="270" t="s">
        <v>6699</v>
      </c>
      <c r="I2351" s="270" t="s">
        <v>934</v>
      </c>
      <c r="J2351" s="270" t="s">
        <v>3928</v>
      </c>
      <c r="K2351" s="270">
        <v>6606</v>
      </c>
      <c r="L2351" s="270">
        <v>72700</v>
      </c>
      <c r="M2351" s="270" t="s">
        <v>3935</v>
      </c>
      <c r="N2351" s="270" t="s">
        <v>3944</v>
      </c>
      <c r="O2351" s="270">
        <v>2191.77</v>
      </c>
      <c r="P2351" s="270" t="s">
        <v>3944</v>
      </c>
      <c r="Q2351" s="270" t="s">
        <v>3944</v>
      </c>
      <c r="R2351" s="270">
        <v>2191.77</v>
      </c>
      <c r="S2351" s="270">
        <v>34171.83</v>
      </c>
      <c r="T2351" s="270">
        <v>36363.599999999999</v>
      </c>
      <c r="U2351" s="271" t="s">
        <v>3945</v>
      </c>
      <c r="V2351" s="267" t="s">
        <v>944</v>
      </c>
    </row>
    <row r="2352" spans="1:22" hidden="1" x14ac:dyDescent="0.25">
      <c r="A2352" s="266">
        <v>43594</v>
      </c>
      <c r="B2352" s="267">
        <v>2019</v>
      </c>
      <c r="C2352" s="267">
        <v>2019</v>
      </c>
      <c r="D2352" s="267">
        <v>1</v>
      </c>
      <c r="E2352" s="267">
        <v>1</v>
      </c>
      <c r="F2352" s="267" t="s">
        <v>944</v>
      </c>
      <c r="G2352" s="267" t="s">
        <v>3926</v>
      </c>
      <c r="H2352" s="267" t="s">
        <v>6700</v>
      </c>
      <c r="I2352" s="267" t="s">
        <v>4042</v>
      </c>
      <c r="J2352" s="267" t="s">
        <v>3928</v>
      </c>
      <c r="K2352" s="267">
        <v>6382</v>
      </c>
      <c r="L2352" s="267">
        <v>695201</v>
      </c>
      <c r="M2352" s="267" t="s">
        <v>3935</v>
      </c>
      <c r="N2352" s="267" t="s">
        <v>3944</v>
      </c>
      <c r="O2352" s="267">
        <v>1820.95</v>
      </c>
      <c r="P2352" s="267" t="s">
        <v>3944</v>
      </c>
      <c r="Q2352" s="267" t="s">
        <v>3944</v>
      </c>
      <c r="R2352" s="267">
        <v>1820.95</v>
      </c>
      <c r="S2352" s="267">
        <v>26777.47</v>
      </c>
      <c r="T2352" s="267">
        <v>28598.42</v>
      </c>
      <c r="U2352" s="268" t="s">
        <v>3945</v>
      </c>
      <c r="V2352" s="267" t="s">
        <v>944</v>
      </c>
    </row>
    <row r="2353" spans="1:22" hidden="1" x14ac:dyDescent="0.25">
      <c r="A2353" s="269">
        <v>43594</v>
      </c>
      <c r="B2353" s="270">
        <v>2019</v>
      </c>
      <c r="C2353" s="270">
        <v>2019</v>
      </c>
      <c r="D2353" s="270">
        <v>1</v>
      </c>
      <c r="E2353" s="270">
        <v>1</v>
      </c>
      <c r="F2353" s="270" t="s">
        <v>944</v>
      </c>
      <c r="G2353" s="270" t="s">
        <v>3926</v>
      </c>
      <c r="H2353" s="270" t="s">
        <v>6701</v>
      </c>
      <c r="I2353" s="270" t="s">
        <v>3008</v>
      </c>
      <c r="J2353" s="270" t="s">
        <v>3928</v>
      </c>
      <c r="K2353" s="270">
        <v>6460</v>
      </c>
      <c r="L2353" s="270">
        <v>151200</v>
      </c>
      <c r="M2353" s="270" t="s">
        <v>3935</v>
      </c>
      <c r="N2353" s="270" t="s">
        <v>3944</v>
      </c>
      <c r="O2353" s="270">
        <v>2049.5</v>
      </c>
      <c r="P2353" s="270" t="s">
        <v>3944</v>
      </c>
      <c r="Q2353" s="270" t="s">
        <v>3944</v>
      </c>
      <c r="R2353" s="270">
        <v>2049.5</v>
      </c>
      <c r="S2353" s="270">
        <v>29999.09</v>
      </c>
      <c r="T2353" s="270">
        <v>32048.59</v>
      </c>
      <c r="U2353" s="271" t="s">
        <v>3945</v>
      </c>
      <c r="V2353" s="267" t="s">
        <v>944</v>
      </c>
    </row>
    <row r="2354" spans="1:22" hidden="1" x14ac:dyDescent="0.25">
      <c r="A2354" s="266">
        <v>43594</v>
      </c>
      <c r="B2354" s="267">
        <v>2019</v>
      </c>
      <c r="C2354" s="267">
        <v>2019</v>
      </c>
      <c r="D2354" s="267">
        <v>1</v>
      </c>
      <c r="E2354" s="267">
        <v>1</v>
      </c>
      <c r="F2354" s="267" t="s">
        <v>944</v>
      </c>
      <c r="G2354" s="267" t="s">
        <v>3926</v>
      </c>
      <c r="H2354" s="267" t="s">
        <v>6702</v>
      </c>
      <c r="I2354" s="267" t="s">
        <v>4003</v>
      </c>
      <c r="J2354" s="267" t="s">
        <v>3928</v>
      </c>
      <c r="K2354" s="267">
        <v>6374</v>
      </c>
      <c r="L2354" s="267">
        <v>907100</v>
      </c>
      <c r="M2354" s="267" t="s">
        <v>3935</v>
      </c>
      <c r="N2354" s="267" t="s">
        <v>3944</v>
      </c>
      <c r="O2354" s="267">
        <v>3101.6</v>
      </c>
      <c r="P2354" s="267" t="s">
        <v>3944</v>
      </c>
      <c r="Q2354" s="267" t="s">
        <v>3944</v>
      </c>
      <c r="R2354" s="267">
        <v>3101.6</v>
      </c>
      <c r="S2354" s="267">
        <v>41204.58</v>
      </c>
      <c r="T2354" s="267">
        <v>44306.18</v>
      </c>
      <c r="U2354" s="268" t="s">
        <v>3945</v>
      </c>
      <c r="V2354" s="267" t="s">
        <v>944</v>
      </c>
    </row>
    <row r="2355" spans="1:22" hidden="1" x14ac:dyDescent="0.25">
      <c r="A2355" s="269">
        <v>43594</v>
      </c>
      <c r="B2355" s="270">
        <v>2019</v>
      </c>
      <c r="C2355" s="270">
        <v>2019</v>
      </c>
      <c r="D2355" s="270">
        <v>1</v>
      </c>
      <c r="E2355" s="270">
        <v>1</v>
      </c>
      <c r="F2355" s="270" t="s">
        <v>944</v>
      </c>
      <c r="G2355" s="270" t="s">
        <v>3926</v>
      </c>
      <c r="H2355" s="270" t="s">
        <v>6703</v>
      </c>
      <c r="I2355" s="270" t="s">
        <v>4269</v>
      </c>
      <c r="J2355" s="270" t="s">
        <v>3928</v>
      </c>
      <c r="K2355" s="270">
        <v>6110</v>
      </c>
      <c r="L2355" s="270">
        <v>496200</v>
      </c>
      <c r="M2355" s="270" t="s">
        <v>3935</v>
      </c>
      <c r="N2355" s="270" t="s">
        <v>3944</v>
      </c>
      <c r="O2355" s="270">
        <v>1413.83</v>
      </c>
      <c r="P2355" s="270" t="s">
        <v>3944</v>
      </c>
      <c r="Q2355" s="270" t="s">
        <v>3944</v>
      </c>
      <c r="R2355" s="270">
        <v>1413.83</v>
      </c>
      <c r="S2355" s="270">
        <v>28778.69</v>
      </c>
      <c r="T2355" s="270">
        <v>30192.52</v>
      </c>
      <c r="U2355" s="271" t="s">
        <v>3945</v>
      </c>
      <c r="V2355" s="267" t="s">
        <v>944</v>
      </c>
    </row>
    <row r="2356" spans="1:22" hidden="1" x14ac:dyDescent="0.25">
      <c r="A2356" s="266">
        <v>43594</v>
      </c>
      <c r="B2356" s="267">
        <v>2019</v>
      </c>
      <c r="C2356" s="267">
        <v>2019</v>
      </c>
      <c r="D2356" s="267">
        <v>1</v>
      </c>
      <c r="E2356" s="267">
        <v>1</v>
      </c>
      <c r="F2356" s="267" t="s">
        <v>944</v>
      </c>
      <c r="G2356" s="267" t="s">
        <v>3926</v>
      </c>
      <c r="H2356" s="267" t="s">
        <v>6704</v>
      </c>
      <c r="I2356" s="267" t="s">
        <v>3985</v>
      </c>
      <c r="J2356" s="267" t="s">
        <v>3928</v>
      </c>
      <c r="K2356" s="267">
        <v>6226</v>
      </c>
      <c r="L2356" s="267">
        <v>800400</v>
      </c>
      <c r="M2356" s="267" t="s">
        <v>3940</v>
      </c>
      <c r="N2356" s="267" t="s">
        <v>3944</v>
      </c>
      <c r="O2356" s="267">
        <v>1404.27</v>
      </c>
      <c r="P2356" s="267" t="s">
        <v>3944</v>
      </c>
      <c r="Q2356" s="267" t="s">
        <v>3944</v>
      </c>
      <c r="R2356" s="267">
        <v>1404.27</v>
      </c>
      <c r="S2356" s="267">
        <v>18953.740000000002</v>
      </c>
      <c r="T2356" s="267">
        <v>20358.009999999998</v>
      </c>
      <c r="U2356" s="268" t="s">
        <v>3945</v>
      </c>
      <c r="V2356" s="267" t="s">
        <v>944</v>
      </c>
    </row>
    <row r="2357" spans="1:22" hidden="1" x14ac:dyDescent="0.25">
      <c r="A2357" s="269">
        <v>43594</v>
      </c>
      <c r="B2357" s="270">
        <v>2019</v>
      </c>
      <c r="C2357" s="270">
        <v>2019</v>
      </c>
      <c r="D2357" s="270">
        <v>1</v>
      </c>
      <c r="E2357" s="270">
        <v>1</v>
      </c>
      <c r="F2357" s="270" t="s">
        <v>944</v>
      </c>
      <c r="G2357" s="270" t="s">
        <v>3926</v>
      </c>
      <c r="H2357" s="270" t="s">
        <v>6705</v>
      </c>
      <c r="I2357" s="270" t="s">
        <v>4213</v>
      </c>
      <c r="J2357" s="270" t="s">
        <v>3928</v>
      </c>
      <c r="K2357" s="270">
        <v>6051</v>
      </c>
      <c r="L2357" s="270">
        <v>416300</v>
      </c>
      <c r="M2357" s="270">
        <v>-60</v>
      </c>
      <c r="N2357" s="270" t="s">
        <v>3944</v>
      </c>
      <c r="O2357" s="270">
        <v>1642.59</v>
      </c>
      <c r="P2357" s="270" t="s">
        <v>3944</v>
      </c>
      <c r="Q2357" s="270" t="s">
        <v>3944</v>
      </c>
      <c r="R2357" s="270">
        <v>1642.59</v>
      </c>
      <c r="S2357" s="270">
        <v>22408.2</v>
      </c>
      <c r="T2357" s="270">
        <v>24050.79</v>
      </c>
      <c r="U2357" s="271" t="s">
        <v>3945</v>
      </c>
      <c r="V2357" s="267" t="s">
        <v>944</v>
      </c>
    </row>
    <row r="2358" spans="1:22" hidden="1" x14ac:dyDescent="0.25">
      <c r="A2358" s="266">
        <v>43594</v>
      </c>
      <c r="B2358" s="267">
        <v>2019</v>
      </c>
      <c r="C2358" s="267">
        <v>2019</v>
      </c>
      <c r="D2358" s="267">
        <v>1</v>
      </c>
      <c r="E2358" s="267">
        <v>1</v>
      </c>
      <c r="F2358" s="267" t="s">
        <v>944</v>
      </c>
      <c r="G2358" s="267" t="s">
        <v>3926</v>
      </c>
      <c r="H2358" s="267" t="s">
        <v>6706</v>
      </c>
      <c r="I2358" s="267" t="s">
        <v>4407</v>
      </c>
      <c r="J2358" s="267" t="s">
        <v>3928</v>
      </c>
      <c r="K2358" s="267">
        <v>6238</v>
      </c>
      <c r="L2358" s="267">
        <v>850200</v>
      </c>
      <c r="M2358" s="267" t="s">
        <v>3960</v>
      </c>
      <c r="N2358" s="267" t="s">
        <v>3944</v>
      </c>
      <c r="O2358" s="267">
        <v>1857.45</v>
      </c>
      <c r="P2358" s="267" t="s">
        <v>3944</v>
      </c>
      <c r="Q2358" s="267" t="s">
        <v>3944</v>
      </c>
      <c r="R2358" s="267">
        <v>1857.45</v>
      </c>
      <c r="S2358" s="267">
        <v>25694.85</v>
      </c>
      <c r="T2358" s="267">
        <v>27552.3</v>
      </c>
      <c r="U2358" s="268" t="s">
        <v>3945</v>
      </c>
      <c r="V2358" s="267" t="s">
        <v>944</v>
      </c>
    </row>
    <row r="2359" spans="1:22" x14ac:dyDescent="0.25">
      <c r="A2359" s="269">
        <v>43594</v>
      </c>
      <c r="B2359" s="270">
        <v>2019</v>
      </c>
      <c r="C2359" s="270">
        <v>2019</v>
      </c>
      <c r="D2359" s="270">
        <v>1</v>
      </c>
      <c r="E2359" s="270">
        <v>1</v>
      </c>
      <c r="F2359" s="270" t="s">
        <v>944</v>
      </c>
      <c r="G2359" s="270" t="s">
        <v>3926</v>
      </c>
      <c r="H2359" s="270" t="s">
        <v>6707</v>
      </c>
      <c r="I2359" s="270" t="s">
        <v>950</v>
      </c>
      <c r="J2359" s="270" t="s">
        <v>3928</v>
      </c>
      <c r="K2359" s="270">
        <v>6516</v>
      </c>
      <c r="L2359" s="270">
        <v>154500</v>
      </c>
      <c r="M2359" s="270">
        <v>-60</v>
      </c>
      <c r="N2359" s="270" t="s">
        <v>3944</v>
      </c>
      <c r="O2359" s="270">
        <v>1476.65</v>
      </c>
      <c r="P2359" s="270" t="s">
        <v>3944</v>
      </c>
      <c r="Q2359" s="270" t="s">
        <v>3944</v>
      </c>
      <c r="R2359" s="270">
        <v>1476.65</v>
      </c>
      <c r="S2359" s="270">
        <v>28763.1</v>
      </c>
      <c r="T2359" s="270">
        <v>30239.75</v>
      </c>
      <c r="U2359" s="271" t="s">
        <v>3945</v>
      </c>
      <c r="V2359" s="276" t="s">
        <v>936</v>
      </c>
    </row>
    <row r="2360" spans="1:22" hidden="1" x14ac:dyDescent="0.25">
      <c r="A2360" s="266">
        <v>43594</v>
      </c>
      <c r="B2360" s="267">
        <v>2019</v>
      </c>
      <c r="C2360" s="267">
        <v>2019</v>
      </c>
      <c r="D2360" s="267">
        <v>1</v>
      </c>
      <c r="E2360" s="267">
        <v>1</v>
      </c>
      <c r="F2360" s="267" t="s">
        <v>944</v>
      </c>
      <c r="G2360" s="267" t="s">
        <v>3926</v>
      </c>
      <c r="H2360" s="267" t="s">
        <v>6708</v>
      </c>
      <c r="I2360" s="267" t="s">
        <v>4250</v>
      </c>
      <c r="J2360" s="267" t="s">
        <v>3928</v>
      </c>
      <c r="K2360" s="267">
        <v>6239</v>
      </c>
      <c r="L2360" s="267">
        <v>904500</v>
      </c>
      <c r="M2360" s="267" t="s">
        <v>3940</v>
      </c>
      <c r="N2360" s="267" t="s">
        <v>3944</v>
      </c>
      <c r="O2360" s="267">
        <v>1067.26</v>
      </c>
      <c r="P2360" s="267" t="s">
        <v>3944</v>
      </c>
      <c r="Q2360" s="267" t="s">
        <v>3944</v>
      </c>
      <c r="R2360" s="267">
        <v>1067.26</v>
      </c>
      <c r="S2360" s="267">
        <v>14461.93</v>
      </c>
      <c r="T2360" s="267">
        <v>15529.19</v>
      </c>
      <c r="U2360" s="268" t="s">
        <v>3945</v>
      </c>
      <c r="V2360" s="267" t="s">
        <v>944</v>
      </c>
    </row>
    <row r="2361" spans="1:22" hidden="1" x14ac:dyDescent="0.25">
      <c r="A2361" s="269">
        <v>43594</v>
      </c>
      <c r="B2361" s="270">
        <v>2019</v>
      </c>
      <c r="C2361" s="270">
        <v>2019</v>
      </c>
      <c r="D2361" s="270">
        <v>1</v>
      </c>
      <c r="E2361" s="270">
        <v>1</v>
      </c>
      <c r="F2361" s="270" t="s">
        <v>944</v>
      </c>
      <c r="G2361" s="270" t="s">
        <v>3926</v>
      </c>
      <c r="H2361" s="270" t="s">
        <v>6709</v>
      </c>
      <c r="I2361" s="270" t="s">
        <v>4019</v>
      </c>
      <c r="J2361" s="270" t="s">
        <v>3928</v>
      </c>
      <c r="K2361" s="270">
        <v>6708</v>
      </c>
      <c r="L2361" s="270">
        <v>352000</v>
      </c>
      <c r="M2361" s="270" t="s">
        <v>3935</v>
      </c>
      <c r="N2361" s="270" t="s">
        <v>3944</v>
      </c>
      <c r="O2361" s="270">
        <v>2026.26</v>
      </c>
      <c r="P2361" s="270" t="s">
        <v>3944</v>
      </c>
      <c r="Q2361" s="270" t="s">
        <v>3944</v>
      </c>
      <c r="R2361" s="270">
        <v>2026.26</v>
      </c>
      <c r="S2361" s="270">
        <v>28638.99</v>
      </c>
      <c r="T2361" s="270">
        <v>30665.25</v>
      </c>
      <c r="U2361" s="271" t="s">
        <v>3945</v>
      </c>
      <c r="V2361" s="267" t="s">
        <v>944</v>
      </c>
    </row>
    <row r="2362" spans="1:22" hidden="1" x14ac:dyDescent="0.25">
      <c r="A2362" s="266">
        <v>43594</v>
      </c>
      <c r="B2362" s="267">
        <v>2019</v>
      </c>
      <c r="C2362" s="267">
        <v>2019</v>
      </c>
      <c r="D2362" s="267">
        <v>1</v>
      </c>
      <c r="E2362" s="267">
        <v>1</v>
      </c>
      <c r="F2362" s="267" t="s">
        <v>944</v>
      </c>
      <c r="G2362" s="267" t="s">
        <v>3926</v>
      </c>
      <c r="H2362" s="267" t="s">
        <v>6710</v>
      </c>
      <c r="I2362" s="267" t="s">
        <v>3975</v>
      </c>
      <c r="J2362" s="267" t="s">
        <v>3928</v>
      </c>
      <c r="K2362" s="267">
        <v>6489</v>
      </c>
      <c r="L2362" s="267">
        <v>430203</v>
      </c>
      <c r="M2362" s="267" t="s">
        <v>3935</v>
      </c>
      <c r="N2362" s="267" t="s">
        <v>3944</v>
      </c>
      <c r="O2362" s="267">
        <v>2287.36</v>
      </c>
      <c r="P2362" s="267" t="s">
        <v>3944</v>
      </c>
      <c r="Q2362" s="267" t="s">
        <v>3944</v>
      </c>
      <c r="R2362" s="267">
        <v>2287.36</v>
      </c>
      <c r="S2362" s="267">
        <v>31333.919999999998</v>
      </c>
      <c r="T2362" s="267">
        <v>33621.279999999999</v>
      </c>
      <c r="U2362" s="268" t="s">
        <v>3945</v>
      </c>
      <c r="V2362" s="267" t="s">
        <v>944</v>
      </c>
    </row>
    <row r="2363" spans="1:22" hidden="1" x14ac:dyDescent="0.25">
      <c r="A2363" s="269">
        <v>43594</v>
      </c>
      <c r="B2363" s="270">
        <v>2019</v>
      </c>
      <c r="C2363" s="270">
        <v>2019</v>
      </c>
      <c r="D2363" s="270">
        <v>1</v>
      </c>
      <c r="E2363" s="270">
        <v>1</v>
      </c>
      <c r="F2363" s="270" t="s">
        <v>944</v>
      </c>
      <c r="G2363" s="270" t="s">
        <v>3926</v>
      </c>
      <c r="H2363" s="270" t="s">
        <v>6711</v>
      </c>
      <c r="I2363" s="270" t="s">
        <v>3025</v>
      </c>
      <c r="J2363" s="270" t="s">
        <v>3928</v>
      </c>
      <c r="K2363" s="270">
        <v>6473</v>
      </c>
      <c r="L2363" s="270">
        <v>167300</v>
      </c>
      <c r="M2363" s="270" t="s">
        <v>3943</v>
      </c>
      <c r="N2363" s="270" t="s">
        <v>3944</v>
      </c>
      <c r="O2363" s="270">
        <v>1955.94</v>
      </c>
      <c r="P2363" s="270" t="s">
        <v>3944</v>
      </c>
      <c r="Q2363" s="270" t="s">
        <v>3944</v>
      </c>
      <c r="R2363" s="270">
        <v>1955.94</v>
      </c>
      <c r="S2363" s="270">
        <v>29295.21</v>
      </c>
      <c r="T2363" s="270">
        <v>31251.15</v>
      </c>
      <c r="U2363" s="271" t="s">
        <v>3945</v>
      </c>
      <c r="V2363" s="267" t="s">
        <v>944</v>
      </c>
    </row>
    <row r="2364" spans="1:22" hidden="1" x14ac:dyDescent="0.25">
      <c r="A2364" s="266">
        <v>43594</v>
      </c>
      <c r="B2364" s="267">
        <v>2019</v>
      </c>
      <c r="C2364" s="267">
        <v>2019</v>
      </c>
      <c r="D2364" s="267">
        <v>1</v>
      </c>
      <c r="E2364" s="267">
        <v>1</v>
      </c>
      <c r="F2364" s="267" t="s">
        <v>944</v>
      </c>
      <c r="G2364" s="267" t="s">
        <v>3926</v>
      </c>
      <c r="H2364" s="267" t="s">
        <v>6712</v>
      </c>
      <c r="I2364" s="267" t="s">
        <v>3985</v>
      </c>
      <c r="J2364" s="267" t="s">
        <v>3928</v>
      </c>
      <c r="K2364" s="267">
        <v>6280</v>
      </c>
      <c r="L2364" s="267">
        <v>800500</v>
      </c>
      <c r="M2364" s="267" t="s">
        <v>3940</v>
      </c>
      <c r="N2364" s="267" t="s">
        <v>3944</v>
      </c>
      <c r="O2364" s="267">
        <v>1209.53</v>
      </c>
      <c r="P2364" s="267" t="s">
        <v>3944</v>
      </c>
      <c r="Q2364" s="267" t="s">
        <v>3944</v>
      </c>
      <c r="R2364" s="267">
        <v>1209.53</v>
      </c>
      <c r="S2364" s="267">
        <v>16527.82</v>
      </c>
      <c r="T2364" s="267">
        <v>17737.349999999999</v>
      </c>
      <c r="U2364" s="268" t="s">
        <v>3945</v>
      </c>
      <c r="V2364" s="267" t="s">
        <v>944</v>
      </c>
    </row>
    <row r="2365" spans="1:22" hidden="1" x14ac:dyDescent="0.25">
      <c r="A2365" s="269">
        <v>43594</v>
      </c>
      <c r="B2365" s="270">
        <v>2019</v>
      </c>
      <c r="C2365" s="270">
        <v>2019</v>
      </c>
      <c r="D2365" s="270">
        <v>1</v>
      </c>
      <c r="E2365" s="270">
        <v>1</v>
      </c>
      <c r="F2365" s="270" t="s">
        <v>944</v>
      </c>
      <c r="G2365" s="270" t="s">
        <v>3926</v>
      </c>
      <c r="H2365" s="270" t="s">
        <v>6713</v>
      </c>
      <c r="I2365" s="270" t="s">
        <v>4422</v>
      </c>
      <c r="J2365" s="270" t="s">
        <v>3928</v>
      </c>
      <c r="K2365" s="270">
        <v>6801</v>
      </c>
      <c r="L2365" s="270">
        <v>200301</v>
      </c>
      <c r="M2365" s="270" t="s">
        <v>3943</v>
      </c>
      <c r="N2365" s="270" t="s">
        <v>3944</v>
      </c>
      <c r="O2365" s="270">
        <v>2840.5</v>
      </c>
      <c r="P2365" s="270" t="s">
        <v>3944</v>
      </c>
      <c r="Q2365" s="270" t="s">
        <v>3944</v>
      </c>
      <c r="R2365" s="270">
        <v>2840.5</v>
      </c>
      <c r="S2365" s="270">
        <v>41327.870000000003</v>
      </c>
      <c r="T2365" s="270">
        <v>44168.37</v>
      </c>
      <c r="U2365" s="271" t="s">
        <v>3945</v>
      </c>
      <c r="V2365" s="267" t="s">
        <v>944</v>
      </c>
    </row>
    <row r="2366" spans="1:22" hidden="1" x14ac:dyDescent="0.25">
      <c r="A2366" s="266">
        <v>43595</v>
      </c>
      <c r="B2366" s="267">
        <v>2019</v>
      </c>
      <c r="C2366" s="267">
        <v>2019</v>
      </c>
      <c r="D2366" s="267">
        <v>1</v>
      </c>
      <c r="E2366" s="267">
        <v>1</v>
      </c>
      <c r="F2366" s="267" t="s">
        <v>944</v>
      </c>
      <c r="G2366" s="267" t="s">
        <v>3926</v>
      </c>
      <c r="H2366" s="267" t="s">
        <v>6714</v>
      </c>
      <c r="I2366" s="267" t="s">
        <v>6135</v>
      </c>
      <c r="J2366" s="267" t="s">
        <v>3928</v>
      </c>
      <c r="K2366" s="267">
        <v>6492</v>
      </c>
      <c r="L2366" s="267">
        <v>175500</v>
      </c>
      <c r="M2366" s="267" t="s">
        <v>3935</v>
      </c>
      <c r="N2366" s="267" t="s">
        <v>6715</v>
      </c>
      <c r="O2366" s="267">
        <v>0</v>
      </c>
      <c r="P2366" s="267" t="s">
        <v>3930</v>
      </c>
      <c r="Q2366" s="267" t="s">
        <v>3930</v>
      </c>
      <c r="R2366" s="267">
        <v>0</v>
      </c>
      <c r="S2366" s="267">
        <v>8470</v>
      </c>
      <c r="T2366" s="267">
        <v>8470</v>
      </c>
      <c r="U2366" s="268" t="s">
        <v>3937</v>
      </c>
      <c r="V2366" s="267" t="s">
        <v>944</v>
      </c>
    </row>
    <row r="2367" spans="1:22" hidden="1" x14ac:dyDescent="0.25">
      <c r="A2367" s="269">
        <v>43595</v>
      </c>
      <c r="B2367" s="270">
        <v>2019</v>
      </c>
      <c r="C2367" s="270">
        <v>2019</v>
      </c>
      <c r="D2367" s="270">
        <v>1</v>
      </c>
      <c r="E2367" s="270">
        <v>1</v>
      </c>
      <c r="F2367" s="270" t="s">
        <v>944</v>
      </c>
      <c r="G2367" s="270" t="s">
        <v>3926</v>
      </c>
      <c r="H2367" s="270" t="s">
        <v>6716</v>
      </c>
      <c r="I2367" s="270" t="s">
        <v>4011</v>
      </c>
      <c r="J2367" s="270" t="s">
        <v>3928</v>
      </c>
      <c r="K2367" s="270">
        <v>6002</v>
      </c>
      <c r="L2367" s="270">
        <v>471200</v>
      </c>
      <c r="M2367" s="270" t="s">
        <v>3940</v>
      </c>
      <c r="N2367" s="270" t="s">
        <v>6717</v>
      </c>
      <c r="O2367" s="270">
        <v>0</v>
      </c>
      <c r="P2367" s="270" t="s">
        <v>3930</v>
      </c>
      <c r="Q2367" s="270" t="s">
        <v>3930</v>
      </c>
      <c r="R2367" s="270">
        <v>0</v>
      </c>
      <c r="S2367" s="270">
        <v>13965</v>
      </c>
      <c r="T2367" s="270">
        <v>13965</v>
      </c>
      <c r="U2367" s="271" t="s">
        <v>3937</v>
      </c>
      <c r="V2367" s="267" t="s">
        <v>944</v>
      </c>
    </row>
    <row r="2368" spans="1:22" hidden="1" x14ac:dyDescent="0.25">
      <c r="A2368" s="266">
        <v>43595</v>
      </c>
      <c r="B2368" s="267">
        <v>2019</v>
      </c>
      <c r="C2368" s="267">
        <v>2019</v>
      </c>
      <c r="D2368" s="267">
        <v>1</v>
      </c>
      <c r="E2368" s="267">
        <v>1</v>
      </c>
      <c r="F2368" s="267" t="s">
        <v>944</v>
      </c>
      <c r="G2368" s="267" t="s">
        <v>3926</v>
      </c>
      <c r="H2368" s="267" t="s">
        <v>6718</v>
      </c>
      <c r="I2368" s="267" t="s">
        <v>3011</v>
      </c>
      <c r="J2368" s="267" t="s">
        <v>3928</v>
      </c>
      <c r="K2368" s="267">
        <v>6418</v>
      </c>
      <c r="L2368" s="267">
        <v>120100</v>
      </c>
      <c r="M2368" s="267" t="s">
        <v>3940</v>
      </c>
      <c r="N2368" s="267" t="s">
        <v>6719</v>
      </c>
      <c r="O2368" s="267">
        <v>0</v>
      </c>
      <c r="P2368" s="267" t="s">
        <v>3930</v>
      </c>
      <c r="Q2368" s="267" t="s">
        <v>3930</v>
      </c>
      <c r="R2368" s="267">
        <v>0</v>
      </c>
      <c r="S2368" s="267">
        <v>15165.1</v>
      </c>
      <c r="T2368" s="267">
        <v>15165.1</v>
      </c>
      <c r="U2368" s="268" t="s">
        <v>3937</v>
      </c>
      <c r="V2368" s="267" t="s">
        <v>944</v>
      </c>
    </row>
    <row r="2369" spans="1:22" hidden="1" x14ac:dyDescent="0.25">
      <c r="A2369" s="269">
        <v>43595</v>
      </c>
      <c r="B2369" s="270">
        <v>2019</v>
      </c>
      <c r="C2369" s="270">
        <v>2019</v>
      </c>
      <c r="D2369" s="270">
        <v>1</v>
      </c>
      <c r="E2369" s="270">
        <v>1</v>
      </c>
      <c r="F2369" s="270" t="s">
        <v>944</v>
      </c>
      <c r="G2369" s="270" t="s">
        <v>3926</v>
      </c>
      <c r="H2369" s="270" t="s">
        <v>6720</v>
      </c>
      <c r="I2369" s="270" t="s">
        <v>4035</v>
      </c>
      <c r="J2369" s="270" t="s">
        <v>3928</v>
      </c>
      <c r="K2369" s="270">
        <v>6074</v>
      </c>
      <c r="L2369" s="270">
        <v>487202</v>
      </c>
      <c r="M2369" s="270" t="s">
        <v>3943</v>
      </c>
      <c r="N2369" s="270" t="s">
        <v>6721</v>
      </c>
      <c r="O2369" s="270">
        <v>0</v>
      </c>
      <c r="P2369" s="270" t="s">
        <v>3930</v>
      </c>
      <c r="Q2369" s="270" t="s">
        <v>3930</v>
      </c>
      <c r="R2369" s="270">
        <v>0</v>
      </c>
      <c r="S2369" s="270">
        <v>4300</v>
      </c>
      <c r="T2369" s="270">
        <v>4300</v>
      </c>
      <c r="U2369" s="271" t="s">
        <v>3937</v>
      </c>
      <c r="V2369" s="267" t="s">
        <v>944</v>
      </c>
    </row>
    <row r="2370" spans="1:22" hidden="1" x14ac:dyDescent="0.25">
      <c r="A2370" s="266">
        <v>43595</v>
      </c>
      <c r="B2370" s="267">
        <v>2019</v>
      </c>
      <c r="C2370" s="267">
        <v>2019</v>
      </c>
      <c r="D2370" s="267">
        <v>1</v>
      </c>
      <c r="E2370" s="267">
        <v>1</v>
      </c>
      <c r="F2370" s="267" t="s">
        <v>944</v>
      </c>
      <c r="G2370" s="267" t="s">
        <v>3926</v>
      </c>
      <c r="H2370" s="267" t="s">
        <v>6722</v>
      </c>
      <c r="I2370" s="267" t="s">
        <v>4213</v>
      </c>
      <c r="J2370" s="267" t="s">
        <v>3928</v>
      </c>
      <c r="K2370" s="267">
        <v>6053</v>
      </c>
      <c r="L2370" s="267">
        <v>417200</v>
      </c>
      <c r="M2370" s="267">
        <v>-60</v>
      </c>
      <c r="N2370" s="267" t="s">
        <v>6723</v>
      </c>
      <c r="O2370" s="267">
        <v>0</v>
      </c>
      <c r="P2370" s="267" t="s">
        <v>3930</v>
      </c>
      <c r="Q2370" s="267" t="s">
        <v>3930</v>
      </c>
      <c r="R2370" s="267">
        <v>0</v>
      </c>
      <c r="S2370" s="267">
        <v>21087</v>
      </c>
      <c r="T2370" s="267">
        <v>21087</v>
      </c>
      <c r="U2370" s="268" t="s">
        <v>3937</v>
      </c>
      <c r="V2370" s="267" t="s">
        <v>944</v>
      </c>
    </row>
    <row r="2371" spans="1:22" hidden="1" x14ac:dyDescent="0.25">
      <c r="A2371" s="269">
        <v>43595</v>
      </c>
      <c r="B2371" s="270">
        <v>2019</v>
      </c>
      <c r="C2371" s="270">
        <v>2019</v>
      </c>
      <c r="D2371" s="270">
        <v>1</v>
      </c>
      <c r="E2371" s="270">
        <v>1</v>
      </c>
      <c r="F2371" s="270" t="s">
        <v>944</v>
      </c>
      <c r="G2371" s="270" t="s">
        <v>3926</v>
      </c>
      <c r="H2371" s="270" t="s">
        <v>6724</v>
      </c>
      <c r="I2371" s="270" t="s">
        <v>3939</v>
      </c>
      <c r="J2371" s="270" t="s">
        <v>3928</v>
      </c>
      <c r="K2371" s="270">
        <v>6512</v>
      </c>
      <c r="L2371" s="270">
        <v>180100</v>
      </c>
      <c r="M2371" s="270" t="s">
        <v>3940</v>
      </c>
      <c r="N2371" s="270" t="s">
        <v>5607</v>
      </c>
      <c r="O2371" s="270">
        <v>1328.36</v>
      </c>
      <c r="P2371" s="270" t="s">
        <v>3930</v>
      </c>
      <c r="Q2371" s="270" t="s">
        <v>3931</v>
      </c>
      <c r="R2371" s="270">
        <v>6328.36</v>
      </c>
      <c r="S2371" s="270">
        <v>17190.400000000001</v>
      </c>
      <c r="T2371" s="270">
        <v>23518.76</v>
      </c>
      <c r="U2371" s="271" t="s">
        <v>3932</v>
      </c>
      <c r="V2371" s="267" t="s">
        <v>944</v>
      </c>
    </row>
    <row r="2372" spans="1:22" x14ac:dyDescent="0.25">
      <c r="A2372" s="266">
        <v>43595</v>
      </c>
      <c r="B2372" s="267">
        <v>2019</v>
      </c>
      <c r="C2372" s="267">
        <v>2019</v>
      </c>
      <c r="D2372" s="267">
        <v>1</v>
      </c>
      <c r="E2372" s="267">
        <v>1</v>
      </c>
      <c r="F2372" s="267" t="s">
        <v>944</v>
      </c>
      <c r="G2372" s="267" t="s">
        <v>3926</v>
      </c>
      <c r="H2372" s="267" t="s">
        <v>6725</v>
      </c>
      <c r="I2372" s="267" t="s">
        <v>934</v>
      </c>
      <c r="J2372" s="267" t="s">
        <v>3928</v>
      </c>
      <c r="K2372" s="267">
        <v>6605</v>
      </c>
      <c r="L2372" s="267">
        <v>71200</v>
      </c>
      <c r="M2372" s="267">
        <v>-60</v>
      </c>
      <c r="N2372" s="267" t="s">
        <v>6726</v>
      </c>
      <c r="O2372" s="267">
        <v>0</v>
      </c>
      <c r="P2372" s="267" t="s">
        <v>3930</v>
      </c>
      <c r="Q2372" s="267" t="s">
        <v>3931</v>
      </c>
      <c r="R2372" s="267">
        <v>5000</v>
      </c>
      <c r="S2372" s="267">
        <v>17134</v>
      </c>
      <c r="T2372" s="267">
        <v>22134</v>
      </c>
      <c r="U2372" s="268" t="s">
        <v>3932</v>
      </c>
      <c r="V2372" s="276" t="s">
        <v>936</v>
      </c>
    </row>
    <row r="2373" spans="1:22" hidden="1" x14ac:dyDescent="0.25">
      <c r="A2373" s="269">
        <v>43595</v>
      </c>
      <c r="B2373" s="270">
        <v>2019</v>
      </c>
      <c r="C2373" s="270">
        <v>2019</v>
      </c>
      <c r="D2373" s="270">
        <v>1</v>
      </c>
      <c r="E2373" s="270">
        <v>1</v>
      </c>
      <c r="F2373" s="270" t="s">
        <v>944</v>
      </c>
      <c r="G2373" s="270" t="s">
        <v>3926</v>
      </c>
      <c r="H2373" s="270" t="s">
        <v>6727</v>
      </c>
      <c r="I2373" s="270" t="s">
        <v>4111</v>
      </c>
      <c r="J2373" s="270" t="s">
        <v>3928</v>
      </c>
      <c r="K2373" s="270">
        <v>6095</v>
      </c>
      <c r="L2373" s="270">
        <v>473501</v>
      </c>
      <c r="M2373" s="270" t="s">
        <v>3943</v>
      </c>
      <c r="N2373" s="270" t="s">
        <v>6006</v>
      </c>
      <c r="O2373" s="270">
        <v>0</v>
      </c>
      <c r="P2373" s="270" t="s">
        <v>3930</v>
      </c>
      <c r="Q2373" s="270" t="s">
        <v>3930</v>
      </c>
      <c r="R2373" s="270">
        <v>0</v>
      </c>
      <c r="S2373" s="270">
        <v>8900</v>
      </c>
      <c r="T2373" s="270">
        <v>8900</v>
      </c>
      <c r="U2373" s="271" t="s">
        <v>3937</v>
      </c>
      <c r="V2373" s="267" t="s">
        <v>944</v>
      </c>
    </row>
    <row r="2374" spans="1:22" hidden="1" x14ac:dyDescent="0.25">
      <c r="A2374" s="266">
        <v>43595</v>
      </c>
      <c r="B2374" s="267">
        <v>2019</v>
      </c>
      <c r="C2374" s="267">
        <v>2019</v>
      </c>
      <c r="D2374" s="267">
        <v>1</v>
      </c>
      <c r="E2374" s="267">
        <v>1</v>
      </c>
      <c r="F2374" s="267" t="s">
        <v>944</v>
      </c>
      <c r="G2374" s="267" t="s">
        <v>3926</v>
      </c>
      <c r="H2374" s="267" t="s">
        <v>6728</v>
      </c>
      <c r="I2374" s="267" t="s">
        <v>6268</v>
      </c>
      <c r="J2374" s="267" t="s">
        <v>3928</v>
      </c>
      <c r="K2374" s="267">
        <v>6371</v>
      </c>
      <c r="L2374" s="267">
        <v>660102</v>
      </c>
      <c r="M2374" s="267" t="s">
        <v>3960</v>
      </c>
      <c r="N2374" s="267" t="s">
        <v>6729</v>
      </c>
      <c r="O2374" s="267">
        <v>0</v>
      </c>
      <c r="P2374" s="267" t="s">
        <v>3930</v>
      </c>
      <c r="Q2374" s="267" t="s">
        <v>3930</v>
      </c>
      <c r="R2374" s="267">
        <v>0</v>
      </c>
      <c r="S2374" s="267">
        <v>6838</v>
      </c>
      <c r="T2374" s="267">
        <v>6838</v>
      </c>
      <c r="U2374" s="268" t="s">
        <v>3937</v>
      </c>
      <c r="V2374" s="267" t="s">
        <v>944</v>
      </c>
    </row>
    <row r="2375" spans="1:22" x14ac:dyDescent="0.25">
      <c r="A2375" s="269">
        <v>43595</v>
      </c>
      <c r="B2375" s="270">
        <v>2019</v>
      </c>
      <c r="C2375" s="270">
        <v>2019</v>
      </c>
      <c r="D2375" s="270">
        <v>1</v>
      </c>
      <c r="E2375" s="270">
        <v>1</v>
      </c>
      <c r="F2375" s="270" t="s">
        <v>944</v>
      </c>
      <c r="G2375" s="270" t="s">
        <v>3926</v>
      </c>
      <c r="H2375" s="270" t="s">
        <v>6730</v>
      </c>
      <c r="I2375" s="270" t="s">
        <v>934</v>
      </c>
      <c r="J2375" s="270" t="s">
        <v>3928</v>
      </c>
      <c r="K2375" s="270">
        <v>6604</v>
      </c>
      <c r="L2375" s="270">
        <v>71300</v>
      </c>
      <c r="M2375" s="270">
        <v>-60</v>
      </c>
      <c r="N2375" s="270" t="s">
        <v>3944</v>
      </c>
      <c r="O2375" s="270">
        <v>1186.29</v>
      </c>
      <c r="P2375" s="270" t="s">
        <v>3944</v>
      </c>
      <c r="Q2375" s="270" t="s">
        <v>3944</v>
      </c>
      <c r="R2375" s="270">
        <v>1186.29</v>
      </c>
      <c r="S2375" s="270">
        <v>8929.7099999999991</v>
      </c>
      <c r="T2375" s="270">
        <v>10116</v>
      </c>
      <c r="U2375" s="271" t="s">
        <v>3945</v>
      </c>
      <c r="V2375" s="276" t="s">
        <v>936</v>
      </c>
    </row>
    <row r="2376" spans="1:22" hidden="1" x14ac:dyDescent="0.25">
      <c r="A2376" s="266">
        <v>43595</v>
      </c>
      <c r="B2376" s="267">
        <v>2019</v>
      </c>
      <c r="C2376" s="267">
        <v>2019</v>
      </c>
      <c r="D2376" s="267">
        <v>1</v>
      </c>
      <c r="E2376" s="267">
        <v>1</v>
      </c>
      <c r="F2376" s="267" t="s">
        <v>944</v>
      </c>
      <c r="G2376" s="267" t="s">
        <v>3926</v>
      </c>
      <c r="H2376" s="267" t="s">
        <v>6731</v>
      </c>
      <c r="I2376" s="267" t="s">
        <v>4040</v>
      </c>
      <c r="J2376" s="267" t="s">
        <v>3928</v>
      </c>
      <c r="K2376" s="267">
        <v>6335</v>
      </c>
      <c r="L2376" s="267">
        <v>701200</v>
      </c>
      <c r="M2376" s="267" t="s">
        <v>3960</v>
      </c>
      <c r="N2376" s="267" t="s">
        <v>3944</v>
      </c>
      <c r="O2376" s="267">
        <v>1262.8399999999999</v>
      </c>
      <c r="P2376" s="267" t="s">
        <v>3944</v>
      </c>
      <c r="Q2376" s="267" t="s">
        <v>3944</v>
      </c>
      <c r="R2376" s="267">
        <v>1262.8399999999999</v>
      </c>
      <c r="S2376" s="267">
        <v>20027.099999999999</v>
      </c>
      <c r="T2376" s="267">
        <v>21289.94</v>
      </c>
      <c r="U2376" s="268" t="s">
        <v>3945</v>
      </c>
      <c r="V2376" s="267" t="s">
        <v>944</v>
      </c>
    </row>
    <row r="2377" spans="1:22" hidden="1" x14ac:dyDescent="0.25">
      <c r="A2377" s="269">
        <v>43595</v>
      </c>
      <c r="B2377" s="270">
        <v>2019</v>
      </c>
      <c r="C2377" s="270">
        <v>2019</v>
      </c>
      <c r="D2377" s="270">
        <v>1</v>
      </c>
      <c r="E2377" s="270">
        <v>1</v>
      </c>
      <c r="F2377" s="270" t="s">
        <v>944</v>
      </c>
      <c r="G2377" s="270" t="s">
        <v>3926</v>
      </c>
      <c r="H2377" s="270" t="s">
        <v>6732</v>
      </c>
      <c r="I2377" s="270" t="s">
        <v>3966</v>
      </c>
      <c r="J2377" s="270" t="s">
        <v>3928</v>
      </c>
      <c r="K2377" s="270">
        <v>6010</v>
      </c>
      <c r="L2377" s="270">
        <v>405500</v>
      </c>
      <c r="M2377" s="270" t="s">
        <v>3935</v>
      </c>
      <c r="N2377" s="270" t="s">
        <v>3944</v>
      </c>
      <c r="O2377" s="270">
        <v>1432.27</v>
      </c>
      <c r="P2377" s="270" t="s">
        <v>3944</v>
      </c>
      <c r="Q2377" s="270" t="s">
        <v>3944</v>
      </c>
      <c r="R2377" s="270">
        <v>1432.27</v>
      </c>
      <c r="S2377" s="270">
        <v>18740.48</v>
      </c>
      <c r="T2377" s="270">
        <v>20172.75</v>
      </c>
      <c r="U2377" s="271" t="s">
        <v>3945</v>
      </c>
      <c r="V2377" s="267" t="s">
        <v>944</v>
      </c>
    </row>
    <row r="2378" spans="1:22" hidden="1" x14ac:dyDescent="0.25">
      <c r="A2378" s="266">
        <v>43595</v>
      </c>
      <c r="B2378" s="267">
        <v>2019</v>
      </c>
      <c r="C2378" s="267">
        <v>2019</v>
      </c>
      <c r="D2378" s="267">
        <v>1</v>
      </c>
      <c r="E2378" s="267">
        <v>1</v>
      </c>
      <c r="F2378" s="267" t="s">
        <v>944</v>
      </c>
      <c r="G2378" s="267" t="s">
        <v>3926</v>
      </c>
      <c r="H2378" s="267" t="s">
        <v>6733</v>
      </c>
      <c r="I2378" s="267" t="s">
        <v>4695</v>
      </c>
      <c r="J2378" s="267" t="s">
        <v>3928</v>
      </c>
      <c r="K2378" s="267">
        <v>6234</v>
      </c>
      <c r="L2378" s="267">
        <v>905100</v>
      </c>
      <c r="M2378" s="267" t="s">
        <v>3935</v>
      </c>
      <c r="N2378" s="267" t="s">
        <v>3944</v>
      </c>
      <c r="O2378" s="267">
        <v>1500.52</v>
      </c>
      <c r="P2378" s="267" t="s">
        <v>3944</v>
      </c>
      <c r="Q2378" s="267" t="s">
        <v>3944</v>
      </c>
      <c r="R2378" s="267">
        <v>1500.52</v>
      </c>
      <c r="S2378" s="267">
        <v>23733.759999999998</v>
      </c>
      <c r="T2378" s="267">
        <v>25234.28</v>
      </c>
      <c r="U2378" s="268" t="s">
        <v>3945</v>
      </c>
      <c r="V2378" s="267" t="s">
        <v>944</v>
      </c>
    </row>
    <row r="2379" spans="1:22" hidden="1" x14ac:dyDescent="0.25">
      <c r="A2379" s="269">
        <v>43596</v>
      </c>
      <c r="B2379" s="270">
        <v>2019</v>
      </c>
      <c r="C2379" s="270">
        <v>2019</v>
      </c>
      <c r="D2379" s="270">
        <v>1</v>
      </c>
      <c r="E2379" s="270">
        <v>1</v>
      </c>
      <c r="F2379" s="270" t="s">
        <v>944</v>
      </c>
      <c r="G2379" s="270" t="s">
        <v>3926</v>
      </c>
      <c r="H2379" s="270" t="s">
        <v>6734</v>
      </c>
      <c r="I2379" s="270" t="s">
        <v>3956</v>
      </c>
      <c r="J2379" s="270" t="s">
        <v>3928</v>
      </c>
      <c r="K2379" s="270">
        <v>6112</v>
      </c>
      <c r="L2379" s="270">
        <v>501400</v>
      </c>
      <c r="M2379" s="270">
        <v>-60</v>
      </c>
      <c r="N2379" s="270" t="s">
        <v>4103</v>
      </c>
      <c r="O2379" s="270">
        <v>1648.62</v>
      </c>
      <c r="P2379" s="270" t="s">
        <v>3930</v>
      </c>
      <c r="Q2379" s="270" t="s">
        <v>3931</v>
      </c>
      <c r="R2379" s="270">
        <v>6648.62</v>
      </c>
      <c r="S2379" s="270">
        <v>24145.599999999999</v>
      </c>
      <c r="T2379" s="270">
        <v>30794.22</v>
      </c>
      <c r="U2379" s="271" t="s">
        <v>3932</v>
      </c>
      <c r="V2379" s="267" t="s">
        <v>944</v>
      </c>
    </row>
    <row r="2380" spans="1:22" hidden="1" x14ac:dyDescent="0.25">
      <c r="A2380" s="266">
        <v>43596</v>
      </c>
      <c r="B2380" s="267">
        <v>2019</v>
      </c>
      <c r="C2380" s="267">
        <v>2019</v>
      </c>
      <c r="D2380" s="267">
        <v>1</v>
      </c>
      <c r="E2380" s="267">
        <v>1</v>
      </c>
      <c r="F2380" s="267" t="s">
        <v>944</v>
      </c>
      <c r="G2380" s="267" t="s">
        <v>3926</v>
      </c>
      <c r="H2380" s="267" t="s">
        <v>6735</v>
      </c>
      <c r="I2380" s="267" t="s">
        <v>3999</v>
      </c>
      <c r="J2380" s="267" t="s">
        <v>3928</v>
      </c>
      <c r="K2380" s="267">
        <v>6450</v>
      </c>
      <c r="L2380" s="267">
        <v>171100</v>
      </c>
      <c r="M2380" s="267" t="s">
        <v>3940</v>
      </c>
      <c r="N2380" s="267" t="s">
        <v>5489</v>
      </c>
      <c r="O2380" s="267">
        <v>3219.03</v>
      </c>
      <c r="P2380" s="267" t="s">
        <v>3930</v>
      </c>
      <c r="Q2380" s="267" t="s">
        <v>3931</v>
      </c>
      <c r="R2380" s="267">
        <v>8219.0300000000007</v>
      </c>
      <c r="S2380" s="267">
        <v>16817.8</v>
      </c>
      <c r="T2380" s="267">
        <v>25036.83</v>
      </c>
      <c r="U2380" s="268" t="s">
        <v>3932</v>
      </c>
      <c r="V2380" s="267" t="s">
        <v>944</v>
      </c>
    </row>
    <row r="2381" spans="1:22" hidden="1" x14ac:dyDescent="0.25">
      <c r="A2381" s="269">
        <v>43596</v>
      </c>
      <c r="B2381" s="270">
        <v>2019</v>
      </c>
      <c r="C2381" s="270">
        <v>2019</v>
      </c>
      <c r="D2381" s="270">
        <v>1</v>
      </c>
      <c r="E2381" s="270">
        <v>1</v>
      </c>
      <c r="F2381" s="270" t="s">
        <v>944</v>
      </c>
      <c r="G2381" s="270" t="s">
        <v>3926</v>
      </c>
      <c r="H2381" s="270" t="s">
        <v>6736</v>
      </c>
      <c r="I2381" s="270" t="s">
        <v>6209</v>
      </c>
      <c r="J2381" s="270" t="s">
        <v>3928</v>
      </c>
      <c r="K2381" s="270">
        <v>6403</v>
      </c>
      <c r="L2381" s="270">
        <v>341100</v>
      </c>
      <c r="M2381" s="270" t="s">
        <v>3935</v>
      </c>
      <c r="N2381" s="270" t="s">
        <v>6737</v>
      </c>
      <c r="O2381" s="270">
        <v>1979.39</v>
      </c>
      <c r="P2381" s="270" t="s">
        <v>3930</v>
      </c>
      <c r="Q2381" s="270" t="s">
        <v>3931</v>
      </c>
      <c r="R2381" s="270">
        <v>6979.39</v>
      </c>
      <c r="S2381" s="270">
        <v>35158</v>
      </c>
      <c r="T2381" s="270">
        <v>42137.39</v>
      </c>
      <c r="U2381" s="271" t="s">
        <v>3932</v>
      </c>
      <c r="V2381" s="267" t="s">
        <v>944</v>
      </c>
    </row>
    <row r="2382" spans="1:22" hidden="1" x14ac:dyDescent="0.25">
      <c r="A2382" s="266">
        <v>43596</v>
      </c>
      <c r="B2382" s="267">
        <v>2019</v>
      </c>
      <c r="C2382" s="267">
        <v>2019</v>
      </c>
      <c r="D2382" s="267">
        <v>1</v>
      </c>
      <c r="E2382" s="267">
        <v>1</v>
      </c>
      <c r="F2382" s="267" t="s">
        <v>944</v>
      </c>
      <c r="G2382" s="267" t="s">
        <v>3926</v>
      </c>
      <c r="H2382" s="267" t="s">
        <v>6738</v>
      </c>
      <c r="I2382" s="267" t="s">
        <v>934</v>
      </c>
      <c r="J2382" s="267" t="s">
        <v>3928</v>
      </c>
      <c r="K2382" s="267">
        <v>6606</v>
      </c>
      <c r="L2382" s="267">
        <v>72700</v>
      </c>
      <c r="M2382" s="267" t="s">
        <v>3935</v>
      </c>
      <c r="N2382" s="267" t="s">
        <v>3929</v>
      </c>
      <c r="O2382" s="267">
        <v>2113.79</v>
      </c>
      <c r="P2382" s="267" t="s">
        <v>3930</v>
      </c>
      <c r="Q2382" s="267" t="s">
        <v>3931</v>
      </c>
      <c r="R2382" s="267">
        <v>7113.79</v>
      </c>
      <c r="S2382" s="267">
        <v>34744</v>
      </c>
      <c r="T2382" s="267">
        <v>41857.79</v>
      </c>
      <c r="U2382" s="268" t="s">
        <v>3932</v>
      </c>
      <c r="V2382" s="267" t="s">
        <v>944</v>
      </c>
    </row>
    <row r="2383" spans="1:22" hidden="1" x14ac:dyDescent="0.25">
      <c r="A2383" s="269">
        <v>43597</v>
      </c>
      <c r="B2383" s="270">
        <v>2019</v>
      </c>
      <c r="C2383" s="270">
        <v>2019</v>
      </c>
      <c r="D2383" s="270">
        <v>1</v>
      </c>
      <c r="E2383" s="270">
        <v>1</v>
      </c>
      <c r="F2383" s="270" t="s">
        <v>944</v>
      </c>
      <c r="G2383" s="270" t="s">
        <v>3926</v>
      </c>
      <c r="H2383" s="270" t="s">
        <v>6739</v>
      </c>
      <c r="I2383" s="270" t="s">
        <v>6565</v>
      </c>
      <c r="J2383" s="270" t="s">
        <v>3928</v>
      </c>
      <c r="K2383" s="270">
        <v>6098</v>
      </c>
      <c r="L2383" s="270">
        <v>293100</v>
      </c>
      <c r="M2383" s="270" t="s">
        <v>3960</v>
      </c>
      <c r="N2383" s="270" t="s">
        <v>4714</v>
      </c>
      <c r="O2383" s="270">
        <v>1962.8</v>
      </c>
      <c r="P2383" s="270" t="s">
        <v>3930</v>
      </c>
      <c r="Q2383" s="270" t="s">
        <v>3931</v>
      </c>
      <c r="R2383" s="270">
        <v>6962.8</v>
      </c>
      <c r="S2383" s="270">
        <v>24518.2</v>
      </c>
      <c r="T2383" s="270">
        <v>31481</v>
      </c>
      <c r="U2383" s="271" t="s">
        <v>3932</v>
      </c>
      <c r="V2383" s="267" t="s">
        <v>944</v>
      </c>
    </row>
    <row r="2384" spans="1:22" hidden="1" x14ac:dyDescent="0.25">
      <c r="A2384" s="266">
        <v>43597</v>
      </c>
      <c r="B2384" s="267">
        <v>2019</v>
      </c>
      <c r="C2384" s="267">
        <v>2019</v>
      </c>
      <c r="D2384" s="267">
        <v>1</v>
      </c>
      <c r="E2384" s="267">
        <v>1</v>
      </c>
      <c r="F2384" s="267" t="s">
        <v>944</v>
      </c>
      <c r="G2384" s="267" t="s">
        <v>3926</v>
      </c>
      <c r="H2384" s="267" t="s">
        <v>6740</v>
      </c>
      <c r="I2384" s="267" t="s">
        <v>4011</v>
      </c>
      <c r="J2384" s="267" t="s">
        <v>3928</v>
      </c>
      <c r="K2384" s="267">
        <v>6002</v>
      </c>
      <c r="L2384" s="267">
        <v>471100</v>
      </c>
      <c r="M2384" s="267" t="s">
        <v>3935</v>
      </c>
      <c r="N2384" s="267" t="s">
        <v>3944</v>
      </c>
      <c r="O2384" s="267">
        <v>1439</v>
      </c>
      <c r="P2384" s="267" t="s">
        <v>3944</v>
      </c>
      <c r="Q2384" s="267" t="s">
        <v>3944</v>
      </c>
      <c r="R2384" s="267">
        <v>1439</v>
      </c>
      <c r="S2384" s="267">
        <v>20737</v>
      </c>
      <c r="T2384" s="267">
        <v>22176</v>
      </c>
      <c r="U2384" s="268" t="s">
        <v>3945</v>
      </c>
      <c r="V2384" s="267" t="s">
        <v>944</v>
      </c>
    </row>
    <row r="2385" spans="1:22" hidden="1" x14ac:dyDescent="0.25">
      <c r="A2385" s="269">
        <v>43597</v>
      </c>
      <c r="B2385" s="270">
        <v>2019</v>
      </c>
      <c r="C2385" s="270">
        <v>2019</v>
      </c>
      <c r="D2385" s="270">
        <v>1</v>
      </c>
      <c r="E2385" s="270">
        <v>1</v>
      </c>
      <c r="F2385" s="270" t="s">
        <v>944</v>
      </c>
      <c r="G2385" s="270" t="s">
        <v>3926</v>
      </c>
      <c r="H2385" s="270" t="s">
        <v>6741</v>
      </c>
      <c r="I2385" s="270" t="s">
        <v>4040</v>
      </c>
      <c r="J2385" s="270" t="s">
        <v>3928</v>
      </c>
      <c r="K2385" s="270">
        <v>6335</v>
      </c>
      <c r="L2385" s="270">
        <v>701200</v>
      </c>
      <c r="M2385" s="270" t="s">
        <v>3960</v>
      </c>
      <c r="N2385" s="270" t="s">
        <v>3944</v>
      </c>
      <c r="O2385" s="270">
        <v>1624.11</v>
      </c>
      <c r="P2385" s="270" t="s">
        <v>3944</v>
      </c>
      <c r="Q2385" s="270" t="s">
        <v>3944</v>
      </c>
      <c r="R2385" s="270">
        <v>1624.11</v>
      </c>
      <c r="S2385" s="270">
        <v>16843</v>
      </c>
      <c r="T2385" s="270">
        <v>18467.11</v>
      </c>
      <c r="U2385" s="271" t="s">
        <v>3945</v>
      </c>
      <c r="V2385" s="267" t="s">
        <v>944</v>
      </c>
    </row>
    <row r="2386" spans="1:22" hidden="1" x14ac:dyDescent="0.25">
      <c r="A2386" s="266">
        <v>43597</v>
      </c>
      <c r="B2386" s="267">
        <v>2019</v>
      </c>
      <c r="C2386" s="267">
        <v>2019</v>
      </c>
      <c r="D2386" s="267">
        <v>1</v>
      </c>
      <c r="E2386" s="267">
        <v>1</v>
      </c>
      <c r="F2386" s="267" t="s">
        <v>944</v>
      </c>
      <c r="G2386" s="267" t="s">
        <v>3926</v>
      </c>
      <c r="H2386" s="267" t="s">
        <v>6742</v>
      </c>
      <c r="I2386" s="267" t="s">
        <v>4069</v>
      </c>
      <c r="J2386" s="267" t="s">
        <v>3928</v>
      </c>
      <c r="K2386" s="267">
        <v>6902</v>
      </c>
      <c r="L2386" s="267">
        <v>21200</v>
      </c>
      <c r="M2386" s="267" t="s">
        <v>3943</v>
      </c>
      <c r="N2386" s="267" t="s">
        <v>3944</v>
      </c>
      <c r="O2386" s="267">
        <v>2004.28</v>
      </c>
      <c r="P2386" s="267" t="s">
        <v>3944</v>
      </c>
      <c r="Q2386" s="267" t="s">
        <v>3944</v>
      </c>
      <c r="R2386" s="267">
        <v>2004.28</v>
      </c>
      <c r="S2386" s="267">
        <v>16891</v>
      </c>
      <c r="T2386" s="267">
        <v>18895.28</v>
      </c>
      <c r="U2386" s="268" t="s">
        <v>3945</v>
      </c>
      <c r="V2386" s="267" t="s">
        <v>944</v>
      </c>
    </row>
    <row r="2387" spans="1:22" hidden="1" x14ac:dyDescent="0.25">
      <c r="A2387" s="269">
        <v>43597</v>
      </c>
      <c r="B2387" s="270">
        <v>2019</v>
      </c>
      <c r="C2387" s="270">
        <v>2019</v>
      </c>
      <c r="D2387" s="270">
        <v>1</v>
      </c>
      <c r="E2387" s="270">
        <v>1</v>
      </c>
      <c r="F2387" s="270" t="s">
        <v>944</v>
      </c>
      <c r="G2387" s="270" t="s">
        <v>3926</v>
      </c>
      <c r="H2387" s="270" t="s">
        <v>6743</v>
      </c>
      <c r="I2387" s="270" t="s">
        <v>4323</v>
      </c>
      <c r="J2387" s="270" t="s">
        <v>3928</v>
      </c>
      <c r="K2387" s="270">
        <v>6385</v>
      </c>
      <c r="L2387" s="270">
        <v>693300</v>
      </c>
      <c r="M2387" s="270" t="s">
        <v>3935</v>
      </c>
      <c r="N2387" s="270" t="s">
        <v>3944</v>
      </c>
      <c r="O2387" s="270">
        <v>2313.29</v>
      </c>
      <c r="P2387" s="270" t="s">
        <v>3944</v>
      </c>
      <c r="Q2387" s="270" t="s">
        <v>3944</v>
      </c>
      <c r="R2387" s="270">
        <v>2313.29</v>
      </c>
      <c r="S2387" s="270">
        <v>23167.71</v>
      </c>
      <c r="T2387" s="270">
        <v>25481</v>
      </c>
      <c r="U2387" s="271" t="s">
        <v>3945</v>
      </c>
      <c r="V2387" s="267" t="s">
        <v>944</v>
      </c>
    </row>
    <row r="2388" spans="1:22" hidden="1" x14ac:dyDescent="0.25">
      <c r="A2388" s="266">
        <v>43597</v>
      </c>
      <c r="B2388" s="267">
        <v>2019</v>
      </c>
      <c r="C2388" s="267">
        <v>2019</v>
      </c>
      <c r="D2388" s="267">
        <v>1</v>
      </c>
      <c r="E2388" s="267">
        <v>1</v>
      </c>
      <c r="F2388" s="267" t="s">
        <v>944</v>
      </c>
      <c r="G2388" s="267" t="s">
        <v>3926</v>
      </c>
      <c r="H2388" s="267" t="s">
        <v>6744</v>
      </c>
      <c r="I2388" s="267" t="s">
        <v>956</v>
      </c>
      <c r="J2388" s="267" t="s">
        <v>3928</v>
      </c>
      <c r="K2388" s="267">
        <v>6614</v>
      </c>
      <c r="L2388" s="267">
        <v>81200</v>
      </c>
      <c r="M2388" s="267" t="s">
        <v>3943</v>
      </c>
      <c r="N2388" s="267" t="s">
        <v>3944</v>
      </c>
      <c r="O2388" s="267">
        <v>1835.05</v>
      </c>
      <c r="P2388" s="267" t="s">
        <v>3944</v>
      </c>
      <c r="Q2388" s="267" t="s">
        <v>3944</v>
      </c>
      <c r="R2388" s="267">
        <v>1835.05</v>
      </c>
      <c r="S2388" s="267">
        <v>19213.95</v>
      </c>
      <c r="T2388" s="267">
        <v>21049</v>
      </c>
      <c r="U2388" s="268" t="s">
        <v>3945</v>
      </c>
      <c r="V2388" s="267" t="s">
        <v>944</v>
      </c>
    </row>
    <row r="2389" spans="1:22" hidden="1" x14ac:dyDescent="0.25">
      <c r="A2389" s="269">
        <v>43597</v>
      </c>
      <c r="B2389" s="270">
        <v>2019</v>
      </c>
      <c r="C2389" s="270">
        <v>2019</v>
      </c>
      <c r="D2389" s="270">
        <v>1</v>
      </c>
      <c r="E2389" s="270">
        <v>1</v>
      </c>
      <c r="F2389" s="270" t="s">
        <v>944</v>
      </c>
      <c r="G2389" s="270" t="s">
        <v>3926</v>
      </c>
      <c r="H2389" s="270" t="s">
        <v>6745</v>
      </c>
      <c r="I2389" s="270" t="s">
        <v>3025</v>
      </c>
      <c r="J2389" s="270" t="s">
        <v>3928</v>
      </c>
      <c r="K2389" s="270">
        <v>6473</v>
      </c>
      <c r="L2389" s="270">
        <v>167300</v>
      </c>
      <c r="M2389" s="270" t="s">
        <v>3943</v>
      </c>
      <c r="N2389" s="270" t="s">
        <v>3944</v>
      </c>
      <c r="O2389" s="270">
        <v>2073.12</v>
      </c>
      <c r="P2389" s="270" t="s">
        <v>3944</v>
      </c>
      <c r="Q2389" s="270" t="s">
        <v>3944</v>
      </c>
      <c r="R2389" s="270">
        <v>2073.12</v>
      </c>
      <c r="S2389" s="270">
        <v>29178.03</v>
      </c>
      <c r="T2389" s="270">
        <v>31251.15</v>
      </c>
      <c r="U2389" s="271" t="s">
        <v>3945</v>
      </c>
      <c r="V2389" s="267" t="s">
        <v>944</v>
      </c>
    </row>
    <row r="2390" spans="1:22" hidden="1" x14ac:dyDescent="0.25">
      <c r="A2390" s="266">
        <v>43597</v>
      </c>
      <c r="B2390" s="267">
        <v>2019</v>
      </c>
      <c r="C2390" s="267">
        <v>2019</v>
      </c>
      <c r="D2390" s="267">
        <v>1</v>
      </c>
      <c r="E2390" s="267">
        <v>1</v>
      </c>
      <c r="F2390" s="267" t="s">
        <v>944</v>
      </c>
      <c r="G2390" s="267" t="s">
        <v>3926</v>
      </c>
      <c r="H2390" s="267" t="s">
        <v>6746</v>
      </c>
      <c r="I2390" s="267" t="s">
        <v>953</v>
      </c>
      <c r="J2390" s="267" t="s">
        <v>3928</v>
      </c>
      <c r="K2390" s="267">
        <v>6518</v>
      </c>
      <c r="L2390" s="267">
        <v>166002</v>
      </c>
      <c r="M2390" s="267" t="s">
        <v>3960</v>
      </c>
      <c r="N2390" s="267" t="s">
        <v>3944</v>
      </c>
      <c r="O2390" s="267">
        <v>1416.73</v>
      </c>
      <c r="P2390" s="267" t="s">
        <v>3944</v>
      </c>
      <c r="Q2390" s="267" t="s">
        <v>3944</v>
      </c>
      <c r="R2390" s="267">
        <v>1416.73</v>
      </c>
      <c r="S2390" s="267">
        <v>14496.27</v>
      </c>
      <c r="T2390" s="267">
        <v>15913</v>
      </c>
      <c r="U2390" s="268" t="s">
        <v>3945</v>
      </c>
      <c r="V2390" s="267" t="s">
        <v>944</v>
      </c>
    </row>
    <row r="2391" spans="1:22" hidden="1" x14ac:dyDescent="0.25">
      <c r="A2391" s="269">
        <v>43597</v>
      </c>
      <c r="B2391" s="270">
        <v>2019</v>
      </c>
      <c r="C2391" s="270">
        <v>2019</v>
      </c>
      <c r="D2391" s="270">
        <v>1</v>
      </c>
      <c r="E2391" s="270">
        <v>1</v>
      </c>
      <c r="F2391" s="270" t="s">
        <v>944</v>
      </c>
      <c r="G2391" s="270" t="s">
        <v>3926</v>
      </c>
      <c r="H2391" s="270" t="s">
        <v>6747</v>
      </c>
      <c r="I2391" s="270" t="s">
        <v>4003</v>
      </c>
      <c r="J2391" s="270" t="s">
        <v>3928</v>
      </c>
      <c r="K2391" s="270">
        <v>6239</v>
      </c>
      <c r="L2391" s="270">
        <v>907100</v>
      </c>
      <c r="M2391" s="270" t="s">
        <v>3935</v>
      </c>
      <c r="N2391" s="270" t="s">
        <v>3944</v>
      </c>
      <c r="O2391" s="270">
        <v>2462.2199999999998</v>
      </c>
      <c r="P2391" s="270" t="s">
        <v>3944</v>
      </c>
      <c r="Q2391" s="270" t="s">
        <v>3944</v>
      </c>
      <c r="R2391" s="270">
        <v>2462.2199999999998</v>
      </c>
      <c r="S2391" s="270">
        <v>18579.78</v>
      </c>
      <c r="T2391" s="270">
        <v>21042</v>
      </c>
      <c r="U2391" s="271" t="s">
        <v>3945</v>
      </c>
      <c r="V2391" s="267" t="s">
        <v>944</v>
      </c>
    </row>
    <row r="2392" spans="1:22" hidden="1" x14ac:dyDescent="0.25">
      <c r="A2392" s="266">
        <v>43597</v>
      </c>
      <c r="B2392" s="267">
        <v>2019</v>
      </c>
      <c r="C2392" s="267">
        <v>2019</v>
      </c>
      <c r="D2392" s="267">
        <v>1</v>
      </c>
      <c r="E2392" s="267">
        <v>1</v>
      </c>
      <c r="F2392" s="267" t="s">
        <v>944</v>
      </c>
      <c r="G2392" s="267" t="s">
        <v>3926</v>
      </c>
      <c r="H2392" s="267" t="s">
        <v>6748</v>
      </c>
      <c r="I2392" s="267" t="s">
        <v>3934</v>
      </c>
      <c r="J2392" s="267" t="s">
        <v>3928</v>
      </c>
      <c r="K2392" s="267">
        <v>6405</v>
      </c>
      <c r="L2392" s="267">
        <v>184300</v>
      </c>
      <c r="M2392" s="267" t="s">
        <v>3960</v>
      </c>
      <c r="N2392" s="267" t="s">
        <v>3944</v>
      </c>
      <c r="O2392" s="267">
        <v>2148.1999999999998</v>
      </c>
      <c r="P2392" s="267" t="s">
        <v>3944</v>
      </c>
      <c r="Q2392" s="267" t="s">
        <v>3944</v>
      </c>
      <c r="R2392" s="267">
        <v>2148.1999999999998</v>
      </c>
      <c r="S2392" s="267">
        <v>17878.8</v>
      </c>
      <c r="T2392" s="267">
        <v>20027</v>
      </c>
      <c r="U2392" s="268" t="s">
        <v>3945</v>
      </c>
      <c r="V2392" s="267" t="s">
        <v>944</v>
      </c>
    </row>
    <row r="2393" spans="1:22" hidden="1" x14ac:dyDescent="0.25">
      <c r="A2393" s="269">
        <v>43597</v>
      </c>
      <c r="B2393" s="270">
        <v>2019</v>
      </c>
      <c r="C2393" s="270">
        <v>2019</v>
      </c>
      <c r="D2393" s="270">
        <v>1</v>
      </c>
      <c r="E2393" s="270">
        <v>1</v>
      </c>
      <c r="F2393" s="270" t="s">
        <v>944</v>
      </c>
      <c r="G2393" s="270" t="s">
        <v>3926</v>
      </c>
      <c r="H2393" s="270" t="s">
        <v>6749</v>
      </c>
      <c r="I2393" s="270" t="s">
        <v>4005</v>
      </c>
      <c r="J2393" s="270" t="s">
        <v>3928</v>
      </c>
      <c r="K2393" s="270">
        <v>6118</v>
      </c>
      <c r="L2393" s="270">
        <v>511100</v>
      </c>
      <c r="M2393" s="270" t="s">
        <v>3960</v>
      </c>
      <c r="N2393" s="270" t="s">
        <v>3944</v>
      </c>
      <c r="O2393" s="270">
        <v>1183.81</v>
      </c>
      <c r="P2393" s="270" t="s">
        <v>3944</v>
      </c>
      <c r="Q2393" s="270" t="s">
        <v>3944</v>
      </c>
      <c r="R2393" s="270">
        <v>1183.81</v>
      </c>
      <c r="S2393" s="270">
        <v>13192.79</v>
      </c>
      <c r="T2393" s="270">
        <v>14376.6</v>
      </c>
      <c r="U2393" s="271" t="s">
        <v>3945</v>
      </c>
      <c r="V2393" s="267" t="s">
        <v>944</v>
      </c>
    </row>
    <row r="2394" spans="1:22" hidden="1" x14ac:dyDescent="0.25">
      <c r="A2394" s="266">
        <v>43597</v>
      </c>
      <c r="B2394" s="267">
        <v>2019</v>
      </c>
      <c r="C2394" s="267">
        <v>2019</v>
      </c>
      <c r="D2394" s="267">
        <v>1</v>
      </c>
      <c r="E2394" s="267">
        <v>1</v>
      </c>
      <c r="F2394" s="267" t="s">
        <v>944</v>
      </c>
      <c r="G2394" s="267" t="s">
        <v>3926</v>
      </c>
      <c r="H2394" s="267" t="s">
        <v>6750</v>
      </c>
      <c r="I2394" s="267" t="s">
        <v>3025</v>
      </c>
      <c r="J2394" s="267" t="s">
        <v>3928</v>
      </c>
      <c r="K2394" s="267">
        <v>6473</v>
      </c>
      <c r="L2394" s="267">
        <v>167300</v>
      </c>
      <c r="M2394" s="267" t="s">
        <v>3943</v>
      </c>
      <c r="N2394" s="267" t="s">
        <v>3944</v>
      </c>
      <c r="O2394" s="267">
        <v>1560.86</v>
      </c>
      <c r="P2394" s="267" t="s">
        <v>3944</v>
      </c>
      <c r="Q2394" s="267" t="s">
        <v>3944</v>
      </c>
      <c r="R2394" s="267">
        <v>1560.86</v>
      </c>
      <c r="S2394" s="267">
        <v>23440.06</v>
      </c>
      <c r="T2394" s="267">
        <v>25000.92</v>
      </c>
      <c r="U2394" s="268" t="s">
        <v>3945</v>
      </c>
      <c r="V2394" s="267" t="s">
        <v>944</v>
      </c>
    </row>
    <row r="2395" spans="1:22" hidden="1" x14ac:dyDescent="0.25">
      <c r="A2395" s="269">
        <v>43597</v>
      </c>
      <c r="B2395" s="270">
        <v>2019</v>
      </c>
      <c r="C2395" s="270">
        <v>2019</v>
      </c>
      <c r="D2395" s="270">
        <v>1</v>
      </c>
      <c r="E2395" s="270">
        <v>1</v>
      </c>
      <c r="F2395" s="270" t="s">
        <v>944</v>
      </c>
      <c r="G2395" s="270" t="s">
        <v>3926</v>
      </c>
      <c r="H2395" s="270" t="s">
        <v>6751</v>
      </c>
      <c r="I2395" s="270" t="s">
        <v>953</v>
      </c>
      <c r="J2395" s="270" t="s">
        <v>3928</v>
      </c>
      <c r="K2395" s="270">
        <v>6514</v>
      </c>
      <c r="L2395" s="270">
        <v>165802</v>
      </c>
      <c r="M2395" s="270" t="s">
        <v>3943</v>
      </c>
      <c r="N2395" s="270" t="s">
        <v>3944</v>
      </c>
      <c r="O2395" s="270">
        <v>1486.84</v>
      </c>
      <c r="P2395" s="270" t="s">
        <v>3944</v>
      </c>
      <c r="Q2395" s="270" t="s">
        <v>3944</v>
      </c>
      <c r="R2395" s="270">
        <v>1486.84</v>
      </c>
      <c r="S2395" s="270">
        <v>11526.16</v>
      </c>
      <c r="T2395" s="270">
        <v>13013</v>
      </c>
      <c r="U2395" s="271" t="s">
        <v>3945</v>
      </c>
      <c r="V2395" s="267" t="s">
        <v>944</v>
      </c>
    </row>
    <row r="2396" spans="1:22" hidden="1" x14ac:dyDescent="0.25">
      <c r="A2396" s="266">
        <v>43597</v>
      </c>
      <c r="B2396" s="267">
        <v>2019</v>
      </c>
      <c r="C2396" s="267">
        <v>2019</v>
      </c>
      <c r="D2396" s="267">
        <v>1</v>
      </c>
      <c r="E2396" s="267">
        <v>1</v>
      </c>
      <c r="F2396" s="267" t="s">
        <v>944</v>
      </c>
      <c r="G2396" s="267" t="s">
        <v>3926</v>
      </c>
      <c r="H2396" s="267" t="s">
        <v>6752</v>
      </c>
      <c r="I2396" s="267" t="s">
        <v>4073</v>
      </c>
      <c r="J2396" s="267" t="s">
        <v>3928</v>
      </c>
      <c r="K2396" s="267">
        <v>6776</v>
      </c>
      <c r="L2396" s="267">
        <v>253200</v>
      </c>
      <c r="M2396" s="267" t="s">
        <v>3960</v>
      </c>
      <c r="N2396" s="267" t="s">
        <v>3944</v>
      </c>
      <c r="O2396" s="267">
        <v>1463.18</v>
      </c>
      <c r="P2396" s="267" t="s">
        <v>3944</v>
      </c>
      <c r="Q2396" s="267" t="s">
        <v>3944</v>
      </c>
      <c r="R2396" s="267">
        <v>1463.18</v>
      </c>
      <c r="S2396" s="267">
        <v>14727</v>
      </c>
      <c r="T2396" s="267">
        <v>16190.18</v>
      </c>
      <c r="U2396" s="268" t="s">
        <v>3945</v>
      </c>
      <c r="V2396" s="267" t="s">
        <v>944</v>
      </c>
    </row>
    <row r="2397" spans="1:22" hidden="1" x14ac:dyDescent="0.25">
      <c r="A2397" s="269">
        <v>43597</v>
      </c>
      <c r="B2397" s="270">
        <v>2019</v>
      </c>
      <c r="C2397" s="270">
        <v>2019</v>
      </c>
      <c r="D2397" s="270">
        <v>1</v>
      </c>
      <c r="E2397" s="270">
        <v>1</v>
      </c>
      <c r="F2397" s="270" t="s">
        <v>944</v>
      </c>
      <c r="G2397" s="270" t="s">
        <v>3926</v>
      </c>
      <c r="H2397" s="270" t="s">
        <v>6753</v>
      </c>
      <c r="I2397" s="270" t="s">
        <v>4306</v>
      </c>
      <c r="J2397" s="270" t="s">
        <v>3928</v>
      </c>
      <c r="K2397" s="270">
        <v>6716</v>
      </c>
      <c r="L2397" s="270">
        <v>361100</v>
      </c>
      <c r="M2397" s="270" t="s">
        <v>3960</v>
      </c>
      <c r="N2397" s="270" t="s">
        <v>3944</v>
      </c>
      <c r="O2397" s="270">
        <v>3558.7</v>
      </c>
      <c r="P2397" s="270" t="s">
        <v>3944</v>
      </c>
      <c r="Q2397" s="270" t="s">
        <v>3944</v>
      </c>
      <c r="R2397" s="270">
        <v>3558.7</v>
      </c>
      <c r="S2397" s="270">
        <v>22929.3</v>
      </c>
      <c r="T2397" s="270">
        <v>26488</v>
      </c>
      <c r="U2397" s="271" t="s">
        <v>3945</v>
      </c>
      <c r="V2397" s="267" t="s">
        <v>944</v>
      </c>
    </row>
    <row r="2398" spans="1:22" hidden="1" x14ac:dyDescent="0.25">
      <c r="A2398" s="266">
        <v>43597</v>
      </c>
      <c r="B2398" s="267">
        <v>2019</v>
      </c>
      <c r="C2398" s="267">
        <v>2019</v>
      </c>
      <c r="D2398" s="267">
        <v>1</v>
      </c>
      <c r="E2398" s="267">
        <v>1</v>
      </c>
      <c r="F2398" s="267" t="s">
        <v>944</v>
      </c>
      <c r="G2398" s="267" t="s">
        <v>3926</v>
      </c>
      <c r="H2398" s="267" t="s">
        <v>6754</v>
      </c>
      <c r="I2398" s="267" t="s">
        <v>3990</v>
      </c>
      <c r="J2398" s="267" t="s">
        <v>3928</v>
      </c>
      <c r="K2398" s="267">
        <v>6804</v>
      </c>
      <c r="L2398" s="267">
        <v>205200</v>
      </c>
      <c r="M2398" s="267" t="s">
        <v>3943</v>
      </c>
      <c r="N2398" s="267" t="s">
        <v>3944</v>
      </c>
      <c r="O2398" s="267">
        <v>1025.3599999999999</v>
      </c>
      <c r="P2398" s="267" t="s">
        <v>3944</v>
      </c>
      <c r="Q2398" s="267" t="s">
        <v>3944</v>
      </c>
      <c r="R2398" s="267">
        <v>1025.3599999999999</v>
      </c>
      <c r="S2398" s="267">
        <v>11634.64</v>
      </c>
      <c r="T2398" s="267">
        <v>12660</v>
      </c>
      <c r="U2398" s="268" t="s">
        <v>3945</v>
      </c>
      <c r="V2398" s="267" t="s">
        <v>944</v>
      </c>
    </row>
    <row r="2399" spans="1:22" hidden="1" x14ac:dyDescent="0.25">
      <c r="A2399" s="269">
        <v>43597</v>
      </c>
      <c r="B2399" s="270">
        <v>2019</v>
      </c>
      <c r="C2399" s="270">
        <v>2019</v>
      </c>
      <c r="D2399" s="270">
        <v>1</v>
      </c>
      <c r="E2399" s="270">
        <v>1</v>
      </c>
      <c r="F2399" s="270" t="s">
        <v>944</v>
      </c>
      <c r="G2399" s="270" t="s">
        <v>3926</v>
      </c>
      <c r="H2399" s="270" t="s">
        <v>6755</v>
      </c>
      <c r="I2399" s="270" t="s">
        <v>953</v>
      </c>
      <c r="J2399" s="270" t="s">
        <v>3928</v>
      </c>
      <c r="K2399" s="270">
        <v>6514</v>
      </c>
      <c r="L2399" s="270">
        <v>165700</v>
      </c>
      <c r="M2399" s="270" t="s">
        <v>3935</v>
      </c>
      <c r="N2399" s="270" t="s">
        <v>3944</v>
      </c>
      <c r="O2399" s="270">
        <v>1717.24</v>
      </c>
      <c r="P2399" s="270" t="s">
        <v>3944</v>
      </c>
      <c r="Q2399" s="270" t="s">
        <v>3944</v>
      </c>
      <c r="R2399" s="270">
        <v>1717.24</v>
      </c>
      <c r="S2399" s="270">
        <v>18331</v>
      </c>
      <c r="T2399" s="270">
        <v>20048.240000000002</v>
      </c>
      <c r="U2399" s="271" t="s">
        <v>3945</v>
      </c>
      <c r="V2399" s="267" t="s">
        <v>944</v>
      </c>
    </row>
    <row r="2400" spans="1:22" hidden="1" x14ac:dyDescent="0.25">
      <c r="A2400" s="266">
        <v>43597</v>
      </c>
      <c r="B2400" s="267">
        <v>2019</v>
      </c>
      <c r="C2400" s="267">
        <v>2019</v>
      </c>
      <c r="D2400" s="267">
        <v>1</v>
      </c>
      <c r="E2400" s="267">
        <v>1</v>
      </c>
      <c r="F2400" s="267" t="s">
        <v>944</v>
      </c>
      <c r="G2400" s="267" t="s">
        <v>3926</v>
      </c>
      <c r="H2400" s="267" t="s">
        <v>6756</v>
      </c>
      <c r="I2400" s="267" t="s">
        <v>3008</v>
      </c>
      <c r="J2400" s="267" t="s">
        <v>3928</v>
      </c>
      <c r="K2400" s="267">
        <v>6460</v>
      </c>
      <c r="L2400" s="267">
        <v>151100</v>
      </c>
      <c r="M2400" s="267" t="s">
        <v>3960</v>
      </c>
      <c r="N2400" s="267" t="s">
        <v>3944</v>
      </c>
      <c r="O2400" s="267">
        <v>1208.31</v>
      </c>
      <c r="P2400" s="267" t="s">
        <v>3944</v>
      </c>
      <c r="Q2400" s="267" t="s">
        <v>3944</v>
      </c>
      <c r="R2400" s="267">
        <v>1208.31</v>
      </c>
      <c r="S2400" s="267">
        <v>12958.69</v>
      </c>
      <c r="T2400" s="267">
        <v>14167</v>
      </c>
      <c r="U2400" s="268" t="s">
        <v>3945</v>
      </c>
      <c r="V2400" s="267" t="s">
        <v>944</v>
      </c>
    </row>
    <row r="2401" spans="1:22" hidden="1" x14ac:dyDescent="0.25">
      <c r="A2401" s="269">
        <v>43597</v>
      </c>
      <c r="B2401" s="270">
        <v>2019</v>
      </c>
      <c r="C2401" s="270">
        <v>2019</v>
      </c>
      <c r="D2401" s="270">
        <v>1</v>
      </c>
      <c r="E2401" s="270">
        <v>1</v>
      </c>
      <c r="F2401" s="270" t="s">
        <v>944</v>
      </c>
      <c r="G2401" s="270" t="s">
        <v>3926</v>
      </c>
      <c r="H2401" s="270" t="s">
        <v>6757</v>
      </c>
      <c r="I2401" s="270" t="s">
        <v>934</v>
      </c>
      <c r="J2401" s="270" t="s">
        <v>3928</v>
      </c>
      <c r="K2401" s="270">
        <v>6604</v>
      </c>
      <c r="L2401" s="270">
        <v>72100</v>
      </c>
      <c r="M2401" s="270" t="s">
        <v>3940</v>
      </c>
      <c r="N2401" s="270" t="s">
        <v>3944</v>
      </c>
      <c r="O2401" s="270">
        <v>1501.12</v>
      </c>
      <c r="P2401" s="270" t="s">
        <v>3944</v>
      </c>
      <c r="Q2401" s="270" t="s">
        <v>3944</v>
      </c>
      <c r="R2401" s="270">
        <v>1501.12</v>
      </c>
      <c r="S2401" s="270">
        <v>18605.439999999999</v>
      </c>
      <c r="T2401" s="270">
        <v>20106.560000000001</v>
      </c>
      <c r="U2401" s="271" t="s">
        <v>3945</v>
      </c>
      <c r="V2401" s="267" t="s">
        <v>944</v>
      </c>
    </row>
    <row r="2402" spans="1:22" hidden="1" x14ac:dyDescent="0.25">
      <c r="A2402" s="266">
        <v>43598</v>
      </c>
      <c r="B2402" s="267">
        <v>2019</v>
      </c>
      <c r="C2402" s="267">
        <v>2019</v>
      </c>
      <c r="D2402" s="267">
        <v>1</v>
      </c>
      <c r="E2402" s="267">
        <v>1</v>
      </c>
      <c r="F2402" s="267" t="s">
        <v>944</v>
      </c>
      <c r="G2402" s="267" t="s">
        <v>3926</v>
      </c>
      <c r="H2402" s="267" t="s">
        <v>6758</v>
      </c>
      <c r="I2402" s="267" t="s">
        <v>4119</v>
      </c>
      <c r="J2402" s="267" t="s">
        <v>3928</v>
      </c>
      <c r="K2402" s="267">
        <v>6078</v>
      </c>
      <c r="L2402" s="267">
        <v>477101</v>
      </c>
      <c r="M2402" s="267" t="s">
        <v>3943</v>
      </c>
      <c r="N2402" s="267" t="s">
        <v>6759</v>
      </c>
      <c r="O2402" s="267">
        <v>0</v>
      </c>
      <c r="P2402" s="267" t="s">
        <v>3930</v>
      </c>
      <c r="Q2402" s="267" t="s">
        <v>3930</v>
      </c>
      <c r="R2402" s="267">
        <v>0</v>
      </c>
      <c r="S2402" s="267">
        <v>14638.27</v>
      </c>
      <c r="T2402" s="267">
        <v>14638.27</v>
      </c>
      <c r="U2402" s="268" t="s">
        <v>3937</v>
      </c>
      <c r="V2402" s="267" t="s">
        <v>944</v>
      </c>
    </row>
    <row r="2403" spans="1:22" hidden="1" x14ac:dyDescent="0.25">
      <c r="A2403" s="269">
        <v>43598</v>
      </c>
      <c r="B2403" s="270">
        <v>2019</v>
      </c>
      <c r="C2403" s="270">
        <v>2019</v>
      </c>
      <c r="D2403" s="270">
        <v>1</v>
      </c>
      <c r="E2403" s="270">
        <v>1</v>
      </c>
      <c r="F2403" s="270" t="s">
        <v>944</v>
      </c>
      <c r="G2403" s="270" t="s">
        <v>3926</v>
      </c>
      <c r="H2403" s="270" t="s">
        <v>6760</v>
      </c>
      <c r="I2403" s="270" t="s">
        <v>3996</v>
      </c>
      <c r="J2403" s="270" t="s">
        <v>3928</v>
      </c>
      <c r="K2403" s="270">
        <v>6790</v>
      </c>
      <c r="L2403" s="270">
        <v>310400</v>
      </c>
      <c r="M2403" s="270" t="s">
        <v>3935</v>
      </c>
      <c r="N2403" s="270" t="s">
        <v>6761</v>
      </c>
      <c r="O2403" s="270">
        <v>0</v>
      </c>
      <c r="P2403" s="270" t="s">
        <v>3930</v>
      </c>
      <c r="Q2403" s="270" t="s">
        <v>3930</v>
      </c>
      <c r="R2403" s="270">
        <v>0</v>
      </c>
      <c r="S2403" s="270">
        <v>8191</v>
      </c>
      <c r="T2403" s="270">
        <v>8191</v>
      </c>
      <c r="U2403" s="271" t="s">
        <v>3937</v>
      </c>
      <c r="V2403" s="267" t="s">
        <v>944</v>
      </c>
    </row>
    <row r="2404" spans="1:22" hidden="1" x14ac:dyDescent="0.25">
      <c r="A2404" s="266">
        <v>43598</v>
      </c>
      <c r="B2404" s="267">
        <v>2019</v>
      </c>
      <c r="C2404" s="267">
        <v>2019</v>
      </c>
      <c r="D2404" s="267">
        <v>1</v>
      </c>
      <c r="E2404" s="267">
        <v>1</v>
      </c>
      <c r="F2404" s="267" t="s">
        <v>944</v>
      </c>
      <c r="G2404" s="267" t="s">
        <v>3997</v>
      </c>
      <c r="H2404" s="267" t="s">
        <v>6762</v>
      </c>
      <c r="I2404" s="267" t="s">
        <v>934</v>
      </c>
      <c r="J2404" s="267" t="s">
        <v>3928</v>
      </c>
      <c r="K2404" s="267">
        <v>6605</v>
      </c>
      <c r="L2404" s="267">
        <v>71100</v>
      </c>
      <c r="M2404" s="267">
        <v>-60</v>
      </c>
      <c r="N2404" s="267" t="s">
        <v>6763</v>
      </c>
      <c r="O2404" s="267">
        <v>0</v>
      </c>
      <c r="P2404" s="267" t="s">
        <v>3930</v>
      </c>
      <c r="Q2404" s="267" t="s">
        <v>3931</v>
      </c>
      <c r="R2404" s="267">
        <v>5000</v>
      </c>
      <c r="S2404" s="267">
        <v>12149.2</v>
      </c>
      <c r="T2404" s="267">
        <v>17149.2</v>
      </c>
      <c r="U2404" s="268" t="s">
        <v>3932</v>
      </c>
      <c r="V2404" s="267" t="s">
        <v>944</v>
      </c>
    </row>
    <row r="2405" spans="1:22" hidden="1" x14ac:dyDescent="0.25">
      <c r="A2405" s="269">
        <v>43598</v>
      </c>
      <c r="B2405" s="270">
        <v>2019</v>
      </c>
      <c r="C2405" s="270">
        <v>2019</v>
      </c>
      <c r="D2405" s="270">
        <v>1</v>
      </c>
      <c r="E2405" s="270">
        <v>1</v>
      </c>
      <c r="F2405" s="270" t="s">
        <v>944</v>
      </c>
      <c r="G2405" s="270" t="s">
        <v>3926</v>
      </c>
      <c r="H2405" s="270" t="s">
        <v>6764</v>
      </c>
      <c r="I2405" s="270" t="s">
        <v>950</v>
      </c>
      <c r="J2405" s="270" t="s">
        <v>3928</v>
      </c>
      <c r="K2405" s="270">
        <v>6516</v>
      </c>
      <c r="L2405" s="270">
        <v>154700</v>
      </c>
      <c r="M2405" s="270" t="s">
        <v>3960</v>
      </c>
      <c r="N2405" s="270" t="s">
        <v>6765</v>
      </c>
      <c r="O2405" s="270">
        <v>0</v>
      </c>
      <c r="P2405" s="270" t="s">
        <v>3930</v>
      </c>
      <c r="Q2405" s="270" t="s">
        <v>3930</v>
      </c>
      <c r="R2405" s="270">
        <v>0</v>
      </c>
      <c r="S2405" s="270">
        <v>7995</v>
      </c>
      <c r="T2405" s="270">
        <v>7995</v>
      </c>
      <c r="U2405" s="271" t="s">
        <v>3937</v>
      </c>
      <c r="V2405" s="267" t="s">
        <v>944</v>
      </c>
    </row>
    <row r="2406" spans="1:22" hidden="1" x14ac:dyDescent="0.25">
      <c r="A2406" s="266">
        <v>43598</v>
      </c>
      <c r="B2406" s="267">
        <v>2019</v>
      </c>
      <c r="C2406" s="267">
        <v>2019</v>
      </c>
      <c r="D2406" s="267">
        <v>1</v>
      </c>
      <c r="E2406" s="267">
        <v>1</v>
      </c>
      <c r="F2406" s="267" t="s">
        <v>944</v>
      </c>
      <c r="G2406" s="267" t="s">
        <v>3926</v>
      </c>
      <c r="H2406" s="267" t="s">
        <v>6766</v>
      </c>
      <c r="I2406" s="267" t="s">
        <v>3012</v>
      </c>
      <c r="J2406" s="267" t="s">
        <v>3928</v>
      </c>
      <c r="K2406" s="267">
        <v>6477</v>
      </c>
      <c r="L2406" s="267">
        <v>157100</v>
      </c>
      <c r="M2406" s="267" t="s">
        <v>3940</v>
      </c>
      <c r="N2406" s="267" t="s">
        <v>6767</v>
      </c>
      <c r="O2406" s="267">
        <v>2810</v>
      </c>
      <c r="P2406" s="267" t="s">
        <v>3930</v>
      </c>
      <c r="Q2406" s="267" t="s">
        <v>3930</v>
      </c>
      <c r="R2406" s="267">
        <v>2810</v>
      </c>
      <c r="S2406" s="267">
        <v>29166</v>
      </c>
      <c r="T2406" s="267">
        <v>31976</v>
      </c>
      <c r="U2406" s="268" t="s">
        <v>3937</v>
      </c>
      <c r="V2406" s="267" t="s">
        <v>944</v>
      </c>
    </row>
    <row r="2407" spans="1:22" x14ac:dyDescent="0.25">
      <c r="A2407" s="269">
        <v>43598</v>
      </c>
      <c r="B2407" s="270">
        <v>2019</v>
      </c>
      <c r="C2407" s="270">
        <v>2019</v>
      </c>
      <c r="D2407" s="270">
        <v>1</v>
      </c>
      <c r="E2407" s="270">
        <v>1</v>
      </c>
      <c r="F2407" s="270" t="s">
        <v>944</v>
      </c>
      <c r="G2407" s="270" t="s">
        <v>3997</v>
      </c>
      <c r="H2407" s="270" t="s">
        <v>6768</v>
      </c>
      <c r="I2407" s="270" t="s">
        <v>953</v>
      </c>
      <c r="J2407" s="270" t="s">
        <v>3928</v>
      </c>
      <c r="K2407" s="270">
        <v>6514</v>
      </c>
      <c r="L2407" s="270">
        <v>165500</v>
      </c>
      <c r="M2407" s="270">
        <v>-60</v>
      </c>
      <c r="N2407" s="270" t="s">
        <v>6077</v>
      </c>
      <c r="O2407" s="270">
        <v>0</v>
      </c>
      <c r="P2407" s="270" t="s">
        <v>3930</v>
      </c>
      <c r="Q2407" s="270" t="s">
        <v>3931</v>
      </c>
      <c r="R2407" s="270">
        <v>5000</v>
      </c>
      <c r="S2407" s="270">
        <v>17680</v>
      </c>
      <c r="T2407" s="270">
        <v>22680</v>
      </c>
      <c r="U2407" s="271" t="s">
        <v>3932</v>
      </c>
      <c r="V2407" s="276" t="s">
        <v>936</v>
      </c>
    </row>
    <row r="2408" spans="1:22" hidden="1" x14ac:dyDescent="0.25">
      <c r="A2408" s="266">
        <v>43598</v>
      </c>
      <c r="B2408" s="267">
        <v>2019</v>
      </c>
      <c r="C2408" s="267">
        <v>2019</v>
      </c>
      <c r="D2408" s="267">
        <v>1</v>
      </c>
      <c r="E2408" s="267">
        <v>1</v>
      </c>
      <c r="F2408" s="267" t="s">
        <v>944</v>
      </c>
      <c r="G2408" s="267" t="s">
        <v>3926</v>
      </c>
      <c r="H2408" s="267" t="s">
        <v>6769</v>
      </c>
      <c r="I2408" s="267" t="s">
        <v>2985</v>
      </c>
      <c r="J2408" s="267" t="s">
        <v>3928</v>
      </c>
      <c r="K2408" s="267">
        <v>6824</v>
      </c>
      <c r="L2408" s="267">
        <v>60400</v>
      </c>
      <c r="M2408" s="267" t="s">
        <v>3943</v>
      </c>
      <c r="N2408" s="267" t="s">
        <v>3944</v>
      </c>
      <c r="O2408" s="267">
        <v>8629</v>
      </c>
      <c r="P2408" s="267" t="s">
        <v>3944</v>
      </c>
      <c r="Q2408" s="267" t="s">
        <v>3944</v>
      </c>
      <c r="R2408" s="267">
        <v>8629</v>
      </c>
      <c r="S2408" s="267">
        <v>95408.08</v>
      </c>
      <c r="T2408" s="267">
        <v>104037.08</v>
      </c>
      <c r="U2408" s="268" t="s">
        <v>3945</v>
      </c>
      <c r="V2408" s="267" t="s">
        <v>944</v>
      </c>
    </row>
    <row r="2409" spans="1:22" hidden="1" x14ac:dyDescent="0.25">
      <c r="A2409" s="269">
        <v>43598</v>
      </c>
      <c r="B2409" s="270">
        <v>2019</v>
      </c>
      <c r="C2409" s="270">
        <v>2019</v>
      </c>
      <c r="D2409" s="270">
        <v>1</v>
      </c>
      <c r="E2409" s="270">
        <v>1</v>
      </c>
      <c r="F2409" s="270" t="s">
        <v>944</v>
      </c>
      <c r="G2409" s="270" t="s">
        <v>3926</v>
      </c>
      <c r="H2409" s="270" t="s">
        <v>6770</v>
      </c>
      <c r="I2409" s="270" t="s">
        <v>3966</v>
      </c>
      <c r="J2409" s="270" t="s">
        <v>3928</v>
      </c>
      <c r="K2409" s="270">
        <v>6010</v>
      </c>
      <c r="L2409" s="270">
        <v>405800</v>
      </c>
      <c r="M2409" s="270" t="s">
        <v>3935</v>
      </c>
      <c r="N2409" s="270" t="s">
        <v>3944</v>
      </c>
      <c r="O2409" s="270">
        <v>4002</v>
      </c>
      <c r="P2409" s="270" t="s">
        <v>3944</v>
      </c>
      <c r="Q2409" s="270" t="s">
        <v>3944</v>
      </c>
      <c r="R2409" s="270">
        <v>4002</v>
      </c>
      <c r="S2409" s="270">
        <v>25566</v>
      </c>
      <c r="T2409" s="270">
        <v>29568</v>
      </c>
      <c r="U2409" s="271" t="s">
        <v>3945</v>
      </c>
      <c r="V2409" s="267" t="s">
        <v>944</v>
      </c>
    </row>
    <row r="2410" spans="1:22" hidden="1" x14ac:dyDescent="0.25">
      <c r="A2410" s="266">
        <v>43598</v>
      </c>
      <c r="B2410" s="267">
        <v>2019</v>
      </c>
      <c r="C2410" s="267">
        <v>2019</v>
      </c>
      <c r="D2410" s="267">
        <v>1</v>
      </c>
      <c r="E2410" s="267">
        <v>1</v>
      </c>
      <c r="F2410" s="267" t="s">
        <v>944</v>
      </c>
      <c r="G2410" s="267" t="s">
        <v>3926</v>
      </c>
      <c r="H2410" s="267" t="s">
        <v>6771</v>
      </c>
      <c r="I2410" s="267" t="s">
        <v>4011</v>
      </c>
      <c r="J2410" s="267" t="s">
        <v>3928</v>
      </c>
      <c r="K2410" s="267">
        <v>6002</v>
      </c>
      <c r="L2410" s="267">
        <v>471200</v>
      </c>
      <c r="M2410" s="267" t="s">
        <v>3940</v>
      </c>
      <c r="N2410" s="267" t="s">
        <v>3944</v>
      </c>
      <c r="O2410" s="267">
        <v>1591.14</v>
      </c>
      <c r="P2410" s="267" t="s">
        <v>3944</v>
      </c>
      <c r="Q2410" s="267" t="s">
        <v>3944</v>
      </c>
      <c r="R2410" s="267">
        <v>1591.14</v>
      </c>
      <c r="S2410" s="267">
        <v>18996.189999999999</v>
      </c>
      <c r="T2410" s="267">
        <v>20587.330000000002</v>
      </c>
      <c r="U2410" s="268" t="s">
        <v>3945</v>
      </c>
      <c r="V2410" s="267" t="s">
        <v>944</v>
      </c>
    </row>
    <row r="2411" spans="1:22" hidden="1" x14ac:dyDescent="0.25">
      <c r="A2411" s="269">
        <v>43598</v>
      </c>
      <c r="B2411" s="270">
        <v>2019</v>
      </c>
      <c r="C2411" s="270">
        <v>2019</v>
      </c>
      <c r="D2411" s="270">
        <v>1</v>
      </c>
      <c r="E2411" s="270">
        <v>1</v>
      </c>
      <c r="F2411" s="270" t="s">
        <v>944</v>
      </c>
      <c r="G2411" s="270" t="s">
        <v>3926</v>
      </c>
      <c r="H2411" s="270" t="s">
        <v>6772</v>
      </c>
      <c r="I2411" s="270" t="s">
        <v>3956</v>
      </c>
      <c r="J2411" s="270" t="s">
        <v>3928</v>
      </c>
      <c r="K2411" s="270">
        <v>6114</v>
      </c>
      <c r="L2411" s="270">
        <v>502300</v>
      </c>
      <c r="M2411" s="270">
        <v>-60</v>
      </c>
      <c r="N2411" s="270" t="s">
        <v>3944</v>
      </c>
      <c r="O2411" s="270">
        <v>1151.26</v>
      </c>
      <c r="P2411" s="270" t="s">
        <v>3944</v>
      </c>
      <c r="Q2411" s="270" t="s">
        <v>3944</v>
      </c>
      <c r="R2411" s="270">
        <v>1151.26</v>
      </c>
      <c r="S2411" s="270">
        <v>17188.21</v>
      </c>
      <c r="T2411" s="270">
        <v>18339.47</v>
      </c>
      <c r="U2411" s="271" t="s">
        <v>3945</v>
      </c>
      <c r="V2411" s="267" t="s">
        <v>944</v>
      </c>
    </row>
    <row r="2412" spans="1:22" hidden="1" x14ac:dyDescent="0.25">
      <c r="A2412" s="266">
        <v>43598</v>
      </c>
      <c r="B2412" s="267">
        <v>2019</v>
      </c>
      <c r="C2412" s="267">
        <v>2019</v>
      </c>
      <c r="D2412" s="267">
        <v>1</v>
      </c>
      <c r="E2412" s="267">
        <v>1</v>
      </c>
      <c r="F2412" s="267" t="s">
        <v>944</v>
      </c>
      <c r="G2412" s="267" t="s">
        <v>3926</v>
      </c>
      <c r="H2412" s="267" t="s">
        <v>6773</v>
      </c>
      <c r="I2412" s="267" t="s">
        <v>4019</v>
      </c>
      <c r="J2412" s="267" t="s">
        <v>3928</v>
      </c>
      <c r="K2412" s="267">
        <v>6706</v>
      </c>
      <c r="L2412" s="267">
        <v>351400</v>
      </c>
      <c r="M2412" s="267">
        <v>-60</v>
      </c>
      <c r="N2412" s="267" t="s">
        <v>3944</v>
      </c>
      <c r="O2412" s="267">
        <v>1156.23</v>
      </c>
      <c r="P2412" s="267" t="s">
        <v>3944</v>
      </c>
      <c r="Q2412" s="267" t="s">
        <v>3944</v>
      </c>
      <c r="R2412" s="267">
        <v>1156.23</v>
      </c>
      <c r="S2412" s="267">
        <v>17428.77</v>
      </c>
      <c r="T2412" s="267">
        <v>18585</v>
      </c>
      <c r="U2412" s="268" t="s">
        <v>3945</v>
      </c>
      <c r="V2412" s="267" t="s">
        <v>944</v>
      </c>
    </row>
    <row r="2413" spans="1:22" hidden="1" x14ac:dyDescent="0.25">
      <c r="A2413" s="269">
        <v>43598</v>
      </c>
      <c r="B2413" s="270">
        <v>2019</v>
      </c>
      <c r="C2413" s="270">
        <v>2019</v>
      </c>
      <c r="D2413" s="270">
        <v>1</v>
      </c>
      <c r="E2413" s="270">
        <v>1</v>
      </c>
      <c r="F2413" s="270" t="s">
        <v>944</v>
      </c>
      <c r="G2413" s="270" t="s">
        <v>3926</v>
      </c>
      <c r="H2413" s="270" t="s">
        <v>6774</v>
      </c>
      <c r="I2413" s="270" t="s">
        <v>3008</v>
      </c>
      <c r="J2413" s="270" t="s">
        <v>3928</v>
      </c>
      <c r="K2413" s="270">
        <v>6460</v>
      </c>
      <c r="L2413" s="270">
        <v>150400</v>
      </c>
      <c r="M2413" s="270" t="s">
        <v>3940</v>
      </c>
      <c r="N2413" s="270" t="s">
        <v>3944</v>
      </c>
      <c r="O2413" s="270">
        <v>3204.29</v>
      </c>
      <c r="P2413" s="270" t="s">
        <v>3944</v>
      </c>
      <c r="Q2413" s="270" t="s">
        <v>3944</v>
      </c>
      <c r="R2413" s="270">
        <v>3204.29</v>
      </c>
      <c r="S2413" s="270">
        <v>43672.45</v>
      </c>
      <c r="T2413" s="270">
        <v>46876.74</v>
      </c>
      <c r="U2413" s="271" t="s">
        <v>3945</v>
      </c>
      <c r="V2413" s="267" t="s">
        <v>944</v>
      </c>
    </row>
    <row r="2414" spans="1:22" hidden="1" x14ac:dyDescent="0.25">
      <c r="A2414" s="266">
        <v>43598</v>
      </c>
      <c r="B2414" s="267">
        <v>2019</v>
      </c>
      <c r="C2414" s="267">
        <v>2019</v>
      </c>
      <c r="D2414" s="267">
        <v>1</v>
      </c>
      <c r="E2414" s="267">
        <v>1</v>
      </c>
      <c r="F2414" s="267" t="s">
        <v>944</v>
      </c>
      <c r="G2414" s="267" t="s">
        <v>3926</v>
      </c>
      <c r="H2414" s="267" t="s">
        <v>6775</v>
      </c>
      <c r="I2414" s="267" t="s">
        <v>4422</v>
      </c>
      <c r="J2414" s="267" t="s">
        <v>3928</v>
      </c>
      <c r="K2414" s="267">
        <v>6801</v>
      </c>
      <c r="L2414" s="267">
        <v>200301</v>
      </c>
      <c r="M2414" s="267" t="s">
        <v>3943</v>
      </c>
      <c r="N2414" s="267" t="s">
        <v>3944</v>
      </c>
      <c r="O2414" s="267">
        <v>2772.25</v>
      </c>
      <c r="P2414" s="267" t="s">
        <v>3944</v>
      </c>
      <c r="Q2414" s="267" t="s">
        <v>3944</v>
      </c>
      <c r="R2414" s="267">
        <v>2772.25</v>
      </c>
      <c r="S2414" s="267">
        <v>38607.25</v>
      </c>
      <c r="T2414" s="267">
        <v>41379.5</v>
      </c>
      <c r="U2414" s="268" t="s">
        <v>3945</v>
      </c>
      <c r="V2414" s="267" t="s">
        <v>944</v>
      </c>
    </row>
    <row r="2415" spans="1:22" hidden="1" x14ac:dyDescent="0.25">
      <c r="A2415" s="269">
        <v>43598</v>
      </c>
      <c r="B2415" s="270">
        <v>2019</v>
      </c>
      <c r="C2415" s="270">
        <v>2019</v>
      </c>
      <c r="D2415" s="270">
        <v>1</v>
      </c>
      <c r="E2415" s="270">
        <v>1</v>
      </c>
      <c r="F2415" s="270" t="s">
        <v>944</v>
      </c>
      <c r="G2415" s="270" t="s">
        <v>3926</v>
      </c>
      <c r="H2415" s="270" t="s">
        <v>6776</v>
      </c>
      <c r="I2415" s="270" t="s">
        <v>4005</v>
      </c>
      <c r="J2415" s="270" t="s">
        <v>3928</v>
      </c>
      <c r="K2415" s="270">
        <v>6108</v>
      </c>
      <c r="L2415" s="270">
        <v>510200</v>
      </c>
      <c r="M2415" s="270">
        <v>-60</v>
      </c>
      <c r="N2415" s="270" t="s">
        <v>3944</v>
      </c>
      <c r="O2415" s="270">
        <v>865.48</v>
      </c>
      <c r="P2415" s="270" t="s">
        <v>3944</v>
      </c>
      <c r="Q2415" s="270" t="s">
        <v>3944</v>
      </c>
      <c r="R2415" s="270">
        <v>865.48</v>
      </c>
      <c r="S2415" s="270">
        <v>11573.34</v>
      </c>
      <c r="T2415" s="270">
        <v>12438.82</v>
      </c>
      <c r="U2415" s="271" t="s">
        <v>3945</v>
      </c>
      <c r="V2415" s="267" t="s">
        <v>944</v>
      </c>
    </row>
    <row r="2416" spans="1:22" hidden="1" x14ac:dyDescent="0.25">
      <c r="A2416" s="266">
        <v>43599</v>
      </c>
      <c r="B2416" s="267">
        <v>2019</v>
      </c>
      <c r="C2416" s="267">
        <v>2019</v>
      </c>
      <c r="D2416" s="267">
        <v>1</v>
      </c>
      <c r="E2416" s="267">
        <v>1</v>
      </c>
      <c r="F2416" s="267" t="s">
        <v>944</v>
      </c>
      <c r="G2416" s="267" t="s">
        <v>3926</v>
      </c>
      <c r="H2416" s="267" t="s">
        <v>6777</v>
      </c>
      <c r="I2416" s="267" t="s">
        <v>4330</v>
      </c>
      <c r="J2416" s="267" t="s">
        <v>3928</v>
      </c>
      <c r="K2416" s="267">
        <v>6413</v>
      </c>
      <c r="L2416" s="267">
        <v>610100</v>
      </c>
      <c r="M2416" s="267" t="s">
        <v>3935</v>
      </c>
      <c r="N2416" s="267" t="s">
        <v>6778</v>
      </c>
      <c r="O2416" s="267">
        <v>0</v>
      </c>
      <c r="P2416" s="267" t="s">
        <v>3930</v>
      </c>
      <c r="Q2416" s="267" t="s">
        <v>3930</v>
      </c>
      <c r="R2416" s="267">
        <v>0</v>
      </c>
      <c r="S2416" s="267">
        <v>4570</v>
      </c>
      <c r="T2416" s="267">
        <v>4570</v>
      </c>
      <c r="U2416" s="268" t="s">
        <v>3937</v>
      </c>
      <c r="V2416" s="267" t="s">
        <v>944</v>
      </c>
    </row>
    <row r="2417" spans="1:22" hidden="1" x14ac:dyDescent="0.25">
      <c r="A2417" s="269">
        <v>43599</v>
      </c>
      <c r="B2417" s="270">
        <v>2019</v>
      </c>
      <c r="C2417" s="270">
        <v>2019</v>
      </c>
      <c r="D2417" s="270">
        <v>1</v>
      </c>
      <c r="E2417" s="270">
        <v>1</v>
      </c>
      <c r="F2417" s="270" t="s">
        <v>944</v>
      </c>
      <c r="G2417" s="270" t="s">
        <v>3926</v>
      </c>
      <c r="H2417" s="270" t="s">
        <v>6779</v>
      </c>
      <c r="I2417" s="270" t="s">
        <v>950</v>
      </c>
      <c r="J2417" s="270" t="s">
        <v>3928</v>
      </c>
      <c r="K2417" s="270">
        <v>6516</v>
      </c>
      <c r="L2417" s="270">
        <v>154600</v>
      </c>
      <c r="M2417" s="270">
        <v>-60</v>
      </c>
      <c r="N2417" s="270" t="s">
        <v>6780</v>
      </c>
      <c r="O2417" s="270">
        <v>0</v>
      </c>
      <c r="P2417" s="270" t="s">
        <v>3930</v>
      </c>
      <c r="Q2417" s="270" t="s">
        <v>3930</v>
      </c>
      <c r="R2417" s="270">
        <v>0</v>
      </c>
      <c r="S2417" s="270">
        <v>20223</v>
      </c>
      <c r="T2417" s="270">
        <v>20223</v>
      </c>
      <c r="U2417" s="271" t="s">
        <v>3937</v>
      </c>
      <c r="V2417" s="267" t="s">
        <v>944</v>
      </c>
    </row>
    <row r="2418" spans="1:22" hidden="1" x14ac:dyDescent="0.25">
      <c r="A2418" s="266">
        <v>43599</v>
      </c>
      <c r="B2418" s="267">
        <v>2019</v>
      </c>
      <c r="C2418" s="267">
        <v>2019</v>
      </c>
      <c r="D2418" s="267">
        <v>1</v>
      </c>
      <c r="E2418" s="267">
        <v>1</v>
      </c>
      <c r="F2418" s="267" t="s">
        <v>944</v>
      </c>
      <c r="G2418" s="267" t="s">
        <v>3926</v>
      </c>
      <c r="H2418" s="267" t="s">
        <v>6781</v>
      </c>
      <c r="I2418" s="267" t="s">
        <v>4073</v>
      </c>
      <c r="J2418" s="267" t="s">
        <v>3928</v>
      </c>
      <c r="K2418" s="267">
        <v>6776</v>
      </c>
      <c r="L2418" s="267">
        <v>253400</v>
      </c>
      <c r="M2418" s="267" t="s">
        <v>3943</v>
      </c>
      <c r="N2418" s="267" t="s">
        <v>6782</v>
      </c>
      <c r="O2418" s="267">
        <v>0</v>
      </c>
      <c r="P2418" s="267" t="s">
        <v>3930</v>
      </c>
      <c r="Q2418" s="267" t="s">
        <v>3930</v>
      </c>
      <c r="R2418" s="267">
        <v>0</v>
      </c>
      <c r="S2418" s="267">
        <v>7496</v>
      </c>
      <c r="T2418" s="267">
        <v>7496</v>
      </c>
      <c r="U2418" s="268" t="s">
        <v>3937</v>
      </c>
      <c r="V2418" s="267" t="s">
        <v>944</v>
      </c>
    </row>
    <row r="2419" spans="1:22" hidden="1" x14ac:dyDescent="0.25">
      <c r="A2419" s="269">
        <v>43599</v>
      </c>
      <c r="B2419" s="270">
        <v>2019</v>
      </c>
      <c r="C2419" s="270">
        <v>2019</v>
      </c>
      <c r="D2419" s="270">
        <v>1</v>
      </c>
      <c r="E2419" s="270">
        <v>1</v>
      </c>
      <c r="F2419" s="270" t="s">
        <v>944</v>
      </c>
      <c r="G2419" s="270" t="s">
        <v>3926</v>
      </c>
      <c r="H2419" s="270" t="s">
        <v>6783</v>
      </c>
      <c r="I2419" s="270" t="s">
        <v>934</v>
      </c>
      <c r="J2419" s="270" t="s">
        <v>3928</v>
      </c>
      <c r="K2419" s="270">
        <v>6606</v>
      </c>
      <c r="L2419" s="270">
        <v>72300</v>
      </c>
      <c r="M2419" s="270" t="s">
        <v>3940</v>
      </c>
      <c r="N2419" s="270" t="s">
        <v>6726</v>
      </c>
      <c r="O2419" s="270">
        <v>0</v>
      </c>
      <c r="P2419" s="270" t="s">
        <v>3930</v>
      </c>
      <c r="Q2419" s="270" t="s">
        <v>3931</v>
      </c>
      <c r="R2419" s="270">
        <v>5000</v>
      </c>
      <c r="S2419" s="270">
        <v>17134</v>
      </c>
      <c r="T2419" s="270">
        <v>22134</v>
      </c>
      <c r="U2419" s="271" t="s">
        <v>3932</v>
      </c>
      <c r="V2419" s="267" t="s">
        <v>944</v>
      </c>
    </row>
    <row r="2420" spans="1:22" hidden="1" x14ac:dyDescent="0.25">
      <c r="A2420" s="266">
        <v>43599</v>
      </c>
      <c r="B2420" s="267">
        <v>2019</v>
      </c>
      <c r="C2420" s="267">
        <v>2019</v>
      </c>
      <c r="D2420" s="267">
        <v>1</v>
      </c>
      <c r="E2420" s="267">
        <v>1</v>
      </c>
      <c r="F2420" s="267" t="s">
        <v>944</v>
      </c>
      <c r="G2420" s="267" t="s">
        <v>3926</v>
      </c>
      <c r="H2420" s="267" t="s">
        <v>6784</v>
      </c>
      <c r="I2420" s="267" t="s">
        <v>956</v>
      </c>
      <c r="J2420" s="267" t="s">
        <v>3928</v>
      </c>
      <c r="K2420" s="267">
        <v>6614</v>
      </c>
      <c r="L2420" s="267">
        <v>81100</v>
      </c>
      <c r="M2420" s="267" t="s">
        <v>3960</v>
      </c>
      <c r="N2420" s="267" t="s">
        <v>4714</v>
      </c>
      <c r="O2420" s="267">
        <v>1781.12</v>
      </c>
      <c r="P2420" s="267" t="s">
        <v>3930</v>
      </c>
      <c r="Q2420" s="267" t="s">
        <v>3931</v>
      </c>
      <c r="R2420" s="267">
        <v>6781.12</v>
      </c>
      <c r="S2420" s="267">
        <v>24518.2</v>
      </c>
      <c r="T2420" s="267">
        <v>31299.32</v>
      </c>
      <c r="U2420" s="268" t="s">
        <v>3932</v>
      </c>
      <c r="V2420" s="267" t="s">
        <v>944</v>
      </c>
    </row>
    <row r="2421" spans="1:22" hidden="1" x14ac:dyDescent="0.25">
      <c r="A2421" s="269">
        <v>43599</v>
      </c>
      <c r="B2421" s="270">
        <v>2019</v>
      </c>
      <c r="C2421" s="270">
        <v>2019</v>
      </c>
      <c r="D2421" s="270">
        <v>1</v>
      </c>
      <c r="E2421" s="270">
        <v>1</v>
      </c>
      <c r="F2421" s="270" t="s">
        <v>944</v>
      </c>
      <c r="G2421" s="270" t="s">
        <v>3926</v>
      </c>
      <c r="H2421" s="270" t="s">
        <v>6785</v>
      </c>
      <c r="I2421" s="270" t="s">
        <v>4392</v>
      </c>
      <c r="J2421" s="270" t="s">
        <v>3928</v>
      </c>
      <c r="K2421" s="270">
        <v>6457</v>
      </c>
      <c r="L2421" s="270">
        <v>542100</v>
      </c>
      <c r="M2421" s="270" t="s">
        <v>3940</v>
      </c>
      <c r="N2421" s="270" t="s">
        <v>3944</v>
      </c>
      <c r="O2421" s="270">
        <v>2338</v>
      </c>
      <c r="P2421" s="270" t="s">
        <v>3944</v>
      </c>
      <c r="Q2421" s="270" t="s">
        <v>3944</v>
      </c>
      <c r="R2421" s="270">
        <v>2338</v>
      </c>
      <c r="S2421" s="270">
        <v>30793.5</v>
      </c>
      <c r="T2421" s="270">
        <v>33131.5</v>
      </c>
      <c r="U2421" s="271" t="s">
        <v>3945</v>
      </c>
      <c r="V2421" s="267" t="s">
        <v>944</v>
      </c>
    </row>
    <row r="2422" spans="1:22" hidden="1" x14ac:dyDescent="0.25">
      <c r="A2422" s="266">
        <v>43599</v>
      </c>
      <c r="B2422" s="267">
        <v>2019</v>
      </c>
      <c r="C2422" s="267">
        <v>2019</v>
      </c>
      <c r="D2422" s="267">
        <v>1</v>
      </c>
      <c r="E2422" s="267">
        <v>1</v>
      </c>
      <c r="F2422" s="267" t="s">
        <v>944</v>
      </c>
      <c r="G2422" s="267" t="s">
        <v>3926</v>
      </c>
      <c r="H2422" s="267" t="s">
        <v>6786</v>
      </c>
      <c r="I2422" s="267" t="s">
        <v>3990</v>
      </c>
      <c r="J2422" s="267" t="s">
        <v>3928</v>
      </c>
      <c r="K2422" s="267">
        <v>6804</v>
      </c>
      <c r="L2422" s="267">
        <v>205200</v>
      </c>
      <c r="M2422" s="267" t="s">
        <v>3943</v>
      </c>
      <c r="N2422" s="267" t="s">
        <v>3944</v>
      </c>
      <c r="O2422" s="267">
        <v>6472</v>
      </c>
      <c r="P2422" s="267" t="s">
        <v>3944</v>
      </c>
      <c r="Q2422" s="267" t="s">
        <v>3944</v>
      </c>
      <c r="R2422" s="267">
        <v>6472</v>
      </c>
      <c r="S2422" s="267">
        <v>78720.56</v>
      </c>
      <c r="T2422" s="267">
        <v>85192.56</v>
      </c>
      <c r="U2422" s="268" t="s">
        <v>3945</v>
      </c>
      <c r="V2422" s="267" t="s">
        <v>944</v>
      </c>
    </row>
    <row r="2423" spans="1:22" hidden="1" x14ac:dyDescent="0.25">
      <c r="A2423" s="269">
        <v>43599</v>
      </c>
      <c r="B2423" s="270">
        <v>2019</v>
      </c>
      <c r="C2423" s="270">
        <v>2019</v>
      </c>
      <c r="D2423" s="270">
        <v>1</v>
      </c>
      <c r="E2423" s="270">
        <v>1</v>
      </c>
      <c r="F2423" s="270" t="s">
        <v>944</v>
      </c>
      <c r="G2423" s="270" t="s">
        <v>3926</v>
      </c>
      <c r="H2423" s="270" t="s">
        <v>6787</v>
      </c>
      <c r="I2423" s="270" t="s">
        <v>4019</v>
      </c>
      <c r="J2423" s="270" t="s">
        <v>3928</v>
      </c>
      <c r="K2423" s="270">
        <v>6706</v>
      </c>
      <c r="L2423" s="270">
        <v>352800</v>
      </c>
      <c r="M2423" s="270" t="s">
        <v>3940</v>
      </c>
      <c r="N2423" s="270" t="s">
        <v>3944</v>
      </c>
      <c r="O2423" s="270">
        <v>2642.22</v>
      </c>
      <c r="P2423" s="270" t="s">
        <v>3944</v>
      </c>
      <c r="Q2423" s="270" t="s">
        <v>3944</v>
      </c>
      <c r="R2423" s="270">
        <v>2642.22</v>
      </c>
      <c r="S2423" s="270">
        <v>35067.269999999997</v>
      </c>
      <c r="T2423" s="270">
        <v>37709.49</v>
      </c>
      <c r="U2423" s="271" t="s">
        <v>3945</v>
      </c>
      <c r="V2423" s="267" t="s">
        <v>944</v>
      </c>
    </row>
    <row r="2424" spans="1:22" hidden="1" x14ac:dyDescent="0.25">
      <c r="A2424" s="266">
        <v>43599</v>
      </c>
      <c r="B2424" s="267">
        <v>2019</v>
      </c>
      <c r="C2424" s="267">
        <v>2019</v>
      </c>
      <c r="D2424" s="267">
        <v>1</v>
      </c>
      <c r="E2424" s="267">
        <v>1</v>
      </c>
      <c r="F2424" s="267" t="s">
        <v>944</v>
      </c>
      <c r="G2424" s="267" t="s">
        <v>3926</v>
      </c>
      <c r="H2424" s="267" t="s">
        <v>6788</v>
      </c>
      <c r="I2424" s="267" t="s">
        <v>4235</v>
      </c>
      <c r="J2424" s="267" t="s">
        <v>3928</v>
      </c>
      <c r="K2424" s="267">
        <v>6066</v>
      </c>
      <c r="L2424" s="267">
        <v>530600</v>
      </c>
      <c r="M2424" s="267" t="s">
        <v>3960</v>
      </c>
      <c r="N2424" s="267" t="s">
        <v>3944</v>
      </c>
      <c r="O2424" s="267">
        <v>1521.87</v>
      </c>
      <c r="P2424" s="267" t="s">
        <v>3944</v>
      </c>
      <c r="Q2424" s="267" t="s">
        <v>3944</v>
      </c>
      <c r="R2424" s="267">
        <v>1521.87</v>
      </c>
      <c r="S2424" s="267">
        <v>23647.18</v>
      </c>
      <c r="T2424" s="267">
        <v>25169.05</v>
      </c>
      <c r="U2424" s="268" t="s">
        <v>3945</v>
      </c>
      <c r="V2424" s="267" t="s">
        <v>944</v>
      </c>
    </row>
    <row r="2425" spans="1:22" hidden="1" x14ac:dyDescent="0.25">
      <c r="A2425" s="269">
        <v>43599</v>
      </c>
      <c r="B2425" s="270">
        <v>2019</v>
      </c>
      <c r="C2425" s="270">
        <v>2019</v>
      </c>
      <c r="D2425" s="270">
        <v>1</v>
      </c>
      <c r="E2425" s="270">
        <v>1</v>
      </c>
      <c r="F2425" s="270" t="s">
        <v>944</v>
      </c>
      <c r="G2425" s="270" t="s">
        <v>3926</v>
      </c>
      <c r="H2425" s="270" t="s">
        <v>6789</v>
      </c>
      <c r="I2425" s="270" t="s">
        <v>3975</v>
      </c>
      <c r="J2425" s="270" t="s">
        <v>3928</v>
      </c>
      <c r="K2425" s="270">
        <v>6479</v>
      </c>
      <c r="L2425" s="270">
        <v>430500</v>
      </c>
      <c r="M2425" s="270" t="s">
        <v>3943</v>
      </c>
      <c r="N2425" s="270" t="s">
        <v>3944</v>
      </c>
      <c r="O2425" s="270">
        <v>1472.1</v>
      </c>
      <c r="P2425" s="270" t="s">
        <v>3944</v>
      </c>
      <c r="Q2425" s="270" t="s">
        <v>3944</v>
      </c>
      <c r="R2425" s="270">
        <v>1472.1</v>
      </c>
      <c r="S2425" s="270">
        <v>19262.23</v>
      </c>
      <c r="T2425" s="270">
        <v>20734.330000000002</v>
      </c>
      <c r="U2425" s="271" t="s">
        <v>3945</v>
      </c>
      <c r="V2425" s="267" t="s">
        <v>944</v>
      </c>
    </row>
    <row r="2426" spans="1:22" hidden="1" x14ac:dyDescent="0.25">
      <c r="A2426" s="266">
        <v>43599</v>
      </c>
      <c r="B2426" s="267">
        <v>2019</v>
      </c>
      <c r="C2426" s="267">
        <v>2019</v>
      </c>
      <c r="D2426" s="267">
        <v>1</v>
      </c>
      <c r="E2426" s="267">
        <v>1</v>
      </c>
      <c r="F2426" s="267" t="s">
        <v>944</v>
      </c>
      <c r="G2426" s="267" t="s">
        <v>3926</v>
      </c>
      <c r="H2426" s="267" t="s">
        <v>6790</v>
      </c>
      <c r="I2426" s="267" t="s">
        <v>956</v>
      </c>
      <c r="J2426" s="267" t="s">
        <v>3928</v>
      </c>
      <c r="K2426" s="267">
        <v>6614</v>
      </c>
      <c r="L2426" s="267">
        <v>81200</v>
      </c>
      <c r="M2426" s="267" t="s">
        <v>3943</v>
      </c>
      <c r="N2426" s="267" t="s">
        <v>3944</v>
      </c>
      <c r="O2426" s="267">
        <v>2537.08</v>
      </c>
      <c r="P2426" s="267" t="s">
        <v>3944</v>
      </c>
      <c r="Q2426" s="267" t="s">
        <v>3944</v>
      </c>
      <c r="R2426" s="267">
        <v>2537.08</v>
      </c>
      <c r="S2426" s="267">
        <v>40284.32</v>
      </c>
      <c r="T2426" s="267">
        <v>42821.4</v>
      </c>
      <c r="U2426" s="268" t="s">
        <v>3945</v>
      </c>
      <c r="V2426" s="267" t="s">
        <v>944</v>
      </c>
    </row>
    <row r="2427" spans="1:22" hidden="1" x14ac:dyDescent="0.25">
      <c r="A2427" s="269">
        <v>43599</v>
      </c>
      <c r="B2427" s="270">
        <v>2019</v>
      </c>
      <c r="C2427" s="270">
        <v>2019</v>
      </c>
      <c r="D2427" s="270">
        <v>1</v>
      </c>
      <c r="E2427" s="270">
        <v>1</v>
      </c>
      <c r="F2427" s="270" t="s">
        <v>944</v>
      </c>
      <c r="G2427" s="270" t="s">
        <v>3926</v>
      </c>
      <c r="H2427" s="270" t="s">
        <v>6791</v>
      </c>
      <c r="I2427" s="270" t="s">
        <v>6209</v>
      </c>
      <c r="J2427" s="270" t="s">
        <v>3928</v>
      </c>
      <c r="K2427" s="270">
        <v>6403</v>
      </c>
      <c r="L2427" s="270">
        <v>341100</v>
      </c>
      <c r="M2427" s="270" t="s">
        <v>3935</v>
      </c>
      <c r="N2427" s="270" t="s">
        <v>3944</v>
      </c>
      <c r="O2427" s="270">
        <v>3458.11</v>
      </c>
      <c r="P2427" s="270" t="s">
        <v>3944</v>
      </c>
      <c r="Q2427" s="270" t="s">
        <v>3944</v>
      </c>
      <c r="R2427" s="270">
        <v>3458.11</v>
      </c>
      <c r="S2427" s="270">
        <v>48871.06</v>
      </c>
      <c r="T2427" s="270">
        <v>52329.17</v>
      </c>
      <c r="U2427" s="271" t="s">
        <v>3945</v>
      </c>
      <c r="V2427" s="267" t="s">
        <v>944</v>
      </c>
    </row>
    <row r="2428" spans="1:22" hidden="1" x14ac:dyDescent="0.25">
      <c r="A2428" s="266">
        <v>43599</v>
      </c>
      <c r="B2428" s="267">
        <v>2019</v>
      </c>
      <c r="C2428" s="267">
        <v>2019</v>
      </c>
      <c r="D2428" s="267">
        <v>1</v>
      </c>
      <c r="E2428" s="267">
        <v>1</v>
      </c>
      <c r="F2428" s="267" t="s">
        <v>944</v>
      </c>
      <c r="G2428" s="267" t="s">
        <v>3926</v>
      </c>
      <c r="H2428" s="267" t="s">
        <v>6792</v>
      </c>
      <c r="I2428" s="267" t="s">
        <v>3962</v>
      </c>
      <c r="J2428" s="267" t="s">
        <v>3928</v>
      </c>
      <c r="K2428" s="267">
        <v>6355</v>
      </c>
      <c r="L2428" s="267">
        <v>705300</v>
      </c>
      <c r="M2428" s="267" t="s">
        <v>3960</v>
      </c>
      <c r="N2428" s="267" t="s">
        <v>3944</v>
      </c>
      <c r="O2428" s="267">
        <v>1965.5</v>
      </c>
      <c r="P2428" s="267" t="s">
        <v>3944</v>
      </c>
      <c r="Q2428" s="267" t="s">
        <v>3944</v>
      </c>
      <c r="R2428" s="267">
        <v>1965.5</v>
      </c>
      <c r="S2428" s="267">
        <v>29870.09</v>
      </c>
      <c r="T2428" s="267">
        <v>31835.59</v>
      </c>
      <c r="U2428" s="268" t="s">
        <v>3945</v>
      </c>
      <c r="V2428" s="267" t="s">
        <v>944</v>
      </c>
    </row>
    <row r="2429" spans="1:22" hidden="1" x14ac:dyDescent="0.25">
      <c r="A2429" s="269">
        <v>43599</v>
      </c>
      <c r="B2429" s="270">
        <v>2019</v>
      </c>
      <c r="C2429" s="270">
        <v>2019</v>
      </c>
      <c r="D2429" s="270">
        <v>1</v>
      </c>
      <c r="E2429" s="270">
        <v>1</v>
      </c>
      <c r="F2429" s="270" t="s">
        <v>944</v>
      </c>
      <c r="G2429" s="270" t="s">
        <v>3926</v>
      </c>
      <c r="H2429" s="270" t="s">
        <v>6793</v>
      </c>
      <c r="I2429" s="270" t="s">
        <v>4235</v>
      </c>
      <c r="J2429" s="270" t="s">
        <v>3928</v>
      </c>
      <c r="K2429" s="270">
        <v>6066</v>
      </c>
      <c r="L2429" s="270">
        <v>530600</v>
      </c>
      <c r="M2429" s="270" t="s">
        <v>3960</v>
      </c>
      <c r="N2429" s="270" t="s">
        <v>3944</v>
      </c>
      <c r="O2429" s="270">
        <v>1371.51</v>
      </c>
      <c r="P2429" s="270" t="s">
        <v>3944</v>
      </c>
      <c r="Q2429" s="270" t="s">
        <v>3944</v>
      </c>
      <c r="R2429" s="270">
        <v>1371.51</v>
      </c>
      <c r="S2429" s="270">
        <v>19880.5</v>
      </c>
      <c r="T2429" s="270">
        <v>21252.01</v>
      </c>
      <c r="U2429" s="271" t="s">
        <v>3945</v>
      </c>
      <c r="V2429" s="267" t="s">
        <v>944</v>
      </c>
    </row>
    <row r="2430" spans="1:22" hidden="1" x14ac:dyDescent="0.25">
      <c r="A2430" s="266">
        <v>43599</v>
      </c>
      <c r="B2430" s="267">
        <v>2019</v>
      </c>
      <c r="C2430" s="267">
        <v>2019</v>
      </c>
      <c r="D2430" s="267">
        <v>1</v>
      </c>
      <c r="E2430" s="267">
        <v>1</v>
      </c>
      <c r="F2430" s="267" t="s">
        <v>944</v>
      </c>
      <c r="G2430" s="267" t="s">
        <v>3926</v>
      </c>
      <c r="H2430" s="267" t="s">
        <v>6794</v>
      </c>
      <c r="I2430" s="267" t="s">
        <v>3939</v>
      </c>
      <c r="J2430" s="267" t="s">
        <v>3928</v>
      </c>
      <c r="K2430" s="267">
        <v>6512</v>
      </c>
      <c r="L2430" s="267">
        <v>180601</v>
      </c>
      <c r="M2430" s="267" t="s">
        <v>3940</v>
      </c>
      <c r="N2430" s="267" t="s">
        <v>3944</v>
      </c>
      <c r="O2430" s="267">
        <v>2014.22</v>
      </c>
      <c r="P2430" s="267" t="s">
        <v>3944</v>
      </c>
      <c r="Q2430" s="267" t="s">
        <v>3944</v>
      </c>
      <c r="R2430" s="267">
        <v>2014.22</v>
      </c>
      <c r="S2430" s="267">
        <v>32553.59</v>
      </c>
      <c r="T2430" s="267">
        <v>34567.81</v>
      </c>
      <c r="U2430" s="268" t="s">
        <v>3945</v>
      </c>
      <c r="V2430" s="267" t="s">
        <v>944</v>
      </c>
    </row>
    <row r="2431" spans="1:22" hidden="1" x14ac:dyDescent="0.25">
      <c r="A2431" s="269">
        <v>43599</v>
      </c>
      <c r="B2431" s="270">
        <v>2019</v>
      </c>
      <c r="C2431" s="270">
        <v>2019</v>
      </c>
      <c r="D2431" s="270">
        <v>1</v>
      </c>
      <c r="E2431" s="270">
        <v>1</v>
      </c>
      <c r="F2431" s="270" t="s">
        <v>944</v>
      </c>
      <c r="G2431" s="270" t="s">
        <v>3926</v>
      </c>
      <c r="H2431" s="270" t="s">
        <v>6795</v>
      </c>
      <c r="I2431" s="270" t="s">
        <v>4250</v>
      </c>
      <c r="J2431" s="270" t="s">
        <v>3928</v>
      </c>
      <c r="K2431" s="270">
        <v>6241</v>
      </c>
      <c r="L2431" s="270">
        <v>904400</v>
      </c>
      <c r="M2431" s="270" t="s">
        <v>3940</v>
      </c>
      <c r="N2431" s="270" t="s">
        <v>3944</v>
      </c>
      <c r="O2431" s="270">
        <v>2329.88</v>
      </c>
      <c r="P2431" s="270" t="s">
        <v>3944</v>
      </c>
      <c r="Q2431" s="270" t="s">
        <v>3944</v>
      </c>
      <c r="R2431" s="270">
        <v>2329.88</v>
      </c>
      <c r="S2431" s="270">
        <v>34022.93</v>
      </c>
      <c r="T2431" s="270">
        <v>36352.81</v>
      </c>
      <c r="U2431" s="271" t="s">
        <v>3945</v>
      </c>
      <c r="V2431" s="267" t="s">
        <v>944</v>
      </c>
    </row>
    <row r="2432" spans="1:22" hidden="1" x14ac:dyDescent="0.25">
      <c r="A2432" s="266">
        <v>43599</v>
      </c>
      <c r="B2432" s="267">
        <v>2019</v>
      </c>
      <c r="C2432" s="267">
        <v>2019</v>
      </c>
      <c r="D2432" s="267">
        <v>1</v>
      </c>
      <c r="E2432" s="267">
        <v>1</v>
      </c>
      <c r="F2432" s="267" t="s">
        <v>944</v>
      </c>
      <c r="G2432" s="267" t="s">
        <v>3926</v>
      </c>
      <c r="H2432" s="267" t="s">
        <v>6796</v>
      </c>
      <c r="I2432" s="267" t="s">
        <v>3985</v>
      </c>
      <c r="J2432" s="267" t="s">
        <v>3928</v>
      </c>
      <c r="K2432" s="267">
        <v>6280</v>
      </c>
      <c r="L2432" s="267">
        <v>800500</v>
      </c>
      <c r="M2432" s="267" t="s">
        <v>3940</v>
      </c>
      <c r="N2432" s="267" t="s">
        <v>3944</v>
      </c>
      <c r="O2432" s="267">
        <v>1495.13</v>
      </c>
      <c r="P2432" s="267" t="s">
        <v>3944</v>
      </c>
      <c r="Q2432" s="267" t="s">
        <v>3944</v>
      </c>
      <c r="R2432" s="267">
        <v>1495.13</v>
      </c>
      <c r="S2432" s="267">
        <v>22565.38</v>
      </c>
      <c r="T2432" s="267">
        <v>24060.51</v>
      </c>
      <c r="U2432" s="268" t="s">
        <v>3945</v>
      </c>
      <c r="V2432" s="267" t="s">
        <v>944</v>
      </c>
    </row>
    <row r="2433" spans="1:22" hidden="1" x14ac:dyDescent="0.25">
      <c r="A2433" s="269">
        <v>43599</v>
      </c>
      <c r="B2433" s="270">
        <v>2019</v>
      </c>
      <c r="C2433" s="270">
        <v>2019</v>
      </c>
      <c r="D2433" s="270">
        <v>1</v>
      </c>
      <c r="E2433" s="270">
        <v>1</v>
      </c>
      <c r="F2433" s="270" t="s">
        <v>944</v>
      </c>
      <c r="G2433" s="270" t="s">
        <v>3926</v>
      </c>
      <c r="H2433" s="270" t="s">
        <v>6797</v>
      </c>
      <c r="I2433" s="270" t="s">
        <v>3009</v>
      </c>
      <c r="J2433" s="270" t="s">
        <v>3928</v>
      </c>
      <c r="K2433" s="270">
        <v>6484</v>
      </c>
      <c r="L2433" s="270">
        <v>110500</v>
      </c>
      <c r="M2433" s="270" t="s">
        <v>3943</v>
      </c>
      <c r="N2433" s="270" t="s">
        <v>3944</v>
      </c>
      <c r="O2433" s="270">
        <v>1922.97</v>
      </c>
      <c r="P2433" s="270" t="s">
        <v>3944</v>
      </c>
      <c r="Q2433" s="270" t="s">
        <v>3944</v>
      </c>
      <c r="R2433" s="270">
        <v>1922.97</v>
      </c>
      <c r="S2433" s="270">
        <v>31279.69</v>
      </c>
      <c r="T2433" s="270">
        <v>33202.660000000003</v>
      </c>
      <c r="U2433" s="271" t="s">
        <v>3945</v>
      </c>
      <c r="V2433" s="267" t="s">
        <v>944</v>
      </c>
    </row>
    <row r="2434" spans="1:22" hidden="1" x14ac:dyDescent="0.25">
      <c r="A2434" s="266">
        <v>43599</v>
      </c>
      <c r="B2434" s="267">
        <v>2019</v>
      </c>
      <c r="C2434" s="267">
        <v>2019</v>
      </c>
      <c r="D2434" s="267">
        <v>1</v>
      </c>
      <c r="E2434" s="267">
        <v>1</v>
      </c>
      <c r="F2434" s="267" t="s">
        <v>944</v>
      </c>
      <c r="G2434" s="267" t="s">
        <v>3926</v>
      </c>
      <c r="H2434" s="267" t="s">
        <v>6798</v>
      </c>
      <c r="I2434" s="267" t="s">
        <v>4003</v>
      </c>
      <c r="J2434" s="267" t="s">
        <v>3928</v>
      </c>
      <c r="K2434" s="267">
        <v>6354</v>
      </c>
      <c r="L2434" s="267">
        <v>907200</v>
      </c>
      <c r="M2434" s="267" t="s">
        <v>3940</v>
      </c>
      <c r="N2434" s="267" t="s">
        <v>3944</v>
      </c>
      <c r="O2434" s="267">
        <v>1033.6600000000001</v>
      </c>
      <c r="P2434" s="267" t="s">
        <v>3944</v>
      </c>
      <c r="Q2434" s="267" t="s">
        <v>3944</v>
      </c>
      <c r="R2434" s="267">
        <v>1033.6600000000001</v>
      </c>
      <c r="S2434" s="267">
        <v>15735.32</v>
      </c>
      <c r="T2434" s="267">
        <v>16768.98</v>
      </c>
      <c r="U2434" s="268" t="s">
        <v>3945</v>
      </c>
      <c r="V2434" s="267" t="s">
        <v>944</v>
      </c>
    </row>
    <row r="2435" spans="1:22" hidden="1" x14ac:dyDescent="0.25">
      <c r="A2435" s="269">
        <v>43599</v>
      </c>
      <c r="B2435" s="270">
        <v>2019</v>
      </c>
      <c r="C2435" s="270">
        <v>2019</v>
      </c>
      <c r="D2435" s="270">
        <v>1</v>
      </c>
      <c r="E2435" s="270">
        <v>1</v>
      </c>
      <c r="F2435" s="270" t="s">
        <v>944</v>
      </c>
      <c r="G2435" s="270" t="s">
        <v>3926</v>
      </c>
      <c r="H2435" s="270" t="s">
        <v>6799</v>
      </c>
      <c r="I2435" s="270" t="s">
        <v>5147</v>
      </c>
      <c r="J2435" s="270" t="s">
        <v>3928</v>
      </c>
      <c r="K2435" s="270">
        <v>6468</v>
      </c>
      <c r="L2435" s="270">
        <v>100200</v>
      </c>
      <c r="M2435" s="270" t="s">
        <v>3943</v>
      </c>
      <c r="N2435" s="270" t="s">
        <v>3944</v>
      </c>
      <c r="O2435" s="270">
        <v>4020.8</v>
      </c>
      <c r="P2435" s="270" t="s">
        <v>3944</v>
      </c>
      <c r="Q2435" s="270" t="s">
        <v>3944</v>
      </c>
      <c r="R2435" s="270">
        <v>4020.8</v>
      </c>
      <c r="S2435" s="270">
        <v>57307.26</v>
      </c>
      <c r="T2435" s="270">
        <v>61328.06</v>
      </c>
      <c r="U2435" s="271" t="s">
        <v>3945</v>
      </c>
      <c r="V2435" s="267" t="s">
        <v>944</v>
      </c>
    </row>
    <row r="2436" spans="1:22" hidden="1" x14ac:dyDescent="0.25">
      <c r="A2436" s="266">
        <v>43600</v>
      </c>
      <c r="B2436" s="267">
        <v>2019</v>
      </c>
      <c r="C2436" s="267">
        <v>2019</v>
      </c>
      <c r="D2436" s="267">
        <v>1</v>
      </c>
      <c r="E2436" s="267">
        <v>1</v>
      </c>
      <c r="F2436" s="267" t="s">
        <v>944</v>
      </c>
      <c r="G2436" s="267" t="s">
        <v>3926</v>
      </c>
      <c r="H2436" s="267" t="s">
        <v>6800</v>
      </c>
      <c r="I2436" s="267" t="s">
        <v>950</v>
      </c>
      <c r="J2436" s="267" t="s">
        <v>3928</v>
      </c>
      <c r="K2436" s="267">
        <v>6516</v>
      </c>
      <c r="L2436" s="267">
        <v>154600</v>
      </c>
      <c r="M2436" s="267">
        <v>-60</v>
      </c>
      <c r="N2436" s="267" t="s">
        <v>6801</v>
      </c>
      <c r="O2436" s="267">
        <v>0</v>
      </c>
      <c r="P2436" s="267" t="s">
        <v>3930</v>
      </c>
      <c r="Q2436" s="267" t="s">
        <v>3930</v>
      </c>
      <c r="R2436" s="267">
        <v>0</v>
      </c>
      <c r="S2436" s="267">
        <v>7190</v>
      </c>
      <c r="T2436" s="267">
        <v>7190</v>
      </c>
      <c r="U2436" s="268" t="s">
        <v>3937</v>
      </c>
      <c r="V2436" s="267" t="s">
        <v>944</v>
      </c>
    </row>
    <row r="2437" spans="1:22" hidden="1" x14ac:dyDescent="0.25">
      <c r="A2437" s="269">
        <v>43600</v>
      </c>
      <c r="B2437" s="270">
        <v>2019</v>
      </c>
      <c r="C2437" s="270">
        <v>2019</v>
      </c>
      <c r="D2437" s="270">
        <v>1</v>
      </c>
      <c r="E2437" s="270">
        <v>1</v>
      </c>
      <c r="F2437" s="270" t="s">
        <v>944</v>
      </c>
      <c r="G2437" s="270" t="s">
        <v>3926</v>
      </c>
      <c r="H2437" s="270" t="s">
        <v>6802</v>
      </c>
      <c r="I2437" s="270" t="s">
        <v>4213</v>
      </c>
      <c r="J2437" s="270" t="s">
        <v>3928</v>
      </c>
      <c r="K2437" s="270">
        <v>6052</v>
      </c>
      <c r="L2437" s="270">
        <v>416400</v>
      </c>
      <c r="M2437" s="270" t="s">
        <v>3960</v>
      </c>
      <c r="N2437" s="270" t="s">
        <v>6803</v>
      </c>
      <c r="O2437" s="270">
        <v>0</v>
      </c>
      <c r="P2437" s="270" t="s">
        <v>3930</v>
      </c>
      <c r="Q2437" s="270" t="s">
        <v>3930</v>
      </c>
      <c r="R2437" s="270">
        <v>0</v>
      </c>
      <c r="S2437" s="270">
        <v>29041.75</v>
      </c>
      <c r="T2437" s="270">
        <v>29041.75</v>
      </c>
      <c r="U2437" s="271" t="s">
        <v>3937</v>
      </c>
      <c r="V2437" s="267" t="s">
        <v>944</v>
      </c>
    </row>
    <row r="2438" spans="1:22" hidden="1" x14ac:dyDescent="0.25">
      <c r="A2438" s="266">
        <v>43600</v>
      </c>
      <c r="B2438" s="267">
        <v>2019</v>
      </c>
      <c r="C2438" s="267">
        <v>2019</v>
      </c>
      <c r="D2438" s="267">
        <v>1</v>
      </c>
      <c r="E2438" s="267">
        <v>1</v>
      </c>
      <c r="F2438" s="267" t="s">
        <v>944</v>
      </c>
      <c r="G2438" s="267" t="s">
        <v>3926</v>
      </c>
      <c r="H2438" s="267" t="s">
        <v>6804</v>
      </c>
      <c r="I2438" s="267" t="s">
        <v>2985</v>
      </c>
      <c r="J2438" s="267" t="s">
        <v>3928</v>
      </c>
      <c r="K2438" s="267">
        <v>6825</v>
      </c>
      <c r="L2438" s="267">
        <v>60200</v>
      </c>
      <c r="M2438" s="267" t="s">
        <v>3943</v>
      </c>
      <c r="N2438" s="267" t="s">
        <v>6805</v>
      </c>
      <c r="O2438" s="267">
        <v>0</v>
      </c>
      <c r="P2438" s="267" t="s">
        <v>3930</v>
      </c>
      <c r="Q2438" s="267" t="s">
        <v>3930</v>
      </c>
      <c r="R2438" s="267">
        <v>0</v>
      </c>
      <c r="S2438" s="267">
        <v>19839</v>
      </c>
      <c r="T2438" s="267">
        <v>19839</v>
      </c>
      <c r="U2438" s="268" t="s">
        <v>3937</v>
      </c>
      <c r="V2438" s="267" t="s">
        <v>944</v>
      </c>
    </row>
    <row r="2439" spans="1:22" hidden="1" x14ac:dyDescent="0.25">
      <c r="A2439" s="269">
        <v>43600</v>
      </c>
      <c r="B2439" s="270">
        <v>2019</v>
      </c>
      <c r="C2439" s="270">
        <v>2019</v>
      </c>
      <c r="D2439" s="270">
        <v>1</v>
      </c>
      <c r="E2439" s="270">
        <v>1</v>
      </c>
      <c r="F2439" s="270" t="s">
        <v>944</v>
      </c>
      <c r="G2439" s="270" t="s">
        <v>3926</v>
      </c>
      <c r="H2439" s="270" t="s">
        <v>6806</v>
      </c>
      <c r="I2439" s="270" t="s">
        <v>3939</v>
      </c>
      <c r="J2439" s="270" t="s">
        <v>3928</v>
      </c>
      <c r="K2439" s="270">
        <v>6512</v>
      </c>
      <c r="L2439" s="270">
        <v>180400</v>
      </c>
      <c r="M2439" s="270" t="s">
        <v>3935</v>
      </c>
      <c r="N2439" s="270" t="s">
        <v>6807</v>
      </c>
      <c r="O2439" s="270">
        <v>0</v>
      </c>
      <c r="P2439" s="270" t="s">
        <v>3930</v>
      </c>
      <c r="Q2439" s="270" t="s">
        <v>3930</v>
      </c>
      <c r="R2439" s="270">
        <v>0</v>
      </c>
      <c r="S2439" s="270">
        <v>8454.82</v>
      </c>
      <c r="T2439" s="270">
        <v>8454.82</v>
      </c>
      <c r="U2439" s="271" t="s">
        <v>3937</v>
      </c>
      <c r="V2439" s="267" t="s">
        <v>944</v>
      </c>
    </row>
    <row r="2440" spans="1:22" hidden="1" x14ac:dyDescent="0.25">
      <c r="A2440" s="266">
        <v>43600</v>
      </c>
      <c r="B2440" s="267">
        <v>2019</v>
      </c>
      <c r="C2440" s="267">
        <v>2019</v>
      </c>
      <c r="D2440" s="267">
        <v>1</v>
      </c>
      <c r="E2440" s="267">
        <v>1</v>
      </c>
      <c r="F2440" s="267" t="s">
        <v>944</v>
      </c>
      <c r="G2440" s="267" t="s">
        <v>3926</v>
      </c>
      <c r="H2440" s="267" t="s">
        <v>6808</v>
      </c>
      <c r="I2440" s="267" t="s">
        <v>4392</v>
      </c>
      <c r="J2440" s="267" t="s">
        <v>3928</v>
      </c>
      <c r="K2440" s="267">
        <v>6457</v>
      </c>
      <c r="L2440" s="267">
        <v>542100</v>
      </c>
      <c r="M2440" s="267" t="s">
        <v>3940</v>
      </c>
      <c r="N2440" s="267" t="s">
        <v>3986</v>
      </c>
      <c r="O2440" s="267">
        <v>1188.18</v>
      </c>
      <c r="P2440" s="267" t="s">
        <v>3930</v>
      </c>
      <c r="Q2440" s="267" t="s">
        <v>3931</v>
      </c>
      <c r="R2440" s="267">
        <v>6188.18</v>
      </c>
      <c r="S2440" s="267">
        <v>16196.8</v>
      </c>
      <c r="T2440" s="267">
        <v>22384.98</v>
      </c>
      <c r="U2440" s="268" t="s">
        <v>3932</v>
      </c>
      <c r="V2440" s="267" t="s">
        <v>944</v>
      </c>
    </row>
    <row r="2441" spans="1:22" hidden="1" x14ac:dyDescent="0.25">
      <c r="A2441" s="269">
        <v>43600</v>
      </c>
      <c r="B2441" s="270">
        <v>2019</v>
      </c>
      <c r="C2441" s="270">
        <v>2019</v>
      </c>
      <c r="D2441" s="270">
        <v>1</v>
      </c>
      <c r="E2441" s="270">
        <v>1</v>
      </c>
      <c r="F2441" s="270" t="s">
        <v>944</v>
      </c>
      <c r="G2441" s="270" t="s">
        <v>3926</v>
      </c>
      <c r="H2441" s="270" t="s">
        <v>6809</v>
      </c>
      <c r="I2441" s="270" t="s">
        <v>3962</v>
      </c>
      <c r="J2441" s="270" t="s">
        <v>3928</v>
      </c>
      <c r="K2441" s="270">
        <v>6379</v>
      </c>
      <c r="L2441" s="270">
        <v>705102</v>
      </c>
      <c r="M2441" s="270" t="s">
        <v>3940</v>
      </c>
      <c r="N2441" s="270" t="s">
        <v>4103</v>
      </c>
      <c r="O2441" s="270">
        <v>1500.94</v>
      </c>
      <c r="P2441" s="270" t="s">
        <v>3930</v>
      </c>
      <c r="Q2441" s="270" t="s">
        <v>3931</v>
      </c>
      <c r="R2441" s="270">
        <v>6500.94</v>
      </c>
      <c r="S2441" s="270">
        <v>24145.599999999999</v>
      </c>
      <c r="T2441" s="270">
        <v>30646.54</v>
      </c>
      <c r="U2441" s="271" t="s">
        <v>3932</v>
      </c>
      <c r="V2441" s="267" t="s">
        <v>944</v>
      </c>
    </row>
    <row r="2442" spans="1:22" hidden="1" x14ac:dyDescent="0.25">
      <c r="A2442" s="266">
        <v>43600</v>
      </c>
      <c r="B2442" s="267">
        <v>2019</v>
      </c>
      <c r="C2442" s="267">
        <v>2019</v>
      </c>
      <c r="D2442" s="267">
        <v>1</v>
      </c>
      <c r="E2442" s="267">
        <v>1</v>
      </c>
      <c r="F2442" s="267" t="s">
        <v>944</v>
      </c>
      <c r="G2442" s="267" t="s">
        <v>3926</v>
      </c>
      <c r="H2442" s="267" t="s">
        <v>6810</v>
      </c>
      <c r="I2442" s="267" t="s">
        <v>3008</v>
      </c>
      <c r="J2442" s="267" t="s">
        <v>3928</v>
      </c>
      <c r="K2442" s="267">
        <v>6461</v>
      </c>
      <c r="L2442" s="267">
        <v>150700</v>
      </c>
      <c r="M2442" s="267" t="s">
        <v>3943</v>
      </c>
      <c r="N2442" s="267" t="s">
        <v>4103</v>
      </c>
      <c r="O2442" s="267">
        <v>1616.02</v>
      </c>
      <c r="P2442" s="267" t="s">
        <v>3930</v>
      </c>
      <c r="Q2442" s="267" t="s">
        <v>3931</v>
      </c>
      <c r="R2442" s="267">
        <v>6616.02</v>
      </c>
      <c r="S2442" s="267">
        <v>24145.599999999999</v>
      </c>
      <c r="T2442" s="267">
        <v>30761.62</v>
      </c>
      <c r="U2442" s="268" t="s">
        <v>3932</v>
      </c>
      <c r="V2442" s="267" t="s">
        <v>944</v>
      </c>
    </row>
    <row r="2443" spans="1:22" hidden="1" x14ac:dyDescent="0.25">
      <c r="A2443" s="269">
        <v>43600</v>
      </c>
      <c r="B2443" s="270">
        <v>2019</v>
      </c>
      <c r="C2443" s="270">
        <v>2019</v>
      </c>
      <c r="D2443" s="270">
        <v>1</v>
      </c>
      <c r="E2443" s="270">
        <v>1</v>
      </c>
      <c r="F2443" s="270" t="s">
        <v>944</v>
      </c>
      <c r="G2443" s="270" t="s">
        <v>3926</v>
      </c>
      <c r="H2443" s="270" t="s">
        <v>6811</v>
      </c>
      <c r="I2443" s="270" t="s">
        <v>4556</v>
      </c>
      <c r="J2443" s="270" t="s">
        <v>3928</v>
      </c>
      <c r="K2443" s="270">
        <v>6029</v>
      </c>
      <c r="L2443" s="270">
        <v>535200</v>
      </c>
      <c r="M2443" s="270" t="s">
        <v>3960</v>
      </c>
      <c r="N2443" s="270" t="s">
        <v>3944</v>
      </c>
      <c r="O2443" s="270">
        <v>4745</v>
      </c>
      <c r="P2443" s="270" t="s">
        <v>3944</v>
      </c>
      <c r="Q2443" s="270" t="s">
        <v>3944</v>
      </c>
      <c r="R2443" s="270">
        <v>4745</v>
      </c>
      <c r="S2443" s="270">
        <v>34152.1</v>
      </c>
      <c r="T2443" s="270">
        <v>38897.1</v>
      </c>
      <c r="U2443" s="271" t="s">
        <v>3945</v>
      </c>
      <c r="V2443" s="267" t="s">
        <v>944</v>
      </c>
    </row>
    <row r="2444" spans="1:22" hidden="1" x14ac:dyDescent="0.25">
      <c r="A2444" s="266">
        <v>43600</v>
      </c>
      <c r="B2444" s="267">
        <v>2019</v>
      </c>
      <c r="C2444" s="267">
        <v>2019</v>
      </c>
      <c r="D2444" s="267">
        <v>1</v>
      </c>
      <c r="E2444" s="267">
        <v>1</v>
      </c>
      <c r="F2444" s="267" t="s">
        <v>944</v>
      </c>
      <c r="G2444" s="267" t="s">
        <v>3926</v>
      </c>
      <c r="H2444" s="267" t="s">
        <v>6812</v>
      </c>
      <c r="I2444" s="267" t="s">
        <v>3008</v>
      </c>
      <c r="J2444" s="267" t="s">
        <v>3928</v>
      </c>
      <c r="K2444" s="267">
        <v>6460</v>
      </c>
      <c r="L2444" s="267">
        <v>150200</v>
      </c>
      <c r="M2444" s="267" t="s">
        <v>3935</v>
      </c>
      <c r="N2444" s="267" t="s">
        <v>3944</v>
      </c>
      <c r="O2444" s="267">
        <v>2648</v>
      </c>
      <c r="P2444" s="267" t="s">
        <v>3944</v>
      </c>
      <c r="Q2444" s="267" t="s">
        <v>3944</v>
      </c>
      <c r="R2444" s="267">
        <v>2648</v>
      </c>
      <c r="S2444" s="267">
        <v>47752</v>
      </c>
      <c r="T2444" s="267">
        <v>50400</v>
      </c>
      <c r="U2444" s="268" t="s">
        <v>3945</v>
      </c>
      <c r="V2444" s="267" t="s">
        <v>944</v>
      </c>
    </row>
    <row r="2445" spans="1:22" hidden="1" x14ac:dyDescent="0.25">
      <c r="A2445" s="269">
        <v>43600</v>
      </c>
      <c r="B2445" s="270">
        <v>2019</v>
      </c>
      <c r="C2445" s="270">
        <v>2019</v>
      </c>
      <c r="D2445" s="270">
        <v>1</v>
      </c>
      <c r="E2445" s="270">
        <v>1</v>
      </c>
      <c r="F2445" s="270" t="s">
        <v>944</v>
      </c>
      <c r="G2445" s="270" t="s">
        <v>3926</v>
      </c>
      <c r="H2445" s="270" t="s">
        <v>6813</v>
      </c>
      <c r="I2445" s="270" t="s">
        <v>6814</v>
      </c>
      <c r="J2445" s="270" t="s">
        <v>3928</v>
      </c>
      <c r="K2445" s="270">
        <v>6018</v>
      </c>
      <c r="L2445" s="270">
        <v>260200</v>
      </c>
      <c r="M2445" s="270" t="s">
        <v>3940</v>
      </c>
      <c r="N2445" s="270" t="s">
        <v>3944</v>
      </c>
      <c r="O2445" s="270">
        <v>4168</v>
      </c>
      <c r="P2445" s="270" t="s">
        <v>3944</v>
      </c>
      <c r="Q2445" s="270" t="s">
        <v>3944</v>
      </c>
      <c r="R2445" s="270">
        <v>4168</v>
      </c>
      <c r="S2445" s="270">
        <v>34973.9</v>
      </c>
      <c r="T2445" s="270">
        <v>39141.9</v>
      </c>
      <c r="U2445" s="271" t="s">
        <v>3945</v>
      </c>
      <c r="V2445" s="267" t="s">
        <v>944</v>
      </c>
    </row>
    <row r="2446" spans="1:22" hidden="1" x14ac:dyDescent="0.25">
      <c r="A2446" s="266">
        <v>43600</v>
      </c>
      <c r="B2446" s="267">
        <v>2019</v>
      </c>
      <c r="C2446" s="267">
        <v>2019</v>
      </c>
      <c r="D2446" s="267">
        <v>1</v>
      </c>
      <c r="E2446" s="267">
        <v>1</v>
      </c>
      <c r="F2446" s="267" t="s">
        <v>944</v>
      </c>
      <c r="G2446" s="267" t="s">
        <v>3926</v>
      </c>
      <c r="H2446" s="267" t="s">
        <v>6815</v>
      </c>
      <c r="I2446" s="267" t="s">
        <v>3008</v>
      </c>
      <c r="J2446" s="267" t="s">
        <v>3928</v>
      </c>
      <c r="K2446" s="267">
        <v>6460</v>
      </c>
      <c r="L2446" s="267">
        <v>150900</v>
      </c>
      <c r="M2446" s="267" t="s">
        <v>3943</v>
      </c>
      <c r="N2446" s="267" t="s">
        <v>3944</v>
      </c>
      <c r="O2446" s="267">
        <v>2048.4499999999998</v>
      </c>
      <c r="P2446" s="267" t="s">
        <v>3944</v>
      </c>
      <c r="Q2446" s="267" t="s">
        <v>3944</v>
      </c>
      <c r="R2446" s="267">
        <v>2048.4499999999998</v>
      </c>
      <c r="S2446" s="267">
        <v>39868.589999999997</v>
      </c>
      <c r="T2446" s="267">
        <v>41917.040000000001</v>
      </c>
      <c r="U2446" s="268" t="s">
        <v>3945</v>
      </c>
      <c r="V2446" s="267" t="s">
        <v>944</v>
      </c>
    </row>
    <row r="2447" spans="1:22" hidden="1" x14ac:dyDescent="0.25">
      <c r="A2447" s="269">
        <v>43600</v>
      </c>
      <c r="B2447" s="270">
        <v>2019</v>
      </c>
      <c r="C2447" s="270">
        <v>2019</v>
      </c>
      <c r="D2447" s="270">
        <v>1</v>
      </c>
      <c r="E2447" s="270">
        <v>1</v>
      </c>
      <c r="F2447" s="270" t="s">
        <v>944</v>
      </c>
      <c r="G2447" s="270" t="s">
        <v>3926</v>
      </c>
      <c r="H2447" s="270" t="s">
        <v>6816</v>
      </c>
      <c r="I2447" s="270" t="s">
        <v>4323</v>
      </c>
      <c r="J2447" s="270" t="s">
        <v>3928</v>
      </c>
      <c r="K2447" s="270">
        <v>6375</v>
      </c>
      <c r="L2447" s="270">
        <v>693700</v>
      </c>
      <c r="M2447" s="270" t="s">
        <v>3943</v>
      </c>
      <c r="N2447" s="270" t="s">
        <v>3944</v>
      </c>
      <c r="O2447" s="270">
        <v>3467.66</v>
      </c>
      <c r="P2447" s="270" t="s">
        <v>3944</v>
      </c>
      <c r="Q2447" s="270" t="s">
        <v>3944</v>
      </c>
      <c r="R2447" s="270">
        <v>3467.66</v>
      </c>
      <c r="S2447" s="270">
        <v>51514.93</v>
      </c>
      <c r="T2447" s="270">
        <v>54982.59</v>
      </c>
      <c r="U2447" s="271" t="s">
        <v>3945</v>
      </c>
      <c r="V2447" s="267" t="s">
        <v>944</v>
      </c>
    </row>
    <row r="2448" spans="1:22" hidden="1" x14ac:dyDescent="0.25">
      <c r="A2448" s="266">
        <v>43600</v>
      </c>
      <c r="B2448" s="267">
        <v>2019</v>
      </c>
      <c r="C2448" s="267">
        <v>2019</v>
      </c>
      <c r="D2448" s="267">
        <v>1</v>
      </c>
      <c r="E2448" s="267">
        <v>1</v>
      </c>
      <c r="F2448" s="267" t="s">
        <v>944</v>
      </c>
      <c r="G2448" s="267" t="s">
        <v>3926</v>
      </c>
      <c r="H2448" s="267" t="s">
        <v>6817</v>
      </c>
      <c r="I2448" s="267" t="s">
        <v>3956</v>
      </c>
      <c r="J2448" s="267" t="s">
        <v>3928</v>
      </c>
      <c r="K2448" s="267">
        <v>6112</v>
      </c>
      <c r="L2448" s="267">
        <v>503900</v>
      </c>
      <c r="M2448" s="267">
        <v>-60</v>
      </c>
      <c r="N2448" s="267" t="s">
        <v>3944</v>
      </c>
      <c r="O2448" s="267">
        <v>1039.47</v>
      </c>
      <c r="P2448" s="267" t="s">
        <v>3944</v>
      </c>
      <c r="Q2448" s="267" t="s">
        <v>3944</v>
      </c>
      <c r="R2448" s="267">
        <v>1039.47</v>
      </c>
      <c r="S2448" s="267">
        <v>13946.37</v>
      </c>
      <c r="T2448" s="267">
        <v>14985.84</v>
      </c>
      <c r="U2448" s="268" t="s">
        <v>3945</v>
      </c>
      <c r="V2448" s="267" t="s">
        <v>944</v>
      </c>
    </row>
    <row r="2449" spans="1:22" hidden="1" x14ac:dyDescent="0.25">
      <c r="A2449" s="269">
        <v>43600</v>
      </c>
      <c r="B2449" s="270">
        <v>2019</v>
      </c>
      <c r="C2449" s="270">
        <v>2019</v>
      </c>
      <c r="D2449" s="270">
        <v>1</v>
      </c>
      <c r="E2449" s="270">
        <v>1</v>
      </c>
      <c r="F2449" s="270" t="s">
        <v>944</v>
      </c>
      <c r="G2449" s="270" t="s">
        <v>3926</v>
      </c>
      <c r="H2449" s="270" t="s">
        <v>6818</v>
      </c>
      <c r="I2449" s="270" t="s">
        <v>5032</v>
      </c>
      <c r="J2449" s="270" t="s">
        <v>3928</v>
      </c>
      <c r="K2449" s="270">
        <v>6062</v>
      </c>
      <c r="L2449" s="270">
        <v>420600</v>
      </c>
      <c r="M2449" s="270" t="s">
        <v>3935</v>
      </c>
      <c r="N2449" s="270" t="s">
        <v>3944</v>
      </c>
      <c r="O2449" s="270">
        <v>1724.28</v>
      </c>
      <c r="P2449" s="270" t="s">
        <v>3944</v>
      </c>
      <c r="Q2449" s="270" t="s">
        <v>3944</v>
      </c>
      <c r="R2449" s="270">
        <v>1724.28</v>
      </c>
      <c r="S2449" s="270">
        <v>27552.52</v>
      </c>
      <c r="T2449" s="270">
        <v>29276.799999999999</v>
      </c>
      <c r="U2449" s="271" t="s">
        <v>3945</v>
      </c>
      <c r="V2449" s="267" t="s">
        <v>944</v>
      </c>
    </row>
    <row r="2450" spans="1:22" hidden="1" x14ac:dyDescent="0.25">
      <c r="A2450" s="266">
        <v>43600</v>
      </c>
      <c r="B2450" s="267">
        <v>2019</v>
      </c>
      <c r="C2450" s="267">
        <v>2019</v>
      </c>
      <c r="D2450" s="267">
        <v>1</v>
      </c>
      <c r="E2450" s="267">
        <v>1</v>
      </c>
      <c r="F2450" s="267" t="s">
        <v>944</v>
      </c>
      <c r="G2450" s="267" t="s">
        <v>3926</v>
      </c>
      <c r="H2450" s="267" t="s">
        <v>6819</v>
      </c>
      <c r="I2450" s="267" t="s">
        <v>4111</v>
      </c>
      <c r="J2450" s="267" t="s">
        <v>3928</v>
      </c>
      <c r="K2450" s="267">
        <v>6095</v>
      </c>
      <c r="L2450" s="267">
        <v>473700</v>
      </c>
      <c r="M2450" s="267" t="s">
        <v>3935</v>
      </c>
      <c r="N2450" s="267" t="s">
        <v>3944</v>
      </c>
      <c r="O2450" s="267">
        <v>887.67</v>
      </c>
      <c r="P2450" s="267" t="s">
        <v>3944</v>
      </c>
      <c r="Q2450" s="267" t="s">
        <v>3944</v>
      </c>
      <c r="R2450" s="267">
        <v>887.67</v>
      </c>
      <c r="S2450" s="267">
        <v>11824.06</v>
      </c>
      <c r="T2450" s="267">
        <v>12711.73</v>
      </c>
      <c r="U2450" s="268" t="s">
        <v>3945</v>
      </c>
      <c r="V2450" s="267" t="s">
        <v>944</v>
      </c>
    </row>
    <row r="2451" spans="1:22" hidden="1" x14ac:dyDescent="0.25">
      <c r="A2451" s="269">
        <v>43600</v>
      </c>
      <c r="B2451" s="270">
        <v>2019</v>
      </c>
      <c r="C2451" s="270">
        <v>2019</v>
      </c>
      <c r="D2451" s="270">
        <v>1</v>
      </c>
      <c r="E2451" s="270">
        <v>1</v>
      </c>
      <c r="F2451" s="270" t="s">
        <v>944</v>
      </c>
      <c r="G2451" s="270" t="s">
        <v>3926</v>
      </c>
      <c r="H2451" s="270" t="s">
        <v>6820</v>
      </c>
      <c r="I2451" s="270" t="s">
        <v>3934</v>
      </c>
      <c r="J2451" s="270" t="s">
        <v>3928</v>
      </c>
      <c r="K2451" s="270">
        <v>6405</v>
      </c>
      <c r="L2451" s="270">
        <v>184200</v>
      </c>
      <c r="M2451" s="270" t="s">
        <v>3940</v>
      </c>
      <c r="N2451" s="270" t="s">
        <v>3944</v>
      </c>
      <c r="O2451" s="270">
        <v>1695.89</v>
      </c>
      <c r="P2451" s="270" t="s">
        <v>3944</v>
      </c>
      <c r="Q2451" s="270" t="s">
        <v>3944</v>
      </c>
      <c r="R2451" s="270">
        <v>1695.89</v>
      </c>
      <c r="S2451" s="270">
        <v>26874.57</v>
      </c>
      <c r="T2451" s="270">
        <v>28570.46</v>
      </c>
      <c r="U2451" s="271" t="s">
        <v>3945</v>
      </c>
      <c r="V2451" s="267" t="s">
        <v>944</v>
      </c>
    </row>
    <row r="2452" spans="1:22" hidden="1" x14ac:dyDescent="0.25">
      <c r="A2452" s="266">
        <v>43600</v>
      </c>
      <c r="B2452" s="267">
        <v>2019</v>
      </c>
      <c r="C2452" s="267">
        <v>2019</v>
      </c>
      <c r="D2452" s="267">
        <v>1</v>
      </c>
      <c r="E2452" s="267">
        <v>1</v>
      </c>
      <c r="F2452" s="267" t="s">
        <v>944</v>
      </c>
      <c r="G2452" s="267" t="s">
        <v>3926</v>
      </c>
      <c r="H2452" s="267" t="s">
        <v>6821</v>
      </c>
      <c r="I2452" s="267" t="s">
        <v>4323</v>
      </c>
      <c r="J2452" s="267" t="s">
        <v>3928</v>
      </c>
      <c r="K2452" s="267">
        <v>6385</v>
      </c>
      <c r="L2452" s="267">
        <v>693400</v>
      </c>
      <c r="M2452" s="267" t="s">
        <v>3940</v>
      </c>
      <c r="N2452" s="267" t="s">
        <v>3944</v>
      </c>
      <c r="O2452" s="267">
        <v>2214.77</v>
      </c>
      <c r="P2452" s="267" t="s">
        <v>3944</v>
      </c>
      <c r="Q2452" s="267" t="s">
        <v>3944</v>
      </c>
      <c r="R2452" s="267">
        <v>2214.77</v>
      </c>
      <c r="S2452" s="267">
        <v>36682.61</v>
      </c>
      <c r="T2452" s="267">
        <v>38897.379999999997</v>
      </c>
      <c r="U2452" s="268" t="s">
        <v>3945</v>
      </c>
      <c r="V2452" s="267" t="s">
        <v>944</v>
      </c>
    </row>
    <row r="2453" spans="1:22" x14ac:dyDescent="0.25">
      <c r="A2453" s="269">
        <v>43600</v>
      </c>
      <c r="B2453" s="270">
        <v>2019</v>
      </c>
      <c r="C2453" s="270">
        <v>2019</v>
      </c>
      <c r="D2453" s="270">
        <v>1</v>
      </c>
      <c r="E2453" s="270">
        <v>1</v>
      </c>
      <c r="F2453" s="270" t="s">
        <v>944</v>
      </c>
      <c r="G2453" s="270" t="s">
        <v>3926</v>
      </c>
      <c r="H2453" s="270" t="s">
        <v>6822</v>
      </c>
      <c r="I2453" s="270" t="s">
        <v>934</v>
      </c>
      <c r="J2453" s="270" t="s">
        <v>3928</v>
      </c>
      <c r="K2453" s="270">
        <v>6610</v>
      </c>
      <c r="L2453" s="270">
        <v>73100</v>
      </c>
      <c r="M2453" s="270">
        <v>-60</v>
      </c>
      <c r="N2453" s="270" t="s">
        <v>3944</v>
      </c>
      <c r="O2453" s="270">
        <v>947.59</v>
      </c>
      <c r="P2453" s="270" t="s">
        <v>3944</v>
      </c>
      <c r="Q2453" s="270" t="s">
        <v>3944</v>
      </c>
      <c r="R2453" s="270">
        <v>947.59</v>
      </c>
      <c r="S2453" s="270">
        <v>14740.1</v>
      </c>
      <c r="T2453" s="270">
        <v>15687.69</v>
      </c>
      <c r="U2453" s="271" t="s">
        <v>3945</v>
      </c>
      <c r="V2453" s="276" t="s">
        <v>936</v>
      </c>
    </row>
    <row r="2454" spans="1:22" hidden="1" x14ac:dyDescent="0.25">
      <c r="A2454" s="266">
        <v>43600</v>
      </c>
      <c r="B2454" s="267">
        <v>2019</v>
      </c>
      <c r="C2454" s="267">
        <v>2019</v>
      </c>
      <c r="D2454" s="267">
        <v>1</v>
      </c>
      <c r="E2454" s="267">
        <v>1</v>
      </c>
      <c r="F2454" s="267" t="s">
        <v>944</v>
      </c>
      <c r="G2454" s="267" t="s">
        <v>3926</v>
      </c>
      <c r="H2454" s="267" t="s">
        <v>6823</v>
      </c>
      <c r="I2454" s="267" t="s">
        <v>4073</v>
      </c>
      <c r="J2454" s="267" t="s">
        <v>3928</v>
      </c>
      <c r="K2454" s="267">
        <v>6755</v>
      </c>
      <c r="L2454" s="267">
        <v>253500</v>
      </c>
      <c r="M2454" s="267" t="s">
        <v>3943</v>
      </c>
      <c r="N2454" s="267" t="s">
        <v>3944</v>
      </c>
      <c r="O2454" s="267">
        <v>1501.33</v>
      </c>
      <c r="P2454" s="267" t="s">
        <v>3944</v>
      </c>
      <c r="Q2454" s="267" t="s">
        <v>3944</v>
      </c>
      <c r="R2454" s="267">
        <v>1501.33</v>
      </c>
      <c r="S2454" s="267">
        <v>24392.47</v>
      </c>
      <c r="T2454" s="267">
        <v>25893.8</v>
      </c>
      <c r="U2454" s="268" t="s">
        <v>3945</v>
      </c>
      <c r="V2454" s="267" t="s">
        <v>944</v>
      </c>
    </row>
    <row r="2455" spans="1:22" hidden="1" x14ac:dyDescent="0.25">
      <c r="A2455" s="269">
        <v>43600</v>
      </c>
      <c r="B2455" s="270">
        <v>2019</v>
      </c>
      <c r="C2455" s="270">
        <v>2019</v>
      </c>
      <c r="D2455" s="270">
        <v>1</v>
      </c>
      <c r="E2455" s="270">
        <v>1</v>
      </c>
      <c r="F2455" s="270" t="s">
        <v>944</v>
      </c>
      <c r="G2455" s="270" t="s">
        <v>3926</v>
      </c>
      <c r="H2455" s="270" t="s">
        <v>6824</v>
      </c>
      <c r="I2455" s="270" t="s">
        <v>3008</v>
      </c>
      <c r="J2455" s="270" t="s">
        <v>3928</v>
      </c>
      <c r="K2455" s="270">
        <v>6460</v>
      </c>
      <c r="L2455" s="270">
        <v>151100</v>
      </c>
      <c r="M2455" s="270" t="s">
        <v>3960</v>
      </c>
      <c r="N2455" s="270" t="s">
        <v>3944</v>
      </c>
      <c r="O2455" s="270">
        <v>2842.14</v>
      </c>
      <c r="P2455" s="270" t="s">
        <v>3944</v>
      </c>
      <c r="Q2455" s="270" t="s">
        <v>3944</v>
      </c>
      <c r="R2455" s="270">
        <v>2842.14</v>
      </c>
      <c r="S2455" s="270">
        <v>41840.800000000003</v>
      </c>
      <c r="T2455" s="270">
        <v>44682.94</v>
      </c>
      <c r="U2455" s="271" t="s">
        <v>3945</v>
      </c>
      <c r="V2455" s="267" t="s">
        <v>944</v>
      </c>
    </row>
    <row r="2456" spans="1:22" hidden="1" x14ac:dyDescent="0.25">
      <c r="A2456" s="266">
        <v>43600</v>
      </c>
      <c r="B2456" s="267">
        <v>2019</v>
      </c>
      <c r="C2456" s="267">
        <v>2019</v>
      </c>
      <c r="D2456" s="267">
        <v>1</v>
      </c>
      <c r="E2456" s="267">
        <v>1</v>
      </c>
      <c r="F2456" s="267" t="s">
        <v>944</v>
      </c>
      <c r="G2456" s="267" t="s">
        <v>3926</v>
      </c>
      <c r="H2456" s="267" t="s">
        <v>6825</v>
      </c>
      <c r="I2456" s="267" t="s">
        <v>3956</v>
      </c>
      <c r="J2456" s="267" t="s">
        <v>3928</v>
      </c>
      <c r="K2456" s="267">
        <v>6106</v>
      </c>
      <c r="L2456" s="267">
        <v>504800</v>
      </c>
      <c r="M2456" s="267" t="s">
        <v>3940</v>
      </c>
      <c r="N2456" s="267" t="s">
        <v>3944</v>
      </c>
      <c r="O2456" s="267">
        <v>1632.02</v>
      </c>
      <c r="P2456" s="267" t="s">
        <v>3944</v>
      </c>
      <c r="Q2456" s="267" t="s">
        <v>3944</v>
      </c>
      <c r="R2456" s="267">
        <v>1632.02</v>
      </c>
      <c r="S2456" s="267">
        <v>23302.39</v>
      </c>
      <c r="T2456" s="267">
        <v>24934.41</v>
      </c>
      <c r="U2456" s="268" t="s">
        <v>3945</v>
      </c>
      <c r="V2456" s="267" t="s">
        <v>944</v>
      </c>
    </row>
    <row r="2457" spans="1:22" hidden="1" x14ac:dyDescent="0.25">
      <c r="A2457" s="269">
        <v>43600</v>
      </c>
      <c r="B2457" s="270">
        <v>2019</v>
      </c>
      <c r="C2457" s="270">
        <v>2019</v>
      </c>
      <c r="D2457" s="270">
        <v>1</v>
      </c>
      <c r="E2457" s="270">
        <v>1</v>
      </c>
      <c r="F2457" s="270" t="s">
        <v>944</v>
      </c>
      <c r="G2457" s="270" t="s">
        <v>3926</v>
      </c>
      <c r="H2457" s="270" t="s">
        <v>6826</v>
      </c>
      <c r="I2457" s="270" t="s">
        <v>4087</v>
      </c>
      <c r="J2457" s="270" t="s">
        <v>3928</v>
      </c>
      <c r="K2457" s="270">
        <v>6355</v>
      </c>
      <c r="L2457" s="270">
        <v>702100</v>
      </c>
      <c r="M2457" s="270" t="s">
        <v>3960</v>
      </c>
      <c r="N2457" s="270" t="s">
        <v>3944</v>
      </c>
      <c r="O2457" s="270">
        <v>3421.43</v>
      </c>
      <c r="P2457" s="270" t="s">
        <v>3944</v>
      </c>
      <c r="Q2457" s="270" t="s">
        <v>3944</v>
      </c>
      <c r="R2457" s="270">
        <v>3421.43</v>
      </c>
      <c r="S2457" s="270">
        <v>61206.83</v>
      </c>
      <c r="T2457" s="270">
        <v>64628.26</v>
      </c>
      <c r="U2457" s="271" t="s">
        <v>3945</v>
      </c>
      <c r="V2457" s="267" t="s">
        <v>944</v>
      </c>
    </row>
    <row r="2458" spans="1:22" hidden="1" x14ac:dyDescent="0.25">
      <c r="A2458" s="266">
        <v>43600</v>
      </c>
      <c r="B2458" s="267">
        <v>2019</v>
      </c>
      <c r="C2458" s="267">
        <v>2019</v>
      </c>
      <c r="D2458" s="267">
        <v>1</v>
      </c>
      <c r="E2458" s="267">
        <v>1</v>
      </c>
      <c r="F2458" s="267" t="s">
        <v>944</v>
      </c>
      <c r="G2458" s="267" t="s">
        <v>3926</v>
      </c>
      <c r="H2458" s="267" t="s">
        <v>6827</v>
      </c>
      <c r="I2458" s="267" t="s">
        <v>4392</v>
      </c>
      <c r="J2458" s="267" t="s">
        <v>3928</v>
      </c>
      <c r="K2458" s="267">
        <v>6457</v>
      </c>
      <c r="L2458" s="267">
        <v>541401</v>
      </c>
      <c r="M2458" s="267" t="s">
        <v>3943</v>
      </c>
      <c r="N2458" s="267" t="s">
        <v>3944</v>
      </c>
      <c r="O2458" s="267">
        <v>2462.2199999999998</v>
      </c>
      <c r="P2458" s="267" t="s">
        <v>3944</v>
      </c>
      <c r="Q2458" s="267" t="s">
        <v>3944</v>
      </c>
      <c r="R2458" s="267">
        <v>2462.2199999999998</v>
      </c>
      <c r="S2458" s="267">
        <v>34675.019999999997</v>
      </c>
      <c r="T2458" s="267">
        <v>37137.24</v>
      </c>
      <c r="U2458" s="268" t="s">
        <v>3945</v>
      </c>
      <c r="V2458" s="267" t="s">
        <v>944</v>
      </c>
    </row>
    <row r="2459" spans="1:22" hidden="1" x14ac:dyDescent="0.25">
      <c r="A2459" s="269">
        <v>43600</v>
      </c>
      <c r="B2459" s="270">
        <v>2019</v>
      </c>
      <c r="C2459" s="270">
        <v>2019</v>
      </c>
      <c r="D2459" s="270">
        <v>1</v>
      </c>
      <c r="E2459" s="270">
        <v>1</v>
      </c>
      <c r="F2459" s="270" t="s">
        <v>944</v>
      </c>
      <c r="G2459" s="270" t="s">
        <v>3926</v>
      </c>
      <c r="H2459" s="270" t="s">
        <v>6828</v>
      </c>
      <c r="I2459" s="270" t="s">
        <v>950</v>
      </c>
      <c r="J2459" s="270" t="s">
        <v>3928</v>
      </c>
      <c r="K2459" s="270">
        <v>6516</v>
      </c>
      <c r="L2459" s="270">
        <v>154600</v>
      </c>
      <c r="M2459" s="270">
        <v>-60</v>
      </c>
      <c r="N2459" s="270" t="s">
        <v>3944</v>
      </c>
      <c r="O2459" s="270">
        <v>973.74</v>
      </c>
      <c r="P2459" s="270" t="s">
        <v>3944</v>
      </c>
      <c r="Q2459" s="270" t="s">
        <v>3944</v>
      </c>
      <c r="R2459" s="270">
        <v>973.74</v>
      </c>
      <c r="S2459" s="270">
        <v>14485.98</v>
      </c>
      <c r="T2459" s="270">
        <v>15459.72</v>
      </c>
      <c r="U2459" s="271" t="s">
        <v>3945</v>
      </c>
      <c r="V2459" s="267" t="s">
        <v>944</v>
      </c>
    </row>
    <row r="2460" spans="1:22" hidden="1" x14ac:dyDescent="0.25">
      <c r="A2460" s="266">
        <v>43600</v>
      </c>
      <c r="B2460" s="267">
        <v>2019</v>
      </c>
      <c r="C2460" s="267">
        <v>2019</v>
      </c>
      <c r="D2460" s="267">
        <v>1</v>
      </c>
      <c r="E2460" s="267">
        <v>1</v>
      </c>
      <c r="F2460" s="267" t="s">
        <v>944</v>
      </c>
      <c r="G2460" s="267" t="s">
        <v>3926</v>
      </c>
      <c r="H2460" s="267" t="s">
        <v>6829</v>
      </c>
      <c r="I2460" s="267" t="s">
        <v>4392</v>
      </c>
      <c r="J2460" s="267" t="s">
        <v>3928</v>
      </c>
      <c r="K2460" s="267">
        <v>6457</v>
      </c>
      <c r="L2460" s="267">
        <v>542200</v>
      </c>
      <c r="M2460" s="267" t="s">
        <v>3960</v>
      </c>
      <c r="N2460" s="267" t="s">
        <v>3944</v>
      </c>
      <c r="O2460" s="267">
        <v>2263.73</v>
      </c>
      <c r="P2460" s="267" t="s">
        <v>3944</v>
      </c>
      <c r="Q2460" s="267" t="s">
        <v>3944</v>
      </c>
      <c r="R2460" s="267">
        <v>2263.73</v>
      </c>
      <c r="S2460" s="267">
        <v>35300.9</v>
      </c>
      <c r="T2460" s="267">
        <v>37564.629999999997</v>
      </c>
      <c r="U2460" s="268" t="s">
        <v>3945</v>
      </c>
      <c r="V2460" s="267" t="s">
        <v>944</v>
      </c>
    </row>
    <row r="2461" spans="1:22" hidden="1" x14ac:dyDescent="0.25">
      <c r="A2461" s="269">
        <v>43600</v>
      </c>
      <c r="B2461" s="270">
        <v>2019</v>
      </c>
      <c r="C2461" s="270">
        <v>2019</v>
      </c>
      <c r="D2461" s="270">
        <v>1</v>
      </c>
      <c r="E2461" s="270">
        <v>1</v>
      </c>
      <c r="F2461" s="270" t="s">
        <v>944</v>
      </c>
      <c r="G2461" s="270" t="s">
        <v>3926</v>
      </c>
      <c r="H2461" s="270" t="s">
        <v>6830</v>
      </c>
      <c r="I2461" s="270" t="s">
        <v>3954</v>
      </c>
      <c r="J2461" s="270" t="s">
        <v>3928</v>
      </c>
      <c r="K2461" s="270">
        <v>6333</v>
      </c>
      <c r="L2461" s="270">
        <v>716102</v>
      </c>
      <c r="M2461" s="270" t="s">
        <v>3943</v>
      </c>
      <c r="N2461" s="270" t="s">
        <v>3944</v>
      </c>
      <c r="O2461" s="270">
        <v>3624.04</v>
      </c>
      <c r="P2461" s="270" t="s">
        <v>3944</v>
      </c>
      <c r="Q2461" s="270" t="s">
        <v>3944</v>
      </c>
      <c r="R2461" s="270">
        <v>3624.04</v>
      </c>
      <c r="S2461" s="270">
        <v>54711.59</v>
      </c>
      <c r="T2461" s="270">
        <v>58335.63</v>
      </c>
      <c r="U2461" s="271" t="s">
        <v>3945</v>
      </c>
      <c r="V2461" s="267" t="s">
        <v>944</v>
      </c>
    </row>
    <row r="2462" spans="1:22" hidden="1" x14ac:dyDescent="0.25">
      <c r="A2462" s="266">
        <v>43600</v>
      </c>
      <c r="B2462" s="267">
        <v>2019</v>
      </c>
      <c r="C2462" s="267">
        <v>2019</v>
      </c>
      <c r="D2462" s="267">
        <v>1</v>
      </c>
      <c r="E2462" s="267">
        <v>1</v>
      </c>
      <c r="F2462" s="267" t="s">
        <v>944</v>
      </c>
      <c r="G2462" s="267" t="s">
        <v>3926</v>
      </c>
      <c r="H2462" s="267" t="s">
        <v>6831</v>
      </c>
      <c r="I2462" s="267" t="s">
        <v>4731</v>
      </c>
      <c r="J2462" s="267" t="s">
        <v>3928</v>
      </c>
      <c r="K2462" s="267">
        <v>6478</v>
      </c>
      <c r="L2462" s="267">
        <v>346102</v>
      </c>
      <c r="M2462" s="267" t="s">
        <v>3943</v>
      </c>
      <c r="N2462" s="267" t="s">
        <v>3944</v>
      </c>
      <c r="O2462" s="267">
        <v>3776.68</v>
      </c>
      <c r="P2462" s="267" t="s">
        <v>3944</v>
      </c>
      <c r="Q2462" s="267" t="s">
        <v>3944</v>
      </c>
      <c r="R2462" s="267">
        <v>3776.68</v>
      </c>
      <c r="S2462" s="267">
        <v>54200.52</v>
      </c>
      <c r="T2462" s="267">
        <v>57977.2</v>
      </c>
      <c r="U2462" s="268" t="s">
        <v>3945</v>
      </c>
      <c r="V2462" s="267" t="s">
        <v>944</v>
      </c>
    </row>
    <row r="2463" spans="1:22" hidden="1" x14ac:dyDescent="0.25">
      <c r="A2463" s="269">
        <v>43600</v>
      </c>
      <c r="B2463" s="270">
        <v>2019</v>
      </c>
      <c r="C2463" s="270">
        <v>2019</v>
      </c>
      <c r="D2463" s="270">
        <v>1</v>
      </c>
      <c r="E2463" s="270">
        <v>1</v>
      </c>
      <c r="F2463" s="270" t="s">
        <v>944</v>
      </c>
      <c r="G2463" s="270" t="s">
        <v>3926</v>
      </c>
      <c r="H2463" s="270" t="s">
        <v>6832</v>
      </c>
      <c r="I2463" s="270" t="s">
        <v>4269</v>
      </c>
      <c r="J2463" s="270" t="s">
        <v>3928</v>
      </c>
      <c r="K2463" s="270">
        <v>6110</v>
      </c>
      <c r="L2463" s="270">
        <v>496200</v>
      </c>
      <c r="M2463" s="270" t="s">
        <v>3935</v>
      </c>
      <c r="N2463" s="270" t="s">
        <v>3944</v>
      </c>
      <c r="O2463" s="270">
        <v>1481.62</v>
      </c>
      <c r="P2463" s="270" t="s">
        <v>3944</v>
      </c>
      <c r="Q2463" s="270" t="s">
        <v>3944</v>
      </c>
      <c r="R2463" s="270">
        <v>1481.62</v>
      </c>
      <c r="S2463" s="270">
        <v>27528.74</v>
      </c>
      <c r="T2463" s="270">
        <v>29010.36</v>
      </c>
      <c r="U2463" s="271" t="s">
        <v>3945</v>
      </c>
      <c r="V2463" s="267" t="s">
        <v>944</v>
      </c>
    </row>
    <row r="2464" spans="1:22" x14ac:dyDescent="0.25">
      <c r="A2464" s="266">
        <v>43600</v>
      </c>
      <c r="B2464" s="267">
        <v>2019</v>
      </c>
      <c r="C2464" s="267">
        <v>2019</v>
      </c>
      <c r="D2464" s="267">
        <v>1</v>
      </c>
      <c r="E2464" s="267">
        <v>1</v>
      </c>
      <c r="F2464" s="267" t="s">
        <v>944</v>
      </c>
      <c r="G2464" s="267" t="s">
        <v>3926</v>
      </c>
      <c r="H2464" s="267" t="s">
        <v>6833</v>
      </c>
      <c r="I2464" s="267" t="s">
        <v>943</v>
      </c>
      <c r="J2464" s="267" t="s">
        <v>3928</v>
      </c>
      <c r="K2464" s="267">
        <v>6513</v>
      </c>
      <c r="L2464" s="267">
        <v>142300</v>
      </c>
      <c r="M2464" s="267">
        <v>-60</v>
      </c>
      <c r="N2464" s="267" t="s">
        <v>3944</v>
      </c>
      <c r="O2464" s="267">
        <v>1732.4</v>
      </c>
      <c r="P2464" s="267" t="s">
        <v>3944</v>
      </c>
      <c r="Q2464" s="267" t="s">
        <v>3944</v>
      </c>
      <c r="R2464" s="267">
        <v>1732.4</v>
      </c>
      <c r="S2464" s="267">
        <v>32854.83</v>
      </c>
      <c r="T2464" s="267">
        <v>34587.230000000003</v>
      </c>
      <c r="U2464" s="268" t="s">
        <v>3945</v>
      </c>
      <c r="V2464" s="276" t="s">
        <v>936</v>
      </c>
    </row>
    <row r="2465" spans="1:22" hidden="1" x14ac:dyDescent="0.25">
      <c r="A2465" s="269">
        <v>43600</v>
      </c>
      <c r="B2465" s="270">
        <v>2019</v>
      </c>
      <c r="C2465" s="270">
        <v>2019</v>
      </c>
      <c r="D2465" s="270">
        <v>1</v>
      </c>
      <c r="E2465" s="270">
        <v>1</v>
      </c>
      <c r="F2465" s="270" t="s">
        <v>944</v>
      </c>
      <c r="G2465" s="270" t="s">
        <v>3926</v>
      </c>
      <c r="H2465" s="270" t="s">
        <v>6834</v>
      </c>
      <c r="I2465" s="270" t="s">
        <v>4392</v>
      </c>
      <c r="J2465" s="270" t="s">
        <v>3928</v>
      </c>
      <c r="K2465" s="270">
        <v>6457</v>
      </c>
      <c r="L2465" s="270">
        <v>541401</v>
      </c>
      <c r="M2465" s="270" t="s">
        <v>3943</v>
      </c>
      <c r="N2465" s="270" t="s">
        <v>3944</v>
      </c>
      <c r="O2465" s="270">
        <v>1391.85</v>
      </c>
      <c r="P2465" s="270" t="s">
        <v>3944</v>
      </c>
      <c r="Q2465" s="270" t="s">
        <v>3944</v>
      </c>
      <c r="R2465" s="270">
        <v>1391.85</v>
      </c>
      <c r="S2465" s="270">
        <v>16663.41</v>
      </c>
      <c r="T2465" s="270">
        <v>18055.259999999998</v>
      </c>
      <c r="U2465" s="271" t="s">
        <v>3945</v>
      </c>
      <c r="V2465" s="267" t="s">
        <v>944</v>
      </c>
    </row>
    <row r="2466" spans="1:22" hidden="1" x14ac:dyDescent="0.25">
      <c r="A2466" s="266">
        <v>43600</v>
      </c>
      <c r="B2466" s="267">
        <v>2019</v>
      </c>
      <c r="C2466" s="267">
        <v>2019</v>
      </c>
      <c r="D2466" s="267">
        <v>1</v>
      </c>
      <c r="E2466" s="267">
        <v>1</v>
      </c>
      <c r="F2466" s="267" t="s">
        <v>944</v>
      </c>
      <c r="G2466" s="267" t="s">
        <v>3926</v>
      </c>
      <c r="H2466" s="267" t="s">
        <v>6835</v>
      </c>
      <c r="I2466" s="267" t="s">
        <v>934</v>
      </c>
      <c r="J2466" s="267" t="s">
        <v>3928</v>
      </c>
      <c r="K2466" s="267">
        <v>6606</v>
      </c>
      <c r="L2466" s="267">
        <v>72800</v>
      </c>
      <c r="M2466" s="267" t="s">
        <v>3940</v>
      </c>
      <c r="N2466" s="267" t="s">
        <v>3944</v>
      </c>
      <c r="O2466" s="267">
        <v>1412.57</v>
      </c>
      <c r="P2466" s="267" t="s">
        <v>3944</v>
      </c>
      <c r="Q2466" s="267" t="s">
        <v>3944</v>
      </c>
      <c r="R2466" s="267">
        <v>1412.57</v>
      </c>
      <c r="S2466" s="267">
        <v>17720.62</v>
      </c>
      <c r="T2466" s="267">
        <v>19133.189999999999</v>
      </c>
      <c r="U2466" s="268" t="s">
        <v>3945</v>
      </c>
      <c r="V2466" s="267" t="s">
        <v>944</v>
      </c>
    </row>
    <row r="2467" spans="1:22" hidden="1" x14ac:dyDescent="0.25">
      <c r="A2467" s="269">
        <v>43600</v>
      </c>
      <c r="B2467" s="270">
        <v>2019</v>
      </c>
      <c r="C2467" s="270">
        <v>2019</v>
      </c>
      <c r="D2467" s="270">
        <v>1</v>
      </c>
      <c r="E2467" s="270">
        <v>1</v>
      </c>
      <c r="F2467" s="270" t="s">
        <v>944</v>
      </c>
      <c r="G2467" s="270" t="s">
        <v>3926</v>
      </c>
      <c r="H2467" s="270" t="s">
        <v>6836</v>
      </c>
      <c r="I2467" s="270" t="s">
        <v>4087</v>
      </c>
      <c r="J2467" s="270" t="s">
        <v>3928</v>
      </c>
      <c r="K2467" s="270">
        <v>6355</v>
      </c>
      <c r="L2467" s="270">
        <v>702800</v>
      </c>
      <c r="M2467" s="270" t="s">
        <v>3935</v>
      </c>
      <c r="N2467" s="270" t="s">
        <v>3944</v>
      </c>
      <c r="O2467" s="270">
        <v>1327.76</v>
      </c>
      <c r="P2467" s="270" t="s">
        <v>3944</v>
      </c>
      <c r="Q2467" s="270" t="s">
        <v>3944</v>
      </c>
      <c r="R2467" s="270">
        <v>1327.76</v>
      </c>
      <c r="S2467" s="270">
        <v>22810.41</v>
      </c>
      <c r="T2467" s="270">
        <v>24138.17</v>
      </c>
      <c r="U2467" s="271" t="s">
        <v>3945</v>
      </c>
      <c r="V2467" s="267" t="s">
        <v>944</v>
      </c>
    </row>
    <row r="2468" spans="1:22" hidden="1" x14ac:dyDescent="0.25">
      <c r="A2468" s="266">
        <v>43600</v>
      </c>
      <c r="B2468" s="267">
        <v>2019</v>
      </c>
      <c r="C2468" s="267">
        <v>2019</v>
      </c>
      <c r="D2468" s="267">
        <v>1</v>
      </c>
      <c r="E2468" s="267">
        <v>1</v>
      </c>
      <c r="F2468" s="267" t="s">
        <v>944</v>
      </c>
      <c r="G2468" s="267" t="s">
        <v>3926</v>
      </c>
      <c r="H2468" s="267" t="s">
        <v>6837</v>
      </c>
      <c r="I2468" s="267" t="s">
        <v>4087</v>
      </c>
      <c r="J2468" s="267" t="s">
        <v>3928</v>
      </c>
      <c r="K2468" s="267">
        <v>6340</v>
      </c>
      <c r="L2468" s="267">
        <v>702900</v>
      </c>
      <c r="M2468" s="267" t="s">
        <v>3943</v>
      </c>
      <c r="N2468" s="267" t="s">
        <v>3944</v>
      </c>
      <c r="O2468" s="267">
        <v>1356.57</v>
      </c>
      <c r="P2468" s="267" t="s">
        <v>3944</v>
      </c>
      <c r="Q2468" s="267" t="s">
        <v>3944</v>
      </c>
      <c r="R2468" s="267">
        <v>1356.57</v>
      </c>
      <c r="S2468" s="267">
        <v>24185.87</v>
      </c>
      <c r="T2468" s="267">
        <v>25542.44</v>
      </c>
      <c r="U2468" s="268" t="s">
        <v>3945</v>
      </c>
      <c r="V2468" s="267" t="s">
        <v>944</v>
      </c>
    </row>
    <row r="2469" spans="1:22" hidden="1" x14ac:dyDescent="0.25">
      <c r="A2469" s="269">
        <v>43600</v>
      </c>
      <c r="B2469" s="270">
        <v>2019</v>
      </c>
      <c r="C2469" s="270">
        <v>2019</v>
      </c>
      <c r="D2469" s="270">
        <v>1</v>
      </c>
      <c r="E2469" s="270">
        <v>1</v>
      </c>
      <c r="F2469" s="270" t="s">
        <v>944</v>
      </c>
      <c r="G2469" s="270" t="s">
        <v>3926</v>
      </c>
      <c r="H2469" s="270" t="s">
        <v>6838</v>
      </c>
      <c r="I2469" s="270" t="s">
        <v>3966</v>
      </c>
      <c r="J2469" s="270" t="s">
        <v>3928</v>
      </c>
      <c r="K2469" s="270">
        <v>6010</v>
      </c>
      <c r="L2469" s="270">
        <v>405300</v>
      </c>
      <c r="M2469" s="270" t="s">
        <v>3940</v>
      </c>
      <c r="N2469" s="270" t="s">
        <v>3944</v>
      </c>
      <c r="O2469" s="270">
        <v>1349.74</v>
      </c>
      <c r="P2469" s="270" t="s">
        <v>3944</v>
      </c>
      <c r="Q2469" s="270" t="s">
        <v>3944</v>
      </c>
      <c r="R2469" s="270">
        <v>1349.74</v>
      </c>
      <c r="S2469" s="270">
        <v>19440.490000000002</v>
      </c>
      <c r="T2469" s="270">
        <v>20790.23</v>
      </c>
      <c r="U2469" s="271" t="s">
        <v>3945</v>
      </c>
      <c r="V2469" s="267" t="s">
        <v>944</v>
      </c>
    </row>
    <row r="2470" spans="1:22" hidden="1" x14ac:dyDescent="0.25">
      <c r="A2470" s="266">
        <v>43600</v>
      </c>
      <c r="B2470" s="267">
        <v>2019</v>
      </c>
      <c r="C2470" s="267">
        <v>2019</v>
      </c>
      <c r="D2470" s="267">
        <v>1</v>
      </c>
      <c r="E2470" s="267">
        <v>1</v>
      </c>
      <c r="F2470" s="267" t="s">
        <v>944</v>
      </c>
      <c r="G2470" s="267" t="s">
        <v>3926</v>
      </c>
      <c r="H2470" s="267" t="s">
        <v>6839</v>
      </c>
      <c r="I2470" s="267" t="s">
        <v>4062</v>
      </c>
      <c r="J2470" s="267" t="s">
        <v>3928</v>
      </c>
      <c r="K2470" s="267">
        <v>6763</v>
      </c>
      <c r="L2470" s="267">
        <v>303100</v>
      </c>
      <c r="M2470" s="267" t="s">
        <v>3960</v>
      </c>
      <c r="N2470" s="267" t="s">
        <v>3944</v>
      </c>
      <c r="O2470" s="267">
        <v>2524.41</v>
      </c>
      <c r="P2470" s="267" t="s">
        <v>3944</v>
      </c>
      <c r="Q2470" s="267" t="s">
        <v>3944</v>
      </c>
      <c r="R2470" s="267">
        <v>2524.41</v>
      </c>
      <c r="S2470" s="267">
        <v>44791.56</v>
      </c>
      <c r="T2470" s="267">
        <v>47315.97</v>
      </c>
      <c r="U2470" s="268" t="s">
        <v>3945</v>
      </c>
      <c r="V2470" s="267" t="s">
        <v>944</v>
      </c>
    </row>
    <row r="2471" spans="1:22" hidden="1" x14ac:dyDescent="0.25">
      <c r="A2471" s="269">
        <v>43600</v>
      </c>
      <c r="B2471" s="270">
        <v>2019</v>
      </c>
      <c r="C2471" s="270">
        <v>2019</v>
      </c>
      <c r="D2471" s="270">
        <v>1</v>
      </c>
      <c r="E2471" s="270">
        <v>1</v>
      </c>
      <c r="F2471" s="270" t="s">
        <v>944</v>
      </c>
      <c r="G2471" s="270" t="s">
        <v>3926</v>
      </c>
      <c r="H2471" s="270" t="s">
        <v>6840</v>
      </c>
      <c r="I2471" s="270" t="s">
        <v>4497</v>
      </c>
      <c r="J2471" s="270" t="s">
        <v>3928</v>
      </c>
      <c r="K2471" s="270">
        <v>6260</v>
      </c>
      <c r="L2471" s="270">
        <v>903100</v>
      </c>
      <c r="M2471" s="270" t="s">
        <v>3940</v>
      </c>
      <c r="N2471" s="270" t="s">
        <v>3944</v>
      </c>
      <c r="O2471" s="270">
        <v>2005.12</v>
      </c>
      <c r="P2471" s="270" t="s">
        <v>3944</v>
      </c>
      <c r="Q2471" s="270" t="s">
        <v>3944</v>
      </c>
      <c r="R2471" s="270">
        <v>2005.12</v>
      </c>
      <c r="S2471" s="270">
        <v>25887.26</v>
      </c>
      <c r="T2471" s="270">
        <v>27892.38</v>
      </c>
      <c r="U2471" s="271" t="s">
        <v>3945</v>
      </c>
      <c r="V2471" s="267" t="s">
        <v>944</v>
      </c>
    </row>
    <row r="2472" spans="1:22" hidden="1" x14ac:dyDescent="0.25">
      <c r="A2472" s="266">
        <v>43600</v>
      </c>
      <c r="B2472" s="267">
        <v>2019</v>
      </c>
      <c r="C2472" s="267">
        <v>2019</v>
      </c>
      <c r="D2472" s="267">
        <v>1</v>
      </c>
      <c r="E2472" s="267">
        <v>923</v>
      </c>
      <c r="F2472" s="267" t="s">
        <v>944</v>
      </c>
      <c r="G2472" s="267" t="s">
        <v>3997</v>
      </c>
      <c r="H2472" s="267" t="s">
        <v>6841</v>
      </c>
      <c r="I2472" s="267" t="s">
        <v>934</v>
      </c>
      <c r="J2472" s="267" t="s">
        <v>3928</v>
      </c>
      <c r="K2472" s="267">
        <v>6610</v>
      </c>
      <c r="L2472" s="267">
        <v>73200</v>
      </c>
      <c r="M2472" s="267">
        <v>-60</v>
      </c>
      <c r="N2472" s="267" t="s">
        <v>6842</v>
      </c>
      <c r="O2472" s="267"/>
      <c r="P2472" s="267" t="s">
        <v>3944</v>
      </c>
      <c r="Q2472" s="267" t="s">
        <v>3930</v>
      </c>
      <c r="R2472" s="267">
        <v>0</v>
      </c>
      <c r="S2472" s="267">
        <v>165000</v>
      </c>
      <c r="T2472" s="267">
        <v>165000</v>
      </c>
      <c r="U2472" s="268" t="s">
        <v>5605</v>
      </c>
      <c r="V2472" s="267" t="s">
        <v>944</v>
      </c>
    </row>
    <row r="2473" spans="1:22" hidden="1" x14ac:dyDescent="0.25">
      <c r="A2473" s="269">
        <v>43601</v>
      </c>
      <c r="B2473" s="270">
        <v>2019</v>
      </c>
      <c r="C2473" s="270">
        <v>2019</v>
      </c>
      <c r="D2473" s="270">
        <v>1</v>
      </c>
      <c r="E2473" s="270">
        <v>1</v>
      </c>
      <c r="F2473" s="270" t="s">
        <v>944</v>
      </c>
      <c r="G2473" s="270" t="s">
        <v>3926</v>
      </c>
      <c r="H2473" s="270" t="s">
        <v>6843</v>
      </c>
      <c r="I2473" s="270" t="s">
        <v>4019</v>
      </c>
      <c r="J2473" s="270" t="s">
        <v>3928</v>
      </c>
      <c r="K2473" s="270">
        <v>6704</v>
      </c>
      <c r="L2473" s="270">
        <v>351100</v>
      </c>
      <c r="M2473" s="270">
        <v>-60</v>
      </c>
      <c r="N2473" s="270" t="s">
        <v>6844</v>
      </c>
      <c r="O2473" s="270">
        <v>0</v>
      </c>
      <c r="P2473" s="270" t="s">
        <v>3930</v>
      </c>
      <c r="Q2473" s="270" t="s">
        <v>3930</v>
      </c>
      <c r="R2473" s="270">
        <v>0</v>
      </c>
      <c r="S2473" s="270">
        <v>11585.67</v>
      </c>
      <c r="T2473" s="270">
        <v>11585.67</v>
      </c>
      <c r="U2473" s="271" t="s">
        <v>3937</v>
      </c>
      <c r="V2473" s="267" t="s">
        <v>944</v>
      </c>
    </row>
    <row r="2474" spans="1:22" hidden="1" x14ac:dyDescent="0.25">
      <c r="A2474" s="266">
        <v>43601</v>
      </c>
      <c r="B2474" s="267">
        <v>2019</v>
      </c>
      <c r="C2474" s="267">
        <v>2019</v>
      </c>
      <c r="D2474" s="267">
        <v>1</v>
      </c>
      <c r="E2474" s="267">
        <v>1</v>
      </c>
      <c r="F2474" s="267" t="s">
        <v>944</v>
      </c>
      <c r="G2474" s="267" t="s">
        <v>3926</v>
      </c>
      <c r="H2474" s="267" t="s">
        <v>6845</v>
      </c>
      <c r="I2474" s="267" t="s">
        <v>956</v>
      </c>
      <c r="J2474" s="267" t="s">
        <v>3928</v>
      </c>
      <c r="K2474" s="267">
        <v>6614</v>
      </c>
      <c r="L2474" s="267">
        <v>80900</v>
      </c>
      <c r="M2474" s="267" t="s">
        <v>3960</v>
      </c>
      <c r="N2474" s="267" t="s">
        <v>6846</v>
      </c>
      <c r="O2474" s="267">
        <v>1970.83</v>
      </c>
      <c r="P2474" s="267" t="s">
        <v>3930</v>
      </c>
      <c r="Q2474" s="267" t="s">
        <v>3931</v>
      </c>
      <c r="R2474" s="267">
        <v>6970.83</v>
      </c>
      <c r="S2474" s="267">
        <v>28936</v>
      </c>
      <c r="T2474" s="267">
        <v>35906.83</v>
      </c>
      <c r="U2474" s="268" t="s">
        <v>3932</v>
      </c>
      <c r="V2474" s="267" t="s">
        <v>944</v>
      </c>
    </row>
    <row r="2475" spans="1:22" hidden="1" x14ac:dyDescent="0.25">
      <c r="A2475" s="269">
        <v>43601</v>
      </c>
      <c r="B2475" s="270">
        <v>2019</v>
      </c>
      <c r="C2475" s="270">
        <v>2019</v>
      </c>
      <c r="D2475" s="270">
        <v>1</v>
      </c>
      <c r="E2475" s="270">
        <v>1</v>
      </c>
      <c r="F2475" s="270" t="s">
        <v>944</v>
      </c>
      <c r="G2475" s="270" t="s">
        <v>3926</v>
      </c>
      <c r="H2475" s="270" t="s">
        <v>6847</v>
      </c>
      <c r="I2475" s="270" t="s">
        <v>953</v>
      </c>
      <c r="J2475" s="270" t="s">
        <v>3928</v>
      </c>
      <c r="K2475" s="270">
        <v>6517</v>
      </c>
      <c r="L2475" s="270">
        <v>165100</v>
      </c>
      <c r="M2475" s="270" t="s">
        <v>3935</v>
      </c>
      <c r="N2475" s="270" t="s">
        <v>3944</v>
      </c>
      <c r="O2475" s="270">
        <v>2580</v>
      </c>
      <c r="P2475" s="270" t="s">
        <v>3944</v>
      </c>
      <c r="Q2475" s="270" t="s">
        <v>3944</v>
      </c>
      <c r="R2475" s="270">
        <v>2580</v>
      </c>
      <c r="S2475" s="270">
        <v>25409</v>
      </c>
      <c r="T2475" s="270">
        <v>27989</v>
      </c>
      <c r="U2475" s="271" t="s">
        <v>3945</v>
      </c>
      <c r="V2475" s="267" t="s">
        <v>944</v>
      </c>
    </row>
    <row r="2476" spans="1:22" hidden="1" x14ac:dyDescent="0.25">
      <c r="A2476" s="266">
        <v>43601</v>
      </c>
      <c r="B2476" s="267">
        <v>2019</v>
      </c>
      <c r="C2476" s="267">
        <v>2019</v>
      </c>
      <c r="D2476" s="267">
        <v>1</v>
      </c>
      <c r="E2476" s="267">
        <v>1</v>
      </c>
      <c r="F2476" s="267" t="s">
        <v>944</v>
      </c>
      <c r="G2476" s="267" t="s">
        <v>3926</v>
      </c>
      <c r="H2476" s="267" t="s">
        <v>6848</v>
      </c>
      <c r="I2476" s="267" t="s">
        <v>956</v>
      </c>
      <c r="J2476" s="267" t="s">
        <v>3928</v>
      </c>
      <c r="K2476" s="267">
        <v>6614</v>
      </c>
      <c r="L2476" s="267">
        <v>80900</v>
      </c>
      <c r="M2476" s="267" t="s">
        <v>3960</v>
      </c>
      <c r="N2476" s="267" t="s">
        <v>3944</v>
      </c>
      <c r="O2476" s="267">
        <v>3249</v>
      </c>
      <c r="P2476" s="267" t="s">
        <v>3944</v>
      </c>
      <c r="Q2476" s="267" t="s">
        <v>3944</v>
      </c>
      <c r="R2476" s="267">
        <v>3249</v>
      </c>
      <c r="S2476" s="267">
        <v>26668.2</v>
      </c>
      <c r="T2476" s="267">
        <v>29917.200000000001</v>
      </c>
      <c r="U2476" s="268" t="s">
        <v>3945</v>
      </c>
      <c r="V2476" s="267" t="s">
        <v>944</v>
      </c>
    </row>
    <row r="2477" spans="1:22" hidden="1" x14ac:dyDescent="0.25">
      <c r="A2477" s="269">
        <v>43601</v>
      </c>
      <c r="B2477" s="270">
        <v>2019</v>
      </c>
      <c r="C2477" s="270">
        <v>2019</v>
      </c>
      <c r="D2477" s="270">
        <v>1</v>
      </c>
      <c r="E2477" s="270">
        <v>1</v>
      </c>
      <c r="F2477" s="270" t="s">
        <v>944</v>
      </c>
      <c r="G2477" s="270" t="s">
        <v>3926</v>
      </c>
      <c r="H2477" s="270" t="s">
        <v>6849</v>
      </c>
      <c r="I2477" s="270" t="s">
        <v>3985</v>
      </c>
      <c r="J2477" s="270" t="s">
        <v>3928</v>
      </c>
      <c r="K2477" s="270">
        <v>6280</v>
      </c>
      <c r="L2477" s="270">
        <v>800500</v>
      </c>
      <c r="M2477" s="270" t="s">
        <v>3940</v>
      </c>
      <c r="N2477" s="270" t="s">
        <v>3944</v>
      </c>
      <c r="O2477" s="270">
        <v>5964</v>
      </c>
      <c r="P2477" s="270" t="s">
        <v>3944</v>
      </c>
      <c r="Q2477" s="270" t="s">
        <v>3944</v>
      </c>
      <c r="R2477" s="270">
        <v>5964</v>
      </c>
      <c r="S2477" s="270">
        <v>76206.009999999995</v>
      </c>
      <c r="T2477" s="270">
        <v>82170.009999999995</v>
      </c>
      <c r="U2477" s="271" t="s">
        <v>3945</v>
      </c>
      <c r="V2477" s="267" t="s">
        <v>944</v>
      </c>
    </row>
    <row r="2478" spans="1:22" hidden="1" x14ac:dyDescent="0.25">
      <c r="A2478" s="266">
        <v>43601</v>
      </c>
      <c r="B2478" s="267">
        <v>2019</v>
      </c>
      <c r="C2478" s="267">
        <v>2019</v>
      </c>
      <c r="D2478" s="267">
        <v>1</v>
      </c>
      <c r="E2478" s="267">
        <v>1</v>
      </c>
      <c r="F2478" s="267" t="s">
        <v>944</v>
      </c>
      <c r="G2478" s="267" t="s">
        <v>3926</v>
      </c>
      <c r="H2478" s="267" t="s">
        <v>6850</v>
      </c>
      <c r="I2478" s="267" t="s">
        <v>3993</v>
      </c>
      <c r="J2478" s="267" t="s">
        <v>3928</v>
      </c>
      <c r="K2478" s="267">
        <v>6415</v>
      </c>
      <c r="L2478" s="267">
        <v>714104</v>
      </c>
      <c r="M2478" s="267" t="s">
        <v>3960</v>
      </c>
      <c r="N2478" s="267" t="s">
        <v>3944</v>
      </c>
      <c r="O2478" s="267">
        <v>7292</v>
      </c>
      <c r="P2478" s="267" t="s">
        <v>3944</v>
      </c>
      <c r="Q2478" s="267" t="s">
        <v>3944</v>
      </c>
      <c r="R2478" s="267">
        <v>7292</v>
      </c>
      <c r="S2478" s="267">
        <v>64648</v>
      </c>
      <c r="T2478" s="267">
        <v>71940</v>
      </c>
      <c r="U2478" s="268" t="s">
        <v>3945</v>
      </c>
      <c r="V2478" s="267" t="s">
        <v>944</v>
      </c>
    </row>
    <row r="2479" spans="1:22" hidden="1" x14ac:dyDescent="0.25">
      <c r="A2479" s="269">
        <v>43601</v>
      </c>
      <c r="B2479" s="270">
        <v>2019</v>
      </c>
      <c r="C2479" s="270">
        <v>2019</v>
      </c>
      <c r="D2479" s="270">
        <v>1</v>
      </c>
      <c r="E2479" s="270">
        <v>1</v>
      </c>
      <c r="F2479" s="270" t="s">
        <v>944</v>
      </c>
      <c r="G2479" s="270" t="s">
        <v>3926</v>
      </c>
      <c r="H2479" s="270" t="s">
        <v>6851</v>
      </c>
      <c r="I2479" s="270" t="s">
        <v>4046</v>
      </c>
      <c r="J2479" s="270" t="s">
        <v>3928</v>
      </c>
      <c r="K2479" s="270">
        <v>6281</v>
      </c>
      <c r="L2479" s="270">
        <v>901100</v>
      </c>
      <c r="M2479" s="270" t="s">
        <v>3960</v>
      </c>
      <c r="N2479" s="270" t="s">
        <v>3944</v>
      </c>
      <c r="O2479" s="270">
        <v>8629</v>
      </c>
      <c r="P2479" s="270" t="s">
        <v>3944</v>
      </c>
      <c r="Q2479" s="270" t="s">
        <v>3944</v>
      </c>
      <c r="R2479" s="270">
        <v>8629</v>
      </c>
      <c r="S2479" s="270">
        <v>72597.8</v>
      </c>
      <c r="T2479" s="270">
        <v>81226.8</v>
      </c>
      <c r="U2479" s="271" t="s">
        <v>3945</v>
      </c>
      <c r="V2479" s="267" t="s">
        <v>944</v>
      </c>
    </row>
    <row r="2480" spans="1:22" hidden="1" x14ac:dyDescent="0.25">
      <c r="A2480" s="266">
        <v>43601</v>
      </c>
      <c r="B2480" s="267">
        <v>2019</v>
      </c>
      <c r="C2480" s="267">
        <v>2019</v>
      </c>
      <c r="D2480" s="267">
        <v>1</v>
      </c>
      <c r="E2480" s="267">
        <v>1</v>
      </c>
      <c r="F2480" s="267" t="s">
        <v>944</v>
      </c>
      <c r="G2480" s="267" t="s">
        <v>3926</v>
      </c>
      <c r="H2480" s="267" t="s">
        <v>6852</v>
      </c>
      <c r="I2480" s="267" t="s">
        <v>4069</v>
      </c>
      <c r="J2480" s="267" t="s">
        <v>3928</v>
      </c>
      <c r="K2480" s="267">
        <v>6902</v>
      </c>
      <c r="L2480" s="267">
        <v>21200</v>
      </c>
      <c r="M2480" s="267" t="s">
        <v>3943</v>
      </c>
      <c r="N2480" s="267" t="s">
        <v>3944</v>
      </c>
      <c r="O2480" s="267">
        <v>4456</v>
      </c>
      <c r="P2480" s="267" t="s">
        <v>3944</v>
      </c>
      <c r="Q2480" s="267" t="s">
        <v>3944</v>
      </c>
      <c r="R2480" s="267">
        <v>4456</v>
      </c>
      <c r="S2480" s="267">
        <v>38020</v>
      </c>
      <c r="T2480" s="267">
        <v>42476</v>
      </c>
      <c r="U2480" s="268" t="s">
        <v>3945</v>
      </c>
      <c r="V2480" s="267" t="s">
        <v>944</v>
      </c>
    </row>
    <row r="2481" spans="1:22" hidden="1" x14ac:dyDescent="0.25">
      <c r="A2481" s="269">
        <v>43601</v>
      </c>
      <c r="B2481" s="270">
        <v>2019</v>
      </c>
      <c r="C2481" s="270">
        <v>2019</v>
      </c>
      <c r="D2481" s="270">
        <v>1</v>
      </c>
      <c r="E2481" s="270">
        <v>1</v>
      </c>
      <c r="F2481" s="270" t="s">
        <v>944</v>
      </c>
      <c r="G2481" s="270" t="s">
        <v>3926</v>
      </c>
      <c r="H2481" s="270" t="s">
        <v>6853</v>
      </c>
      <c r="I2481" s="270" t="s">
        <v>4119</v>
      </c>
      <c r="J2481" s="270" t="s">
        <v>3928</v>
      </c>
      <c r="K2481" s="270">
        <v>6078</v>
      </c>
      <c r="L2481" s="270">
        <v>477102</v>
      </c>
      <c r="M2481" s="270" t="s">
        <v>3943</v>
      </c>
      <c r="N2481" s="270" t="s">
        <v>3944</v>
      </c>
      <c r="O2481" s="270">
        <v>4203</v>
      </c>
      <c r="P2481" s="270" t="s">
        <v>3944</v>
      </c>
      <c r="Q2481" s="270" t="s">
        <v>3944</v>
      </c>
      <c r="R2481" s="270">
        <v>4203</v>
      </c>
      <c r="S2481" s="270">
        <v>42885</v>
      </c>
      <c r="T2481" s="270">
        <v>47088</v>
      </c>
      <c r="U2481" s="271" t="s">
        <v>3945</v>
      </c>
      <c r="V2481" s="267" t="s">
        <v>944</v>
      </c>
    </row>
    <row r="2482" spans="1:22" hidden="1" x14ac:dyDescent="0.25">
      <c r="A2482" s="266">
        <v>43601</v>
      </c>
      <c r="B2482" s="267">
        <v>2019</v>
      </c>
      <c r="C2482" s="267">
        <v>2019</v>
      </c>
      <c r="D2482" s="267">
        <v>1</v>
      </c>
      <c r="E2482" s="267">
        <v>1</v>
      </c>
      <c r="F2482" s="267" t="s">
        <v>944</v>
      </c>
      <c r="G2482" s="267" t="s">
        <v>3926</v>
      </c>
      <c r="H2482" s="267" t="s">
        <v>6854</v>
      </c>
      <c r="I2482" s="267" t="s">
        <v>3014</v>
      </c>
      <c r="J2482" s="267" t="s">
        <v>3928</v>
      </c>
      <c r="K2482" s="267">
        <v>6525</v>
      </c>
      <c r="L2482" s="267">
        <v>160100</v>
      </c>
      <c r="M2482" s="267" t="s">
        <v>3943</v>
      </c>
      <c r="N2482" s="267" t="s">
        <v>3944</v>
      </c>
      <c r="O2482" s="267">
        <v>4777.99</v>
      </c>
      <c r="P2482" s="267" t="s">
        <v>3944</v>
      </c>
      <c r="Q2482" s="267" t="s">
        <v>3944</v>
      </c>
      <c r="R2482" s="267">
        <v>4777.99</v>
      </c>
      <c r="S2482" s="267">
        <v>81909.009999999995</v>
      </c>
      <c r="T2482" s="267">
        <v>86687</v>
      </c>
      <c r="U2482" s="268" t="s">
        <v>3945</v>
      </c>
      <c r="V2482" s="267" t="s">
        <v>944</v>
      </c>
    </row>
    <row r="2483" spans="1:22" hidden="1" x14ac:dyDescent="0.25">
      <c r="A2483" s="269">
        <v>43601</v>
      </c>
      <c r="B2483" s="270">
        <v>2019</v>
      </c>
      <c r="C2483" s="270">
        <v>2019</v>
      </c>
      <c r="D2483" s="270">
        <v>1</v>
      </c>
      <c r="E2483" s="270">
        <v>1</v>
      </c>
      <c r="F2483" s="270" t="s">
        <v>944</v>
      </c>
      <c r="G2483" s="270" t="s">
        <v>3926</v>
      </c>
      <c r="H2483" s="270" t="s">
        <v>6855</v>
      </c>
      <c r="I2483" s="270" t="s">
        <v>4005</v>
      </c>
      <c r="J2483" s="270" t="s">
        <v>3928</v>
      </c>
      <c r="K2483" s="270">
        <v>6118</v>
      </c>
      <c r="L2483" s="270">
        <v>510500</v>
      </c>
      <c r="M2483" s="270" t="s">
        <v>3940</v>
      </c>
      <c r="N2483" s="270" t="s">
        <v>3944</v>
      </c>
      <c r="O2483" s="270">
        <v>1684.69</v>
      </c>
      <c r="P2483" s="270" t="s">
        <v>3944</v>
      </c>
      <c r="Q2483" s="270" t="s">
        <v>3944</v>
      </c>
      <c r="R2483" s="270">
        <v>1684.69</v>
      </c>
      <c r="S2483" s="270">
        <v>36245.339999999997</v>
      </c>
      <c r="T2483" s="270">
        <v>37930.03</v>
      </c>
      <c r="U2483" s="271" t="s">
        <v>3945</v>
      </c>
      <c r="V2483" s="267" t="s">
        <v>944</v>
      </c>
    </row>
    <row r="2484" spans="1:22" hidden="1" x14ac:dyDescent="0.25">
      <c r="A2484" s="266">
        <v>43601</v>
      </c>
      <c r="B2484" s="267">
        <v>2019</v>
      </c>
      <c r="C2484" s="267">
        <v>2019</v>
      </c>
      <c r="D2484" s="267">
        <v>1</v>
      </c>
      <c r="E2484" s="267">
        <v>1</v>
      </c>
      <c r="F2484" s="267" t="s">
        <v>944</v>
      </c>
      <c r="G2484" s="267" t="s">
        <v>3926</v>
      </c>
      <c r="H2484" s="267" t="s">
        <v>6856</v>
      </c>
      <c r="I2484" s="267" t="s">
        <v>4422</v>
      </c>
      <c r="J2484" s="267" t="s">
        <v>3928</v>
      </c>
      <c r="K2484" s="267">
        <v>6801</v>
      </c>
      <c r="L2484" s="267">
        <v>200200</v>
      </c>
      <c r="M2484" s="267" t="s">
        <v>3940</v>
      </c>
      <c r="N2484" s="267" t="s">
        <v>3944</v>
      </c>
      <c r="O2484" s="267">
        <v>1576.4</v>
      </c>
      <c r="P2484" s="267" t="s">
        <v>3944</v>
      </c>
      <c r="Q2484" s="267" t="s">
        <v>3944</v>
      </c>
      <c r="R2484" s="267">
        <v>1576.4</v>
      </c>
      <c r="S2484" s="267">
        <v>20567.599999999999</v>
      </c>
      <c r="T2484" s="267">
        <v>22144</v>
      </c>
      <c r="U2484" s="268" t="s">
        <v>3945</v>
      </c>
      <c r="V2484" s="267" t="s">
        <v>944</v>
      </c>
    </row>
    <row r="2485" spans="1:22" hidden="1" x14ac:dyDescent="0.25">
      <c r="A2485" s="269">
        <v>43601</v>
      </c>
      <c r="B2485" s="270">
        <v>2019</v>
      </c>
      <c r="C2485" s="270">
        <v>2019</v>
      </c>
      <c r="D2485" s="270">
        <v>1</v>
      </c>
      <c r="E2485" s="270">
        <v>1</v>
      </c>
      <c r="F2485" s="270" t="s">
        <v>944</v>
      </c>
      <c r="G2485" s="270" t="s">
        <v>3926</v>
      </c>
      <c r="H2485" s="270" t="s">
        <v>6857</v>
      </c>
      <c r="I2485" s="270" t="s">
        <v>4213</v>
      </c>
      <c r="J2485" s="270" t="s">
        <v>3928</v>
      </c>
      <c r="K2485" s="270">
        <v>6051</v>
      </c>
      <c r="L2485" s="270">
        <v>415500</v>
      </c>
      <c r="M2485" s="270">
        <v>-60</v>
      </c>
      <c r="N2485" s="270" t="s">
        <v>3944</v>
      </c>
      <c r="O2485" s="270">
        <v>2039.1</v>
      </c>
      <c r="P2485" s="270" t="s">
        <v>3944</v>
      </c>
      <c r="Q2485" s="270" t="s">
        <v>3944</v>
      </c>
      <c r="R2485" s="270">
        <v>2039.1</v>
      </c>
      <c r="S2485" s="270">
        <v>24456.71</v>
      </c>
      <c r="T2485" s="270">
        <v>26495.81</v>
      </c>
      <c r="U2485" s="271" t="s">
        <v>3945</v>
      </c>
      <c r="V2485" s="267" t="s">
        <v>944</v>
      </c>
    </row>
    <row r="2486" spans="1:22" hidden="1" x14ac:dyDescent="0.25">
      <c r="A2486" s="266">
        <v>43601</v>
      </c>
      <c r="B2486" s="267">
        <v>2019</v>
      </c>
      <c r="C2486" s="267">
        <v>2019</v>
      </c>
      <c r="D2486" s="267">
        <v>1</v>
      </c>
      <c r="E2486" s="267">
        <v>1</v>
      </c>
      <c r="F2486" s="267" t="s">
        <v>944</v>
      </c>
      <c r="G2486" s="267" t="s">
        <v>3926</v>
      </c>
      <c r="H2486" s="267" t="s">
        <v>6858</v>
      </c>
      <c r="I2486" s="267" t="s">
        <v>4029</v>
      </c>
      <c r="J2486" s="267" t="s">
        <v>3928</v>
      </c>
      <c r="K2486" s="267">
        <v>6850</v>
      </c>
      <c r="L2486" s="267">
        <v>43800</v>
      </c>
      <c r="M2486" s="267" t="s">
        <v>3935</v>
      </c>
      <c r="N2486" s="267" t="s">
        <v>3944</v>
      </c>
      <c r="O2486" s="267">
        <v>1420.86</v>
      </c>
      <c r="P2486" s="267" t="s">
        <v>3944</v>
      </c>
      <c r="Q2486" s="267" t="s">
        <v>3944</v>
      </c>
      <c r="R2486" s="267">
        <v>1420.86</v>
      </c>
      <c r="S2486" s="267">
        <v>17418.689999999999</v>
      </c>
      <c r="T2486" s="267">
        <v>18839.55</v>
      </c>
      <c r="U2486" s="268" t="s">
        <v>3945</v>
      </c>
      <c r="V2486" s="267" t="s">
        <v>944</v>
      </c>
    </row>
    <row r="2487" spans="1:22" hidden="1" x14ac:dyDescent="0.25">
      <c r="A2487" s="269">
        <v>43601</v>
      </c>
      <c r="B2487" s="270">
        <v>2019</v>
      </c>
      <c r="C2487" s="270">
        <v>2019</v>
      </c>
      <c r="D2487" s="270">
        <v>1</v>
      </c>
      <c r="E2487" s="270">
        <v>1</v>
      </c>
      <c r="F2487" s="270" t="s">
        <v>944</v>
      </c>
      <c r="G2487" s="270" t="s">
        <v>3926</v>
      </c>
      <c r="H2487" s="270" t="s">
        <v>6859</v>
      </c>
      <c r="I2487" s="270" t="s">
        <v>4016</v>
      </c>
      <c r="J2487" s="270" t="s">
        <v>3928</v>
      </c>
      <c r="K2487" s="270">
        <v>6770</v>
      </c>
      <c r="L2487" s="270">
        <v>345201</v>
      </c>
      <c r="M2487" s="270" t="s">
        <v>3935</v>
      </c>
      <c r="N2487" s="270" t="s">
        <v>3944</v>
      </c>
      <c r="O2487" s="270">
        <v>3016.79</v>
      </c>
      <c r="P2487" s="270" t="s">
        <v>3944</v>
      </c>
      <c r="Q2487" s="270" t="s">
        <v>3944</v>
      </c>
      <c r="R2487" s="270">
        <v>3016.79</v>
      </c>
      <c r="S2487" s="270">
        <v>36180.75</v>
      </c>
      <c r="T2487" s="270">
        <v>39197.54</v>
      </c>
      <c r="U2487" s="271" t="s">
        <v>3945</v>
      </c>
      <c r="V2487" s="267" t="s">
        <v>944</v>
      </c>
    </row>
    <row r="2488" spans="1:22" hidden="1" x14ac:dyDescent="0.25">
      <c r="A2488" s="266">
        <v>43601</v>
      </c>
      <c r="B2488" s="267">
        <v>2019</v>
      </c>
      <c r="C2488" s="267">
        <v>2019</v>
      </c>
      <c r="D2488" s="267">
        <v>1</v>
      </c>
      <c r="E2488" s="267">
        <v>1</v>
      </c>
      <c r="F2488" s="267" t="s">
        <v>944</v>
      </c>
      <c r="G2488" s="267" t="s">
        <v>3926</v>
      </c>
      <c r="H2488" s="267" t="s">
        <v>6860</v>
      </c>
      <c r="I2488" s="267" t="s">
        <v>4008</v>
      </c>
      <c r="J2488" s="267" t="s">
        <v>3928</v>
      </c>
      <c r="K2488" s="267">
        <v>6320</v>
      </c>
      <c r="L2488" s="267">
        <v>690400</v>
      </c>
      <c r="M2488" s="267">
        <v>-60</v>
      </c>
      <c r="N2488" s="267" t="s">
        <v>3944</v>
      </c>
      <c r="O2488" s="267">
        <v>1036.1400000000001</v>
      </c>
      <c r="P2488" s="267" t="s">
        <v>3944</v>
      </c>
      <c r="Q2488" s="267" t="s">
        <v>3944</v>
      </c>
      <c r="R2488" s="267">
        <v>1036.1400000000001</v>
      </c>
      <c r="S2488" s="267">
        <v>8865.86</v>
      </c>
      <c r="T2488" s="267">
        <v>9902</v>
      </c>
      <c r="U2488" s="268" t="s">
        <v>3945</v>
      </c>
      <c r="V2488" s="267" t="s">
        <v>944</v>
      </c>
    </row>
    <row r="2489" spans="1:22" hidden="1" x14ac:dyDescent="0.25">
      <c r="A2489" s="269">
        <v>43601</v>
      </c>
      <c r="B2489" s="270">
        <v>2019</v>
      </c>
      <c r="C2489" s="270">
        <v>2019</v>
      </c>
      <c r="D2489" s="270">
        <v>1</v>
      </c>
      <c r="E2489" s="270">
        <v>1</v>
      </c>
      <c r="F2489" s="270" t="s">
        <v>944</v>
      </c>
      <c r="G2489" s="270" t="s">
        <v>3926</v>
      </c>
      <c r="H2489" s="270" t="s">
        <v>6861</v>
      </c>
      <c r="I2489" s="270" t="s">
        <v>4073</v>
      </c>
      <c r="J2489" s="270" t="s">
        <v>3928</v>
      </c>
      <c r="K2489" s="270">
        <v>6776</v>
      </c>
      <c r="L2489" s="270">
        <v>253400</v>
      </c>
      <c r="M2489" s="270" t="s">
        <v>3943</v>
      </c>
      <c r="N2489" s="270" t="s">
        <v>3944</v>
      </c>
      <c r="O2489" s="270">
        <v>1824.87</v>
      </c>
      <c r="P2489" s="270" t="s">
        <v>3944</v>
      </c>
      <c r="Q2489" s="270" t="s">
        <v>3944</v>
      </c>
      <c r="R2489" s="270">
        <v>1824.87</v>
      </c>
      <c r="S2489" s="270">
        <v>21974.55</v>
      </c>
      <c r="T2489" s="270">
        <v>23799.42</v>
      </c>
      <c r="U2489" s="271" t="s">
        <v>3945</v>
      </c>
      <c r="V2489" s="267" t="s">
        <v>944</v>
      </c>
    </row>
    <row r="2490" spans="1:22" hidden="1" x14ac:dyDescent="0.25">
      <c r="A2490" s="266">
        <v>43601</v>
      </c>
      <c r="B2490" s="267">
        <v>2019</v>
      </c>
      <c r="C2490" s="267">
        <v>2019</v>
      </c>
      <c r="D2490" s="267">
        <v>1</v>
      </c>
      <c r="E2490" s="267">
        <v>1</v>
      </c>
      <c r="F2490" s="267" t="s">
        <v>944</v>
      </c>
      <c r="G2490" s="267" t="s">
        <v>3926</v>
      </c>
      <c r="H2490" s="267" t="s">
        <v>6862</v>
      </c>
      <c r="I2490" s="267" t="s">
        <v>4422</v>
      </c>
      <c r="J2490" s="267" t="s">
        <v>3928</v>
      </c>
      <c r="K2490" s="267">
        <v>6801</v>
      </c>
      <c r="L2490" s="267">
        <v>200301</v>
      </c>
      <c r="M2490" s="267" t="s">
        <v>3943</v>
      </c>
      <c r="N2490" s="267" t="s">
        <v>3944</v>
      </c>
      <c r="O2490" s="267">
        <v>1722.42</v>
      </c>
      <c r="P2490" s="267" t="s">
        <v>3944</v>
      </c>
      <c r="Q2490" s="267" t="s">
        <v>3944</v>
      </c>
      <c r="R2490" s="267">
        <v>1722.42</v>
      </c>
      <c r="S2490" s="267">
        <v>29187.35</v>
      </c>
      <c r="T2490" s="267">
        <v>30909.77</v>
      </c>
      <c r="U2490" s="268" t="s">
        <v>3945</v>
      </c>
      <c r="V2490" s="267" t="s">
        <v>944</v>
      </c>
    </row>
    <row r="2491" spans="1:22" hidden="1" x14ac:dyDescent="0.25">
      <c r="A2491" s="269">
        <v>43601</v>
      </c>
      <c r="B2491" s="270">
        <v>2019</v>
      </c>
      <c r="C2491" s="270">
        <v>2019</v>
      </c>
      <c r="D2491" s="270">
        <v>1</v>
      </c>
      <c r="E2491" s="270">
        <v>1</v>
      </c>
      <c r="F2491" s="270" t="s">
        <v>944</v>
      </c>
      <c r="G2491" s="270" t="s">
        <v>3926</v>
      </c>
      <c r="H2491" s="270" t="s">
        <v>6863</v>
      </c>
      <c r="I2491" s="270" t="s">
        <v>3008</v>
      </c>
      <c r="J2491" s="270" t="s">
        <v>3928</v>
      </c>
      <c r="K2491" s="270">
        <v>6460</v>
      </c>
      <c r="L2491" s="270">
        <v>150100</v>
      </c>
      <c r="M2491" s="270" t="s">
        <v>3960</v>
      </c>
      <c r="N2491" s="270" t="s">
        <v>3944</v>
      </c>
      <c r="O2491" s="270">
        <v>1268.02</v>
      </c>
      <c r="P2491" s="270" t="s">
        <v>3944</v>
      </c>
      <c r="Q2491" s="270" t="s">
        <v>3944</v>
      </c>
      <c r="R2491" s="270">
        <v>1268.02</v>
      </c>
      <c r="S2491" s="270">
        <v>28131.98</v>
      </c>
      <c r="T2491" s="270">
        <v>29400</v>
      </c>
      <c r="U2491" s="271" t="s">
        <v>3945</v>
      </c>
      <c r="V2491" s="267" t="s">
        <v>944</v>
      </c>
    </row>
    <row r="2492" spans="1:22" hidden="1" x14ac:dyDescent="0.25">
      <c r="A2492" s="266">
        <v>43601</v>
      </c>
      <c r="B2492" s="267">
        <v>2019</v>
      </c>
      <c r="C2492" s="267">
        <v>2019</v>
      </c>
      <c r="D2492" s="267">
        <v>1</v>
      </c>
      <c r="E2492" s="267">
        <v>1</v>
      </c>
      <c r="F2492" s="267" t="s">
        <v>944</v>
      </c>
      <c r="G2492" s="267" t="s">
        <v>3926</v>
      </c>
      <c r="H2492" s="267" t="s">
        <v>6864</v>
      </c>
      <c r="I2492" s="267" t="s">
        <v>4323</v>
      </c>
      <c r="J2492" s="267" t="s">
        <v>3928</v>
      </c>
      <c r="K2492" s="267">
        <v>6385</v>
      </c>
      <c r="L2492" s="267">
        <v>693400</v>
      </c>
      <c r="M2492" s="267" t="s">
        <v>3940</v>
      </c>
      <c r="N2492" s="267" t="s">
        <v>3944</v>
      </c>
      <c r="O2492" s="267">
        <v>2113.37</v>
      </c>
      <c r="P2492" s="267" t="s">
        <v>3944</v>
      </c>
      <c r="Q2492" s="267" t="s">
        <v>3944</v>
      </c>
      <c r="R2492" s="267">
        <v>2113.37</v>
      </c>
      <c r="S2492" s="267">
        <v>39466.949999999997</v>
      </c>
      <c r="T2492" s="267">
        <v>41580.32</v>
      </c>
      <c r="U2492" s="268" t="s">
        <v>3945</v>
      </c>
      <c r="V2492" s="267" t="s">
        <v>944</v>
      </c>
    </row>
    <row r="2493" spans="1:22" hidden="1" x14ac:dyDescent="0.25">
      <c r="A2493" s="269">
        <v>43601</v>
      </c>
      <c r="B2493" s="270">
        <v>2019</v>
      </c>
      <c r="C2493" s="270">
        <v>2019</v>
      </c>
      <c r="D2493" s="270">
        <v>1</v>
      </c>
      <c r="E2493" s="270">
        <v>1</v>
      </c>
      <c r="F2493" s="270" t="s">
        <v>944</v>
      </c>
      <c r="G2493" s="270" t="s">
        <v>3926</v>
      </c>
      <c r="H2493" s="270" t="s">
        <v>6865</v>
      </c>
      <c r="I2493" s="270" t="s">
        <v>4269</v>
      </c>
      <c r="J2493" s="270" t="s">
        <v>3928</v>
      </c>
      <c r="K2493" s="270">
        <v>6110</v>
      </c>
      <c r="L2493" s="270">
        <v>496800</v>
      </c>
      <c r="M2493" s="270" t="s">
        <v>3935</v>
      </c>
      <c r="N2493" s="270" t="s">
        <v>3944</v>
      </c>
      <c r="O2493" s="270">
        <v>945.95</v>
      </c>
      <c r="P2493" s="270" t="s">
        <v>3944</v>
      </c>
      <c r="Q2493" s="270" t="s">
        <v>3944</v>
      </c>
      <c r="R2493" s="270">
        <v>945.95</v>
      </c>
      <c r="S2493" s="270">
        <v>19425.05</v>
      </c>
      <c r="T2493" s="270">
        <v>20371</v>
      </c>
      <c r="U2493" s="271" t="s">
        <v>3945</v>
      </c>
      <c r="V2493" s="267" t="s">
        <v>944</v>
      </c>
    </row>
    <row r="2494" spans="1:22" hidden="1" x14ac:dyDescent="0.25">
      <c r="A2494" s="266">
        <v>43601</v>
      </c>
      <c r="B2494" s="267">
        <v>2019</v>
      </c>
      <c r="C2494" s="267">
        <v>2019</v>
      </c>
      <c r="D2494" s="267">
        <v>1</v>
      </c>
      <c r="E2494" s="267">
        <v>1</v>
      </c>
      <c r="F2494" s="267" t="s">
        <v>944</v>
      </c>
      <c r="G2494" s="267" t="s">
        <v>3926</v>
      </c>
      <c r="H2494" s="267" t="s">
        <v>6866</v>
      </c>
      <c r="I2494" s="267" t="s">
        <v>4062</v>
      </c>
      <c r="J2494" s="267" t="s">
        <v>3928</v>
      </c>
      <c r="K2494" s="267">
        <v>6763</v>
      </c>
      <c r="L2494" s="267">
        <v>303100</v>
      </c>
      <c r="M2494" s="267" t="s">
        <v>3960</v>
      </c>
      <c r="N2494" s="267" t="s">
        <v>3944</v>
      </c>
      <c r="O2494" s="267">
        <v>5241.1099999999997</v>
      </c>
      <c r="P2494" s="267" t="s">
        <v>3944</v>
      </c>
      <c r="Q2494" s="267" t="s">
        <v>3944</v>
      </c>
      <c r="R2494" s="267">
        <v>5241.1099999999997</v>
      </c>
      <c r="S2494" s="267">
        <v>101656.45</v>
      </c>
      <c r="T2494" s="267">
        <v>106897.56</v>
      </c>
      <c r="U2494" s="268" t="s">
        <v>3945</v>
      </c>
      <c r="V2494" s="267" t="s">
        <v>944</v>
      </c>
    </row>
    <row r="2495" spans="1:22" x14ac:dyDescent="0.25">
      <c r="A2495" s="269">
        <v>43601</v>
      </c>
      <c r="B2495" s="270">
        <v>2019</v>
      </c>
      <c r="C2495" s="270">
        <v>2019</v>
      </c>
      <c r="D2495" s="270">
        <v>1</v>
      </c>
      <c r="E2495" s="270">
        <v>1</v>
      </c>
      <c r="F2495" s="270" t="s">
        <v>944</v>
      </c>
      <c r="G2495" s="270" t="s">
        <v>3926</v>
      </c>
      <c r="H2495" s="270" t="s">
        <v>6867</v>
      </c>
      <c r="I2495" s="270" t="s">
        <v>943</v>
      </c>
      <c r="J2495" s="270" t="s">
        <v>3928</v>
      </c>
      <c r="K2495" s="270">
        <v>6515</v>
      </c>
      <c r="L2495" s="270">
        <v>141300</v>
      </c>
      <c r="M2495" s="270">
        <v>-60</v>
      </c>
      <c r="N2495" s="270" t="s">
        <v>3944</v>
      </c>
      <c r="O2495" s="270">
        <v>799.72</v>
      </c>
      <c r="P2495" s="270" t="s">
        <v>3944</v>
      </c>
      <c r="Q2495" s="270" t="s">
        <v>3944</v>
      </c>
      <c r="R2495" s="270">
        <v>799.72</v>
      </c>
      <c r="S2495" s="270">
        <v>21962.400000000001</v>
      </c>
      <c r="T2495" s="270">
        <v>22762.12</v>
      </c>
      <c r="U2495" s="271" t="s">
        <v>3945</v>
      </c>
      <c r="V2495" s="276" t="s">
        <v>936</v>
      </c>
    </row>
    <row r="2496" spans="1:22" hidden="1" x14ac:dyDescent="0.25">
      <c r="A2496" s="266">
        <v>43601</v>
      </c>
      <c r="B2496" s="267">
        <v>2019</v>
      </c>
      <c r="C2496" s="267">
        <v>2019</v>
      </c>
      <c r="D2496" s="267">
        <v>1</v>
      </c>
      <c r="E2496" s="267">
        <v>1</v>
      </c>
      <c r="F2496" s="267" t="s">
        <v>944</v>
      </c>
      <c r="G2496" s="267" t="s">
        <v>3926</v>
      </c>
      <c r="H2496" s="267" t="s">
        <v>6868</v>
      </c>
      <c r="I2496" s="267" t="s">
        <v>4594</v>
      </c>
      <c r="J2496" s="267" t="s">
        <v>3928</v>
      </c>
      <c r="K2496" s="267">
        <v>6488</v>
      </c>
      <c r="L2496" s="267">
        <v>348122</v>
      </c>
      <c r="M2496" s="267" t="s">
        <v>3943</v>
      </c>
      <c r="N2496" s="267" t="s">
        <v>3944</v>
      </c>
      <c r="O2496" s="267">
        <v>1923.6</v>
      </c>
      <c r="P2496" s="267" t="s">
        <v>3944</v>
      </c>
      <c r="Q2496" s="267" t="s">
        <v>3944</v>
      </c>
      <c r="R2496" s="267">
        <v>1923.6</v>
      </c>
      <c r="S2496" s="267">
        <v>23508.94</v>
      </c>
      <c r="T2496" s="267">
        <v>25432.54</v>
      </c>
      <c r="U2496" s="268" t="s">
        <v>3945</v>
      </c>
      <c r="V2496" s="267" t="s">
        <v>944</v>
      </c>
    </row>
    <row r="2497" spans="1:22" hidden="1" x14ac:dyDescent="0.25">
      <c r="A2497" s="269">
        <v>43601</v>
      </c>
      <c r="B2497" s="270">
        <v>2019</v>
      </c>
      <c r="C2497" s="270">
        <v>2019</v>
      </c>
      <c r="D2497" s="270">
        <v>1</v>
      </c>
      <c r="E2497" s="270">
        <v>1</v>
      </c>
      <c r="F2497" s="270" t="s">
        <v>944</v>
      </c>
      <c r="G2497" s="270" t="s">
        <v>3926</v>
      </c>
      <c r="H2497" s="270" t="s">
        <v>6869</v>
      </c>
      <c r="I2497" s="270" t="s">
        <v>4306</v>
      </c>
      <c r="J2497" s="270" t="s">
        <v>3928</v>
      </c>
      <c r="K2497" s="270">
        <v>6716</v>
      </c>
      <c r="L2497" s="270">
        <v>361200</v>
      </c>
      <c r="M2497" s="270" t="s">
        <v>3960</v>
      </c>
      <c r="N2497" s="270" t="s">
        <v>3944</v>
      </c>
      <c r="O2497" s="270">
        <v>1215.97</v>
      </c>
      <c r="P2497" s="270" t="s">
        <v>3944</v>
      </c>
      <c r="Q2497" s="270" t="s">
        <v>3944</v>
      </c>
      <c r="R2497" s="270">
        <v>1215.97</v>
      </c>
      <c r="S2497" s="270">
        <v>23677.59</v>
      </c>
      <c r="T2497" s="270">
        <v>24893.56</v>
      </c>
      <c r="U2497" s="271" t="s">
        <v>3945</v>
      </c>
      <c r="V2497" s="267" t="s">
        <v>944</v>
      </c>
    </row>
    <row r="2498" spans="1:22" hidden="1" x14ac:dyDescent="0.25">
      <c r="A2498" s="266">
        <v>43601</v>
      </c>
      <c r="B2498" s="267">
        <v>2019</v>
      </c>
      <c r="C2498" s="267">
        <v>2019</v>
      </c>
      <c r="D2498" s="267">
        <v>1</v>
      </c>
      <c r="E2498" s="267">
        <v>1</v>
      </c>
      <c r="F2498" s="267" t="s">
        <v>944</v>
      </c>
      <c r="G2498" s="267" t="s">
        <v>3926</v>
      </c>
      <c r="H2498" s="267" t="s">
        <v>6870</v>
      </c>
      <c r="I2498" s="267" t="s">
        <v>3008</v>
      </c>
      <c r="J2498" s="267" t="s">
        <v>3928</v>
      </c>
      <c r="K2498" s="267">
        <v>6460</v>
      </c>
      <c r="L2498" s="267">
        <v>151200</v>
      </c>
      <c r="M2498" s="267" t="s">
        <v>3935</v>
      </c>
      <c r="N2498" s="267" t="s">
        <v>3944</v>
      </c>
      <c r="O2498" s="267">
        <v>1628.27</v>
      </c>
      <c r="P2498" s="267" t="s">
        <v>3944</v>
      </c>
      <c r="Q2498" s="267" t="s">
        <v>3944</v>
      </c>
      <c r="R2498" s="267">
        <v>1628.27</v>
      </c>
      <c r="S2498" s="267">
        <v>33087.33</v>
      </c>
      <c r="T2498" s="267">
        <v>34715.599999999999</v>
      </c>
      <c r="U2498" s="268" t="s">
        <v>3945</v>
      </c>
      <c r="V2498" s="267" t="s">
        <v>944</v>
      </c>
    </row>
    <row r="2499" spans="1:22" hidden="1" x14ac:dyDescent="0.25">
      <c r="A2499" s="269">
        <v>43602</v>
      </c>
      <c r="B2499" s="270">
        <v>2019</v>
      </c>
      <c r="C2499" s="270">
        <v>2019</v>
      </c>
      <c r="D2499" s="270">
        <v>1</v>
      </c>
      <c r="E2499" s="270">
        <v>1</v>
      </c>
      <c r="F2499" s="270" t="s">
        <v>944</v>
      </c>
      <c r="G2499" s="270" t="s">
        <v>3926</v>
      </c>
      <c r="H2499" s="270" t="s">
        <v>6871</v>
      </c>
      <c r="I2499" s="270" t="s">
        <v>4310</v>
      </c>
      <c r="J2499" s="270" t="s">
        <v>3928</v>
      </c>
      <c r="K2499" s="270">
        <v>6351</v>
      </c>
      <c r="L2499" s="270">
        <v>710100</v>
      </c>
      <c r="M2499" s="270" t="s">
        <v>3960</v>
      </c>
      <c r="N2499" s="270" t="s">
        <v>4977</v>
      </c>
      <c r="O2499" s="270">
        <v>0</v>
      </c>
      <c r="P2499" s="270" t="s">
        <v>3930</v>
      </c>
      <c r="Q2499" s="270" t="s">
        <v>3930</v>
      </c>
      <c r="R2499" s="270">
        <v>0</v>
      </c>
      <c r="S2499" s="270">
        <v>9400</v>
      </c>
      <c r="T2499" s="270">
        <v>9400</v>
      </c>
      <c r="U2499" s="271" t="s">
        <v>3937</v>
      </c>
      <c r="V2499" s="267" t="s">
        <v>944</v>
      </c>
    </row>
    <row r="2500" spans="1:22" hidden="1" x14ac:dyDescent="0.25">
      <c r="A2500" s="266">
        <v>43602</v>
      </c>
      <c r="B2500" s="267">
        <v>2019</v>
      </c>
      <c r="C2500" s="267">
        <v>2019</v>
      </c>
      <c r="D2500" s="267">
        <v>1</v>
      </c>
      <c r="E2500" s="267">
        <v>1</v>
      </c>
      <c r="F2500" s="267" t="s">
        <v>944</v>
      </c>
      <c r="G2500" s="267" t="s">
        <v>3926</v>
      </c>
      <c r="H2500" s="267" t="s">
        <v>6872</v>
      </c>
      <c r="I2500" s="267" t="s">
        <v>4065</v>
      </c>
      <c r="J2500" s="267" t="s">
        <v>3928</v>
      </c>
      <c r="K2500" s="267">
        <v>6480</v>
      </c>
      <c r="L2500" s="267">
        <v>560100</v>
      </c>
      <c r="M2500" s="267" t="s">
        <v>3943</v>
      </c>
      <c r="N2500" s="267" t="s">
        <v>6873</v>
      </c>
      <c r="O2500" s="267">
        <v>0</v>
      </c>
      <c r="P2500" s="267" t="s">
        <v>3930</v>
      </c>
      <c r="Q2500" s="267" t="s">
        <v>3930</v>
      </c>
      <c r="R2500" s="267">
        <v>0</v>
      </c>
      <c r="S2500" s="267">
        <v>7200</v>
      </c>
      <c r="T2500" s="267">
        <v>7200</v>
      </c>
      <c r="U2500" s="268" t="s">
        <v>3937</v>
      </c>
      <c r="V2500" s="267" t="s">
        <v>944</v>
      </c>
    </row>
    <row r="2501" spans="1:22" hidden="1" x14ac:dyDescent="0.25">
      <c r="A2501" s="269">
        <v>43602</v>
      </c>
      <c r="B2501" s="270">
        <v>2019</v>
      </c>
      <c r="C2501" s="270">
        <v>2019</v>
      </c>
      <c r="D2501" s="270">
        <v>1</v>
      </c>
      <c r="E2501" s="270">
        <v>1</v>
      </c>
      <c r="F2501" s="270" t="s">
        <v>944</v>
      </c>
      <c r="G2501" s="270" t="s">
        <v>3926</v>
      </c>
      <c r="H2501" s="270" t="s">
        <v>6874</v>
      </c>
      <c r="I2501" s="270" t="s">
        <v>4029</v>
      </c>
      <c r="J2501" s="270" t="s">
        <v>3928</v>
      </c>
      <c r="K2501" s="270">
        <v>6851</v>
      </c>
      <c r="L2501" s="270">
        <v>43600</v>
      </c>
      <c r="M2501" s="270" t="s">
        <v>3960</v>
      </c>
      <c r="N2501" s="270" t="s">
        <v>6875</v>
      </c>
      <c r="O2501" s="270">
        <v>6926.81</v>
      </c>
      <c r="P2501" s="270" t="s">
        <v>3930</v>
      </c>
      <c r="Q2501" s="270" t="s">
        <v>3931</v>
      </c>
      <c r="R2501" s="270">
        <v>11926.81</v>
      </c>
      <c r="S2501" s="270">
        <v>31358</v>
      </c>
      <c r="T2501" s="270">
        <v>43284.81</v>
      </c>
      <c r="U2501" s="271" t="s">
        <v>3932</v>
      </c>
      <c r="V2501" s="267" t="s">
        <v>944</v>
      </c>
    </row>
    <row r="2502" spans="1:22" hidden="1" x14ac:dyDescent="0.25">
      <c r="A2502" s="266">
        <v>43602</v>
      </c>
      <c r="B2502" s="267">
        <v>2019</v>
      </c>
      <c r="C2502" s="267">
        <v>2019</v>
      </c>
      <c r="D2502" s="267">
        <v>1</v>
      </c>
      <c r="E2502" s="267">
        <v>1</v>
      </c>
      <c r="F2502" s="267" t="s">
        <v>944</v>
      </c>
      <c r="G2502" s="267" t="s">
        <v>3926</v>
      </c>
      <c r="H2502" s="267" t="s">
        <v>6876</v>
      </c>
      <c r="I2502" s="267" t="s">
        <v>943</v>
      </c>
      <c r="J2502" s="267" t="s">
        <v>3928</v>
      </c>
      <c r="K2502" s="267">
        <v>6512</v>
      </c>
      <c r="L2502" s="267">
        <v>142800</v>
      </c>
      <c r="M2502" s="267" t="s">
        <v>3940</v>
      </c>
      <c r="N2502" s="267" t="s">
        <v>5911</v>
      </c>
      <c r="O2502" s="267">
        <v>1743.18</v>
      </c>
      <c r="P2502" s="267" t="s">
        <v>3930</v>
      </c>
      <c r="Q2502" s="267" t="s">
        <v>3931</v>
      </c>
      <c r="R2502" s="267">
        <v>6743.18</v>
      </c>
      <c r="S2502" s="267">
        <v>19390</v>
      </c>
      <c r="T2502" s="267">
        <v>26133.18</v>
      </c>
      <c r="U2502" s="268" t="s">
        <v>3932</v>
      </c>
      <c r="V2502" s="267" t="s">
        <v>944</v>
      </c>
    </row>
    <row r="2503" spans="1:22" hidden="1" x14ac:dyDescent="0.25">
      <c r="A2503" s="269">
        <v>43602</v>
      </c>
      <c r="B2503" s="270">
        <v>2019</v>
      </c>
      <c r="C2503" s="270">
        <v>2019</v>
      </c>
      <c r="D2503" s="270">
        <v>1</v>
      </c>
      <c r="E2503" s="270">
        <v>1</v>
      </c>
      <c r="F2503" s="270" t="s">
        <v>944</v>
      </c>
      <c r="G2503" s="270" t="s">
        <v>3926</v>
      </c>
      <c r="H2503" s="270" t="s">
        <v>6877</v>
      </c>
      <c r="I2503" s="270" t="s">
        <v>4011</v>
      </c>
      <c r="J2503" s="270" t="s">
        <v>3928</v>
      </c>
      <c r="K2503" s="270">
        <v>6002</v>
      </c>
      <c r="L2503" s="270">
        <v>471400</v>
      </c>
      <c r="M2503" s="270" t="s">
        <v>3943</v>
      </c>
      <c r="N2503" s="270" t="s">
        <v>3944</v>
      </c>
      <c r="O2503" s="270">
        <v>5729</v>
      </c>
      <c r="P2503" s="270" t="s">
        <v>3944</v>
      </c>
      <c r="Q2503" s="270" t="s">
        <v>3944</v>
      </c>
      <c r="R2503" s="270">
        <v>5729</v>
      </c>
      <c r="S2503" s="270">
        <v>42210</v>
      </c>
      <c r="T2503" s="270">
        <v>47939</v>
      </c>
      <c r="U2503" s="271" t="s">
        <v>3945</v>
      </c>
      <c r="V2503" s="267" t="s">
        <v>944</v>
      </c>
    </row>
    <row r="2504" spans="1:22" hidden="1" x14ac:dyDescent="0.25">
      <c r="A2504" s="266">
        <v>43602</v>
      </c>
      <c r="B2504" s="267">
        <v>2019</v>
      </c>
      <c r="C2504" s="267">
        <v>2019</v>
      </c>
      <c r="D2504" s="267">
        <v>1</v>
      </c>
      <c r="E2504" s="267">
        <v>1</v>
      </c>
      <c r="F2504" s="267" t="s">
        <v>944</v>
      </c>
      <c r="G2504" s="267" t="s">
        <v>3926</v>
      </c>
      <c r="H2504" s="267" t="s">
        <v>6878</v>
      </c>
      <c r="I2504" s="267" t="s">
        <v>2987</v>
      </c>
      <c r="J2504" s="267" t="s">
        <v>3928</v>
      </c>
      <c r="K2504" s="267">
        <v>6611</v>
      </c>
      <c r="L2504" s="267">
        <v>90100</v>
      </c>
      <c r="M2504" s="267" t="s">
        <v>3943</v>
      </c>
      <c r="N2504" s="267" t="s">
        <v>3944</v>
      </c>
      <c r="O2504" s="267">
        <v>5030</v>
      </c>
      <c r="P2504" s="267" t="s">
        <v>3944</v>
      </c>
      <c r="Q2504" s="267" t="s">
        <v>3944</v>
      </c>
      <c r="R2504" s="267">
        <v>5030</v>
      </c>
      <c r="S2504" s="267">
        <v>38134</v>
      </c>
      <c r="T2504" s="267">
        <v>43164</v>
      </c>
      <c r="U2504" s="268" t="s">
        <v>3945</v>
      </c>
      <c r="V2504" s="267" t="s">
        <v>944</v>
      </c>
    </row>
    <row r="2505" spans="1:22" hidden="1" x14ac:dyDescent="0.25">
      <c r="A2505" s="269">
        <v>43602</v>
      </c>
      <c r="B2505" s="270">
        <v>2019</v>
      </c>
      <c r="C2505" s="270">
        <v>2019</v>
      </c>
      <c r="D2505" s="270">
        <v>1</v>
      </c>
      <c r="E2505" s="270">
        <v>1</v>
      </c>
      <c r="F2505" s="270" t="s">
        <v>944</v>
      </c>
      <c r="G2505" s="270" t="s">
        <v>3926</v>
      </c>
      <c r="H2505" s="270" t="s">
        <v>6879</v>
      </c>
      <c r="I2505" s="270" t="s">
        <v>4019</v>
      </c>
      <c r="J2505" s="270" t="s">
        <v>3928</v>
      </c>
      <c r="K2505" s="270">
        <v>6706</v>
      </c>
      <c r="L2505" s="270">
        <v>352800</v>
      </c>
      <c r="M2505" s="270" t="s">
        <v>3940</v>
      </c>
      <c r="N2505" s="270" t="s">
        <v>3944</v>
      </c>
      <c r="O2505" s="270">
        <v>1153.1099999999999</v>
      </c>
      <c r="P2505" s="270" t="s">
        <v>3944</v>
      </c>
      <c r="Q2505" s="270" t="s">
        <v>3944</v>
      </c>
      <c r="R2505" s="270">
        <v>1153.1099999999999</v>
      </c>
      <c r="S2505" s="270">
        <v>14997.91</v>
      </c>
      <c r="T2505" s="270">
        <v>16151.02</v>
      </c>
      <c r="U2505" s="271" t="s">
        <v>3945</v>
      </c>
      <c r="V2505" s="267" t="s">
        <v>944</v>
      </c>
    </row>
    <row r="2506" spans="1:22" hidden="1" x14ac:dyDescent="0.25">
      <c r="A2506" s="266">
        <v>43602</v>
      </c>
      <c r="B2506" s="267">
        <v>2019</v>
      </c>
      <c r="C2506" s="267">
        <v>2019</v>
      </c>
      <c r="D2506" s="267">
        <v>1</v>
      </c>
      <c r="E2506" s="267">
        <v>1</v>
      </c>
      <c r="F2506" s="267" t="s">
        <v>944</v>
      </c>
      <c r="G2506" s="267" t="s">
        <v>3926</v>
      </c>
      <c r="H2506" s="267" t="s">
        <v>6880</v>
      </c>
      <c r="I2506" s="267" t="s">
        <v>4016</v>
      </c>
      <c r="J2506" s="267" t="s">
        <v>3928</v>
      </c>
      <c r="K2506" s="267">
        <v>6770</v>
      </c>
      <c r="L2506" s="267">
        <v>345400</v>
      </c>
      <c r="M2506" s="267" t="s">
        <v>3935</v>
      </c>
      <c r="N2506" s="267" t="s">
        <v>3944</v>
      </c>
      <c r="O2506" s="267">
        <v>2562.81</v>
      </c>
      <c r="P2506" s="267" t="s">
        <v>3944</v>
      </c>
      <c r="Q2506" s="267" t="s">
        <v>3944</v>
      </c>
      <c r="R2506" s="267">
        <v>2562.81</v>
      </c>
      <c r="S2506" s="267">
        <v>33230.980000000003</v>
      </c>
      <c r="T2506" s="267">
        <v>35793.79</v>
      </c>
      <c r="U2506" s="268" t="s">
        <v>3945</v>
      </c>
      <c r="V2506" s="267" t="s">
        <v>944</v>
      </c>
    </row>
    <row r="2507" spans="1:22" hidden="1" x14ac:dyDescent="0.25">
      <c r="A2507" s="269">
        <v>43602</v>
      </c>
      <c r="B2507" s="270">
        <v>2019</v>
      </c>
      <c r="C2507" s="270">
        <v>2019</v>
      </c>
      <c r="D2507" s="270">
        <v>1</v>
      </c>
      <c r="E2507" s="270">
        <v>1</v>
      </c>
      <c r="F2507" s="270" t="s">
        <v>944</v>
      </c>
      <c r="G2507" s="270" t="s">
        <v>3926</v>
      </c>
      <c r="H2507" s="270" t="s">
        <v>6881</v>
      </c>
      <c r="I2507" s="270" t="s">
        <v>3939</v>
      </c>
      <c r="J2507" s="270" t="s">
        <v>3928</v>
      </c>
      <c r="K2507" s="270">
        <v>6512</v>
      </c>
      <c r="L2507" s="270">
        <v>180100</v>
      </c>
      <c r="M2507" s="270" t="s">
        <v>3940</v>
      </c>
      <c r="N2507" s="270" t="s">
        <v>3944</v>
      </c>
      <c r="O2507" s="270">
        <v>3147.66</v>
      </c>
      <c r="P2507" s="270" t="s">
        <v>3944</v>
      </c>
      <c r="Q2507" s="270" t="s">
        <v>3944</v>
      </c>
      <c r="R2507" s="270">
        <v>3147.66</v>
      </c>
      <c r="S2507" s="270">
        <v>48782.5</v>
      </c>
      <c r="T2507" s="270">
        <v>51930.16</v>
      </c>
      <c r="U2507" s="271" t="s">
        <v>3945</v>
      </c>
      <c r="V2507" s="267" t="s">
        <v>944</v>
      </c>
    </row>
    <row r="2508" spans="1:22" hidden="1" x14ac:dyDescent="0.25">
      <c r="A2508" s="266">
        <v>43602</v>
      </c>
      <c r="B2508" s="267">
        <v>2019</v>
      </c>
      <c r="C2508" s="267">
        <v>2019</v>
      </c>
      <c r="D2508" s="267">
        <v>1</v>
      </c>
      <c r="E2508" s="267">
        <v>1</v>
      </c>
      <c r="F2508" s="267" t="s">
        <v>944</v>
      </c>
      <c r="G2508" s="267" t="s">
        <v>3926</v>
      </c>
      <c r="H2508" s="267" t="s">
        <v>6882</v>
      </c>
      <c r="I2508" s="267" t="s">
        <v>4699</v>
      </c>
      <c r="J2508" s="267" t="s">
        <v>3928</v>
      </c>
      <c r="K2508" s="267">
        <v>6377</v>
      </c>
      <c r="L2508" s="267">
        <v>908100</v>
      </c>
      <c r="M2508" s="267" t="s">
        <v>3935</v>
      </c>
      <c r="N2508" s="267" t="s">
        <v>3944</v>
      </c>
      <c r="O2508" s="267">
        <v>1065.6099999999999</v>
      </c>
      <c r="P2508" s="267" t="s">
        <v>3944</v>
      </c>
      <c r="Q2508" s="267" t="s">
        <v>3944</v>
      </c>
      <c r="R2508" s="267">
        <v>1065.6099999999999</v>
      </c>
      <c r="S2508" s="267">
        <v>16225.67</v>
      </c>
      <c r="T2508" s="267">
        <v>17291.28</v>
      </c>
      <c r="U2508" s="268" t="s">
        <v>3945</v>
      </c>
      <c r="V2508" s="267" t="s">
        <v>944</v>
      </c>
    </row>
    <row r="2509" spans="1:22" hidden="1" x14ac:dyDescent="0.25">
      <c r="A2509" s="269">
        <v>43602</v>
      </c>
      <c r="B2509" s="270">
        <v>2019</v>
      </c>
      <c r="C2509" s="270">
        <v>2019</v>
      </c>
      <c r="D2509" s="270">
        <v>1</v>
      </c>
      <c r="E2509" s="270">
        <v>1</v>
      </c>
      <c r="F2509" s="270" t="s">
        <v>944</v>
      </c>
      <c r="G2509" s="270" t="s">
        <v>3997</v>
      </c>
      <c r="H2509" s="270" t="s">
        <v>6883</v>
      </c>
      <c r="I2509" s="270" t="s">
        <v>5122</v>
      </c>
      <c r="J2509" s="270" t="s">
        <v>3928</v>
      </c>
      <c r="K2509" s="270">
        <v>6019</v>
      </c>
      <c r="L2509" s="270">
        <v>464102</v>
      </c>
      <c r="M2509" s="270" t="s">
        <v>3935</v>
      </c>
      <c r="N2509" s="270" t="s">
        <v>6884</v>
      </c>
      <c r="O2509" s="270"/>
      <c r="P2509" s="270" t="s">
        <v>3944</v>
      </c>
      <c r="Q2509" s="270" t="s">
        <v>6885</v>
      </c>
      <c r="R2509" s="270">
        <v>1200000</v>
      </c>
      <c r="S2509" s="270">
        <v>5303800</v>
      </c>
      <c r="T2509" s="270">
        <v>6503800</v>
      </c>
      <c r="U2509" s="271" t="s">
        <v>6886</v>
      </c>
      <c r="V2509" s="267" t="s">
        <v>944</v>
      </c>
    </row>
    <row r="2510" spans="1:22" hidden="1" x14ac:dyDescent="0.25">
      <c r="A2510" s="266">
        <v>43603</v>
      </c>
      <c r="B2510" s="267">
        <v>2019</v>
      </c>
      <c r="C2510" s="267">
        <v>2019</v>
      </c>
      <c r="D2510" s="267">
        <v>1</v>
      </c>
      <c r="E2510" s="267">
        <v>1</v>
      </c>
      <c r="F2510" s="267" t="s">
        <v>944</v>
      </c>
      <c r="G2510" s="267" t="s">
        <v>3926</v>
      </c>
      <c r="H2510" s="267" t="s">
        <v>6887</v>
      </c>
      <c r="I2510" s="267" t="s">
        <v>4993</v>
      </c>
      <c r="J2510" s="267" t="s">
        <v>3928</v>
      </c>
      <c r="K2510" s="267">
        <v>6237</v>
      </c>
      <c r="L2510" s="267">
        <v>860100</v>
      </c>
      <c r="M2510" s="267" t="s">
        <v>3943</v>
      </c>
      <c r="N2510" s="267" t="s">
        <v>6888</v>
      </c>
      <c r="O2510" s="267">
        <v>0</v>
      </c>
      <c r="P2510" s="267" t="s">
        <v>3930</v>
      </c>
      <c r="Q2510" s="267" t="s">
        <v>3930</v>
      </c>
      <c r="R2510" s="267">
        <v>0</v>
      </c>
      <c r="S2510" s="267">
        <v>6059.73</v>
      </c>
      <c r="T2510" s="267">
        <v>6059.73</v>
      </c>
      <c r="U2510" s="268" t="s">
        <v>3937</v>
      </c>
      <c r="V2510" s="267" t="s">
        <v>944</v>
      </c>
    </row>
    <row r="2511" spans="1:22" hidden="1" x14ac:dyDescent="0.25">
      <c r="A2511" s="269">
        <v>43603</v>
      </c>
      <c r="B2511" s="270">
        <v>2019</v>
      </c>
      <c r="C2511" s="270">
        <v>2019</v>
      </c>
      <c r="D2511" s="270">
        <v>1</v>
      </c>
      <c r="E2511" s="270">
        <v>1</v>
      </c>
      <c r="F2511" s="270" t="s">
        <v>944</v>
      </c>
      <c r="G2511" s="270" t="s">
        <v>3926</v>
      </c>
      <c r="H2511" s="270" t="s">
        <v>6889</v>
      </c>
      <c r="I2511" s="270" t="s">
        <v>4037</v>
      </c>
      <c r="J2511" s="270" t="s">
        <v>3928</v>
      </c>
      <c r="K2511" s="270">
        <v>6811</v>
      </c>
      <c r="L2511" s="270">
        <v>211200</v>
      </c>
      <c r="M2511" s="270" t="s">
        <v>3960</v>
      </c>
      <c r="N2511" s="270" t="s">
        <v>4714</v>
      </c>
      <c r="O2511" s="270">
        <v>1467.55</v>
      </c>
      <c r="P2511" s="270" t="s">
        <v>3930</v>
      </c>
      <c r="Q2511" s="270" t="s">
        <v>3931</v>
      </c>
      <c r="R2511" s="270">
        <v>6467.55</v>
      </c>
      <c r="S2511" s="270">
        <v>24518.2</v>
      </c>
      <c r="T2511" s="270">
        <v>30985.75</v>
      </c>
      <c r="U2511" s="271" t="s">
        <v>3932</v>
      </c>
      <c r="V2511" s="267" t="s">
        <v>944</v>
      </c>
    </row>
    <row r="2512" spans="1:22" hidden="1" x14ac:dyDescent="0.25">
      <c r="A2512" s="266">
        <v>43604</v>
      </c>
      <c r="B2512" s="267">
        <v>2019</v>
      </c>
      <c r="C2512" s="267">
        <v>2019</v>
      </c>
      <c r="D2512" s="267">
        <v>1</v>
      </c>
      <c r="E2512" s="267">
        <v>1</v>
      </c>
      <c r="F2512" s="267" t="s">
        <v>944</v>
      </c>
      <c r="G2512" s="267" t="s">
        <v>3926</v>
      </c>
      <c r="H2512" s="267" t="s">
        <v>6890</v>
      </c>
      <c r="I2512" s="267" t="s">
        <v>956</v>
      </c>
      <c r="J2512" s="267" t="s">
        <v>3928</v>
      </c>
      <c r="K2512" s="267">
        <v>6614</v>
      </c>
      <c r="L2512" s="267">
        <v>80900</v>
      </c>
      <c r="M2512" s="267" t="s">
        <v>3960</v>
      </c>
      <c r="N2512" s="267" t="s">
        <v>3944</v>
      </c>
      <c r="O2512" s="267">
        <v>1686.13</v>
      </c>
      <c r="P2512" s="267" t="s">
        <v>3944</v>
      </c>
      <c r="Q2512" s="267" t="s">
        <v>3944</v>
      </c>
      <c r="R2512" s="267">
        <v>1686.13</v>
      </c>
      <c r="S2512" s="267">
        <v>28891.48</v>
      </c>
      <c r="T2512" s="267">
        <v>30577.61</v>
      </c>
      <c r="U2512" s="268" t="s">
        <v>3945</v>
      </c>
      <c r="V2512" s="267" t="s">
        <v>944</v>
      </c>
    </row>
    <row r="2513" spans="1:22" hidden="1" x14ac:dyDescent="0.25">
      <c r="A2513" s="269">
        <v>43604</v>
      </c>
      <c r="B2513" s="270">
        <v>2019</v>
      </c>
      <c r="C2513" s="270">
        <v>2019</v>
      </c>
      <c r="D2513" s="270">
        <v>1</v>
      </c>
      <c r="E2513" s="270">
        <v>1</v>
      </c>
      <c r="F2513" s="270" t="s">
        <v>944</v>
      </c>
      <c r="G2513" s="270" t="s">
        <v>3926</v>
      </c>
      <c r="H2513" s="270" t="s">
        <v>6891</v>
      </c>
      <c r="I2513" s="270" t="s">
        <v>3008</v>
      </c>
      <c r="J2513" s="270" t="s">
        <v>3928</v>
      </c>
      <c r="K2513" s="270">
        <v>6460</v>
      </c>
      <c r="L2513" s="270">
        <v>151000</v>
      </c>
      <c r="M2513" s="270" t="s">
        <v>3960</v>
      </c>
      <c r="N2513" s="270" t="s">
        <v>3944</v>
      </c>
      <c r="O2513" s="270">
        <v>867.34</v>
      </c>
      <c r="P2513" s="270" t="s">
        <v>3944</v>
      </c>
      <c r="Q2513" s="270" t="s">
        <v>3944</v>
      </c>
      <c r="R2513" s="270">
        <v>867.34</v>
      </c>
      <c r="S2513" s="270">
        <v>12176.9</v>
      </c>
      <c r="T2513" s="270">
        <v>13044.24</v>
      </c>
      <c r="U2513" s="271" t="s">
        <v>3945</v>
      </c>
      <c r="V2513" s="267" t="s">
        <v>944</v>
      </c>
    </row>
    <row r="2514" spans="1:22" hidden="1" x14ac:dyDescent="0.25">
      <c r="A2514" s="266">
        <v>43604</v>
      </c>
      <c r="B2514" s="267">
        <v>2019</v>
      </c>
      <c r="C2514" s="267">
        <v>2019</v>
      </c>
      <c r="D2514" s="267">
        <v>1</v>
      </c>
      <c r="E2514" s="267">
        <v>1</v>
      </c>
      <c r="F2514" s="267" t="s">
        <v>944</v>
      </c>
      <c r="G2514" s="267" t="s">
        <v>3926</v>
      </c>
      <c r="H2514" s="267" t="s">
        <v>6892</v>
      </c>
      <c r="I2514" s="267" t="s">
        <v>4065</v>
      </c>
      <c r="J2514" s="267" t="s">
        <v>3928</v>
      </c>
      <c r="K2514" s="267">
        <v>6480</v>
      </c>
      <c r="L2514" s="267">
        <v>560100</v>
      </c>
      <c r="M2514" s="267" t="s">
        <v>3943</v>
      </c>
      <c r="N2514" s="267" t="s">
        <v>3944</v>
      </c>
      <c r="O2514" s="267">
        <v>2600.33</v>
      </c>
      <c r="P2514" s="267" t="s">
        <v>3944</v>
      </c>
      <c r="Q2514" s="267" t="s">
        <v>3944</v>
      </c>
      <c r="R2514" s="267">
        <v>2600.33</v>
      </c>
      <c r="S2514" s="267">
        <v>39894.61</v>
      </c>
      <c r="T2514" s="267">
        <v>42494.94</v>
      </c>
      <c r="U2514" s="268" t="s">
        <v>3945</v>
      </c>
      <c r="V2514" s="267" t="s">
        <v>944</v>
      </c>
    </row>
    <row r="2515" spans="1:22" hidden="1" x14ac:dyDescent="0.25">
      <c r="A2515" s="269">
        <v>43604</v>
      </c>
      <c r="B2515" s="270">
        <v>2019</v>
      </c>
      <c r="C2515" s="270">
        <v>2019</v>
      </c>
      <c r="D2515" s="270">
        <v>1</v>
      </c>
      <c r="E2515" s="270">
        <v>1</v>
      </c>
      <c r="F2515" s="270" t="s">
        <v>944</v>
      </c>
      <c r="G2515" s="270" t="s">
        <v>3926</v>
      </c>
      <c r="H2515" s="270" t="s">
        <v>6893</v>
      </c>
      <c r="I2515" s="270" t="s">
        <v>934</v>
      </c>
      <c r="J2515" s="270" t="s">
        <v>3928</v>
      </c>
      <c r="K2515" s="270">
        <v>6604</v>
      </c>
      <c r="L2515" s="270">
        <v>72100</v>
      </c>
      <c r="M2515" s="270" t="s">
        <v>3940</v>
      </c>
      <c r="N2515" s="270" t="s">
        <v>3944</v>
      </c>
      <c r="O2515" s="270">
        <v>1078.67</v>
      </c>
      <c r="P2515" s="270" t="s">
        <v>3944</v>
      </c>
      <c r="Q2515" s="270" t="s">
        <v>3944</v>
      </c>
      <c r="R2515" s="270">
        <v>1078.67</v>
      </c>
      <c r="S2515" s="270">
        <v>16425.900000000001</v>
      </c>
      <c r="T2515" s="270">
        <v>17504.57</v>
      </c>
      <c r="U2515" s="271" t="s">
        <v>3945</v>
      </c>
      <c r="V2515" s="267" t="s">
        <v>944</v>
      </c>
    </row>
    <row r="2516" spans="1:22" hidden="1" x14ac:dyDescent="0.25">
      <c r="A2516" s="266">
        <v>43604</v>
      </c>
      <c r="B2516" s="267">
        <v>2019</v>
      </c>
      <c r="C2516" s="267">
        <v>2019</v>
      </c>
      <c r="D2516" s="267">
        <v>1</v>
      </c>
      <c r="E2516" s="267">
        <v>1</v>
      </c>
      <c r="F2516" s="267" t="s">
        <v>944</v>
      </c>
      <c r="G2516" s="267" t="s">
        <v>3926</v>
      </c>
      <c r="H2516" s="267" t="s">
        <v>6894</v>
      </c>
      <c r="I2516" s="267" t="s">
        <v>4683</v>
      </c>
      <c r="J2516" s="267" t="s">
        <v>3928</v>
      </c>
      <c r="K2516" s="267">
        <v>6762</v>
      </c>
      <c r="L2516" s="267">
        <v>344100</v>
      </c>
      <c r="M2516" s="267" t="s">
        <v>3943</v>
      </c>
      <c r="N2516" s="267" t="s">
        <v>3944</v>
      </c>
      <c r="O2516" s="267">
        <v>3189.55</v>
      </c>
      <c r="P2516" s="267" t="s">
        <v>3944</v>
      </c>
      <c r="Q2516" s="267" t="s">
        <v>3944</v>
      </c>
      <c r="R2516" s="267">
        <v>3189.55</v>
      </c>
      <c r="S2516" s="267">
        <v>45402.44</v>
      </c>
      <c r="T2516" s="267">
        <v>48591.99</v>
      </c>
      <c r="U2516" s="268" t="s">
        <v>3945</v>
      </c>
      <c r="V2516" s="267" t="s">
        <v>944</v>
      </c>
    </row>
    <row r="2517" spans="1:22" hidden="1" x14ac:dyDescent="0.25">
      <c r="A2517" s="269">
        <v>43605</v>
      </c>
      <c r="B2517" s="270">
        <v>2019</v>
      </c>
      <c r="C2517" s="270">
        <v>2019</v>
      </c>
      <c r="D2517" s="270">
        <v>1</v>
      </c>
      <c r="E2517" s="270">
        <v>1</v>
      </c>
      <c r="F2517" s="270" t="s">
        <v>944</v>
      </c>
      <c r="G2517" s="270" t="s">
        <v>3926</v>
      </c>
      <c r="H2517" s="270" t="s">
        <v>6895</v>
      </c>
      <c r="I2517" s="270" t="s">
        <v>4114</v>
      </c>
      <c r="J2517" s="270" t="s">
        <v>3928</v>
      </c>
      <c r="K2517" s="270">
        <v>6410</v>
      </c>
      <c r="L2517" s="270">
        <v>343101</v>
      </c>
      <c r="M2517" s="270" t="s">
        <v>3943</v>
      </c>
      <c r="N2517" s="270" t="s">
        <v>4115</v>
      </c>
      <c r="O2517" s="270">
        <v>0</v>
      </c>
      <c r="P2517" s="270" t="s">
        <v>3930</v>
      </c>
      <c r="Q2517" s="270" t="s">
        <v>3930</v>
      </c>
      <c r="R2517" s="270">
        <v>0</v>
      </c>
      <c r="S2517" s="270">
        <v>11800</v>
      </c>
      <c r="T2517" s="270">
        <v>11800</v>
      </c>
      <c r="U2517" s="271" t="s">
        <v>3937</v>
      </c>
      <c r="V2517" s="267" t="s">
        <v>944</v>
      </c>
    </row>
    <row r="2518" spans="1:22" hidden="1" x14ac:dyDescent="0.25">
      <c r="A2518" s="266">
        <v>43605</v>
      </c>
      <c r="B2518" s="267">
        <v>2019</v>
      </c>
      <c r="C2518" s="267">
        <v>2019</v>
      </c>
      <c r="D2518" s="267">
        <v>1</v>
      </c>
      <c r="E2518" s="267">
        <v>1</v>
      </c>
      <c r="F2518" s="267" t="s">
        <v>944</v>
      </c>
      <c r="G2518" s="267" t="s">
        <v>3926</v>
      </c>
      <c r="H2518" s="267" t="s">
        <v>6896</v>
      </c>
      <c r="I2518" s="267" t="s">
        <v>4731</v>
      </c>
      <c r="J2518" s="267" t="s">
        <v>3928</v>
      </c>
      <c r="K2518" s="267">
        <v>6478</v>
      </c>
      <c r="L2518" s="267">
        <v>346102</v>
      </c>
      <c r="M2518" s="267" t="s">
        <v>3943</v>
      </c>
      <c r="N2518" s="267" t="s">
        <v>6897</v>
      </c>
      <c r="O2518" s="267">
        <v>8299</v>
      </c>
      <c r="P2518" s="267" t="s">
        <v>3930</v>
      </c>
      <c r="Q2518" s="267" t="s">
        <v>3930</v>
      </c>
      <c r="R2518" s="267">
        <v>8299</v>
      </c>
      <c r="S2518" s="267">
        <v>45000</v>
      </c>
      <c r="T2518" s="267">
        <v>53299</v>
      </c>
      <c r="U2518" s="268" t="s">
        <v>3937</v>
      </c>
      <c r="V2518" s="267" t="s">
        <v>944</v>
      </c>
    </row>
    <row r="2519" spans="1:22" hidden="1" x14ac:dyDescent="0.25">
      <c r="A2519" s="269">
        <v>43605</v>
      </c>
      <c r="B2519" s="270">
        <v>2019</v>
      </c>
      <c r="C2519" s="270">
        <v>2019</v>
      </c>
      <c r="D2519" s="270">
        <v>1</v>
      </c>
      <c r="E2519" s="270">
        <v>1</v>
      </c>
      <c r="F2519" s="270" t="s">
        <v>944</v>
      </c>
      <c r="G2519" s="270" t="s">
        <v>3926</v>
      </c>
      <c r="H2519" s="270" t="s">
        <v>6898</v>
      </c>
      <c r="I2519" s="270" t="s">
        <v>4993</v>
      </c>
      <c r="J2519" s="270" t="s">
        <v>3928</v>
      </c>
      <c r="K2519" s="270">
        <v>6237</v>
      </c>
      <c r="L2519" s="270">
        <v>860100</v>
      </c>
      <c r="M2519" s="270" t="s">
        <v>3943</v>
      </c>
      <c r="N2519" s="270" t="s">
        <v>6899</v>
      </c>
      <c r="O2519" s="270">
        <v>0</v>
      </c>
      <c r="P2519" s="270" t="s">
        <v>3930</v>
      </c>
      <c r="Q2519" s="270" t="s">
        <v>3930</v>
      </c>
      <c r="R2519" s="270">
        <v>0</v>
      </c>
      <c r="S2519" s="270">
        <v>8127.83</v>
      </c>
      <c r="T2519" s="270">
        <v>8127.83</v>
      </c>
      <c r="U2519" s="271" t="s">
        <v>3937</v>
      </c>
      <c r="V2519" s="267" t="s">
        <v>944</v>
      </c>
    </row>
    <row r="2520" spans="1:22" hidden="1" x14ac:dyDescent="0.25">
      <c r="A2520" s="266">
        <v>43605</v>
      </c>
      <c r="B2520" s="267">
        <v>2019</v>
      </c>
      <c r="C2520" s="267">
        <v>2019</v>
      </c>
      <c r="D2520" s="267">
        <v>1</v>
      </c>
      <c r="E2520" s="267">
        <v>1</v>
      </c>
      <c r="F2520" s="267" t="s">
        <v>944</v>
      </c>
      <c r="G2520" s="267" t="s">
        <v>3926</v>
      </c>
      <c r="H2520" s="267" t="s">
        <v>6900</v>
      </c>
      <c r="I2520" s="267" t="s">
        <v>3990</v>
      </c>
      <c r="J2520" s="267" t="s">
        <v>3928</v>
      </c>
      <c r="K2520" s="267">
        <v>6804</v>
      </c>
      <c r="L2520" s="267">
        <v>205100</v>
      </c>
      <c r="M2520" s="267" t="s">
        <v>3943</v>
      </c>
      <c r="N2520" s="267" t="s">
        <v>6901</v>
      </c>
      <c r="O2520" s="267">
        <v>0</v>
      </c>
      <c r="P2520" s="267" t="s">
        <v>3930</v>
      </c>
      <c r="Q2520" s="267" t="s">
        <v>3930</v>
      </c>
      <c r="R2520" s="267">
        <v>0</v>
      </c>
      <c r="S2520" s="267">
        <v>7500</v>
      </c>
      <c r="T2520" s="267">
        <v>7500</v>
      </c>
      <c r="U2520" s="268" t="s">
        <v>3937</v>
      </c>
      <c r="V2520" s="267" t="s">
        <v>944</v>
      </c>
    </row>
    <row r="2521" spans="1:22" hidden="1" x14ac:dyDescent="0.25">
      <c r="A2521" s="269">
        <v>43605</v>
      </c>
      <c r="B2521" s="270">
        <v>2019</v>
      </c>
      <c r="C2521" s="270">
        <v>2019</v>
      </c>
      <c r="D2521" s="270">
        <v>1</v>
      </c>
      <c r="E2521" s="270">
        <v>1</v>
      </c>
      <c r="F2521" s="270" t="s">
        <v>944</v>
      </c>
      <c r="G2521" s="270" t="s">
        <v>3926</v>
      </c>
      <c r="H2521" s="270" t="s">
        <v>6902</v>
      </c>
      <c r="I2521" s="270" t="s">
        <v>4422</v>
      </c>
      <c r="J2521" s="270" t="s">
        <v>3928</v>
      </c>
      <c r="K2521" s="270">
        <v>6801</v>
      </c>
      <c r="L2521" s="270">
        <v>200302</v>
      </c>
      <c r="M2521" s="270" t="s">
        <v>3943</v>
      </c>
      <c r="N2521" s="270" t="s">
        <v>6903</v>
      </c>
      <c r="O2521" s="270">
        <v>4845</v>
      </c>
      <c r="P2521" s="270" t="s">
        <v>3930</v>
      </c>
      <c r="Q2521" s="270" t="s">
        <v>3930</v>
      </c>
      <c r="R2521" s="270">
        <v>4845</v>
      </c>
      <c r="S2521" s="270">
        <v>27207</v>
      </c>
      <c r="T2521" s="270">
        <v>32052</v>
      </c>
      <c r="U2521" s="271" t="s">
        <v>3937</v>
      </c>
      <c r="V2521" s="267" t="s">
        <v>944</v>
      </c>
    </row>
    <row r="2522" spans="1:22" hidden="1" x14ac:dyDescent="0.25">
      <c r="A2522" s="266">
        <v>43605</v>
      </c>
      <c r="B2522" s="267">
        <v>2019</v>
      </c>
      <c r="C2522" s="267">
        <v>2019</v>
      </c>
      <c r="D2522" s="267">
        <v>1</v>
      </c>
      <c r="E2522" s="267">
        <v>1</v>
      </c>
      <c r="F2522" s="267" t="s">
        <v>944</v>
      </c>
      <c r="G2522" s="267" t="s">
        <v>3926</v>
      </c>
      <c r="H2522" s="267" t="s">
        <v>6904</v>
      </c>
      <c r="I2522" s="267" t="s">
        <v>4594</v>
      </c>
      <c r="J2522" s="267" t="s">
        <v>3928</v>
      </c>
      <c r="K2522" s="267">
        <v>6488</v>
      </c>
      <c r="L2522" s="267">
        <v>348123</v>
      </c>
      <c r="M2522" s="267" t="s">
        <v>3943</v>
      </c>
      <c r="N2522" s="267" t="s">
        <v>4714</v>
      </c>
      <c r="O2522" s="267">
        <v>1590.72</v>
      </c>
      <c r="P2522" s="267" t="s">
        <v>3930</v>
      </c>
      <c r="Q2522" s="267" t="s">
        <v>3931</v>
      </c>
      <c r="R2522" s="267">
        <v>6590.72</v>
      </c>
      <c r="S2522" s="267">
        <v>24518.2</v>
      </c>
      <c r="T2522" s="267">
        <v>31108.92</v>
      </c>
      <c r="U2522" s="268" t="s">
        <v>3932</v>
      </c>
      <c r="V2522" s="267" t="s">
        <v>944</v>
      </c>
    </row>
    <row r="2523" spans="1:22" hidden="1" x14ac:dyDescent="0.25">
      <c r="A2523" s="269">
        <v>43605</v>
      </c>
      <c r="B2523" s="270">
        <v>2019</v>
      </c>
      <c r="C2523" s="270">
        <v>2019</v>
      </c>
      <c r="D2523" s="270">
        <v>1</v>
      </c>
      <c r="E2523" s="270">
        <v>1</v>
      </c>
      <c r="F2523" s="270" t="s">
        <v>944</v>
      </c>
      <c r="G2523" s="270" t="s">
        <v>3926</v>
      </c>
      <c r="H2523" s="270" t="s">
        <v>6905</v>
      </c>
      <c r="I2523" s="270" t="s">
        <v>3990</v>
      </c>
      <c r="J2523" s="270" t="s">
        <v>3928</v>
      </c>
      <c r="K2523" s="270">
        <v>6804</v>
      </c>
      <c r="L2523" s="270">
        <v>205200</v>
      </c>
      <c r="M2523" s="270" t="s">
        <v>3943</v>
      </c>
      <c r="N2523" s="270" t="s">
        <v>3944</v>
      </c>
      <c r="O2523" s="270">
        <v>4079</v>
      </c>
      <c r="P2523" s="270" t="s">
        <v>3944</v>
      </c>
      <c r="Q2523" s="270" t="s">
        <v>3944</v>
      </c>
      <c r="R2523" s="270">
        <v>4079</v>
      </c>
      <c r="S2523" s="270">
        <v>60102.2</v>
      </c>
      <c r="T2523" s="270">
        <v>64181.2</v>
      </c>
      <c r="U2523" s="271" t="s">
        <v>3945</v>
      </c>
      <c r="V2523" s="267" t="s">
        <v>944</v>
      </c>
    </row>
    <row r="2524" spans="1:22" hidden="1" x14ac:dyDescent="0.25">
      <c r="A2524" s="266">
        <v>43605</v>
      </c>
      <c r="B2524" s="267">
        <v>2019</v>
      </c>
      <c r="C2524" s="267">
        <v>2019</v>
      </c>
      <c r="D2524" s="267">
        <v>1</v>
      </c>
      <c r="E2524" s="267">
        <v>1</v>
      </c>
      <c r="F2524" s="267" t="s">
        <v>944</v>
      </c>
      <c r="G2524" s="267" t="s">
        <v>3926</v>
      </c>
      <c r="H2524" s="267" t="s">
        <v>6906</v>
      </c>
      <c r="I2524" s="267" t="s">
        <v>3008</v>
      </c>
      <c r="J2524" s="267" t="s">
        <v>3928</v>
      </c>
      <c r="K2524" s="267">
        <v>6461</v>
      </c>
      <c r="L2524" s="267">
        <v>150600</v>
      </c>
      <c r="M2524" s="267" t="s">
        <v>3960</v>
      </c>
      <c r="N2524" s="267" t="s">
        <v>3944</v>
      </c>
      <c r="O2524" s="267">
        <v>3074</v>
      </c>
      <c r="P2524" s="267" t="s">
        <v>3944</v>
      </c>
      <c r="Q2524" s="267" t="s">
        <v>3944</v>
      </c>
      <c r="R2524" s="267">
        <v>3074</v>
      </c>
      <c r="S2524" s="267">
        <v>32426</v>
      </c>
      <c r="T2524" s="267">
        <v>35500</v>
      </c>
      <c r="U2524" s="268" t="s">
        <v>3945</v>
      </c>
      <c r="V2524" s="267" t="s">
        <v>944</v>
      </c>
    </row>
    <row r="2525" spans="1:22" hidden="1" x14ac:dyDescent="0.25">
      <c r="A2525" s="269">
        <v>43605</v>
      </c>
      <c r="B2525" s="270">
        <v>2019</v>
      </c>
      <c r="C2525" s="270">
        <v>2019</v>
      </c>
      <c r="D2525" s="270">
        <v>1</v>
      </c>
      <c r="E2525" s="270">
        <v>1</v>
      </c>
      <c r="F2525" s="270" t="s">
        <v>944</v>
      </c>
      <c r="G2525" s="270" t="s">
        <v>3926</v>
      </c>
      <c r="H2525" s="270" t="s">
        <v>6907</v>
      </c>
      <c r="I2525" s="270" t="s">
        <v>5485</v>
      </c>
      <c r="J2525" s="270" t="s">
        <v>3928</v>
      </c>
      <c r="K2525" s="270">
        <v>6001</v>
      </c>
      <c r="L2525" s="270">
        <v>462102</v>
      </c>
      <c r="M2525" s="270" t="s">
        <v>3943</v>
      </c>
      <c r="N2525" s="270" t="s">
        <v>3944</v>
      </c>
      <c r="O2525" s="270">
        <v>7448</v>
      </c>
      <c r="P2525" s="270" t="s">
        <v>3944</v>
      </c>
      <c r="Q2525" s="270" t="s">
        <v>3944</v>
      </c>
      <c r="R2525" s="270">
        <v>7448</v>
      </c>
      <c r="S2525" s="270">
        <v>51337</v>
      </c>
      <c r="T2525" s="270">
        <v>58785</v>
      </c>
      <c r="U2525" s="271" t="s">
        <v>3945</v>
      </c>
      <c r="V2525" s="267" t="s">
        <v>944</v>
      </c>
    </row>
    <row r="2526" spans="1:22" hidden="1" x14ac:dyDescent="0.25">
      <c r="A2526" s="266">
        <v>43605</v>
      </c>
      <c r="B2526" s="267">
        <v>2019</v>
      </c>
      <c r="C2526" s="267">
        <v>2019</v>
      </c>
      <c r="D2526" s="267">
        <v>1</v>
      </c>
      <c r="E2526" s="267">
        <v>1</v>
      </c>
      <c r="F2526" s="267" t="s">
        <v>944</v>
      </c>
      <c r="G2526" s="267" t="s">
        <v>3926</v>
      </c>
      <c r="H2526" s="267" t="s">
        <v>6908</v>
      </c>
      <c r="I2526" s="267" t="s">
        <v>2985</v>
      </c>
      <c r="J2526" s="267" t="s">
        <v>3928</v>
      </c>
      <c r="K2526" s="267">
        <v>6824</v>
      </c>
      <c r="L2526" s="267">
        <v>61500</v>
      </c>
      <c r="M2526" s="267" t="s">
        <v>3943</v>
      </c>
      <c r="N2526" s="267" t="s">
        <v>3944</v>
      </c>
      <c r="O2526" s="267">
        <v>3851</v>
      </c>
      <c r="P2526" s="267" t="s">
        <v>3944</v>
      </c>
      <c r="Q2526" s="267" t="s">
        <v>3944</v>
      </c>
      <c r="R2526" s="267">
        <v>3851</v>
      </c>
      <c r="S2526" s="267">
        <v>29989</v>
      </c>
      <c r="T2526" s="267">
        <v>33840</v>
      </c>
      <c r="U2526" s="268" t="s">
        <v>3945</v>
      </c>
      <c r="V2526" s="267" t="s">
        <v>944</v>
      </c>
    </row>
    <row r="2527" spans="1:22" hidden="1" x14ac:dyDescent="0.25">
      <c r="A2527" s="269">
        <v>43605</v>
      </c>
      <c r="B2527" s="270">
        <v>2019</v>
      </c>
      <c r="C2527" s="270">
        <v>2019</v>
      </c>
      <c r="D2527" s="270">
        <v>1</v>
      </c>
      <c r="E2527" s="270">
        <v>1</v>
      </c>
      <c r="F2527" s="270" t="s">
        <v>944</v>
      </c>
      <c r="G2527" s="270" t="s">
        <v>3926</v>
      </c>
      <c r="H2527" s="270" t="s">
        <v>6909</v>
      </c>
      <c r="I2527" s="270" t="s">
        <v>3939</v>
      </c>
      <c r="J2527" s="270" t="s">
        <v>3928</v>
      </c>
      <c r="K2527" s="270">
        <v>6512</v>
      </c>
      <c r="L2527" s="270">
        <v>180200</v>
      </c>
      <c r="M2527" s="270" t="s">
        <v>3940</v>
      </c>
      <c r="N2527" s="270" t="s">
        <v>3944</v>
      </c>
      <c r="O2527" s="270">
        <v>3104.5</v>
      </c>
      <c r="P2527" s="270" t="s">
        <v>3944</v>
      </c>
      <c r="Q2527" s="270" t="s">
        <v>3944</v>
      </c>
      <c r="R2527" s="270">
        <v>3104.5</v>
      </c>
      <c r="S2527" s="270">
        <v>60977.9</v>
      </c>
      <c r="T2527" s="270">
        <v>64082.400000000001</v>
      </c>
      <c r="U2527" s="271" t="s">
        <v>3945</v>
      </c>
      <c r="V2527" s="267" t="s">
        <v>944</v>
      </c>
    </row>
    <row r="2528" spans="1:22" hidden="1" x14ac:dyDescent="0.25">
      <c r="A2528" s="266">
        <v>43605</v>
      </c>
      <c r="B2528" s="267">
        <v>2019</v>
      </c>
      <c r="C2528" s="267">
        <v>2019</v>
      </c>
      <c r="D2528" s="267">
        <v>1</v>
      </c>
      <c r="E2528" s="267">
        <v>1</v>
      </c>
      <c r="F2528" s="267" t="s">
        <v>944</v>
      </c>
      <c r="G2528" s="267" t="s">
        <v>3926</v>
      </c>
      <c r="H2528" s="267" t="s">
        <v>6910</v>
      </c>
      <c r="I2528" s="267" t="s">
        <v>3939</v>
      </c>
      <c r="J2528" s="267" t="s">
        <v>3928</v>
      </c>
      <c r="K2528" s="267">
        <v>6512</v>
      </c>
      <c r="L2528" s="267">
        <v>180200</v>
      </c>
      <c r="M2528" s="267" t="s">
        <v>3940</v>
      </c>
      <c r="N2528" s="267" t="s">
        <v>3944</v>
      </c>
      <c r="O2528" s="267">
        <v>1272.57</v>
      </c>
      <c r="P2528" s="267" t="s">
        <v>3944</v>
      </c>
      <c r="Q2528" s="267" t="s">
        <v>3944</v>
      </c>
      <c r="R2528" s="267">
        <v>1272.57</v>
      </c>
      <c r="S2528" s="267">
        <v>18147.38</v>
      </c>
      <c r="T2528" s="267">
        <v>19419.95</v>
      </c>
      <c r="U2528" s="268" t="s">
        <v>3945</v>
      </c>
      <c r="V2528" s="267" t="s">
        <v>944</v>
      </c>
    </row>
    <row r="2529" spans="1:22" x14ac:dyDescent="0.25">
      <c r="A2529" s="269">
        <v>43605</v>
      </c>
      <c r="B2529" s="270">
        <v>2019</v>
      </c>
      <c r="C2529" s="270">
        <v>2019</v>
      </c>
      <c r="D2529" s="270">
        <v>1</v>
      </c>
      <c r="E2529" s="270">
        <v>1</v>
      </c>
      <c r="F2529" s="270" t="s">
        <v>944</v>
      </c>
      <c r="G2529" s="270" t="s">
        <v>3926</v>
      </c>
      <c r="H2529" s="270" t="s">
        <v>6911</v>
      </c>
      <c r="I2529" s="270" t="s">
        <v>943</v>
      </c>
      <c r="J2529" s="270" t="s">
        <v>3928</v>
      </c>
      <c r="K2529" s="270">
        <v>6513</v>
      </c>
      <c r="L2529" s="270">
        <v>142300</v>
      </c>
      <c r="M2529" s="270">
        <v>-60</v>
      </c>
      <c r="N2529" s="270" t="s">
        <v>3944</v>
      </c>
      <c r="O2529" s="270">
        <v>872.52</v>
      </c>
      <c r="P2529" s="270" t="s">
        <v>3944</v>
      </c>
      <c r="Q2529" s="270" t="s">
        <v>3944</v>
      </c>
      <c r="R2529" s="270">
        <v>872.52</v>
      </c>
      <c r="S2529" s="270">
        <v>12987.48</v>
      </c>
      <c r="T2529" s="270">
        <v>13860</v>
      </c>
      <c r="U2529" s="271" t="s">
        <v>3945</v>
      </c>
      <c r="V2529" s="276" t="s">
        <v>936</v>
      </c>
    </row>
    <row r="2530" spans="1:22" hidden="1" x14ac:dyDescent="0.25">
      <c r="A2530" s="266">
        <v>43605</v>
      </c>
      <c r="B2530" s="267">
        <v>2019</v>
      </c>
      <c r="C2530" s="267">
        <v>2019</v>
      </c>
      <c r="D2530" s="267">
        <v>1</v>
      </c>
      <c r="E2530" s="267">
        <v>1</v>
      </c>
      <c r="F2530" s="267" t="s">
        <v>944</v>
      </c>
      <c r="G2530" s="267" t="s">
        <v>3926</v>
      </c>
      <c r="H2530" s="267" t="s">
        <v>6912</v>
      </c>
      <c r="I2530" s="267" t="s">
        <v>2981</v>
      </c>
      <c r="J2530" s="267" t="s">
        <v>3928</v>
      </c>
      <c r="K2530" s="267">
        <v>6612</v>
      </c>
      <c r="L2530" s="267">
        <v>105100</v>
      </c>
      <c r="M2530" s="267" t="s">
        <v>3943</v>
      </c>
      <c r="N2530" s="267" t="s">
        <v>3944</v>
      </c>
      <c r="O2530" s="267">
        <v>2579.9899999999998</v>
      </c>
      <c r="P2530" s="267" t="s">
        <v>3944</v>
      </c>
      <c r="Q2530" s="267" t="s">
        <v>3944</v>
      </c>
      <c r="R2530" s="267">
        <v>2579.9899999999998</v>
      </c>
      <c r="S2530" s="267">
        <v>33788.79</v>
      </c>
      <c r="T2530" s="267">
        <v>36368.78</v>
      </c>
      <c r="U2530" s="268" t="s">
        <v>3945</v>
      </c>
      <c r="V2530" s="267" t="s">
        <v>944</v>
      </c>
    </row>
    <row r="2531" spans="1:22" hidden="1" x14ac:dyDescent="0.25">
      <c r="A2531" s="269">
        <v>43605</v>
      </c>
      <c r="B2531" s="270">
        <v>2019</v>
      </c>
      <c r="C2531" s="270">
        <v>2019</v>
      </c>
      <c r="D2531" s="270">
        <v>1</v>
      </c>
      <c r="E2531" s="270">
        <v>1</v>
      </c>
      <c r="F2531" s="270" t="s">
        <v>944</v>
      </c>
      <c r="G2531" s="270" t="s">
        <v>3926</v>
      </c>
      <c r="H2531" s="270" t="s">
        <v>6913</v>
      </c>
      <c r="I2531" s="270" t="s">
        <v>4019</v>
      </c>
      <c r="J2531" s="270" t="s">
        <v>3928</v>
      </c>
      <c r="K2531" s="270">
        <v>6710</v>
      </c>
      <c r="L2531" s="270">
        <v>350800</v>
      </c>
      <c r="M2531" s="270">
        <v>-60</v>
      </c>
      <c r="N2531" s="270" t="s">
        <v>3944</v>
      </c>
      <c r="O2531" s="270">
        <v>2378.64</v>
      </c>
      <c r="P2531" s="270" t="s">
        <v>3944</v>
      </c>
      <c r="Q2531" s="270" t="s">
        <v>3944</v>
      </c>
      <c r="R2531" s="270">
        <v>2378.64</v>
      </c>
      <c r="S2531" s="270">
        <v>31044.33</v>
      </c>
      <c r="T2531" s="270">
        <v>33422.97</v>
      </c>
      <c r="U2531" s="271" t="s">
        <v>3945</v>
      </c>
      <c r="V2531" s="267" t="s">
        <v>944</v>
      </c>
    </row>
    <row r="2532" spans="1:22" hidden="1" x14ac:dyDescent="0.25">
      <c r="A2532" s="266">
        <v>43605</v>
      </c>
      <c r="B2532" s="267">
        <v>2019</v>
      </c>
      <c r="C2532" s="267">
        <v>2019</v>
      </c>
      <c r="D2532" s="267">
        <v>1</v>
      </c>
      <c r="E2532" s="267">
        <v>1</v>
      </c>
      <c r="F2532" s="267" t="s">
        <v>944</v>
      </c>
      <c r="G2532" s="267" t="s">
        <v>3926</v>
      </c>
      <c r="H2532" s="267" t="s">
        <v>6914</v>
      </c>
      <c r="I2532" s="267" t="s">
        <v>950</v>
      </c>
      <c r="J2532" s="267" t="s">
        <v>3928</v>
      </c>
      <c r="K2532" s="267">
        <v>6516</v>
      </c>
      <c r="L2532" s="267">
        <v>154800</v>
      </c>
      <c r="M2532" s="267" t="s">
        <v>3960</v>
      </c>
      <c r="N2532" s="267" t="s">
        <v>3944</v>
      </c>
      <c r="O2532" s="267">
        <v>1130.1199999999999</v>
      </c>
      <c r="P2532" s="267" t="s">
        <v>3944</v>
      </c>
      <c r="Q2532" s="267" t="s">
        <v>3944</v>
      </c>
      <c r="R2532" s="267">
        <v>1130.1199999999999</v>
      </c>
      <c r="S2532" s="267">
        <v>16734.5</v>
      </c>
      <c r="T2532" s="267">
        <v>17864.62</v>
      </c>
      <c r="U2532" s="268" t="s">
        <v>3945</v>
      </c>
      <c r="V2532" s="267" t="s">
        <v>944</v>
      </c>
    </row>
    <row r="2533" spans="1:22" hidden="1" x14ac:dyDescent="0.25">
      <c r="A2533" s="269">
        <v>43605</v>
      </c>
      <c r="B2533" s="270">
        <v>2019</v>
      </c>
      <c r="C2533" s="270">
        <v>2019</v>
      </c>
      <c r="D2533" s="270">
        <v>1</v>
      </c>
      <c r="E2533" s="270">
        <v>1</v>
      </c>
      <c r="F2533" s="270" t="s">
        <v>944</v>
      </c>
      <c r="G2533" s="270" t="s">
        <v>3926</v>
      </c>
      <c r="H2533" s="270" t="s">
        <v>6915</v>
      </c>
      <c r="I2533" s="270" t="s">
        <v>4019</v>
      </c>
      <c r="J2533" s="270" t="s">
        <v>3928</v>
      </c>
      <c r="K2533" s="270">
        <v>6708</v>
      </c>
      <c r="L2533" s="270">
        <v>351700</v>
      </c>
      <c r="M2533" s="270">
        <v>-60</v>
      </c>
      <c r="N2533" s="270" t="s">
        <v>3944</v>
      </c>
      <c r="O2533" s="270">
        <v>1729.28</v>
      </c>
      <c r="P2533" s="270" t="s">
        <v>3944</v>
      </c>
      <c r="Q2533" s="270" t="s">
        <v>3944</v>
      </c>
      <c r="R2533" s="270">
        <v>1729.28</v>
      </c>
      <c r="S2533" s="270">
        <v>26242.720000000001</v>
      </c>
      <c r="T2533" s="270">
        <v>27972</v>
      </c>
      <c r="U2533" s="271" t="s">
        <v>3945</v>
      </c>
      <c r="V2533" s="267" t="s">
        <v>944</v>
      </c>
    </row>
    <row r="2534" spans="1:22" hidden="1" x14ac:dyDescent="0.25">
      <c r="A2534" s="266">
        <v>43605</v>
      </c>
      <c r="B2534" s="267">
        <v>2019</v>
      </c>
      <c r="C2534" s="267">
        <v>2019</v>
      </c>
      <c r="D2534" s="267">
        <v>1</v>
      </c>
      <c r="E2534" s="267">
        <v>1</v>
      </c>
      <c r="F2534" s="267" t="s">
        <v>944</v>
      </c>
      <c r="G2534" s="267" t="s">
        <v>3926</v>
      </c>
      <c r="H2534" s="267" t="s">
        <v>6916</v>
      </c>
      <c r="I2534" s="267" t="s">
        <v>3939</v>
      </c>
      <c r="J2534" s="267" t="s">
        <v>3928</v>
      </c>
      <c r="K2534" s="267">
        <v>6512</v>
      </c>
      <c r="L2534" s="267">
        <v>180601</v>
      </c>
      <c r="M2534" s="267" t="s">
        <v>3940</v>
      </c>
      <c r="N2534" s="267" t="s">
        <v>3944</v>
      </c>
      <c r="O2534" s="267">
        <v>2086.42</v>
      </c>
      <c r="P2534" s="267" t="s">
        <v>3944</v>
      </c>
      <c r="Q2534" s="267" t="s">
        <v>3944</v>
      </c>
      <c r="R2534" s="267">
        <v>2086.42</v>
      </c>
      <c r="S2534" s="267">
        <v>30871.63</v>
      </c>
      <c r="T2534" s="267">
        <v>32958.050000000003</v>
      </c>
      <c r="U2534" s="268" t="s">
        <v>3945</v>
      </c>
      <c r="V2534" s="267" t="s">
        <v>944</v>
      </c>
    </row>
    <row r="2535" spans="1:22" hidden="1" x14ac:dyDescent="0.25">
      <c r="A2535" s="269">
        <v>43605</v>
      </c>
      <c r="B2535" s="270">
        <v>2019</v>
      </c>
      <c r="C2535" s="270">
        <v>2019</v>
      </c>
      <c r="D2535" s="270">
        <v>1</v>
      </c>
      <c r="E2535" s="270">
        <v>1</v>
      </c>
      <c r="F2535" s="270" t="s">
        <v>944</v>
      </c>
      <c r="G2535" s="270" t="s">
        <v>3926</v>
      </c>
      <c r="H2535" s="270" t="s">
        <v>6917</v>
      </c>
      <c r="I2535" s="270" t="s">
        <v>3962</v>
      </c>
      <c r="J2535" s="270" t="s">
        <v>3928</v>
      </c>
      <c r="K2535" s="270">
        <v>6378</v>
      </c>
      <c r="L2535" s="270">
        <v>705200</v>
      </c>
      <c r="M2535" s="270" t="s">
        <v>3960</v>
      </c>
      <c r="N2535" s="270" t="s">
        <v>3944</v>
      </c>
      <c r="O2535" s="270">
        <v>2715.65</v>
      </c>
      <c r="P2535" s="270" t="s">
        <v>3944</v>
      </c>
      <c r="Q2535" s="270" t="s">
        <v>3944</v>
      </c>
      <c r="R2535" s="270">
        <v>2715.65</v>
      </c>
      <c r="S2535" s="270">
        <v>40125.83</v>
      </c>
      <c r="T2535" s="270">
        <v>42841.48</v>
      </c>
      <c r="U2535" s="271" t="s">
        <v>3945</v>
      </c>
      <c r="V2535" s="267" t="s">
        <v>944</v>
      </c>
    </row>
    <row r="2536" spans="1:22" hidden="1" x14ac:dyDescent="0.25">
      <c r="A2536" s="266">
        <v>43605</v>
      </c>
      <c r="B2536" s="267">
        <v>2019</v>
      </c>
      <c r="C2536" s="267">
        <v>2019</v>
      </c>
      <c r="D2536" s="267">
        <v>1</v>
      </c>
      <c r="E2536" s="267">
        <v>1</v>
      </c>
      <c r="F2536" s="267" t="s">
        <v>944</v>
      </c>
      <c r="G2536" s="267" t="s">
        <v>3926</v>
      </c>
      <c r="H2536" s="267" t="s">
        <v>6918</v>
      </c>
      <c r="I2536" s="267" t="s">
        <v>934</v>
      </c>
      <c r="J2536" s="267" t="s">
        <v>3928</v>
      </c>
      <c r="K2536" s="267">
        <v>6606</v>
      </c>
      <c r="L2536" s="267">
        <v>72400</v>
      </c>
      <c r="M2536" s="267" t="s">
        <v>3940</v>
      </c>
      <c r="N2536" s="267" t="s">
        <v>3944</v>
      </c>
      <c r="O2536" s="267">
        <v>1862.42</v>
      </c>
      <c r="P2536" s="267" t="s">
        <v>3944</v>
      </c>
      <c r="Q2536" s="267" t="s">
        <v>3944</v>
      </c>
      <c r="R2536" s="267">
        <v>1862.42</v>
      </c>
      <c r="S2536" s="267">
        <v>27819.57</v>
      </c>
      <c r="T2536" s="267">
        <v>29681.99</v>
      </c>
      <c r="U2536" s="268" t="s">
        <v>3945</v>
      </c>
      <c r="V2536" s="267" t="s">
        <v>944</v>
      </c>
    </row>
    <row r="2537" spans="1:22" hidden="1" x14ac:dyDescent="0.25">
      <c r="A2537" s="269">
        <v>43605</v>
      </c>
      <c r="B2537" s="270">
        <v>2019</v>
      </c>
      <c r="C2537" s="270">
        <v>2019</v>
      </c>
      <c r="D2537" s="270">
        <v>1</v>
      </c>
      <c r="E2537" s="270">
        <v>1</v>
      </c>
      <c r="F2537" s="270" t="s">
        <v>944</v>
      </c>
      <c r="G2537" s="270" t="s">
        <v>3926</v>
      </c>
      <c r="H2537" s="270" t="s">
        <v>6919</v>
      </c>
      <c r="I2537" s="270" t="s">
        <v>4310</v>
      </c>
      <c r="J2537" s="270" t="s">
        <v>3928</v>
      </c>
      <c r="K2537" s="270">
        <v>6351</v>
      </c>
      <c r="L2537" s="270">
        <v>710100</v>
      </c>
      <c r="M2537" s="270" t="s">
        <v>3960</v>
      </c>
      <c r="N2537" s="270" t="s">
        <v>3944</v>
      </c>
      <c r="O2537" s="270">
        <v>4914.88</v>
      </c>
      <c r="P2537" s="270" t="s">
        <v>3944</v>
      </c>
      <c r="Q2537" s="270" t="s">
        <v>3944</v>
      </c>
      <c r="R2537" s="270">
        <v>4914.88</v>
      </c>
      <c r="S2537" s="270">
        <v>71969.100000000006</v>
      </c>
      <c r="T2537" s="270">
        <v>76883.98</v>
      </c>
      <c r="U2537" s="271" t="s">
        <v>3945</v>
      </c>
      <c r="V2537" s="267" t="s">
        <v>944</v>
      </c>
    </row>
    <row r="2538" spans="1:22" hidden="1" x14ac:dyDescent="0.25">
      <c r="A2538" s="266">
        <v>43605</v>
      </c>
      <c r="B2538" s="267">
        <v>2019</v>
      </c>
      <c r="C2538" s="267">
        <v>2019</v>
      </c>
      <c r="D2538" s="267">
        <v>1</v>
      </c>
      <c r="E2538" s="267">
        <v>1</v>
      </c>
      <c r="F2538" s="267" t="s">
        <v>944</v>
      </c>
      <c r="G2538" s="267" t="s">
        <v>3926</v>
      </c>
      <c r="H2538" s="267" t="s">
        <v>6920</v>
      </c>
      <c r="I2538" s="267" t="s">
        <v>3008</v>
      </c>
      <c r="J2538" s="267" t="s">
        <v>3928</v>
      </c>
      <c r="K2538" s="267">
        <v>6460</v>
      </c>
      <c r="L2538" s="267">
        <v>151100</v>
      </c>
      <c r="M2538" s="267" t="s">
        <v>3960</v>
      </c>
      <c r="N2538" s="267" t="s">
        <v>3944</v>
      </c>
      <c r="O2538" s="267">
        <v>1648.61</v>
      </c>
      <c r="P2538" s="267" t="s">
        <v>3944</v>
      </c>
      <c r="Q2538" s="267" t="s">
        <v>3944</v>
      </c>
      <c r="R2538" s="267">
        <v>1648.61</v>
      </c>
      <c r="S2538" s="267">
        <v>23208.63</v>
      </c>
      <c r="T2538" s="267">
        <v>24857.24</v>
      </c>
      <c r="U2538" s="268" t="s">
        <v>3945</v>
      </c>
      <c r="V2538" s="267" t="s">
        <v>944</v>
      </c>
    </row>
    <row r="2539" spans="1:22" hidden="1" x14ac:dyDescent="0.25">
      <c r="A2539" s="269">
        <v>43605</v>
      </c>
      <c r="B2539" s="270">
        <v>2019</v>
      </c>
      <c r="C2539" s="270">
        <v>2019</v>
      </c>
      <c r="D2539" s="270">
        <v>1</v>
      </c>
      <c r="E2539" s="270">
        <v>1</v>
      </c>
      <c r="F2539" s="270" t="s">
        <v>944</v>
      </c>
      <c r="G2539" s="270" t="s">
        <v>3926</v>
      </c>
      <c r="H2539" s="270" t="s">
        <v>6921</v>
      </c>
      <c r="I2539" s="270" t="s">
        <v>3999</v>
      </c>
      <c r="J2539" s="270" t="s">
        <v>3928</v>
      </c>
      <c r="K2539" s="270">
        <v>6450</v>
      </c>
      <c r="L2539" s="270">
        <v>171300</v>
      </c>
      <c r="M2539" s="270" t="s">
        <v>3935</v>
      </c>
      <c r="N2539" s="270" t="s">
        <v>3944</v>
      </c>
      <c r="O2539" s="270">
        <v>1010.03</v>
      </c>
      <c r="P2539" s="270" t="s">
        <v>3944</v>
      </c>
      <c r="Q2539" s="270" t="s">
        <v>3944</v>
      </c>
      <c r="R2539" s="270">
        <v>1010.03</v>
      </c>
      <c r="S2539" s="270">
        <v>15849.97</v>
      </c>
      <c r="T2539" s="270">
        <v>16860</v>
      </c>
      <c r="U2539" s="271" t="s">
        <v>3945</v>
      </c>
      <c r="V2539" s="267" t="s">
        <v>944</v>
      </c>
    </row>
    <row r="2540" spans="1:22" hidden="1" x14ac:dyDescent="0.25">
      <c r="A2540" s="266">
        <v>43605</v>
      </c>
      <c r="B2540" s="267">
        <v>2019</v>
      </c>
      <c r="C2540" s="267">
        <v>2019</v>
      </c>
      <c r="D2540" s="267">
        <v>1</v>
      </c>
      <c r="E2540" s="267">
        <v>1</v>
      </c>
      <c r="F2540" s="267" t="s">
        <v>944</v>
      </c>
      <c r="G2540" s="267" t="s">
        <v>3926</v>
      </c>
      <c r="H2540" s="267" t="s">
        <v>6922</v>
      </c>
      <c r="I2540" s="267" t="s">
        <v>4037</v>
      </c>
      <c r="J2540" s="267" t="s">
        <v>3928</v>
      </c>
      <c r="K2540" s="267">
        <v>6810</v>
      </c>
      <c r="L2540" s="267">
        <v>210702</v>
      </c>
      <c r="M2540" s="267" t="s">
        <v>3940</v>
      </c>
      <c r="N2540" s="267" t="s">
        <v>3944</v>
      </c>
      <c r="O2540" s="267">
        <v>4030.32</v>
      </c>
      <c r="P2540" s="267" t="s">
        <v>3944</v>
      </c>
      <c r="Q2540" s="267" t="s">
        <v>3944</v>
      </c>
      <c r="R2540" s="267">
        <v>4030.32</v>
      </c>
      <c r="S2540" s="267">
        <v>57692.79</v>
      </c>
      <c r="T2540" s="267">
        <v>61723.11</v>
      </c>
      <c r="U2540" s="268" t="s">
        <v>3945</v>
      </c>
      <c r="V2540" s="267" t="s">
        <v>944</v>
      </c>
    </row>
    <row r="2541" spans="1:22" x14ac:dyDescent="0.25">
      <c r="A2541" s="269">
        <v>43605</v>
      </c>
      <c r="B2541" s="270">
        <v>2019</v>
      </c>
      <c r="C2541" s="270">
        <v>2019</v>
      </c>
      <c r="D2541" s="270">
        <v>1</v>
      </c>
      <c r="E2541" s="270">
        <v>1</v>
      </c>
      <c r="F2541" s="270" t="s">
        <v>944</v>
      </c>
      <c r="G2541" s="270" t="s">
        <v>3926</v>
      </c>
      <c r="H2541" s="270" t="s">
        <v>6923</v>
      </c>
      <c r="I2541" s="270" t="s">
        <v>950</v>
      </c>
      <c r="J2541" s="270" t="s">
        <v>3928</v>
      </c>
      <c r="K2541" s="270">
        <v>6516</v>
      </c>
      <c r="L2541" s="270">
        <v>155100</v>
      </c>
      <c r="M2541" s="270">
        <v>-60</v>
      </c>
      <c r="N2541" s="270" t="s">
        <v>3944</v>
      </c>
      <c r="O2541" s="270">
        <v>1473.33</v>
      </c>
      <c r="P2541" s="270" t="s">
        <v>3944</v>
      </c>
      <c r="Q2541" s="270" t="s">
        <v>3944</v>
      </c>
      <c r="R2541" s="270">
        <v>1473.33</v>
      </c>
      <c r="S2541" s="270">
        <v>24899.599999999999</v>
      </c>
      <c r="T2541" s="270">
        <v>26372.93</v>
      </c>
      <c r="U2541" s="271" t="s">
        <v>3945</v>
      </c>
      <c r="V2541" s="276" t="s">
        <v>936</v>
      </c>
    </row>
    <row r="2542" spans="1:22" hidden="1" x14ac:dyDescent="0.25">
      <c r="A2542" s="266">
        <v>43605</v>
      </c>
      <c r="B2542" s="267">
        <v>2019</v>
      </c>
      <c r="C2542" s="267">
        <v>2019</v>
      </c>
      <c r="D2542" s="267">
        <v>1</v>
      </c>
      <c r="E2542" s="267">
        <v>1</v>
      </c>
      <c r="F2542" s="267" t="s">
        <v>944</v>
      </c>
      <c r="G2542" s="267" t="s">
        <v>3926</v>
      </c>
      <c r="H2542" s="267" t="s">
        <v>6924</v>
      </c>
      <c r="I2542" s="267" t="s">
        <v>4250</v>
      </c>
      <c r="J2542" s="267" t="s">
        <v>3928</v>
      </c>
      <c r="K2542" s="267">
        <v>6241</v>
      </c>
      <c r="L2542" s="267">
        <v>904400</v>
      </c>
      <c r="M2542" s="267" t="s">
        <v>3940</v>
      </c>
      <c r="N2542" s="267" t="s">
        <v>3944</v>
      </c>
      <c r="O2542" s="267">
        <v>2696.58</v>
      </c>
      <c r="P2542" s="267" t="s">
        <v>3944</v>
      </c>
      <c r="Q2542" s="267" t="s">
        <v>3944</v>
      </c>
      <c r="R2542" s="267">
        <v>2696.58</v>
      </c>
      <c r="S2542" s="267">
        <v>36441.78</v>
      </c>
      <c r="T2542" s="267">
        <v>39138.36</v>
      </c>
      <c r="U2542" s="268" t="s">
        <v>3945</v>
      </c>
      <c r="V2542" s="267" t="s">
        <v>944</v>
      </c>
    </row>
    <row r="2543" spans="1:22" hidden="1" x14ac:dyDescent="0.25">
      <c r="A2543" s="269">
        <v>43605</v>
      </c>
      <c r="B2543" s="270">
        <v>2019</v>
      </c>
      <c r="C2543" s="270">
        <v>2019</v>
      </c>
      <c r="D2543" s="270">
        <v>1</v>
      </c>
      <c r="E2543" s="270">
        <v>1</v>
      </c>
      <c r="F2543" s="270" t="s">
        <v>944</v>
      </c>
      <c r="G2543" s="270" t="s">
        <v>3926</v>
      </c>
      <c r="H2543" s="270" t="s">
        <v>6925</v>
      </c>
      <c r="I2543" s="270" t="s">
        <v>4011</v>
      </c>
      <c r="J2543" s="270" t="s">
        <v>3928</v>
      </c>
      <c r="K2543" s="270">
        <v>6002</v>
      </c>
      <c r="L2543" s="270">
        <v>471500</v>
      </c>
      <c r="M2543" s="270" t="s">
        <v>3935</v>
      </c>
      <c r="N2543" s="270" t="s">
        <v>3944</v>
      </c>
      <c r="O2543" s="270">
        <v>2464.0700000000002</v>
      </c>
      <c r="P2543" s="270" t="s">
        <v>3944</v>
      </c>
      <c r="Q2543" s="270" t="s">
        <v>3944</v>
      </c>
      <c r="R2543" s="270">
        <v>2464.0700000000002</v>
      </c>
      <c r="S2543" s="270">
        <v>34321.86</v>
      </c>
      <c r="T2543" s="270">
        <v>36785.93</v>
      </c>
      <c r="U2543" s="271" t="s">
        <v>3945</v>
      </c>
      <c r="V2543" s="267" t="s">
        <v>944</v>
      </c>
    </row>
    <row r="2544" spans="1:22" hidden="1" x14ac:dyDescent="0.25">
      <c r="A2544" s="266">
        <v>43605</v>
      </c>
      <c r="B2544" s="267">
        <v>2019</v>
      </c>
      <c r="C2544" s="267">
        <v>2019</v>
      </c>
      <c r="D2544" s="267">
        <v>1</v>
      </c>
      <c r="E2544" s="267">
        <v>1</v>
      </c>
      <c r="F2544" s="267" t="s">
        <v>944</v>
      </c>
      <c r="G2544" s="267" t="s">
        <v>3926</v>
      </c>
      <c r="H2544" s="267" t="s">
        <v>6926</v>
      </c>
      <c r="I2544" s="267" t="s">
        <v>950</v>
      </c>
      <c r="J2544" s="267" t="s">
        <v>3928</v>
      </c>
      <c r="K2544" s="267">
        <v>6516</v>
      </c>
      <c r="L2544" s="267">
        <v>154900</v>
      </c>
      <c r="M2544" s="267" t="s">
        <v>3935</v>
      </c>
      <c r="N2544" s="267" t="s">
        <v>3944</v>
      </c>
      <c r="O2544" s="267">
        <v>1235.05</v>
      </c>
      <c r="P2544" s="267" t="s">
        <v>3944</v>
      </c>
      <c r="Q2544" s="267" t="s">
        <v>3944</v>
      </c>
      <c r="R2544" s="267">
        <v>1235.05</v>
      </c>
      <c r="S2544" s="267">
        <v>18789.8</v>
      </c>
      <c r="T2544" s="267">
        <v>20024.849999999999</v>
      </c>
      <c r="U2544" s="268" t="s">
        <v>3945</v>
      </c>
      <c r="V2544" s="267" t="s">
        <v>944</v>
      </c>
    </row>
    <row r="2545" spans="1:22" hidden="1" x14ac:dyDescent="0.25">
      <c r="A2545" s="269">
        <v>43605</v>
      </c>
      <c r="B2545" s="270">
        <v>2019</v>
      </c>
      <c r="C2545" s="270">
        <v>2019</v>
      </c>
      <c r="D2545" s="270">
        <v>1</v>
      </c>
      <c r="E2545" s="270">
        <v>1</v>
      </c>
      <c r="F2545" s="270" t="s">
        <v>944</v>
      </c>
      <c r="G2545" s="270" t="s">
        <v>3926</v>
      </c>
      <c r="H2545" s="270" t="s">
        <v>6927</v>
      </c>
      <c r="I2545" s="270" t="s">
        <v>3985</v>
      </c>
      <c r="J2545" s="270" t="s">
        <v>3928</v>
      </c>
      <c r="K2545" s="270">
        <v>6280</v>
      </c>
      <c r="L2545" s="270">
        <v>800500</v>
      </c>
      <c r="M2545" s="270" t="s">
        <v>3940</v>
      </c>
      <c r="N2545" s="270" t="s">
        <v>3944</v>
      </c>
      <c r="O2545" s="270">
        <v>2596.41</v>
      </c>
      <c r="P2545" s="270" t="s">
        <v>3944</v>
      </c>
      <c r="Q2545" s="270" t="s">
        <v>3944</v>
      </c>
      <c r="R2545" s="270">
        <v>2596.41</v>
      </c>
      <c r="S2545" s="270">
        <v>36248.15</v>
      </c>
      <c r="T2545" s="270">
        <v>38844.559999999998</v>
      </c>
      <c r="U2545" s="271" t="s">
        <v>3945</v>
      </c>
      <c r="V2545" s="267" t="s">
        <v>944</v>
      </c>
    </row>
    <row r="2546" spans="1:22" hidden="1" x14ac:dyDescent="0.25">
      <c r="A2546" s="266">
        <v>43605</v>
      </c>
      <c r="B2546" s="267">
        <v>2019</v>
      </c>
      <c r="C2546" s="267">
        <v>2019</v>
      </c>
      <c r="D2546" s="267">
        <v>1</v>
      </c>
      <c r="E2546" s="267">
        <v>1</v>
      </c>
      <c r="F2546" s="267" t="s">
        <v>944</v>
      </c>
      <c r="G2546" s="267" t="s">
        <v>3926</v>
      </c>
      <c r="H2546" s="267" t="s">
        <v>6928</v>
      </c>
      <c r="I2546" s="267" t="s">
        <v>3975</v>
      </c>
      <c r="J2546" s="267" t="s">
        <v>3928</v>
      </c>
      <c r="K2546" s="267">
        <v>6489</v>
      </c>
      <c r="L2546" s="267">
        <v>430601</v>
      </c>
      <c r="M2546" s="267" t="s">
        <v>3940</v>
      </c>
      <c r="N2546" s="267" t="s">
        <v>3944</v>
      </c>
      <c r="O2546" s="267">
        <v>1908.24</v>
      </c>
      <c r="P2546" s="267" t="s">
        <v>3944</v>
      </c>
      <c r="Q2546" s="267" t="s">
        <v>3944</v>
      </c>
      <c r="R2546" s="267">
        <v>1908.24</v>
      </c>
      <c r="S2546" s="267">
        <v>28930.080000000002</v>
      </c>
      <c r="T2546" s="267">
        <v>30838.32</v>
      </c>
      <c r="U2546" s="268" t="s">
        <v>3945</v>
      </c>
      <c r="V2546" s="267" t="s">
        <v>944</v>
      </c>
    </row>
    <row r="2547" spans="1:22" hidden="1" x14ac:dyDescent="0.25">
      <c r="A2547" s="269">
        <v>43605</v>
      </c>
      <c r="B2547" s="270">
        <v>2019</v>
      </c>
      <c r="C2547" s="270">
        <v>2019</v>
      </c>
      <c r="D2547" s="270">
        <v>1</v>
      </c>
      <c r="E2547" s="270">
        <v>1</v>
      </c>
      <c r="F2547" s="270" t="s">
        <v>944</v>
      </c>
      <c r="G2547" s="270" t="s">
        <v>3926</v>
      </c>
      <c r="H2547" s="270" t="s">
        <v>6929</v>
      </c>
      <c r="I2547" s="270" t="s">
        <v>953</v>
      </c>
      <c r="J2547" s="270" t="s">
        <v>3928</v>
      </c>
      <c r="K2547" s="270">
        <v>6514</v>
      </c>
      <c r="L2547" s="270">
        <v>165700</v>
      </c>
      <c r="M2547" s="270" t="s">
        <v>3935</v>
      </c>
      <c r="N2547" s="270" t="s">
        <v>3944</v>
      </c>
      <c r="O2547" s="270">
        <v>1444.1</v>
      </c>
      <c r="P2547" s="270" t="s">
        <v>3944</v>
      </c>
      <c r="Q2547" s="270" t="s">
        <v>3944</v>
      </c>
      <c r="R2547" s="270">
        <v>1444.1</v>
      </c>
      <c r="S2547" s="270">
        <v>22848.240000000002</v>
      </c>
      <c r="T2547" s="270">
        <v>24292.34</v>
      </c>
      <c r="U2547" s="271" t="s">
        <v>3945</v>
      </c>
      <c r="V2547" s="267" t="s">
        <v>944</v>
      </c>
    </row>
    <row r="2548" spans="1:22" hidden="1" x14ac:dyDescent="0.25">
      <c r="A2548" s="266">
        <v>43606</v>
      </c>
      <c r="B2548" s="267">
        <v>2019</v>
      </c>
      <c r="C2548" s="267">
        <v>2019</v>
      </c>
      <c r="D2548" s="267">
        <v>1</v>
      </c>
      <c r="E2548" s="267">
        <v>1</v>
      </c>
      <c r="F2548" s="267" t="s">
        <v>944</v>
      </c>
      <c r="G2548" s="267" t="s">
        <v>3926</v>
      </c>
      <c r="H2548" s="267" t="s">
        <v>6930</v>
      </c>
      <c r="I2548" s="267" t="s">
        <v>4019</v>
      </c>
      <c r="J2548" s="267" t="s">
        <v>3928</v>
      </c>
      <c r="K2548" s="267">
        <v>6708</v>
      </c>
      <c r="L2548" s="267">
        <v>351602</v>
      </c>
      <c r="M2548" s="267" t="s">
        <v>3940</v>
      </c>
      <c r="N2548" s="267" t="s">
        <v>6931</v>
      </c>
      <c r="O2548" s="267">
        <v>0</v>
      </c>
      <c r="P2548" s="267" t="s">
        <v>3930</v>
      </c>
      <c r="Q2548" s="267" t="s">
        <v>3930</v>
      </c>
      <c r="R2548" s="267">
        <v>0</v>
      </c>
      <c r="S2548" s="267">
        <v>11831.42</v>
      </c>
      <c r="T2548" s="267">
        <v>11831.42</v>
      </c>
      <c r="U2548" s="268" t="s">
        <v>3937</v>
      </c>
      <c r="V2548" s="267" t="s">
        <v>944</v>
      </c>
    </row>
    <row r="2549" spans="1:22" hidden="1" x14ac:dyDescent="0.25">
      <c r="A2549" s="269">
        <v>43606</v>
      </c>
      <c r="B2549" s="270">
        <v>2019</v>
      </c>
      <c r="C2549" s="270">
        <v>2019</v>
      </c>
      <c r="D2549" s="270">
        <v>1</v>
      </c>
      <c r="E2549" s="270">
        <v>1</v>
      </c>
      <c r="F2549" s="270" t="s">
        <v>944</v>
      </c>
      <c r="G2549" s="270" t="s">
        <v>3926</v>
      </c>
      <c r="H2549" s="270" t="s">
        <v>6932</v>
      </c>
      <c r="I2549" s="270" t="s">
        <v>934</v>
      </c>
      <c r="J2549" s="270" t="s">
        <v>3928</v>
      </c>
      <c r="K2549" s="270">
        <v>6606</v>
      </c>
      <c r="L2549" s="270">
        <v>72700</v>
      </c>
      <c r="M2549" s="270" t="s">
        <v>3935</v>
      </c>
      <c r="N2549" s="270" t="s">
        <v>3983</v>
      </c>
      <c r="O2549" s="270">
        <v>1252.9000000000001</v>
      </c>
      <c r="P2549" s="270" t="s">
        <v>3930</v>
      </c>
      <c r="Q2549" s="270" t="s">
        <v>3931</v>
      </c>
      <c r="R2549" s="270">
        <v>6252.9</v>
      </c>
      <c r="S2549" s="270">
        <v>16504</v>
      </c>
      <c r="T2549" s="270">
        <v>22756.9</v>
      </c>
      <c r="U2549" s="271" t="s">
        <v>3932</v>
      </c>
      <c r="V2549" s="267" t="s">
        <v>944</v>
      </c>
    </row>
    <row r="2550" spans="1:22" hidden="1" x14ac:dyDescent="0.25">
      <c r="A2550" s="266">
        <v>43606</v>
      </c>
      <c r="B2550" s="267">
        <v>2019</v>
      </c>
      <c r="C2550" s="267">
        <v>2019</v>
      </c>
      <c r="D2550" s="267">
        <v>1</v>
      </c>
      <c r="E2550" s="267">
        <v>1</v>
      </c>
      <c r="F2550" s="267" t="s">
        <v>944</v>
      </c>
      <c r="G2550" s="267" t="s">
        <v>3926</v>
      </c>
      <c r="H2550" s="267" t="s">
        <v>6933</v>
      </c>
      <c r="I2550" s="267" t="s">
        <v>3999</v>
      </c>
      <c r="J2550" s="267" t="s">
        <v>3928</v>
      </c>
      <c r="K2550" s="267">
        <v>6451</v>
      </c>
      <c r="L2550" s="267">
        <v>170800</v>
      </c>
      <c r="M2550" s="267" t="s">
        <v>3940</v>
      </c>
      <c r="N2550" s="267" t="s">
        <v>5489</v>
      </c>
      <c r="O2550" s="267">
        <v>2923.33</v>
      </c>
      <c r="P2550" s="267" t="s">
        <v>3930</v>
      </c>
      <c r="Q2550" s="267" t="s">
        <v>3931</v>
      </c>
      <c r="R2550" s="267">
        <v>7923.33</v>
      </c>
      <c r="S2550" s="267">
        <v>16817.8</v>
      </c>
      <c r="T2550" s="267">
        <v>24741.13</v>
      </c>
      <c r="U2550" s="268" t="s">
        <v>3932</v>
      </c>
      <c r="V2550" s="267" t="s">
        <v>944</v>
      </c>
    </row>
    <row r="2551" spans="1:22" hidden="1" x14ac:dyDescent="0.25">
      <c r="A2551" s="269">
        <v>43606</v>
      </c>
      <c r="B2551" s="270">
        <v>2019</v>
      </c>
      <c r="C2551" s="270">
        <v>2019</v>
      </c>
      <c r="D2551" s="270">
        <v>1</v>
      </c>
      <c r="E2551" s="270">
        <v>1</v>
      </c>
      <c r="F2551" s="270" t="s">
        <v>944</v>
      </c>
      <c r="G2551" s="270" t="s">
        <v>3926</v>
      </c>
      <c r="H2551" s="270" t="s">
        <v>6934</v>
      </c>
      <c r="I2551" s="270" t="s">
        <v>4392</v>
      </c>
      <c r="J2551" s="270" t="s">
        <v>3928</v>
      </c>
      <c r="K2551" s="270">
        <v>6457</v>
      </c>
      <c r="L2551" s="270">
        <v>541300</v>
      </c>
      <c r="M2551" s="270" t="s">
        <v>3940</v>
      </c>
      <c r="N2551" s="270" t="s">
        <v>6935</v>
      </c>
      <c r="O2551" s="270">
        <v>0</v>
      </c>
      <c r="P2551" s="270" t="s">
        <v>3930</v>
      </c>
      <c r="Q2551" s="270" t="s">
        <v>3930</v>
      </c>
      <c r="R2551" s="270">
        <v>0</v>
      </c>
      <c r="S2551" s="270">
        <v>9288</v>
      </c>
      <c r="T2551" s="270">
        <v>9288</v>
      </c>
      <c r="U2551" s="271" t="s">
        <v>3937</v>
      </c>
      <c r="V2551" s="267" t="s">
        <v>944</v>
      </c>
    </row>
    <row r="2552" spans="1:22" hidden="1" x14ac:dyDescent="0.25">
      <c r="A2552" s="266">
        <v>43606</v>
      </c>
      <c r="B2552" s="267">
        <v>2019</v>
      </c>
      <c r="C2552" s="267">
        <v>2019</v>
      </c>
      <c r="D2552" s="267">
        <v>1</v>
      </c>
      <c r="E2552" s="267">
        <v>1</v>
      </c>
      <c r="F2552" s="267" t="s">
        <v>944</v>
      </c>
      <c r="G2552" s="267" t="s">
        <v>3926</v>
      </c>
      <c r="H2552" s="267" t="s">
        <v>6936</v>
      </c>
      <c r="I2552" s="267" t="s">
        <v>3964</v>
      </c>
      <c r="J2552" s="267" t="s">
        <v>3928</v>
      </c>
      <c r="K2552" s="267">
        <v>6033</v>
      </c>
      <c r="L2552" s="267">
        <v>520201</v>
      </c>
      <c r="M2552" s="267" t="s">
        <v>3943</v>
      </c>
      <c r="N2552" s="267" t="s">
        <v>3944</v>
      </c>
      <c r="O2552" s="267">
        <v>7099</v>
      </c>
      <c r="P2552" s="267" t="s">
        <v>3944</v>
      </c>
      <c r="Q2552" s="267" t="s">
        <v>3944</v>
      </c>
      <c r="R2552" s="267">
        <v>7099</v>
      </c>
      <c r="S2552" s="267">
        <v>52651</v>
      </c>
      <c r="T2552" s="267">
        <v>59750</v>
      </c>
      <c r="U2552" s="268" t="s">
        <v>3945</v>
      </c>
      <c r="V2552" s="267" t="s">
        <v>944</v>
      </c>
    </row>
    <row r="2553" spans="1:22" hidden="1" x14ac:dyDescent="0.25">
      <c r="A2553" s="269">
        <v>43606</v>
      </c>
      <c r="B2553" s="270">
        <v>2019</v>
      </c>
      <c r="C2553" s="270">
        <v>2019</v>
      </c>
      <c r="D2553" s="270">
        <v>1</v>
      </c>
      <c r="E2553" s="270">
        <v>1</v>
      </c>
      <c r="F2553" s="270" t="s">
        <v>944</v>
      </c>
      <c r="G2553" s="270" t="s">
        <v>3926</v>
      </c>
      <c r="H2553" s="270" t="s">
        <v>6937</v>
      </c>
      <c r="I2553" s="270" t="s">
        <v>4016</v>
      </c>
      <c r="J2553" s="270" t="s">
        <v>3928</v>
      </c>
      <c r="K2553" s="270">
        <v>6770</v>
      </c>
      <c r="L2553" s="270">
        <v>345201</v>
      </c>
      <c r="M2553" s="270" t="s">
        <v>3935</v>
      </c>
      <c r="N2553" s="270" t="s">
        <v>3944</v>
      </c>
      <c r="O2553" s="270">
        <v>1616</v>
      </c>
      <c r="P2553" s="270" t="s">
        <v>3944</v>
      </c>
      <c r="Q2553" s="270" t="s">
        <v>3944</v>
      </c>
      <c r="R2553" s="270">
        <v>1616</v>
      </c>
      <c r="S2553" s="270">
        <v>38578</v>
      </c>
      <c r="T2553" s="270">
        <v>40194</v>
      </c>
      <c r="U2553" s="271" t="s">
        <v>3945</v>
      </c>
      <c r="V2553" s="267" t="s">
        <v>944</v>
      </c>
    </row>
    <row r="2554" spans="1:22" hidden="1" x14ac:dyDescent="0.25">
      <c r="A2554" s="266">
        <v>43606</v>
      </c>
      <c r="B2554" s="267">
        <v>2019</v>
      </c>
      <c r="C2554" s="267">
        <v>2019</v>
      </c>
      <c r="D2554" s="267">
        <v>1</v>
      </c>
      <c r="E2554" s="267">
        <v>1</v>
      </c>
      <c r="F2554" s="267" t="s">
        <v>944</v>
      </c>
      <c r="G2554" s="267" t="s">
        <v>3926</v>
      </c>
      <c r="H2554" s="267" t="s">
        <v>6938</v>
      </c>
      <c r="I2554" s="267" t="s">
        <v>4016</v>
      </c>
      <c r="J2554" s="267" t="s">
        <v>3928</v>
      </c>
      <c r="K2554" s="267">
        <v>6770</v>
      </c>
      <c r="L2554" s="267">
        <v>345400</v>
      </c>
      <c r="M2554" s="267" t="s">
        <v>3935</v>
      </c>
      <c r="N2554" s="267" t="s">
        <v>3944</v>
      </c>
      <c r="O2554" s="267">
        <v>2083</v>
      </c>
      <c r="P2554" s="267" t="s">
        <v>3944</v>
      </c>
      <c r="Q2554" s="267" t="s">
        <v>3944</v>
      </c>
      <c r="R2554" s="267">
        <v>2083</v>
      </c>
      <c r="S2554" s="267">
        <v>35717</v>
      </c>
      <c r="T2554" s="267">
        <v>37800</v>
      </c>
      <c r="U2554" s="268" t="s">
        <v>3945</v>
      </c>
      <c r="V2554" s="267" t="s">
        <v>944</v>
      </c>
    </row>
    <row r="2555" spans="1:22" hidden="1" x14ac:dyDescent="0.25">
      <c r="A2555" s="269">
        <v>43606</v>
      </c>
      <c r="B2555" s="270">
        <v>2019</v>
      </c>
      <c r="C2555" s="270">
        <v>2019</v>
      </c>
      <c r="D2555" s="270">
        <v>1</v>
      </c>
      <c r="E2555" s="270">
        <v>1</v>
      </c>
      <c r="F2555" s="270" t="s">
        <v>944</v>
      </c>
      <c r="G2555" s="270" t="s">
        <v>3926</v>
      </c>
      <c r="H2555" s="270" t="s">
        <v>6939</v>
      </c>
      <c r="I2555" s="270" t="s">
        <v>956</v>
      </c>
      <c r="J2555" s="270" t="s">
        <v>3928</v>
      </c>
      <c r="K2555" s="270">
        <v>6615</v>
      </c>
      <c r="L2555" s="270">
        <v>80400</v>
      </c>
      <c r="M2555" s="270" t="s">
        <v>3940</v>
      </c>
      <c r="N2555" s="270" t="s">
        <v>3944</v>
      </c>
      <c r="O2555" s="270">
        <v>1285.24</v>
      </c>
      <c r="P2555" s="270" t="s">
        <v>3944</v>
      </c>
      <c r="Q2555" s="270" t="s">
        <v>3944</v>
      </c>
      <c r="R2555" s="270">
        <v>1285.24</v>
      </c>
      <c r="S2555" s="270">
        <v>17047.12</v>
      </c>
      <c r="T2555" s="270">
        <v>18332.36</v>
      </c>
      <c r="U2555" s="271" t="s">
        <v>3945</v>
      </c>
      <c r="V2555" s="267" t="s">
        <v>944</v>
      </c>
    </row>
    <row r="2556" spans="1:22" hidden="1" x14ac:dyDescent="0.25">
      <c r="A2556" s="266">
        <v>43606</v>
      </c>
      <c r="B2556" s="267">
        <v>2019</v>
      </c>
      <c r="C2556" s="267">
        <v>2019</v>
      </c>
      <c r="D2556" s="267">
        <v>1</v>
      </c>
      <c r="E2556" s="267">
        <v>1</v>
      </c>
      <c r="F2556" s="267" t="s">
        <v>944</v>
      </c>
      <c r="G2556" s="267" t="s">
        <v>3926</v>
      </c>
      <c r="H2556" s="267" t="s">
        <v>6940</v>
      </c>
      <c r="I2556" s="267" t="s">
        <v>4069</v>
      </c>
      <c r="J2556" s="267" t="s">
        <v>3928</v>
      </c>
      <c r="K2556" s="267">
        <v>6902</v>
      </c>
      <c r="L2556" s="267">
        <v>22100</v>
      </c>
      <c r="M2556" s="267" t="s">
        <v>3940</v>
      </c>
      <c r="N2556" s="267" t="s">
        <v>3944</v>
      </c>
      <c r="O2556" s="267">
        <v>867.76</v>
      </c>
      <c r="P2556" s="267" t="s">
        <v>3944</v>
      </c>
      <c r="Q2556" s="267" t="s">
        <v>3944</v>
      </c>
      <c r="R2556" s="267">
        <v>867.76</v>
      </c>
      <c r="S2556" s="267">
        <v>10374.540000000001</v>
      </c>
      <c r="T2556" s="267">
        <v>11242.3</v>
      </c>
      <c r="U2556" s="268" t="s">
        <v>3945</v>
      </c>
      <c r="V2556" s="267" t="s">
        <v>944</v>
      </c>
    </row>
    <row r="2557" spans="1:22" hidden="1" x14ac:dyDescent="0.25">
      <c r="A2557" s="269">
        <v>43606</v>
      </c>
      <c r="B2557" s="270">
        <v>2019</v>
      </c>
      <c r="C2557" s="270">
        <v>2019</v>
      </c>
      <c r="D2557" s="270">
        <v>1</v>
      </c>
      <c r="E2557" s="270">
        <v>1</v>
      </c>
      <c r="F2557" s="270" t="s">
        <v>944</v>
      </c>
      <c r="G2557" s="270" t="s">
        <v>3926</v>
      </c>
      <c r="H2557" s="270" t="s">
        <v>6941</v>
      </c>
      <c r="I2557" s="270" t="s">
        <v>3011</v>
      </c>
      <c r="J2557" s="270" t="s">
        <v>3928</v>
      </c>
      <c r="K2557" s="270">
        <v>6418</v>
      </c>
      <c r="L2557" s="270">
        <v>120100</v>
      </c>
      <c r="M2557" s="270" t="s">
        <v>3940</v>
      </c>
      <c r="N2557" s="270" t="s">
        <v>3944</v>
      </c>
      <c r="O2557" s="270">
        <v>869.19</v>
      </c>
      <c r="P2557" s="270" t="s">
        <v>3944</v>
      </c>
      <c r="Q2557" s="270" t="s">
        <v>3944</v>
      </c>
      <c r="R2557" s="270">
        <v>869.19</v>
      </c>
      <c r="S2557" s="270">
        <v>11772.45</v>
      </c>
      <c r="T2557" s="270">
        <v>12641.64</v>
      </c>
      <c r="U2557" s="271" t="s">
        <v>3945</v>
      </c>
      <c r="V2557" s="267" t="s">
        <v>944</v>
      </c>
    </row>
    <row r="2558" spans="1:22" x14ac:dyDescent="0.25">
      <c r="A2558" s="266">
        <v>43606</v>
      </c>
      <c r="B2558" s="267">
        <v>2019</v>
      </c>
      <c r="C2558" s="267">
        <v>2019</v>
      </c>
      <c r="D2558" s="267">
        <v>1</v>
      </c>
      <c r="E2558" s="267">
        <v>1</v>
      </c>
      <c r="F2558" s="267" t="s">
        <v>944</v>
      </c>
      <c r="G2558" s="267" t="s">
        <v>3926</v>
      </c>
      <c r="H2558" s="267" t="s">
        <v>6942</v>
      </c>
      <c r="I2558" s="267" t="s">
        <v>934</v>
      </c>
      <c r="J2558" s="267" t="s">
        <v>3928</v>
      </c>
      <c r="K2558" s="267">
        <v>6610</v>
      </c>
      <c r="L2558" s="267">
        <v>73300</v>
      </c>
      <c r="M2558" s="267">
        <v>-60</v>
      </c>
      <c r="N2558" s="267" t="s">
        <v>3944</v>
      </c>
      <c r="O2558" s="267">
        <v>1122.6300000000001</v>
      </c>
      <c r="P2558" s="267" t="s">
        <v>3944</v>
      </c>
      <c r="Q2558" s="267" t="s">
        <v>3944</v>
      </c>
      <c r="R2558" s="267">
        <v>1122.6300000000001</v>
      </c>
      <c r="S2558" s="267">
        <v>14591.55</v>
      </c>
      <c r="T2558" s="267">
        <v>15714.18</v>
      </c>
      <c r="U2558" s="268" t="s">
        <v>3945</v>
      </c>
      <c r="V2558" s="276" t="s">
        <v>936</v>
      </c>
    </row>
    <row r="2559" spans="1:22" hidden="1" x14ac:dyDescent="0.25">
      <c r="A2559" s="269">
        <v>43606</v>
      </c>
      <c r="B2559" s="270">
        <v>2019</v>
      </c>
      <c r="C2559" s="270">
        <v>2019</v>
      </c>
      <c r="D2559" s="270">
        <v>1</v>
      </c>
      <c r="E2559" s="270">
        <v>1</v>
      </c>
      <c r="F2559" s="270" t="s">
        <v>944</v>
      </c>
      <c r="G2559" s="270" t="s">
        <v>3926</v>
      </c>
      <c r="H2559" s="270" t="s">
        <v>6943</v>
      </c>
      <c r="I2559" s="270" t="s">
        <v>950</v>
      </c>
      <c r="J2559" s="270" t="s">
        <v>3928</v>
      </c>
      <c r="K2559" s="270">
        <v>6516</v>
      </c>
      <c r="L2559" s="270">
        <v>154100</v>
      </c>
      <c r="M2559" s="270" t="s">
        <v>3940</v>
      </c>
      <c r="N2559" s="270" t="s">
        <v>3944</v>
      </c>
      <c r="O2559" s="270">
        <v>1663.73</v>
      </c>
      <c r="P2559" s="270" t="s">
        <v>3944</v>
      </c>
      <c r="Q2559" s="270" t="s">
        <v>3944</v>
      </c>
      <c r="R2559" s="270">
        <v>1663.73</v>
      </c>
      <c r="S2559" s="270">
        <v>20004.07</v>
      </c>
      <c r="T2559" s="270">
        <v>21667.8</v>
      </c>
      <c r="U2559" s="271" t="s">
        <v>3945</v>
      </c>
      <c r="V2559" s="267" t="s">
        <v>944</v>
      </c>
    </row>
    <row r="2560" spans="1:22" hidden="1" x14ac:dyDescent="0.25">
      <c r="A2560" s="266">
        <v>43606</v>
      </c>
      <c r="B2560" s="267">
        <v>2019</v>
      </c>
      <c r="C2560" s="267">
        <v>2019</v>
      </c>
      <c r="D2560" s="267">
        <v>1</v>
      </c>
      <c r="E2560" s="267">
        <v>1</v>
      </c>
      <c r="F2560" s="267" t="s">
        <v>944</v>
      </c>
      <c r="G2560" s="267" t="s">
        <v>3926</v>
      </c>
      <c r="H2560" s="267" t="s">
        <v>6944</v>
      </c>
      <c r="I2560" s="267" t="s">
        <v>4029</v>
      </c>
      <c r="J2560" s="267" t="s">
        <v>3928</v>
      </c>
      <c r="K2560" s="267">
        <v>6854</v>
      </c>
      <c r="L2560" s="267">
        <v>44500</v>
      </c>
      <c r="M2560" s="267" t="s">
        <v>3940</v>
      </c>
      <c r="N2560" s="267" t="s">
        <v>3944</v>
      </c>
      <c r="O2560" s="267">
        <v>1513.79</v>
      </c>
      <c r="P2560" s="267" t="s">
        <v>3944</v>
      </c>
      <c r="Q2560" s="267" t="s">
        <v>3944</v>
      </c>
      <c r="R2560" s="267">
        <v>1513.79</v>
      </c>
      <c r="S2560" s="267">
        <v>12226.13</v>
      </c>
      <c r="T2560" s="267">
        <v>13739.92</v>
      </c>
      <c r="U2560" s="268" t="s">
        <v>3945</v>
      </c>
      <c r="V2560" s="267" t="s">
        <v>944</v>
      </c>
    </row>
    <row r="2561" spans="1:22" hidden="1" x14ac:dyDescent="0.25">
      <c r="A2561" s="269">
        <v>43606</v>
      </c>
      <c r="B2561" s="270">
        <v>2019</v>
      </c>
      <c r="C2561" s="270">
        <v>2019</v>
      </c>
      <c r="D2561" s="270">
        <v>1</v>
      </c>
      <c r="E2561" s="270">
        <v>1</v>
      </c>
      <c r="F2561" s="270" t="s">
        <v>944</v>
      </c>
      <c r="G2561" s="270" t="s">
        <v>3926</v>
      </c>
      <c r="H2561" s="270" t="s">
        <v>6945</v>
      </c>
      <c r="I2561" s="270" t="s">
        <v>4019</v>
      </c>
      <c r="J2561" s="270" t="s">
        <v>3928</v>
      </c>
      <c r="K2561" s="270">
        <v>6708</v>
      </c>
      <c r="L2561" s="270">
        <v>351602</v>
      </c>
      <c r="M2561" s="270" t="s">
        <v>3940</v>
      </c>
      <c r="N2561" s="270" t="s">
        <v>3944</v>
      </c>
      <c r="O2561" s="270">
        <v>1478.54</v>
      </c>
      <c r="P2561" s="270" t="s">
        <v>3944</v>
      </c>
      <c r="Q2561" s="270" t="s">
        <v>3944</v>
      </c>
      <c r="R2561" s="270">
        <v>1478.54</v>
      </c>
      <c r="S2561" s="270">
        <v>17981.28</v>
      </c>
      <c r="T2561" s="270">
        <v>19459.82</v>
      </c>
      <c r="U2561" s="271" t="s">
        <v>3945</v>
      </c>
      <c r="V2561" s="267" t="s">
        <v>944</v>
      </c>
    </row>
    <row r="2562" spans="1:22" hidden="1" x14ac:dyDescent="0.25">
      <c r="A2562" s="266">
        <v>43606</v>
      </c>
      <c r="B2562" s="267">
        <v>2019</v>
      </c>
      <c r="C2562" s="267">
        <v>2019</v>
      </c>
      <c r="D2562" s="267">
        <v>1</v>
      </c>
      <c r="E2562" s="267">
        <v>1</v>
      </c>
      <c r="F2562" s="267" t="s">
        <v>944</v>
      </c>
      <c r="G2562" s="267" t="s">
        <v>3926</v>
      </c>
      <c r="H2562" s="267" t="s">
        <v>6946</v>
      </c>
      <c r="I2562" s="267" t="s">
        <v>2985</v>
      </c>
      <c r="J2562" s="267" t="s">
        <v>3928</v>
      </c>
      <c r="K2562" s="267">
        <v>6825</v>
      </c>
      <c r="L2562" s="267">
        <v>61400</v>
      </c>
      <c r="M2562" s="267" t="s">
        <v>3960</v>
      </c>
      <c r="N2562" s="267" t="s">
        <v>3944</v>
      </c>
      <c r="O2562" s="267">
        <v>1437.03</v>
      </c>
      <c r="P2562" s="267" t="s">
        <v>3944</v>
      </c>
      <c r="Q2562" s="267" t="s">
        <v>3944</v>
      </c>
      <c r="R2562" s="267">
        <v>1437.03</v>
      </c>
      <c r="S2562" s="267">
        <v>19360.47</v>
      </c>
      <c r="T2562" s="267">
        <v>20797.5</v>
      </c>
      <c r="U2562" s="268" t="s">
        <v>3945</v>
      </c>
      <c r="V2562" s="267" t="s">
        <v>944</v>
      </c>
    </row>
    <row r="2563" spans="1:22" hidden="1" x14ac:dyDescent="0.25">
      <c r="A2563" s="269">
        <v>43606</v>
      </c>
      <c r="B2563" s="270">
        <v>2019</v>
      </c>
      <c r="C2563" s="270">
        <v>2019</v>
      </c>
      <c r="D2563" s="270">
        <v>1</v>
      </c>
      <c r="E2563" s="270">
        <v>1</v>
      </c>
      <c r="F2563" s="270" t="s">
        <v>944</v>
      </c>
      <c r="G2563" s="270" t="s">
        <v>3926</v>
      </c>
      <c r="H2563" s="270" t="s">
        <v>6947</v>
      </c>
      <c r="I2563" s="270" t="s">
        <v>4683</v>
      </c>
      <c r="J2563" s="270" t="s">
        <v>3928</v>
      </c>
      <c r="K2563" s="270">
        <v>6762</v>
      </c>
      <c r="L2563" s="270">
        <v>344100</v>
      </c>
      <c r="M2563" s="270" t="s">
        <v>3943</v>
      </c>
      <c r="N2563" s="270" t="s">
        <v>3944</v>
      </c>
      <c r="O2563" s="270">
        <v>1155.5999999999999</v>
      </c>
      <c r="P2563" s="270" t="s">
        <v>3944</v>
      </c>
      <c r="Q2563" s="270" t="s">
        <v>3944</v>
      </c>
      <c r="R2563" s="270">
        <v>1155.5999999999999</v>
      </c>
      <c r="S2563" s="270">
        <v>16228.25</v>
      </c>
      <c r="T2563" s="270">
        <v>17383.849999999999</v>
      </c>
      <c r="U2563" s="271" t="s">
        <v>3945</v>
      </c>
      <c r="V2563" s="267" t="s">
        <v>944</v>
      </c>
    </row>
    <row r="2564" spans="1:22" hidden="1" x14ac:dyDescent="0.25">
      <c r="A2564" s="266">
        <v>43606</v>
      </c>
      <c r="B2564" s="267">
        <v>2019</v>
      </c>
      <c r="C2564" s="267">
        <v>2019</v>
      </c>
      <c r="D2564" s="267">
        <v>1</v>
      </c>
      <c r="E2564" s="267">
        <v>1</v>
      </c>
      <c r="F2564" s="267" t="s">
        <v>944</v>
      </c>
      <c r="G2564" s="267" t="s">
        <v>3926</v>
      </c>
      <c r="H2564" s="267" t="s">
        <v>6948</v>
      </c>
      <c r="I2564" s="267" t="s">
        <v>3962</v>
      </c>
      <c r="J2564" s="267" t="s">
        <v>3928</v>
      </c>
      <c r="K2564" s="267">
        <v>6379</v>
      </c>
      <c r="L2564" s="267">
        <v>705101</v>
      </c>
      <c r="M2564" s="267" t="s">
        <v>3935</v>
      </c>
      <c r="N2564" s="267" t="s">
        <v>3944</v>
      </c>
      <c r="O2564" s="267">
        <v>1321.11</v>
      </c>
      <c r="P2564" s="267" t="s">
        <v>3944</v>
      </c>
      <c r="Q2564" s="267" t="s">
        <v>3944</v>
      </c>
      <c r="R2564" s="267">
        <v>1321.11</v>
      </c>
      <c r="S2564" s="267">
        <v>20430.79</v>
      </c>
      <c r="T2564" s="267">
        <v>21751.9</v>
      </c>
      <c r="U2564" s="268" t="s">
        <v>3945</v>
      </c>
      <c r="V2564" s="267" t="s">
        <v>944</v>
      </c>
    </row>
    <row r="2565" spans="1:22" hidden="1" x14ac:dyDescent="0.25">
      <c r="A2565" s="269">
        <v>43606</v>
      </c>
      <c r="B2565" s="270">
        <v>2019</v>
      </c>
      <c r="C2565" s="270">
        <v>2019</v>
      </c>
      <c r="D2565" s="270">
        <v>1</v>
      </c>
      <c r="E2565" s="270">
        <v>1</v>
      </c>
      <c r="F2565" s="270" t="s">
        <v>944</v>
      </c>
      <c r="G2565" s="270" t="s">
        <v>3926</v>
      </c>
      <c r="H2565" s="270" t="s">
        <v>6949</v>
      </c>
      <c r="I2565" s="270" t="s">
        <v>4168</v>
      </c>
      <c r="J2565" s="270" t="s">
        <v>3928</v>
      </c>
      <c r="K2565" s="270">
        <v>6475</v>
      </c>
      <c r="L2565" s="270">
        <v>670100</v>
      </c>
      <c r="M2565" s="270" t="s">
        <v>3960</v>
      </c>
      <c r="N2565" s="270" t="s">
        <v>3944</v>
      </c>
      <c r="O2565" s="270">
        <v>917.11</v>
      </c>
      <c r="P2565" s="270" t="s">
        <v>3944</v>
      </c>
      <c r="Q2565" s="270" t="s">
        <v>3944</v>
      </c>
      <c r="R2565" s="270">
        <v>917.11</v>
      </c>
      <c r="S2565" s="270">
        <v>13229.49</v>
      </c>
      <c r="T2565" s="270">
        <v>14146.6</v>
      </c>
      <c r="U2565" s="271" t="s">
        <v>3945</v>
      </c>
      <c r="V2565" s="267" t="s">
        <v>944</v>
      </c>
    </row>
    <row r="2566" spans="1:22" hidden="1" x14ac:dyDescent="0.25">
      <c r="A2566" s="266">
        <v>43606</v>
      </c>
      <c r="B2566" s="267">
        <v>2019</v>
      </c>
      <c r="C2566" s="267">
        <v>2019</v>
      </c>
      <c r="D2566" s="267">
        <v>1</v>
      </c>
      <c r="E2566" s="267">
        <v>1</v>
      </c>
      <c r="F2566" s="267" t="s">
        <v>944</v>
      </c>
      <c r="G2566" s="267" t="s">
        <v>3926</v>
      </c>
      <c r="H2566" s="267" t="s">
        <v>6950</v>
      </c>
      <c r="I2566" s="267" t="s">
        <v>3939</v>
      </c>
      <c r="J2566" s="267" t="s">
        <v>3928</v>
      </c>
      <c r="K2566" s="267">
        <v>6512</v>
      </c>
      <c r="L2566" s="267">
        <v>180300</v>
      </c>
      <c r="M2566" s="267">
        <v>-60</v>
      </c>
      <c r="N2566" s="267" t="s">
        <v>3944</v>
      </c>
      <c r="O2566" s="267">
        <v>2147.39</v>
      </c>
      <c r="P2566" s="267" t="s">
        <v>3944</v>
      </c>
      <c r="Q2566" s="267" t="s">
        <v>3944</v>
      </c>
      <c r="R2566" s="267">
        <v>2147.39</v>
      </c>
      <c r="S2566" s="267">
        <v>37326.9</v>
      </c>
      <c r="T2566" s="267">
        <v>39474.29</v>
      </c>
      <c r="U2566" s="268" t="s">
        <v>3945</v>
      </c>
      <c r="V2566" s="267" t="s">
        <v>944</v>
      </c>
    </row>
    <row r="2567" spans="1:22" hidden="1" x14ac:dyDescent="0.25">
      <c r="A2567" s="269">
        <v>43606</v>
      </c>
      <c r="B2567" s="270">
        <v>2019</v>
      </c>
      <c r="C2567" s="270">
        <v>2019</v>
      </c>
      <c r="D2567" s="270">
        <v>1</v>
      </c>
      <c r="E2567" s="270">
        <v>1</v>
      </c>
      <c r="F2567" s="270" t="s">
        <v>944</v>
      </c>
      <c r="G2567" s="270" t="s">
        <v>3926</v>
      </c>
      <c r="H2567" s="270" t="s">
        <v>6951</v>
      </c>
      <c r="I2567" s="270" t="s">
        <v>4011</v>
      </c>
      <c r="J2567" s="270" t="s">
        <v>3928</v>
      </c>
      <c r="K2567" s="270">
        <v>6002</v>
      </c>
      <c r="L2567" s="270">
        <v>471300</v>
      </c>
      <c r="M2567" s="270" t="s">
        <v>3935</v>
      </c>
      <c r="N2567" s="270" t="s">
        <v>3944</v>
      </c>
      <c r="O2567" s="270">
        <v>1022.88</v>
      </c>
      <c r="P2567" s="270" t="s">
        <v>3944</v>
      </c>
      <c r="Q2567" s="270" t="s">
        <v>3944</v>
      </c>
      <c r="R2567" s="270">
        <v>1022.88</v>
      </c>
      <c r="S2567" s="270">
        <v>14195.62</v>
      </c>
      <c r="T2567" s="270">
        <v>15218.5</v>
      </c>
      <c r="U2567" s="271" t="s">
        <v>3945</v>
      </c>
      <c r="V2567" s="267" t="s">
        <v>944</v>
      </c>
    </row>
    <row r="2568" spans="1:22" hidden="1" x14ac:dyDescent="0.25">
      <c r="A2568" s="266">
        <v>43606</v>
      </c>
      <c r="B2568" s="267">
        <v>2019</v>
      </c>
      <c r="C2568" s="267">
        <v>2019</v>
      </c>
      <c r="D2568" s="267">
        <v>1</v>
      </c>
      <c r="E2568" s="267">
        <v>1</v>
      </c>
      <c r="F2568" s="267" t="s">
        <v>944</v>
      </c>
      <c r="G2568" s="267" t="s">
        <v>3926</v>
      </c>
      <c r="H2568" s="267" t="s">
        <v>6952</v>
      </c>
      <c r="I2568" s="267" t="s">
        <v>4435</v>
      </c>
      <c r="J2568" s="267" t="s">
        <v>3928</v>
      </c>
      <c r="K2568" s="267">
        <v>6249</v>
      </c>
      <c r="L2568" s="267">
        <v>870100</v>
      </c>
      <c r="M2568" s="267" t="s">
        <v>3960</v>
      </c>
      <c r="N2568" s="267" t="s">
        <v>3944</v>
      </c>
      <c r="O2568" s="267">
        <v>2604.0700000000002</v>
      </c>
      <c r="P2568" s="267" t="s">
        <v>3944</v>
      </c>
      <c r="Q2568" s="267" t="s">
        <v>3944</v>
      </c>
      <c r="R2568" s="267">
        <v>2604.0700000000002</v>
      </c>
      <c r="S2568" s="267">
        <v>34565.93</v>
      </c>
      <c r="T2568" s="267">
        <v>37170</v>
      </c>
      <c r="U2568" s="268" t="s">
        <v>3945</v>
      </c>
      <c r="V2568" s="267" t="s">
        <v>944</v>
      </c>
    </row>
    <row r="2569" spans="1:22" hidden="1" x14ac:dyDescent="0.25">
      <c r="A2569" s="269">
        <v>43606</v>
      </c>
      <c r="B2569" s="270">
        <v>2019</v>
      </c>
      <c r="C2569" s="270">
        <v>2019</v>
      </c>
      <c r="D2569" s="270">
        <v>1</v>
      </c>
      <c r="E2569" s="270">
        <v>1</v>
      </c>
      <c r="F2569" s="270" t="s">
        <v>944</v>
      </c>
      <c r="G2569" s="270" t="s">
        <v>3926</v>
      </c>
      <c r="H2569" s="270" t="s">
        <v>6953</v>
      </c>
      <c r="I2569" s="270" t="s">
        <v>4548</v>
      </c>
      <c r="J2569" s="270" t="s">
        <v>3928</v>
      </c>
      <c r="K2569" s="270">
        <v>6037</v>
      </c>
      <c r="L2569" s="270">
        <v>400200</v>
      </c>
      <c r="M2569" s="270" t="s">
        <v>3943</v>
      </c>
      <c r="N2569" s="270" t="s">
        <v>3944</v>
      </c>
      <c r="O2569" s="270">
        <v>990.33</v>
      </c>
      <c r="P2569" s="270" t="s">
        <v>3944</v>
      </c>
      <c r="Q2569" s="270" t="s">
        <v>3944</v>
      </c>
      <c r="R2569" s="270">
        <v>990.33</v>
      </c>
      <c r="S2569" s="270">
        <v>15181.44</v>
      </c>
      <c r="T2569" s="270">
        <v>16171.77</v>
      </c>
      <c r="U2569" s="271" t="s">
        <v>3945</v>
      </c>
      <c r="V2569" s="267" t="s">
        <v>944</v>
      </c>
    </row>
    <row r="2570" spans="1:22" hidden="1" x14ac:dyDescent="0.25">
      <c r="A2570" s="266">
        <v>43606</v>
      </c>
      <c r="B2570" s="267">
        <v>2019</v>
      </c>
      <c r="C2570" s="267">
        <v>2019</v>
      </c>
      <c r="D2570" s="267">
        <v>1</v>
      </c>
      <c r="E2570" s="267">
        <v>1</v>
      </c>
      <c r="F2570" s="267" t="s">
        <v>944</v>
      </c>
      <c r="G2570" s="267" t="s">
        <v>3926</v>
      </c>
      <c r="H2570" s="267" t="s">
        <v>6954</v>
      </c>
      <c r="I2570" s="267" t="s">
        <v>5147</v>
      </c>
      <c r="J2570" s="267" t="s">
        <v>3928</v>
      </c>
      <c r="K2570" s="267">
        <v>6468</v>
      </c>
      <c r="L2570" s="267">
        <v>100100</v>
      </c>
      <c r="M2570" s="267" t="s">
        <v>3943</v>
      </c>
      <c r="N2570" s="267" t="s">
        <v>3944</v>
      </c>
      <c r="O2570" s="267">
        <v>3365.85</v>
      </c>
      <c r="P2570" s="267" t="s">
        <v>3944</v>
      </c>
      <c r="Q2570" s="267" t="s">
        <v>3944</v>
      </c>
      <c r="R2570" s="267">
        <v>3365.85</v>
      </c>
      <c r="S2570" s="267">
        <v>49253.64</v>
      </c>
      <c r="T2570" s="267">
        <v>52619.49</v>
      </c>
      <c r="U2570" s="268" t="s">
        <v>3945</v>
      </c>
      <c r="V2570" s="267" t="s">
        <v>944</v>
      </c>
    </row>
    <row r="2571" spans="1:22" hidden="1" x14ac:dyDescent="0.25">
      <c r="A2571" s="269">
        <v>43606</v>
      </c>
      <c r="B2571" s="270">
        <v>2019</v>
      </c>
      <c r="C2571" s="270">
        <v>2019</v>
      </c>
      <c r="D2571" s="270">
        <v>1</v>
      </c>
      <c r="E2571" s="270">
        <v>1</v>
      </c>
      <c r="F2571" s="270" t="s">
        <v>944</v>
      </c>
      <c r="G2571" s="270" t="s">
        <v>3926</v>
      </c>
      <c r="H2571" s="270" t="s">
        <v>6955</v>
      </c>
      <c r="I2571" s="270" t="s">
        <v>4124</v>
      </c>
      <c r="J2571" s="270" t="s">
        <v>3928</v>
      </c>
      <c r="K2571" s="270">
        <v>6470</v>
      </c>
      <c r="L2571" s="270">
        <v>230200</v>
      </c>
      <c r="M2571" s="270" t="s">
        <v>3943</v>
      </c>
      <c r="N2571" s="270" t="s">
        <v>3944</v>
      </c>
      <c r="O2571" s="270">
        <v>2134.09</v>
      </c>
      <c r="P2571" s="270" t="s">
        <v>3944</v>
      </c>
      <c r="Q2571" s="270" t="s">
        <v>3944</v>
      </c>
      <c r="R2571" s="270">
        <v>2134.09</v>
      </c>
      <c r="S2571" s="270">
        <v>29460.41</v>
      </c>
      <c r="T2571" s="270">
        <v>31594.5</v>
      </c>
      <c r="U2571" s="271" t="s">
        <v>3945</v>
      </c>
      <c r="V2571" s="267" t="s">
        <v>944</v>
      </c>
    </row>
    <row r="2572" spans="1:22" hidden="1" x14ac:dyDescent="0.25">
      <c r="A2572" s="266">
        <v>43606</v>
      </c>
      <c r="B2572" s="267">
        <v>2019</v>
      </c>
      <c r="C2572" s="267">
        <v>2019</v>
      </c>
      <c r="D2572" s="267">
        <v>1</v>
      </c>
      <c r="E2572" s="267">
        <v>1</v>
      </c>
      <c r="F2572" s="267" t="s">
        <v>944</v>
      </c>
      <c r="G2572" s="267" t="s">
        <v>3926</v>
      </c>
      <c r="H2572" s="267" t="s">
        <v>6956</v>
      </c>
      <c r="I2572" s="267" t="s">
        <v>4037</v>
      </c>
      <c r="J2572" s="267" t="s">
        <v>3928</v>
      </c>
      <c r="K2572" s="267">
        <v>6810</v>
      </c>
      <c r="L2572" s="267">
        <v>210200</v>
      </c>
      <c r="M2572" s="267">
        <v>-60</v>
      </c>
      <c r="N2572" s="267" t="s">
        <v>3944</v>
      </c>
      <c r="O2572" s="267">
        <v>1716.82</v>
      </c>
      <c r="P2572" s="267" t="s">
        <v>3944</v>
      </c>
      <c r="Q2572" s="267" t="s">
        <v>3944</v>
      </c>
      <c r="R2572" s="267">
        <v>1716.82</v>
      </c>
      <c r="S2572" s="267">
        <v>25503.38</v>
      </c>
      <c r="T2572" s="267">
        <v>27220.2</v>
      </c>
      <c r="U2572" s="268" t="s">
        <v>3945</v>
      </c>
      <c r="V2572" s="267" t="s">
        <v>944</v>
      </c>
    </row>
    <row r="2573" spans="1:22" hidden="1" x14ac:dyDescent="0.25">
      <c r="A2573" s="269">
        <v>43606</v>
      </c>
      <c r="B2573" s="270">
        <v>2019</v>
      </c>
      <c r="C2573" s="270">
        <v>2019</v>
      </c>
      <c r="D2573" s="270">
        <v>1</v>
      </c>
      <c r="E2573" s="270">
        <v>1</v>
      </c>
      <c r="F2573" s="270" t="s">
        <v>944</v>
      </c>
      <c r="G2573" s="270" t="s">
        <v>3926</v>
      </c>
      <c r="H2573" s="270" t="s">
        <v>6957</v>
      </c>
      <c r="I2573" s="270" t="s">
        <v>4621</v>
      </c>
      <c r="J2573" s="270" t="s">
        <v>3928</v>
      </c>
      <c r="K2573" s="270">
        <v>6443</v>
      </c>
      <c r="L2573" s="270">
        <v>194202</v>
      </c>
      <c r="M2573" s="270" t="s">
        <v>3943</v>
      </c>
      <c r="N2573" s="270" t="s">
        <v>3944</v>
      </c>
      <c r="O2573" s="270">
        <v>2187.8200000000002</v>
      </c>
      <c r="P2573" s="270" t="s">
        <v>3944</v>
      </c>
      <c r="Q2573" s="270" t="s">
        <v>3944</v>
      </c>
      <c r="R2573" s="270">
        <v>2187.8200000000002</v>
      </c>
      <c r="S2573" s="270">
        <v>32261.69</v>
      </c>
      <c r="T2573" s="270">
        <v>34449.51</v>
      </c>
      <c r="U2573" s="271" t="s">
        <v>3945</v>
      </c>
      <c r="V2573" s="267" t="s">
        <v>944</v>
      </c>
    </row>
    <row r="2574" spans="1:22" hidden="1" x14ac:dyDescent="0.25">
      <c r="A2574" s="266">
        <v>43606</v>
      </c>
      <c r="B2574" s="267">
        <v>2019</v>
      </c>
      <c r="C2574" s="267">
        <v>2019</v>
      </c>
      <c r="D2574" s="267">
        <v>1</v>
      </c>
      <c r="E2574" s="267">
        <v>1</v>
      </c>
      <c r="F2574" s="267" t="s">
        <v>944</v>
      </c>
      <c r="G2574" s="267" t="s">
        <v>3926</v>
      </c>
      <c r="H2574" s="267" t="s">
        <v>6958</v>
      </c>
      <c r="I2574" s="267" t="s">
        <v>3008</v>
      </c>
      <c r="J2574" s="267" t="s">
        <v>3928</v>
      </c>
      <c r="K2574" s="267">
        <v>6461</v>
      </c>
      <c r="L2574" s="267">
        <v>150300</v>
      </c>
      <c r="M2574" s="267" t="s">
        <v>3960</v>
      </c>
      <c r="N2574" s="267" t="s">
        <v>3944</v>
      </c>
      <c r="O2574" s="267">
        <v>1566.04</v>
      </c>
      <c r="P2574" s="267" t="s">
        <v>3944</v>
      </c>
      <c r="Q2574" s="267" t="s">
        <v>3944</v>
      </c>
      <c r="R2574" s="267">
        <v>1566.04</v>
      </c>
      <c r="S2574" s="267">
        <v>25933.06</v>
      </c>
      <c r="T2574" s="267">
        <v>27499.1</v>
      </c>
      <c r="U2574" s="268" t="s">
        <v>3945</v>
      </c>
      <c r="V2574" s="267" t="s">
        <v>944</v>
      </c>
    </row>
    <row r="2575" spans="1:22" x14ac:dyDescent="0.25">
      <c r="A2575" s="269">
        <v>43606</v>
      </c>
      <c r="B2575" s="270">
        <v>2019</v>
      </c>
      <c r="C2575" s="270">
        <v>2019</v>
      </c>
      <c r="D2575" s="270">
        <v>1</v>
      </c>
      <c r="E2575" s="270">
        <v>1</v>
      </c>
      <c r="F2575" s="270" t="s">
        <v>944</v>
      </c>
      <c r="G2575" s="270" t="s">
        <v>3926</v>
      </c>
      <c r="H2575" s="270" t="s">
        <v>6959</v>
      </c>
      <c r="I2575" s="270" t="s">
        <v>934</v>
      </c>
      <c r="J2575" s="270" t="s">
        <v>3928</v>
      </c>
      <c r="K2575" s="270">
        <v>6605</v>
      </c>
      <c r="L2575" s="270">
        <v>70100</v>
      </c>
      <c r="M2575" s="270" t="s">
        <v>3960</v>
      </c>
      <c r="N2575" s="270" t="s">
        <v>3944</v>
      </c>
      <c r="O2575" s="270">
        <v>1643.39</v>
      </c>
      <c r="P2575" s="270" t="s">
        <v>3944</v>
      </c>
      <c r="Q2575" s="270" t="s">
        <v>3944</v>
      </c>
      <c r="R2575" s="270">
        <v>1643.39</v>
      </c>
      <c r="S2575" s="270">
        <v>20527.14</v>
      </c>
      <c r="T2575" s="270">
        <v>22170.53</v>
      </c>
      <c r="U2575" s="271" t="s">
        <v>3945</v>
      </c>
      <c r="V2575" s="276" t="s">
        <v>936</v>
      </c>
    </row>
    <row r="2576" spans="1:22" hidden="1" x14ac:dyDescent="0.25">
      <c r="A2576" s="266">
        <v>43606</v>
      </c>
      <c r="B2576" s="267">
        <v>2019</v>
      </c>
      <c r="C2576" s="267">
        <v>2019</v>
      </c>
      <c r="D2576" s="267">
        <v>1</v>
      </c>
      <c r="E2576" s="267">
        <v>1</v>
      </c>
      <c r="F2576" s="267" t="s">
        <v>944</v>
      </c>
      <c r="G2576" s="267" t="s">
        <v>3926</v>
      </c>
      <c r="H2576" s="267" t="s">
        <v>6960</v>
      </c>
      <c r="I2576" s="267" t="s">
        <v>4235</v>
      </c>
      <c r="J2576" s="267" t="s">
        <v>3928</v>
      </c>
      <c r="K2576" s="267">
        <v>6066</v>
      </c>
      <c r="L2576" s="267">
        <v>530600</v>
      </c>
      <c r="M2576" s="267" t="s">
        <v>3960</v>
      </c>
      <c r="N2576" s="267" t="s">
        <v>3944</v>
      </c>
      <c r="O2576" s="267">
        <v>3030.27</v>
      </c>
      <c r="P2576" s="267" t="s">
        <v>3944</v>
      </c>
      <c r="Q2576" s="267" t="s">
        <v>3944</v>
      </c>
      <c r="R2576" s="267">
        <v>3030.27</v>
      </c>
      <c r="S2576" s="267">
        <v>43625.15</v>
      </c>
      <c r="T2576" s="267">
        <v>46655.42</v>
      </c>
      <c r="U2576" s="268" t="s">
        <v>3945</v>
      </c>
      <c r="V2576" s="267" t="s">
        <v>944</v>
      </c>
    </row>
    <row r="2577" spans="1:22" hidden="1" x14ac:dyDescent="0.25">
      <c r="A2577" s="269">
        <v>43606</v>
      </c>
      <c r="B2577" s="270">
        <v>2019</v>
      </c>
      <c r="C2577" s="270">
        <v>2019</v>
      </c>
      <c r="D2577" s="270">
        <v>1</v>
      </c>
      <c r="E2577" s="270">
        <v>1</v>
      </c>
      <c r="F2577" s="270" t="s">
        <v>944</v>
      </c>
      <c r="G2577" s="270" t="s">
        <v>3926</v>
      </c>
      <c r="H2577" s="270" t="s">
        <v>6961</v>
      </c>
      <c r="I2577" s="270" t="s">
        <v>4037</v>
      </c>
      <c r="J2577" s="270" t="s">
        <v>3928</v>
      </c>
      <c r="K2577" s="270">
        <v>6810</v>
      </c>
      <c r="L2577" s="270">
        <v>210400</v>
      </c>
      <c r="M2577" s="270" t="s">
        <v>3935</v>
      </c>
      <c r="N2577" s="270" t="s">
        <v>3944</v>
      </c>
      <c r="O2577" s="270">
        <v>1104.5999999999999</v>
      </c>
      <c r="P2577" s="270" t="s">
        <v>3944</v>
      </c>
      <c r="Q2577" s="270" t="s">
        <v>3944</v>
      </c>
      <c r="R2577" s="270">
        <v>1104.5999999999999</v>
      </c>
      <c r="S2577" s="270">
        <v>15203.37</v>
      </c>
      <c r="T2577" s="270">
        <v>16307.97</v>
      </c>
      <c r="U2577" s="271" t="s">
        <v>3945</v>
      </c>
      <c r="V2577" s="267" t="s">
        <v>944</v>
      </c>
    </row>
    <row r="2578" spans="1:22" x14ac:dyDescent="0.25">
      <c r="A2578" s="266">
        <v>43606</v>
      </c>
      <c r="B2578" s="267">
        <v>2019</v>
      </c>
      <c r="C2578" s="267">
        <v>2019</v>
      </c>
      <c r="D2578" s="267">
        <v>1</v>
      </c>
      <c r="E2578" s="267">
        <v>1</v>
      </c>
      <c r="F2578" s="267" t="s">
        <v>944</v>
      </c>
      <c r="G2578" s="267" t="s">
        <v>3926</v>
      </c>
      <c r="H2578" s="267" t="s">
        <v>6962</v>
      </c>
      <c r="I2578" s="267" t="s">
        <v>934</v>
      </c>
      <c r="J2578" s="267" t="s">
        <v>3928</v>
      </c>
      <c r="K2578" s="267">
        <v>6606</v>
      </c>
      <c r="L2578" s="267">
        <v>72200</v>
      </c>
      <c r="M2578" s="267">
        <v>-60</v>
      </c>
      <c r="N2578" s="267" t="s">
        <v>3944</v>
      </c>
      <c r="O2578" s="267">
        <v>1470.84</v>
      </c>
      <c r="P2578" s="267" t="s">
        <v>3944</v>
      </c>
      <c r="Q2578" s="267" t="s">
        <v>3944</v>
      </c>
      <c r="R2578" s="267">
        <v>1470.84</v>
      </c>
      <c r="S2578" s="267">
        <v>22626.44</v>
      </c>
      <c r="T2578" s="267">
        <v>24097.279999999999</v>
      </c>
      <c r="U2578" s="268" t="s">
        <v>3945</v>
      </c>
      <c r="V2578" s="276" t="s">
        <v>936</v>
      </c>
    </row>
    <row r="2579" spans="1:22" hidden="1" x14ac:dyDescent="0.25">
      <c r="A2579" s="269">
        <v>43606</v>
      </c>
      <c r="B2579" s="270">
        <v>2019</v>
      </c>
      <c r="C2579" s="270">
        <v>2019</v>
      </c>
      <c r="D2579" s="270">
        <v>1</v>
      </c>
      <c r="E2579" s="270">
        <v>1</v>
      </c>
      <c r="F2579" s="270" t="s">
        <v>944</v>
      </c>
      <c r="G2579" s="270" t="s">
        <v>3926</v>
      </c>
      <c r="H2579" s="270" t="s">
        <v>6963</v>
      </c>
      <c r="I2579" s="270" t="s">
        <v>3008</v>
      </c>
      <c r="J2579" s="270" t="s">
        <v>3928</v>
      </c>
      <c r="K2579" s="270">
        <v>6460</v>
      </c>
      <c r="L2579" s="270">
        <v>151100</v>
      </c>
      <c r="M2579" s="270" t="s">
        <v>3960</v>
      </c>
      <c r="N2579" s="270" t="s">
        <v>3944</v>
      </c>
      <c r="O2579" s="270">
        <v>1467.73</v>
      </c>
      <c r="P2579" s="270" t="s">
        <v>3944</v>
      </c>
      <c r="Q2579" s="270" t="s">
        <v>3944</v>
      </c>
      <c r="R2579" s="270">
        <v>1467.73</v>
      </c>
      <c r="S2579" s="270">
        <v>23597.88</v>
      </c>
      <c r="T2579" s="270">
        <v>25065.61</v>
      </c>
      <c r="U2579" s="271" t="s">
        <v>3945</v>
      </c>
      <c r="V2579" s="267" t="s">
        <v>944</v>
      </c>
    </row>
    <row r="2580" spans="1:22" hidden="1" x14ac:dyDescent="0.25">
      <c r="A2580" s="266">
        <v>43606</v>
      </c>
      <c r="B2580" s="267">
        <v>2019</v>
      </c>
      <c r="C2580" s="267">
        <v>2019</v>
      </c>
      <c r="D2580" s="267">
        <v>1</v>
      </c>
      <c r="E2580" s="267">
        <v>1</v>
      </c>
      <c r="F2580" s="267" t="s">
        <v>944</v>
      </c>
      <c r="G2580" s="267" t="s">
        <v>3926</v>
      </c>
      <c r="H2580" s="267" t="s">
        <v>6964</v>
      </c>
      <c r="I2580" s="267" t="s">
        <v>3012</v>
      </c>
      <c r="J2580" s="267" t="s">
        <v>3928</v>
      </c>
      <c r="K2580" s="267">
        <v>6477</v>
      </c>
      <c r="L2580" s="267">
        <v>157300</v>
      </c>
      <c r="M2580" s="267" t="s">
        <v>3943</v>
      </c>
      <c r="N2580" s="267" t="s">
        <v>3944</v>
      </c>
      <c r="O2580" s="267">
        <v>1684.48</v>
      </c>
      <c r="P2580" s="267" t="s">
        <v>3944</v>
      </c>
      <c r="Q2580" s="267" t="s">
        <v>3944</v>
      </c>
      <c r="R2580" s="267">
        <v>1684.48</v>
      </c>
      <c r="S2580" s="267">
        <v>26441.57</v>
      </c>
      <c r="T2580" s="267">
        <v>28126.05</v>
      </c>
      <c r="U2580" s="268" t="s">
        <v>3945</v>
      </c>
      <c r="V2580" s="267" t="s">
        <v>944</v>
      </c>
    </row>
    <row r="2581" spans="1:22" hidden="1" x14ac:dyDescent="0.25">
      <c r="A2581" s="269">
        <v>43606</v>
      </c>
      <c r="B2581" s="270">
        <v>2019</v>
      </c>
      <c r="C2581" s="270">
        <v>2019</v>
      </c>
      <c r="D2581" s="270">
        <v>1</v>
      </c>
      <c r="E2581" s="270">
        <v>1</v>
      </c>
      <c r="F2581" s="270" t="s">
        <v>944</v>
      </c>
      <c r="G2581" s="270" t="s">
        <v>3926</v>
      </c>
      <c r="H2581" s="270" t="s">
        <v>6965</v>
      </c>
      <c r="I2581" s="270" t="s">
        <v>934</v>
      </c>
      <c r="J2581" s="270" t="s">
        <v>3928</v>
      </c>
      <c r="K2581" s="270">
        <v>6604</v>
      </c>
      <c r="L2581" s="270">
        <v>72100</v>
      </c>
      <c r="M2581" s="270" t="s">
        <v>3940</v>
      </c>
      <c r="N2581" s="270" t="s">
        <v>3944</v>
      </c>
      <c r="O2581" s="270">
        <v>864.01</v>
      </c>
      <c r="P2581" s="270" t="s">
        <v>3944</v>
      </c>
      <c r="Q2581" s="270" t="s">
        <v>3944</v>
      </c>
      <c r="R2581" s="270">
        <v>864.01</v>
      </c>
      <c r="S2581" s="270">
        <v>12678.17</v>
      </c>
      <c r="T2581" s="270">
        <v>13542.18</v>
      </c>
      <c r="U2581" s="271" t="s">
        <v>3945</v>
      </c>
      <c r="V2581" s="267" t="s">
        <v>944</v>
      </c>
    </row>
    <row r="2582" spans="1:22" hidden="1" x14ac:dyDescent="0.25">
      <c r="A2582" s="266">
        <v>43606</v>
      </c>
      <c r="B2582" s="267">
        <v>2019</v>
      </c>
      <c r="C2582" s="267">
        <v>2019</v>
      </c>
      <c r="D2582" s="267">
        <v>1</v>
      </c>
      <c r="E2582" s="267">
        <v>1</v>
      </c>
      <c r="F2582" s="267" t="s">
        <v>944</v>
      </c>
      <c r="G2582" s="267" t="s">
        <v>3926</v>
      </c>
      <c r="H2582" s="267" t="s">
        <v>6966</v>
      </c>
      <c r="I2582" s="267" t="s">
        <v>3968</v>
      </c>
      <c r="J2582" s="267" t="s">
        <v>3928</v>
      </c>
      <c r="K2582" s="267">
        <v>6042</v>
      </c>
      <c r="L2582" s="267">
        <v>514200</v>
      </c>
      <c r="M2582" s="267" t="s">
        <v>3940</v>
      </c>
      <c r="N2582" s="267" t="s">
        <v>3944</v>
      </c>
      <c r="O2582" s="267">
        <v>1703.77</v>
      </c>
      <c r="P2582" s="267" t="s">
        <v>3944</v>
      </c>
      <c r="Q2582" s="267" t="s">
        <v>3944</v>
      </c>
      <c r="R2582" s="267">
        <v>1703.77</v>
      </c>
      <c r="S2582" s="267">
        <v>26173.73</v>
      </c>
      <c r="T2582" s="267">
        <v>27877.5</v>
      </c>
      <c r="U2582" s="268" t="s">
        <v>3945</v>
      </c>
      <c r="V2582" s="267" t="s">
        <v>944</v>
      </c>
    </row>
    <row r="2583" spans="1:22" hidden="1" x14ac:dyDescent="0.25">
      <c r="A2583" s="269">
        <v>43606</v>
      </c>
      <c r="B2583" s="270">
        <v>2019</v>
      </c>
      <c r="C2583" s="270">
        <v>2019</v>
      </c>
      <c r="D2583" s="270">
        <v>1</v>
      </c>
      <c r="E2583" s="270">
        <v>1</v>
      </c>
      <c r="F2583" s="270" t="s">
        <v>944</v>
      </c>
      <c r="G2583" s="270" t="s">
        <v>3926</v>
      </c>
      <c r="H2583" s="270" t="s">
        <v>6967</v>
      </c>
      <c r="I2583" s="270" t="s">
        <v>4250</v>
      </c>
      <c r="J2583" s="270" t="s">
        <v>3928</v>
      </c>
      <c r="K2583" s="270">
        <v>6239</v>
      </c>
      <c r="L2583" s="270">
        <v>904500</v>
      </c>
      <c r="M2583" s="270" t="s">
        <v>3940</v>
      </c>
      <c r="N2583" s="270" t="s">
        <v>3944</v>
      </c>
      <c r="O2583" s="270">
        <v>1845.41</v>
      </c>
      <c r="P2583" s="270" t="s">
        <v>3944</v>
      </c>
      <c r="Q2583" s="270" t="s">
        <v>3944</v>
      </c>
      <c r="R2583" s="270">
        <v>1845.41</v>
      </c>
      <c r="S2583" s="270">
        <v>26609.9</v>
      </c>
      <c r="T2583" s="270">
        <v>28455.31</v>
      </c>
      <c r="U2583" s="271" t="s">
        <v>3945</v>
      </c>
      <c r="V2583" s="267" t="s">
        <v>944</v>
      </c>
    </row>
    <row r="2584" spans="1:22" hidden="1" x14ac:dyDescent="0.25">
      <c r="A2584" s="266">
        <v>43606</v>
      </c>
      <c r="B2584" s="267">
        <v>2019</v>
      </c>
      <c r="C2584" s="267">
        <v>2019</v>
      </c>
      <c r="D2584" s="267">
        <v>1</v>
      </c>
      <c r="E2584" s="267">
        <v>1</v>
      </c>
      <c r="F2584" s="267" t="s">
        <v>944</v>
      </c>
      <c r="G2584" s="267" t="s">
        <v>3926</v>
      </c>
      <c r="H2584" s="267" t="s">
        <v>6968</v>
      </c>
      <c r="I2584" s="267" t="s">
        <v>4699</v>
      </c>
      <c r="J2584" s="267" t="s">
        <v>3928</v>
      </c>
      <c r="K2584" s="267">
        <v>6373</v>
      </c>
      <c r="L2584" s="267">
        <v>908100</v>
      </c>
      <c r="M2584" s="267" t="s">
        <v>3935</v>
      </c>
      <c r="N2584" s="267" t="s">
        <v>3944</v>
      </c>
      <c r="O2584" s="267">
        <v>4042.15</v>
      </c>
      <c r="P2584" s="267" t="s">
        <v>3944</v>
      </c>
      <c r="Q2584" s="267" t="s">
        <v>3944</v>
      </c>
      <c r="R2584" s="267">
        <v>4042.15</v>
      </c>
      <c r="S2584" s="267">
        <v>62510.32</v>
      </c>
      <c r="T2584" s="267">
        <v>66552.47</v>
      </c>
      <c r="U2584" s="268" t="s">
        <v>3945</v>
      </c>
      <c r="V2584" s="267" t="s">
        <v>944</v>
      </c>
    </row>
    <row r="2585" spans="1:22" hidden="1" x14ac:dyDescent="0.25">
      <c r="A2585" s="269">
        <v>43606</v>
      </c>
      <c r="B2585" s="270">
        <v>2019</v>
      </c>
      <c r="C2585" s="270">
        <v>2019</v>
      </c>
      <c r="D2585" s="270">
        <v>1</v>
      </c>
      <c r="E2585" s="270">
        <v>1</v>
      </c>
      <c r="F2585" s="270" t="s">
        <v>944</v>
      </c>
      <c r="G2585" s="270" t="s">
        <v>3926</v>
      </c>
      <c r="H2585" s="270" t="s">
        <v>6969</v>
      </c>
      <c r="I2585" s="270" t="s">
        <v>4490</v>
      </c>
      <c r="J2585" s="270" t="s">
        <v>3928</v>
      </c>
      <c r="K2585" s="270">
        <v>6442</v>
      </c>
      <c r="L2585" s="270">
        <v>630100</v>
      </c>
      <c r="M2585" s="270" t="s">
        <v>3960</v>
      </c>
      <c r="N2585" s="270" t="s">
        <v>3944</v>
      </c>
      <c r="O2585" s="270">
        <v>1872.36</v>
      </c>
      <c r="P2585" s="270" t="s">
        <v>3944</v>
      </c>
      <c r="Q2585" s="270" t="s">
        <v>3944</v>
      </c>
      <c r="R2585" s="270">
        <v>1872.36</v>
      </c>
      <c r="S2585" s="270">
        <v>28237.33</v>
      </c>
      <c r="T2585" s="270">
        <v>30109.69</v>
      </c>
      <c r="U2585" s="271" t="s">
        <v>3945</v>
      </c>
      <c r="V2585" s="267" t="s">
        <v>944</v>
      </c>
    </row>
    <row r="2586" spans="1:22" hidden="1" x14ac:dyDescent="0.25">
      <c r="A2586" s="266">
        <v>43606</v>
      </c>
      <c r="B2586" s="267">
        <v>2019</v>
      </c>
      <c r="C2586" s="267">
        <v>2019</v>
      </c>
      <c r="D2586" s="267">
        <v>1</v>
      </c>
      <c r="E2586" s="267">
        <v>1</v>
      </c>
      <c r="F2586" s="267" t="s">
        <v>944</v>
      </c>
      <c r="G2586" s="267" t="s">
        <v>3926</v>
      </c>
      <c r="H2586" s="267" t="s">
        <v>6970</v>
      </c>
      <c r="I2586" s="267" t="s">
        <v>4029</v>
      </c>
      <c r="J2586" s="267" t="s">
        <v>3928</v>
      </c>
      <c r="K2586" s="267">
        <v>6850</v>
      </c>
      <c r="L2586" s="267">
        <v>43300</v>
      </c>
      <c r="M2586" s="267" t="s">
        <v>3935</v>
      </c>
      <c r="N2586" s="267" t="s">
        <v>3944</v>
      </c>
      <c r="O2586" s="267">
        <v>1944.15</v>
      </c>
      <c r="P2586" s="267" t="s">
        <v>3944</v>
      </c>
      <c r="Q2586" s="267" t="s">
        <v>3944</v>
      </c>
      <c r="R2586" s="267">
        <v>1944.15</v>
      </c>
      <c r="S2586" s="267">
        <v>32402.13</v>
      </c>
      <c r="T2586" s="267">
        <v>34346.28</v>
      </c>
      <c r="U2586" s="268" t="s">
        <v>3945</v>
      </c>
      <c r="V2586" s="267" t="s">
        <v>944</v>
      </c>
    </row>
    <row r="2587" spans="1:22" hidden="1" x14ac:dyDescent="0.25">
      <c r="A2587" s="269">
        <v>43606</v>
      </c>
      <c r="B2587" s="270">
        <v>2019</v>
      </c>
      <c r="C2587" s="270">
        <v>2019</v>
      </c>
      <c r="D2587" s="270">
        <v>1</v>
      </c>
      <c r="E2587" s="270">
        <v>1</v>
      </c>
      <c r="F2587" s="270" t="s">
        <v>944</v>
      </c>
      <c r="G2587" s="270" t="s">
        <v>3926</v>
      </c>
      <c r="H2587" s="270" t="s">
        <v>6971</v>
      </c>
      <c r="I2587" s="270" t="s">
        <v>4011</v>
      </c>
      <c r="J2587" s="270" t="s">
        <v>3928</v>
      </c>
      <c r="K2587" s="270">
        <v>6002</v>
      </c>
      <c r="L2587" s="270">
        <v>471200</v>
      </c>
      <c r="M2587" s="270" t="s">
        <v>3940</v>
      </c>
      <c r="N2587" s="270" t="s">
        <v>3944</v>
      </c>
      <c r="O2587" s="270">
        <v>689.99</v>
      </c>
      <c r="P2587" s="270" t="s">
        <v>3944</v>
      </c>
      <c r="Q2587" s="270" t="s">
        <v>3944</v>
      </c>
      <c r="R2587" s="270">
        <v>689.99</v>
      </c>
      <c r="S2587" s="270">
        <v>9043.2099999999991</v>
      </c>
      <c r="T2587" s="270">
        <v>9733.2000000000007</v>
      </c>
      <c r="U2587" s="271" t="s">
        <v>3945</v>
      </c>
      <c r="V2587" s="267" t="s">
        <v>944</v>
      </c>
    </row>
    <row r="2588" spans="1:22" hidden="1" x14ac:dyDescent="0.25">
      <c r="A2588" s="266">
        <v>43606</v>
      </c>
      <c r="B2588" s="267">
        <v>2019</v>
      </c>
      <c r="C2588" s="267">
        <v>2019</v>
      </c>
      <c r="D2588" s="267">
        <v>1</v>
      </c>
      <c r="E2588" s="267">
        <v>1</v>
      </c>
      <c r="F2588" s="267" t="s">
        <v>944</v>
      </c>
      <c r="G2588" s="267" t="s">
        <v>3926</v>
      </c>
      <c r="H2588" s="267" t="s">
        <v>6972</v>
      </c>
      <c r="I2588" s="267" t="s">
        <v>3008</v>
      </c>
      <c r="J2588" s="267" t="s">
        <v>3928</v>
      </c>
      <c r="K2588" s="267">
        <v>6460</v>
      </c>
      <c r="L2588" s="267">
        <v>151000</v>
      </c>
      <c r="M2588" s="267" t="s">
        <v>3960</v>
      </c>
      <c r="N2588" s="267" t="s">
        <v>3944</v>
      </c>
      <c r="O2588" s="267">
        <v>1769.71</v>
      </c>
      <c r="P2588" s="267" t="s">
        <v>3944</v>
      </c>
      <c r="Q2588" s="267" t="s">
        <v>3944</v>
      </c>
      <c r="R2588" s="267">
        <v>1769.71</v>
      </c>
      <c r="S2588" s="267">
        <v>28980.22</v>
      </c>
      <c r="T2588" s="267">
        <v>30749.93</v>
      </c>
      <c r="U2588" s="268" t="s">
        <v>3945</v>
      </c>
      <c r="V2588" s="267" t="s">
        <v>944</v>
      </c>
    </row>
    <row r="2589" spans="1:22" hidden="1" x14ac:dyDescent="0.25">
      <c r="A2589" s="269">
        <v>43606</v>
      </c>
      <c r="B2589" s="270">
        <v>2019</v>
      </c>
      <c r="C2589" s="270">
        <v>2019</v>
      </c>
      <c r="D2589" s="270">
        <v>1</v>
      </c>
      <c r="E2589" s="270">
        <v>1</v>
      </c>
      <c r="F2589" s="270" t="s">
        <v>944</v>
      </c>
      <c r="G2589" s="270" t="s">
        <v>3926</v>
      </c>
      <c r="H2589" s="270" t="s">
        <v>6973</v>
      </c>
      <c r="I2589" s="270" t="s">
        <v>4235</v>
      </c>
      <c r="J2589" s="270" t="s">
        <v>3928</v>
      </c>
      <c r="K2589" s="270">
        <v>6066</v>
      </c>
      <c r="L2589" s="270">
        <v>530301</v>
      </c>
      <c r="M2589" s="270" t="s">
        <v>3940</v>
      </c>
      <c r="N2589" s="270" t="s">
        <v>3944</v>
      </c>
      <c r="O2589" s="270">
        <v>998.41</v>
      </c>
      <c r="P2589" s="270" t="s">
        <v>3944</v>
      </c>
      <c r="Q2589" s="270" t="s">
        <v>3944</v>
      </c>
      <c r="R2589" s="270">
        <v>998.41</v>
      </c>
      <c r="S2589" s="270">
        <v>12084.01</v>
      </c>
      <c r="T2589" s="270">
        <v>13082.42</v>
      </c>
      <c r="U2589" s="271" t="s">
        <v>3945</v>
      </c>
      <c r="V2589" s="267" t="s">
        <v>944</v>
      </c>
    </row>
    <row r="2590" spans="1:22" hidden="1" x14ac:dyDescent="0.25">
      <c r="A2590" s="266">
        <v>43606</v>
      </c>
      <c r="B2590" s="267">
        <v>2019</v>
      </c>
      <c r="C2590" s="267">
        <v>2019</v>
      </c>
      <c r="D2590" s="267">
        <v>1</v>
      </c>
      <c r="E2590" s="267">
        <v>1</v>
      </c>
      <c r="F2590" s="267" t="s">
        <v>944</v>
      </c>
      <c r="G2590" s="267" t="s">
        <v>3926</v>
      </c>
      <c r="H2590" s="267" t="s">
        <v>6974</v>
      </c>
      <c r="I2590" s="267" t="s">
        <v>4306</v>
      </c>
      <c r="J2590" s="267" t="s">
        <v>3928</v>
      </c>
      <c r="K2590" s="267">
        <v>6716</v>
      </c>
      <c r="L2590" s="267">
        <v>361300</v>
      </c>
      <c r="M2590" s="267" t="s">
        <v>3960</v>
      </c>
      <c r="N2590" s="267" t="s">
        <v>3944</v>
      </c>
      <c r="O2590" s="267">
        <v>1993.5</v>
      </c>
      <c r="P2590" s="267" t="s">
        <v>3944</v>
      </c>
      <c r="Q2590" s="267" t="s">
        <v>3944</v>
      </c>
      <c r="R2590" s="267">
        <v>1993.5</v>
      </c>
      <c r="S2590" s="267">
        <v>26192.06</v>
      </c>
      <c r="T2590" s="267">
        <v>28185.56</v>
      </c>
      <c r="U2590" s="268" t="s">
        <v>3945</v>
      </c>
      <c r="V2590" s="267" t="s">
        <v>944</v>
      </c>
    </row>
    <row r="2591" spans="1:22" hidden="1" x14ac:dyDescent="0.25">
      <c r="A2591" s="269">
        <v>43606</v>
      </c>
      <c r="B2591" s="270">
        <v>2019</v>
      </c>
      <c r="C2591" s="270">
        <v>2019</v>
      </c>
      <c r="D2591" s="270">
        <v>1</v>
      </c>
      <c r="E2591" s="270">
        <v>1</v>
      </c>
      <c r="F2591" s="270" t="s">
        <v>944</v>
      </c>
      <c r="G2591" s="270" t="s">
        <v>3926</v>
      </c>
      <c r="H2591" s="270" t="s">
        <v>6975</v>
      </c>
      <c r="I2591" s="270" t="s">
        <v>4029</v>
      </c>
      <c r="J2591" s="270" t="s">
        <v>3928</v>
      </c>
      <c r="K2591" s="270">
        <v>6850</v>
      </c>
      <c r="L2591" s="270">
        <v>43000</v>
      </c>
      <c r="M2591" s="270" t="s">
        <v>3943</v>
      </c>
      <c r="N2591" s="270" t="s">
        <v>3944</v>
      </c>
      <c r="O2591" s="270">
        <v>1792.53</v>
      </c>
      <c r="P2591" s="270" t="s">
        <v>3944</v>
      </c>
      <c r="Q2591" s="270" t="s">
        <v>3944</v>
      </c>
      <c r="R2591" s="270">
        <v>1792.53</v>
      </c>
      <c r="S2591" s="270">
        <v>22649.07</v>
      </c>
      <c r="T2591" s="270">
        <v>24441.599999999999</v>
      </c>
      <c r="U2591" s="271" t="s">
        <v>3945</v>
      </c>
      <c r="V2591" s="267" t="s">
        <v>944</v>
      </c>
    </row>
    <row r="2592" spans="1:22" hidden="1" x14ac:dyDescent="0.25">
      <c r="A2592" s="266">
        <v>43606</v>
      </c>
      <c r="B2592" s="267">
        <v>2019</v>
      </c>
      <c r="C2592" s="267">
        <v>2019</v>
      </c>
      <c r="D2592" s="267">
        <v>1</v>
      </c>
      <c r="E2592" s="267">
        <v>1</v>
      </c>
      <c r="F2592" s="267" t="s">
        <v>944</v>
      </c>
      <c r="G2592" s="267" t="s">
        <v>3926</v>
      </c>
      <c r="H2592" s="267" t="s">
        <v>6976</v>
      </c>
      <c r="I2592" s="267" t="s">
        <v>4029</v>
      </c>
      <c r="J2592" s="267" t="s">
        <v>3928</v>
      </c>
      <c r="K2592" s="267">
        <v>6854</v>
      </c>
      <c r="L2592" s="267">
        <v>43900</v>
      </c>
      <c r="M2592" s="267" t="s">
        <v>3960</v>
      </c>
      <c r="N2592" s="267" t="s">
        <v>3944</v>
      </c>
      <c r="O2592" s="267">
        <v>1978.55</v>
      </c>
      <c r="P2592" s="267" t="s">
        <v>3944</v>
      </c>
      <c r="Q2592" s="267" t="s">
        <v>3944</v>
      </c>
      <c r="R2592" s="267">
        <v>1978.55</v>
      </c>
      <c r="S2592" s="267">
        <v>28681.83</v>
      </c>
      <c r="T2592" s="267">
        <v>30660.38</v>
      </c>
      <c r="U2592" s="268" t="s">
        <v>3945</v>
      </c>
      <c r="V2592" s="267" t="s">
        <v>944</v>
      </c>
    </row>
    <row r="2593" spans="1:22" hidden="1" x14ac:dyDescent="0.25">
      <c r="A2593" s="269">
        <v>43606</v>
      </c>
      <c r="B2593" s="270">
        <v>2019</v>
      </c>
      <c r="C2593" s="270">
        <v>2019</v>
      </c>
      <c r="D2593" s="270">
        <v>1</v>
      </c>
      <c r="E2593" s="270">
        <v>1</v>
      </c>
      <c r="F2593" s="270" t="s">
        <v>944</v>
      </c>
      <c r="G2593" s="270" t="s">
        <v>3926</v>
      </c>
      <c r="H2593" s="270" t="s">
        <v>6977</v>
      </c>
      <c r="I2593" s="270" t="s">
        <v>3949</v>
      </c>
      <c r="J2593" s="270" t="s">
        <v>3928</v>
      </c>
      <c r="K2593" s="270">
        <v>6437</v>
      </c>
      <c r="L2593" s="270">
        <v>190100</v>
      </c>
      <c r="M2593" s="270" t="s">
        <v>3960</v>
      </c>
      <c r="N2593" s="270" t="s">
        <v>3944</v>
      </c>
      <c r="O2593" s="270">
        <v>860.06</v>
      </c>
      <c r="P2593" s="270" t="s">
        <v>3944</v>
      </c>
      <c r="Q2593" s="270" t="s">
        <v>3944</v>
      </c>
      <c r="R2593" s="270">
        <v>860.06</v>
      </c>
      <c r="S2593" s="270">
        <v>13523.24</v>
      </c>
      <c r="T2593" s="270">
        <v>14383.3</v>
      </c>
      <c r="U2593" s="271" t="s">
        <v>3945</v>
      </c>
      <c r="V2593" s="267" t="s">
        <v>944</v>
      </c>
    </row>
    <row r="2594" spans="1:22" hidden="1" x14ac:dyDescent="0.25">
      <c r="A2594" s="266">
        <v>43606</v>
      </c>
      <c r="B2594" s="267">
        <v>2019</v>
      </c>
      <c r="C2594" s="267">
        <v>2019</v>
      </c>
      <c r="D2594" s="267">
        <v>1</v>
      </c>
      <c r="E2594" s="267">
        <v>1</v>
      </c>
      <c r="F2594" s="267" t="s">
        <v>944</v>
      </c>
      <c r="G2594" s="267" t="s">
        <v>3926</v>
      </c>
      <c r="H2594" s="267" t="s">
        <v>6978</v>
      </c>
      <c r="I2594" s="267" t="s">
        <v>4323</v>
      </c>
      <c r="J2594" s="267" t="s">
        <v>3928</v>
      </c>
      <c r="K2594" s="267">
        <v>6385</v>
      </c>
      <c r="L2594" s="267">
        <v>693500</v>
      </c>
      <c r="M2594" s="267" t="s">
        <v>3943</v>
      </c>
      <c r="N2594" s="267" t="s">
        <v>3944</v>
      </c>
      <c r="O2594" s="267">
        <v>3017.81</v>
      </c>
      <c r="P2594" s="267" t="s">
        <v>3944</v>
      </c>
      <c r="Q2594" s="267" t="s">
        <v>3944</v>
      </c>
      <c r="R2594" s="267">
        <v>3017.81</v>
      </c>
      <c r="S2594" s="267">
        <v>44575.360000000001</v>
      </c>
      <c r="T2594" s="267">
        <v>47593.17</v>
      </c>
      <c r="U2594" s="268" t="s">
        <v>3945</v>
      </c>
      <c r="V2594" s="267" t="s">
        <v>944</v>
      </c>
    </row>
    <row r="2595" spans="1:22" hidden="1" x14ac:dyDescent="0.25">
      <c r="A2595" s="269">
        <v>43606</v>
      </c>
      <c r="B2595" s="270">
        <v>2019</v>
      </c>
      <c r="C2595" s="270">
        <v>2019</v>
      </c>
      <c r="D2595" s="270">
        <v>1</v>
      </c>
      <c r="E2595" s="270">
        <v>1</v>
      </c>
      <c r="F2595" s="270" t="s">
        <v>944</v>
      </c>
      <c r="G2595" s="270" t="s">
        <v>3926</v>
      </c>
      <c r="H2595" s="270" t="s">
        <v>6979</v>
      </c>
      <c r="I2595" s="270" t="s">
        <v>956</v>
      </c>
      <c r="J2595" s="270" t="s">
        <v>3928</v>
      </c>
      <c r="K2595" s="270">
        <v>6614</v>
      </c>
      <c r="L2595" s="270">
        <v>81300</v>
      </c>
      <c r="M2595" s="270" t="s">
        <v>3935</v>
      </c>
      <c r="N2595" s="270" t="s">
        <v>3944</v>
      </c>
      <c r="O2595" s="270">
        <v>2715.86</v>
      </c>
      <c r="P2595" s="270" t="s">
        <v>3944</v>
      </c>
      <c r="Q2595" s="270" t="s">
        <v>3944</v>
      </c>
      <c r="R2595" s="270">
        <v>2715.86</v>
      </c>
      <c r="S2595" s="270">
        <v>37928.080000000002</v>
      </c>
      <c r="T2595" s="270">
        <v>40643.94</v>
      </c>
      <c r="U2595" s="271" t="s">
        <v>3945</v>
      </c>
      <c r="V2595" s="267" t="s">
        <v>944</v>
      </c>
    </row>
    <row r="2596" spans="1:22" hidden="1" x14ac:dyDescent="0.25">
      <c r="A2596" s="266">
        <v>43606</v>
      </c>
      <c r="B2596" s="267">
        <v>2019</v>
      </c>
      <c r="C2596" s="267">
        <v>2019</v>
      </c>
      <c r="D2596" s="267">
        <v>1</v>
      </c>
      <c r="E2596" s="267">
        <v>1</v>
      </c>
      <c r="F2596" s="267" t="s">
        <v>944</v>
      </c>
      <c r="G2596" s="267" t="s">
        <v>3926</v>
      </c>
      <c r="H2596" s="267" t="s">
        <v>6980</v>
      </c>
      <c r="I2596" s="267" t="s">
        <v>4213</v>
      </c>
      <c r="J2596" s="267" t="s">
        <v>3928</v>
      </c>
      <c r="K2596" s="267">
        <v>6053</v>
      </c>
      <c r="L2596" s="267">
        <v>416100</v>
      </c>
      <c r="M2596" s="267">
        <v>-60</v>
      </c>
      <c r="N2596" s="267" t="s">
        <v>3944</v>
      </c>
      <c r="O2596" s="267">
        <v>1374</v>
      </c>
      <c r="P2596" s="267" t="s">
        <v>3944</v>
      </c>
      <c r="Q2596" s="267" t="s">
        <v>3944</v>
      </c>
      <c r="R2596" s="267">
        <v>1374</v>
      </c>
      <c r="S2596" s="267">
        <v>19399.509999999998</v>
      </c>
      <c r="T2596" s="267">
        <v>20773.509999999998</v>
      </c>
      <c r="U2596" s="268" t="s">
        <v>3945</v>
      </c>
      <c r="V2596" s="267" t="s">
        <v>944</v>
      </c>
    </row>
    <row r="2597" spans="1:22" hidden="1" x14ac:dyDescent="0.25">
      <c r="A2597" s="269">
        <v>43606</v>
      </c>
      <c r="B2597" s="270">
        <v>2019</v>
      </c>
      <c r="C2597" s="270">
        <v>2019</v>
      </c>
      <c r="D2597" s="270">
        <v>1</v>
      </c>
      <c r="E2597" s="270">
        <v>1</v>
      </c>
      <c r="F2597" s="270" t="s">
        <v>944</v>
      </c>
      <c r="G2597" s="270" t="s">
        <v>3926</v>
      </c>
      <c r="H2597" s="270" t="s">
        <v>6981</v>
      </c>
      <c r="I2597" s="270" t="s">
        <v>956</v>
      </c>
      <c r="J2597" s="270" t="s">
        <v>3928</v>
      </c>
      <c r="K2597" s="270">
        <v>6614</v>
      </c>
      <c r="L2597" s="270">
        <v>81000</v>
      </c>
      <c r="M2597" s="270" t="s">
        <v>3940</v>
      </c>
      <c r="N2597" s="270" t="s">
        <v>3944</v>
      </c>
      <c r="O2597" s="270">
        <v>1394.12</v>
      </c>
      <c r="P2597" s="270" t="s">
        <v>3944</v>
      </c>
      <c r="Q2597" s="270" t="s">
        <v>3944</v>
      </c>
      <c r="R2597" s="270">
        <v>1394.12</v>
      </c>
      <c r="S2597" s="270">
        <v>23606.799999999999</v>
      </c>
      <c r="T2597" s="270">
        <v>25000.92</v>
      </c>
      <c r="U2597" s="271" t="s">
        <v>3945</v>
      </c>
      <c r="V2597" s="267" t="s">
        <v>944</v>
      </c>
    </row>
    <row r="2598" spans="1:22" hidden="1" x14ac:dyDescent="0.25">
      <c r="A2598" s="266">
        <v>43606</v>
      </c>
      <c r="B2598" s="267">
        <v>2019</v>
      </c>
      <c r="C2598" s="267">
        <v>2019</v>
      </c>
      <c r="D2598" s="267">
        <v>1</v>
      </c>
      <c r="E2598" s="267">
        <v>1</v>
      </c>
      <c r="F2598" s="267" t="s">
        <v>944</v>
      </c>
      <c r="G2598" s="267" t="s">
        <v>3926</v>
      </c>
      <c r="H2598" s="267" t="s">
        <v>6982</v>
      </c>
      <c r="I2598" s="267" t="s">
        <v>3008</v>
      </c>
      <c r="J2598" s="267" t="s">
        <v>3928</v>
      </c>
      <c r="K2598" s="267">
        <v>6460</v>
      </c>
      <c r="L2598" s="267">
        <v>150400</v>
      </c>
      <c r="M2598" s="267" t="s">
        <v>3940</v>
      </c>
      <c r="N2598" s="267" t="s">
        <v>3944</v>
      </c>
      <c r="O2598" s="267">
        <v>1203.51</v>
      </c>
      <c r="P2598" s="267" t="s">
        <v>3944</v>
      </c>
      <c r="Q2598" s="267" t="s">
        <v>3944</v>
      </c>
      <c r="R2598" s="267">
        <v>1203.51</v>
      </c>
      <c r="S2598" s="267">
        <v>20715.07</v>
      </c>
      <c r="T2598" s="267">
        <v>21918.58</v>
      </c>
      <c r="U2598" s="268" t="s">
        <v>3945</v>
      </c>
      <c r="V2598" s="267" t="s">
        <v>944</v>
      </c>
    </row>
    <row r="2599" spans="1:22" hidden="1" x14ac:dyDescent="0.25">
      <c r="A2599" s="269">
        <v>43606</v>
      </c>
      <c r="B2599" s="270">
        <v>2019</v>
      </c>
      <c r="C2599" s="270">
        <v>2019</v>
      </c>
      <c r="D2599" s="270">
        <v>1</v>
      </c>
      <c r="E2599" s="270">
        <v>1</v>
      </c>
      <c r="F2599" s="270" t="s">
        <v>944</v>
      </c>
      <c r="G2599" s="270" t="s">
        <v>3926</v>
      </c>
      <c r="H2599" s="270" t="s">
        <v>6983</v>
      </c>
      <c r="I2599" s="270" t="s">
        <v>4392</v>
      </c>
      <c r="J2599" s="270" t="s">
        <v>3928</v>
      </c>
      <c r="K2599" s="270">
        <v>6457</v>
      </c>
      <c r="L2599" s="270">
        <v>542000</v>
      </c>
      <c r="M2599" s="270" t="s">
        <v>3935</v>
      </c>
      <c r="N2599" s="270" t="s">
        <v>3944</v>
      </c>
      <c r="O2599" s="270">
        <v>1490.34</v>
      </c>
      <c r="P2599" s="270" t="s">
        <v>3944</v>
      </c>
      <c r="Q2599" s="270" t="s">
        <v>3944</v>
      </c>
      <c r="R2599" s="270">
        <v>1490.34</v>
      </c>
      <c r="S2599" s="270">
        <v>20102.05</v>
      </c>
      <c r="T2599" s="270">
        <v>21592.39</v>
      </c>
      <c r="U2599" s="271" t="s">
        <v>3945</v>
      </c>
      <c r="V2599" s="267" t="s">
        <v>944</v>
      </c>
    </row>
    <row r="2600" spans="1:22" hidden="1" x14ac:dyDescent="0.25">
      <c r="A2600" s="266">
        <v>43606</v>
      </c>
      <c r="B2600" s="267">
        <v>2019</v>
      </c>
      <c r="C2600" s="267">
        <v>2019</v>
      </c>
      <c r="D2600" s="267">
        <v>1</v>
      </c>
      <c r="E2600" s="267">
        <v>1</v>
      </c>
      <c r="F2600" s="267" t="s">
        <v>944</v>
      </c>
      <c r="G2600" s="267" t="s">
        <v>3926</v>
      </c>
      <c r="H2600" s="267" t="s">
        <v>6984</v>
      </c>
      <c r="I2600" s="267" t="s">
        <v>4235</v>
      </c>
      <c r="J2600" s="267" t="s">
        <v>3928</v>
      </c>
      <c r="K2600" s="267">
        <v>6066</v>
      </c>
      <c r="L2600" s="267">
        <v>530200</v>
      </c>
      <c r="M2600" s="267">
        <v>-60</v>
      </c>
      <c r="N2600" s="267" t="s">
        <v>3944</v>
      </c>
      <c r="O2600" s="267">
        <v>979.34</v>
      </c>
      <c r="P2600" s="267" t="s">
        <v>3944</v>
      </c>
      <c r="Q2600" s="267" t="s">
        <v>3944</v>
      </c>
      <c r="R2600" s="267">
        <v>979.34</v>
      </c>
      <c r="S2600" s="267">
        <v>30611.3</v>
      </c>
      <c r="T2600" s="267">
        <v>31590.639999999999</v>
      </c>
      <c r="U2600" s="268" t="s">
        <v>3945</v>
      </c>
      <c r="V2600" s="267" t="s">
        <v>944</v>
      </c>
    </row>
    <row r="2601" spans="1:22" hidden="1" x14ac:dyDescent="0.25">
      <c r="A2601" s="269">
        <v>43606</v>
      </c>
      <c r="B2601" s="270">
        <v>2019</v>
      </c>
      <c r="C2601" s="270">
        <v>2019</v>
      </c>
      <c r="D2601" s="270">
        <v>1</v>
      </c>
      <c r="E2601" s="270">
        <v>1</v>
      </c>
      <c r="F2601" s="270" t="s">
        <v>944</v>
      </c>
      <c r="G2601" s="270" t="s">
        <v>3926</v>
      </c>
      <c r="H2601" s="270" t="s">
        <v>6985</v>
      </c>
      <c r="I2601" s="270" t="s">
        <v>4422</v>
      </c>
      <c r="J2601" s="270" t="s">
        <v>3928</v>
      </c>
      <c r="K2601" s="270">
        <v>6801</v>
      </c>
      <c r="L2601" s="270">
        <v>200301</v>
      </c>
      <c r="M2601" s="270" t="s">
        <v>3943</v>
      </c>
      <c r="N2601" s="270" t="s">
        <v>3944</v>
      </c>
      <c r="O2601" s="270">
        <v>2809.8</v>
      </c>
      <c r="P2601" s="270" t="s">
        <v>3944</v>
      </c>
      <c r="Q2601" s="270" t="s">
        <v>3944</v>
      </c>
      <c r="R2601" s="270">
        <v>2809.8</v>
      </c>
      <c r="S2601" s="270">
        <v>38470.11</v>
      </c>
      <c r="T2601" s="270">
        <v>41279.910000000003</v>
      </c>
      <c r="U2601" s="271" t="s">
        <v>3945</v>
      </c>
      <c r="V2601" s="267" t="s">
        <v>944</v>
      </c>
    </row>
    <row r="2602" spans="1:22" hidden="1" x14ac:dyDescent="0.25">
      <c r="A2602" s="266">
        <v>43606</v>
      </c>
      <c r="B2602" s="267">
        <v>2019</v>
      </c>
      <c r="C2602" s="267">
        <v>2019</v>
      </c>
      <c r="D2602" s="267">
        <v>1</v>
      </c>
      <c r="E2602" s="267">
        <v>1</v>
      </c>
      <c r="F2602" s="267" t="s">
        <v>944</v>
      </c>
      <c r="G2602" s="267" t="s">
        <v>3926</v>
      </c>
      <c r="H2602" s="267" t="s">
        <v>6986</v>
      </c>
      <c r="I2602" s="267" t="s">
        <v>3008</v>
      </c>
      <c r="J2602" s="267" t="s">
        <v>3928</v>
      </c>
      <c r="K2602" s="267">
        <v>6460</v>
      </c>
      <c r="L2602" s="267">
        <v>150300</v>
      </c>
      <c r="M2602" s="267" t="s">
        <v>3960</v>
      </c>
      <c r="N2602" s="267" t="s">
        <v>3944</v>
      </c>
      <c r="O2602" s="267">
        <v>1540.14</v>
      </c>
      <c r="P2602" s="267" t="s">
        <v>3944</v>
      </c>
      <c r="Q2602" s="267" t="s">
        <v>3944</v>
      </c>
      <c r="R2602" s="267">
        <v>1540.14</v>
      </c>
      <c r="S2602" s="267">
        <v>26431.86</v>
      </c>
      <c r="T2602" s="267">
        <v>27972</v>
      </c>
      <c r="U2602" s="268" t="s">
        <v>3945</v>
      </c>
      <c r="V2602" s="267" t="s">
        <v>944</v>
      </c>
    </row>
    <row r="2603" spans="1:22" hidden="1" x14ac:dyDescent="0.25">
      <c r="A2603" s="269">
        <v>43606</v>
      </c>
      <c r="B2603" s="270">
        <v>2019</v>
      </c>
      <c r="C2603" s="270">
        <v>2019</v>
      </c>
      <c r="D2603" s="270">
        <v>1</v>
      </c>
      <c r="E2603" s="270">
        <v>1</v>
      </c>
      <c r="F2603" s="270" t="s">
        <v>944</v>
      </c>
      <c r="G2603" s="270" t="s">
        <v>3926</v>
      </c>
      <c r="H2603" s="270" t="s">
        <v>6987</v>
      </c>
      <c r="I2603" s="270" t="s">
        <v>3962</v>
      </c>
      <c r="J2603" s="270" t="s">
        <v>3928</v>
      </c>
      <c r="K2603" s="270">
        <v>6379</v>
      </c>
      <c r="L2603" s="270">
        <v>705101</v>
      </c>
      <c r="M2603" s="270" t="s">
        <v>3935</v>
      </c>
      <c r="N2603" s="270" t="s">
        <v>3944</v>
      </c>
      <c r="O2603" s="270">
        <v>1727.39</v>
      </c>
      <c r="P2603" s="270" t="s">
        <v>3944</v>
      </c>
      <c r="Q2603" s="270" t="s">
        <v>3944</v>
      </c>
      <c r="R2603" s="270">
        <v>1727.39</v>
      </c>
      <c r="S2603" s="270">
        <v>21667.21</v>
      </c>
      <c r="T2603" s="270">
        <v>23394.6</v>
      </c>
      <c r="U2603" s="271" t="s">
        <v>3945</v>
      </c>
      <c r="V2603" s="267" t="s">
        <v>944</v>
      </c>
    </row>
    <row r="2604" spans="1:22" hidden="1" x14ac:dyDescent="0.25">
      <c r="A2604" s="266">
        <v>43606</v>
      </c>
      <c r="B2604" s="267">
        <v>2019</v>
      </c>
      <c r="C2604" s="267">
        <v>2019</v>
      </c>
      <c r="D2604" s="267">
        <v>1</v>
      </c>
      <c r="E2604" s="267">
        <v>1</v>
      </c>
      <c r="F2604" s="267" t="s">
        <v>944</v>
      </c>
      <c r="G2604" s="267" t="s">
        <v>3926</v>
      </c>
      <c r="H2604" s="267" t="s">
        <v>6988</v>
      </c>
      <c r="I2604" s="267" t="s">
        <v>3008</v>
      </c>
      <c r="J2604" s="267" t="s">
        <v>3928</v>
      </c>
      <c r="K2604" s="267">
        <v>6460</v>
      </c>
      <c r="L2604" s="267">
        <v>151100</v>
      </c>
      <c r="M2604" s="267" t="s">
        <v>3960</v>
      </c>
      <c r="N2604" s="267" t="s">
        <v>3944</v>
      </c>
      <c r="O2604" s="267">
        <v>1350.37</v>
      </c>
      <c r="P2604" s="267" t="s">
        <v>3944</v>
      </c>
      <c r="Q2604" s="267" t="s">
        <v>3944</v>
      </c>
      <c r="R2604" s="267">
        <v>1350.37</v>
      </c>
      <c r="S2604" s="267">
        <v>20175.169999999998</v>
      </c>
      <c r="T2604" s="267">
        <v>21525.54</v>
      </c>
      <c r="U2604" s="268" t="s">
        <v>3945</v>
      </c>
      <c r="V2604" s="267" t="s">
        <v>944</v>
      </c>
    </row>
    <row r="2605" spans="1:22" hidden="1" x14ac:dyDescent="0.25">
      <c r="A2605" s="269">
        <v>43606</v>
      </c>
      <c r="B2605" s="270">
        <v>2019</v>
      </c>
      <c r="C2605" s="270">
        <v>2019</v>
      </c>
      <c r="D2605" s="270">
        <v>1</v>
      </c>
      <c r="E2605" s="270">
        <v>1</v>
      </c>
      <c r="F2605" s="270" t="s">
        <v>944</v>
      </c>
      <c r="G2605" s="270" t="s">
        <v>3926</v>
      </c>
      <c r="H2605" s="270" t="s">
        <v>6989</v>
      </c>
      <c r="I2605" s="270" t="s">
        <v>4037</v>
      </c>
      <c r="J2605" s="270" t="s">
        <v>3928</v>
      </c>
      <c r="K2605" s="270">
        <v>6811</v>
      </c>
      <c r="L2605" s="270">
        <v>211300</v>
      </c>
      <c r="M2605" s="270" t="s">
        <v>3943</v>
      </c>
      <c r="N2605" s="270" t="s">
        <v>3944</v>
      </c>
      <c r="O2605" s="270">
        <v>1162.67</v>
      </c>
      <c r="P2605" s="270" t="s">
        <v>3944</v>
      </c>
      <c r="Q2605" s="270" t="s">
        <v>3944</v>
      </c>
      <c r="R2605" s="270">
        <v>1162.67</v>
      </c>
      <c r="S2605" s="270">
        <v>14767.33</v>
      </c>
      <c r="T2605" s="270">
        <v>15930</v>
      </c>
      <c r="U2605" s="271" t="s">
        <v>3945</v>
      </c>
      <c r="V2605" s="267" t="s">
        <v>944</v>
      </c>
    </row>
    <row r="2606" spans="1:22" hidden="1" x14ac:dyDescent="0.25">
      <c r="A2606" s="266">
        <v>43606</v>
      </c>
      <c r="B2606" s="267">
        <v>2019</v>
      </c>
      <c r="C2606" s="267">
        <v>2019</v>
      </c>
      <c r="D2606" s="267">
        <v>1</v>
      </c>
      <c r="E2606" s="267">
        <v>1</v>
      </c>
      <c r="F2606" s="267" t="s">
        <v>944</v>
      </c>
      <c r="G2606" s="267" t="s">
        <v>3926</v>
      </c>
      <c r="H2606" s="267" t="s">
        <v>6990</v>
      </c>
      <c r="I2606" s="267" t="s">
        <v>4011</v>
      </c>
      <c r="J2606" s="267" t="s">
        <v>3928</v>
      </c>
      <c r="K2606" s="267">
        <v>6002</v>
      </c>
      <c r="L2606" s="267">
        <v>471400</v>
      </c>
      <c r="M2606" s="267" t="s">
        <v>3943</v>
      </c>
      <c r="N2606" s="267" t="s">
        <v>3944</v>
      </c>
      <c r="O2606" s="267">
        <v>4054.4</v>
      </c>
      <c r="P2606" s="267" t="s">
        <v>3944</v>
      </c>
      <c r="Q2606" s="267" t="s">
        <v>3944</v>
      </c>
      <c r="R2606" s="267">
        <v>4054.4</v>
      </c>
      <c r="S2606" s="267">
        <v>54792.42</v>
      </c>
      <c r="T2606" s="267">
        <v>58846.82</v>
      </c>
      <c r="U2606" s="268" t="s">
        <v>3945</v>
      </c>
      <c r="V2606" s="267" t="s">
        <v>944</v>
      </c>
    </row>
    <row r="2607" spans="1:22" hidden="1" x14ac:dyDescent="0.25">
      <c r="A2607" s="269">
        <v>43606</v>
      </c>
      <c r="B2607" s="270">
        <v>2019</v>
      </c>
      <c r="C2607" s="270">
        <v>2019</v>
      </c>
      <c r="D2607" s="270">
        <v>1</v>
      </c>
      <c r="E2607" s="270">
        <v>1</v>
      </c>
      <c r="F2607" s="270" t="s">
        <v>944</v>
      </c>
      <c r="G2607" s="270" t="s">
        <v>3926</v>
      </c>
      <c r="H2607" s="270" t="s">
        <v>6991</v>
      </c>
      <c r="I2607" s="270" t="s">
        <v>3975</v>
      </c>
      <c r="J2607" s="270" t="s">
        <v>3928</v>
      </c>
      <c r="K2607" s="270">
        <v>6479</v>
      </c>
      <c r="L2607" s="270">
        <v>430500</v>
      </c>
      <c r="M2607" s="270" t="s">
        <v>3943</v>
      </c>
      <c r="N2607" s="270" t="s">
        <v>3944</v>
      </c>
      <c r="O2607" s="270">
        <v>1866.76</v>
      </c>
      <c r="P2607" s="270" t="s">
        <v>3944</v>
      </c>
      <c r="Q2607" s="270" t="s">
        <v>3944</v>
      </c>
      <c r="R2607" s="270">
        <v>1866.76</v>
      </c>
      <c r="S2607" s="270">
        <v>28850.66</v>
      </c>
      <c r="T2607" s="270">
        <v>30717.42</v>
      </c>
      <c r="U2607" s="271" t="s">
        <v>3945</v>
      </c>
      <c r="V2607" s="267" t="s">
        <v>944</v>
      </c>
    </row>
    <row r="2608" spans="1:22" hidden="1" x14ac:dyDescent="0.25">
      <c r="A2608" s="266">
        <v>43607</v>
      </c>
      <c r="B2608" s="267">
        <v>2019</v>
      </c>
      <c r="C2608" s="267">
        <v>2019</v>
      </c>
      <c r="D2608" s="267">
        <v>1</v>
      </c>
      <c r="E2608" s="267">
        <v>1</v>
      </c>
      <c r="F2608" s="267" t="s">
        <v>944</v>
      </c>
      <c r="G2608" s="267" t="s">
        <v>3926</v>
      </c>
      <c r="H2608" s="267" t="s">
        <v>6992</v>
      </c>
      <c r="I2608" s="267" t="s">
        <v>3968</v>
      </c>
      <c r="J2608" s="267" t="s">
        <v>3928</v>
      </c>
      <c r="K2608" s="267">
        <v>6042</v>
      </c>
      <c r="L2608" s="267">
        <v>514102</v>
      </c>
      <c r="M2608" s="267" t="s">
        <v>3935</v>
      </c>
      <c r="N2608" s="267" t="s">
        <v>6993</v>
      </c>
      <c r="O2608" s="267">
        <v>0</v>
      </c>
      <c r="P2608" s="267" t="s">
        <v>3930</v>
      </c>
      <c r="Q2608" s="267" t="s">
        <v>3930</v>
      </c>
      <c r="R2608" s="267">
        <v>0</v>
      </c>
      <c r="S2608" s="267">
        <v>6780</v>
      </c>
      <c r="T2608" s="267">
        <v>6780</v>
      </c>
      <c r="U2608" s="268" t="s">
        <v>3937</v>
      </c>
      <c r="V2608" s="267" t="s">
        <v>944</v>
      </c>
    </row>
    <row r="2609" spans="1:22" hidden="1" x14ac:dyDescent="0.25">
      <c r="A2609" s="269">
        <v>43607</v>
      </c>
      <c r="B2609" s="270">
        <v>2019</v>
      </c>
      <c r="C2609" s="270">
        <v>2019</v>
      </c>
      <c r="D2609" s="270">
        <v>1</v>
      </c>
      <c r="E2609" s="270">
        <v>1</v>
      </c>
      <c r="F2609" s="270" t="s">
        <v>944</v>
      </c>
      <c r="G2609" s="270" t="s">
        <v>3926</v>
      </c>
      <c r="H2609" s="270" t="s">
        <v>6994</v>
      </c>
      <c r="I2609" s="270" t="s">
        <v>3999</v>
      </c>
      <c r="J2609" s="270" t="s">
        <v>3928</v>
      </c>
      <c r="K2609" s="270">
        <v>6450</v>
      </c>
      <c r="L2609" s="270">
        <v>171100</v>
      </c>
      <c r="M2609" s="270" t="s">
        <v>3940</v>
      </c>
      <c r="N2609" s="270" t="s">
        <v>6995</v>
      </c>
      <c r="O2609" s="270">
        <v>0</v>
      </c>
      <c r="P2609" s="270" t="s">
        <v>3930</v>
      </c>
      <c r="Q2609" s="270" t="s">
        <v>3930</v>
      </c>
      <c r="R2609" s="270">
        <v>0</v>
      </c>
      <c r="S2609" s="270">
        <v>9286.7999999999993</v>
      </c>
      <c r="T2609" s="270">
        <v>9286.7999999999993</v>
      </c>
      <c r="U2609" s="271" t="s">
        <v>3937</v>
      </c>
      <c r="V2609" s="267" t="s">
        <v>944</v>
      </c>
    </row>
    <row r="2610" spans="1:22" hidden="1" x14ac:dyDescent="0.25">
      <c r="A2610" s="266">
        <v>43607</v>
      </c>
      <c r="B2610" s="267">
        <v>2019</v>
      </c>
      <c r="C2610" s="267">
        <v>2019</v>
      </c>
      <c r="D2610" s="267">
        <v>1</v>
      </c>
      <c r="E2610" s="267">
        <v>1</v>
      </c>
      <c r="F2610" s="267" t="s">
        <v>944</v>
      </c>
      <c r="G2610" s="267" t="s">
        <v>3926</v>
      </c>
      <c r="H2610" s="267" t="s">
        <v>6996</v>
      </c>
      <c r="I2610" s="267" t="s">
        <v>3962</v>
      </c>
      <c r="J2610" s="267" t="s">
        <v>3928</v>
      </c>
      <c r="K2610" s="267">
        <v>6379</v>
      </c>
      <c r="L2610" s="267">
        <v>705102</v>
      </c>
      <c r="M2610" s="267" t="s">
        <v>3940</v>
      </c>
      <c r="N2610" s="267" t="s">
        <v>6997</v>
      </c>
      <c r="O2610" s="267">
        <v>0</v>
      </c>
      <c r="P2610" s="267" t="s">
        <v>3930</v>
      </c>
      <c r="Q2610" s="267" t="s">
        <v>3930</v>
      </c>
      <c r="R2610" s="267">
        <v>0</v>
      </c>
      <c r="S2610" s="267">
        <v>11995</v>
      </c>
      <c r="T2610" s="267">
        <v>11995</v>
      </c>
      <c r="U2610" s="268" t="s">
        <v>3937</v>
      </c>
      <c r="V2610" s="267" t="s">
        <v>944</v>
      </c>
    </row>
    <row r="2611" spans="1:22" hidden="1" x14ac:dyDescent="0.25">
      <c r="A2611" s="269">
        <v>43607</v>
      </c>
      <c r="B2611" s="270">
        <v>2019</v>
      </c>
      <c r="C2611" s="270">
        <v>2019</v>
      </c>
      <c r="D2611" s="270">
        <v>1</v>
      </c>
      <c r="E2611" s="270">
        <v>1</v>
      </c>
      <c r="F2611" s="270" t="s">
        <v>944</v>
      </c>
      <c r="G2611" s="270" t="s">
        <v>3926</v>
      </c>
      <c r="H2611" s="270" t="s">
        <v>6998</v>
      </c>
      <c r="I2611" s="270" t="s">
        <v>4323</v>
      </c>
      <c r="J2611" s="270" t="s">
        <v>3928</v>
      </c>
      <c r="K2611" s="270">
        <v>6385</v>
      </c>
      <c r="L2611" s="270">
        <v>693300</v>
      </c>
      <c r="M2611" s="270" t="s">
        <v>3935</v>
      </c>
      <c r="N2611" s="270" t="s">
        <v>6999</v>
      </c>
      <c r="O2611" s="270">
        <v>0</v>
      </c>
      <c r="P2611" s="270" t="s">
        <v>3930</v>
      </c>
      <c r="Q2611" s="270" t="s">
        <v>3930</v>
      </c>
      <c r="R2611" s="270">
        <v>0</v>
      </c>
      <c r="S2611" s="270">
        <v>7895.1</v>
      </c>
      <c r="T2611" s="270">
        <v>7895.1</v>
      </c>
      <c r="U2611" s="271" t="s">
        <v>3937</v>
      </c>
      <c r="V2611" s="267" t="s">
        <v>944</v>
      </c>
    </row>
    <row r="2612" spans="1:22" hidden="1" x14ac:dyDescent="0.25">
      <c r="A2612" s="266">
        <v>43607</v>
      </c>
      <c r="B2612" s="267">
        <v>2019</v>
      </c>
      <c r="C2612" s="267">
        <v>2019</v>
      </c>
      <c r="D2612" s="267">
        <v>1</v>
      </c>
      <c r="E2612" s="267">
        <v>1</v>
      </c>
      <c r="F2612" s="267" t="s">
        <v>944</v>
      </c>
      <c r="G2612" s="267" t="s">
        <v>3926</v>
      </c>
      <c r="H2612" s="267" t="s">
        <v>7000</v>
      </c>
      <c r="I2612" s="267" t="s">
        <v>3968</v>
      </c>
      <c r="J2612" s="267" t="s">
        <v>3928</v>
      </c>
      <c r="K2612" s="267">
        <v>6042</v>
      </c>
      <c r="L2612" s="267">
        <v>514900</v>
      </c>
      <c r="M2612" s="267" t="s">
        <v>3960</v>
      </c>
      <c r="N2612" s="267" t="s">
        <v>7001</v>
      </c>
      <c r="O2612" s="267">
        <v>0</v>
      </c>
      <c r="P2612" s="267" t="s">
        <v>3930</v>
      </c>
      <c r="Q2612" s="267" t="s">
        <v>3930</v>
      </c>
      <c r="R2612" s="267">
        <v>0</v>
      </c>
      <c r="S2612" s="267">
        <v>12496.13</v>
      </c>
      <c r="T2612" s="267">
        <v>12496.13</v>
      </c>
      <c r="U2612" s="268" t="s">
        <v>3937</v>
      </c>
      <c r="V2612" s="267" t="s">
        <v>944</v>
      </c>
    </row>
    <row r="2613" spans="1:22" hidden="1" x14ac:dyDescent="0.25">
      <c r="A2613" s="269">
        <v>43607</v>
      </c>
      <c r="B2613" s="270">
        <v>2019</v>
      </c>
      <c r="C2613" s="270">
        <v>2019</v>
      </c>
      <c r="D2613" s="270">
        <v>1</v>
      </c>
      <c r="E2613" s="270">
        <v>1</v>
      </c>
      <c r="F2613" s="270" t="s">
        <v>944</v>
      </c>
      <c r="G2613" s="270" t="s">
        <v>3926</v>
      </c>
      <c r="H2613" s="270" t="s">
        <v>7002</v>
      </c>
      <c r="I2613" s="270" t="s">
        <v>956</v>
      </c>
      <c r="J2613" s="270" t="s">
        <v>3928</v>
      </c>
      <c r="K2613" s="270">
        <v>6615</v>
      </c>
      <c r="L2613" s="270">
        <v>80400</v>
      </c>
      <c r="M2613" s="270" t="s">
        <v>3940</v>
      </c>
      <c r="N2613" s="270" t="s">
        <v>4714</v>
      </c>
      <c r="O2613" s="270">
        <v>1568.11</v>
      </c>
      <c r="P2613" s="270" t="s">
        <v>3930</v>
      </c>
      <c r="Q2613" s="270" t="s">
        <v>3931</v>
      </c>
      <c r="R2613" s="270">
        <v>6568.11</v>
      </c>
      <c r="S2613" s="270">
        <v>24518.2</v>
      </c>
      <c r="T2613" s="270">
        <v>31086.31</v>
      </c>
      <c r="U2613" s="271" t="s">
        <v>3932</v>
      </c>
      <c r="V2613" s="267" t="s">
        <v>944</v>
      </c>
    </row>
    <row r="2614" spans="1:22" hidden="1" x14ac:dyDescent="0.25">
      <c r="A2614" s="266">
        <v>43607</v>
      </c>
      <c r="B2614" s="267">
        <v>2019</v>
      </c>
      <c r="C2614" s="267">
        <v>2019</v>
      </c>
      <c r="D2614" s="267">
        <v>1</v>
      </c>
      <c r="E2614" s="267">
        <v>1</v>
      </c>
      <c r="F2614" s="267" t="s">
        <v>944</v>
      </c>
      <c r="G2614" s="267" t="s">
        <v>3926</v>
      </c>
      <c r="H2614" s="267" t="s">
        <v>7003</v>
      </c>
      <c r="I2614" s="267" t="s">
        <v>3008</v>
      </c>
      <c r="J2614" s="267" t="s">
        <v>3928</v>
      </c>
      <c r="K2614" s="267">
        <v>6460</v>
      </c>
      <c r="L2614" s="267">
        <v>150900</v>
      </c>
      <c r="M2614" s="267" t="s">
        <v>3943</v>
      </c>
      <c r="N2614" s="267" t="s">
        <v>5313</v>
      </c>
      <c r="O2614" s="267">
        <v>6655</v>
      </c>
      <c r="P2614" s="267" t="s">
        <v>3930</v>
      </c>
      <c r="Q2614" s="267" t="s">
        <v>3930</v>
      </c>
      <c r="R2614" s="267">
        <v>6655</v>
      </c>
      <c r="S2614" s="267">
        <v>44841</v>
      </c>
      <c r="T2614" s="267">
        <v>51496</v>
      </c>
      <c r="U2614" s="268" t="s">
        <v>3937</v>
      </c>
      <c r="V2614" s="267" t="s">
        <v>944</v>
      </c>
    </row>
    <row r="2615" spans="1:22" hidden="1" x14ac:dyDescent="0.25">
      <c r="A2615" s="269">
        <v>43607</v>
      </c>
      <c r="B2615" s="270">
        <v>2019</v>
      </c>
      <c r="C2615" s="270">
        <v>2019</v>
      </c>
      <c r="D2615" s="270">
        <v>1</v>
      </c>
      <c r="E2615" s="270">
        <v>1</v>
      </c>
      <c r="F2615" s="270" t="s">
        <v>944</v>
      </c>
      <c r="G2615" s="270" t="s">
        <v>3926</v>
      </c>
      <c r="H2615" s="270" t="s">
        <v>7004</v>
      </c>
      <c r="I2615" s="270" t="s">
        <v>3011</v>
      </c>
      <c r="J2615" s="270" t="s">
        <v>3928</v>
      </c>
      <c r="K2615" s="270">
        <v>6418</v>
      </c>
      <c r="L2615" s="270">
        <v>120200</v>
      </c>
      <c r="M2615" s="270">
        <v>-60</v>
      </c>
      <c r="N2615" s="270" t="s">
        <v>3944</v>
      </c>
      <c r="O2615" s="270">
        <v>2268</v>
      </c>
      <c r="P2615" s="270" t="s">
        <v>3944</v>
      </c>
      <c r="Q2615" s="270" t="s">
        <v>3944</v>
      </c>
      <c r="R2615" s="270">
        <v>2268</v>
      </c>
      <c r="S2615" s="270">
        <v>16612</v>
      </c>
      <c r="T2615" s="270">
        <v>18880</v>
      </c>
      <c r="U2615" s="271" t="s">
        <v>3945</v>
      </c>
      <c r="V2615" s="267" t="s">
        <v>944</v>
      </c>
    </row>
    <row r="2616" spans="1:22" hidden="1" x14ac:dyDescent="0.25">
      <c r="A2616" s="266">
        <v>43607</v>
      </c>
      <c r="B2616" s="267">
        <v>2019</v>
      </c>
      <c r="C2616" s="267">
        <v>2019</v>
      </c>
      <c r="D2616" s="267">
        <v>1</v>
      </c>
      <c r="E2616" s="267">
        <v>1</v>
      </c>
      <c r="F2616" s="267" t="s">
        <v>944</v>
      </c>
      <c r="G2616" s="267" t="s">
        <v>3926</v>
      </c>
      <c r="H2616" s="267" t="s">
        <v>7005</v>
      </c>
      <c r="I2616" s="267" t="s">
        <v>4374</v>
      </c>
      <c r="J2616" s="267" t="s">
        <v>3928</v>
      </c>
      <c r="K2616" s="267">
        <v>6438</v>
      </c>
      <c r="L2616" s="267">
        <v>590100</v>
      </c>
      <c r="M2616" s="267" t="s">
        <v>3943</v>
      </c>
      <c r="N2616" s="267" t="s">
        <v>3944</v>
      </c>
      <c r="O2616" s="267">
        <v>3342</v>
      </c>
      <c r="P2616" s="267" t="s">
        <v>3944</v>
      </c>
      <c r="Q2616" s="267" t="s">
        <v>3944</v>
      </c>
      <c r="R2616" s="267">
        <v>3342</v>
      </c>
      <c r="S2616" s="267">
        <v>41203</v>
      </c>
      <c r="T2616" s="267">
        <v>44545</v>
      </c>
      <c r="U2616" s="268" t="s">
        <v>3945</v>
      </c>
      <c r="V2616" s="267" t="s">
        <v>944</v>
      </c>
    </row>
    <row r="2617" spans="1:22" hidden="1" x14ac:dyDescent="0.25">
      <c r="A2617" s="269">
        <v>43607</v>
      </c>
      <c r="B2617" s="270">
        <v>2019</v>
      </c>
      <c r="C2617" s="270">
        <v>2019</v>
      </c>
      <c r="D2617" s="270">
        <v>1</v>
      </c>
      <c r="E2617" s="270">
        <v>1</v>
      </c>
      <c r="F2617" s="270" t="s">
        <v>944</v>
      </c>
      <c r="G2617" s="270" t="s">
        <v>3926</v>
      </c>
      <c r="H2617" s="270" t="s">
        <v>7006</v>
      </c>
      <c r="I2617" s="270" t="s">
        <v>5631</v>
      </c>
      <c r="J2617" s="270" t="s">
        <v>3928</v>
      </c>
      <c r="K2617" s="270">
        <v>6058</v>
      </c>
      <c r="L2617" s="270">
        <v>425600</v>
      </c>
      <c r="M2617" s="270" t="s">
        <v>3935</v>
      </c>
      <c r="N2617" s="270" t="s">
        <v>3944</v>
      </c>
      <c r="O2617" s="270">
        <v>5429</v>
      </c>
      <c r="P2617" s="270" t="s">
        <v>3944</v>
      </c>
      <c r="Q2617" s="270" t="s">
        <v>3944</v>
      </c>
      <c r="R2617" s="270">
        <v>5429</v>
      </c>
      <c r="S2617" s="270">
        <v>36844</v>
      </c>
      <c r="T2617" s="270">
        <v>42273</v>
      </c>
      <c r="U2617" s="271" t="s">
        <v>3945</v>
      </c>
      <c r="V2617" s="267" t="s">
        <v>944</v>
      </c>
    </row>
    <row r="2618" spans="1:22" hidden="1" x14ac:dyDescent="0.25">
      <c r="A2618" s="266">
        <v>43607</v>
      </c>
      <c r="B2618" s="267">
        <v>2019</v>
      </c>
      <c r="C2618" s="267">
        <v>2019</v>
      </c>
      <c r="D2618" s="267">
        <v>1</v>
      </c>
      <c r="E2618" s="267">
        <v>1</v>
      </c>
      <c r="F2618" s="267" t="s">
        <v>944</v>
      </c>
      <c r="G2618" s="267" t="s">
        <v>3926</v>
      </c>
      <c r="H2618" s="267" t="s">
        <v>7007</v>
      </c>
      <c r="I2618" s="267" t="s">
        <v>6268</v>
      </c>
      <c r="J2618" s="267" t="s">
        <v>3928</v>
      </c>
      <c r="K2618" s="267">
        <v>6371</v>
      </c>
      <c r="L2618" s="267">
        <v>650100</v>
      </c>
      <c r="M2618" s="267" t="s">
        <v>3960</v>
      </c>
      <c r="N2618" s="267" t="s">
        <v>3944</v>
      </c>
      <c r="O2618" s="267">
        <v>5276</v>
      </c>
      <c r="P2618" s="267" t="s">
        <v>3944</v>
      </c>
      <c r="Q2618" s="267" t="s">
        <v>3944</v>
      </c>
      <c r="R2618" s="267">
        <v>5276</v>
      </c>
      <c r="S2618" s="267">
        <v>36900.78</v>
      </c>
      <c r="T2618" s="267">
        <v>42176.78</v>
      </c>
      <c r="U2618" s="268" t="s">
        <v>3945</v>
      </c>
      <c r="V2618" s="267" t="s">
        <v>944</v>
      </c>
    </row>
    <row r="2619" spans="1:22" hidden="1" x14ac:dyDescent="0.25">
      <c r="A2619" s="269">
        <v>43607</v>
      </c>
      <c r="B2619" s="270">
        <v>2019</v>
      </c>
      <c r="C2619" s="270">
        <v>2019</v>
      </c>
      <c r="D2619" s="270">
        <v>1</v>
      </c>
      <c r="E2619" s="270">
        <v>1</v>
      </c>
      <c r="F2619" s="270" t="s">
        <v>944</v>
      </c>
      <c r="G2619" s="270" t="s">
        <v>3926</v>
      </c>
      <c r="H2619" s="270" t="s">
        <v>7008</v>
      </c>
      <c r="I2619" s="270" t="s">
        <v>3964</v>
      </c>
      <c r="J2619" s="270" t="s">
        <v>3928</v>
      </c>
      <c r="K2619" s="270">
        <v>6033</v>
      </c>
      <c r="L2619" s="270">
        <v>520400</v>
      </c>
      <c r="M2619" s="270" t="s">
        <v>3943</v>
      </c>
      <c r="N2619" s="270" t="s">
        <v>3944</v>
      </c>
      <c r="O2619" s="270">
        <v>3157</v>
      </c>
      <c r="P2619" s="270" t="s">
        <v>3944</v>
      </c>
      <c r="Q2619" s="270" t="s">
        <v>3944</v>
      </c>
      <c r="R2619" s="270">
        <v>3157</v>
      </c>
      <c r="S2619" s="270">
        <v>34223.22</v>
      </c>
      <c r="T2619" s="270">
        <v>37380.22</v>
      </c>
      <c r="U2619" s="271" t="s">
        <v>3945</v>
      </c>
      <c r="V2619" s="267" t="s">
        <v>944</v>
      </c>
    </row>
    <row r="2620" spans="1:22" hidden="1" x14ac:dyDescent="0.25">
      <c r="A2620" s="266">
        <v>43607</v>
      </c>
      <c r="B2620" s="267">
        <v>2019</v>
      </c>
      <c r="C2620" s="267">
        <v>2019</v>
      </c>
      <c r="D2620" s="267">
        <v>1</v>
      </c>
      <c r="E2620" s="267">
        <v>1</v>
      </c>
      <c r="F2620" s="267" t="s">
        <v>944</v>
      </c>
      <c r="G2620" s="267" t="s">
        <v>3926</v>
      </c>
      <c r="H2620" s="267" t="s">
        <v>7009</v>
      </c>
      <c r="I2620" s="267" t="s">
        <v>950</v>
      </c>
      <c r="J2620" s="267" t="s">
        <v>3928</v>
      </c>
      <c r="K2620" s="267">
        <v>6516</v>
      </c>
      <c r="L2620" s="267">
        <v>154100</v>
      </c>
      <c r="M2620" s="267" t="s">
        <v>3940</v>
      </c>
      <c r="N2620" s="267" t="s">
        <v>3944</v>
      </c>
      <c r="O2620" s="267">
        <v>2318</v>
      </c>
      <c r="P2620" s="267" t="s">
        <v>3944</v>
      </c>
      <c r="Q2620" s="267" t="s">
        <v>3944</v>
      </c>
      <c r="R2620" s="267">
        <v>2318</v>
      </c>
      <c r="S2620" s="267">
        <v>25550</v>
      </c>
      <c r="T2620" s="267">
        <v>27868</v>
      </c>
      <c r="U2620" s="268" t="s">
        <v>3945</v>
      </c>
      <c r="V2620" s="267" t="s">
        <v>944</v>
      </c>
    </row>
    <row r="2621" spans="1:22" hidden="1" x14ac:dyDescent="0.25">
      <c r="A2621" s="269">
        <v>43607</v>
      </c>
      <c r="B2621" s="270">
        <v>2019</v>
      </c>
      <c r="C2621" s="270">
        <v>2019</v>
      </c>
      <c r="D2621" s="270">
        <v>1</v>
      </c>
      <c r="E2621" s="270">
        <v>1</v>
      </c>
      <c r="F2621" s="270" t="s">
        <v>944</v>
      </c>
      <c r="G2621" s="270" t="s">
        <v>3926</v>
      </c>
      <c r="H2621" s="270" t="s">
        <v>7010</v>
      </c>
      <c r="I2621" s="270" t="s">
        <v>4114</v>
      </c>
      <c r="J2621" s="270" t="s">
        <v>3928</v>
      </c>
      <c r="K2621" s="270">
        <v>6410</v>
      </c>
      <c r="L2621" s="270">
        <v>343300</v>
      </c>
      <c r="M2621" s="270" t="s">
        <v>3943</v>
      </c>
      <c r="N2621" s="270" t="s">
        <v>3944</v>
      </c>
      <c r="O2621" s="270">
        <v>5285</v>
      </c>
      <c r="P2621" s="270" t="s">
        <v>3944</v>
      </c>
      <c r="Q2621" s="270" t="s">
        <v>3944</v>
      </c>
      <c r="R2621" s="270">
        <v>5285</v>
      </c>
      <c r="S2621" s="270">
        <v>31945</v>
      </c>
      <c r="T2621" s="270">
        <v>37230</v>
      </c>
      <c r="U2621" s="271" t="s">
        <v>3945</v>
      </c>
      <c r="V2621" s="267" t="s">
        <v>944</v>
      </c>
    </row>
    <row r="2622" spans="1:22" hidden="1" x14ac:dyDescent="0.25">
      <c r="A2622" s="266">
        <v>43607</v>
      </c>
      <c r="B2622" s="267">
        <v>2019</v>
      </c>
      <c r="C2622" s="267">
        <v>2019</v>
      </c>
      <c r="D2622" s="267">
        <v>1</v>
      </c>
      <c r="E2622" s="267">
        <v>1</v>
      </c>
      <c r="F2622" s="267" t="s">
        <v>944</v>
      </c>
      <c r="G2622" s="267" t="s">
        <v>3926</v>
      </c>
      <c r="H2622" s="267" t="s">
        <v>7011</v>
      </c>
      <c r="I2622" s="267" t="s">
        <v>4269</v>
      </c>
      <c r="J2622" s="267" t="s">
        <v>3928</v>
      </c>
      <c r="K2622" s="267">
        <v>6117</v>
      </c>
      <c r="L2622" s="267">
        <v>497300</v>
      </c>
      <c r="M2622" s="267" t="s">
        <v>3943</v>
      </c>
      <c r="N2622" s="267" t="s">
        <v>3944</v>
      </c>
      <c r="O2622" s="267">
        <v>2843</v>
      </c>
      <c r="P2622" s="267" t="s">
        <v>3944</v>
      </c>
      <c r="Q2622" s="267" t="s">
        <v>3944</v>
      </c>
      <c r="R2622" s="267">
        <v>2843</v>
      </c>
      <c r="S2622" s="267">
        <v>24245.21</v>
      </c>
      <c r="T2622" s="267">
        <v>27088.21</v>
      </c>
      <c r="U2622" s="268" t="s">
        <v>3945</v>
      </c>
      <c r="V2622" s="267" t="s">
        <v>944</v>
      </c>
    </row>
    <row r="2623" spans="1:22" hidden="1" x14ac:dyDescent="0.25">
      <c r="A2623" s="269">
        <v>43607</v>
      </c>
      <c r="B2623" s="270">
        <v>2019</v>
      </c>
      <c r="C2623" s="270">
        <v>2019</v>
      </c>
      <c r="D2623" s="270">
        <v>1</v>
      </c>
      <c r="E2623" s="270">
        <v>1</v>
      </c>
      <c r="F2623" s="270" t="s">
        <v>944</v>
      </c>
      <c r="G2623" s="270" t="s">
        <v>3926</v>
      </c>
      <c r="H2623" s="270" t="s">
        <v>7012</v>
      </c>
      <c r="I2623" s="270" t="s">
        <v>4016</v>
      </c>
      <c r="J2623" s="270" t="s">
        <v>3928</v>
      </c>
      <c r="K2623" s="270">
        <v>6770</v>
      </c>
      <c r="L2623" s="270">
        <v>345201</v>
      </c>
      <c r="M2623" s="270" t="s">
        <v>3935</v>
      </c>
      <c r="N2623" s="270" t="s">
        <v>3944</v>
      </c>
      <c r="O2623" s="270">
        <v>4671</v>
      </c>
      <c r="P2623" s="270" t="s">
        <v>3944</v>
      </c>
      <c r="Q2623" s="270" t="s">
        <v>3944</v>
      </c>
      <c r="R2623" s="270">
        <v>4671</v>
      </c>
      <c r="S2623" s="270">
        <v>33989</v>
      </c>
      <c r="T2623" s="270">
        <v>38660</v>
      </c>
      <c r="U2623" s="271" t="s">
        <v>3945</v>
      </c>
      <c r="V2623" s="267" t="s">
        <v>944</v>
      </c>
    </row>
    <row r="2624" spans="1:22" hidden="1" x14ac:dyDescent="0.25">
      <c r="A2624" s="266">
        <v>43607</v>
      </c>
      <c r="B2624" s="267">
        <v>2019</v>
      </c>
      <c r="C2624" s="267">
        <v>2019</v>
      </c>
      <c r="D2624" s="267">
        <v>1</v>
      </c>
      <c r="E2624" s="267">
        <v>1</v>
      </c>
      <c r="F2624" s="267" t="s">
        <v>944</v>
      </c>
      <c r="G2624" s="267" t="s">
        <v>3926</v>
      </c>
      <c r="H2624" s="267" t="s">
        <v>7013</v>
      </c>
      <c r="I2624" s="267" t="s">
        <v>4461</v>
      </c>
      <c r="J2624" s="267" t="s">
        <v>3928</v>
      </c>
      <c r="K2624" s="267">
        <v>6878</v>
      </c>
      <c r="L2624" s="267">
        <v>10900</v>
      </c>
      <c r="M2624" s="267" t="s">
        <v>3943</v>
      </c>
      <c r="N2624" s="267" t="s">
        <v>3944</v>
      </c>
      <c r="O2624" s="267">
        <v>2723</v>
      </c>
      <c r="P2624" s="267" t="s">
        <v>3944</v>
      </c>
      <c r="Q2624" s="267" t="s">
        <v>3944</v>
      </c>
      <c r="R2624" s="267">
        <v>2723</v>
      </c>
      <c r="S2624" s="267">
        <v>39695.5</v>
      </c>
      <c r="T2624" s="267">
        <v>42418.5</v>
      </c>
      <c r="U2624" s="268" t="s">
        <v>3945</v>
      </c>
      <c r="V2624" s="267" t="s">
        <v>944</v>
      </c>
    </row>
    <row r="2625" spans="1:22" hidden="1" x14ac:dyDescent="0.25">
      <c r="A2625" s="269">
        <v>43607</v>
      </c>
      <c r="B2625" s="270">
        <v>2019</v>
      </c>
      <c r="C2625" s="270">
        <v>2019</v>
      </c>
      <c r="D2625" s="270">
        <v>1</v>
      </c>
      <c r="E2625" s="270">
        <v>1</v>
      </c>
      <c r="F2625" s="270" t="s">
        <v>944</v>
      </c>
      <c r="G2625" s="270" t="s">
        <v>3926</v>
      </c>
      <c r="H2625" s="270" t="s">
        <v>7014</v>
      </c>
      <c r="I2625" s="270" t="s">
        <v>3008</v>
      </c>
      <c r="J2625" s="270" t="s">
        <v>3928</v>
      </c>
      <c r="K2625" s="270">
        <v>6460</v>
      </c>
      <c r="L2625" s="270">
        <v>150200</v>
      </c>
      <c r="M2625" s="270" t="s">
        <v>3935</v>
      </c>
      <c r="N2625" s="270" t="s">
        <v>3944</v>
      </c>
      <c r="O2625" s="270">
        <v>3891</v>
      </c>
      <c r="P2625" s="270" t="s">
        <v>3944</v>
      </c>
      <c r="Q2625" s="270" t="s">
        <v>3944</v>
      </c>
      <c r="R2625" s="270">
        <v>3891</v>
      </c>
      <c r="S2625" s="270">
        <v>24290</v>
      </c>
      <c r="T2625" s="270">
        <v>28181</v>
      </c>
      <c r="U2625" s="271" t="s">
        <v>3945</v>
      </c>
      <c r="V2625" s="267" t="s">
        <v>944</v>
      </c>
    </row>
    <row r="2626" spans="1:22" hidden="1" x14ac:dyDescent="0.25">
      <c r="A2626" s="266">
        <v>43607</v>
      </c>
      <c r="B2626" s="267">
        <v>2019</v>
      </c>
      <c r="C2626" s="267">
        <v>2019</v>
      </c>
      <c r="D2626" s="267">
        <v>1</v>
      </c>
      <c r="E2626" s="267">
        <v>1</v>
      </c>
      <c r="F2626" s="267" t="s">
        <v>944</v>
      </c>
      <c r="G2626" s="267" t="s">
        <v>3926</v>
      </c>
      <c r="H2626" s="267" t="s">
        <v>7015</v>
      </c>
      <c r="I2626" s="267" t="s">
        <v>4244</v>
      </c>
      <c r="J2626" s="267" t="s">
        <v>3928</v>
      </c>
      <c r="K2626" s="267">
        <v>6268</v>
      </c>
      <c r="L2626" s="267">
        <v>881500</v>
      </c>
      <c r="M2626" s="267" t="s">
        <v>3940</v>
      </c>
      <c r="N2626" s="267" t="s">
        <v>3944</v>
      </c>
      <c r="O2626" s="267">
        <v>3367</v>
      </c>
      <c r="P2626" s="267" t="s">
        <v>3944</v>
      </c>
      <c r="Q2626" s="267" t="s">
        <v>3944</v>
      </c>
      <c r="R2626" s="267">
        <v>3367</v>
      </c>
      <c r="S2626" s="267">
        <v>39293</v>
      </c>
      <c r="T2626" s="267">
        <v>42660</v>
      </c>
      <c r="U2626" s="268" t="s">
        <v>3945</v>
      </c>
      <c r="V2626" s="267" t="s">
        <v>944</v>
      </c>
    </row>
    <row r="2627" spans="1:22" hidden="1" x14ac:dyDescent="0.25">
      <c r="A2627" s="269">
        <v>43607</v>
      </c>
      <c r="B2627" s="270">
        <v>2019</v>
      </c>
      <c r="C2627" s="270">
        <v>2019</v>
      </c>
      <c r="D2627" s="270">
        <v>1</v>
      </c>
      <c r="E2627" s="270">
        <v>1</v>
      </c>
      <c r="F2627" s="270" t="s">
        <v>944</v>
      </c>
      <c r="G2627" s="270" t="s">
        <v>3926</v>
      </c>
      <c r="H2627" s="270" t="s">
        <v>7016</v>
      </c>
      <c r="I2627" s="270" t="s">
        <v>4250</v>
      </c>
      <c r="J2627" s="270" t="s">
        <v>3928</v>
      </c>
      <c r="K2627" s="270">
        <v>6241</v>
      </c>
      <c r="L2627" s="270">
        <v>904100</v>
      </c>
      <c r="M2627" s="270" t="s">
        <v>3935</v>
      </c>
      <c r="N2627" s="270" t="s">
        <v>3944</v>
      </c>
      <c r="O2627" s="270">
        <v>4026</v>
      </c>
      <c r="P2627" s="270" t="s">
        <v>3944</v>
      </c>
      <c r="Q2627" s="270" t="s">
        <v>3944</v>
      </c>
      <c r="R2627" s="270">
        <v>4026</v>
      </c>
      <c r="S2627" s="270">
        <v>26654</v>
      </c>
      <c r="T2627" s="270">
        <v>30680</v>
      </c>
      <c r="U2627" s="271" t="s">
        <v>3945</v>
      </c>
      <c r="V2627" s="267" t="s">
        <v>944</v>
      </c>
    </row>
    <row r="2628" spans="1:22" hidden="1" x14ac:dyDescent="0.25">
      <c r="A2628" s="266">
        <v>43607</v>
      </c>
      <c r="B2628" s="267">
        <v>2019</v>
      </c>
      <c r="C2628" s="267">
        <v>2019</v>
      </c>
      <c r="D2628" s="267">
        <v>1</v>
      </c>
      <c r="E2628" s="267">
        <v>1</v>
      </c>
      <c r="F2628" s="267" t="s">
        <v>944</v>
      </c>
      <c r="G2628" s="267" t="s">
        <v>3926</v>
      </c>
      <c r="H2628" s="267" t="s">
        <v>7017</v>
      </c>
      <c r="I2628" s="267" t="s">
        <v>3025</v>
      </c>
      <c r="J2628" s="267" t="s">
        <v>3928</v>
      </c>
      <c r="K2628" s="267">
        <v>6473</v>
      </c>
      <c r="L2628" s="267">
        <v>167201</v>
      </c>
      <c r="M2628" s="267" t="s">
        <v>3960</v>
      </c>
      <c r="N2628" s="267" t="s">
        <v>3944</v>
      </c>
      <c r="O2628" s="267">
        <v>5868</v>
      </c>
      <c r="P2628" s="267" t="s">
        <v>3944</v>
      </c>
      <c r="Q2628" s="267" t="s">
        <v>3944</v>
      </c>
      <c r="R2628" s="267">
        <v>5868</v>
      </c>
      <c r="S2628" s="267">
        <v>35414</v>
      </c>
      <c r="T2628" s="267">
        <v>41282</v>
      </c>
      <c r="U2628" s="268" t="s">
        <v>3945</v>
      </c>
      <c r="V2628" s="267" t="s">
        <v>944</v>
      </c>
    </row>
    <row r="2629" spans="1:22" hidden="1" x14ac:dyDescent="0.25">
      <c r="A2629" s="269">
        <v>43607</v>
      </c>
      <c r="B2629" s="270">
        <v>2019</v>
      </c>
      <c r="C2629" s="270">
        <v>2019</v>
      </c>
      <c r="D2629" s="270">
        <v>1</v>
      </c>
      <c r="E2629" s="270">
        <v>1</v>
      </c>
      <c r="F2629" s="270" t="s">
        <v>944</v>
      </c>
      <c r="G2629" s="270" t="s">
        <v>3926</v>
      </c>
      <c r="H2629" s="270" t="s">
        <v>7018</v>
      </c>
      <c r="I2629" s="270" t="s">
        <v>4008</v>
      </c>
      <c r="J2629" s="270" t="s">
        <v>3928</v>
      </c>
      <c r="K2629" s="270">
        <v>6320</v>
      </c>
      <c r="L2629" s="270">
        <v>690700</v>
      </c>
      <c r="M2629" s="270">
        <v>-60</v>
      </c>
      <c r="N2629" s="270" t="s">
        <v>3944</v>
      </c>
      <c r="O2629" s="270">
        <v>2164</v>
      </c>
      <c r="P2629" s="270" t="s">
        <v>3944</v>
      </c>
      <c r="Q2629" s="270" t="s">
        <v>3944</v>
      </c>
      <c r="R2629" s="270">
        <v>2164</v>
      </c>
      <c r="S2629" s="270">
        <v>15476</v>
      </c>
      <c r="T2629" s="270">
        <v>17640</v>
      </c>
      <c r="U2629" s="271" t="s">
        <v>3945</v>
      </c>
      <c r="V2629" s="267" t="s">
        <v>944</v>
      </c>
    </row>
    <row r="2630" spans="1:22" hidden="1" x14ac:dyDescent="0.25">
      <c r="A2630" s="266">
        <v>43607</v>
      </c>
      <c r="B2630" s="267">
        <v>2019</v>
      </c>
      <c r="C2630" s="267">
        <v>2019</v>
      </c>
      <c r="D2630" s="267">
        <v>1</v>
      </c>
      <c r="E2630" s="267">
        <v>1</v>
      </c>
      <c r="F2630" s="267" t="s">
        <v>944</v>
      </c>
      <c r="G2630" s="267" t="s">
        <v>3926</v>
      </c>
      <c r="H2630" s="267" t="s">
        <v>7019</v>
      </c>
      <c r="I2630" s="267" t="s">
        <v>5659</v>
      </c>
      <c r="J2630" s="267" t="s">
        <v>3928</v>
      </c>
      <c r="K2630" s="267">
        <v>6419</v>
      </c>
      <c r="L2630" s="267">
        <v>640100</v>
      </c>
      <c r="M2630" s="267" t="s">
        <v>3943</v>
      </c>
      <c r="N2630" s="267" t="s">
        <v>3944</v>
      </c>
      <c r="O2630" s="267">
        <v>4038</v>
      </c>
      <c r="P2630" s="267" t="s">
        <v>3944</v>
      </c>
      <c r="Q2630" s="267" t="s">
        <v>3944</v>
      </c>
      <c r="R2630" s="267">
        <v>4038</v>
      </c>
      <c r="S2630" s="267">
        <v>25099.5</v>
      </c>
      <c r="T2630" s="267">
        <v>29137.5</v>
      </c>
      <c r="U2630" s="268" t="s">
        <v>3945</v>
      </c>
      <c r="V2630" s="267" t="s">
        <v>944</v>
      </c>
    </row>
    <row r="2631" spans="1:22" hidden="1" x14ac:dyDescent="0.25">
      <c r="A2631" s="269">
        <v>43607</v>
      </c>
      <c r="B2631" s="270">
        <v>2019</v>
      </c>
      <c r="C2631" s="270">
        <v>2019</v>
      </c>
      <c r="D2631" s="270">
        <v>1</v>
      </c>
      <c r="E2631" s="270">
        <v>1</v>
      </c>
      <c r="F2631" s="270" t="s">
        <v>944</v>
      </c>
      <c r="G2631" s="270" t="s">
        <v>3926</v>
      </c>
      <c r="H2631" s="270" t="s">
        <v>7020</v>
      </c>
      <c r="I2631" s="270" t="s">
        <v>3962</v>
      </c>
      <c r="J2631" s="270" t="s">
        <v>3928</v>
      </c>
      <c r="K2631" s="270">
        <v>6355</v>
      </c>
      <c r="L2631" s="270">
        <v>702800</v>
      </c>
      <c r="M2631" s="270" t="s">
        <v>3935</v>
      </c>
      <c r="N2631" s="270" t="s">
        <v>3944</v>
      </c>
      <c r="O2631" s="270">
        <v>4103</v>
      </c>
      <c r="P2631" s="270" t="s">
        <v>3944</v>
      </c>
      <c r="Q2631" s="270" t="s">
        <v>3944</v>
      </c>
      <c r="R2631" s="270">
        <v>4103</v>
      </c>
      <c r="S2631" s="270">
        <v>44407</v>
      </c>
      <c r="T2631" s="270">
        <v>48510</v>
      </c>
      <c r="U2631" s="271" t="s">
        <v>3945</v>
      </c>
      <c r="V2631" s="267" t="s">
        <v>944</v>
      </c>
    </row>
    <row r="2632" spans="1:22" hidden="1" x14ac:dyDescent="0.25">
      <c r="A2632" s="266">
        <v>43607</v>
      </c>
      <c r="B2632" s="267">
        <v>2019</v>
      </c>
      <c r="C2632" s="267">
        <v>2019</v>
      </c>
      <c r="D2632" s="267">
        <v>1</v>
      </c>
      <c r="E2632" s="267">
        <v>1</v>
      </c>
      <c r="F2632" s="267" t="s">
        <v>944</v>
      </c>
      <c r="G2632" s="267" t="s">
        <v>3926</v>
      </c>
      <c r="H2632" s="267" t="s">
        <v>7021</v>
      </c>
      <c r="I2632" s="267" t="s">
        <v>3009</v>
      </c>
      <c r="J2632" s="267" t="s">
        <v>3928</v>
      </c>
      <c r="K2632" s="267">
        <v>6484</v>
      </c>
      <c r="L2632" s="267">
        <v>110600</v>
      </c>
      <c r="M2632" s="267" t="s">
        <v>3943</v>
      </c>
      <c r="N2632" s="267" t="s">
        <v>3944</v>
      </c>
      <c r="O2632" s="267">
        <v>3083</v>
      </c>
      <c r="P2632" s="267" t="s">
        <v>3944</v>
      </c>
      <c r="Q2632" s="267" t="s">
        <v>3944</v>
      </c>
      <c r="R2632" s="267">
        <v>3083</v>
      </c>
      <c r="S2632" s="267">
        <v>24056.799999999999</v>
      </c>
      <c r="T2632" s="267">
        <v>27139.8</v>
      </c>
      <c r="U2632" s="268" t="s">
        <v>3945</v>
      </c>
      <c r="V2632" s="267" t="s">
        <v>944</v>
      </c>
    </row>
    <row r="2633" spans="1:22" hidden="1" x14ac:dyDescent="0.25">
      <c r="A2633" s="269">
        <v>43607</v>
      </c>
      <c r="B2633" s="270">
        <v>2019</v>
      </c>
      <c r="C2633" s="270">
        <v>2019</v>
      </c>
      <c r="D2633" s="270">
        <v>1</v>
      </c>
      <c r="E2633" s="270">
        <v>1</v>
      </c>
      <c r="F2633" s="270" t="s">
        <v>944</v>
      </c>
      <c r="G2633" s="270" t="s">
        <v>3926</v>
      </c>
      <c r="H2633" s="270" t="s">
        <v>7022</v>
      </c>
      <c r="I2633" s="270" t="s">
        <v>4407</v>
      </c>
      <c r="J2633" s="270" t="s">
        <v>3928</v>
      </c>
      <c r="K2633" s="270">
        <v>6238</v>
      </c>
      <c r="L2633" s="270">
        <v>850100</v>
      </c>
      <c r="M2633" s="270" t="s">
        <v>3960</v>
      </c>
      <c r="N2633" s="270" t="s">
        <v>3944</v>
      </c>
      <c r="O2633" s="270">
        <v>3734</v>
      </c>
      <c r="P2633" s="270" t="s">
        <v>3944</v>
      </c>
      <c r="Q2633" s="270" t="s">
        <v>3944</v>
      </c>
      <c r="R2633" s="270">
        <v>3734</v>
      </c>
      <c r="S2633" s="270">
        <v>30321.67</v>
      </c>
      <c r="T2633" s="270">
        <v>34055.67</v>
      </c>
      <c r="U2633" s="271" t="s">
        <v>3945</v>
      </c>
      <c r="V2633" s="267" t="s">
        <v>944</v>
      </c>
    </row>
    <row r="2634" spans="1:22" hidden="1" x14ac:dyDescent="0.25">
      <c r="A2634" s="266">
        <v>43607</v>
      </c>
      <c r="B2634" s="267">
        <v>2019</v>
      </c>
      <c r="C2634" s="267">
        <v>2019</v>
      </c>
      <c r="D2634" s="267">
        <v>1</v>
      </c>
      <c r="E2634" s="267">
        <v>1</v>
      </c>
      <c r="F2634" s="267" t="s">
        <v>944</v>
      </c>
      <c r="G2634" s="267" t="s">
        <v>3926</v>
      </c>
      <c r="H2634" s="267" t="s">
        <v>7023</v>
      </c>
      <c r="I2634" s="267" t="s">
        <v>4040</v>
      </c>
      <c r="J2634" s="267" t="s">
        <v>3928</v>
      </c>
      <c r="K2634" s="267">
        <v>6339</v>
      </c>
      <c r="L2634" s="267">
        <v>701100</v>
      </c>
      <c r="M2634" s="267" t="s">
        <v>3960</v>
      </c>
      <c r="N2634" s="267" t="s">
        <v>3944</v>
      </c>
      <c r="O2634" s="267">
        <v>3892</v>
      </c>
      <c r="P2634" s="267" t="s">
        <v>3944</v>
      </c>
      <c r="Q2634" s="267" t="s">
        <v>3944</v>
      </c>
      <c r="R2634" s="267">
        <v>3892</v>
      </c>
      <c r="S2634" s="267">
        <v>32792</v>
      </c>
      <c r="T2634" s="267">
        <v>36684</v>
      </c>
      <c r="U2634" s="268" t="s">
        <v>3945</v>
      </c>
      <c r="V2634" s="267" t="s">
        <v>944</v>
      </c>
    </row>
    <row r="2635" spans="1:22" hidden="1" x14ac:dyDescent="0.25">
      <c r="A2635" s="269">
        <v>43607</v>
      </c>
      <c r="B2635" s="270">
        <v>2019</v>
      </c>
      <c r="C2635" s="270">
        <v>2019</v>
      </c>
      <c r="D2635" s="270">
        <v>1</v>
      </c>
      <c r="E2635" s="270">
        <v>1</v>
      </c>
      <c r="F2635" s="270" t="s">
        <v>944</v>
      </c>
      <c r="G2635" s="270" t="s">
        <v>3926</v>
      </c>
      <c r="H2635" s="270" t="s">
        <v>7024</v>
      </c>
      <c r="I2635" s="270" t="s">
        <v>3026</v>
      </c>
      <c r="J2635" s="270" t="s">
        <v>3928</v>
      </c>
      <c r="K2635" s="270">
        <v>6471</v>
      </c>
      <c r="L2635" s="270">
        <v>186100</v>
      </c>
      <c r="M2635" s="270" t="s">
        <v>3935</v>
      </c>
      <c r="N2635" s="270" t="s">
        <v>3944</v>
      </c>
      <c r="O2635" s="270">
        <v>2449</v>
      </c>
      <c r="P2635" s="270" t="s">
        <v>3944</v>
      </c>
      <c r="Q2635" s="270" t="s">
        <v>3944</v>
      </c>
      <c r="R2635" s="270">
        <v>2449</v>
      </c>
      <c r="S2635" s="270">
        <v>13539.5</v>
      </c>
      <c r="T2635" s="270">
        <v>15988.5</v>
      </c>
      <c r="U2635" s="271" t="s">
        <v>3945</v>
      </c>
      <c r="V2635" s="267" t="s">
        <v>944</v>
      </c>
    </row>
    <row r="2636" spans="1:22" hidden="1" x14ac:dyDescent="0.25">
      <c r="A2636" s="266">
        <v>43607</v>
      </c>
      <c r="B2636" s="267">
        <v>2019</v>
      </c>
      <c r="C2636" s="267">
        <v>2019</v>
      </c>
      <c r="D2636" s="267">
        <v>1</v>
      </c>
      <c r="E2636" s="267">
        <v>1</v>
      </c>
      <c r="F2636" s="267" t="s">
        <v>944</v>
      </c>
      <c r="G2636" s="267" t="s">
        <v>3926</v>
      </c>
      <c r="H2636" s="267" t="s">
        <v>7025</v>
      </c>
      <c r="I2636" s="267" t="s">
        <v>3966</v>
      </c>
      <c r="J2636" s="267" t="s">
        <v>3928</v>
      </c>
      <c r="K2636" s="267">
        <v>6010</v>
      </c>
      <c r="L2636" s="267">
        <v>405800</v>
      </c>
      <c r="M2636" s="267" t="s">
        <v>3935</v>
      </c>
      <c r="N2636" s="267" t="s">
        <v>3944</v>
      </c>
      <c r="O2636" s="267">
        <v>1708.74</v>
      </c>
      <c r="P2636" s="267" t="s">
        <v>3944</v>
      </c>
      <c r="Q2636" s="267" t="s">
        <v>3944</v>
      </c>
      <c r="R2636" s="267">
        <v>1708.74</v>
      </c>
      <c r="S2636" s="267">
        <v>22369.05</v>
      </c>
      <c r="T2636" s="267">
        <v>24077.79</v>
      </c>
      <c r="U2636" s="268" t="s">
        <v>3945</v>
      </c>
      <c r="V2636" s="267" t="s">
        <v>944</v>
      </c>
    </row>
    <row r="2637" spans="1:22" hidden="1" x14ac:dyDescent="0.25">
      <c r="A2637" s="269">
        <v>43607</v>
      </c>
      <c r="B2637" s="270">
        <v>2019</v>
      </c>
      <c r="C2637" s="270">
        <v>2019</v>
      </c>
      <c r="D2637" s="270">
        <v>1</v>
      </c>
      <c r="E2637" s="270">
        <v>1</v>
      </c>
      <c r="F2637" s="270" t="s">
        <v>944</v>
      </c>
      <c r="G2637" s="270" t="s">
        <v>3926</v>
      </c>
      <c r="H2637" s="270" t="s">
        <v>7026</v>
      </c>
      <c r="I2637" s="270" t="s">
        <v>4687</v>
      </c>
      <c r="J2637" s="270" t="s">
        <v>3928</v>
      </c>
      <c r="K2637" s="270">
        <v>6424</v>
      </c>
      <c r="L2637" s="270">
        <v>550100</v>
      </c>
      <c r="M2637" s="270" t="s">
        <v>3960</v>
      </c>
      <c r="N2637" s="270" t="s">
        <v>3944</v>
      </c>
      <c r="O2637" s="270">
        <v>2435.65</v>
      </c>
      <c r="P2637" s="270" t="s">
        <v>3944</v>
      </c>
      <c r="Q2637" s="270" t="s">
        <v>3944</v>
      </c>
      <c r="R2637" s="270">
        <v>2435.65</v>
      </c>
      <c r="S2637" s="270">
        <v>32842.199999999997</v>
      </c>
      <c r="T2637" s="270">
        <v>35277.85</v>
      </c>
      <c r="U2637" s="271" t="s">
        <v>3945</v>
      </c>
      <c r="V2637" s="267" t="s">
        <v>944</v>
      </c>
    </row>
    <row r="2638" spans="1:22" hidden="1" x14ac:dyDescent="0.25">
      <c r="A2638" s="266">
        <v>43607</v>
      </c>
      <c r="B2638" s="267">
        <v>2019</v>
      </c>
      <c r="C2638" s="267">
        <v>2019</v>
      </c>
      <c r="D2638" s="267">
        <v>1</v>
      </c>
      <c r="E2638" s="267">
        <v>1</v>
      </c>
      <c r="F2638" s="267" t="s">
        <v>944</v>
      </c>
      <c r="G2638" s="267" t="s">
        <v>3926</v>
      </c>
      <c r="H2638" s="267" t="s">
        <v>7027</v>
      </c>
      <c r="I2638" s="267" t="s">
        <v>4003</v>
      </c>
      <c r="J2638" s="267" t="s">
        <v>3928</v>
      </c>
      <c r="K2638" s="267">
        <v>6354</v>
      </c>
      <c r="L2638" s="267">
        <v>907200</v>
      </c>
      <c r="M2638" s="267" t="s">
        <v>3940</v>
      </c>
      <c r="N2638" s="267" t="s">
        <v>3944</v>
      </c>
      <c r="O2638" s="267">
        <v>1326.92</v>
      </c>
      <c r="P2638" s="267" t="s">
        <v>3944</v>
      </c>
      <c r="Q2638" s="267" t="s">
        <v>3944</v>
      </c>
      <c r="R2638" s="267">
        <v>1326.92</v>
      </c>
      <c r="S2638" s="267">
        <v>17898.259999999998</v>
      </c>
      <c r="T2638" s="267">
        <v>19225.18</v>
      </c>
      <c r="U2638" s="268" t="s">
        <v>3945</v>
      </c>
      <c r="V2638" s="267" t="s">
        <v>944</v>
      </c>
    </row>
    <row r="2639" spans="1:22" hidden="1" x14ac:dyDescent="0.25">
      <c r="A2639" s="269">
        <v>43607</v>
      </c>
      <c r="B2639" s="270">
        <v>2019</v>
      </c>
      <c r="C2639" s="270">
        <v>2019</v>
      </c>
      <c r="D2639" s="270">
        <v>1</v>
      </c>
      <c r="E2639" s="270">
        <v>1</v>
      </c>
      <c r="F2639" s="270" t="s">
        <v>944</v>
      </c>
      <c r="G2639" s="270" t="s">
        <v>3926</v>
      </c>
      <c r="H2639" s="270" t="s">
        <v>7028</v>
      </c>
      <c r="I2639" s="270" t="s">
        <v>4037</v>
      </c>
      <c r="J2639" s="270" t="s">
        <v>3928</v>
      </c>
      <c r="K2639" s="270">
        <v>6811</v>
      </c>
      <c r="L2639" s="270">
        <v>210900</v>
      </c>
      <c r="M2639" s="270" t="s">
        <v>3943</v>
      </c>
      <c r="N2639" s="270" t="s">
        <v>3944</v>
      </c>
      <c r="O2639" s="270">
        <v>990.54</v>
      </c>
      <c r="P2639" s="270" t="s">
        <v>3944</v>
      </c>
      <c r="Q2639" s="270" t="s">
        <v>3944</v>
      </c>
      <c r="R2639" s="270">
        <v>990.54</v>
      </c>
      <c r="S2639" s="270">
        <v>13244.55</v>
      </c>
      <c r="T2639" s="270">
        <v>14235.09</v>
      </c>
      <c r="U2639" s="271" t="s">
        <v>3945</v>
      </c>
      <c r="V2639" s="267" t="s">
        <v>944</v>
      </c>
    </row>
    <row r="2640" spans="1:22" hidden="1" x14ac:dyDescent="0.25">
      <c r="A2640" s="266">
        <v>43607</v>
      </c>
      <c r="B2640" s="267">
        <v>2019</v>
      </c>
      <c r="C2640" s="267">
        <v>2019</v>
      </c>
      <c r="D2640" s="267">
        <v>1</v>
      </c>
      <c r="E2640" s="267">
        <v>1</v>
      </c>
      <c r="F2640" s="267" t="s">
        <v>944</v>
      </c>
      <c r="G2640" s="267" t="s">
        <v>3926</v>
      </c>
      <c r="H2640" s="267" t="s">
        <v>7029</v>
      </c>
      <c r="I2640" s="267" t="s">
        <v>4016</v>
      </c>
      <c r="J2640" s="267" t="s">
        <v>3928</v>
      </c>
      <c r="K2640" s="267">
        <v>6770</v>
      </c>
      <c r="L2640" s="267">
        <v>345100</v>
      </c>
      <c r="M2640" s="267" t="s">
        <v>3940</v>
      </c>
      <c r="N2640" s="267" t="s">
        <v>3944</v>
      </c>
      <c r="O2640" s="267">
        <v>1934.59</v>
      </c>
      <c r="P2640" s="267" t="s">
        <v>3944</v>
      </c>
      <c r="Q2640" s="267" t="s">
        <v>3944</v>
      </c>
      <c r="R2640" s="267">
        <v>1934.59</v>
      </c>
      <c r="S2640" s="267">
        <v>22800.47</v>
      </c>
      <c r="T2640" s="267">
        <v>24735.06</v>
      </c>
      <c r="U2640" s="268" t="s">
        <v>3945</v>
      </c>
      <c r="V2640" s="267" t="s">
        <v>944</v>
      </c>
    </row>
    <row r="2641" spans="1:22" hidden="1" x14ac:dyDescent="0.25">
      <c r="A2641" s="269">
        <v>43607</v>
      </c>
      <c r="B2641" s="270">
        <v>2019</v>
      </c>
      <c r="C2641" s="270">
        <v>2019</v>
      </c>
      <c r="D2641" s="270">
        <v>1</v>
      </c>
      <c r="E2641" s="270">
        <v>1</v>
      </c>
      <c r="F2641" s="270" t="s">
        <v>944</v>
      </c>
      <c r="G2641" s="270" t="s">
        <v>3926</v>
      </c>
      <c r="H2641" s="270" t="s">
        <v>7030</v>
      </c>
      <c r="I2641" s="270" t="s">
        <v>4170</v>
      </c>
      <c r="J2641" s="270" t="s">
        <v>3928</v>
      </c>
      <c r="K2641" s="270">
        <v>6498</v>
      </c>
      <c r="L2641" s="270">
        <v>680100</v>
      </c>
      <c r="M2641" s="270" t="s">
        <v>3935</v>
      </c>
      <c r="N2641" s="270" t="s">
        <v>3944</v>
      </c>
      <c r="O2641" s="270">
        <v>2999.99</v>
      </c>
      <c r="P2641" s="270" t="s">
        <v>3944</v>
      </c>
      <c r="Q2641" s="270" t="s">
        <v>3944</v>
      </c>
      <c r="R2641" s="270">
        <v>2999.99</v>
      </c>
      <c r="S2641" s="270">
        <v>43305.46</v>
      </c>
      <c r="T2641" s="270">
        <v>46305.45</v>
      </c>
      <c r="U2641" s="271" t="s">
        <v>3945</v>
      </c>
      <c r="V2641" s="267" t="s">
        <v>944</v>
      </c>
    </row>
    <row r="2642" spans="1:22" hidden="1" x14ac:dyDescent="0.25">
      <c r="A2642" s="266">
        <v>43607</v>
      </c>
      <c r="B2642" s="267">
        <v>2019</v>
      </c>
      <c r="C2642" s="267">
        <v>2019</v>
      </c>
      <c r="D2642" s="267">
        <v>1</v>
      </c>
      <c r="E2642" s="267">
        <v>1</v>
      </c>
      <c r="F2642" s="267" t="s">
        <v>944</v>
      </c>
      <c r="G2642" s="267" t="s">
        <v>3926</v>
      </c>
      <c r="H2642" s="267" t="s">
        <v>7031</v>
      </c>
      <c r="I2642" s="267" t="s">
        <v>3985</v>
      </c>
      <c r="J2642" s="267" t="s">
        <v>3928</v>
      </c>
      <c r="K2642" s="267">
        <v>6280</v>
      </c>
      <c r="L2642" s="267">
        <v>800500</v>
      </c>
      <c r="M2642" s="267" t="s">
        <v>3940</v>
      </c>
      <c r="N2642" s="267" t="s">
        <v>3944</v>
      </c>
      <c r="O2642" s="267">
        <v>1890.21</v>
      </c>
      <c r="P2642" s="267" t="s">
        <v>3944</v>
      </c>
      <c r="Q2642" s="267" t="s">
        <v>3944</v>
      </c>
      <c r="R2642" s="267">
        <v>1890.21</v>
      </c>
      <c r="S2642" s="267">
        <v>25675.64</v>
      </c>
      <c r="T2642" s="267">
        <v>27565.85</v>
      </c>
      <c r="U2642" s="268" t="s">
        <v>3945</v>
      </c>
      <c r="V2642" s="267" t="s">
        <v>944</v>
      </c>
    </row>
    <row r="2643" spans="1:22" hidden="1" x14ac:dyDescent="0.25">
      <c r="A2643" s="269">
        <v>43607</v>
      </c>
      <c r="B2643" s="270">
        <v>2019</v>
      </c>
      <c r="C2643" s="270">
        <v>2019</v>
      </c>
      <c r="D2643" s="270">
        <v>1</v>
      </c>
      <c r="E2643" s="270">
        <v>1</v>
      </c>
      <c r="F2643" s="270" t="s">
        <v>944</v>
      </c>
      <c r="G2643" s="270" t="s">
        <v>3926</v>
      </c>
      <c r="H2643" s="270" t="s">
        <v>7032</v>
      </c>
      <c r="I2643" s="270" t="s">
        <v>4069</v>
      </c>
      <c r="J2643" s="270" t="s">
        <v>3928</v>
      </c>
      <c r="K2643" s="270">
        <v>6902</v>
      </c>
      <c r="L2643" s="270">
        <v>21300</v>
      </c>
      <c r="M2643" s="270" t="s">
        <v>3943</v>
      </c>
      <c r="N2643" s="270" t="s">
        <v>3944</v>
      </c>
      <c r="O2643" s="270">
        <v>1794.59</v>
      </c>
      <c r="P2643" s="270" t="s">
        <v>3944</v>
      </c>
      <c r="Q2643" s="270" t="s">
        <v>3944</v>
      </c>
      <c r="R2643" s="270">
        <v>1794.59</v>
      </c>
      <c r="S2643" s="270">
        <v>25622.33</v>
      </c>
      <c r="T2643" s="270">
        <v>27416.92</v>
      </c>
      <c r="U2643" s="271" t="s">
        <v>3945</v>
      </c>
      <c r="V2643" s="267" t="s">
        <v>944</v>
      </c>
    </row>
    <row r="2644" spans="1:22" hidden="1" x14ac:dyDescent="0.25">
      <c r="A2644" s="266">
        <v>43607</v>
      </c>
      <c r="B2644" s="267">
        <v>2019</v>
      </c>
      <c r="C2644" s="267">
        <v>2019</v>
      </c>
      <c r="D2644" s="267">
        <v>1</v>
      </c>
      <c r="E2644" s="267">
        <v>1</v>
      </c>
      <c r="F2644" s="267" t="s">
        <v>944</v>
      </c>
      <c r="G2644" s="267" t="s">
        <v>3926</v>
      </c>
      <c r="H2644" s="267" t="s">
        <v>7033</v>
      </c>
      <c r="I2644" s="267" t="s">
        <v>3966</v>
      </c>
      <c r="J2644" s="267" t="s">
        <v>3928</v>
      </c>
      <c r="K2644" s="267">
        <v>6010</v>
      </c>
      <c r="L2644" s="267">
        <v>405900</v>
      </c>
      <c r="M2644" s="267" t="s">
        <v>3960</v>
      </c>
      <c r="N2644" s="267" t="s">
        <v>3944</v>
      </c>
      <c r="O2644" s="267">
        <v>1876.32</v>
      </c>
      <c r="P2644" s="267" t="s">
        <v>3944</v>
      </c>
      <c r="Q2644" s="267" t="s">
        <v>3944</v>
      </c>
      <c r="R2644" s="267">
        <v>1876.32</v>
      </c>
      <c r="S2644" s="267">
        <v>26949.02</v>
      </c>
      <c r="T2644" s="267">
        <v>28825.34</v>
      </c>
      <c r="U2644" s="268" t="s">
        <v>3945</v>
      </c>
      <c r="V2644" s="267" t="s">
        <v>944</v>
      </c>
    </row>
    <row r="2645" spans="1:22" hidden="1" x14ac:dyDescent="0.25">
      <c r="A2645" s="269">
        <v>43607</v>
      </c>
      <c r="B2645" s="270">
        <v>2019</v>
      </c>
      <c r="C2645" s="270">
        <v>2019</v>
      </c>
      <c r="D2645" s="270">
        <v>1</v>
      </c>
      <c r="E2645" s="270">
        <v>1</v>
      </c>
      <c r="F2645" s="270" t="s">
        <v>944</v>
      </c>
      <c r="G2645" s="270" t="s">
        <v>3926</v>
      </c>
      <c r="H2645" s="270" t="s">
        <v>7034</v>
      </c>
      <c r="I2645" s="270" t="s">
        <v>4005</v>
      </c>
      <c r="J2645" s="270" t="s">
        <v>3928</v>
      </c>
      <c r="K2645" s="270">
        <v>6108</v>
      </c>
      <c r="L2645" s="270">
        <v>511200</v>
      </c>
      <c r="M2645" s="270">
        <v>-60</v>
      </c>
      <c r="N2645" s="270" t="s">
        <v>3944</v>
      </c>
      <c r="O2645" s="270">
        <v>1237.32</v>
      </c>
      <c r="P2645" s="270" t="s">
        <v>3944</v>
      </c>
      <c r="Q2645" s="270" t="s">
        <v>3944</v>
      </c>
      <c r="R2645" s="270">
        <v>1237.32</v>
      </c>
      <c r="S2645" s="270">
        <v>16852.52</v>
      </c>
      <c r="T2645" s="270">
        <v>18089.84</v>
      </c>
      <c r="U2645" s="271" t="s">
        <v>3945</v>
      </c>
      <c r="V2645" s="267" t="s">
        <v>944</v>
      </c>
    </row>
    <row r="2646" spans="1:22" hidden="1" x14ac:dyDescent="0.25">
      <c r="A2646" s="266">
        <v>43607</v>
      </c>
      <c r="B2646" s="267">
        <v>2019</v>
      </c>
      <c r="C2646" s="267">
        <v>2019</v>
      </c>
      <c r="D2646" s="267">
        <v>1</v>
      </c>
      <c r="E2646" s="267">
        <v>1</v>
      </c>
      <c r="F2646" s="267" t="s">
        <v>944</v>
      </c>
      <c r="G2646" s="267" t="s">
        <v>3926</v>
      </c>
      <c r="H2646" s="267" t="s">
        <v>7035</v>
      </c>
      <c r="I2646" s="267" t="s">
        <v>4085</v>
      </c>
      <c r="J2646" s="267" t="s">
        <v>3928</v>
      </c>
      <c r="K2646" s="267">
        <v>6351</v>
      </c>
      <c r="L2646" s="267">
        <v>709100</v>
      </c>
      <c r="M2646" s="267" t="s">
        <v>3935</v>
      </c>
      <c r="N2646" s="267" t="s">
        <v>3944</v>
      </c>
      <c r="O2646" s="267">
        <v>2411.19</v>
      </c>
      <c r="P2646" s="267" t="s">
        <v>3944</v>
      </c>
      <c r="Q2646" s="267" t="s">
        <v>3944</v>
      </c>
      <c r="R2646" s="267">
        <v>2411.19</v>
      </c>
      <c r="S2646" s="267">
        <v>35479.08</v>
      </c>
      <c r="T2646" s="267">
        <v>37890.269999999997</v>
      </c>
      <c r="U2646" s="268" t="s">
        <v>3945</v>
      </c>
      <c r="V2646" s="267" t="s">
        <v>944</v>
      </c>
    </row>
    <row r="2647" spans="1:22" hidden="1" x14ac:dyDescent="0.25">
      <c r="A2647" s="269">
        <v>43607</v>
      </c>
      <c r="B2647" s="270">
        <v>2019</v>
      </c>
      <c r="C2647" s="270">
        <v>2019</v>
      </c>
      <c r="D2647" s="270">
        <v>1</v>
      </c>
      <c r="E2647" s="270">
        <v>1</v>
      </c>
      <c r="F2647" s="270" t="s">
        <v>944</v>
      </c>
      <c r="G2647" s="270" t="s">
        <v>3926</v>
      </c>
      <c r="H2647" s="270" t="s">
        <v>7036</v>
      </c>
      <c r="I2647" s="270" t="s">
        <v>4137</v>
      </c>
      <c r="J2647" s="270" t="s">
        <v>3928</v>
      </c>
      <c r="K2647" s="270">
        <v>6067</v>
      </c>
      <c r="L2647" s="270">
        <v>524200</v>
      </c>
      <c r="M2647" s="270" t="s">
        <v>3960</v>
      </c>
      <c r="N2647" s="270" t="s">
        <v>3944</v>
      </c>
      <c r="O2647" s="270">
        <v>1986.04</v>
      </c>
      <c r="P2647" s="270" t="s">
        <v>3944</v>
      </c>
      <c r="Q2647" s="270" t="s">
        <v>3944</v>
      </c>
      <c r="R2647" s="270">
        <v>1986.04</v>
      </c>
      <c r="S2647" s="270">
        <v>27944.77</v>
      </c>
      <c r="T2647" s="270">
        <v>29930.81</v>
      </c>
      <c r="U2647" s="271" t="s">
        <v>3945</v>
      </c>
      <c r="V2647" s="267" t="s">
        <v>944</v>
      </c>
    </row>
    <row r="2648" spans="1:22" hidden="1" x14ac:dyDescent="0.25">
      <c r="A2648" s="266">
        <v>43607</v>
      </c>
      <c r="B2648" s="267">
        <v>2019</v>
      </c>
      <c r="C2648" s="267">
        <v>2019</v>
      </c>
      <c r="D2648" s="267">
        <v>1</v>
      </c>
      <c r="E2648" s="267">
        <v>1</v>
      </c>
      <c r="F2648" s="267" t="s">
        <v>944</v>
      </c>
      <c r="G2648" s="267" t="s">
        <v>3926</v>
      </c>
      <c r="H2648" s="267" t="s">
        <v>7037</v>
      </c>
      <c r="I2648" s="267" t="s">
        <v>4424</v>
      </c>
      <c r="J2648" s="267" t="s">
        <v>3928</v>
      </c>
      <c r="K2648" s="267">
        <v>6417</v>
      </c>
      <c r="L2648" s="267">
        <v>620100</v>
      </c>
      <c r="M2648" s="267" t="s">
        <v>3935</v>
      </c>
      <c r="N2648" s="267" t="s">
        <v>3944</v>
      </c>
      <c r="O2648" s="267">
        <v>2812.08</v>
      </c>
      <c r="P2648" s="267" t="s">
        <v>3944</v>
      </c>
      <c r="Q2648" s="267" t="s">
        <v>3944</v>
      </c>
      <c r="R2648" s="267">
        <v>2812.08</v>
      </c>
      <c r="S2648" s="267">
        <v>45868.81</v>
      </c>
      <c r="T2648" s="267">
        <v>48680.89</v>
      </c>
      <c r="U2648" s="268" t="s">
        <v>3945</v>
      </c>
      <c r="V2648" s="267" t="s">
        <v>944</v>
      </c>
    </row>
    <row r="2649" spans="1:22" hidden="1" x14ac:dyDescent="0.25">
      <c r="A2649" s="269">
        <v>43607</v>
      </c>
      <c r="B2649" s="270">
        <v>2019</v>
      </c>
      <c r="C2649" s="270">
        <v>2019</v>
      </c>
      <c r="D2649" s="270">
        <v>1</v>
      </c>
      <c r="E2649" s="270">
        <v>1</v>
      </c>
      <c r="F2649" s="270" t="s">
        <v>944</v>
      </c>
      <c r="G2649" s="270" t="s">
        <v>3926</v>
      </c>
      <c r="H2649" s="270" t="s">
        <v>7038</v>
      </c>
      <c r="I2649" s="270" t="s">
        <v>3011</v>
      </c>
      <c r="J2649" s="270" t="s">
        <v>3928</v>
      </c>
      <c r="K2649" s="270">
        <v>6418</v>
      </c>
      <c r="L2649" s="270">
        <v>120200</v>
      </c>
      <c r="M2649" s="270">
        <v>-60</v>
      </c>
      <c r="N2649" s="270" t="s">
        <v>3944</v>
      </c>
      <c r="O2649" s="270">
        <v>887.46</v>
      </c>
      <c r="P2649" s="270" t="s">
        <v>3944</v>
      </c>
      <c r="Q2649" s="270" t="s">
        <v>3944</v>
      </c>
      <c r="R2649" s="270">
        <v>887.46</v>
      </c>
      <c r="S2649" s="270">
        <v>10910.54</v>
      </c>
      <c r="T2649" s="270">
        <v>11798</v>
      </c>
      <c r="U2649" s="271" t="s">
        <v>3945</v>
      </c>
      <c r="V2649" s="267" t="s">
        <v>944</v>
      </c>
    </row>
    <row r="2650" spans="1:22" hidden="1" x14ac:dyDescent="0.25">
      <c r="A2650" s="266">
        <v>43608</v>
      </c>
      <c r="B2650" s="267">
        <v>2019</v>
      </c>
      <c r="C2650" s="267">
        <v>2019</v>
      </c>
      <c r="D2650" s="267">
        <v>1</v>
      </c>
      <c r="E2650" s="267">
        <v>1</v>
      </c>
      <c r="F2650" s="267" t="s">
        <v>944</v>
      </c>
      <c r="G2650" s="267" t="s">
        <v>3926</v>
      </c>
      <c r="H2650" s="267" t="s">
        <v>7039</v>
      </c>
      <c r="I2650" s="267" t="s">
        <v>7040</v>
      </c>
      <c r="J2650" s="267" t="s">
        <v>3928</v>
      </c>
      <c r="K2650" s="267">
        <v>6027</v>
      </c>
      <c r="L2650" s="267">
        <v>330100</v>
      </c>
      <c r="M2650" s="267" t="s">
        <v>3960</v>
      </c>
      <c r="N2650" s="267" t="s">
        <v>7041</v>
      </c>
      <c r="O2650" s="267">
        <v>0</v>
      </c>
      <c r="P2650" s="267" t="s">
        <v>3930</v>
      </c>
      <c r="Q2650" s="267" t="s">
        <v>3930</v>
      </c>
      <c r="R2650" s="267">
        <v>0</v>
      </c>
      <c r="S2650" s="267">
        <v>27967</v>
      </c>
      <c r="T2650" s="267">
        <v>27967</v>
      </c>
      <c r="U2650" s="268" t="s">
        <v>3937</v>
      </c>
      <c r="V2650" s="267" t="s">
        <v>944</v>
      </c>
    </row>
    <row r="2651" spans="1:22" hidden="1" x14ac:dyDescent="0.25">
      <c r="A2651" s="269">
        <v>43608</v>
      </c>
      <c r="B2651" s="270">
        <v>2019</v>
      </c>
      <c r="C2651" s="270">
        <v>2019</v>
      </c>
      <c r="D2651" s="270">
        <v>1</v>
      </c>
      <c r="E2651" s="270">
        <v>1</v>
      </c>
      <c r="F2651" s="270" t="s">
        <v>944</v>
      </c>
      <c r="G2651" s="270" t="s">
        <v>3926</v>
      </c>
      <c r="H2651" s="270" t="s">
        <v>7042</v>
      </c>
      <c r="I2651" s="270" t="s">
        <v>5127</v>
      </c>
      <c r="J2651" s="270" t="s">
        <v>3928</v>
      </c>
      <c r="K2651" s="270">
        <v>6778</v>
      </c>
      <c r="L2651" s="270">
        <v>300500</v>
      </c>
      <c r="M2651" s="270" t="s">
        <v>3935</v>
      </c>
      <c r="N2651" s="270" t="s">
        <v>7043</v>
      </c>
      <c r="O2651" s="270">
        <v>0</v>
      </c>
      <c r="P2651" s="270" t="s">
        <v>3930</v>
      </c>
      <c r="Q2651" s="270" t="s">
        <v>3930</v>
      </c>
      <c r="R2651" s="270">
        <v>0</v>
      </c>
      <c r="S2651" s="270">
        <v>8295.2999999999993</v>
      </c>
      <c r="T2651" s="270">
        <v>8295.2999999999993</v>
      </c>
      <c r="U2651" s="271" t="s">
        <v>3937</v>
      </c>
      <c r="V2651" s="267" t="s">
        <v>944</v>
      </c>
    </row>
    <row r="2652" spans="1:22" hidden="1" x14ac:dyDescent="0.25">
      <c r="A2652" s="266">
        <v>43608</v>
      </c>
      <c r="B2652" s="267">
        <v>2019</v>
      </c>
      <c r="C2652" s="267">
        <v>2019</v>
      </c>
      <c r="D2652" s="267">
        <v>1</v>
      </c>
      <c r="E2652" s="267">
        <v>1</v>
      </c>
      <c r="F2652" s="267" t="s">
        <v>944</v>
      </c>
      <c r="G2652" s="267" t="s">
        <v>3926</v>
      </c>
      <c r="H2652" s="267" t="s">
        <v>7044</v>
      </c>
      <c r="I2652" s="267" t="s">
        <v>3008</v>
      </c>
      <c r="J2652" s="267" t="s">
        <v>3928</v>
      </c>
      <c r="K2652" s="267">
        <v>6461</v>
      </c>
      <c r="L2652" s="267">
        <v>150600</v>
      </c>
      <c r="M2652" s="267" t="s">
        <v>3960</v>
      </c>
      <c r="N2652" s="267" t="s">
        <v>7045</v>
      </c>
      <c r="O2652" s="267">
        <v>4245</v>
      </c>
      <c r="P2652" s="267" t="s">
        <v>3930</v>
      </c>
      <c r="Q2652" s="267" t="s">
        <v>3930</v>
      </c>
      <c r="R2652" s="267">
        <v>4245</v>
      </c>
      <c r="S2652" s="267">
        <v>23079</v>
      </c>
      <c r="T2652" s="267">
        <v>27324</v>
      </c>
      <c r="U2652" s="268" t="s">
        <v>3937</v>
      </c>
      <c r="V2652" s="267" t="s">
        <v>944</v>
      </c>
    </row>
    <row r="2653" spans="1:22" hidden="1" x14ac:dyDescent="0.25">
      <c r="A2653" s="269">
        <v>43608</v>
      </c>
      <c r="B2653" s="270">
        <v>2019</v>
      </c>
      <c r="C2653" s="270">
        <v>2019</v>
      </c>
      <c r="D2653" s="270">
        <v>1</v>
      </c>
      <c r="E2653" s="270">
        <v>1</v>
      </c>
      <c r="F2653" s="270" t="s">
        <v>944</v>
      </c>
      <c r="G2653" s="270" t="s">
        <v>3926</v>
      </c>
      <c r="H2653" s="270" t="s">
        <v>7046</v>
      </c>
      <c r="I2653" s="270" t="s">
        <v>3975</v>
      </c>
      <c r="J2653" s="270" t="s">
        <v>3928</v>
      </c>
      <c r="K2653" s="270">
        <v>6489</v>
      </c>
      <c r="L2653" s="270">
        <v>430301</v>
      </c>
      <c r="M2653" s="270" t="s">
        <v>3943</v>
      </c>
      <c r="N2653" s="270" t="s">
        <v>7047</v>
      </c>
      <c r="O2653" s="270">
        <v>0</v>
      </c>
      <c r="P2653" s="270" t="s">
        <v>3930</v>
      </c>
      <c r="Q2653" s="270" t="s">
        <v>3930</v>
      </c>
      <c r="R2653" s="270">
        <v>0</v>
      </c>
      <c r="S2653" s="270">
        <v>9450</v>
      </c>
      <c r="T2653" s="270">
        <v>9450</v>
      </c>
      <c r="U2653" s="271" t="s">
        <v>3937</v>
      </c>
      <c r="V2653" s="267" t="s">
        <v>944</v>
      </c>
    </row>
    <row r="2654" spans="1:22" x14ac:dyDescent="0.25">
      <c r="A2654" s="266">
        <v>43608</v>
      </c>
      <c r="B2654" s="267">
        <v>2019</v>
      </c>
      <c r="C2654" s="267">
        <v>2019</v>
      </c>
      <c r="D2654" s="267">
        <v>1</v>
      </c>
      <c r="E2654" s="267">
        <v>1</v>
      </c>
      <c r="F2654" s="267" t="s">
        <v>944</v>
      </c>
      <c r="G2654" s="267" t="s">
        <v>3997</v>
      </c>
      <c r="H2654" s="267" t="s">
        <v>7048</v>
      </c>
      <c r="I2654" s="267" t="s">
        <v>934</v>
      </c>
      <c r="J2654" s="267" t="s">
        <v>3928</v>
      </c>
      <c r="K2654" s="267">
        <v>6607</v>
      </c>
      <c r="L2654" s="267">
        <v>74400</v>
      </c>
      <c r="M2654" s="267">
        <v>-60</v>
      </c>
      <c r="N2654" s="267" t="s">
        <v>7049</v>
      </c>
      <c r="O2654" s="267">
        <v>1057.3499999999999</v>
      </c>
      <c r="P2654" s="267" t="s">
        <v>3930</v>
      </c>
      <c r="Q2654" s="267" t="s">
        <v>3931</v>
      </c>
      <c r="R2654" s="267">
        <v>6057.35</v>
      </c>
      <c r="S2654" s="267">
        <v>14456</v>
      </c>
      <c r="T2654" s="267">
        <v>20513.349999999999</v>
      </c>
      <c r="U2654" s="268" t="s">
        <v>3932</v>
      </c>
      <c r="V2654" s="276" t="s">
        <v>936</v>
      </c>
    </row>
    <row r="2655" spans="1:22" hidden="1" x14ac:dyDescent="0.25">
      <c r="A2655" s="269">
        <v>43608</v>
      </c>
      <c r="B2655" s="270">
        <v>2019</v>
      </c>
      <c r="C2655" s="270">
        <v>2019</v>
      </c>
      <c r="D2655" s="270">
        <v>1</v>
      </c>
      <c r="E2655" s="270">
        <v>1</v>
      </c>
      <c r="F2655" s="270" t="s">
        <v>944</v>
      </c>
      <c r="G2655" s="270" t="s">
        <v>3926</v>
      </c>
      <c r="H2655" s="270" t="s">
        <v>7050</v>
      </c>
      <c r="I2655" s="270" t="s">
        <v>4213</v>
      </c>
      <c r="J2655" s="270" t="s">
        <v>3928</v>
      </c>
      <c r="K2655" s="270">
        <v>6053</v>
      </c>
      <c r="L2655" s="270">
        <v>416700</v>
      </c>
      <c r="M2655" s="270">
        <v>-60</v>
      </c>
      <c r="N2655" s="270" t="s">
        <v>3986</v>
      </c>
      <c r="O2655" s="270">
        <v>1264.69</v>
      </c>
      <c r="P2655" s="270" t="s">
        <v>3930</v>
      </c>
      <c r="Q2655" s="270" t="s">
        <v>3931</v>
      </c>
      <c r="R2655" s="270">
        <v>6264.69</v>
      </c>
      <c r="S2655" s="270">
        <v>16196.8</v>
      </c>
      <c r="T2655" s="270">
        <v>22461.49</v>
      </c>
      <c r="U2655" s="271" t="s">
        <v>3932</v>
      </c>
      <c r="V2655" s="267" t="s">
        <v>944</v>
      </c>
    </row>
    <row r="2656" spans="1:22" hidden="1" x14ac:dyDescent="0.25">
      <c r="A2656" s="266">
        <v>43608</v>
      </c>
      <c r="B2656" s="267">
        <v>2019</v>
      </c>
      <c r="C2656" s="267">
        <v>2019</v>
      </c>
      <c r="D2656" s="267">
        <v>1</v>
      </c>
      <c r="E2656" s="267">
        <v>1</v>
      </c>
      <c r="F2656" s="267" t="s">
        <v>944</v>
      </c>
      <c r="G2656" s="267" t="s">
        <v>3926</v>
      </c>
      <c r="H2656" s="267" t="s">
        <v>7051</v>
      </c>
      <c r="I2656" s="267" t="s">
        <v>3968</v>
      </c>
      <c r="J2656" s="267" t="s">
        <v>3928</v>
      </c>
      <c r="K2656" s="267">
        <v>6042</v>
      </c>
      <c r="L2656" s="267">
        <v>514200</v>
      </c>
      <c r="M2656" s="267" t="s">
        <v>3940</v>
      </c>
      <c r="N2656" s="267" t="s">
        <v>7052</v>
      </c>
      <c r="O2656" s="267">
        <v>0</v>
      </c>
      <c r="P2656" s="267" t="s">
        <v>3930</v>
      </c>
      <c r="Q2656" s="267" t="s">
        <v>3930</v>
      </c>
      <c r="R2656" s="267">
        <v>0</v>
      </c>
      <c r="S2656" s="267">
        <v>16540</v>
      </c>
      <c r="T2656" s="267">
        <v>16540</v>
      </c>
      <c r="U2656" s="268" t="s">
        <v>3937</v>
      </c>
      <c r="V2656" s="267" t="s">
        <v>944</v>
      </c>
    </row>
    <row r="2657" spans="1:22" hidden="1" x14ac:dyDescent="0.25">
      <c r="A2657" s="269">
        <v>43608</v>
      </c>
      <c r="B2657" s="270">
        <v>2019</v>
      </c>
      <c r="C2657" s="270">
        <v>2019</v>
      </c>
      <c r="D2657" s="270">
        <v>1</v>
      </c>
      <c r="E2657" s="270">
        <v>1</v>
      </c>
      <c r="F2657" s="270" t="s">
        <v>944</v>
      </c>
      <c r="G2657" s="270" t="s">
        <v>3926</v>
      </c>
      <c r="H2657" s="270" t="s">
        <v>7053</v>
      </c>
      <c r="I2657" s="270" t="s">
        <v>4029</v>
      </c>
      <c r="J2657" s="270" t="s">
        <v>3928</v>
      </c>
      <c r="K2657" s="270">
        <v>6850</v>
      </c>
      <c r="L2657" s="270">
        <v>43300</v>
      </c>
      <c r="M2657" s="270" t="s">
        <v>3935</v>
      </c>
      <c r="N2657" s="270" t="s">
        <v>7054</v>
      </c>
      <c r="O2657" s="270">
        <v>3043</v>
      </c>
      <c r="P2657" s="270" t="s">
        <v>3930</v>
      </c>
      <c r="Q2657" s="270" t="s">
        <v>3930</v>
      </c>
      <c r="R2657" s="270">
        <v>3043</v>
      </c>
      <c r="S2657" s="270">
        <v>17990.5</v>
      </c>
      <c r="T2657" s="270">
        <v>21033.5</v>
      </c>
      <c r="U2657" s="271" t="s">
        <v>3937</v>
      </c>
      <c r="V2657" s="267" t="s">
        <v>944</v>
      </c>
    </row>
    <row r="2658" spans="1:22" hidden="1" x14ac:dyDescent="0.25">
      <c r="A2658" s="266">
        <v>43608</v>
      </c>
      <c r="B2658" s="267">
        <v>2019</v>
      </c>
      <c r="C2658" s="267">
        <v>2019</v>
      </c>
      <c r="D2658" s="267">
        <v>1</v>
      </c>
      <c r="E2658" s="267">
        <v>1</v>
      </c>
      <c r="F2658" s="267" t="s">
        <v>944</v>
      </c>
      <c r="G2658" s="267" t="s">
        <v>3926</v>
      </c>
      <c r="H2658" s="267" t="s">
        <v>7055</v>
      </c>
      <c r="I2658" s="267" t="s">
        <v>956</v>
      </c>
      <c r="J2658" s="267" t="s">
        <v>3928</v>
      </c>
      <c r="K2658" s="267">
        <v>6615</v>
      </c>
      <c r="L2658" s="267">
        <v>80400</v>
      </c>
      <c r="M2658" s="267" t="s">
        <v>3940</v>
      </c>
      <c r="N2658" s="267" t="s">
        <v>7056</v>
      </c>
      <c r="O2658" s="267">
        <v>0</v>
      </c>
      <c r="P2658" s="267" t="s">
        <v>3930</v>
      </c>
      <c r="Q2658" s="267" t="s">
        <v>3930</v>
      </c>
      <c r="R2658" s="267">
        <v>0</v>
      </c>
      <c r="S2658" s="267">
        <v>20000</v>
      </c>
      <c r="T2658" s="267">
        <v>20000</v>
      </c>
      <c r="U2658" s="268" t="s">
        <v>3937</v>
      </c>
      <c r="V2658" s="267" t="s">
        <v>944</v>
      </c>
    </row>
    <row r="2659" spans="1:22" hidden="1" x14ac:dyDescent="0.25">
      <c r="A2659" s="269">
        <v>43608</v>
      </c>
      <c r="B2659" s="270">
        <v>2019</v>
      </c>
      <c r="C2659" s="270">
        <v>2019</v>
      </c>
      <c r="D2659" s="270">
        <v>1</v>
      </c>
      <c r="E2659" s="270">
        <v>1</v>
      </c>
      <c r="F2659" s="270" t="s">
        <v>944</v>
      </c>
      <c r="G2659" s="270" t="s">
        <v>3926</v>
      </c>
      <c r="H2659" s="270" t="s">
        <v>7057</v>
      </c>
      <c r="I2659" s="270" t="s">
        <v>4254</v>
      </c>
      <c r="J2659" s="270" t="s">
        <v>3928</v>
      </c>
      <c r="K2659" s="270">
        <v>6076</v>
      </c>
      <c r="L2659" s="270">
        <v>890100</v>
      </c>
      <c r="M2659" s="270" t="s">
        <v>3940</v>
      </c>
      <c r="N2659" s="270" t="s">
        <v>7058</v>
      </c>
      <c r="O2659" s="270">
        <v>3969</v>
      </c>
      <c r="P2659" s="270" t="s">
        <v>3930</v>
      </c>
      <c r="Q2659" s="270" t="s">
        <v>3930</v>
      </c>
      <c r="R2659" s="270">
        <v>3969</v>
      </c>
      <c r="S2659" s="270">
        <v>27685</v>
      </c>
      <c r="T2659" s="270">
        <v>31654</v>
      </c>
      <c r="U2659" s="271" t="s">
        <v>3937</v>
      </c>
      <c r="V2659" s="267" t="s">
        <v>944</v>
      </c>
    </row>
    <row r="2660" spans="1:22" hidden="1" x14ac:dyDescent="0.25">
      <c r="A2660" s="266">
        <v>43608</v>
      </c>
      <c r="B2660" s="267">
        <v>2019</v>
      </c>
      <c r="C2660" s="267">
        <v>2019</v>
      </c>
      <c r="D2660" s="267">
        <v>1</v>
      </c>
      <c r="E2660" s="267">
        <v>1</v>
      </c>
      <c r="F2660" s="267" t="s">
        <v>944</v>
      </c>
      <c r="G2660" s="267" t="s">
        <v>3926</v>
      </c>
      <c r="H2660" s="267" t="s">
        <v>7059</v>
      </c>
      <c r="I2660" s="267" t="s">
        <v>4108</v>
      </c>
      <c r="J2660" s="267" t="s">
        <v>3928</v>
      </c>
      <c r="K2660" s="267">
        <v>6082</v>
      </c>
      <c r="L2660" s="267">
        <v>481000</v>
      </c>
      <c r="M2660" s="267" t="s">
        <v>3943</v>
      </c>
      <c r="N2660" s="267" t="s">
        <v>7060</v>
      </c>
      <c r="O2660" s="267">
        <v>0</v>
      </c>
      <c r="P2660" s="267" t="s">
        <v>3930</v>
      </c>
      <c r="Q2660" s="267" t="s">
        <v>3930</v>
      </c>
      <c r="R2660" s="267">
        <v>0</v>
      </c>
      <c r="S2660" s="267">
        <v>11360</v>
      </c>
      <c r="T2660" s="267">
        <v>11360</v>
      </c>
      <c r="U2660" s="268" t="s">
        <v>3937</v>
      </c>
      <c r="V2660" s="267" t="s">
        <v>944</v>
      </c>
    </row>
    <row r="2661" spans="1:22" hidden="1" x14ac:dyDescent="0.25">
      <c r="A2661" s="269">
        <v>43608</v>
      </c>
      <c r="B2661" s="270">
        <v>2019</v>
      </c>
      <c r="C2661" s="270">
        <v>2019</v>
      </c>
      <c r="D2661" s="270">
        <v>1</v>
      </c>
      <c r="E2661" s="270">
        <v>1</v>
      </c>
      <c r="F2661" s="270" t="s">
        <v>944</v>
      </c>
      <c r="G2661" s="270" t="s">
        <v>3926</v>
      </c>
      <c r="H2661" s="270" t="s">
        <v>7061</v>
      </c>
      <c r="I2661" s="270" t="s">
        <v>4019</v>
      </c>
      <c r="J2661" s="270" t="s">
        <v>3928</v>
      </c>
      <c r="K2661" s="270">
        <v>6706</v>
      </c>
      <c r="L2661" s="270">
        <v>352800</v>
      </c>
      <c r="M2661" s="270" t="s">
        <v>3940</v>
      </c>
      <c r="N2661" s="270" t="s">
        <v>3944</v>
      </c>
      <c r="O2661" s="270">
        <v>1414</v>
      </c>
      <c r="P2661" s="270" t="s">
        <v>3944</v>
      </c>
      <c r="Q2661" s="270" t="s">
        <v>3944</v>
      </c>
      <c r="R2661" s="270">
        <v>1414</v>
      </c>
      <c r="S2661" s="270">
        <v>36151</v>
      </c>
      <c r="T2661" s="270">
        <v>37565</v>
      </c>
      <c r="U2661" s="271" t="s">
        <v>3945</v>
      </c>
      <c r="V2661" s="267" t="s">
        <v>944</v>
      </c>
    </row>
    <row r="2662" spans="1:22" hidden="1" x14ac:dyDescent="0.25">
      <c r="A2662" s="266">
        <v>43608</v>
      </c>
      <c r="B2662" s="267">
        <v>2019</v>
      </c>
      <c r="C2662" s="267">
        <v>2019</v>
      </c>
      <c r="D2662" s="267">
        <v>1</v>
      </c>
      <c r="E2662" s="267">
        <v>1</v>
      </c>
      <c r="F2662" s="267" t="s">
        <v>944</v>
      </c>
      <c r="G2662" s="267" t="s">
        <v>3926</v>
      </c>
      <c r="H2662" s="267" t="s">
        <v>7062</v>
      </c>
      <c r="I2662" s="267" t="s">
        <v>4621</v>
      </c>
      <c r="J2662" s="267" t="s">
        <v>3928</v>
      </c>
      <c r="K2662" s="267">
        <v>6443</v>
      </c>
      <c r="L2662" s="267">
        <v>194202</v>
      </c>
      <c r="M2662" s="267" t="s">
        <v>3943</v>
      </c>
      <c r="N2662" s="267" t="s">
        <v>3944</v>
      </c>
      <c r="O2662" s="267">
        <v>4907</v>
      </c>
      <c r="P2662" s="267" t="s">
        <v>3944</v>
      </c>
      <c r="Q2662" s="267" t="s">
        <v>3944</v>
      </c>
      <c r="R2662" s="267">
        <v>4907</v>
      </c>
      <c r="S2662" s="267">
        <v>35380</v>
      </c>
      <c r="T2662" s="267">
        <v>40287</v>
      </c>
      <c r="U2662" s="268" t="s">
        <v>3945</v>
      </c>
      <c r="V2662" s="267" t="s">
        <v>944</v>
      </c>
    </row>
    <row r="2663" spans="1:22" hidden="1" x14ac:dyDescent="0.25">
      <c r="A2663" s="269">
        <v>43608</v>
      </c>
      <c r="B2663" s="270">
        <v>2019</v>
      </c>
      <c r="C2663" s="270">
        <v>2019</v>
      </c>
      <c r="D2663" s="270">
        <v>1</v>
      </c>
      <c r="E2663" s="270">
        <v>1</v>
      </c>
      <c r="F2663" s="270" t="s">
        <v>944</v>
      </c>
      <c r="G2663" s="270" t="s">
        <v>3926</v>
      </c>
      <c r="H2663" s="270" t="s">
        <v>7063</v>
      </c>
      <c r="I2663" s="270" t="s">
        <v>4040</v>
      </c>
      <c r="J2663" s="270" t="s">
        <v>3928</v>
      </c>
      <c r="K2663" s="270">
        <v>6335</v>
      </c>
      <c r="L2663" s="270">
        <v>701200</v>
      </c>
      <c r="M2663" s="270" t="s">
        <v>3960</v>
      </c>
      <c r="N2663" s="270" t="s">
        <v>3944</v>
      </c>
      <c r="O2663" s="270">
        <v>4425</v>
      </c>
      <c r="P2663" s="270" t="s">
        <v>3944</v>
      </c>
      <c r="Q2663" s="270" t="s">
        <v>3944</v>
      </c>
      <c r="R2663" s="270">
        <v>4425</v>
      </c>
      <c r="S2663" s="270">
        <v>18075</v>
      </c>
      <c r="T2663" s="270">
        <v>22500</v>
      </c>
      <c r="U2663" s="271" t="s">
        <v>3945</v>
      </c>
      <c r="V2663" s="267" t="s">
        <v>944</v>
      </c>
    </row>
    <row r="2664" spans="1:22" hidden="1" x14ac:dyDescent="0.25">
      <c r="A2664" s="266">
        <v>43608</v>
      </c>
      <c r="B2664" s="267">
        <v>2019</v>
      </c>
      <c r="C2664" s="267">
        <v>2019</v>
      </c>
      <c r="D2664" s="267">
        <v>1</v>
      </c>
      <c r="E2664" s="267">
        <v>1</v>
      </c>
      <c r="F2664" s="267" t="s">
        <v>944</v>
      </c>
      <c r="G2664" s="267" t="s">
        <v>3926</v>
      </c>
      <c r="H2664" s="267" t="s">
        <v>7064</v>
      </c>
      <c r="I2664" s="267" t="s">
        <v>3971</v>
      </c>
      <c r="J2664" s="267" t="s">
        <v>3928</v>
      </c>
      <c r="K2664" s="267">
        <v>6084</v>
      </c>
      <c r="L2664" s="267">
        <v>533102</v>
      </c>
      <c r="M2664" s="267" t="s">
        <v>3943</v>
      </c>
      <c r="N2664" s="267" t="s">
        <v>3944</v>
      </c>
      <c r="O2664" s="267">
        <v>2600</v>
      </c>
      <c r="P2664" s="267" t="s">
        <v>3944</v>
      </c>
      <c r="Q2664" s="267" t="s">
        <v>3944</v>
      </c>
      <c r="R2664" s="267">
        <v>2600</v>
      </c>
      <c r="S2664" s="267">
        <v>44020</v>
      </c>
      <c r="T2664" s="267">
        <v>46620</v>
      </c>
      <c r="U2664" s="268" t="s">
        <v>3945</v>
      </c>
      <c r="V2664" s="267" t="s">
        <v>944</v>
      </c>
    </row>
    <row r="2665" spans="1:22" hidden="1" x14ac:dyDescent="0.25">
      <c r="A2665" s="269">
        <v>43608</v>
      </c>
      <c r="B2665" s="270">
        <v>2019</v>
      </c>
      <c r="C2665" s="270">
        <v>2019</v>
      </c>
      <c r="D2665" s="270">
        <v>1</v>
      </c>
      <c r="E2665" s="270">
        <v>1</v>
      </c>
      <c r="F2665" s="270" t="s">
        <v>944</v>
      </c>
      <c r="G2665" s="270" t="s">
        <v>3926</v>
      </c>
      <c r="H2665" s="270" t="s">
        <v>7065</v>
      </c>
      <c r="I2665" s="270" t="s">
        <v>4029</v>
      </c>
      <c r="J2665" s="270" t="s">
        <v>3928</v>
      </c>
      <c r="K2665" s="270">
        <v>6851</v>
      </c>
      <c r="L2665" s="270">
        <v>42800</v>
      </c>
      <c r="M2665" s="270" t="s">
        <v>3960</v>
      </c>
      <c r="N2665" s="270" t="s">
        <v>3944</v>
      </c>
      <c r="O2665" s="270">
        <v>3296</v>
      </c>
      <c r="P2665" s="270" t="s">
        <v>3944</v>
      </c>
      <c r="Q2665" s="270" t="s">
        <v>3944</v>
      </c>
      <c r="R2665" s="270">
        <v>3296</v>
      </c>
      <c r="S2665" s="270">
        <v>25171</v>
      </c>
      <c r="T2665" s="270">
        <v>28467</v>
      </c>
      <c r="U2665" s="271" t="s">
        <v>3945</v>
      </c>
      <c r="V2665" s="267" t="s">
        <v>944</v>
      </c>
    </row>
    <row r="2666" spans="1:22" hidden="1" x14ac:dyDescent="0.25">
      <c r="A2666" s="266">
        <v>43608</v>
      </c>
      <c r="B2666" s="267">
        <v>2019</v>
      </c>
      <c r="C2666" s="267">
        <v>2019</v>
      </c>
      <c r="D2666" s="267">
        <v>1</v>
      </c>
      <c r="E2666" s="267">
        <v>1</v>
      </c>
      <c r="F2666" s="267" t="s">
        <v>944</v>
      </c>
      <c r="G2666" s="267" t="s">
        <v>3926</v>
      </c>
      <c r="H2666" s="267" t="s">
        <v>7066</v>
      </c>
      <c r="I2666" s="267" t="s">
        <v>4683</v>
      </c>
      <c r="J2666" s="267" t="s">
        <v>3928</v>
      </c>
      <c r="K2666" s="267">
        <v>6762</v>
      </c>
      <c r="L2666" s="267">
        <v>344200</v>
      </c>
      <c r="M2666" s="267" t="s">
        <v>3943</v>
      </c>
      <c r="N2666" s="267" t="s">
        <v>3944</v>
      </c>
      <c r="O2666" s="267">
        <v>6780</v>
      </c>
      <c r="P2666" s="267" t="s">
        <v>3944</v>
      </c>
      <c r="Q2666" s="267" t="s">
        <v>3944</v>
      </c>
      <c r="R2666" s="267">
        <v>6780</v>
      </c>
      <c r="S2666" s="267">
        <v>44492</v>
      </c>
      <c r="T2666" s="267">
        <v>51272</v>
      </c>
      <c r="U2666" s="268" t="s">
        <v>3945</v>
      </c>
      <c r="V2666" s="267" t="s">
        <v>944</v>
      </c>
    </row>
    <row r="2667" spans="1:22" hidden="1" x14ac:dyDescent="0.25">
      <c r="A2667" s="269">
        <v>43608</v>
      </c>
      <c r="B2667" s="270">
        <v>2019</v>
      </c>
      <c r="C2667" s="270">
        <v>2019</v>
      </c>
      <c r="D2667" s="270">
        <v>1</v>
      </c>
      <c r="E2667" s="270">
        <v>1</v>
      </c>
      <c r="F2667" s="270" t="s">
        <v>944</v>
      </c>
      <c r="G2667" s="270" t="s">
        <v>3926</v>
      </c>
      <c r="H2667" s="270" t="s">
        <v>7067</v>
      </c>
      <c r="I2667" s="270" t="s">
        <v>943</v>
      </c>
      <c r="J2667" s="270" t="s">
        <v>3928</v>
      </c>
      <c r="K2667" s="270">
        <v>6511</v>
      </c>
      <c r="L2667" s="270">
        <v>141900</v>
      </c>
      <c r="M2667" s="270" t="s">
        <v>3935</v>
      </c>
      <c r="N2667" s="270" t="s">
        <v>3944</v>
      </c>
      <c r="O2667" s="270">
        <v>1091</v>
      </c>
      <c r="P2667" s="270" t="s">
        <v>3944</v>
      </c>
      <c r="Q2667" s="270" t="s">
        <v>3944</v>
      </c>
      <c r="R2667" s="270">
        <v>1091</v>
      </c>
      <c r="S2667" s="270">
        <v>12807.93</v>
      </c>
      <c r="T2667" s="270">
        <v>13898.93</v>
      </c>
      <c r="U2667" s="271" t="s">
        <v>3945</v>
      </c>
      <c r="V2667" s="267" t="s">
        <v>944</v>
      </c>
    </row>
    <row r="2668" spans="1:22" hidden="1" x14ac:dyDescent="0.25">
      <c r="A2668" s="266">
        <v>43608</v>
      </c>
      <c r="B2668" s="267">
        <v>2019</v>
      </c>
      <c r="C2668" s="267">
        <v>2019</v>
      </c>
      <c r="D2668" s="267">
        <v>1</v>
      </c>
      <c r="E2668" s="267">
        <v>1</v>
      </c>
      <c r="F2668" s="267" t="s">
        <v>944</v>
      </c>
      <c r="G2668" s="267" t="s">
        <v>3926</v>
      </c>
      <c r="H2668" s="267" t="s">
        <v>7068</v>
      </c>
      <c r="I2668" s="267" t="s">
        <v>4170</v>
      </c>
      <c r="J2668" s="267" t="s">
        <v>3928</v>
      </c>
      <c r="K2668" s="267">
        <v>6498</v>
      </c>
      <c r="L2668" s="267">
        <v>680100</v>
      </c>
      <c r="M2668" s="267" t="s">
        <v>3935</v>
      </c>
      <c r="N2668" s="267" t="s">
        <v>3944</v>
      </c>
      <c r="O2668" s="267">
        <v>1517</v>
      </c>
      <c r="P2668" s="267" t="s">
        <v>3944</v>
      </c>
      <c r="Q2668" s="267" t="s">
        <v>3944</v>
      </c>
      <c r="R2668" s="267">
        <v>1517</v>
      </c>
      <c r="S2668" s="267">
        <v>13743</v>
      </c>
      <c r="T2668" s="267">
        <v>15260</v>
      </c>
      <c r="U2668" s="268" t="s">
        <v>3945</v>
      </c>
      <c r="V2668" s="267" t="s">
        <v>944</v>
      </c>
    </row>
    <row r="2669" spans="1:22" hidden="1" x14ac:dyDescent="0.25">
      <c r="A2669" s="269">
        <v>43608</v>
      </c>
      <c r="B2669" s="270">
        <v>2019</v>
      </c>
      <c r="C2669" s="270">
        <v>2019</v>
      </c>
      <c r="D2669" s="270">
        <v>1</v>
      </c>
      <c r="E2669" s="270">
        <v>1</v>
      </c>
      <c r="F2669" s="270" t="s">
        <v>944</v>
      </c>
      <c r="G2669" s="270" t="s">
        <v>3926</v>
      </c>
      <c r="H2669" s="270" t="s">
        <v>7069</v>
      </c>
      <c r="I2669" s="270" t="s">
        <v>4114</v>
      </c>
      <c r="J2669" s="270" t="s">
        <v>3928</v>
      </c>
      <c r="K2669" s="270">
        <v>6410</v>
      </c>
      <c r="L2669" s="270">
        <v>343102</v>
      </c>
      <c r="M2669" s="270" t="s">
        <v>3943</v>
      </c>
      <c r="N2669" s="270" t="s">
        <v>3944</v>
      </c>
      <c r="O2669" s="270">
        <v>8299</v>
      </c>
      <c r="P2669" s="270" t="s">
        <v>3944</v>
      </c>
      <c r="Q2669" s="270" t="s">
        <v>3944</v>
      </c>
      <c r="R2669" s="270">
        <v>8299</v>
      </c>
      <c r="S2669" s="270">
        <v>49546.2</v>
      </c>
      <c r="T2669" s="270">
        <v>57845.2</v>
      </c>
      <c r="U2669" s="271" t="s">
        <v>3945</v>
      </c>
      <c r="V2669" s="267" t="s">
        <v>944</v>
      </c>
    </row>
    <row r="2670" spans="1:22" hidden="1" x14ac:dyDescent="0.25">
      <c r="A2670" s="266">
        <v>43608</v>
      </c>
      <c r="B2670" s="267">
        <v>2019</v>
      </c>
      <c r="C2670" s="267">
        <v>2019</v>
      </c>
      <c r="D2670" s="267">
        <v>1</v>
      </c>
      <c r="E2670" s="267">
        <v>1</v>
      </c>
      <c r="F2670" s="267" t="s">
        <v>944</v>
      </c>
      <c r="G2670" s="267" t="s">
        <v>3926</v>
      </c>
      <c r="H2670" s="267" t="s">
        <v>7070</v>
      </c>
      <c r="I2670" s="267" t="s">
        <v>4239</v>
      </c>
      <c r="J2670" s="267" t="s">
        <v>3928</v>
      </c>
      <c r="K2670" s="267">
        <v>6032</v>
      </c>
      <c r="L2670" s="267">
        <v>460202</v>
      </c>
      <c r="M2670" s="267" t="s">
        <v>3960</v>
      </c>
      <c r="N2670" s="267" t="s">
        <v>3944</v>
      </c>
      <c r="O2670" s="267">
        <v>6381</v>
      </c>
      <c r="P2670" s="267" t="s">
        <v>3944</v>
      </c>
      <c r="Q2670" s="267" t="s">
        <v>3944</v>
      </c>
      <c r="R2670" s="267">
        <v>6381</v>
      </c>
      <c r="S2670" s="267">
        <v>37309.5</v>
      </c>
      <c r="T2670" s="267">
        <v>43690.5</v>
      </c>
      <c r="U2670" s="268" t="s">
        <v>3945</v>
      </c>
      <c r="V2670" s="267" t="s">
        <v>944</v>
      </c>
    </row>
    <row r="2671" spans="1:22" hidden="1" x14ac:dyDescent="0.25">
      <c r="A2671" s="269">
        <v>43608</v>
      </c>
      <c r="B2671" s="270">
        <v>2019</v>
      </c>
      <c r="C2671" s="270">
        <v>2019</v>
      </c>
      <c r="D2671" s="270">
        <v>1</v>
      </c>
      <c r="E2671" s="270">
        <v>1</v>
      </c>
      <c r="F2671" s="270" t="s">
        <v>944</v>
      </c>
      <c r="G2671" s="270" t="s">
        <v>3926</v>
      </c>
      <c r="H2671" s="270" t="s">
        <v>7071</v>
      </c>
      <c r="I2671" s="270" t="s">
        <v>4046</v>
      </c>
      <c r="J2671" s="270" t="s">
        <v>3928</v>
      </c>
      <c r="K2671" s="270">
        <v>6281</v>
      </c>
      <c r="L2671" s="270">
        <v>901100</v>
      </c>
      <c r="M2671" s="270" t="s">
        <v>3960</v>
      </c>
      <c r="N2671" s="270" t="s">
        <v>3944</v>
      </c>
      <c r="O2671" s="270">
        <v>5833</v>
      </c>
      <c r="P2671" s="270" t="s">
        <v>3944</v>
      </c>
      <c r="Q2671" s="270" t="s">
        <v>3944</v>
      </c>
      <c r="R2671" s="270">
        <v>5833</v>
      </c>
      <c r="S2671" s="270">
        <v>36747.9</v>
      </c>
      <c r="T2671" s="270">
        <v>42580.9</v>
      </c>
      <c r="U2671" s="271" t="s">
        <v>3945</v>
      </c>
      <c r="V2671" s="267" t="s">
        <v>944</v>
      </c>
    </row>
    <row r="2672" spans="1:22" hidden="1" x14ac:dyDescent="0.25">
      <c r="A2672" s="266">
        <v>43608</v>
      </c>
      <c r="B2672" s="267">
        <v>2019</v>
      </c>
      <c r="C2672" s="267">
        <v>2019</v>
      </c>
      <c r="D2672" s="267">
        <v>1</v>
      </c>
      <c r="E2672" s="267">
        <v>1</v>
      </c>
      <c r="F2672" s="267" t="s">
        <v>944</v>
      </c>
      <c r="G2672" s="267" t="s">
        <v>3926</v>
      </c>
      <c r="H2672" s="267" t="s">
        <v>7072</v>
      </c>
      <c r="I2672" s="267" t="s">
        <v>3934</v>
      </c>
      <c r="J2672" s="267" t="s">
        <v>3928</v>
      </c>
      <c r="K2672" s="267">
        <v>6405</v>
      </c>
      <c r="L2672" s="267">
        <v>184500</v>
      </c>
      <c r="M2672" s="267" t="s">
        <v>3935</v>
      </c>
      <c r="N2672" s="267" t="s">
        <v>3944</v>
      </c>
      <c r="O2672" s="267">
        <v>8629</v>
      </c>
      <c r="P2672" s="267" t="s">
        <v>3944</v>
      </c>
      <c r="Q2672" s="267" t="s">
        <v>3944</v>
      </c>
      <c r="R2672" s="267">
        <v>8629</v>
      </c>
      <c r="S2672" s="267">
        <v>85683.35</v>
      </c>
      <c r="T2672" s="267">
        <v>94312.35</v>
      </c>
      <c r="U2672" s="268" t="s">
        <v>3945</v>
      </c>
      <c r="V2672" s="267" t="s">
        <v>944</v>
      </c>
    </row>
    <row r="2673" spans="1:22" hidden="1" x14ac:dyDescent="0.25">
      <c r="A2673" s="269">
        <v>43608</v>
      </c>
      <c r="B2673" s="270">
        <v>2019</v>
      </c>
      <c r="C2673" s="270">
        <v>2019</v>
      </c>
      <c r="D2673" s="270">
        <v>1</v>
      </c>
      <c r="E2673" s="270">
        <v>1</v>
      </c>
      <c r="F2673" s="270" t="s">
        <v>944</v>
      </c>
      <c r="G2673" s="270" t="s">
        <v>3926</v>
      </c>
      <c r="H2673" s="270" t="s">
        <v>7073</v>
      </c>
      <c r="I2673" s="270" t="s">
        <v>956</v>
      </c>
      <c r="J2673" s="270" t="s">
        <v>3928</v>
      </c>
      <c r="K2673" s="270">
        <v>6614</v>
      </c>
      <c r="L2673" s="270">
        <v>80900</v>
      </c>
      <c r="M2673" s="270" t="s">
        <v>3960</v>
      </c>
      <c r="N2673" s="270" t="s">
        <v>3944</v>
      </c>
      <c r="O2673" s="270">
        <v>1784.44</v>
      </c>
      <c r="P2673" s="270" t="s">
        <v>3944</v>
      </c>
      <c r="Q2673" s="270" t="s">
        <v>3944</v>
      </c>
      <c r="R2673" s="270">
        <v>1784.44</v>
      </c>
      <c r="S2673" s="270">
        <v>27383.3</v>
      </c>
      <c r="T2673" s="270">
        <v>29167.74</v>
      </c>
      <c r="U2673" s="271" t="s">
        <v>3945</v>
      </c>
      <c r="V2673" s="267" t="s">
        <v>944</v>
      </c>
    </row>
    <row r="2674" spans="1:22" hidden="1" x14ac:dyDescent="0.25">
      <c r="A2674" s="266">
        <v>43608</v>
      </c>
      <c r="B2674" s="267">
        <v>2019</v>
      </c>
      <c r="C2674" s="267">
        <v>2019</v>
      </c>
      <c r="D2674" s="267">
        <v>1</v>
      </c>
      <c r="E2674" s="267">
        <v>1</v>
      </c>
      <c r="F2674" s="267" t="s">
        <v>944</v>
      </c>
      <c r="G2674" s="267" t="s">
        <v>3926</v>
      </c>
      <c r="H2674" s="267" t="s">
        <v>7074</v>
      </c>
      <c r="I2674" s="267" t="s">
        <v>4040</v>
      </c>
      <c r="J2674" s="267" t="s">
        <v>3928</v>
      </c>
      <c r="K2674" s="267">
        <v>6339</v>
      </c>
      <c r="L2674" s="267">
        <v>701100</v>
      </c>
      <c r="M2674" s="267" t="s">
        <v>3960</v>
      </c>
      <c r="N2674" s="267" t="s">
        <v>3944</v>
      </c>
      <c r="O2674" s="267">
        <v>2648.24</v>
      </c>
      <c r="P2674" s="267" t="s">
        <v>3944</v>
      </c>
      <c r="Q2674" s="267" t="s">
        <v>3944</v>
      </c>
      <c r="R2674" s="267">
        <v>2648.24</v>
      </c>
      <c r="S2674" s="267">
        <v>49144.39</v>
      </c>
      <c r="T2674" s="267">
        <v>51792.63</v>
      </c>
      <c r="U2674" s="268" t="s">
        <v>3945</v>
      </c>
      <c r="V2674" s="267" t="s">
        <v>944</v>
      </c>
    </row>
    <row r="2675" spans="1:22" hidden="1" x14ac:dyDescent="0.25">
      <c r="A2675" s="269">
        <v>43608</v>
      </c>
      <c r="B2675" s="270">
        <v>2019</v>
      </c>
      <c r="C2675" s="270">
        <v>2019</v>
      </c>
      <c r="D2675" s="270">
        <v>1</v>
      </c>
      <c r="E2675" s="270">
        <v>1</v>
      </c>
      <c r="F2675" s="270" t="s">
        <v>944</v>
      </c>
      <c r="G2675" s="270" t="s">
        <v>3926</v>
      </c>
      <c r="H2675" s="270" t="s">
        <v>7075</v>
      </c>
      <c r="I2675" s="270" t="s">
        <v>4323</v>
      </c>
      <c r="J2675" s="270" t="s">
        <v>3928</v>
      </c>
      <c r="K2675" s="270">
        <v>6375</v>
      </c>
      <c r="L2675" s="270">
        <v>693600</v>
      </c>
      <c r="M2675" s="270" t="s">
        <v>3960</v>
      </c>
      <c r="N2675" s="270" t="s">
        <v>3944</v>
      </c>
      <c r="O2675" s="270">
        <v>1342.25</v>
      </c>
      <c r="P2675" s="270" t="s">
        <v>3944</v>
      </c>
      <c r="Q2675" s="270" t="s">
        <v>3944</v>
      </c>
      <c r="R2675" s="270">
        <v>1342.25</v>
      </c>
      <c r="S2675" s="270">
        <v>20791.939999999999</v>
      </c>
      <c r="T2675" s="270">
        <v>22134.19</v>
      </c>
      <c r="U2675" s="271" t="s">
        <v>3945</v>
      </c>
      <c r="V2675" s="267" t="s">
        <v>944</v>
      </c>
    </row>
    <row r="2676" spans="1:22" hidden="1" x14ac:dyDescent="0.25">
      <c r="A2676" s="266">
        <v>43608</v>
      </c>
      <c r="B2676" s="267">
        <v>2019</v>
      </c>
      <c r="C2676" s="267">
        <v>2019</v>
      </c>
      <c r="D2676" s="267">
        <v>1</v>
      </c>
      <c r="E2676" s="267">
        <v>1</v>
      </c>
      <c r="F2676" s="267" t="s">
        <v>944</v>
      </c>
      <c r="G2676" s="267" t="s">
        <v>3926</v>
      </c>
      <c r="H2676" s="267" t="s">
        <v>7076</v>
      </c>
      <c r="I2676" s="267" t="s">
        <v>3025</v>
      </c>
      <c r="J2676" s="267" t="s">
        <v>3928</v>
      </c>
      <c r="K2676" s="267">
        <v>6473</v>
      </c>
      <c r="L2676" s="267">
        <v>167300</v>
      </c>
      <c r="M2676" s="267" t="s">
        <v>3943</v>
      </c>
      <c r="N2676" s="267" t="s">
        <v>3944</v>
      </c>
      <c r="O2676" s="267">
        <v>1997.63</v>
      </c>
      <c r="P2676" s="267" t="s">
        <v>3944</v>
      </c>
      <c r="Q2676" s="267" t="s">
        <v>3944</v>
      </c>
      <c r="R2676" s="267">
        <v>1997.63</v>
      </c>
      <c r="S2676" s="267">
        <v>29997.22</v>
      </c>
      <c r="T2676" s="267">
        <v>31994.85</v>
      </c>
      <c r="U2676" s="268" t="s">
        <v>3945</v>
      </c>
      <c r="V2676" s="267" t="s">
        <v>944</v>
      </c>
    </row>
    <row r="2677" spans="1:22" hidden="1" x14ac:dyDescent="0.25">
      <c r="A2677" s="269">
        <v>43608</v>
      </c>
      <c r="B2677" s="270">
        <v>2019</v>
      </c>
      <c r="C2677" s="270">
        <v>2019</v>
      </c>
      <c r="D2677" s="270">
        <v>1</v>
      </c>
      <c r="E2677" s="270">
        <v>1</v>
      </c>
      <c r="F2677" s="270" t="s">
        <v>944</v>
      </c>
      <c r="G2677" s="270" t="s">
        <v>3926</v>
      </c>
      <c r="H2677" s="270" t="s">
        <v>7077</v>
      </c>
      <c r="I2677" s="270" t="s">
        <v>3008</v>
      </c>
      <c r="J2677" s="270" t="s">
        <v>3928</v>
      </c>
      <c r="K2677" s="270">
        <v>6460</v>
      </c>
      <c r="L2677" s="270">
        <v>151100</v>
      </c>
      <c r="M2677" s="270" t="s">
        <v>3960</v>
      </c>
      <c r="N2677" s="270" t="s">
        <v>3944</v>
      </c>
      <c r="O2677" s="270">
        <v>1065.4000000000001</v>
      </c>
      <c r="P2677" s="270" t="s">
        <v>3944</v>
      </c>
      <c r="Q2677" s="270" t="s">
        <v>3944</v>
      </c>
      <c r="R2677" s="270">
        <v>1065.4000000000001</v>
      </c>
      <c r="S2677" s="270">
        <v>16123.56</v>
      </c>
      <c r="T2677" s="270">
        <v>17188.96</v>
      </c>
      <c r="U2677" s="271" t="s">
        <v>3945</v>
      </c>
      <c r="V2677" s="267" t="s">
        <v>944</v>
      </c>
    </row>
    <row r="2678" spans="1:22" hidden="1" x14ac:dyDescent="0.25">
      <c r="A2678" s="266">
        <v>43608</v>
      </c>
      <c r="B2678" s="267">
        <v>2019</v>
      </c>
      <c r="C2678" s="267">
        <v>2019</v>
      </c>
      <c r="D2678" s="267">
        <v>1</v>
      </c>
      <c r="E2678" s="267">
        <v>1</v>
      </c>
      <c r="F2678" s="267" t="s">
        <v>944</v>
      </c>
      <c r="G2678" s="267" t="s">
        <v>3926</v>
      </c>
      <c r="H2678" s="267" t="s">
        <v>7078</v>
      </c>
      <c r="I2678" s="267" t="s">
        <v>950</v>
      </c>
      <c r="J2678" s="267" t="s">
        <v>3928</v>
      </c>
      <c r="K2678" s="267">
        <v>6516</v>
      </c>
      <c r="L2678" s="267">
        <v>154900</v>
      </c>
      <c r="M2678" s="267" t="s">
        <v>3935</v>
      </c>
      <c r="N2678" s="267" t="s">
        <v>3944</v>
      </c>
      <c r="O2678" s="267">
        <v>2224.7399999999998</v>
      </c>
      <c r="P2678" s="267" t="s">
        <v>3944</v>
      </c>
      <c r="Q2678" s="267" t="s">
        <v>3944</v>
      </c>
      <c r="R2678" s="267">
        <v>2224.7399999999998</v>
      </c>
      <c r="S2678" s="267">
        <v>32453.68</v>
      </c>
      <c r="T2678" s="267">
        <v>34678.42</v>
      </c>
      <c r="U2678" s="268" t="s">
        <v>3945</v>
      </c>
      <c r="V2678" s="267" t="s">
        <v>944</v>
      </c>
    </row>
    <row r="2679" spans="1:22" hidden="1" x14ac:dyDescent="0.25">
      <c r="A2679" s="269">
        <v>43609</v>
      </c>
      <c r="B2679" s="270">
        <v>2019</v>
      </c>
      <c r="C2679" s="270">
        <v>2019</v>
      </c>
      <c r="D2679" s="270">
        <v>1</v>
      </c>
      <c r="E2679" s="270">
        <v>1</v>
      </c>
      <c r="F2679" s="270" t="s">
        <v>944</v>
      </c>
      <c r="G2679" s="270" t="s">
        <v>3926</v>
      </c>
      <c r="H2679" s="270" t="s">
        <v>7079</v>
      </c>
      <c r="I2679" s="270" t="s">
        <v>5127</v>
      </c>
      <c r="J2679" s="270" t="s">
        <v>3928</v>
      </c>
      <c r="K2679" s="270">
        <v>6759</v>
      </c>
      <c r="L2679" s="270">
        <v>300100</v>
      </c>
      <c r="M2679" s="270" t="s">
        <v>3960</v>
      </c>
      <c r="N2679" s="270" t="s">
        <v>4732</v>
      </c>
      <c r="O2679" s="270">
        <v>0</v>
      </c>
      <c r="P2679" s="270" t="s">
        <v>3930</v>
      </c>
      <c r="Q2679" s="270" t="s">
        <v>3930</v>
      </c>
      <c r="R2679" s="270">
        <v>0</v>
      </c>
      <c r="S2679" s="270">
        <v>9000</v>
      </c>
      <c r="T2679" s="270">
        <v>9000</v>
      </c>
      <c r="U2679" s="271" t="s">
        <v>3937</v>
      </c>
      <c r="V2679" s="267" t="s">
        <v>944</v>
      </c>
    </row>
    <row r="2680" spans="1:22" hidden="1" x14ac:dyDescent="0.25">
      <c r="A2680" s="266">
        <v>43609</v>
      </c>
      <c r="B2680" s="267">
        <v>2019</v>
      </c>
      <c r="C2680" s="267">
        <v>2019</v>
      </c>
      <c r="D2680" s="267">
        <v>1</v>
      </c>
      <c r="E2680" s="267">
        <v>1</v>
      </c>
      <c r="F2680" s="267" t="s">
        <v>944</v>
      </c>
      <c r="G2680" s="267" t="s">
        <v>3926</v>
      </c>
      <c r="H2680" s="267" t="s">
        <v>7080</v>
      </c>
      <c r="I2680" s="267" t="s">
        <v>4124</v>
      </c>
      <c r="J2680" s="267" t="s">
        <v>3928</v>
      </c>
      <c r="K2680" s="267">
        <v>6470</v>
      </c>
      <c r="L2680" s="267">
        <v>230300</v>
      </c>
      <c r="M2680" s="267" t="s">
        <v>3943</v>
      </c>
      <c r="N2680" s="267" t="s">
        <v>4103</v>
      </c>
      <c r="O2680" s="267">
        <v>1408.44</v>
      </c>
      <c r="P2680" s="267" t="s">
        <v>3930</v>
      </c>
      <c r="Q2680" s="267" t="s">
        <v>3931</v>
      </c>
      <c r="R2680" s="267">
        <v>6408.44</v>
      </c>
      <c r="S2680" s="267">
        <v>24145.599999999999</v>
      </c>
      <c r="T2680" s="267">
        <v>30554.04</v>
      </c>
      <c r="U2680" s="268" t="s">
        <v>3932</v>
      </c>
      <c r="V2680" s="267" t="s">
        <v>944</v>
      </c>
    </row>
    <row r="2681" spans="1:22" x14ac:dyDescent="0.25">
      <c r="A2681" s="269">
        <v>43609</v>
      </c>
      <c r="B2681" s="270">
        <v>2019</v>
      </c>
      <c r="C2681" s="270">
        <v>2019</v>
      </c>
      <c r="D2681" s="270">
        <v>1</v>
      </c>
      <c r="E2681" s="270">
        <v>1</v>
      </c>
      <c r="F2681" s="270" t="s">
        <v>944</v>
      </c>
      <c r="G2681" s="270" t="s">
        <v>3926</v>
      </c>
      <c r="H2681" s="270" t="s">
        <v>7081</v>
      </c>
      <c r="I2681" s="270" t="s">
        <v>953</v>
      </c>
      <c r="J2681" s="270" t="s">
        <v>3928</v>
      </c>
      <c r="K2681" s="270">
        <v>6514</v>
      </c>
      <c r="L2681" s="270">
        <v>165500</v>
      </c>
      <c r="M2681" s="270">
        <v>-60</v>
      </c>
      <c r="N2681" s="270" t="s">
        <v>6077</v>
      </c>
      <c r="O2681" s="270">
        <v>1204.1400000000001</v>
      </c>
      <c r="P2681" s="270" t="s">
        <v>3930</v>
      </c>
      <c r="Q2681" s="270" t="s">
        <v>3931</v>
      </c>
      <c r="R2681" s="270">
        <v>6204.14</v>
      </c>
      <c r="S2681" s="270">
        <v>17680</v>
      </c>
      <c r="T2681" s="270">
        <v>23884.14</v>
      </c>
      <c r="U2681" s="271" t="s">
        <v>3932</v>
      </c>
      <c r="V2681" s="276" t="s">
        <v>936</v>
      </c>
    </row>
    <row r="2682" spans="1:22" hidden="1" x14ac:dyDescent="0.25">
      <c r="A2682" s="266">
        <v>43609</v>
      </c>
      <c r="B2682" s="267">
        <v>2019</v>
      </c>
      <c r="C2682" s="267">
        <v>2019</v>
      </c>
      <c r="D2682" s="267">
        <v>1</v>
      </c>
      <c r="E2682" s="267">
        <v>1</v>
      </c>
      <c r="F2682" s="267" t="s">
        <v>944</v>
      </c>
      <c r="G2682" s="267" t="s">
        <v>3926</v>
      </c>
      <c r="H2682" s="267" t="s">
        <v>7082</v>
      </c>
      <c r="I2682" s="267" t="s">
        <v>4003</v>
      </c>
      <c r="J2682" s="267" t="s">
        <v>3928</v>
      </c>
      <c r="K2682" s="267">
        <v>6374</v>
      </c>
      <c r="L2682" s="267">
        <v>907300</v>
      </c>
      <c r="M2682" s="267" t="s">
        <v>3935</v>
      </c>
      <c r="N2682" s="267" t="s">
        <v>6079</v>
      </c>
      <c r="O2682" s="267">
        <v>1998.47</v>
      </c>
      <c r="P2682" s="267" t="s">
        <v>3930</v>
      </c>
      <c r="Q2682" s="267" t="s">
        <v>3931</v>
      </c>
      <c r="R2682" s="267">
        <v>6998.47</v>
      </c>
      <c r="S2682" s="267">
        <v>24808</v>
      </c>
      <c r="T2682" s="267">
        <v>31806.47</v>
      </c>
      <c r="U2682" s="268" t="s">
        <v>3932</v>
      </c>
      <c r="V2682" s="267" t="s">
        <v>944</v>
      </c>
    </row>
    <row r="2683" spans="1:22" hidden="1" x14ac:dyDescent="0.25">
      <c r="A2683" s="269">
        <v>43609</v>
      </c>
      <c r="B2683" s="270">
        <v>2019</v>
      </c>
      <c r="C2683" s="270">
        <v>2019</v>
      </c>
      <c r="D2683" s="270">
        <v>1</v>
      </c>
      <c r="E2683" s="270">
        <v>1</v>
      </c>
      <c r="F2683" s="270" t="s">
        <v>944</v>
      </c>
      <c r="G2683" s="270" t="s">
        <v>3926</v>
      </c>
      <c r="H2683" s="270" t="s">
        <v>7083</v>
      </c>
      <c r="I2683" s="270" t="s">
        <v>4295</v>
      </c>
      <c r="J2683" s="270" t="s">
        <v>3928</v>
      </c>
      <c r="K2683" s="270">
        <v>6043</v>
      </c>
      <c r="L2683" s="270">
        <v>529100</v>
      </c>
      <c r="M2683" s="270" t="s">
        <v>3943</v>
      </c>
      <c r="N2683" s="270" t="s">
        <v>3986</v>
      </c>
      <c r="O2683" s="270">
        <v>1164.31</v>
      </c>
      <c r="P2683" s="270" t="s">
        <v>3930</v>
      </c>
      <c r="Q2683" s="270" t="s">
        <v>3931</v>
      </c>
      <c r="R2683" s="270">
        <v>6164.31</v>
      </c>
      <c r="S2683" s="270">
        <v>16196.8</v>
      </c>
      <c r="T2683" s="270">
        <v>22361.11</v>
      </c>
      <c r="U2683" s="271" t="s">
        <v>3932</v>
      </c>
      <c r="V2683" s="267" t="s">
        <v>944</v>
      </c>
    </row>
    <row r="2684" spans="1:22" hidden="1" x14ac:dyDescent="0.25">
      <c r="A2684" s="266">
        <v>43609</v>
      </c>
      <c r="B2684" s="267">
        <v>2019</v>
      </c>
      <c r="C2684" s="267">
        <v>2019</v>
      </c>
      <c r="D2684" s="267">
        <v>1</v>
      </c>
      <c r="E2684" s="267">
        <v>1</v>
      </c>
      <c r="F2684" s="267" t="s">
        <v>944</v>
      </c>
      <c r="G2684" s="267" t="s">
        <v>3926</v>
      </c>
      <c r="H2684" s="267" t="s">
        <v>7084</v>
      </c>
      <c r="I2684" s="267" t="s">
        <v>3993</v>
      </c>
      <c r="J2684" s="267" t="s">
        <v>3928</v>
      </c>
      <c r="K2684" s="267">
        <v>6415</v>
      </c>
      <c r="L2684" s="267">
        <v>714103</v>
      </c>
      <c r="M2684" s="267" t="s">
        <v>3943</v>
      </c>
      <c r="N2684" s="267" t="s">
        <v>7085</v>
      </c>
      <c r="O2684" s="267">
        <v>0</v>
      </c>
      <c r="P2684" s="267" t="s">
        <v>3930</v>
      </c>
      <c r="Q2684" s="267" t="s">
        <v>3930</v>
      </c>
      <c r="R2684" s="267">
        <v>0</v>
      </c>
      <c r="S2684" s="267">
        <v>11000</v>
      </c>
      <c r="T2684" s="267">
        <v>11000</v>
      </c>
      <c r="U2684" s="268" t="s">
        <v>3937</v>
      </c>
      <c r="V2684" s="267" t="s">
        <v>944</v>
      </c>
    </row>
    <row r="2685" spans="1:22" hidden="1" x14ac:dyDescent="0.25">
      <c r="A2685" s="269">
        <v>43609</v>
      </c>
      <c r="B2685" s="270">
        <v>2019</v>
      </c>
      <c r="C2685" s="270">
        <v>2019</v>
      </c>
      <c r="D2685" s="270">
        <v>1</v>
      </c>
      <c r="E2685" s="270">
        <v>1</v>
      </c>
      <c r="F2685" s="270" t="s">
        <v>944</v>
      </c>
      <c r="G2685" s="270" t="s">
        <v>3926</v>
      </c>
      <c r="H2685" s="270" t="s">
        <v>7086</v>
      </c>
      <c r="I2685" s="270" t="s">
        <v>4871</v>
      </c>
      <c r="J2685" s="270" t="s">
        <v>3928</v>
      </c>
      <c r="K2685" s="270">
        <v>6877</v>
      </c>
      <c r="L2685" s="270">
        <v>245600</v>
      </c>
      <c r="M2685" s="270" t="s">
        <v>3943</v>
      </c>
      <c r="N2685" s="270" t="s">
        <v>3944</v>
      </c>
      <c r="O2685" s="270">
        <v>4892</v>
      </c>
      <c r="P2685" s="270" t="s">
        <v>3944</v>
      </c>
      <c r="Q2685" s="270" t="s">
        <v>3944</v>
      </c>
      <c r="R2685" s="270">
        <v>4892</v>
      </c>
      <c r="S2685" s="270">
        <v>39765.300000000003</v>
      </c>
      <c r="T2685" s="270">
        <v>44657.3</v>
      </c>
      <c r="U2685" s="271" t="s">
        <v>3945</v>
      </c>
      <c r="V2685" s="267" t="s">
        <v>944</v>
      </c>
    </row>
    <row r="2686" spans="1:22" hidden="1" x14ac:dyDescent="0.25">
      <c r="A2686" s="266">
        <v>43609</v>
      </c>
      <c r="B2686" s="267">
        <v>2019</v>
      </c>
      <c r="C2686" s="267">
        <v>2019</v>
      </c>
      <c r="D2686" s="267">
        <v>1</v>
      </c>
      <c r="E2686" s="267">
        <v>1</v>
      </c>
      <c r="F2686" s="267" t="s">
        <v>944</v>
      </c>
      <c r="G2686" s="267" t="s">
        <v>3926</v>
      </c>
      <c r="H2686" s="267" t="s">
        <v>7087</v>
      </c>
      <c r="I2686" s="267" t="s">
        <v>4147</v>
      </c>
      <c r="J2686" s="267" t="s">
        <v>3928</v>
      </c>
      <c r="K2686" s="267">
        <v>6109</v>
      </c>
      <c r="L2686" s="267">
        <v>492100</v>
      </c>
      <c r="M2686" s="267" t="s">
        <v>3960</v>
      </c>
      <c r="N2686" s="267" t="s">
        <v>3944</v>
      </c>
      <c r="O2686" s="267">
        <v>2587</v>
      </c>
      <c r="P2686" s="267" t="s">
        <v>3944</v>
      </c>
      <c r="Q2686" s="267" t="s">
        <v>3944</v>
      </c>
      <c r="R2686" s="267">
        <v>2587</v>
      </c>
      <c r="S2686" s="267">
        <v>19445</v>
      </c>
      <c r="T2686" s="267">
        <v>22032</v>
      </c>
      <c r="U2686" s="268" t="s">
        <v>3945</v>
      </c>
      <c r="V2686" s="267" t="s">
        <v>944</v>
      </c>
    </row>
    <row r="2687" spans="1:22" hidden="1" x14ac:dyDescent="0.25">
      <c r="A2687" s="269">
        <v>43609</v>
      </c>
      <c r="B2687" s="270">
        <v>2019</v>
      </c>
      <c r="C2687" s="270">
        <v>2019</v>
      </c>
      <c r="D2687" s="270">
        <v>1</v>
      </c>
      <c r="E2687" s="270">
        <v>1</v>
      </c>
      <c r="F2687" s="270" t="s">
        <v>944</v>
      </c>
      <c r="G2687" s="270" t="s">
        <v>3926</v>
      </c>
      <c r="H2687" s="270" t="s">
        <v>7088</v>
      </c>
      <c r="I2687" s="270" t="s">
        <v>4124</v>
      </c>
      <c r="J2687" s="270" t="s">
        <v>3928</v>
      </c>
      <c r="K2687" s="270">
        <v>6470</v>
      </c>
      <c r="L2687" s="270">
        <v>230300</v>
      </c>
      <c r="M2687" s="270" t="s">
        <v>3943</v>
      </c>
      <c r="N2687" s="270" t="s">
        <v>3944</v>
      </c>
      <c r="O2687" s="270">
        <v>7887</v>
      </c>
      <c r="P2687" s="270" t="s">
        <v>3944</v>
      </c>
      <c r="Q2687" s="270" t="s">
        <v>3944</v>
      </c>
      <c r="R2687" s="270">
        <v>7887</v>
      </c>
      <c r="S2687" s="270">
        <v>64619</v>
      </c>
      <c r="T2687" s="270">
        <v>72506</v>
      </c>
      <c r="U2687" s="271" t="s">
        <v>3945</v>
      </c>
      <c r="V2687" s="267" t="s">
        <v>944</v>
      </c>
    </row>
    <row r="2688" spans="1:22" hidden="1" x14ac:dyDescent="0.25">
      <c r="A2688" s="266">
        <v>43609</v>
      </c>
      <c r="B2688" s="267">
        <v>2019</v>
      </c>
      <c r="C2688" s="267">
        <v>2019</v>
      </c>
      <c r="D2688" s="267">
        <v>1</v>
      </c>
      <c r="E2688" s="267">
        <v>1</v>
      </c>
      <c r="F2688" s="267" t="s">
        <v>944</v>
      </c>
      <c r="G2688" s="267" t="s">
        <v>3926</v>
      </c>
      <c r="H2688" s="267" t="s">
        <v>7089</v>
      </c>
      <c r="I2688" s="267" t="s">
        <v>4621</v>
      </c>
      <c r="J2688" s="267" t="s">
        <v>3928</v>
      </c>
      <c r="K2688" s="267">
        <v>6443</v>
      </c>
      <c r="L2688" s="267">
        <v>194202</v>
      </c>
      <c r="M2688" s="267" t="s">
        <v>3943</v>
      </c>
      <c r="N2688" s="267" t="s">
        <v>3944</v>
      </c>
      <c r="O2688" s="267">
        <v>6389</v>
      </c>
      <c r="P2688" s="267" t="s">
        <v>3944</v>
      </c>
      <c r="Q2688" s="267" t="s">
        <v>3944</v>
      </c>
      <c r="R2688" s="267">
        <v>6389</v>
      </c>
      <c r="S2688" s="267">
        <v>51492.25</v>
      </c>
      <c r="T2688" s="267">
        <v>57881.25</v>
      </c>
      <c r="U2688" s="268" t="s">
        <v>3945</v>
      </c>
      <c r="V2688" s="267" t="s">
        <v>944</v>
      </c>
    </row>
    <row r="2689" spans="1:22" hidden="1" x14ac:dyDescent="0.25">
      <c r="A2689" s="269">
        <v>43609</v>
      </c>
      <c r="B2689" s="270">
        <v>2019</v>
      </c>
      <c r="C2689" s="270">
        <v>2019</v>
      </c>
      <c r="D2689" s="270">
        <v>1</v>
      </c>
      <c r="E2689" s="270">
        <v>1</v>
      </c>
      <c r="F2689" s="270" t="s">
        <v>944</v>
      </c>
      <c r="G2689" s="270" t="s">
        <v>3926</v>
      </c>
      <c r="H2689" s="270" t="s">
        <v>7090</v>
      </c>
      <c r="I2689" s="270" t="s">
        <v>3968</v>
      </c>
      <c r="J2689" s="270" t="s">
        <v>3928</v>
      </c>
      <c r="K2689" s="270">
        <v>6040</v>
      </c>
      <c r="L2689" s="270">
        <v>515000</v>
      </c>
      <c r="M2689" s="270" t="s">
        <v>3943</v>
      </c>
      <c r="N2689" s="270" t="s">
        <v>3944</v>
      </c>
      <c r="O2689" s="270">
        <v>1217</v>
      </c>
      <c r="P2689" s="270" t="s">
        <v>3944</v>
      </c>
      <c r="Q2689" s="270" t="s">
        <v>3944</v>
      </c>
      <c r="R2689" s="270">
        <v>1217</v>
      </c>
      <c r="S2689" s="270">
        <v>10406.5</v>
      </c>
      <c r="T2689" s="270">
        <v>11623.5</v>
      </c>
      <c r="U2689" s="271" t="s">
        <v>3945</v>
      </c>
      <c r="V2689" s="267" t="s">
        <v>944</v>
      </c>
    </row>
    <row r="2690" spans="1:22" hidden="1" x14ac:dyDescent="0.25">
      <c r="A2690" s="266">
        <v>43609</v>
      </c>
      <c r="B2690" s="267">
        <v>2019</v>
      </c>
      <c r="C2690" s="267">
        <v>2019</v>
      </c>
      <c r="D2690" s="267">
        <v>1</v>
      </c>
      <c r="E2690" s="267">
        <v>1</v>
      </c>
      <c r="F2690" s="267" t="s">
        <v>944</v>
      </c>
      <c r="G2690" s="267" t="s">
        <v>3926</v>
      </c>
      <c r="H2690" s="267" t="s">
        <v>7091</v>
      </c>
      <c r="I2690" s="267" t="s">
        <v>4269</v>
      </c>
      <c r="J2690" s="267" t="s">
        <v>3928</v>
      </c>
      <c r="K2690" s="267">
        <v>6117</v>
      </c>
      <c r="L2690" s="267">
        <v>497200</v>
      </c>
      <c r="M2690" s="267" t="s">
        <v>3943</v>
      </c>
      <c r="N2690" s="267" t="s">
        <v>3944</v>
      </c>
      <c r="O2690" s="267">
        <v>4707</v>
      </c>
      <c r="P2690" s="267" t="s">
        <v>3944</v>
      </c>
      <c r="Q2690" s="267" t="s">
        <v>3944</v>
      </c>
      <c r="R2690" s="267">
        <v>4707</v>
      </c>
      <c r="S2690" s="267">
        <v>36636</v>
      </c>
      <c r="T2690" s="267">
        <v>41343</v>
      </c>
      <c r="U2690" s="268" t="s">
        <v>3945</v>
      </c>
      <c r="V2690" s="267" t="s">
        <v>944</v>
      </c>
    </row>
    <row r="2691" spans="1:22" hidden="1" x14ac:dyDescent="0.25">
      <c r="A2691" s="269">
        <v>43609</v>
      </c>
      <c r="B2691" s="270">
        <v>2019</v>
      </c>
      <c r="C2691" s="270">
        <v>2019</v>
      </c>
      <c r="D2691" s="270">
        <v>1</v>
      </c>
      <c r="E2691" s="270">
        <v>1</v>
      </c>
      <c r="F2691" s="270" t="s">
        <v>944</v>
      </c>
      <c r="G2691" s="270" t="s">
        <v>3926</v>
      </c>
      <c r="H2691" s="270" t="s">
        <v>7092</v>
      </c>
      <c r="I2691" s="270" t="s">
        <v>4235</v>
      </c>
      <c r="J2691" s="270" t="s">
        <v>3928</v>
      </c>
      <c r="K2691" s="270">
        <v>6066</v>
      </c>
      <c r="L2691" s="270">
        <v>530500</v>
      </c>
      <c r="M2691" s="270" t="s">
        <v>3935</v>
      </c>
      <c r="N2691" s="270" t="s">
        <v>3944</v>
      </c>
      <c r="O2691" s="270">
        <v>2437</v>
      </c>
      <c r="P2691" s="270" t="s">
        <v>3944</v>
      </c>
      <c r="Q2691" s="270" t="s">
        <v>3944</v>
      </c>
      <c r="R2691" s="270">
        <v>2437</v>
      </c>
      <c r="S2691" s="270">
        <v>31682</v>
      </c>
      <c r="T2691" s="270">
        <v>34119</v>
      </c>
      <c r="U2691" s="271" t="s">
        <v>3945</v>
      </c>
      <c r="V2691" s="267" t="s">
        <v>944</v>
      </c>
    </row>
    <row r="2692" spans="1:22" hidden="1" x14ac:dyDescent="0.25">
      <c r="A2692" s="266">
        <v>43609</v>
      </c>
      <c r="B2692" s="267">
        <v>2019</v>
      </c>
      <c r="C2692" s="267">
        <v>2019</v>
      </c>
      <c r="D2692" s="267">
        <v>1</v>
      </c>
      <c r="E2692" s="267">
        <v>1</v>
      </c>
      <c r="F2692" s="267" t="s">
        <v>944</v>
      </c>
      <c r="G2692" s="267" t="s">
        <v>3926</v>
      </c>
      <c r="H2692" s="267" t="s">
        <v>7093</v>
      </c>
      <c r="I2692" s="267" t="s">
        <v>2987</v>
      </c>
      <c r="J2692" s="267" t="s">
        <v>3928</v>
      </c>
      <c r="K2692" s="267">
        <v>6611</v>
      </c>
      <c r="L2692" s="267">
        <v>90100</v>
      </c>
      <c r="M2692" s="267" t="s">
        <v>3943</v>
      </c>
      <c r="N2692" s="267" t="s">
        <v>3944</v>
      </c>
      <c r="O2692" s="267">
        <v>2475</v>
      </c>
      <c r="P2692" s="267" t="s">
        <v>3944</v>
      </c>
      <c r="Q2692" s="267" t="s">
        <v>3944</v>
      </c>
      <c r="R2692" s="267">
        <v>2475</v>
      </c>
      <c r="S2692" s="267">
        <v>26485</v>
      </c>
      <c r="T2692" s="267">
        <v>28960</v>
      </c>
      <c r="U2692" s="268" t="s">
        <v>3945</v>
      </c>
      <c r="V2692" s="267" t="s">
        <v>944</v>
      </c>
    </row>
    <row r="2693" spans="1:22" hidden="1" x14ac:dyDescent="0.25">
      <c r="A2693" s="269">
        <v>43609</v>
      </c>
      <c r="B2693" s="270">
        <v>2019</v>
      </c>
      <c r="C2693" s="270">
        <v>2019</v>
      </c>
      <c r="D2693" s="270">
        <v>1</v>
      </c>
      <c r="E2693" s="270">
        <v>1</v>
      </c>
      <c r="F2693" s="270" t="s">
        <v>944</v>
      </c>
      <c r="G2693" s="270" t="s">
        <v>3926</v>
      </c>
      <c r="H2693" s="270" t="s">
        <v>7094</v>
      </c>
      <c r="I2693" s="270" t="s">
        <v>4065</v>
      </c>
      <c r="J2693" s="270" t="s">
        <v>3928</v>
      </c>
      <c r="K2693" s="270">
        <v>6480</v>
      </c>
      <c r="L2693" s="270">
        <v>560100</v>
      </c>
      <c r="M2693" s="270" t="s">
        <v>3943</v>
      </c>
      <c r="N2693" s="270" t="s">
        <v>3944</v>
      </c>
      <c r="O2693" s="270">
        <v>4552</v>
      </c>
      <c r="P2693" s="270" t="s">
        <v>3944</v>
      </c>
      <c r="Q2693" s="270" t="s">
        <v>3944</v>
      </c>
      <c r="R2693" s="270">
        <v>4552</v>
      </c>
      <c r="S2693" s="270">
        <v>32513</v>
      </c>
      <c r="T2693" s="270">
        <v>37065</v>
      </c>
      <c r="U2693" s="271" t="s">
        <v>3945</v>
      </c>
      <c r="V2693" s="267" t="s">
        <v>944</v>
      </c>
    </row>
    <row r="2694" spans="1:22" hidden="1" x14ac:dyDescent="0.25">
      <c r="A2694" s="266">
        <v>43609</v>
      </c>
      <c r="B2694" s="267">
        <v>2019</v>
      </c>
      <c r="C2694" s="267">
        <v>2019</v>
      </c>
      <c r="D2694" s="267">
        <v>1</v>
      </c>
      <c r="E2694" s="267">
        <v>1</v>
      </c>
      <c r="F2694" s="267" t="s">
        <v>944</v>
      </c>
      <c r="G2694" s="267" t="s">
        <v>3926</v>
      </c>
      <c r="H2694" s="267" t="s">
        <v>7095</v>
      </c>
      <c r="I2694" s="267" t="s">
        <v>4556</v>
      </c>
      <c r="J2694" s="267" t="s">
        <v>3928</v>
      </c>
      <c r="K2694" s="267">
        <v>6029</v>
      </c>
      <c r="L2694" s="267">
        <v>535200</v>
      </c>
      <c r="M2694" s="267" t="s">
        <v>3960</v>
      </c>
      <c r="N2694" s="267" t="s">
        <v>3944</v>
      </c>
      <c r="O2694" s="267">
        <v>3619</v>
      </c>
      <c r="P2694" s="267" t="s">
        <v>3944</v>
      </c>
      <c r="Q2694" s="267" t="s">
        <v>3944</v>
      </c>
      <c r="R2694" s="267">
        <v>3619</v>
      </c>
      <c r="S2694" s="267">
        <v>29681</v>
      </c>
      <c r="T2694" s="267">
        <v>33300</v>
      </c>
      <c r="U2694" s="268" t="s">
        <v>3945</v>
      </c>
      <c r="V2694" s="267" t="s">
        <v>944</v>
      </c>
    </row>
    <row r="2695" spans="1:22" hidden="1" x14ac:dyDescent="0.25">
      <c r="A2695" s="269">
        <v>43609</v>
      </c>
      <c r="B2695" s="270">
        <v>2019</v>
      </c>
      <c r="C2695" s="270">
        <v>2019</v>
      </c>
      <c r="D2695" s="270">
        <v>1</v>
      </c>
      <c r="E2695" s="270">
        <v>1</v>
      </c>
      <c r="F2695" s="270" t="s">
        <v>944</v>
      </c>
      <c r="G2695" s="270" t="s">
        <v>3926</v>
      </c>
      <c r="H2695" s="270" t="s">
        <v>7096</v>
      </c>
      <c r="I2695" s="270" t="s">
        <v>3949</v>
      </c>
      <c r="J2695" s="270" t="s">
        <v>3928</v>
      </c>
      <c r="K2695" s="270">
        <v>6437</v>
      </c>
      <c r="L2695" s="270">
        <v>190301</v>
      </c>
      <c r="M2695" s="270" t="s">
        <v>3943</v>
      </c>
      <c r="N2695" s="270" t="s">
        <v>3944</v>
      </c>
      <c r="O2695" s="270">
        <v>2944</v>
      </c>
      <c r="P2695" s="270" t="s">
        <v>3944</v>
      </c>
      <c r="Q2695" s="270" t="s">
        <v>3944</v>
      </c>
      <c r="R2695" s="270">
        <v>2944</v>
      </c>
      <c r="S2695" s="270">
        <v>19374</v>
      </c>
      <c r="T2695" s="270">
        <v>22318</v>
      </c>
      <c r="U2695" s="271" t="s">
        <v>3945</v>
      </c>
      <c r="V2695" s="267" t="s">
        <v>944</v>
      </c>
    </row>
    <row r="2696" spans="1:22" hidden="1" x14ac:dyDescent="0.25">
      <c r="A2696" s="266">
        <v>43609</v>
      </c>
      <c r="B2696" s="267">
        <v>2019</v>
      </c>
      <c r="C2696" s="267">
        <v>2019</v>
      </c>
      <c r="D2696" s="267">
        <v>1</v>
      </c>
      <c r="E2696" s="267">
        <v>1</v>
      </c>
      <c r="F2696" s="267" t="s">
        <v>944</v>
      </c>
      <c r="G2696" s="267" t="s">
        <v>3926</v>
      </c>
      <c r="H2696" s="267" t="s">
        <v>7097</v>
      </c>
      <c r="I2696" s="267" t="s">
        <v>4008</v>
      </c>
      <c r="J2696" s="267" t="s">
        <v>3928</v>
      </c>
      <c r="K2696" s="267">
        <v>6320</v>
      </c>
      <c r="L2696" s="267">
        <v>690300</v>
      </c>
      <c r="M2696" s="267">
        <v>-60</v>
      </c>
      <c r="N2696" s="267" t="s">
        <v>3944</v>
      </c>
      <c r="O2696" s="267">
        <v>3092</v>
      </c>
      <c r="P2696" s="267" t="s">
        <v>3944</v>
      </c>
      <c r="Q2696" s="267" t="s">
        <v>3944</v>
      </c>
      <c r="R2696" s="267">
        <v>3092</v>
      </c>
      <c r="S2696" s="267">
        <v>36409</v>
      </c>
      <c r="T2696" s="267">
        <v>39501</v>
      </c>
      <c r="U2696" s="268" t="s">
        <v>3945</v>
      </c>
      <c r="V2696" s="267" t="s">
        <v>944</v>
      </c>
    </row>
    <row r="2697" spans="1:22" hidden="1" x14ac:dyDescent="0.25">
      <c r="A2697" s="269">
        <v>43609</v>
      </c>
      <c r="B2697" s="270">
        <v>2019</v>
      </c>
      <c r="C2697" s="270">
        <v>2019</v>
      </c>
      <c r="D2697" s="270">
        <v>1</v>
      </c>
      <c r="E2697" s="270">
        <v>1</v>
      </c>
      <c r="F2697" s="270" t="s">
        <v>944</v>
      </c>
      <c r="G2697" s="270" t="s">
        <v>3926</v>
      </c>
      <c r="H2697" s="270" t="s">
        <v>7098</v>
      </c>
      <c r="I2697" s="270" t="s">
        <v>3025</v>
      </c>
      <c r="J2697" s="270" t="s">
        <v>3928</v>
      </c>
      <c r="K2697" s="270">
        <v>6473</v>
      </c>
      <c r="L2697" s="270">
        <v>167100</v>
      </c>
      <c r="M2697" s="270" t="s">
        <v>3943</v>
      </c>
      <c r="N2697" s="270" t="s">
        <v>3944</v>
      </c>
      <c r="O2697" s="270">
        <v>2471.9499999999998</v>
      </c>
      <c r="P2697" s="270" t="s">
        <v>3944</v>
      </c>
      <c r="Q2697" s="270" t="s">
        <v>3944</v>
      </c>
      <c r="R2697" s="270">
        <v>2471.9499999999998</v>
      </c>
      <c r="S2697" s="270">
        <v>41279.660000000003</v>
      </c>
      <c r="T2697" s="270">
        <v>43751.61</v>
      </c>
      <c r="U2697" s="271" t="s">
        <v>3945</v>
      </c>
      <c r="V2697" s="267" t="s">
        <v>944</v>
      </c>
    </row>
    <row r="2698" spans="1:22" hidden="1" x14ac:dyDescent="0.25">
      <c r="A2698" s="266">
        <v>43609</v>
      </c>
      <c r="B2698" s="267">
        <v>2019</v>
      </c>
      <c r="C2698" s="267">
        <v>2019</v>
      </c>
      <c r="D2698" s="267">
        <v>1</v>
      </c>
      <c r="E2698" s="267">
        <v>1</v>
      </c>
      <c r="F2698" s="267" t="s">
        <v>944</v>
      </c>
      <c r="G2698" s="267" t="s">
        <v>3926</v>
      </c>
      <c r="H2698" s="267" t="s">
        <v>7099</v>
      </c>
      <c r="I2698" s="267" t="s">
        <v>3985</v>
      </c>
      <c r="J2698" s="267" t="s">
        <v>3928</v>
      </c>
      <c r="K2698" s="267">
        <v>6226</v>
      </c>
      <c r="L2698" s="267">
        <v>800700</v>
      </c>
      <c r="M2698" s="267">
        <v>-60</v>
      </c>
      <c r="N2698" s="267" t="s">
        <v>3944</v>
      </c>
      <c r="O2698" s="267">
        <v>1218.46</v>
      </c>
      <c r="P2698" s="267" t="s">
        <v>3944</v>
      </c>
      <c r="Q2698" s="267" t="s">
        <v>3944</v>
      </c>
      <c r="R2698" s="267">
        <v>1218.46</v>
      </c>
      <c r="S2698" s="267">
        <v>17180.689999999999</v>
      </c>
      <c r="T2698" s="267">
        <v>18399.150000000001</v>
      </c>
      <c r="U2698" s="268" t="s">
        <v>3945</v>
      </c>
      <c r="V2698" s="267" t="s">
        <v>944</v>
      </c>
    </row>
    <row r="2699" spans="1:22" hidden="1" x14ac:dyDescent="0.25">
      <c r="A2699" s="269">
        <v>43609</v>
      </c>
      <c r="B2699" s="270">
        <v>2019</v>
      </c>
      <c r="C2699" s="270">
        <v>2019</v>
      </c>
      <c r="D2699" s="270">
        <v>1</v>
      </c>
      <c r="E2699" s="270">
        <v>1</v>
      </c>
      <c r="F2699" s="270" t="s">
        <v>944</v>
      </c>
      <c r="G2699" s="270" t="s">
        <v>3926</v>
      </c>
      <c r="H2699" s="270" t="s">
        <v>7100</v>
      </c>
      <c r="I2699" s="270" t="s">
        <v>4111</v>
      </c>
      <c r="J2699" s="270" t="s">
        <v>3928</v>
      </c>
      <c r="K2699" s="270">
        <v>6095</v>
      </c>
      <c r="L2699" s="270">
        <v>473700</v>
      </c>
      <c r="M2699" s="270" t="s">
        <v>3935</v>
      </c>
      <c r="N2699" s="270" t="s">
        <v>3944</v>
      </c>
      <c r="O2699" s="270">
        <v>510.83</v>
      </c>
      <c r="P2699" s="270" t="s">
        <v>3944</v>
      </c>
      <c r="Q2699" s="270" t="s">
        <v>3944</v>
      </c>
      <c r="R2699" s="270">
        <v>510.83</v>
      </c>
      <c r="S2699" s="270">
        <v>7043.53</v>
      </c>
      <c r="T2699" s="270">
        <v>7554.36</v>
      </c>
      <c r="U2699" s="271" t="s">
        <v>3945</v>
      </c>
      <c r="V2699" s="267" t="s">
        <v>944</v>
      </c>
    </row>
    <row r="2700" spans="1:22" hidden="1" x14ac:dyDescent="0.25">
      <c r="A2700" s="266">
        <v>43609</v>
      </c>
      <c r="B2700" s="267">
        <v>2019</v>
      </c>
      <c r="C2700" s="267">
        <v>2019</v>
      </c>
      <c r="D2700" s="267">
        <v>1</v>
      </c>
      <c r="E2700" s="267">
        <v>1</v>
      </c>
      <c r="F2700" s="267" t="s">
        <v>944</v>
      </c>
      <c r="G2700" s="267" t="s">
        <v>3926</v>
      </c>
      <c r="H2700" s="267" t="s">
        <v>7101</v>
      </c>
      <c r="I2700" s="267" t="s">
        <v>3014</v>
      </c>
      <c r="J2700" s="267" t="s">
        <v>3928</v>
      </c>
      <c r="K2700" s="267">
        <v>6525</v>
      </c>
      <c r="L2700" s="267">
        <v>160100</v>
      </c>
      <c r="M2700" s="267" t="s">
        <v>3943</v>
      </c>
      <c r="N2700" s="267" t="s">
        <v>3944</v>
      </c>
      <c r="O2700" s="267">
        <v>3727.54</v>
      </c>
      <c r="P2700" s="267" t="s">
        <v>3944</v>
      </c>
      <c r="Q2700" s="267" t="s">
        <v>3944</v>
      </c>
      <c r="R2700" s="267">
        <v>3727.54</v>
      </c>
      <c r="S2700" s="267">
        <v>61090.8</v>
      </c>
      <c r="T2700" s="267">
        <v>64818.34</v>
      </c>
      <c r="U2700" s="268" t="s">
        <v>3945</v>
      </c>
      <c r="V2700" s="267" t="s">
        <v>944</v>
      </c>
    </row>
    <row r="2701" spans="1:22" x14ac:dyDescent="0.25">
      <c r="A2701" s="269">
        <v>43609</v>
      </c>
      <c r="B2701" s="270">
        <v>2019</v>
      </c>
      <c r="C2701" s="270">
        <v>2019</v>
      </c>
      <c r="D2701" s="270">
        <v>1</v>
      </c>
      <c r="E2701" s="270">
        <v>1</v>
      </c>
      <c r="F2701" s="270" t="s">
        <v>944</v>
      </c>
      <c r="G2701" s="270" t="s">
        <v>3926</v>
      </c>
      <c r="H2701" s="270" t="s">
        <v>7102</v>
      </c>
      <c r="I2701" s="270" t="s">
        <v>3010</v>
      </c>
      <c r="J2701" s="270" t="s">
        <v>3928</v>
      </c>
      <c r="K2701" s="270">
        <v>6401</v>
      </c>
      <c r="L2701" s="270">
        <v>125300</v>
      </c>
      <c r="M2701" s="270" t="s">
        <v>3940</v>
      </c>
      <c r="N2701" s="270" t="s">
        <v>3944</v>
      </c>
      <c r="O2701" s="270">
        <v>1948.28</v>
      </c>
      <c r="P2701" s="270" t="s">
        <v>3944</v>
      </c>
      <c r="Q2701" s="270" t="s">
        <v>3944</v>
      </c>
      <c r="R2701" s="270">
        <v>1948.28</v>
      </c>
      <c r="S2701" s="270">
        <v>26297.68</v>
      </c>
      <c r="T2701" s="270">
        <v>28245.96</v>
      </c>
      <c r="U2701" s="271" t="s">
        <v>3945</v>
      </c>
      <c r="V2701" s="276" t="s">
        <v>936</v>
      </c>
    </row>
    <row r="2702" spans="1:22" hidden="1" x14ac:dyDescent="0.25">
      <c r="A2702" s="266">
        <v>43609</v>
      </c>
      <c r="B2702" s="267">
        <v>2019</v>
      </c>
      <c r="C2702" s="267">
        <v>2019</v>
      </c>
      <c r="D2702" s="267">
        <v>1</v>
      </c>
      <c r="E2702" s="267">
        <v>1</v>
      </c>
      <c r="F2702" s="267" t="s">
        <v>944</v>
      </c>
      <c r="G2702" s="267" t="s">
        <v>3926</v>
      </c>
      <c r="H2702" s="267" t="s">
        <v>7103</v>
      </c>
      <c r="I2702" s="267" t="s">
        <v>4200</v>
      </c>
      <c r="J2702" s="267" t="s">
        <v>3928</v>
      </c>
      <c r="K2702" s="267">
        <v>6779</v>
      </c>
      <c r="L2702" s="267">
        <v>360300</v>
      </c>
      <c r="M2702" s="267" t="s">
        <v>3935</v>
      </c>
      <c r="N2702" s="267" t="s">
        <v>3944</v>
      </c>
      <c r="O2702" s="267">
        <v>1480.82</v>
      </c>
      <c r="P2702" s="267" t="s">
        <v>3944</v>
      </c>
      <c r="Q2702" s="267" t="s">
        <v>3944</v>
      </c>
      <c r="R2702" s="267">
        <v>1480.82</v>
      </c>
      <c r="S2702" s="267">
        <v>21021.65</v>
      </c>
      <c r="T2702" s="267">
        <v>22502.47</v>
      </c>
      <c r="U2702" s="268" t="s">
        <v>3945</v>
      </c>
      <c r="V2702" s="267" t="s">
        <v>944</v>
      </c>
    </row>
    <row r="2703" spans="1:22" hidden="1" x14ac:dyDescent="0.25">
      <c r="A2703" s="269">
        <v>43609</v>
      </c>
      <c r="B2703" s="270">
        <v>2019</v>
      </c>
      <c r="C2703" s="270">
        <v>2019</v>
      </c>
      <c r="D2703" s="270">
        <v>1</v>
      </c>
      <c r="E2703" s="270">
        <v>1</v>
      </c>
      <c r="F2703" s="270" t="s">
        <v>944</v>
      </c>
      <c r="G2703" s="270" t="s">
        <v>3926</v>
      </c>
      <c r="H2703" s="270" t="s">
        <v>7104</v>
      </c>
      <c r="I2703" s="270" t="s">
        <v>4111</v>
      </c>
      <c r="J2703" s="270" t="s">
        <v>3928</v>
      </c>
      <c r="K2703" s="270">
        <v>6095</v>
      </c>
      <c r="L2703" s="270">
        <v>473601</v>
      </c>
      <c r="M2703" s="270" t="s">
        <v>3943</v>
      </c>
      <c r="N2703" s="270" t="s">
        <v>3944</v>
      </c>
      <c r="O2703" s="270">
        <v>2736.16</v>
      </c>
      <c r="P2703" s="270" t="s">
        <v>3944</v>
      </c>
      <c r="Q2703" s="270" t="s">
        <v>3944</v>
      </c>
      <c r="R2703" s="270">
        <v>2736.16</v>
      </c>
      <c r="S2703" s="270">
        <v>35983.199999999997</v>
      </c>
      <c r="T2703" s="270">
        <v>38719.360000000001</v>
      </c>
      <c r="U2703" s="271" t="s">
        <v>3945</v>
      </c>
      <c r="V2703" s="267" t="s">
        <v>944</v>
      </c>
    </row>
    <row r="2704" spans="1:22" hidden="1" x14ac:dyDescent="0.25">
      <c r="A2704" s="266">
        <v>43609</v>
      </c>
      <c r="B2704" s="267">
        <v>2019</v>
      </c>
      <c r="C2704" s="267">
        <v>2019</v>
      </c>
      <c r="D2704" s="267">
        <v>1</v>
      </c>
      <c r="E2704" s="267">
        <v>1</v>
      </c>
      <c r="F2704" s="267" t="s">
        <v>944</v>
      </c>
      <c r="G2704" s="267" t="s">
        <v>3926</v>
      </c>
      <c r="H2704" s="267" t="s">
        <v>7105</v>
      </c>
      <c r="I2704" s="267" t="s">
        <v>4040</v>
      </c>
      <c r="J2704" s="267" t="s">
        <v>3928</v>
      </c>
      <c r="K2704" s="267">
        <v>6335</v>
      </c>
      <c r="L2704" s="267">
        <v>701200</v>
      </c>
      <c r="M2704" s="267" t="s">
        <v>3960</v>
      </c>
      <c r="N2704" s="267" t="s">
        <v>3944</v>
      </c>
      <c r="O2704" s="267">
        <v>1952.65</v>
      </c>
      <c r="P2704" s="267" t="s">
        <v>3944</v>
      </c>
      <c r="Q2704" s="267" t="s">
        <v>3944</v>
      </c>
      <c r="R2704" s="267">
        <v>1952.65</v>
      </c>
      <c r="S2704" s="267">
        <v>30820.32</v>
      </c>
      <c r="T2704" s="267">
        <v>32772.97</v>
      </c>
      <c r="U2704" s="268" t="s">
        <v>3945</v>
      </c>
      <c r="V2704" s="267" t="s">
        <v>944</v>
      </c>
    </row>
    <row r="2705" spans="1:22" hidden="1" x14ac:dyDescent="0.25">
      <c r="A2705" s="269">
        <v>43609</v>
      </c>
      <c r="B2705" s="270">
        <v>2019</v>
      </c>
      <c r="C2705" s="270">
        <v>2019</v>
      </c>
      <c r="D2705" s="270">
        <v>1</v>
      </c>
      <c r="E2705" s="270">
        <v>1</v>
      </c>
      <c r="F2705" s="270" t="s">
        <v>944</v>
      </c>
      <c r="G2705" s="270" t="s">
        <v>3926</v>
      </c>
      <c r="H2705" s="270" t="s">
        <v>7106</v>
      </c>
      <c r="I2705" s="270" t="s">
        <v>3010</v>
      </c>
      <c r="J2705" s="270" t="s">
        <v>3928</v>
      </c>
      <c r="K2705" s="270">
        <v>6401</v>
      </c>
      <c r="L2705" s="270">
        <v>125400</v>
      </c>
      <c r="M2705" s="270">
        <v>-60</v>
      </c>
      <c r="N2705" s="270" t="s">
        <v>3944</v>
      </c>
      <c r="O2705" s="270">
        <v>1069.95</v>
      </c>
      <c r="P2705" s="270" t="s">
        <v>3944</v>
      </c>
      <c r="Q2705" s="270" t="s">
        <v>3944</v>
      </c>
      <c r="R2705" s="270">
        <v>1069.95</v>
      </c>
      <c r="S2705" s="270">
        <v>16012.43</v>
      </c>
      <c r="T2705" s="270">
        <v>17082.38</v>
      </c>
      <c r="U2705" s="271" t="s">
        <v>3945</v>
      </c>
      <c r="V2705" s="267" t="s">
        <v>944</v>
      </c>
    </row>
    <row r="2706" spans="1:22" hidden="1" x14ac:dyDescent="0.25">
      <c r="A2706" s="266">
        <v>43609</v>
      </c>
      <c r="B2706" s="267">
        <v>2019</v>
      </c>
      <c r="C2706" s="267">
        <v>2019</v>
      </c>
      <c r="D2706" s="267">
        <v>1</v>
      </c>
      <c r="E2706" s="267">
        <v>1</v>
      </c>
      <c r="F2706" s="267" t="s">
        <v>944</v>
      </c>
      <c r="G2706" s="267" t="s">
        <v>3926</v>
      </c>
      <c r="H2706" s="267" t="s">
        <v>7107</v>
      </c>
      <c r="I2706" s="267" t="s">
        <v>3008</v>
      </c>
      <c r="J2706" s="267" t="s">
        <v>3928</v>
      </c>
      <c r="K2706" s="267">
        <v>6460</v>
      </c>
      <c r="L2706" s="267">
        <v>151100</v>
      </c>
      <c r="M2706" s="267" t="s">
        <v>3960</v>
      </c>
      <c r="N2706" s="267" t="s">
        <v>3944</v>
      </c>
      <c r="O2706" s="267">
        <v>847</v>
      </c>
      <c r="P2706" s="267" t="s">
        <v>3944</v>
      </c>
      <c r="Q2706" s="267" t="s">
        <v>3944</v>
      </c>
      <c r="R2706" s="267">
        <v>847</v>
      </c>
      <c r="S2706" s="267">
        <v>12182.67</v>
      </c>
      <c r="T2706" s="267">
        <v>13029.67</v>
      </c>
      <c r="U2706" s="268" t="s">
        <v>3945</v>
      </c>
      <c r="V2706" s="267" t="s">
        <v>944</v>
      </c>
    </row>
    <row r="2707" spans="1:22" hidden="1" x14ac:dyDescent="0.25">
      <c r="A2707" s="269">
        <v>43609</v>
      </c>
      <c r="B2707" s="270">
        <v>2019</v>
      </c>
      <c r="C2707" s="270">
        <v>2019</v>
      </c>
      <c r="D2707" s="270">
        <v>1</v>
      </c>
      <c r="E2707" s="270">
        <v>1</v>
      </c>
      <c r="F2707" s="270" t="s">
        <v>944</v>
      </c>
      <c r="G2707" s="270" t="s">
        <v>3926</v>
      </c>
      <c r="H2707" s="270" t="s">
        <v>7108</v>
      </c>
      <c r="I2707" s="270" t="s">
        <v>4014</v>
      </c>
      <c r="J2707" s="270" t="s">
        <v>3928</v>
      </c>
      <c r="K2707" s="270">
        <v>6420</v>
      </c>
      <c r="L2707" s="270">
        <v>715100</v>
      </c>
      <c r="M2707" s="270" t="s">
        <v>3943</v>
      </c>
      <c r="N2707" s="270" t="s">
        <v>3944</v>
      </c>
      <c r="O2707" s="270">
        <v>3831.84</v>
      </c>
      <c r="P2707" s="270" t="s">
        <v>3944</v>
      </c>
      <c r="Q2707" s="270" t="s">
        <v>3944</v>
      </c>
      <c r="R2707" s="270">
        <v>3831.84</v>
      </c>
      <c r="S2707" s="270">
        <v>51329</v>
      </c>
      <c r="T2707" s="270">
        <v>55160.84</v>
      </c>
      <c r="U2707" s="271" t="s">
        <v>3945</v>
      </c>
      <c r="V2707" s="267" t="s">
        <v>944</v>
      </c>
    </row>
    <row r="2708" spans="1:22" hidden="1" x14ac:dyDescent="0.25">
      <c r="A2708" s="266">
        <v>43609</v>
      </c>
      <c r="B2708" s="267">
        <v>2019</v>
      </c>
      <c r="C2708" s="267">
        <v>2019</v>
      </c>
      <c r="D2708" s="267">
        <v>1</v>
      </c>
      <c r="E2708" s="267">
        <v>1</v>
      </c>
      <c r="F2708" s="267" t="s">
        <v>944</v>
      </c>
      <c r="G2708" s="267" t="s">
        <v>3926</v>
      </c>
      <c r="H2708" s="267" t="s">
        <v>7109</v>
      </c>
      <c r="I2708" s="267" t="s">
        <v>4114</v>
      </c>
      <c r="J2708" s="267" t="s">
        <v>3928</v>
      </c>
      <c r="K2708" s="267">
        <v>6410</v>
      </c>
      <c r="L2708" s="267">
        <v>343200</v>
      </c>
      <c r="M2708" s="267" t="s">
        <v>3943</v>
      </c>
      <c r="N2708" s="267" t="s">
        <v>3944</v>
      </c>
      <c r="O2708" s="267">
        <v>3121.09</v>
      </c>
      <c r="P2708" s="267" t="s">
        <v>3944</v>
      </c>
      <c r="Q2708" s="267" t="s">
        <v>3944</v>
      </c>
      <c r="R2708" s="267">
        <v>3121.09</v>
      </c>
      <c r="S2708" s="267">
        <v>47479.06</v>
      </c>
      <c r="T2708" s="267">
        <v>50600.15</v>
      </c>
      <c r="U2708" s="268" t="s">
        <v>3945</v>
      </c>
      <c r="V2708" s="267" t="s">
        <v>944</v>
      </c>
    </row>
    <row r="2709" spans="1:22" hidden="1" x14ac:dyDescent="0.25">
      <c r="A2709" s="269">
        <v>43609</v>
      </c>
      <c r="B2709" s="270">
        <v>2019</v>
      </c>
      <c r="C2709" s="270">
        <v>2019</v>
      </c>
      <c r="D2709" s="270">
        <v>1</v>
      </c>
      <c r="E2709" s="270">
        <v>1</v>
      </c>
      <c r="F2709" s="270" t="s">
        <v>944</v>
      </c>
      <c r="G2709" s="270" t="s">
        <v>3926</v>
      </c>
      <c r="H2709" s="270" t="s">
        <v>7110</v>
      </c>
      <c r="I2709" s="270" t="s">
        <v>4108</v>
      </c>
      <c r="J2709" s="270" t="s">
        <v>3928</v>
      </c>
      <c r="K2709" s="270">
        <v>6082</v>
      </c>
      <c r="L2709" s="270">
        <v>481100</v>
      </c>
      <c r="M2709" s="270" t="s">
        <v>3935</v>
      </c>
      <c r="N2709" s="270" t="s">
        <v>3944</v>
      </c>
      <c r="O2709" s="270">
        <v>1966.13</v>
      </c>
      <c r="P2709" s="270" t="s">
        <v>3944</v>
      </c>
      <c r="Q2709" s="270" t="s">
        <v>3944</v>
      </c>
      <c r="R2709" s="270">
        <v>1966.13</v>
      </c>
      <c r="S2709" s="270">
        <v>23681.759999999998</v>
      </c>
      <c r="T2709" s="270">
        <v>25647.89</v>
      </c>
      <c r="U2709" s="271" t="s">
        <v>3945</v>
      </c>
      <c r="V2709" s="267" t="s">
        <v>944</v>
      </c>
    </row>
    <row r="2710" spans="1:22" hidden="1" x14ac:dyDescent="0.25">
      <c r="A2710" s="266">
        <v>43609</v>
      </c>
      <c r="B2710" s="267">
        <v>2019</v>
      </c>
      <c r="C2710" s="267">
        <v>2019</v>
      </c>
      <c r="D2710" s="267">
        <v>1</v>
      </c>
      <c r="E2710" s="267">
        <v>1</v>
      </c>
      <c r="F2710" s="267" t="s">
        <v>944</v>
      </c>
      <c r="G2710" s="267" t="s">
        <v>3926</v>
      </c>
      <c r="H2710" s="267" t="s">
        <v>7111</v>
      </c>
      <c r="I2710" s="267" t="s">
        <v>4019</v>
      </c>
      <c r="J2710" s="267" t="s">
        <v>3928</v>
      </c>
      <c r="K2710" s="267">
        <v>6708</v>
      </c>
      <c r="L2710" s="267">
        <v>351602</v>
      </c>
      <c r="M2710" s="267" t="s">
        <v>3940</v>
      </c>
      <c r="N2710" s="267" t="s">
        <v>3944</v>
      </c>
      <c r="O2710" s="267">
        <v>1475.85</v>
      </c>
      <c r="P2710" s="267" t="s">
        <v>3944</v>
      </c>
      <c r="Q2710" s="267" t="s">
        <v>3944</v>
      </c>
      <c r="R2710" s="267">
        <v>1475.85</v>
      </c>
      <c r="S2710" s="267">
        <v>18837.849999999999</v>
      </c>
      <c r="T2710" s="267">
        <v>20313.7</v>
      </c>
      <c r="U2710" s="268" t="s">
        <v>3945</v>
      </c>
      <c r="V2710" s="267" t="s">
        <v>944</v>
      </c>
    </row>
    <row r="2711" spans="1:22" hidden="1" x14ac:dyDescent="0.25">
      <c r="A2711" s="269">
        <v>43610</v>
      </c>
      <c r="B2711" s="270">
        <v>2019</v>
      </c>
      <c r="C2711" s="270">
        <v>2019</v>
      </c>
      <c r="D2711" s="270">
        <v>1</v>
      </c>
      <c r="E2711" s="270">
        <v>1</v>
      </c>
      <c r="F2711" s="270" t="s">
        <v>944</v>
      </c>
      <c r="G2711" s="270" t="s">
        <v>3926</v>
      </c>
      <c r="H2711" s="270" t="s">
        <v>7112</v>
      </c>
      <c r="I2711" s="270" t="s">
        <v>4731</v>
      </c>
      <c r="J2711" s="270" t="s">
        <v>3928</v>
      </c>
      <c r="K2711" s="270">
        <v>6478</v>
      </c>
      <c r="L2711" s="270">
        <v>346102</v>
      </c>
      <c r="M2711" s="270" t="s">
        <v>3943</v>
      </c>
      <c r="N2711" s="270" t="s">
        <v>7113</v>
      </c>
      <c r="O2711" s="270">
        <v>0</v>
      </c>
      <c r="P2711" s="270" t="s">
        <v>3930</v>
      </c>
      <c r="Q2711" s="270" t="s">
        <v>3930</v>
      </c>
      <c r="R2711" s="270">
        <v>0</v>
      </c>
      <c r="S2711" s="270">
        <v>11225</v>
      </c>
      <c r="T2711" s="270">
        <v>11225</v>
      </c>
      <c r="U2711" s="271" t="s">
        <v>3937</v>
      </c>
      <c r="V2711" s="267" t="s">
        <v>944</v>
      </c>
    </row>
    <row r="2712" spans="1:22" hidden="1" x14ac:dyDescent="0.25">
      <c r="A2712" s="266">
        <v>43610</v>
      </c>
      <c r="B2712" s="267">
        <v>2019</v>
      </c>
      <c r="C2712" s="267">
        <v>2019</v>
      </c>
      <c r="D2712" s="267">
        <v>1</v>
      </c>
      <c r="E2712" s="267">
        <v>1</v>
      </c>
      <c r="F2712" s="267" t="s">
        <v>944</v>
      </c>
      <c r="G2712" s="267" t="s">
        <v>3926</v>
      </c>
      <c r="H2712" s="267" t="s">
        <v>7114</v>
      </c>
      <c r="I2712" s="267" t="s">
        <v>5845</v>
      </c>
      <c r="J2712" s="267" t="s">
        <v>3928</v>
      </c>
      <c r="K2712" s="267">
        <v>6754</v>
      </c>
      <c r="L2712" s="267">
        <v>262100</v>
      </c>
      <c r="M2712" s="267" t="s">
        <v>3935</v>
      </c>
      <c r="N2712" s="267" t="s">
        <v>7115</v>
      </c>
      <c r="O2712" s="267">
        <v>2346</v>
      </c>
      <c r="P2712" s="267" t="s">
        <v>3930</v>
      </c>
      <c r="Q2712" s="267" t="s">
        <v>3930</v>
      </c>
      <c r="R2712" s="267">
        <v>2346</v>
      </c>
      <c r="S2712" s="267">
        <v>24445</v>
      </c>
      <c r="T2712" s="267">
        <v>26791</v>
      </c>
      <c r="U2712" s="268" t="s">
        <v>3937</v>
      </c>
      <c r="V2712" s="267" t="s">
        <v>944</v>
      </c>
    </row>
    <row r="2713" spans="1:22" hidden="1" x14ac:dyDescent="0.25">
      <c r="A2713" s="269">
        <v>43610</v>
      </c>
      <c r="B2713" s="270">
        <v>2019</v>
      </c>
      <c r="C2713" s="270">
        <v>2019</v>
      </c>
      <c r="D2713" s="270">
        <v>1</v>
      </c>
      <c r="E2713" s="270">
        <v>1</v>
      </c>
      <c r="F2713" s="270" t="s">
        <v>944</v>
      </c>
      <c r="G2713" s="270" t="s">
        <v>3926</v>
      </c>
      <c r="H2713" s="270" t="s">
        <v>7116</v>
      </c>
      <c r="I2713" s="270" t="s">
        <v>950</v>
      </c>
      <c r="J2713" s="270" t="s">
        <v>3928</v>
      </c>
      <c r="K2713" s="270">
        <v>6516</v>
      </c>
      <c r="L2713" s="270">
        <v>361500</v>
      </c>
      <c r="M2713" s="270" t="s">
        <v>3940</v>
      </c>
      <c r="N2713" s="270" t="s">
        <v>3983</v>
      </c>
      <c r="O2713" s="270">
        <v>3251.52</v>
      </c>
      <c r="P2713" s="270" t="s">
        <v>3930</v>
      </c>
      <c r="Q2713" s="270" t="s">
        <v>3931</v>
      </c>
      <c r="R2713" s="270">
        <v>8251.52</v>
      </c>
      <c r="S2713" s="270">
        <v>16504</v>
      </c>
      <c r="T2713" s="270">
        <v>24755.52</v>
      </c>
      <c r="U2713" s="271" t="s">
        <v>3932</v>
      </c>
      <c r="V2713" s="267" t="s">
        <v>944</v>
      </c>
    </row>
    <row r="2714" spans="1:22" hidden="1" x14ac:dyDescent="0.25">
      <c r="A2714" s="266">
        <v>43610</v>
      </c>
      <c r="B2714" s="267">
        <v>2019</v>
      </c>
      <c r="C2714" s="267">
        <v>2019</v>
      </c>
      <c r="D2714" s="267">
        <v>1</v>
      </c>
      <c r="E2714" s="267">
        <v>1</v>
      </c>
      <c r="F2714" s="267" t="s">
        <v>944</v>
      </c>
      <c r="G2714" s="267" t="s">
        <v>3926</v>
      </c>
      <c r="H2714" s="267" t="s">
        <v>7117</v>
      </c>
      <c r="I2714" s="267" t="s">
        <v>4019</v>
      </c>
      <c r="J2714" s="267" t="s">
        <v>3928</v>
      </c>
      <c r="K2714" s="267">
        <v>6710</v>
      </c>
      <c r="L2714" s="267">
        <v>351000</v>
      </c>
      <c r="M2714" s="267" t="s">
        <v>3940</v>
      </c>
      <c r="N2714" s="267" t="s">
        <v>4719</v>
      </c>
      <c r="O2714" s="267">
        <v>1535.77</v>
      </c>
      <c r="P2714" s="267" t="s">
        <v>3930</v>
      </c>
      <c r="Q2714" s="267" t="s">
        <v>3931</v>
      </c>
      <c r="R2714" s="267">
        <v>6535.77</v>
      </c>
      <c r="S2714" s="267">
        <v>25015</v>
      </c>
      <c r="T2714" s="267">
        <v>31550.77</v>
      </c>
      <c r="U2714" s="268" t="s">
        <v>3932</v>
      </c>
      <c r="V2714" s="267" t="s">
        <v>944</v>
      </c>
    </row>
    <row r="2715" spans="1:22" hidden="1" x14ac:dyDescent="0.25">
      <c r="A2715" s="269">
        <v>43610</v>
      </c>
      <c r="B2715" s="270">
        <v>2019</v>
      </c>
      <c r="C2715" s="270">
        <v>2019</v>
      </c>
      <c r="D2715" s="270">
        <v>1</v>
      </c>
      <c r="E2715" s="270">
        <v>1</v>
      </c>
      <c r="F2715" s="270" t="s">
        <v>944</v>
      </c>
      <c r="G2715" s="270" t="s">
        <v>3926</v>
      </c>
      <c r="H2715" s="270" t="s">
        <v>7118</v>
      </c>
      <c r="I2715" s="270" t="s">
        <v>3939</v>
      </c>
      <c r="J2715" s="270" t="s">
        <v>3928</v>
      </c>
      <c r="K2715" s="270">
        <v>6512</v>
      </c>
      <c r="L2715" s="270">
        <v>180601</v>
      </c>
      <c r="M2715" s="270" t="s">
        <v>3940</v>
      </c>
      <c r="N2715" s="270" t="s">
        <v>7119</v>
      </c>
      <c r="O2715" s="270">
        <v>1365.28</v>
      </c>
      <c r="P2715" s="270" t="s">
        <v>3930</v>
      </c>
      <c r="Q2715" s="270" t="s">
        <v>3931</v>
      </c>
      <c r="R2715" s="270">
        <v>6365.28</v>
      </c>
      <c r="S2715" s="270">
        <v>19499.2</v>
      </c>
      <c r="T2715" s="270">
        <v>25864.48</v>
      </c>
      <c r="U2715" s="271" t="s">
        <v>3932</v>
      </c>
      <c r="V2715" s="267" t="s">
        <v>944</v>
      </c>
    </row>
    <row r="2716" spans="1:22" hidden="1" x14ac:dyDescent="0.25">
      <c r="A2716" s="266">
        <v>43610</v>
      </c>
      <c r="B2716" s="267">
        <v>2019</v>
      </c>
      <c r="C2716" s="267">
        <v>2019</v>
      </c>
      <c r="D2716" s="267">
        <v>1</v>
      </c>
      <c r="E2716" s="267">
        <v>1</v>
      </c>
      <c r="F2716" s="267" t="s">
        <v>944</v>
      </c>
      <c r="G2716" s="267" t="s">
        <v>3926</v>
      </c>
      <c r="H2716" s="267" t="s">
        <v>7120</v>
      </c>
      <c r="I2716" s="267" t="s">
        <v>956</v>
      </c>
      <c r="J2716" s="267" t="s">
        <v>3928</v>
      </c>
      <c r="K2716" s="267">
        <v>6614</v>
      </c>
      <c r="L2716" s="267">
        <v>80900</v>
      </c>
      <c r="M2716" s="267" t="s">
        <v>3960</v>
      </c>
      <c r="N2716" s="267" t="s">
        <v>3929</v>
      </c>
      <c r="O2716" s="267">
        <v>5681.25</v>
      </c>
      <c r="P2716" s="267" t="s">
        <v>3930</v>
      </c>
      <c r="Q2716" s="267" t="s">
        <v>3931</v>
      </c>
      <c r="R2716" s="267">
        <v>10681.25</v>
      </c>
      <c r="S2716" s="267">
        <v>34744</v>
      </c>
      <c r="T2716" s="267">
        <v>45425.25</v>
      </c>
      <c r="U2716" s="268" t="s">
        <v>3932</v>
      </c>
      <c r="V2716" s="267" t="s">
        <v>944</v>
      </c>
    </row>
    <row r="2717" spans="1:22" hidden="1" x14ac:dyDescent="0.25">
      <c r="A2717" s="269">
        <v>43611</v>
      </c>
      <c r="B2717" s="270">
        <v>2019</v>
      </c>
      <c r="C2717" s="270">
        <v>2019</v>
      </c>
      <c r="D2717" s="270">
        <v>1</v>
      </c>
      <c r="E2717" s="270">
        <v>1</v>
      </c>
      <c r="F2717" s="270" t="s">
        <v>944</v>
      </c>
      <c r="G2717" s="270" t="s">
        <v>3926</v>
      </c>
      <c r="H2717" s="270" t="s">
        <v>7121</v>
      </c>
      <c r="I2717" s="270" t="s">
        <v>4213</v>
      </c>
      <c r="J2717" s="270" t="s">
        <v>3928</v>
      </c>
      <c r="K2717" s="270">
        <v>6053</v>
      </c>
      <c r="L2717" s="270">
        <v>417500</v>
      </c>
      <c r="M2717" s="270" t="s">
        <v>3940</v>
      </c>
      <c r="N2717" s="270" t="s">
        <v>5483</v>
      </c>
      <c r="O2717" s="270">
        <v>0</v>
      </c>
      <c r="P2717" s="270" t="s">
        <v>3930</v>
      </c>
      <c r="Q2717" s="270" t="s">
        <v>3930</v>
      </c>
      <c r="R2717" s="270">
        <v>0</v>
      </c>
      <c r="S2717" s="270">
        <v>19000</v>
      </c>
      <c r="T2717" s="270">
        <v>19000</v>
      </c>
      <c r="U2717" s="271" t="s">
        <v>3937</v>
      </c>
      <c r="V2717" s="267" t="s">
        <v>944</v>
      </c>
    </row>
    <row r="2718" spans="1:22" hidden="1" x14ac:dyDescent="0.25">
      <c r="A2718" s="266">
        <v>43611</v>
      </c>
      <c r="B2718" s="267">
        <v>2019</v>
      </c>
      <c r="C2718" s="267">
        <v>2019</v>
      </c>
      <c r="D2718" s="267">
        <v>1</v>
      </c>
      <c r="E2718" s="267">
        <v>1</v>
      </c>
      <c r="F2718" s="267" t="s">
        <v>944</v>
      </c>
      <c r="G2718" s="267" t="s">
        <v>3926</v>
      </c>
      <c r="H2718" s="267" t="s">
        <v>7122</v>
      </c>
      <c r="I2718" s="267" t="s">
        <v>4213</v>
      </c>
      <c r="J2718" s="267" t="s">
        <v>3928</v>
      </c>
      <c r="K2718" s="267">
        <v>6053</v>
      </c>
      <c r="L2718" s="267">
        <v>416500</v>
      </c>
      <c r="M2718" s="267" t="s">
        <v>3940</v>
      </c>
      <c r="N2718" s="267" t="s">
        <v>4719</v>
      </c>
      <c r="O2718" s="267">
        <v>1874.85</v>
      </c>
      <c r="P2718" s="267" t="s">
        <v>3930</v>
      </c>
      <c r="Q2718" s="267" t="s">
        <v>3931</v>
      </c>
      <c r="R2718" s="267">
        <v>6874.85</v>
      </c>
      <c r="S2718" s="267">
        <v>25015</v>
      </c>
      <c r="T2718" s="267">
        <v>31889.85</v>
      </c>
      <c r="U2718" s="268" t="s">
        <v>3932</v>
      </c>
      <c r="V2718" s="267" t="s">
        <v>944</v>
      </c>
    </row>
    <row r="2719" spans="1:22" hidden="1" x14ac:dyDescent="0.25">
      <c r="A2719" s="269">
        <v>43612</v>
      </c>
      <c r="B2719" s="270">
        <v>2019</v>
      </c>
      <c r="C2719" s="270">
        <v>2019</v>
      </c>
      <c r="D2719" s="270">
        <v>1</v>
      </c>
      <c r="E2719" s="270">
        <v>1</v>
      </c>
      <c r="F2719" s="270" t="s">
        <v>944</v>
      </c>
      <c r="G2719" s="270" t="s">
        <v>3926</v>
      </c>
      <c r="H2719" s="270" t="s">
        <v>7123</v>
      </c>
      <c r="I2719" s="270" t="s">
        <v>4019</v>
      </c>
      <c r="J2719" s="270" t="s">
        <v>3928</v>
      </c>
      <c r="K2719" s="270">
        <v>6708</v>
      </c>
      <c r="L2719" s="270">
        <v>352000</v>
      </c>
      <c r="M2719" s="270" t="s">
        <v>3935</v>
      </c>
      <c r="N2719" s="270" t="s">
        <v>7124</v>
      </c>
      <c r="O2719" s="270">
        <v>3064.42</v>
      </c>
      <c r="P2719" s="270" t="s">
        <v>3930</v>
      </c>
      <c r="Q2719" s="270" t="s">
        <v>3931</v>
      </c>
      <c r="R2719" s="270">
        <v>8064.42</v>
      </c>
      <c r="S2719" s="270">
        <v>17356</v>
      </c>
      <c r="T2719" s="270">
        <v>25420.42</v>
      </c>
      <c r="U2719" s="271" t="s">
        <v>3932</v>
      </c>
      <c r="V2719" s="267" t="s">
        <v>944</v>
      </c>
    </row>
    <row r="2720" spans="1:22" x14ac:dyDescent="0.25">
      <c r="A2720" s="266">
        <v>43612</v>
      </c>
      <c r="B2720" s="267">
        <v>2019</v>
      </c>
      <c r="C2720" s="267">
        <v>2019</v>
      </c>
      <c r="D2720" s="267">
        <v>1</v>
      </c>
      <c r="E2720" s="267">
        <v>1</v>
      </c>
      <c r="F2720" s="267" t="s">
        <v>944</v>
      </c>
      <c r="G2720" s="267" t="s">
        <v>3926</v>
      </c>
      <c r="H2720" s="267" t="s">
        <v>7125</v>
      </c>
      <c r="I2720" s="267" t="s">
        <v>934</v>
      </c>
      <c r="J2720" s="267" t="s">
        <v>3928</v>
      </c>
      <c r="K2720" s="267">
        <v>6610</v>
      </c>
      <c r="L2720" s="267">
        <v>73100</v>
      </c>
      <c r="M2720" s="267">
        <v>-60</v>
      </c>
      <c r="N2720" s="267" t="s">
        <v>5607</v>
      </c>
      <c r="O2720" s="267">
        <v>1296.6500000000001</v>
      </c>
      <c r="P2720" s="267" t="s">
        <v>3930</v>
      </c>
      <c r="Q2720" s="267" t="s">
        <v>3931</v>
      </c>
      <c r="R2720" s="267">
        <v>6296.65</v>
      </c>
      <c r="S2720" s="267">
        <v>17190.400000000001</v>
      </c>
      <c r="T2720" s="267">
        <v>23487.05</v>
      </c>
      <c r="U2720" s="268" t="s">
        <v>3932</v>
      </c>
      <c r="V2720" s="276" t="s">
        <v>936</v>
      </c>
    </row>
    <row r="2721" spans="1:22" hidden="1" x14ac:dyDescent="0.25">
      <c r="A2721" s="269">
        <v>43613</v>
      </c>
      <c r="B2721" s="270">
        <v>2019</v>
      </c>
      <c r="C2721" s="270">
        <v>2019</v>
      </c>
      <c r="D2721" s="270">
        <v>1</v>
      </c>
      <c r="E2721" s="270">
        <v>1</v>
      </c>
      <c r="F2721" s="270" t="s">
        <v>944</v>
      </c>
      <c r="G2721" s="270" t="s">
        <v>3926</v>
      </c>
      <c r="H2721" s="270" t="s">
        <v>7126</v>
      </c>
      <c r="I2721" s="270" t="s">
        <v>4111</v>
      </c>
      <c r="J2721" s="270" t="s">
        <v>3928</v>
      </c>
      <c r="K2721" s="270">
        <v>6095</v>
      </c>
      <c r="L2721" s="270">
        <v>473700</v>
      </c>
      <c r="M2721" s="270" t="s">
        <v>3935</v>
      </c>
      <c r="N2721" s="270" t="s">
        <v>7127</v>
      </c>
      <c r="O2721" s="270">
        <v>0</v>
      </c>
      <c r="P2721" s="270" t="s">
        <v>3930</v>
      </c>
      <c r="Q2721" s="270" t="s">
        <v>3930</v>
      </c>
      <c r="R2721" s="270">
        <v>0</v>
      </c>
      <c r="S2721" s="270">
        <v>10230</v>
      </c>
      <c r="T2721" s="270">
        <v>10230</v>
      </c>
      <c r="U2721" s="271" t="s">
        <v>3937</v>
      </c>
      <c r="V2721" s="267" t="s">
        <v>944</v>
      </c>
    </row>
    <row r="2722" spans="1:22" hidden="1" x14ac:dyDescent="0.25">
      <c r="A2722" s="266">
        <v>43613</v>
      </c>
      <c r="B2722" s="267">
        <v>2019</v>
      </c>
      <c r="C2722" s="267">
        <v>2019</v>
      </c>
      <c r="D2722" s="267">
        <v>1</v>
      </c>
      <c r="E2722" s="267">
        <v>1</v>
      </c>
      <c r="F2722" s="267" t="s">
        <v>944</v>
      </c>
      <c r="G2722" s="267" t="s">
        <v>3926</v>
      </c>
      <c r="H2722" s="267" t="s">
        <v>7128</v>
      </c>
      <c r="I2722" s="267" t="s">
        <v>956</v>
      </c>
      <c r="J2722" s="267" t="s">
        <v>3928</v>
      </c>
      <c r="K2722" s="267">
        <v>6615</v>
      </c>
      <c r="L2722" s="267">
        <v>80500</v>
      </c>
      <c r="M2722" s="267" t="s">
        <v>3960</v>
      </c>
      <c r="N2722" s="267" t="s">
        <v>7129</v>
      </c>
      <c r="O2722" s="267">
        <v>0</v>
      </c>
      <c r="P2722" s="267" t="s">
        <v>3930</v>
      </c>
      <c r="Q2722" s="267" t="s">
        <v>3930</v>
      </c>
      <c r="R2722" s="267">
        <v>0</v>
      </c>
      <c r="S2722" s="267">
        <v>27400</v>
      </c>
      <c r="T2722" s="267">
        <v>27400</v>
      </c>
      <c r="U2722" s="268" t="s">
        <v>3937</v>
      </c>
      <c r="V2722" s="267" t="s">
        <v>944</v>
      </c>
    </row>
    <row r="2723" spans="1:22" hidden="1" x14ac:dyDescent="0.25">
      <c r="A2723" s="269">
        <v>43613</v>
      </c>
      <c r="B2723" s="270">
        <v>2019</v>
      </c>
      <c r="C2723" s="270">
        <v>2019</v>
      </c>
      <c r="D2723" s="270">
        <v>1</v>
      </c>
      <c r="E2723" s="270">
        <v>1</v>
      </c>
      <c r="F2723" s="270" t="s">
        <v>944</v>
      </c>
      <c r="G2723" s="270" t="s">
        <v>3926</v>
      </c>
      <c r="H2723" s="270" t="s">
        <v>7130</v>
      </c>
      <c r="I2723" s="270" t="s">
        <v>4111</v>
      </c>
      <c r="J2723" s="270" t="s">
        <v>3928</v>
      </c>
      <c r="K2723" s="270">
        <v>6095</v>
      </c>
      <c r="L2723" s="270">
        <v>473100</v>
      </c>
      <c r="M2723" s="270" t="s">
        <v>3960</v>
      </c>
      <c r="N2723" s="270" t="s">
        <v>7131</v>
      </c>
      <c r="O2723" s="270">
        <v>0</v>
      </c>
      <c r="P2723" s="270" t="s">
        <v>3930</v>
      </c>
      <c r="Q2723" s="270" t="s">
        <v>3930</v>
      </c>
      <c r="R2723" s="270">
        <v>0</v>
      </c>
      <c r="S2723" s="270">
        <v>11996.3</v>
      </c>
      <c r="T2723" s="270">
        <v>11996.3</v>
      </c>
      <c r="U2723" s="271" t="s">
        <v>3937</v>
      </c>
      <c r="V2723" s="267" t="s">
        <v>944</v>
      </c>
    </row>
    <row r="2724" spans="1:22" hidden="1" x14ac:dyDescent="0.25">
      <c r="A2724" s="266">
        <v>43613</v>
      </c>
      <c r="B2724" s="267">
        <v>2019</v>
      </c>
      <c r="C2724" s="267">
        <v>2019</v>
      </c>
      <c r="D2724" s="267">
        <v>1</v>
      </c>
      <c r="E2724" s="267">
        <v>1</v>
      </c>
      <c r="F2724" s="267" t="s">
        <v>944</v>
      </c>
      <c r="G2724" s="267" t="s">
        <v>3926</v>
      </c>
      <c r="H2724" s="267" t="s">
        <v>7132</v>
      </c>
      <c r="I2724" s="267" t="s">
        <v>3009</v>
      </c>
      <c r="J2724" s="267" t="s">
        <v>3928</v>
      </c>
      <c r="K2724" s="267">
        <v>6484</v>
      </c>
      <c r="L2724" s="267">
        <v>110201</v>
      </c>
      <c r="M2724" s="267" t="s">
        <v>3960</v>
      </c>
      <c r="N2724" s="267" t="s">
        <v>4534</v>
      </c>
      <c r="O2724" s="267">
        <v>0</v>
      </c>
      <c r="P2724" s="267" t="s">
        <v>3930</v>
      </c>
      <c r="Q2724" s="267" t="s">
        <v>3930</v>
      </c>
      <c r="R2724" s="267">
        <v>0</v>
      </c>
      <c r="S2724" s="267">
        <v>10000</v>
      </c>
      <c r="T2724" s="267">
        <v>10000</v>
      </c>
      <c r="U2724" s="268" t="s">
        <v>3937</v>
      </c>
      <c r="V2724" s="267" t="s">
        <v>944</v>
      </c>
    </row>
    <row r="2725" spans="1:22" hidden="1" x14ac:dyDescent="0.25">
      <c r="A2725" s="269">
        <v>43613</v>
      </c>
      <c r="B2725" s="270">
        <v>2019</v>
      </c>
      <c r="C2725" s="270">
        <v>2019</v>
      </c>
      <c r="D2725" s="270">
        <v>1</v>
      </c>
      <c r="E2725" s="270">
        <v>1</v>
      </c>
      <c r="F2725" s="270" t="s">
        <v>944</v>
      </c>
      <c r="G2725" s="270" t="s">
        <v>3926</v>
      </c>
      <c r="H2725" s="270" t="s">
        <v>7133</v>
      </c>
      <c r="I2725" s="270" t="s">
        <v>4029</v>
      </c>
      <c r="J2725" s="270" t="s">
        <v>3928</v>
      </c>
      <c r="K2725" s="270">
        <v>6851</v>
      </c>
      <c r="L2725" s="270">
        <v>43500</v>
      </c>
      <c r="M2725" s="270" t="s">
        <v>3943</v>
      </c>
      <c r="N2725" s="270" t="s">
        <v>7134</v>
      </c>
      <c r="O2725" s="270">
        <v>0</v>
      </c>
      <c r="P2725" s="270" t="s">
        <v>3930</v>
      </c>
      <c r="Q2725" s="270" t="s">
        <v>3930</v>
      </c>
      <c r="R2725" s="270">
        <v>0</v>
      </c>
      <c r="S2725" s="270">
        <v>18413</v>
      </c>
      <c r="T2725" s="270">
        <v>18413</v>
      </c>
      <c r="U2725" s="271" t="s">
        <v>3937</v>
      </c>
      <c r="V2725" s="267" t="s">
        <v>944</v>
      </c>
    </row>
    <row r="2726" spans="1:22" hidden="1" x14ac:dyDescent="0.25">
      <c r="A2726" s="266">
        <v>43613</v>
      </c>
      <c r="B2726" s="267">
        <v>2019</v>
      </c>
      <c r="C2726" s="267">
        <v>2019</v>
      </c>
      <c r="D2726" s="267">
        <v>1</v>
      </c>
      <c r="E2726" s="267">
        <v>1</v>
      </c>
      <c r="F2726" s="267" t="s">
        <v>944</v>
      </c>
      <c r="G2726" s="267" t="s">
        <v>3926</v>
      </c>
      <c r="H2726" s="267" t="s">
        <v>7135</v>
      </c>
      <c r="I2726" s="267" t="s">
        <v>4108</v>
      </c>
      <c r="J2726" s="267" t="s">
        <v>3928</v>
      </c>
      <c r="K2726" s="267">
        <v>6082</v>
      </c>
      <c r="L2726" s="267">
        <v>481100</v>
      </c>
      <c r="M2726" s="267" t="s">
        <v>3935</v>
      </c>
      <c r="N2726" s="267" t="s">
        <v>5483</v>
      </c>
      <c r="O2726" s="267">
        <v>0</v>
      </c>
      <c r="P2726" s="267" t="s">
        <v>3930</v>
      </c>
      <c r="Q2726" s="267" t="s">
        <v>3930</v>
      </c>
      <c r="R2726" s="267">
        <v>0</v>
      </c>
      <c r="S2726" s="267">
        <v>15188.94</v>
      </c>
      <c r="T2726" s="267">
        <v>15188.94</v>
      </c>
      <c r="U2726" s="268" t="s">
        <v>3937</v>
      </c>
      <c r="V2726" s="267" t="s">
        <v>944</v>
      </c>
    </row>
    <row r="2727" spans="1:22" hidden="1" x14ac:dyDescent="0.25">
      <c r="A2727" s="269">
        <v>43613</v>
      </c>
      <c r="B2727" s="270">
        <v>2019</v>
      </c>
      <c r="C2727" s="270">
        <v>2019</v>
      </c>
      <c r="D2727" s="270">
        <v>1</v>
      </c>
      <c r="E2727" s="270">
        <v>1</v>
      </c>
      <c r="F2727" s="270" t="s">
        <v>944</v>
      </c>
      <c r="G2727" s="270" t="s">
        <v>3926</v>
      </c>
      <c r="H2727" s="270" t="s">
        <v>7136</v>
      </c>
      <c r="I2727" s="270" t="s">
        <v>4435</v>
      </c>
      <c r="J2727" s="270" t="s">
        <v>3928</v>
      </c>
      <c r="K2727" s="270">
        <v>6249</v>
      </c>
      <c r="L2727" s="270">
        <v>870100</v>
      </c>
      <c r="M2727" s="270" t="s">
        <v>3960</v>
      </c>
      <c r="N2727" s="270" t="s">
        <v>7137</v>
      </c>
      <c r="O2727" s="270">
        <v>0</v>
      </c>
      <c r="P2727" s="270" t="s">
        <v>3930</v>
      </c>
      <c r="Q2727" s="270" t="s">
        <v>3930</v>
      </c>
      <c r="R2727" s="270">
        <v>0</v>
      </c>
      <c r="S2727" s="270">
        <v>24462</v>
      </c>
      <c r="T2727" s="270">
        <v>24462</v>
      </c>
      <c r="U2727" s="271" t="s">
        <v>3937</v>
      </c>
      <c r="V2727" s="267" t="s">
        <v>944</v>
      </c>
    </row>
    <row r="2728" spans="1:22" hidden="1" x14ac:dyDescent="0.25">
      <c r="A2728" s="266">
        <v>43613</v>
      </c>
      <c r="B2728" s="267">
        <v>2019</v>
      </c>
      <c r="C2728" s="267">
        <v>2019</v>
      </c>
      <c r="D2728" s="267">
        <v>1</v>
      </c>
      <c r="E2728" s="267">
        <v>1</v>
      </c>
      <c r="F2728" s="267" t="s">
        <v>944</v>
      </c>
      <c r="G2728" s="267" t="s">
        <v>3926</v>
      </c>
      <c r="H2728" s="267" t="s">
        <v>7138</v>
      </c>
      <c r="I2728" s="267" t="s">
        <v>4042</v>
      </c>
      <c r="J2728" s="267" t="s">
        <v>3928</v>
      </c>
      <c r="K2728" s="267">
        <v>6382</v>
      </c>
      <c r="L2728" s="267">
        <v>870502</v>
      </c>
      <c r="M2728" s="267" t="s">
        <v>3940</v>
      </c>
      <c r="N2728" s="267" t="s">
        <v>7139</v>
      </c>
      <c r="O2728" s="267">
        <v>3914</v>
      </c>
      <c r="P2728" s="267" t="s">
        <v>3930</v>
      </c>
      <c r="Q2728" s="267" t="s">
        <v>3930</v>
      </c>
      <c r="R2728" s="267">
        <v>3914</v>
      </c>
      <c r="S2728" s="267">
        <v>20241</v>
      </c>
      <c r="T2728" s="267">
        <v>24155</v>
      </c>
      <c r="U2728" s="268" t="s">
        <v>3937</v>
      </c>
      <c r="V2728" s="267" t="s">
        <v>944</v>
      </c>
    </row>
    <row r="2729" spans="1:22" hidden="1" x14ac:dyDescent="0.25">
      <c r="A2729" s="269">
        <v>43613</v>
      </c>
      <c r="B2729" s="270">
        <v>2019</v>
      </c>
      <c r="C2729" s="270">
        <v>2019</v>
      </c>
      <c r="D2729" s="270">
        <v>1</v>
      </c>
      <c r="E2729" s="270">
        <v>1</v>
      </c>
      <c r="F2729" s="270" t="s">
        <v>944</v>
      </c>
      <c r="G2729" s="270" t="s">
        <v>3926</v>
      </c>
      <c r="H2729" s="270" t="s">
        <v>7140</v>
      </c>
      <c r="I2729" s="270" t="s">
        <v>4392</v>
      </c>
      <c r="J2729" s="270" t="s">
        <v>3928</v>
      </c>
      <c r="K2729" s="270">
        <v>6457</v>
      </c>
      <c r="L2729" s="270">
        <v>542200</v>
      </c>
      <c r="M2729" s="270" t="s">
        <v>3960</v>
      </c>
      <c r="N2729" s="270" t="s">
        <v>3929</v>
      </c>
      <c r="O2729" s="270">
        <v>2244.0300000000002</v>
      </c>
      <c r="P2729" s="270" t="s">
        <v>3930</v>
      </c>
      <c r="Q2729" s="270" t="s">
        <v>3931</v>
      </c>
      <c r="R2729" s="270">
        <v>7244.03</v>
      </c>
      <c r="S2729" s="270">
        <v>34744</v>
      </c>
      <c r="T2729" s="270">
        <v>41988.03</v>
      </c>
      <c r="U2729" s="271" t="s">
        <v>3932</v>
      </c>
      <c r="V2729" s="267" t="s">
        <v>944</v>
      </c>
    </row>
    <row r="2730" spans="1:22" hidden="1" x14ac:dyDescent="0.25">
      <c r="A2730" s="266">
        <v>43613</v>
      </c>
      <c r="B2730" s="267">
        <v>2019</v>
      </c>
      <c r="C2730" s="267">
        <v>2019</v>
      </c>
      <c r="D2730" s="267">
        <v>1</v>
      </c>
      <c r="E2730" s="267">
        <v>1</v>
      </c>
      <c r="F2730" s="267" t="s">
        <v>944</v>
      </c>
      <c r="G2730" s="267" t="s">
        <v>3926</v>
      </c>
      <c r="H2730" s="267" t="s">
        <v>7141</v>
      </c>
      <c r="I2730" s="267" t="s">
        <v>4011</v>
      </c>
      <c r="J2730" s="267" t="s">
        <v>3928</v>
      </c>
      <c r="K2730" s="267">
        <v>6002</v>
      </c>
      <c r="L2730" s="267">
        <v>471400</v>
      </c>
      <c r="M2730" s="267" t="s">
        <v>3943</v>
      </c>
      <c r="N2730" s="267" t="s">
        <v>3986</v>
      </c>
      <c r="O2730" s="267">
        <v>1292.48</v>
      </c>
      <c r="P2730" s="267" t="s">
        <v>3930</v>
      </c>
      <c r="Q2730" s="267" t="s">
        <v>3931</v>
      </c>
      <c r="R2730" s="267">
        <v>6292.48</v>
      </c>
      <c r="S2730" s="267">
        <v>16196.8</v>
      </c>
      <c r="T2730" s="267">
        <v>22489.279999999999</v>
      </c>
      <c r="U2730" s="268" t="s">
        <v>3932</v>
      </c>
      <c r="V2730" s="267" t="s">
        <v>944</v>
      </c>
    </row>
    <row r="2731" spans="1:22" hidden="1" x14ac:dyDescent="0.25">
      <c r="A2731" s="269">
        <v>43613</v>
      </c>
      <c r="B2731" s="270">
        <v>2019</v>
      </c>
      <c r="C2731" s="270">
        <v>2019</v>
      </c>
      <c r="D2731" s="270">
        <v>1</v>
      </c>
      <c r="E2731" s="270">
        <v>1</v>
      </c>
      <c r="F2731" s="270" t="s">
        <v>944</v>
      </c>
      <c r="G2731" s="270" t="s">
        <v>3926</v>
      </c>
      <c r="H2731" s="270" t="s">
        <v>7142</v>
      </c>
      <c r="I2731" s="270" t="s">
        <v>4087</v>
      </c>
      <c r="J2731" s="270" t="s">
        <v>3928</v>
      </c>
      <c r="K2731" s="270">
        <v>6355</v>
      </c>
      <c r="L2731" s="270">
        <v>703000</v>
      </c>
      <c r="M2731" s="270" t="s">
        <v>3960</v>
      </c>
      <c r="N2731" s="270" t="s">
        <v>3944</v>
      </c>
      <c r="O2731" s="270">
        <v>2939</v>
      </c>
      <c r="P2731" s="270" t="s">
        <v>3944</v>
      </c>
      <c r="Q2731" s="270" t="s">
        <v>3944</v>
      </c>
      <c r="R2731" s="270">
        <v>2939</v>
      </c>
      <c r="S2731" s="270">
        <v>22711</v>
      </c>
      <c r="T2731" s="270">
        <v>25650</v>
      </c>
      <c r="U2731" s="271" t="s">
        <v>3945</v>
      </c>
      <c r="V2731" s="267" t="s">
        <v>944</v>
      </c>
    </row>
    <row r="2732" spans="1:22" hidden="1" x14ac:dyDescent="0.25">
      <c r="A2732" s="266">
        <v>43613</v>
      </c>
      <c r="B2732" s="267">
        <v>2019</v>
      </c>
      <c r="C2732" s="267">
        <v>2019</v>
      </c>
      <c r="D2732" s="267">
        <v>1</v>
      </c>
      <c r="E2732" s="267">
        <v>1</v>
      </c>
      <c r="F2732" s="267" t="s">
        <v>944</v>
      </c>
      <c r="G2732" s="267" t="s">
        <v>3926</v>
      </c>
      <c r="H2732" s="267" t="s">
        <v>7143</v>
      </c>
      <c r="I2732" s="267" t="s">
        <v>4548</v>
      </c>
      <c r="J2732" s="267" t="s">
        <v>3928</v>
      </c>
      <c r="K2732" s="267">
        <v>6037</v>
      </c>
      <c r="L2732" s="267">
        <v>400100</v>
      </c>
      <c r="M2732" s="267" t="s">
        <v>3935</v>
      </c>
      <c r="N2732" s="267" t="s">
        <v>3944</v>
      </c>
      <c r="O2732" s="267">
        <v>3101</v>
      </c>
      <c r="P2732" s="267" t="s">
        <v>3944</v>
      </c>
      <c r="Q2732" s="267" t="s">
        <v>3944</v>
      </c>
      <c r="R2732" s="267">
        <v>3101</v>
      </c>
      <c r="S2732" s="267">
        <v>18679</v>
      </c>
      <c r="T2732" s="267">
        <v>21780</v>
      </c>
      <c r="U2732" s="268" t="s">
        <v>3945</v>
      </c>
      <c r="V2732" s="267" t="s">
        <v>944</v>
      </c>
    </row>
    <row r="2733" spans="1:22" hidden="1" x14ac:dyDescent="0.25">
      <c r="A2733" s="269">
        <v>43613</v>
      </c>
      <c r="B2733" s="270">
        <v>2019</v>
      </c>
      <c r="C2733" s="270">
        <v>2019</v>
      </c>
      <c r="D2733" s="270">
        <v>1</v>
      </c>
      <c r="E2733" s="270">
        <v>1</v>
      </c>
      <c r="F2733" s="270" t="s">
        <v>944</v>
      </c>
      <c r="G2733" s="270" t="s">
        <v>3926</v>
      </c>
      <c r="H2733" s="270" t="s">
        <v>7144</v>
      </c>
      <c r="I2733" s="270" t="s">
        <v>4029</v>
      </c>
      <c r="J2733" s="270" t="s">
        <v>3928</v>
      </c>
      <c r="K2733" s="270">
        <v>6850</v>
      </c>
      <c r="L2733" s="270">
        <v>43800</v>
      </c>
      <c r="M2733" s="270" t="s">
        <v>3935</v>
      </c>
      <c r="N2733" s="270" t="s">
        <v>3944</v>
      </c>
      <c r="O2733" s="270">
        <v>2424</v>
      </c>
      <c r="P2733" s="270" t="s">
        <v>3944</v>
      </c>
      <c r="Q2733" s="270" t="s">
        <v>3944</v>
      </c>
      <c r="R2733" s="270">
        <v>2424</v>
      </c>
      <c r="S2733" s="270">
        <v>26376</v>
      </c>
      <c r="T2733" s="270">
        <v>28800</v>
      </c>
      <c r="U2733" s="271" t="s">
        <v>3945</v>
      </c>
      <c r="V2733" s="267" t="s">
        <v>944</v>
      </c>
    </row>
    <row r="2734" spans="1:22" hidden="1" x14ac:dyDescent="0.25">
      <c r="A2734" s="266">
        <v>43613</v>
      </c>
      <c r="B2734" s="267">
        <v>2019</v>
      </c>
      <c r="C2734" s="267">
        <v>2019</v>
      </c>
      <c r="D2734" s="267">
        <v>1</v>
      </c>
      <c r="E2734" s="267">
        <v>1</v>
      </c>
      <c r="F2734" s="267" t="s">
        <v>944</v>
      </c>
      <c r="G2734" s="267" t="s">
        <v>3926</v>
      </c>
      <c r="H2734" s="267" t="s">
        <v>7145</v>
      </c>
      <c r="I2734" s="267" t="s">
        <v>4213</v>
      </c>
      <c r="J2734" s="267" t="s">
        <v>3928</v>
      </c>
      <c r="K2734" s="267">
        <v>6053</v>
      </c>
      <c r="L2734" s="267">
        <v>416100</v>
      </c>
      <c r="M2734" s="267">
        <v>-60</v>
      </c>
      <c r="N2734" s="267" t="s">
        <v>3944</v>
      </c>
      <c r="O2734" s="267">
        <v>2523</v>
      </c>
      <c r="P2734" s="267" t="s">
        <v>3944</v>
      </c>
      <c r="Q2734" s="267" t="s">
        <v>3944</v>
      </c>
      <c r="R2734" s="267">
        <v>2523</v>
      </c>
      <c r="S2734" s="267">
        <v>22903.9</v>
      </c>
      <c r="T2734" s="267">
        <v>25426.9</v>
      </c>
      <c r="U2734" s="268" t="s">
        <v>3945</v>
      </c>
      <c r="V2734" s="267" t="s">
        <v>944</v>
      </c>
    </row>
    <row r="2735" spans="1:22" hidden="1" x14ac:dyDescent="0.25">
      <c r="A2735" s="269">
        <v>43613</v>
      </c>
      <c r="B2735" s="270">
        <v>2019</v>
      </c>
      <c r="C2735" s="270">
        <v>2019</v>
      </c>
      <c r="D2735" s="270">
        <v>1</v>
      </c>
      <c r="E2735" s="270">
        <v>1</v>
      </c>
      <c r="F2735" s="270" t="s">
        <v>944</v>
      </c>
      <c r="G2735" s="270" t="s">
        <v>3926</v>
      </c>
      <c r="H2735" s="270" t="s">
        <v>7146</v>
      </c>
      <c r="I2735" s="270" t="s">
        <v>3966</v>
      </c>
      <c r="J2735" s="270" t="s">
        <v>3928</v>
      </c>
      <c r="K2735" s="270">
        <v>6010</v>
      </c>
      <c r="L2735" s="270">
        <v>405200</v>
      </c>
      <c r="M2735" s="270" t="s">
        <v>3940</v>
      </c>
      <c r="N2735" s="270" t="s">
        <v>3944</v>
      </c>
      <c r="O2735" s="270">
        <v>6263</v>
      </c>
      <c r="P2735" s="270" t="s">
        <v>3944</v>
      </c>
      <c r="Q2735" s="270" t="s">
        <v>3944</v>
      </c>
      <c r="R2735" s="270">
        <v>6263</v>
      </c>
      <c r="S2735" s="270">
        <v>45612.160000000003</v>
      </c>
      <c r="T2735" s="270">
        <v>51875.16</v>
      </c>
      <c r="U2735" s="271" t="s">
        <v>3945</v>
      </c>
      <c r="V2735" s="267" t="s">
        <v>944</v>
      </c>
    </row>
    <row r="2736" spans="1:22" hidden="1" x14ac:dyDescent="0.25">
      <c r="A2736" s="266">
        <v>43613</v>
      </c>
      <c r="B2736" s="267">
        <v>2019</v>
      </c>
      <c r="C2736" s="267">
        <v>2019</v>
      </c>
      <c r="D2736" s="267">
        <v>1</v>
      </c>
      <c r="E2736" s="267">
        <v>1</v>
      </c>
      <c r="F2736" s="267" t="s">
        <v>944</v>
      </c>
      <c r="G2736" s="267" t="s">
        <v>3926</v>
      </c>
      <c r="H2736" s="267" t="s">
        <v>7147</v>
      </c>
      <c r="I2736" s="267" t="s">
        <v>3008</v>
      </c>
      <c r="J2736" s="267" t="s">
        <v>3928</v>
      </c>
      <c r="K2736" s="267">
        <v>6460</v>
      </c>
      <c r="L2736" s="267">
        <v>150900</v>
      </c>
      <c r="M2736" s="267" t="s">
        <v>3943</v>
      </c>
      <c r="N2736" s="267" t="s">
        <v>3944</v>
      </c>
      <c r="O2736" s="267">
        <v>3713</v>
      </c>
      <c r="P2736" s="267" t="s">
        <v>3944</v>
      </c>
      <c r="Q2736" s="267" t="s">
        <v>3944</v>
      </c>
      <c r="R2736" s="267">
        <v>3713</v>
      </c>
      <c r="S2736" s="267">
        <v>27563.8</v>
      </c>
      <c r="T2736" s="267">
        <v>31276.799999999999</v>
      </c>
      <c r="U2736" s="268" t="s">
        <v>3945</v>
      </c>
      <c r="V2736" s="267" t="s">
        <v>944</v>
      </c>
    </row>
    <row r="2737" spans="1:22" hidden="1" x14ac:dyDescent="0.25">
      <c r="A2737" s="269">
        <v>43613</v>
      </c>
      <c r="B2737" s="270">
        <v>2019</v>
      </c>
      <c r="C2737" s="270">
        <v>2019</v>
      </c>
      <c r="D2737" s="270">
        <v>1</v>
      </c>
      <c r="E2737" s="270">
        <v>1</v>
      </c>
      <c r="F2737" s="270" t="s">
        <v>944</v>
      </c>
      <c r="G2737" s="270" t="s">
        <v>3926</v>
      </c>
      <c r="H2737" s="270" t="s">
        <v>7148</v>
      </c>
      <c r="I2737" s="270" t="s">
        <v>953</v>
      </c>
      <c r="J2737" s="270" t="s">
        <v>3928</v>
      </c>
      <c r="K2737" s="270">
        <v>6514</v>
      </c>
      <c r="L2737" s="270">
        <v>165700</v>
      </c>
      <c r="M2737" s="270" t="s">
        <v>3935</v>
      </c>
      <c r="N2737" s="270" t="s">
        <v>3944</v>
      </c>
      <c r="O2737" s="270">
        <v>3561</v>
      </c>
      <c r="P2737" s="270" t="s">
        <v>3944</v>
      </c>
      <c r="Q2737" s="270" t="s">
        <v>3944</v>
      </c>
      <c r="R2737" s="270">
        <v>3561</v>
      </c>
      <c r="S2737" s="270">
        <v>53920</v>
      </c>
      <c r="T2737" s="270">
        <v>57481</v>
      </c>
      <c r="U2737" s="271" t="s">
        <v>3945</v>
      </c>
      <c r="V2737" s="267" t="s">
        <v>944</v>
      </c>
    </row>
    <row r="2738" spans="1:22" hidden="1" x14ac:dyDescent="0.25">
      <c r="A2738" s="266">
        <v>43613</v>
      </c>
      <c r="B2738" s="267">
        <v>2019</v>
      </c>
      <c r="C2738" s="267">
        <v>2019</v>
      </c>
      <c r="D2738" s="267">
        <v>1</v>
      </c>
      <c r="E2738" s="267">
        <v>1</v>
      </c>
      <c r="F2738" s="267" t="s">
        <v>944</v>
      </c>
      <c r="G2738" s="267" t="s">
        <v>3926</v>
      </c>
      <c r="H2738" s="267" t="s">
        <v>7149</v>
      </c>
      <c r="I2738" s="267" t="s">
        <v>4323</v>
      </c>
      <c r="J2738" s="267" t="s">
        <v>3928</v>
      </c>
      <c r="K2738" s="267">
        <v>6385</v>
      </c>
      <c r="L2738" s="267">
        <v>693500</v>
      </c>
      <c r="M2738" s="267" t="s">
        <v>3943</v>
      </c>
      <c r="N2738" s="267" t="s">
        <v>3944</v>
      </c>
      <c r="O2738" s="267">
        <v>1817.41</v>
      </c>
      <c r="P2738" s="267" t="s">
        <v>3944</v>
      </c>
      <c r="Q2738" s="267" t="s">
        <v>3944</v>
      </c>
      <c r="R2738" s="267">
        <v>1817.41</v>
      </c>
      <c r="S2738" s="267">
        <v>36843.879999999997</v>
      </c>
      <c r="T2738" s="267">
        <v>38661.29</v>
      </c>
      <c r="U2738" s="268" t="s">
        <v>3945</v>
      </c>
      <c r="V2738" s="267" t="s">
        <v>944</v>
      </c>
    </row>
    <row r="2739" spans="1:22" hidden="1" x14ac:dyDescent="0.25">
      <c r="A2739" s="269">
        <v>43613</v>
      </c>
      <c r="B2739" s="270">
        <v>2019</v>
      </c>
      <c r="C2739" s="270">
        <v>2019</v>
      </c>
      <c r="D2739" s="270">
        <v>1</v>
      </c>
      <c r="E2739" s="270">
        <v>1</v>
      </c>
      <c r="F2739" s="270" t="s">
        <v>944</v>
      </c>
      <c r="G2739" s="270" t="s">
        <v>3926</v>
      </c>
      <c r="H2739" s="270" t="s">
        <v>7150</v>
      </c>
      <c r="I2739" s="270" t="s">
        <v>3956</v>
      </c>
      <c r="J2739" s="270" t="s">
        <v>3928</v>
      </c>
      <c r="K2739" s="270">
        <v>6106</v>
      </c>
      <c r="L2739" s="270">
        <v>504900</v>
      </c>
      <c r="M2739" s="270">
        <v>-60</v>
      </c>
      <c r="N2739" s="270" t="s">
        <v>3944</v>
      </c>
      <c r="O2739" s="270">
        <v>1887.31</v>
      </c>
      <c r="P2739" s="270" t="s">
        <v>3944</v>
      </c>
      <c r="Q2739" s="270" t="s">
        <v>3944</v>
      </c>
      <c r="R2739" s="270">
        <v>1887.31</v>
      </c>
      <c r="S2739" s="270">
        <v>35659.69</v>
      </c>
      <c r="T2739" s="270">
        <v>37547</v>
      </c>
      <c r="U2739" s="271" t="s">
        <v>3945</v>
      </c>
      <c r="V2739" s="267" t="s">
        <v>944</v>
      </c>
    </row>
    <row r="2740" spans="1:22" hidden="1" x14ac:dyDescent="0.25">
      <c r="A2740" s="266">
        <v>43613</v>
      </c>
      <c r="B2740" s="267">
        <v>2019</v>
      </c>
      <c r="C2740" s="267">
        <v>2019</v>
      </c>
      <c r="D2740" s="267">
        <v>1</v>
      </c>
      <c r="E2740" s="267">
        <v>1</v>
      </c>
      <c r="F2740" s="267" t="s">
        <v>944</v>
      </c>
      <c r="G2740" s="267" t="s">
        <v>3926</v>
      </c>
      <c r="H2740" s="267" t="s">
        <v>7151</v>
      </c>
      <c r="I2740" s="267" t="s">
        <v>3971</v>
      </c>
      <c r="J2740" s="267" t="s">
        <v>3928</v>
      </c>
      <c r="K2740" s="267">
        <v>6084</v>
      </c>
      <c r="L2740" s="267">
        <v>533102</v>
      </c>
      <c r="M2740" s="267" t="s">
        <v>3943</v>
      </c>
      <c r="N2740" s="267" t="s">
        <v>3944</v>
      </c>
      <c r="O2740" s="267">
        <v>1136.73</v>
      </c>
      <c r="P2740" s="267" t="s">
        <v>3944</v>
      </c>
      <c r="Q2740" s="267" t="s">
        <v>3944</v>
      </c>
      <c r="R2740" s="267">
        <v>1136.73</v>
      </c>
      <c r="S2740" s="267">
        <v>18745.27</v>
      </c>
      <c r="T2740" s="267">
        <v>19882</v>
      </c>
      <c r="U2740" s="268" t="s">
        <v>3945</v>
      </c>
      <c r="V2740" s="267" t="s">
        <v>944</v>
      </c>
    </row>
    <row r="2741" spans="1:22" x14ac:dyDescent="0.25">
      <c r="A2741" s="269">
        <v>43613</v>
      </c>
      <c r="B2741" s="270">
        <v>2019</v>
      </c>
      <c r="C2741" s="270">
        <v>2019</v>
      </c>
      <c r="D2741" s="270">
        <v>1</v>
      </c>
      <c r="E2741" s="270">
        <v>1</v>
      </c>
      <c r="F2741" s="270" t="s">
        <v>944</v>
      </c>
      <c r="G2741" s="270" t="s">
        <v>3926</v>
      </c>
      <c r="H2741" s="270" t="s">
        <v>7152</v>
      </c>
      <c r="I2741" s="270" t="s">
        <v>934</v>
      </c>
      <c r="J2741" s="270" t="s">
        <v>3928</v>
      </c>
      <c r="K2741" s="270">
        <v>6605</v>
      </c>
      <c r="L2741" s="270">
        <v>70200</v>
      </c>
      <c r="M2741" s="270">
        <v>-60</v>
      </c>
      <c r="N2741" s="270" t="s">
        <v>3944</v>
      </c>
      <c r="O2741" s="270">
        <v>843.47</v>
      </c>
      <c r="P2741" s="270" t="s">
        <v>3944</v>
      </c>
      <c r="Q2741" s="270" t="s">
        <v>3944</v>
      </c>
      <c r="R2741" s="270">
        <v>843.47</v>
      </c>
      <c r="S2741" s="270">
        <v>17890.38</v>
      </c>
      <c r="T2741" s="270">
        <v>18733.849999999999</v>
      </c>
      <c r="U2741" s="271" t="s">
        <v>3945</v>
      </c>
      <c r="V2741" s="276" t="s">
        <v>936</v>
      </c>
    </row>
    <row r="2742" spans="1:22" hidden="1" x14ac:dyDescent="0.25">
      <c r="A2742" s="266">
        <v>43613</v>
      </c>
      <c r="B2742" s="267">
        <v>2019</v>
      </c>
      <c r="C2742" s="267">
        <v>2019</v>
      </c>
      <c r="D2742" s="267">
        <v>1</v>
      </c>
      <c r="E2742" s="267">
        <v>1</v>
      </c>
      <c r="F2742" s="267" t="s">
        <v>944</v>
      </c>
      <c r="G2742" s="267" t="s">
        <v>3926</v>
      </c>
      <c r="H2742" s="267" t="s">
        <v>7153</v>
      </c>
      <c r="I2742" s="267" t="s">
        <v>4200</v>
      </c>
      <c r="J2742" s="267" t="s">
        <v>3928</v>
      </c>
      <c r="K2742" s="267">
        <v>6779</v>
      </c>
      <c r="L2742" s="267">
        <v>360400</v>
      </c>
      <c r="M2742" s="267" t="s">
        <v>3940</v>
      </c>
      <c r="N2742" s="267" t="s">
        <v>3944</v>
      </c>
      <c r="O2742" s="267">
        <v>719.25</v>
      </c>
      <c r="P2742" s="267" t="s">
        <v>3944</v>
      </c>
      <c r="Q2742" s="267" t="s">
        <v>3944</v>
      </c>
      <c r="R2742" s="267">
        <v>719.25</v>
      </c>
      <c r="S2742" s="267">
        <v>13931.95</v>
      </c>
      <c r="T2742" s="267">
        <v>14651.2</v>
      </c>
      <c r="U2742" s="268" t="s">
        <v>3945</v>
      </c>
      <c r="V2742" s="267" t="s">
        <v>944</v>
      </c>
    </row>
    <row r="2743" spans="1:22" hidden="1" x14ac:dyDescent="0.25">
      <c r="A2743" s="269">
        <v>43613</v>
      </c>
      <c r="B2743" s="270">
        <v>2019</v>
      </c>
      <c r="C2743" s="270">
        <v>2019</v>
      </c>
      <c r="D2743" s="270">
        <v>1</v>
      </c>
      <c r="E2743" s="270">
        <v>1</v>
      </c>
      <c r="F2743" s="270" t="s">
        <v>944</v>
      </c>
      <c r="G2743" s="270" t="s">
        <v>3926</v>
      </c>
      <c r="H2743" s="270" t="s">
        <v>7154</v>
      </c>
      <c r="I2743" s="270" t="s">
        <v>4203</v>
      </c>
      <c r="J2743" s="270" t="s">
        <v>3928</v>
      </c>
      <c r="K2743" s="270">
        <v>6071</v>
      </c>
      <c r="L2743" s="270">
        <v>538202</v>
      </c>
      <c r="M2743" s="270" t="s">
        <v>3943</v>
      </c>
      <c r="N2743" s="270" t="s">
        <v>3944</v>
      </c>
      <c r="O2743" s="270">
        <v>2574.6</v>
      </c>
      <c r="P2743" s="270" t="s">
        <v>3944</v>
      </c>
      <c r="Q2743" s="270" t="s">
        <v>3944</v>
      </c>
      <c r="R2743" s="270">
        <v>2574.6</v>
      </c>
      <c r="S2743" s="270">
        <v>43709.2</v>
      </c>
      <c r="T2743" s="270">
        <v>46283.8</v>
      </c>
      <c r="U2743" s="271" t="s">
        <v>3945</v>
      </c>
      <c r="V2743" s="267" t="s">
        <v>944</v>
      </c>
    </row>
    <row r="2744" spans="1:22" hidden="1" x14ac:dyDescent="0.25">
      <c r="A2744" s="266">
        <v>43613</v>
      </c>
      <c r="B2744" s="267">
        <v>2019</v>
      </c>
      <c r="C2744" s="267">
        <v>2019</v>
      </c>
      <c r="D2744" s="267">
        <v>1</v>
      </c>
      <c r="E2744" s="267">
        <v>1</v>
      </c>
      <c r="F2744" s="267" t="s">
        <v>944</v>
      </c>
      <c r="G2744" s="267" t="s">
        <v>3926</v>
      </c>
      <c r="H2744" s="267" t="s">
        <v>7155</v>
      </c>
      <c r="I2744" s="267" t="s">
        <v>3026</v>
      </c>
      <c r="J2744" s="267" t="s">
        <v>3928</v>
      </c>
      <c r="K2744" s="267">
        <v>6471</v>
      </c>
      <c r="L2744" s="267">
        <v>186100</v>
      </c>
      <c r="M2744" s="267" t="s">
        <v>3935</v>
      </c>
      <c r="N2744" s="267" t="s">
        <v>3944</v>
      </c>
      <c r="O2744" s="267">
        <v>2553.67</v>
      </c>
      <c r="P2744" s="267" t="s">
        <v>3944</v>
      </c>
      <c r="Q2744" s="267" t="s">
        <v>3944</v>
      </c>
      <c r="R2744" s="267">
        <v>2553.67</v>
      </c>
      <c r="S2744" s="267">
        <v>31466.33</v>
      </c>
      <c r="T2744" s="267">
        <v>34020</v>
      </c>
      <c r="U2744" s="268" t="s">
        <v>3945</v>
      </c>
      <c r="V2744" s="267" t="s">
        <v>944</v>
      </c>
    </row>
    <row r="2745" spans="1:22" hidden="1" x14ac:dyDescent="0.25">
      <c r="A2745" s="269">
        <v>43613</v>
      </c>
      <c r="B2745" s="270">
        <v>2019</v>
      </c>
      <c r="C2745" s="270">
        <v>2019</v>
      </c>
      <c r="D2745" s="270">
        <v>1</v>
      </c>
      <c r="E2745" s="270">
        <v>1</v>
      </c>
      <c r="F2745" s="270" t="s">
        <v>944</v>
      </c>
      <c r="G2745" s="270" t="s">
        <v>3926</v>
      </c>
      <c r="H2745" s="270" t="s">
        <v>7156</v>
      </c>
      <c r="I2745" s="270" t="s">
        <v>4029</v>
      </c>
      <c r="J2745" s="270" t="s">
        <v>3928</v>
      </c>
      <c r="K2745" s="270">
        <v>6854</v>
      </c>
      <c r="L2745" s="270">
        <v>43200</v>
      </c>
      <c r="M2745" s="270" t="s">
        <v>3935</v>
      </c>
      <c r="N2745" s="270" t="s">
        <v>3944</v>
      </c>
      <c r="O2745" s="270">
        <v>1436.23</v>
      </c>
      <c r="P2745" s="270" t="s">
        <v>3944</v>
      </c>
      <c r="Q2745" s="270" t="s">
        <v>3944</v>
      </c>
      <c r="R2745" s="270">
        <v>1436.23</v>
      </c>
      <c r="S2745" s="270">
        <v>21380.81</v>
      </c>
      <c r="T2745" s="270">
        <v>22817.040000000001</v>
      </c>
      <c r="U2745" s="271" t="s">
        <v>3945</v>
      </c>
      <c r="V2745" s="267" t="s">
        <v>944</v>
      </c>
    </row>
    <row r="2746" spans="1:22" hidden="1" x14ac:dyDescent="0.25">
      <c r="A2746" s="266">
        <v>43614</v>
      </c>
      <c r="B2746" s="267">
        <v>2019</v>
      </c>
      <c r="C2746" s="267">
        <v>2019</v>
      </c>
      <c r="D2746" s="267">
        <v>1</v>
      </c>
      <c r="E2746" s="267">
        <v>1</v>
      </c>
      <c r="F2746" s="267" t="s">
        <v>944</v>
      </c>
      <c r="G2746" s="267" t="s">
        <v>3926</v>
      </c>
      <c r="H2746" s="267" t="s">
        <v>7157</v>
      </c>
      <c r="I2746" s="267" t="s">
        <v>3934</v>
      </c>
      <c r="J2746" s="267" t="s">
        <v>3928</v>
      </c>
      <c r="K2746" s="267">
        <v>6405</v>
      </c>
      <c r="L2746" s="267">
        <v>184300</v>
      </c>
      <c r="M2746" s="267" t="s">
        <v>3960</v>
      </c>
      <c r="N2746" s="267" t="s">
        <v>7158</v>
      </c>
      <c r="O2746" s="267">
        <v>0</v>
      </c>
      <c r="P2746" s="267" t="s">
        <v>3930</v>
      </c>
      <c r="Q2746" s="267" t="s">
        <v>3930</v>
      </c>
      <c r="R2746" s="267">
        <v>0</v>
      </c>
      <c r="S2746" s="267">
        <v>10150</v>
      </c>
      <c r="T2746" s="267">
        <v>10150</v>
      </c>
      <c r="U2746" s="268" t="s">
        <v>3937</v>
      </c>
      <c r="V2746" s="267" t="s">
        <v>944</v>
      </c>
    </row>
    <row r="2747" spans="1:22" hidden="1" x14ac:dyDescent="0.25">
      <c r="A2747" s="269">
        <v>43614</v>
      </c>
      <c r="B2747" s="270">
        <v>2019</v>
      </c>
      <c r="C2747" s="270">
        <v>2019</v>
      </c>
      <c r="D2747" s="270">
        <v>1</v>
      </c>
      <c r="E2747" s="270">
        <v>1</v>
      </c>
      <c r="F2747" s="270" t="s">
        <v>944</v>
      </c>
      <c r="G2747" s="270" t="s">
        <v>3926</v>
      </c>
      <c r="H2747" s="270" t="s">
        <v>7159</v>
      </c>
      <c r="I2747" s="270" t="s">
        <v>2985</v>
      </c>
      <c r="J2747" s="270" t="s">
        <v>3928</v>
      </c>
      <c r="K2747" s="270">
        <v>6825</v>
      </c>
      <c r="L2747" s="270">
        <v>60100</v>
      </c>
      <c r="M2747" s="270" t="s">
        <v>3943</v>
      </c>
      <c r="N2747" s="270" t="s">
        <v>7160</v>
      </c>
      <c r="O2747" s="270">
        <v>0</v>
      </c>
      <c r="P2747" s="270" t="s">
        <v>3930</v>
      </c>
      <c r="Q2747" s="270" t="s">
        <v>3930</v>
      </c>
      <c r="R2747" s="270">
        <v>0</v>
      </c>
      <c r="S2747" s="270">
        <v>7490</v>
      </c>
      <c r="T2747" s="270">
        <v>7490</v>
      </c>
      <c r="U2747" s="271" t="s">
        <v>3937</v>
      </c>
      <c r="V2747" s="267" t="s">
        <v>944</v>
      </c>
    </row>
    <row r="2748" spans="1:22" hidden="1" x14ac:dyDescent="0.25">
      <c r="A2748" s="266">
        <v>43614</v>
      </c>
      <c r="B2748" s="267">
        <v>2019</v>
      </c>
      <c r="C2748" s="267">
        <v>2019</v>
      </c>
      <c r="D2748" s="267">
        <v>1</v>
      </c>
      <c r="E2748" s="267">
        <v>1</v>
      </c>
      <c r="F2748" s="267" t="s">
        <v>944</v>
      </c>
      <c r="G2748" s="267" t="s">
        <v>3926</v>
      </c>
      <c r="H2748" s="267" t="s">
        <v>7161</v>
      </c>
      <c r="I2748" s="267" t="s">
        <v>3949</v>
      </c>
      <c r="J2748" s="267" t="s">
        <v>3928</v>
      </c>
      <c r="K2748" s="267">
        <v>6437</v>
      </c>
      <c r="L2748" s="267">
        <v>190100</v>
      </c>
      <c r="M2748" s="267" t="s">
        <v>3960</v>
      </c>
      <c r="N2748" s="267" t="s">
        <v>5725</v>
      </c>
      <c r="O2748" s="267">
        <v>0</v>
      </c>
      <c r="P2748" s="267" t="s">
        <v>3930</v>
      </c>
      <c r="Q2748" s="267" t="s">
        <v>3930</v>
      </c>
      <c r="R2748" s="267">
        <v>0</v>
      </c>
      <c r="S2748" s="267">
        <v>12564.92</v>
      </c>
      <c r="T2748" s="267">
        <v>12564.92</v>
      </c>
      <c r="U2748" s="268" t="s">
        <v>3937</v>
      </c>
      <c r="V2748" s="267" t="s">
        <v>944</v>
      </c>
    </row>
    <row r="2749" spans="1:22" hidden="1" x14ac:dyDescent="0.25">
      <c r="A2749" s="269">
        <v>43614</v>
      </c>
      <c r="B2749" s="270">
        <v>2019</v>
      </c>
      <c r="C2749" s="270">
        <v>2019</v>
      </c>
      <c r="D2749" s="270">
        <v>1</v>
      </c>
      <c r="E2749" s="270">
        <v>1</v>
      </c>
      <c r="F2749" s="270" t="s">
        <v>944</v>
      </c>
      <c r="G2749" s="270" t="s">
        <v>3926</v>
      </c>
      <c r="H2749" s="270" t="s">
        <v>7162</v>
      </c>
      <c r="I2749" s="270" t="s">
        <v>4235</v>
      </c>
      <c r="J2749" s="270" t="s">
        <v>3928</v>
      </c>
      <c r="K2749" s="270">
        <v>6066</v>
      </c>
      <c r="L2749" s="270">
        <v>530100</v>
      </c>
      <c r="M2749" s="270" t="s">
        <v>3940</v>
      </c>
      <c r="N2749" s="270" t="s">
        <v>3986</v>
      </c>
      <c r="O2749" s="270">
        <v>2584.35</v>
      </c>
      <c r="P2749" s="270" t="s">
        <v>3930</v>
      </c>
      <c r="Q2749" s="270" t="s">
        <v>3931</v>
      </c>
      <c r="R2749" s="270">
        <v>7584.35</v>
      </c>
      <c r="S2749" s="270">
        <v>16196.8</v>
      </c>
      <c r="T2749" s="270">
        <v>23781.15</v>
      </c>
      <c r="U2749" s="271" t="s">
        <v>3932</v>
      </c>
      <c r="V2749" s="267" t="s">
        <v>944</v>
      </c>
    </row>
    <row r="2750" spans="1:22" hidden="1" x14ac:dyDescent="0.25">
      <c r="A2750" s="266">
        <v>43614</v>
      </c>
      <c r="B2750" s="267">
        <v>2019</v>
      </c>
      <c r="C2750" s="267">
        <v>2019</v>
      </c>
      <c r="D2750" s="267">
        <v>1</v>
      </c>
      <c r="E2750" s="267">
        <v>1</v>
      </c>
      <c r="F2750" s="267" t="s">
        <v>944</v>
      </c>
      <c r="G2750" s="267" t="s">
        <v>3926</v>
      </c>
      <c r="H2750" s="267" t="s">
        <v>7163</v>
      </c>
      <c r="I2750" s="267" t="s">
        <v>953</v>
      </c>
      <c r="J2750" s="267" t="s">
        <v>3928</v>
      </c>
      <c r="K2750" s="267">
        <v>6514</v>
      </c>
      <c r="L2750" s="267">
        <v>165802</v>
      </c>
      <c r="M2750" s="267" t="s">
        <v>3943</v>
      </c>
      <c r="N2750" s="267" t="s">
        <v>4701</v>
      </c>
      <c r="O2750" s="267">
        <v>2416.79</v>
      </c>
      <c r="P2750" s="267" t="s">
        <v>3930</v>
      </c>
      <c r="Q2750" s="267" t="s">
        <v>3931</v>
      </c>
      <c r="R2750" s="267">
        <v>7416.79</v>
      </c>
      <c r="S2750" s="267">
        <v>34648</v>
      </c>
      <c r="T2750" s="267">
        <v>42064.79</v>
      </c>
      <c r="U2750" s="268" t="s">
        <v>3932</v>
      </c>
      <c r="V2750" s="267" t="s">
        <v>944</v>
      </c>
    </row>
    <row r="2751" spans="1:22" hidden="1" x14ac:dyDescent="0.25">
      <c r="A2751" s="269">
        <v>43614</v>
      </c>
      <c r="B2751" s="270">
        <v>2019</v>
      </c>
      <c r="C2751" s="270">
        <v>2019</v>
      </c>
      <c r="D2751" s="270">
        <v>1</v>
      </c>
      <c r="E2751" s="270">
        <v>1</v>
      </c>
      <c r="F2751" s="270" t="s">
        <v>944</v>
      </c>
      <c r="G2751" s="270" t="s">
        <v>3926</v>
      </c>
      <c r="H2751" s="270" t="s">
        <v>7164</v>
      </c>
      <c r="I2751" s="270" t="s">
        <v>3934</v>
      </c>
      <c r="J2751" s="270" t="s">
        <v>3928</v>
      </c>
      <c r="K2751" s="270">
        <v>6405</v>
      </c>
      <c r="L2751" s="270">
        <v>184200</v>
      </c>
      <c r="M2751" s="270" t="s">
        <v>3940</v>
      </c>
      <c r="N2751" s="270" t="s">
        <v>3944</v>
      </c>
      <c r="O2751" s="270">
        <v>2015</v>
      </c>
      <c r="P2751" s="270" t="s">
        <v>3944</v>
      </c>
      <c r="Q2751" s="270" t="s">
        <v>3944</v>
      </c>
      <c r="R2751" s="270">
        <v>2015</v>
      </c>
      <c r="S2751" s="270">
        <v>34285</v>
      </c>
      <c r="T2751" s="270">
        <v>36300</v>
      </c>
      <c r="U2751" s="271" t="s">
        <v>3945</v>
      </c>
      <c r="V2751" s="267" t="s">
        <v>944</v>
      </c>
    </row>
    <row r="2752" spans="1:22" hidden="1" x14ac:dyDescent="0.25">
      <c r="A2752" s="266">
        <v>43614</v>
      </c>
      <c r="B2752" s="267">
        <v>2019</v>
      </c>
      <c r="C2752" s="267">
        <v>2019</v>
      </c>
      <c r="D2752" s="267">
        <v>1</v>
      </c>
      <c r="E2752" s="267">
        <v>1</v>
      </c>
      <c r="F2752" s="267" t="s">
        <v>944</v>
      </c>
      <c r="G2752" s="267" t="s">
        <v>3926</v>
      </c>
      <c r="H2752" s="267" t="s">
        <v>7165</v>
      </c>
      <c r="I2752" s="267" t="s">
        <v>3975</v>
      </c>
      <c r="J2752" s="267" t="s">
        <v>3928</v>
      </c>
      <c r="K2752" s="267">
        <v>6479</v>
      </c>
      <c r="L2752" s="267">
        <v>430302</v>
      </c>
      <c r="M2752" s="267" t="s">
        <v>3960</v>
      </c>
      <c r="N2752" s="267" t="s">
        <v>3944</v>
      </c>
      <c r="O2752" s="267">
        <v>5107</v>
      </c>
      <c r="P2752" s="267" t="s">
        <v>3944</v>
      </c>
      <c r="Q2752" s="267" t="s">
        <v>3944</v>
      </c>
      <c r="R2752" s="267">
        <v>5107</v>
      </c>
      <c r="S2752" s="267">
        <v>32545</v>
      </c>
      <c r="T2752" s="267">
        <v>37652</v>
      </c>
      <c r="U2752" s="268" t="s">
        <v>3945</v>
      </c>
      <c r="V2752" s="267" t="s">
        <v>944</v>
      </c>
    </row>
    <row r="2753" spans="1:22" hidden="1" x14ac:dyDescent="0.25">
      <c r="A2753" s="269">
        <v>43614</v>
      </c>
      <c r="B2753" s="270">
        <v>2019</v>
      </c>
      <c r="C2753" s="270">
        <v>2019</v>
      </c>
      <c r="D2753" s="270">
        <v>1</v>
      </c>
      <c r="E2753" s="270">
        <v>1</v>
      </c>
      <c r="F2753" s="270" t="s">
        <v>944</v>
      </c>
      <c r="G2753" s="270" t="s">
        <v>3926</v>
      </c>
      <c r="H2753" s="270" t="s">
        <v>7166</v>
      </c>
      <c r="I2753" s="270" t="s">
        <v>4037</v>
      </c>
      <c r="J2753" s="270" t="s">
        <v>3928</v>
      </c>
      <c r="K2753" s="270">
        <v>6811</v>
      </c>
      <c r="L2753" s="270">
        <v>211400</v>
      </c>
      <c r="M2753" s="270" t="s">
        <v>3935</v>
      </c>
      <c r="N2753" s="270" t="s">
        <v>3944</v>
      </c>
      <c r="O2753" s="270">
        <v>1758</v>
      </c>
      <c r="P2753" s="270" t="s">
        <v>3944</v>
      </c>
      <c r="Q2753" s="270" t="s">
        <v>3944</v>
      </c>
      <c r="R2753" s="270">
        <v>1758</v>
      </c>
      <c r="S2753" s="270">
        <v>13098.25</v>
      </c>
      <c r="T2753" s="270">
        <v>14856.25</v>
      </c>
      <c r="U2753" s="271" t="s">
        <v>3945</v>
      </c>
      <c r="V2753" s="267" t="s">
        <v>944</v>
      </c>
    </row>
    <row r="2754" spans="1:22" hidden="1" x14ac:dyDescent="0.25">
      <c r="A2754" s="266">
        <v>43614</v>
      </c>
      <c r="B2754" s="267">
        <v>2019</v>
      </c>
      <c r="C2754" s="267">
        <v>2019</v>
      </c>
      <c r="D2754" s="267">
        <v>1</v>
      </c>
      <c r="E2754" s="267">
        <v>1</v>
      </c>
      <c r="F2754" s="267" t="s">
        <v>944</v>
      </c>
      <c r="G2754" s="267" t="s">
        <v>3926</v>
      </c>
      <c r="H2754" s="267" t="s">
        <v>7167</v>
      </c>
      <c r="I2754" s="267" t="s">
        <v>934</v>
      </c>
      <c r="J2754" s="267" t="s">
        <v>3928</v>
      </c>
      <c r="K2754" s="267">
        <v>6606</v>
      </c>
      <c r="L2754" s="267">
        <v>72500</v>
      </c>
      <c r="M2754" s="267" t="s">
        <v>3940</v>
      </c>
      <c r="N2754" s="267" t="s">
        <v>3944</v>
      </c>
      <c r="O2754" s="267">
        <v>2164</v>
      </c>
      <c r="P2754" s="267" t="s">
        <v>3944</v>
      </c>
      <c r="Q2754" s="267" t="s">
        <v>3944</v>
      </c>
      <c r="R2754" s="267">
        <v>2164</v>
      </c>
      <c r="S2754" s="267">
        <v>24096</v>
      </c>
      <c r="T2754" s="267">
        <v>26260</v>
      </c>
      <c r="U2754" s="268" t="s">
        <v>3945</v>
      </c>
      <c r="V2754" s="267" t="s">
        <v>944</v>
      </c>
    </row>
    <row r="2755" spans="1:22" hidden="1" x14ac:dyDescent="0.25">
      <c r="A2755" s="269">
        <v>43614</v>
      </c>
      <c r="B2755" s="270">
        <v>2019</v>
      </c>
      <c r="C2755" s="270">
        <v>2019</v>
      </c>
      <c r="D2755" s="270">
        <v>1</v>
      </c>
      <c r="E2755" s="270">
        <v>1</v>
      </c>
      <c r="F2755" s="270" t="s">
        <v>944</v>
      </c>
      <c r="G2755" s="270" t="s">
        <v>3926</v>
      </c>
      <c r="H2755" s="270" t="s">
        <v>7168</v>
      </c>
      <c r="I2755" s="270" t="s">
        <v>7169</v>
      </c>
      <c r="J2755" s="270" t="s">
        <v>3928</v>
      </c>
      <c r="K2755" s="270">
        <v>6069</v>
      </c>
      <c r="L2755" s="270">
        <v>262100</v>
      </c>
      <c r="M2755" s="270" t="s">
        <v>3935</v>
      </c>
      <c r="N2755" s="270" t="s">
        <v>3944</v>
      </c>
      <c r="O2755" s="270">
        <v>699</v>
      </c>
      <c r="P2755" s="270" t="s">
        <v>3944</v>
      </c>
      <c r="Q2755" s="270" t="s">
        <v>3944</v>
      </c>
      <c r="R2755" s="270">
        <v>699</v>
      </c>
      <c r="S2755" s="270">
        <v>8650</v>
      </c>
      <c r="T2755" s="270">
        <v>9349</v>
      </c>
      <c r="U2755" s="271" t="s">
        <v>3945</v>
      </c>
      <c r="V2755" s="267" t="s">
        <v>944</v>
      </c>
    </row>
    <row r="2756" spans="1:22" hidden="1" x14ac:dyDescent="0.25">
      <c r="A2756" s="266">
        <v>43614</v>
      </c>
      <c r="B2756" s="267">
        <v>2019</v>
      </c>
      <c r="C2756" s="267">
        <v>2019</v>
      </c>
      <c r="D2756" s="267">
        <v>1</v>
      </c>
      <c r="E2756" s="267">
        <v>1</v>
      </c>
      <c r="F2756" s="267" t="s">
        <v>944</v>
      </c>
      <c r="G2756" s="267" t="s">
        <v>3926</v>
      </c>
      <c r="H2756" s="267" t="s">
        <v>7170</v>
      </c>
      <c r="I2756" s="267" t="s">
        <v>953</v>
      </c>
      <c r="J2756" s="267" t="s">
        <v>3928</v>
      </c>
      <c r="K2756" s="267">
        <v>6517</v>
      </c>
      <c r="L2756" s="267">
        <v>165100</v>
      </c>
      <c r="M2756" s="267" t="s">
        <v>3935</v>
      </c>
      <c r="N2756" s="267" t="s">
        <v>3944</v>
      </c>
      <c r="O2756" s="267">
        <v>2164</v>
      </c>
      <c r="P2756" s="267" t="s">
        <v>3944</v>
      </c>
      <c r="Q2756" s="267" t="s">
        <v>3944</v>
      </c>
      <c r="R2756" s="267">
        <v>2164</v>
      </c>
      <c r="S2756" s="267">
        <v>17996</v>
      </c>
      <c r="T2756" s="267">
        <v>20160</v>
      </c>
      <c r="U2756" s="268" t="s">
        <v>3945</v>
      </c>
      <c r="V2756" s="267" t="s">
        <v>944</v>
      </c>
    </row>
    <row r="2757" spans="1:22" hidden="1" x14ac:dyDescent="0.25">
      <c r="A2757" s="269">
        <v>43614</v>
      </c>
      <c r="B2757" s="270">
        <v>2019</v>
      </c>
      <c r="C2757" s="270">
        <v>2019</v>
      </c>
      <c r="D2757" s="270">
        <v>1</v>
      </c>
      <c r="E2757" s="270">
        <v>1</v>
      </c>
      <c r="F2757" s="270" t="s">
        <v>944</v>
      </c>
      <c r="G2757" s="270" t="s">
        <v>3926</v>
      </c>
      <c r="H2757" s="270" t="s">
        <v>7171</v>
      </c>
      <c r="I2757" s="270" t="s">
        <v>4519</v>
      </c>
      <c r="J2757" s="270" t="s">
        <v>3928</v>
      </c>
      <c r="K2757" s="270">
        <v>6840</v>
      </c>
      <c r="L2757" s="270">
        <v>35200</v>
      </c>
      <c r="M2757" s="270" t="s">
        <v>3943</v>
      </c>
      <c r="N2757" s="270" t="s">
        <v>3944</v>
      </c>
      <c r="O2757" s="270">
        <v>5406</v>
      </c>
      <c r="P2757" s="270" t="s">
        <v>3944</v>
      </c>
      <c r="Q2757" s="270" t="s">
        <v>3944</v>
      </c>
      <c r="R2757" s="270">
        <v>5406</v>
      </c>
      <c r="S2757" s="270">
        <v>36422</v>
      </c>
      <c r="T2757" s="270">
        <v>41828</v>
      </c>
      <c r="U2757" s="271" t="s">
        <v>3945</v>
      </c>
      <c r="V2757" s="267" t="s">
        <v>944</v>
      </c>
    </row>
    <row r="2758" spans="1:22" hidden="1" x14ac:dyDescent="0.25">
      <c r="A2758" s="266">
        <v>43614</v>
      </c>
      <c r="B2758" s="267">
        <v>2019</v>
      </c>
      <c r="C2758" s="267">
        <v>2019</v>
      </c>
      <c r="D2758" s="267">
        <v>1</v>
      </c>
      <c r="E2758" s="267">
        <v>1</v>
      </c>
      <c r="F2758" s="267" t="s">
        <v>944</v>
      </c>
      <c r="G2758" s="267" t="s">
        <v>3926</v>
      </c>
      <c r="H2758" s="267" t="s">
        <v>7172</v>
      </c>
      <c r="I2758" s="267" t="s">
        <v>956</v>
      </c>
      <c r="J2758" s="267" t="s">
        <v>3928</v>
      </c>
      <c r="K2758" s="267">
        <v>6614</v>
      </c>
      <c r="L2758" s="267">
        <v>80800</v>
      </c>
      <c r="M2758" s="267" t="s">
        <v>3960</v>
      </c>
      <c r="N2758" s="267" t="s">
        <v>3944</v>
      </c>
      <c r="O2758" s="267">
        <v>2968</v>
      </c>
      <c r="P2758" s="267" t="s">
        <v>3944</v>
      </c>
      <c r="Q2758" s="267" t="s">
        <v>3944</v>
      </c>
      <c r="R2758" s="267">
        <v>2968</v>
      </c>
      <c r="S2758" s="267">
        <v>19712</v>
      </c>
      <c r="T2758" s="267">
        <v>22680</v>
      </c>
      <c r="U2758" s="268" t="s">
        <v>3945</v>
      </c>
      <c r="V2758" s="267" t="s">
        <v>944</v>
      </c>
    </row>
    <row r="2759" spans="1:22" hidden="1" x14ac:dyDescent="0.25">
      <c r="A2759" s="269">
        <v>43614</v>
      </c>
      <c r="B2759" s="270">
        <v>2019</v>
      </c>
      <c r="C2759" s="270">
        <v>2019</v>
      </c>
      <c r="D2759" s="270">
        <v>1</v>
      </c>
      <c r="E2759" s="270">
        <v>1</v>
      </c>
      <c r="F2759" s="270" t="s">
        <v>944</v>
      </c>
      <c r="G2759" s="270" t="s">
        <v>3926</v>
      </c>
      <c r="H2759" s="270" t="s">
        <v>7173</v>
      </c>
      <c r="I2759" s="270" t="s">
        <v>3939</v>
      </c>
      <c r="J2759" s="270" t="s">
        <v>3928</v>
      </c>
      <c r="K2759" s="270">
        <v>6513</v>
      </c>
      <c r="L2759" s="270">
        <v>180500</v>
      </c>
      <c r="M2759" s="270" t="s">
        <v>3935</v>
      </c>
      <c r="N2759" s="270" t="s">
        <v>3944</v>
      </c>
      <c r="O2759" s="270">
        <v>1109.3599999999999</v>
      </c>
      <c r="P2759" s="270" t="s">
        <v>3944</v>
      </c>
      <c r="Q2759" s="270" t="s">
        <v>3944</v>
      </c>
      <c r="R2759" s="270">
        <v>1109.3599999999999</v>
      </c>
      <c r="S2759" s="270">
        <v>12730.83</v>
      </c>
      <c r="T2759" s="270">
        <v>13840.19</v>
      </c>
      <c r="U2759" s="271" t="s">
        <v>3945</v>
      </c>
      <c r="V2759" s="267" t="s">
        <v>944</v>
      </c>
    </row>
    <row r="2760" spans="1:22" hidden="1" x14ac:dyDescent="0.25">
      <c r="A2760" s="266">
        <v>43614</v>
      </c>
      <c r="B2760" s="267">
        <v>2019</v>
      </c>
      <c r="C2760" s="267">
        <v>2019</v>
      </c>
      <c r="D2760" s="267">
        <v>1</v>
      </c>
      <c r="E2760" s="267">
        <v>1</v>
      </c>
      <c r="F2760" s="267" t="s">
        <v>944</v>
      </c>
      <c r="G2760" s="267" t="s">
        <v>3926</v>
      </c>
      <c r="H2760" s="267" t="s">
        <v>7174</v>
      </c>
      <c r="I2760" s="267" t="s">
        <v>4232</v>
      </c>
      <c r="J2760" s="267" t="s">
        <v>3928</v>
      </c>
      <c r="K2760" s="267">
        <v>6483</v>
      </c>
      <c r="L2760" s="267">
        <v>130200</v>
      </c>
      <c r="M2760" s="267" t="s">
        <v>3935</v>
      </c>
      <c r="N2760" s="267" t="s">
        <v>3944</v>
      </c>
      <c r="O2760" s="267">
        <v>4349.3100000000004</v>
      </c>
      <c r="P2760" s="267" t="s">
        <v>3944</v>
      </c>
      <c r="Q2760" s="267" t="s">
        <v>3944</v>
      </c>
      <c r="R2760" s="267">
        <v>4349.3100000000004</v>
      </c>
      <c r="S2760" s="267">
        <v>32006.69</v>
      </c>
      <c r="T2760" s="267">
        <v>36356</v>
      </c>
      <c r="U2760" s="268" t="s">
        <v>3945</v>
      </c>
      <c r="V2760" s="267" t="s">
        <v>944</v>
      </c>
    </row>
    <row r="2761" spans="1:22" hidden="1" x14ac:dyDescent="0.25">
      <c r="A2761" s="269">
        <v>43614</v>
      </c>
      <c r="B2761" s="270">
        <v>2019</v>
      </c>
      <c r="C2761" s="270">
        <v>2019</v>
      </c>
      <c r="D2761" s="270">
        <v>1</v>
      </c>
      <c r="E2761" s="270">
        <v>1</v>
      </c>
      <c r="F2761" s="270" t="s">
        <v>944</v>
      </c>
      <c r="G2761" s="270" t="s">
        <v>3926</v>
      </c>
      <c r="H2761" s="270" t="s">
        <v>7175</v>
      </c>
      <c r="I2761" s="270" t="s">
        <v>4016</v>
      </c>
      <c r="J2761" s="270" t="s">
        <v>3928</v>
      </c>
      <c r="K2761" s="270">
        <v>6770</v>
      </c>
      <c r="L2761" s="270">
        <v>345201</v>
      </c>
      <c r="M2761" s="270" t="s">
        <v>3935</v>
      </c>
      <c r="N2761" s="270" t="s">
        <v>3944</v>
      </c>
      <c r="O2761" s="270">
        <v>3720.89</v>
      </c>
      <c r="P2761" s="270" t="s">
        <v>3944</v>
      </c>
      <c r="Q2761" s="270" t="s">
        <v>3944</v>
      </c>
      <c r="R2761" s="270">
        <v>3720.89</v>
      </c>
      <c r="S2761" s="270">
        <v>42709.440000000002</v>
      </c>
      <c r="T2761" s="270">
        <v>46430.33</v>
      </c>
      <c r="U2761" s="271" t="s">
        <v>3945</v>
      </c>
      <c r="V2761" s="267" t="s">
        <v>944</v>
      </c>
    </row>
    <row r="2762" spans="1:22" hidden="1" x14ac:dyDescent="0.25">
      <c r="A2762" s="266">
        <v>43614</v>
      </c>
      <c r="B2762" s="267">
        <v>2019</v>
      </c>
      <c r="C2762" s="267">
        <v>2019</v>
      </c>
      <c r="D2762" s="267">
        <v>1</v>
      </c>
      <c r="E2762" s="267">
        <v>1</v>
      </c>
      <c r="F2762" s="267" t="s">
        <v>944</v>
      </c>
      <c r="G2762" s="267" t="s">
        <v>3926</v>
      </c>
      <c r="H2762" s="267" t="s">
        <v>7176</v>
      </c>
      <c r="I2762" s="267" t="s">
        <v>3999</v>
      </c>
      <c r="J2762" s="267" t="s">
        <v>3928</v>
      </c>
      <c r="K2762" s="267">
        <v>6450</v>
      </c>
      <c r="L2762" s="267">
        <v>171200</v>
      </c>
      <c r="M2762" s="267" t="s">
        <v>3960</v>
      </c>
      <c r="N2762" s="267" t="s">
        <v>3944</v>
      </c>
      <c r="O2762" s="267">
        <v>1953.46</v>
      </c>
      <c r="P2762" s="267" t="s">
        <v>3944</v>
      </c>
      <c r="Q2762" s="267" t="s">
        <v>3944</v>
      </c>
      <c r="R2762" s="267">
        <v>1953.46</v>
      </c>
      <c r="S2762" s="267">
        <v>22070.55</v>
      </c>
      <c r="T2762" s="267">
        <v>24024.01</v>
      </c>
      <c r="U2762" s="268" t="s">
        <v>3945</v>
      </c>
      <c r="V2762" s="267" t="s">
        <v>944</v>
      </c>
    </row>
    <row r="2763" spans="1:22" hidden="1" x14ac:dyDescent="0.25">
      <c r="A2763" s="269">
        <v>43614</v>
      </c>
      <c r="B2763" s="270">
        <v>2019</v>
      </c>
      <c r="C2763" s="270">
        <v>2019</v>
      </c>
      <c r="D2763" s="270">
        <v>1</v>
      </c>
      <c r="E2763" s="270">
        <v>1</v>
      </c>
      <c r="F2763" s="270" t="s">
        <v>944</v>
      </c>
      <c r="G2763" s="270" t="s">
        <v>3926</v>
      </c>
      <c r="H2763" s="270" t="s">
        <v>7177</v>
      </c>
      <c r="I2763" s="270" t="s">
        <v>4029</v>
      </c>
      <c r="J2763" s="270" t="s">
        <v>3928</v>
      </c>
      <c r="K2763" s="270">
        <v>6850</v>
      </c>
      <c r="L2763" s="270">
        <v>43800</v>
      </c>
      <c r="M2763" s="270" t="s">
        <v>3935</v>
      </c>
      <c r="N2763" s="270" t="s">
        <v>3944</v>
      </c>
      <c r="O2763" s="270">
        <v>1806.21</v>
      </c>
      <c r="P2763" s="270" t="s">
        <v>3944</v>
      </c>
      <c r="Q2763" s="270" t="s">
        <v>3944</v>
      </c>
      <c r="R2763" s="270">
        <v>1806.21</v>
      </c>
      <c r="S2763" s="270">
        <v>23539.69</v>
      </c>
      <c r="T2763" s="270">
        <v>25345.9</v>
      </c>
      <c r="U2763" s="271" t="s">
        <v>3945</v>
      </c>
      <c r="V2763" s="267" t="s">
        <v>944</v>
      </c>
    </row>
    <row r="2764" spans="1:22" hidden="1" x14ac:dyDescent="0.25">
      <c r="A2764" s="266">
        <v>43614</v>
      </c>
      <c r="B2764" s="267">
        <v>2019</v>
      </c>
      <c r="C2764" s="267">
        <v>2019</v>
      </c>
      <c r="D2764" s="267">
        <v>1</v>
      </c>
      <c r="E2764" s="267">
        <v>1</v>
      </c>
      <c r="F2764" s="267" t="s">
        <v>944</v>
      </c>
      <c r="G2764" s="267" t="s">
        <v>3926</v>
      </c>
      <c r="H2764" s="267" t="s">
        <v>7178</v>
      </c>
      <c r="I2764" s="267" t="s">
        <v>4306</v>
      </c>
      <c r="J2764" s="267" t="s">
        <v>3928</v>
      </c>
      <c r="K2764" s="267">
        <v>6716</v>
      </c>
      <c r="L2764" s="267">
        <v>361300</v>
      </c>
      <c r="M2764" s="267" t="s">
        <v>3960</v>
      </c>
      <c r="N2764" s="267" t="s">
        <v>3944</v>
      </c>
      <c r="O2764" s="267">
        <v>2111.31</v>
      </c>
      <c r="P2764" s="267" t="s">
        <v>3944</v>
      </c>
      <c r="Q2764" s="267" t="s">
        <v>3944</v>
      </c>
      <c r="R2764" s="267">
        <v>2111.31</v>
      </c>
      <c r="S2764" s="267">
        <v>24702.09</v>
      </c>
      <c r="T2764" s="267">
        <v>26813.4</v>
      </c>
      <c r="U2764" s="268" t="s">
        <v>3945</v>
      </c>
      <c r="V2764" s="267" t="s">
        <v>944</v>
      </c>
    </row>
    <row r="2765" spans="1:22" hidden="1" x14ac:dyDescent="0.25">
      <c r="A2765" s="269">
        <v>43614</v>
      </c>
      <c r="B2765" s="270">
        <v>2019</v>
      </c>
      <c r="C2765" s="270">
        <v>2019</v>
      </c>
      <c r="D2765" s="270">
        <v>1</v>
      </c>
      <c r="E2765" s="270">
        <v>1</v>
      </c>
      <c r="F2765" s="270" t="s">
        <v>944</v>
      </c>
      <c r="G2765" s="270" t="s">
        <v>3926</v>
      </c>
      <c r="H2765" s="270" t="s">
        <v>7179</v>
      </c>
      <c r="I2765" s="270" t="s">
        <v>4003</v>
      </c>
      <c r="J2765" s="270" t="s">
        <v>3928</v>
      </c>
      <c r="K2765" s="270">
        <v>6239</v>
      </c>
      <c r="L2765" s="270">
        <v>907100</v>
      </c>
      <c r="M2765" s="270" t="s">
        <v>3935</v>
      </c>
      <c r="N2765" s="270" t="s">
        <v>3944</v>
      </c>
      <c r="O2765" s="270">
        <v>1035.3399999999999</v>
      </c>
      <c r="P2765" s="270" t="s">
        <v>3944</v>
      </c>
      <c r="Q2765" s="270" t="s">
        <v>3944</v>
      </c>
      <c r="R2765" s="270">
        <v>1035.3399999999999</v>
      </c>
      <c r="S2765" s="270">
        <v>12540.2</v>
      </c>
      <c r="T2765" s="270">
        <v>13575.54</v>
      </c>
      <c r="U2765" s="271" t="s">
        <v>3945</v>
      </c>
      <c r="V2765" s="267" t="s">
        <v>944</v>
      </c>
    </row>
    <row r="2766" spans="1:22" hidden="1" x14ac:dyDescent="0.25">
      <c r="A2766" s="266">
        <v>43614</v>
      </c>
      <c r="B2766" s="267">
        <v>2019</v>
      </c>
      <c r="C2766" s="267">
        <v>2019</v>
      </c>
      <c r="D2766" s="267">
        <v>1</v>
      </c>
      <c r="E2766" s="267">
        <v>1</v>
      </c>
      <c r="F2766" s="267" t="s">
        <v>944</v>
      </c>
      <c r="G2766" s="267" t="s">
        <v>3926</v>
      </c>
      <c r="H2766" s="267" t="s">
        <v>7180</v>
      </c>
      <c r="I2766" s="267" t="s">
        <v>4008</v>
      </c>
      <c r="J2766" s="267" t="s">
        <v>3928</v>
      </c>
      <c r="K2766" s="267">
        <v>6320</v>
      </c>
      <c r="L2766" s="267">
        <v>690300</v>
      </c>
      <c r="M2766" s="267">
        <v>-60</v>
      </c>
      <c r="N2766" s="267" t="s">
        <v>3944</v>
      </c>
      <c r="O2766" s="267">
        <v>1430</v>
      </c>
      <c r="P2766" s="267" t="s">
        <v>3944</v>
      </c>
      <c r="Q2766" s="267" t="s">
        <v>3944</v>
      </c>
      <c r="R2766" s="267">
        <v>1430</v>
      </c>
      <c r="S2766" s="267">
        <v>16815.439999999999</v>
      </c>
      <c r="T2766" s="267">
        <v>18245.439999999999</v>
      </c>
      <c r="U2766" s="268" t="s">
        <v>3945</v>
      </c>
      <c r="V2766" s="267" t="s">
        <v>944</v>
      </c>
    </row>
    <row r="2767" spans="1:22" hidden="1" x14ac:dyDescent="0.25">
      <c r="A2767" s="269">
        <v>43614</v>
      </c>
      <c r="B2767" s="270">
        <v>2019</v>
      </c>
      <c r="C2767" s="270">
        <v>2019</v>
      </c>
      <c r="D2767" s="270">
        <v>1</v>
      </c>
      <c r="E2767" s="270">
        <v>1</v>
      </c>
      <c r="F2767" s="270" t="s">
        <v>944</v>
      </c>
      <c r="G2767" s="270" t="s">
        <v>3926</v>
      </c>
      <c r="H2767" s="270" t="s">
        <v>7181</v>
      </c>
      <c r="I2767" s="270" t="s">
        <v>950</v>
      </c>
      <c r="J2767" s="270" t="s">
        <v>3928</v>
      </c>
      <c r="K2767" s="270">
        <v>6516</v>
      </c>
      <c r="L2767" s="270">
        <v>361500</v>
      </c>
      <c r="M2767" s="270" t="s">
        <v>3940</v>
      </c>
      <c r="N2767" s="270" t="s">
        <v>3944</v>
      </c>
      <c r="O2767" s="270">
        <v>2191.35</v>
      </c>
      <c r="P2767" s="270" t="s">
        <v>3944</v>
      </c>
      <c r="Q2767" s="270" t="s">
        <v>3944</v>
      </c>
      <c r="R2767" s="270">
        <v>2191.35</v>
      </c>
      <c r="S2767" s="270">
        <v>27508.65</v>
      </c>
      <c r="T2767" s="270">
        <v>29700</v>
      </c>
      <c r="U2767" s="271" t="s">
        <v>3945</v>
      </c>
      <c r="V2767" s="267" t="s">
        <v>944</v>
      </c>
    </row>
    <row r="2768" spans="1:22" hidden="1" x14ac:dyDescent="0.25">
      <c r="A2768" s="266">
        <v>43614</v>
      </c>
      <c r="B2768" s="267">
        <v>2019</v>
      </c>
      <c r="C2768" s="267">
        <v>2019</v>
      </c>
      <c r="D2768" s="267">
        <v>1</v>
      </c>
      <c r="E2768" s="267">
        <v>1</v>
      </c>
      <c r="F2768" s="267" t="s">
        <v>944</v>
      </c>
      <c r="G2768" s="267" t="s">
        <v>3926</v>
      </c>
      <c r="H2768" s="267" t="s">
        <v>7182</v>
      </c>
      <c r="I2768" s="267" t="s">
        <v>4005</v>
      </c>
      <c r="J2768" s="267" t="s">
        <v>3928</v>
      </c>
      <c r="K2768" s="267">
        <v>6108</v>
      </c>
      <c r="L2768" s="267">
        <v>510100</v>
      </c>
      <c r="M2768" s="267" t="s">
        <v>3940</v>
      </c>
      <c r="N2768" s="267" t="s">
        <v>3944</v>
      </c>
      <c r="O2768" s="267">
        <v>1023.51</v>
      </c>
      <c r="P2768" s="267" t="s">
        <v>3944</v>
      </c>
      <c r="Q2768" s="267" t="s">
        <v>3944</v>
      </c>
      <c r="R2768" s="267">
        <v>1023.51</v>
      </c>
      <c r="S2768" s="267">
        <v>11762.97</v>
      </c>
      <c r="T2768" s="267">
        <v>12786.48</v>
      </c>
      <c r="U2768" s="268" t="s">
        <v>3945</v>
      </c>
      <c r="V2768" s="267" t="s">
        <v>944</v>
      </c>
    </row>
    <row r="2769" spans="1:22" hidden="1" x14ac:dyDescent="0.25">
      <c r="A2769" s="269">
        <v>43614</v>
      </c>
      <c r="B2769" s="270">
        <v>2019</v>
      </c>
      <c r="C2769" s="270">
        <v>2019</v>
      </c>
      <c r="D2769" s="270">
        <v>1</v>
      </c>
      <c r="E2769" s="270">
        <v>1</v>
      </c>
      <c r="F2769" s="270" t="s">
        <v>944</v>
      </c>
      <c r="G2769" s="270" t="s">
        <v>3926</v>
      </c>
      <c r="H2769" s="270" t="s">
        <v>7183</v>
      </c>
      <c r="I2769" s="270" t="s">
        <v>3956</v>
      </c>
      <c r="J2769" s="270" t="s">
        <v>3928</v>
      </c>
      <c r="K2769" s="270">
        <v>6106</v>
      </c>
      <c r="L2769" s="270">
        <v>504800</v>
      </c>
      <c r="M2769" s="270" t="s">
        <v>3940</v>
      </c>
      <c r="N2769" s="270" t="s">
        <v>3944</v>
      </c>
      <c r="O2769" s="270">
        <v>688.35</v>
      </c>
      <c r="P2769" s="270" t="s">
        <v>3944</v>
      </c>
      <c r="Q2769" s="270" t="s">
        <v>3944</v>
      </c>
      <c r="R2769" s="270">
        <v>688.35</v>
      </c>
      <c r="S2769" s="270">
        <v>10962</v>
      </c>
      <c r="T2769" s="270">
        <v>11650.35</v>
      </c>
      <c r="U2769" s="271" t="s">
        <v>3945</v>
      </c>
      <c r="V2769" s="267" t="s">
        <v>944</v>
      </c>
    </row>
    <row r="2770" spans="1:22" hidden="1" x14ac:dyDescent="0.25">
      <c r="A2770" s="266">
        <v>43614</v>
      </c>
      <c r="B2770" s="267">
        <v>2019</v>
      </c>
      <c r="C2770" s="267">
        <v>2019</v>
      </c>
      <c r="D2770" s="267">
        <v>1</v>
      </c>
      <c r="E2770" s="267">
        <v>1</v>
      </c>
      <c r="F2770" s="267" t="s">
        <v>944</v>
      </c>
      <c r="G2770" s="267" t="s">
        <v>3926</v>
      </c>
      <c r="H2770" s="267" t="s">
        <v>7184</v>
      </c>
      <c r="I2770" s="267" t="s">
        <v>5183</v>
      </c>
      <c r="J2770" s="267" t="s">
        <v>3928</v>
      </c>
      <c r="K2770" s="267">
        <v>6255</v>
      </c>
      <c r="L2770" s="267">
        <v>900200</v>
      </c>
      <c r="M2770" s="267" t="s">
        <v>3935</v>
      </c>
      <c r="N2770" s="267" t="s">
        <v>3944</v>
      </c>
      <c r="O2770" s="267">
        <v>1802.08</v>
      </c>
      <c r="P2770" s="267" t="s">
        <v>3944</v>
      </c>
      <c r="Q2770" s="267" t="s">
        <v>3944</v>
      </c>
      <c r="R2770" s="267">
        <v>1802.08</v>
      </c>
      <c r="S2770" s="267">
        <v>21758.14</v>
      </c>
      <c r="T2770" s="267">
        <v>23560.22</v>
      </c>
      <c r="U2770" s="268" t="s">
        <v>3945</v>
      </c>
      <c r="V2770" s="267" t="s">
        <v>944</v>
      </c>
    </row>
    <row r="2771" spans="1:22" hidden="1" x14ac:dyDescent="0.25">
      <c r="A2771" s="269">
        <v>43614</v>
      </c>
      <c r="B2771" s="270">
        <v>2019</v>
      </c>
      <c r="C2771" s="270">
        <v>2019</v>
      </c>
      <c r="D2771" s="270">
        <v>1</v>
      </c>
      <c r="E2771" s="270">
        <v>1</v>
      </c>
      <c r="F2771" s="270" t="s">
        <v>944</v>
      </c>
      <c r="G2771" s="270" t="s">
        <v>3926</v>
      </c>
      <c r="H2771" s="270" t="s">
        <v>7185</v>
      </c>
      <c r="I2771" s="270" t="s">
        <v>4019</v>
      </c>
      <c r="J2771" s="270" t="s">
        <v>3928</v>
      </c>
      <c r="K2771" s="270">
        <v>6704</v>
      </c>
      <c r="L2771" s="270">
        <v>351100</v>
      </c>
      <c r="M2771" s="270">
        <v>-60</v>
      </c>
      <c r="N2771" s="270" t="s">
        <v>3944</v>
      </c>
      <c r="O2771" s="270">
        <v>1559.22</v>
      </c>
      <c r="P2771" s="270" t="s">
        <v>3944</v>
      </c>
      <c r="Q2771" s="270" t="s">
        <v>3944</v>
      </c>
      <c r="R2771" s="270">
        <v>1559.22</v>
      </c>
      <c r="S2771" s="270">
        <v>20086.47</v>
      </c>
      <c r="T2771" s="270">
        <v>21645.69</v>
      </c>
      <c r="U2771" s="271" t="s">
        <v>3945</v>
      </c>
      <c r="V2771" s="267" t="s">
        <v>944</v>
      </c>
    </row>
    <row r="2772" spans="1:22" hidden="1" x14ac:dyDescent="0.25">
      <c r="A2772" s="266">
        <v>43614</v>
      </c>
      <c r="B2772" s="267">
        <v>2019</v>
      </c>
      <c r="C2772" s="267">
        <v>2019</v>
      </c>
      <c r="D2772" s="267">
        <v>1</v>
      </c>
      <c r="E2772" s="267">
        <v>1</v>
      </c>
      <c r="F2772" s="267" t="s">
        <v>944</v>
      </c>
      <c r="G2772" s="267" t="s">
        <v>3926</v>
      </c>
      <c r="H2772" s="267" t="s">
        <v>7186</v>
      </c>
      <c r="I2772" s="267" t="s">
        <v>4037</v>
      </c>
      <c r="J2772" s="267" t="s">
        <v>3928</v>
      </c>
      <c r="K2772" s="267">
        <v>6810</v>
      </c>
      <c r="L2772" s="267">
        <v>210400</v>
      </c>
      <c r="M2772" s="267" t="s">
        <v>3935</v>
      </c>
      <c r="N2772" s="267" t="s">
        <v>3944</v>
      </c>
      <c r="O2772" s="267">
        <v>1113.32</v>
      </c>
      <c r="P2772" s="267" t="s">
        <v>3944</v>
      </c>
      <c r="Q2772" s="267" t="s">
        <v>3944</v>
      </c>
      <c r="R2772" s="267">
        <v>1113.32</v>
      </c>
      <c r="S2772" s="267">
        <v>14423.38</v>
      </c>
      <c r="T2772" s="267">
        <v>15536.7</v>
      </c>
      <c r="U2772" s="268" t="s">
        <v>3945</v>
      </c>
      <c r="V2772" s="267" t="s">
        <v>944</v>
      </c>
    </row>
    <row r="2773" spans="1:22" hidden="1" x14ac:dyDescent="0.25">
      <c r="A2773" s="269">
        <v>43614</v>
      </c>
      <c r="B2773" s="270">
        <v>2019</v>
      </c>
      <c r="C2773" s="270">
        <v>2019</v>
      </c>
      <c r="D2773" s="270">
        <v>1</v>
      </c>
      <c r="E2773" s="270">
        <v>1</v>
      </c>
      <c r="F2773" s="270" t="s">
        <v>944</v>
      </c>
      <c r="G2773" s="270" t="s">
        <v>3926</v>
      </c>
      <c r="H2773" s="270" t="s">
        <v>7187</v>
      </c>
      <c r="I2773" s="270" t="s">
        <v>953</v>
      </c>
      <c r="J2773" s="270" t="s">
        <v>3928</v>
      </c>
      <c r="K2773" s="270">
        <v>6514</v>
      </c>
      <c r="L2773" s="270">
        <v>165900</v>
      </c>
      <c r="M2773" s="270" t="s">
        <v>3943</v>
      </c>
      <c r="N2773" s="270" t="s">
        <v>3944</v>
      </c>
      <c r="O2773" s="270">
        <v>1419.01</v>
      </c>
      <c r="P2773" s="270" t="s">
        <v>3944</v>
      </c>
      <c r="Q2773" s="270" t="s">
        <v>3944</v>
      </c>
      <c r="R2773" s="270">
        <v>1419.01</v>
      </c>
      <c r="S2773" s="270">
        <v>13241.99</v>
      </c>
      <c r="T2773" s="270">
        <v>14661</v>
      </c>
      <c r="U2773" s="271" t="s">
        <v>3945</v>
      </c>
      <c r="V2773" s="267" t="s">
        <v>944</v>
      </c>
    </row>
    <row r="2774" spans="1:22" hidden="1" x14ac:dyDescent="0.25">
      <c r="A2774" s="266">
        <v>43614</v>
      </c>
      <c r="B2774" s="267">
        <v>2019</v>
      </c>
      <c r="C2774" s="267">
        <v>2019</v>
      </c>
      <c r="D2774" s="267">
        <v>1</v>
      </c>
      <c r="E2774" s="267">
        <v>1</v>
      </c>
      <c r="F2774" s="267" t="s">
        <v>944</v>
      </c>
      <c r="G2774" s="267" t="s">
        <v>3926</v>
      </c>
      <c r="H2774" s="267" t="s">
        <v>7188</v>
      </c>
      <c r="I2774" s="267" t="s">
        <v>4250</v>
      </c>
      <c r="J2774" s="267" t="s">
        <v>3928</v>
      </c>
      <c r="K2774" s="267">
        <v>6241</v>
      </c>
      <c r="L2774" s="267">
        <v>904100</v>
      </c>
      <c r="M2774" s="267" t="s">
        <v>3935</v>
      </c>
      <c r="N2774" s="267" t="s">
        <v>3944</v>
      </c>
      <c r="O2774" s="267">
        <v>934.75</v>
      </c>
      <c r="P2774" s="267" t="s">
        <v>3944</v>
      </c>
      <c r="Q2774" s="267" t="s">
        <v>3944</v>
      </c>
      <c r="R2774" s="267">
        <v>934.75</v>
      </c>
      <c r="S2774" s="267">
        <v>11990.89</v>
      </c>
      <c r="T2774" s="267">
        <v>12925.64</v>
      </c>
      <c r="U2774" s="268" t="s">
        <v>3945</v>
      </c>
      <c r="V2774" s="267" t="s">
        <v>944</v>
      </c>
    </row>
    <row r="2775" spans="1:22" hidden="1" x14ac:dyDescent="0.25">
      <c r="A2775" s="269">
        <v>43614</v>
      </c>
      <c r="B2775" s="270">
        <v>2019</v>
      </c>
      <c r="C2775" s="270">
        <v>2019</v>
      </c>
      <c r="D2775" s="270">
        <v>1</v>
      </c>
      <c r="E2775" s="270">
        <v>1</v>
      </c>
      <c r="F2775" s="270" t="s">
        <v>944</v>
      </c>
      <c r="G2775" s="270" t="s">
        <v>3926</v>
      </c>
      <c r="H2775" s="270" t="s">
        <v>7189</v>
      </c>
      <c r="I2775" s="270" t="s">
        <v>3956</v>
      </c>
      <c r="J2775" s="270" t="s">
        <v>3928</v>
      </c>
      <c r="K2775" s="270">
        <v>6106</v>
      </c>
      <c r="L2775" s="270">
        <v>504500</v>
      </c>
      <c r="M2775" s="270">
        <v>-60</v>
      </c>
      <c r="N2775" s="270" t="s">
        <v>3944</v>
      </c>
      <c r="O2775" s="270">
        <v>923.97</v>
      </c>
      <c r="P2775" s="270" t="s">
        <v>3944</v>
      </c>
      <c r="Q2775" s="270" t="s">
        <v>3944</v>
      </c>
      <c r="R2775" s="270">
        <v>923.97</v>
      </c>
      <c r="S2775" s="270">
        <v>9477.0300000000007</v>
      </c>
      <c r="T2775" s="270">
        <v>10401</v>
      </c>
      <c r="U2775" s="271" t="s">
        <v>3945</v>
      </c>
      <c r="V2775" s="267" t="s">
        <v>944</v>
      </c>
    </row>
    <row r="2776" spans="1:22" hidden="1" x14ac:dyDescent="0.25">
      <c r="A2776" s="266">
        <v>43614</v>
      </c>
      <c r="B2776" s="267">
        <v>2019</v>
      </c>
      <c r="C2776" s="267">
        <v>2019</v>
      </c>
      <c r="D2776" s="267">
        <v>1</v>
      </c>
      <c r="E2776" s="267">
        <v>1</v>
      </c>
      <c r="F2776" s="267" t="s">
        <v>944</v>
      </c>
      <c r="G2776" s="267" t="s">
        <v>3926</v>
      </c>
      <c r="H2776" s="267" t="s">
        <v>7190</v>
      </c>
      <c r="I2776" s="267" t="s">
        <v>934</v>
      </c>
      <c r="J2776" s="267" t="s">
        <v>3928</v>
      </c>
      <c r="K2776" s="267">
        <v>6604</v>
      </c>
      <c r="L2776" s="267">
        <v>72100</v>
      </c>
      <c r="M2776" s="267" t="s">
        <v>3940</v>
      </c>
      <c r="N2776" s="267" t="s">
        <v>3944</v>
      </c>
      <c r="O2776" s="267">
        <v>885.36</v>
      </c>
      <c r="P2776" s="267" t="s">
        <v>3944</v>
      </c>
      <c r="Q2776" s="267" t="s">
        <v>3944</v>
      </c>
      <c r="R2776" s="267">
        <v>885.36</v>
      </c>
      <c r="S2776" s="267">
        <v>11141.64</v>
      </c>
      <c r="T2776" s="267">
        <v>12027</v>
      </c>
      <c r="U2776" s="268" t="s">
        <v>3945</v>
      </c>
      <c r="V2776" s="267" t="s">
        <v>944</v>
      </c>
    </row>
    <row r="2777" spans="1:22" hidden="1" x14ac:dyDescent="0.25">
      <c r="A2777" s="269">
        <v>43614</v>
      </c>
      <c r="B2777" s="270">
        <v>2019</v>
      </c>
      <c r="C2777" s="270">
        <v>2019</v>
      </c>
      <c r="D2777" s="270">
        <v>1</v>
      </c>
      <c r="E2777" s="270">
        <v>1</v>
      </c>
      <c r="F2777" s="270" t="s">
        <v>944</v>
      </c>
      <c r="G2777" s="270" t="s">
        <v>3926</v>
      </c>
      <c r="H2777" s="270" t="s">
        <v>7191</v>
      </c>
      <c r="I2777" s="270" t="s">
        <v>4310</v>
      </c>
      <c r="J2777" s="270" t="s">
        <v>3928</v>
      </c>
      <c r="K2777" s="270">
        <v>6351</v>
      </c>
      <c r="L2777" s="270">
        <v>710100</v>
      </c>
      <c r="M2777" s="270" t="s">
        <v>3960</v>
      </c>
      <c r="N2777" s="270" t="s">
        <v>3944</v>
      </c>
      <c r="O2777" s="270">
        <v>3364.38</v>
      </c>
      <c r="P2777" s="270" t="s">
        <v>3944</v>
      </c>
      <c r="Q2777" s="270" t="s">
        <v>3944</v>
      </c>
      <c r="R2777" s="270">
        <v>3364.38</v>
      </c>
      <c r="S2777" s="270">
        <v>38954.160000000003</v>
      </c>
      <c r="T2777" s="270">
        <v>42318.54</v>
      </c>
      <c r="U2777" s="271" t="s">
        <v>3945</v>
      </c>
      <c r="V2777" s="267" t="s">
        <v>944</v>
      </c>
    </row>
    <row r="2778" spans="1:22" hidden="1" x14ac:dyDescent="0.25">
      <c r="A2778" s="266">
        <v>43614</v>
      </c>
      <c r="B2778" s="267">
        <v>2019</v>
      </c>
      <c r="C2778" s="267">
        <v>2019</v>
      </c>
      <c r="D2778" s="267">
        <v>1</v>
      </c>
      <c r="E2778" s="267">
        <v>1</v>
      </c>
      <c r="F2778" s="267" t="s">
        <v>944</v>
      </c>
      <c r="G2778" s="267" t="s">
        <v>3926</v>
      </c>
      <c r="H2778" s="267" t="s">
        <v>7192</v>
      </c>
      <c r="I2778" s="267" t="s">
        <v>4055</v>
      </c>
      <c r="J2778" s="267" t="s">
        <v>3928</v>
      </c>
      <c r="K2778" s="267">
        <v>6081</v>
      </c>
      <c r="L2778" s="267">
        <v>466400</v>
      </c>
      <c r="M2778" s="267" t="s">
        <v>3960</v>
      </c>
      <c r="N2778" s="267" t="s">
        <v>3944</v>
      </c>
      <c r="O2778" s="267">
        <v>1902.85</v>
      </c>
      <c r="P2778" s="267" t="s">
        <v>3944</v>
      </c>
      <c r="Q2778" s="267" t="s">
        <v>3944</v>
      </c>
      <c r="R2778" s="267">
        <v>1902.85</v>
      </c>
      <c r="S2778" s="267">
        <v>28044.14</v>
      </c>
      <c r="T2778" s="267">
        <v>29946.99</v>
      </c>
      <c r="U2778" s="268" t="s">
        <v>3945</v>
      </c>
      <c r="V2778" s="267" t="s">
        <v>944</v>
      </c>
    </row>
    <row r="2779" spans="1:22" hidden="1" x14ac:dyDescent="0.25">
      <c r="A2779" s="269">
        <v>43614</v>
      </c>
      <c r="B2779" s="270">
        <v>2019</v>
      </c>
      <c r="C2779" s="270">
        <v>2019</v>
      </c>
      <c r="D2779" s="270">
        <v>1</v>
      </c>
      <c r="E2779" s="270">
        <v>1</v>
      </c>
      <c r="F2779" s="270" t="s">
        <v>944</v>
      </c>
      <c r="G2779" s="270" t="s">
        <v>3926</v>
      </c>
      <c r="H2779" s="270" t="s">
        <v>7193</v>
      </c>
      <c r="I2779" s="270" t="s">
        <v>4172</v>
      </c>
      <c r="J2779" s="270" t="s">
        <v>3928</v>
      </c>
      <c r="K2779" s="270">
        <v>6782</v>
      </c>
      <c r="L2779" s="270">
        <v>425300</v>
      </c>
      <c r="M2779" s="270" t="s">
        <v>3960</v>
      </c>
      <c r="N2779" s="270" t="s">
        <v>3944</v>
      </c>
      <c r="O2779" s="270">
        <v>2555.7399999999998</v>
      </c>
      <c r="P2779" s="270" t="s">
        <v>3944</v>
      </c>
      <c r="Q2779" s="270" t="s">
        <v>3944</v>
      </c>
      <c r="R2779" s="270">
        <v>2555.7399999999998</v>
      </c>
      <c r="S2779" s="270">
        <v>18294.259999999998</v>
      </c>
      <c r="T2779" s="270">
        <v>20850</v>
      </c>
      <c r="U2779" s="271" t="s">
        <v>3945</v>
      </c>
      <c r="V2779" s="267" t="s">
        <v>944</v>
      </c>
    </row>
    <row r="2780" spans="1:22" hidden="1" x14ac:dyDescent="0.25">
      <c r="A2780" s="266">
        <v>43614</v>
      </c>
      <c r="B2780" s="267">
        <v>2019</v>
      </c>
      <c r="C2780" s="267">
        <v>2019</v>
      </c>
      <c r="D2780" s="267">
        <v>1</v>
      </c>
      <c r="E2780" s="267">
        <v>1</v>
      </c>
      <c r="F2780" s="267" t="s">
        <v>944</v>
      </c>
      <c r="G2780" s="267" t="s">
        <v>3926</v>
      </c>
      <c r="H2780" s="267" t="s">
        <v>7194</v>
      </c>
      <c r="I2780" s="267" t="s">
        <v>3939</v>
      </c>
      <c r="J2780" s="267" t="s">
        <v>3928</v>
      </c>
      <c r="K2780" s="267">
        <v>6513</v>
      </c>
      <c r="L2780" s="267">
        <v>180602</v>
      </c>
      <c r="M2780" s="267" t="s">
        <v>3935</v>
      </c>
      <c r="N2780" s="267" t="s">
        <v>3944</v>
      </c>
      <c r="O2780" s="267">
        <v>2156.2800000000002</v>
      </c>
      <c r="P2780" s="267" t="s">
        <v>3944</v>
      </c>
      <c r="Q2780" s="267" t="s">
        <v>3944</v>
      </c>
      <c r="R2780" s="267">
        <v>2156.2800000000002</v>
      </c>
      <c r="S2780" s="267">
        <v>29249.3</v>
      </c>
      <c r="T2780" s="267">
        <v>31405.58</v>
      </c>
      <c r="U2780" s="268" t="s">
        <v>3945</v>
      </c>
      <c r="V2780" s="267" t="s">
        <v>944</v>
      </c>
    </row>
    <row r="2781" spans="1:22" hidden="1" x14ac:dyDescent="0.25">
      <c r="A2781" s="269">
        <v>43614</v>
      </c>
      <c r="B2781" s="270">
        <v>2019</v>
      </c>
      <c r="C2781" s="270">
        <v>2019</v>
      </c>
      <c r="D2781" s="270">
        <v>1</v>
      </c>
      <c r="E2781" s="270">
        <v>1</v>
      </c>
      <c r="F2781" s="270" t="s">
        <v>944</v>
      </c>
      <c r="G2781" s="270" t="s">
        <v>3926</v>
      </c>
      <c r="H2781" s="270" t="s">
        <v>7195</v>
      </c>
      <c r="I2781" s="270" t="s">
        <v>4016</v>
      </c>
      <c r="J2781" s="270" t="s">
        <v>3928</v>
      </c>
      <c r="K2781" s="270">
        <v>6770</v>
      </c>
      <c r="L2781" s="270">
        <v>345300</v>
      </c>
      <c r="M2781" s="270" t="s">
        <v>3940</v>
      </c>
      <c r="N2781" s="270" t="s">
        <v>3944</v>
      </c>
      <c r="O2781" s="270">
        <v>3472</v>
      </c>
      <c r="P2781" s="270" t="s">
        <v>3944</v>
      </c>
      <c r="Q2781" s="270" t="s">
        <v>3944</v>
      </c>
      <c r="R2781" s="270">
        <v>3472</v>
      </c>
      <c r="S2781" s="270">
        <v>47016.89</v>
      </c>
      <c r="T2781" s="270">
        <v>50488.89</v>
      </c>
      <c r="U2781" s="271" t="s">
        <v>3945</v>
      </c>
      <c r="V2781" s="267" t="s">
        <v>944</v>
      </c>
    </row>
    <row r="2782" spans="1:22" hidden="1" x14ac:dyDescent="0.25">
      <c r="A2782" s="266">
        <v>43614</v>
      </c>
      <c r="B2782" s="267">
        <v>2019</v>
      </c>
      <c r="C2782" s="267">
        <v>2019</v>
      </c>
      <c r="D2782" s="267">
        <v>1</v>
      </c>
      <c r="E2782" s="267">
        <v>1</v>
      </c>
      <c r="F2782" s="267" t="s">
        <v>944</v>
      </c>
      <c r="G2782" s="267" t="s">
        <v>3926</v>
      </c>
      <c r="H2782" s="267" t="s">
        <v>7196</v>
      </c>
      <c r="I2782" s="267" t="s">
        <v>4037</v>
      </c>
      <c r="J2782" s="267" t="s">
        <v>3928</v>
      </c>
      <c r="K2782" s="267">
        <v>6811</v>
      </c>
      <c r="L2782" s="267">
        <v>211400</v>
      </c>
      <c r="M2782" s="267" t="s">
        <v>3935</v>
      </c>
      <c r="N2782" s="267" t="s">
        <v>3944</v>
      </c>
      <c r="O2782" s="267">
        <v>1602.76</v>
      </c>
      <c r="P2782" s="267" t="s">
        <v>3944</v>
      </c>
      <c r="Q2782" s="267" t="s">
        <v>3944</v>
      </c>
      <c r="R2782" s="267">
        <v>1602.76</v>
      </c>
      <c r="S2782" s="267">
        <v>20373.240000000002</v>
      </c>
      <c r="T2782" s="267">
        <v>21976</v>
      </c>
      <c r="U2782" s="268" t="s">
        <v>3945</v>
      </c>
      <c r="V2782" s="267" t="s">
        <v>944</v>
      </c>
    </row>
    <row r="2783" spans="1:22" hidden="1" x14ac:dyDescent="0.25">
      <c r="A2783" s="269">
        <v>43614</v>
      </c>
      <c r="B2783" s="270">
        <v>2019</v>
      </c>
      <c r="C2783" s="270">
        <v>2019</v>
      </c>
      <c r="D2783" s="270">
        <v>1</v>
      </c>
      <c r="E2783" s="270">
        <v>1</v>
      </c>
      <c r="F2783" s="270" t="s">
        <v>944</v>
      </c>
      <c r="G2783" s="270" t="s">
        <v>3926</v>
      </c>
      <c r="H2783" s="270" t="s">
        <v>7197</v>
      </c>
      <c r="I2783" s="270" t="s">
        <v>3968</v>
      </c>
      <c r="J2783" s="270" t="s">
        <v>3928</v>
      </c>
      <c r="K2783" s="270">
        <v>6042</v>
      </c>
      <c r="L2783" s="270">
        <v>514101</v>
      </c>
      <c r="M2783" s="270" t="s">
        <v>3960</v>
      </c>
      <c r="N2783" s="270" t="s">
        <v>3944</v>
      </c>
      <c r="O2783" s="270">
        <v>1455.09</v>
      </c>
      <c r="P2783" s="270" t="s">
        <v>3944</v>
      </c>
      <c r="Q2783" s="270" t="s">
        <v>3944</v>
      </c>
      <c r="R2783" s="270">
        <v>1455.09</v>
      </c>
      <c r="S2783" s="270">
        <v>17687.46</v>
      </c>
      <c r="T2783" s="270">
        <v>19142.55</v>
      </c>
      <c r="U2783" s="271" t="s">
        <v>3945</v>
      </c>
      <c r="V2783" s="267" t="s">
        <v>944</v>
      </c>
    </row>
    <row r="2784" spans="1:22" hidden="1" x14ac:dyDescent="0.25">
      <c r="A2784" s="266">
        <v>43614</v>
      </c>
      <c r="B2784" s="267">
        <v>2019</v>
      </c>
      <c r="C2784" s="267">
        <v>2019</v>
      </c>
      <c r="D2784" s="267">
        <v>1</v>
      </c>
      <c r="E2784" s="267">
        <v>1</v>
      </c>
      <c r="F2784" s="267" t="s">
        <v>944</v>
      </c>
      <c r="G2784" s="267" t="s">
        <v>3926</v>
      </c>
      <c r="H2784" s="267" t="s">
        <v>7198</v>
      </c>
      <c r="I2784" s="267" t="s">
        <v>3939</v>
      </c>
      <c r="J2784" s="267" t="s">
        <v>3928</v>
      </c>
      <c r="K2784" s="267">
        <v>6512</v>
      </c>
      <c r="L2784" s="267">
        <v>180601</v>
      </c>
      <c r="M2784" s="267" t="s">
        <v>3940</v>
      </c>
      <c r="N2784" s="267" t="s">
        <v>3944</v>
      </c>
      <c r="O2784" s="267">
        <v>1320.06</v>
      </c>
      <c r="P2784" s="267" t="s">
        <v>3944</v>
      </c>
      <c r="Q2784" s="267" t="s">
        <v>3944</v>
      </c>
      <c r="R2784" s="267">
        <v>1320.06</v>
      </c>
      <c r="S2784" s="267">
        <v>10821.94</v>
      </c>
      <c r="T2784" s="267">
        <v>12142</v>
      </c>
      <c r="U2784" s="268" t="s">
        <v>3945</v>
      </c>
      <c r="V2784" s="267" t="s">
        <v>944</v>
      </c>
    </row>
    <row r="2785" spans="1:22" hidden="1" x14ac:dyDescent="0.25">
      <c r="A2785" s="269">
        <v>43614</v>
      </c>
      <c r="B2785" s="270">
        <v>2019</v>
      </c>
      <c r="C2785" s="270">
        <v>2019</v>
      </c>
      <c r="D2785" s="270">
        <v>1</v>
      </c>
      <c r="E2785" s="270">
        <v>1</v>
      </c>
      <c r="F2785" s="270" t="s">
        <v>944</v>
      </c>
      <c r="G2785" s="270" t="s">
        <v>3926</v>
      </c>
      <c r="H2785" s="270" t="s">
        <v>7199</v>
      </c>
      <c r="I2785" s="270" t="s">
        <v>4029</v>
      </c>
      <c r="J2785" s="270" t="s">
        <v>3928</v>
      </c>
      <c r="K2785" s="270">
        <v>6850</v>
      </c>
      <c r="L2785" s="270">
        <v>43300</v>
      </c>
      <c r="M2785" s="270" t="s">
        <v>3935</v>
      </c>
      <c r="N2785" s="270" t="s">
        <v>3944</v>
      </c>
      <c r="O2785" s="270">
        <v>1818.25</v>
      </c>
      <c r="P2785" s="270" t="s">
        <v>3944</v>
      </c>
      <c r="Q2785" s="270" t="s">
        <v>3944</v>
      </c>
      <c r="R2785" s="270">
        <v>1818.25</v>
      </c>
      <c r="S2785" s="270">
        <v>21974.12</v>
      </c>
      <c r="T2785" s="270">
        <v>23792.37</v>
      </c>
      <c r="U2785" s="271" t="s">
        <v>3945</v>
      </c>
      <c r="V2785" s="267" t="s">
        <v>944</v>
      </c>
    </row>
    <row r="2786" spans="1:22" hidden="1" x14ac:dyDescent="0.25">
      <c r="A2786" s="266">
        <v>43614</v>
      </c>
      <c r="B2786" s="267">
        <v>2019</v>
      </c>
      <c r="C2786" s="267">
        <v>2019</v>
      </c>
      <c r="D2786" s="267">
        <v>1</v>
      </c>
      <c r="E2786" s="267">
        <v>1</v>
      </c>
      <c r="F2786" s="267" t="s">
        <v>944</v>
      </c>
      <c r="G2786" s="267" t="s">
        <v>3926</v>
      </c>
      <c r="H2786" s="267" t="s">
        <v>7200</v>
      </c>
      <c r="I2786" s="267" t="s">
        <v>3008</v>
      </c>
      <c r="J2786" s="267" t="s">
        <v>3928</v>
      </c>
      <c r="K2786" s="267">
        <v>6461</v>
      </c>
      <c r="L2786" s="267">
        <v>150700</v>
      </c>
      <c r="M2786" s="267" t="s">
        <v>3943</v>
      </c>
      <c r="N2786" s="267" t="s">
        <v>3944</v>
      </c>
      <c r="O2786" s="267">
        <v>857.78</v>
      </c>
      <c r="P2786" s="267" t="s">
        <v>3944</v>
      </c>
      <c r="Q2786" s="267" t="s">
        <v>3944</v>
      </c>
      <c r="R2786" s="267">
        <v>857.78</v>
      </c>
      <c r="S2786" s="267">
        <v>10692.22</v>
      </c>
      <c r="T2786" s="267">
        <v>11550</v>
      </c>
      <c r="U2786" s="268" t="s">
        <v>3945</v>
      </c>
      <c r="V2786" s="267" t="s">
        <v>944</v>
      </c>
    </row>
    <row r="2787" spans="1:22" hidden="1" x14ac:dyDescent="0.25">
      <c r="A2787" s="269">
        <v>43614</v>
      </c>
      <c r="B2787" s="270">
        <v>2019</v>
      </c>
      <c r="C2787" s="270">
        <v>2019</v>
      </c>
      <c r="D2787" s="270">
        <v>1</v>
      </c>
      <c r="E2787" s="270">
        <v>1</v>
      </c>
      <c r="F2787" s="270" t="s">
        <v>944</v>
      </c>
      <c r="G2787" s="270" t="s">
        <v>3926</v>
      </c>
      <c r="H2787" s="270" t="s">
        <v>7201</v>
      </c>
      <c r="I2787" s="270" t="s">
        <v>943</v>
      </c>
      <c r="J2787" s="270" t="s">
        <v>3928</v>
      </c>
      <c r="K2787" s="270">
        <v>6515</v>
      </c>
      <c r="L2787" s="270">
        <v>141200</v>
      </c>
      <c r="M2787" s="270">
        <v>-60</v>
      </c>
      <c r="N2787" s="270" t="s">
        <v>3944</v>
      </c>
      <c r="O2787" s="270">
        <v>879.76</v>
      </c>
      <c r="P2787" s="270" t="s">
        <v>3944</v>
      </c>
      <c r="Q2787" s="270" t="s">
        <v>3944</v>
      </c>
      <c r="R2787" s="270">
        <v>879.76</v>
      </c>
      <c r="S2787" s="270">
        <v>13950.03</v>
      </c>
      <c r="T2787" s="270">
        <v>14829.79</v>
      </c>
      <c r="U2787" s="271" t="s">
        <v>3945</v>
      </c>
      <c r="V2787" s="267" t="s">
        <v>944</v>
      </c>
    </row>
    <row r="2788" spans="1:22" hidden="1" x14ac:dyDescent="0.25">
      <c r="A2788" s="266">
        <v>43614</v>
      </c>
      <c r="B2788" s="267">
        <v>2019</v>
      </c>
      <c r="C2788" s="267">
        <v>2019</v>
      </c>
      <c r="D2788" s="267">
        <v>1</v>
      </c>
      <c r="E2788" s="267">
        <v>1</v>
      </c>
      <c r="F2788" s="267" t="s">
        <v>944</v>
      </c>
      <c r="G2788" s="267" t="s">
        <v>3926</v>
      </c>
      <c r="H2788" s="267" t="s">
        <v>7202</v>
      </c>
      <c r="I2788" s="267" t="s">
        <v>4947</v>
      </c>
      <c r="J2788" s="267" t="s">
        <v>3928</v>
      </c>
      <c r="K2788" s="267">
        <v>6787</v>
      </c>
      <c r="L2788" s="267">
        <v>349100</v>
      </c>
      <c r="M2788" s="267" t="s">
        <v>3935</v>
      </c>
      <c r="N2788" s="267" t="s">
        <v>3944</v>
      </c>
      <c r="O2788" s="267">
        <v>4198.95</v>
      </c>
      <c r="P2788" s="267" t="s">
        <v>3944</v>
      </c>
      <c r="Q2788" s="267" t="s">
        <v>3944</v>
      </c>
      <c r="R2788" s="267">
        <v>4198.95</v>
      </c>
      <c r="S2788" s="267">
        <v>52747.82</v>
      </c>
      <c r="T2788" s="267">
        <v>56946.77</v>
      </c>
      <c r="U2788" s="268" t="s">
        <v>3945</v>
      </c>
      <c r="V2788" s="267" t="s">
        <v>944</v>
      </c>
    </row>
    <row r="2789" spans="1:22" hidden="1" x14ac:dyDescent="0.25">
      <c r="A2789" s="269">
        <v>43615</v>
      </c>
      <c r="B2789" s="270">
        <v>2019</v>
      </c>
      <c r="C2789" s="270">
        <v>2019</v>
      </c>
      <c r="D2789" s="270">
        <v>1</v>
      </c>
      <c r="E2789" s="270">
        <v>1</v>
      </c>
      <c r="F2789" s="270" t="s">
        <v>944</v>
      </c>
      <c r="G2789" s="270" t="s">
        <v>3926</v>
      </c>
      <c r="H2789" s="270" t="s">
        <v>7203</v>
      </c>
      <c r="I2789" s="270" t="s">
        <v>3993</v>
      </c>
      <c r="J2789" s="270" t="s">
        <v>3928</v>
      </c>
      <c r="K2789" s="270">
        <v>6415</v>
      </c>
      <c r="L2789" s="270">
        <v>714103</v>
      </c>
      <c r="M2789" s="270" t="s">
        <v>3943</v>
      </c>
      <c r="N2789" s="270" t="s">
        <v>6084</v>
      </c>
      <c r="O2789" s="270">
        <v>0</v>
      </c>
      <c r="P2789" s="270" t="s">
        <v>3930</v>
      </c>
      <c r="Q2789" s="270" t="s">
        <v>3930</v>
      </c>
      <c r="R2789" s="270">
        <v>0</v>
      </c>
      <c r="S2789" s="270">
        <v>12268</v>
      </c>
      <c r="T2789" s="270">
        <v>12268</v>
      </c>
      <c r="U2789" s="271" t="s">
        <v>3937</v>
      </c>
      <c r="V2789" s="267" t="s">
        <v>944</v>
      </c>
    </row>
    <row r="2790" spans="1:22" hidden="1" x14ac:dyDescent="0.25">
      <c r="A2790" s="266">
        <v>43615</v>
      </c>
      <c r="B2790" s="267">
        <v>2019</v>
      </c>
      <c r="C2790" s="267">
        <v>2019</v>
      </c>
      <c r="D2790" s="267">
        <v>1</v>
      </c>
      <c r="E2790" s="267">
        <v>1</v>
      </c>
      <c r="F2790" s="267" t="s">
        <v>944</v>
      </c>
      <c r="G2790" s="267" t="s">
        <v>3926</v>
      </c>
      <c r="H2790" s="267" t="s">
        <v>7204</v>
      </c>
      <c r="I2790" s="267" t="s">
        <v>4422</v>
      </c>
      <c r="J2790" s="267" t="s">
        <v>3928</v>
      </c>
      <c r="K2790" s="267">
        <v>6801</v>
      </c>
      <c r="L2790" s="267">
        <v>200302</v>
      </c>
      <c r="M2790" s="267" t="s">
        <v>3943</v>
      </c>
      <c r="N2790" s="267" t="s">
        <v>7205</v>
      </c>
      <c r="O2790" s="267">
        <v>0</v>
      </c>
      <c r="P2790" s="267" t="s">
        <v>3930</v>
      </c>
      <c r="Q2790" s="267" t="s">
        <v>3930</v>
      </c>
      <c r="R2790" s="267">
        <v>0</v>
      </c>
      <c r="S2790" s="267">
        <v>22770</v>
      </c>
      <c r="T2790" s="267">
        <v>22770</v>
      </c>
      <c r="U2790" s="268" t="s">
        <v>3937</v>
      </c>
      <c r="V2790" s="267" t="s">
        <v>944</v>
      </c>
    </row>
    <row r="2791" spans="1:22" hidden="1" x14ac:dyDescent="0.25">
      <c r="A2791" s="269">
        <v>43615</v>
      </c>
      <c r="B2791" s="270">
        <v>2019</v>
      </c>
      <c r="C2791" s="270">
        <v>2019</v>
      </c>
      <c r="D2791" s="270">
        <v>1</v>
      </c>
      <c r="E2791" s="270">
        <v>1</v>
      </c>
      <c r="F2791" s="270" t="s">
        <v>944</v>
      </c>
      <c r="G2791" s="270" t="s">
        <v>3926</v>
      </c>
      <c r="H2791" s="270" t="s">
        <v>7206</v>
      </c>
      <c r="I2791" s="270" t="s">
        <v>3999</v>
      </c>
      <c r="J2791" s="270" t="s">
        <v>3928</v>
      </c>
      <c r="K2791" s="270">
        <v>6451</v>
      </c>
      <c r="L2791" s="270">
        <v>170500</v>
      </c>
      <c r="M2791" s="270" t="s">
        <v>3935</v>
      </c>
      <c r="N2791" s="270" t="s">
        <v>3929</v>
      </c>
      <c r="O2791" s="270">
        <v>2440.0300000000002</v>
      </c>
      <c r="P2791" s="270" t="s">
        <v>3930</v>
      </c>
      <c r="Q2791" s="270" t="s">
        <v>3931</v>
      </c>
      <c r="R2791" s="270">
        <v>7440.03</v>
      </c>
      <c r="S2791" s="270">
        <v>34744</v>
      </c>
      <c r="T2791" s="270">
        <v>42184.03</v>
      </c>
      <c r="U2791" s="271" t="s">
        <v>3932</v>
      </c>
      <c r="V2791" s="267" t="s">
        <v>944</v>
      </c>
    </row>
    <row r="2792" spans="1:22" hidden="1" x14ac:dyDescent="0.25">
      <c r="A2792" s="266">
        <v>43615</v>
      </c>
      <c r="B2792" s="267">
        <v>2019</v>
      </c>
      <c r="C2792" s="267">
        <v>2019</v>
      </c>
      <c r="D2792" s="267">
        <v>1</v>
      </c>
      <c r="E2792" s="267">
        <v>1</v>
      </c>
      <c r="F2792" s="267" t="s">
        <v>944</v>
      </c>
      <c r="G2792" s="267" t="s">
        <v>3926</v>
      </c>
      <c r="H2792" s="267" t="s">
        <v>7207</v>
      </c>
      <c r="I2792" s="267" t="s">
        <v>4147</v>
      </c>
      <c r="J2792" s="267" t="s">
        <v>3928</v>
      </c>
      <c r="K2792" s="267">
        <v>6109</v>
      </c>
      <c r="L2792" s="267">
        <v>492200</v>
      </c>
      <c r="M2792" s="267" t="s">
        <v>3960</v>
      </c>
      <c r="N2792" s="267" t="s">
        <v>5516</v>
      </c>
      <c r="O2792" s="267">
        <v>0</v>
      </c>
      <c r="P2792" s="267" t="s">
        <v>3930</v>
      </c>
      <c r="Q2792" s="267" t="s">
        <v>3930</v>
      </c>
      <c r="R2792" s="267">
        <v>0</v>
      </c>
      <c r="S2792" s="267">
        <v>8350</v>
      </c>
      <c r="T2792" s="267">
        <v>8350</v>
      </c>
      <c r="U2792" s="268" t="s">
        <v>3937</v>
      </c>
      <c r="V2792" s="267" t="s">
        <v>944</v>
      </c>
    </row>
    <row r="2793" spans="1:22" hidden="1" x14ac:dyDescent="0.25">
      <c r="A2793" s="269">
        <v>43615</v>
      </c>
      <c r="B2793" s="270">
        <v>2019</v>
      </c>
      <c r="C2793" s="270">
        <v>2019</v>
      </c>
      <c r="D2793" s="270">
        <v>1</v>
      </c>
      <c r="E2793" s="270">
        <v>1</v>
      </c>
      <c r="F2793" s="270" t="s">
        <v>944</v>
      </c>
      <c r="G2793" s="270" t="s">
        <v>3926</v>
      </c>
      <c r="H2793" s="270" t="s">
        <v>7208</v>
      </c>
      <c r="I2793" s="270" t="s">
        <v>4042</v>
      </c>
      <c r="J2793" s="270" t="s">
        <v>3928</v>
      </c>
      <c r="K2793" s="270">
        <v>6382</v>
      </c>
      <c r="L2793" s="270">
        <v>870501</v>
      </c>
      <c r="M2793" s="270" t="s">
        <v>3935</v>
      </c>
      <c r="N2793" s="270" t="s">
        <v>7209</v>
      </c>
      <c r="O2793" s="270">
        <v>0</v>
      </c>
      <c r="P2793" s="270" t="s">
        <v>3930</v>
      </c>
      <c r="Q2793" s="270" t="s">
        <v>3930</v>
      </c>
      <c r="R2793" s="270">
        <v>0</v>
      </c>
      <c r="S2793" s="270">
        <v>24250</v>
      </c>
      <c r="T2793" s="270">
        <v>24250</v>
      </c>
      <c r="U2793" s="271" t="s">
        <v>3937</v>
      </c>
      <c r="V2793" s="267" t="s">
        <v>944</v>
      </c>
    </row>
    <row r="2794" spans="1:22" hidden="1" x14ac:dyDescent="0.25">
      <c r="A2794" s="266">
        <v>43615</v>
      </c>
      <c r="B2794" s="267">
        <v>2019</v>
      </c>
      <c r="C2794" s="267">
        <v>2019</v>
      </c>
      <c r="D2794" s="267">
        <v>1</v>
      </c>
      <c r="E2794" s="267">
        <v>1</v>
      </c>
      <c r="F2794" s="267" t="s">
        <v>944</v>
      </c>
      <c r="G2794" s="267" t="s">
        <v>3926</v>
      </c>
      <c r="H2794" s="267" t="s">
        <v>7210</v>
      </c>
      <c r="I2794" s="267" t="s">
        <v>4137</v>
      </c>
      <c r="J2794" s="267" t="s">
        <v>3928</v>
      </c>
      <c r="K2794" s="267">
        <v>6067</v>
      </c>
      <c r="L2794" s="267">
        <v>524200</v>
      </c>
      <c r="M2794" s="267" t="s">
        <v>3960</v>
      </c>
      <c r="N2794" s="267" t="s">
        <v>7211</v>
      </c>
      <c r="O2794" s="267">
        <v>0</v>
      </c>
      <c r="P2794" s="267" t="s">
        <v>3930</v>
      </c>
      <c r="Q2794" s="267" t="s">
        <v>3930</v>
      </c>
      <c r="R2794" s="267">
        <v>0</v>
      </c>
      <c r="S2794" s="267">
        <v>6600</v>
      </c>
      <c r="T2794" s="267">
        <v>6600</v>
      </c>
      <c r="U2794" s="268" t="s">
        <v>3937</v>
      </c>
      <c r="V2794" s="267" t="s">
        <v>944</v>
      </c>
    </row>
    <row r="2795" spans="1:22" hidden="1" x14ac:dyDescent="0.25">
      <c r="A2795" s="269">
        <v>43616</v>
      </c>
      <c r="B2795" s="270">
        <v>2019</v>
      </c>
      <c r="C2795" s="270">
        <v>2019</v>
      </c>
      <c r="D2795" s="270">
        <v>1</v>
      </c>
      <c r="E2795" s="270">
        <v>1</v>
      </c>
      <c r="F2795" s="270" t="s">
        <v>944</v>
      </c>
      <c r="G2795" s="270" t="s">
        <v>3926</v>
      </c>
      <c r="H2795" s="270" t="s">
        <v>7212</v>
      </c>
      <c r="I2795" s="270" t="s">
        <v>950</v>
      </c>
      <c r="J2795" s="270" t="s">
        <v>3928</v>
      </c>
      <c r="K2795" s="270">
        <v>6516</v>
      </c>
      <c r="L2795" s="270">
        <v>154100</v>
      </c>
      <c r="M2795" s="270" t="s">
        <v>3940</v>
      </c>
      <c r="N2795" s="270" t="s">
        <v>4582</v>
      </c>
      <c r="O2795" s="270">
        <v>5685.57</v>
      </c>
      <c r="P2795" s="270" t="s">
        <v>3930</v>
      </c>
      <c r="Q2795" s="270" t="s">
        <v>3931</v>
      </c>
      <c r="R2795" s="270">
        <v>10685.57</v>
      </c>
      <c r="S2795" s="270">
        <v>34785.4</v>
      </c>
      <c r="T2795" s="270">
        <v>45470.97</v>
      </c>
      <c r="U2795" s="271" t="s">
        <v>3932</v>
      </c>
      <c r="V2795" s="267" t="s">
        <v>944</v>
      </c>
    </row>
    <row r="2796" spans="1:22" hidden="1" x14ac:dyDescent="0.25">
      <c r="A2796" s="266">
        <v>43616</v>
      </c>
      <c r="B2796" s="267">
        <v>2019</v>
      </c>
      <c r="C2796" s="267">
        <v>2019</v>
      </c>
      <c r="D2796" s="267">
        <v>1</v>
      </c>
      <c r="E2796" s="267">
        <v>1</v>
      </c>
      <c r="F2796" s="267" t="s">
        <v>944</v>
      </c>
      <c r="G2796" s="267" t="s">
        <v>3926</v>
      </c>
      <c r="H2796" s="267" t="s">
        <v>7213</v>
      </c>
      <c r="I2796" s="267" t="s">
        <v>4005</v>
      </c>
      <c r="J2796" s="267" t="s">
        <v>3928</v>
      </c>
      <c r="K2796" s="267">
        <v>6108</v>
      </c>
      <c r="L2796" s="267">
        <v>511400</v>
      </c>
      <c r="M2796" s="267" t="s">
        <v>3935</v>
      </c>
      <c r="N2796" s="267" t="s">
        <v>7214</v>
      </c>
      <c r="O2796" s="267">
        <v>0</v>
      </c>
      <c r="P2796" s="267" t="s">
        <v>3930</v>
      </c>
      <c r="Q2796" s="267" t="s">
        <v>3930</v>
      </c>
      <c r="R2796" s="267">
        <v>0</v>
      </c>
      <c r="S2796" s="267">
        <v>14708.61</v>
      </c>
      <c r="T2796" s="267">
        <v>14708.61</v>
      </c>
      <c r="U2796" s="268" t="s">
        <v>3937</v>
      </c>
      <c r="V2796" s="267" t="s">
        <v>944</v>
      </c>
    </row>
    <row r="2797" spans="1:22" hidden="1" x14ac:dyDescent="0.25">
      <c r="A2797" s="269">
        <v>43616</v>
      </c>
      <c r="B2797" s="270">
        <v>2019</v>
      </c>
      <c r="C2797" s="270">
        <v>2019</v>
      </c>
      <c r="D2797" s="270">
        <v>1</v>
      </c>
      <c r="E2797" s="270">
        <v>1</v>
      </c>
      <c r="F2797" s="270" t="s">
        <v>944</v>
      </c>
      <c r="G2797" s="270" t="s">
        <v>3926</v>
      </c>
      <c r="H2797" s="270" t="s">
        <v>7215</v>
      </c>
      <c r="I2797" s="270" t="s">
        <v>2985</v>
      </c>
      <c r="J2797" s="270" t="s">
        <v>3928</v>
      </c>
      <c r="K2797" s="270">
        <v>6824</v>
      </c>
      <c r="L2797" s="270">
        <v>61300</v>
      </c>
      <c r="M2797" s="270" t="s">
        <v>3960</v>
      </c>
      <c r="N2797" s="270" t="s">
        <v>3944</v>
      </c>
      <c r="O2797" s="270">
        <v>4849</v>
      </c>
      <c r="P2797" s="270" t="s">
        <v>3944</v>
      </c>
      <c r="Q2797" s="270" t="s">
        <v>3944</v>
      </c>
      <c r="R2797" s="270">
        <v>4849</v>
      </c>
      <c r="S2797" s="270">
        <v>36882</v>
      </c>
      <c r="T2797" s="270">
        <v>41731</v>
      </c>
      <c r="U2797" s="271" t="s">
        <v>3945</v>
      </c>
      <c r="V2797" s="267" t="s">
        <v>944</v>
      </c>
    </row>
    <row r="2798" spans="1:22" hidden="1" x14ac:dyDescent="0.25">
      <c r="A2798" s="266">
        <v>43616</v>
      </c>
      <c r="B2798" s="267">
        <v>2019</v>
      </c>
      <c r="C2798" s="267">
        <v>2019</v>
      </c>
      <c r="D2798" s="267">
        <v>1</v>
      </c>
      <c r="E2798" s="267">
        <v>1</v>
      </c>
      <c r="F2798" s="267" t="s">
        <v>944</v>
      </c>
      <c r="G2798" s="267" t="s">
        <v>3926</v>
      </c>
      <c r="H2798" s="267" t="s">
        <v>7216</v>
      </c>
      <c r="I2798" s="267" t="s">
        <v>953</v>
      </c>
      <c r="J2798" s="267" t="s">
        <v>3928</v>
      </c>
      <c r="K2798" s="267">
        <v>6518</v>
      </c>
      <c r="L2798" s="267">
        <v>165900</v>
      </c>
      <c r="M2798" s="267" t="s">
        <v>3943</v>
      </c>
      <c r="N2798" s="267" t="s">
        <v>3944</v>
      </c>
      <c r="O2798" s="267">
        <v>902.16</v>
      </c>
      <c r="P2798" s="267" t="s">
        <v>3944</v>
      </c>
      <c r="Q2798" s="267" t="s">
        <v>3944</v>
      </c>
      <c r="R2798" s="267">
        <v>902.16</v>
      </c>
      <c r="S2798" s="267">
        <v>9832.84</v>
      </c>
      <c r="T2798" s="267">
        <v>10735</v>
      </c>
      <c r="U2798" s="268" t="s">
        <v>3945</v>
      </c>
      <c r="V2798" s="267" t="s">
        <v>944</v>
      </c>
    </row>
    <row r="2799" spans="1:22" hidden="1" x14ac:dyDescent="0.25">
      <c r="A2799" s="269">
        <v>43616</v>
      </c>
      <c r="B2799" s="270">
        <v>2019</v>
      </c>
      <c r="C2799" s="270">
        <v>2019</v>
      </c>
      <c r="D2799" s="270">
        <v>1</v>
      </c>
      <c r="E2799" s="270">
        <v>1</v>
      </c>
      <c r="F2799" s="270" t="s">
        <v>944</v>
      </c>
      <c r="G2799" s="270" t="s">
        <v>3926</v>
      </c>
      <c r="H2799" s="270" t="s">
        <v>7217</v>
      </c>
      <c r="I2799" s="270" t="s">
        <v>950</v>
      </c>
      <c r="J2799" s="270" t="s">
        <v>3928</v>
      </c>
      <c r="K2799" s="270">
        <v>6516</v>
      </c>
      <c r="L2799" s="270">
        <v>154800</v>
      </c>
      <c r="M2799" s="270" t="s">
        <v>3960</v>
      </c>
      <c r="N2799" s="270" t="s">
        <v>3944</v>
      </c>
      <c r="O2799" s="270">
        <v>1427.72</v>
      </c>
      <c r="P2799" s="270" t="s">
        <v>3944</v>
      </c>
      <c r="Q2799" s="270" t="s">
        <v>3944</v>
      </c>
      <c r="R2799" s="270">
        <v>1427.72</v>
      </c>
      <c r="S2799" s="270">
        <v>20264.54</v>
      </c>
      <c r="T2799" s="270">
        <v>21692.26</v>
      </c>
      <c r="U2799" s="271" t="s">
        <v>3945</v>
      </c>
      <c r="V2799" s="267" t="s">
        <v>944</v>
      </c>
    </row>
    <row r="2800" spans="1:22" x14ac:dyDescent="0.25">
      <c r="A2800" s="266">
        <v>43617</v>
      </c>
      <c r="B2800" s="267">
        <v>2019</v>
      </c>
      <c r="C2800" s="267">
        <v>2019</v>
      </c>
      <c r="D2800" s="267">
        <v>1</v>
      </c>
      <c r="E2800" s="267">
        <v>1</v>
      </c>
      <c r="F2800" s="267" t="s">
        <v>944</v>
      </c>
      <c r="G2800" s="267" t="s">
        <v>3926</v>
      </c>
      <c r="H2800" s="267" t="s">
        <v>7218</v>
      </c>
      <c r="I2800" s="267" t="s">
        <v>934</v>
      </c>
      <c r="J2800" s="267" t="s">
        <v>3928</v>
      </c>
      <c r="K2800" s="267">
        <v>6607</v>
      </c>
      <c r="L2800" s="267">
        <v>74300</v>
      </c>
      <c r="M2800" s="267">
        <v>-60</v>
      </c>
      <c r="N2800" s="267" t="s">
        <v>3929</v>
      </c>
      <c r="O2800" s="267">
        <v>5752.49</v>
      </c>
      <c r="P2800" s="267" t="s">
        <v>3930</v>
      </c>
      <c r="Q2800" s="267" t="s">
        <v>3931</v>
      </c>
      <c r="R2800" s="267">
        <v>10752.49</v>
      </c>
      <c r="S2800" s="267">
        <v>34744</v>
      </c>
      <c r="T2800" s="267">
        <v>45496.49</v>
      </c>
      <c r="U2800" s="268" t="s">
        <v>3932</v>
      </c>
      <c r="V2800" s="276" t="s">
        <v>936</v>
      </c>
    </row>
    <row r="2801" spans="1:22" hidden="1" x14ac:dyDescent="0.25">
      <c r="A2801" s="269">
        <v>43617</v>
      </c>
      <c r="B2801" s="270">
        <v>2019</v>
      </c>
      <c r="C2801" s="270">
        <v>2019</v>
      </c>
      <c r="D2801" s="270">
        <v>1</v>
      </c>
      <c r="E2801" s="270">
        <v>1</v>
      </c>
      <c r="F2801" s="270" t="s">
        <v>944</v>
      </c>
      <c r="G2801" s="270" t="s">
        <v>3926</v>
      </c>
      <c r="H2801" s="270" t="s">
        <v>7219</v>
      </c>
      <c r="I2801" s="270" t="s">
        <v>956</v>
      </c>
      <c r="J2801" s="270" t="s">
        <v>3928</v>
      </c>
      <c r="K2801" s="270">
        <v>6614</v>
      </c>
      <c r="L2801" s="270">
        <v>81100</v>
      </c>
      <c r="M2801" s="270" t="s">
        <v>3960</v>
      </c>
      <c r="N2801" s="270" t="s">
        <v>5609</v>
      </c>
      <c r="O2801" s="270">
        <v>1522.29</v>
      </c>
      <c r="P2801" s="270" t="s">
        <v>3930</v>
      </c>
      <c r="Q2801" s="270" t="s">
        <v>3931</v>
      </c>
      <c r="R2801" s="270">
        <v>6522.29</v>
      </c>
      <c r="S2801" s="270">
        <v>21839.8</v>
      </c>
      <c r="T2801" s="270">
        <v>28362.09</v>
      </c>
      <c r="U2801" s="271" t="s">
        <v>3932</v>
      </c>
      <c r="V2801" s="267" t="s">
        <v>944</v>
      </c>
    </row>
    <row r="2802" spans="1:22" hidden="1" x14ac:dyDescent="0.25">
      <c r="A2802" s="266">
        <v>43617</v>
      </c>
      <c r="B2802" s="267">
        <v>2019</v>
      </c>
      <c r="C2802" s="267">
        <v>2019</v>
      </c>
      <c r="D2802" s="267">
        <v>1</v>
      </c>
      <c r="E2802" s="267">
        <v>1</v>
      </c>
      <c r="F2802" s="267" t="s">
        <v>944</v>
      </c>
      <c r="G2802" s="267" t="s">
        <v>3926</v>
      </c>
      <c r="H2802" s="267" t="s">
        <v>7220</v>
      </c>
      <c r="I2802" s="267" t="s">
        <v>4108</v>
      </c>
      <c r="J2802" s="267" t="s">
        <v>3928</v>
      </c>
      <c r="K2802" s="267">
        <v>6082</v>
      </c>
      <c r="L2802" s="267">
        <v>480800</v>
      </c>
      <c r="M2802" s="267" t="s">
        <v>3935</v>
      </c>
      <c r="N2802" s="267" t="s">
        <v>7221</v>
      </c>
      <c r="O2802" s="267">
        <v>1790.25</v>
      </c>
      <c r="P2802" s="267" t="s">
        <v>3930</v>
      </c>
      <c r="Q2802" s="267" t="s">
        <v>3931</v>
      </c>
      <c r="R2802" s="267">
        <v>6790.25</v>
      </c>
      <c r="S2802" s="267">
        <v>32277.5</v>
      </c>
      <c r="T2802" s="267">
        <v>39067.75</v>
      </c>
      <c r="U2802" s="268" t="s">
        <v>3932</v>
      </c>
      <c r="V2802" s="267" t="s">
        <v>944</v>
      </c>
    </row>
    <row r="2803" spans="1:22" hidden="1" x14ac:dyDescent="0.25">
      <c r="A2803" s="269">
        <v>43619</v>
      </c>
      <c r="B2803" s="270">
        <v>2019</v>
      </c>
      <c r="C2803" s="270">
        <v>2019</v>
      </c>
      <c r="D2803" s="270">
        <v>1</v>
      </c>
      <c r="E2803" s="270">
        <v>1</v>
      </c>
      <c r="F2803" s="270" t="s">
        <v>944</v>
      </c>
      <c r="G2803" s="270" t="s">
        <v>3926</v>
      </c>
      <c r="H2803" s="270" t="s">
        <v>7222</v>
      </c>
      <c r="I2803" s="270" t="s">
        <v>3968</v>
      </c>
      <c r="J2803" s="270" t="s">
        <v>3928</v>
      </c>
      <c r="K2803" s="270">
        <v>6042</v>
      </c>
      <c r="L2803" s="270">
        <v>514200</v>
      </c>
      <c r="M2803" s="270" t="s">
        <v>3940</v>
      </c>
      <c r="N2803" s="270" t="s">
        <v>7223</v>
      </c>
      <c r="O2803" s="270">
        <v>0</v>
      </c>
      <c r="P2803" s="270" t="s">
        <v>3930</v>
      </c>
      <c r="Q2803" s="270" t="s">
        <v>3930</v>
      </c>
      <c r="R2803" s="270">
        <v>0</v>
      </c>
      <c r="S2803" s="270">
        <v>11150</v>
      </c>
      <c r="T2803" s="270">
        <v>11150</v>
      </c>
      <c r="U2803" s="271" t="s">
        <v>3937</v>
      </c>
      <c r="V2803" s="267" t="s">
        <v>944</v>
      </c>
    </row>
    <row r="2804" spans="1:22" hidden="1" x14ac:dyDescent="0.25">
      <c r="A2804" s="266">
        <v>43619</v>
      </c>
      <c r="B2804" s="267">
        <v>2019</v>
      </c>
      <c r="C2804" s="267">
        <v>2019</v>
      </c>
      <c r="D2804" s="267">
        <v>1</v>
      </c>
      <c r="E2804" s="267">
        <v>1</v>
      </c>
      <c r="F2804" s="267" t="s">
        <v>944</v>
      </c>
      <c r="G2804" s="267" t="s">
        <v>3926</v>
      </c>
      <c r="H2804" s="267" t="s">
        <v>7224</v>
      </c>
      <c r="I2804" s="267" t="s">
        <v>956</v>
      </c>
      <c r="J2804" s="267" t="s">
        <v>3928</v>
      </c>
      <c r="K2804" s="267">
        <v>6614</v>
      </c>
      <c r="L2804" s="267">
        <v>80100</v>
      </c>
      <c r="M2804" s="267" t="s">
        <v>3935</v>
      </c>
      <c r="N2804" s="267" t="s">
        <v>3929</v>
      </c>
      <c r="O2804" s="267">
        <v>2195.69</v>
      </c>
      <c r="P2804" s="267" t="s">
        <v>3930</v>
      </c>
      <c r="Q2804" s="267" t="s">
        <v>3931</v>
      </c>
      <c r="R2804" s="267">
        <v>7195.69</v>
      </c>
      <c r="S2804" s="267">
        <v>34744</v>
      </c>
      <c r="T2804" s="267">
        <v>41939.69</v>
      </c>
      <c r="U2804" s="268" t="s">
        <v>3932</v>
      </c>
      <c r="V2804" s="267" t="s">
        <v>944</v>
      </c>
    </row>
    <row r="2805" spans="1:22" hidden="1" x14ac:dyDescent="0.25">
      <c r="A2805" s="269">
        <v>43619</v>
      </c>
      <c r="B2805" s="270">
        <v>2019</v>
      </c>
      <c r="C2805" s="270">
        <v>2019</v>
      </c>
      <c r="D2805" s="270">
        <v>1</v>
      </c>
      <c r="E2805" s="270">
        <v>1</v>
      </c>
      <c r="F2805" s="270" t="s">
        <v>944</v>
      </c>
      <c r="G2805" s="270" t="s">
        <v>3926</v>
      </c>
      <c r="H2805" s="270" t="s">
        <v>7225</v>
      </c>
      <c r="I2805" s="270" t="s">
        <v>4011</v>
      </c>
      <c r="J2805" s="270" t="s">
        <v>3928</v>
      </c>
      <c r="K2805" s="270">
        <v>6002</v>
      </c>
      <c r="L2805" s="270">
        <v>471400</v>
      </c>
      <c r="M2805" s="270" t="s">
        <v>3943</v>
      </c>
      <c r="N2805" s="270" t="s">
        <v>7226</v>
      </c>
      <c r="O2805" s="270">
        <v>2073.54</v>
      </c>
      <c r="P2805" s="270" t="s">
        <v>3930</v>
      </c>
      <c r="Q2805" s="270" t="s">
        <v>3931</v>
      </c>
      <c r="R2805" s="270">
        <v>7073.54</v>
      </c>
      <c r="S2805" s="270">
        <v>41608.9</v>
      </c>
      <c r="T2805" s="270">
        <v>48682.44</v>
      </c>
      <c r="U2805" s="271" t="s">
        <v>3932</v>
      </c>
      <c r="V2805" s="267" t="s">
        <v>944</v>
      </c>
    </row>
    <row r="2806" spans="1:22" hidden="1" x14ac:dyDescent="0.25">
      <c r="A2806" s="266">
        <v>43619</v>
      </c>
      <c r="B2806" s="267">
        <v>2019</v>
      </c>
      <c r="C2806" s="267">
        <v>2019</v>
      </c>
      <c r="D2806" s="267">
        <v>1</v>
      </c>
      <c r="E2806" s="267">
        <v>1</v>
      </c>
      <c r="F2806" s="267" t="s">
        <v>944</v>
      </c>
      <c r="G2806" s="267" t="s">
        <v>3926</v>
      </c>
      <c r="H2806" s="267" t="s">
        <v>7227</v>
      </c>
      <c r="I2806" s="267" t="s">
        <v>3962</v>
      </c>
      <c r="J2806" s="267" t="s">
        <v>3928</v>
      </c>
      <c r="K2806" s="267">
        <v>6355</v>
      </c>
      <c r="L2806" s="267">
        <v>705300</v>
      </c>
      <c r="M2806" s="267" t="s">
        <v>3960</v>
      </c>
      <c r="N2806" s="267" t="s">
        <v>3944</v>
      </c>
      <c r="O2806" s="267">
        <v>2155</v>
      </c>
      <c r="P2806" s="267" t="s">
        <v>3944</v>
      </c>
      <c r="Q2806" s="267" t="s">
        <v>3944</v>
      </c>
      <c r="R2806" s="267">
        <v>2155</v>
      </c>
      <c r="S2806" s="267">
        <v>23927</v>
      </c>
      <c r="T2806" s="267">
        <v>26082</v>
      </c>
      <c r="U2806" s="268" t="s">
        <v>3945</v>
      </c>
      <c r="V2806" s="267" t="s">
        <v>944</v>
      </c>
    </row>
    <row r="2807" spans="1:22" hidden="1" x14ac:dyDescent="0.25">
      <c r="A2807" s="269">
        <v>43619</v>
      </c>
      <c r="B2807" s="270">
        <v>2019</v>
      </c>
      <c r="C2807" s="270">
        <v>2019</v>
      </c>
      <c r="D2807" s="270">
        <v>1</v>
      </c>
      <c r="E2807" s="270">
        <v>1</v>
      </c>
      <c r="F2807" s="270" t="s">
        <v>944</v>
      </c>
      <c r="G2807" s="270" t="s">
        <v>3926</v>
      </c>
      <c r="H2807" s="270" t="s">
        <v>7228</v>
      </c>
      <c r="I2807" s="270" t="s">
        <v>4392</v>
      </c>
      <c r="J2807" s="270" t="s">
        <v>3928</v>
      </c>
      <c r="K2807" s="270">
        <v>6457</v>
      </c>
      <c r="L2807" s="270">
        <v>542200</v>
      </c>
      <c r="M2807" s="270" t="s">
        <v>3960</v>
      </c>
      <c r="N2807" s="270" t="s">
        <v>3944</v>
      </c>
      <c r="O2807" s="270">
        <v>5996</v>
      </c>
      <c r="P2807" s="270" t="s">
        <v>3944</v>
      </c>
      <c r="Q2807" s="270" t="s">
        <v>3944</v>
      </c>
      <c r="R2807" s="270">
        <v>5996</v>
      </c>
      <c r="S2807" s="270">
        <v>32614</v>
      </c>
      <c r="T2807" s="270">
        <v>38610</v>
      </c>
      <c r="U2807" s="271" t="s">
        <v>3945</v>
      </c>
      <c r="V2807" s="267" t="s">
        <v>944</v>
      </c>
    </row>
    <row r="2808" spans="1:22" hidden="1" x14ac:dyDescent="0.25">
      <c r="A2808" s="266">
        <v>43619</v>
      </c>
      <c r="B2808" s="267">
        <v>2019</v>
      </c>
      <c r="C2808" s="267">
        <v>2019</v>
      </c>
      <c r="D2808" s="267">
        <v>1</v>
      </c>
      <c r="E2808" s="267">
        <v>1</v>
      </c>
      <c r="F2808" s="267" t="s">
        <v>944</v>
      </c>
      <c r="G2808" s="267" t="s">
        <v>3926</v>
      </c>
      <c r="H2808" s="267" t="s">
        <v>7229</v>
      </c>
      <c r="I2808" s="267" t="s">
        <v>3009</v>
      </c>
      <c r="J2808" s="267" t="s">
        <v>3928</v>
      </c>
      <c r="K2808" s="267">
        <v>6484</v>
      </c>
      <c r="L2808" s="267">
        <v>110500</v>
      </c>
      <c r="M2808" s="267" t="s">
        <v>3943</v>
      </c>
      <c r="N2808" s="267" t="s">
        <v>3944</v>
      </c>
      <c r="O2808" s="267">
        <v>2130.8000000000002</v>
      </c>
      <c r="P2808" s="267" t="s">
        <v>3944</v>
      </c>
      <c r="Q2808" s="267" t="s">
        <v>3944</v>
      </c>
      <c r="R2808" s="267">
        <v>2130.8000000000002</v>
      </c>
      <c r="S2808" s="267">
        <v>16346.2</v>
      </c>
      <c r="T2808" s="267">
        <v>18477</v>
      </c>
      <c r="U2808" s="268" t="s">
        <v>3945</v>
      </c>
      <c r="V2808" s="267" t="s">
        <v>944</v>
      </c>
    </row>
    <row r="2809" spans="1:22" hidden="1" x14ac:dyDescent="0.25">
      <c r="A2809" s="269">
        <v>43619</v>
      </c>
      <c r="B2809" s="270">
        <v>2019</v>
      </c>
      <c r="C2809" s="270">
        <v>2019</v>
      </c>
      <c r="D2809" s="270">
        <v>1</v>
      </c>
      <c r="E2809" s="270">
        <v>1</v>
      </c>
      <c r="F2809" s="270" t="s">
        <v>944</v>
      </c>
      <c r="G2809" s="270" t="s">
        <v>3926</v>
      </c>
      <c r="H2809" s="270" t="s">
        <v>7230</v>
      </c>
      <c r="I2809" s="270" t="s">
        <v>4197</v>
      </c>
      <c r="J2809" s="270" t="s">
        <v>3928</v>
      </c>
      <c r="K2809" s="270">
        <v>6812</v>
      </c>
      <c r="L2809" s="270">
        <v>220100</v>
      </c>
      <c r="M2809" s="270" t="s">
        <v>3943</v>
      </c>
      <c r="N2809" s="270" t="s">
        <v>3944</v>
      </c>
      <c r="O2809" s="270">
        <v>1201.24</v>
      </c>
      <c r="P2809" s="270" t="s">
        <v>3944</v>
      </c>
      <c r="Q2809" s="270" t="s">
        <v>3944</v>
      </c>
      <c r="R2809" s="270">
        <v>1201.24</v>
      </c>
      <c r="S2809" s="270">
        <v>15142.94</v>
      </c>
      <c r="T2809" s="270">
        <v>16344.18</v>
      </c>
      <c r="U2809" s="271" t="s">
        <v>3945</v>
      </c>
      <c r="V2809" s="267" t="s">
        <v>944</v>
      </c>
    </row>
    <row r="2810" spans="1:22" hidden="1" x14ac:dyDescent="0.25">
      <c r="A2810" s="266">
        <v>43619</v>
      </c>
      <c r="B2810" s="267">
        <v>2019</v>
      </c>
      <c r="C2810" s="267">
        <v>2019</v>
      </c>
      <c r="D2810" s="267">
        <v>1</v>
      </c>
      <c r="E2810" s="267">
        <v>1</v>
      </c>
      <c r="F2810" s="267" t="s">
        <v>944</v>
      </c>
      <c r="G2810" s="267" t="s">
        <v>3926</v>
      </c>
      <c r="H2810" s="267" t="s">
        <v>7231</v>
      </c>
      <c r="I2810" s="267" t="s">
        <v>934</v>
      </c>
      <c r="J2810" s="267" t="s">
        <v>3928</v>
      </c>
      <c r="K2810" s="267">
        <v>6606</v>
      </c>
      <c r="L2810" s="267">
        <v>72300</v>
      </c>
      <c r="M2810" s="267" t="s">
        <v>3940</v>
      </c>
      <c r="N2810" s="267" t="s">
        <v>3944</v>
      </c>
      <c r="O2810" s="267">
        <v>1686.55</v>
      </c>
      <c r="P2810" s="267" t="s">
        <v>3944</v>
      </c>
      <c r="Q2810" s="267" t="s">
        <v>3944</v>
      </c>
      <c r="R2810" s="267">
        <v>1686.55</v>
      </c>
      <c r="S2810" s="267">
        <v>13415.45</v>
      </c>
      <c r="T2810" s="267">
        <v>15102</v>
      </c>
      <c r="U2810" s="268" t="s">
        <v>3945</v>
      </c>
      <c r="V2810" s="267" t="s">
        <v>944</v>
      </c>
    </row>
    <row r="2811" spans="1:22" hidden="1" x14ac:dyDescent="0.25">
      <c r="A2811" s="269">
        <v>43619</v>
      </c>
      <c r="B2811" s="270">
        <v>2019</v>
      </c>
      <c r="C2811" s="270">
        <v>2019</v>
      </c>
      <c r="D2811" s="270">
        <v>1</v>
      </c>
      <c r="E2811" s="270">
        <v>1</v>
      </c>
      <c r="F2811" s="270" t="s">
        <v>944</v>
      </c>
      <c r="G2811" s="270" t="s">
        <v>3926</v>
      </c>
      <c r="H2811" s="270" t="s">
        <v>7232</v>
      </c>
      <c r="I2811" s="270" t="s">
        <v>950</v>
      </c>
      <c r="J2811" s="270" t="s">
        <v>3928</v>
      </c>
      <c r="K2811" s="270">
        <v>6516</v>
      </c>
      <c r="L2811" s="270">
        <v>154800</v>
      </c>
      <c r="M2811" s="270" t="s">
        <v>3960</v>
      </c>
      <c r="N2811" s="270" t="s">
        <v>3944</v>
      </c>
      <c r="O2811" s="270">
        <v>878.75</v>
      </c>
      <c r="P2811" s="270" t="s">
        <v>3944</v>
      </c>
      <c r="Q2811" s="270" t="s">
        <v>3944</v>
      </c>
      <c r="R2811" s="270">
        <v>878.75</v>
      </c>
      <c r="S2811" s="270">
        <v>13801.96</v>
      </c>
      <c r="T2811" s="270">
        <v>14680.71</v>
      </c>
      <c r="U2811" s="271" t="s">
        <v>3945</v>
      </c>
      <c r="V2811" s="267" t="s">
        <v>944</v>
      </c>
    </row>
    <row r="2812" spans="1:22" hidden="1" x14ac:dyDescent="0.25">
      <c r="A2812" s="266">
        <v>43619</v>
      </c>
      <c r="B2812" s="267">
        <v>2019</v>
      </c>
      <c r="C2812" s="267">
        <v>2019</v>
      </c>
      <c r="D2812" s="267">
        <v>1</v>
      </c>
      <c r="E2812" s="267">
        <v>1</v>
      </c>
      <c r="F2812" s="267" t="s">
        <v>944</v>
      </c>
      <c r="G2812" s="267" t="s">
        <v>3926</v>
      </c>
      <c r="H2812" s="267" t="s">
        <v>7233</v>
      </c>
      <c r="I2812" s="267" t="s">
        <v>4114</v>
      </c>
      <c r="J2812" s="267" t="s">
        <v>3928</v>
      </c>
      <c r="K2812" s="267">
        <v>6410</v>
      </c>
      <c r="L2812" s="267">
        <v>343101</v>
      </c>
      <c r="M2812" s="267" t="s">
        <v>3943</v>
      </c>
      <c r="N2812" s="267" t="s">
        <v>3944</v>
      </c>
      <c r="O2812" s="267">
        <v>1789.41</v>
      </c>
      <c r="P2812" s="267" t="s">
        <v>3944</v>
      </c>
      <c r="Q2812" s="267" t="s">
        <v>3944</v>
      </c>
      <c r="R2812" s="267">
        <v>1789.41</v>
      </c>
      <c r="S2812" s="267">
        <v>24424.34</v>
      </c>
      <c r="T2812" s="267">
        <v>26213.75</v>
      </c>
      <c r="U2812" s="268" t="s">
        <v>3945</v>
      </c>
      <c r="V2812" s="267" t="s">
        <v>944</v>
      </c>
    </row>
    <row r="2813" spans="1:22" hidden="1" x14ac:dyDescent="0.25">
      <c r="A2813" s="269">
        <v>43619</v>
      </c>
      <c r="B2813" s="270">
        <v>2019</v>
      </c>
      <c r="C2813" s="270">
        <v>2019</v>
      </c>
      <c r="D2813" s="270">
        <v>1</v>
      </c>
      <c r="E2813" s="270">
        <v>1</v>
      </c>
      <c r="F2813" s="270" t="s">
        <v>944</v>
      </c>
      <c r="G2813" s="270" t="s">
        <v>3926</v>
      </c>
      <c r="H2813" s="270" t="s">
        <v>7234</v>
      </c>
      <c r="I2813" s="270" t="s">
        <v>4213</v>
      </c>
      <c r="J2813" s="270" t="s">
        <v>3928</v>
      </c>
      <c r="K2813" s="270">
        <v>6051</v>
      </c>
      <c r="L2813" s="270">
        <v>416300</v>
      </c>
      <c r="M2813" s="270">
        <v>-60</v>
      </c>
      <c r="N2813" s="270" t="s">
        <v>3944</v>
      </c>
      <c r="O2813" s="270">
        <v>1234.6300000000001</v>
      </c>
      <c r="P2813" s="270" t="s">
        <v>3944</v>
      </c>
      <c r="Q2813" s="270" t="s">
        <v>3944</v>
      </c>
      <c r="R2813" s="270">
        <v>1234.6300000000001</v>
      </c>
      <c r="S2813" s="270">
        <v>14604.17</v>
      </c>
      <c r="T2813" s="270">
        <v>15838.8</v>
      </c>
      <c r="U2813" s="271" t="s">
        <v>3945</v>
      </c>
      <c r="V2813" s="267" t="s">
        <v>944</v>
      </c>
    </row>
    <row r="2814" spans="1:22" hidden="1" x14ac:dyDescent="0.25">
      <c r="A2814" s="266">
        <v>43619</v>
      </c>
      <c r="B2814" s="267">
        <v>2019</v>
      </c>
      <c r="C2814" s="267">
        <v>2019</v>
      </c>
      <c r="D2814" s="267">
        <v>1</v>
      </c>
      <c r="E2814" s="267">
        <v>1</v>
      </c>
      <c r="F2814" s="267" t="s">
        <v>944</v>
      </c>
      <c r="G2814" s="267" t="s">
        <v>3926</v>
      </c>
      <c r="H2814" s="267" t="s">
        <v>7235</v>
      </c>
      <c r="I2814" s="267" t="s">
        <v>3990</v>
      </c>
      <c r="J2814" s="267" t="s">
        <v>3928</v>
      </c>
      <c r="K2814" s="267">
        <v>6804</v>
      </c>
      <c r="L2814" s="267">
        <v>205100</v>
      </c>
      <c r="M2814" s="267" t="s">
        <v>3943</v>
      </c>
      <c r="N2814" s="267" t="s">
        <v>3944</v>
      </c>
      <c r="O2814" s="267">
        <v>1921.96</v>
      </c>
      <c r="P2814" s="267" t="s">
        <v>3944</v>
      </c>
      <c r="Q2814" s="267" t="s">
        <v>3944</v>
      </c>
      <c r="R2814" s="267">
        <v>1921.96</v>
      </c>
      <c r="S2814" s="267">
        <v>23365.85</v>
      </c>
      <c r="T2814" s="267">
        <v>25287.81</v>
      </c>
      <c r="U2814" s="268" t="s">
        <v>3945</v>
      </c>
      <c r="V2814" s="267" t="s">
        <v>944</v>
      </c>
    </row>
    <row r="2815" spans="1:22" hidden="1" x14ac:dyDescent="0.25">
      <c r="A2815" s="269">
        <v>43619</v>
      </c>
      <c r="B2815" s="270">
        <v>2019</v>
      </c>
      <c r="C2815" s="270">
        <v>2019</v>
      </c>
      <c r="D2815" s="270">
        <v>1</v>
      </c>
      <c r="E2815" s="270">
        <v>1</v>
      </c>
      <c r="F2815" s="270" t="s">
        <v>944</v>
      </c>
      <c r="G2815" s="270" t="s">
        <v>3926</v>
      </c>
      <c r="H2815" s="270" t="s">
        <v>7236</v>
      </c>
      <c r="I2815" s="270" t="s">
        <v>3934</v>
      </c>
      <c r="J2815" s="270" t="s">
        <v>3928</v>
      </c>
      <c r="K2815" s="270">
        <v>6405</v>
      </c>
      <c r="L2815" s="270">
        <v>184200</v>
      </c>
      <c r="M2815" s="270" t="s">
        <v>3940</v>
      </c>
      <c r="N2815" s="270" t="s">
        <v>3944</v>
      </c>
      <c r="O2815" s="270">
        <v>1165.3599999999999</v>
      </c>
      <c r="P2815" s="270" t="s">
        <v>3944</v>
      </c>
      <c r="Q2815" s="270" t="s">
        <v>3944</v>
      </c>
      <c r="R2815" s="270">
        <v>1165.3599999999999</v>
      </c>
      <c r="S2815" s="270">
        <v>19668.740000000002</v>
      </c>
      <c r="T2815" s="270">
        <v>20834.099999999999</v>
      </c>
      <c r="U2815" s="271" t="s">
        <v>3945</v>
      </c>
      <c r="V2815" s="267" t="s">
        <v>944</v>
      </c>
    </row>
    <row r="2816" spans="1:22" hidden="1" x14ac:dyDescent="0.25">
      <c r="A2816" s="266">
        <v>43619</v>
      </c>
      <c r="B2816" s="267">
        <v>2019</v>
      </c>
      <c r="C2816" s="267">
        <v>2019</v>
      </c>
      <c r="D2816" s="267">
        <v>1</v>
      </c>
      <c r="E2816" s="267">
        <v>1</v>
      </c>
      <c r="F2816" s="267" t="s">
        <v>944</v>
      </c>
      <c r="G2816" s="267" t="s">
        <v>3926</v>
      </c>
      <c r="H2816" s="267" t="s">
        <v>7237</v>
      </c>
      <c r="I2816" s="267" t="s">
        <v>4269</v>
      </c>
      <c r="J2816" s="267" t="s">
        <v>3928</v>
      </c>
      <c r="K2816" s="267">
        <v>6119</v>
      </c>
      <c r="L2816" s="267">
        <v>496700</v>
      </c>
      <c r="M2816" s="267" t="s">
        <v>3940</v>
      </c>
      <c r="N2816" s="267" t="s">
        <v>3944</v>
      </c>
      <c r="O2816" s="267">
        <v>1780.49</v>
      </c>
      <c r="P2816" s="267" t="s">
        <v>3944</v>
      </c>
      <c r="Q2816" s="267" t="s">
        <v>3944</v>
      </c>
      <c r="R2816" s="267">
        <v>1780.49</v>
      </c>
      <c r="S2816" s="267">
        <v>25775.62</v>
      </c>
      <c r="T2816" s="267">
        <v>27556.11</v>
      </c>
      <c r="U2816" s="268" t="s">
        <v>3945</v>
      </c>
      <c r="V2816" s="267" t="s">
        <v>944</v>
      </c>
    </row>
    <row r="2817" spans="1:22" hidden="1" x14ac:dyDescent="0.25">
      <c r="A2817" s="269">
        <v>43619</v>
      </c>
      <c r="B2817" s="270">
        <v>2019</v>
      </c>
      <c r="C2817" s="270">
        <v>2019</v>
      </c>
      <c r="D2817" s="270">
        <v>1</v>
      </c>
      <c r="E2817" s="270">
        <v>1</v>
      </c>
      <c r="F2817" s="270" t="s">
        <v>944</v>
      </c>
      <c r="G2817" s="270" t="s">
        <v>3926</v>
      </c>
      <c r="H2817" s="270" t="s">
        <v>7238</v>
      </c>
      <c r="I2817" s="270" t="s">
        <v>3008</v>
      </c>
      <c r="J2817" s="270" t="s">
        <v>3928</v>
      </c>
      <c r="K2817" s="270">
        <v>6460</v>
      </c>
      <c r="L2817" s="270">
        <v>150100</v>
      </c>
      <c r="M2817" s="270" t="s">
        <v>3960</v>
      </c>
      <c r="N2817" s="270" t="s">
        <v>3944</v>
      </c>
      <c r="O2817" s="270">
        <v>1767.64</v>
      </c>
      <c r="P2817" s="270" t="s">
        <v>3944</v>
      </c>
      <c r="Q2817" s="270" t="s">
        <v>3944</v>
      </c>
      <c r="R2817" s="270">
        <v>1767.64</v>
      </c>
      <c r="S2817" s="270">
        <v>13894.36</v>
      </c>
      <c r="T2817" s="270">
        <v>15662</v>
      </c>
      <c r="U2817" s="271" t="s">
        <v>3945</v>
      </c>
      <c r="V2817" s="267" t="s">
        <v>944</v>
      </c>
    </row>
    <row r="2818" spans="1:22" hidden="1" x14ac:dyDescent="0.25">
      <c r="A2818" s="266">
        <v>43619</v>
      </c>
      <c r="B2818" s="267">
        <v>2019</v>
      </c>
      <c r="C2818" s="267">
        <v>2019</v>
      </c>
      <c r="D2818" s="267">
        <v>1</v>
      </c>
      <c r="E2818" s="267">
        <v>1</v>
      </c>
      <c r="F2818" s="267" t="s">
        <v>944</v>
      </c>
      <c r="G2818" s="267" t="s">
        <v>3926</v>
      </c>
      <c r="H2818" s="267" t="s">
        <v>7239</v>
      </c>
      <c r="I2818" s="267" t="s">
        <v>4008</v>
      </c>
      <c r="J2818" s="267" t="s">
        <v>3928</v>
      </c>
      <c r="K2818" s="267">
        <v>6320</v>
      </c>
      <c r="L2818" s="267">
        <v>690800</v>
      </c>
      <c r="M2818" s="267">
        <v>-60</v>
      </c>
      <c r="N2818" s="267" t="s">
        <v>3944</v>
      </c>
      <c r="O2818" s="267">
        <v>1270.5</v>
      </c>
      <c r="P2818" s="267" t="s">
        <v>3944</v>
      </c>
      <c r="Q2818" s="267" t="s">
        <v>3944</v>
      </c>
      <c r="R2818" s="267">
        <v>1270.5</v>
      </c>
      <c r="S2818" s="267">
        <v>12322.5</v>
      </c>
      <c r="T2818" s="267">
        <v>13593</v>
      </c>
      <c r="U2818" s="268" t="s">
        <v>3945</v>
      </c>
      <c r="V2818" s="267" t="s">
        <v>944</v>
      </c>
    </row>
    <row r="2819" spans="1:22" hidden="1" x14ac:dyDescent="0.25">
      <c r="A2819" s="269">
        <v>43619</v>
      </c>
      <c r="B2819" s="270">
        <v>2019</v>
      </c>
      <c r="C2819" s="270">
        <v>2019</v>
      </c>
      <c r="D2819" s="270">
        <v>1</v>
      </c>
      <c r="E2819" s="270">
        <v>1</v>
      </c>
      <c r="F2819" s="270" t="s">
        <v>944</v>
      </c>
      <c r="G2819" s="270" t="s">
        <v>3926</v>
      </c>
      <c r="H2819" s="270" t="s">
        <v>7240</v>
      </c>
      <c r="I2819" s="270" t="s">
        <v>4003</v>
      </c>
      <c r="J2819" s="270" t="s">
        <v>3928</v>
      </c>
      <c r="K2819" s="270">
        <v>6374</v>
      </c>
      <c r="L2819" s="270">
        <v>907300</v>
      </c>
      <c r="M2819" s="270" t="s">
        <v>3935</v>
      </c>
      <c r="N2819" s="270" t="s">
        <v>3944</v>
      </c>
      <c r="O2819" s="270">
        <v>1144.82</v>
      </c>
      <c r="P2819" s="270" t="s">
        <v>3944</v>
      </c>
      <c r="Q2819" s="270" t="s">
        <v>3944</v>
      </c>
      <c r="R2819" s="270">
        <v>1144.82</v>
      </c>
      <c r="S2819" s="270">
        <v>14735.52</v>
      </c>
      <c r="T2819" s="270">
        <v>15880.34</v>
      </c>
      <c r="U2819" s="271" t="s">
        <v>3945</v>
      </c>
      <c r="V2819" s="267" t="s">
        <v>944</v>
      </c>
    </row>
    <row r="2820" spans="1:22" hidden="1" x14ac:dyDescent="0.25">
      <c r="A2820" s="266">
        <v>43619</v>
      </c>
      <c r="B2820" s="267">
        <v>2019</v>
      </c>
      <c r="C2820" s="267">
        <v>2019</v>
      </c>
      <c r="D2820" s="267">
        <v>1</v>
      </c>
      <c r="E2820" s="267">
        <v>1</v>
      </c>
      <c r="F2820" s="267" t="s">
        <v>944</v>
      </c>
      <c r="G2820" s="267" t="s">
        <v>3926</v>
      </c>
      <c r="H2820" s="267" t="s">
        <v>7241</v>
      </c>
      <c r="I2820" s="267" t="s">
        <v>956</v>
      </c>
      <c r="J2820" s="267" t="s">
        <v>3928</v>
      </c>
      <c r="K2820" s="267">
        <v>6614</v>
      </c>
      <c r="L2820" s="267">
        <v>80100</v>
      </c>
      <c r="M2820" s="267" t="s">
        <v>3935</v>
      </c>
      <c r="N2820" s="267" t="s">
        <v>3944</v>
      </c>
      <c r="O2820" s="267">
        <v>2213.96</v>
      </c>
      <c r="P2820" s="267" t="s">
        <v>3944</v>
      </c>
      <c r="Q2820" s="267" t="s">
        <v>3944</v>
      </c>
      <c r="R2820" s="267">
        <v>2213.96</v>
      </c>
      <c r="S2820" s="267">
        <v>31312.84</v>
      </c>
      <c r="T2820" s="267">
        <v>33526.800000000003</v>
      </c>
      <c r="U2820" s="268" t="s">
        <v>3945</v>
      </c>
      <c r="V2820" s="267" t="s">
        <v>944</v>
      </c>
    </row>
    <row r="2821" spans="1:22" hidden="1" x14ac:dyDescent="0.25">
      <c r="A2821" s="269">
        <v>43619</v>
      </c>
      <c r="B2821" s="270">
        <v>2019</v>
      </c>
      <c r="C2821" s="270">
        <v>2019</v>
      </c>
      <c r="D2821" s="270">
        <v>1</v>
      </c>
      <c r="E2821" s="270">
        <v>1</v>
      </c>
      <c r="F2821" s="270" t="s">
        <v>944</v>
      </c>
      <c r="G2821" s="270" t="s">
        <v>3926</v>
      </c>
      <c r="H2821" s="270" t="s">
        <v>7242</v>
      </c>
      <c r="I2821" s="270" t="s">
        <v>3975</v>
      </c>
      <c r="J2821" s="270" t="s">
        <v>3928</v>
      </c>
      <c r="K2821" s="270">
        <v>6479</v>
      </c>
      <c r="L2821" s="270">
        <v>430400</v>
      </c>
      <c r="M2821" s="270" t="s">
        <v>3960</v>
      </c>
      <c r="N2821" s="270" t="s">
        <v>3944</v>
      </c>
      <c r="O2821" s="270">
        <v>1711.64</v>
      </c>
      <c r="P2821" s="270" t="s">
        <v>3944</v>
      </c>
      <c r="Q2821" s="270" t="s">
        <v>3944</v>
      </c>
      <c r="R2821" s="270">
        <v>1711.64</v>
      </c>
      <c r="S2821" s="270">
        <v>16685.36</v>
      </c>
      <c r="T2821" s="270">
        <v>18397</v>
      </c>
      <c r="U2821" s="271" t="s">
        <v>3945</v>
      </c>
      <c r="V2821" s="267" t="s">
        <v>944</v>
      </c>
    </row>
    <row r="2822" spans="1:22" hidden="1" x14ac:dyDescent="0.25">
      <c r="A2822" s="266">
        <v>43619</v>
      </c>
      <c r="B2822" s="267">
        <v>2019</v>
      </c>
      <c r="C2822" s="267">
        <v>2019</v>
      </c>
      <c r="D2822" s="267">
        <v>1</v>
      </c>
      <c r="E2822" s="267">
        <v>1</v>
      </c>
      <c r="F2822" s="267" t="s">
        <v>944</v>
      </c>
      <c r="G2822" s="267" t="s">
        <v>3926</v>
      </c>
      <c r="H2822" s="267" t="s">
        <v>7243</v>
      </c>
      <c r="I2822" s="267" t="s">
        <v>4011</v>
      </c>
      <c r="J2822" s="267" t="s">
        <v>3928</v>
      </c>
      <c r="K2822" s="267">
        <v>6002</v>
      </c>
      <c r="L2822" s="267">
        <v>471500</v>
      </c>
      <c r="M2822" s="267" t="s">
        <v>3935</v>
      </c>
      <c r="N2822" s="267" t="s">
        <v>3944</v>
      </c>
      <c r="O2822" s="267">
        <v>1353.66</v>
      </c>
      <c r="P2822" s="267" t="s">
        <v>3944</v>
      </c>
      <c r="Q2822" s="267" t="s">
        <v>3944</v>
      </c>
      <c r="R2822" s="267">
        <v>1353.66</v>
      </c>
      <c r="S2822" s="267">
        <v>17901.150000000001</v>
      </c>
      <c r="T2822" s="267">
        <v>19254.810000000001</v>
      </c>
      <c r="U2822" s="268" t="s">
        <v>3945</v>
      </c>
      <c r="V2822" s="267" t="s">
        <v>944</v>
      </c>
    </row>
    <row r="2823" spans="1:22" hidden="1" x14ac:dyDescent="0.25">
      <c r="A2823" s="269">
        <v>43619</v>
      </c>
      <c r="B2823" s="270">
        <v>2019</v>
      </c>
      <c r="C2823" s="270">
        <v>2019</v>
      </c>
      <c r="D2823" s="270">
        <v>1</v>
      </c>
      <c r="E2823" s="270">
        <v>1</v>
      </c>
      <c r="F2823" s="270" t="s">
        <v>944</v>
      </c>
      <c r="G2823" s="270" t="s">
        <v>3926</v>
      </c>
      <c r="H2823" s="270" t="s">
        <v>7244</v>
      </c>
      <c r="I2823" s="270" t="s">
        <v>4306</v>
      </c>
      <c r="J2823" s="270" t="s">
        <v>3928</v>
      </c>
      <c r="K2823" s="270">
        <v>6716</v>
      </c>
      <c r="L2823" s="270">
        <v>361200</v>
      </c>
      <c r="M2823" s="270" t="s">
        <v>3960</v>
      </c>
      <c r="N2823" s="270" t="s">
        <v>3944</v>
      </c>
      <c r="O2823" s="270">
        <v>2232.1999999999998</v>
      </c>
      <c r="P2823" s="270" t="s">
        <v>3944</v>
      </c>
      <c r="Q2823" s="270" t="s">
        <v>3944</v>
      </c>
      <c r="R2823" s="270">
        <v>2232.1999999999998</v>
      </c>
      <c r="S2823" s="270">
        <v>17578.8</v>
      </c>
      <c r="T2823" s="270">
        <v>19811</v>
      </c>
      <c r="U2823" s="271" t="s">
        <v>3945</v>
      </c>
      <c r="V2823" s="267" t="s">
        <v>944</v>
      </c>
    </row>
    <row r="2824" spans="1:22" hidden="1" x14ac:dyDescent="0.25">
      <c r="A2824" s="266">
        <v>43619</v>
      </c>
      <c r="B2824" s="267">
        <v>2019</v>
      </c>
      <c r="C2824" s="267">
        <v>2019</v>
      </c>
      <c r="D2824" s="267">
        <v>1</v>
      </c>
      <c r="E2824" s="267">
        <v>1</v>
      </c>
      <c r="F2824" s="267" t="s">
        <v>944</v>
      </c>
      <c r="G2824" s="267" t="s">
        <v>3926</v>
      </c>
      <c r="H2824" s="267" t="s">
        <v>7245</v>
      </c>
      <c r="I2824" s="267" t="s">
        <v>4003</v>
      </c>
      <c r="J2824" s="267" t="s">
        <v>3928</v>
      </c>
      <c r="K2824" s="267">
        <v>6374</v>
      </c>
      <c r="L2824" s="267">
        <v>907100</v>
      </c>
      <c r="M2824" s="267" t="s">
        <v>3935</v>
      </c>
      <c r="N2824" s="267" t="s">
        <v>3944</v>
      </c>
      <c r="O2824" s="267">
        <v>3218.36</v>
      </c>
      <c r="P2824" s="267" t="s">
        <v>3944</v>
      </c>
      <c r="Q2824" s="267" t="s">
        <v>3944</v>
      </c>
      <c r="R2824" s="267">
        <v>3218.36</v>
      </c>
      <c r="S2824" s="267">
        <v>41590.160000000003</v>
      </c>
      <c r="T2824" s="267">
        <v>44808.52</v>
      </c>
      <c r="U2824" s="268" t="s">
        <v>3945</v>
      </c>
      <c r="V2824" s="267" t="s">
        <v>944</v>
      </c>
    </row>
    <row r="2825" spans="1:22" hidden="1" x14ac:dyDescent="0.25">
      <c r="A2825" s="269">
        <v>43619</v>
      </c>
      <c r="B2825" s="270">
        <v>2019</v>
      </c>
      <c r="C2825" s="270">
        <v>2019</v>
      </c>
      <c r="D2825" s="270">
        <v>1</v>
      </c>
      <c r="E2825" s="270">
        <v>1</v>
      </c>
      <c r="F2825" s="270" t="s">
        <v>944</v>
      </c>
      <c r="G2825" s="270" t="s">
        <v>3926</v>
      </c>
      <c r="H2825" s="270" t="s">
        <v>7246</v>
      </c>
      <c r="I2825" s="270" t="s">
        <v>4197</v>
      </c>
      <c r="J2825" s="270" t="s">
        <v>3928</v>
      </c>
      <c r="K2825" s="270">
        <v>6812</v>
      </c>
      <c r="L2825" s="270">
        <v>220100</v>
      </c>
      <c r="M2825" s="270" t="s">
        <v>3943</v>
      </c>
      <c r="N2825" s="270" t="s">
        <v>3944</v>
      </c>
      <c r="O2825" s="270">
        <v>2197.16</v>
      </c>
      <c r="P2825" s="270" t="s">
        <v>3944</v>
      </c>
      <c r="Q2825" s="270" t="s">
        <v>3944</v>
      </c>
      <c r="R2825" s="270">
        <v>2197.16</v>
      </c>
      <c r="S2825" s="270">
        <v>37387.629999999997</v>
      </c>
      <c r="T2825" s="270">
        <v>39584.79</v>
      </c>
      <c r="U2825" s="271" t="s">
        <v>3945</v>
      </c>
      <c r="V2825" s="267" t="s">
        <v>944</v>
      </c>
    </row>
    <row r="2826" spans="1:22" hidden="1" x14ac:dyDescent="0.25">
      <c r="A2826" s="266">
        <v>43620</v>
      </c>
      <c r="B2826" s="267">
        <v>2019</v>
      </c>
      <c r="C2826" s="267">
        <v>2019</v>
      </c>
      <c r="D2826" s="267">
        <v>1</v>
      </c>
      <c r="E2826" s="267">
        <v>1</v>
      </c>
      <c r="F2826" s="267" t="s">
        <v>944</v>
      </c>
      <c r="G2826" s="267" t="s">
        <v>3926</v>
      </c>
      <c r="H2826" s="267" t="s">
        <v>7247</v>
      </c>
      <c r="I2826" s="267" t="s">
        <v>2987</v>
      </c>
      <c r="J2826" s="267" t="s">
        <v>3928</v>
      </c>
      <c r="K2826" s="267">
        <v>6611</v>
      </c>
      <c r="L2826" s="267">
        <v>90300</v>
      </c>
      <c r="M2826" s="267" t="s">
        <v>3943</v>
      </c>
      <c r="N2826" s="267" t="s">
        <v>7248</v>
      </c>
      <c r="O2826" s="267">
        <v>0</v>
      </c>
      <c r="P2826" s="267" t="s">
        <v>3930</v>
      </c>
      <c r="Q2826" s="267" t="s">
        <v>3930</v>
      </c>
      <c r="R2826" s="267">
        <v>0</v>
      </c>
      <c r="S2826" s="267">
        <v>19137.88</v>
      </c>
      <c r="T2826" s="267">
        <v>19137.88</v>
      </c>
      <c r="U2826" s="268" t="s">
        <v>3937</v>
      </c>
      <c r="V2826" s="267" t="s">
        <v>944</v>
      </c>
    </row>
    <row r="2827" spans="1:22" hidden="1" x14ac:dyDescent="0.25">
      <c r="A2827" s="269">
        <v>43620</v>
      </c>
      <c r="B2827" s="270">
        <v>2019</v>
      </c>
      <c r="C2827" s="270">
        <v>2019</v>
      </c>
      <c r="D2827" s="270">
        <v>1</v>
      </c>
      <c r="E2827" s="270">
        <v>1</v>
      </c>
      <c r="F2827" s="270" t="s">
        <v>944</v>
      </c>
      <c r="G2827" s="270" t="s">
        <v>3926</v>
      </c>
      <c r="H2827" s="270" t="s">
        <v>7249</v>
      </c>
      <c r="I2827" s="270" t="s">
        <v>3962</v>
      </c>
      <c r="J2827" s="270" t="s">
        <v>3928</v>
      </c>
      <c r="K2827" s="270">
        <v>6355</v>
      </c>
      <c r="L2827" s="270">
        <v>703000</v>
      </c>
      <c r="M2827" s="270" t="s">
        <v>3960</v>
      </c>
      <c r="N2827" s="270" t="s">
        <v>7250</v>
      </c>
      <c r="O2827" s="270">
        <v>0</v>
      </c>
      <c r="P2827" s="270" t="s">
        <v>3930</v>
      </c>
      <c r="Q2827" s="270" t="s">
        <v>3930</v>
      </c>
      <c r="R2827" s="270">
        <v>0</v>
      </c>
      <c r="S2827" s="270">
        <v>2020.65</v>
      </c>
      <c r="T2827" s="270">
        <v>2020.65</v>
      </c>
      <c r="U2827" s="271" t="s">
        <v>3937</v>
      </c>
      <c r="V2827" s="267" t="s">
        <v>944</v>
      </c>
    </row>
    <row r="2828" spans="1:22" hidden="1" x14ac:dyDescent="0.25">
      <c r="A2828" s="266">
        <v>43620</v>
      </c>
      <c r="B2828" s="267">
        <v>2019</v>
      </c>
      <c r="C2828" s="267">
        <v>2019</v>
      </c>
      <c r="D2828" s="267">
        <v>1</v>
      </c>
      <c r="E2828" s="267">
        <v>1</v>
      </c>
      <c r="F2828" s="267" t="s">
        <v>944</v>
      </c>
      <c r="G2828" s="267" t="s">
        <v>3926</v>
      </c>
      <c r="H2828" s="267" t="s">
        <v>7251</v>
      </c>
      <c r="I2828" s="267" t="s">
        <v>4111</v>
      </c>
      <c r="J2828" s="267" t="s">
        <v>3928</v>
      </c>
      <c r="K2828" s="267">
        <v>6095</v>
      </c>
      <c r="L2828" s="267">
        <v>473501</v>
      </c>
      <c r="M2828" s="267" t="s">
        <v>3943</v>
      </c>
      <c r="N2828" s="267" t="s">
        <v>7252</v>
      </c>
      <c r="O2828" s="267">
        <v>0</v>
      </c>
      <c r="P2828" s="267" t="s">
        <v>3930</v>
      </c>
      <c r="Q2828" s="267" t="s">
        <v>3930</v>
      </c>
      <c r="R2828" s="267">
        <v>0</v>
      </c>
      <c r="S2828" s="267">
        <v>7114</v>
      </c>
      <c r="T2828" s="267">
        <v>7114</v>
      </c>
      <c r="U2828" s="268" t="s">
        <v>3937</v>
      </c>
      <c r="V2828" s="267" t="s">
        <v>944</v>
      </c>
    </row>
    <row r="2829" spans="1:22" hidden="1" x14ac:dyDescent="0.25">
      <c r="A2829" s="269">
        <v>43620</v>
      </c>
      <c r="B2829" s="270">
        <v>2019</v>
      </c>
      <c r="C2829" s="270">
        <v>2019</v>
      </c>
      <c r="D2829" s="270">
        <v>1</v>
      </c>
      <c r="E2829" s="270">
        <v>1</v>
      </c>
      <c r="F2829" s="270" t="s">
        <v>944</v>
      </c>
      <c r="G2829" s="270" t="s">
        <v>3926</v>
      </c>
      <c r="H2829" s="270" t="s">
        <v>7253</v>
      </c>
      <c r="I2829" s="270" t="s">
        <v>3008</v>
      </c>
      <c r="J2829" s="270" t="s">
        <v>3928</v>
      </c>
      <c r="K2829" s="270">
        <v>6460</v>
      </c>
      <c r="L2829" s="270">
        <v>151100</v>
      </c>
      <c r="M2829" s="270" t="s">
        <v>3960</v>
      </c>
      <c r="N2829" s="270" t="s">
        <v>7254</v>
      </c>
      <c r="O2829" s="270">
        <v>0</v>
      </c>
      <c r="P2829" s="270" t="s">
        <v>3930</v>
      </c>
      <c r="Q2829" s="270" t="s">
        <v>3930</v>
      </c>
      <c r="R2829" s="270">
        <v>0</v>
      </c>
      <c r="S2829" s="270">
        <v>6872</v>
      </c>
      <c r="T2829" s="270">
        <v>6872</v>
      </c>
      <c r="U2829" s="271" t="s">
        <v>3937</v>
      </c>
      <c r="V2829" s="267" t="s">
        <v>944</v>
      </c>
    </row>
    <row r="2830" spans="1:22" hidden="1" x14ac:dyDescent="0.25">
      <c r="A2830" s="266">
        <v>43620</v>
      </c>
      <c r="B2830" s="267">
        <v>2019</v>
      </c>
      <c r="C2830" s="267">
        <v>2019</v>
      </c>
      <c r="D2830" s="267">
        <v>1</v>
      </c>
      <c r="E2830" s="267">
        <v>1</v>
      </c>
      <c r="F2830" s="267" t="s">
        <v>944</v>
      </c>
      <c r="G2830" s="267" t="s">
        <v>3926</v>
      </c>
      <c r="H2830" s="267" t="s">
        <v>7255</v>
      </c>
      <c r="I2830" s="267" t="s">
        <v>956</v>
      </c>
      <c r="J2830" s="267" t="s">
        <v>3928</v>
      </c>
      <c r="K2830" s="267">
        <v>6614</v>
      </c>
      <c r="L2830" s="267">
        <v>81200</v>
      </c>
      <c r="M2830" s="267" t="s">
        <v>3943</v>
      </c>
      <c r="N2830" s="267" t="s">
        <v>7256</v>
      </c>
      <c r="O2830" s="267">
        <v>5116</v>
      </c>
      <c r="P2830" s="267" t="s">
        <v>3930</v>
      </c>
      <c r="Q2830" s="267" t="s">
        <v>3930</v>
      </c>
      <c r="R2830" s="267">
        <v>5116</v>
      </c>
      <c r="S2830" s="267">
        <v>27734</v>
      </c>
      <c r="T2830" s="267">
        <v>32850</v>
      </c>
      <c r="U2830" s="268" t="s">
        <v>3937</v>
      </c>
      <c r="V2830" s="267" t="s">
        <v>944</v>
      </c>
    </row>
    <row r="2831" spans="1:22" hidden="1" x14ac:dyDescent="0.25">
      <c r="A2831" s="269">
        <v>43620</v>
      </c>
      <c r="B2831" s="270">
        <v>2019</v>
      </c>
      <c r="C2831" s="270">
        <v>2019</v>
      </c>
      <c r="D2831" s="270">
        <v>1</v>
      </c>
      <c r="E2831" s="270">
        <v>1</v>
      </c>
      <c r="F2831" s="270" t="s">
        <v>944</v>
      </c>
      <c r="G2831" s="270" t="s">
        <v>3926</v>
      </c>
      <c r="H2831" s="270" t="s">
        <v>7257</v>
      </c>
      <c r="I2831" s="270" t="s">
        <v>934</v>
      </c>
      <c r="J2831" s="270" t="s">
        <v>3928</v>
      </c>
      <c r="K2831" s="270">
        <v>6606</v>
      </c>
      <c r="L2831" s="270">
        <v>72800</v>
      </c>
      <c r="M2831" s="270" t="s">
        <v>3940</v>
      </c>
      <c r="N2831" s="270" t="s">
        <v>4103</v>
      </c>
      <c r="O2831" s="270">
        <v>4015.19</v>
      </c>
      <c r="P2831" s="270" t="s">
        <v>3930</v>
      </c>
      <c r="Q2831" s="270" t="s">
        <v>3931</v>
      </c>
      <c r="R2831" s="270">
        <v>9015.19</v>
      </c>
      <c r="S2831" s="270">
        <v>24145.599999999999</v>
      </c>
      <c r="T2831" s="270">
        <v>33160.79</v>
      </c>
      <c r="U2831" s="271" t="s">
        <v>3932</v>
      </c>
      <c r="V2831" s="267" t="s">
        <v>944</v>
      </c>
    </row>
    <row r="2832" spans="1:22" hidden="1" x14ac:dyDescent="0.25">
      <c r="A2832" s="266">
        <v>43620</v>
      </c>
      <c r="B2832" s="267">
        <v>2019</v>
      </c>
      <c r="C2832" s="267">
        <v>2019</v>
      </c>
      <c r="D2832" s="267">
        <v>1</v>
      </c>
      <c r="E2832" s="267">
        <v>1</v>
      </c>
      <c r="F2832" s="267" t="s">
        <v>944</v>
      </c>
      <c r="G2832" s="267" t="s">
        <v>3926</v>
      </c>
      <c r="H2832" s="267" t="s">
        <v>7258</v>
      </c>
      <c r="I2832" s="267" t="s">
        <v>3008</v>
      </c>
      <c r="J2832" s="267" t="s">
        <v>3928</v>
      </c>
      <c r="K2832" s="267">
        <v>6460</v>
      </c>
      <c r="L2832" s="267">
        <v>150100</v>
      </c>
      <c r="M2832" s="267" t="s">
        <v>3960</v>
      </c>
      <c r="N2832" s="267" t="s">
        <v>3944</v>
      </c>
      <c r="O2832" s="267">
        <v>5232</v>
      </c>
      <c r="P2832" s="267" t="s">
        <v>3944</v>
      </c>
      <c r="Q2832" s="267" t="s">
        <v>3944</v>
      </c>
      <c r="R2832" s="267">
        <v>5232</v>
      </c>
      <c r="S2832" s="267">
        <v>34432</v>
      </c>
      <c r="T2832" s="267">
        <v>39664</v>
      </c>
      <c r="U2832" s="268" t="s">
        <v>3945</v>
      </c>
      <c r="V2832" s="267" t="s">
        <v>944</v>
      </c>
    </row>
    <row r="2833" spans="1:22" hidden="1" x14ac:dyDescent="0.25">
      <c r="A2833" s="269">
        <v>43620</v>
      </c>
      <c r="B2833" s="270">
        <v>2019</v>
      </c>
      <c r="C2833" s="270">
        <v>2019</v>
      </c>
      <c r="D2833" s="270">
        <v>1</v>
      </c>
      <c r="E2833" s="270">
        <v>1</v>
      </c>
      <c r="F2833" s="270" t="s">
        <v>944</v>
      </c>
      <c r="G2833" s="270" t="s">
        <v>3926</v>
      </c>
      <c r="H2833" s="270" t="s">
        <v>7259</v>
      </c>
      <c r="I2833" s="270" t="s">
        <v>5032</v>
      </c>
      <c r="J2833" s="270" t="s">
        <v>3928</v>
      </c>
      <c r="K2833" s="270">
        <v>6062</v>
      </c>
      <c r="L2833" s="270">
        <v>420500</v>
      </c>
      <c r="M2833" s="270" t="s">
        <v>3940</v>
      </c>
      <c r="N2833" s="270" t="s">
        <v>3944</v>
      </c>
      <c r="O2833" s="270">
        <v>2929</v>
      </c>
      <c r="P2833" s="270" t="s">
        <v>3944</v>
      </c>
      <c r="Q2833" s="270" t="s">
        <v>3944</v>
      </c>
      <c r="R2833" s="270">
        <v>2929</v>
      </c>
      <c r="S2833" s="270">
        <v>19388.75</v>
      </c>
      <c r="T2833" s="270">
        <v>22317.75</v>
      </c>
      <c r="U2833" s="271" t="s">
        <v>3945</v>
      </c>
      <c r="V2833" s="267" t="s">
        <v>944</v>
      </c>
    </row>
    <row r="2834" spans="1:22" x14ac:dyDescent="0.25">
      <c r="A2834" s="266">
        <v>43620</v>
      </c>
      <c r="B2834" s="267">
        <v>2019</v>
      </c>
      <c r="C2834" s="267">
        <v>2019</v>
      </c>
      <c r="D2834" s="267">
        <v>1</v>
      </c>
      <c r="E2834" s="267">
        <v>1</v>
      </c>
      <c r="F2834" s="267" t="s">
        <v>944</v>
      </c>
      <c r="G2834" s="267" t="s">
        <v>3926</v>
      </c>
      <c r="H2834" s="267" t="s">
        <v>7260</v>
      </c>
      <c r="I2834" s="267" t="s">
        <v>934</v>
      </c>
      <c r="J2834" s="267" t="s">
        <v>3928</v>
      </c>
      <c r="K2834" s="267">
        <v>6610</v>
      </c>
      <c r="L2834" s="267">
        <v>73100</v>
      </c>
      <c r="M2834" s="267">
        <v>-60</v>
      </c>
      <c r="N2834" s="267" t="s">
        <v>3944</v>
      </c>
      <c r="O2834" s="267">
        <v>3191</v>
      </c>
      <c r="P2834" s="267" t="s">
        <v>3944</v>
      </c>
      <c r="Q2834" s="267" t="s">
        <v>3944</v>
      </c>
      <c r="R2834" s="267">
        <v>3191</v>
      </c>
      <c r="S2834" s="267">
        <v>44616.4</v>
      </c>
      <c r="T2834" s="267">
        <v>47807.4</v>
      </c>
      <c r="U2834" s="268" t="s">
        <v>3945</v>
      </c>
      <c r="V2834" s="276" t="s">
        <v>936</v>
      </c>
    </row>
    <row r="2835" spans="1:22" hidden="1" x14ac:dyDescent="0.25">
      <c r="A2835" s="269">
        <v>43620</v>
      </c>
      <c r="B2835" s="270">
        <v>2019</v>
      </c>
      <c r="C2835" s="270">
        <v>2019</v>
      </c>
      <c r="D2835" s="270">
        <v>1</v>
      </c>
      <c r="E2835" s="270">
        <v>1</v>
      </c>
      <c r="F2835" s="270" t="s">
        <v>944</v>
      </c>
      <c r="G2835" s="270" t="s">
        <v>3926</v>
      </c>
      <c r="H2835" s="270" t="s">
        <v>7261</v>
      </c>
      <c r="I2835" s="270" t="s">
        <v>3010</v>
      </c>
      <c r="J2835" s="270" t="s">
        <v>3928</v>
      </c>
      <c r="K2835" s="270">
        <v>6401</v>
      </c>
      <c r="L2835" s="270">
        <v>125100</v>
      </c>
      <c r="M2835" s="270" t="s">
        <v>3960</v>
      </c>
      <c r="N2835" s="270" t="s">
        <v>3944</v>
      </c>
      <c r="O2835" s="270">
        <v>2007.81</v>
      </c>
      <c r="P2835" s="270" t="s">
        <v>3944</v>
      </c>
      <c r="Q2835" s="270" t="s">
        <v>3944</v>
      </c>
      <c r="R2835" s="270">
        <v>2007.81</v>
      </c>
      <c r="S2835" s="270">
        <v>30159.99</v>
      </c>
      <c r="T2835" s="270">
        <v>32167.8</v>
      </c>
      <c r="U2835" s="271" t="s">
        <v>3945</v>
      </c>
      <c r="V2835" s="267" t="s">
        <v>944</v>
      </c>
    </row>
    <row r="2836" spans="1:22" hidden="1" x14ac:dyDescent="0.25">
      <c r="A2836" s="266">
        <v>43620</v>
      </c>
      <c r="B2836" s="267">
        <v>2019</v>
      </c>
      <c r="C2836" s="267">
        <v>2019</v>
      </c>
      <c r="D2836" s="267">
        <v>1</v>
      </c>
      <c r="E2836" s="267">
        <v>1</v>
      </c>
      <c r="F2836" s="267" t="s">
        <v>944</v>
      </c>
      <c r="G2836" s="267" t="s">
        <v>3926</v>
      </c>
      <c r="H2836" s="267" t="s">
        <v>7262</v>
      </c>
      <c r="I2836" s="267" t="s">
        <v>4699</v>
      </c>
      <c r="J2836" s="267" t="s">
        <v>3928</v>
      </c>
      <c r="K2836" s="267">
        <v>6377</v>
      </c>
      <c r="L2836" s="267">
        <v>908100</v>
      </c>
      <c r="M2836" s="267" t="s">
        <v>3935</v>
      </c>
      <c r="N2836" s="267" t="s">
        <v>3944</v>
      </c>
      <c r="O2836" s="267">
        <v>1991.64</v>
      </c>
      <c r="P2836" s="267" t="s">
        <v>3944</v>
      </c>
      <c r="Q2836" s="267" t="s">
        <v>3944</v>
      </c>
      <c r="R2836" s="267">
        <v>1991.64</v>
      </c>
      <c r="S2836" s="267">
        <v>28273.38</v>
      </c>
      <c r="T2836" s="267">
        <v>30265.02</v>
      </c>
      <c r="U2836" s="268" t="s">
        <v>3945</v>
      </c>
      <c r="V2836" s="267" t="s">
        <v>944</v>
      </c>
    </row>
    <row r="2837" spans="1:22" hidden="1" x14ac:dyDescent="0.25">
      <c r="A2837" s="269">
        <v>43620</v>
      </c>
      <c r="B2837" s="270">
        <v>2019</v>
      </c>
      <c r="C2837" s="270">
        <v>2019</v>
      </c>
      <c r="D2837" s="270">
        <v>1</v>
      </c>
      <c r="E2837" s="270">
        <v>1</v>
      </c>
      <c r="F2837" s="270" t="s">
        <v>944</v>
      </c>
      <c r="G2837" s="270" t="s">
        <v>3926</v>
      </c>
      <c r="H2837" s="270" t="s">
        <v>7263</v>
      </c>
      <c r="I2837" s="270" t="s">
        <v>956</v>
      </c>
      <c r="J2837" s="270" t="s">
        <v>3928</v>
      </c>
      <c r="K2837" s="270">
        <v>6614</v>
      </c>
      <c r="L2837" s="270">
        <v>80900</v>
      </c>
      <c r="M2837" s="270" t="s">
        <v>3960</v>
      </c>
      <c r="N2837" s="270" t="s">
        <v>3944</v>
      </c>
      <c r="O2837" s="270">
        <v>1295.18</v>
      </c>
      <c r="P2837" s="270" t="s">
        <v>3944</v>
      </c>
      <c r="Q2837" s="270" t="s">
        <v>3944</v>
      </c>
      <c r="R2837" s="270">
        <v>1295.18</v>
      </c>
      <c r="S2837" s="270">
        <v>19756.919999999998</v>
      </c>
      <c r="T2837" s="270">
        <v>21052.1</v>
      </c>
      <c r="U2837" s="271" t="s">
        <v>3945</v>
      </c>
      <c r="V2837" s="267" t="s">
        <v>944</v>
      </c>
    </row>
    <row r="2838" spans="1:22" hidden="1" x14ac:dyDescent="0.25">
      <c r="A2838" s="266">
        <v>43620</v>
      </c>
      <c r="B2838" s="267">
        <v>2019</v>
      </c>
      <c r="C2838" s="267">
        <v>2019</v>
      </c>
      <c r="D2838" s="267">
        <v>1</v>
      </c>
      <c r="E2838" s="267">
        <v>1</v>
      </c>
      <c r="F2838" s="267" t="s">
        <v>944</v>
      </c>
      <c r="G2838" s="267" t="s">
        <v>3926</v>
      </c>
      <c r="H2838" s="267" t="s">
        <v>7264</v>
      </c>
      <c r="I2838" s="267" t="s">
        <v>4172</v>
      </c>
      <c r="J2838" s="267" t="s">
        <v>3928</v>
      </c>
      <c r="K2838" s="267">
        <v>6786</v>
      </c>
      <c r="L2838" s="267">
        <v>425300</v>
      </c>
      <c r="M2838" s="267" t="s">
        <v>3960</v>
      </c>
      <c r="N2838" s="267" t="s">
        <v>3944</v>
      </c>
      <c r="O2838" s="267">
        <v>4253.4799999999996</v>
      </c>
      <c r="P2838" s="267" t="s">
        <v>3944</v>
      </c>
      <c r="Q2838" s="267" t="s">
        <v>3944</v>
      </c>
      <c r="R2838" s="267">
        <v>4253.4799999999996</v>
      </c>
      <c r="S2838" s="267">
        <v>56478.64</v>
      </c>
      <c r="T2838" s="267">
        <v>60732.12</v>
      </c>
      <c r="U2838" s="268" t="s">
        <v>3945</v>
      </c>
      <c r="V2838" s="267" t="s">
        <v>944</v>
      </c>
    </row>
    <row r="2839" spans="1:22" hidden="1" x14ac:dyDescent="0.25">
      <c r="A2839" s="269">
        <v>43620</v>
      </c>
      <c r="B2839" s="270">
        <v>2019</v>
      </c>
      <c r="C2839" s="270">
        <v>2019</v>
      </c>
      <c r="D2839" s="270">
        <v>1</v>
      </c>
      <c r="E2839" s="270">
        <v>1</v>
      </c>
      <c r="F2839" s="270" t="s">
        <v>944</v>
      </c>
      <c r="G2839" s="270" t="s">
        <v>3926</v>
      </c>
      <c r="H2839" s="270" t="s">
        <v>7265</v>
      </c>
      <c r="I2839" s="270" t="s">
        <v>4683</v>
      </c>
      <c r="J2839" s="270" t="s">
        <v>3928</v>
      </c>
      <c r="K2839" s="270">
        <v>6762</v>
      </c>
      <c r="L2839" s="270">
        <v>344100</v>
      </c>
      <c r="M2839" s="270" t="s">
        <v>3943</v>
      </c>
      <c r="N2839" s="270" t="s">
        <v>3944</v>
      </c>
      <c r="O2839" s="270">
        <v>3404.63</v>
      </c>
      <c r="P2839" s="270" t="s">
        <v>3944</v>
      </c>
      <c r="Q2839" s="270" t="s">
        <v>3944</v>
      </c>
      <c r="R2839" s="270">
        <v>3404.63</v>
      </c>
      <c r="S2839" s="270">
        <v>40515.370000000003</v>
      </c>
      <c r="T2839" s="270">
        <v>43920</v>
      </c>
      <c r="U2839" s="271" t="s">
        <v>3945</v>
      </c>
      <c r="V2839" s="267" t="s">
        <v>944</v>
      </c>
    </row>
    <row r="2840" spans="1:22" hidden="1" x14ac:dyDescent="0.25">
      <c r="A2840" s="266">
        <v>43620</v>
      </c>
      <c r="B2840" s="267">
        <v>2019</v>
      </c>
      <c r="C2840" s="267">
        <v>2019</v>
      </c>
      <c r="D2840" s="267">
        <v>1</v>
      </c>
      <c r="E2840" s="267">
        <v>1</v>
      </c>
      <c r="F2840" s="267" t="s">
        <v>944</v>
      </c>
      <c r="G2840" s="267" t="s">
        <v>3926</v>
      </c>
      <c r="H2840" s="267" t="s">
        <v>7266</v>
      </c>
      <c r="I2840" s="267" t="s">
        <v>3008</v>
      </c>
      <c r="J2840" s="267" t="s">
        <v>3928</v>
      </c>
      <c r="K2840" s="267">
        <v>6460</v>
      </c>
      <c r="L2840" s="267">
        <v>150900</v>
      </c>
      <c r="M2840" s="267" t="s">
        <v>3943</v>
      </c>
      <c r="N2840" s="267" t="s">
        <v>3944</v>
      </c>
      <c r="O2840" s="267">
        <v>1994.13</v>
      </c>
      <c r="P2840" s="267" t="s">
        <v>3944</v>
      </c>
      <c r="Q2840" s="267" t="s">
        <v>3944</v>
      </c>
      <c r="R2840" s="267">
        <v>1994.13</v>
      </c>
      <c r="S2840" s="267">
        <v>35140.870000000003</v>
      </c>
      <c r="T2840" s="267">
        <v>37135</v>
      </c>
      <c r="U2840" s="268" t="s">
        <v>3945</v>
      </c>
      <c r="V2840" s="267" t="s">
        <v>944</v>
      </c>
    </row>
    <row r="2841" spans="1:22" hidden="1" x14ac:dyDescent="0.25">
      <c r="A2841" s="269">
        <v>43620</v>
      </c>
      <c r="B2841" s="270">
        <v>2019</v>
      </c>
      <c r="C2841" s="270">
        <v>2019</v>
      </c>
      <c r="D2841" s="270">
        <v>1</v>
      </c>
      <c r="E2841" s="270">
        <v>1</v>
      </c>
      <c r="F2841" s="270" t="s">
        <v>944</v>
      </c>
      <c r="G2841" s="270" t="s">
        <v>3926</v>
      </c>
      <c r="H2841" s="270" t="s">
        <v>7267</v>
      </c>
      <c r="I2841" s="270" t="s">
        <v>943</v>
      </c>
      <c r="J2841" s="270" t="s">
        <v>3928</v>
      </c>
      <c r="K2841" s="270">
        <v>6512</v>
      </c>
      <c r="L2841" s="270">
        <v>142800</v>
      </c>
      <c r="M2841" s="270" t="s">
        <v>3940</v>
      </c>
      <c r="N2841" s="270" t="s">
        <v>3944</v>
      </c>
      <c r="O2841" s="270">
        <v>1263.68</v>
      </c>
      <c r="P2841" s="270" t="s">
        <v>3944</v>
      </c>
      <c r="Q2841" s="270" t="s">
        <v>3944</v>
      </c>
      <c r="R2841" s="270">
        <v>1263.68</v>
      </c>
      <c r="S2841" s="270">
        <v>31120.44</v>
      </c>
      <c r="T2841" s="270">
        <v>32384.12</v>
      </c>
      <c r="U2841" s="271" t="s">
        <v>3945</v>
      </c>
      <c r="V2841" s="267" t="s">
        <v>944</v>
      </c>
    </row>
    <row r="2842" spans="1:22" hidden="1" x14ac:dyDescent="0.25">
      <c r="A2842" s="266">
        <v>43620</v>
      </c>
      <c r="B2842" s="267">
        <v>2019</v>
      </c>
      <c r="C2842" s="267">
        <v>2019</v>
      </c>
      <c r="D2842" s="267">
        <v>1</v>
      </c>
      <c r="E2842" s="267">
        <v>1</v>
      </c>
      <c r="F2842" s="267" t="s">
        <v>944</v>
      </c>
      <c r="G2842" s="267" t="s">
        <v>3926</v>
      </c>
      <c r="H2842" s="267" t="s">
        <v>7268</v>
      </c>
      <c r="I2842" s="267" t="s">
        <v>4016</v>
      </c>
      <c r="J2842" s="267" t="s">
        <v>3928</v>
      </c>
      <c r="K2842" s="267">
        <v>6770</v>
      </c>
      <c r="L2842" s="267">
        <v>345400</v>
      </c>
      <c r="M2842" s="267" t="s">
        <v>3935</v>
      </c>
      <c r="N2842" s="267" t="s">
        <v>3944</v>
      </c>
      <c r="O2842" s="267">
        <v>2481.71</v>
      </c>
      <c r="P2842" s="267" t="s">
        <v>3944</v>
      </c>
      <c r="Q2842" s="267" t="s">
        <v>3944</v>
      </c>
      <c r="R2842" s="267">
        <v>2481.71</v>
      </c>
      <c r="S2842" s="267">
        <v>46802.29</v>
      </c>
      <c r="T2842" s="267">
        <v>49284</v>
      </c>
      <c r="U2842" s="268" t="s">
        <v>3945</v>
      </c>
      <c r="V2842" s="267" t="s">
        <v>944</v>
      </c>
    </row>
    <row r="2843" spans="1:22" hidden="1" x14ac:dyDescent="0.25">
      <c r="A2843" s="269">
        <v>43620</v>
      </c>
      <c r="B2843" s="270">
        <v>2019</v>
      </c>
      <c r="C2843" s="270">
        <v>2019</v>
      </c>
      <c r="D2843" s="270">
        <v>1</v>
      </c>
      <c r="E2843" s="270">
        <v>1</v>
      </c>
      <c r="F2843" s="270" t="s">
        <v>944</v>
      </c>
      <c r="G2843" s="270" t="s">
        <v>3926</v>
      </c>
      <c r="H2843" s="270" t="s">
        <v>7269</v>
      </c>
      <c r="I2843" s="270" t="s">
        <v>950</v>
      </c>
      <c r="J2843" s="270" t="s">
        <v>3928</v>
      </c>
      <c r="K2843" s="270">
        <v>6516</v>
      </c>
      <c r="L2843" s="270">
        <v>154100</v>
      </c>
      <c r="M2843" s="270" t="s">
        <v>3940</v>
      </c>
      <c r="N2843" s="270" t="s">
        <v>3944</v>
      </c>
      <c r="O2843" s="270">
        <v>1887.73</v>
      </c>
      <c r="P2843" s="270" t="s">
        <v>3944</v>
      </c>
      <c r="Q2843" s="270" t="s">
        <v>3944</v>
      </c>
      <c r="R2843" s="270">
        <v>1887.73</v>
      </c>
      <c r="S2843" s="270">
        <v>29530.58</v>
      </c>
      <c r="T2843" s="270">
        <v>31418.31</v>
      </c>
      <c r="U2843" s="271" t="s">
        <v>3945</v>
      </c>
      <c r="V2843" s="267" t="s">
        <v>944</v>
      </c>
    </row>
    <row r="2844" spans="1:22" hidden="1" x14ac:dyDescent="0.25">
      <c r="A2844" s="266">
        <v>43620</v>
      </c>
      <c r="B2844" s="267">
        <v>2019</v>
      </c>
      <c r="C2844" s="267">
        <v>2019</v>
      </c>
      <c r="D2844" s="267">
        <v>1</v>
      </c>
      <c r="E2844" s="267">
        <v>1</v>
      </c>
      <c r="F2844" s="267" t="s">
        <v>944</v>
      </c>
      <c r="G2844" s="267" t="s">
        <v>3926</v>
      </c>
      <c r="H2844" s="267" t="s">
        <v>7270</v>
      </c>
      <c r="I2844" s="267" t="s">
        <v>4019</v>
      </c>
      <c r="J2844" s="267" t="s">
        <v>3928</v>
      </c>
      <c r="K2844" s="267">
        <v>6708</v>
      </c>
      <c r="L2844" s="267">
        <v>352000</v>
      </c>
      <c r="M2844" s="267" t="s">
        <v>3935</v>
      </c>
      <c r="N2844" s="267" t="s">
        <v>3944</v>
      </c>
      <c r="O2844" s="267">
        <v>2138.4699999999998</v>
      </c>
      <c r="P2844" s="267" t="s">
        <v>3944</v>
      </c>
      <c r="Q2844" s="267" t="s">
        <v>3944</v>
      </c>
      <c r="R2844" s="267">
        <v>2138.4699999999998</v>
      </c>
      <c r="S2844" s="267">
        <v>32607.35</v>
      </c>
      <c r="T2844" s="267">
        <v>34745.82</v>
      </c>
      <c r="U2844" s="268" t="s">
        <v>3945</v>
      </c>
      <c r="V2844" s="267" t="s">
        <v>944</v>
      </c>
    </row>
    <row r="2845" spans="1:22" hidden="1" x14ac:dyDescent="0.25">
      <c r="A2845" s="269">
        <v>43620</v>
      </c>
      <c r="B2845" s="270">
        <v>2019</v>
      </c>
      <c r="C2845" s="270">
        <v>2019</v>
      </c>
      <c r="D2845" s="270">
        <v>1</v>
      </c>
      <c r="E2845" s="270">
        <v>1</v>
      </c>
      <c r="F2845" s="270" t="s">
        <v>944</v>
      </c>
      <c r="G2845" s="270" t="s">
        <v>3926</v>
      </c>
      <c r="H2845" s="270" t="s">
        <v>7271</v>
      </c>
      <c r="I2845" s="270" t="s">
        <v>4695</v>
      </c>
      <c r="J2845" s="270" t="s">
        <v>3928</v>
      </c>
      <c r="K2845" s="270">
        <v>6234</v>
      </c>
      <c r="L2845" s="270">
        <v>905100</v>
      </c>
      <c r="M2845" s="270" t="s">
        <v>3935</v>
      </c>
      <c r="N2845" s="270" t="s">
        <v>3944</v>
      </c>
      <c r="O2845" s="270">
        <v>2125.1999999999998</v>
      </c>
      <c r="P2845" s="270" t="s">
        <v>3944</v>
      </c>
      <c r="Q2845" s="270" t="s">
        <v>3944</v>
      </c>
      <c r="R2845" s="270">
        <v>2125.1999999999998</v>
      </c>
      <c r="S2845" s="270">
        <v>28397.98</v>
      </c>
      <c r="T2845" s="270">
        <v>30523.18</v>
      </c>
      <c r="U2845" s="271" t="s">
        <v>3945</v>
      </c>
      <c r="V2845" s="267" t="s">
        <v>944</v>
      </c>
    </row>
    <row r="2846" spans="1:22" hidden="1" x14ac:dyDescent="0.25">
      <c r="A2846" s="266">
        <v>43620</v>
      </c>
      <c r="B2846" s="267">
        <v>2019</v>
      </c>
      <c r="C2846" s="267">
        <v>2019</v>
      </c>
      <c r="D2846" s="267">
        <v>1</v>
      </c>
      <c r="E2846" s="267">
        <v>1</v>
      </c>
      <c r="F2846" s="267" t="s">
        <v>944</v>
      </c>
      <c r="G2846" s="267" t="s">
        <v>3926</v>
      </c>
      <c r="H2846" s="267" t="s">
        <v>7272</v>
      </c>
      <c r="I2846" s="267" t="s">
        <v>956</v>
      </c>
      <c r="J2846" s="267" t="s">
        <v>3928</v>
      </c>
      <c r="K2846" s="267">
        <v>6615</v>
      </c>
      <c r="L2846" s="267">
        <v>80400</v>
      </c>
      <c r="M2846" s="267" t="s">
        <v>3940</v>
      </c>
      <c r="N2846" s="267" t="s">
        <v>3944</v>
      </c>
      <c r="O2846" s="267">
        <v>2223.69</v>
      </c>
      <c r="P2846" s="267" t="s">
        <v>3944</v>
      </c>
      <c r="Q2846" s="267" t="s">
        <v>3944</v>
      </c>
      <c r="R2846" s="267">
        <v>2223.69</v>
      </c>
      <c r="S2846" s="267">
        <v>26727.02</v>
      </c>
      <c r="T2846" s="267">
        <v>28950.71</v>
      </c>
      <c r="U2846" s="268" t="s">
        <v>3945</v>
      </c>
      <c r="V2846" s="267" t="s">
        <v>944</v>
      </c>
    </row>
    <row r="2847" spans="1:22" hidden="1" x14ac:dyDescent="0.25">
      <c r="A2847" s="269">
        <v>43620</v>
      </c>
      <c r="B2847" s="270">
        <v>2019</v>
      </c>
      <c r="C2847" s="270">
        <v>2019</v>
      </c>
      <c r="D2847" s="270">
        <v>1</v>
      </c>
      <c r="E2847" s="270">
        <v>1</v>
      </c>
      <c r="F2847" s="270" t="s">
        <v>944</v>
      </c>
      <c r="G2847" s="270" t="s">
        <v>3926</v>
      </c>
      <c r="H2847" s="270" t="s">
        <v>7273</v>
      </c>
      <c r="I2847" s="270" t="s">
        <v>953</v>
      </c>
      <c r="J2847" s="270" t="s">
        <v>3928</v>
      </c>
      <c r="K2847" s="270">
        <v>6517</v>
      </c>
      <c r="L2847" s="270">
        <v>165100</v>
      </c>
      <c r="M2847" s="270" t="s">
        <v>3935</v>
      </c>
      <c r="N2847" s="270" t="s">
        <v>3944</v>
      </c>
      <c r="O2847" s="270">
        <v>1680.11</v>
      </c>
      <c r="P2847" s="270" t="s">
        <v>3944</v>
      </c>
      <c r="Q2847" s="270" t="s">
        <v>3944</v>
      </c>
      <c r="R2847" s="270">
        <v>1680.11</v>
      </c>
      <c r="S2847" s="270">
        <v>26365.98</v>
      </c>
      <c r="T2847" s="270">
        <v>28046.09</v>
      </c>
      <c r="U2847" s="271" t="s">
        <v>3945</v>
      </c>
      <c r="V2847" s="267" t="s">
        <v>944</v>
      </c>
    </row>
    <row r="2848" spans="1:22" hidden="1" x14ac:dyDescent="0.25">
      <c r="A2848" s="266">
        <v>43620</v>
      </c>
      <c r="B2848" s="267">
        <v>2019</v>
      </c>
      <c r="C2848" s="267">
        <v>2019</v>
      </c>
      <c r="D2848" s="267">
        <v>1</v>
      </c>
      <c r="E2848" s="267">
        <v>1</v>
      </c>
      <c r="F2848" s="267" t="s">
        <v>944</v>
      </c>
      <c r="G2848" s="267" t="s">
        <v>3926</v>
      </c>
      <c r="H2848" s="267" t="s">
        <v>7274</v>
      </c>
      <c r="I2848" s="267" t="s">
        <v>3008</v>
      </c>
      <c r="J2848" s="267" t="s">
        <v>3928</v>
      </c>
      <c r="K2848" s="267">
        <v>6460</v>
      </c>
      <c r="L2848" s="267">
        <v>151000</v>
      </c>
      <c r="M2848" s="267" t="s">
        <v>3960</v>
      </c>
      <c r="N2848" s="267" t="s">
        <v>3944</v>
      </c>
      <c r="O2848" s="267">
        <v>1252.06</v>
      </c>
      <c r="P2848" s="267" t="s">
        <v>3944</v>
      </c>
      <c r="Q2848" s="267" t="s">
        <v>3944</v>
      </c>
      <c r="R2848" s="267">
        <v>1252.06</v>
      </c>
      <c r="S2848" s="267">
        <v>16828.939999999999</v>
      </c>
      <c r="T2848" s="267">
        <v>18081</v>
      </c>
      <c r="U2848" s="268" t="s">
        <v>3945</v>
      </c>
      <c r="V2848" s="267" t="s">
        <v>944</v>
      </c>
    </row>
    <row r="2849" spans="1:22" hidden="1" x14ac:dyDescent="0.25">
      <c r="A2849" s="269">
        <v>43620</v>
      </c>
      <c r="B2849" s="270">
        <v>2019</v>
      </c>
      <c r="C2849" s="270">
        <v>2019</v>
      </c>
      <c r="D2849" s="270">
        <v>1</v>
      </c>
      <c r="E2849" s="270">
        <v>1</v>
      </c>
      <c r="F2849" s="270" t="s">
        <v>944</v>
      </c>
      <c r="G2849" s="270" t="s">
        <v>3926</v>
      </c>
      <c r="H2849" s="270" t="s">
        <v>7275</v>
      </c>
      <c r="I2849" s="270" t="s">
        <v>3008</v>
      </c>
      <c r="J2849" s="270" t="s">
        <v>3928</v>
      </c>
      <c r="K2849" s="270">
        <v>6460</v>
      </c>
      <c r="L2849" s="270">
        <v>151000</v>
      </c>
      <c r="M2849" s="270" t="s">
        <v>3960</v>
      </c>
      <c r="N2849" s="270" t="s">
        <v>3944</v>
      </c>
      <c r="O2849" s="270">
        <v>1023.72</v>
      </c>
      <c r="P2849" s="270" t="s">
        <v>3944</v>
      </c>
      <c r="Q2849" s="270" t="s">
        <v>3944</v>
      </c>
      <c r="R2849" s="270">
        <v>1023.72</v>
      </c>
      <c r="S2849" s="270">
        <v>14548.97</v>
      </c>
      <c r="T2849" s="270">
        <v>15572.69</v>
      </c>
      <c r="U2849" s="271" t="s">
        <v>3945</v>
      </c>
      <c r="V2849" s="267" t="s">
        <v>944</v>
      </c>
    </row>
    <row r="2850" spans="1:22" hidden="1" x14ac:dyDescent="0.25">
      <c r="A2850" s="266">
        <v>43620</v>
      </c>
      <c r="B2850" s="267">
        <v>2019</v>
      </c>
      <c r="C2850" s="267">
        <v>2019</v>
      </c>
      <c r="D2850" s="267">
        <v>1</v>
      </c>
      <c r="E2850" s="267">
        <v>1</v>
      </c>
      <c r="F2850" s="267" t="s">
        <v>944</v>
      </c>
      <c r="G2850" s="267" t="s">
        <v>3926</v>
      </c>
      <c r="H2850" s="267" t="s">
        <v>7276</v>
      </c>
      <c r="I2850" s="267" t="s">
        <v>4699</v>
      </c>
      <c r="J2850" s="267" t="s">
        <v>3928</v>
      </c>
      <c r="K2850" s="267">
        <v>6377</v>
      </c>
      <c r="L2850" s="267">
        <v>908100</v>
      </c>
      <c r="M2850" s="267" t="s">
        <v>3935</v>
      </c>
      <c r="N2850" s="267" t="s">
        <v>3944</v>
      </c>
      <c r="O2850" s="267">
        <v>1383.13</v>
      </c>
      <c r="P2850" s="267" t="s">
        <v>3944</v>
      </c>
      <c r="Q2850" s="267" t="s">
        <v>3944</v>
      </c>
      <c r="R2850" s="267">
        <v>1383.13</v>
      </c>
      <c r="S2850" s="267">
        <v>18301.95</v>
      </c>
      <c r="T2850" s="267">
        <v>19685.080000000002</v>
      </c>
      <c r="U2850" s="268" t="s">
        <v>3945</v>
      </c>
      <c r="V2850" s="267" t="s">
        <v>944</v>
      </c>
    </row>
    <row r="2851" spans="1:22" hidden="1" x14ac:dyDescent="0.25">
      <c r="A2851" s="269">
        <v>43620</v>
      </c>
      <c r="B2851" s="270">
        <v>2019</v>
      </c>
      <c r="C2851" s="270">
        <v>2019</v>
      </c>
      <c r="D2851" s="270">
        <v>1</v>
      </c>
      <c r="E2851" s="270">
        <v>1</v>
      </c>
      <c r="F2851" s="270" t="s">
        <v>944</v>
      </c>
      <c r="G2851" s="270" t="s">
        <v>3926</v>
      </c>
      <c r="H2851" s="270" t="s">
        <v>7277</v>
      </c>
      <c r="I2851" s="270" t="s">
        <v>3026</v>
      </c>
      <c r="J2851" s="270" t="s">
        <v>3928</v>
      </c>
      <c r="K2851" s="270">
        <v>6471</v>
      </c>
      <c r="L2851" s="270">
        <v>186100</v>
      </c>
      <c r="M2851" s="270" t="s">
        <v>3935</v>
      </c>
      <c r="N2851" s="270" t="s">
        <v>3944</v>
      </c>
      <c r="O2851" s="270">
        <v>2180.36</v>
      </c>
      <c r="P2851" s="270" t="s">
        <v>3944</v>
      </c>
      <c r="Q2851" s="270" t="s">
        <v>3944</v>
      </c>
      <c r="R2851" s="270">
        <v>2180.36</v>
      </c>
      <c r="S2851" s="270">
        <v>33792.230000000003</v>
      </c>
      <c r="T2851" s="270">
        <v>35972.589999999997</v>
      </c>
      <c r="U2851" s="271" t="s">
        <v>3945</v>
      </c>
      <c r="V2851" s="267" t="s">
        <v>944</v>
      </c>
    </row>
    <row r="2852" spans="1:22" hidden="1" x14ac:dyDescent="0.25">
      <c r="A2852" s="266">
        <v>43620</v>
      </c>
      <c r="B2852" s="267">
        <v>2019</v>
      </c>
      <c r="C2852" s="267">
        <v>2019</v>
      </c>
      <c r="D2852" s="267">
        <v>1</v>
      </c>
      <c r="E2852" s="267">
        <v>1</v>
      </c>
      <c r="F2852" s="267" t="s">
        <v>944</v>
      </c>
      <c r="G2852" s="267" t="s">
        <v>3926</v>
      </c>
      <c r="H2852" s="267" t="s">
        <v>7278</v>
      </c>
      <c r="I2852" s="267" t="s">
        <v>956</v>
      </c>
      <c r="J2852" s="267" t="s">
        <v>3928</v>
      </c>
      <c r="K2852" s="267">
        <v>6614</v>
      </c>
      <c r="L2852" s="267">
        <v>80800</v>
      </c>
      <c r="M2852" s="267" t="s">
        <v>3960</v>
      </c>
      <c r="N2852" s="267" t="s">
        <v>3944</v>
      </c>
      <c r="O2852" s="267">
        <v>1148.3499999999999</v>
      </c>
      <c r="P2852" s="267" t="s">
        <v>3944</v>
      </c>
      <c r="Q2852" s="267" t="s">
        <v>3944</v>
      </c>
      <c r="R2852" s="267">
        <v>1148.3499999999999</v>
      </c>
      <c r="S2852" s="267">
        <v>17298.78</v>
      </c>
      <c r="T2852" s="267">
        <v>18447.13</v>
      </c>
      <c r="U2852" s="268" t="s">
        <v>3945</v>
      </c>
      <c r="V2852" s="267" t="s">
        <v>944</v>
      </c>
    </row>
    <row r="2853" spans="1:22" hidden="1" x14ac:dyDescent="0.25">
      <c r="A2853" s="269">
        <v>43620</v>
      </c>
      <c r="B2853" s="270">
        <v>2019</v>
      </c>
      <c r="C2853" s="270">
        <v>2019</v>
      </c>
      <c r="D2853" s="270">
        <v>1</v>
      </c>
      <c r="E2853" s="270">
        <v>1</v>
      </c>
      <c r="F2853" s="270" t="s">
        <v>944</v>
      </c>
      <c r="G2853" s="270" t="s">
        <v>3926</v>
      </c>
      <c r="H2853" s="270" t="s">
        <v>7279</v>
      </c>
      <c r="I2853" s="270" t="s">
        <v>4699</v>
      </c>
      <c r="J2853" s="270" t="s">
        <v>3928</v>
      </c>
      <c r="K2853" s="270">
        <v>6377</v>
      </c>
      <c r="L2853" s="270">
        <v>908100</v>
      </c>
      <c r="M2853" s="270" t="s">
        <v>3935</v>
      </c>
      <c r="N2853" s="270" t="s">
        <v>3944</v>
      </c>
      <c r="O2853" s="270">
        <v>1654.59</v>
      </c>
      <c r="P2853" s="270" t="s">
        <v>3944</v>
      </c>
      <c r="Q2853" s="270" t="s">
        <v>3944</v>
      </c>
      <c r="R2853" s="270">
        <v>1654.59</v>
      </c>
      <c r="S2853" s="270">
        <v>24322.83</v>
      </c>
      <c r="T2853" s="270">
        <v>25977.42</v>
      </c>
      <c r="U2853" s="271" t="s">
        <v>3945</v>
      </c>
      <c r="V2853" s="267" t="s">
        <v>944</v>
      </c>
    </row>
    <row r="2854" spans="1:22" hidden="1" x14ac:dyDescent="0.25">
      <c r="A2854" s="266">
        <v>43620</v>
      </c>
      <c r="B2854" s="267">
        <v>2019</v>
      </c>
      <c r="C2854" s="267">
        <v>2019</v>
      </c>
      <c r="D2854" s="267">
        <v>1</v>
      </c>
      <c r="E2854" s="267">
        <v>1</v>
      </c>
      <c r="F2854" s="267" t="s">
        <v>944</v>
      </c>
      <c r="G2854" s="267" t="s">
        <v>3926</v>
      </c>
      <c r="H2854" s="267" t="s">
        <v>7280</v>
      </c>
      <c r="I2854" s="267" t="s">
        <v>5127</v>
      </c>
      <c r="J2854" s="267" t="s">
        <v>3928</v>
      </c>
      <c r="K2854" s="267">
        <v>6778</v>
      </c>
      <c r="L2854" s="267">
        <v>300500</v>
      </c>
      <c r="M2854" s="267" t="s">
        <v>3935</v>
      </c>
      <c r="N2854" s="267" t="s">
        <v>3944</v>
      </c>
      <c r="O2854" s="267">
        <v>1455.51</v>
      </c>
      <c r="P2854" s="267" t="s">
        <v>3944</v>
      </c>
      <c r="Q2854" s="267" t="s">
        <v>3944</v>
      </c>
      <c r="R2854" s="267">
        <v>1455.51</v>
      </c>
      <c r="S2854" s="267">
        <v>27637.17</v>
      </c>
      <c r="T2854" s="267">
        <v>29092.68</v>
      </c>
      <c r="U2854" s="268" t="s">
        <v>3945</v>
      </c>
      <c r="V2854" s="267" t="s">
        <v>944</v>
      </c>
    </row>
    <row r="2855" spans="1:22" hidden="1" x14ac:dyDescent="0.25">
      <c r="A2855" s="269">
        <v>43620</v>
      </c>
      <c r="B2855" s="270">
        <v>2019</v>
      </c>
      <c r="C2855" s="270">
        <v>2019</v>
      </c>
      <c r="D2855" s="270">
        <v>1</v>
      </c>
      <c r="E2855" s="270">
        <v>1</v>
      </c>
      <c r="F2855" s="270" t="s">
        <v>944</v>
      </c>
      <c r="G2855" s="270" t="s">
        <v>3926</v>
      </c>
      <c r="H2855" s="270" t="s">
        <v>7281</v>
      </c>
      <c r="I2855" s="270" t="s">
        <v>3966</v>
      </c>
      <c r="J2855" s="270" t="s">
        <v>3928</v>
      </c>
      <c r="K2855" s="270">
        <v>6010</v>
      </c>
      <c r="L2855" s="270">
        <v>405300</v>
      </c>
      <c r="M2855" s="270" t="s">
        <v>3940</v>
      </c>
      <c r="N2855" s="270" t="s">
        <v>3944</v>
      </c>
      <c r="O2855" s="270">
        <v>1836.91</v>
      </c>
      <c r="P2855" s="270" t="s">
        <v>3944</v>
      </c>
      <c r="Q2855" s="270" t="s">
        <v>3944</v>
      </c>
      <c r="R2855" s="270">
        <v>1836.91</v>
      </c>
      <c r="S2855" s="270">
        <v>25680.31</v>
      </c>
      <c r="T2855" s="270">
        <v>27517.22</v>
      </c>
      <c r="U2855" s="271" t="s">
        <v>3945</v>
      </c>
      <c r="V2855" s="267" t="s">
        <v>944</v>
      </c>
    </row>
    <row r="2856" spans="1:22" hidden="1" x14ac:dyDescent="0.25">
      <c r="A2856" s="266">
        <v>43620</v>
      </c>
      <c r="B2856" s="267">
        <v>2019</v>
      </c>
      <c r="C2856" s="267">
        <v>2019</v>
      </c>
      <c r="D2856" s="267">
        <v>1</v>
      </c>
      <c r="E2856" s="267">
        <v>1</v>
      </c>
      <c r="F2856" s="267" t="s">
        <v>944</v>
      </c>
      <c r="G2856" s="267" t="s">
        <v>3926</v>
      </c>
      <c r="H2856" s="267" t="s">
        <v>7282</v>
      </c>
      <c r="I2856" s="267" t="s">
        <v>3985</v>
      </c>
      <c r="J2856" s="267" t="s">
        <v>3928</v>
      </c>
      <c r="K2856" s="267">
        <v>6280</v>
      </c>
      <c r="L2856" s="267">
        <v>800500</v>
      </c>
      <c r="M2856" s="267" t="s">
        <v>3940</v>
      </c>
      <c r="N2856" s="267" t="s">
        <v>3944</v>
      </c>
      <c r="O2856" s="267">
        <v>2600.96</v>
      </c>
      <c r="P2856" s="267" t="s">
        <v>3944</v>
      </c>
      <c r="Q2856" s="267" t="s">
        <v>3944</v>
      </c>
      <c r="R2856" s="267">
        <v>2600.96</v>
      </c>
      <c r="S2856" s="267">
        <v>38068.49</v>
      </c>
      <c r="T2856" s="267">
        <v>40669.449999999997</v>
      </c>
      <c r="U2856" s="268" t="s">
        <v>3945</v>
      </c>
      <c r="V2856" s="267" t="s">
        <v>944</v>
      </c>
    </row>
    <row r="2857" spans="1:22" hidden="1" x14ac:dyDescent="0.25">
      <c r="A2857" s="269">
        <v>43620</v>
      </c>
      <c r="B2857" s="270">
        <v>2019</v>
      </c>
      <c r="C2857" s="270">
        <v>2019</v>
      </c>
      <c r="D2857" s="270">
        <v>1</v>
      </c>
      <c r="E2857" s="270">
        <v>1</v>
      </c>
      <c r="F2857" s="270" t="s">
        <v>944</v>
      </c>
      <c r="G2857" s="270" t="s">
        <v>3926</v>
      </c>
      <c r="H2857" s="270" t="s">
        <v>7283</v>
      </c>
      <c r="I2857" s="270" t="s">
        <v>4392</v>
      </c>
      <c r="J2857" s="270" t="s">
        <v>3928</v>
      </c>
      <c r="K2857" s="270">
        <v>6457</v>
      </c>
      <c r="L2857" s="270">
        <v>542200</v>
      </c>
      <c r="M2857" s="270" t="s">
        <v>3960</v>
      </c>
      <c r="N2857" s="270" t="s">
        <v>3944</v>
      </c>
      <c r="O2857" s="270">
        <v>2277.42</v>
      </c>
      <c r="P2857" s="270" t="s">
        <v>3944</v>
      </c>
      <c r="Q2857" s="270" t="s">
        <v>3944</v>
      </c>
      <c r="R2857" s="270">
        <v>2277.42</v>
      </c>
      <c r="S2857" s="270">
        <v>32388.26</v>
      </c>
      <c r="T2857" s="270">
        <v>34665.68</v>
      </c>
      <c r="U2857" s="271" t="s">
        <v>3945</v>
      </c>
      <c r="V2857" s="267" t="s">
        <v>944</v>
      </c>
    </row>
    <row r="2858" spans="1:22" hidden="1" x14ac:dyDescent="0.25">
      <c r="A2858" s="266">
        <v>43620</v>
      </c>
      <c r="B2858" s="267">
        <v>2019</v>
      </c>
      <c r="C2858" s="267">
        <v>2019</v>
      </c>
      <c r="D2858" s="267">
        <v>1</v>
      </c>
      <c r="E2858" s="267">
        <v>1</v>
      </c>
      <c r="F2858" s="267" t="s">
        <v>944</v>
      </c>
      <c r="G2858" s="267" t="s">
        <v>3926</v>
      </c>
      <c r="H2858" s="267" t="s">
        <v>7284</v>
      </c>
      <c r="I2858" s="267" t="s">
        <v>4235</v>
      </c>
      <c r="J2858" s="267" t="s">
        <v>3928</v>
      </c>
      <c r="K2858" s="267">
        <v>6066</v>
      </c>
      <c r="L2858" s="267">
        <v>530500</v>
      </c>
      <c r="M2858" s="267" t="s">
        <v>3935</v>
      </c>
      <c r="N2858" s="267" t="s">
        <v>3944</v>
      </c>
      <c r="O2858" s="267">
        <v>1866.34</v>
      </c>
      <c r="P2858" s="267" t="s">
        <v>3944</v>
      </c>
      <c r="Q2858" s="267" t="s">
        <v>3944</v>
      </c>
      <c r="R2858" s="267">
        <v>1866.34</v>
      </c>
      <c r="S2858" s="267">
        <v>24687.62</v>
      </c>
      <c r="T2858" s="267">
        <v>26553.96</v>
      </c>
      <c r="U2858" s="268" t="s">
        <v>3945</v>
      </c>
      <c r="V2858" s="267" t="s">
        <v>944</v>
      </c>
    </row>
    <row r="2859" spans="1:22" hidden="1" x14ac:dyDescent="0.25">
      <c r="A2859" s="269">
        <v>43620</v>
      </c>
      <c r="B2859" s="270">
        <v>2019</v>
      </c>
      <c r="C2859" s="270">
        <v>2019</v>
      </c>
      <c r="D2859" s="270">
        <v>1</v>
      </c>
      <c r="E2859" s="270">
        <v>1</v>
      </c>
      <c r="F2859" s="270" t="s">
        <v>944</v>
      </c>
      <c r="G2859" s="270" t="s">
        <v>3926</v>
      </c>
      <c r="H2859" s="270" t="s">
        <v>7285</v>
      </c>
      <c r="I2859" s="270" t="s">
        <v>4213</v>
      </c>
      <c r="J2859" s="270" t="s">
        <v>3928</v>
      </c>
      <c r="K2859" s="270">
        <v>6053</v>
      </c>
      <c r="L2859" s="270">
        <v>416800</v>
      </c>
      <c r="M2859" s="270" t="s">
        <v>3940</v>
      </c>
      <c r="N2859" s="270" t="s">
        <v>3944</v>
      </c>
      <c r="O2859" s="270">
        <v>1319.05</v>
      </c>
      <c r="P2859" s="270" t="s">
        <v>3944</v>
      </c>
      <c r="Q2859" s="270" t="s">
        <v>3944</v>
      </c>
      <c r="R2859" s="270">
        <v>1319.05</v>
      </c>
      <c r="S2859" s="270">
        <v>18907.400000000001</v>
      </c>
      <c r="T2859" s="270">
        <v>20226.45</v>
      </c>
      <c r="U2859" s="271" t="s">
        <v>3945</v>
      </c>
      <c r="V2859" s="267" t="s">
        <v>944</v>
      </c>
    </row>
    <row r="2860" spans="1:22" hidden="1" x14ac:dyDescent="0.25">
      <c r="A2860" s="266">
        <v>43620</v>
      </c>
      <c r="B2860" s="267">
        <v>2019</v>
      </c>
      <c r="C2860" s="267">
        <v>2019</v>
      </c>
      <c r="D2860" s="267">
        <v>1</v>
      </c>
      <c r="E2860" s="267">
        <v>1</v>
      </c>
      <c r="F2860" s="267" t="s">
        <v>944</v>
      </c>
      <c r="G2860" s="267" t="s">
        <v>3926</v>
      </c>
      <c r="H2860" s="267" t="s">
        <v>7286</v>
      </c>
      <c r="I2860" s="267" t="s">
        <v>3008</v>
      </c>
      <c r="J2860" s="267" t="s">
        <v>3928</v>
      </c>
      <c r="K2860" s="267">
        <v>6460</v>
      </c>
      <c r="L2860" s="267">
        <v>151100</v>
      </c>
      <c r="M2860" s="267" t="s">
        <v>3960</v>
      </c>
      <c r="N2860" s="267" t="s">
        <v>3944</v>
      </c>
      <c r="O2860" s="267">
        <v>848.86</v>
      </c>
      <c r="P2860" s="267" t="s">
        <v>3944</v>
      </c>
      <c r="Q2860" s="267" t="s">
        <v>3944</v>
      </c>
      <c r="R2860" s="267">
        <v>848.86</v>
      </c>
      <c r="S2860" s="267">
        <v>13382.61</v>
      </c>
      <c r="T2860" s="267">
        <v>14231.47</v>
      </c>
      <c r="U2860" s="268" t="s">
        <v>3945</v>
      </c>
      <c r="V2860" s="267" t="s">
        <v>944</v>
      </c>
    </row>
    <row r="2861" spans="1:22" hidden="1" x14ac:dyDescent="0.25">
      <c r="A2861" s="269">
        <v>43620</v>
      </c>
      <c r="B2861" s="270">
        <v>2019</v>
      </c>
      <c r="C2861" s="270">
        <v>2019</v>
      </c>
      <c r="D2861" s="270">
        <v>1</v>
      </c>
      <c r="E2861" s="270">
        <v>1</v>
      </c>
      <c r="F2861" s="270" t="s">
        <v>944</v>
      </c>
      <c r="G2861" s="270" t="s">
        <v>3926</v>
      </c>
      <c r="H2861" s="270" t="s">
        <v>7287</v>
      </c>
      <c r="I2861" s="270" t="s">
        <v>4085</v>
      </c>
      <c r="J2861" s="270" t="s">
        <v>3928</v>
      </c>
      <c r="K2861" s="270">
        <v>6351</v>
      </c>
      <c r="L2861" s="270">
        <v>709100</v>
      </c>
      <c r="M2861" s="270" t="s">
        <v>3935</v>
      </c>
      <c r="N2861" s="270" t="s">
        <v>3944</v>
      </c>
      <c r="O2861" s="270">
        <v>1959.48</v>
      </c>
      <c r="P2861" s="270" t="s">
        <v>3944</v>
      </c>
      <c r="Q2861" s="270" t="s">
        <v>3944</v>
      </c>
      <c r="R2861" s="270">
        <v>1959.48</v>
      </c>
      <c r="S2861" s="270">
        <v>31226.02</v>
      </c>
      <c r="T2861" s="270">
        <v>33185.5</v>
      </c>
      <c r="U2861" s="271" t="s">
        <v>3945</v>
      </c>
      <c r="V2861" s="267" t="s">
        <v>944</v>
      </c>
    </row>
    <row r="2862" spans="1:22" hidden="1" x14ac:dyDescent="0.25">
      <c r="A2862" s="266">
        <v>43620</v>
      </c>
      <c r="B2862" s="267">
        <v>2019</v>
      </c>
      <c r="C2862" s="267">
        <v>2019</v>
      </c>
      <c r="D2862" s="267">
        <v>1</v>
      </c>
      <c r="E2862" s="267">
        <v>1</v>
      </c>
      <c r="F2862" s="267" t="s">
        <v>944</v>
      </c>
      <c r="G2862" s="267" t="s">
        <v>3926</v>
      </c>
      <c r="H2862" s="267" t="s">
        <v>7288</v>
      </c>
      <c r="I2862" s="267" t="s">
        <v>4019</v>
      </c>
      <c r="J2862" s="267" t="s">
        <v>3928</v>
      </c>
      <c r="K2862" s="267">
        <v>6705</v>
      </c>
      <c r="L2862" s="267">
        <v>352701</v>
      </c>
      <c r="M2862" s="267">
        <v>-60</v>
      </c>
      <c r="N2862" s="267" t="s">
        <v>3944</v>
      </c>
      <c r="O2862" s="267">
        <v>921.66</v>
      </c>
      <c r="P2862" s="267" t="s">
        <v>3944</v>
      </c>
      <c r="Q2862" s="267" t="s">
        <v>3944</v>
      </c>
      <c r="R2862" s="267">
        <v>921.66</v>
      </c>
      <c r="S2862" s="267">
        <v>16355.46</v>
      </c>
      <c r="T2862" s="267">
        <v>17277.12</v>
      </c>
      <c r="U2862" s="268" t="s">
        <v>3945</v>
      </c>
      <c r="V2862" s="267" t="s">
        <v>944</v>
      </c>
    </row>
    <row r="2863" spans="1:22" hidden="1" x14ac:dyDescent="0.25">
      <c r="A2863" s="269">
        <v>43620</v>
      </c>
      <c r="B2863" s="270">
        <v>2019</v>
      </c>
      <c r="C2863" s="270">
        <v>2019</v>
      </c>
      <c r="D2863" s="270">
        <v>1</v>
      </c>
      <c r="E2863" s="270">
        <v>1</v>
      </c>
      <c r="F2863" s="270" t="s">
        <v>944</v>
      </c>
      <c r="G2863" s="270" t="s">
        <v>3926</v>
      </c>
      <c r="H2863" s="270" t="s">
        <v>7289</v>
      </c>
      <c r="I2863" s="270" t="s">
        <v>4323</v>
      </c>
      <c r="J2863" s="270" t="s">
        <v>3928</v>
      </c>
      <c r="K2863" s="270">
        <v>6385</v>
      </c>
      <c r="L2863" s="270">
        <v>693400</v>
      </c>
      <c r="M2863" s="270" t="s">
        <v>3940</v>
      </c>
      <c r="N2863" s="270" t="s">
        <v>3944</v>
      </c>
      <c r="O2863" s="270">
        <v>1746.47</v>
      </c>
      <c r="P2863" s="270" t="s">
        <v>3944</v>
      </c>
      <c r="Q2863" s="270" t="s">
        <v>3944</v>
      </c>
      <c r="R2863" s="270">
        <v>1746.47</v>
      </c>
      <c r="S2863" s="270">
        <v>27710.69</v>
      </c>
      <c r="T2863" s="270">
        <v>29457.16</v>
      </c>
      <c r="U2863" s="271" t="s">
        <v>3945</v>
      </c>
      <c r="V2863" s="267" t="s">
        <v>944</v>
      </c>
    </row>
    <row r="2864" spans="1:22" hidden="1" x14ac:dyDescent="0.25">
      <c r="A2864" s="266">
        <v>43620</v>
      </c>
      <c r="B2864" s="267">
        <v>2019</v>
      </c>
      <c r="C2864" s="267">
        <v>2019</v>
      </c>
      <c r="D2864" s="267">
        <v>1</v>
      </c>
      <c r="E2864" s="267">
        <v>1</v>
      </c>
      <c r="F2864" s="267" t="s">
        <v>944</v>
      </c>
      <c r="G2864" s="267" t="s">
        <v>3926</v>
      </c>
      <c r="H2864" s="267" t="s">
        <v>7290</v>
      </c>
      <c r="I2864" s="267" t="s">
        <v>3949</v>
      </c>
      <c r="J2864" s="267" t="s">
        <v>3928</v>
      </c>
      <c r="K2864" s="267">
        <v>6437</v>
      </c>
      <c r="L2864" s="267">
        <v>190302</v>
      </c>
      <c r="M2864" s="267" t="s">
        <v>3943</v>
      </c>
      <c r="N2864" s="267" t="s">
        <v>3944</v>
      </c>
      <c r="O2864" s="267">
        <v>1835.05</v>
      </c>
      <c r="P2864" s="267" t="s">
        <v>3944</v>
      </c>
      <c r="Q2864" s="267" t="s">
        <v>3944</v>
      </c>
      <c r="R2864" s="267">
        <v>1835.05</v>
      </c>
      <c r="S2864" s="267">
        <v>31315.41</v>
      </c>
      <c r="T2864" s="267">
        <v>33150.46</v>
      </c>
      <c r="U2864" s="268" t="s">
        <v>3945</v>
      </c>
      <c r="V2864" s="267" t="s">
        <v>944</v>
      </c>
    </row>
    <row r="2865" spans="1:22" hidden="1" x14ac:dyDescent="0.25">
      <c r="A2865" s="269">
        <v>43620</v>
      </c>
      <c r="B2865" s="270">
        <v>2019</v>
      </c>
      <c r="C2865" s="270">
        <v>2019</v>
      </c>
      <c r="D2865" s="270">
        <v>1</v>
      </c>
      <c r="E2865" s="270">
        <v>1</v>
      </c>
      <c r="F2865" s="270" t="s">
        <v>944</v>
      </c>
      <c r="G2865" s="270" t="s">
        <v>3926</v>
      </c>
      <c r="H2865" s="270" t="s">
        <v>7291</v>
      </c>
      <c r="I2865" s="270" t="s">
        <v>950</v>
      </c>
      <c r="J2865" s="270" t="s">
        <v>3928</v>
      </c>
      <c r="K2865" s="270">
        <v>6516</v>
      </c>
      <c r="L2865" s="270">
        <v>155000</v>
      </c>
      <c r="M2865" s="270" t="s">
        <v>3940</v>
      </c>
      <c r="N2865" s="270" t="s">
        <v>3944</v>
      </c>
      <c r="O2865" s="270">
        <v>1319.47</v>
      </c>
      <c r="P2865" s="270" t="s">
        <v>3944</v>
      </c>
      <c r="Q2865" s="270" t="s">
        <v>3944</v>
      </c>
      <c r="R2865" s="270">
        <v>1319.47</v>
      </c>
      <c r="S2865" s="270">
        <v>22884.79</v>
      </c>
      <c r="T2865" s="270">
        <v>24204.26</v>
      </c>
      <c r="U2865" s="271" t="s">
        <v>3945</v>
      </c>
      <c r="V2865" s="267" t="s">
        <v>944</v>
      </c>
    </row>
    <row r="2866" spans="1:22" hidden="1" x14ac:dyDescent="0.25">
      <c r="A2866" s="266">
        <v>43620</v>
      </c>
      <c r="B2866" s="267">
        <v>2019</v>
      </c>
      <c r="C2866" s="267">
        <v>2019</v>
      </c>
      <c r="D2866" s="267">
        <v>1</v>
      </c>
      <c r="E2866" s="267">
        <v>1</v>
      </c>
      <c r="F2866" s="267" t="s">
        <v>944</v>
      </c>
      <c r="G2866" s="267" t="s">
        <v>3926</v>
      </c>
      <c r="H2866" s="267" t="s">
        <v>7292</v>
      </c>
      <c r="I2866" s="267" t="s">
        <v>4250</v>
      </c>
      <c r="J2866" s="267" t="s">
        <v>3928</v>
      </c>
      <c r="K2866" s="267">
        <v>6241</v>
      </c>
      <c r="L2866" s="267">
        <v>904400</v>
      </c>
      <c r="M2866" s="267" t="s">
        <v>3940</v>
      </c>
      <c r="N2866" s="267" t="s">
        <v>3944</v>
      </c>
      <c r="O2866" s="267">
        <v>629.02</v>
      </c>
      <c r="P2866" s="267" t="s">
        <v>3944</v>
      </c>
      <c r="Q2866" s="267" t="s">
        <v>3944</v>
      </c>
      <c r="R2866" s="267">
        <v>629.02</v>
      </c>
      <c r="S2866" s="267">
        <v>10010.65</v>
      </c>
      <c r="T2866" s="267">
        <v>10639.67</v>
      </c>
      <c r="U2866" s="268" t="s">
        <v>3945</v>
      </c>
      <c r="V2866" s="267" t="s">
        <v>944</v>
      </c>
    </row>
    <row r="2867" spans="1:22" hidden="1" x14ac:dyDescent="0.25">
      <c r="A2867" s="269">
        <v>43620</v>
      </c>
      <c r="B2867" s="270">
        <v>2019</v>
      </c>
      <c r="C2867" s="270">
        <v>2019</v>
      </c>
      <c r="D2867" s="270">
        <v>1</v>
      </c>
      <c r="E2867" s="270">
        <v>1</v>
      </c>
      <c r="F2867" s="270" t="s">
        <v>944</v>
      </c>
      <c r="G2867" s="270" t="s">
        <v>3926</v>
      </c>
      <c r="H2867" s="270" t="s">
        <v>7293</v>
      </c>
      <c r="I2867" s="270" t="s">
        <v>956</v>
      </c>
      <c r="J2867" s="270" t="s">
        <v>3928</v>
      </c>
      <c r="K2867" s="270">
        <v>6615</v>
      </c>
      <c r="L2867" s="270">
        <v>80200</v>
      </c>
      <c r="M2867" s="270" t="s">
        <v>3935</v>
      </c>
      <c r="N2867" s="270" t="s">
        <v>3944</v>
      </c>
      <c r="O2867" s="270">
        <v>1455.3</v>
      </c>
      <c r="P2867" s="270" t="s">
        <v>3944</v>
      </c>
      <c r="Q2867" s="270" t="s">
        <v>3944</v>
      </c>
      <c r="R2867" s="270">
        <v>1455.3</v>
      </c>
      <c r="S2867" s="270">
        <v>28122.25</v>
      </c>
      <c r="T2867" s="270">
        <v>29577.55</v>
      </c>
      <c r="U2867" s="271" t="s">
        <v>3945</v>
      </c>
      <c r="V2867" s="267" t="s">
        <v>944</v>
      </c>
    </row>
    <row r="2868" spans="1:22" hidden="1" x14ac:dyDescent="0.25">
      <c r="A2868" s="266">
        <v>43620</v>
      </c>
      <c r="B2868" s="267">
        <v>2019</v>
      </c>
      <c r="C2868" s="267">
        <v>2019</v>
      </c>
      <c r="D2868" s="267">
        <v>1</v>
      </c>
      <c r="E2868" s="267">
        <v>1</v>
      </c>
      <c r="F2868" s="267" t="s">
        <v>944</v>
      </c>
      <c r="G2868" s="267" t="s">
        <v>3926</v>
      </c>
      <c r="H2868" s="267" t="s">
        <v>7294</v>
      </c>
      <c r="I2868" s="267" t="s">
        <v>4295</v>
      </c>
      <c r="J2868" s="267" t="s">
        <v>3928</v>
      </c>
      <c r="K2868" s="267">
        <v>6043</v>
      </c>
      <c r="L2868" s="267">
        <v>529100</v>
      </c>
      <c r="M2868" s="267" t="s">
        <v>3943</v>
      </c>
      <c r="N2868" s="267" t="s">
        <v>3944</v>
      </c>
      <c r="O2868" s="267">
        <v>3451.07</v>
      </c>
      <c r="P2868" s="267" t="s">
        <v>3944</v>
      </c>
      <c r="Q2868" s="267" t="s">
        <v>3944</v>
      </c>
      <c r="R2868" s="267">
        <v>3451.07</v>
      </c>
      <c r="S2868" s="267">
        <v>44645.3</v>
      </c>
      <c r="T2868" s="267">
        <v>48096.37</v>
      </c>
      <c r="U2868" s="268" t="s">
        <v>3945</v>
      </c>
      <c r="V2868" s="267" t="s">
        <v>944</v>
      </c>
    </row>
    <row r="2869" spans="1:22" hidden="1" x14ac:dyDescent="0.25">
      <c r="A2869" s="269">
        <v>43620</v>
      </c>
      <c r="B2869" s="270">
        <v>2019</v>
      </c>
      <c r="C2869" s="270">
        <v>2019</v>
      </c>
      <c r="D2869" s="270">
        <v>1</v>
      </c>
      <c r="E2869" s="270">
        <v>1</v>
      </c>
      <c r="F2869" s="270" t="s">
        <v>944</v>
      </c>
      <c r="G2869" s="270" t="s">
        <v>3926</v>
      </c>
      <c r="H2869" s="270" t="s">
        <v>7295</v>
      </c>
      <c r="I2869" s="270" t="s">
        <v>4235</v>
      </c>
      <c r="J2869" s="270" t="s">
        <v>3928</v>
      </c>
      <c r="K2869" s="270">
        <v>6066</v>
      </c>
      <c r="L2869" s="270">
        <v>530600</v>
      </c>
      <c r="M2869" s="270" t="s">
        <v>3960</v>
      </c>
      <c r="N2869" s="270" t="s">
        <v>3944</v>
      </c>
      <c r="O2869" s="270">
        <v>1223.22</v>
      </c>
      <c r="P2869" s="270" t="s">
        <v>3944</v>
      </c>
      <c r="Q2869" s="270" t="s">
        <v>3944</v>
      </c>
      <c r="R2869" s="270">
        <v>1223.22</v>
      </c>
      <c r="S2869" s="270">
        <v>14853.42</v>
      </c>
      <c r="T2869" s="270">
        <v>16076.64</v>
      </c>
      <c r="U2869" s="271" t="s">
        <v>3945</v>
      </c>
      <c r="V2869" s="267" t="s">
        <v>944</v>
      </c>
    </row>
    <row r="2870" spans="1:22" hidden="1" x14ac:dyDescent="0.25">
      <c r="A2870" s="266">
        <v>43620</v>
      </c>
      <c r="B2870" s="267">
        <v>2019</v>
      </c>
      <c r="C2870" s="267">
        <v>2019</v>
      </c>
      <c r="D2870" s="267">
        <v>1</v>
      </c>
      <c r="E2870" s="267">
        <v>1</v>
      </c>
      <c r="F2870" s="267" t="s">
        <v>944</v>
      </c>
      <c r="G2870" s="267" t="s">
        <v>3926</v>
      </c>
      <c r="H2870" s="267" t="s">
        <v>7296</v>
      </c>
      <c r="I2870" s="267" t="s">
        <v>4490</v>
      </c>
      <c r="J2870" s="267" t="s">
        <v>3928</v>
      </c>
      <c r="K2870" s="267">
        <v>6409</v>
      </c>
      <c r="L2870" s="267">
        <v>630100</v>
      </c>
      <c r="M2870" s="267" t="s">
        <v>3960</v>
      </c>
      <c r="N2870" s="267" t="s">
        <v>3944</v>
      </c>
      <c r="O2870" s="267">
        <v>2490.2199999999998</v>
      </c>
      <c r="P2870" s="267" t="s">
        <v>3944</v>
      </c>
      <c r="Q2870" s="267" t="s">
        <v>3944</v>
      </c>
      <c r="R2870" s="267">
        <v>2490.2199999999998</v>
      </c>
      <c r="S2870" s="267">
        <v>39222.93</v>
      </c>
      <c r="T2870" s="267">
        <v>41713.15</v>
      </c>
      <c r="U2870" s="268" t="s">
        <v>3945</v>
      </c>
      <c r="V2870" s="267" t="s">
        <v>944</v>
      </c>
    </row>
    <row r="2871" spans="1:22" hidden="1" x14ac:dyDescent="0.25">
      <c r="A2871" s="269">
        <v>43620</v>
      </c>
      <c r="B2871" s="270">
        <v>2019</v>
      </c>
      <c r="C2871" s="270">
        <v>2019</v>
      </c>
      <c r="D2871" s="270">
        <v>1</v>
      </c>
      <c r="E2871" s="270">
        <v>1</v>
      </c>
      <c r="F2871" s="270" t="s">
        <v>944</v>
      </c>
      <c r="G2871" s="270" t="s">
        <v>3926</v>
      </c>
      <c r="H2871" s="270" t="s">
        <v>7297</v>
      </c>
      <c r="I2871" s="270" t="s">
        <v>6209</v>
      </c>
      <c r="J2871" s="270" t="s">
        <v>3928</v>
      </c>
      <c r="K2871" s="270">
        <v>6403</v>
      </c>
      <c r="L2871" s="270">
        <v>341100</v>
      </c>
      <c r="M2871" s="270" t="s">
        <v>3935</v>
      </c>
      <c r="N2871" s="270" t="s">
        <v>3944</v>
      </c>
      <c r="O2871" s="270">
        <v>1440.15</v>
      </c>
      <c r="P2871" s="270" t="s">
        <v>3944</v>
      </c>
      <c r="Q2871" s="270" t="s">
        <v>3944</v>
      </c>
      <c r="R2871" s="270">
        <v>1440.15</v>
      </c>
      <c r="S2871" s="270">
        <v>22834.84</v>
      </c>
      <c r="T2871" s="270">
        <v>24274.99</v>
      </c>
      <c r="U2871" s="271" t="s">
        <v>3945</v>
      </c>
      <c r="V2871" s="267" t="s">
        <v>944</v>
      </c>
    </row>
    <row r="2872" spans="1:22" hidden="1" x14ac:dyDescent="0.25">
      <c r="A2872" s="266">
        <v>43620</v>
      </c>
      <c r="B2872" s="267">
        <v>2019</v>
      </c>
      <c r="C2872" s="267">
        <v>2019</v>
      </c>
      <c r="D2872" s="267">
        <v>1</v>
      </c>
      <c r="E2872" s="267">
        <v>1</v>
      </c>
      <c r="F2872" s="267" t="s">
        <v>944</v>
      </c>
      <c r="G2872" s="267" t="s">
        <v>3926</v>
      </c>
      <c r="H2872" s="267" t="s">
        <v>7298</v>
      </c>
      <c r="I2872" s="267" t="s">
        <v>4042</v>
      </c>
      <c r="J2872" s="267" t="s">
        <v>3928</v>
      </c>
      <c r="K2872" s="267">
        <v>6382</v>
      </c>
      <c r="L2872" s="267">
        <v>870501</v>
      </c>
      <c r="M2872" s="267" t="s">
        <v>3935</v>
      </c>
      <c r="N2872" s="267" t="s">
        <v>3944</v>
      </c>
      <c r="O2872" s="267">
        <v>981.82</v>
      </c>
      <c r="P2872" s="267" t="s">
        <v>3944</v>
      </c>
      <c r="Q2872" s="267" t="s">
        <v>3944</v>
      </c>
      <c r="R2872" s="267">
        <v>981.82</v>
      </c>
      <c r="S2872" s="267">
        <v>13853.57</v>
      </c>
      <c r="T2872" s="267">
        <v>14835.39</v>
      </c>
      <c r="U2872" s="268" t="s">
        <v>3945</v>
      </c>
      <c r="V2872" s="267" t="s">
        <v>944</v>
      </c>
    </row>
    <row r="2873" spans="1:22" hidden="1" x14ac:dyDescent="0.25">
      <c r="A2873" s="269">
        <v>43620</v>
      </c>
      <c r="B2873" s="270">
        <v>2019</v>
      </c>
      <c r="C2873" s="270">
        <v>2019</v>
      </c>
      <c r="D2873" s="270">
        <v>1</v>
      </c>
      <c r="E2873" s="270">
        <v>1</v>
      </c>
      <c r="F2873" s="270" t="s">
        <v>944</v>
      </c>
      <c r="G2873" s="270" t="s">
        <v>3926</v>
      </c>
      <c r="H2873" s="270" t="s">
        <v>7299</v>
      </c>
      <c r="I2873" s="270" t="s">
        <v>3009</v>
      </c>
      <c r="J2873" s="270" t="s">
        <v>3928</v>
      </c>
      <c r="K2873" s="270">
        <v>6484</v>
      </c>
      <c r="L2873" s="270">
        <v>110500</v>
      </c>
      <c r="M2873" s="270" t="s">
        <v>3943</v>
      </c>
      <c r="N2873" s="270" t="s">
        <v>3944</v>
      </c>
      <c r="O2873" s="270">
        <v>2552.1999999999998</v>
      </c>
      <c r="P2873" s="270" t="s">
        <v>3944</v>
      </c>
      <c r="Q2873" s="270" t="s">
        <v>3944</v>
      </c>
      <c r="R2873" s="270">
        <v>2552.1999999999998</v>
      </c>
      <c r="S2873" s="270">
        <v>37535.03</v>
      </c>
      <c r="T2873" s="270">
        <v>40087.230000000003</v>
      </c>
      <c r="U2873" s="271" t="s">
        <v>3945</v>
      </c>
      <c r="V2873" s="267" t="s">
        <v>944</v>
      </c>
    </row>
    <row r="2874" spans="1:22" hidden="1" x14ac:dyDescent="0.25">
      <c r="A2874" s="266">
        <v>43620</v>
      </c>
      <c r="B2874" s="267">
        <v>2019</v>
      </c>
      <c r="C2874" s="267">
        <v>2019</v>
      </c>
      <c r="D2874" s="267">
        <v>1</v>
      </c>
      <c r="E2874" s="267">
        <v>1</v>
      </c>
      <c r="F2874" s="267" t="s">
        <v>944</v>
      </c>
      <c r="G2874" s="267" t="s">
        <v>3926</v>
      </c>
      <c r="H2874" s="267" t="s">
        <v>7300</v>
      </c>
      <c r="I2874" s="267" t="s">
        <v>3975</v>
      </c>
      <c r="J2874" s="267" t="s">
        <v>3928</v>
      </c>
      <c r="K2874" s="267">
        <v>6479</v>
      </c>
      <c r="L2874" s="267">
        <v>430500</v>
      </c>
      <c r="M2874" s="267" t="s">
        <v>3943</v>
      </c>
      <c r="N2874" s="267" t="s">
        <v>3944</v>
      </c>
      <c r="O2874" s="267">
        <v>2044.32</v>
      </c>
      <c r="P2874" s="267" t="s">
        <v>3944</v>
      </c>
      <c r="Q2874" s="267" t="s">
        <v>3944</v>
      </c>
      <c r="R2874" s="267">
        <v>2044.32</v>
      </c>
      <c r="S2874" s="267">
        <v>30392.03</v>
      </c>
      <c r="T2874" s="267">
        <v>32436.35</v>
      </c>
      <c r="U2874" s="268" t="s">
        <v>3945</v>
      </c>
      <c r="V2874" s="267" t="s">
        <v>944</v>
      </c>
    </row>
    <row r="2875" spans="1:22" hidden="1" x14ac:dyDescent="0.25">
      <c r="A2875" s="269">
        <v>43620</v>
      </c>
      <c r="B2875" s="270">
        <v>2019</v>
      </c>
      <c r="C2875" s="270">
        <v>2019</v>
      </c>
      <c r="D2875" s="270">
        <v>1</v>
      </c>
      <c r="E2875" s="270">
        <v>1</v>
      </c>
      <c r="F2875" s="270" t="s">
        <v>944</v>
      </c>
      <c r="G2875" s="270" t="s">
        <v>3926</v>
      </c>
      <c r="H2875" s="270" t="s">
        <v>7301</v>
      </c>
      <c r="I2875" s="270" t="s">
        <v>3966</v>
      </c>
      <c r="J2875" s="270" t="s">
        <v>3928</v>
      </c>
      <c r="K2875" s="270">
        <v>6010</v>
      </c>
      <c r="L2875" s="270">
        <v>406001</v>
      </c>
      <c r="M2875" s="270">
        <v>-60</v>
      </c>
      <c r="N2875" s="270" t="s">
        <v>3944</v>
      </c>
      <c r="O2875" s="270">
        <v>2375.52</v>
      </c>
      <c r="P2875" s="270" t="s">
        <v>3944</v>
      </c>
      <c r="Q2875" s="270" t="s">
        <v>3944</v>
      </c>
      <c r="R2875" s="270">
        <v>2375.52</v>
      </c>
      <c r="S2875" s="270">
        <v>33682.129999999997</v>
      </c>
      <c r="T2875" s="270">
        <v>36057.65</v>
      </c>
      <c r="U2875" s="271" t="s">
        <v>3945</v>
      </c>
      <c r="V2875" s="267" t="s">
        <v>944</v>
      </c>
    </row>
    <row r="2876" spans="1:22" hidden="1" x14ac:dyDescent="0.25">
      <c r="A2876" s="266">
        <v>43620</v>
      </c>
      <c r="B2876" s="267">
        <v>2019</v>
      </c>
      <c r="C2876" s="267">
        <v>2019</v>
      </c>
      <c r="D2876" s="267">
        <v>1</v>
      </c>
      <c r="E2876" s="267">
        <v>1</v>
      </c>
      <c r="F2876" s="267" t="s">
        <v>944</v>
      </c>
      <c r="G2876" s="267" t="s">
        <v>3926</v>
      </c>
      <c r="H2876" s="267" t="s">
        <v>7302</v>
      </c>
      <c r="I2876" s="267" t="s">
        <v>3026</v>
      </c>
      <c r="J2876" s="267" t="s">
        <v>3928</v>
      </c>
      <c r="K2876" s="267">
        <v>6471</v>
      </c>
      <c r="L2876" s="267">
        <v>186100</v>
      </c>
      <c r="M2876" s="267" t="s">
        <v>3935</v>
      </c>
      <c r="N2876" s="267" t="s">
        <v>3944</v>
      </c>
      <c r="O2876" s="267">
        <v>2073.33</v>
      </c>
      <c r="P2876" s="267" t="s">
        <v>3944</v>
      </c>
      <c r="Q2876" s="267" t="s">
        <v>3944</v>
      </c>
      <c r="R2876" s="267">
        <v>2073.33</v>
      </c>
      <c r="S2876" s="267">
        <v>37767.339999999997</v>
      </c>
      <c r="T2876" s="267">
        <v>39840.67</v>
      </c>
      <c r="U2876" s="268" t="s">
        <v>3945</v>
      </c>
      <c r="V2876" s="267" t="s">
        <v>944</v>
      </c>
    </row>
    <row r="2877" spans="1:22" hidden="1" x14ac:dyDescent="0.25">
      <c r="A2877" s="269">
        <v>43620</v>
      </c>
      <c r="B2877" s="270">
        <v>2019</v>
      </c>
      <c r="C2877" s="270">
        <v>2019</v>
      </c>
      <c r="D2877" s="270">
        <v>1</v>
      </c>
      <c r="E2877" s="270">
        <v>1</v>
      </c>
      <c r="F2877" s="270" t="s">
        <v>944</v>
      </c>
      <c r="G2877" s="270" t="s">
        <v>3926</v>
      </c>
      <c r="H2877" s="270" t="s">
        <v>7303</v>
      </c>
      <c r="I2877" s="270" t="s">
        <v>3996</v>
      </c>
      <c r="J2877" s="270" t="s">
        <v>3928</v>
      </c>
      <c r="K2877" s="270">
        <v>6790</v>
      </c>
      <c r="L2877" s="270">
        <v>310100</v>
      </c>
      <c r="M2877" s="270" t="s">
        <v>3940</v>
      </c>
      <c r="N2877" s="270" t="s">
        <v>3944</v>
      </c>
      <c r="O2877" s="270">
        <v>2772.25</v>
      </c>
      <c r="P2877" s="270" t="s">
        <v>3944</v>
      </c>
      <c r="Q2877" s="270" t="s">
        <v>3944</v>
      </c>
      <c r="R2877" s="270">
        <v>2772.25</v>
      </c>
      <c r="S2877" s="270">
        <v>50512.76</v>
      </c>
      <c r="T2877" s="270">
        <v>53285.01</v>
      </c>
      <c r="U2877" s="271" t="s">
        <v>3945</v>
      </c>
      <c r="V2877" s="267" t="s">
        <v>944</v>
      </c>
    </row>
    <row r="2878" spans="1:22" hidden="1" x14ac:dyDescent="0.25">
      <c r="A2878" s="266">
        <v>43620</v>
      </c>
      <c r="B2878" s="267">
        <v>2019</v>
      </c>
      <c r="C2878" s="267">
        <v>2019</v>
      </c>
      <c r="D2878" s="267">
        <v>1</v>
      </c>
      <c r="E2878" s="267">
        <v>1</v>
      </c>
      <c r="F2878" s="267" t="s">
        <v>944</v>
      </c>
      <c r="G2878" s="267" t="s">
        <v>3926</v>
      </c>
      <c r="H2878" s="267" t="s">
        <v>7304</v>
      </c>
      <c r="I2878" s="267" t="s">
        <v>4323</v>
      </c>
      <c r="J2878" s="267" t="s">
        <v>3928</v>
      </c>
      <c r="K2878" s="267">
        <v>6385</v>
      </c>
      <c r="L2878" s="267">
        <v>693300</v>
      </c>
      <c r="M2878" s="267" t="s">
        <v>3935</v>
      </c>
      <c r="N2878" s="267" t="s">
        <v>3944</v>
      </c>
      <c r="O2878" s="267">
        <v>2193.42</v>
      </c>
      <c r="P2878" s="267" t="s">
        <v>3944</v>
      </c>
      <c r="Q2878" s="267" t="s">
        <v>3944</v>
      </c>
      <c r="R2878" s="267">
        <v>2193.42</v>
      </c>
      <c r="S2878" s="267">
        <v>33500.33</v>
      </c>
      <c r="T2878" s="267">
        <v>35693.75</v>
      </c>
      <c r="U2878" s="268" t="s">
        <v>3945</v>
      </c>
      <c r="V2878" s="267" t="s">
        <v>944</v>
      </c>
    </row>
    <row r="2879" spans="1:22" hidden="1" x14ac:dyDescent="0.25">
      <c r="A2879" s="269">
        <v>43620</v>
      </c>
      <c r="B2879" s="270">
        <v>2019</v>
      </c>
      <c r="C2879" s="270">
        <v>2019</v>
      </c>
      <c r="D2879" s="270">
        <v>1</v>
      </c>
      <c r="E2879" s="270">
        <v>1</v>
      </c>
      <c r="F2879" s="270" t="s">
        <v>944</v>
      </c>
      <c r="G2879" s="270" t="s">
        <v>3926</v>
      </c>
      <c r="H2879" s="270" t="s">
        <v>7305</v>
      </c>
      <c r="I2879" s="270" t="s">
        <v>4040</v>
      </c>
      <c r="J2879" s="270" t="s">
        <v>3928</v>
      </c>
      <c r="K2879" s="270">
        <v>6339</v>
      </c>
      <c r="L2879" s="270">
        <v>701100</v>
      </c>
      <c r="M2879" s="270" t="s">
        <v>3960</v>
      </c>
      <c r="N2879" s="270" t="s">
        <v>3944</v>
      </c>
      <c r="O2879" s="270">
        <v>1275.3</v>
      </c>
      <c r="P2879" s="270" t="s">
        <v>3944</v>
      </c>
      <c r="Q2879" s="270" t="s">
        <v>3944</v>
      </c>
      <c r="R2879" s="270">
        <v>1275.3</v>
      </c>
      <c r="S2879" s="270">
        <v>22101.8</v>
      </c>
      <c r="T2879" s="270">
        <v>23377.1</v>
      </c>
      <c r="U2879" s="271" t="s">
        <v>3945</v>
      </c>
      <c r="V2879" s="267" t="s">
        <v>944</v>
      </c>
    </row>
    <row r="2880" spans="1:22" hidden="1" x14ac:dyDescent="0.25">
      <c r="A2880" s="266">
        <v>43620</v>
      </c>
      <c r="B2880" s="267">
        <v>2019</v>
      </c>
      <c r="C2880" s="267">
        <v>2019</v>
      </c>
      <c r="D2880" s="267">
        <v>1</v>
      </c>
      <c r="E2880" s="267">
        <v>1</v>
      </c>
      <c r="F2880" s="267" t="s">
        <v>944</v>
      </c>
      <c r="G2880" s="267" t="s">
        <v>3926</v>
      </c>
      <c r="H2880" s="267" t="s">
        <v>7306</v>
      </c>
      <c r="I2880" s="267" t="s">
        <v>950</v>
      </c>
      <c r="J2880" s="267" t="s">
        <v>3928</v>
      </c>
      <c r="K2880" s="267">
        <v>6516</v>
      </c>
      <c r="L2880" s="267">
        <v>155000</v>
      </c>
      <c r="M2880" s="267" t="s">
        <v>3940</v>
      </c>
      <c r="N2880" s="267" t="s">
        <v>3944</v>
      </c>
      <c r="O2880" s="267">
        <v>2781.17</v>
      </c>
      <c r="P2880" s="267" t="s">
        <v>3944</v>
      </c>
      <c r="Q2880" s="267" t="s">
        <v>3944</v>
      </c>
      <c r="R2880" s="267">
        <v>2781.17</v>
      </c>
      <c r="S2880" s="267">
        <v>44488.86</v>
      </c>
      <c r="T2880" s="267">
        <v>47270.03</v>
      </c>
      <c r="U2880" s="268" t="s">
        <v>3945</v>
      </c>
      <c r="V2880" s="267" t="s">
        <v>944</v>
      </c>
    </row>
    <row r="2881" spans="1:22" hidden="1" x14ac:dyDescent="0.25">
      <c r="A2881" s="269">
        <v>43620</v>
      </c>
      <c r="B2881" s="270">
        <v>2019</v>
      </c>
      <c r="C2881" s="270">
        <v>2019</v>
      </c>
      <c r="D2881" s="270">
        <v>1</v>
      </c>
      <c r="E2881" s="270">
        <v>1</v>
      </c>
      <c r="F2881" s="270" t="s">
        <v>944</v>
      </c>
      <c r="G2881" s="270" t="s">
        <v>3926</v>
      </c>
      <c r="H2881" s="270" t="s">
        <v>7307</v>
      </c>
      <c r="I2881" s="270" t="s">
        <v>5032</v>
      </c>
      <c r="J2881" s="270" t="s">
        <v>3928</v>
      </c>
      <c r="K2881" s="270">
        <v>6062</v>
      </c>
      <c r="L2881" s="270">
        <v>420600</v>
      </c>
      <c r="M2881" s="270" t="s">
        <v>3935</v>
      </c>
      <c r="N2881" s="270" t="s">
        <v>3944</v>
      </c>
      <c r="O2881" s="270">
        <v>800.56</v>
      </c>
      <c r="P2881" s="270" t="s">
        <v>3944</v>
      </c>
      <c r="Q2881" s="270" t="s">
        <v>3944</v>
      </c>
      <c r="R2881" s="270">
        <v>800.56</v>
      </c>
      <c r="S2881" s="270">
        <v>16653.64</v>
      </c>
      <c r="T2881" s="270">
        <v>17454.2</v>
      </c>
      <c r="U2881" s="271" t="s">
        <v>3945</v>
      </c>
      <c r="V2881" s="267" t="s">
        <v>944</v>
      </c>
    </row>
    <row r="2882" spans="1:22" hidden="1" x14ac:dyDescent="0.25">
      <c r="A2882" s="266">
        <v>43620</v>
      </c>
      <c r="B2882" s="267">
        <v>2019</v>
      </c>
      <c r="C2882" s="267">
        <v>2019</v>
      </c>
      <c r="D2882" s="267">
        <v>1</v>
      </c>
      <c r="E2882" s="267">
        <v>1</v>
      </c>
      <c r="F2882" s="267" t="s">
        <v>944</v>
      </c>
      <c r="G2882" s="267" t="s">
        <v>3926</v>
      </c>
      <c r="H2882" s="267" t="s">
        <v>7308</v>
      </c>
      <c r="I2882" s="267" t="s">
        <v>2985</v>
      </c>
      <c r="J2882" s="267" t="s">
        <v>3928</v>
      </c>
      <c r="K2882" s="267">
        <v>6824</v>
      </c>
      <c r="L2882" s="267">
        <v>61600</v>
      </c>
      <c r="M2882" s="267" t="s">
        <v>3943</v>
      </c>
      <c r="N2882" s="267" t="s">
        <v>3944</v>
      </c>
      <c r="O2882" s="267">
        <v>2644.5</v>
      </c>
      <c r="P2882" s="267" t="s">
        <v>3944</v>
      </c>
      <c r="Q2882" s="267" t="s">
        <v>3944</v>
      </c>
      <c r="R2882" s="267">
        <v>2644.5</v>
      </c>
      <c r="S2882" s="267">
        <v>42111.5</v>
      </c>
      <c r="T2882" s="267">
        <v>44756</v>
      </c>
      <c r="U2882" s="268" t="s">
        <v>3945</v>
      </c>
      <c r="V2882" s="267" t="s">
        <v>944</v>
      </c>
    </row>
    <row r="2883" spans="1:22" hidden="1" x14ac:dyDescent="0.25">
      <c r="A2883" s="269">
        <v>43620</v>
      </c>
      <c r="B2883" s="270">
        <v>2019</v>
      </c>
      <c r="C2883" s="270">
        <v>2019</v>
      </c>
      <c r="D2883" s="270">
        <v>1</v>
      </c>
      <c r="E2883" s="270">
        <v>1</v>
      </c>
      <c r="F2883" s="270" t="s">
        <v>944</v>
      </c>
      <c r="G2883" s="270" t="s">
        <v>3926</v>
      </c>
      <c r="H2883" s="270" t="s">
        <v>7309</v>
      </c>
      <c r="I2883" s="270" t="s">
        <v>4392</v>
      </c>
      <c r="J2883" s="270" t="s">
        <v>3928</v>
      </c>
      <c r="K2883" s="270">
        <v>6457</v>
      </c>
      <c r="L2883" s="270">
        <v>542000</v>
      </c>
      <c r="M2883" s="270" t="s">
        <v>3935</v>
      </c>
      <c r="N2883" s="270" t="s">
        <v>3944</v>
      </c>
      <c r="O2883" s="270">
        <v>1145.8699999999999</v>
      </c>
      <c r="P2883" s="270" t="s">
        <v>3944</v>
      </c>
      <c r="Q2883" s="270" t="s">
        <v>3944</v>
      </c>
      <c r="R2883" s="270">
        <v>1145.8699999999999</v>
      </c>
      <c r="S2883" s="270">
        <v>15429.88</v>
      </c>
      <c r="T2883" s="270">
        <v>16575.75</v>
      </c>
      <c r="U2883" s="271" t="s">
        <v>3945</v>
      </c>
      <c r="V2883" s="267" t="s">
        <v>944</v>
      </c>
    </row>
    <row r="2884" spans="1:22" hidden="1" x14ac:dyDescent="0.25">
      <c r="A2884" s="266">
        <v>43620</v>
      </c>
      <c r="B2884" s="267">
        <v>2019</v>
      </c>
      <c r="C2884" s="267">
        <v>2019</v>
      </c>
      <c r="D2884" s="267">
        <v>1</v>
      </c>
      <c r="E2884" s="267">
        <v>1</v>
      </c>
      <c r="F2884" s="267" t="s">
        <v>944</v>
      </c>
      <c r="G2884" s="267" t="s">
        <v>3926</v>
      </c>
      <c r="H2884" s="267" t="s">
        <v>7310</v>
      </c>
      <c r="I2884" s="267" t="s">
        <v>4548</v>
      </c>
      <c r="J2884" s="267" t="s">
        <v>3928</v>
      </c>
      <c r="K2884" s="267">
        <v>6037</v>
      </c>
      <c r="L2884" s="267">
        <v>400200</v>
      </c>
      <c r="M2884" s="267" t="s">
        <v>3943</v>
      </c>
      <c r="N2884" s="267" t="s">
        <v>3944</v>
      </c>
      <c r="O2884" s="267">
        <v>2335.27</v>
      </c>
      <c r="P2884" s="267" t="s">
        <v>3944</v>
      </c>
      <c r="Q2884" s="267" t="s">
        <v>3944</v>
      </c>
      <c r="R2884" s="267">
        <v>2335.27</v>
      </c>
      <c r="S2884" s="267">
        <v>35955.730000000003</v>
      </c>
      <c r="T2884" s="267">
        <v>38291</v>
      </c>
      <c r="U2884" s="268" t="s">
        <v>3945</v>
      </c>
      <c r="V2884" s="267" t="s">
        <v>944</v>
      </c>
    </row>
    <row r="2885" spans="1:22" hidden="1" x14ac:dyDescent="0.25">
      <c r="A2885" s="269">
        <v>43620</v>
      </c>
      <c r="B2885" s="270">
        <v>2019</v>
      </c>
      <c r="C2885" s="270">
        <v>2019</v>
      </c>
      <c r="D2885" s="270">
        <v>1</v>
      </c>
      <c r="E2885" s="270">
        <v>1</v>
      </c>
      <c r="F2885" s="270" t="s">
        <v>944</v>
      </c>
      <c r="G2885" s="270" t="s">
        <v>3926</v>
      </c>
      <c r="H2885" s="270" t="s">
        <v>7311</v>
      </c>
      <c r="I2885" s="270" t="s">
        <v>3008</v>
      </c>
      <c r="J2885" s="270" t="s">
        <v>3928</v>
      </c>
      <c r="K2885" s="270">
        <v>6460</v>
      </c>
      <c r="L2885" s="270">
        <v>151100</v>
      </c>
      <c r="M2885" s="270" t="s">
        <v>3960</v>
      </c>
      <c r="N2885" s="270" t="s">
        <v>3944</v>
      </c>
      <c r="O2885" s="270">
        <v>1573.92</v>
      </c>
      <c r="P2885" s="270" t="s">
        <v>3944</v>
      </c>
      <c r="Q2885" s="270" t="s">
        <v>3944</v>
      </c>
      <c r="R2885" s="270">
        <v>1573.92</v>
      </c>
      <c r="S2885" s="270">
        <v>25956.42</v>
      </c>
      <c r="T2885" s="270">
        <v>27530.34</v>
      </c>
      <c r="U2885" s="271" t="s">
        <v>3945</v>
      </c>
      <c r="V2885" s="267" t="s">
        <v>944</v>
      </c>
    </row>
    <row r="2886" spans="1:22" hidden="1" x14ac:dyDescent="0.25">
      <c r="A2886" s="266">
        <v>43620</v>
      </c>
      <c r="B2886" s="267">
        <v>2019</v>
      </c>
      <c r="C2886" s="267">
        <v>2019</v>
      </c>
      <c r="D2886" s="267">
        <v>1</v>
      </c>
      <c r="E2886" s="267">
        <v>1</v>
      </c>
      <c r="F2886" s="267" t="s">
        <v>944</v>
      </c>
      <c r="G2886" s="267" t="s">
        <v>3926</v>
      </c>
      <c r="H2886" s="267" t="s">
        <v>7312</v>
      </c>
      <c r="I2886" s="267" t="s">
        <v>956</v>
      </c>
      <c r="J2886" s="267" t="s">
        <v>3928</v>
      </c>
      <c r="K2886" s="267">
        <v>6615</v>
      </c>
      <c r="L2886" s="267">
        <v>80200</v>
      </c>
      <c r="M2886" s="267" t="s">
        <v>3935</v>
      </c>
      <c r="N2886" s="267" t="s">
        <v>3944</v>
      </c>
      <c r="O2886" s="267">
        <v>1968.82</v>
      </c>
      <c r="P2886" s="267" t="s">
        <v>3944</v>
      </c>
      <c r="Q2886" s="267" t="s">
        <v>3944</v>
      </c>
      <c r="R2886" s="267">
        <v>1968.82</v>
      </c>
      <c r="S2886" s="267">
        <v>28811.77</v>
      </c>
      <c r="T2886" s="267">
        <v>30780.59</v>
      </c>
      <c r="U2886" s="268" t="s">
        <v>3945</v>
      </c>
      <c r="V2886" s="267" t="s">
        <v>944</v>
      </c>
    </row>
    <row r="2887" spans="1:22" hidden="1" x14ac:dyDescent="0.25">
      <c r="A2887" s="269">
        <v>43620</v>
      </c>
      <c r="B2887" s="270">
        <v>2019</v>
      </c>
      <c r="C2887" s="270">
        <v>2019</v>
      </c>
      <c r="D2887" s="270">
        <v>1</v>
      </c>
      <c r="E2887" s="270">
        <v>1</v>
      </c>
      <c r="F2887" s="270" t="s">
        <v>944</v>
      </c>
      <c r="G2887" s="270" t="s">
        <v>3926</v>
      </c>
      <c r="H2887" s="270" t="s">
        <v>7313</v>
      </c>
      <c r="I2887" s="270" t="s">
        <v>4137</v>
      </c>
      <c r="J2887" s="270" t="s">
        <v>3928</v>
      </c>
      <c r="K2887" s="270">
        <v>6067</v>
      </c>
      <c r="L2887" s="270">
        <v>490302</v>
      </c>
      <c r="M2887" s="270" t="s">
        <v>3960</v>
      </c>
      <c r="N2887" s="270" t="s">
        <v>3944</v>
      </c>
      <c r="O2887" s="270">
        <v>1910.13</v>
      </c>
      <c r="P2887" s="270" t="s">
        <v>3944</v>
      </c>
      <c r="Q2887" s="270" t="s">
        <v>3944</v>
      </c>
      <c r="R2887" s="270">
        <v>1910.13</v>
      </c>
      <c r="S2887" s="270">
        <v>31883.34</v>
      </c>
      <c r="T2887" s="270">
        <v>33793.47</v>
      </c>
      <c r="U2887" s="271" t="s">
        <v>3945</v>
      </c>
      <c r="V2887" s="267" t="s">
        <v>944</v>
      </c>
    </row>
    <row r="2888" spans="1:22" hidden="1" x14ac:dyDescent="0.25">
      <c r="A2888" s="266">
        <v>43620</v>
      </c>
      <c r="B2888" s="267">
        <v>2019</v>
      </c>
      <c r="C2888" s="267">
        <v>2019</v>
      </c>
      <c r="D2888" s="267">
        <v>1</v>
      </c>
      <c r="E2888" s="267">
        <v>1</v>
      </c>
      <c r="F2888" s="267" t="s">
        <v>944</v>
      </c>
      <c r="G2888" s="267" t="s">
        <v>3926</v>
      </c>
      <c r="H2888" s="267" t="s">
        <v>7314</v>
      </c>
      <c r="I2888" s="267" t="s">
        <v>3962</v>
      </c>
      <c r="J2888" s="267" t="s">
        <v>3928</v>
      </c>
      <c r="K2888" s="267">
        <v>6355</v>
      </c>
      <c r="L2888" s="267">
        <v>702100</v>
      </c>
      <c r="M2888" s="267" t="s">
        <v>3960</v>
      </c>
      <c r="N2888" s="267" t="s">
        <v>3944</v>
      </c>
      <c r="O2888" s="267">
        <v>2545.8000000000002</v>
      </c>
      <c r="P2888" s="267" t="s">
        <v>3944</v>
      </c>
      <c r="Q2888" s="267" t="s">
        <v>3944</v>
      </c>
      <c r="R2888" s="267">
        <v>2545.8000000000002</v>
      </c>
      <c r="S2888" s="267">
        <v>42031.98</v>
      </c>
      <c r="T2888" s="267">
        <v>44577.78</v>
      </c>
      <c r="U2888" s="268" t="s">
        <v>3945</v>
      </c>
      <c r="V2888" s="267" t="s">
        <v>944</v>
      </c>
    </row>
    <row r="2889" spans="1:22" hidden="1" x14ac:dyDescent="0.25">
      <c r="A2889" s="269">
        <v>43620</v>
      </c>
      <c r="B2889" s="270">
        <v>2019</v>
      </c>
      <c r="C2889" s="270">
        <v>2019</v>
      </c>
      <c r="D2889" s="270">
        <v>1</v>
      </c>
      <c r="E2889" s="270">
        <v>1</v>
      </c>
      <c r="F2889" s="270" t="s">
        <v>944</v>
      </c>
      <c r="G2889" s="270" t="s">
        <v>3926</v>
      </c>
      <c r="H2889" s="270" t="s">
        <v>7315</v>
      </c>
      <c r="I2889" s="270" t="s">
        <v>4200</v>
      </c>
      <c r="J2889" s="270" t="s">
        <v>3928</v>
      </c>
      <c r="K2889" s="270">
        <v>6795</v>
      </c>
      <c r="L2889" s="270">
        <v>360200</v>
      </c>
      <c r="M2889" s="270" t="s">
        <v>3943</v>
      </c>
      <c r="N2889" s="270" t="s">
        <v>3944</v>
      </c>
      <c r="O2889" s="270">
        <v>3979.29</v>
      </c>
      <c r="P2889" s="270" t="s">
        <v>3944</v>
      </c>
      <c r="Q2889" s="270" t="s">
        <v>3944</v>
      </c>
      <c r="R2889" s="270">
        <v>3979.29</v>
      </c>
      <c r="S2889" s="270">
        <v>51356.05</v>
      </c>
      <c r="T2889" s="270">
        <v>55335.34</v>
      </c>
      <c r="U2889" s="271" t="s">
        <v>3945</v>
      </c>
      <c r="V2889" s="267" t="s">
        <v>944</v>
      </c>
    </row>
    <row r="2890" spans="1:22" hidden="1" x14ac:dyDescent="0.25">
      <c r="A2890" s="266">
        <v>43620</v>
      </c>
      <c r="B2890" s="267">
        <v>2019</v>
      </c>
      <c r="C2890" s="267">
        <v>2019</v>
      </c>
      <c r="D2890" s="267">
        <v>1</v>
      </c>
      <c r="E2890" s="267">
        <v>1</v>
      </c>
      <c r="F2890" s="267" t="s">
        <v>944</v>
      </c>
      <c r="G2890" s="267" t="s">
        <v>3926</v>
      </c>
      <c r="H2890" s="267" t="s">
        <v>7316</v>
      </c>
      <c r="I2890" s="267" t="s">
        <v>4250</v>
      </c>
      <c r="J2890" s="267" t="s">
        <v>3928</v>
      </c>
      <c r="K2890" s="267">
        <v>6239</v>
      </c>
      <c r="L2890" s="267">
        <v>904400</v>
      </c>
      <c r="M2890" s="267" t="s">
        <v>3940</v>
      </c>
      <c r="N2890" s="267" t="s">
        <v>3944</v>
      </c>
      <c r="O2890" s="267">
        <v>1653.79</v>
      </c>
      <c r="P2890" s="267" t="s">
        <v>3944</v>
      </c>
      <c r="Q2890" s="267" t="s">
        <v>3944</v>
      </c>
      <c r="R2890" s="267">
        <v>1653.79</v>
      </c>
      <c r="S2890" s="267">
        <v>23654.21</v>
      </c>
      <c r="T2890" s="267">
        <v>25308</v>
      </c>
      <c r="U2890" s="268" t="s">
        <v>3945</v>
      </c>
      <c r="V2890" s="267" t="s">
        <v>944</v>
      </c>
    </row>
    <row r="2891" spans="1:22" hidden="1" x14ac:dyDescent="0.25">
      <c r="A2891" s="269">
        <v>43620</v>
      </c>
      <c r="B2891" s="270">
        <v>2019</v>
      </c>
      <c r="C2891" s="270">
        <v>2019</v>
      </c>
      <c r="D2891" s="270">
        <v>1</v>
      </c>
      <c r="E2891" s="270">
        <v>1</v>
      </c>
      <c r="F2891" s="270" t="s">
        <v>944</v>
      </c>
      <c r="G2891" s="270" t="s">
        <v>3926</v>
      </c>
      <c r="H2891" s="270" t="s">
        <v>7317</v>
      </c>
      <c r="I2891" s="270" t="s">
        <v>4947</v>
      </c>
      <c r="J2891" s="270" t="s">
        <v>3928</v>
      </c>
      <c r="K2891" s="270">
        <v>6787</v>
      </c>
      <c r="L2891" s="270">
        <v>349200</v>
      </c>
      <c r="M2891" s="270" t="s">
        <v>3940</v>
      </c>
      <c r="N2891" s="270" t="s">
        <v>3944</v>
      </c>
      <c r="O2891" s="270">
        <v>1725.96</v>
      </c>
      <c r="P2891" s="270" t="s">
        <v>3944</v>
      </c>
      <c r="Q2891" s="270" t="s">
        <v>3944</v>
      </c>
      <c r="R2891" s="270">
        <v>1725.96</v>
      </c>
      <c r="S2891" s="270">
        <v>22304.32</v>
      </c>
      <c r="T2891" s="270">
        <v>24030.28</v>
      </c>
      <c r="U2891" s="271" t="s">
        <v>3945</v>
      </c>
      <c r="V2891" s="267" t="s">
        <v>944</v>
      </c>
    </row>
    <row r="2892" spans="1:22" hidden="1" x14ac:dyDescent="0.25">
      <c r="A2892" s="266">
        <v>43620</v>
      </c>
      <c r="B2892" s="267">
        <v>2019</v>
      </c>
      <c r="C2892" s="267">
        <v>2019</v>
      </c>
      <c r="D2892" s="267">
        <v>1</v>
      </c>
      <c r="E2892" s="267">
        <v>1</v>
      </c>
      <c r="F2892" s="267" t="s">
        <v>944</v>
      </c>
      <c r="G2892" s="267" t="s">
        <v>3926</v>
      </c>
      <c r="H2892" s="267" t="s">
        <v>7318</v>
      </c>
      <c r="I2892" s="267" t="s">
        <v>943</v>
      </c>
      <c r="J2892" s="267" t="s">
        <v>3928</v>
      </c>
      <c r="K2892" s="267">
        <v>6515</v>
      </c>
      <c r="L2892" s="267">
        <v>141000</v>
      </c>
      <c r="M2892" s="267" t="s">
        <v>3960</v>
      </c>
      <c r="N2892" s="267" t="s">
        <v>3944</v>
      </c>
      <c r="O2892" s="267">
        <v>835.59</v>
      </c>
      <c r="P2892" s="267" t="s">
        <v>3944</v>
      </c>
      <c r="Q2892" s="267" t="s">
        <v>3944</v>
      </c>
      <c r="R2892" s="267">
        <v>835.59</v>
      </c>
      <c r="S2892" s="267">
        <v>13401.58</v>
      </c>
      <c r="T2892" s="267">
        <v>14237.17</v>
      </c>
      <c r="U2892" s="268" t="s">
        <v>3945</v>
      </c>
      <c r="V2892" s="267" t="s">
        <v>944</v>
      </c>
    </row>
    <row r="2893" spans="1:22" hidden="1" x14ac:dyDescent="0.25">
      <c r="A2893" s="269">
        <v>43620</v>
      </c>
      <c r="B2893" s="270">
        <v>2019</v>
      </c>
      <c r="C2893" s="270">
        <v>2019</v>
      </c>
      <c r="D2893" s="270">
        <v>1</v>
      </c>
      <c r="E2893" s="270">
        <v>1</v>
      </c>
      <c r="F2893" s="270" t="s">
        <v>944</v>
      </c>
      <c r="G2893" s="270" t="s">
        <v>3926</v>
      </c>
      <c r="H2893" s="270" t="s">
        <v>7319</v>
      </c>
      <c r="I2893" s="270" t="s">
        <v>4016</v>
      </c>
      <c r="J2893" s="270" t="s">
        <v>3928</v>
      </c>
      <c r="K2893" s="270">
        <v>6770</v>
      </c>
      <c r="L2893" s="270">
        <v>345201</v>
      </c>
      <c r="M2893" s="270" t="s">
        <v>3935</v>
      </c>
      <c r="N2893" s="270" t="s">
        <v>3944</v>
      </c>
      <c r="O2893" s="270">
        <v>2275.98</v>
      </c>
      <c r="P2893" s="270" t="s">
        <v>3944</v>
      </c>
      <c r="Q2893" s="270" t="s">
        <v>3944</v>
      </c>
      <c r="R2893" s="270">
        <v>2275.98</v>
      </c>
      <c r="S2893" s="270">
        <v>26530.77</v>
      </c>
      <c r="T2893" s="270">
        <v>28806.75</v>
      </c>
      <c r="U2893" s="271" t="s">
        <v>3945</v>
      </c>
      <c r="V2893" s="267" t="s">
        <v>944</v>
      </c>
    </row>
    <row r="2894" spans="1:22" hidden="1" x14ac:dyDescent="0.25">
      <c r="A2894" s="266">
        <v>43620</v>
      </c>
      <c r="B2894" s="267">
        <v>2019</v>
      </c>
      <c r="C2894" s="267">
        <v>2019</v>
      </c>
      <c r="D2894" s="267">
        <v>1</v>
      </c>
      <c r="E2894" s="267">
        <v>1</v>
      </c>
      <c r="F2894" s="267" t="s">
        <v>944</v>
      </c>
      <c r="G2894" s="267" t="s">
        <v>3926</v>
      </c>
      <c r="H2894" s="267" t="s">
        <v>7320</v>
      </c>
      <c r="I2894" s="267" t="s">
        <v>4111</v>
      </c>
      <c r="J2894" s="267" t="s">
        <v>3928</v>
      </c>
      <c r="K2894" s="267">
        <v>6095</v>
      </c>
      <c r="L2894" s="267">
        <v>473501</v>
      </c>
      <c r="M2894" s="267" t="s">
        <v>3943</v>
      </c>
      <c r="N2894" s="267" t="s">
        <v>3944</v>
      </c>
      <c r="O2894" s="267">
        <v>1918.63</v>
      </c>
      <c r="P2894" s="267" t="s">
        <v>3944</v>
      </c>
      <c r="Q2894" s="267" t="s">
        <v>3944</v>
      </c>
      <c r="R2894" s="267">
        <v>1918.63</v>
      </c>
      <c r="S2894" s="267">
        <v>32760.17</v>
      </c>
      <c r="T2894" s="267">
        <v>34678.800000000003</v>
      </c>
      <c r="U2894" s="268" t="s">
        <v>3945</v>
      </c>
      <c r="V2894" s="267" t="s">
        <v>944</v>
      </c>
    </row>
    <row r="2895" spans="1:22" hidden="1" x14ac:dyDescent="0.25">
      <c r="A2895" s="269">
        <v>43620</v>
      </c>
      <c r="B2895" s="270">
        <v>2019</v>
      </c>
      <c r="C2895" s="270">
        <v>2019</v>
      </c>
      <c r="D2895" s="270">
        <v>1</v>
      </c>
      <c r="E2895" s="270">
        <v>1</v>
      </c>
      <c r="F2895" s="270" t="s">
        <v>944</v>
      </c>
      <c r="G2895" s="270" t="s">
        <v>3926</v>
      </c>
      <c r="H2895" s="270" t="s">
        <v>7321</v>
      </c>
      <c r="I2895" s="270" t="s">
        <v>4200</v>
      </c>
      <c r="J2895" s="270" t="s">
        <v>3928</v>
      </c>
      <c r="K2895" s="270">
        <v>6779</v>
      </c>
      <c r="L2895" s="270">
        <v>360400</v>
      </c>
      <c r="M2895" s="270" t="s">
        <v>3940</v>
      </c>
      <c r="N2895" s="270" t="s">
        <v>3944</v>
      </c>
      <c r="O2895" s="270">
        <v>1128.02</v>
      </c>
      <c r="P2895" s="270" t="s">
        <v>3944</v>
      </c>
      <c r="Q2895" s="270" t="s">
        <v>3944</v>
      </c>
      <c r="R2895" s="270">
        <v>1128.02</v>
      </c>
      <c r="S2895" s="270">
        <v>15056.58</v>
      </c>
      <c r="T2895" s="270">
        <v>16184.6</v>
      </c>
      <c r="U2895" s="271" t="s">
        <v>3945</v>
      </c>
      <c r="V2895" s="267" t="s">
        <v>944</v>
      </c>
    </row>
    <row r="2896" spans="1:22" hidden="1" x14ac:dyDescent="0.25">
      <c r="A2896" s="266">
        <v>43621</v>
      </c>
      <c r="B2896" s="267">
        <v>2019</v>
      </c>
      <c r="C2896" s="267">
        <v>2019</v>
      </c>
      <c r="D2896" s="267">
        <v>1</v>
      </c>
      <c r="E2896" s="267">
        <v>1</v>
      </c>
      <c r="F2896" s="267" t="s">
        <v>944</v>
      </c>
      <c r="G2896" s="267" t="s">
        <v>3926</v>
      </c>
      <c r="H2896" s="267" t="s">
        <v>7322</v>
      </c>
      <c r="I2896" s="267" t="s">
        <v>4330</v>
      </c>
      <c r="J2896" s="267" t="s">
        <v>3928</v>
      </c>
      <c r="K2896" s="267">
        <v>6413</v>
      </c>
      <c r="L2896" s="267">
        <v>610300</v>
      </c>
      <c r="M2896" s="267" t="s">
        <v>3960</v>
      </c>
      <c r="N2896" s="267" t="s">
        <v>7323</v>
      </c>
      <c r="O2896" s="267">
        <v>0</v>
      </c>
      <c r="P2896" s="267" t="s">
        <v>3930</v>
      </c>
      <c r="Q2896" s="267" t="s">
        <v>3930</v>
      </c>
      <c r="R2896" s="267">
        <v>0</v>
      </c>
      <c r="S2896" s="267">
        <v>8736.8700000000008</v>
      </c>
      <c r="T2896" s="267">
        <v>8736.8700000000008</v>
      </c>
      <c r="U2896" s="268" t="s">
        <v>3937</v>
      </c>
      <c r="V2896" s="267" t="s">
        <v>944</v>
      </c>
    </row>
    <row r="2897" spans="1:22" hidden="1" x14ac:dyDescent="0.25">
      <c r="A2897" s="269">
        <v>43621</v>
      </c>
      <c r="B2897" s="270">
        <v>2019</v>
      </c>
      <c r="C2897" s="270">
        <v>2019</v>
      </c>
      <c r="D2897" s="270">
        <v>1</v>
      </c>
      <c r="E2897" s="270">
        <v>1</v>
      </c>
      <c r="F2897" s="270" t="s">
        <v>944</v>
      </c>
      <c r="G2897" s="270" t="s">
        <v>3926</v>
      </c>
      <c r="H2897" s="270" t="s">
        <v>7324</v>
      </c>
      <c r="I2897" s="270" t="s">
        <v>3964</v>
      </c>
      <c r="J2897" s="270" t="s">
        <v>3928</v>
      </c>
      <c r="K2897" s="270">
        <v>6033</v>
      </c>
      <c r="L2897" s="270">
        <v>520100</v>
      </c>
      <c r="M2897" s="270" t="s">
        <v>3943</v>
      </c>
      <c r="N2897" s="270" t="s">
        <v>4732</v>
      </c>
      <c r="O2897" s="270">
        <v>0</v>
      </c>
      <c r="P2897" s="270" t="s">
        <v>3930</v>
      </c>
      <c r="Q2897" s="270" t="s">
        <v>3930</v>
      </c>
      <c r="R2897" s="270">
        <v>0</v>
      </c>
      <c r="S2897" s="270">
        <v>9000</v>
      </c>
      <c r="T2897" s="270">
        <v>9000</v>
      </c>
      <c r="U2897" s="271" t="s">
        <v>3937</v>
      </c>
      <c r="V2897" s="267" t="s">
        <v>944</v>
      </c>
    </row>
    <row r="2898" spans="1:22" hidden="1" x14ac:dyDescent="0.25">
      <c r="A2898" s="266">
        <v>43621</v>
      </c>
      <c r="B2898" s="267">
        <v>2019</v>
      </c>
      <c r="C2898" s="267">
        <v>2019</v>
      </c>
      <c r="D2898" s="267">
        <v>1</v>
      </c>
      <c r="E2898" s="267">
        <v>1</v>
      </c>
      <c r="F2898" s="267" t="s">
        <v>944</v>
      </c>
      <c r="G2898" s="267" t="s">
        <v>3926</v>
      </c>
      <c r="H2898" s="267" t="s">
        <v>7325</v>
      </c>
      <c r="I2898" s="267" t="s">
        <v>3009</v>
      </c>
      <c r="J2898" s="267" t="s">
        <v>3928</v>
      </c>
      <c r="K2898" s="267">
        <v>6484</v>
      </c>
      <c r="L2898" s="267">
        <v>110500</v>
      </c>
      <c r="M2898" s="267" t="s">
        <v>3943</v>
      </c>
      <c r="N2898" s="267" t="s">
        <v>4714</v>
      </c>
      <c r="O2898" s="267">
        <v>4446.18</v>
      </c>
      <c r="P2898" s="267" t="s">
        <v>3930</v>
      </c>
      <c r="Q2898" s="267" t="s">
        <v>3931</v>
      </c>
      <c r="R2898" s="267">
        <v>9446.18</v>
      </c>
      <c r="S2898" s="267">
        <v>24518.2</v>
      </c>
      <c r="T2898" s="267">
        <v>33964.379999999997</v>
      </c>
      <c r="U2898" s="268" t="s">
        <v>3932</v>
      </c>
      <c r="V2898" s="267" t="s">
        <v>944</v>
      </c>
    </row>
    <row r="2899" spans="1:22" hidden="1" x14ac:dyDescent="0.25">
      <c r="A2899" s="269">
        <v>43621</v>
      </c>
      <c r="B2899" s="270">
        <v>2019</v>
      </c>
      <c r="C2899" s="270">
        <v>2019</v>
      </c>
      <c r="D2899" s="270">
        <v>1</v>
      </c>
      <c r="E2899" s="270">
        <v>1</v>
      </c>
      <c r="F2899" s="270" t="s">
        <v>944</v>
      </c>
      <c r="G2899" s="270" t="s">
        <v>3926</v>
      </c>
      <c r="H2899" s="270" t="s">
        <v>7326</v>
      </c>
      <c r="I2899" s="270" t="s">
        <v>3996</v>
      </c>
      <c r="J2899" s="270" t="s">
        <v>3928</v>
      </c>
      <c r="K2899" s="270">
        <v>6790</v>
      </c>
      <c r="L2899" s="270">
        <v>310804</v>
      </c>
      <c r="M2899" s="270" t="s">
        <v>3935</v>
      </c>
      <c r="N2899" s="270" t="s">
        <v>4103</v>
      </c>
      <c r="O2899" s="270">
        <v>1577.34</v>
      </c>
      <c r="P2899" s="270" t="s">
        <v>3930</v>
      </c>
      <c r="Q2899" s="270" t="s">
        <v>3931</v>
      </c>
      <c r="R2899" s="270">
        <v>6577.34</v>
      </c>
      <c r="S2899" s="270">
        <v>24145.599999999999</v>
      </c>
      <c r="T2899" s="270">
        <v>30722.94</v>
      </c>
      <c r="U2899" s="271" t="s">
        <v>3932</v>
      </c>
      <c r="V2899" s="267" t="s">
        <v>944</v>
      </c>
    </row>
    <row r="2900" spans="1:22" hidden="1" x14ac:dyDescent="0.25">
      <c r="A2900" s="266">
        <v>43621</v>
      </c>
      <c r="B2900" s="267">
        <v>2019</v>
      </c>
      <c r="C2900" s="267">
        <v>2019</v>
      </c>
      <c r="D2900" s="267">
        <v>1</v>
      </c>
      <c r="E2900" s="267">
        <v>1</v>
      </c>
      <c r="F2900" s="267" t="s">
        <v>944</v>
      </c>
      <c r="G2900" s="267" t="s">
        <v>3926</v>
      </c>
      <c r="H2900" s="267" t="s">
        <v>7327</v>
      </c>
      <c r="I2900" s="267" t="s">
        <v>5485</v>
      </c>
      <c r="J2900" s="267" t="s">
        <v>3928</v>
      </c>
      <c r="K2900" s="267">
        <v>6001</v>
      </c>
      <c r="L2900" s="267">
        <v>462101</v>
      </c>
      <c r="M2900" s="267" t="s">
        <v>3943</v>
      </c>
      <c r="N2900" s="267" t="s">
        <v>3929</v>
      </c>
      <c r="O2900" s="267">
        <v>2255.44</v>
      </c>
      <c r="P2900" s="267" t="s">
        <v>3930</v>
      </c>
      <c r="Q2900" s="267" t="s">
        <v>3931</v>
      </c>
      <c r="R2900" s="267">
        <v>7255.44</v>
      </c>
      <c r="S2900" s="267">
        <v>34744</v>
      </c>
      <c r="T2900" s="267">
        <v>41999.44</v>
      </c>
      <c r="U2900" s="268" t="s">
        <v>3932</v>
      </c>
      <c r="V2900" s="267" t="s">
        <v>944</v>
      </c>
    </row>
    <row r="2901" spans="1:22" hidden="1" x14ac:dyDescent="0.25">
      <c r="A2901" s="269">
        <v>43621</v>
      </c>
      <c r="B2901" s="270">
        <v>2019</v>
      </c>
      <c r="C2901" s="270">
        <v>2019</v>
      </c>
      <c r="D2901" s="270">
        <v>1</v>
      </c>
      <c r="E2901" s="270">
        <v>1</v>
      </c>
      <c r="F2901" s="270" t="s">
        <v>944</v>
      </c>
      <c r="G2901" s="270" t="s">
        <v>3926</v>
      </c>
      <c r="H2901" s="270" t="s">
        <v>7328</v>
      </c>
      <c r="I2901" s="270" t="s">
        <v>3014</v>
      </c>
      <c r="J2901" s="270" t="s">
        <v>3928</v>
      </c>
      <c r="K2901" s="270">
        <v>6525</v>
      </c>
      <c r="L2901" s="270">
        <v>160100</v>
      </c>
      <c r="M2901" s="270" t="s">
        <v>3943</v>
      </c>
      <c r="N2901" s="270" t="s">
        <v>5313</v>
      </c>
      <c r="O2901" s="270">
        <v>0</v>
      </c>
      <c r="P2901" s="270" t="s">
        <v>3930</v>
      </c>
      <c r="Q2901" s="270" t="s">
        <v>3930</v>
      </c>
      <c r="R2901" s="270">
        <v>0</v>
      </c>
      <c r="S2901" s="270">
        <v>36283</v>
      </c>
      <c r="T2901" s="270">
        <v>36283</v>
      </c>
      <c r="U2901" s="271" t="s">
        <v>3937</v>
      </c>
      <c r="V2901" s="267" t="s">
        <v>944</v>
      </c>
    </row>
    <row r="2902" spans="1:22" hidden="1" x14ac:dyDescent="0.25">
      <c r="A2902" s="266">
        <v>43621</v>
      </c>
      <c r="B2902" s="267">
        <v>2019</v>
      </c>
      <c r="C2902" s="267">
        <v>2019</v>
      </c>
      <c r="D2902" s="267">
        <v>1</v>
      </c>
      <c r="E2902" s="267">
        <v>1</v>
      </c>
      <c r="F2902" s="267" t="s">
        <v>944</v>
      </c>
      <c r="G2902" s="267" t="s">
        <v>3926</v>
      </c>
      <c r="H2902" s="267" t="s">
        <v>7329</v>
      </c>
      <c r="I2902" s="267" t="s">
        <v>4011</v>
      </c>
      <c r="J2902" s="267" t="s">
        <v>3928</v>
      </c>
      <c r="K2902" s="267">
        <v>6002</v>
      </c>
      <c r="L2902" s="267">
        <v>471400</v>
      </c>
      <c r="M2902" s="267" t="s">
        <v>3943</v>
      </c>
      <c r="N2902" s="267" t="s">
        <v>3944</v>
      </c>
      <c r="O2902" s="267">
        <v>3806</v>
      </c>
      <c r="P2902" s="267" t="s">
        <v>3944</v>
      </c>
      <c r="Q2902" s="267" t="s">
        <v>3944</v>
      </c>
      <c r="R2902" s="267">
        <v>3806</v>
      </c>
      <c r="S2902" s="267">
        <v>27434</v>
      </c>
      <c r="T2902" s="267">
        <v>31240</v>
      </c>
      <c r="U2902" s="268" t="s">
        <v>3945</v>
      </c>
      <c r="V2902" s="267" t="s">
        <v>944</v>
      </c>
    </row>
    <row r="2903" spans="1:22" hidden="1" x14ac:dyDescent="0.25">
      <c r="A2903" s="269">
        <v>43621</v>
      </c>
      <c r="B2903" s="270">
        <v>2019</v>
      </c>
      <c r="C2903" s="270">
        <v>2019</v>
      </c>
      <c r="D2903" s="270">
        <v>1</v>
      </c>
      <c r="E2903" s="270">
        <v>1</v>
      </c>
      <c r="F2903" s="270" t="s">
        <v>944</v>
      </c>
      <c r="G2903" s="270" t="s">
        <v>3926</v>
      </c>
      <c r="H2903" s="270" t="s">
        <v>7330</v>
      </c>
      <c r="I2903" s="270" t="s">
        <v>3012</v>
      </c>
      <c r="J2903" s="270" t="s">
        <v>3928</v>
      </c>
      <c r="K2903" s="270">
        <v>6477</v>
      </c>
      <c r="L2903" s="270">
        <v>157400</v>
      </c>
      <c r="M2903" s="270" t="s">
        <v>3943</v>
      </c>
      <c r="N2903" s="270" t="s">
        <v>3944</v>
      </c>
      <c r="O2903" s="270">
        <v>2634</v>
      </c>
      <c r="P2903" s="270" t="s">
        <v>3944</v>
      </c>
      <c r="Q2903" s="270" t="s">
        <v>3944</v>
      </c>
      <c r="R2903" s="270">
        <v>2634</v>
      </c>
      <c r="S2903" s="270">
        <v>19275</v>
      </c>
      <c r="T2903" s="270">
        <v>21909</v>
      </c>
      <c r="U2903" s="271" t="s">
        <v>3945</v>
      </c>
      <c r="V2903" s="267" t="s">
        <v>944</v>
      </c>
    </row>
    <row r="2904" spans="1:22" hidden="1" x14ac:dyDescent="0.25">
      <c r="A2904" s="266">
        <v>43621</v>
      </c>
      <c r="B2904" s="267">
        <v>2019</v>
      </c>
      <c r="C2904" s="267">
        <v>2019</v>
      </c>
      <c r="D2904" s="267">
        <v>1</v>
      </c>
      <c r="E2904" s="267">
        <v>1</v>
      </c>
      <c r="F2904" s="267" t="s">
        <v>944</v>
      </c>
      <c r="G2904" s="267" t="s">
        <v>3926</v>
      </c>
      <c r="H2904" s="267" t="s">
        <v>7331</v>
      </c>
      <c r="I2904" s="267" t="s">
        <v>3966</v>
      </c>
      <c r="J2904" s="267" t="s">
        <v>3928</v>
      </c>
      <c r="K2904" s="267">
        <v>6010</v>
      </c>
      <c r="L2904" s="267">
        <v>405300</v>
      </c>
      <c r="M2904" s="267" t="s">
        <v>3940</v>
      </c>
      <c r="N2904" s="267" t="s">
        <v>3944</v>
      </c>
      <c r="O2904" s="267">
        <v>1919</v>
      </c>
      <c r="P2904" s="267" t="s">
        <v>3944</v>
      </c>
      <c r="Q2904" s="267" t="s">
        <v>3944</v>
      </c>
      <c r="R2904" s="267">
        <v>1919</v>
      </c>
      <c r="S2904" s="267">
        <v>23867.8</v>
      </c>
      <c r="T2904" s="267">
        <v>25786.799999999999</v>
      </c>
      <c r="U2904" s="268" t="s">
        <v>3945</v>
      </c>
      <c r="V2904" s="267" t="s">
        <v>944</v>
      </c>
    </row>
    <row r="2905" spans="1:22" hidden="1" x14ac:dyDescent="0.25">
      <c r="A2905" s="269">
        <v>43621</v>
      </c>
      <c r="B2905" s="270">
        <v>2019</v>
      </c>
      <c r="C2905" s="270">
        <v>2019</v>
      </c>
      <c r="D2905" s="270">
        <v>1</v>
      </c>
      <c r="E2905" s="270">
        <v>1</v>
      </c>
      <c r="F2905" s="270" t="s">
        <v>944</v>
      </c>
      <c r="G2905" s="270" t="s">
        <v>3926</v>
      </c>
      <c r="H2905" s="270" t="s">
        <v>7332</v>
      </c>
      <c r="I2905" s="270" t="s">
        <v>3949</v>
      </c>
      <c r="J2905" s="270" t="s">
        <v>3928</v>
      </c>
      <c r="K2905" s="270">
        <v>6437</v>
      </c>
      <c r="L2905" s="270">
        <v>190200</v>
      </c>
      <c r="M2905" s="270" t="s">
        <v>3943</v>
      </c>
      <c r="N2905" s="270" t="s">
        <v>3944</v>
      </c>
      <c r="O2905" s="270">
        <v>3811</v>
      </c>
      <c r="P2905" s="270" t="s">
        <v>3944</v>
      </c>
      <c r="Q2905" s="270" t="s">
        <v>3944</v>
      </c>
      <c r="R2905" s="270">
        <v>3811</v>
      </c>
      <c r="S2905" s="270">
        <v>33875.25</v>
      </c>
      <c r="T2905" s="270">
        <v>37686.25</v>
      </c>
      <c r="U2905" s="271" t="s">
        <v>3945</v>
      </c>
      <c r="V2905" s="267" t="s">
        <v>944</v>
      </c>
    </row>
    <row r="2906" spans="1:22" hidden="1" x14ac:dyDescent="0.25">
      <c r="A2906" s="266">
        <v>43621</v>
      </c>
      <c r="B2906" s="267">
        <v>2019</v>
      </c>
      <c r="C2906" s="267">
        <v>2019</v>
      </c>
      <c r="D2906" s="267">
        <v>1</v>
      </c>
      <c r="E2906" s="267">
        <v>1</v>
      </c>
      <c r="F2906" s="267" t="s">
        <v>944</v>
      </c>
      <c r="G2906" s="267" t="s">
        <v>3926</v>
      </c>
      <c r="H2906" s="267" t="s">
        <v>7333</v>
      </c>
      <c r="I2906" s="267" t="s">
        <v>4213</v>
      </c>
      <c r="J2906" s="267" t="s">
        <v>3928</v>
      </c>
      <c r="K2906" s="267">
        <v>6051</v>
      </c>
      <c r="L2906" s="267">
        <v>416300</v>
      </c>
      <c r="M2906" s="267">
        <v>-60</v>
      </c>
      <c r="N2906" s="267" t="s">
        <v>3944</v>
      </c>
      <c r="O2906" s="267">
        <v>1440</v>
      </c>
      <c r="P2906" s="267" t="s">
        <v>3944</v>
      </c>
      <c r="Q2906" s="267" t="s">
        <v>3944</v>
      </c>
      <c r="R2906" s="267">
        <v>1440</v>
      </c>
      <c r="S2906" s="267">
        <v>13635</v>
      </c>
      <c r="T2906" s="267">
        <v>15075</v>
      </c>
      <c r="U2906" s="268" t="s">
        <v>3945</v>
      </c>
      <c r="V2906" s="267" t="s">
        <v>944</v>
      </c>
    </row>
    <row r="2907" spans="1:22" hidden="1" x14ac:dyDescent="0.25">
      <c r="A2907" s="269">
        <v>43621</v>
      </c>
      <c r="B2907" s="270">
        <v>2019</v>
      </c>
      <c r="C2907" s="270">
        <v>2019</v>
      </c>
      <c r="D2907" s="270">
        <v>1</v>
      </c>
      <c r="E2907" s="270">
        <v>1</v>
      </c>
      <c r="F2907" s="270" t="s">
        <v>944</v>
      </c>
      <c r="G2907" s="270" t="s">
        <v>3926</v>
      </c>
      <c r="H2907" s="270" t="s">
        <v>7334</v>
      </c>
      <c r="I2907" s="270" t="s">
        <v>4323</v>
      </c>
      <c r="J2907" s="270" t="s">
        <v>3928</v>
      </c>
      <c r="K2907" s="270">
        <v>6385</v>
      </c>
      <c r="L2907" s="270">
        <v>693700</v>
      </c>
      <c r="M2907" s="270" t="s">
        <v>3943</v>
      </c>
      <c r="N2907" s="270" t="s">
        <v>3944</v>
      </c>
      <c r="O2907" s="270">
        <v>4022</v>
      </c>
      <c r="P2907" s="270" t="s">
        <v>3944</v>
      </c>
      <c r="Q2907" s="270" t="s">
        <v>3944</v>
      </c>
      <c r="R2907" s="270">
        <v>4022</v>
      </c>
      <c r="S2907" s="270">
        <v>29486.799999999999</v>
      </c>
      <c r="T2907" s="270">
        <v>33508.800000000003</v>
      </c>
      <c r="U2907" s="271" t="s">
        <v>3945</v>
      </c>
      <c r="V2907" s="267" t="s">
        <v>944</v>
      </c>
    </row>
    <row r="2908" spans="1:22" hidden="1" x14ac:dyDescent="0.25">
      <c r="A2908" s="266">
        <v>43621</v>
      </c>
      <c r="B2908" s="267">
        <v>2019</v>
      </c>
      <c r="C2908" s="267">
        <v>2019</v>
      </c>
      <c r="D2908" s="267">
        <v>1</v>
      </c>
      <c r="E2908" s="267">
        <v>1</v>
      </c>
      <c r="F2908" s="267" t="s">
        <v>944</v>
      </c>
      <c r="G2908" s="267" t="s">
        <v>3926</v>
      </c>
      <c r="H2908" s="267" t="s">
        <v>7335</v>
      </c>
      <c r="I2908" s="267" t="s">
        <v>4548</v>
      </c>
      <c r="J2908" s="267" t="s">
        <v>3928</v>
      </c>
      <c r="K2908" s="267">
        <v>6037</v>
      </c>
      <c r="L2908" s="267">
        <v>400100</v>
      </c>
      <c r="M2908" s="267" t="s">
        <v>3935</v>
      </c>
      <c r="N2908" s="267" t="s">
        <v>3944</v>
      </c>
      <c r="O2908" s="267">
        <v>2814.98</v>
      </c>
      <c r="P2908" s="267" t="s">
        <v>3944</v>
      </c>
      <c r="Q2908" s="267" t="s">
        <v>3944</v>
      </c>
      <c r="R2908" s="267">
        <v>2814.98</v>
      </c>
      <c r="S2908" s="267">
        <v>43471.45</v>
      </c>
      <c r="T2908" s="267">
        <v>46286.43</v>
      </c>
      <c r="U2908" s="268" t="s">
        <v>3945</v>
      </c>
      <c r="V2908" s="267" t="s">
        <v>944</v>
      </c>
    </row>
    <row r="2909" spans="1:22" hidden="1" x14ac:dyDescent="0.25">
      <c r="A2909" s="269">
        <v>43621</v>
      </c>
      <c r="B2909" s="270">
        <v>2019</v>
      </c>
      <c r="C2909" s="270">
        <v>2019</v>
      </c>
      <c r="D2909" s="270">
        <v>1</v>
      </c>
      <c r="E2909" s="270">
        <v>1</v>
      </c>
      <c r="F2909" s="270" t="s">
        <v>944</v>
      </c>
      <c r="G2909" s="270" t="s">
        <v>3926</v>
      </c>
      <c r="H2909" s="270" t="s">
        <v>7336</v>
      </c>
      <c r="I2909" s="270" t="s">
        <v>4035</v>
      </c>
      <c r="J2909" s="270" t="s">
        <v>3928</v>
      </c>
      <c r="K2909" s="270">
        <v>6074</v>
      </c>
      <c r="L2909" s="270">
        <v>487400</v>
      </c>
      <c r="M2909" s="270" t="s">
        <v>3943</v>
      </c>
      <c r="N2909" s="270" t="s">
        <v>3944</v>
      </c>
      <c r="O2909" s="270">
        <v>1233.58</v>
      </c>
      <c r="P2909" s="270" t="s">
        <v>3944</v>
      </c>
      <c r="Q2909" s="270" t="s">
        <v>3944</v>
      </c>
      <c r="R2909" s="270">
        <v>1233.58</v>
      </c>
      <c r="S2909" s="270">
        <v>18296.64</v>
      </c>
      <c r="T2909" s="270">
        <v>19530.22</v>
      </c>
      <c r="U2909" s="271" t="s">
        <v>3945</v>
      </c>
      <c r="V2909" s="267" t="s">
        <v>944</v>
      </c>
    </row>
    <row r="2910" spans="1:22" hidden="1" x14ac:dyDescent="0.25">
      <c r="A2910" s="266">
        <v>43621</v>
      </c>
      <c r="B2910" s="267">
        <v>2019</v>
      </c>
      <c r="C2910" s="267">
        <v>2019</v>
      </c>
      <c r="D2910" s="267">
        <v>1</v>
      </c>
      <c r="E2910" s="267">
        <v>1</v>
      </c>
      <c r="F2910" s="267" t="s">
        <v>944</v>
      </c>
      <c r="G2910" s="267" t="s">
        <v>3926</v>
      </c>
      <c r="H2910" s="267" t="s">
        <v>7337</v>
      </c>
      <c r="I2910" s="267" t="s">
        <v>4392</v>
      </c>
      <c r="J2910" s="267" t="s">
        <v>3928</v>
      </c>
      <c r="K2910" s="267">
        <v>6457</v>
      </c>
      <c r="L2910" s="267">
        <v>542000</v>
      </c>
      <c r="M2910" s="267" t="s">
        <v>3935</v>
      </c>
      <c r="N2910" s="267" t="s">
        <v>3944</v>
      </c>
      <c r="O2910" s="267">
        <v>897.61</v>
      </c>
      <c r="P2910" s="267" t="s">
        <v>3944</v>
      </c>
      <c r="Q2910" s="267" t="s">
        <v>3944</v>
      </c>
      <c r="R2910" s="267">
        <v>897.61</v>
      </c>
      <c r="S2910" s="267">
        <v>12077.39</v>
      </c>
      <c r="T2910" s="267">
        <v>12975</v>
      </c>
      <c r="U2910" s="268" t="s">
        <v>3945</v>
      </c>
      <c r="V2910" s="267" t="s">
        <v>944</v>
      </c>
    </row>
    <row r="2911" spans="1:22" hidden="1" x14ac:dyDescent="0.25">
      <c r="A2911" s="269">
        <v>43621</v>
      </c>
      <c r="B2911" s="270">
        <v>2019</v>
      </c>
      <c r="C2911" s="270">
        <v>2019</v>
      </c>
      <c r="D2911" s="270">
        <v>1</v>
      </c>
      <c r="E2911" s="270">
        <v>1</v>
      </c>
      <c r="F2911" s="270" t="s">
        <v>944</v>
      </c>
      <c r="G2911" s="270" t="s">
        <v>3926</v>
      </c>
      <c r="H2911" s="270" t="s">
        <v>7338</v>
      </c>
      <c r="I2911" s="270" t="s">
        <v>4422</v>
      </c>
      <c r="J2911" s="270" t="s">
        <v>3928</v>
      </c>
      <c r="K2911" s="270">
        <v>6801</v>
      </c>
      <c r="L2911" s="270">
        <v>200100</v>
      </c>
      <c r="M2911" s="270" t="s">
        <v>3935</v>
      </c>
      <c r="N2911" s="270" t="s">
        <v>3944</v>
      </c>
      <c r="O2911" s="270">
        <v>1579.31</v>
      </c>
      <c r="P2911" s="270" t="s">
        <v>3944</v>
      </c>
      <c r="Q2911" s="270" t="s">
        <v>3944</v>
      </c>
      <c r="R2911" s="270">
        <v>1579.31</v>
      </c>
      <c r="S2911" s="270">
        <v>20649.650000000001</v>
      </c>
      <c r="T2911" s="270">
        <v>22228.959999999999</v>
      </c>
      <c r="U2911" s="271" t="s">
        <v>3945</v>
      </c>
      <c r="V2911" s="267" t="s">
        <v>944</v>
      </c>
    </row>
    <row r="2912" spans="1:22" x14ac:dyDescent="0.25">
      <c r="A2912" s="266">
        <v>43621</v>
      </c>
      <c r="B2912" s="267">
        <v>2019</v>
      </c>
      <c r="C2912" s="267">
        <v>2019</v>
      </c>
      <c r="D2912" s="267">
        <v>1</v>
      </c>
      <c r="E2912" s="267">
        <v>1</v>
      </c>
      <c r="F2912" s="267" t="s">
        <v>944</v>
      </c>
      <c r="G2912" s="267" t="s">
        <v>3926</v>
      </c>
      <c r="H2912" s="267" t="s">
        <v>7339</v>
      </c>
      <c r="I2912" s="267" t="s">
        <v>934</v>
      </c>
      <c r="J2912" s="267" t="s">
        <v>3928</v>
      </c>
      <c r="K2912" s="267">
        <v>6610</v>
      </c>
      <c r="L2912" s="267">
        <v>73100</v>
      </c>
      <c r="M2912" s="267">
        <v>-60</v>
      </c>
      <c r="N2912" s="267" t="s">
        <v>3944</v>
      </c>
      <c r="O2912" s="267">
        <v>1215.76</v>
      </c>
      <c r="P2912" s="267" t="s">
        <v>3944</v>
      </c>
      <c r="Q2912" s="267" t="s">
        <v>3944</v>
      </c>
      <c r="R2912" s="267">
        <v>1215.76</v>
      </c>
      <c r="S2912" s="267">
        <v>18610.52</v>
      </c>
      <c r="T2912" s="267">
        <v>19826.28</v>
      </c>
      <c r="U2912" s="268" t="s">
        <v>3945</v>
      </c>
      <c r="V2912" s="276" t="s">
        <v>936</v>
      </c>
    </row>
    <row r="2913" spans="1:22" hidden="1" x14ac:dyDescent="0.25">
      <c r="A2913" s="269">
        <v>43621</v>
      </c>
      <c r="B2913" s="270">
        <v>2019</v>
      </c>
      <c r="C2913" s="270">
        <v>2019</v>
      </c>
      <c r="D2913" s="270">
        <v>1</v>
      </c>
      <c r="E2913" s="270">
        <v>1</v>
      </c>
      <c r="F2913" s="270" t="s">
        <v>944</v>
      </c>
      <c r="G2913" s="270" t="s">
        <v>3926</v>
      </c>
      <c r="H2913" s="270" t="s">
        <v>7340</v>
      </c>
      <c r="I2913" s="270" t="s">
        <v>3939</v>
      </c>
      <c r="J2913" s="270" t="s">
        <v>3928</v>
      </c>
      <c r="K2913" s="270">
        <v>6512</v>
      </c>
      <c r="L2913" s="270">
        <v>180601</v>
      </c>
      <c r="M2913" s="270" t="s">
        <v>3940</v>
      </c>
      <c r="N2913" s="270" t="s">
        <v>3944</v>
      </c>
      <c r="O2913" s="270">
        <v>2147.1799999999998</v>
      </c>
      <c r="P2913" s="270" t="s">
        <v>3944</v>
      </c>
      <c r="Q2913" s="270" t="s">
        <v>3944</v>
      </c>
      <c r="R2913" s="270">
        <v>2147.1799999999998</v>
      </c>
      <c r="S2913" s="270">
        <v>35607.21</v>
      </c>
      <c r="T2913" s="270">
        <v>37754.39</v>
      </c>
      <c r="U2913" s="271" t="s">
        <v>3945</v>
      </c>
      <c r="V2913" s="267" t="s">
        <v>944</v>
      </c>
    </row>
    <row r="2914" spans="1:22" hidden="1" x14ac:dyDescent="0.25">
      <c r="A2914" s="266">
        <v>43621</v>
      </c>
      <c r="B2914" s="267">
        <v>2019</v>
      </c>
      <c r="C2914" s="267">
        <v>2019</v>
      </c>
      <c r="D2914" s="267">
        <v>1</v>
      </c>
      <c r="E2914" s="267">
        <v>1</v>
      </c>
      <c r="F2914" s="267" t="s">
        <v>944</v>
      </c>
      <c r="G2914" s="267" t="s">
        <v>3926</v>
      </c>
      <c r="H2914" s="267" t="s">
        <v>7341</v>
      </c>
      <c r="I2914" s="267" t="s">
        <v>4548</v>
      </c>
      <c r="J2914" s="267" t="s">
        <v>3928</v>
      </c>
      <c r="K2914" s="267">
        <v>6037</v>
      </c>
      <c r="L2914" s="267">
        <v>400100</v>
      </c>
      <c r="M2914" s="267" t="s">
        <v>3935</v>
      </c>
      <c r="N2914" s="267" t="s">
        <v>3944</v>
      </c>
      <c r="O2914" s="267">
        <v>1473.96</v>
      </c>
      <c r="P2914" s="267" t="s">
        <v>3944</v>
      </c>
      <c r="Q2914" s="267" t="s">
        <v>3944</v>
      </c>
      <c r="R2914" s="267">
        <v>1473.96</v>
      </c>
      <c r="S2914" s="267">
        <v>21657.21</v>
      </c>
      <c r="T2914" s="267">
        <v>23131.17</v>
      </c>
      <c r="U2914" s="268" t="s">
        <v>3945</v>
      </c>
      <c r="V2914" s="267" t="s">
        <v>944</v>
      </c>
    </row>
    <row r="2915" spans="1:22" hidden="1" x14ac:dyDescent="0.25">
      <c r="A2915" s="269">
        <v>43621</v>
      </c>
      <c r="B2915" s="270">
        <v>2019</v>
      </c>
      <c r="C2915" s="270">
        <v>2019</v>
      </c>
      <c r="D2915" s="270">
        <v>1</v>
      </c>
      <c r="E2915" s="270">
        <v>1</v>
      </c>
      <c r="F2915" s="270" t="s">
        <v>944</v>
      </c>
      <c r="G2915" s="270" t="s">
        <v>3926</v>
      </c>
      <c r="H2915" s="270" t="s">
        <v>7342</v>
      </c>
      <c r="I2915" s="270" t="s">
        <v>4200</v>
      </c>
      <c r="J2915" s="270" t="s">
        <v>3928</v>
      </c>
      <c r="K2915" s="270">
        <v>6795</v>
      </c>
      <c r="L2915" s="270">
        <v>360200</v>
      </c>
      <c r="M2915" s="270" t="s">
        <v>3943</v>
      </c>
      <c r="N2915" s="270" t="s">
        <v>3944</v>
      </c>
      <c r="O2915" s="270">
        <v>4104.38</v>
      </c>
      <c r="P2915" s="270" t="s">
        <v>3944</v>
      </c>
      <c r="Q2915" s="270" t="s">
        <v>3944</v>
      </c>
      <c r="R2915" s="270">
        <v>4104.38</v>
      </c>
      <c r="S2915" s="270">
        <v>59603.12</v>
      </c>
      <c r="T2915" s="270">
        <v>63707.5</v>
      </c>
      <c r="U2915" s="271" t="s">
        <v>3945</v>
      </c>
      <c r="V2915" s="267" t="s">
        <v>944</v>
      </c>
    </row>
    <row r="2916" spans="1:22" hidden="1" x14ac:dyDescent="0.25">
      <c r="A2916" s="266">
        <v>43621</v>
      </c>
      <c r="B2916" s="267">
        <v>2019</v>
      </c>
      <c r="C2916" s="267">
        <v>2019</v>
      </c>
      <c r="D2916" s="267">
        <v>1</v>
      </c>
      <c r="E2916" s="267">
        <v>1</v>
      </c>
      <c r="F2916" s="267" t="s">
        <v>944</v>
      </c>
      <c r="G2916" s="267" t="s">
        <v>3926</v>
      </c>
      <c r="H2916" s="267" t="s">
        <v>7343</v>
      </c>
      <c r="I2916" s="267" t="s">
        <v>3996</v>
      </c>
      <c r="J2916" s="267" t="s">
        <v>3928</v>
      </c>
      <c r="K2916" s="267">
        <v>6790</v>
      </c>
      <c r="L2916" s="267">
        <v>310700</v>
      </c>
      <c r="M2916" s="267" t="s">
        <v>3940</v>
      </c>
      <c r="N2916" s="267" t="s">
        <v>3944</v>
      </c>
      <c r="O2916" s="267">
        <v>1866.55</v>
      </c>
      <c r="P2916" s="267" t="s">
        <v>3944</v>
      </c>
      <c r="Q2916" s="267" t="s">
        <v>3944</v>
      </c>
      <c r="R2916" s="267">
        <v>1866.55</v>
      </c>
      <c r="S2916" s="267">
        <v>24558.76</v>
      </c>
      <c r="T2916" s="267">
        <v>26425.31</v>
      </c>
      <c r="U2916" s="268" t="s">
        <v>3945</v>
      </c>
      <c r="V2916" s="267" t="s">
        <v>944</v>
      </c>
    </row>
    <row r="2917" spans="1:22" hidden="1" x14ac:dyDescent="0.25">
      <c r="A2917" s="269">
        <v>43621</v>
      </c>
      <c r="B2917" s="270">
        <v>2019</v>
      </c>
      <c r="C2917" s="270">
        <v>2019</v>
      </c>
      <c r="D2917" s="270">
        <v>1</v>
      </c>
      <c r="E2917" s="270">
        <v>1</v>
      </c>
      <c r="F2917" s="270" t="s">
        <v>944</v>
      </c>
      <c r="G2917" s="270" t="s">
        <v>3926</v>
      </c>
      <c r="H2917" s="270" t="s">
        <v>7344</v>
      </c>
      <c r="I2917" s="270" t="s">
        <v>4392</v>
      </c>
      <c r="J2917" s="270" t="s">
        <v>3928</v>
      </c>
      <c r="K2917" s="270">
        <v>6457</v>
      </c>
      <c r="L2917" s="270">
        <v>542000</v>
      </c>
      <c r="M2917" s="270" t="s">
        <v>3935</v>
      </c>
      <c r="N2917" s="270" t="s">
        <v>3944</v>
      </c>
      <c r="O2917" s="270">
        <v>1501.33</v>
      </c>
      <c r="P2917" s="270" t="s">
        <v>3944</v>
      </c>
      <c r="Q2917" s="270" t="s">
        <v>3944</v>
      </c>
      <c r="R2917" s="270">
        <v>1501.33</v>
      </c>
      <c r="S2917" s="270">
        <v>20599.490000000002</v>
      </c>
      <c r="T2917" s="270">
        <v>22100.82</v>
      </c>
      <c r="U2917" s="271" t="s">
        <v>3945</v>
      </c>
      <c r="V2917" s="267" t="s">
        <v>944</v>
      </c>
    </row>
    <row r="2918" spans="1:22" hidden="1" x14ac:dyDescent="0.25">
      <c r="A2918" s="266">
        <v>43621</v>
      </c>
      <c r="B2918" s="267">
        <v>2019</v>
      </c>
      <c r="C2918" s="267">
        <v>2019</v>
      </c>
      <c r="D2918" s="267">
        <v>1</v>
      </c>
      <c r="E2918" s="267">
        <v>1</v>
      </c>
      <c r="F2918" s="267" t="s">
        <v>944</v>
      </c>
      <c r="G2918" s="267" t="s">
        <v>3926</v>
      </c>
      <c r="H2918" s="267" t="s">
        <v>7345</v>
      </c>
      <c r="I2918" s="267" t="s">
        <v>953</v>
      </c>
      <c r="J2918" s="267" t="s">
        <v>3928</v>
      </c>
      <c r="K2918" s="267">
        <v>6517</v>
      </c>
      <c r="L2918" s="267">
        <v>165300</v>
      </c>
      <c r="M2918" s="267" t="s">
        <v>3943</v>
      </c>
      <c r="N2918" s="267" t="s">
        <v>3944</v>
      </c>
      <c r="O2918" s="267">
        <v>997.99</v>
      </c>
      <c r="P2918" s="267" t="s">
        <v>3944</v>
      </c>
      <c r="Q2918" s="267" t="s">
        <v>3944</v>
      </c>
      <c r="R2918" s="267">
        <v>997.99</v>
      </c>
      <c r="S2918" s="267">
        <v>14676.07</v>
      </c>
      <c r="T2918" s="267">
        <v>15674.06</v>
      </c>
      <c r="U2918" s="268" t="s">
        <v>3945</v>
      </c>
      <c r="V2918" s="267" t="s">
        <v>944</v>
      </c>
    </row>
    <row r="2919" spans="1:22" hidden="1" x14ac:dyDescent="0.25">
      <c r="A2919" s="269">
        <v>43621</v>
      </c>
      <c r="B2919" s="270">
        <v>2019</v>
      </c>
      <c r="C2919" s="270">
        <v>2019</v>
      </c>
      <c r="D2919" s="270">
        <v>1</v>
      </c>
      <c r="E2919" s="270">
        <v>1</v>
      </c>
      <c r="F2919" s="270" t="s">
        <v>944</v>
      </c>
      <c r="G2919" s="270" t="s">
        <v>3926</v>
      </c>
      <c r="H2919" s="270" t="s">
        <v>7346</v>
      </c>
      <c r="I2919" s="270" t="s">
        <v>4239</v>
      </c>
      <c r="J2919" s="270" t="s">
        <v>3928</v>
      </c>
      <c r="K2919" s="270">
        <v>6032</v>
      </c>
      <c r="L2919" s="270">
        <v>460100</v>
      </c>
      <c r="M2919" s="270" t="s">
        <v>3960</v>
      </c>
      <c r="N2919" s="270" t="s">
        <v>3944</v>
      </c>
      <c r="O2919" s="270">
        <v>2223.1</v>
      </c>
      <c r="P2919" s="270" t="s">
        <v>3944</v>
      </c>
      <c r="Q2919" s="270" t="s">
        <v>3944</v>
      </c>
      <c r="R2919" s="270">
        <v>2223.1</v>
      </c>
      <c r="S2919" s="270">
        <v>32013.9</v>
      </c>
      <c r="T2919" s="270">
        <v>34237</v>
      </c>
      <c r="U2919" s="271" t="s">
        <v>3945</v>
      </c>
      <c r="V2919" s="267" t="s">
        <v>944</v>
      </c>
    </row>
    <row r="2920" spans="1:22" hidden="1" x14ac:dyDescent="0.25">
      <c r="A2920" s="266">
        <v>43621</v>
      </c>
      <c r="B2920" s="267">
        <v>2019</v>
      </c>
      <c r="C2920" s="267">
        <v>2019</v>
      </c>
      <c r="D2920" s="267">
        <v>1</v>
      </c>
      <c r="E2920" s="267">
        <v>1</v>
      </c>
      <c r="F2920" s="267" t="s">
        <v>944</v>
      </c>
      <c r="G2920" s="267" t="s">
        <v>3926</v>
      </c>
      <c r="H2920" s="267" t="s">
        <v>7347</v>
      </c>
      <c r="I2920" s="267" t="s">
        <v>4490</v>
      </c>
      <c r="J2920" s="267" t="s">
        <v>3928</v>
      </c>
      <c r="K2920" s="267">
        <v>6426</v>
      </c>
      <c r="L2920" s="267">
        <v>630100</v>
      </c>
      <c r="M2920" s="267" t="s">
        <v>3960</v>
      </c>
      <c r="N2920" s="267" t="s">
        <v>3944</v>
      </c>
      <c r="O2920" s="267">
        <v>3397.14</v>
      </c>
      <c r="P2920" s="267" t="s">
        <v>3944</v>
      </c>
      <c r="Q2920" s="267" t="s">
        <v>3944</v>
      </c>
      <c r="R2920" s="267">
        <v>3397.14</v>
      </c>
      <c r="S2920" s="267">
        <v>49962</v>
      </c>
      <c r="T2920" s="267">
        <v>53359.14</v>
      </c>
      <c r="U2920" s="268" t="s">
        <v>3945</v>
      </c>
      <c r="V2920" s="267" t="s">
        <v>944</v>
      </c>
    </row>
    <row r="2921" spans="1:22" hidden="1" x14ac:dyDescent="0.25">
      <c r="A2921" s="269">
        <v>43621</v>
      </c>
      <c r="B2921" s="270">
        <v>2019</v>
      </c>
      <c r="C2921" s="270">
        <v>2019</v>
      </c>
      <c r="D2921" s="270">
        <v>1</v>
      </c>
      <c r="E2921" s="270">
        <v>1</v>
      </c>
      <c r="F2921" s="270" t="s">
        <v>944</v>
      </c>
      <c r="G2921" s="270" t="s">
        <v>3926</v>
      </c>
      <c r="H2921" s="270" t="s">
        <v>7348</v>
      </c>
      <c r="I2921" s="270" t="s">
        <v>4213</v>
      </c>
      <c r="J2921" s="270" t="s">
        <v>3928</v>
      </c>
      <c r="K2921" s="270">
        <v>6053</v>
      </c>
      <c r="L2921" s="270">
        <v>416700</v>
      </c>
      <c r="M2921" s="270">
        <v>-60</v>
      </c>
      <c r="N2921" s="270" t="s">
        <v>3944</v>
      </c>
      <c r="O2921" s="270">
        <v>1049.23</v>
      </c>
      <c r="P2921" s="270" t="s">
        <v>3944</v>
      </c>
      <c r="Q2921" s="270" t="s">
        <v>3944</v>
      </c>
      <c r="R2921" s="270">
        <v>1049.23</v>
      </c>
      <c r="S2921" s="270">
        <v>20675.830000000002</v>
      </c>
      <c r="T2921" s="270">
        <v>21725.06</v>
      </c>
      <c r="U2921" s="271" t="s">
        <v>3945</v>
      </c>
      <c r="V2921" s="267" t="s">
        <v>944</v>
      </c>
    </row>
    <row r="2922" spans="1:22" hidden="1" x14ac:dyDescent="0.25">
      <c r="A2922" s="266">
        <v>43621</v>
      </c>
      <c r="B2922" s="267">
        <v>2019</v>
      </c>
      <c r="C2922" s="267">
        <v>2019</v>
      </c>
      <c r="D2922" s="267">
        <v>1</v>
      </c>
      <c r="E2922" s="267">
        <v>1</v>
      </c>
      <c r="F2922" s="267" t="s">
        <v>944</v>
      </c>
      <c r="G2922" s="267" t="s">
        <v>3926</v>
      </c>
      <c r="H2922" s="267" t="s">
        <v>7349</v>
      </c>
      <c r="I2922" s="267" t="s">
        <v>934</v>
      </c>
      <c r="J2922" s="267" t="s">
        <v>3928</v>
      </c>
      <c r="K2922" s="267">
        <v>6606</v>
      </c>
      <c r="L2922" s="267">
        <v>72500</v>
      </c>
      <c r="M2922" s="267" t="s">
        <v>3940</v>
      </c>
      <c r="N2922" s="267" t="s">
        <v>3944</v>
      </c>
      <c r="O2922" s="267">
        <v>921.45</v>
      </c>
      <c r="P2922" s="267" t="s">
        <v>3944</v>
      </c>
      <c r="Q2922" s="267" t="s">
        <v>3944</v>
      </c>
      <c r="R2922" s="267">
        <v>921.45</v>
      </c>
      <c r="S2922" s="267">
        <v>14071.36</v>
      </c>
      <c r="T2922" s="267">
        <v>14992.81</v>
      </c>
      <c r="U2922" s="268" t="s">
        <v>3945</v>
      </c>
      <c r="V2922" s="267" t="s">
        <v>944</v>
      </c>
    </row>
    <row r="2923" spans="1:22" hidden="1" x14ac:dyDescent="0.25">
      <c r="A2923" s="269">
        <v>43621</v>
      </c>
      <c r="B2923" s="270">
        <v>2019</v>
      </c>
      <c r="C2923" s="270">
        <v>2019</v>
      </c>
      <c r="D2923" s="270">
        <v>1</v>
      </c>
      <c r="E2923" s="270">
        <v>1</v>
      </c>
      <c r="F2923" s="270" t="s">
        <v>944</v>
      </c>
      <c r="G2923" s="270" t="s">
        <v>3926</v>
      </c>
      <c r="H2923" s="270" t="s">
        <v>7350</v>
      </c>
      <c r="I2923" s="270" t="s">
        <v>2985</v>
      </c>
      <c r="J2923" s="270" t="s">
        <v>3928</v>
      </c>
      <c r="K2923" s="270">
        <v>6824</v>
      </c>
      <c r="L2923" s="270">
        <v>61600</v>
      </c>
      <c r="M2923" s="270" t="s">
        <v>3943</v>
      </c>
      <c r="N2923" s="270" t="s">
        <v>3944</v>
      </c>
      <c r="O2923" s="270">
        <v>1119.72</v>
      </c>
      <c r="P2923" s="270" t="s">
        <v>3944</v>
      </c>
      <c r="Q2923" s="270" t="s">
        <v>3944</v>
      </c>
      <c r="R2923" s="270">
        <v>1119.72</v>
      </c>
      <c r="S2923" s="270">
        <v>21429.48</v>
      </c>
      <c r="T2923" s="270">
        <v>22549.200000000001</v>
      </c>
      <c r="U2923" s="271" t="s">
        <v>3945</v>
      </c>
      <c r="V2923" s="267" t="s">
        <v>944</v>
      </c>
    </row>
    <row r="2924" spans="1:22" hidden="1" x14ac:dyDescent="0.25">
      <c r="A2924" s="266">
        <v>43621</v>
      </c>
      <c r="B2924" s="267">
        <v>2019</v>
      </c>
      <c r="C2924" s="267">
        <v>2019</v>
      </c>
      <c r="D2924" s="267">
        <v>1</v>
      </c>
      <c r="E2924" s="267">
        <v>1</v>
      </c>
      <c r="F2924" s="267" t="s">
        <v>944</v>
      </c>
      <c r="G2924" s="267" t="s">
        <v>3926</v>
      </c>
      <c r="H2924" s="267" t="s">
        <v>7351</v>
      </c>
      <c r="I2924" s="267" t="s">
        <v>3954</v>
      </c>
      <c r="J2924" s="267" t="s">
        <v>3928</v>
      </c>
      <c r="K2924" s="267">
        <v>6357</v>
      </c>
      <c r="L2924" s="267">
        <v>716101</v>
      </c>
      <c r="M2924" s="267" t="s">
        <v>3935</v>
      </c>
      <c r="N2924" s="267" t="s">
        <v>3944</v>
      </c>
      <c r="O2924" s="267">
        <v>2027.73</v>
      </c>
      <c r="P2924" s="267" t="s">
        <v>3944</v>
      </c>
      <c r="Q2924" s="267" t="s">
        <v>3944</v>
      </c>
      <c r="R2924" s="267">
        <v>2027.73</v>
      </c>
      <c r="S2924" s="267">
        <v>37049.769999999997</v>
      </c>
      <c r="T2924" s="267">
        <v>39077.5</v>
      </c>
      <c r="U2924" s="268" t="s">
        <v>3945</v>
      </c>
      <c r="V2924" s="267" t="s">
        <v>944</v>
      </c>
    </row>
    <row r="2925" spans="1:22" hidden="1" x14ac:dyDescent="0.25">
      <c r="A2925" s="269">
        <v>43621</v>
      </c>
      <c r="B2925" s="270">
        <v>2019</v>
      </c>
      <c r="C2925" s="270">
        <v>2019</v>
      </c>
      <c r="D2925" s="270">
        <v>1</v>
      </c>
      <c r="E2925" s="270">
        <v>1</v>
      </c>
      <c r="F2925" s="270" t="s">
        <v>944</v>
      </c>
      <c r="G2925" s="270" t="s">
        <v>3926</v>
      </c>
      <c r="H2925" s="270" t="s">
        <v>7352</v>
      </c>
      <c r="I2925" s="270" t="s">
        <v>950</v>
      </c>
      <c r="J2925" s="270" t="s">
        <v>3928</v>
      </c>
      <c r="K2925" s="270">
        <v>6516</v>
      </c>
      <c r="L2925" s="270">
        <v>154200</v>
      </c>
      <c r="M2925" s="270" t="s">
        <v>3940</v>
      </c>
      <c r="N2925" s="270" t="s">
        <v>3944</v>
      </c>
      <c r="O2925" s="270">
        <v>3201.98</v>
      </c>
      <c r="P2925" s="270" t="s">
        <v>3944</v>
      </c>
      <c r="Q2925" s="270" t="s">
        <v>3944</v>
      </c>
      <c r="R2925" s="270">
        <v>3201.98</v>
      </c>
      <c r="S2925" s="270">
        <v>56297.43</v>
      </c>
      <c r="T2925" s="270">
        <v>59499.41</v>
      </c>
      <c r="U2925" s="271" t="s">
        <v>3945</v>
      </c>
      <c r="V2925" s="267" t="s">
        <v>944</v>
      </c>
    </row>
    <row r="2926" spans="1:22" hidden="1" x14ac:dyDescent="0.25">
      <c r="A2926" s="266">
        <v>43621</v>
      </c>
      <c r="B2926" s="267">
        <v>2019</v>
      </c>
      <c r="C2926" s="267">
        <v>2019</v>
      </c>
      <c r="D2926" s="267">
        <v>1</v>
      </c>
      <c r="E2926" s="267">
        <v>1</v>
      </c>
      <c r="F2926" s="267" t="s">
        <v>944</v>
      </c>
      <c r="G2926" s="267" t="s">
        <v>3926</v>
      </c>
      <c r="H2926" s="267" t="s">
        <v>7353</v>
      </c>
      <c r="I2926" s="267" t="s">
        <v>6426</v>
      </c>
      <c r="J2926" s="267" t="s">
        <v>3928</v>
      </c>
      <c r="K2926" s="267">
        <v>6422</v>
      </c>
      <c r="L2926" s="267">
        <v>585100</v>
      </c>
      <c r="M2926" s="267" t="s">
        <v>3943</v>
      </c>
      <c r="N2926" s="267" t="s">
        <v>3944</v>
      </c>
      <c r="O2926" s="267">
        <v>1605.03</v>
      </c>
      <c r="P2926" s="267" t="s">
        <v>3944</v>
      </c>
      <c r="Q2926" s="267" t="s">
        <v>3944</v>
      </c>
      <c r="R2926" s="267">
        <v>1605.03</v>
      </c>
      <c r="S2926" s="267">
        <v>31634.74</v>
      </c>
      <c r="T2926" s="267">
        <v>33239.769999999997</v>
      </c>
      <c r="U2926" s="268" t="s">
        <v>3945</v>
      </c>
      <c r="V2926" s="267" t="s">
        <v>944</v>
      </c>
    </row>
    <row r="2927" spans="1:22" hidden="1" x14ac:dyDescent="0.25">
      <c r="A2927" s="269">
        <v>43621</v>
      </c>
      <c r="B2927" s="270">
        <v>2019</v>
      </c>
      <c r="C2927" s="270">
        <v>2019</v>
      </c>
      <c r="D2927" s="270">
        <v>1</v>
      </c>
      <c r="E2927" s="270">
        <v>1</v>
      </c>
      <c r="F2927" s="270" t="s">
        <v>944</v>
      </c>
      <c r="G2927" s="270" t="s">
        <v>3926</v>
      </c>
      <c r="H2927" s="270" t="s">
        <v>7354</v>
      </c>
      <c r="I2927" s="270" t="s">
        <v>4085</v>
      </c>
      <c r="J2927" s="270" t="s">
        <v>3928</v>
      </c>
      <c r="K2927" s="270">
        <v>6351</v>
      </c>
      <c r="L2927" s="270">
        <v>709100</v>
      </c>
      <c r="M2927" s="270" t="s">
        <v>3935</v>
      </c>
      <c r="N2927" s="270" t="s">
        <v>3944</v>
      </c>
      <c r="O2927" s="270">
        <v>1380.02</v>
      </c>
      <c r="P2927" s="270" t="s">
        <v>3944</v>
      </c>
      <c r="Q2927" s="270" t="s">
        <v>3944</v>
      </c>
      <c r="R2927" s="270">
        <v>1380.02</v>
      </c>
      <c r="S2927" s="270">
        <v>19407.64</v>
      </c>
      <c r="T2927" s="270">
        <v>20787.66</v>
      </c>
      <c r="U2927" s="271" t="s">
        <v>3945</v>
      </c>
      <c r="V2927" s="267" t="s">
        <v>944</v>
      </c>
    </row>
    <row r="2928" spans="1:22" hidden="1" x14ac:dyDescent="0.25">
      <c r="A2928" s="266">
        <v>43621</v>
      </c>
      <c r="B2928" s="267">
        <v>2019</v>
      </c>
      <c r="C2928" s="267">
        <v>2019</v>
      </c>
      <c r="D2928" s="267">
        <v>1</v>
      </c>
      <c r="E2928" s="267">
        <v>1</v>
      </c>
      <c r="F2928" s="267" t="s">
        <v>944</v>
      </c>
      <c r="G2928" s="267" t="s">
        <v>3926</v>
      </c>
      <c r="H2928" s="267" t="s">
        <v>7355</v>
      </c>
      <c r="I2928" s="267" t="s">
        <v>4235</v>
      </c>
      <c r="J2928" s="267" t="s">
        <v>3928</v>
      </c>
      <c r="K2928" s="267">
        <v>6066</v>
      </c>
      <c r="L2928" s="267">
        <v>530302</v>
      </c>
      <c r="M2928" s="267" t="s">
        <v>3935</v>
      </c>
      <c r="N2928" s="267" t="s">
        <v>3944</v>
      </c>
      <c r="O2928" s="267">
        <v>1521.24</v>
      </c>
      <c r="P2928" s="267" t="s">
        <v>3944</v>
      </c>
      <c r="Q2928" s="267" t="s">
        <v>3944</v>
      </c>
      <c r="R2928" s="267">
        <v>1521.24</v>
      </c>
      <c r="S2928" s="267">
        <v>20418.63</v>
      </c>
      <c r="T2928" s="267">
        <v>21939.87</v>
      </c>
      <c r="U2928" s="268" t="s">
        <v>3945</v>
      </c>
      <c r="V2928" s="267" t="s">
        <v>944</v>
      </c>
    </row>
    <row r="2929" spans="1:22" hidden="1" x14ac:dyDescent="0.25">
      <c r="A2929" s="269">
        <v>43621</v>
      </c>
      <c r="B2929" s="270">
        <v>2019</v>
      </c>
      <c r="C2929" s="270">
        <v>2019</v>
      </c>
      <c r="D2929" s="270">
        <v>1</v>
      </c>
      <c r="E2929" s="270">
        <v>1</v>
      </c>
      <c r="F2929" s="270" t="s">
        <v>944</v>
      </c>
      <c r="G2929" s="270" t="s">
        <v>3926</v>
      </c>
      <c r="H2929" s="270" t="s">
        <v>7356</v>
      </c>
      <c r="I2929" s="270" t="s">
        <v>3026</v>
      </c>
      <c r="J2929" s="270" t="s">
        <v>3928</v>
      </c>
      <c r="K2929" s="270">
        <v>6471</v>
      </c>
      <c r="L2929" s="270">
        <v>186100</v>
      </c>
      <c r="M2929" s="270" t="s">
        <v>3935</v>
      </c>
      <c r="N2929" s="270" t="s">
        <v>3944</v>
      </c>
      <c r="O2929" s="270">
        <v>1357.83</v>
      </c>
      <c r="P2929" s="270" t="s">
        <v>3944</v>
      </c>
      <c r="Q2929" s="270" t="s">
        <v>3944</v>
      </c>
      <c r="R2929" s="270">
        <v>1357.83</v>
      </c>
      <c r="S2929" s="270">
        <v>20886.8</v>
      </c>
      <c r="T2929" s="270">
        <v>22244.63</v>
      </c>
      <c r="U2929" s="271" t="s">
        <v>3945</v>
      </c>
      <c r="V2929" s="267" t="s">
        <v>944</v>
      </c>
    </row>
    <row r="2930" spans="1:22" hidden="1" x14ac:dyDescent="0.25">
      <c r="A2930" s="266">
        <v>43621</v>
      </c>
      <c r="B2930" s="267">
        <v>2019</v>
      </c>
      <c r="C2930" s="267">
        <v>2019</v>
      </c>
      <c r="D2930" s="267">
        <v>1</v>
      </c>
      <c r="E2930" s="267">
        <v>1</v>
      </c>
      <c r="F2930" s="267" t="s">
        <v>944</v>
      </c>
      <c r="G2930" s="267" t="s">
        <v>3926</v>
      </c>
      <c r="H2930" s="267" t="s">
        <v>7357</v>
      </c>
      <c r="I2930" s="267" t="s">
        <v>4003</v>
      </c>
      <c r="J2930" s="267" t="s">
        <v>3928</v>
      </c>
      <c r="K2930" s="267">
        <v>6354</v>
      </c>
      <c r="L2930" s="267">
        <v>907200</v>
      </c>
      <c r="M2930" s="267" t="s">
        <v>3940</v>
      </c>
      <c r="N2930" s="267" t="s">
        <v>3944</v>
      </c>
      <c r="O2930" s="267">
        <v>3025.72</v>
      </c>
      <c r="P2930" s="267" t="s">
        <v>3944</v>
      </c>
      <c r="Q2930" s="267" t="s">
        <v>3944</v>
      </c>
      <c r="R2930" s="267">
        <v>3025.72</v>
      </c>
      <c r="S2930" s="267">
        <v>40946.980000000003</v>
      </c>
      <c r="T2930" s="267">
        <v>43972.7</v>
      </c>
      <c r="U2930" s="268" t="s">
        <v>3945</v>
      </c>
      <c r="V2930" s="267" t="s">
        <v>944</v>
      </c>
    </row>
    <row r="2931" spans="1:22" hidden="1" x14ac:dyDescent="0.25">
      <c r="A2931" s="269">
        <v>43621</v>
      </c>
      <c r="B2931" s="270">
        <v>2019</v>
      </c>
      <c r="C2931" s="270">
        <v>2019</v>
      </c>
      <c r="D2931" s="270">
        <v>1</v>
      </c>
      <c r="E2931" s="270">
        <v>1</v>
      </c>
      <c r="F2931" s="270" t="s">
        <v>944</v>
      </c>
      <c r="G2931" s="270" t="s">
        <v>3926</v>
      </c>
      <c r="H2931" s="270" t="s">
        <v>7358</v>
      </c>
      <c r="I2931" s="270" t="s">
        <v>4232</v>
      </c>
      <c r="J2931" s="270" t="s">
        <v>3928</v>
      </c>
      <c r="K2931" s="270">
        <v>6483</v>
      </c>
      <c r="L2931" s="270">
        <v>130200</v>
      </c>
      <c r="M2931" s="270" t="s">
        <v>3935</v>
      </c>
      <c r="N2931" s="270" t="s">
        <v>3944</v>
      </c>
      <c r="O2931" s="270">
        <v>3594.19</v>
      </c>
      <c r="P2931" s="270" t="s">
        <v>3944</v>
      </c>
      <c r="Q2931" s="270" t="s">
        <v>3944</v>
      </c>
      <c r="R2931" s="270">
        <v>3594.19</v>
      </c>
      <c r="S2931" s="270">
        <v>47352.81</v>
      </c>
      <c r="T2931" s="270">
        <v>50947</v>
      </c>
      <c r="U2931" s="271" t="s">
        <v>3945</v>
      </c>
      <c r="V2931" s="267" t="s">
        <v>944</v>
      </c>
    </row>
    <row r="2932" spans="1:22" hidden="1" x14ac:dyDescent="0.25">
      <c r="A2932" s="266">
        <v>43621</v>
      </c>
      <c r="B2932" s="267">
        <v>2019</v>
      </c>
      <c r="C2932" s="267">
        <v>2019</v>
      </c>
      <c r="D2932" s="267">
        <v>1</v>
      </c>
      <c r="E2932" s="267">
        <v>1</v>
      </c>
      <c r="F2932" s="267" t="s">
        <v>944</v>
      </c>
      <c r="G2932" s="267" t="s">
        <v>3926</v>
      </c>
      <c r="H2932" s="267" t="s">
        <v>7359</v>
      </c>
      <c r="I2932" s="267" t="s">
        <v>4137</v>
      </c>
      <c r="J2932" s="267" t="s">
        <v>3928</v>
      </c>
      <c r="K2932" s="267">
        <v>6067</v>
      </c>
      <c r="L2932" s="267">
        <v>524200</v>
      </c>
      <c r="M2932" s="267" t="s">
        <v>3960</v>
      </c>
      <c r="N2932" s="267" t="s">
        <v>3944</v>
      </c>
      <c r="O2932" s="267">
        <v>2798.81</v>
      </c>
      <c r="P2932" s="267" t="s">
        <v>3944</v>
      </c>
      <c r="Q2932" s="267" t="s">
        <v>3944</v>
      </c>
      <c r="R2932" s="267">
        <v>2798.81</v>
      </c>
      <c r="S2932" s="267">
        <v>37940.29</v>
      </c>
      <c r="T2932" s="267">
        <v>40739.1</v>
      </c>
      <c r="U2932" s="268" t="s">
        <v>3945</v>
      </c>
      <c r="V2932" s="267" t="s">
        <v>944</v>
      </c>
    </row>
    <row r="2933" spans="1:22" hidden="1" x14ac:dyDescent="0.25">
      <c r="A2933" s="269">
        <v>43621</v>
      </c>
      <c r="B2933" s="270">
        <v>2019</v>
      </c>
      <c r="C2933" s="270">
        <v>2019</v>
      </c>
      <c r="D2933" s="270">
        <v>1</v>
      </c>
      <c r="E2933" s="270">
        <v>1</v>
      </c>
      <c r="F2933" s="270" t="s">
        <v>944</v>
      </c>
      <c r="G2933" s="270" t="s">
        <v>3926</v>
      </c>
      <c r="H2933" s="270" t="s">
        <v>7360</v>
      </c>
      <c r="I2933" s="270" t="s">
        <v>4392</v>
      </c>
      <c r="J2933" s="270" t="s">
        <v>3928</v>
      </c>
      <c r="K2933" s="270">
        <v>6457</v>
      </c>
      <c r="L2933" s="270">
        <v>541200</v>
      </c>
      <c r="M2933" s="270" t="s">
        <v>3935</v>
      </c>
      <c r="N2933" s="270" t="s">
        <v>3944</v>
      </c>
      <c r="O2933" s="270">
        <v>2238.2199999999998</v>
      </c>
      <c r="P2933" s="270" t="s">
        <v>3944</v>
      </c>
      <c r="Q2933" s="270" t="s">
        <v>3944</v>
      </c>
      <c r="R2933" s="270">
        <v>2238.2199999999998</v>
      </c>
      <c r="S2933" s="270">
        <v>32256.84</v>
      </c>
      <c r="T2933" s="270">
        <v>34495.06</v>
      </c>
      <c r="U2933" s="271" t="s">
        <v>3945</v>
      </c>
      <c r="V2933" s="267" t="s">
        <v>944</v>
      </c>
    </row>
    <row r="2934" spans="1:22" hidden="1" x14ac:dyDescent="0.25">
      <c r="A2934" s="266">
        <v>43621</v>
      </c>
      <c r="B2934" s="267">
        <v>2019</v>
      </c>
      <c r="C2934" s="267">
        <v>2019</v>
      </c>
      <c r="D2934" s="267">
        <v>1</v>
      </c>
      <c r="E2934" s="267">
        <v>1</v>
      </c>
      <c r="F2934" s="267" t="s">
        <v>944</v>
      </c>
      <c r="G2934" s="267" t="s">
        <v>3926</v>
      </c>
      <c r="H2934" s="267" t="s">
        <v>7361</v>
      </c>
      <c r="I2934" s="267" t="s">
        <v>4172</v>
      </c>
      <c r="J2934" s="267" t="s">
        <v>3928</v>
      </c>
      <c r="K2934" s="267">
        <v>6786</v>
      </c>
      <c r="L2934" s="267">
        <v>425300</v>
      </c>
      <c r="M2934" s="267" t="s">
        <v>3960</v>
      </c>
      <c r="N2934" s="267" t="s">
        <v>3944</v>
      </c>
      <c r="O2934" s="267">
        <v>3307.15</v>
      </c>
      <c r="P2934" s="267" t="s">
        <v>3944</v>
      </c>
      <c r="Q2934" s="267" t="s">
        <v>3944</v>
      </c>
      <c r="R2934" s="267">
        <v>3307.15</v>
      </c>
      <c r="S2934" s="267">
        <v>48640.85</v>
      </c>
      <c r="T2934" s="267">
        <v>51948</v>
      </c>
      <c r="U2934" s="268" t="s">
        <v>3945</v>
      </c>
      <c r="V2934" s="267" t="s">
        <v>944</v>
      </c>
    </row>
    <row r="2935" spans="1:22" hidden="1" x14ac:dyDescent="0.25">
      <c r="A2935" s="269">
        <v>43621</v>
      </c>
      <c r="B2935" s="270">
        <v>2019</v>
      </c>
      <c r="C2935" s="270">
        <v>2019</v>
      </c>
      <c r="D2935" s="270">
        <v>1</v>
      </c>
      <c r="E2935" s="270">
        <v>1</v>
      </c>
      <c r="F2935" s="270" t="s">
        <v>944</v>
      </c>
      <c r="G2935" s="270" t="s">
        <v>3926</v>
      </c>
      <c r="H2935" s="270" t="s">
        <v>7362</v>
      </c>
      <c r="I2935" s="270" t="s">
        <v>4003</v>
      </c>
      <c r="J2935" s="270" t="s">
        <v>3928</v>
      </c>
      <c r="K2935" s="270">
        <v>6354</v>
      </c>
      <c r="L2935" s="270">
        <v>907200</v>
      </c>
      <c r="M2935" s="270" t="s">
        <v>3940</v>
      </c>
      <c r="N2935" s="270" t="s">
        <v>3944</v>
      </c>
      <c r="O2935" s="270">
        <v>1557.12</v>
      </c>
      <c r="P2935" s="270" t="s">
        <v>3944</v>
      </c>
      <c r="Q2935" s="270" t="s">
        <v>3944</v>
      </c>
      <c r="R2935" s="270">
        <v>1557.12</v>
      </c>
      <c r="S2935" s="270">
        <v>21273.09</v>
      </c>
      <c r="T2935" s="270">
        <v>22830.21</v>
      </c>
      <c r="U2935" s="271" t="s">
        <v>3945</v>
      </c>
      <c r="V2935" s="267" t="s">
        <v>944</v>
      </c>
    </row>
    <row r="2936" spans="1:22" hidden="1" x14ac:dyDescent="0.25">
      <c r="A2936" s="266">
        <v>43621</v>
      </c>
      <c r="B2936" s="267">
        <v>2019</v>
      </c>
      <c r="C2936" s="267">
        <v>2019</v>
      </c>
      <c r="D2936" s="267">
        <v>1</v>
      </c>
      <c r="E2936" s="267">
        <v>1</v>
      </c>
      <c r="F2936" s="267" t="s">
        <v>944</v>
      </c>
      <c r="G2936" s="267" t="s">
        <v>3926</v>
      </c>
      <c r="H2936" s="267" t="s">
        <v>7363</v>
      </c>
      <c r="I2936" s="267" t="s">
        <v>4108</v>
      </c>
      <c r="J2936" s="267" t="s">
        <v>3928</v>
      </c>
      <c r="K2936" s="267">
        <v>6082</v>
      </c>
      <c r="L2936" s="267">
        <v>480700</v>
      </c>
      <c r="M2936" s="267" t="s">
        <v>3940</v>
      </c>
      <c r="N2936" s="267" t="s">
        <v>3944</v>
      </c>
      <c r="O2936" s="267">
        <v>2894.85</v>
      </c>
      <c r="P2936" s="267" t="s">
        <v>3944</v>
      </c>
      <c r="Q2936" s="267" t="s">
        <v>3944</v>
      </c>
      <c r="R2936" s="267">
        <v>2894.85</v>
      </c>
      <c r="S2936" s="267">
        <v>38397.15</v>
      </c>
      <c r="T2936" s="267">
        <v>41292</v>
      </c>
      <c r="U2936" s="268" t="s">
        <v>3945</v>
      </c>
      <c r="V2936" s="267" t="s">
        <v>944</v>
      </c>
    </row>
    <row r="2937" spans="1:22" hidden="1" x14ac:dyDescent="0.25">
      <c r="A2937" s="269">
        <v>43621</v>
      </c>
      <c r="B2937" s="270">
        <v>2019</v>
      </c>
      <c r="C2937" s="270">
        <v>2019</v>
      </c>
      <c r="D2937" s="270">
        <v>1</v>
      </c>
      <c r="E2937" s="270">
        <v>1</v>
      </c>
      <c r="F2937" s="270" t="s">
        <v>944</v>
      </c>
      <c r="G2937" s="270" t="s">
        <v>3926</v>
      </c>
      <c r="H2937" s="270" t="s">
        <v>7364</v>
      </c>
      <c r="I2937" s="270" t="s">
        <v>3996</v>
      </c>
      <c r="J2937" s="270" t="s">
        <v>3928</v>
      </c>
      <c r="K2937" s="270">
        <v>6790</v>
      </c>
      <c r="L2937" s="270">
        <v>310400</v>
      </c>
      <c r="M2937" s="270" t="s">
        <v>3935</v>
      </c>
      <c r="N2937" s="270" t="s">
        <v>3944</v>
      </c>
      <c r="O2937" s="270">
        <v>2054.2600000000002</v>
      </c>
      <c r="P2937" s="270" t="s">
        <v>3944</v>
      </c>
      <c r="Q2937" s="270" t="s">
        <v>3944</v>
      </c>
      <c r="R2937" s="270">
        <v>2054.2600000000002</v>
      </c>
      <c r="S2937" s="270">
        <v>26402.42</v>
      </c>
      <c r="T2937" s="270">
        <v>28456.68</v>
      </c>
      <c r="U2937" s="271" t="s">
        <v>3945</v>
      </c>
      <c r="V2937" s="267" t="s">
        <v>944</v>
      </c>
    </row>
    <row r="2938" spans="1:22" hidden="1" x14ac:dyDescent="0.25">
      <c r="A2938" s="266">
        <v>43621</v>
      </c>
      <c r="B2938" s="267">
        <v>2019</v>
      </c>
      <c r="C2938" s="267">
        <v>2019</v>
      </c>
      <c r="D2938" s="267">
        <v>1</v>
      </c>
      <c r="E2938" s="267">
        <v>1</v>
      </c>
      <c r="F2938" s="267" t="s">
        <v>944</v>
      </c>
      <c r="G2938" s="267" t="s">
        <v>3926</v>
      </c>
      <c r="H2938" s="267" t="s">
        <v>7365</v>
      </c>
      <c r="I2938" s="267" t="s">
        <v>3999</v>
      </c>
      <c r="J2938" s="267" t="s">
        <v>3928</v>
      </c>
      <c r="K2938" s="267">
        <v>6450</v>
      </c>
      <c r="L2938" s="267">
        <v>171100</v>
      </c>
      <c r="M2938" s="267" t="s">
        <v>3940</v>
      </c>
      <c r="N2938" s="267" t="s">
        <v>7366</v>
      </c>
      <c r="O2938" s="267"/>
      <c r="P2938" s="267" t="s">
        <v>3944</v>
      </c>
      <c r="Q2938" s="267" t="s">
        <v>3930</v>
      </c>
      <c r="R2938" s="267">
        <v>0</v>
      </c>
      <c r="S2938" s="267">
        <v>445816.31</v>
      </c>
      <c r="T2938" s="267">
        <v>445816.31</v>
      </c>
      <c r="U2938" s="268" t="s">
        <v>4099</v>
      </c>
      <c r="V2938" s="267" t="s">
        <v>944</v>
      </c>
    </row>
    <row r="2939" spans="1:22" hidden="1" x14ac:dyDescent="0.25">
      <c r="A2939" s="269">
        <v>43621</v>
      </c>
      <c r="B2939" s="270">
        <v>2019</v>
      </c>
      <c r="C2939" s="270">
        <v>2019</v>
      </c>
      <c r="D2939" s="270">
        <v>1</v>
      </c>
      <c r="E2939" s="270">
        <v>1</v>
      </c>
      <c r="F2939" s="270" t="s">
        <v>944</v>
      </c>
      <c r="G2939" s="270" t="s">
        <v>3926</v>
      </c>
      <c r="H2939" s="270" t="s">
        <v>7367</v>
      </c>
      <c r="I2939" s="270" t="s">
        <v>4232</v>
      </c>
      <c r="J2939" s="270" t="s">
        <v>3928</v>
      </c>
      <c r="K2939" s="270">
        <v>6483</v>
      </c>
      <c r="L2939" s="270">
        <v>130200</v>
      </c>
      <c r="M2939" s="270" t="s">
        <v>3935</v>
      </c>
      <c r="N2939" s="270" t="s">
        <v>3944</v>
      </c>
      <c r="O2939" s="270">
        <v>2887.78</v>
      </c>
      <c r="P2939" s="270" t="s">
        <v>3944</v>
      </c>
      <c r="Q2939" s="270" t="s">
        <v>3944</v>
      </c>
      <c r="R2939" s="270">
        <v>2887.78</v>
      </c>
      <c r="S2939" s="270">
        <v>38606.31</v>
      </c>
      <c r="T2939" s="270">
        <v>41494.089999999997</v>
      </c>
      <c r="U2939" s="271" t="s">
        <v>3945</v>
      </c>
      <c r="V2939" s="267" t="s">
        <v>944</v>
      </c>
    </row>
    <row r="2940" spans="1:22" hidden="1" x14ac:dyDescent="0.25">
      <c r="A2940" s="266">
        <v>43621</v>
      </c>
      <c r="B2940" s="267">
        <v>2019</v>
      </c>
      <c r="C2940" s="267">
        <v>2019</v>
      </c>
      <c r="D2940" s="267">
        <v>1</v>
      </c>
      <c r="E2940" s="267">
        <v>1</v>
      </c>
      <c r="F2940" s="267" t="s">
        <v>944</v>
      </c>
      <c r="G2940" s="267" t="s">
        <v>3926</v>
      </c>
      <c r="H2940" s="267" t="s">
        <v>7368</v>
      </c>
      <c r="I2940" s="267" t="s">
        <v>4085</v>
      </c>
      <c r="J2940" s="267" t="s">
        <v>3928</v>
      </c>
      <c r="K2940" s="267">
        <v>6351</v>
      </c>
      <c r="L2940" s="267">
        <v>709100</v>
      </c>
      <c r="M2940" s="267" t="s">
        <v>3935</v>
      </c>
      <c r="N2940" s="267" t="s">
        <v>3944</v>
      </c>
      <c r="O2940" s="267">
        <v>3873.35</v>
      </c>
      <c r="P2940" s="267" t="s">
        <v>3944</v>
      </c>
      <c r="Q2940" s="267" t="s">
        <v>3944</v>
      </c>
      <c r="R2940" s="267">
        <v>3873.35</v>
      </c>
      <c r="S2940" s="267">
        <v>56776.01</v>
      </c>
      <c r="T2940" s="267">
        <v>60649.36</v>
      </c>
      <c r="U2940" s="268" t="s">
        <v>3945</v>
      </c>
      <c r="V2940" s="267" t="s">
        <v>944</v>
      </c>
    </row>
    <row r="2941" spans="1:22" hidden="1" x14ac:dyDescent="0.25">
      <c r="A2941" s="269">
        <v>43621</v>
      </c>
      <c r="B2941" s="270">
        <v>2019</v>
      </c>
      <c r="C2941" s="270">
        <v>2019</v>
      </c>
      <c r="D2941" s="270">
        <v>1</v>
      </c>
      <c r="E2941" s="270">
        <v>1</v>
      </c>
      <c r="F2941" s="270" t="s">
        <v>944</v>
      </c>
      <c r="G2941" s="270" t="s">
        <v>3926</v>
      </c>
      <c r="H2941" s="270" t="s">
        <v>7369</v>
      </c>
      <c r="I2941" s="270" t="s">
        <v>4087</v>
      </c>
      <c r="J2941" s="270" t="s">
        <v>3928</v>
      </c>
      <c r="K2941" s="270">
        <v>6340</v>
      </c>
      <c r="L2941" s="270">
        <v>702900</v>
      </c>
      <c r="M2941" s="270" t="s">
        <v>3943</v>
      </c>
      <c r="N2941" s="270" t="s">
        <v>3944</v>
      </c>
      <c r="O2941" s="270">
        <v>2441.25</v>
      </c>
      <c r="P2941" s="270" t="s">
        <v>3944</v>
      </c>
      <c r="Q2941" s="270" t="s">
        <v>3944</v>
      </c>
      <c r="R2941" s="270">
        <v>2441.25</v>
      </c>
      <c r="S2941" s="270">
        <v>36921.86</v>
      </c>
      <c r="T2941" s="270">
        <v>39363.11</v>
      </c>
      <c r="U2941" s="271" t="s">
        <v>3945</v>
      </c>
      <c r="V2941" s="267" t="s">
        <v>944</v>
      </c>
    </row>
    <row r="2942" spans="1:22" hidden="1" x14ac:dyDescent="0.25">
      <c r="A2942" s="266">
        <v>43621</v>
      </c>
      <c r="B2942" s="267">
        <v>2019</v>
      </c>
      <c r="C2942" s="267">
        <v>2019</v>
      </c>
      <c r="D2942" s="267">
        <v>1</v>
      </c>
      <c r="E2942" s="267">
        <v>1</v>
      </c>
      <c r="F2942" s="267" t="s">
        <v>944</v>
      </c>
      <c r="G2942" s="267" t="s">
        <v>3926</v>
      </c>
      <c r="H2942" s="267" t="s">
        <v>7370</v>
      </c>
      <c r="I2942" s="267" t="s">
        <v>4108</v>
      </c>
      <c r="J2942" s="267" t="s">
        <v>3928</v>
      </c>
      <c r="K2942" s="267">
        <v>6082</v>
      </c>
      <c r="L2942" s="267">
        <v>481000</v>
      </c>
      <c r="M2942" s="267" t="s">
        <v>3943</v>
      </c>
      <c r="N2942" s="267" t="s">
        <v>3944</v>
      </c>
      <c r="O2942" s="267">
        <v>2013.62</v>
      </c>
      <c r="P2942" s="267" t="s">
        <v>3944</v>
      </c>
      <c r="Q2942" s="267" t="s">
        <v>3944</v>
      </c>
      <c r="R2942" s="267">
        <v>2013.62</v>
      </c>
      <c r="S2942" s="267">
        <v>40859.47</v>
      </c>
      <c r="T2942" s="267">
        <v>42873.09</v>
      </c>
      <c r="U2942" s="268" t="s">
        <v>3945</v>
      </c>
      <c r="V2942" s="267" t="s">
        <v>944</v>
      </c>
    </row>
    <row r="2943" spans="1:22" hidden="1" x14ac:dyDescent="0.25">
      <c r="A2943" s="269">
        <v>43621</v>
      </c>
      <c r="B2943" s="270">
        <v>2019</v>
      </c>
      <c r="C2943" s="270">
        <v>2019</v>
      </c>
      <c r="D2943" s="270">
        <v>1</v>
      </c>
      <c r="E2943" s="270">
        <v>1</v>
      </c>
      <c r="F2943" s="270" t="s">
        <v>944</v>
      </c>
      <c r="G2943" s="270" t="s">
        <v>3926</v>
      </c>
      <c r="H2943" s="270" t="s">
        <v>7371</v>
      </c>
      <c r="I2943" s="270" t="s">
        <v>3949</v>
      </c>
      <c r="J2943" s="270" t="s">
        <v>3928</v>
      </c>
      <c r="K2943" s="270">
        <v>6437</v>
      </c>
      <c r="L2943" s="270">
        <v>190301</v>
      </c>
      <c r="M2943" s="270" t="s">
        <v>3943</v>
      </c>
      <c r="N2943" s="270" t="s">
        <v>3944</v>
      </c>
      <c r="O2943" s="270">
        <v>1802.08</v>
      </c>
      <c r="P2943" s="270" t="s">
        <v>3944</v>
      </c>
      <c r="Q2943" s="270" t="s">
        <v>3944</v>
      </c>
      <c r="R2943" s="270">
        <v>1802.08</v>
      </c>
      <c r="S2943" s="270">
        <v>28229.279999999999</v>
      </c>
      <c r="T2943" s="270">
        <v>30031.360000000001</v>
      </c>
      <c r="U2943" s="271" t="s">
        <v>3945</v>
      </c>
      <c r="V2943" s="267" t="s">
        <v>944</v>
      </c>
    </row>
    <row r="2944" spans="1:22" hidden="1" x14ac:dyDescent="0.25">
      <c r="A2944" s="266">
        <v>43621</v>
      </c>
      <c r="B2944" s="267">
        <v>2019</v>
      </c>
      <c r="C2944" s="267">
        <v>2019</v>
      </c>
      <c r="D2944" s="267">
        <v>1</v>
      </c>
      <c r="E2944" s="267">
        <v>1</v>
      </c>
      <c r="F2944" s="267" t="s">
        <v>944</v>
      </c>
      <c r="G2944" s="267" t="s">
        <v>3926</v>
      </c>
      <c r="H2944" s="267" t="s">
        <v>7372</v>
      </c>
      <c r="I2944" s="267" t="s">
        <v>4062</v>
      </c>
      <c r="J2944" s="267" t="s">
        <v>3928</v>
      </c>
      <c r="K2944" s="267">
        <v>6763</v>
      </c>
      <c r="L2944" s="267">
        <v>303100</v>
      </c>
      <c r="M2944" s="267" t="s">
        <v>3960</v>
      </c>
      <c r="N2944" s="267" t="s">
        <v>3944</v>
      </c>
      <c r="O2944" s="267">
        <v>2811.27</v>
      </c>
      <c r="P2944" s="267" t="s">
        <v>3944</v>
      </c>
      <c r="Q2944" s="267" t="s">
        <v>3944</v>
      </c>
      <c r="R2944" s="267">
        <v>2811.27</v>
      </c>
      <c r="S2944" s="267">
        <v>53155.839999999997</v>
      </c>
      <c r="T2944" s="267">
        <v>55967.11</v>
      </c>
      <c r="U2944" s="268" t="s">
        <v>3945</v>
      </c>
      <c r="V2944" s="267" t="s">
        <v>944</v>
      </c>
    </row>
    <row r="2945" spans="1:22" hidden="1" x14ac:dyDescent="0.25">
      <c r="A2945" s="269">
        <v>43621</v>
      </c>
      <c r="B2945" s="270">
        <v>2019</v>
      </c>
      <c r="C2945" s="270">
        <v>2019</v>
      </c>
      <c r="D2945" s="270">
        <v>1</v>
      </c>
      <c r="E2945" s="270">
        <v>1</v>
      </c>
      <c r="F2945" s="270" t="s">
        <v>944</v>
      </c>
      <c r="G2945" s="270" t="s">
        <v>3926</v>
      </c>
      <c r="H2945" s="270" t="s">
        <v>7373</v>
      </c>
      <c r="I2945" s="270" t="s">
        <v>4556</v>
      </c>
      <c r="J2945" s="270" t="s">
        <v>3928</v>
      </c>
      <c r="K2945" s="270">
        <v>6029</v>
      </c>
      <c r="L2945" s="270">
        <v>535100</v>
      </c>
      <c r="M2945" s="270" t="s">
        <v>3935</v>
      </c>
      <c r="N2945" s="270" t="s">
        <v>7374</v>
      </c>
      <c r="O2945" s="270">
        <v>0</v>
      </c>
      <c r="P2945" s="270" t="s">
        <v>3944</v>
      </c>
      <c r="Q2945" s="270" t="s">
        <v>7375</v>
      </c>
      <c r="R2945" s="270">
        <v>80517.5</v>
      </c>
      <c r="S2945" s="270">
        <v>106732.5</v>
      </c>
      <c r="T2945" s="270">
        <v>187250</v>
      </c>
      <c r="U2945" s="271" t="s">
        <v>5737</v>
      </c>
      <c r="V2945" s="267" t="s">
        <v>944</v>
      </c>
    </row>
    <row r="2946" spans="1:22" hidden="1" x14ac:dyDescent="0.25">
      <c r="A2946" s="266">
        <v>43622</v>
      </c>
      <c r="B2946" s="267">
        <v>2019</v>
      </c>
      <c r="C2946" s="267">
        <v>2019</v>
      </c>
      <c r="D2946" s="267">
        <v>1</v>
      </c>
      <c r="E2946" s="267">
        <v>1</v>
      </c>
      <c r="F2946" s="267" t="s">
        <v>944</v>
      </c>
      <c r="G2946" s="267" t="s">
        <v>3926</v>
      </c>
      <c r="H2946" s="267" t="s">
        <v>7376</v>
      </c>
      <c r="I2946" s="267" t="s">
        <v>4005</v>
      </c>
      <c r="J2946" s="267" t="s">
        <v>3928</v>
      </c>
      <c r="K2946" s="267">
        <v>6118</v>
      </c>
      <c r="L2946" s="267">
        <v>511000</v>
      </c>
      <c r="M2946" s="267" t="s">
        <v>3935</v>
      </c>
      <c r="N2946" s="267" t="s">
        <v>7377</v>
      </c>
      <c r="O2946" s="267">
        <v>0</v>
      </c>
      <c r="P2946" s="267" t="s">
        <v>3930</v>
      </c>
      <c r="Q2946" s="267" t="s">
        <v>3930</v>
      </c>
      <c r="R2946" s="267">
        <v>0</v>
      </c>
      <c r="S2946" s="267">
        <v>8750</v>
      </c>
      <c r="T2946" s="267">
        <v>8750</v>
      </c>
      <c r="U2946" s="268" t="s">
        <v>3937</v>
      </c>
      <c r="V2946" s="267" t="s">
        <v>944</v>
      </c>
    </row>
    <row r="2947" spans="1:22" hidden="1" x14ac:dyDescent="0.25">
      <c r="A2947" s="269">
        <v>43622</v>
      </c>
      <c r="B2947" s="270">
        <v>2019</v>
      </c>
      <c r="C2947" s="270">
        <v>2019</v>
      </c>
      <c r="D2947" s="270">
        <v>1</v>
      </c>
      <c r="E2947" s="270">
        <v>1</v>
      </c>
      <c r="F2947" s="270" t="s">
        <v>944</v>
      </c>
      <c r="G2947" s="270" t="s">
        <v>3926</v>
      </c>
      <c r="H2947" s="270" t="s">
        <v>7378</v>
      </c>
      <c r="I2947" s="270" t="s">
        <v>3954</v>
      </c>
      <c r="J2947" s="270" t="s">
        <v>3928</v>
      </c>
      <c r="K2947" s="270">
        <v>6357</v>
      </c>
      <c r="L2947" s="270">
        <v>870704</v>
      </c>
      <c r="M2947" s="270" t="s">
        <v>3935</v>
      </c>
      <c r="N2947" s="270" t="s">
        <v>6901</v>
      </c>
      <c r="O2947" s="270">
        <v>0</v>
      </c>
      <c r="P2947" s="270" t="s">
        <v>3930</v>
      </c>
      <c r="Q2947" s="270" t="s">
        <v>3930</v>
      </c>
      <c r="R2947" s="270">
        <v>0</v>
      </c>
      <c r="S2947" s="270">
        <v>15950</v>
      </c>
      <c r="T2947" s="270">
        <v>15950</v>
      </c>
      <c r="U2947" s="271" t="s">
        <v>3937</v>
      </c>
      <c r="V2947" s="267" t="s">
        <v>944</v>
      </c>
    </row>
    <row r="2948" spans="1:22" hidden="1" x14ac:dyDescent="0.25">
      <c r="A2948" s="266">
        <v>43622</v>
      </c>
      <c r="B2948" s="267">
        <v>2019</v>
      </c>
      <c r="C2948" s="267">
        <v>2019</v>
      </c>
      <c r="D2948" s="267">
        <v>1</v>
      </c>
      <c r="E2948" s="267">
        <v>1</v>
      </c>
      <c r="F2948" s="267" t="s">
        <v>944</v>
      </c>
      <c r="G2948" s="267" t="s">
        <v>3926</v>
      </c>
      <c r="H2948" s="267" t="s">
        <v>7379</v>
      </c>
      <c r="I2948" s="267" t="s">
        <v>4029</v>
      </c>
      <c r="J2948" s="267" t="s">
        <v>3928</v>
      </c>
      <c r="K2948" s="267">
        <v>6850</v>
      </c>
      <c r="L2948" s="267">
        <v>43000</v>
      </c>
      <c r="M2948" s="267" t="s">
        <v>3943</v>
      </c>
      <c r="N2948" s="267" t="s">
        <v>7380</v>
      </c>
      <c r="O2948" s="267">
        <v>0</v>
      </c>
      <c r="P2948" s="267" t="s">
        <v>3930</v>
      </c>
      <c r="Q2948" s="267" t="s">
        <v>3930</v>
      </c>
      <c r="R2948" s="267">
        <v>0</v>
      </c>
      <c r="S2948" s="267">
        <v>26475</v>
      </c>
      <c r="T2948" s="267">
        <v>26475</v>
      </c>
      <c r="U2948" s="268" t="s">
        <v>3937</v>
      </c>
      <c r="V2948" s="267" t="s">
        <v>944</v>
      </c>
    </row>
    <row r="2949" spans="1:22" hidden="1" x14ac:dyDescent="0.25">
      <c r="A2949" s="269">
        <v>43622</v>
      </c>
      <c r="B2949" s="270">
        <v>2019</v>
      </c>
      <c r="C2949" s="270">
        <v>2019</v>
      </c>
      <c r="D2949" s="270">
        <v>1</v>
      </c>
      <c r="E2949" s="270">
        <v>1</v>
      </c>
      <c r="F2949" s="270" t="s">
        <v>944</v>
      </c>
      <c r="G2949" s="270" t="s">
        <v>3926</v>
      </c>
      <c r="H2949" s="270" t="s">
        <v>7381</v>
      </c>
      <c r="I2949" s="270" t="s">
        <v>4055</v>
      </c>
      <c r="J2949" s="270" t="s">
        <v>3928</v>
      </c>
      <c r="K2949" s="270">
        <v>6070</v>
      </c>
      <c r="L2949" s="270">
        <v>466300</v>
      </c>
      <c r="M2949" s="270" t="s">
        <v>3943</v>
      </c>
      <c r="N2949" s="270" t="s">
        <v>7382</v>
      </c>
      <c r="O2949" s="270">
        <v>0</v>
      </c>
      <c r="P2949" s="270" t="s">
        <v>3930</v>
      </c>
      <c r="Q2949" s="270" t="s">
        <v>3930</v>
      </c>
      <c r="R2949" s="270">
        <v>0</v>
      </c>
      <c r="S2949" s="270">
        <v>16329.42</v>
      </c>
      <c r="T2949" s="270">
        <v>16329.42</v>
      </c>
      <c r="U2949" s="271" t="s">
        <v>3937</v>
      </c>
      <c r="V2949" s="267" t="s">
        <v>944</v>
      </c>
    </row>
    <row r="2950" spans="1:22" hidden="1" x14ac:dyDescent="0.25">
      <c r="A2950" s="266">
        <v>43622</v>
      </c>
      <c r="B2950" s="267">
        <v>2019</v>
      </c>
      <c r="C2950" s="267">
        <v>2019</v>
      </c>
      <c r="D2950" s="267">
        <v>1</v>
      </c>
      <c r="E2950" s="267">
        <v>1</v>
      </c>
      <c r="F2950" s="267" t="s">
        <v>944</v>
      </c>
      <c r="G2950" s="267" t="s">
        <v>3926</v>
      </c>
      <c r="H2950" s="267" t="s">
        <v>7383</v>
      </c>
      <c r="I2950" s="267" t="s">
        <v>5485</v>
      </c>
      <c r="J2950" s="267" t="s">
        <v>3928</v>
      </c>
      <c r="K2950" s="267">
        <v>6001</v>
      </c>
      <c r="L2950" s="267">
        <v>460302</v>
      </c>
      <c r="M2950" s="267" t="s">
        <v>3960</v>
      </c>
      <c r="N2950" s="267" t="s">
        <v>7384</v>
      </c>
      <c r="O2950" s="267">
        <v>0</v>
      </c>
      <c r="P2950" s="267" t="s">
        <v>3930</v>
      </c>
      <c r="Q2950" s="267" t="s">
        <v>3930</v>
      </c>
      <c r="R2950" s="267">
        <v>0</v>
      </c>
      <c r="S2950" s="267">
        <v>8010.53</v>
      </c>
      <c r="T2950" s="267">
        <v>8010.53</v>
      </c>
      <c r="U2950" s="268" t="s">
        <v>3937</v>
      </c>
      <c r="V2950" s="267" t="s">
        <v>944</v>
      </c>
    </row>
    <row r="2951" spans="1:22" hidden="1" x14ac:dyDescent="0.25">
      <c r="A2951" s="269">
        <v>43622</v>
      </c>
      <c r="B2951" s="270">
        <v>2019</v>
      </c>
      <c r="C2951" s="270">
        <v>2019</v>
      </c>
      <c r="D2951" s="270">
        <v>1</v>
      </c>
      <c r="E2951" s="270">
        <v>1</v>
      </c>
      <c r="F2951" s="270" t="s">
        <v>944</v>
      </c>
      <c r="G2951" s="270" t="s">
        <v>3926</v>
      </c>
      <c r="H2951" s="270" t="s">
        <v>7385</v>
      </c>
      <c r="I2951" s="270" t="s">
        <v>956</v>
      </c>
      <c r="J2951" s="270" t="s">
        <v>3928</v>
      </c>
      <c r="K2951" s="270">
        <v>6615</v>
      </c>
      <c r="L2951" s="270">
        <v>80200</v>
      </c>
      <c r="M2951" s="270" t="s">
        <v>3935</v>
      </c>
      <c r="N2951" s="270" t="s">
        <v>5613</v>
      </c>
      <c r="O2951" s="270">
        <v>1126.3699999999999</v>
      </c>
      <c r="P2951" s="270" t="s">
        <v>3930</v>
      </c>
      <c r="Q2951" s="270" t="s">
        <v>3931</v>
      </c>
      <c r="R2951" s="270">
        <v>6126.37</v>
      </c>
      <c r="S2951" s="270">
        <v>19675.3</v>
      </c>
      <c r="T2951" s="270">
        <v>25801.67</v>
      </c>
      <c r="U2951" s="271" t="s">
        <v>3932</v>
      </c>
      <c r="V2951" s="267" t="s">
        <v>944</v>
      </c>
    </row>
    <row r="2952" spans="1:22" hidden="1" x14ac:dyDescent="0.25">
      <c r="A2952" s="266">
        <v>43622</v>
      </c>
      <c r="B2952" s="267">
        <v>2019</v>
      </c>
      <c r="C2952" s="267">
        <v>2019</v>
      </c>
      <c r="D2952" s="267">
        <v>1</v>
      </c>
      <c r="E2952" s="267">
        <v>1</v>
      </c>
      <c r="F2952" s="267" t="s">
        <v>944</v>
      </c>
      <c r="G2952" s="267" t="s">
        <v>3926</v>
      </c>
      <c r="H2952" s="267" t="s">
        <v>7386</v>
      </c>
      <c r="I2952" s="267" t="s">
        <v>4019</v>
      </c>
      <c r="J2952" s="267" t="s">
        <v>3928</v>
      </c>
      <c r="K2952" s="267">
        <v>6706</v>
      </c>
      <c r="L2952" s="267">
        <v>351400</v>
      </c>
      <c r="M2952" s="267">
        <v>-60</v>
      </c>
      <c r="N2952" s="267" t="s">
        <v>7387</v>
      </c>
      <c r="O2952" s="267">
        <v>0</v>
      </c>
      <c r="P2952" s="267" t="s">
        <v>3930</v>
      </c>
      <c r="Q2952" s="267" t="s">
        <v>3930</v>
      </c>
      <c r="R2952" s="267">
        <v>0</v>
      </c>
      <c r="S2952" s="267">
        <v>5976.03</v>
      </c>
      <c r="T2952" s="267">
        <v>5976.03</v>
      </c>
      <c r="U2952" s="268" t="s">
        <v>3937</v>
      </c>
      <c r="V2952" s="267" t="s">
        <v>944</v>
      </c>
    </row>
    <row r="2953" spans="1:22" hidden="1" x14ac:dyDescent="0.25">
      <c r="A2953" s="269">
        <v>43622</v>
      </c>
      <c r="B2953" s="270">
        <v>2019</v>
      </c>
      <c r="C2953" s="270">
        <v>2019</v>
      </c>
      <c r="D2953" s="270">
        <v>1</v>
      </c>
      <c r="E2953" s="270">
        <v>1</v>
      </c>
      <c r="F2953" s="270" t="s">
        <v>944</v>
      </c>
      <c r="G2953" s="270" t="s">
        <v>3926</v>
      </c>
      <c r="H2953" s="270" t="s">
        <v>7388</v>
      </c>
      <c r="I2953" s="270" t="s">
        <v>2985</v>
      </c>
      <c r="J2953" s="270" t="s">
        <v>3928</v>
      </c>
      <c r="K2953" s="270">
        <v>6890</v>
      </c>
      <c r="L2953" s="270">
        <v>60500</v>
      </c>
      <c r="M2953" s="270" t="s">
        <v>3943</v>
      </c>
      <c r="N2953" s="270" t="s">
        <v>5313</v>
      </c>
      <c r="O2953" s="270">
        <v>5405</v>
      </c>
      <c r="P2953" s="270" t="s">
        <v>3930</v>
      </c>
      <c r="Q2953" s="270" t="s">
        <v>3930</v>
      </c>
      <c r="R2953" s="270">
        <v>5405</v>
      </c>
      <c r="S2953" s="270">
        <v>40741</v>
      </c>
      <c r="T2953" s="270">
        <v>46146</v>
      </c>
      <c r="U2953" s="271" t="s">
        <v>3937</v>
      </c>
      <c r="V2953" s="267" t="s">
        <v>944</v>
      </c>
    </row>
    <row r="2954" spans="1:22" hidden="1" x14ac:dyDescent="0.25">
      <c r="A2954" s="266">
        <v>43622</v>
      </c>
      <c r="B2954" s="267">
        <v>2019</v>
      </c>
      <c r="C2954" s="267">
        <v>2019</v>
      </c>
      <c r="D2954" s="267">
        <v>1</v>
      </c>
      <c r="E2954" s="267">
        <v>1</v>
      </c>
      <c r="F2954" s="267" t="s">
        <v>944</v>
      </c>
      <c r="G2954" s="267" t="s">
        <v>3926</v>
      </c>
      <c r="H2954" s="267" t="s">
        <v>7389</v>
      </c>
      <c r="I2954" s="267" t="s">
        <v>4490</v>
      </c>
      <c r="J2954" s="267" t="s">
        <v>3928</v>
      </c>
      <c r="K2954" s="267">
        <v>6426</v>
      </c>
      <c r="L2954" s="267">
        <v>630100</v>
      </c>
      <c r="M2954" s="267" t="s">
        <v>3960</v>
      </c>
      <c r="N2954" s="267" t="s">
        <v>3944</v>
      </c>
      <c r="O2954" s="267">
        <v>1220</v>
      </c>
      <c r="P2954" s="267" t="s">
        <v>3944</v>
      </c>
      <c r="Q2954" s="267" t="s">
        <v>3944</v>
      </c>
      <c r="R2954" s="267">
        <v>1220</v>
      </c>
      <c r="S2954" s="267">
        <v>16000</v>
      </c>
      <c r="T2954" s="267">
        <v>17220</v>
      </c>
      <c r="U2954" s="268" t="s">
        <v>3945</v>
      </c>
      <c r="V2954" s="267" t="s">
        <v>944</v>
      </c>
    </row>
    <row r="2955" spans="1:22" hidden="1" x14ac:dyDescent="0.25">
      <c r="A2955" s="269">
        <v>43622</v>
      </c>
      <c r="B2955" s="270">
        <v>2019</v>
      </c>
      <c r="C2955" s="270">
        <v>2019</v>
      </c>
      <c r="D2955" s="270">
        <v>1</v>
      </c>
      <c r="E2955" s="270">
        <v>1</v>
      </c>
      <c r="F2955" s="270" t="s">
        <v>944</v>
      </c>
      <c r="G2955" s="270" t="s">
        <v>3926</v>
      </c>
      <c r="H2955" s="270" t="s">
        <v>7390</v>
      </c>
      <c r="I2955" s="270" t="s">
        <v>3962</v>
      </c>
      <c r="J2955" s="270" t="s">
        <v>3928</v>
      </c>
      <c r="K2955" s="270">
        <v>6355</v>
      </c>
      <c r="L2955" s="270">
        <v>705400</v>
      </c>
      <c r="M2955" s="270" t="s">
        <v>3943</v>
      </c>
      <c r="N2955" s="270" t="s">
        <v>3944</v>
      </c>
      <c r="O2955" s="270">
        <v>4178</v>
      </c>
      <c r="P2955" s="270" t="s">
        <v>3944</v>
      </c>
      <c r="Q2955" s="270" t="s">
        <v>3944</v>
      </c>
      <c r="R2955" s="270">
        <v>4178</v>
      </c>
      <c r="S2955" s="270">
        <v>30716.799999999999</v>
      </c>
      <c r="T2955" s="270">
        <v>34894.800000000003</v>
      </c>
      <c r="U2955" s="271" t="s">
        <v>3945</v>
      </c>
      <c r="V2955" s="267" t="s">
        <v>944</v>
      </c>
    </row>
    <row r="2956" spans="1:22" hidden="1" x14ac:dyDescent="0.25">
      <c r="A2956" s="266">
        <v>43622</v>
      </c>
      <c r="B2956" s="267">
        <v>2019</v>
      </c>
      <c r="C2956" s="267">
        <v>2019</v>
      </c>
      <c r="D2956" s="267">
        <v>1</v>
      </c>
      <c r="E2956" s="267">
        <v>1</v>
      </c>
      <c r="F2956" s="267" t="s">
        <v>944</v>
      </c>
      <c r="G2956" s="267" t="s">
        <v>3926</v>
      </c>
      <c r="H2956" s="267" t="s">
        <v>7391</v>
      </c>
      <c r="I2956" s="267" t="s">
        <v>3966</v>
      </c>
      <c r="J2956" s="267" t="s">
        <v>3928</v>
      </c>
      <c r="K2956" s="267">
        <v>6010</v>
      </c>
      <c r="L2956" s="267">
        <v>405402</v>
      </c>
      <c r="M2956" s="267" t="s">
        <v>3940</v>
      </c>
      <c r="N2956" s="267" t="s">
        <v>3944</v>
      </c>
      <c r="O2956" s="267">
        <v>1177</v>
      </c>
      <c r="P2956" s="267" t="s">
        <v>3944</v>
      </c>
      <c r="Q2956" s="267" t="s">
        <v>3944</v>
      </c>
      <c r="R2956" s="267">
        <v>1177</v>
      </c>
      <c r="S2956" s="267">
        <v>20873</v>
      </c>
      <c r="T2956" s="267">
        <v>22050</v>
      </c>
      <c r="U2956" s="268" t="s">
        <v>3945</v>
      </c>
      <c r="V2956" s="267" t="s">
        <v>944</v>
      </c>
    </row>
    <row r="2957" spans="1:22" hidden="1" x14ac:dyDescent="0.25">
      <c r="A2957" s="269">
        <v>43622</v>
      </c>
      <c r="B2957" s="270">
        <v>2019</v>
      </c>
      <c r="C2957" s="270">
        <v>2019</v>
      </c>
      <c r="D2957" s="270">
        <v>1</v>
      </c>
      <c r="E2957" s="270">
        <v>1</v>
      </c>
      <c r="F2957" s="270" t="s">
        <v>944</v>
      </c>
      <c r="G2957" s="270" t="s">
        <v>3926</v>
      </c>
      <c r="H2957" s="270" t="s">
        <v>7392</v>
      </c>
      <c r="I2957" s="270" t="s">
        <v>4269</v>
      </c>
      <c r="J2957" s="270" t="s">
        <v>3928</v>
      </c>
      <c r="K2957" s="270">
        <v>6107</v>
      </c>
      <c r="L2957" s="270">
        <v>496600</v>
      </c>
      <c r="M2957" s="270" t="s">
        <v>3943</v>
      </c>
      <c r="N2957" s="270" t="s">
        <v>3944</v>
      </c>
      <c r="O2957" s="270">
        <v>2650</v>
      </c>
      <c r="P2957" s="270" t="s">
        <v>3944</v>
      </c>
      <c r="Q2957" s="270" t="s">
        <v>3944</v>
      </c>
      <c r="R2957" s="270">
        <v>2650</v>
      </c>
      <c r="S2957" s="270">
        <v>31908.65</v>
      </c>
      <c r="T2957" s="270">
        <v>34558.65</v>
      </c>
      <c r="U2957" s="271" t="s">
        <v>3945</v>
      </c>
      <c r="V2957" s="267" t="s">
        <v>944</v>
      </c>
    </row>
    <row r="2958" spans="1:22" hidden="1" x14ac:dyDescent="0.25">
      <c r="A2958" s="266">
        <v>43622</v>
      </c>
      <c r="B2958" s="267">
        <v>2019</v>
      </c>
      <c r="C2958" s="267">
        <v>2019</v>
      </c>
      <c r="D2958" s="267">
        <v>1</v>
      </c>
      <c r="E2958" s="267">
        <v>1</v>
      </c>
      <c r="F2958" s="267" t="s">
        <v>944</v>
      </c>
      <c r="G2958" s="267" t="s">
        <v>3926</v>
      </c>
      <c r="H2958" s="267" t="s">
        <v>7393</v>
      </c>
      <c r="I2958" s="267" t="s">
        <v>2985</v>
      </c>
      <c r="J2958" s="267" t="s">
        <v>3928</v>
      </c>
      <c r="K2958" s="267">
        <v>6825</v>
      </c>
      <c r="L2958" s="267">
        <v>61200</v>
      </c>
      <c r="M2958" s="267" t="s">
        <v>3935</v>
      </c>
      <c r="N2958" s="267" t="s">
        <v>3944</v>
      </c>
      <c r="O2958" s="267">
        <v>2883</v>
      </c>
      <c r="P2958" s="267" t="s">
        <v>3944</v>
      </c>
      <c r="Q2958" s="267" t="s">
        <v>3944</v>
      </c>
      <c r="R2958" s="267">
        <v>2883</v>
      </c>
      <c r="S2958" s="267">
        <v>20059.5</v>
      </c>
      <c r="T2958" s="267">
        <v>22942.5</v>
      </c>
      <c r="U2958" s="268" t="s">
        <v>3945</v>
      </c>
      <c r="V2958" s="267" t="s">
        <v>944</v>
      </c>
    </row>
    <row r="2959" spans="1:22" hidden="1" x14ac:dyDescent="0.25">
      <c r="A2959" s="269">
        <v>43622</v>
      </c>
      <c r="B2959" s="270">
        <v>2019</v>
      </c>
      <c r="C2959" s="270">
        <v>2019</v>
      </c>
      <c r="D2959" s="270">
        <v>1</v>
      </c>
      <c r="E2959" s="270">
        <v>1</v>
      </c>
      <c r="F2959" s="270" t="s">
        <v>944</v>
      </c>
      <c r="G2959" s="270" t="s">
        <v>3926</v>
      </c>
      <c r="H2959" s="270" t="s">
        <v>7394</v>
      </c>
      <c r="I2959" s="270" t="s">
        <v>4087</v>
      </c>
      <c r="J2959" s="270" t="s">
        <v>3928</v>
      </c>
      <c r="K2959" s="270">
        <v>6355</v>
      </c>
      <c r="L2959" s="270">
        <v>702100</v>
      </c>
      <c r="M2959" s="270" t="s">
        <v>3960</v>
      </c>
      <c r="N2959" s="270" t="s">
        <v>3944</v>
      </c>
      <c r="O2959" s="270">
        <v>3291</v>
      </c>
      <c r="P2959" s="270" t="s">
        <v>3944</v>
      </c>
      <c r="Q2959" s="270" t="s">
        <v>3944</v>
      </c>
      <c r="R2959" s="270">
        <v>3291</v>
      </c>
      <c r="S2959" s="270">
        <v>23653.5</v>
      </c>
      <c r="T2959" s="270">
        <v>26944.5</v>
      </c>
      <c r="U2959" s="271" t="s">
        <v>3945</v>
      </c>
      <c r="V2959" s="267" t="s">
        <v>944</v>
      </c>
    </row>
    <row r="2960" spans="1:22" hidden="1" x14ac:dyDescent="0.25">
      <c r="A2960" s="266">
        <v>43622</v>
      </c>
      <c r="B2960" s="267">
        <v>2019</v>
      </c>
      <c r="C2960" s="267">
        <v>2019</v>
      </c>
      <c r="D2960" s="267">
        <v>1</v>
      </c>
      <c r="E2960" s="267">
        <v>1</v>
      </c>
      <c r="F2960" s="267" t="s">
        <v>944</v>
      </c>
      <c r="G2960" s="267" t="s">
        <v>3926</v>
      </c>
      <c r="H2960" s="267" t="s">
        <v>7395</v>
      </c>
      <c r="I2960" s="267" t="s">
        <v>950</v>
      </c>
      <c r="J2960" s="267" t="s">
        <v>3928</v>
      </c>
      <c r="K2960" s="267">
        <v>6516</v>
      </c>
      <c r="L2960" s="267">
        <v>154700</v>
      </c>
      <c r="M2960" s="267" t="s">
        <v>3960</v>
      </c>
      <c r="N2960" s="267" t="s">
        <v>3944</v>
      </c>
      <c r="O2960" s="267">
        <v>2523</v>
      </c>
      <c r="P2960" s="267" t="s">
        <v>3944</v>
      </c>
      <c r="Q2960" s="267" t="s">
        <v>3944</v>
      </c>
      <c r="R2960" s="267">
        <v>2523</v>
      </c>
      <c r="S2960" s="267">
        <v>17783.7</v>
      </c>
      <c r="T2960" s="267">
        <v>20306.7</v>
      </c>
      <c r="U2960" s="268" t="s">
        <v>3945</v>
      </c>
      <c r="V2960" s="267" t="s">
        <v>944</v>
      </c>
    </row>
    <row r="2961" spans="1:22" hidden="1" x14ac:dyDescent="0.25">
      <c r="A2961" s="269">
        <v>43622</v>
      </c>
      <c r="B2961" s="270">
        <v>2019</v>
      </c>
      <c r="C2961" s="270">
        <v>2019</v>
      </c>
      <c r="D2961" s="270">
        <v>1</v>
      </c>
      <c r="E2961" s="270">
        <v>1</v>
      </c>
      <c r="F2961" s="270" t="s">
        <v>944</v>
      </c>
      <c r="G2961" s="270" t="s">
        <v>3926</v>
      </c>
      <c r="H2961" s="270" t="s">
        <v>7396</v>
      </c>
      <c r="I2961" s="270" t="s">
        <v>4019</v>
      </c>
      <c r="J2961" s="270" t="s">
        <v>3928</v>
      </c>
      <c r="K2961" s="270">
        <v>6704</v>
      </c>
      <c r="L2961" s="270">
        <v>352500</v>
      </c>
      <c r="M2961" s="270">
        <v>-60</v>
      </c>
      <c r="N2961" s="270" t="s">
        <v>3944</v>
      </c>
      <c r="O2961" s="270">
        <v>6399</v>
      </c>
      <c r="P2961" s="270" t="s">
        <v>3944</v>
      </c>
      <c r="Q2961" s="270" t="s">
        <v>3944</v>
      </c>
      <c r="R2961" s="270">
        <v>6399</v>
      </c>
      <c r="S2961" s="270">
        <v>54431</v>
      </c>
      <c r="T2961" s="270">
        <v>60830</v>
      </c>
      <c r="U2961" s="271" t="s">
        <v>3945</v>
      </c>
      <c r="V2961" s="267" t="s">
        <v>944</v>
      </c>
    </row>
    <row r="2962" spans="1:22" hidden="1" x14ac:dyDescent="0.25">
      <c r="A2962" s="266">
        <v>43622</v>
      </c>
      <c r="B2962" s="267">
        <v>2019</v>
      </c>
      <c r="C2962" s="267">
        <v>2019</v>
      </c>
      <c r="D2962" s="267">
        <v>1</v>
      </c>
      <c r="E2962" s="267">
        <v>1</v>
      </c>
      <c r="F2962" s="267" t="s">
        <v>944</v>
      </c>
      <c r="G2962" s="267" t="s">
        <v>3926</v>
      </c>
      <c r="H2962" s="267" t="s">
        <v>7397</v>
      </c>
      <c r="I2962" s="267" t="s">
        <v>3968</v>
      </c>
      <c r="J2962" s="267" t="s">
        <v>3928</v>
      </c>
      <c r="K2962" s="267">
        <v>6040</v>
      </c>
      <c r="L2962" s="267">
        <v>515101</v>
      </c>
      <c r="M2962" s="267" t="s">
        <v>3935</v>
      </c>
      <c r="N2962" s="267" t="s">
        <v>3944</v>
      </c>
      <c r="O2962" s="267">
        <v>3824</v>
      </c>
      <c r="P2962" s="267" t="s">
        <v>3944</v>
      </c>
      <c r="Q2962" s="267" t="s">
        <v>3944</v>
      </c>
      <c r="R2962" s="267">
        <v>3824</v>
      </c>
      <c r="S2962" s="267">
        <v>30106</v>
      </c>
      <c r="T2962" s="267">
        <v>33930</v>
      </c>
      <c r="U2962" s="268" t="s">
        <v>3945</v>
      </c>
      <c r="V2962" s="267" t="s">
        <v>944</v>
      </c>
    </row>
    <row r="2963" spans="1:22" hidden="1" x14ac:dyDescent="0.25">
      <c r="A2963" s="269">
        <v>43622</v>
      </c>
      <c r="B2963" s="270">
        <v>2019</v>
      </c>
      <c r="C2963" s="270">
        <v>2019</v>
      </c>
      <c r="D2963" s="270">
        <v>1</v>
      </c>
      <c r="E2963" s="270">
        <v>1</v>
      </c>
      <c r="F2963" s="270" t="s">
        <v>944</v>
      </c>
      <c r="G2963" s="270" t="s">
        <v>3926</v>
      </c>
      <c r="H2963" s="270" t="s">
        <v>7398</v>
      </c>
      <c r="I2963" s="270" t="s">
        <v>4003</v>
      </c>
      <c r="J2963" s="270" t="s">
        <v>3928</v>
      </c>
      <c r="K2963" s="270">
        <v>6354</v>
      </c>
      <c r="L2963" s="270">
        <v>907200</v>
      </c>
      <c r="M2963" s="270" t="s">
        <v>3940</v>
      </c>
      <c r="N2963" s="270" t="s">
        <v>3944</v>
      </c>
      <c r="O2963" s="270">
        <v>1933.96</v>
      </c>
      <c r="P2963" s="270" t="s">
        <v>3944</v>
      </c>
      <c r="Q2963" s="270" t="s">
        <v>3944</v>
      </c>
      <c r="R2963" s="270">
        <v>1933.96</v>
      </c>
      <c r="S2963" s="270">
        <v>25948.15</v>
      </c>
      <c r="T2963" s="270">
        <v>27882.11</v>
      </c>
      <c r="U2963" s="271" t="s">
        <v>3945</v>
      </c>
      <c r="V2963" s="267" t="s">
        <v>944</v>
      </c>
    </row>
    <row r="2964" spans="1:22" hidden="1" x14ac:dyDescent="0.25">
      <c r="A2964" s="266">
        <v>43622</v>
      </c>
      <c r="B2964" s="267">
        <v>2019</v>
      </c>
      <c r="C2964" s="267">
        <v>2019</v>
      </c>
      <c r="D2964" s="267">
        <v>1</v>
      </c>
      <c r="E2964" s="267">
        <v>1</v>
      </c>
      <c r="F2964" s="267" t="s">
        <v>944</v>
      </c>
      <c r="G2964" s="267" t="s">
        <v>3926</v>
      </c>
      <c r="H2964" s="267" t="s">
        <v>7399</v>
      </c>
      <c r="I2964" s="267" t="s">
        <v>3025</v>
      </c>
      <c r="J2964" s="267" t="s">
        <v>3928</v>
      </c>
      <c r="K2964" s="267">
        <v>6473</v>
      </c>
      <c r="L2964" s="267">
        <v>167202</v>
      </c>
      <c r="M2964" s="267" t="s">
        <v>3935</v>
      </c>
      <c r="N2964" s="267" t="s">
        <v>3944</v>
      </c>
      <c r="O2964" s="267">
        <v>1195.22</v>
      </c>
      <c r="P2964" s="267" t="s">
        <v>3944</v>
      </c>
      <c r="Q2964" s="267" t="s">
        <v>3944</v>
      </c>
      <c r="R2964" s="267">
        <v>1195.22</v>
      </c>
      <c r="S2964" s="267">
        <v>17853.099999999999</v>
      </c>
      <c r="T2964" s="267">
        <v>19048.32</v>
      </c>
      <c r="U2964" s="268" t="s">
        <v>3945</v>
      </c>
      <c r="V2964" s="267" t="s">
        <v>944</v>
      </c>
    </row>
    <row r="2965" spans="1:22" hidden="1" x14ac:dyDescent="0.25">
      <c r="A2965" s="269">
        <v>43622</v>
      </c>
      <c r="B2965" s="270">
        <v>2019</v>
      </c>
      <c r="C2965" s="270">
        <v>2019</v>
      </c>
      <c r="D2965" s="270">
        <v>1</v>
      </c>
      <c r="E2965" s="270">
        <v>1</v>
      </c>
      <c r="F2965" s="270" t="s">
        <v>944</v>
      </c>
      <c r="G2965" s="270" t="s">
        <v>3926</v>
      </c>
      <c r="H2965" s="270" t="s">
        <v>7400</v>
      </c>
      <c r="I2965" s="270" t="s">
        <v>3025</v>
      </c>
      <c r="J2965" s="270" t="s">
        <v>3928</v>
      </c>
      <c r="K2965" s="270">
        <v>6473</v>
      </c>
      <c r="L2965" s="270">
        <v>167202</v>
      </c>
      <c r="M2965" s="270" t="s">
        <v>3935</v>
      </c>
      <c r="N2965" s="270" t="s">
        <v>3944</v>
      </c>
      <c r="O2965" s="270">
        <v>3777.94</v>
      </c>
      <c r="P2965" s="270" t="s">
        <v>3944</v>
      </c>
      <c r="Q2965" s="270" t="s">
        <v>3944</v>
      </c>
      <c r="R2965" s="270">
        <v>3777.94</v>
      </c>
      <c r="S2965" s="270">
        <v>54557.54</v>
      </c>
      <c r="T2965" s="270">
        <v>58335.48</v>
      </c>
      <c r="U2965" s="271" t="s">
        <v>3945</v>
      </c>
      <c r="V2965" s="267" t="s">
        <v>944</v>
      </c>
    </row>
    <row r="2966" spans="1:22" hidden="1" x14ac:dyDescent="0.25">
      <c r="A2966" s="266">
        <v>43622</v>
      </c>
      <c r="B2966" s="267">
        <v>2019</v>
      </c>
      <c r="C2966" s="267">
        <v>2019</v>
      </c>
      <c r="D2966" s="267">
        <v>1</v>
      </c>
      <c r="E2966" s="267">
        <v>1</v>
      </c>
      <c r="F2966" s="267" t="s">
        <v>944</v>
      </c>
      <c r="G2966" s="267" t="s">
        <v>3926</v>
      </c>
      <c r="H2966" s="267" t="s">
        <v>7401</v>
      </c>
      <c r="I2966" s="267" t="s">
        <v>4037</v>
      </c>
      <c r="J2966" s="267" t="s">
        <v>3928</v>
      </c>
      <c r="K2966" s="267">
        <v>6810</v>
      </c>
      <c r="L2966" s="267">
        <v>210300</v>
      </c>
      <c r="M2966" s="267" t="s">
        <v>3940</v>
      </c>
      <c r="N2966" s="267" t="s">
        <v>3944</v>
      </c>
      <c r="O2966" s="267">
        <v>2796.75</v>
      </c>
      <c r="P2966" s="267" t="s">
        <v>3944</v>
      </c>
      <c r="Q2966" s="267" t="s">
        <v>3944</v>
      </c>
      <c r="R2966" s="267">
        <v>2796.75</v>
      </c>
      <c r="S2966" s="267">
        <v>44824.05</v>
      </c>
      <c r="T2966" s="267">
        <v>47620.800000000003</v>
      </c>
      <c r="U2966" s="268" t="s">
        <v>3945</v>
      </c>
      <c r="V2966" s="267" t="s">
        <v>944</v>
      </c>
    </row>
    <row r="2967" spans="1:22" hidden="1" x14ac:dyDescent="0.25">
      <c r="A2967" s="269">
        <v>43622</v>
      </c>
      <c r="B2967" s="270">
        <v>2019</v>
      </c>
      <c r="C2967" s="270">
        <v>2019</v>
      </c>
      <c r="D2967" s="270">
        <v>1</v>
      </c>
      <c r="E2967" s="270">
        <v>1</v>
      </c>
      <c r="F2967" s="270" t="s">
        <v>944</v>
      </c>
      <c r="G2967" s="270" t="s">
        <v>3926</v>
      </c>
      <c r="H2967" s="270" t="s">
        <v>7402</v>
      </c>
      <c r="I2967" s="270" t="s">
        <v>4069</v>
      </c>
      <c r="J2967" s="270" t="s">
        <v>3928</v>
      </c>
      <c r="K2967" s="270">
        <v>6907</v>
      </c>
      <c r="L2967" s="270">
        <v>21100</v>
      </c>
      <c r="M2967" s="270" t="s">
        <v>3943</v>
      </c>
      <c r="N2967" s="270" t="s">
        <v>3944</v>
      </c>
      <c r="O2967" s="270">
        <v>2431.31</v>
      </c>
      <c r="P2967" s="270" t="s">
        <v>3944</v>
      </c>
      <c r="Q2967" s="270" t="s">
        <v>3944</v>
      </c>
      <c r="R2967" s="270">
        <v>2431.31</v>
      </c>
      <c r="S2967" s="270">
        <v>31944.97</v>
      </c>
      <c r="T2967" s="270">
        <v>34376.28</v>
      </c>
      <c r="U2967" s="271" t="s">
        <v>3945</v>
      </c>
      <c r="V2967" s="267" t="s">
        <v>944</v>
      </c>
    </row>
    <row r="2968" spans="1:22" hidden="1" x14ac:dyDescent="0.25">
      <c r="A2968" s="266">
        <v>43622</v>
      </c>
      <c r="B2968" s="267">
        <v>2019</v>
      </c>
      <c r="C2968" s="267">
        <v>2019</v>
      </c>
      <c r="D2968" s="267">
        <v>1</v>
      </c>
      <c r="E2968" s="267">
        <v>1</v>
      </c>
      <c r="F2968" s="267" t="s">
        <v>944</v>
      </c>
      <c r="G2968" s="267" t="s">
        <v>3926</v>
      </c>
      <c r="H2968" s="267" t="s">
        <v>7403</v>
      </c>
      <c r="I2968" s="267" t="s">
        <v>4011</v>
      </c>
      <c r="J2968" s="267" t="s">
        <v>3928</v>
      </c>
      <c r="K2968" s="267">
        <v>6002</v>
      </c>
      <c r="L2968" s="267">
        <v>471400</v>
      </c>
      <c r="M2968" s="267" t="s">
        <v>3943</v>
      </c>
      <c r="N2968" s="267" t="s">
        <v>3944</v>
      </c>
      <c r="O2968" s="267">
        <v>1912.82</v>
      </c>
      <c r="P2968" s="267" t="s">
        <v>3944</v>
      </c>
      <c r="Q2968" s="267" t="s">
        <v>3944</v>
      </c>
      <c r="R2968" s="267">
        <v>1912.82</v>
      </c>
      <c r="S2968" s="267">
        <v>25477.66</v>
      </c>
      <c r="T2968" s="267">
        <v>27390.48</v>
      </c>
      <c r="U2968" s="268" t="s">
        <v>3945</v>
      </c>
      <c r="V2968" s="267" t="s">
        <v>944</v>
      </c>
    </row>
    <row r="2969" spans="1:22" hidden="1" x14ac:dyDescent="0.25">
      <c r="A2969" s="269">
        <v>43622</v>
      </c>
      <c r="B2969" s="270">
        <v>2019</v>
      </c>
      <c r="C2969" s="270">
        <v>2019</v>
      </c>
      <c r="D2969" s="270">
        <v>1</v>
      </c>
      <c r="E2969" s="270">
        <v>1</v>
      </c>
      <c r="F2969" s="270" t="s">
        <v>944</v>
      </c>
      <c r="G2969" s="270" t="s">
        <v>3926</v>
      </c>
      <c r="H2969" s="270" t="s">
        <v>7404</v>
      </c>
      <c r="I2969" s="270" t="s">
        <v>4019</v>
      </c>
      <c r="J2969" s="270" t="s">
        <v>3928</v>
      </c>
      <c r="K2969" s="270">
        <v>6708</v>
      </c>
      <c r="L2969" s="270">
        <v>351800</v>
      </c>
      <c r="M2969" s="270" t="s">
        <v>3940</v>
      </c>
      <c r="N2969" s="270" t="s">
        <v>3944</v>
      </c>
      <c r="O2969" s="270">
        <v>3016.58</v>
      </c>
      <c r="P2969" s="270" t="s">
        <v>3944</v>
      </c>
      <c r="Q2969" s="270" t="s">
        <v>3944</v>
      </c>
      <c r="R2969" s="270">
        <v>3016.58</v>
      </c>
      <c r="S2969" s="270">
        <v>41776.75</v>
      </c>
      <c r="T2969" s="270">
        <v>44793.33</v>
      </c>
      <c r="U2969" s="271" t="s">
        <v>3945</v>
      </c>
      <c r="V2969" s="267" t="s">
        <v>944</v>
      </c>
    </row>
    <row r="2970" spans="1:22" x14ac:dyDescent="0.25">
      <c r="A2970" s="266">
        <v>43622</v>
      </c>
      <c r="B2970" s="267">
        <v>2019</v>
      </c>
      <c r="C2970" s="267">
        <v>2019</v>
      </c>
      <c r="D2970" s="267">
        <v>1</v>
      </c>
      <c r="E2970" s="267">
        <v>1</v>
      </c>
      <c r="F2970" s="267" t="s">
        <v>944</v>
      </c>
      <c r="G2970" s="267" t="s">
        <v>3926</v>
      </c>
      <c r="H2970" s="267" t="s">
        <v>7405</v>
      </c>
      <c r="I2970" s="267" t="s">
        <v>934</v>
      </c>
      <c r="J2970" s="267" t="s">
        <v>3928</v>
      </c>
      <c r="K2970" s="267">
        <v>6610</v>
      </c>
      <c r="L2970" s="267">
        <v>73100</v>
      </c>
      <c r="M2970" s="267">
        <v>-60</v>
      </c>
      <c r="N2970" s="267" t="s">
        <v>3944</v>
      </c>
      <c r="O2970" s="267">
        <v>2935.07</v>
      </c>
      <c r="P2970" s="267" t="s">
        <v>3944</v>
      </c>
      <c r="Q2970" s="267" t="s">
        <v>3944</v>
      </c>
      <c r="R2970" s="267">
        <v>2935.07</v>
      </c>
      <c r="S2970" s="267">
        <v>43627.49</v>
      </c>
      <c r="T2970" s="267">
        <v>46562.559999999998</v>
      </c>
      <c r="U2970" s="268" t="s">
        <v>3945</v>
      </c>
      <c r="V2970" s="276" t="s">
        <v>936</v>
      </c>
    </row>
    <row r="2971" spans="1:22" hidden="1" x14ac:dyDescent="0.25">
      <c r="A2971" s="269">
        <v>43622</v>
      </c>
      <c r="B2971" s="270">
        <v>2019</v>
      </c>
      <c r="C2971" s="270">
        <v>2019</v>
      </c>
      <c r="D2971" s="270">
        <v>1</v>
      </c>
      <c r="E2971" s="270">
        <v>1</v>
      </c>
      <c r="F2971" s="270" t="s">
        <v>944</v>
      </c>
      <c r="G2971" s="270" t="s">
        <v>3926</v>
      </c>
      <c r="H2971" s="270" t="s">
        <v>7406</v>
      </c>
      <c r="I2971" s="270" t="s">
        <v>3990</v>
      </c>
      <c r="J2971" s="270" t="s">
        <v>3928</v>
      </c>
      <c r="K2971" s="270">
        <v>6804</v>
      </c>
      <c r="L2971" s="270">
        <v>205300</v>
      </c>
      <c r="M2971" s="270" t="s">
        <v>3960</v>
      </c>
      <c r="N2971" s="270" t="s">
        <v>3944</v>
      </c>
      <c r="O2971" s="270">
        <v>2245.29</v>
      </c>
      <c r="P2971" s="270" t="s">
        <v>3944</v>
      </c>
      <c r="Q2971" s="270" t="s">
        <v>3944</v>
      </c>
      <c r="R2971" s="270">
        <v>2245.29</v>
      </c>
      <c r="S2971" s="270">
        <v>31089.27</v>
      </c>
      <c r="T2971" s="270">
        <v>33334.559999999998</v>
      </c>
      <c r="U2971" s="271" t="s">
        <v>3945</v>
      </c>
      <c r="V2971" s="267" t="s">
        <v>944</v>
      </c>
    </row>
    <row r="2972" spans="1:22" hidden="1" x14ac:dyDescent="0.25">
      <c r="A2972" s="266">
        <v>43622</v>
      </c>
      <c r="B2972" s="267">
        <v>2019</v>
      </c>
      <c r="C2972" s="267">
        <v>2019</v>
      </c>
      <c r="D2972" s="267">
        <v>1</v>
      </c>
      <c r="E2972" s="267">
        <v>1</v>
      </c>
      <c r="F2972" s="267" t="s">
        <v>944</v>
      </c>
      <c r="G2972" s="267" t="s">
        <v>3926</v>
      </c>
      <c r="H2972" s="267" t="s">
        <v>7407</v>
      </c>
      <c r="I2972" s="267" t="s">
        <v>4392</v>
      </c>
      <c r="J2972" s="267" t="s">
        <v>3928</v>
      </c>
      <c r="K2972" s="267">
        <v>6457</v>
      </c>
      <c r="L2972" s="267">
        <v>542200</v>
      </c>
      <c r="M2972" s="267" t="s">
        <v>3960</v>
      </c>
      <c r="N2972" s="267" t="s">
        <v>3944</v>
      </c>
      <c r="O2972" s="267">
        <v>2326.17</v>
      </c>
      <c r="P2972" s="267" t="s">
        <v>3944</v>
      </c>
      <c r="Q2972" s="267" t="s">
        <v>3944</v>
      </c>
      <c r="R2972" s="267">
        <v>2326.17</v>
      </c>
      <c r="S2972" s="267">
        <v>29966.7</v>
      </c>
      <c r="T2972" s="267">
        <v>32292.87</v>
      </c>
      <c r="U2972" s="268" t="s">
        <v>3945</v>
      </c>
      <c r="V2972" s="267" t="s">
        <v>944</v>
      </c>
    </row>
    <row r="2973" spans="1:22" hidden="1" x14ac:dyDescent="0.25">
      <c r="A2973" s="269">
        <v>43622</v>
      </c>
      <c r="B2973" s="270">
        <v>2019</v>
      </c>
      <c r="C2973" s="270">
        <v>2019</v>
      </c>
      <c r="D2973" s="270">
        <v>1</v>
      </c>
      <c r="E2973" s="270">
        <v>1</v>
      </c>
      <c r="F2973" s="270" t="s">
        <v>944</v>
      </c>
      <c r="G2973" s="270" t="s">
        <v>3926</v>
      </c>
      <c r="H2973" s="270" t="s">
        <v>7408</v>
      </c>
      <c r="I2973" s="270" t="s">
        <v>3999</v>
      </c>
      <c r="J2973" s="270" t="s">
        <v>3928</v>
      </c>
      <c r="K2973" s="270">
        <v>6451</v>
      </c>
      <c r="L2973" s="270">
        <v>170700</v>
      </c>
      <c r="M2973" s="270" t="s">
        <v>3940</v>
      </c>
      <c r="N2973" s="270" t="s">
        <v>3944</v>
      </c>
      <c r="O2973" s="270">
        <v>1599.43</v>
      </c>
      <c r="P2973" s="270" t="s">
        <v>3944</v>
      </c>
      <c r="Q2973" s="270" t="s">
        <v>3944</v>
      </c>
      <c r="R2973" s="270">
        <v>1599.43</v>
      </c>
      <c r="S2973" s="270">
        <v>24073.07</v>
      </c>
      <c r="T2973" s="270">
        <v>25672.5</v>
      </c>
      <c r="U2973" s="271" t="s">
        <v>3945</v>
      </c>
      <c r="V2973" s="267" t="s">
        <v>944</v>
      </c>
    </row>
    <row r="2974" spans="1:22" hidden="1" x14ac:dyDescent="0.25">
      <c r="A2974" s="266">
        <v>43622</v>
      </c>
      <c r="B2974" s="267">
        <v>2019</v>
      </c>
      <c r="C2974" s="267">
        <v>2019</v>
      </c>
      <c r="D2974" s="267">
        <v>1</v>
      </c>
      <c r="E2974" s="267">
        <v>1</v>
      </c>
      <c r="F2974" s="267" t="s">
        <v>944</v>
      </c>
      <c r="G2974" s="267" t="s">
        <v>3926</v>
      </c>
      <c r="H2974" s="267" t="s">
        <v>7409</v>
      </c>
      <c r="I2974" s="267" t="s">
        <v>953</v>
      </c>
      <c r="J2974" s="267" t="s">
        <v>3928</v>
      </c>
      <c r="K2974" s="267">
        <v>6518</v>
      </c>
      <c r="L2974" s="267">
        <v>166002</v>
      </c>
      <c r="M2974" s="267" t="s">
        <v>3960</v>
      </c>
      <c r="N2974" s="267" t="s">
        <v>3944</v>
      </c>
      <c r="O2974" s="267">
        <v>1486.63</v>
      </c>
      <c r="P2974" s="267" t="s">
        <v>3944</v>
      </c>
      <c r="Q2974" s="267" t="s">
        <v>3944</v>
      </c>
      <c r="R2974" s="267">
        <v>1486.63</v>
      </c>
      <c r="S2974" s="267">
        <v>21794.65</v>
      </c>
      <c r="T2974" s="267">
        <v>23281.279999999999</v>
      </c>
      <c r="U2974" s="268" t="s">
        <v>3945</v>
      </c>
      <c r="V2974" s="267" t="s">
        <v>944</v>
      </c>
    </row>
    <row r="2975" spans="1:22" hidden="1" x14ac:dyDescent="0.25">
      <c r="A2975" s="269">
        <v>43622</v>
      </c>
      <c r="B2975" s="270">
        <v>2019</v>
      </c>
      <c r="C2975" s="270">
        <v>2019</v>
      </c>
      <c r="D2975" s="270">
        <v>1</v>
      </c>
      <c r="E2975" s="270">
        <v>1</v>
      </c>
      <c r="F2975" s="270" t="s">
        <v>944</v>
      </c>
      <c r="G2975" s="270" t="s">
        <v>3926</v>
      </c>
      <c r="H2975" s="270" t="s">
        <v>7410</v>
      </c>
      <c r="I2975" s="270" t="s">
        <v>4005</v>
      </c>
      <c r="J2975" s="270" t="s">
        <v>3928</v>
      </c>
      <c r="K2975" s="270">
        <v>6118</v>
      </c>
      <c r="L2975" s="270">
        <v>510700</v>
      </c>
      <c r="M2975" s="270" t="s">
        <v>3940</v>
      </c>
      <c r="N2975" s="270" t="s">
        <v>3944</v>
      </c>
      <c r="O2975" s="270">
        <v>1219.0899999999999</v>
      </c>
      <c r="P2975" s="270" t="s">
        <v>3944</v>
      </c>
      <c r="Q2975" s="270" t="s">
        <v>3944</v>
      </c>
      <c r="R2975" s="270">
        <v>1219.0899999999999</v>
      </c>
      <c r="S2975" s="270">
        <v>20656.73</v>
      </c>
      <c r="T2975" s="270">
        <v>21875.82</v>
      </c>
      <c r="U2975" s="271" t="s">
        <v>3945</v>
      </c>
      <c r="V2975" s="267" t="s">
        <v>944</v>
      </c>
    </row>
    <row r="2976" spans="1:22" hidden="1" x14ac:dyDescent="0.25">
      <c r="A2976" s="266">
        <v>43622</v>
      </c>
      <c r="B2976" s="267">
        <v>2019</v>
      </c>
      <c r="C2976" s="267">
        <v>2019</v>
      </c>
      <c r="D2976" s="267">
        <v>1</v>
      </c>
      <c r="E2976" s="267">
        <v>1</v>
      </c>
      <c r="F2976" s="267" t="s">
        <v>944</v>
      </c>
      <c r="G2976" s="267" t="s">
        <v>3926</v>
      </c>
      <c r="H2976" s="267" t="s">
        <v>7411</v>
      </c>
      <c r="I2976" s="267" t="s">
        <v>5659</v>
      </c>
      <c r="J2976" s="267" t="s">
        <v>3928</v>
      </c>
      <c r="K2976" s="267">
        <v>6419</v>
      </c>
      <c r="L2976" s="267">
        <v>640100</v>
      </c>
      <c r="M2976" s="267" t="s">
        <v>3943</v>
      </c>
      <c r="N2976" s="267" t="s">
        <v>3944</v>
      </c>
      <c r="O2976" s="267">
        <v>1691.1</v>
      </c>
      <c r="P2976" s="267" t="s">
        <v>3944</v>
      </c>
      <c r="Q2976" s="267" t="s">
        <v>3944</v>
      </c>
      <c r="R2976" s="267">
        <v>1691.1</v>
      </c>
      <c r="S2976" s="267">
        <v>19655.3</v>
      </c>
      <c r="T2976" s="267">
        <v>21346.400000000001</v>
      </c>
      <c r="U2976" s="268" t="s">
        <v>3945</v>
      </c>
      <c r="V2976" s="267" t="s">
        <v>944</v>
      </c>
    </row>
    <row r="2977" spans="1:22" hidden="1" x14ac:dyDescent="0.25">
      <c r="A2977" s="269">
        <v>43623</v>
      </c>
      <c r="B2977" s="270">
        <v>2019</v>
      </c>
      <c r="C2977" s="270">
        <v>2019</v>
      </c>
      <c r="D2977" s="270">
        <v>1</v>
      </c>
      <c r="E2977" s="270">
        <v>1</v>
      </c>
      <c r="F2977" s="270" t="s">
        <v>944</v>
      </c>
      <c r="G2977" s="270" t="s">
        <v>3926</v>
      </c>
      <c r="H2977" s="270" t="s">
        <v>7412</v>
      </c>
      <c r="I2977" s="270" t="s">
        <v>3962</v>
      </c>
      <c r="J2977" s="270" t="s">
        <v>3928</v>
      </c>
      <c r="K2977" s="270">
        <v>6379</v>
      </c>
      <c r="L2977" s="270">
        <v>705101</v>
      </c>
      <c r="M2977" s="270" t="s">
        <v>3935</v>
      </c>
      <c r="N2977" s="270" t="s">
        <v>7413</v>
      </c>
      <c r="O2977" s="270">
        <v>0</v>
      </c>
      <c r="P2977" s="270" t="s">
        <v>3930</v>
      </c>
      <c r="Q2977" s="270" t="s">
        <v>3930</v>
      </c>
      <c r="R2977" s="270">
        <v>0</v>
      </c>
      <c r="S2977" s="270">
        <v>19990</v>
      </c>
      <c r="T2977" s="270">
        <v>19990</v>
      </c>
      <c r="U2977" s="271" t="s">
        <v>3937</v>
      </c>
      <c r="V2977" s="267" t="s">
        <v>944</v>
      </c>
    </row>
    <row r="2978" spans="1:22" hidden="1" x14ac:dyDescent="0.25">
      <c r="A2978" s="266">
        <v>43623</v>
      </c>
      <c r="B2978" s="267">
        <v>2019</v>
      </c>
      <c r="C2978" s="267">
        <v>2019</v>
      </c>
      <c r="D2978" s="267">
        <v>1</v>
      </c>
      <c r="E2978" s="267">
        <v>1</v>
      </c>
      <c r="F2978" s="267" t="s">
        <v>944</v>
      </c>
      <c r="G2978" s="267" t="s">
        <v>3926</v>
      </c>
      <c r="H2978" s="267" t="s">
        <v>7414</v>
      </c>
      <c r="I2978" s="267" t="s">
        <v>953</v>
      </c>
      <c r="J2978" s="267" t="s">
        <v>3928</v>
      </c>
      <c r="K2978" s="267">
        <v>6514</v>
      </c>
      <c r="L2978" s="267">
        <v>165900</v>
      </c>
      <c r="M2978" s="267" t="s">
        <v>3943</v>
      </c>
      <c r="N2978" s="267" t="s">
        <v>7415</v>
      </c>
      <c r="O2978" s="267">
        <v>1733</v>
      </c>
      <c r="P2978" s="267" t="s">
        <v>3930</v>
      </c>
      <c r="Q2978" s="267" t="s">
        <v>3930</v>
      </c>
      <c r="R2978" s="267">
        <v>1733</v>
      </c>
      <c r="S2978" s="267">
        <v>10533</v>
      </c>
      <c r="T2978" s="267">
        <v>12266</v>
      </c>
      <c r="U2978" s="268" t="s">
        <v>3937</v>
      </c>
      <c r="V2978" s="267" t="s">
        <v>944</v>
      </c>
    </row>
    <row r="2979" spans="1:22" hidden="1" x14ac:dyDescent="0.25">
      <c r="A2979" s="269">
        <v>43623</v>
      </c>
      <c r="B2979" s="270">
        <v>2019</v>
      </c>
      <c r="C2979" s="270">
        <v>2019</v>
      </c>
      <c r="D2979" s="270">
        <v>1</v>
      </c>
      <c r="E2979" s="270">
        <v>1</v>
      </c>
      <c r="F2979" s="270" t="s">
        <v>944</v>
      </c>
      <c r="G2979" s="270" t="s">
        <v>3926</v>
      </c>
      <c r="H2979" s="270" t="s">
        <v>7416</v>
      </c>
      <c r="I2979" s="270" t="s">
        <v>3008</v>
      </c>
      <c r="J2979" s="270" t="s">
        <v>3928</v>
      </c>
      <c r="K2979" s="270">
        <v>6460</v>
      </c>
      <c r="L2979" s="270">
        <v>150200</v>
      </c>
      <c r="M2979" s="270" t="s">
        <v>3935</v>
      </c>
      <c r="N2979" s="270" t="s">
        <v>7417</v>
      </c>
      <c r="O2979" s="270">
        <v>0</v>
      </c>
      <c r="P2979" s="270" t="s">
        <v>3930</v>
      </c>
      <c r="Q2979" s="270" t="s">
        <v>3930</v>
      </c>
      <c r="R2979" s="270">
        <v>0</v>
      </c>
      <c r="S2979" s="270">
        <v>17900</v>
      </c>
      <c r="T2979" s="270">
        <v>17900</v>
      </c>
      <c r="U2979" s="271" t="s">
        <v>3937</v>
      </c>
      <c r="V2979" s="267" t="s">
        <v>944</v>
      </c>
    </row>
    <row r="2980" spans="1:22" hidden="1" x14ac:dyDescent="0.25">
      <c r="A2980" s="266">
        <v>43623</v>
      </c>
      <c r="B2980" s="267">
        <v>2019</v>
      </c>
      <c r="C2980" s="267">
        <v>2019</v>
      </c>
      <c r="D2980" s="267">
        <v>1</v>
      </c>
      <c r="E2980" s="267">
        <v>1</v>
      </c>
      <c r="F2980" s="267" t="s">
        <v>944</v>
      </c>
      <c r="G2980" s="267" t="s">
        <v>3926</v>
      </c>
      <c r="H2980" s="267" t="s">
        <v>7418</v>
      </c>
      <c r="I2980" s="267" t="s">
        <v>956</v>
      </c>
      <c r="J2980" s="267" t="s">
        <v>3928</v>
      </c>
      <c r="K2980" s="267">
        <v>6614</v>
      </c>
      <c r="L2980" s="267">
        <v>81200</v>
      </c>
      <c r="M2980" s="267" t="s">
        <v>3943</v>
      </c>
      <c r="N2980" s="267" t="s">
        <v>7419</v>
      </c>
      <c r="O2980" s="267">
        <v>0</v>
      </c>
      <c r="P2980" s="267" t="s">
        <v>3930</v>
      </c>
      <c r="Q2980" s="267" t="s">
        <v>3930</v>
      </c>
      <c r="R2980" s="267">
        <v>0</v>
      </c>
      <c r="S2980" s="267">
        <v>5250</v>
      </c>
      <c r="T2980" s="267">
        <v>5250</v>
      </c>
      <c r="U2980" s="268" t="s">
        <v>3937</v>
      </c>
      <c r="V2980" s="267" t="s">
        <v>944</v>
      </c>
    </row>
    <row r="2981" spans="1:22" hidden="1" x14ac:dyDescent="0.25">
      <c r="A2981" s="269">
        <v>43623</v>
      </c>
      <c r="B2981" s="270">
        <v>2019</v>
      </c>
      <c r="C2981" s="270">
        <v>2019</v>
      </c>
      <c r="D2981" s="270">
        <v>1</v>
      </c>
      <c r="E2981" s="270">
        <v>1</v>
      </c>
      <c r="F2981" s="270" t="s">
        <v>944</v>
      </c>
      <c r="G2981" s="270" t="s">
        <v>3926</v>
      </c>
      <c r="H2981" s="270" t="s">
        <v>7420</v>
      </c>
      <c r="I2981" s="270" t="s">
        <v>4111</v>
      </c>
      <c r="J2981" s="270" t="s">
        <v>3928</v>
      </c>
      <c r="K2981" s="270">
        <v>6095</v>
      </c>
      <c r="L2981" s="270">
        <v>473700</v>
      </c>
      <c r="M2981" s="270" t="s">
        <v>3935</v>
      </c>
      <c r="N2981" s="270" t="s">
        <v>7421</v>
      </c>
      <c r="O2981" s="270">
        <v>4437</v>
      </c>
      <c r="P2981" s="270" t="s">
        <v>3930</v>
      </c>
      <c r="Q2981" s="270" t="s">
        <v>3930</v>
      </c>
      <c r="R2981" s="270">
        <v>4437</v>
      </c>
      <c r="S2981" s="270">
        <v>25262</v>
      </c>
      <c r="T2981" s="270">
        <v>29699</v>
      </c>
      <c r="U2981" s="271" t="s">
        <v>3937</v>
      </c>
      <c r="V2981" s="267" t="s">
        <v>944</v>
      </c>
    </row>
    <row r="2982" spans="1:22" hidden="1" x14ac:dyDescent="0.25">
      <c r="A2982" s="266">
        <v>43623</v>
      </c>
      <c r="B2982" s="267">
        <v>2019</v>
      </c>
      <c r="C2982" s="267">
        <v>2019</v>
      </c>
      <c r="D2982" s="267">
        <v>1</v>
      </c>
      <c r="E2982" s="267">
        <v>1</v>
      </c>
      <c r="F2982" s="267" t="s">
        <v>944</v>
      </c>
      <c r="G2982" s="267" t="s">
        <v>3926</v>
      </c>
      <c r="H2982" s="267" t="s">
        <v>7422</v>
      </c>
      <c r="I2982" s="267" t="s">
        <v>4288</v>
      </c>
      <c r="J2982" s="267" t="s">
        <v>3928</v>
      </c>
      <c r="K2982" s="267">
        <v>6883</v>
      </c>
      <c r="L2982" s="267">
        <v>55100</v>
      </c>
      <c r="M2982" s="267" t="s">
        <v>3943</v>
      </c>
      <c r="N2982" s="267" t="s">
        <v>4103</v>
      </c>
      <c r="O2982" s="267">
        <v>3555</v>
      </c>
      <c r="P2982" s="267" t="s">
        <v>3930</v>
      </c>
      <c r="Q2982" s="267" t="s">
        <v>3931</v>
      </c>
      <c r="R2982" s="267">
        <v>8555</v>
      </c>
      <c r="S2982" s="267">
        <v>24145.599999999999</v>
      </c>
      <c r="T2982" s="267">
        <v>32700.6</v>
      </c>
      <c r="U2982" s="268" t="s">
        <v>3932</v>
      </c>
      <c r="V2982" s="267" t="s">
        <v>944</v>
      </c>
    </row>
    <row r="2983" spans="1:22" hidden="1" x14ac:dyDescent="0.25">
      <c r="A2983" s="269">
        <v>43623</v>
      </c>
      <c r="B2983" s="270">
        <v>2019</v>
      </c>
      <c r="C2983" s="270">
        <v>2019</v>
      </c>
      <c r="D2983" s="270">
        <v>1</v>
      </c>
      <c r="E2983" s="270">
        <v>1</v>
      </c>
      <c r="F2983" s="270" t="s">
        <v>944</v>
      </c>
      <c r="G2983" s="270" t="s">
        <v>3926</v>
      </c>
      <c r="H2983" s="270" t="s">
        <v>7423</v>
      </c>
      <c r="I2983" s="270" t="s">
        <v>4008</v>
      </c>
      <c r="J2983" s="270" t="s">
        <v>3928</v>
      </c>
      <c r="K2983" s="270">
        <v>6320</v>
      </c>
      <c r="L2983" s="270">
        <v>690300</v>
      </c>
      <c r="M2983" s="270">
        <v>-60</v>
      </c>
      <c r="N2983" s="270" t="s">
        <v>7424</v>
      </c>
      <c r="O2983" s="270">
        <v>0</v>
      </c>
      <c r="P2983" s="270" t="s">
        <v>3930</v>
      </c>
      <c r="Q2983" s="270" t="s">
        <v>3930</v>
      </c>
      <c r="R2983" s="270">
        <v>0</v>
      </c>
      <c r="S2983" s="270">
        <v>12973</v>
      </c>
      <c r="T2983" s="270">
        <v>12973</v>
      </c>
      <c r="U2983" s="271" t="s">
        <v>3937</v>
      </c>
      <c r="V2983" s="267" t="s">
        <v>944</v>
      </c>
    </row>
    <row r="2984" spans="1:22" hidden="1" x14ac:dyDescent="0.25">
      <c r="A2984" s="266">
        <v>43623</v>
      </c>
      <c r="B2984" s="267">
        <v>2019</v>
      </c>
      <c r="C2984" s="267">
        <v>2019</v>
      </c>
      <c r="D2984" s="267">
        <v>1</v>
      </c>
      <c r="E2984" s="267">
        <v>1</v>
      </c>
      <c r="F2984" s="267" t="s">
        <v>944</v>
      </c>
      <c r="G2984" s="267" t="s">
        <v>3926</v>
      </c>
      <c r="H2984" s="267" t="s">
        <v>7425</v>
      </c>
      <c r="I2984" s="267" t="s">
        <v>4244</v>
      </c>
      <c r="J2984" s="267" t="s">
        <v>3928</v>
      </c>
      <c r="K2984" s="267">
        <v>6250</v>
      </c>
      <c r="L2984" s="267">
        <v>881100</v>
      </c>
      <c r="M2984" s="267" t="s">
        <v>3935</v>
      </c>
      <c r="N2984" s="267" t="s">
        <v>3944</v>
      </c>
      <c r="O2984" s="267">
        <v>1917</v>
      </c>
      <c r="P2984" s="267" t="s">
        <v>3944</v>
      </c>
      <c r="Q2984" s="267" t="s">
        <v>3944</v>
      </c>
      <c r="R2984" s="267">
        <v>1917</v>
      </c>
      <c r="S2984" s="267">
        <v>17131</v>
      </c>
      <c r="T2984" s="267">
        <v>19048</v>
      </c>
      <c r="U2984" s="268" t="s">
        <v>3945</v>
      </c>
      <c r="V2984" s="267" t="s">
        <v>944</v>
      </c>
    </row>
    <row r="2985" spans="1:22" hidden="1" x14ac:dyDescent="0.25">
      <c r="A2985" s="269">
        <v>43623</v>
      </c>
      <c r="B2985" s="270">
        <v>2019</v>
      </c>
      <c r="C2985" s="270">
        <v>2019</v>
      </c>
      <c r="D2985" s="270">
        <v>1</v>
      </c>
      <c r="E2985" s="270">
        <v>1</v>
      </c>
      <c r="F2985" s="270" t="s">
        <v>944</v>
      </c>
      <c r="G2985" s="270" t="s">
        <v>3926</v>
      </c>
      <c r="H2985" s="270" t="s">
        <v>7426</v>
      </c>
      <c r="I2985" s="270" t="s">
        <v>950</v>
      </c>
      <c r="J2985" s="270" t="s">
        <v>3928</v>
      </c>
      <c r="K2985" s="270">
        <v>6516</v>
      </c>
      <c r="L2985" s="270">
        <v>154700</v>
      </c>
      <c r="M2985" s="270" t="s">
        <v>3960</v>
      </c>
      <c r="N2985" s="270" t="s">
        <v>3944</v>
      </c>
      <c r="O2985" s="270">
        <v>5558</v>
      </c>
      <c r="P2985" s="270" t="s">
        <v>3944</v>
      </c>
      <c r="Q2985" s="270" t="s">
        <v>3944</v>
      </c>
      <c r="R2985" s="270">
        <v>5558</v>
      </c>
      <c r="S2985" s="270">
        <v>38314</v>
      </c>
      <c r="T2985" s="270">
        <v>43872</v>
      </c>
      <c r="U2985" s="271" t="s">
        <v>3945</v>
      </c>
      <c r="V2985" s="267" t="s">
        <v>944</v>
      </c>
    </row>
    <row r="2986" spans="1:22" hidden="1" x14ac:dyDescent="0.25">
      <c r="A2986" s="266">
        <v>43623</v>
      </c>
      <c r="B2986" s="267">
        <v>2019</v>
      </c>
      <c r="C2986" s="267">
        <v>2019</v>
      </c>
      <c r="D2986" s="267">
        <v>1</v>
      </c>
      <c r="E2986" s="267">
        <v>1</v>
      </c>
      <c r="F2986" s="267" t="s">
        <v>944</v>
      </c>
      <c r="G2986" s="267" t="s">
        <v>3926</v>
      </c>
      <c r="H2986" s="267" t="s">
        <v>7427</v>
      </c>
      <c r="I2986" s="267" t="s">
        <v>4490</v>
      </c>
      <c r="J2986" s="267" t="s">
        <v>3928</v>
      </c>
      <c r="K2986" s="267">
        <v>6409</v>
      </c>
      <c r="L2986" s="267">
        <v>630100</v>
      </c>
      <c r="M2986" s="267" t="s">
        <v>3960</v>
      </c>
      <c r="N2986" s="267" t="s">
        <v>3944</v>
      </c>
      <c r="O2986" s="267">
        <v>2977</v>
      </c>
      <c r="P2986" s="267" t="s">
        <v>3944</v>
      </c>
      <c r="Q2986" s="267" t="s">
        <v>3944</v>
      </c>
      <c r="R2986" s="267">
        <v>2977</v>
      </c>
      <c r="S2986" s="267">
        <v>21376</v>
      </c>
      <c r="T2986" s="267">
        <v>24353</v>
      </c>
      <c r="U2986" s="268" t="s">
        <v>3945</v>
      </c>
      <c r="V2986" s="267" t="s">
        <v>944</v>
      </c>
    </row>
    <row r="2987" spans="1:22" hidden="1" x14ac:dyDescent="0.25">
      <c r="A2987" s="269">
        <v>43623</v>
      </c>
      <c r="B2987" s="270">
        <v>2019</v>
      </c>
      <c r="C2987" s="270">
        <v>2019</v>
      </c>
      <c r="D2987" s="270">
        <v>1</v>
      </c>
      <c r="E2987" s="270">
        <v>1</v>
      </c>
      <c r="F2987" s="270" t="s">
        <v>944</v>
      </c>
      <c r="G2987" s="270" t="s">
        <v>3926</v>
      </c>
      <c r="H2987" s="270" t="s">
        <v>7428</v>
      </c>
      <c r="I2987" s="270" t="s">
        <v>956</v>
      </c>
      <c r="J2987" s="270" t="s">
        <v>3928</v>
      </c>
      <c r="K2987" s="270">
        <v>6614</v>
      </c>
      <c r="L2987" s="270">
        <v>80800</v>
      </c>
      <c r="M2987" s="270" t="s">
        <v>3960</v>
      </c>
      <c r="N2987" s="270" t="s">
        <v>3944</v>
      </c>
      <c r="O2987" s="270">
        <v>2354</v>
      </c>
      <c r="P2987" s="270" t="s">
        <v>3944</v>
      </c>
      <c r="Q2987" s="270" t="s">
        <v>3944</v>
      </c>
      <c r="R2987" s="270">
        <v>2354</v>
      </c>
      <c r="S2987" s="270">
        <v>19602.5</v>
      </c>
      <c r="T2987" s="270">
        <v>21956.5</v>
      </c>
      <c r="U2987" s="271" t="s">
        <v>3945</v>
      </c>
      <c r="V2987" s="267" t="s">
        <v>944</v>
      </c>
    </row>
    <row r="2988" spans="1:22" hidden="1" x14ac:dyDescent="0.25">
      <c r="A2988" s="266">
        <v>43623</v>
      </c>
      <c r="B2988" s="267">
        <v>2019</v>
      </c>
      <c r="C2988" s="267">
        <v>2019</v>
      </c>
      <c r="D2988" s="267">
        <v>1</v>
      </c>
      <c r="E2988" s="267">
        <v>1</v>
      </c>
      <c r="F2988" s="267" t="s">
        <v>944</v>
      </c>
      <c r="G2988" s="267" t="s">
        <v>3926</v>
      </c>
      <c r="H2988" s="267" t="s">
        <v>7429</v>
      </c>
      <c r="I2988" s="267" t="s">
        <v>4288</v>
      </c>
      <c r="J2988" s="267" t="s">
        <v>3928</v>
      </c>
      <c r="K2988" s="267">
        <v>6883</v>
      </c>
      <c r="L2988" s="267">
        <v>55100</v>
      </c>
      <c r="M2988" s="267" t="s">
        <v>3943</v>
      </c>
      <c r="N2988" s="267" t="s">
        <v>3944</v>
      </c>
      <c r="O2988" s="267">
        <v>2078</v>
      </c>
      <c r="P2988" s="267" t="s">
        <v>3944</v>
      </c>
      <c r="Q2988" s="267" t="s">
        <v>3944</v>
      </c>
      <c r="R2988" s="267">
        <v>2078</v>
      </c>
      <c r="S2988" s="267">
        <v>23914</v>
      </c>
      <c r="T2988" s="267">
        <v>25992</v>
      </c>
      <c r="U2988" s="268" t="s">
        <v>3945</v>
      </c>
      <c r="V2988" s="267" t="s">
        <v>944</v>
      </c>
    </row>
    <row r="2989" spans="1:22" hidden="1" x14ac:dyDescent="0.25">
      <c r="A2989" s="269">
        <v>43623</v>
      </c>
      <c r="B2989" s="270">
        <v>2019</v>
      </c>
      <c r="C2989" s="270">
        <v>2019</v>
      </c>
      <c r="D2989" s="270">
        <v>1</v>
      </c>
      <c r="E2989" s="270">
        <v>1</v>
      </c>
      <c r="F2989" s="270" t="s">
        <v>944</v>
      </c>
      <c r="G2989" s="270" t="s">
        <v>3926</v>
      </c>
      <c r="H2989" s="270" t="s">
        <v>7430</v>
      </c>
      <c r="I2989" s="270" t="s">
        <v>3993</v>
      </c>
      <c r="J2989" s="270" t="s">
        <v>3928</v>
      </c>
      <c r="K2989" s="270">
        <v>6415</v>
      </c>
      <c r="L2989" s="270">
        <v>714103</v>
      </c>
      <c r="M2989" s="270" t="s">
        <v>3943</v>
      </c>
      <c r="N2989" s="270" t="s">
        <v>3944</v>
      </c>
      <c r="O2989" s="270">
        <v>1970</v>
      </c>
      <c r="P2989" s="270" t="s">
        <v>3944</v>
      </c>
      <c r="Q2989" s="270" t="s">
        <v>3944</v>
      </c>
      <c r="R2989" s="270">
        <v>1970</v>
      </c>
      <c r="S2989" s="270">
        <v>20463</v>
      </c>
      <c r="T2989" s="270">
        <v>22433</v>
      </c>
      <c r="U2989" s="271" t="s">
        <v>3945</v>
      </c>
      <c r="V2989" s="267" t="s">
        <v>944</v>
      </c>
    </row>
    <row r="2990" spans="1:22" hidden="1" x14ac:dyDescent="0.25">
      <c r="A2990" s="266">
        <v>43623</v>
      </c>
      <c r="B2990" s="267">
        <v>2019</v>
      </c>
      <c r="C2990" s="267">
        <v>2019</v>
      </c>
      <c r="D2990" s="267">
        <v>1</v>
      </c>
      <c r="E2990" s="267">
        <v>1</v>
      </c>
      <c r="F2990" s="267" t="s">
        <v>944</v>
      </c>
      <c r="G2990" s="267" t="s">
        <v>3926</v>
      </c>
      <c r="H2990" s="267" t="s">
        <v>7431</v>
      </c>
      <c r="I2990" s="267" t="s">
        <v>943</v>
      </c>
      <c r="J2990" s="267" t="s">
        <v>3928</v>
      </c>
      <c r="K2990" s="267">
        <v>6512</v>
      </c>
      <c r="L2990" s="267">
        <v>142800</v>
      </c>
      <c r="M2990" s="267" t="s">
        <v>3940</v>
      </c>
      <c r="N2990" s="267" t="s">
        <v>3944</v>
      </c>
      <c r="O2990" s="267">
        <v>2500</v>
      </c>
      <c r="P2990" s="267" t="s">
        <v>3944</v>
      </c>
      <c r="Q2990" s="267" t="s">
        <v>3944</v>
      </c>
      <c r="R2990" s="267">
        <v>2500</v>
      </c>
      <c r="S2990" s="267">
        <v>22765</v>
      </c>
      <c r="T2990" s="267">
        <v>25265</v>
      </c>
      <c r="U2990" s="268" t="s">
        <v>3945</v>
      </c>
      <c r="V2990" s="267" t="s">
        <v>944</v>
      </c>
    </row>
    <row r="2991" spans="1:22" hidden="1" x14ac:dyDescent="0.25">
      <c r="A2991" s="269">
        <v>43623</v>
      </c>
      <c r="B2991" s="270">
        <v>2019</v>
      </c>
      <c r="C2991" s="270">
        <v>2019</v>
      </c>
      <c r="D2991" s="270">
        <v>1</v>
      </c>
      <c r="E2991" s="270">
        <v>1</v>
      </c>
      <c r="F2991" s="270" t="s">
        <v>944</v>
      </c>
      <c r="G2991" s="270" t="s">
        <v>3926</v>
      </c>
      <c r="H2991" s="270" t="s">
        <v>7432</v>
      </c>
      <c r="I2991" s="270" t="s">
        <v>943</v>
      </c>
      <c r="J2991" s="270" t="s">
        <v>3928</v>
      </c>
      <c r="K2991" s="270">
        <v>6515</v>
      </c>
      <c r="L2991" s="270">
        <v>141100</v>
      </c>
      <c r="M2991" s="270" t="s">
        <v>3960</v>
      </c>
      <c r="N2991" s="270" t="s">
        <v>3944</v>
      </c>
      <c r="O2991" s="270">
        <v>2722</v>
      </c>
      <c r="P2991" s="270" t="s">
        <v>3944</v>
      </c>
      <c r="Q2991" s="270" t="s">
        <v>3944</v>
      </c>
      <c r="R2991" s="270">
        <v>2722</v>
      </c>
      <c r="S2991" s="270">
        <v>19850</v>
      </c>
      <c r="T2991" s="270">
        <v>22572</v>
      </c>
      <c r="U2991" s="271" t="s">
        <v>3945</v>
      </c>
      <c r="V2991" s="267" t="s">
        <v>944</v>
      </c>
    </row>
    <row r="2992" spans="1:22" hidden="1" x14ac:dyDescent="0.25">
      <c r="A2992" s="266">
        <v>43623</v>
      </c>
      <c r="B2992" s="267">
        <v>2019</v>
      </c>
      <c r="C2992" s="267">
        <v>2019</v>
      </c>
      <c r="D2992" s="267">
        <v>1</v>
      </c>
      <c r="E2992" s="267">
        <v>1</v>
      </c>
      <c r="F2992" s="267" t="s">
        <v>944</v>
      </c>
      <c r="G2992" s="267" t="s">
        <v>3926</v>
      </c>
      <c r="H2992" s="267" t="s">
        <v>7433</v>
      </c>
      <c r="I2992" s="267" t="s">
        <v>953</v>
      </c>
      <c r="J2992" s="267" t="s">
        <v>3928</v>
      </c>
      <c r="K2992" s="267">
        <v>6514</v>
      </c>
      <c r="L2992" s="267">
        <v>165600</v>
      </c>
      <c r="M2992" s="267" t="s">
        <v>3940</v>
      </c>
      <c r="N2992" s="267" t="s">
        <v>3944</v>
      </c>
      <c r="O2992" s="267">
        <v>3137</v>
      </c>
      <c r="P2992" s="267" t="s">
        <v>3944</v>
      </c>
      <c r="Q2992" s="267" t="s">
        <v>3944</v>
      </c>
      <c r="R2992" s="267">
        <v>3137</v>
      </c>
      <c r="S2992" s="267">
        <v>21682.3</v>
      </c>
      <c r="T2992" s="267">
        <v>24819.3</v>
      </c>
      <c r="U2992" s="268" t="s">
        <v>3945</v>
      </c>
      <c r="V2992" s="267" t="s">
        <v>944</v>
      </c>
    </row>
    <row r="2993" spans="1:22" hidden="1" x14ac:dyDescent="0.25">
      <c r="A2993" s="269">
        <v>43623</v>
      </c>
      <c r="B2993" s="270">
        <v>2019</v>
      </c>
      <c r="C2993" s="270">
        <v>2019</v>
      </c>
      <c r="D2993" s="270">
        <v>1</v>
      </c>
      <c r="E2993" s="270">
        <v>1</v>
      </c>
      <c r="F2993" s="270" t="s">
        <v>944</v>
      </c>
      <c r="G2993" s="270" t="s">
        <v>3926</v>
      </c>
      <c r="H2993" s="270" t="s">
        <v>7434</v>
      </c>
      <c r="I2993" s="270" t="s">
        <v>3010</v>
      </c>
      <c r="J2993" s="270" t="s">
        <v>3928</v>
      </c>
      <c r="K2993" s="270">
        <v>6401</v>
      </c>
      <c r="L2993" s="270">
        <v>125100</v>
      </c>
      <c r="M2993" s="270" t="s">
        <v>3960</v>
      </c>
      <c r="N2993" s="270" t="s">
        <v>3944</v>
      </c>
      <c r="O2993" s="270">
        <v>3606</v>
      </c>
      <c r="P2993" s="270" t="s">
        <v>3944</v>
      </c>
      <c r="Q2993" s="270" t="s">
        <v>3944</v>
      </c>
      <c r="R2993" s="270">
        <v>3606</v>
      </c>
      <c r="S2993" s="270">
        <v>25064.3</v>
      </c>
      <c r="T2993" s="270">
        <v>28670.3</v>
      </c>
      <c r="U2993" s="271" t="s">
        <v>3945</v>
      </c>
      <c r="V2993" s="267" t="s">
        <v>944</v>
      </c>
    </row>
    <row r="2994" spans="1:22" hidden="1" x14ac:dyDescent="0.25">
      <c r="A2994" s="266">
        <v>43623</v>
      </c>
      <c r="B2994" s="267">
        <v>2019</v>
      </c>
      <c r="C2994" s="267">
        <v>2019</v>
      </c>
      <c r="D2994" s="267">
        <v>1</v>
      </c>
      <c r="E2994" s="267">
        <v>1</v>
      </c>
      <c r="F2994" s="267" t="s">
        <v>944</v>
      </c>
      <c r="G2994" s="267" t="s">
        <v>3926</v>
      </c>
      <c r="H2994" s="267" t="s">
        <v>7435</v>
      </c>
      <c r="I2994" s="267" t="s">
        <v>4699</v>
      </c>
      <c r="J2994" s="267" t="s">
        <v>3928</v>
      </c>
      <c r="K2994" s="267">
        <v>6377</v>
      </c>
      <c r="L2994" s="267">
        <v>908100</v>
      </c>
      <c r="M2994" s="267" t="s">
        <v>3935</v>
      </c>
      <c r="N2994" s="267" t="s">
        <v>3944</v>
      </c>
      <c r="O2994" s="267">
        <v>3764</v>
      </c>
      <c r="P2994" s="267" t="s">
        <v>3944</v>
      </c>
      <c r="Q2994" s="267" t="s">
        <v>3944</v>
      </c>
      <c r="R2994" s="267">
        <v>3764</v>
      </c>
      <c r="S2994" s="267">
        <v>29777.25</v>
      </c>
      <c r="T2994" s="267">
        <v>33541.25</v>
      </c>
      <c r="U2994" s="268" t="s">
        <v>3945</v>
      </c>
      <c r="V2994" s="267" t="s">
        <v>944</v>
      </c>
    </row>
    <row r="2995" spans="1:22" hidden="1" x14ac:dyDescent="0.25">
      <c r="A2995" s="269">
        <v>43623</v>
      </c>
      <c r="B2995" s="270">
        <v>2019</v>
      </c>
      <c r="C2995" s="270">
        <v>2019</v>
      </c>
      <c r="D2995" s="270">
        <v>1</v>
      </c>
      <c r="E2995" s="270">
        <v>1</v>
      </c>
      <c r="F2995" s="270" t="s">
        <v>944</v>
      </c>
      <c r="G2995" s="270" t="s">
        <v>3926</v>
      </c>
      <c r="H2995" s="270" t="s">
        <v>7436</v>
      </c>
      <c r="I2995" s="270" t="s">
        <v>4947</v>
      </c>
      <c r="J2995" s="270" t="s">
        <v>3928</v>
      </c>
      <c r="K2995" s="270">
        <v>6787</v>
      </c>
      <c r="L2995" s="270">
        <v>349100</v>
      </c>
      <c r="M2995" s="270" t="s">
        <v>3935</v>
      </c>
      <c r="N2995" s="270" t="s">
        <v>3944</v>
      </c>
      <c r="O2995" s="270">
        <v>3294</v>
      </c>
      <c r="P2995" s="270" t="s">
        <v>3944</v>
      </c>
      <c r="Q2995" s="270" t="s">
        <v>3944</v>
      </c>
      <c r="R2995" s="270">
        <v>3294</v>
      </c>
      <c r="S2995" s="270">
        <v>33104.400000000001</v>
      </c>
      <c r="T2995" s="270">
        <v>36398.400000000001</v>
      </c>
      <c r="U2995" s="271" t="s">
        <v>3945</v>
      </c>
      <c r="V2995" s="267" t="s">
        <v>944</v>
      </c>
    </row>
    <row r="2996" spans="1:22" hidden="1" x14ac:dyDescent="0.25">
      <c r="A2996" s="266">
        <v>43623</v>
      </c>
      <c r="B2996" s="267">
        <v>2019</v>
      </c>
      <c r="C2996" s="267">
        <v>2019</v>
      </c>
      <c r="D2996" s="267">
        <v>1</v>
      </c>
      <c r="E2996" s="267">
        <v>1</v>
      </c>
      <c r="F2996" s="267" t="s">
        <v>944</v>
      </c>
      <c r="G2996" s="267" t="s">
        <v>3926</v>
      </c>
      <c r="H2996" s="267" t="s">
        <v>7437</v>
      </c>
      <c r="I2996" s="267" t="s">
        <v>4200</v>
      </c>
      <c r="J2996" s="267" t="s">
        <v>3928</v>
      </c>
      <c r="K2996" s="267">
        <v>6795</v>
      </c>
      <c r="L2996" s="267">
        <v>360200</v>
      </c>
      <c r="M2996" s="267" t="s">
        <v>3943</v>
      </c>
      <c r="N2996" s="267" t="s">
        <v>3944</v>
      </c>
      <c r="O2996" s="267">
        <v>4773</v>
      </c>
      <c r="P2996" s="267" t="s">
        <v>3944</v>
      </c>
      <c r="Q2996" s="267" t="s">
        <v>3944</v>
      </c>
      <c r="R2996" s="267">
        <v>4773</v>
      </c>
      <c r="S2996" s="267">
        <v>33720</v>
      </c>
      <c r="T2996" s="267">
        <v>38493</v>
      </c>
      <c r="U2996" s="268" t="s">
        <v>3945</v>
      </c>
      <c r="V2996" s="267" t="s">
        <v>944</v>
      </c>
    </row>
    <row r="2997" spans="1:22" hidden="1" x14ac:dyDescent="0.25">
      <c r="A2997" s="269">
        <v>43623</v>
      </c>
      <c r="B2997" s="270">
        <v>2019</v>
      </c>
      <c r="C2997" s="270">
        <v>2019</v>
      </c>
      <c r="D2997" s="270">
        <v>1</v>
      </c>
      <c r="E2997" s="270">
        <v>1</v>
      </c>
      <c r="F2997" s="270" t="s">
        <v>944</v>
      </c>
      <c r="G2997" s="270" t="s">
        <v>3926</v>
      </c>
      <c r="H2997" s="270" t="s">
        <v>7438</v>
      </c>
      <c r="I2997" s="270" t="s">
        <v>3008</v>
      </c>
      <c r="J2997" s="270" t="s">
        <v>3928</v>
      </c>
      <c r="K2997" s="270">
        <v>6460</v>
      </c>
      <c r="L2997" s="270">
        <v>150500</v>
      </c>
      <c r="M2997" s="270" t="s">
        <v>3960</v>
      </c>
      <c r="N2997" s="270" t="s">
        <v>3944</v>
      </c>
      <c r="O2997" s="270">
        <v>3183</v>
      </c>
      <c r="P2997" s="270" t="s">
        <v>3944</v>
      </c>
      <c r="Q2997" s="270" t="s">
        <v>3944</v>
      </c>
      <c r="R2997" s="270">
        <v>3183</v>
      </c>
      <c r="S2997" s="270">
        <v>26007</v>
      </c>
      <c r="T2997" s="270">
        <v>29190</v>
      </c>
      <c r="U2997" s="271" t="s">
        <v>3945</v>
      </c>
      <c r="V2997" s="267" t="s">
        <v>944</v>
      </c>
    </row>
    <row r="2998" spans="1:22" hidden="1" x14ac:dyDescent="0.25">
      <c r="A2998" s="266">
        <v>43623</v>
      </c>
      <c r="B2998" s="267">
        <v>2019</v>
      </c>
      <c r="C2998" s="267">
        <v>2019</v>
      </c>
      <c r="D2998" s="267">
        <v>1</v>
      </c>
      <c r="E2998" s="267">
        <v>1</v>
      </c>
      <c r="F2998" s="267" t="s">
        <v>944</v>
      </c>
      <c r="G2998" s="267" t="s">
        <v>3926</v>
      </c>
      <c r="H2998" s="267" t="s">
        <v>7439</v>
      </c>
      <c r="I2998" s="267" t="s">
        <v>2985</v>
      </c>
      <c r="J2998" s="267" t="s">
        <v>3928</v>
      </c>
      <c r="K2998" s="267">
        <v>6825</v>
      </c>
      <c r="L2998" s="267">
        <v>60100</v>
      </c>
      <c r="M2998" s="267" t="s">
        <v>3943</v>
      </c>
      <c r="N2998" s="267" t="s">
        <v>3944</v>
      </c>
      <c r="O2998" s="267">
        <v>3673</v>
      </c>
      <c r="P2998" s="267" t="s">
        <v>3944</v>
      </c>
      <c r="Q2998" s="267" t="s">
        <v>3944</v>
      </c>
      <c r="R2998" s="267">
        <v>3673</v>
      </c>
      <c r="S2998" s="267">
        <v>38882</v>
      </c>
      <c r="T2998" s="267">
        <v>42555</v>
      </c>
      <c r="U2998" s="268" t="s">
        <v>3945</v>
      </c>
      <c r="V2998" s="267" t="s">
        <v>944</v>
      </c>
    </row>
    <row r="2999" spans="1:22" hidden="1" x14ac:dyDescent="0.25">
      <c r="A2999" s="269">
        <v>43623</v>
      </c>
      <c r="B2999" s="270">
        <v>2019</v>
      </c>
      <c r="C2999" s="270">
        <v>2019</v>
      </c>
      <c r="D2999" s="270">
        <v>1</v>
      </c>
      <c r="E2999" s="270">
        <v>1</v>
      </c>
      <c r="F2999" s="270" t="s">
        <v>944</v>
      </c>
      <c r="G2999" s="270" t="s">
        <v>3926</v>
      </c>
      <c r="H2999" s="270" t="s">
        <v>7440</v>
      </c>
      <c r="I2999" s="270" t="s">
        <v>956</v>
      </c>
      <c r="J2999" s="270" t="s">
        <v>3928</v>
      </c>
      <c r="K2999" s="270">
        <v>6614</v>
      </c>
      <c r="L2999" s="270">
        <v>80800</v>
      </c>
      <c r="M2999" s="270" t="s">
        <v>3960</v>
      </c>
      <c r="N2999" s="270" t="s">
        <v>3944</v>
      </c>
      <c r="O2999" s="270">
        <v>1506.54</v>
      </c>
      <c r="P2999" s="270" t="s">
        <v>3944</v>
      </c>
      <c r="Q2999" s="270" t="s">
        <v>3944</v>
      </c>
      <c r="R2999" s="270">
        <v>1506.54</v>
      </c>
      <c r="S2999" s="270">
        <v>23833.56</v>
      </c>
      <c r="T2999" s="270">
        <v>25340.1</v>
      </c>
      <c r="U2999" s="271" t="s">
        <v>3945</v>
      </c>
      <c r="V2999" s="267" t="s">
        <v>944</v>
      </c>
    </row>
    <row r="3000" spans="1:22" hidden="1" x14ac:dyDescent="0.25">
      <c r="A3000" s="266">
        <v>43623</v>
      </c>
      <c r="B3000" s="267">
        <v>2019</v>
      </c>
      <c r="C3000" s="267">
        <v>2019</v>
      </c>
      <c r="D3000" s="267">
        <v>1</v>
      </c>
      <c r="E3000" s="267">
        <v>1</v>
      </c>
      <c r="F3000" s="267" t="s">
        <v>944</v>
      </c>
      <c r="G3000" s="267" t="s">
        <v>3926</v>
      </c>
      <c r="H3000" s="267" t="s">
        <v>7441</v>
      </c>
      <c r="I3000" s="267" t="s">
        <v>3939</v>
      </c>
      <c r="J3000" s="267" t="s">
        <v>3928</v>
      </c>
      <c r="K3000" s="267">
        <v>6513</v>
      </c>
      <c r="L3000" s="267">
        <v>180602</v>
      </c>
      <c r="M3000" s="267" t="s">
        <v>3935</v>
      </c>
      <c r="N3000" s="267" t="s">
        <v>3944</v>
      </c>
      <c r="O3000" s="267">
        <v>1542.63</v>
      </c>
      <c r="P3000" s="267" t="s">
        <v>3944</v>
      </c>
      <c r="Q3000" s="267" t="s">
        <v>3944</v>
      </c>
      <c r="R3000" s="267">
        <v>1542.63</v>
      </c>
      <c r="S3000" s="267">
        <v>15845.37</v>
      </c>
      <c r="T3000" s="267">
        <v>17388</v>
      </c>
      <c r="U3000" s="268" t="s">
        <v>3945</v>
      </c>
      <c r="V3000" s="267" t="s">
        <v>944</v>
      </c>
    </row>
    <row r="3001" spans="1:22" hidden="1" x14ac:dyDescent="0.25">
      <c r="A3001" s="269">
        <v>43623</v>
      </c>
      <c r="B3001" s="270">
        <v>2019</v>
      </c>
      <c r="C3001" s="270">
        <v>2019</v>
      </c>
      <c r="D3001" s="270">
        <v>1</v>
      </c>
      <c r="E3001" s="270">
        <v>1</v>
      </c>
      <c r="F3001" s="270" t="s">
        <v>944</v>
      </c>
      <c r="G3001" s="270" t="s">
        <v>3926</v>
      </c>
      <c r="H3001" s="270" t="s">
        <v>7442</v>
      </c>
      <c r="I3001" s="270" t="s">
        <v>3996</v>
      </c>
      <c r="J3001" s="270" t="s">
        <v>3928</v>
      </c>
      <c r="K3001" s="270">
        <v>6790</v>
      </c>
      <c r="L3001" s="270">
        <v>310602</v>
      </c>
      <c r="M3001" s="270" t="s">
        <v>3935</v>
      </c>
      <c r="N3001" s="270" t="s">
        <v>3944</v>
      </c>
      <c r="O3001" s="270">
        <v>1095.47</v>
      </c>
      <c r="P3001" s="270" t="s">
        <v>3944</v>
      </c>
      <c r="Q3001" s="270" t="s">
        <v>3944</v>
      </c>
      <c r="R3001" s="270">
        <v>1095.47</v>
      </c>
      <c r="S3001" s="270">
        <v>11267.53</v>
      </c>
      <c r="T3001" s="270">
        <v>12363</v>
      </c>
      <c r="U3001" s="271" t="s">
        <v>3945</v>
      </c>
      <c r="V3001" s="267" t="s">
        <v>944</v>
      </c>
    </row>
    <row r="3002" spans="1:22" hidden="1" x14ac:dyDescent="0.25">
      <c r="A3002" s="266">
        <v>43623</v>
      </c>
      <c r="B3002" s="267">
        <v>2019</v>
      </c>
      <c r="C3002" s="267">
        <v>2019</v>
      </c>
      <c r="D3002" s="267">
        <v>1</v>
      </c>
      <c r="E3002" s="267">
        <v>1</v>
      </c>
      <c r="F3002" s="267" t="s">
        <v>944</v>
      </c>
      <c r="G3002" s="267" t="s">
        <v>3926</v>
      </c>
      <c r="H3002" s="267" t="s">
        <v>7443</v>
      </c>
      <c r="I3002" s="267" t="s">
        <v>3956</v>
      </c>
      <c r="J3002" s="267" t="s">
        <v>3928</v>
      </c>
      <c r="K3002" s="267">
        <v>6112</v>
      </c>
      <c r="L3002" s="267">
        <v>501400</v>
      </c>
      <c r="M3002" s="267">
        <v>-60</v>
      </c>
      <c r="N3002" s="267" t="s">
        <v>3944</v>
      </c>
      <c r="O3002" s="267">
        <v>1323.18</v>
      </c>
      <c r="P3002" s="267" t="s">
        <v>3944</v>
      </c>
      <c r="Q3002" s="267" t="s">
        <v>3944</v>
      </c>
      <c r="R3002" s="267">
        <v>1323.18</v>
      </c>
      <c r="S3002" s="267">
        <v>12526.82</v>
      </c>
      <c r="T3002" s="267">
        <v>13850</v>
      </c>
      <c r="U3002" s="268" t="s">
        <v>3945</v>
      </c>
      <c r="V3002" s="267" t="s">
        <v>944</v>
      </c>
    </row>
    <row r="3003" spans="1:22" hidden="1" x14ac:dyDescent="0.25">
      <c r="A3003" s="269">
        <v>43623</v>
      </c>
      <c r="B3003" s="270">
        <v>2019</v>
      </c>
      <c r="C3003" s="270">
        <v>2019</v>
      </c>
      <c r="D3003" s="270">
        <v>1</v>
      </c>
      <c r="E3003" s="270">
        <v>1</v>
      </c>
      <c r="F3003" s="270" t="s">
        <v>944</v>
      </c>
      <c r="G3003" s="270" t="s">
        <v>3926</v>
      </c>
      <c r="H3003" s="270" t="s">
        <v>7444</v>
      </c>
      <c r="I3003" s="270" t="s">
        <v>4159</v>
      </c>
      <c r="J3003" s="270" t="s">
        <v>3928</v>
      </c>
      <c r="K3003" s="270">
        <v>6016</v>
      </c>
      <c r="L3003" s="270">
        <v>484200</v>
      </c>
      <c r="M3003" s="270" t="s">
        <v>3935</v>
      </c>
      <c r="N3003" s="270" t="s">
        <v>3944</v>
      </c>
      <c r="O3003" s="270">
        <v>2914.73</v>
      </c>
      <c r="P3003" s="270" t="s">
        <v>3944</v>
      </c>
      <c r="Q3003" s="270" t="s">
        <v>3944</v>
      </c>
      <c r="R3003" s="270">
        <v>2914.73</v>
      </c>
      <c r="S3003" s="270">
        <v>18065.27</v>
      </c>
      <c r="T3003" s="270">
        <v>20980</v>
      </c>
      <c r="U3003" s="271" t="s">
        <v>3945</v>
      </c>
      <c r="V3003" s="267" t="s">
        <v>944</v>
      </c>
    </row>
    <row r="3004" spans="1:22" hidden="1" x14ac:dyDescent="0.25">
      <c r="A3004" s="266">
        <v>43623</v>
      </c>
      <c r="B3004" s="267">
        <v>2019</v>
      </c>
      <c r="C3004" s="267">
        <v>2019</v>
      </c>
      <c r="D3004" s="267">
        <v>1</v>
      </c>
      <c r="E3004" s="267">
        <v>1</v>
      </c>
      <c r="F3004" s="267" t="s">
        <v>944</v>
      </c>
      <c r="G3004" s="267" t="s">
        <v>3926</v>
      </c>
      <c r="H3004" s="267" t="s">
        <v>7445</v>
      </c>
      <c r="I3004" s="267" t="s">
        <v>4137</v>
      </c>
      <c r="J3004" s="267" t="s">
        <v>3928</v>
      </c>
      <c r="K3004" s="267">
        <v>6067</v>
      </c>
      <c r="L3004" s="267">
        <v>524200</v>
      </c>
      <c r="M3004" s="267" t="s">
        <v>3960</v>
      </c>
      <c r="N3004" s="267" t="s">
        <v>3944</v>
      </c>
      <c r="O3004" s="267">
        <v>3390.1</v>
      </c>
      <c r="P3004" s="267" t="s">
        <v>3944</v>
      </c>
      <c r="Q3004" s="267" t="s">
        <v>3944</v>
      </c>
      <c r="R3004" s="267">
        <v>3390.1</v>
      </c>
      <c r="S3004" s="267">
        <v>49155.54</v>
      </c>
      <c r="T3004" s="267">
        <v>52545.64</v>
      </c>
      <c r="U3004" s="268" t="s">
        <v>3945</v>
      </c>
      <c r="V3004" s="267" t="s">
        <v>944</v>
      </c>
    </row>
    <row r="3005" spans="1:22" hidden="1" x14ac:dyDescent="0.25">
      <c r="A3005" s="269">
        <v>43623</v>
      </c>
      <c r="B3005" s="270">
        <v>2019</v>
      </c>
      <c r="C3005" s="270">
        <v>2019</v>
      </c>
      <c r="D3005" s="270">
        <v>1</v>
      </c>
      <c r="E3005" s="270">
        <v>1</v>
      </c>
      <c r="F3005" s="270" t="s">
        <v>944</v>
      </c>
      <c r="G3005" s="270" t="s">
        <v>3926</v>
      </c>
      <c r="H3005" s="270" t="s">
        <v>7446</v>
      </c>
      <c r="I3005" s="270" t="s">
        <v>4008</v>
      </c>
      <c r="J3005" s="270" t="s">
        <v>3928</v>
      </c>
      <c r="K3005" s="270">
        <v>6320</v>
      </c>
      <c r="L3005" s="270">
        <v>690300</v>
      </c>
      <c r="M3005" s="270">
        <v>-60</v>
      </c>
      <c r="N3005" s="270" t="s">
        <v>3944</v>
      </c>
      <c r="O3005" s="270">
        <v>1333.36</v>
      </c>
      <c r="P3005" s="270" t="s">
        <v>3944</v>
      </c>
      <c r="Q3005" s="270" t="s">
        <v>3944</v>
      </c>
      <c r="R3005" s="270">
        <v>1333.36</v>
      </c>
      <c r="S3005" s="270">
        <v>10953.64</v>
      </c>
      <c r="T3005" s="270">
        <v>12287</v>
      </c>
      <c r="U3005" s="271" t="s">
        <v>3945</v>
      </c>
      <c r="V3005" s="267" t="s">
        <v>944</v>
      </c>
    </row>
    <row r="3006" spans="1:22" hidden="1" x14ac:dyDescent="0.25">
      <c r="A3006" s="266">
        <v>43623</v>
      </c>
      <c r="B3006" s="267">
        <v>2019</v>
      </c>
      <c r="C3006" s="267">
        <v>2019</v>
      </c>
      <c r="D3006" s="267">
        <v>1</v>
      </c>
      <c r="E3006" s="267">
        <v>1</v>
      </c>
      <c r="F3006" s="267" t="s">
        <v>944</v>
      </c>
      <c r="G3006" s="267" t="s">
        <v>3926</v>
      </c>
      <c r="H3006" s="267" t="s">
        <v>7447</v>
      </c>
      <c r="I3006" s="267" t="s">
        <v>4290</v>
      </c>
      <c r="J3006" s="267" t="s">
        <v>3928</v>
      </c>
      <c r="K3006" s="267">
        <v>6798</v>
      </c>
      <c r="L3006" s="267">
        <v>362101</v>
      </c>
      <c r="M3006" s="267" t="s">
        <v>3935</v>
      </c>
      <c r="N3006" s="267" t="s">
        <v>3944</v>
      </c>
      <c r="O3006" s="267">
        <v>1766.38</v>
      </c>
      <c r="P3006" s="267" t="s">
        <v>3944</v>
      </c>
      <c r="Q3006" s="267" t="s">
        <v>3944</v>
      </c>
      <c r="R3006" s="267">
        <v>1766.38</v>
      </c>
      <c r="S3006" s="267">
        <v>13279.62</v>
      </c>
      <c r="T3006" s="267">
        <v>15046</v>
      </c>
      <c r="U3006" s="268" t="s">
        <v>3945</v>
      </c>
      <c r="V3006" s="267" t="s">
        <v>944</v>
      </c>
    </row>
    <row r="3007" spans="1:22" x14ac:dyDescent="0.25">
      <c r="A3007" s="269">
        <v>43623</v>
      </c>
      <c r="B3007" s="270">
        <v>2019</v>
      </c>
      <c r="C3007" s="270">
        <v>2019</v>
      </c>
      <c r="D3007" s="270">
        <v>1</v>
      </c>
      <c r="E3007" s="270">
        <v>1</v>
      </c>
      <c r="F3007" s="270" t="s">
        <v>944</v>
      </c>
      <c r="G3007" s="270" t="s">
        <v>3926</v>
      </c>
      <c r="H3007" s="270" t="s">
        <v>7448</v>
      </c>
      <c r="I3007" s="270" t="s">
        <v>950</v>
      </c>
      <c r="J3007" s="270" t="s">
        <v>3928</v>
      </c>
      <c r="K3007" s="270">
        <v>6516</v>
      </c>
      <c r="L3007" s="270">
        <v>155100</v>
      </c>
      <c r="M3007" s="270">
        <v>-60</v>
      </c>
      <c r="N3007" s="270" t="s">
        <v>3944</v>
      </c>
      <c r="O3007" s="270">
        <v>1028.27</v>
      </c>
      <c r="P3007" s="270" t="s">
        <v>3944</v>
      </c>
      <c r="Q3007" s="270" t="s">
        <v>3944</v>
      </c>
      <c r="R3007" s="270">
        <v>1028.27</v>
      </c>
      <c r="S3007" s="270">
        <v>11915.73</v>
      </c>
      <c r="T3007" s="270">
        <v>12944</v>
      </c>
      <c r="U3007" s="271" t="s">
        <v>3945</v>
      </c>
      <c r="V3007" s="276" t="s">
        <v>936</v>
      </c>
    </row>
    <row r="3008" spans="1:22" hidden="1" x14ac:dyDescent="0.25">
      <c r="A3008" s="266">
        <v>43623</v>
      </c>
      <c r="B3008" s="267">
        <v>2019</v>
      </c>
      <c r="C3008" s="267">
        <v>2019</v>
      </c>
      <c r="D3008" s="267">
        <v>1</v>
      </c>
      <c r="E3008" s="267">
        <v>1</v>
      </c>
      <c r="F3008" s="267" t="s">
        <v>944</v>
      </c>
      <c r="G3008" s="267" t="s">
        <v>3926</v>
      </c>
      <c r="H3008" s="267" t="s">
        <v>7449</v>
      </c>
      <c r="I3008" s="267" t="s">
        <v>3971</v>
      </c>
      <c r="J3008" s="267" t="s">
        <v>3928</v>
      </c>
      <c r="K3008" s="267">
        <v>6084</v>
      </c>
      <c r="L3008" s="267">
        <v>533101</v>
      </c>
      <c r="M3008" s="267" t="s">
        <v>3943</v>
      </c>
      <c r="N3008" s="267" t="s">
        <v>3944</v>
      </c>
      <c r="O3008" s="267">
        <v>1427.3</v>
      </c>
      <c r="P3008" s="267" t="s">
        <v>3944</v>
      </c>
      <c r="Q3008" s="267" t="s">
        <v>3944</v>
      </c>
      <c r="R3008" s="267">
        <v>1427.3</v>
      </c>
      <c r="S3008" s="267">
        <v>13477.7</v>
      </c>
      <c r="T3008" s="267">
        <v>14905</v>
      </c>
      <c r="U3008" s="268" t="s">
        <v>3945</v>
      </c>
      <c r="V3008" s="267" t="s">
        <v>944</v>
      </c>
    </row>
    <row r="3009" spans="1:22" hidden="1" x14ac:dyDescent="0.25">
      <c r="A3009" s="269">
        <v>43623</v>
      </c>
      <c r="B3009" s="270">
        <v>2019</v>
      </c>
      <c r="C3009" s="270">
        <v>2019</v>
      </c>
      <c r="D3009" s="270">
        <v>1</v>
      </c>
      <c r="E3009" s="270">
        <v>1</v>
      </c>
      <c r="F3009" s="270" t="s">
        <v>944</v>
      </c>
      <c r="G3009" s="270" t="s">
        <v>3926</v>
      </c>
      <c r="H3009" s="270" t="s">
        <v>7450</v>
      </c>
      <c r="I3009" s="270" t="s">
        <v>4490</v>
      </c>
      <c r="J3009" s="270" t="s">
        <v>3928</v>
      </c>
      <c r="K3009" s="270">
        <v>6426</v>
      </c>
      <c r="L3009" s="270">
        <v>630100</v>
      </c>
      <c r="M3009" s="270" t="s">
        <v>3960</v>
      </c>
      <c r="N3009" s="270" t="s">
        <v>3944</v>
      </c>
      <c r="O3009" s="270">
        <v>1998.05</v>
      </c>
      <c r="P3009" s="270" t="s">
        <v>3944</v>
      </c>
      <c r="Q3009" s="270" t="s">
        <v>3944</v>
      </c>
      <c r="R3009" s="270">
        <v>1998.05</v>
      </c>
      <c r="S3009" s="270">
        <v>28392.6</v>
      </c>
      <c r="T3009" s="270">
        <v>30390.65</v>
      </c>
      <c r="U3009" s="271" t="s">
        <v>3945</v>
      </c>
      <c r="V3009" s="267" t="s">
        <v>944</v>
      </c>
    </row>
    <row r="3010" spans="1:22" hidden="1" x14ac:dyDescent="0.25">
      <c r="A3010" s="266">
        <v>43623</v>
      </c>
      <c r="B3010" s="267">
        <v>2019</v>
      </c>
      <c r="C3010" s="267">
        <v>2019</v>
      </c>
      <c r="D3010" s="267">
        <v>1</v>
      </c>
      <c r="E3010" s="267">
        <v>1</v>
      </c>
      <c r="F3010" s="267" t="s">
        <v>944</v>
      </c>
      <c r="G3010" s="267" t="s">
        <v>3926</v>
      </c>
      <c r="H3010" s="267" t="s">
        <v>7451</v>
      </c>
      <c r="I3010" s="267" t="s">
        <v>956</v>
      </c>
      <c r="J3010" s="267" t="s">
        <v>3928</v>
      </c>
      <c r="K3010" s="267">
        <v>6614</v>
      </c>
      <c r="L3010" s="267">
        <v>80800</v>
      </c>
      <c r="M3010" s="267" t="s">
        <v>3960</v>
      </c>
      <c r="N3010" s="267" t="s">
        <v>3944</v>
      </c>
      <c r="O3010" s="267">
        <v>1799.56</v>
      </c>
      <c r="P3010" s="267" t="s">
        <v>3944</v>
      </c>
      <c r="Q3010" s="267" t="s">
        <v>3944</v>
      </c>
      <c r="R3010" s="267">
        <v>1799.56</v>
      </c>
      <c r="S3010" s="267">
        <v>27649.63</v>
      </c>
      <c r="T3010" s="267">
        <v>29449.19</v>
      </c>
      <c r="U3010" s="268" t="s">
        <v>3945</v>
      </c>
      <c r="V3010" s="267" t="s">
        <v>944</v>
      </c>
    </row>
    <row r="3011" spans="1:22" hidden="1" x14ac:dyDescent="0.25">
      <c r="A3011" s="269">
        <v>43623</v>
      </c>
      <c r="B3011" s="270">
        <v>2019</v>
      </c>
      <c r="C3011" s="270">
        <v>2019</v>
      </c>
      <c r="D3011" s="270">
        <v>1</v>
      </c>
      <c r="E3011" s="270">
        <v>1</v>
      </c>
      <c r="F3011" s="270" t="s">
        <v>944</v>
      </c>
      <c r="G3011" s="270" t="s">
        <v>3926</v>
      </c>
      <c r="H3011" s="270" t="s">
        <v>7452</v>
      </c>
      <c r="I3011" s="270" t="s">
        <v>3008</v>
      </c>
      <c r="J3011" s="270" t="s">
        <v>3928</v>
      </c>
      <c r="K3011" s="270">
        <v>6460</v>
      </c>
      <c r="L3011" s="270">
        <v>151100</v>
      </c>
      <c r="M3011" s="270" t="s">
        <v>3960</v>
      </c>
      <c r="N3011" s="270" t="s">
        <v>3944</v>
      </c>
      <c r="O3011" s="270">
        <v>1228.4000000000001</v>
      </c>
      <c r="P3011" s="270" t="s">
        <v>3944</v>
      </c>
      <c r="Q3011" s="270" t="s">
        <v>3944</v>
      </c>
      <c r="R3011" s="270">
        <v>1228.4000000000001</v>
      </c>
      <c r="S3011" s="270">
        <v>19813.43</v>
      </c>
      <c r="T3011" s="270">
        <v>21041.83</v>
      </c>
      <c r="U3011" s="271" t="s">
        <v>3945</v>
      </c>
      <c r="V3011" s="267" t="s">
        <v>944</v>
      </c>
    </row>
    <row r="3012" spans="1:22" hidden="1" x14ac:dyDescent="0.25">
      <c r="A3012" s="266">
        <v>43623</v>
      </c>
      <c r="B3012" s="267">
        <v>2019</v>
      </c>
      <c r="C3012" s="267">
        <v>2019</v>
      </c>
      <c r="D3012" s="267">
        <v>1</v>
      </c>
      <c r="E3012" s="267">
        <v>1</v>
      </c>
      <c r="F3012" s="267" t="s">
        <v>944</v>
      </c>
      <c r="G3012" s="267" t="s">
        <v>3926</v>
      </c>
      <c r="H3012" s="267" t="s">
        <v>7453</v>
      </c>
      <c r="I3012" s="267" t="s">
        <v>934</v>
      </c>
      <c r="J3012" s="267" t="s">
        <v>3928</v>
      </c>
      <c r="K3012" s="267">
        <v>6605</v>
      </c>
      <c r="L3012" s="267">
        <v>71100</v>
      </c>
      <c r="M3012" s="267">
        <v>-60</v>
      </c>
      <c r="N3012" s="267" t="s">
        <v>3944</v>
      </c>
      <c r="O3012" s="267">
        <v>1795.01</v>
      </c>
      <c r="P3012" s="267" t="s">
        <v>3944</v>
      </c>
      <c r="Q3012" s="267" t="s">
        <v>3944</v>
      </c>
      <c r="R3012" s="267">
        <v>1795.01</v>
      </c>
      <c r="S3012" s="267">
        <v>24825.43</v>
      </c>
      <c r="T3012" s="267">
        <v>26620.44</v>
      </c>
      <c r="U3012" s="268" t="s">
        <v>3945</v>
      </c>
      <c r="V3012" s="267" t="s">
        <v>944</v>
      </c>
    </row>
    <row r="3013" spans="1:22" hidden="1" x14ac:dyDescent="0.25">
      <c r="A3013" s="269">
        <v>43623</v>
      </c>
      <c r="B3013" s="270">
        <v>2019</v>
      </c>
      <c r="C3013" s="270">
        <v>2019</v>
      </c>
      <c r="D3013" s="270">
        <v>1</v>
      </c>
      <c r="E3013" s="270">
        <v>1</v>
      </c>
      <c r="F3013" s="270" t="s">
        <v>944</v>
      </c>
      <c r="G3013" s="270" t="s">
        <v>3926</v>
      </c>
      <c r="H3013" s="270" t="s">
        <v>7454</v>
      </c>
      <c r="I3013" s="270" t="s">
        <v>4029</v>
      </c>
      <c r="J3013" s="270" t="s">
        <v>3928</v>
      </c>
      <c r="K3013" s="270">
        <v>6853</v>
      </c>
      <c r="L3013" s="270">
        <v>44600</v>
      </c>
      <c r="M3013" s="270" t="s">
        <v>3943</v>
      </c>
      <c r="N3013" s="270" t="s">
        <v>3944</v>
      </c>
      <c r="O3013" s="270">
        <v>1880.06</v>
      </c>
      <c r="P3013" s="270" t="s">
        <v>3944</v>
      </c>
      <c r="Q3013" s="270" t="s">
        <v>3944</v>
      </c>
      <c r="R3013" s="270">
        <v>1880.06</v>
      </c>
      <c r="S3013" s="270">
        <v>14495.94</v>
      </c>
      <c r="T3013" s="270">
        <v>16376</v>
      </c>
      <c r="U3013" s="271" t="s">
        <v>3945</v>
      </c>
      <c r="V3013" s="267" t="s">
        <v>944</v>
      </c>
    </row>
    <row r="3014" spans="1:22" hidden="1" x14ac:dyDescent="0.25">
      <c r="A3014" s="266">
        <v>43623</v>
      </c>
      <c r="B3014" s="267">
        <v>2019</v>
      </c>
      <c r="C3014" s="267">
        <v>2019</v>
      </c>
      <c r="D3014" s="267">
        <v>1</v>
      </c>
      <c r="E3014" s="267">
        <v>1</v>
      </c>
      <c r="F3014" s="267" t="s">
        <v>944</v>
      </c>
      <c r="G3014" s="267" t="s">
        <v>3926</v>
      </c>
      <c r="H3014" s="267" t="s">
        <v>7455</v>
      </c>
      <c r="I3014" s="267" t="s">
        <v>4069</v>
      </c>
      <c r="J3014" s="267" t="s">
        <v>3928</v>
      </c>
      <c r="K3014" s="267">
        <v>6907</v>
      </c>
      <c r="L3014" s="267">
        <v>21000</v>
      </c>
      <c r="M3014" s="267" t="s">
        <v>3943</v>
      </c>
      <c r="N3014" s="267" t="s">
        <v>3944</v>
      </c>
      <c r="O3014" s="267">
        <v>1288.56</v>
      </c>
      <c r="P3014" s="267" t="s">
        <v>3944</v>
      </c>
      <c r="Q3014" s="267" t="s">
        <v>3944</v>
      </c>
      <c r="R3014" s="267">
        <v>1288.56</v>
      </c>
      <c r="S3014" s="267">
        <v>13458.44</v>
      </c>
      <c r="T3014" s="267">
        <v>14747</v>
      </c>
      <c r="U3014" s="268" t="s">
        <v>3945</v>
      </c>
      <c r="V3014" s="267" t="s">
        <v>944</v>
      </c>
    </row>
    <row r="3015" spans="1:22" hidden="1" x14ac:dyDescent="0.25">
      <c r="A3015" s="269">
        <v>43623</v>
      </c>
      <c r="B3015" s="270">
        <v>2019</v>
      </c>
      <c r="C3015" s="270">
        <v>2019</v>
      </c>
      <c r="D3015" s="270">
        <v>1</v>
      </c>
      <c r="E3015" s="270">
        <v>1</v>
      </c>
      <c r="F3015" s="270" t="s">
        <v>944</v>
      </c>
      <c r="G3015" s="270" t="s">
        <v>3926</v>
      </c>
      <c r="H3015" s="270" t="s">
        <v>7456</v>
      </c>
      <c r="I3015" s="270" t="s">
        <v>4037</v>
      </c>
      <c r="J3015" s="270" t="s">
        <v>3928</v>
      </c>
      <c r="K3015" s="270">
        <v>6810</v>
      </c>
      <c r="L3015" s="270">
        <v>210200</v>
      </c>
      <c r="M3015" s="270">
        <v>-60</v>
      </c>
      <c r="N3015" s="270" t="s">
        <v>3944</v>
      </c>
      <c r="O3015" s="270">
        <v>2154.2199999999998</v>
      </c>
      <c r="P3015" s="270" t="s">
        <v>3944</v>
      </c>
      <c r="Q3015" s="270" t="s">
        <v>3944</v>
      </c>
      <c r="R3015" s="270">
        <v>2154.2199999999998</v>
      </c>
      <c r="S3015" s="270">
        <v>32413.11</v>
      </c>
      <c r="T3015" s="270">
        <v>34567.33</v>
      </c>
      <c r="U3015" s="271" t="s">
        <v>3945</v>
      </c>
      <c r="V3015" s="267" t="s">
        <v>944</v>
      </c>
    </row>
    <row r="3016" spans="1:22" hidden="1" x14ac:dyDescent="0.25">
      <c r="A3016" s="266">
        <v>43623</v>
      </c>
      <c r="B3016" s="267">
        <v>2019</v>
      </c>
      <c r="C3016" s="267">
        <v>2019</v>
      </c>
      <c r="D3016" s="267">
        <v>1</v>
      </c>
      <c r="E3016" s="267">
        <v>1</v>
      </c>
      <c r="F3016" s="267" t="s">
        <v>944</v>
      </c>
      <c r="G3016" s="267" t="s">
        <v>3926</v>
      </c>
      <c r="H3016" s="267" t="s">
        <v>7457</v>
      </c>
      <c r="I3016" s="267" t="s">
        <v>4111</v>
      </c>
      <c r="J3016" s="267" t="s">
        <v>3928</v>
      </c>
      <c r="K3016" s="267">
        <v>6095</v>
      </c>
      <c r="L3016" s="267">
        <v>473700</v>
      </c>
      <c r="M3016" s="267" t="s">
        <v>3935</v>
      </c>
      <c r="N3016" s="267" t="s">
        <v>3944</v>
      </c>
      <c r="O3016" s="267">
        <v>1175.0899999999999</v>
      </c>
      <c r="P3016" s="267" t="s">
        <v>3944</v>
      </c>
      <c r="Q3016" s="267" t="s">
        <v>3944</v>
      </c>
      <c r="R3016" s="267">
        <v>1175.0899999999999</v>
      </c>
      <c r="S3016" s="267">
        <v>17291.91</v>
      </c>
      <c r="T3016" s="267">
        <v>18467</v>
      </c>
      <c r="U3016" s="268" t="s">
        <v>3945</v>
      </c>
      <c r="V3016" s="267" t="s">
        <v>944</v>
      </c>
    </row>
    <row r="3017" spans="1:22" hidden="1" x14ac:dyDescent="0.25">
      <c r="A3017" s="269">
        <v>43623</v>
      </c>
      <c r="B3017" s="270">
        <v>2019</v>
      </c>
      <c r="C3017" s="270">
        <v>2019</v>
      </c>
      <c r="D3017" s="270">
        <v>1</v>
      </c>
      <c r="E3017" s="270">
        <v>1</v>
      </c>
      <c r="F3017" s="270" t="s">
        <v>944</v>
      </c>
      <c r="G3017" s="270" t="s">
        <v>3926</v>
      </c>
      <c r="H3017" s="270" t="s">
        <v>7458</v>
      </c>
      <c r="I3017" s="270" t="s">
        <v>4119</v>
      </c>
      <c r="J3017" s="270" t="s">
        <v>3928</v>
      </c>
      <c r="K3017" s="270">
        <v>6093</v>
      </c>
      <c r="L3017" s="270">
        <v>477200</v>
      </c>
      <c r="M3017" s="270" t="s">
        <v>3943</v>
      </c>
      <c r="N3017" s="270" t="s">
        <v>3944</v>
      </c>
      <c r="O3017" s="270">
        <v>1582.42</v>
      </c>
      <c r="P3017" s="270" t="s">
        <v>3944</v>
      </c>
      <c r="Q3017" s="270" t="s">
        <v>3944</v>
      </c>
      <c r="R3017" s="270">
        <v>1582.42</v>
      </c>
      <c r="S3017" s="270">
        <v>21177.55</v>
      </c>
      <c r="T3017" s="270">
        <v>22759.97</v>
      </c>
      <c r="U3017" s="271" t="s">
        <v>3945</v>
      </c>
      <c r="V3017" s="267" t="s">
        <v>944</v>
      </c>
    </row>
    <row r="3018" spans="1:22" hidden="1" x14ac:dyDescent="0.25">
      <c r="A3018" s="266">
        <v>43623</v>
      </c>
      <c r="B3018" s="267">
        <v>2019</v>
      </c>
      <c r="C3018" s="267">
        <v>2019</v>
      </c>
      <c r="D3018" s="267">
        <v>1</v>
      </c>
      <c r="E3018" s="267">
        <v>1</v>
      </c>
      <c r="F3018" s="267" t="s">
        <v>944</v>
      </c>
      <c r="G3018" s="267" t="s">
        <v>3926</v>
      </c>
      <c r="H3018" s="267" t="s">
        <v>7459</v>
      </c>
      <c r="I3018" s="267" t="s">
        <v>3011</v>
      </c>
      <c r="J3018" s="267" t="s">
        <v>3928</v>
      </c>
      <c r="K3018" s="267">
        <v>6418</v>
      </c>
      <c r="L3018" s="267">
        <v>120200</v>
      </c>
      <c r="M3018" s="267">
        <v>-60</v>
      </c>
      <c r="N3018" s="267" t="s">
        <v>3944</v>
      </c>
      <c r="O3018" s="267">
        <v>686.91</v>
      </c>
      <c r="P3018" s="267" t="s">
        <v>3944</v>
      </c>
      <c r="Q3018" s="267" t="s">
        <v>3944</v>
      </c>
      <c r="R3018" s="267">
        <v>686.91</v>
      </c>
      <c r="S3018" s="267">
        <v>8153.09</v>
      </c>
      <c r="T3018" s="267">
        <v>8840</v>
      </c>
      <c r="U3018" s="268" t="s">
        <v>3945</v>
      </c>
      <c r="V3018" s="267" t="s">
        <v>944</v>
      </c>
    </row>
    <row r="3019" spans="1:22" x14ac:dyDescent="0.25">
      <c r="A3019" s="269">
        <v>43623</v>
      </c>
      <c r="B3019" s="270">
        <v>2019</v>
      </c>
      <c r="C3019" s="270">
        <v>2019</v>
      </c>
      <c r="D3019" s="270">
        <v>1</v>
      </c>
      <c r="E3019" s="270">
        <v>1</v>
      </c>
      <c r="F3019" s="270" t="s">
        <v>944</v>
      </c>
      <c r="G3019" s="270" t="s">
        <v>3926</v>
      </c>
      <c r="H3019" s="270" t="s">
        <v>7460</v>
      </c>
      <c r="I3019" s="270" t="s">
        <v>950</v>
      </c>
      <c r="J3019" s="270" t="s">
        <v>3928</v>
      </c>
      <c r="K3019" s="270">
        <v>6516</v>
      </c>
      <c r="L3019" s="270">
        <v>154500</v>
      </c>
      <c r="M3019" s="270">
        <v>-60</v>
      </c>
      <c r="N3019" s="270" t="s">
        <v>3944</v>
      </c>
      <c r="O3019" s="270">
        <v>772.98</v>
      </c>
      <c r="P3019" s="270" t="s">
        <v>3944</v>
      </c>
      <c r="Q3019" s="270" t="s">
        <v>3944</v>
      </c>
      <c r="R3019" s="270">
        <v>772.98</v>
      </c>
      <c r="S3019" s="270">
        <v>9445.02</v>
      </c>
      <c r="T3019" s="270">
        <v>10218</v>
      </c>
      <c r="U3019" s="271" t="s">
        <v>3945</v>
      </c>
      <c r="V3019" s="276" t="s">
        <v>936</v>
      </c>
    </row>
    <row r="3020" spans="1:22" hidden="1" x14ac:dyDescent="0.25">
      <c r="A3020" s="266">
        <v>43623</v>
      </c>
      <c r="B3020" s="267">
        <v>2019</v>
      </c>
      <c r="C3020" s="267">
        <v>2019</v>
      </c>
      <c r="D3020" s="267">
        <v>1</v>
      </c>
      <c r="E3020" s="267">
        <v>1</v>
      </c>
      <c r="F3020" s="267" t="s">
        <v>944</v>
      </c>
      <c r="G3020" s="267" t="s">
        <v>3926</v>
      </c>
      <c r="H3020" s="267" t="s">
        <v>7461</v>
      </c>
      <c r="I3020" s="267" t="s">
        <v>4003</v>
      </c>
      <c r="J3020" s="267" t="s">
        <v>3928</v>
      </c>
      <c r="K3020" s="267">
        <v>6354</v>
      </c>
      <c r="L3020" s="267">
        <v>907200</v>
      </c>
      <c r="M3020" s="267" t="s">
        <v>3940</v>
      </c>
      <c r="N3020" s="267" t="s">
        <v>3944</v>
      </c>
      <c r="O3020" s="267">
        <v>1615.6</v>
      </c>
      <c r="P3020" s="267" t="s">
        <v>3944</v>
      </c>
      <c r="Q3020" s="267" t="s">
        <v>3944</v>
      </c>
      <c r="R3020" s="267">
        <v>1615.6</v>
      </c>
      <c r="S3020" s="267">
        <v>24790.19</v>
      </c>
      <c r="T3020" s="267">
        <v>26405.79</v>
      </c>
      <c r="U3020" s="268" t="s">
        <v>3945</v>
      </c>
      <c r="V3020" s="267" t="s">
        <v>944</v>
      </c>
    </row>
    <row r="3021" spans="1:22" hidden="1" x14ac:dyDescent="0.25">
      <c r="A3021" s="269">
        <v>43623</v>
      </c>
      <c r="B3021" s="270">
        <v>2019</v>
      </c>
      <c r="C3021" s="270">
        <v>2019</v>
      </c>
      <c r="D3021" s="270">
        <v>1</v>
      </c>
      <c r="E3021" s="270">
        <v>1</v>
      </c>
      <c r="F3021" s="270" t="s">
        <v>944</v>
      </c>
      <c r="G3021" s="270" t="s">
        <v>3926</v>
      </c>
      <c r="H3021" s="270" t="s">
        <v>7462</v>
      </c>
      <c r="I3021" s="270" t="s">
        <v>934</v>
      </c>
      <c r="J3021" s="270" t="s">
        <v>3928</v>
      </c>
      <c r="K3021" s="270">
        <v>6606</v>
      </c>
      <c r="L3021" s="270">
        <v>72600</v>
      </c>
      <c r="M3021" s="270" t="s">
        <v>3940</v>
      </c>
      <c r="N3021" s="270" t="s">
        <v>3944</v>
      </c>
      <c r="O3021" s="270">
        <v>1663.52</v>
      </c>
      <c r="P3021" s="270" t="s">
        <v>3944</v>
      </c>
      <c r="Q3021" s="270" t="s">
        <v>3944</v>
      </c>
      <c r="R3021" s="270">
        <v>1663.52</v>
      </c>
      <c r="S3021" s="270">
        <v>25573.98</v>
      </c>
      <c r="T3021" s="270">
        <v>27237.5</v>
      </c>
      <c r="U3021" s="271" t="s">
        <v>3945</v>
      </c>
      <c r="V3021" s="267" t="s">
        <v>944</v>
      </c>
    </row>
    <row r="3022" spans="1:22" hidden="1" x14ac:dyDescent="0.25">
      <c r="A3022" s="266">
        <v>43623</v>
      </c>
      <c r="B3022" s="267">
        <v>2019</v>
      </c>
      <c r="C3022" s="267">
        <v>2019</v>
      </c>
      <c r="D3022" s="267">
        <v>1</v>
      </c>
      <c r="E3022" s="267">
        <v>1</v>
      </c>
      <c r="F3022" s="267" t="s">
        <v>944</v>
      </c>
      <c r="G3022" s="267" t="s">
        <v>3926</v>
      </c>
      <c r="H3022" s="267" t="s">
        <v>7463</v>
      </c>
      <c r="I3022" s="267" t="s">
        <v>4124</v>
      </c>
      <c r="J3022" s="267" t="s">
        <v>3928</v>
      </c>
      <c r="K3022" s="267">
        <v>6470</v>
      </c>
      <c r="L3022" s="267">
        <v>230100</v>
      </c>
      <c r="M3022" s="267" t="s">
        <v>3943</v>
      </c>
      <c r="N3022" s="267" t="s">
        <v>3944</v>
      </c>
      <c r="O3022" s="267">
        <v>1522.92</v>
      </c>
      <c r="P3022" s="267" t="s">
        <v>3944</v>
      </c>
      <c r="Q3022" s="267" t="s">
        <v>3944</v>
      </c>
      <c r="R3022" s="267">
        <v>1522.92</v>
      </c>
      <c r="S3022" s="267">
        <v>21023.97</v>
      </c>
      <c r="T3022" s="267">
        <v>22546.89</v>
      </c>
      <c r="U3022" s="268" t="s">
        <v>3945</v>
      </c>
      <c r="V3022" s="267" t="s">
        <v>944</v>
      </c>
    </row>
    <row r="3023" spans="1:22" hidden="1" x14ac:dyDescent="0.25">
      <c r="A3023" s="269">
        <v>43623</v>
      </c>
      <c r="B3023" s="270">
        <v>2019</v>
      </c>
      <c r="C3023" s="270">
        <v>2019</v>
      </c>
      <c r="D3023" s="270">
        <v>1</v>
      </c>
      <c r="E3023" s="270">
        <v>1</v>
      </c>
      <c r="F3023" s="270" t="s">
        <v>944</v>
      </c>
      <c r="G3023" s="270" t="s">
        <v>3926</v>
      </c>
      <c r="H3023" s="270" t="s">
        <v>7464</v>
      </c>
      <c r="I3023" s="270" t="s">
        <v>3968</v>
      </c>
      <c r="J3023" s="270" t="s">
        <v>3928</v>
      </c>
      <c r="K3023" s="270">
        <v>6042</v>
      </c>
      <c r="L3023" s="270">
        <v>514400</v>
      </c>
      <c r="M3023" s="270" t="s">
        <v>3940</v>
      </c>
      <c r="N3023" s="270" t="s">
        <v>3944</v>
      </c>
      <c r="O3023" s="270">
        <v>933.7</v>
      </c>
      <c r="P3023" s="270" t="s">
        <v>3944</v>
      </c>
      <c r="Q3023" s="270" t="s">
        <v>3944</v>
      </c>
      <c r="R3023" s="270">
        <v>933.7</v>
      </c>
      <c r="S3023" s="270">
        <v>13998.23</v>
      </c>
      <c r="T3023" s="270">
        <v>14931.93</v>
      </c>
      <c r="U3023" s="271" t="s">
        <v>3945</v>
      </c>
      <c r="V3023" s="267" t="s">
        <v>944</v>
      </c>
    </row>
    <row r="3024" spans="1:22" hidden="1" x14ac:dyDescent="0.25">
      <c r="A3024" s="266">
        <v>43623</v>
      </c>
      <c r="B3024" s="267">
        <v>2019</v>
      </c>
      <c r="C3024" s="267">
        <v>2019</v>
      </c>
      <c r="D3024" s="267">
        <v>1</v>
      </c>
      <c r="E3024" s="267">
        <v>1</v>
      </c>
      <c r="F3024" s="267" t="s">
        <v>944</v>
      </c>
      <c r="G3024" s="267" t="s">
        <v>3926</v>
      </c>
      <c r="H3024" s="267" t="s">
        <v>7465</v>
      </c>
      <c r="I3024" s="267" t="s">
        <v>4019</v>
      </c>
      <c r="J3024" s="267" t="s">
        <v>3928</v>
      </c>
      <c r="K3024" s="267">
        <v>6708</v>
      </c>
      <c r="L3024" s="267">
        <v>352100</v>
      </c>
      <c r="M3024" s="267" t="s">
        <v>3940</v>
      </c>
      <c r="N3024" s="267" t="s">
        <v>3944</v>
      </c>
      <c r="O3024" s="267">
        <v>952.35</v>
      </c>
      <c r="P3024" s="267" t="s">
        <v>3944</v>
      </c>
      <c r="Q3024" s="267" t="s">
        <v>3944</v>
      </c>
      <c r="R3024" s="267">
        <v>952.35</v>
      </c>
      <c r="S3024" s="267">
        <v>14579.7</v>
      </c>
      <c r="T3024" s="267">
        <v>15532.05</v>
      </c>
      <c r="U3024" s="268" t="s">
        <v>3945</v>
      </c>
      <c r="V3024" s="267" t="s">
        <v>944</v>
      </c>
    </row>
    <row r="3025" spans="1:22" hidden="1" x14ac:dyDescent="0.25">
      <c r="A3025" s="269">
        <v>43623</v>
      </c>
      <c r="B3025" s="270">
        <v>2019</v>
      </c>
      <c r="C3025" s="270">
        <v>2019</v>
      </c>
      <c r="D3025" s="270">
        <v>1</v>
      </c>
      <c r="E3025" s="270">
        <v>1</v>
      </c>
      <c r="F3025" s="270" t="s">
        <v>944</v>
      </c>
      <c r="G3025" s="270" t="s">
        <v>3926</v>
      </c>
      <c r="H3025" s="270" t="s">
        <v>7466</v>
      </c>
      <c r="I3025" s="270" t="s">
        <v>3999</v>
      </c>
      <c r="J3025" s="270" t="s">
        <v>3928</v>
      </c>
      <c r="K3025" s="270">
        <v>6450</v>
      </c>
      <c r="L3025" s="270">
        <v>170800</v>
      </c>
      <c r="M3025" s="270" t="s">
        <v>3940</v>
      </c>
      <c r="N3025" s="270" t="s">
        <v>3944</v>
      </c>
      <c r="O3025" s="270">
        <v>1470.46</v>
      </c>
      <c r="P3025" s="270" t="s">
        <v>3944</v>
      </c>
      <c r="Q3025" s="270" t="s">
        <v>3944</v>
      </c>
      <c r="R3025" s="270">
        <v>1470.46</v>
      </c>
      <c r="S3025" s="270">
        <v>21023.47</v>
      </c>
      <c r="T3025" s="270">
        <v>22493.93</v>
      </c>
      <c r="U3025" s="271" t="s">
        <v>3945</v>
      </c>
      <c r="V3025" s="267" t="s">
        <v>944</v>
      </c>
    </row>
    <row r="3026" spans="1:22" hidden="1" x14ac:dyDescent="0.25">
      <c r="A3026" s="266">
        <v>43623</v>
      </c>
      <c r="B3026" s="267">
        <v>2019</v>
      </c>
      <c r="C3026" s="267">
        <v>2019</v>
      </c>
      <c r="D3026" s="267">
        <v>1</v>
      </c>
      <c r="E3026" s="267">
        <v>1</v>
      </c>
      <c r="F3026" s="267" t="s">
        <v>944</v>
      </c>
      <c r="G3026" s="267" t="s">
        <v>3926</v>
      </c>
      <c r="H3026" s="267" t="s">
        <v>7467</v>
      </c>
      <c r="I3026" s="267" t="s">
        <v>3008</v>
      </c>
      <c r="J3026" s="267" t="s">
        <v>3928</v>
      </c>
      <c r="K3026" s="267">
        <v>6460</v>
      </c>
      <c r="L3026" s="267">
        <v>151100</v>
      </c>
      <c r="M3026" s="267" t="s">
        <v>3960</v>
      </c>
      <c r="N3026" s="267" t="s">
        <v>3944</v>
      </c>
      <c r="O3026" s="267">
        <v>4395.13</v>
      </c>
      <c r="P3026" s="267" t="s">
        <v>3944</v>
      </c>
      <c r="Q3026" s="267" t="s">
        <v>3944</v>
      </c>
      <c r="R3026" s="267">
        <v>4395.13</v>
      </c>
      <c r="S3026" s="267">
        <v>62724.71</v>
      </c>
      <c r="T3026" s="267">
        <v>67119.839999999997</v>
      </c>
      <c r="U3026" s="268" t="s">
        <v>3945</v>
      </c>
      <c r="V3026" s="267" t="s">
        <v>944</v>
      </c>
    </row>
    <row r="3027" spans="1:22" hidden="1" x14ac:dyDescent="0.25">
      <c r="A3027" s="269">
        <v>43623</v>
      </c>
      <c r="B3027" s="270">
        <v>2019</v>
      </c>
      <c r="C3027" s="270">
        <v>2019</v>
      </c>
      <c r="D3027" s="270">
        <v>1</v>
      </c>
      <c r="E3027" s="270">
        <v>1</v>
      </c>
      <c r="F3027" s="270" t="s">
        <v>944</v>
      </c>
      <c r="G3027" s="270" t="s">
        <v>3926</v>
      </c>
      <c r="H3027" s="270" t="s">
        <v>7468</v>
      </c>
      <c r="I3027" s="270" t="s">
        <v>4297</v>
      </c>
      <c r="J3027" s="270" t="s">
        <v>3928</v>
      </c>
      <c r="K3027" s="270">
        <v>6231</v>
      </c>
      <c r="L3027" s="270">
        <v>526101</v>
      </c>
      <c r="M3027" s="270" t="s">
        <v>3943</v>
      </c>
      <c r="N3027" s="270" t="s">
        <v>3944</v>
      </c>
      <c r="O3027" s="270">
        <v>2641.38</v>
      </c>
      <c r="P3027" s="270" t="s">
        <v>3944</v>
      </c>
      <c r="Q3027" s="270" t="s">
        <v>3944</v>
      </c>
      <c r="R3027" s="270">
        <v>2641.38</v>
      </c>
      <c r="S3027" s="270">
        <v>36792.06</v>
      </c>
      <c r="T3027" s="270">
        <v>39433.440000000002</v>
      </c>
      <c r="U3027" s="271" t="s">
        <v>3945</v>
      </c>
      <c r="V3027" s="267" t="s">
        <v>944</v>
      </c>
    </row>
    <row r="3028" spans="1:22" hidden="1" x14ac:dyDescent="0.25">
      <c r="A3028" s="266">
        <v>43623</v>
      </c>
      <c r="B3028" s="267">
        <v>2019</v>
      </c>
      <c r="C3028" s="267">
        <v>2019</v>
      </c>
      <c r="D3028" s="267">
        <v>1</v>
      </c>
      <c r="E3028" s="267">
        <v>1</v>
      </c>
      <c r="F3028" s="267" t="s">
        <v>944</v>
      </c>
      <c r="G3028" s="267" t="s">
        <v>3926</v>
      </c>
      <c r="H3028" s="267" t="s">
        <v>7469</v>
      </c>
      <c r="I3028" s="267" t="s">
        <v>4392</v>
      </c>
      <c r="J3028" s="267" t="s">
        <v>3928</v>
      </c>
      <c r="K3028" s="267">
        <v>6457</v>
      </c>
      <c r="L3028" s="267">
        <v>542100</v>
      </c>
      <c r="M3028" s="267" t="s">
        <v>3940</v>
      </c>
      <c r="N3028" s="267" t="s">
        <v>3944</v>
      </c>
      <c r="O3028" s="267">
        <v>1422.54</v>
      </c>
      <c r="P3028" s="267" t="s">
        <v>3944</v>
      </c>
      <c r="Q3028" s="267" t="s">
        <v>3944</v>
      </c>
      <c r="R3028" s="267">
        <v>1422.54</v>
      </c>
      <c r="S3028" s="267">
        <v>20544.14</v>
      </c>
      <c r="T3028" s="267">
        <v>21966.68</v>
      </c>
      <c r="U3028" s="268" t="s">
        <v>3945</v>
      </c>
      <c r="V3028" s="267" t="s">
        <v>944</v>
      </c>
    </row>
    <row r="3029" spans="1:22" hidden="1" x14ac:dyDescent="0.25">
      <c r="A3029" s="269">
        <v>43623</v>
      </c>
      <c r="B3029" s="270">
        <v>2019</v>
      </c>
      <c r="C3029" s="270">
        <v>2019</v>
      </c>
      <c r="D3029" s="270">
        <v>1</v>
      </c>
      <c r="E3029" s="270">
        <v>1</v>
      </c>
      <c r="F3029" s="270" t="s">
        <v>944</v>
      </c>
      <c r="G3029" s="270" t="s">
        <v>3926</v>
      </c>
      <c r="H3029" s="270" t="s">
        <v>7470</v>
      </c>
      <c r="I3029" s="270" t="s">
        <v>3026</v>
      </c>
      <c r="J3029" s="270" t="s">
        <v>3928</v>
      </c>
      <c r="K3029" s="270">
        <v>6471</v>
      </c>
      <c r="L3029" s="270">
        <v>186100</v>
      </c>
      <c r="M3029" s="270" t="s">
        <v>3935</v>
      </c>
      <c r="N3029" s="270" t="s">
        <v>3944</v>
      </c>
      <c r="O3029" s="270">
        <v>2077.08</v>
      </c>
      <c r="P3029" s="270" t="s">
        <v>3944</v>
      </c>
      <c r="Q3029" s="270" t="s">
        <v>3944</v>
      </c>
      <c r="R3029" s="270">
        <v>2077.08</v>
      </c>
      <c r="S3029" s="270">
        <v>19630.919999999998</v>
      </c>
      <c r="T3029" s="270">
        <v>21708</v>
      </c>
      <c r="U3029" s="271" t="s">
        <v>3945</v>
      </c>
      <c r="V3029" s="267" t="s">
        <v>944</v>
      </c>
    </row>
    <row r="3030" spans="1:22" hidden="1" x14ac:dyDescent="0.25">
      <c r="A3030" s="266">
        <v>43623</v>
      </c>
      <c r="B3030" s="267">
        <v>2019</v>
      </c>
      <c r="C3030" s="267">
        <v>2019</v>
      </c>
      <c r="D3030" s="267">
        <v>1</v>
      </c>
      <c r="E3030" s="267">
        <v>1</v>
      </c>
      <c r="F3030" s="267" t="s">
        <v>944</v>
      </c>
      <c r="G3030" s="267" t="s">
        <v>3926</v>
      </c>
      <c r="H3030" s="267" t="s">
        <v>7471</v>
      </c>
      <c r="I3030" s="267" t="s">
        <v>3939</v>
      </c>
      <c r="J3030" s="267" t="s">
        <v>3928</v>
      </c>
      <c r="K3030" s="267">
        <v>6512</v>
      </c>
      <c r="L3030" s="267">
        <v>180500</v>
      </c>
      <c r="M3030" s="267" t="s">
        <v>3935</v>
      </c>
      <c r="N3030" s="267" t="s">
        <v>3944</v>
      </c>
      <c r="O3030" s="267">
        <v>1060.43</v>
      </c>
      <c r="P3030" s="267" t="s">
        <v>3944</v>
      </c>
      <c r="Q3030" s="267" t="s">
        <v>3944</v>
      </c>
      <c r="R3030" s="267">
        <v>1060.43</v>
      </c>
      <c r="S3030" s="267">
        <v>11815.57</v>
      </c>
      <c r="T3030" s="267">
        <v>12876</v>
      </c>
      <c r="U3030" s="268" t="s">
        <v>3945</v>
      </c>
      <c r="V3030" s="267" t="s">
        <v>944</v>
      </c>
    </row>
    <row r="3031" spans="1:22" hidden="1" x14ac:dyDescent="0.25">
      <c r="A3031" s="269">
        <v>43623</v>
      </c>
      <c r="B3031" s="270">
        <v>2019</v>
      </c>
      <c r="C3031" s="270">
        <v>2019</v>
      </c>
      <c r="D3031" s="270">
        <v>1</v>
      </c>
      <c r="E3031" s="270">
        <v>1</v>
      </c>
      <c r="F3031" s="270" t="s">
        <v>944</v>
      </c>
      <c r="G3031" s="270" t="s">
        <v>3926</v>
      </c>
      <c r="H3031" s="270" t="s">
        <v>7472</v>
      </c>
      <c r="I3031" s="270" t="s">
        <v>5147</v>
      </c>
      <c r="J3031" s="270" t="s">
        <v>3928</v>
      </c>
      <c r="K3031" s="270">
        <v>6468</v>
      </c>
      <c r="L3031" s="270">
        <v>100300</v>
      </c>
      <c r="M3031" s="270" t="s">
        <v>3943</v>
      </c>
      <c r="N3031" s="270" t="s">
        <v>3944</v>
      </c>
      <c r="O3031" s="270">
        <v>1888.57</v>
      </c>
      <c r="P3031" s="270" t="s">
        <v>3944</v>
      </c>
      <c r="Q3031" s="270" t="s">
        <v>3944</v>
      </c>
      <c r="R3031" s="270">
        <v>1888.57</v>
      </c>
      <c r="S3031" s="270">
        <v>26680.41</v>
      </c>
      <c r="T3031" s="270">
        <v>28568.98</v>
      </c>
      <c r="U3031" s="271" t="s">
        <v>3945</v>
      </c>
      <c r="V3031" s="267" t="s">
        <v>944</v>
      </c>
    </row>
    <row r="3032" spans="1:22" hidden="1" x14ac:dyDescent="0.25">
      <c r="A3032" s="266">
        <v>43623</v>
      </c>
      <c r="B3032" s="267">
        <v>2019</v>
      </c>
      <c r="C3032" s="267">
        <v>2019</v>
      </c>
      <c r="D3032" s="267">
        <v>1</v>
      </c>
      <c r="E3032" s="267">
        <v>1</v>
      </c>
      <c r="F3032" s="267" t="s">
        <v>944</v>
      </c>
      <c r="G3032" s="267" t="s">
        <v>3926</v>
      </c>
      <c r="H3032" s="267" t="s">
        <v>7473</v>
      </c>
      <c r="I3032" s="267" t="s">
        <v>956</v>
      </c>
      <c r="J3032" s="267" t="s">
        <v>3928</v>
      </c>
      <c r="K3032" s="267">
        <v>6614</v>
      </c>
      <c r="L3032" s="267">
        <v>81000</v>
      </c>
      <c r="M3032" s="267" t="s">
        <v>3940</v>
      </c>
      <c r="N3032" s="267" t="s">
        <v>3944</v>
      </c>
      <c r="O3032" s="267">
        <v>2413.25</v>
      </c>
      <c r="P3032" s="267" t="s">
        <v>3944</v>
      </c>
      <c r="Q3032" s="267" t="s">
        <v>3944</v>
      </c>
      <c r="R3032" s="267">
        <v>2413.25</v>
      </c>
      <c r="S3032" s="267">
        <v>21334.75</v>
      </c>
      <c r="T3032" s="267">
        <v>23748</v>
      </c>
      <c r="U3032" s="268" t="s">
        <v>3945</v>
      </c>
      <c r="V3032" s="267" t="s">
        <v>944</v>
      </c>
    </row>
    <row r="3033" spans="1:22" hidden="1" x14ac:dyDescent="0.25">
      <c r="A3033" s="269">
        <v>43623</v>
      </c>
      <c r="B3033" s="270">
        <v>2019</v>
      </c>
      <c r="C3033" s="270">
        <v>2019</v>
      </c>
      <c r="D3033" s="270">
        <v>1</v>
      </c>
      <c r="E3033" s="270">
        <v>1</v>
      </c>
      <c r="F3033" s="270" t="s">
        <v>944</v>
      </c>
      <c r="G3033" s="270" t="s">
        <v>3926</v>
      </c>
      <c r="H3033" s="270" t="s">
        <v>7474</v>
      </c>
      <c r="I3033" s="270" t="s">
        <v>3008</v>
      </c>
      <c r="J3033" s="270" t="s">
        <v>3928</v>
      </c>
      <c r="K3033" s="270">
        <v>6460</v>
      </c>
      <c r="L3033" s="270">
        <v>150400</v>
      </c>
      <c r="M3033" s="270" t="s">
        <v>3940</v>
      </c>
      <c r="N3033" s="270" t="s">
        <v>3944</v>
      </c>
      <c r="O3033" s="270">
        <v>519.12</v>
      </c>
      <c r="P3033" s="270" t="s">
        <v>3944</v>
      </c>
      <c r="Q3033" s="270" t="s">
        <v>3944</v>
      </c>
      <c r="R3033" s="270">
        <v>519.12</v>
      </c>
      <c r="S3033" s="270">
        <v>8856.24</v>
      </c>
      <c r="T3033" s="270">
        <v>9375.36</v>
      </c>
      <c r="U3033" s="271" t="s">
        <v>3945</v>
      </c>
      <c r="V3033" s="267" t="s">
        <v>944</v>
      </c>
    </row>
    <row r="3034" spans="1:22" hidden="1" x14ac:dyDescent="0.25">
      <c r="A3034" s="266">
        <v>43623</v>
      </c>
      <c r="B3034" s="267">
        <v>2019</v>
      </c>
      <c r="C3034" s="267">
        <v>2019</v>
      </c>
      <c r="D3034" s="267">
        <v>1</v>
      </c>
      <c r="E3034" s="267">
        <v>1</v>
      </c>
      <c r="F3034" s="267" t="s">
        <v>944</v>
      </c>
      <c r="G3034" s="267" t="s">
        <v>3926</v>
      </c>
      <c r="H3034" s="267" t="s">
        <v>7475</v>
      </c>
      <c r="I3034" s="267" t="s">
        <v>3934</v>
      </c>
      <c r="J3034" s="267" t="s">
        <v>3928</v>
      </c>
      <c r="K3034" s="267">
        <v>6405</v>
      </c>
      <c r="L3034" s="267">
        <v>184400</v>
      </c>
      <c r="M3034" s="267" t="s">
        <v>3935</v>
      </c>
      <c r="N3034" s="267" t="s">
        <v>3944</v>
      </c>
      <c r="O3034" s="267">
        <v>2556.16</v>
      </c>
      <c r="P3034" s="267" t="s">
        <v>3944</v>
      </c>
      <c r="Q3034" s="267" t="s">
        <v>3944</v>
      </c>
      <c r="R3034" s="267">
        <v>2556.16</v>
      </c>
      <c r="S3034" s="267">
        <v>35653.620000000003</v>
      </c>
      <c r="T3034" s="267">
        <v>38209.78</v>
      </c>
      <c r="U3034" s="268" t="s">
        <v>3945</v>
      </c>
      <c r="V3034" s="267" t="s">
        <v>944</v>
      </c>
    </row>
    <row r="3035" spans="1:22" hidden="1" x14ac:dyDescent="0.25">
      <c r="A3035" s="269">
        <v>43623</v>
      </c>
      <c r="B3035" s="270">
        <v>2019</v>
      </c>
      <c r="C3035" s="270">
        <v>2019</v>
      </c>
      <c r="D3035" s="270">
        <v>1</v>
      </c>
      <c r="E3035" s="270">
        <v>1</v>
      </c>
      <c r="F3035" s="270" t="s">
        <v>944</v>
      </c>
      <c r="G3035" s="270" t="s">
        <v>3926</v>
      </c>
      <c r="H3035" s="270" t="s">
        <v>7476</v>
      </c>
      <c r="I3035" s="270" t="s">
        <v>4301</v>
      </c>
      <c r="J3035" s="270" t="s">
        <v>3928</v>
      </c>
      <c r="K3035" s="270">
        <v>6359</v>
      </c>
      <c r="L3035" s="270">
        <v>707100</v>
      </c>
      <c r="M3035" s="270" t="s">
        <v>3935</v>
      </c>
      <c r="N3035" s="270" t="s">
        <v>3944</v>
      </c>
      <c r="O3035" s="270">
        <v>1706.04</v>
      </c>
      <c r="P3035" s="270" t="s">
        <v>3944</v>
      </c>
      <c r="Q3035" s="270" t="s">
        <v>3944</v>
      </c>
      <c r="R3035" s="270">
        <v>1706.04</v>
      </c>
      <c r="S3035" s="270">
        <v>23625.22</v>
      </c>
      <c r="T3035" s="270">
        <v>25331.26</v>
      </c>
      <c r="U3035" s="271" t="s">
        <v>3945</v>
      </c>
      <c r="V3035" s="267" t="s">
        <v>944</v>
      </c>
    </row>
    <row r="3036" spans="1:22" hidden="1" x14ac:dyDescent="0.25">
      <c r="A3036" s="266">
        <v>43623</v>
      </c>
      <c r="B3036" s="267">
        <v>2019</v>
      </c>
      <c r="C3036" s="267">
        <v>2019</v>
      </c>
      <c r="D3036" s="267">
        <v>1</v>
      </c>
      <c r="E3036" s="267">
        <v>1</v>
      </c>
      <c r="F3036" s="267" t="s">
        <v>944</v>
      </c>
      <c r="G3036" s="267" t="s">
        <v>3926</v>
      </c>
      <c r="H3036" s="267" t="s">
        <v>7477</v>
      </c>
      <c r="I3036" s="267" t="s">
        <v>4306</v>
      </c>
      <c r="J3036" s="267" t="s">
        <v>3928</v>
      </c>
      <c r="K3036" s="267">
        <v>6716</v>
      </c>
      <c r="L3036" s="267">
        <v>361200</v>
      </c>
      <c r="M3036" s="267" t="s">
        <v>3960</v>
      </c>
      <c r="N3036" s="267" t="s">
        <v>3944</v>
      </c>
      <c r="O3036" s="267">
        <v>4451.97</v>
      </c>
      <c r="P3036" s="267" t="s">
        <v>3944</v>
      </c>
      <c r="Q3036" s="267" t="s">
        <v>3944</v>
      </c>
      <c r="R3036" s="267">
        <v>4451.97</v>
      </c>
      <c r="S3036" s="267">
        <v>57444.800000000003</v>
      </c>
      <c r="T3036" s="267">
        <v>61896.77</v>
      </c>
      <c r="U3036" s="268" t="s">
        <v>3945</v>
      </c>
      <c r="V3036" s="267" t="s">
        <v>944</v>
      </c>
    </row>
    <row r="3037" spans="1:22" hidden="1" x14ac:dyDescent="0.25">
      <c r="A3037" s="269">
        <v>43623</v>
      </c>
      <c r="B3037" s="270">
        <v>2019</v>
      </c>
      <c r="C3037" s="270">
        <v>2019</v>
      </c>
      <c r="D3037" s="270">
        <v>1</v>
      </c>
      <c r="E3037" s="270">
        <v>1</v>
      </c>
      <c r="F3037" s="270" t="s">
        <v>944</v>
      </c>
      <c r="G3037" s="270" t="s">
        <v>3926</v>
      </c>
      <c r="H3037" s="270" t="s">
        <v>7478</v>
      </c>
      <c r="I3037" s="270" t="s">
        <v>4037</v>
      </c>
      <c r="J3037" s="270" t="s">
        <v>3928</v>
      </c>
      <c r="K3037" s="270">
        <v>6810</v>
      </c>
      <c r="L3037" s="270">
        <v>210500</v>
      </c>
      <c r="M3037" s="270" t="s">
        <v>3960</v>
      </c>
      <c r="N3037" s="270" t="s">
        <v>3944</v>
      </c>
      <c r="O3037" s="270">
        <v>1944.15</v>
      </c>
      <c r="P3037" s="270" t="s">
        <v>3944</v>
      </c>
      <c r="Q3037" s="270" t="s">
        <v>3944</v>
      </c>
      <c r="R3037" s="270">
        <v>1944.15</v>
      </c>
      <c r="S3037" s="270">
        <v>28013.09</v>
      </c>
      <c r="T3037" s="270">
        <v>29957.24</v>
      </c>
      <c r="U3037" s="271" t="s">
        <v>3945</v>
      </c>
      <c r="V3037" s="267" t="s">
        <v>944</v>
      </c>
    </row>
    <row r="3038" spans="1:22" hidden="1" x14ac:dyDescent="0.25">
      <c r="A3038" s="266">
        <v>43623</v>
      </c>
      <c r="B3038" s="267">
        <v>2019</v>
      </c>
      <c r="C3038" s="267">
        <v>2019</v>
      </c>
      <c r="D3038" s="267">
        <v>1</v>
      </c>
      <c r="E3038" s="267">
        <v>1</v>
      </c>
      <c r="F3038" s="267" t="s">
        <v>944</v>
      </c>
      <c r="G3038" s="267" t="s">
        <v>3926</v>
      </c>
      <c r="H3038" s="267" t="s">
        <v>7479</v>
      </c>
      <c r="I3038" s="267" t="s">
        <v>3985</v>
      </c>
      <c r="J3038" s="267" t="s">
        <v>3928</v>
      </c>
      <c r="K3038" s="267">
        <v>6226</v>
      </c>
      <c r="L3038" s="267">
        <v>800400</v>
      </c>
      <c r="M3038" s="267" t="s">
        <v>3940</v>
      </c>
      <c r="N3038" s="267" t="s">
        <v>3944</v>
      </c>
      <c r="O3038" s="267">
        <v>1685.11</v>
      </c>
      <c r="P3038" s="267" t="s">
        <v>3944</v>
      </c>
      <c r="Q3038" s="267" t="s">
        <v>3944</v>
      </c>
      <c r="R3038" s="267">
        <v>1685.11</v>
      </c>
      <c r="S3038" s="267">
        <v>27860.799999999999</v>
      </c>
      <c r="T3038" s="267">
        <v>29545.91</v>
      </c>
      <c r="U3038" s="268" t="s">
        <v>3945</v>
      </c>
      <c r="V3038" s="267" t="s">
        <v>944</v>
      </c>
    </row>
    <row r="3039" spans="1:22" hidden="1" x14ac:dyDescent="0.25">
      <c r="A3039" s="269">
        <v>43623</v>
      </c>
      <c r="B3039" s="270">
        <v>2019</v>
      </c>
      <c r="C3039" s="270">
        <v>2019</v>
      </c>
      <c r="D3039" s="270">
        <v>1</v>
      </c>
      <c r="E3039" s="270">
        <v>1</v>
      </c>
      <c r="F3039" s="270" t="s">
        <v>944</v>
      </c>
      <c r="G3039" s="270" t="s">
        <v>3926</v>
      </c>
      <c r="H3039" s="270" t="s">
        <v>7480</v>
      </c>
      <c r="I3039" s="270" t="s">
        <v>4330</v>
      </c>
      <c r="J3039" s="270" t="s">
        <v>3928</v>
      </c>
      <c r="K3039" s="270">
        <v>6413</v>
      </c>
      <c r="L3039" s="270">
        <v>610300</v>
      </c>
      <c r="M3039" s="270" t="s">
        <v>3960</v>
      </c>
      <c r="N3039" s="270" t="s">
        <v>3944</v>
      </c>
      <c r="O3039" s="270">
        <v>1909.08</v>
      </c>
      <c r="P3039" s="270" t="s">
        <v>3944</v>
      </c>
      <c r="Q3039" s="270" t="s">
        <v>3944</v>
      </c>
      <c r="R3039" s="270">
        <v>1909.08</v>
      </c>
      <c r="S3039" s="270">
        <v>33412.699999999997</v>
      </c>
      <c r="T3039" s="270">
        <v>35321.78</v>
      </c>
      <c r="U3039" s="271" t="s">
        <v>3945</v>
      </c>
      <c r="V3039" s="267" t="s">
        <v>944</v>
      </c>
    </row>
    <row r="3040" spans="1:22" hidden="1" x14ac:dyDescent="0.25">
      <c r="A3040" s="266">
        <v>43623</v>
      </c>
      <c r="B3040" s="267">
        <v>2019</v>
      </c>
      <c r="C3040" s="267">
        <v>2019</v>
      </c>
      <c r="D3040" s="267">
        <v>1</v>
      </c>
      <c r="E3040" s="267">
        <v>1</v>
      </c>
      <c r="F3040" s="267" t="s">
        <v>944</v>
      </c>
      <c r="G3040" s="267" t="s">
        <v>3926</v>
      </c>
      <c r="H3040" s="267" t="s">
        <v>7481</v>
      </c>
      <c r="I3040" s="267" t="s">
        <v>4085</v>
      </c>
      <c r="J3040" s="267" t="s">
        <v>3928</v>
      </c>
      <c r="K3040" s="267">
        <v>6351</v>
      </c>
      <c r="L3040" s="267">
        <v>709100</v>
      </c>
      <c r="M3040" s="267" t="s">
        <v>3935</v>
      </c>
      <c r="N3040" s="267" t="s">
        <v>3944</v>
      </c>
      <c r="O3040" s="267">
        <v>1520.82</v>
      </c>
      <c r="P3040" s="267" t="s">
        <v>3944</v>
      </c>
      <c r="Q3040" s="267" t="s">
        <v>3944</v>
      </c>
      <c r="R3040" s="267">
        <v>1520.82</v>
      </c>
      <c r="S3040" s="267">
        <v>21399.52</v>
      </c>
      <c r="T3040" s="267">
        <v>22920.34</v>
      </c>
      <c r="U3040" s="268" t="s">
        <v>3945</v>
      </c>
      <c r="V3040" s="267" t="s">
        <v>944</v>
      </c>
    </row>
    <row r="3041" spans="1:22" hidden="1" x14ac:dyDescent="0.25">
      <c r="A3041" s="269">
        <v>43623</v>
      </c>
      <c r="B3041" s="270">
        <v>2019</v>
      </c>
      <c r="C3041" s="270">
        <v>2019</v>
      </c>
      <c r="D3041" s="270">
        <v>1</v>
      </c>
      <c r="E3041" s="270">
        <v>1</v>
      </c>
      <c r="F3041" s="270" t="s">
        <v>944</v>
      </c>
      <c r="G3041" s="270" t="s">
        <v>3926</v>
      </c>
      <c r="H3041" s="270" t="s">
        <v>7482</v>
      </c>
      <c r="I3041" s="270" t="s">
        <v>4392</v>
      </c>
      <c r="J3041" s="270" t="s">
        <v>3928</v>
      </c>
      <c r="K3041" s="270">
        <v>6457</v>
      </c>
      <c r="L3041" s="270">
        <v>541500</v>
      </c>
      <c r="M3041" s="270" t="s">
        <v>3940</v>
      </c>
      <c r="N3041" s="270" t="s">
        <v>3944</v>
      </c>
      <c r="O3041" s="270">
        <v>2204.83</v>
      </c>
      <c r="P3041" s="270" t="s">
        <v>3944</v>
      </c>
      <c r="Q3041" s="270" t="s">
        <v>3944</v>
      </c>
      <c r="R3041" s="270">
        <v>2204.83</v>
      </c>
      <c r="S3041" s="270">
        <v>33945.65</v>
      </c>
      <c r="T3041" s="270">
        <v>36150.480000000003</v>
      </c>
      <c r="U3041" s="271" t="s">
        <v>3945</v>
      </c>
      <c r="V3041" s="267" t="s">
        <v>944</v>
      </c>
    </row>
    <row r="3042" spans="1:22" hidden="1" x14ac:dyDescent="0.25">
      <c r="A3042" s="266">
        <v>43623</v>
      </c>
      <c r="B3042" s="267">
        <v>2019</v>
      </c>
      <c r="C3042" s="267">
        <v>2019</v>
      </c>
      <c r="D3042" s="267">
        <v>1</v>
      </c>
      <c r="E3042" s="267">
        <v>1</v>
      </c>
      <c r="F3042" s="267" t="s">
        <v>944</v>
      </c>
      <c r="G3042" s="267" t="s">
        <v>3926</v>
      </c>
      <c r="H3042" s="267" t="s">
        <v>7483</v>
      </c>
      <c r="I3042" s="267" t="s">
        <v>4323</v>
      </c>
      <c r="J3042" s="267" t="s">
        <v>3928</v>
      </c>
      <c r="K3042" s="267">
        <v>6385</v>
      </c>
      <c r="L3042" s="267">
        <v>693400</v>
      </c>
      <c r="M3042" s="267" t="s">
        <v>3940</v>
      </c>
      <c r="N3042" s="267" t="s">
        <v>3944</v>
      </c>
      <c r="O3042" s="267">
        <v>1280.48</v>
      </c>
      <c r="P3042" s="267" t="s">
        <v>3944</v>
      </c>
      <c r="Q3042" s="267" t="s">
        <v>3944</v>
      </c>
      <c r="R3042" s="267">
        <v>1280.48</v>
      </c>
      <c r="S3042" s="267">
        <v>19675.599999999999</v>
      </c>
      <c r="T3042" s="267">
        <v>20956.080000000002</v>
      </c>
      <c r="U3042" s="268" t="s">
        <v>3945</v>
      </c>
      <c r="V3042" s="267" t="s">
        <v>944</v>
      </c>
    </row>
    <row r="3043" spans="1:22" hidden="1" x14ac:dyDescent="0.25">
      <c r="A3043" s="269">
        <v>43623</v>
      </c>
      <c r="B3043" s="270">
        <v>2019</v>
      </c>
      <c r="C3043" s="270">
        <v>2019</v>
      </c>
      <c r="D3043" s="270">
        <v>1</v>
      </c>
      <c r="E3043" s="270">
        <v>1</v>
      </c>
      <c r="F3043" s="270" t="s">
        <v>944</v>
      </c>
      <c r="G3043" s="270" t="s">
        <v>3926</v>
      </c>
      <c r="H3043" s="270" t="s">
        <v>7484</v>
      </c>
      <c r="I3043" s="270" t="s">
        <v>4310</v>
      </c>
      <c r="J3043" s="270" t="s">
        <v>3928</v>
      </c>
      <c r="K3043" s="270">
        <v>6351</v>
      </c>
      <c r="L3043" s="270">
        <v>710100</v>
      </c>
      <c r="M3043" s="270" t="s">
        <v>3960</v>
      </c>
      <c r="N3043" s="270" t="s">
        <v>3944</v>
      </c>
      <c r="O3043" s="270">
        <v>2235.1</v>
      </c>
      <c r="P3043" s="270" t="s">
        <v>3944</v>
      </c>
      <c r="Q3043" s="270" t="s">
        <v>3944</v>
      </c>
      <c r="R3043" s="270">
        <v>2235.1</v>
      </c>
      <c r="S3043" s="270">
        <v>33152.300000000003</v>
      </c>
      <c r="T3043" s="270">
        <v>35387.4</v>
      </c>
      <c r="U3043" s="271" t="s">
        <v>3945</v>
      </c>
      <c r="V3043" s="267" t="s">
        <v>944</v>
      </c>
    </row>
    <row r="3044" spans="1:22" hidden="1" x14ac:dyDescent="0.25">
      <c r="A3044" s="266">
        <v>43623</v>
      </c>
      <c r="B3044" s="267">
        <v>2019</v>
      </c>
      <c r="C3044" s="267">
        <v>2019</v>
      </c>
      <c r="D3044" s="267">
        <v>1</v>
      </c>
      <c r="E3044" s="267">
        <v>1</v>
      </c>
      <c r="F3044" s="267" t="s">
        <v>944</v>
      </c>
      <c r="G3044" s="267" t="s">
        <v>3926</v>
      </c>
      <c r="H3044" s="267" t="s">
        <v>7485</v>
      </c>
      <c r="I3044" s="267" t="s">
        <v>3975</v>
      </c>
      <c r="J3044" s="267" t="s">
        <v>3928</v>
      </c>
      <c r="K3044" s="267">
        <v>6479</v>
      </c>
      <c r="L3044" s="267">
        <v>430500</v>
      </c>
      <c r="M3044" s="267" t="s">
        <v>3943</v>
      </c>
      <c r="N3044" s="267" t="s">
        <v>3944</v>
      </c>
      <c r="O3044" s="267">
        <v>2268.2800000000002</v>
      </c>
      <c r="P3044" s="267" t="s">
        <v>3944</v>
      </c>
      <c r="Q3044" s="267" t="s">
        <v>3944</v>
      </c>
      <c r="R3044" s="267">
        <v>2268.2800000000002</v>
      </c>
      <c r="S3044" s="267">
        <v>30215.91</v>
      </c>
      <c r="T3044" s="267">
        <v>32484.19</v>
      </c>
      <c r="U3044" s="268" t="s">
        <v>3945</v>
      </c>
      <c r="V3044" s="267" t="s">
        <v>944</v>
      </c>
    </row>
    <row r="3045" spans="1:22" hidden="1" x14ac:dyDescent="0.25">
      <c r="A3045" s="269">
        <v>43623</v>
      </c>
      <c r="B3045" s="270">
        <v>2019</v>
      </c>
      <c r="C3045" s="270">
        <v>2019</v>
      </c>
      <c r="D3045" s="270">
        <v>1</v>
      </c>
      <c r="E3045" s="270">
        <v>1</v>
      </c>
      <c r="F3045" s="270" t="s">
        <v>944</v>
      </c>
      <c r="G3045" s="270" t="s">
        <v>3926</v>
      </c>
      <c r="H3045" s="270" t="s">
        <v>7486</v>
      </c>
      <c r="I3045" s="270" t="s">
        <v>4003</v>
      </c>
      <c r="J3045" s="270" t="s">
        <v>3928</v>
      </c>
      <c r="K3045" s="270">
        <v>6374</v>
      </c>
      <c r="L3045" s="270">
        <v>907100</v>
      </c>
      <c r="M3045" s="270" t="s">
        <v>3935</v>
      </c>
      <c r="N3045" s="270" t="s">
        <v>3944</v>
      </c>
      <c r="O3045" s="270">
        <v>1193.99</v>
      </c>
      <c r="P3045" s="270" t="s">
        <v>3944</v>
      </c>
      <c r="Q3045" s="270" t="s">
        <v>3944</v>
      </c>
      <c r="R3045" s="270">
        <v>1193.99</v>
      </c>
      <c r="S3045" s="270">
        <v>10216.01</v>
      </c>
      <c r="T3045" s="270">
        <v>11410</v>
      </c>
      <c r="U3045" s="271" t="s">
        <v>3945</v>
      </c>
      <c r="V3045" s="267" t="s">
        <v>944</v>
      </c>
    </row>
    <row r="3046" spans="1:22" hidden="1" x14ac:dyDescent="0.25">
      <c r="A3046" s="266">
        <v>43623</v>
      </c>
      <c r="B3046" s="267">
        <v>2019</v>
      </c>
      <c r="C3046" s="267">
        <v>2019</v>
      </c>
      <c r="D3046" s="267">
        <v>1</v>
      </c>
      <c r="E3046" s="267">
        <v>1</v>
      </c>
      <c r="F3046" s="267" t="s">
        <v>944</v>
      </c>
      <c r="G3046" s="267" t="s">
        <v>3926</v>
      </c>
      <c r="H3046" s="267" t="s">
        <v>7487</v>
      </c>
      <c r="I3046" s="267" t="s">
        <v>4422</v>
      </c>
      <c r="J3046" s="267" t="s">
        <v>3928</v>
      </c>
      <c r="K3046" s="267">
        <v>6801</v>
      </c>
      <c r="L3046" s="267">
        <v>200200</v>
      </c>
      <c r="M3046" s="267" t="s">
        <v>3940</v>
      </c>
      <c r="N3046" s="267" t="s">
        <v>3944</v>
      </c>
      <c r="O3046" s="267">
        <v>2874.73</v>
      </c>
      <c r="P3046" s="267" t="s">
        <v>3944</v>
      </c>
      <c r="Q3046" s="267" t="s">
        <v>3944</v>
      </c>
      <c r="R3046" s="267">
        <v>2874.73</v>
      </c>
      <c r="S3046" s="267">
        <v>27570.27</v>
      </c>
      <c r="T3046" s="267">
        <v>30445</v>
      </c>
      <c r="U3046" s="268" t="s">
        <v>3945</v>
      </c>
      <c r="V3046" s="267" t="s">
        <v>944</v>
      </c>
    </row>
    <row r="3047" spans="1:22" hidden="1" x14ac:dyDescent="0.25">
      <c r="A3047" s="269">
        <v>43623</v>
      </c>
      <c r="B3047" s="270">
        <v>2019</v>
      </c>
      <c r="C3047" s="270">
        <v>2019</v>
      </c>
      <c r="D3047" s="270">
        <v>1</v>
      </c>
      <c r="E3047" s="270">
        <v>1</v>
      </c>
      <c r="F3047" s="270" t="s">
        <v>944</v>
      </c>
      <c r="G3047" s="270" t="s">
        <v>3926</v>
      </c>
      <c r="H3047" s="270" t="s">
        <v>7488</v>
      </c>
      <c r="I3047" s="270" t="s">
        <v>4254</v>
      </c>
      <c r="J3047" s="270" t="s">
        <v>3928</v>
      </c>
      <c r="K3047" s="270">
        <v>6076</v>
      </c>
      <c r="L3047" s="270">
        <v>890202</v>
      </c>
      <c r="M3047" s="270" t="s">
        <v>3960</v>
      </c>
      <c r="N3047" s="270" t="s">
        <v>3944</v>
      </c>
      <c r="O3047" s="270">
        <v>1241.7</v>
      </c>
      <c r="P3047" s="270" t="s">
        <v>3944</v>
      </c>
      <c r="Q3047" s="270" t="s">
        <v>3944</v>
      </c>
      <c r="R3047" s="270">
        <v>1241.7</v>
      </c>
      <c r="S3047" s="270">
        <v>18968.72</v>
      </c>
      <c r="T3047" s="270">
        <v>20210.419999999998</v>
      </c>
      <c r="U3047" s="271" t="s">
        <v>3945</v>
      </c>
      <c r="V3047" s="267" t="s">
        <v>944</v>
      </c>
    </row>
    <row r="3048" spans="1:22" hidden="1" x14ac:dyDescent="0.25">
      <c r="A3048" s="266">
        <v>43623</v>
      </c>
      <c r="B3048" s="267">
        <v>2019</v>
      </c>
      <c r="C3048" s="267">
        <v>2019</v>
      </c>
      <c r="D3048" s="267">
        <v>1</v>
      </c>
      <c r="E3048" s="267">
        <v>1</v>
      </c>
      <c r="F3048" s="267" t="s">
        <v>944</v>
      </c>
      <c r="G3048" s="267" t="s">
        <v>3926</v>
      </c>
      <c r="H3048" s="267" t="s">
        <v>7489</v>
      </c>
      <c r="I3048" s="267" t="s">
        <v>4111</v>
      </c>
      <c r="J3048" s="267" t="s">
        <v>3928</v>
      </c>
      <c r="K3048" s="267">
        <v>6095</v>
      </c>
      <c r="L3048" s="267">
        <v>473700</v>
      </c>
      <c r="M3048" s="267" t="s">
        <v>3935</v>
      </c>
      <c r="N3048" s="267" t="s">
        <v>3944</v>
      </c>
      <c r="O3048" s="267">
        <v>1011.05</v>
      </c>
      <c r="P3048" s="267" t="s">
        <v>3944</v>
      </c>
      <c r="Q3048" s="267" t="s">
        <v>3944</v>
      </c>
      <c r="R3048" s="267">
        <v>1011.05</v>
      </c>
      <c r="S3048" s="267">
        <v>14249.97</v>
      </c>
      <c r="T3048" s="267">
        <v>15261.02</v>
      </c>
      <c r="U3048" s="268" t="s">
        <v>3945</v>
      </c>
      <c r="V3048" s="267" t="s">
        <v>944</v>
      </c>
    </row>
    <row r="3049" spans="1:22" hidden="1" x14ac:dyDescent="0.25">
      <c r="A3049" s="269">
        <v>43623</v>
      </c>
      <c r="B3049" s="270">
        <v>2019</v>
      </c>
      <c r="C3049" s="270">
        <v>2019</v>
      </c>
      <c r="D3049" s="270">
        <v>1</v>
      </c>
      <c r="E3049" s="270">
        <v>1</v>
      </c>
      <c r="F3049" s="270" t="s">
        <v>944</v>
      </c>
      <c r="G3049" s="270" t="s">
        <v>3926</v>
      </c>
      <c r="H3049" s="270" t="s">
        <v>7490</v>
      </c>
      <c r="I3049" s="270" t="s">
        <v>4037</v>
      </c>
      <c r="J3049" s="270" t="s">
        <v>3928</v>
      </c>
      <c r="K3049" s="270">
        <v>6810</v>
      </c>
      <c r="L3049" s="270">
        <v>210400</v>
      </c>
      <c r="M3049" s="270" t="s">
        <v>3935</v>
      </c>
      <c r="N3049" s="270" t="s">
        <v>3944</v>
      </c>
      <c r="O3049" s="270">
        <v>2130.8000000000002</v>
      </c>
      <c r="P3049" s="270" t="s">
        <v>3944</v>
      </c>
      <c r="Q3049" s="270" t="s">
        <v>3944</v>
      </c>
      <c r="R3049" s="270">
        <v>2130.8000000000002</v>
      </c>
      <c r="S3049" s="270">
        <v>33828.67</v>
      </c>
      <c r="T3049" s="270">
        <v>35959.47</v>
      </c>
      <c r="U3049" s="271" t="s">
        <v>3945</v>
      </c>
      <c r="V3049" s="267" t="s">
        <v>944</v>
      </c>
    </row>
    <row r="3050" spans="1:22" hidden="1" x14ac:dyDescent="0.25">
      <c r="A3050" s="266">
        <v>43623</v>
      </c>
      <c r="B3050" s="267">
        <v>2019</v>
      </c>
      <c r="C3050" s="267">
        <v>2019</v>
      </c>
      <c r="D3050" s="267">
        <v>1</v>
      </c>
      <c r="E3050" s="267">
        <v>1</v>
      </c>
      <c r="F3050" s="267" t="s">
        <v>944</v>
      </c>
      <c r="G3050" s="267" t="s">
        <v>3926</v>
      </c>
      <c r="H3050" s="267" t="s">
        <v>7491</v>
      </c>
      <c r="I3050" s="267" t="s">
        <v>950</v>
      </c>
      <c r="J3050" s="267" t="s">
        <v>3928</v>
      </c>
      <c r="K3050" s="267">
        <v>6516</v>
      </c>
      <c r="L3050" s="267">
        <v>154700</v>
      </c>
      <c r="M3050" s="267" t="s">
        <v>3960</v>
      </c>
      <c r="N3050" s="267" t="s">
        <v>3944</v>
      </c>
      <c r="O3050" s="267">
        <v>2902.73</v>
      </c>
      <c r="P3050" s="267" t="s">
        <v>3944</v>
      </c>
      <c r="Q3050" s="267" t="s">
        <v>3944</v>
      </c>
      <c r="R3050" s="267">
        <v>2902.73</v>
      </c>
      <c r="S3050" s="267">
        <v>50251.72</v>
      </c>
      <c r="T3050" s="267">
        <v>53154.45</v>
      </c>
      <c r="U3050" s="268" t="s">
        <v>3945</v>
      </c>
      <c r="V3050" s="267" t="s">
        <v>944</v>
      </c>
    </row>
    <row r="3051" spans="1:22" hidden="1" x14ac:dyDescent="0.25">
      <c r="A3051" s="269">
        <v>43623</v>
      </c>
      <c r="B3051" s="270">
        <v>2019</v>
      </c>
      <c r="C3051" s="270">
        <v>2019</v>
      </c>
      <c r="D3051" s="270">
        <v>1</v>
      </c>
      <c r="E3051" s="270">
        <v>1</v>
      </c>
      <c r="F3051" s="270" t="s">
        <v>944</v>
      </c>
      <c r="G3051" s="270" t="s">
        <v>3926</v>
      </c>
      <c r="H3051" s="270" t="s">
        <v>7492</v>
      </c>
      <c r="I3051" s="270" t="s">
        <v>4016</v>
      </c>
      <c r="J3051" s="270" t="s">
        <v>3928</v>
      </c>
      <c r="K3051" s="270">
        <v>6770</v>
      </c>
      <c r="L3051" s="270">
        <v>345400</v>
      </c>
      <c r="M3051" s="270" t="s">
        <v>3935</v>
      </c>
      <c r="N3051" s="270" t="s">
        <v>3944</v>
      </c>
      <c r="O3051" s="270">
        <v>1930.25</v>
      </c>
      <c r="P3051" s="270" t="s">
        <v>3944</v>
      </c>
      <c r="Q3051" s="270" t="s">
        <v>3944</v>
      </c>
      <c r="R3051" s="270">
        <v>1930.25</v>
      </c>
      <c r="S3051" s="270">
        <v>26013.73</v>
      </c>
      <c r="T3051" s="270">
        <v>27943.98</v>
      </c>
      <c r="U3051" s="271" t="s">
        <v>3945</v>
      </c>
      <c r="V3051" s="267" t="s">
        <v>944</v>
      </c>
    </row>
    <row r="3052" spans="1:22" hidden="1" x14ac:dyDescent="0.25">
      <c r="A3052" s="266">
        <v>43623</v>
      </c>
      <c r="B3052" s="267">
        <v>2019</v>
      </c>
      <c r="C3052" s="267">
        <v>2019</v>
      </c>
      <c r="D3052" s="267">
        <v>1</v>
      </c>
      <c r="E3052" s="267">
        <v>1</v>
      </c>
      <c r="F3052" s="267" t="s">
        <v>944</v>
      </c>
      <c r="G3052" s="267" t="s">
        <v>3926</v>
      </c>
      <c r="H3052" s="267" t="s">
        <v>7493</v>
      </c>
      <c r="I3052" s="267" t="s">
        <v>956</v>
      </c>
      <c r="J3052" s="267" t="s">
        <v>3928</v>
      </c>
      <c r="K3052" s="267">
        <v>6615</v>
      </c>
      <c r="L3052" s="267">
        <v>80400</v>
      </c>
      <c r="M3052" s="267" t="s">
        <v>3940</v>
      </c>
      <c r="N3052" s="267" t="s">
        <v>3944</v>
      </c>
      <c r="O3052" s="267">
        <v>685.86</v>
      </c>
      <c r="P3052" s="267" t="s">
        <v>3944</v>
      </c>
      <c r="Q3052" s="267" t="s">
        <v>3944</v>
      </c>
      <c r="R3052" s="267">
        <v>685.86</v>
      </c>
      <c r="S3052" s="267">
        <v>9916.98</v>
      </c>
      <c r="T3052" s="267">
        <v>10602.84</v>
      </c>
      <c r="U3052" s="268" t="s">
        <v>3945</v>
      </c>
      <c r="V3052" s="267" t="s">
        <v>944</v>
      </c>
    </row>
    <row r="3053" spans="1:22" hidden="1" x14ac:dyDescent="0.25">
      <c r="A3053" s="269">
        <v>43623</v>
      </c>
      <c r="B3053" s="270">
        <v>2019</v>
      </c>
      <c r="C3053" s="270">
        <v>2019</v>
      </c>
      <c r="D3053" s="270">
        <v>1</v>
      </c>
      <c r="E3053" s="270">
        <v>1</v>
      </c>
      <c r="F3053" s="270" t="s">
        <v>944</v>
      </c>
      <c r="G3053" s="270" t="s">
        <v>3926</v>
      </c>
      <c r="H3053" s="270" t="s">
        <v>7494</v>
      </c>
      <c r="I3053" s="270" t="s">
        <v>4011</v>
      </c>
      <c r="J3053" s="270" t="s">
        <v>3928</v>
      </c>
      <c r="K3053" s="270">
        <v>6002</v>
      </c>
      <c r="L3053" s="270">
        <v>471400</v>
      </c>
      <c r="M3053" s="270" t="s">
        <v>3943</v>
      </c>
      <c r="N3053" s="270" t="s">
        <v>3944</v>
      </c>
      <c r="O3053" s="270">
        <v>3895.33</v>
      </c>
      <c r="P3053" s="270" t="s">
        <v>3944</v>
      </c>
      <c r="Q3053" s="270" t="s">
        <v>3944</v>
      </c>
      <c r="R3053" s="270">
        <v>3895.33</v>
      </c>
      <c r="S3053" s="270">
        <v>54237.67</v>
      </c>
      <c r="T3053" s="270">
        <v>58133</v>
      </c>
      <c r="U3053" s="271" t="s">
        <v>3945</v>
      </c>
      <c r="V3053" s="267" t="s">
        <v>944</v>
      </c>
    </row>
    <row r="3054" spans="1:22" hidden="1" x14ac:dyDescent="0.25">
      <c r="A3054" s="266">
        <v>43623</v>
      </c>
      <c r="B3054" s="267">
        <v>2019</v>
      </c>
      <c r="C3054" s="267">
        <v>2019</v>
      </c>
      <c r="D3054" s="267">
        <v>1</v>
      </c>
      <c r="E3054" s="267">
        <v>1</v>
      </c>
      <c r="F3054" s="267" t="s">
        <v>944</v>
      </c>
      <c r="G3054" s="267" t="s">
        <v>3926</v>
      </c>
      <c r="H3054" s="267" t="s">
        <v>7495</v>
      </c>
      <c r="I3054" s="267" t="s">
        <v>4114</v>
      </c>
      <c r="J3054" s="267" t="s">
        <v>3928</v>
      </c>
      <c r="K3054" s="267">
        <v>6410</v>
      </c>
      <c r="L3054" s="267">
        <v>343101</v>
      </c>
      <c r="M3054" s="267" t="s">
        <v>3943</v>
      </c>
      <c r="N3054" s="267" t="s">
        <v>3944</v>
      </c>
      <c r="O3054" s="267">
        <v>2528.16</v>
      </c>
      <c r="P3054" s="267" t="s">
        <v>3944</v>
      </c>
      <c r="Q3054" s="267" t="s">
        <v>3944</v>
      </c>
      <c r="R3054" s="267">
        <v>2528.16</v>
      </c>
      <c r="S3054" s="267">
        <v>32790.949999999997</v>
      </c>
      <c r="T3054" s="267">
        <v>35319.11</v>
      </c>
      <c r="U3054" s="268" t="s">
        <v>3945</v>
      </c>
      <c r="V3054" s="267" t="s">
        <v>944</v>
      </c>
    </row>
    <row r="3055" spans="1:22" hidden="1" x14ac:dyDescent="0.25">
      <c r="A3055" s="269">
        <v>43624</v>
      </c>
      <c r="B3055" s="270">
        <v>2019</v>
      </c>
      <c r="C3055" s="270">
        <v>2019</v>
      </c>
      <c r="D3055" s="270">
        <v>1</v>
      </c>
      <c r="E3055" s="270">
        <v>1</v>
      </c>
      <c r="F3055" s="270" t="s">
        <v>944</v>
      </c>
      <c r="G3055" s="270" t="s">
        <v>3926</v>
      </c>
      <c r="H3055" s="270" t="s">
        <v>7496</v>
      </c>
      <c r="I3055" s="270" t="s">
        <v>4019</v>
      </c>
      <c r="J3055" s="270" t="s">
        <v>3928</v>
      </c>
      <c r="K3055" s="270">
        <v>6705</v>
      </c>
      <c r="L3055" s="270">
        <v>352702</v>
      </c>
      <c r="M3055" s="270" t="s">
        <v>3940</v>
      </c>
      <c r="N3055" s="270" t="s">
        <v>4719</v>
      </c>
      <c r="O3055" s="270">
        <v>4061.07</v>
      </c>
      <c r="P3055" s="270" t="s">
        <v>3930</v>
      </c>
      <c r="Q3055" s="270" t="s">
        <v>3931</v>
      </c>
      <c r="R3055" s="270">
        <v>9061.07</v>
      </c>
      <c r="S3055" s="270">
        <v>25015</v>
      </c>
      <c r="T3055" s="270">
        <v>34076.07</v>
      </c>
      <c r="U3055" s="271" t="s">
        <v>3932</v>
      </c>
      <c r="V3055" s="267" t="s">
        <v>944</v>
      </c>
    </row>
    <row r="3056" spans="1:22" hidden="1" x14ac:dyDescent="0.25">
      <c r="A3056" s="266">
        <v>43624</v>
      </c>
      <c r="B3056" s="267">
        <v>2019</v>
      </c>
      <c r="C3056" s="267">
        <v>2019</v>
      </c>
      <c r="D3056" s="267">
        <v>1</v>
      </c>
      <c r="E3056" s="267">
        <v>1</v>
      </c>
      <c r="F3056" s="267" t="s">
        <v>944</v>
      </c>
      <c r="G3056" s="267" t="s">
        <v>3926</v>
      </c>
      <c r="H3056" s="267" t="s">
        <v>7497</v>
      </c>
      <c r="I3056" s="267" t="s">
        <v>4269</v>
      </c>
      <c r="J3056" s="267" t="s">
        <v>3928</v>
      </c>
      <c r="K3056" s="267">
        <v>6119</v>
      </c>
      <c r="L3056" s="267">
        <v>496900</v>
      </c>
      <c r="M3056" s="267" t="s">
        <v>3960</v>
      </c>
      <c r="N3056" s="267" t="s">
        <v>3983</v>
      </c>
      <c r="O3056" s="267">
        <v>1587.43</v>
      </c>
      <c r="P3056" s="267" t="s">
        <v>3930</v>
      </c>
      <c r="Q3056" s="267" t="s">
        <v>3931</v>
      </c>
      <c r="R3056" s="267">
        <v>6587.43</v>
      </c>
      <c r="S3056" s="267">
        <v>16504</v>
      </c>
      <c r="T3056" s="267">
        <v>23091.43</v>
      </c>
      <c r="U3056" s="268" t="s">
        <v>3932</v>
      </c>
      <c r="V3056" s="267" t="s">
        <v>944</v>
      </c>
    </row>
    <row r="3057" spans="1:22" hidden="1" x14ac:dyDescent="0.25">
      <c r="A3057" s="269">
        <v>43624</v>
      </c>
      <c r="B3057" s="270">
        <v>2019</v>
      </c>
      <c r="C3057" s="270">
        <v>2019</v>
      </c>
      <c r="D3057" s="270">
        <v>1</v>
      </c>
      <c r="E3057" s="270">
        <v>1</v>
      </c>
      <c r="F3057" s="270" t="s">
        <v>944</v>
      </c>
      <c r="G3057" s="270" t="s">
        <v>3926</v>
      </c>
      <c r="H3057" s="270" t="s">
        <v>7498</v>
      </c>
      <c r="I3057" s="270" t="s">
        <v>3966</v>
      </c>
      <c r="J3057" s="270" t="s">
        <v>3928</v>
      </c>
      <c r="K3057" s="270">
        <v>6010</v>
      </c>
      <c r="L3057" s="270">
        <v>405500</v>
      </c>
      <c r="M3057" s="270" t="s">
        <v>3935</v>
      </c>
      <c r="N3057" s="270" t="s">
        <v>4103</v>
      </c>
      <c r="O3057" s="270">
        <v>1650.04</v>
      </c>
      <c r="P3057" s="270" t="s">
        <v>3930</v>
      </c>
      <c r="Q3057" s="270" t="s">
        <v>3931</v>
      </c>
      <c r="R3057" s="270">
        <v>6650.04</v>
      </c>
      <c r="S3057" s="270">
        <v>24145.599999999999</v>
      </c>
      <c r="T3057" s="270">
        <v>30795.64</v>
      </c>
      <c r="U3057" s="271" t="s">
        <v>3932</v>
      </c>
      <c r="V3057" s="267" t="s">
        <v>944</v>
      </c>
    </row>
    <row r="3058" spans="1:22" hidden="1" x14ac:dyDescent="0.25">
      <c r="A3058" s="266">
        <v>43626</v>
      </c>
      <c r="B3058" s="267">
        <v>2019</v>
      </c>
      <c r="C3058" s="267">
        <v>2019</v>
      </c>
      <c r="D3058" s="267">
        <v>1</v>
      </c>
      <c r="E3058" s="267">
        <v>1</v>
      </c>
      <c r="F3058" s="267" t="s">
        <v>944</v>
      </c>
      <c r="G3058" s="267" t="s">
        <v>3926</v>
      </c>
      <c r="H3058" s="267" t="s">
        <v>7499</v>
      </c>
      <c r="I3058" s="267" t="s">
        <v>956</v>
      </c>
      <c r="J3058" s="267" t="s">
        <v>3928</v>
      </c>
      <c r="K3058" s="267">
        <v>6614</v>
      </c>
      <c r="L3058" s="267">
        <v>80900</v>
      </c>
      <c r="M3058" s="267" t="s">
        <v>3960</v>
      </c>
      <c r="N3058" s="267" t="s">
        <v>7500</v>
      </c>
      <c r="O3058" s="267">
        <v>0</v>
      </c>
      <c r="P3058" s="267" t="s">
        <v>3930</v>
      </c>
      <c r="Q3058" s="267" t="s">
        <v>3930</v>
      </c>
      <c r="R3058" s="267">
        <v>0</v>
      </c>
      <c r="S3058" s="267">
        <v>10089</v>
      </c>
      <c r="T3058" s="267">
        <v>10089</v>
      </c>
      <c r="U3058" s="268" t="s">
        <v>3937</v>
      </c>
      <c r="V3058" s="267" t="s">
        <v>944</v>
      </c>
    </row>
    <row r="3059" spans="1:22" hidden="1" x14ac:dyDescent="0.25">
      <c r="A3059" s="269">
        <v>43626</v>
      </c>
      <c r="B3059" s="270">
        <v>2019</v>
      </c>
      <c r="C3059" s="270">
        <v>2019</v>
      </c>
      <c r="D3059" s="270">
        <v>1</v>
      </c>
      <c r="E3059" s="270">
        <v>1</v>
      </c>
      <c r="F3059" s="270" t="s">
        <v>944</v>
      </c>
      <c r="G3059" s="270" t="s">
        <v>3926</v>
      </c>
      <c r="H3059" s="270" t="s">
        <v>7501</v>
      </c>
      <c r="I3059" s="270" t="s">
        <v>4037</v>
      </c>
      <c r="J3059" s="270" t="s">
        <v>3928</v>
      </c>
      <c r="K3059" s="270">
        <v>6811</v>
      </c>
      <c r="L3059" s="270">
        <v>210800</v>
      </c>
      <c r="M3059" s="270" t="s">
        <v>3960</v>
      </c>
      <c r="N3059" s="270" t="s">
        <v>6472</v>
      </c>
      <c r="O3059" s="270">
        <v>0</v>
      </c>
      <c r="P3059" s="270" t="s">
        <v>3930</v>
      </c>
      <c r="Q3059" s="270" t="s">
        <v>3930</v>
      </c>
      <c r="R3059" s="270">
        <v>0</v>
      </c>
      <c r="S3059" s="270">
        <v>6800</v>
      </c>
      <c r="T3059" s="270">
        <v>6800</v>
      </c>
      <c r="U3059" s="271" t="s">
        <v>3937</v>
      </c>
      <c r="V3059" s="267" t="s">
        <v>944</v>
      </c>
    </row>
    <row r="3060" spans="1:22" hidden="1" x14ac:dyDescent="0.25">
      <c r="A3060" s="266">
        <v>43626</v>
      </c>
      <c r="B3060" s="267">
        <v>2019</v>
      </c>
      <c r="C3060" s="267">
        <v>2019</v>
      </c>
      <c r="D3060" s="267">
        <v>1</v>
      </c>
      <c r="E3060" s="267">
        <v>1</v>
      </c>
      <c r="F3060" s="267" t="s">
        <v>944</v>
      </c>
      <c r="G3060" s="267" t="s">
        <v>3926</v>
      </c>
      <c r="H3060" s="267" t="s">
        <v>7502</v>
      </c>
      <c r="I3060" s="267" t="s">
        <v>4079</v>
      </c>
      <c r="J3060" s="267" t="s">
        <v>3928</v>
      </c>
      <c r="K3060" s="267">
        <v>6111</v>
      </c>
      <c r="L3060" s="267">
        <v>494400</v>
      </c>
      <c r="M3060" s="267" t="s">
        <v>3935</v>
      </c>
      <c r="N3060" s="267" t="s">
        <v>7503</v>
      </c>
      <c r="O3060" s="267">
        <v>0</v>
      </c>
      <c r="P3060" s="267" t="s">
        <v>3930</v>
      </c>
      <c r="Q3060" s="267" t="s">
        <v>3930</v>
      </c>
      <c r="R3060" s="267">
        <v>0</v>
      </c>
      <c r="S3060" s="267">
        <v>18158.32</v>
      </c>
      <c r="T3060" s="267">
        <v>18158.32</v>
      </c>
      <c r="U3060" s="268" t="s">
        <v>3937</v>
      </c>
      <c r="V3060" s="267" t="s">
        <v>944</v>
      </c>
    </row>
    <row r="3061" spans="1:22" hidden="1" x14ac:dyDescent="0.25">
      <c r="A3061" s="269">
        <v>43626</v>
      </c>
      <c r="B3061" s="270">
        <v>2019</v>
      </c>
      <c r="C3061" s="270">
        <v>2019</v>
      </c>
      <c r="D3061" s="270">
        <v>1</v>
      </c>
      <c r="E3061" s="270">
        <v>1</v>
      </c>
      <c r="F3061" s="270" t="s">
        <v>944</v>
      </c>
      <c r="G3061" s="270" t="s">
        <v>3926</v>
      </c>
      <c r="H3061" s="270" t="s">
        <v>7504</v>
      </c>
      <c r="I3061" s="270" t="s">
        <v>4839</v>
      </c>
      <c r="J3061" s="270" t="s">
        <v>3928</v>
      </c>
      <c r="K3061" s="270">
        <v>6524</v>
      </c>
      <c r="L3061" s="270">
        <v>161100</v>
      </c>
      <c r="M3061" s="270" t="s">
        <v>3943</v>
      </c>
      <c r="N3061" s="270" t="s">
        <v>7505</v>
      </c>
      <c r="O3061" s="270">
        <v>0</v>
      </c>
      <c r="P3061" s="270" t="s">
        <v>3930</v>
      </c>
      <c r="Q3061" s="270" t="s">
        <v>3930</v>
      </c>
      <c r="R3061" s="270">
        <v>0</v>
      </c>
      <c r="S3061" s="270">
        <v>8881.49</v>
      </c>
      <c r="T3061" s="270">
        <v>8881.49</v>
      </c>
      <c r="U3061" s="271" t="s">
        <v>3937</v>
      </c>
      <c r="V3061" s="267" t="s">
        <v>944</v>
      </c>
    </row>
    <row r="3062" spans="1:22" hidden="1" x14ac:dyDescent="0.25">
      <c r="A3062" s="266">
        <v>43626</v>
      </c>
      <c r="B3062" s="267">
        <v>2019</v>
      </c>
      <c r="C3062" s="267">
        <v>2019</v>
      </c>
      <c r="D3062" s="267">
        <v>1</v>
      </c>
      <c r="E3062" s="267">
        <v>1</v>
      </c>
      <c r="F3062" s="267" t="s">
        <v>944</v>
      </c>
      <c r="G3062" s="267" t="s">
        <v>3926</v>
      </c>
      <c r="H3062" s="267" t="s">
        <v>7506</v>
      </c>
      <c r="I3062" s="267" t="s">
        <v>3968</v>
      </c>
      <c r="J3062" s="267" t="s">
        <v>3928</v>
      </c>
      <c r="K3062" s="267">
        <v>6040</v>
      </c>
      <c r="L3062" s="267">
        <v>515102</v>
      </c>
      <c r="M3062" s="267" t="s">
        <v>3935</v>
      </c>
      <c r="N3062" s="267" t="s">
        <v>7507</v>
      </c>
      <c r="O3062" s="267">
        <v>2508.79</v>
      </c>
      <c r="P3062" s="267" t="s">
        <v>3930</v>
      </c>
      <c r="Q3062" s="267" t="s">
        <v>3931</v>
      </c>
      <c r="R3062" s="267">
        <v>7508.79</v>
      </c>
      <c r="S3062" s="267">
        <v>32440</v>
      </c>
      <c r="T3062" s="267">
        <v>39948.79</v>
      </c>
      <c r="U3062" s="268" t="s">
        <v>3932</v>
      </c>
      <c r="V3062" s="267" t="s">
        <v>944</v>
      </c>
    </row>
    <row r="3063" spans="1:22" hidden="1" x14ac:dyDescent="0.25">
      <c r="A3063" s="269">
        <v>43626</v>
      </c>
      <c r="B3063" s="270">
        <v>2019</v>
      </c>
      <c r="C3063" s="270">
        <v>2019</v>
      </c>
      <c r="D3063" s="270">
        <v>1</v>
      </c>
      <c r="E3063" s="270">
        <v>1</v>
      </c>
      <c r="F3063" s="270" t="s">
        <v>944</v>
      </c>
      <c r="G3063" s="270" t="s">
        <v>3926</v>
      </c>
      <c r="H3063" s="270" t="s">
        <v>7508</v>
      </c>
      <c r="I3063" s="270" t="s">
        <v>3956</v>
      </c>
      <c r="J3063" s="270" t="s">
        <v>3928</v>
      </c>
      <c r="K3063" s="270">
        <v>6106</v>
      </c>
      <c r="L3063" s="270">
        <v>504900</v>
      </c>
      <c r="M3063" s="270">
        <v>-60</v>
      </c>
      <c r="N3063" s="270" t="s">
        <v>4103</v>
      </c>
      <c r="O3063" s="270">
        <v>3710.1</v>
      </c>
      <c r="P3063" s="270" t="s">
        <v>3930</v>
      </c>
      <c r="Q3063" s="270" t="s">
        <v>3931</v>
      </c>
      <c r="R3063" s="270">
        <v>8710.1</v>
      </c>
      <c r="S3063" s="270">
        <v>24145.599999999999</v>
      </c>
      <c r="T3063" s="270">
        <v>32855.699999999997</v>
      </c>
      <c r="U3063" s="271" t="s">
        <v>3932</v>
      </c>
      <c r="V3063" s="267" t="s">
        <v>944</v>
      </c>
    </row>
    <row r="3064" spans="1:22" hidden="1" x14ac:dyDescent="0.25">
      <c r="A3064" s="266">
        <v>43626</v>
      </c>
      <c r="B3064" s="267">
        <v>2019</v>
      </c>
      <c r="C3064" s="267">
        <v>2019</v>
      </c>
      <c r="D3064" s="267">
        <v>1</v>
      </c>
      <c r="E3064" s="267">
        <v>1</v>
      </c>
      <c r="F3064" s="267" t="s">
        <v>944</v>
      </c>
      <c r="G3064" s="267" t="s">
        <v>3926</v>
      </c>
      <c r="H3064" s="267" t="s">
        <v>7509</v>
      </c>
      <c r="I3064" s="267" t="s">
        <v>5485</v>
      </c>
      <c r="J3064" s="267" t="s">
        <v>3928</v>
      </c>
      <c r="K3064" s="267">
        <v>6001</v>
      </c>
      <c r="L3064" s="267">
        <v>462201</v>
      </c>
      <c r="M3064" s="267" t="s">
        <v>3960</v>
      </c>
      <c r="N3064" s="267" t="s">
        <v>6363</v>
      </c>
      <c r="O3064" s="267">
        <v>0</v>
      </c>
      <c r="P3064" s="267" t="s">
        <v>3930</v>
      </c>
      <c r="Q3064" s="267" t="s">
        <v>3930</v>
      </c>
      <c r="R3064" s="267">
        <v>0</v>
      </c>
      <c r="S3064" s="267">
        <v>19720</v>
      </c>
      <c r="T3064" s="267">
        <v>19720</v>
      </c>
      <c r="U3064" s="268" t="s">
        <v>3937</v>
      </c>
      <c r="V3064" s="267" t="s">
        <v>944</v>
      </c>
    </row>
    <row r="3065" spans="1:22" hidden="1" x14ac:dyDescent="0.25">
      <c r="A3065" s="269">
        <v>43626</v>
      </c>
      <c r="B3065" s="270">
        <v>2019</v>
      </c>
      <c r="C3065" s="270">
        <v>2019</v>
      </c>
      <c r="D3065" s="270">
        <v>1</v>
      </c>
      <c r="E3065" s="270">
        <v>1</v>
      </c>
      <c r="F3065" s="270" t="s">
        <v>944</v>
      </c>
      <c r="G3065" s="270" t="s">
        <v>3926</v>
      </c>
      <c r="H3065" s="270" t="s">
        <v>7510</v>
      </c>
      <c r="I3065" s="270" t="s">
        <v>4037</v>
      </c>
      <c r="J3065" s="270" t="s">
        <v>3928</v>
      </c>
      <c r="K3065" s="270">
        <v>6811</v>
      </c>
      <c r="L3065" s="270">
        <v>211300</v>
      </c>
      <c r="M3065" s="270" t="s">
        <v>3943</v>
      </c>
      <c r="N3065" s="270" t="s">
        <v>3944</v>
      </c>
      <c r="O3065" s="270">
        <v>2397</v>
      </c>
      <c r="P3065" s="270" t="s">
        <v>3944</v>
      </c>
      <c r="Q3065" s="270" t="s">
        <v>3944</v>
      </c>
      <c r="R3065" s="270">
        <v>2397</v>
      </c>
      <c r="S3065" s="270">
        <v>34783</v>
      </c>
      <c r="T3065" s="270">
        <v>37180</v>
      </c>
      <c r="U3065" s="271" t="s">
        <v>3945</v>
      </c>
      <c r="V3065" s="267" t="s">
        <v>944</v>
      </c>
    </row>
    <row r="3066" spans="1:22" hidden="1" x14ac:dyDescent="0.25">
      <c r="A3066" s="266">
        <v>43626</v>
      </c>
      <c r="B3066" s="267">
        <v>2019</v>
      </c>
      <c r="C3066" s="267">
        <v>2019</v>
      </c>
      <c r="D3066" s="267">
        <v>1</v>
      </c>
      <c r="E3066" s="267">
        <v>1</v>
      </c>
      <c r="F3066" s="267" t="s">
        <v>944</v>
      </c>
      <c r="G3066" s="267" t="s">
        <v>3926</v>
      </c>
      <c r="H3066" s="267" t="s">
        <v>7511</v>
      </c>
      <c r="I3066" s="267" t="s">
        <v>3025</v>
      </c>
      <c r="J3066" s="267" t="s">
        <v>3928</v>
      </c>
      <c r="K3066" s="267">
        <v>6473</v>
      </c>
      <c r="L3066" s="267">
        <v>167100</v>
      </c>
      <c r="M3066" s="267" t="s">
        <v>3943</v>
      </c>
      <c r="N3066" s="267" t="s">
        <v>3944</v>
      </c>
      <c r="O3066" s="267">
        <v>2248</v>
      </c>
      <c r="P3066" s="267" t="s">
        <v>3944</v>
      </c>
      <c r="Q3066" s="267" t="s">
        <v>3944</v>
      </c>
      <c r="R3066" s="267">
        <v>2248</v>
      </c>
      <c r="S3066" s="267">
        <v>15874</v>
      </c>
      <c r="T3066" s="267">
        <v>18122</v>
      </c>
      <c r="U3066" s="268" t="s">
        <v>3945</v>
      </c>
      <c r="V3066" s="267" t="s">
        <v>944</v>
      </c>
    </row>
    <row r="3067" spans="1:22" hidden="1" x14ac:dyDescent="0.25">
      <c r="A3067" s="269">
        <v>43626</v>
      </c>
      <c r="B3067" s="270">
        <v>2019</v>
      </c>
      <c r="C3067" s="270">
        <v>2019</v>
      </c>
      <c r="D3067" s="270">
        <v>1</v>
      </c>
      <c r="E3067" s="270">
        <v>1</v>
      </c>
      <c r="F3067" s="270" t="s">
        <v>944</v>
      </c>
      <c r="G3067" s="270" t="s">
        <v>3926</v>
      </c>
      <c r="H3067" s="270" t="s">
        <v>7512</v>
      </c>
      <c r="I3067" s="270" t="s">
        <v>6209</v>
      </c>
      <c r="J3067" s="270" t="s">
        <v>3928</v>
      </c>
      <c r="K3067" s="270">
        <v>6403</v>
      </c>
      <c r="L3067" s="270">
        <v>341100</v>
      </c>
      <c r="M3067" s="270" t="s">
        <v>3935</v>
      </c>
      <c r="N3067" s="270" t="s">
        <v>3944</v>
      </c>
      <c r="O3067" s="270">
        <v>5018</v>
      </c>
      <c r="P3067" s="270" t="s">
        <v>3944</v>
      </c>
      <c r="Q3067" s="270" t="s">
        <v>3944</v>
      </c>
      <c r="R3067" s="270">
        <v>5018</v>
      </c>
      <c r="S3067" s="270">
        <v>37156</v>
      </c>
      <c r="T3067" s="270">
        <v>42174</v>
      </c>
      <c r="U3067" s="271" t="s">
        <v>3945</v>
      </c>
      <c r="V3067" s="267" t="s">
        <v>944</v>
      </c>
    </row>
    <row r="3068" spans="1:22" hidden="1" x14ac:dyDescent="0.25">
      <c r="A3068" s="266">
        <v>43626</v>
      </c>
      <c r="B3068" s="267">
        <v>2019</v>
      </c>
      <c r="C3068" s="267">
        <v>2019</v>
      </c>
      <c r="D3068" s="267">
        <v>1</v>
      </c>
      <c r="E3068" s="267">
        <v>1</v>
      </c>
      <c r="F3068" s="267" t="s">
        <v>944</v>
      </c>
      <c r="G3068" s="267" t="s">
        <v>3926</v>
      </c>
      <c r="H3068" s="267" t="s">
        <v>7513</v>
      </c>
      <c r="I3068" s="267" t="s">
        <v>3012</v>
      </c>
      <c r="J3068" s="267" t="s">
        <v>3928</v>
      </c>
      <c r="K3068" s="267">
        <v>6477</v>
      </c>
      <c r="L3068" s="267">
        <v>157100</v>
      </c>
      <c r="M3068" s="267" t="s">
        <v>3940</v>
      </c>
      <c r="N3068" s="267" t="s">
        <v>3944</v>
      </c>
      <c r="O3068" s="267">
        <v>8629</v>
      </c>
      <c r="P3068" s="267" t="s">
        <v>3944</v>
      </c>
      <c r="Q3068" s="267" t="s">
        <v>3944</v>
      </c>
      <c r="R3068" s="267">
        <v>8629</v>
      </c>
      <c r="S3068" s="267">
        <v>72554</v>
      </c>
      <c r="T3068" s="267">
        <v>81183</v>
      </c>
      <c r="U3068" s="268" t="s">
        <v>3945</v>
      </c>
      <c r="V3068" s="267" t="s">
        <v>944</v>
      </c>
    </row>
    <row r="3069" spans="1:22" hidden="1" x14ac:dyDescent="0.25">
      <c r="A3069" s="269">
        <v>43626</v>
      </c>
      <c r="B3069" s="270">
        <v>2019</v>
      </c>
      <c r="C3069" s="270">
        <v>2019</v>
      </c>
      <c r="D3069" s="270">
        <v>1</v>
      </c>
      <c r="E3069" s="270">
        <v>1</v>
      </c>
      <c r="F3069" s="270" t="s">
        <v>944</v>
      </c>
      <c r="G3069" s="270" t="s">
        <v>3926</v>
      </c>
      <c r="H3069" s="270" t="s">
        <v>7514</v>
      </c>
      <c r="I3069" s="270" t="s">
        <v>4073</v>
      </c>
      <c r="J3069" s="270" t="s">
        <v>3928</v>
      </c>
      <c r="K3069" s="270">
        <v>6755</v>
      </c>
      <c r="L3069" s="270">
        <v>253400</v>
      </c>
      <c r="M3069" s="270" t="s">
        <v>3943</v>
      </c>
      <c r="N3069" s="270" t="s">
        <v>3944</v>
      </c>
      <c r="O3069" s="270">
        <v>8007</v>
      </c>
      <c r="P3069" s="270" t="s">
        <v>3944</v>
      </c>
      <c r="Q3069" s="270" t="s">
        <v>3944</v>
      </c>
      <c r="R3069" s="270">
        <v>8007</v>
      </c>
      <c r="S3069" s="270">
        <v>74922</v>
      </c>
      <c r="T3069" s="270">
        <v>82929</v>
      </c>
      <c r="U3069" s="271" t="s">
        <v>3945</v>
      </c>
      <c r="V3069" s="267" t="s">
        <v>944</v>
      </c>
    </row>
    <row r="3070" spans="1:22" hidden="1" x14ac:dyDescent="0.25">
      <c r="A3070" s="266">
        <v>43626</v>
      </c>
      <c r="B3070" s="267">
        <v>2019</v>
      </c>
      <c r="C3070" s="267">
        <v>2019</v>
      </c>
      <c r="D3070" s="267">
        <v>1</v>
      </c>
      <c r="E3070" s="267">
        <v>1</v>
      </c>
      <c r="F3070" s="267" t="s">
        <v>944</v>
      </c>
      <c r="G3070" s="267" t="s">
        <v>3926</v>
      </c>
      <c r="H3070" s="267" t="s">
        <v>7515</v>
      </c>
      <c r="I3070" s="267" t="s">
        <v>4035</v>
      </c>
      <c r="J3070" s="267" t="s">
        <v>3928</v>
      </c>
      <c r="K3070" s="267">
        <v>6074</v>
      </c>
      <c r="L3070" s="267">
        <v>487201</v>
      </c>
      <c r="M3070" s="267" t="s">
        <v>3943</v>
      </c>
      <c r="N3070" s="267" t="s">
        <v>3944</v>
      </c>
      <c r="O3070" s="267">
        <v>3518</v>
      </c>
      <c r="P3070" s="267" t="s">
        <v>3944</v>
      </c>
      <c r="Q3070" s="267" t="s">
        <v>3944</v>
      </c>
      <c r="R3070" s="267">
        <v>3518</v>
      </c>
      <c r="S3070" s="267">
        <v>13857</v>
      </c>
      <c r="T3070" s="267">
        <v>17375</v>
      </c>
      <c r="U3070" s="268" t="s">
        <v>3945</v>
      </c>
      <c r="V3070" s="267" t="s">
        <v>944</v>
      </c>
    </row>
    <row r="3071" spans="1:22" hidden="1" x14ac:dyDescent="0.25">
      <c r="A3071" s="269">
        <v>43626</v>
      </c>
      <c r="B3071" s="270">
        <v>2019</v>
      </c>
      <c r="C3071" s="270">
        <v>2019</v>
      </c>
      <c r="D3071" s="270">
        <v>1</v>
      </c>
      <c r="E3071" s="270">
        <v>1</v>
      </c>
      <c r="F3071" s="270" t="s">
        <v>944</v>
      </c>
      <c r="G3071" s="270" t="s">
        <v>3926</v>
      </c>
      <c r="H3071" s="270" t="s">
        <v>7516</v>
      </c>
      <c r="I3071" s="270" t="s">
        <v>4037</v>
      </c>
      <c r="J3071" s="270" t="s">
        <v>3928</v>
      </c>
      <c r="K3071" s="270">
        <v>6811</v>
      </c>
      <c r="L3071" s="270">
        <v>211000</v>
      </c>
      <c r="M3071" s="270" t="s">
        <v>3960</v>
      </c>
      <c r="N3071" s="270" t="s">
        <v>3944</v>
      </c>
      <c r="O3071" s="270">
        <v>930.16</v>
      </c>
      <c r="P3071" s="270" t="s">
        <v>3944</v>
      </c>
      <c r="Q3071" s="270" t="s">
        <v>3944</v>
      </c>
      <c r="R3071" s="270">
        <v>930.16</v>
      </c>
      <c r="S3071" s="270">
        <v>12182.75</v>
      </c>
      <c r="T3071" s="270">
        <v>13112.91</v>
      </c>
      <c r="U3071" s="271" t="s">
        <v>3945</v>
      </c>
      <c r="V3071" s="267" t="s">
        <v>944</v>
      </c>
    </row>
    <row r="3072" spans="1:22" hidden="1" x14ac:dyDescent="0.25">
      <c r="A3072" s="266">
        <v>43626</v>
      </c>
      <c r="B3072" s="267">
        <v>2019</v>
      </c>
      <c r="C3072" s="267">
        <v>2019</v>
      </c>
      <c r="D3072" s="267">
        <v>1</v>
      </c>
      <c r="E3072" s="267">
        <v>1</v>
      </c>
      <c r="F3072" s="267" t="s">
        <v>944</v>
      </c>
      <c r="G3072" s="267" t="s">
        <v>3926</v>
      </c>
      <c r="H3072" s="267" t="s">
        <v>7517</v>
      </c>
      <c r="I3072" s="267" t="s">
        <v>4323</v>
      </c>
      <c r="J3072" s="267" t="s">
        <v>3928</v>
      </c>
      <c r="K3072" s="267">
        <v>6375</v>
      </c>
      <c r="L3072" s="267">
        <v>693700</v>
      </c>
      <c r="M3072" s="267" t="s">
        <v>3943</v>
      </c>
      <c r="N3072" s="267" t="s">
        <v>3944</v>
      </c>
      <c r="O3072" s="267">
        <v>1532.86</v>
      </c>
      <c r="P3072" s="267" t="s">
        <v>3944</v>
      </c>
      <c r="Q3072" s="267" t="s">
        <v>3944</v>
      </c>
      <c r="R3072" s="267">
        <v>1532.86</v>
      </c>
      <c r="S3072" s="267">
        <v>27987.97</v>
      </c>
      <c r="T3072" s="267">
        <v>29520.83</v>
      </c>
      <c r="U3072" s="268" t="s">
        <v>3945</v>
      </c>
      <c r="V3072" s="267" t="s">
        <v>944</v>
      </c>
    </row>
    <row r="3073" spans="1:22" hidden="1" x14ac:dyDescent="0.25">
      <c r="A3073" s="269">
        <v>43626</v>
      </c>
      <c r="B3073" s="270">
        <v>2019</v>
      </c>
      <c r="C3073" s="270">
        <v>2019</v>
      </c>
      <c r="D3073" s="270">
        <v>1</v>
      </c>
      <c r="E3073" s="270">
        <v>1</v>
      </c>
      <c r="F3073" s="270" t="s">
        <v>944</v>
      </c>
      <c r="G3073" s="270" t="s">
        <v>3926</v>
      </c>
      <c r="H3073" s="270" t="s">
        <v>7518</v>
      </c>
      <c r="I3073" s="270" t="s">
        <v>950</v>
      </c>
      <c r="J3073" s="270" t="s">
        <v>3928</v>
      </c>
      <c r="K3073" s="270">
        <v>6516</v>
      </c>
      <c r="L3073" s="270">
        <v>154700</v>
      </c>
      <c r="M3073" s="270" t="s">
        <v>3960</v>
      </c>
      <c r="N3073" s="270" t="s">
        <v>3944</v>
      </c>
      <c r="O3073" s="270">
        <v>2635.99</v>
      </c>
      <c r="P3073" s="270" t="s">
        <v>3944</v>
      </c>
      <c r="Q3073" s="270" t="s">
        <v>3944</v>
      </c>
      <c r="R3073" s="270">
        <v>2635.99</v>
      </c>
      <c r="S3073" s="270">
        <v>45754.48</v>
      </c>
      <c r="T3073" s="270">
        <v>48390.47</v>
      </c>
      <c r="U3073" s="271" t="s">
        <v>3945</v>
      </c>
      <c r="V3073" s="267" t="s">
        <v>944</v>
      </c>
    </row>
    <row r="3074" spans="1:22" hidden="1" x14ac:dyDescent="0.25">
      <c r="A3074" s="266">
        <v>43626</v>
      </c>
      <c r="B3074" s="267">
        <v>2019</v>
      </c>
      <c r="C3074" s="267">
        <v>2019</v>
      </c>
      <c r="D3074" s="267">
        <v>1</v>
      </c>
      <c r="E3074" s="267">
        <v>1</v>
      </c>
      <c r="F3074" s="267" t="s">
        <v>944</v>
      </c>
      <c r="G3074" s="267" t="s">
        <v>3926</v>
      </c>
      <c r="H3074" s="267" t="s">
        <v>7519</v>
      </c>
      <c r="I3074" s="267" t="s">
        <v>3025</v>
      </c>
      <c r="J3074" s="267" t="s">
        <v>3928</v>
      </c>
      <c r="K3074" s="267">
        <v>6473</v>
      </c>
      <c r="L3074" s="267">
        <v>167201</v>
      </c>
      <c r="M3074" s="267" t="s">
        <v>3960</v>
      </c>
      <c r="N3074" s="267" t="s">
        <v>3944</v>
      </c>
      <c r="O3074" s="267">
        <v>1915.1</v>
      </c>
      <c r="P3074" s="267" t="s">
        <v>3944</v>
      </c>
      <c r="Q3074" s="267" t="s">
        <v>3944</v>
      </c>
      <c r="R3074" s="267">
        <v>1915.1</v>
      </c>
      <c r="S3074" s="267">
        <v>28162.54</v>
      </c>
      <c r="T3074" s="267">
        <v>30077.64</v>
      </c>
      <c r="U3074" s="268" t="s">
        <v>3945</v>
      </c>
      <c r="V3074" s="267" t="s">
        <v>944</v>
      </c>
    </row>
    <row r="3075" spans="1:22" hidden="1" x14ac:dyDescent="0.25">
      <c r="A3075" s="269">
        <v>43626</v>
      </c>
      <c r="B3075" s="270">
        <v>2019</v>
      </c>
      <c r="C3075" s="270">
        <v>2019</v>
      </c>
      <c r="D3075" s="270">
        <v>1</v>
      </c>
      <c r="E3075" s="270">
        <v>1</v>
      </c>
      <c r="F3075" s="270" t="s">
        <v>944</v>
      </c>
      <c r="G3075" s="270" t="s">
        <v>3926</v>
      </c>
      <c r="H3075" s="270" t="s">
        <v>7520</v>
      </c>
      <c r="I3075" s="270" t="s">
        <v>4108</v>
      </c>
      <c r="J3075" s="270" t="s">
        <v>3928</v>
      </c>
      <c r="K3075" s="270">
        <v>6082</v>
      </c>
      <c r="L3075" s="270">
        <v>480700</v>
      </c>
      <c r="M3075" s="270" t="s">
        <v>3940</v>
      </c>
      <c r="N3075" s="270" t="s">
        <v>3944</v>
      </c>
      <c r="O3075" s="270">
        <v>2882.6</v>
      </c>
      <c r="P3075" s="270" t="s">
        <v>3944</v>
      </c>
      <c r="Q3075" s="270" t="s">
        <v>3944</v>
      </c>
      <c r="R3075" s="270">
        <v>2882.6</v>
      </c>
      <c r="S3075" s="270">
        <v>42477.4</v>
      </c>
      <c r="T3075" s="270">
        <v>45360</v>
      </c>
      <c r="U3075" s="271" t="s">
        <v>3945</v>
      </c>
      <c r="V3075" s="267" t="s">
        <v>944</v>
      </c>
    </row>
    <row r="3076" spans="1:22" hidden="1" x14ac:dyDescent="0.25">
      <c r="A3076" s="266">
        <v>43626</v>
      </c>
      <c r="B3076" s="267">
        <v>2019</v>
      </c>
      <c r="C3076" s="267">
        <v>2019</v>
      </c>
      <c r="D3076" s="267">
        <v>1</v>
      </c>
      <c r="E3076" s="267">
        <v>1</v>
      </c>
      <c r="F3076" s="267" t="s">
        <v>944</v>
      </c>
      <c r="G3076" s="267" t="s">
        <v>3926</v>
      </c>
      <c r="H3076" s="267" t="s">
        <v>7521</v>
      </c>
      <c r="I3076" s="267" t="s">
        <v>4392</v>
      </c>
      <c r="J3076" s="267" t="s">
        <v>3928</v>
      </c>
      <c r="K3076" s="267">
        <v>6457</v>
      </c>
      <c r="L3076" s="267">
        <v>541401</v>
      </c>
      <c r="M3076" s="267" t="s">
        <v>3943</v>
      </c>
      <c r="N3076" s="267" t="s">
        <v>3944</v>
      </c>
      <c r="O3076" s="267">
        <v>1695.26</v>
      </c>
      <c r="P3076" s="267" t="s">
        <v>3944</v>
      </c>
      <c r="Q3076" s="267" t="s">
        <v>3944</v>
      </c>
      <c r="R3076" s="267">
        <v>1695.26</v>
      </c>
      <c r="S3076" s="267">
        <v>22936.18</v>
      </c>
      <c r="T3076" s="267">
        <v>24631.439999999999</v>
      </c>
      <c r="U3076" s="268" t="s">
        <v>3945</v>
      </c>
      <c r="V3076" s="267" t="s">
        <v>944</v>
      </c>
    </row>
    <row r="3077" spans="1:22" hidden="1" x14ac:dyDescent="0.25">
      <c r="A3077" s="269">
        <v>43626</v>
      </c>
      <c r="B3077" s="270">
        <v>2019</v>
      </c>
      <c r="C3077" s="270">
        <v>2019</v>
      </c>
      <c r="D3077" s="270">
        <v>1</v>
      </c>
      <c r="E3077" s="270">
        <v>1</v>
      </c>
      <c r="F3077" s="270" t="s">
        <v>944</v>
      </c>
      <c r="G3077" s="270" t="s">
        <v>3926</v>
      </c>
      <c r="H3077" s="270" t="s">
        <v>7522</v>
      </c>
      <c r="I3077" s="270" t="s">
        <v>950</v>
      </c>
      <c r="J3077" s="270" t="s">
        <v>3928</v>
      </c>
      <c r="K3077" s="270">
        <v>6516</v>
      </c>
      <c r="L3077" s="270">
        <v>155000</v>
      </c>
      <c r="M3077" s="270" t="s">
        <v>3940</v>
      </c>
      <c r="N3077" s="270" t="s">
        <v>3944</v>
      </c>
      <c r="O3077" s="270">
        <v>1364.86</v>
      </c>
      <c r="P3077" s="270" t="s">
        <v>3944</v>
      </c>
      <c r="Q3077" s="270" t="s">
        <v>3944</v>
      </c>
      <c r="R3077" s="270">
        <v>1364.86</v>
      </c>
      <c r="S3077" s="270">
        <v>37179.08</v>
      </c>
      <c r="T3077" s="270">
        <v>38543.94</v>
      </c>
      <c r="U3077" s="271" t="s">
        <v>3945</v>
      </c>
      <c r="V3077" s="267" t="s">
        <v>944</v>
      </c>
    </row>
    <row r="3078" spans="1:22" hidden="1" x14ac:dyDescent="0.25">
      <c r="A3078" s="266">
        <v>43626</v>
      </c>
      <c r="B3078" s="267">
        <v>2019</v>
      </c>
      <c r="C3078" s="267">
        <v>2019</v>
      </c>
      <c r="D3078" s="267">
        <v>1</v>
      </c>
      <c r="E3078" s="267">
        <v>1</v>
      </c>
      <c r="F3078" s="267" t="s">
        <v>944</v>
      </c>
      <c r="G3078" s="267" t="s">
        <v>3926</v>
      </c>
      <c r="H3078" s="267" t="s">
        <v>7523</v>
      </c>
      <c r="I3078" s="267" t="s">
        <v>4069</v>
      </c>
      <c r="J3078" s="267" t="s">
        <v>3928</v>
      </c>
      <c r="K3078" s="267">
        <v>6902</v>
      </c>
      <c r="L3078" s="267">
        <v>22300</v>
      </c>
      <c r="M3078" s="267" t="s">
        <v>3935</v>
      </c>
      <c r="N3078" s="267" t="s">
        <v>3944</v>
      </c>
      <c r="O3078" s="267">
        <v>2303.14</v>
      </c>
      <c r="P3078" s="267" t="s">
        <v>3944</v>
      </c>
      <c r="Q3078" s="267" t="s">
        <v>3944</v>
      </c>
      <c r="R3078" s="267">
        <v>2303.14</v>
      </c>
      <c r="S3078" s="267">
        <v>28967.1</v>
      </c>
      <c r="T3078" s="267">
        <v>31270.240000000002</v>
      </c>
      <c r="U3078" s="268" t="s">
        <v>3945</v>
      </c>
      <c r="V3078" s="267" t="s">
        <v>944</v>
      </c>
    </row>
    <row r="3079" spans="1:22" hidden="1" x14ac:dyDescent="0.25">
      <c r="A3079" s="269">
        <v>43626</v>
      </c>
      <c r="B3079" s="270">
        <v>2019</v>
      </c>
      <c r="C3079" s="270">
        <v>2019</v>
      </c>
      <c r="D3079" s="270">
        <v>1</v>
      </c>
      <c r="E3079" s="270">
        <v>1</v>
      </c>
      <c r="F3079" s="270" t="s">
        <v>944</v>
      </c>
      <c r="G3079" s="270" t="s">
        <v>3926</v>
      </c>
      <c r="H3079" s="270" t="s">
        <v>7524</v>
      </c>
      <c r="I3079" s="270" t="s">
        <v>5147</v>
      </c>
      <c r="J3079" s="270" t="s">
        <v>3928</v>
      </c>
      <c r="K3079" s="270">
        <v>6468</v>
      </c>
      <c r="L3079" s="270">
        <v>100300</v>
      </c>
      <c r="M3079" s="270" t="s">
        <v>3943</v>
      </c>
      <c r="N3079" s="270" t="s">
        <v>3944</v>
      </c>
      <c r="O3079" s="270">
        <v>4239.17</v>
      </c>
      <c r="P3079" s="270" t="s">
        <v>3944</v>
      </c>
      <c r="Q3079" s="270" t="s">
        <v>3944</v>
      </c>
      <c r="R3079" s="270">
        <v>4239.17</v>
      </c>
      <c r="S3079" s="270">
        <v>67040.83</v>
      </c>
      <c r="T3079" s="270">
        <v>71280</v>
      </c>
      <c r="U3079" s="271" t="s">
        <v>3945</v>
      </c>
      <c r="V3079" s="267" t="s">
        <v>944</v>
      </c>
    </row>
    <row r="3080" spans="1:22" hidden="1" x14ac:dyDescent="0.25">
      <c r="A3080" s="266">
        <v>43626</v>
      </c>
      <c r="B3080" s="267">
        <v>2019</v>
      </c>
      <c r="C3080" s="267">
        <v>2019</v>
      </c>
      <c r="D3080" s="267">
        <v>1</v>
      </c>
      <c r="E3080" s="267">
        <v>1</v>
      </c>
      <c r="F3080" s="267" t="s">
        <v>944</v>
      </c>
      <c r="G3080" s="267" t="s">
        <v>3926</v>
      </c>
      <c r="H3080" s="267" t="s">
        <v>7525</v>
      </c>
      <c r="I3080" s="267" t="s">
        <v>3956</v>
      </c>
      <c r="J3080" s="267" t="s">
        <v>3928</v>
      </c>
      <c r="K3080" s="267">
        <v>6114</v>
      </c>
      <c r="L3080" s="267">
        <v>502500</v>
      </c>
      <c r="M3080" s="267">
        <v>-60</v>
      </c>
      <c r="N3080" s="267" t="s">
        <v>3944</v>
      </c>
      <c r="O3080" s="267">
        <v>1240.8599999999999</v>
      </c>
      <c r="P3080" s="267" t="s">
        <v>3944</v>
      </c>
      <c r="Q3080" s="267" t="s">
        <v>3944</v>
      </c>
      <c r="R3080" s="267">
        <v>1240.8599999999999</v>
      </c>
      <c r="S3080" s="267">
        <v>16674.310000000001</v>
      </c>
      <c r="T3080" s="267">
        <v>17915.169999999998</v>
      </c>
      <c r="U3080" s="268" t="s">
        <v>3945</v>
      </c>
      <c r="V3080" s="267" t="s">
        <v>944</v>
      </c>
    </row>
    <row r="3081" spans="1:22" hidden="1" x14ac:dyDescent="0.25">
      <c r="A3081" s="269">
        <v>43626</v>
      </c>
      <c r="B3081" s="270">
        <v>2019</v>
      </c>
      <c r="C3081" s="270">
        <v>2019</v>
      </c>
      <c r="D3081" s="270">
        <v>1</v>
      </c>
      <c r="E3081" s="270">
        <v>1</v>
      </c>
      <c r="F3081" s="270" t="s">
        <v>944</v>
      </c>
      <c r="G3081" s="270" t="s">
        <v>3926</v>
      </c>
      <c r="H3081" s="270" t="s">
        <v>7526</v>
      </c>
      <c r="I3081" s="270" t="s">
        <v>4993</v>
      </c>
      <c r="J3081" s="270" t="s">
        <v>3928</v>
      </c>
      <c r="K3081" s="270">
        <v>6237</v>
      </c>
      <c r="L3081" s="270">
        <v>860100</v>
      </c>
      <c r="M3081" s="270" t="s">
        <v>3943</v>
      </c>
      <c r="N3081" s="270" t="s">
        <v>3944</v>
      </c>
      <c r="O3081" s="270">
        <v>1741.92</v>
      </c>
      <c r="P3081" s="270" t="s">
        <v>3944</v>
      </c>
      <c r="Q3081" s="270" t="s">
        <v>3944</v>
      </c>
      <c r="R3081" s="270">
        <v>1741.92</v>
      </c>
      <c r="S3081" s="270">
        <v>22456.080000000002</v>
      </c>
      <c r="T3081" s="270">
        <v>24198</v>
      </c>
      <c r="U3081" s="271" t="s">
        <v>3945</v>
      </c>
      <c r="V3081" s="267" t="s">
        <v>944</v>
      </c>
    </row>
    <row r="3082" spans="1:22" hidden="1" x14ac:dyDescent="0.25">
      <c r="A3082" s="266">
        <v>43626</v>
      </c>
      <c r="B3082" s="267">
        <v>2019</v>
      </c>
      <c r="C3082" s="267">
        <v>2019</v>
      </c>
      <c r="D3082" s="267">
        <v>1</v>
      </c>
      <c r="E3082" s="267">
        <v>1</v>
      </c>
      <c r="F3082" s="267" t="s">
        <v>944</v>
      </c>
      <c r="G3082" s="267" t="s">
        <v>3926</v>
      </c>
      <c r="H3082" s="267" t="s">
        <v>7527</v>
      </c>
      <c r="I3082" s="267" t="s">
        <v>3968</v>
      </c>
      <c r="J3082" s="267" t="s">
        <v>3928</v>
      </c>
      <c r="K3082" s="267">
        <v>6040</v>
      </c>
      <c r="L3082" s="267">
        <v>515102</v>
      </c>
      <c r="M3082" s="267" t="s">
        <v>3935</v>
      </c>
      <c r="N3082" s="267" t="s">
        <v>3944</v>
      </c>
      <c r="O3082" s="267">
        <v>1250.3800000000001</v>
      </c>
      <c r="P3082" s="267" t="s">
        <v>3944</v>
      </c>
      <c r="Q3082" s="267" t="s">
        <v>3944</v>
      </c>
      <c r="R3082" s="267">
        <v>1250.3800000000001</v>
      </c>
      <c r="S3082" s="267">
        <v>20705.22</v>
      </c>
      <c r="T3082" s="267">
        <v>21955.599999999999</v>
      </c>
      <c r="U3082" s="268" t="s">
        <v>3945</v>
      </c>
      <c r="V3082" s="267" t="s">
        <v>944</v>
      </c>
    </row>
    <row r="3083" spans="1:22" hidden="1" x14ac:dyDescent="0.25">
      <c r="A3083" s="269">
        <v>43626</v>
      </c>
      <c r="B3083" s="270">
        <v>2019</v>
      </c>
      <c r="C3083" s="270">
        <v>2019</v>
      </c>
      <c r="D3083" s="270">
        <v>1</v>
      </c>
      <c r="E3083" s="270">
        <v>1</v>
      </c>
      <c r="F3083" s="270" t="s">
        <v>944</v>
      </c>
      <c r="G3083" s="270" t="s">
        <v>3926</v>
      </c>
      <c r="H3083" s="270" t="s">
        <v>7528</v>
      </c>
      <c r="I3083" s="270" t="s">
        <v>953</v>
      </c>
      <c r="J3083" s="270" t="s">
        <v>3928</v>
      </c>
      <c r="K3083" s="270">
        <v>6518</v>
      </c>
      <c r="L3083" s="270">
        <v>166001</v>
      </c>
      <c r="M3083" s="270" t="s">
        <v>3935</v>
      </c>
      <c r="N3083" s="270" t="s">
        <v>3944</v>
      </c>
      <c r="O3083" s="270">
        <v>2627.1</v>
      </c>
      <c r="P3083" s="270" t="s">
        <v>3944</v>
      </c>
      <c r="Q3083" s="270" t="s">
        <v>3944</v>
      </c>
      <c r="R3083" s="270">
        <v>2627.1</v>
      </c>
      <c r="S3083" s="270">
        <v>38984.86</v>
      </c>
      <c r="T3083" s="270">
        <v>41611.96</v>
      </c>
      <c r="U3083" s="271" t="s">
        <v>3945</v>
      </c>
      <c r="V3083" s="267" t="s">
        <v>944</v>
      </c>
    </row>
    <row r="3084" spans="1:22" hidden="1" x14ac:dyDescent="0.25">
      <c r="A3084" s="266">
        <v>43626</v>
      </c>
      <c r="B3084" s="267">
        <v>2019</v>
      </c>
      <c r="C3084" s="267">
        <v>2019</v>
      </c>
      <c r="D3084" s="267">
        <v>1</v>
      </c>
      <c r="E3084" s="267">
        <v>1</v>
      </c>
      <c r="F3084" s="267" t="s">
        <v>944</v>
      </c>
      <c r="G3084" s="267" t="s">
        <v>3926</v>
      </c>
      <c r="H3084" s="267" t="s">
        <v>7529</v>
      </c>
      <c r="I3084" s="267" t="s">
        <v>4037</v>
      </c>
      <c r="J3084" s="267" t="s">
        <v>3928</v>
      </c>
      <c r="K3084" s="267">
        <v>6811</v>
      </c>
      <c r="L3084" s="267">
        <v>210900</v>
      </c>
      <c r="M3084" s="267" t="s">
        <v>3943</v>
      </c>
      <c r="N3084" s="267" t="s">
        <v>3944</v>
      </c>
      <c r="O3084" s="267">
        <v>1615.81</v>
      </c>
      <c r="P3084" s="267" t="s">
        <v>3944</v>
      </c>
      <c r="Q3084" s="267" t="s">
        <v>3944</v>
      </c>
      <c r="R3084" s="267">
        <v>1615.81</v>
      </c>
      <c r="S3084" s="267">
        <v>22971.07</v>
      </c>
      <c r="T3084" s="267">
        <v>24586.880000000001</v>
      </c>
      <c r="U3084" s="268" t="s">
        <v>3945</v>
      </c>
      <c r="V3084" s="267" t="s">
        <v>944</v>
      </c>
    </row>
    <row r="3085" spans="1:22" hidden="1" x14ac:dyDescent="0.25">
      <c r="A3085" s="269">
        <v>43626</v>
      </c>
      <c r="B3085" s="270">
        <v>2019</v>
      </c>
      <c r="C3085" s="270">
        <v>2019</v>
      </c>
      <c r="D3085" s="270">
        <v>1</v>
      </c>
      <c r="E3085" s="270">
        <v>1</v>
      </c>
      <c r="F3085" s="270" t="s">
        <v>944</v>
      </c>
      <c r="G3085" s="270" t="s">
        <v>3926</v>
      </c>
      <c r="H3085" s="270" t="s">
        <v>7530</v>
      </c>
      <c r="I3085" s="270" t="s">
        <v>4019</v>
      </c>
      <c r="J3085" s="270" t="s">
        <v>3928</v>
      </c>
      <c r="K3085" s="270">
        <v>6705</v>
      </c>
      <c r="L3085" s="270">
        <v>352600</v>
      </c>
      <c r="M3085" s="270">
        <v>-60</v>
      </c>
      <c r="N3085" s="270" t="s">
        <v>3944</v>
      </c>
      <c r="O3085" s="270">
        <v>3317.09</v>
      </c>
      <c r="P3085" s="270" t="s">
        <v>3944</v>
      </c>
      <c r="Q3085" s="270" t="s">
        <v>3944</v>
      </c>
      <c r="R3085" s="270">
        <v>3317.09</v>
      </c>
      <c r="S3085" s="270">
        <v>60852.55</v>
      </c>
      <c r="T3085" s="270">
        <v>64169.64</v>
      </c>
      <c r="U3085" s="271" t="s">
        <v>3945</v>
      </c>
      <c r="V3085" s="267" t="s">
        <v>944</v>
      </c>
    </row>
    <row r="3086" spans="1:22" hidden="1" x14ac:dyDescent="0.25">
      <c r="A3086" s="266">
        <v>43626</v>
      </c>
      <c r="B3086" s="267">
        <v>2019</v>
      </c>
      <c r="C3086" s="267">
        <v>2019</v>
      </c>
      <c r="D3086" s="267">
        <v>1</v>
      </c>
      <c r="E3086" s="267">
        <v>1</v>
      </c>
      <c r="F3086" s="267" t="s">
        <v>944</v>
      </c>
      <c r="G3086" s="267" t="s">
        <v>3926</v>
      </c>
      <c r="H3086" s="267" t="s">
        <v>7531</v>
      </c>
      <c r="I3086" s="267" t="s">
        <v>4037</v>
      </c>
      <c r="J3086" s="267" t="s">
        <v>3928</v>
      </c>
      <c r="K3086" s="267">
        <v>6811</v>
      </c>
      <c r="L3086" s="267">
        <v>211000</v>
      </c>
      <c r="M3086" s="267" t="s">
        <v>3960</v>
      </c>
      <c r="N3086" s="267" t="s">
        <v>3944</v>
      </c>
      <c r="O3086" s="267">
        <v>2849.84</v>
      </c>
      <c r="P3086" s="267" t="s">
        <v>3944</v>
      </c>
      <c r="Q3086" s="267" t="s">
        <v>3944</v>
      </c>
      <c r="R3086" s="267">
        <v>2849.84</v>
      </c>
      <c r="S3086" s="267">
        <v>41194.480000000003</v>
      </c>
      <c r="T3086" s="267">
        <v>44044.32</v>
      </c>
      <c r="U3086" s="268" t="s">
        <v>3945</v>
      </c>
      <c r="V3086" s="267" t="s">
        <v>944</v>
      </c>
    </row>
    <row r="3087" spans="1:22" hidden="1" x14ac:dyDescent="0.25">
      <c r="A3087" s="269">
        <v>43626</v>
      </c>
      <c r="B3087" s="270">
        <v>2019</v>
      </c>
      <c r="C3087" s="270">
        <v>2019</v>
      </c>
      <c r="D3087" s="270">
        <v>1</v>
      </c>
      <c r="E3087" s="270">
        <v>1</v>
      </c>
      <c r="F3087" s="270" t="s">
        <v>944</v>
      </c>
      <c r="G3087" s="270" t="s">
        <v>3926</v>
      </c>
      <c r="H3087" s="270" t="s">
        <v>7532</v>
      </c>
      <c r="I3087" s="270" t="s">
        <v>956</v>
      </c>
      <c r="J3087" s="270" t="s">
        <v>3928</v>
      </c>
      <c r="K3087" s="270">
        <v>6615</v>
      </c>
      <c r="L3087" s="270">
        <v>80200</v>
      </c>
      <c r="M3087" s="270" t="s">
        <v>3935</v>
      </c>
      <c r="N3087" s="270" t="s">
        <v>3944</v>
      </c>
      <c r="O3087" s="270">
        <v>805.74</v>
      </c>
      <c r="P3087" s="270" t="s">
        <v>3944</v>
      </c>
      <c r="Q3087" s="270" t="s">
        <v>3944</v>
      </c>
      <c r="R3087" s="270">
        <v>805.74</v>
      </c>
      <c r="S3087" s="270">
        <v>12527.68</v>
      </c>
      <c r="T3087" s="270">
        <v>13333.42</v>
      </c>
      <c r="U3087" s="271" t="s">
        <v>3945</v>
      </c>
      <c r="V3087" s="267" t="s">
        <v>944</v>
      </c>
    </row>
    <row r="3088" spans="1:22" hidden="1" x14ac:dyDescent="0.25">
      <c r="A3088" s="266">
        <v>43626</v>
      </c>
      <c r="B3088" s="267">
        <v>2019</v>
      </c>
      <c r="C3088" s="267">
        <v>2019</v>
      </c>
      <c r="D3088" s="267">
        <v>1</v>
      </c>
      <c r="E3088" s="267">
        <v>1</v>
      </c>
      <c r="F3088" s="267" t="s">
        <v>944</v>
      </c>
      <c r="G3088" s="267" t="s">
        <v>3926</v>
      </c>
      <c r="H3088" s="267" t="s">
        <v>7533</v>
      </c>
      <c r="I3088" s="267" t="s">
        <v>4323</v>
      </c>
      <c r="J3088" s="267" t="s">
        <v>3928</v>
      </c>
      <c r="K3088" s="267">
        <v>6375</v>
      </c>
      <c r="L3088" s="267">
        <v>693600</v>
      </c>
      <c r="M3088" s="267" t="s">
        <v>3960</v>
      </c>
      <c r="N3088" s="267" t="s">
        <v>3944</v>
      </c>
      <c r="O3088" s="267">
        <v>1433.74</v>
      </c>
      <c r="P3088" s="267" t="s">
        <v>3944</v>
      </c>
      <c r="Q3088" s="267" t="s">
        <v>3944</v>
      </c>
      <c r="R3088" s="267">
        <v>1433.74</v>
      </c>
      <c r="S3088" s="267">
        <v>27325.45</v>
      </c>
      <c r="T3088" s="267">
        <v>28759.19</v>
      </c>
      <c r="U3088" s="268" t="s">
        <v>3945</v>
      </c>
      <c r="V3088" s="267" t="s">
        <v>944</v>
      </c>
    </row>
    <row r="3089" spans="1:22" hidden="1" x14ac:dyDescent="0.25">
      <c r="A3089" s="269">
        <v>43626</v>
      </c>
      <c r="B3089" s="270">
        <v>2019</v>
      </c>
      <c r="C3089" s="270">
        <v>2019</v>
      </c>
      <c r="D3089" s="270">
        <v>1</v>
      </c>
      <c r="E3089" s="270">
        <v>1</v>
      </c>
      <c r="F3089" s="270" t="s">
        <v>944</v>
      </c>
      <c r="G3089" s="270" t="s">
        <v>3926</v>
      </c>
      <c r="H3089" s="270" t="s">
        <v>7534</v>
      </c>
      <c r="I3089" s="270" t="s">
        <v>4323</v>
      </c>
      <c r="J3089" s="270" t="s">
        <v>3928</v>
      </c>
      <c r="K3089" s="270">
        <v>6385</v>
      </c>
      <c r="L3089" s="270">
        <v>693400</v>
      </c>
      <c r="M3089" s="270" t="s">
        <v>3940</v>
      </c>
      <c r="N3089" s="270" t="s">
        <v>3944</v>
      </c>
      <c r="O3089" s="270">
        <v>566.62</v>
      </c>
      <c r="P3089" s="270" t="s">
        <v>3944</v>
      </c>
      <c r="Q3089" s="270" t="s">
        <v>3944</v>
      </c>
      <c r="R3089" s="270">
        <v>566.62</v>
      </c>
      <c r="S3089" s="270">
        <v>9254.66</v>
      </c>
      <c r="T3089" s="270">
        <v>9821.2800000000007</v>
      </c>
      <c r="U3089" s="271" t="s">
        <v>3945</v>
      </c>
      <c r="V3089" s="267" t="s">
        <v>944</v>
      </c>
    </row>
    <row r="3090" spans="1:22" hidden="1" x14ac:dyDescent="0.25">
      <c r="A3090" s="266">
        <v>43626</v>
      </c>
      <c r="B3090" s="267">
        <v>2019</v>
      </c>
      <c r="C3090" s="267">
        <v>2019</v>
      </c>
      <c r="D3090" s="267">
        <v>1</v>
      </c>
      <c r="E3090" s="267">
        <v>1</v>
      </c>
      <c r="F3090" s="267" t="s">
        <v>944</v>
      </c>
      <c r="G3090" s="267" t="s">
        <v>3926</v>
      </c>
      <c r="H3090" s="267" t="s">
        <v>7535</v>
      </c>
      <c r="I3090" s="267" t="s">
        <v>7536</v>
      </c>
      <c r="J3090" s="267" t="s">
        <v>3928</v>
      </c>
      <c r="K3090" s="267">
        <v>6330</v>
      </c>
      <c r="L3090" s="267">
        <v>711100</v>
      </c>
      <c r="M3090" s="267" t="s">
        <v>3940</v>
      </c>
      <c r="N3090" s="267" t="s">
        <v>3944</v>
      </c>
      <c r="O3090" s="267">
        <v>2463.65</v>
      </c>
      <c r="P3090" s="267" t="s">
        <v>3944</v>
      </c>
      <c r="Q3090" s="267" t="s">
        <v>3944</v>
      </c>
      <c r="R3090" s="267">
        <v>2463.65</v>
      </c>
      <c r="S3090" s="267">
        <v>30304.93</v>
      </c>
      <c r="T3090" s="267">
        <v>32768.58</v>
      </c>
      <c r="U3090" s="268" t="s">
        <v>3945</v>
      </c>
      <c r="V3090" s="267" t="s">
        <v>944</v>
      </c>
    </row>
    <row r="3091" spans="1:22" hidden="1" x14ac:dyDescent="0.25">
      <c r="A3091" s="269">
        <v>43626</v>
      </c>
      <c r="B3091" s="270">
        <v>2019</v>
      </c>
      <c r="C3091" s="270">
        <v>2019</v>
      </c>
      <c r="D3091" s="270">
        <v>1</v>
      </c>
      <c r="E3091" s="270">
        <v>1</v>
      </c>
      <c r="F3091" s="270" t="s">
        <v>944</v>
      </c>
      <c r="G3091" s="270" t="s">
        <v>3926</v>
      </c>
      <c r="H3091" s="270" t="s">
        <v>7537</v>
      </c>
      <c r="I3091" s="270" t="s">
        <v>3008</v>
      </c>
      <c r="J3091" s="270" t="s">
        <v>3928</v>
      </c>
      <c r="K3091" s="270">
        <v>6460</v>
      </c>
      <c r="L3091" s="270">
        <v>150400</v>
      </c>
      <c r="M3091" s="270" t="s">
        <v>3940</v>
      </c>
      <c r="N3091" s="270" t="s">
        <v>3944</v>
      </c>
      <c r="O3091" s="270">
        <v>1877.96</v>
      </c>
      <c r="P3091" s="270" t="s">
        <v>3944</v>
      </c>
      <c r="Q3091" s="270" t="s">
        <v>3944</v>
      </c>
      <c r="R3091" s="270">
        <v>1877.96</v>
      </c>
      <c r="S3091" s="270">
        <v>32105.56</v>
      </c>
      <c r="T3091" s="270">
        <v>33983.519999999997</v>
      </c>
      <c r="U3091" s="271" t="s">
        <v>3945</v>
      </c>
      <c r="V3091" s="267" t="s">
        <v>944</v>
      </c>
    </row>
    <row r="3092" spans="1:22" hidden="1" x14ac:dyDescent="0.25">
      <c r="A3092" s="266">
        <v>43627</v>
      </c>
      <c r="B3092" s="267">
        <v>2019</v>
      </c>
      <c r="C3092" s="267">
        <v>2019</v>
      </c>
      <c r="D3092" s="267">
        <v>1</v>
      </c>
      <c r="E3092" s="267">
        <v>1</v>
      </c>
      <c r="F3092" s="267" t="s">
        <v>944</v>
      </c>
      <c r="G3092" s="267" t="s">
        <v>3926</v>
      </c>
      <c r="H3092" s="267" t="s">
        <v>7538</v>
      </c>
      <c r="I3092" s="267" t="s">
        <v>4037</v>
      </c>
      <c r="J3092" s="267" t="s">
        <v>3928</v>
      </c>
      <c r="K3092" s="267">
        <v>6811</v>
      </c>
      <c r="L3092" s="267">
        <v>210800</v>
      </c>
      <c r="M3092" s="267" t="s">
        <v>3960</v>
      </c>
      <c r="N3092" s="267" t="s">
        <v>7539</v>
      </c>
      <c r="O3092" s="267">
        <v>0</v>
      </c>
      <c r="P3092" s="267" t="s">
        <v>3930</v>
      </c>
      <c r="Q3092" s="267" t="s">
        <v>3930</v>
      </c>
      <c r="R3092" s="267">
        <v>0</v>
      </c>
      <c r="S3092" s="267">
        <v>15400</v>
      </c>
      <c r="T3092" s="267">
        <v>15400</v>
      </c>
      <c r="U3092" s="268" t="s">
        <v>3937</v>
      </c>
      <c r="V3092" s="267" t="s">
        <v>944</v>
      </c>
    </row>
    <row r="3093" spans="1:22" hidden="1" x14ac:dyDescent="0.25">
      <c r="A3093" s="269">
        <v>43627</v>
      </c>
      <c r="B3093" s="270">
        <v>2019</v>
      </c>
      <c r="C3093" s="270">
        <v>2019</v>
      </c>
      <c r="D3093" s="270">
        <v>1</v>
      </c>
      <c r="E3093" s="270">
        <v>1</v>
      </c>
      <c r="F3093" s="270" t="s">
        <v>944</v>
      </c>
      <c r="G3093" s="270" t="s">
        <v>3926</v>
      </c>
      <c r="H3093" s="270" t="s">
        <v>7540</v>
      </c>
      <c r="I3093" s="270" t="s">
        <v>4239</v>
      </c>
      <c r="J3093" s="270" t="s">
        <v>3928</v>
      </c>
      <c r="K3093" s="270">
        <v>6085</v>
      </c>
      <c r="L3093" s="270">
        <v>460301</v>
      </c>
      <c r="M3093" s="270" t="s">
        <v>3943</v>
      </c>
      <c r="N3093" s="270" t="s">
        <v>7541</v>
      </c>
      <c r="O3093" s="270">
        <v>0</v>
      </c>
      <c r="P3093" s="270" t="s">
        <v>3930</v>
      </c>
      <c r="Q3093" s="270" t="s">
        <v>3930</v>
      </c>
      <c r="R3093" s="270">
        <v>0</v>
      </c>
      <c r="S3093" s="270">
        <v>12931.69</v>
      </c>
      <c r="T3093" s="270">
        <v>12931.69</v>
      </c>
      <c r="U3093" s="271" t="s">
        <v>3937</v>
      </c>
      <c r="V3093" s="267" t="s">
        <v>944</v>
      </c>
    </row>
    <row r="3094" spans="1:22" hidden="1" x14ac:dyDescent="0.25">
      <c r="A3094" s="266">
        <v>43627</v>
      </c>
      <c r="B3094" s="267">
        <v>2019</v>
      </c>
      <c r="C3094" s="267">
        <v>2019</v>
      </c>
      <c r="D3094" s="267">
        <v>1</v>
      </c>
      <c r="E3094" s="267">
        <v>1</v>
      </c>
      <c r="F3094" s="267" t="s">
        <v>944</v>
      </c>
      <c r="G3094" s="267" t="s">
        <v>3926</v>
      </c>
      <c r="H3094" s="267" t="s">
        <v>7542</v>
      </c>
      <c r="I3094" s="267" t="s">
        <v>5032</v>
      </c>
      <c r="J3094" s="267" t="s">
        <v>3928</v>
      </c>
      <c r="K3094" s="267">
        <v>6062</v>
      </c>
      <c r="L3094" s="267">
        <v>420500</v>
      </c>
      <c r="M3094" s="267" t="s">
        <v>3940</v>
      </c>
      <c r="N3094" s="267" t="s">
        <v>4103</v>
      </c>
      <c r="O3094" s="267">
        <v>3535.29</v>
      </c>
      <c r="P3094" s="267" t="s">
        <v>3930</v>
      </c>
      <c r="Q3094" s="267" t="s">
        <v>3931</v>
      </c>
      <c r="R3094" s="267">
        <v>8535.2900000000009</v>
      </c>
      <c r="S3094" s="267">
        <v>24145.599999999999</v>
      </c>
      <c r="T3094" s="267">
        <v>32680.89</v>
      </c>
      <c r="U3094" s="268" t="s">
        <v>3932</v>
      </c>
      <c r="V3094" s="267" t="s">
        <v>944</v>
      </c>
    </row>
    <row r="3095" spans="1:22" hidden="1" x14ac:dyDescent="0.25">
      <c r="A3095" s="269">
        <v>43627</v>
      </c>
      <c r="B3095" s="270">
        <v>2019</v>
      </c>
      <c r="C3095" s="270">
        <v>2019</v>
      </c>
      <c r="D3095" s="270">
        <v>1</v>
      </c>
      <c r="E3095" s="270">
        <v>1</v>
      </c>
      <c r="F3095" s="270" t="s">
        <v>944</v>
      </c>
      <c r="G3095" s="270" t="s">
        <v>3926</v>
      </c>
      <c r="H3095" s="270" t="s">
        <v>7543</v>
      </c>
      <c r="I3095" s="270" t="s">
        <v>934</v>
      </c>
      <c r="J3095" s="270" t="s">
        <v>3928</v>
      </c>
      <c r="K3095" s="270">
        <v>6604</v>
      </c>
      <c r="L3095" s="270">
        <v>72100</v>
      </c>
      <c r="M3095" s="270" t="s">
        <v>3940</v>
      </c>
      <c r="N3095" s="270" t="s">
        <v>4714</v>
      </c>
      <c r="O3095" s="270">
        <v>3923.01</v>
      </c>
      <c r="P3095" s="270" t="s">
        <v>3930</v>
      </c>
      <c r="Q3095" s="270" t="s">
        <v>3931</v>
      </c>
      <c r="R3095" s="270">
        <v>8923.01</v>
      </c>
      <c r="S3095" s="270">
        <v>24518.2</v>
      </c>
      <c r="T3095" s="270">
        <v>33441.21</v>
      </c>
      <c r="U3095" s="271" t="s">
        <v>3932</v>
      </c>
      <c r="V3095" s="267" t="s">
        <v>944</v>
      </c>
    </row>
    <row r="3096" spans="1:22" hidden="1" x14ac:dyDescent="0.25">
      <c r="A3096" s="266">
        <v>43627</v>
      </c>
      <c r="B3096" s="267">
        <v>2019</v>
      </c>
      <c r="C3096" s="267">
        <v>2019</v>
      </c>
      <c r="D3096" s="267">
        <v>1</v>
      </c>
      <c r="E3096" s="267">
        <v>1</v>
      </c>
      <c r="F3096" s="267" t="s">
        <v>944</v>
      </c>
      <c r="G3096" s="267" t="s">
        <v>3926</v>
      </c>
      <c r="H3096" s="267" t="s">
        <v>7544</v>
      </c>
      <c r="I3096" s="267" t="s">
        <v>4235</v>
      </c>
      <c r="J3096" s="267" t="s">
        <v>3928</v>
      </c>
      <c r="K3096" s="267">
        <v>6066</v>
      </c>
      <c r="L3096" s="267">
        <v>530302</v>
      </c>
      <c r="M3096" s="267" t="s">
        <v>3935</v>
      </c>
      <c r="N3096" s="267" t="s">
        <v>7085</v>
      </c>
      <c r="O3096" s="267">
        <v>0</v>
      </c>
      <c r="P3096" s="267" t="s">
        <v>3930</v>
      </c>
      <c r="Q3096" s="267" t="s">
        <v>3930</v>
      </c>
      <c r="R3096" s="267">
        <v>0</v>
      </c>
      <c r="S3096" s="267">
        <v>12000</v>
      </c>
      <c r="T3096" s="267">
        <v>12000</v>
      </c>
      <c r="U3096" s="268" t="s">
        <v>3937</v>
      </c>
      <c r="V3096" s="267" t="s">
        <v>944</v>
      </c>
    </row>
    <row r="3097" spans="1:22" hidden="1" x14ac:dyDescent="0.25">
      <c r="A3097" s="269">
        <v>43627</v>
      </c>
      <c r="B3097" s="270">
        <v>2019</v>
      </c>
      <c r="C3097" s="270">
        <v>2019</v>
      </c>
      <c r="D3097" s="270">
        <v>1</v>
      </c>
      <c r="E3097" s="270">
        <v>1</v>
      </c>
      <c r="F3097" s="270" t="s">
        <v>944</v>
      </c>
      <c r="G3097" s="270" t="s">
        <v>3926</v>
      </c>
      <c r="H3097" s="270" t="s">
        <v>7545</v>
      </c>
      <c r="I3097" s="270" t="s">
        <v>4239</v>
      </c>
      <c r="J3097" s="270" t="s">
        <v>3928</v>
      </c>
      <c r="K3097" s="270">
        <v>6032</v>
      </c>
      <c r="L3097" s="270">
        <v>460301</v>
      </c>
      <c r="M3097" s="270" t="s">
        <v>3943</v>
      </c>
      <c r="N3097" s="270" t="s">
        <v>3944</v>
      </c>
      <c r="O3097" s="270">
        <v>2865</v>
      </c>
      <c r="P3097" s="270" t="s">
        <v>3944</v>
      </c>
      <c r="Q3097" s="270" t="s">
        <v>3944</v>
      </c>
      <c r="R3097" s="270">
        <v>2865</v>
      </c>
      <c r="S3097" s="270">
        <v>39099</v>
      </c>
      <c r="T3097" s="270">
        <v>41964</v>
      </c>
      <c r="U3097" s="271" t="s">
        <v>3945</v>
      </c>
      <c r="V3097" s="267" t="s">
        <v>944</v>
      </c>
    </row>
    <row r="3098" spans="1:22" hidden="1" x14ac:dyDescent="0.25">
      <c r="A3098" s="266">
        <v>43627</v>
      </c>
      <c r="B3098" s="267">
        <v>2019</v>
      </c>
      <c r="C3098" s="267">
        <v>2019</v>
      </c>
      <c r="D3098" s="267">
        <v>1</v>
      </c>
      <c r="E3098" s="267">
        <v>1</v>
      </c>
      <c r="F3098" s="267" t="s">
        <v>944</v>
      </c>
      <c r="G3098" s="267" t="s">
        <v>3926</v>
      </c>
      <c r="H3098" s="267" t="s">
        <v>7546</v>
      </c>
      <c r="I3098" s="267" t="s">
        <v>4111</v>
      </c>
      <c r="J3098" s="267" t="s">
        <v>3928</v>
      </c>
      <c r="K3098" s="267">
        <v>6095</v>
      </c>
      <c r="L3098" s="267">
        <v>473700</v>
      </c>
      <c r="M3098" s="267" t="s">
        <v>3935</v>
      </c>
      <c r="N3098" s="267" t="s">
        <v>3944</v>
      </c>
      <c r="O3098" s="267">
        <v>4412</v>
      </c>
      <c r="P3098" s="267" t="s">
        <v>3944</v>
      </c>
      <c r="Q3098" s="267" t="s">
        <v>3944</v>
      </c>
      <c r="R3098" s="267">
        <v>4412</v>
      </c>
      <c r="S3098" s="267">
        <v>31688.7</v>
      </c>
      <c r="T3098" s="267">
        <v>36100.699999999997</v>
      </c>
      <c r="U3098" s="268" t="s">
        <v>3945</v>
      </c>
      <c r="V3098" s="267" t="s">
        <v>944</v>
      </c>
    </row>
    <row r="3099" spans="1:22" x14ac:dyDescent="0.25">
      <c r="A3099" s="269">
        <v>43627</v>
      </c>
      <c r="B3099" s="270">
        <v>2019</v>
      </c>
      <c r="C3099" s="270">
        <v>2019</v>
      </c>
      <c r="D3099" s="270">
        <v>1</v>
      </c>
      <c r="E3099" s="270">
        <v>1</v>
      </c>
      <c r="F3099" s="270" t="s">
        <v>944</v>
      </c>
      <c r="G3099" s="270" t="s">
        <v>3926</v>
      </c>
      <c r="H3099" s="270" t="s">
        <v>7547</v>
      </c>
      <c r="I3099" s="270" t="s">
        <v>943</v>
      </c>
      <c r="J3099" s="270" t="s">
        <v>3928</v>
      </c>
      <c r="K3099" s="270">
        <v>6513</v>
      </c>
      <c r="L3099" s="270">
        <v>142500</v>
      </c>
      <c r="M3099" s="270">
        <v>-60</v>
      </c>
      <c r="N3099" s="270" t="s">
        <v>3944</v>
      </c>
      <c r="O3099" s="270">
        <v>4626</v>
      </c>
      <c r="P3099" s="270" t="s">
        <v>3944</v>
      </c>
      <c r="Q3099" s="270" t="s">
        <v>3944</v>
      </c>
      <c r="R3099" s="270">
        <v>4626</v>
      </c>
      <c r="S3099" s="270">
        <v>30984</v>
      </c>
      <c r="T3099" s="270">
        <v>35610</v>
      </c>
      <c r="U3099" s="271" t="s">
        <v>3945</v>
      </c>
      <c r="V3099" s="276" t="s">
        <v>936</v>
      </c>
    </row>
    <row r="3100" spans="1:22" hidden="1" x14ac:dyDescent="0.25">
      <c r="A3100" s="266">
        <v>43627</v>
      </c>
      <c r="B3100" s="267">
        <v>2019</v>
      </c>
      <c r="C3100" s="267">
        <v>2019</v>
      </c>
      <c r="D3100" s="267">
        <v>1</v>
      </c>
      <c r="E3100" s="267">
        <v>1</v>
      </c>
      <c r="F3100" s="267" t="s">
        <v>944</v>
      </c>
      <c r="G3100" s="267" t="s">
        <v>3926</v>
      </c>
      <c r="H3100" s="267" t="s">
        <v>7548</v>
      </c>
      <c r="I3100" s="267" t="s">
        <v>3026</v>
      </c>
      <c r="J3100" s="267" t="s">
        <v>3928</v>
      </c>
      <c r="K3100" s="267">
        <v>6471</v>
      </c>
      <c r="L3100" s="267">
        <v>186100</v>
      </c>
      <c r="M3100" s="267" t="s">
        <v>3935</v>
      </c>
      <c r="N3100" s="267" t="s">
        <v>3944</v>
      </c>
      <c r="O3100" s="267">
        <v>7000</v>
      </c>
      <c r="P3100" s="267" t="s">
        <v>3944</v>
      </c>
      <c r="Q3100" s="267" t="s">
        <v>3944</v>
      </c>
      <c r="R3100" s="267">
        <v>7000</v>
      </c>
      <c r="S3100" s="267">
        <v>47397</v>
      </c>
      <c r="T3100" s="267">
        <v>54397</v>
      </c>
      <c r="U3100" s="268" t="s">
        <v>3945</v>
      </c>
      <c r="V3100" s="267" t="s">
        <v>944</v>
      </c>
    </row>
    <row r="3101" spans="1:22" hidden="1" x14ac:dyDescent="0.25">
      <c r="A3101" s="269">
        <v>43627</v>
      </c>
      <c r="B3101" s="270">
        <v>2019</v>
      </c>
      <c r="C3101" s="270">
        <v>2019</v>
      </c>
      <c r="D3101" s="270">
        <v>1</v>
      </c>
      <c r="E3101" s="270">
        <v>1</v>
      </c>
      <c r="F3101" s="270" t="s">
        <v>944</v>
      </c>
      <c r="G3101" s="270" t="s">
        <v>3926</v>
      </c>
      <c r="H3101" s="270" t="s">
        <v>7549</v>
      </c>
      <c r="I3101" s="270" t="s">
        <v>4269</v>
      </c>
      <c r="J3101" s="270" t="s">
        <v>3928</v>
      </c>
      <c r="K3101" s="270">
        <v>6117</v>
      </c>
      <c r="L3101" s="270">
        <v>497700</v>
      </c>
      <c r="M3101" s="270" t="s">
        <v>3943</v>
      </c>
      <c r="N3101" s="270" t="s">
        <v>3944</v>
      </c>
      <c r="O3101" s="270">
        <v>8629</v>
      </c>
      <c r="P3101" s="270" t="s">
        <v>3944</v>
      </c>
      <c r="Q3101" s="270" t="s">
        <v>3944</v>
      </c>
      <c r="R3101" s="270">
        <v>8629</v>
      </c>
      <c r="S3101" s="270">
        <v>69051</v>
      </c>
      <c r="T3101" s="270">
        <v>77680</v>
      </c>
      <c r="U3101" s="271" t="s">
        <v>3945</v>
      </c>
      <c r="V3101" s="267" t="s">
        <v>944</v>
      </c>
    </row>
    <row r="3102" spans="1:22" hidden="1" x14ac:dyDescent="0.25">
      <c r="A3102" s="266">
        <v>43627</v>
      </c>
      <c r="B3102" s="267">
        <v>2019</v>
      </c>
      <c r="C3102" s="267">
        <v>2019</v>
      </c>
      <c r="D3102" s="267">
        <v>1</v>
      </c>
      <c r="E3102" s="267">
        <v>1</v>
      </c>
      <c r="F3102" s="267" t="s">
        <v>944</v>
      </c>
      <c r="G3102" s="267" t="s">
        <v>3926</v>
      </c>
      <c r="H3102" s="267" t="s">
        <v>7550</v>
      </c>
      <c r="I3102" s="267" t="s">
        <v>3966</v>
      </c>
      <c r="J3102" s="267" t="s">
        <v>3928</v>
      </c>
      <c r="K3102" s="267">
        <v>6010</v>
      </c>
      <c r="L3102" s="267">
        <v>406002</v>
      </c>
      <c r="M3102" s="267" t="s">
        <v>3935</v>
      </c>
      <c r="N3102" s="267" t="s">
        <v>3944</v>
      </c>
      <c r="O3102" s="267">
        <v>2963.7</v>
      </c>
      <c r="P3102" s="267" t="s">
        <v>3944</v>
      </c>
      <c r="Q3102" s="267" t="s">
        <v>3944</v>
      </c>
      <c r="R3102" s="267">
        <v>2963.7</v>
      </c>
      <c r="S3102" s="267">
        <v>54060.3</v>
      </c>
      <c r="T3102" s="267">
        <v>57024</v>
      </c>
      <c r="U3102" s="268" t="s">
        <v>3945</v>
      </c>
      <c r="V3102" s="267" t="s">
        <v>944</v>
      </c>
    </row>
    <row r="3103" spans="1:22" hidden="1" x14ac:dyDescent="0.25">
      <c r="A3103" s="269">
        <v>43627</v>
      </c>
      <c r="B3103" s="270">
        <v>2019</v>
      </c>
      <c r="C3103" s="270">
        <v>2019</v>
      </c>
      <c r="D3103" s="270">
        <v>1</v>
      </c>
      <c r="E3103" s="270">
        <v>1</v>
      </c>
      <c r="F3103" s="270" t="s">
        <v>944</v>
      </c>
      <c r="G3103" s="270" t="s">
        <v>3926</v>
      </c>
      <c r="H3103" s="270" t="s">
        <v>7551</v>
      </c>
      <c r="I3103" s="270" t="s">
        <v>943</v>
      </c>
      <c r="J3103" s="270" t="s">
        <v>3928</v>
      </c>
      <c r="K3103" s="270">
        <v>6513</v>
      </c>
      <c r="L3103" s="270">
        <v>142604</v>
      </c>
      <c r="M3103" s="270" t="s">
        <v>3935</v>
      </c>
      <c r="N3103" s="270" t="s">
        <v>3944</v>
      </c>
      <c r="O3103" s="270">
        <v>1035.72</v>
      </c>
      <c r="P3103" s="270" t="s">
        <v>3944</v>
      </c>
      <c r="Q3103" s="270" t="s">
        <v>3944</v>
      </c>
      <c r="R3103" s="270">
        <v>1035.72</v>
      </c>
      <c r="S3103" s="270">
        <v>15157.06</v>
      </c>
      <c r="T3103" s="270">
        <v>16192.78</v>
      </c>
      <c r="U3103" s="271" t="s">
        <v>3945</v>
      </c>
      <c r="V3103" s="267" t="s">
        <v>944</v>
      </c>
    </row>
    <row r="3104" spans="1:22" hidden="1" x14ac:dyDescent="0.25">
      <c r="A3104" s="266">
        <v>43627</v>
      </c>
      <c r="B3104" s="267">
        <v>2019</v>
      </c>
      <c r="C3104" s="267">
        <v>2019</v>
      </c>
      <c r="D3104" s="267">
        <v>1</v>
      </c>
      <c r="E3104" s="267">
        <v>1</v>
      </c>
      <c r="F3104" s="267" t="s">
        <v>944</v>
      </c>
      <c r="G3104" s="267" t="s">
        <v>3926</v>
      </c>
      <c r="H3104" s="267" t="s">
        <v>7552</v>
      </c>
      <c r="I3104" s="267" t="s">
        <v>4392</v>
      </c>
      <c r="J3104" s="267" t="s">
        <v>3928</v>
      </c>
      <c r="K3104" s="267">
        <v>6457</v>
      </c>
      <c r="L3104" s="267">
        <v>541200</v>
      </c>
      <c r="M3104" s="267" t="s">
        <v>3935</v>
      </c>
      <c r="N3104" s="267" t="s">
        <v>3944</v>
      </c>
      <c r="O3104" s="267">
        <v>2453.71</v>
      </c>
      <c r="P3104" s="267" t="s">
        <v>3944</v>
      </c>
      <c r="Q3104" s="267" t="s">
        <v>3944</v>
      </c>
      <c r="R3104" s="267">
        <v>2453.71</v>
      </c>
      <c r="S3104" s="267">
        <v>34559.46</v>
      </c>
      <c r="T3104" s="267">
        <v>37013.17</v>
      </c>
      <c r="U3104" s="268" t="s">
        <v>3945</v>
      </c>
      <c r="V3104" s="267" t="s">
        <v>944</v>
      </c>
    </row>
    <row r="3105" spans="1:22" hidden="1" x14ac:dyDescent="0.25">
      <c r="A3105" s="269">
        <v>43627</v>
      </c>
      <c r="B3105" s="270">
        <v>2019</v>
      </c>
      <c r="C3105" s="270">
        <v>2019</v>
      </c>
      <c r="D3105" s="270">
        <v>1</v>
      </c>
      <c r="E3105" s="270">
        <v>1</v>
      </c>
      <c r="F3105" s="270" t="s">
        <v>944</v>
      </c>
      <c r="G3105" s="270" t="s">
        <v>3926</v>
      </c>
      <c r="H3105" s="270" t="s">
        <v>7553</v>
      </c>
      <c r="I3105" s="270" t="s">
        <v>4065</v>
      </c>
      <c r="J3105" s="270" t="s">
        <v>3928</v>
      </c>
      <c r="K3105" s="270">
        <v>6480</v>
      </c>
      <c r="L3105" s="270">
        <v>560200</v>
      </c>
      <c r="M3105" s="270" t="s">
        <v>3935</v>
      </c>
      <c r="N3105" s="270" t="s">
        <v>3944</v>
      </c>
      <c r="O3105" s="270">
        <v>1280.69</v>
      </c>
      <c r="P3105" s="270" t="s">
        <v>3944</v>
      </c>
      <c r="Q3105" s="270" t="s">
        <v>3944</v>
      </c>
      <c r="R3105" s="270">
        <v>1280.69</v>
      </c>
      <c r="S3105" s="270">
        <v>17263.060000000001</v>
      </c>
      <c r="T3105" s="270">
        <v>18543.75</v>
      </c>
      <c r="U3105" s="271" t="s">
        <v>3945</v>
      </c>
      <c r="V3105" s="267" t="s">
        <v>944</v>
      </c>
    </row>
    <row r="3106" spans="1:22" hidden="1" x14ac:dyDescent="0.25">
      <c r="A3106" s="266">
        <v>43627</v>
      </c>
      <c r="B3106" s="267">
        <v>2019</v>
      </c>
      <c r="C3106" s="267">
        <v>2019</v>
      </c>
      <c r="D3106" s="267">
        <v>1</v>
      </c>
      <c r="E3106" s="267">
        <v>1</v>
      </c>
      <c r="F3106" s="267" t="s">
        <v>944</v>
      </c>
      <c r="G3106" s="267" t="s">
        <v>3926</v>
      </c>
      <c r="H3106" s="267" t="s">
        <v>7554</v>
      </c>
      <c r="I3106" s="267" t="s">
        <v>5485</v>
      </c>
      <c r="J3106" s="267" t="s">
        <v>3928</v>
      </c>
      <c r="K3106" s="267">
        <v>6001</v>
      </c>
      <c r="L3106" s="267">
        <v>462201</v>
      </c>
      <c r="M3106" s="267" t="s">
        <v>3960</v>
      </c>
      <c r="N3106" s="267" t="s">
        <v>3944</v>
      </c>
      <c r="O3106" s="267">
        <v>2330.5100000000002</v>
      </c>
      <c r="P3106" s="267" t="s">
        <v>3944</v>
      </c>
      <c r="Q3106" s="267" t="s">
        <v>3944</v>
      </c>
      <c r="R3106" s="267">
        <v>2330.5100000000002</v>
      </c>
      <c r="S3106" s="267">
        <v>35916.93</v>
      </c>
      <c r="T3106" s="267">
        <v>38247.440000000002</v>
      </c>
      <c r="U3106" s="268" t="s">
        <v>3945</v>
      </c>
      <c r="V3106" s="267" t="s">
        <v>944</v>
      </c>
    </row>
    <row r="3107" spans="1:22" hidden="1" x14ac:dyDescent="0.25">
      <c r="A3107" s="269">
        <v>43627</v>
      </c>
      <c r="B3107" s="270">
        <v>2019</v>
      </c>
      <c r="C3107" s="270">
        <v>2019</v>
      </c>
      <c r="D3107" s="270">
        <v>1</v>
      </c>
      <c r="E3107" s="270">
        <v>1</v>
      </c>
      <c r="F3107" s="270" t="s">
        <v>944</v>
      </c>
      <c r="G3107" s="270" t="s">
        <v>3926</v>
      </c>
      <c r="H3107" s="270" t="s">
        <v>7555</v>
      </c>
      <c r="I3107" s="270" t="s">
        <v>4085</v>
      </c>
      <c r="J3107" s="270" t="s">
        <v>3928</v>
      </c>
      <c r="K3107" s="270">
        <v>6351</v>
      </c>
      <c r="L3107" s="270">
        <v>709100</v>
      </c>
      <c r="M3107" s="270" t="s">
        <v>3935</v>
      </c>
      <c r="N3107" s="270" t="s">
        <v>3944</v>
      </c>
      <c r="O3107" s="270">
        <v>2874.52</v>
      </c>
      <c r="P3107" s="270" t="s">
        <v>3944</v>
      </c>
      <c r="Q3107" s="270" t="s">
        <v>3944</v>
      </c>
      <c r="R3107" s="270">
        <v>2874.52</v>
      </c>
      <c r="S3107" s="270">
        <v>41867.33</v>
      </c>
      <c r="T3107" s="270">
        <v>44741.85</v>
      </c>
      <c r="U3107" s="271" t="s">
        <v>3945</v>
      </c>
      <c r="V3107" s="267" t="s">
        <v>944</v>
      </c>
    </row>
    <row r="3108" spans="1:22" hidden="1" x14ac:dyDescent="0.25">
      <c r="A3108" s="266">
        <v>43627</v>
      </c>
      <c r="B3108" s="267">
        <v>2019</v>
      </c>
      <c r="C3108" s="267">
        <v>2019</v>
      </c>
      <c r="D3108" s="267">
        <v>1</v>
      </c>
      <c r="E3108" s="267">
        <v>1</v>
      </c>
      <c r="F3108" s="267" t="s">
        <v>944</v>
      </c>
      <c r="G3108" s="267" t="s">
        <v>3926</v>
      </c>
      <c r="H3108" s="267" t="s">
        <v>7556</v>
      </c>
      <c r="I3108" s="267" t="s">
        <v>4232</v>
      </c>
      <c r="J3108" s="267" t="s">
        <v>3928</v>
      </c>
      <c r="K3108" s="267">
        <v>6483</v>
      </c>
      <c r="L3108" s="267">
        <v>130101</v>
      </c>
      <c r="M3108" s="267" t="s">
        <v>3940</v>
      </c>
      <c r="N3108" s="267" t="s">
        <v>3944</v>
      </c>
      <c r="O3108" s="267">
        <v>2094.3000000000002</v>
      </c>
      <c r="P3108" s="267" t="s">
        <v>3944</v>
      </c>
      <c r="Q3108" s="267" t="s">
        <v>3944</v>
      </c>
      <c r="R3108" s="267">
        <v>2094.3000000000002</v>
      </c>
      <c r="S3108" s="267">
        <v>28474.5</v>
      </c>
      <c r="T3108" s="267">
        <v>30568.799999999999</v>
      </c>
      <c r="U3108" s="268" t="s">
        <v>3945</v>
      </c>
      <c r="V3108" s="267" t="s">
        <v>944</v>
      </c>
    </row>
    <row r="3109" spans="1:22" hidden="1" x14ac:dyDescent="0.25">
      <c r="A3109" s="269">
        <v>43627</v>
      </c>
      <c r="B3109" s="270">
        <v>2019</v>
      </c>
      <c r="C3109" s="270">
        <v>2019</v>
      </c>
      <c r="D3109" s="270">
        <v>1</v>
      </c>
      <c r="E3109" s="270">
        <v>1</v>
      </c>
      <c r="F3109" s="270" t="s">
        <v>944</v>
      </c>
      <c r="G3109" s="270" t="s">
        <v>3926</v>
      </c>
      <c r="H3109" s="270" t="s">
        <v>7557</v>
      </c>
      <c r="I3109" s="270" t="s">
        <v>953</v>
      </c>
      <c r="J3109" s="270" t="s">
        <v>3928</v>
      </c>
      <c r="K3109" s="270">
        <v>6517</v>
      </c>
      <c r="L3109" s="270">
        <v>165400</v>
      </c>
      <c r="M3109" s="270" t="s">
        <v>3935</v>
      </c>
      <c r="N3109" s="270" t="s">
        <v>3944</v>
      </c>
      <c r="O3109" s="270">
        <v>1090.08</v>
      </c>
      <c r="P3109" s="270" t="s">
        <v>3944</v>
      </c>
      <c r="Q3109" s="270" t="s">
        <v>3944</v>
      </c>
      <c r="R3109" s="270">
        <v>1090.08</v>
      </c>
      <c r="S3109" s="270">
        <v>15133.88</v>
      </c>
      <c r="T3109" s="270">
        <v>16223.96</v>
      </c>
      <c r="U3109" s="271" t="s">
        <v>3945</v>
      </c>
      <c r="V3109" s="267" t="s">
        <v>944</v>
      </c>
    </row>
    <row r="3110" spans="1:22" hidden="1" x14ac:dyDescent="0.25">
      <c r="A3110" s="266">
        <v>43627</v>
      </c>
      <c r="B3110" s="267">
        <v>2019</v>
      </c>
      <c r="C3110" s="267">
        <v>2019</v>
      </c>
      <c r="D3110" s="267">
        <v>1</v>
      </c>
      <c r="E3110" s="267">
        <v>1</v>
      </c>
      <c r="F3110" s="267" t="s">
        <v>944</v>
      </c>
      <c r="G3110" s="267" t="s">
        <v>3926</v>
      </c>
      <c r="H3110" s="267" t="s">
        <v>7558</v>
      </c>
      <c r="I3110" s="267" t="s">
        <v>953</v>
      </c>
      <c r="J3110" s="267" t="s">
        <v>3928</v>
      </c>
      <c r="K3110" s="267">
        <v>6514</v>
      </c>
      <c r="L3110" s="267">
        <v>165700</v>
      </c>
      <c r="M3110" s="267" t="s">
        <v>3935</v>
      </c>
      <c r="N3110" s="267" t="s">
        <v>3944</v>
      </c>
      <c r="O3110" s="267">
        <v>2018.17</v>
      </c>
      <c r="P3110" s="267" t="s">
        <v>3944</v>
      </c>
      <c r="Q3110" s="267" t="s">
        <v>3944</v>
      </c>
      <c r="R3110" s="267">
        <v>2018.17</v>
      </c>
      <c r="S3110" s="267">
        <v>30261.45</v>
      </c>
      <c r="T3110" s="267">
        <v>32279.62</v>
      </c>
      <c r="U3110" s="268" t="s">
        <v>3945</v>
      </c>
      <c r="V3110" s="267" t="s">
        <v>944</v>
      </c>
    </row>
    <row r="3111" spans="1:22" hidden="1" x14ac:dyDescent="0.25">
      <c r="A3111" s="269">
        <v>43627</v>
      </c>
      <c r="B3111" s="270">
        <v>2019</v>
      </c>
      <c r="C3111" s="270">
        <v>2019</v>
      </c>
      <c r="D3111" s="270">
        <v>1</v>
      </c>
      <c r="E3111" s="270">
        <v>1</v>
      </c>
      <c r="F3111" s="270" t="s">
        <v>944</v>
      </c>
      <c r="G3111" s="270" t="s">
        <v>3926</v>
      </c>
      <c r="H3111" s="270" t="s">
        <v>7559</v>
      </c>
      <c r="I3111" s="270" t="s">
        <v>4556</v>
      </c>
      <c r="J3111" s="270" t="s">
        <v>3928</v>
      </c>
      <c r="K3111" s="270">
        <v>6029</v>
      </c>
      <c r="L3111" s="270">
        <v>530200</v>
      </c>
      <c r="M3111" s="270">
        <v>-60</v>
      </c>
      <c r="N3111" s="270" t="s">
        <v>3944</v>
      </c>
      <c r="O3111" s="270">
        <v>2518.2199999999998</v>
      </c>
      <c r="P3111" s="270" t="s">
        <v>3944</v>
      </c>
      <c r="Q3111" s="270" t="s">
        <v>3944</v>
      </c>
      <c r="R3111" s="270">
        <v>2518.2199999999998</v>
      </c>
      <c r="S3111" s="270">
        <v>36782.620000000003</v>
      </c>
      <c r="T3111" s="270">
        <v>39300.839999999997</v>
      </c>
      <c r="U3111" s="271" t="s">
        <v>3945</v>
      </c>
      <c r="V3111" s="267" t="s">
        <v>944</v>
      </c>
    </row>
    <row r="3112" spans="1:22" hidden="1" x14ac:dyDescent="0.25">
      <c r="A3112" s="266">
        <v>43627</v>
      </c>
      <c r="B3112" s="267">
        <v>2019</v>
      </c>
      <c r="C3112" s="267">
        <v>2019</v>
      </c>
      <c r="D3112" s="267">
        <v>1</v>
      </c>
      <c r="E3112" s="267">
        <v>1</v>
      </c>
      <c r="F3112" s="267" t="s">
        <v>944</v>
      </c>
      <c r="G3112" s="267" t="s">
        <v>3926</v>
      </c>
      <c r="H3112" s="267" t="s">
        <v>7560</v>
      </c>
      <c r="I3112" s="267" t="s">
        <v>4037</v>
      </c>
      <c r="J3112" s="267" t="s">
        <v>3928</v>
      </c>
      <c r="K3112" s="267">
        <v>6811</v>
      </c>
      <c r="L3112" s="267">
        <v>210800</v>
      </c>
      <c r="M3112" s="267" t="s">
        <v>3960</v>
      </c>
      <c r="N3112" s="267" t="s">
        <v>3944</v>
      </c>
      <c r="O3112" s="267">
        <v>1139.22</v>
      </c>
      <c r="P3112" s="267" t="s">
        <v>3944</v>
      </c>
      <c r="Q3112" s="267" t="s">
        <v>3944</v>
      </c>
      <c r="R3112" s="267">
        <v>1139.22</v>
      </c>
      <c r="S3112" s="267">
        <v>16332.26</v>
      </c>
      <c r="T3112" s="267">
        <v>17471.48</v>
      </c>
      <c r="U3112" s="268" t="s">
        <v>3945</v>
      </c>
      <c r="V3112" s="267" t="s">
        <v>944</v>
      </c>
    </row>
    <row r="3113" spans="1:22" hidden="1" x14ac:dyDescent="0.25">
      <c r="A3113" s="269">
        <v>43628</v>
      </c>
      <c r="B3113" s="270">
        <v>2019</v>
      </c>
      <c r="C3113" s="270">
        <v>2019</v>
      </c>
      <c r="D3113" s="270">
        <v>1</v>
      </c>
      <c r="E3113" s="270">
        <v>1</v>
      </c>
      <c r="F3113" s="270" t="s">
        <v>944</v>
      </c>
      <c r="G3113" s="270" t="s">
        <v>3926</v>
      </c>
      <c r="H3113" s="270" t="s">
        <v>7561</v>
      </c>
      <c r="I3113" s="270" t="s">
        <v>934</v>
      </c>
      <c r="J3113" s="270" t="s">
        <v>3928</v>
      </c>
      <c r="K3113" s="270">
        <v>6604</v>
      </c>
      <c r="L3113" s="270">
        <v>72100</v>
      </c>
      <c r="M3113" s="270" t="s">
        <v>3940</v>
      </c>
      <c r="N3113" s="270" t="s">
        <v>4523</v>
      </c>
      <c r="O3113" s="270">
        <v>4512.33</v>
      </c>
      <c r="P3113" s="270" t="s">
        <v>3930</v>
      </c>
      <c r="Q3113" s="270" t="s">
        <v>3931</v>
      </c>
      <c r="R3113" s="270">
        <v>9512.33</v>
      </c>
      <c r="S3113" s="270">
        <v>25412.799999999999</v>
      </c>
      <c r="T3113" s="270">
        <v>34925.129999999997</v>
      </c>
      <c r="U3113" s="271" t="s">
        <v>3932</v>
      </c>
      <c r="V3113" s="267" t="s">
        <v>944</v>
      </c>
    </row>
    <row r="3114" spans="1:22" hidden="1" x14ac:dyDescent="0.25">
      <c r="A3114" s="266">
        <v>43628</v>
      </c>
      <c r="B3114" s="267">
        <v>2019</v>
      </c>
      <c r="C3114" s="267">
        <v>2019</v>
      </c>
      <c r="D3114" s="267">
        <v>1</v>
      </c>
      <c r="E3114" s="267">
        <v>1</v>
      </c>
      <c r="F3114" s="267" t="s">
        <v>944</v>
      </c>
      <c r="G3114" s="267" t="s">
        <v>3926</v>
      </c>
      <c r="H3114" s="267" t="s">
        <v>7562</v>
      </c>
      <c r="I3114" s="267" t="s">
        <v>4239</v>
      </c>
      <c r="J3114" s="267" t="s">
        <v>3928</v>
      </c>
      <c r="K3114" s="267">
        <v>6032</v>
      </c>
      <c r="L3114" s="267">
        <v>460204</v>
      </c>
      <c r="M3114" s="267" t="s">
        <v>3935</v>
      </c>
      <c r="N3114" s="267" t="s">
        <v>7563</v>
      </c>
      <c r="O3114" s="267">
        <v>5006</v>
      </c>
      <c r="P3114" s="267" t="s">
        <v>3930</v>
      </c>
      <c r="Q3114" s="267" t="s">
        <v>3930</v>
      </c>
      <c r="R3114" s="267">
        <v>5006</v>
      </c>
      <c r="S3114" s="267">
        <v>30416.400000000001</v>
      </c>
      <c r="T3114" s="267">
        <v>35422.400000000001</v>
      </c>
      <c r="U3114" s="268" t="s">
        <v>3937</v>
      </c>
      <c r="V3114" s="267" t="s">
        <v>944</v>
      </c>
    </row>
    <row r="3115" spans="1:22" hidden="1" x14ac:dyDescent="0.25">
      <c r="A3115" s="269">
        <v>43628</v>
      </c>
      <c r="B3115" s="270">
        <v>2019</v>
      </c>
      <c r="C3115" s="270">
        <v>2019</v>
      </c>
      <c r="D3115" s="270">
        <v>1</v>
      </c>
      <c r="E3115" s="270">
        <v>1</v>
      </c>
      <c r="F3115" s="270" t="s">
        <v>944</v>
      </c>
      <c r="G3115" s="270" t="s">
        <v>3926</v>
      </c>
      <c r="H3115" s="270" t="s">
        <v>7564</v>
      </c>
      <c r="I3115" s="270" t="s">
        <v>4323</v>
      </c>
      <c r="J3115" s="270" t="s">
        <v>3928</v>
      </c>
      <c r="K3115" s="270">
        <v>6375</v>
      </c>
      <c r="L3115" s="270">
        <v>693600</v>
      </c>
      <c r="M3115" s="270" t="s">
        <v>3960</v>
      </c>
      <c r="N3115" s="270" t="s">
        <v>7085</v>
      </c>
      <c r="O3115" s="270">
        <v>0</v>
      </c>
      <c r="P3115" s="270" t="s">
        <v>3930</v>
      </c>
      <c r="Q3115" s="270" t="s">
        <v>3930</v>
      </c>
      <c r="R3115" s="270">
        <v>0</v>
      </c>
      <c r="S3115" s="270">
        <v>11000</v>
      </c>
      <c r="T3115" s="270">
        <v>11000</v>
      </c>
      <c r="U3115" s="271" t="s">
        <v>3937</v>
      </c>
      <c r="V3115" s="267" t="s">
        <v>944</v>
      </c>
    </row>
    <row r="3116" spans="1:22" hidden="1" x14ac:dyDescent="0.25">
      <c r="A3116" s="266">
        <v>43628</v>
      </c>
      <c r="B3116" s="267">
        <v>2019</v>
      </c>
      <c r="C3116" s="267">
        <v>2019</v>
      </c>
      <c r="D3116" s="267">
        <v>1</v>
      </c>
      <c r="E3116" s="267">
        <v>1</v>
      </c>
      <c r="F3116" s="267" t="s">
        <v>944</v>
      </c>
      <c r="G3116" s="267" t="s">
        <v>3926</v>
      </c>
      <c r="H3116" s="267" t="s">
        <v>7565</v>
      </c>
      <c r="I3116" s="267" t="s">
        <v>956</v>
      </c>
      <c r="J3116" s="267" t="s">
        <v>3928</v>
      </c>
      <c r="K3116" s="267">
        <v>6614</v>
      </c>
      <c r="L3116" s="267">
        <v>81200</v>
      </c>
      <c r="M3116" s="267" t="s">
        <v>3943</v>
      </c>
      <c r="N3116" s="267" t="s">
        <v>7566</v>
      </c>
      <c r="O3116" s="267">
        <v>0</v>
      </c>
      <c r="P3116" s="267" t="s">
        <v>3930</v>
      </c>
      <c r="Q3116" s="267" t="s">
        <v>3930</v>
      </c>
      <c r="R3116" s="267">
        <v>0</v>
      </c>
      <c r="S3116" s="267">
        <v>18735</v>
      </c>
      <c r="T3116" s="267">
        <v>18735</v>
      </c>
      <c r="U3116" s="268" t="s">
        <v>3937</v>
      </c>
      <c r="V3116" s="267" t="s">
        <v>944</v>
      </c>
    </row>
    <row r="3117" spans="1:22" hidden="1" x14ac:dyDescent="0.25">
      <c r="A3117" s="269">
        <v>43628</v>
      </c>
      <c r="B3117" s="270">
        <v>2019</v>
      </c>
      <c r="C3117" s="270">
        <v>2019</v>
      </c>
      <c r="D3117" s="270">
        <v>1</v>
      </c>
      <c r="E3117" s="270">
        <v>1</v>
      </c>
      <c r="F3117" s="270" t="s">
        <v>944</v>
      </c>
      <c r="G3117" s="270" t="s">
        <v>3926</v>
      </c>
      <c r="H3117" s="270" t="s">
        <v>7567</v>
      </c>
      <c r="I3117" s="270" t="s">
        <v>3025</v>
      </c>
      <c r="J3117" s="270" t="s">
        <v>3928</v>
      </c>
      <c r="K3117" s="270">
        <v>6473</v>
      </c>
      <c r="L3117" s="270">
        <v>167300</v>
      </c>
      <c r="M3117" s="270" t="s">
        <v>3943</v>
      </c>
      <c r="N3117" s="270" t="s">
        <v>3986</v>
      </c>
      <c r="O3117" s="270">
        <v>1274.04</v>
      </c>
      <c r="P3117" s="270" t="s">
        <v>3930</v>
      </c>
      <c r="Q3117" s="270" t="s">
        <v>3931</v>
      </c>
      <c r="R3117" s="270">
        <v>6274.04</v>
      </c>
      <c r="S3117" s="270">
        <v>16196.8</v>
      </c>
      <c r="T3117" s="270">
        <v>22470.84</v>
      </c>
      <c r="U3117" s="271" t="s">
        <v>3932</v>
      </c>
      <c r="V3117" s="267" t="s">
        <v>944</v>
      </c>
    </row>
    <row r="3118" spans="1:22" hidden="1" x14ac:dyDescent="0.25">
      <c r="A3118" s="266">
        <v>43628</v>
      </c>
      <c r="B3118" s="267">
        <v>2019</v>
      </c>
      <c r="C3118" s="267">
        <v>2019</v>
      </c>
      <c r="D3118" s="267">
        <v>1</v>
      </c>
      <c r="E3118" s="267">
        <v>1</v>
      </c>
      <c r="F3118" s="267" t="s">
        <v>944</v>
      </c>
      <c r="G3118" s="267" t="s">
        <v>3926</v>
      </c>
      <c r="H3118" s="267" t="s">
        <v>7568</v>
      </c>
      <c r="I3118" s="267" t="s">
        <v>3009</v>
      </c>
      <c r="J3118" s="267" t="s">
        <v>3928</v>
      </c>
      <c r="K3118" s="267">
        <v>6484</v>
      </c>
      <c r="L3118" s="267">
        <v>110201</v>
      </c>
      <c r="M3118" s="267" t="s">
        <v>3960</v>
      </c>
      <c r="N3118" s="267" t="s">
        <v>7569</v>
      </c>
      <c r="O3118" s="267">
        <v>0</v>
      </c>
      <c r="P3118" s="267" t="s">
        <v>3930</v>
      </c>
      <c r="Q3118" s="267" t="s">
        <v>3930</v>
      </c>
      <c r="R3118" s="267">
        <v>0</v>
      </c>
      <c r="S3118" s="267">
        <v>16620</v>
      </c>
      <c r="T3118" s="267">
        <v>16620</v>
      </c>
      <c r="U3118" s="268" t="s">
        <v>3937</v>
      </c>
      <c r="V3118" s="267" t="s">
        <v>944</v>
      </c>
    </row>
    <row r="3119" spans="1:22" hidden="1" x14ac:dyDescent="0.25">
      <c r="A3119" s="269">
        <v>43628</v>
      </c>
      <c r="B3119" s="270">
        <v>2019</v>
      </c>
      <c r="C3119" s="270">
        <v>2019</v>
      </c>
      <c r="D3119" s="270">
        <v>1</v>
      </c>
      <c r="E3119" s="270">
        <v>1</v>
      </c>
      <c r="F3119" s="270" t="s">
        <v>944</v>
      </c>
      <c r="G3119" s="270" t="s">
        <v>3926</v>
      </c>
      <c r="H3119" s="270" t="s">
        <v>7570</v>
      </c>
      <c r="I3119" s="270" t="s">
        <v>4244</v>
      </c>
      <c r="J3119" s="270" t="s">
        <v>3928</v>
      </c>
      <c r="K3119" s="270">
        <v>6268</v>
      </c>
      <c r="L3119" s="270">
        <v>881100</v>
      </c>
      <c r="M3119" s="270" t="s">
        <v>3935</v>
      </c>
      <c r="N3119" s="270" t="s">
        <v>3944</v>
      </c>
      <c r="O3119" s="270">
        <v>3146</v>
      </c>
      <c r="P3119" s="270" t="s">
        <v>3944</v>
      </c>
      <c r="Q3119" s="270" t="s">
        <v>3944</v>
      </c>
      <c r="R3119" s="270">
        <v>3146</v>
      </c>
      <c r="S3119" s="270">
        <v>16150</v>
      </c>
      <c r="T3119" s="270">
        <v>19296</v>
      </c>
      <c r="U3119" s="271" t="s">
        <v>3945</v>
      </c>
      <c r="V3119" s="267" t="s">
        <v>944</v>
      </c>
    </row>
    <row r="3120" spans="1:22" hidden="1" x14ac:dyDescent="0.25">
      <c r="A3120" s="266">
        <v>43628</v>
      </c>
      <c r="B3120" s="267">
        <v>2019</v>
      </c>
      <c r="C3120" s="267">
        <v>2019</v>
      </c>
      <c r="D3120" s="267">
        <v>1</v>
      </c>
      <c r="E3120" s="267">
        <v>1</v>
      </c>
      <c r="F3120" s="267" t="s">
        <v>944</v>
      </c>
      <c r="G3120" s="267" t="s">
        <v>3926</v>
      </c>
      <c r="H3120" s="267" t="s">
        <v>7571</v>
      </c>
      <c r="I3120" s="267" t="s">
        <v>4244</v>
      </c>
      <c r="J3120" s="267" t="s">
        <v>3928</v>
      </c>
      <c r="K3120" s="267">
        <v>6250</v>
      </c>
      <c r="L3120" s="267">
        <v>815000</v>
      </c>
      <c r="M3120" s="267" t="s">
        <v>3935</v>
      </c>
      <c r="N3120" s="267" t="s">
        <v>3944</v>
      </c>
      <c r="O3120" s="267">
        <v>4287</v>
      </c>
      <c r="P3120" s="267" t="s">
        <v>3944</v>
      </c>
      <c r="Q3120" s="267" t="s">
        <v>3944</v>
      </c>
      <c r="R3120" s="267">
        <v>4287</v>
      </c>
      <c r="S3120" s="267">
        <v>30813</v>
      </c>
      <c r="T3120" s="267">
        <v>35100</v>
      </c>
      <c r="U3120" s="268" t="s">
        <v>3945</v>
      </c>
      <c r="V3120" s="267" t="s">
        <v>944</v>
      </c>
    </row>
    <row r="3121" spans="1:22" hidden="1" x14ac:dyDescent="0.25">
      <c r="A3121" s="269">
        <v>43628</v>
      </c>
      <c r="B3121" s="270">
        <v>2019</v>
      </c>
      <c r="C3121" s="270">
        <v>2019</v>
      </c>
      <c r="D3121" s="270">
        <v>1</v>
      </c>
      <c r="E3121" s="270">
        <v>1</v>
      </c>
      <c r="F3121" s="270" t="s">
        <v>944</v>
      </c>
      <c r="G3121" s="270" t="s">
        <v>3926</v>
      </c>
      <c r="H3121" s="270" t="s">
        <v>7572</v>
      </c>
      <c r="I3121" s="270" t="s">
        <v>2985</v>
      </c>
      <c r="J3121" s="270" t="s">
        <v>3928</v>
      </c>
      <c r="K3121" s="270">
        <v>6824</v>
      </c>
      <c r="L3121" s="270">
        <v>60400</v>
      </c>
      <c r="M3121" s="270" t="s">
        <v>3943</v>
      </c>
      <c r="N3121" s="270" t="s">
        <v>3944</v>
      </c>
      <c r="O3121" s="270">
        <v>5281</v>
      </c>
      <c r="P3121" s="270" t="s">
        <v>3944</v>
      </c>
      <c r="Q3121" s="270" t="s">
        <v>3944</v>
      </c>
      <c r="R3121" s="270">
        <v>5281</v>
      </c>
      <c r="S3121" s="270">
        <v>76164</v>
      </c>
      <c r="T3121" s="270">
        <v>81445</v>
      </c>
      <c r="U3121" s="271" t="s">
        <v>3945</v>
      </c>
      <c r="V3121" s="267" t="s">
        <v>944</v>
      </c>
    </row>
    <row r="3122" spans="1:22" hidden="1" x14ac:dyDescent="0.25">
      <c r="A3122" s="266">
        <v>43628</v>
      </c>
      <c r="B3122" s="267">
        <v>2019</v>
      </c>
      <c r="C3122" s="267">
        <v>2019</v>
      </c>
      <c r="D3122" s="267">
        <v>1</v>
      </c>
      <c r="E3122" s="267">
        <v>1</v>
      </c>
      <c r="F3122" s="267" t="s">
        <v>944</v>
      </c>
      <c r="G3122" s="267" t="s">
        <v>3926</v>
      </c>
      <c r="H3122" s="267" t="s">
        <v>7573</v>
      </c>
      <c r="I3122" s="267" t="s">
        <v>5388</v>
      </c>
      <c r="J3122" s="267" t="s">
        <v>3928</v>
      </c>
      <c r="K3122" s="267">
        <v>6384</v>
      </c>
      <c r="L3122" s="267">
        <v>708100</v>
      </c>
      <c r="M3122" s="267" t="s">
        <v>3935</v>
      </c>
      <c r="N3122" s="267" t="s">
        <v>3944</v>
      </c>
      <c r="O3122" s="267">
        <v>4690</v>
      </c>
      <c r="P3122" s="267" t="s">
        <v>3944</v>
      </c>
      <c r="Q3122" s="267" t="s">
        <v>3944</v>
      </c>
      <c r="R3122" s="267">
        <v>4690</v>
      </c>
      <c r="S3122" s="267">
        <v>33111</v>
      </c>
      <c r="T3122" s="267">
        <v>37801</v>
      </c>
      <c r="U3122" s="268" t="s">
        <v>3945</v>
      </c>
      <c r="V3122" s="267" t="s">
        <v>944</v>
      </c>
    </row>
    <row r="3123" spans="1:22" hidden="1" x14ac:dyDescent="0.25">
      <c r="A3123" s="269">
        <v>43628</v>
      </c>
      <c r="B3123" s="270">
        <v>2019</v>
      </c>
      <c r="C3123" s="270">
        <v>2019</v>
      </c>
      <c r="D3123" s="270">
        <v>1</v>
      </c>
      <c r="E3123" s="270">
        <v>1</v>
      </c>
      <c r="F3123" s="270" t="s">
        <v>944</v>
      </c>
      <c r="G3123" s="270" t="s">
        <v>3926</v>
      </c>
      <c r="H3123" s="270" t="s">
        <v>7574</v>
      </c>
      <c r="I3123" s="270" t="s">
        <v>4168</v>
      </c>
      <c r="J3123" s="270" t="s">
        <v>3928</v>
      </c>
      <c r="K3123" s="270">
        <v>6475</v>
      </c>
      <c r="L3123" s="270">
        <v>670200</v>
      </c>
      <c r="M3123" s="270" t="s">
        <v>3935</v>
      </c>
      <c r="N3123" s="270" t="s">
        <v>3944</v>
      </c>
      <c r="O3123" s="270">
        <v>1843</v>
      </c>
      <c r="P3123" s="270" t="s">
        <v>3944</v>
      </c>
      <c r="Q3123" s="270" t="s">
        <v>3944</v>
      </c>
      <c r="R3123" s="270">
        <v>1843</v>
      </c>
      <c r="S3123" s="270">
        <v>15339.89</v>
      </c>
      <c r="T3123" s="270">
        <v>17182.89</v>
      </c>
      <c r="U3123" s="271" t="s">
        <v>3945</v>
      </c>
      <c r="V3123" s="267" t="s">
        <v>944</v>
      </c>
    </row>
    <row r="3124" spans="1:22" hidden="1" x14ac:dyDescent="0.25">
      <c r="A3124" s="266">
        <v>43628</v>
      </c>
      <c r="B3124" s="267">
        <v>2019</v>
      </c>
      <c r="C3124" s="267">
        <v>2019</v>
      </c>
      <c r="D3124" s="267">
        <v>1</v>
      </c>
      <c r="E3124" s="267">
        <v>1</v>
      </c>
      <c r="F3124" s="267" t="s">
        <v>944</v>
      </c>
      <c r="G3124" s="267" t="s">
        <v>3926</v>
      </c>
      <c r="H3124" s="267" t="s">
        <v>7575</v>
      </c>
      <c r="I3124" s="267" t="s">
        <v>4435</v>
      </c>
      <c r="J3124" s="267" t="s">
        <v>3928</v>
      </c>
      <c r="K3124" s="267">
        <v>6249</v>
      </c>
      <c r="L3124" s="267">
        <v>870100</v>
      </c>
      <c r="M3124" s="267" t="s">
        <v>3960</v>
      </c>
      <c r="N3124" s="267" t="s">
        <v>3944</v>
      </c>
      <c r="O3124" s="267">
        <v>3778</v>
      </c>
      <c r="P3124" s="267" t="s">
        <v>3944</v>
      </c>
      <c r="Q3124" s="267" t="s">
        <v>3944</v>
      </c>
      <c r="R3124" s="267">
        <v>3778</v>
      </c>
      <c r="S3124" s="267">
        <v>27040</v>
      </c>
      <c r="T3124" s="267">
        <v>30818</v>
      </c>
      <c r="U3124" s="268" t="s">
        <v>3945</v>
      </c>
      <c r="V3124" s="267" t="s">
        <v>944</v>
      </c>
    </row>
    <row r="3125" spans="1:22" hidden="1" x14ac:dyDescent="0.25">
      <c r="A3125" s="269">
        <v>43628</v>
      </c>
      <c r="B3125" s="270">
        <v>2019</v>
      </c>
      <c r="C3125" s="270">
        <v>2019</v>
      </c>
      <c r="D3125" s="270">
        <v>1</v>
      </c>
      <c r="E3125" s="270">
        <v>1</v>
      </c>
      <c r="F3125" s="270" t="s">
        <v>944</v>
      </c>
      <c r="G3125" s="270" t="s">
        <v>3926</v>
      </c>
      <c r="H3125" s="270" t="s">
        <v>7576</v>
      </c>
      <c r="I3125" s="270" t="s">
        <v>4691</v>
      </c>
      <c r="J3125" s="270" t="s">
        <v>3928</v>
      </c>
      <c r="K3125" s="270">
        <v>6242</v>
      </c>
      <c r="L3125" s="270">
        <v>902200</v>
      </c>
      <c r="M3125" s="270" t="s">
        <v>3960</v>
      </c>
      <c r="N3125" s="270" t="s">
        <v>3944</v>
      </c>
      <c r="O3125" s="270">
        <v>3776</v>
      </c>
      <c r="P3125" s="270" t="s">
        <v>3944</v>
      </c>
      <c r="Q3125" s="270" t="s">
        <v>3944</v>
      </c>
      <c r="R3125" s="270">
        <v>3776</v>
      </c>
      <c r="S3125" s="270">
        <v>27536.959999999999</v>
      </c>
      <c r="T3125" s="270">
        <v>31312.959999999999</v>
      </c>
      <c r="U3125" s="271" t="s">
        <v>3945</v>
      </c>
      <c r="V3125" s="267" t="s">
        <v>944</v>
      </c>
    </row>
    <row r="3126" spans="1:22" hidden="1" x14ac:dyDescent="0.25">
      <c r="A3126" s="266">
        <v>43628</v>
      </c>
      <c r="B3126" s="267">
        <v>2019</v>
      </c>
      <c r="C3126" s="267">
        <v>2019</v>
      </c>
      <c r="D3126" s="267">
        <v>1</v>
      </c>
      <c r="E3126" s="267">
        <v>1</v>
      </c>
      <c r="F3126" s="267" t="s">
        <v>944</v>
      </c>
      <c r="G3126" s="267" t="s">
        <v>3926</v>
      </c>
      <c r="H3126" s="267" t="s">
        <v>7577</v>
      </c>
      <c r="I3126" s="267" t="s">
        <v>4621</v>
      </c>
      <c r="J3126" s="267" t="s">
        <v>3928</v>
      </c>
      <c r="K3126" s="267">
        <v>6443</v>
      </c>
      <c r="L3126" s="267">
        <v>194100</v>
      </c>
      <c r="M3126" s="267" t="s">
        <v>3935</v>
      </c>
      <c r="N3126" s="267" t="s">
        <v>3944</v>
      </c>
      <c r="O3126" s="267">
        <v>2377</v>
      </c>
      <c r="P3126" s="267" t="s">
        <v>3944</v>
      </c>
      <c r="Q3126" s="267" t="s">
        <v>3944</v>
      </c>
      <c r="R3126" s="267">
        <v>2377</v>
      </c>
      <c r="S3126" s="267">
        <v>16785.5</v>
      </c>
      <c r="T3126" s="267">
        <v>19162.5</v>
      </c>
      <c r="U3126" s="268" t="s">
        <v>3945</v>
      </c>
      <c r="V3126" s="267" t="s">
        <v>944</v>
      </c>
    </row>
    <row r="3127" spans="1:22" hidden="1" x14ac:dyDescent="0.25">
      <c r="A3127" s="269">
        <v>43628</v>
      </c>
      <c r="B3127" s="270">
        <v>2019</v>
      </c>
      <c r="C3127" s="270">
        <v>2019</v>
      </c>
      <c r="D3127" s="270">
        <v>1</v>
      </c>
      <c r="E3127" s="270">
        <v>1</v>
      </c>
      <c r="F3127" s="270" t="s">
        <v>944</v>
      </c>
      <c r="G3127" s="270" t="s">
        <v>3926</v>
      </c>
      <c r="H3127" s="270" t="s">
        <v>7578</v>
      </c>
      <c r="I3127" s="270" t="s">
        <v>3012</v>
      </c>
      <c r="J3127" s="270" t="s">
        <v>3928</v>
      </c>
      <c r="K3127" s="270">
        <v>6477</v>
      </c>
      <c r="L3127" s="270">
        <v>157200</v>
      </c>
      <c r="M3127" s="270" t="s">
        <v>3943</v>
      </c>
      <c r="N3127" s="270" t="s">
        <v>3944</v>
      </c>
      <c r="O3127" s="270">
        <v>4718</v>
      </c>
      <c r="P3127" s="270" t="s">
        <v>3944</v>
      </c>
      <c r="Q3127" s="270" t="s">
        <v>3944</v>
      </c>
      <c r="R3127" s="270">
        <v>4718</v>
      </c>
      <c r="S3127" s="270">
        <v>29459.5</v>
      </c>
      <c r="T3127" s="270">
        <v>34177.5</v>
      </c>
      <c r="U3127" s="271" t="s">
        <v>3945</v>
      </c>
      <c r="V3127" s="267" t="s">
        <v>944</v>
      </c>
    </row>
    <row r="3128" spans="1:22" hidden="1" x14ac:dyDescent="0.25">
      <c r="A3128" s="266">
        <v>43628</v>
      </c>
      <c r="B3128" s="267">
        <v>2019</v>
      </c>
      <c r="C3128" s="267">
        <v>2019</v>
      </c>
      <c r="D3128" s="267">
        <v>1</v>
      </c>
      <c r="E3128" s="267">
        <v>1</v>
      </c>
      <c r="F3128" s="267" t="s">
        <v>944</v>
      </c>
      <c r="G3128" s="267" t="s">
        <v>3926</v>
      </c>
      <c r="H3128" s="267" t="s">
        <v>7579</v>
      </c>
      <c r="I3128" s="267" t="s">
        <v>4269</v>
      </c>
      <c r="J3128" s="267" t="s">
        <v>3928</v>
      </c>
      <c r="K3128" s="267">
        <v>6110</v>
      </c>
      <c r="L3128" s="267">
        <v>496200</v>
      </c>
      <c r="M3128" s="267" t="s">
        <v>3935</v>
      </c>
      <c r="N3128" s="267" t="s">
        <v>3944</v>
      </c>
      <c r="O3128" s="267">
        <v>2169</v>
      </c>
      <c r="P3128" s="267" t="s">
        <v>3944</v>
      </c>
      <c r="Q3128" s="267" t="s">
        <v>3944</v>
      </c>
      <c r="R3128" s="267">
        <v>2169</v>
      </c>
      <c r="S3128" s="267">
        <v>34894</v>
      </c>
      <c r="T3128" s="267">
        <v>37063</v>
      </c>
      <c r="U3128" s="268" t="s">
        <v>3945</v>
      </c>
      <c r="V3128" s="267" t="s">
        <v>944</v>
      </c>
    </row>
    <row r="3129" spans="1:22" hidden="1" x14ac:dyDescent="0.25">
      <c r="A3129" s="269">
        <v>43628</v>
      </c>
      <c r="B3129" s="270">
        <v>2019</v>
      </c>
      <c r="C3129" s="270">
        <v>2019</v>
      </c>
      <c r="D3129" s="270">
        <v>1</v>
      </c>
      <c r="E3129" s="270">
        <v>1</v>
      </c>
      <c r="F3129" s="270" t="s">
        <v>944</v>
      </c>
      <c r="G3129" s="270" t="s">
        <v>3926</v>
      </c>
      <c r="H3129" s="270" t="s">
        <v>7580</v>
      </c>
      <c r="I3129" s="270" t="s">
        <v>3964</v>
      </c>
      <c r="J3129" s="270" t="s">
        <v>3928</v>
      </c>
      <c r="K3129" s="270">
        <v>6033</v>
      </c>
      <c r="L3129" s="270">
        <v>520100</v>
      </c>
      <c r="M3129" s="270" t="s">
        <v>3943</v>
      </c>
      <c r="N3129" s="270" t="s">
        <v>3944</v>
      </c>
      <c r="O3129" s="270">
        <v>3550</v>
      </c>
      <c r="P3129" s="270" t="s">
        <v>3944</v>
      </c>
      <c r="Q3129" s="270" t="s">
        <v>3944</v>
      </c>
      <c r="R3129" s="270">
        <v>3550</v>
      </c>
      <c r="S3129" s="270">
        <v>41546</v>
      </c>
      <c r="T3129" s="270">
        <v>45096</v>
      </c>
      <c r="U3129" s="271" t="s">
        <v>3945</v>
      </c>
      <c r="V3129" s="267" t="s">
        <v>944</v>
      </c>
    </row>
    <row r="3130" spans="1:22" hidden="1" x14ac:dyDescent="0.25">
      <c r="A3130" s="266">
        <v>43628</v>
      </c>
      <c r="B3130" s="267">
        <v>2019</v>
      </c>
      <c r="C3130" s="267">
        <v>2019</v>
      </c>
      <c r="D3130" s="267">
        <v>1</v>
      </c>
      <c r="E3130" s="267">
        <v>1</v>
      </c>
      <c r="F3130" s="267" t="s">
        <v>944</v>
      </c>
      <c r="G3130" s="267" t="s">
        <v>3926</v>
      </c>
      <c r="H3130" s="267" t="s">
        <v>7581</v>
      </c>
      <c r="I3130" s="267" t="s">
        <v>5485</v>
      </c>
      <c r="J3130" s="267" t="s">
        <v>3928</v>
      </c>
      <c r="K3130" s="267">
        <v>6001</v>
      </c>
      <c r="L3130" s="267">
        <v>462102</v>
      </c>
      <c r="M3130" s="267" t="s">
        <v>3943</v>
      </c>
      <c r="N3130" s="267" t="s">
        <v>3944</v>
      </c>
      <c r="O3130" s="267">
        <v>5489</v>
      </c>
      <c r="P3130" s="267" t="s">
        <v>3944</v>
      </c>
      <c r="Q3130" s="267" t="s">
        <v>3944</v>
      </c>
      <c r="R3130" s="267">
        <v>5489</v>
      </c>
      <c r="S3130" s="267">
        <v>40153</v>
      </c>
      <c r="T3130" s="267">
        <v>45642</v>
      </c>
      <c r="U3130" s="268" t="s">
        <v>3945</v>
      </c>
      <c r="V3130" s="267" t="s">
        <v>944</v>
      </c>
    </row>
    <row r="3131" spans="1:22" hidden="1" x14ac:dyDescent="0.25">
      <c r="A3131" s="269">
        <v>43628</v>
      </c>
      <c r="B3131" s="270">
        <v>2019</v>
      </c>
      <c r="C3131" s="270">
        <v>2019</v>
      </c>
      <c r="D3131" s="270">
        <v>1</v>
      </c>
      <c r="E3131" s="270">
        <v>1</v>
      </c>
      <c r="F3131" s="270" t="s">
        <v>944</v>
      </c>
      <c r="G3131" s="270" t="s">
        <v>3926</v>
      </c>
      <c r="H3131" s="270" t="s">
        <v>7582</v>
      </c>
      <c r="I3131" s="270" t="s">
        <v>7169</v>
      </c>
      <c r="J3131" s="270" t="s">
        <v>3928</v>
      </c>
      <c r="K3131" s="270">
        <v>6069</v>
      </c>
      <c r="L3131" s="270">
        <v>262100</v>
      </c>
      <c r="M3131" s="270" t="s">
        <v>3935</v>
      </c>
      <c r="N3131" s="270" t="s">
        <v>3944</v>
      </c>
      <c r="O3131" s="270">
        <v>3032</v>
      </c>
      <c r="P3131" s="270" t="s">
        <v>3944</v>
      </c>
      <c r="Q3131" s="270" t="s">
        <v>3944</v>
      </c>
      <c r="R3131" s="270">
        <v>3032</v>
      </c>
      <c r="S3131" s="270">
        <v>21808</v>
      </c>
      <c r="T3131" s="270">
        <v>24840</v>
      </c>
      <c r="U3131" s="271" t="s">
        <v>3945</v>
      </c>
      <c r="V3131" s="267" t="s">
        <v>944</v>
      </c>
    </row>
    <row r="3132" spans="1:22" hidden="1" x14ac:dyDescent="0.25">
      <c r="A3132" s="266">
        <v>43628</v>
      </c>
      <c r="B3132" s="267">
        <v>2019</v>
      </c>
      <c r="C3132" s="267">
        <v>2019</v>
      </c>
      <c r="D3132" s="267">
        <v>1</v>
      </c>
      <c r="E3132" s="267">
        <v>1</v>
      </c>
      <c r="F3132" s="267" t="s">
        <v>944</v>
      </c>
      <c r="G3132" s="267" t="s">
        <v>3926</v>
      </c>
      <c r="H3132" s="267" t="s">
        <v>7583</v>
      </c>
      <c r="I3132" s="267" t="s">
        <v>3975</v>
      </c>
      <c r="J3132" s="267" t="s">
        <v>3928</v>
      </c>
      <c r="K3132" s="267">
        <v>6479</v>
      </c>
      <c r="L3132" s="267">
        <v>430500</v>
      </c>
      <c r="M3132" s="267" t="s">
        <v>3943</v>
      </c>
      <c r="N3132" s="267" t="s">
        <v>3944</v>
      </c>
      <c r="O3132" s="267">
        <v>1816.36</v>
      </c>
      <c r="P3132" s="267" t="s">
        <v>3944</v>
      </c>
      <c r="Q3132" s="267" t="s">
        <v>3944</v>
      </c>
      <c r="R3132" s="267">
        <v>1816.36</v>
      </c>
      <c r="S3132" s="267">
        <v>23968.85</v>
      </c>
      <c r="T3132" s="267">
        <v>25785.21</v>
      </c>
      <c r="U3132" s="268" t="s">
        <v>3945</v>
      </c>
      <c r="V3132" s="267" t="s">
        <v>944</v>
      </c>
    </row>
    <row r="3133" spans="1:22" hidden="1" x14ac:dyDescent="0.25">
      <c r="A3133" s="269">
        <v>43628</v>
      </c>
      <c r="B3133" s="270">
        <v>2019</v>
      </c>
      <c r="C3133" s="270">
        <v>2019</v>
      </c>
      <c r="D3133" s="270">
        <v>1</v>
      </c>
      <c r="E3133" s="270">
        <v>1</v>
      </c>
      <c r="F3133" s="270" t="s">
        <v>944</v>
      </c>
      <c r="G3133" s="270" t="s">
        <v>3926</v>
      </c>
      <c r="H3133" s="270" t="s">
        <v>7584</v>
      </c>
      <c r="I3133" s="270" t="s">
        <v>3968</v>
      </c>
      <c r="J3133" s="270" t="s">
        <v>3928</v>
      </c>
      <c r="K3133" s="270">
        <v>6042</v>
      </c>
      <c r="L3133" s="270">
        <v>514400</v>
      </c>
      <c r="M3133" s="270" t="s">
        <v>3940</v>
      </c>
      <c r="N3133" s="270" t="s">
        <v>3944</v>
      </c>
      <c r="O3133" s="270">
        <v>1045.49</v>
      </c>
      <c r="P3133" s="270" t="s">
        <v>3944</v>
      </c>
      <c r="Q3133" s="270" t="s">
        <v>3944</v>
      </c>
      <c r="R3133" s="270">
        <v>1045.49</v>
      </c>
      <c r="S3133" s="270">
        <v>14032.19</v>
      </c>
      <c r="T3133" s="270">
        <v>15077.68</v>
      </c>
      <c r="U3133" s="271" t="s">
        <v>3945</v>
      </c>
      <c r="V3133" s="267" t="s">
        <v>944</v>
      </c>
    </row>
    <row r="3134" spans="1:22" hidden="1" x14ac:dyDescent="0.25">
      <c r="A3134" s="266">
        <v>43628</v>
      </c>
      <c r="B3134" s="267">
        <v>2019</v>
      </c>
      <c r="C3134" s="267">
        <v>2019</v>
      </c>
      <c r="D3134" s="267">
        <v>1</v>
      </c>
      <c r="E3134" s="267">
        <v>1</v>
      </c>
      <c r="F3134" s="267" t="s">
        <v>944</v>
      </c>
      <c r="G3134" s="267" t="s">
        <v>3926</v>
      </c>
      <c r="H3134" s="267" t="s">
        <v>7585</v>
      </c>
      <c r="I3134" s="267" t="s">
        <v>3934</v>
      </c>
      <c r="J3134" s="267" t="s">
        <v>3928</v>
      </c>
      <c r="K3134" s="267">
        <v>6405</v>
      </c>
      <c r="L3134" s="267">
        <v>184100</v>
      </c>
      <c r="M3134" s="267" t="s">
        <v>3940</v>
      </c>
      <c r="N3134" s="267" t="s">
        <v>3944</v>
      </c>
      <c r="O3134" s="267">
        <v>522.03</v>
      </c>
      <c r="P3134" s="267" t="s">
        <v>3944</v>
      </c>
      <c r="Q3134" s="267" t="s">
        <v>3944</v>
      </c>
      <c r="R3134" s="267">
        <v>522.03</v>
      </c>
      <c r="S3134" s="267">
        <v>7918.03</v>
      </c>
      <c r="T3134" s="267">
        <v>8440.06</v>
      </c>
      <c r="U3134" s="268" t="s">
        <v>3945</v>
      </c>
      <c r="V3134" s="267" t="s">
        <v>944</v>
      </c>
    </row>
    <row r="3135" spans="1:22" hidden="1" x14ac:dyDescent="0.25">
      <c r="A3135" s="269">
        <v>43628</v>
      </c>
      <c r="B3135" s="270">
        <v>2019</v>
      </c>
      <c r="C3135" s="270">
        <v>2019</v>
      </c>
      <c r="D3135" s="270">
        <v>1</v>
      </c>
      <c r="E3135" s="270">
        <v>1</v>
      </c>
      <c r="F3135" s="270" t="s">
        <v>944</v>
      </c>
      <c r="G3135" s="270" t="s">
        <v>3926</v>
      </c>
      <c r="H3135" s="270" t="s">
        <v>7586</v>
      </c>
      <c r="I3135" s="270" t="s">
        <v>3993</v>
      </c>
      <c r="J3135" s="270" t="s">
        <v>3928</v>
      </c>
      <c r="K3135" s="270">
        <v>6415</v>
      </c>
      <c r="L3135" s="270">
        <v>714103</v>
      </c>
      <c r="M3135" s="270" t="s">
        <v>3943</v>
      </c>
      <c r="N3135" s="270" t="s">
        <v>3944</v>
      </c>
      <c r="O3135" s="270">
        <v>2459.94</v>
      </c>
      <c r="P3135" s="270" t="s">
        <v>3944</v>
      </c>
      <c r="Q3135" s="270" t="s">
        <v>3944</v>
      </c>
      <c r="R3135" s="270">
        <v>2459.94</v>
      </c>
      <c r="S3135" s="270">
        <v>36558.959999999999</v>
      </c>
      <c r="T3135" s="270">
        <v>39018.9</v>
      </c>
      <c r="U3135" s="271" t="s">
        <v>3945</v>
      </c>
      <c r="V3135" s="267" t="s">
        <v>944</v>
      </c>
    </row>
    <row r="3136" spans="1:22" hidden="1" x14ac:dyDescent="0.25">
      <c r="A3136" s="266">
        <v>43628</v>
      </c>
      <c r="B3136" s="267">
        <v>2019</v>
      </c>
      <c r="C3136" s="267">
        <v>2019</v>
      </c>
      <c r="D3136" s="267">
        <v>1</v>
      </c>
      <c r="E3136" s="267">
        <v>1</v>
      </c>
      <c r="F3136" s="267" t="s">
        <v>944</v>
      </c>
      <c r="G3136" s="267" t="s">
        <v>3926</v>
      </c>
      <c r="H3136" s="267" t="s">
        <v>7587</v>
      </c>
      <c r="I3136" s="267" t="s">
        <v>4200</v>
      </c>
      <c r="J3136" s="267" t="s">
        <v>3928</v>
      </c>
      <c r="K3136" s="267">
        <v>6795</v>
      </c>
      <c r="L3136" s="267">
        <v>360100</v>
      </c>
      <c r="M3136" s="267" t="s">
        <v>3935</v>
      </c>
      <c r="N3136" s="267" t="s">
        <v>3944</v>
      </c>
      <c r="O3136" s="267">
        <v>1917.16</v>
      </c>
      <c r="P3136" s="267" t="s">
        <v>3944</v>
      </c>
      <c r="Q3136" s="267" t="s">
        <v>3944</v>
      </c>
      <c r="R3136" s="267">
        <v>1917.16</v>
      </c>
      <c r="S3136" s="267">
        <v>24372.55</v>
      </c>
      <c r="T3136" s="267">
        <v>26289.71</v>
      </c>
      <c r="U3136" s="268" t="s">
        <v>3945</v>
      </c>
      <c r="V3136" s="267" t="s">
        <v>944</v>
      </c>
    </row>
    <row r="3137" spans="1:22" hidden="1" x14ac:dyDescent="0.25">
      <c r="A3137" s="269">
        <v>43628</v>
      </c>
      <c r="B3137" s="270">
        <v>2019</v>
      </c>
      <c r="C3137" s="270">
        <v>2019</v>
      </c>
      <c r="D3137" s="270">
        <v>1</v>
      </c>
      <c r="E3137" s="270">
        <v>1</v>
      </c>
      <c r="F3137" s="270" t="s">
        <v>944</v>
      </c>
      <c r="G3137" s="270" t="s">
        <v>3926</v>
      </c>
      <c r="H3137" s="270" t="s">
        <v>7588</v>
      </c>
      <c r="I3137" s="270" t="s">
        <v>3962</v>
      </c>
      <c r="J3137" s="270" t="s">
        <v>3928</v>
      </c>
      <c r="K3137" s="270">
        <v>6379</v>
      </c>
      <c r="L3137" s="270">
        <v>705101</v>
      </c>
      <c r="M3137" s="270" t="s">
        <v>3935</v>
      </c>
      <c r="N3137" s="270" t="s">
        <v>3944</v>
      </c>
      <c r="O3137" s="270">
        <v>1258.29</v>
      </c>
      <c r="P3137" s="270" t="s">
        <v>3944</v>
      </c>
      <c r="Q3137" s="270" t="s">
        <v>3944</v>
      </c>
      <c r="R3137" s="270">
        <v>1258.29</v>
      </c>
      <c r="S3137" s="270">
        <v>18326.93</v>
      </c>
      <c r="T3137" s="270">
        <v>19585.22</v>
      </c>
      <c r="U3137" s="271" t="s">
        <v>3945</v>
      </c>
      <c r="V3137" s="267" t="s">
        <v>944</v>
      </c>
    </row>
    <row r="3138" spans="1:22" hidden="1" x14ac:dyDescent="0.25">
      <c r="A3138" s="266">
        <v>43628</v>
      </c>
      <c r="B3138" s="267">
        <v>2019</v>
      </c>
      <c r="C3138" s="267">
        <v>2019</v>
      </c>
      <c r="D3138" s="267">
        <v>1</v>
      </c>
      <c r="E3138" s="267">
        <v>1</v>
      </c>
      <c r="F3138" s="267" t="s">
        <v>944</v>
      </c>
      <c r="G3138" s="267" t="s">
        <v>3926</v>
      </c>
      <c r="H3138" s="267" t="s">
        <v>7589</v>
      </c>
      <c r="I3138" s="267" t="s">
        <v>3008</v>
      </c>
      <c r="J3138" s="267" t="s">
        <v>3928</v>
      </c>
      <c r="K3138" s="267">
        <v>6460</v>
      </c>
      <c r="L3138" s="267">
        <v>151100</v>
      </c>
      <c r="M3138" s="267" t="s">
        <v>3960</v>
      </c>
      <c r="N3138" s="267" t="s">
        <v>3944</v>
      </c>
      <c r="O3138" s="267">
        <v>2234.4699999999998</v>
      </c>
      <c r="P3138" s="267" t="s">
        <v>3944</v>
      </c>
      <c r="Q3138" s="267" t="s">
        <v>3944</v>
      </c>
      <c r="R3138" s="267">
        <v>2234.4699999999998</v>
      </c>
      <c r="S3138" s="267">
        <v>40528.68</v>
      </c>
      <c r="T3138" s="267">
        <v>42763.15</v>
      </c>
      <c r="U3138" s="268" t="s">
        <v>3945</v>
      </c>
      <c r="V3138" s="267" t="s">
        <v>944</v>
      </c>
    </row>
    <row r="3139" spans="1:22" hidden="1" x14ac:dyDescent="0.25">
      <c r="A3139" s="269">
        <v>43628</v>
      </c>
      <c r="B3139" s="270">
        <v>2019</v>
      </c>
      <c r="C3139" s="270">
        <v>2019</v>
      </c>
      <c r="D3139" s="270">
        <v>1</v>
      </c>
      <c r="E3139" s="270">
        <v>1</v>
      </c>
      <c r="F3139" s="270" t="s">
        <v>944</v>
      </c>
      <c r="G3139" s="270" t="s">
        <v>3926</v>
      </c>
      <c r="H3139" s="270" t="s">
        <v>7590</v>
      </c>
      <c r="I3139" s="270" t="s">
        <v>4085</v>
      </c>
      <c r="J3139" s="270" t="s">
        <v>3928</v>
      </c>
      <c r="K3139" s="270">
        <v>6351</v>
      </c>
      <c r="L3139" s="270">
        <v>709200</v>
      </c>
      <c r="M3139" s="270" t="s">
        <v>3940</v>
      </c>
      <c r="N3139" s="270" t="s">
        <v>3944</v>
      </c>
      <c r="O3139" s="270">
        <v>632.35</v>
      </c>
      <c r="P3139" s="270" t="s">
        <v>3944</v>
      </c>
      <c r="Q3139" s="270" t="s">
        <v>3944</v>
      </c>
      <c r="R3139" s="270">
        <v>632.35</v>
      </c>
      <c r="S3139" s="270">
        <v>8962.15</v>
      </c>
      <c r="T3139" s="270">
        <v>9594.5</v>
      </c>
      <c r="U3139" s="271" t="s">
        <v>3945</v>
      </c>
      <c r="V3139" s="267" t="s">
        <v>944</v>
      </c>
    </row>
    <row r="3140" spans="1:22" hidden="1" x14ac:dyDescent="0.25">
      <c r="A3140" s="266">
        <v>43628</v>
      </c>
      <c r="B3140" s="267">
        <v>2019</v>
      </c>
      <c r="C3140" s="267">
        <v>2019</v>
      </c>
      <c r="D3140" s="267">
        <v>1</v>
      </c>
      <c r="E3140" s="267">
        <v>1</v>
      </c>
      <c r="F3140" s="267" t="s">
        <v>944</v>
      </c>
      <c r="G3140" s="267" t="s">
        <v>3926</v>
      </c>
      <c r="H3140" s="267" t="s">
        <v>7591</v>
      </c>
      <c r="I3140" s="267" t="s">
        <v>4011</v>
      </c>
      <c r="J3140" s="267" t="s">
        <v>3928</v>
      </c>
      <c r="K3140" s="267">
        <v>6002</v>
      </c>
      <c r="L3140" s="267">
        <v>471300</v>
      </c>
      <c r="M3140" s="267" t="s">
        <v>3935</v>
      </c>
      <c r="N3140" s="267" t="s">
        <v>3944</v>
      </c>
      <c r="O3140" s="267">
        <v>1721.2</v>
      </c>
      <c r="P3140" s="267" t="s">
        <v>3944</v>
      </c>
      <c r="Q3140" s="267" t="s">
        <v>3944</v>
      </c>
      <c r="R3140" s="267">
        <v>1721.2</v>
      </c>
      <c r="S3140" s="267">
        <v>23558.11</v>
      </c>
      <c r="T3140" s="267">
        <v>25279.31</v>
      </c>
      <c r="U3140" s="268" t="s">
        <v>3945</v>
      </c>
      <c r="V3140" s="267" t="s">
        <v>944</v>
      </c>
    </row>
    <row r="3141" spans="1:22" hidden="1" x14ac:dyDescent="0.25">
      <c r="A3141" s="269">
        <v>43628</v>
      </c>
      <c r="B3141" s="270">
        <v>2019</v>
      </c>
      <c r="C3141" s="270">
        <v>2019</v>
      </c>
      <c r="D3141" s="270">
        <v>1</v>
      </c>
      <c r="E3141" s="270">
        <v>1</v>
      </c>
      <c r="F3141" s="270" t="s">
        <v>944</v>
      </c>
      <c r="G3141" s="270" t="s">
        <v>3926</v>
      </c>
      <c r="H3141" s="270" t="s">
        <v>7592</v>
      </c>
      <c r="I3141" s="270" t="s">
        <v>4392</v>
      </c>
      <c r="J3141" s="270" t="s">
        <v>3928</v>
      </c>
      <c r="K3141" s="270">
        <v>6457</v>
      </c>
      <c r="L3141" s="270">
        <v>541401</v>
      </c>
      <c r="M3141" s="270" t="s">
        <v>3943</v>
      </c>
      <c r="N3141" s="270" t="s">
        <v>3944</v>
      </c>
      <c r="O3141" s="270">
        <v>2645.76</v>
      </c>
      <c r="P3141" s="270" t="s">
        <v>3944</v>
      </c>
      <c r="Q3141" s="270" t="s">
        <v>3944</v>
      </c>
      <c r="R3141" s="270">
        <v>2645.76</v>
      </c>
      <c r="S3141" s="270">
        <v>42245.63</v>
      </c>
      <c r="T3141" s="270">
        <v>44891.39</v>
      </c>
      <c r="U3141" s="271" t="s">
        <v>3945</v>
      </c>
      <c r="V3141" s="267" t="s">
        <v>944</v>
      </c>
    </row>
    <row r="3142" spans="1:22" hidden="1" x14ac:dyDescent="0.25">
      <c r="A3142" s="266">
        <v>43628</v>
      </c>
      <c r="B3142" s="267">
        <v>2019</v>
      </c>
      <c r="C3142" s="267">
        <v>2019</v>
      </c>
      <c r="D3142" s="267">
        <v>1</v>
      </c>
      <c r="E3142" s="267">
        <v>1</v>
      </c>
      <c r="F3142" s="267" t="s">
        <v>944</v>
      </c>
      <c r="G3142" s="267" t="s">
        <v>3926</v>
      </c>
      <c r="H3142" s="267" t="s">
        <v>7593</v>
      </c>
      <c r="I3142" s="267" t="s">
        <v>934</v>
      </c>
      <c r="J3142" s="267" t="s">
        <v>3928</v>
      </c>
      <c r="K3142" s="267">
        <v>6606</v>
      </c>
      <c r="L3142" s="267">
        <v>72400</v>
      </c>
      <c r="M3142" s="267" t="s">
        <v>3940</v>
      </c>
      <c r="N3142" s="267" t="s">
        <v>3944</v>
      </c>
      <c r="O3142" s="267">
        <v>943.85</v>
      </c>
      <c r="P3142" s="267" t="s">
        <v>3944</v>
      </c>
      <c r="Q3142" s="267" t="s">
        <v>3944</v>
      </c>
      <c r="R3142" s="267">
        <v>943.85</v>
      </c>
      <c r="S3142" s="267">
        <v>15859.52</v>
      </c>
      <c r="T3142" s="267">
        <v>16803.37</v>
      </c>
      <c r="U3142" s="268" t="s">
        <v>3945</v>
      </c>
      <c r="V3142" s="267" t="s">
        <v>944</v>
      </c>
    </row>
    <row r="3143" spans="1:22" hidden="1" x14ac:dyDescent="0.25">
      <c r="A3143" s="269">
        <v>43628</v>
      </c>
      <c r="B3143" s="270">
        <v>2019</v>
      </c>
      <c r="C3143" s="270">
        <v>2019</v>
      </c>
      <c r="D3143" s="270">
        <v>1</v>
      </c>
      <c r="E3143" s="270">
        <v>1</v>
      </c>
      <c r="F3143" s="270" t="s">
        <v>944</v>
      </c>
      <c r="G3143" s="270" t="s">
        <v>3926</v>
      </c>
      <c r="H3143" s="270" t="s">
        <v>7594</v>
      </c>
      <c r="I3143" s="270" t="s">
        <v>3962</v>
      </c>
      <c r="J3143" s="270" t="s">
        <v>3928</v>
      </c>
      <c r="K3143" s="270">
        <v>6379</v>
      </c>
      <c r="L3143" s="270">
        <v>705102</v>
      </c>
      <c r="M3143" s="270" t="s">
        <v>3940</v>
      </c>
      <c r="N3143" s="270" t="s">
        <v>3944</v>
      </c>
      <c r="O3143" s="270">
        <v>2260.62</v>
      </c>
      <c r="P3143" s="270" t="s">
        <v>3944</v>
      </c>
      <c r="Q3143" s="270" t="s">
        <v>3944</v>
      </c>
      <c r="R3143" s="270">
        <v>2260.62</v>
      </c>
      <c r="S3143" s="270">
        <v>37999.730000000003</v>
      </c>
      <c r="T3143" s="270">
        <v>40260.35</v>
      </c>
      <c r="U3143" s="271" t="s">
        <v>3945</v>
      </c>
      <c r="V3143" s="267" t="s">
        <v>944</v>
      </c>
    </row>
    <row r="3144" spans="1:22" hidden="1" x14ac:dyDescent="0.25">
      <c r="A3144" s="266">
        <v>43628</v>
      </c>
      <c r="B3144" s="267">
        <v>2019</v>
      </c>
      <c r="C3144" s="267">
        <v>2019</v>
      </c>
      <c r="D3144" s="267">
        <v>1</v>
      </c>
      <c r="E3144" s="267">
        <v>1</v>
      </c>
      <c r="F3144" s="267" t="s">
        <v>944</v>
      </c>
      <c r="G3144" s="267" t="s">
        <v>3926</v>
      </c>
      <c r="H3144" s="267" t="s">
        <v>7595</v>
      </c>
      <c r="I3144" s="267" t="s">
        <v>3008</v>
      </c>
      <c r="J3144" s="267" t="s">
        <v>3928</v>
      </c>
      <c r="K3144" s="267">
        <v>6460</v>
      </c>
      <c r="L3144" s="267">
        <v>151000</v>
      </c>
      <c r="M3144" s="267" t="s">
        <v>3960</v>
      </c>
      <c r="N3144" s="267" t="s">
        <v>3944</v>
      </c>
      <c r="O3144" s="267">
        <v>1880.45</v>
      </c>
      <c r="P3144" s="267" t="s">
        <v>3944</v>
      </c>
      <c r="Q3144" s="267" t="s">
        <v>3944</v>
      </c>
      <c r="R3144" s="267">
        <v>1880.45</v>
      </c>
      <c r="S3144" s="267">
        <v>31455.57</v>
      </c>
      <c r="T3144" s="267">
        <v>33336.019999999997</v>
      </c>
      <c r="U3144" s="268" t="s">
        <v>3945</v>
      </c>
      <c r="V3144" s="267" t="s">
        <v>944</v>
      </c>
    </row>
    <row r="3145" spans="1:22" hidden="1" x14ac:dyDescent="0.25">
      <c r="A3145" s="269">
        <v>43628</v>
      </c>
      <c r="B3145" s="270">
        <v>2019</v>
      </c>
      <c r="C3145" s="270">
        <v>2019</v>
      </c>
      <c r="D3145" s="270">
        <v>1</v>
      </c>
      <c r="E3145" s="270">
        <v>1</v>
      </c>
      <c r="F3145" s="270" t="s">
        <v>944</v>
      </c>
      <c r="G3145" s="270" t="s">
        <v>3926</v>
      </c>
      <c r="H3145" s="270" t="s">
        <v>7596</v>
      </c>
      <c r="I3145" s="270" t="s">
        <v>3008</v>
      </c>
      <c r="J3145" s="270" t="s">
        <v>3928</v>
      </c>
      <c r="K3145" s="270">
        <v>6460</v>
      </c>
      <c r="L3145" s="270">
        <v>151000</v>
      </c>
      <c r="M3145" s="270" t="s">
        <v>3960</v>
      </c>
      <c r="N3145" s="270" t="s">
        <v>3944</v>
      </c>
      <c r="O3145" s="270">
        <v>3007.03</v>
      </c>
      <c r="P3145" s="270" t="s">
        <v>3944</v>
      </c>
      <c r="Q3145" s="270" t="s">
        <v>3944</v>
      </c>
      <c r="R3145" s="270">
        <v>3007.03</v>
      </c>
      <c r="S3145" s="270">
        <v>49164.32</v>
      </c>
      <c r="T3145" s="270">
        <v>52171.35</v>
      </c>
      <c r="U3145" s="271" t="s">
        <v>3945</v>
      </c>
      <c r="V3145" s="267" t="s">
        <v>944</v>
      </c>
    </row>
    <row r="3146" spans="1:22" hidden="1" x14ac:dyDescent="0.25">
      <c r="A3146" s="266">
        <v>43628</v>
      </c>
      <c r="B3146" s="267">
        <v>2019</v>
      </c>
      <c r="C3146" s="267">
        <v>2019</v>
      </c>
      <c r="D3146" s="267">
        <v>1</v>
      </c>
      <c r="E3146" s="267">
        <v>1</v>
      </c>
      <c r="F3146" s="267" t="s">
        <v>944</v>
      </c>
      <c r="G3146" s="267" t="s">
        <v>3926</v>
      </c>
      <c r="H3146" s="267" t="s">
        <v>7597</v>
      </c>
      <c r="I3146" s="267" t="s">
        <v>3026</v>
      </c>
      <c r="J3146" s="267" t="s">
        <v>3928</v>
      </c>
      <c r="K3146" s="267">
        <v>6472</v>
      </c>
      <c r="L3146" s="267">
        <v>186200</v>
      </c>
      <c r="M3146" s="267" t="s">
        <v>3960</v>
      </c>
      <c r="N3146" s="267" t="s">
        <v>3944</v>
      </c>
      <c r="O3146" s="267">
        <v>1323.39</v>
      </c>
      <c r="P3146" s="267" t="s">
        <v>3944</v>
      </c>
      <c r="Q3146" s="267" t="s">
        <v>3944</v>
      </c>
      <c r="R3146" s="267">
        <v>1323.39</v>
      </c>
      <c r="S3146" s="267">
        <v>20203.509999999998</v>
      </c>
      <c r="T3146" s="267">
        <v>21526.9</v>
      </c>
      <c r="U3146" s="268" t="s">
        <v>3945</v>
      </c>
      <c r="V3146" s="267" t="s">
        <v>944</v>
      </c>
    </row>
    <row r="3147" spans="1:22" hidden="1" x14ac:dyDescent="0.25">
      <c r="A3147" s="269">
        <v>43628</v>
      </c>
      <c r="B3147" s="270">
        <v>2019</v>
      </c>
      <c r="C3147" s="270">
        <v>2019</v>
      </c>
      <c r="D3147" s="270">
        <v>1</v>
      </c>
      <c r="E3147" s="270">
        <v>1</v>
      </c>
      <c r="F3147" s="270" t="s">
        <v>944</v>
      </c>
      <c r="G3147" s="270" t="s">
        <v>3926</v>
      </c>
      <c r="H3147" s="270" t="s">
        <v>7598</v>
      </c>
      <c r="I3147" s="270" t="s">
        <v>4003</v>
      </c>
      <c r="J3147" s="270" t="s">
        <v>3928</v>
      </c>
      <c r="K3147" s="270">
        <v>6354</v>
      </c>
      <c r="L3147" s="270">
        <v>907200</v>
      </c>
      <c r="M3147" s="270" t="s">
        <v>3940</v>
      </c>
      <c r="N3147" s="270" t="s">
        <v>3944</v>
      </c>
      <c r="O3147" s="270">
        <v>2345.67</v>
      </c>
      <c r="P3147" s="270" t="s">
        <v>3944</v>
      </c>
      <c r="Q3147" s="270" t="s">
        <v>3944</v>
      </c>
      <c r="R3147" s="270">
        <v>2345.67</v>
      </c>
      <c r="S3147" s="270">
        <v>30954.29</v>
      </c>
      <c r="T3147" s="270">
        <v>33299.96</v>
      </c>
      <c r="U3147" s="271" t="s">
        <v>3945</v>
      </c>
      <c r="V3147" s="267" t="s">
        <v>944</v>
      </c>
    </row>
    <row r="3148" spans="1:22" hidden="1" x14ac:dyDescent="0.25">
      <c r="A3148" s="266">
        <v>43628</v>
      </c>
      <c r="B3148" s="267">
        <v>2019</v>
      </c>
      <c r="C3148" s="267">
        <v>2019</v>
      </c>
      <c r="D3148" s="267">
        <v>1</v>
      </c>
      <c r="E3148" s="267">
        <v>1</v>
      </c>
      <c r="F3148" s="267" t="s">
        <v>944</v>
      </c>
      <c r="G3148" s="267" t="s">
        <v>3926</v>
      </c>
      <c r="H3148" s="267" t="s">
        <v>7599</v>
      </c>
      <c r="I3148" s="267" t="s">
        <v>3964</v>
      </c>
      <c r="J3148" s="267" t="s">
        <v>3928</v>
      </c>
      <c r="K3148" s="267">
        <v>6033</v>
      </c>
      <c r="L3148" s="267">
        <v>520302</v>
      </c>
      <c r="M3148" s="267" t="s">
        <v>3940</v>
      </c>
      <c r="N3148" s="267" t="s">
        <v>3944</v>
      </c>
      <c r="O3148" s="267">
        <v>1953.04</v>
      </c>
      <c r="P3148" s="267" t="s">
        <v>3944</v>
      </c>
      <c r="Q3148" s="267" t="s">
        <v>3944</v>
      </c>
      <c r="R3148" s="267">
        <v>1953.04</v>
      </c>
      <c r="S3148" s="267">
        <v>29369.38</v>
      </c>
      <c r="T3148" s="267">
        <v>31322.42</v>
      </c>
      <c r="U3148" s="268" t="s">
        <v>3945</v>
      </c>
      <c r="V3148" s="267" t="s">
        <v>944</v>
      </c>
    </row>
    <row r="3149" spans="1:22" hidden="1" x14ac:dyDescent="0.25">
      <c r="A3149" s="269">
        <v>43628</v>
      </c>
      <c r="B3149" s="270">
        <v>2019</v>
      </c>
      <c r="C3149" s="270">
        <v>2019</v>
      </c>
      <c r="D3149" s="270">
        <v>1</v>
      </c>
      <c r="E3149" s="270">
        <v>1</v>
      </c>
      <c r="F3149" s="270" t="s">
        <v>944</v>
      </c>
      <c r="G3149" s="270" t="s">
        <v>3926</v>
      </c>
      <c r="H3149" s="270" t="s">
        <v>7600</v>
      </c>
      <c r="I3149" s="270" t="s">
        <v>4137</v>
      </c>
      <c r="J3149" s="270" t="s">
        <v>3928</v>
      </c>
      <c r="K3149" s="270">
        <v>6067</v>
      </c>
      <c r="L3149" s="270">
        <v>490302</v>
      </c>
      <c r="M3149" s="270" t="s">
        <v>3960</v>
      </c>
      <c r="N3149" s="270" t="s">
        <v>3944</v>
      </c>
      <c r="O3149" s="270">
        <v>1939.98</v>
      </c>
      <c r="P3149" s="270" t="s">
        <v>3944</v>
      </c>
      <c r="Q3149" s="270" t="s">
        <v>3944</v>
      </c>
      <c r="R3149" s="270">
        <v>1939.98</v>
      </c>
      <c r="S3149" s="270">
        <v>27029.67</v>
      </c>
      <c r="T3149" s="270">
        <v>28969.65</v>
      </c>
      <c r="U3149" s="271" t="s">
        <v>3945</v>
      </c>
      <c r="V3149" s="267" t="s">
        <v>944</v>
      </c>
    </row>
    <row r="3150" spans="1:22" hidden="1" x14ac:dyDescent="0.25">
      <c r="A3150" s="266">
        <v>43628</v>
      </c>
      <c r="B3150" s="267">
        <v>2019</v>
      </c>
      <c r="C3150" s="267">
        <v>2019</v>
      </c>
      <c r="D3150" s="267">
        <v>1</v>
      </c>
      <c r="E3150" s="267">
        <v>1</v>
      </c>
      <c r="F3150" s="267" t="s">
        <v>944</v>
      </c>
      <c r="G3150" s="267" t="s">
        <v>3926</v>
      </c>
      <c r="H3150" s="267" t="s">
        <v>7601</v>
      </c>
      <c r="I3150" s="267" t="s">
        <v>4011</v>
      </c>
      <c r="J3150" s="267" t="s">
        <v>3928</v>
      </c>
      <c r="K3150" s="267">
        <v>6002</v>
      </c>
      <c r="L3150" s="267">
        <v>471500</v>
      </c>
      <c r="M3150" s="267" t="s">
        <v>3935</v>
      </c>
      <c r="N3150" s="267" t="s">
        <v>3944</v>
      </c>
      <c r="O3150" s="267">
        <v>1084.06</v>
      </c>
      <c r="P3150" s="267" t="s">
        <v>3944</v>
      </c>
      <c r="Q3150" s="267" t="s">
        <v>3944</v>
      </c>
      <c r="R3150" s="267">
        <v>1084.06</v>
      </c>
      <c r="S3150" s="267">
        <v>17398.41</v>
      </c>
      <c r="T3150" s="267">
        <v>18482.47</v>
      </c>
      <c r="U3150" s="268" t="s">
        <v>3945</v>
      </c>
      <c r="V3150" s="267" t="s">
        <v>944</v>
      </c>
    </row>
    <row r="3151" spans="1:22" hidden="1" x14ac:dyDescent="0.25">
      <c r="A3151" s="269">
        <v>43628</v>
      </c>
      <c r="B3151" s="270">
        <v>2019</v>
      </c>
      <c r="C3151" s="270">
        <v>2019</v>
      </c>
      <c r="D3151" s="270">
        <v>1</v>
      </c>
      <c r="E3151" s="270">
        <v>1</v>
      </c>
      <c r="F3151" s="270" t="s">
        <v>944</v>
      </c>
      <c r="G3151" s="270" t="s">
        <v>3926</v>
      </c>
      <c r="H3151" s="270" t="s">
        <v>7602</v>
      </c>
      <c r="I3151" s="270" t="s">
        <v>4040</v>
      </c>
      <c r="J3151" s="270" t="s">
        <v>3928</v>
      </c>
      <c r="K3151" s="270">
        <v>6339</v>
      </c>
      <c r="L3151" s="270">
        <v>701100</v>
      </c>
      <c r="M3151" s="270" t="s">
        <v>3960</v>
      </c>
      <c r="N3151" s="270" t="s">
        <v>3944</v>
      </c>
      <c r="O3151" s="270">
        <v>1516.48</v>
      </c>
      <c r="P3151" s="270" t="s">
        <v>3944</v>
      </c>
      <c r="Q3151" s="270" t="s">
        <v>3944</v>
      </c>
      <c r="R3151" s="270">
        <v>1516.48</v>
      </c>
      <c r="S3151" s="270">
        <v>22406.15</v>
      </c>
      <c r="T3151" s="270">
        <v>23922.63</v>
      </c>
      <c r="U3151" s="271" t="s">
        <v>3945</v>
      </c>
      <c r="V3151" s="267" t="s">
        <v>944</v>
      </c>
    </row>
    <row r="3152" spans="1:22" hidden="1" x14ac:dyDescent="0.25">
      <c r="A3152" s="266">
        <v>43628</v>
      </c>
      <c r="B3152" s="267">
        <v>2019</v>
      </c>
      <c r="C3152" s="267">
        <v>2019</v>
      </c>
      <c r="D3152" s="267">
        <v>1</v>
      </c>
      <c r="E3152" s="267">
        <v>1</v>
      </c>
      <c r="F3152" s="267" t="s">
        <v>944</v>
      </c>
      <c r="G3152" s="267" t="s">
        <v>3926</v>
      </c>
      <c r="H3152" s="267" t="s">
        <v>7603</v>
      </c>
      <c r="I3152" s="267" t="s">
        <v>4019</v>
      </c>
      <c r="J3152" s="267" t="s">
        <v>3928</v>
      </c>
      <c r="K3152" s="267">
        <v>6706</v>
      </c>
      <c r="L3152" s="267">
        <v>351500</v>
      </c>
      <c r="M3152" s="267" t="s">
        <v>3940</v>
      </c>
      <c r="N3152" s="267" t="s">
        <v>3944</v>
      </c>
      <c r="O3152" s="267">
        <v>2023.77</v>
      </c>
      <c r="P3152" s="267" t="s">
        <v>3944</v>
      </c>
      <c r="Q3152" s="267" t="s">
        <v>3944</v>
      </c>
      <c r="R3152" s="267">
        <v>2023.77</v>
      </c>
      <c r="S3152" s="267">
        <v>27084.07</v>
      </c>
      <c r="T3152" s="267">
        <v>29107.84</v>
      </c>
      <c r="U3152" s="268" t="s">
        <v>3945</v>
      </c>
      <c r="V3152" s="267" t="s">
        <v>944</v>
      </c>
    </row>
    <row r="3153" spans="1:22" hidden="1" x14ac:dyDescent="0.25">
      <c r="A3153" s="269">
        <v>43629</v>
      </c>
      <c r="B3153" s="270">
        <v>2019</v>
      </c>
      <c r="C3153" s="270">
        <v>2019</v>
      </c>
      <c r="D3153" s="270">
        <v>1</v>
      </c>
      <c r="E3153" s="270">
        <v>1</v>
      </c>
      <c r="F3153" s="270" t="s">
        <v>944</v>
      </c>
      <c r="G3153" s="270" t="s">
        <v>3926</v>
      </c>
      <c r="H3153" s="270" t="s">
        <v>7604</v>
      </c>
      <c r="I3153" s="270" t="s">
        <v>953</v>
      </c>
      <c r="J3153" s="270" t="s">
        <v>3928</v>
      </c>
      <c r="K3153" s="270">
        <v>6514</v>
      </c>
      <c r="L3153" s="270">
        <v>165802</v>
      </c>
      <c r="M3153" s="270" t="s">
        <v>3943</v>
      </c>
      <c r="N3153" s="270" t="s">
        <v>7605</v>
      </c>
      <c r="O3153" s="270">
        <v>0</v>
      </c>
      <c r="P3153" s="270" t="s">
        <v>3930</v>
      </c>
      <c r="Q3153" s="270" t="s">
        <v>3930</v>
      </c>
      <c r="R3153" s="270">
        <v>0</v>
      </c>
      <c r="S3153" s="270">
        <v>9793.2900000000009</v>
      </c>
      <c r="T3153" s="270">
        <v>9793.2900000000009</v>
      </c>
      <c r="U3153" s="271" t="s">
        <v>3937</v>
      </c>
      <c r="V3153" s="267" t="s">
        <v>944</v>
      </c>
    </row>
    <row r="3154" spans="1:22" hidden="1" x14ac:dyDescent="0.25">
      <c r="A3154" s="266">
        <v>43629</v>
      </c>
      <c r="B3154" s="267">
        <v>2019</v>
      </c>
      <c r="C3154" s="267">
        <v>2019</v>
      </c>
      <c r="D3154" s="267">
        <v>1</v>
      </c>
      <c r="E3154" s="267">
        <v>1</v>
      </c>
      <c r="F3154" s="267" t="s">
        <v>944</v>
      </c>
      <c r="G3154" s="267" t="s">
        <v>3926</v>
      </c>
      <c r="H3154" s="267" t="s">
        <v>7606</v>
      </c>
      <c r="I3154" s="267" t="s">
        <v>4011</v>
      </c>
      <c r="J3154" s="267" t="s">
        <v>3928</v>
      </c>
      <c r="K3154" s="267">
        <v>6002</v>
      </c>
      <c r="L3154" s="267">
        <v>471400</v>
      </c>
      <c r="M3154" s="267" t="s">
        <v>3943</v>
      </c>
      <c r="N3154" s="267" t="s">
        <v>3929</v>
      </c>
      <c r="O3154" s="267">
        <v>2298.17</v>
      </c>
      <c r="P3154" s="267" t="s">
        <v>3930</v>
      </c>
      <c r="Q3154" s="267" t="s">
        <v>3931</v>
      </c>
      <c r="R3154" s="267">
        <v>7298.17</v>
      </c>
      <c r="S3154" s="267">
        <v>34744</v>
      </c>
      <c r="T3154" s="267">
        <v>42042.17</v>
      </c>
      <c r="U3154" s="268" t="s">
        <v>3932</v>
      </c>
      <c r="V3154" s="267" t="s">
        <v>944</v>
      </c>
    </row>
    <row r="3155" spans="1:22" hidden="1" x14ac:dyDescent="0.25">
      <c r="A3155" s="269">
        <v>43629</v>
      </c>
      <c r="B3155" s="270">
        <v>2019</v>
      </c>
      <c r="C3155" s="270">
        <v>2019</v>
      </c>
      <c r="D3155" s="270">
        <v>1</v>
      </c>
      <c r="E3155" s="270">
        <v>1</v>
      </c>
      <c r="F3155" s="270" t="s">
        <v>944</v>
      </c>
      <c r="G3155" s="270" t="s">
        <v>3926</v>
      </c>
      <c r="H3155" s="270" t="s">
        <v>7607</v>
      </c>
      <c r="I3155" s="270" t="s">
        <v>934</v>
      </c>
      <c r="J3155" s="270" t="s">
        <v>3928</v>
      </c>
      <c r="K3155" s="270">
        <v>6606</v>
      </c>
      <c r="L3155" s="270">
        <v>72900</v>
      </c>
      <c r="M3155" s="270" t="s">
        <v>3940</v>
      </c>
      <c r="N3155" s="270" t="s">
        <v>4523</v>
      </c>
      <c r="O3155" s="270">
        <v>4213.08</v>
      </c>
      <c r="P3155" s="270" t="s">
        <v>3930</v>
      </c>
      <c r="Q3155" s="270" t="s">
        <v>3931</v>
      </c>
      <c r="R3155" s="270">
        <v>9213.08</v>
      </c>
      <c r="S3155" s="270">
        <v>25412.799999999999</v>
      </c>
      <c r="T3155" s="270">
        <v>34625.879999999997</v>
      </c>
      <c r="U3155" s="271" t="s">
        <v>3932</v>
      </c>
      <c r="V3155" s="267" t="s">
        <v>944</v>
      </c>
    </row>
    <row r="3156" spans="1:22" hidden="1" x14ac:dyDescent="0.25">
      <c r="A3156" s="266">
        <v>43629</v>
      </c>
      <c r="B3156" s="267">
        <v>2019</v>
      </c>
      <c r="C3156" s="267">
        <v>2019</v>
      </c>
      <c r="D3156" s="267">
        <v>1</v>
      </c>
      <c r="E3156" s="267">
        <v>1</v>
      </c>
      <c r="F3156" s="267" t="s">
        <v>944</v>
      </c>
      <c r="G3156" s="267" t="s">
        <v>3926</v>
      </c>
      <c r="H3156" s="267" t="s">
        <v>7608</v>
      </c>
      <c r="I3156" s="267" t="s">
        <v>3999</v>
      </c>
      <c r="J3156" s="267" t="s">
        <v>3928</v>
      </c>
      <c r="K3156" s="267">
        <v>6451</v>
      </c>
      <c r="L3156" s="267">
        <v>170500</v>
      </c>
      <c r="M3156" s="267" t="s">
        <v>3935</v>
      </c>
      <c r="N3156" s="267" t="s">
        <v>4103</v>
      </c>
      <c r="O3156" s="267">
        <v>1870.09</v>
      </c>
      <c r="P3156" s="267" t="s">
        <v>3930</v>
      </c>
      <c r="Q3156" s="267" t="s">
        <v>3931</v>
      </c>
      <c r="R3156" s="267">
        <v>6870.09</v>
      </c>
      <c r="S3156" s="267">
        <v>24145.599999999999</v>
      </c>
      <c r="T3156" s="267">
        <v>31015.69</v>
      </c>
      <c r="U3156" s="268" t="s">
        <v>3932</v>
      </c>
      <c r="V3156" s="267" t="s">
        <v>944</v>
      </c>
    </row>
    <row r="3157" spans="1:22" hidden="1" x14ac:dyDescent="0.25">
      <c r="A3157" s="269">
        <v>43629</v>
      </c>
      <c r="B3157" s="270">
        <v>2019</v>
      </c>
      <c r="C3157" s="270">
        <v>2019</v>
      </c>
      <c r="D3157" s="270">
        <v>1</v>
      </c>
      <c r="E3157" s="270">
        <v>1</v>
      </c>
      <c r="F3157" s="270" t="s">
        <v>944</v>
      </c>
      <c r="G3157" s="270" t="s">
        <v>3926</v>
      </c>
      <c r="H3157" s="270" t="s">
        <v>7609</v>
      </c>
      <c r="I3157" s="270" t="s">
        <v>4087</v>
      </c>
      <c r="J3157" s="270" t="s">
        <v>3928</v>
      </c>
      <c r="K3157" s="270">
        <v>6340</v>
      </c>
      <c r="L3157" s="270">
        <v>702800</v>
      </c>
      <c r="M3157" s="270" t="s">
        <v>3935</v>
      </c>
      <c r="N3157" s="270" t="s">
        <v>7610</v>
      </c>
      <c r="O3157" s="270">
        <v>0</v>
      </c>
      <c r="P3157" s="270" t="s">
        <v>3930</v>
      </c>
      <c r="Q3157" s="270" t="s">
        <v>3930</v>
      </c>
      <c r="R3157" s="270">
        <v>0</v>
      </c>
      <c r="S3157" s="270">
        <v>4966</v>
      </c>
      <c r="T3157" s="270">
        <v>4966</v>
      </c>
      <c r="U3157" s="271" t="s">
        <v>3937</v>
      </c>
      <c r="V3157" s="267" t="s">
        <v>944</v>
      </c>
    </row>
    <row r="3158" spans="1:22" hidden="1" x14ac:dyDescent="0.25">
      <c r="A3158" s="266">
        <v>43629</v>
      </c>
      <c r="B3158" s="267">
        <v>2019</v>
      </c>
      <c r="C3158" s="267">
        <v>2019</v>
      </c>
      <c r="D3158" s="267">
        <v>1</v>
      </c>
      <c r="E3158" s="267">
        <v>1</v>
      </c>
      <c r="F3158" s="267" t="s">
        <v>944</v>
      </c>
      <c r="G3158" s="267" t="s">
        <v>3926</v>
      </c>
      <c r="H3158" s="267" t="s">
        <v>7611</v>
      </c>
      <c r="I3158" s="267" t="s">
        <v>4019</v>
      </c>
      <c r="J3158" s="267" t="s">
        <v>3928</v>
      </c>
      <c r="K3158" s="267">
        <v>6708</v>
      </c>
      <c r="L3158" s="267">
        <v>352000</v>
      </c>
      <c r="M3158" s="267" t="s">
        <v>3935</v>
      </c>
      <c r="N3158" s="267" t="s">
        <v>5363</v>
      </c>
      <c r="O3158" s="267">
        <v>0</v>
      </c>
      <c r="P3158" s="267" t="s">
        <v>3930</v>
      </c>
      <c r="Q3158" s="267" t="s">
        <v>3930</v>
      </c>
      <c r="R3158" s="267">
        <v>0</v>
      </c>
      <c r="S3158" s="267">
        <v>7800</v>
      </c>
      <c r="T3158" s="267">
        <v>7800</v>
      </c>
      <c r="U3158" s="268" t="s">
        <v>3937</v>
      </c>
      <c r="V3158" s="267" t="s">
        <v>944</v>
      </c>
    </row>
    <row r="3159" spans="1:22" hidden="1" x14ac:dyDescent="0.25">
      <c r="A3159" s="269">
        <v>43629</v>
      </c>
      <c r="B3159" s="270">
        <v>2019</v>
      </c>
      <c r="C3159" s="270">
        <v>2019</v>
      </c>
      <c r="D3159" s="270">
        <v>1</v>
      </c>
      <c r="E3159" s="270">
        <v>1</v>
      </c>
      <c r="F3159" s="270" t="s">
        <v>944</v>
      </c>
      <c r="G3159" s="270" t="s">
        <v>3926</v>
      </c>
      <c r="H3159" s="270" t="s">
        <v>7612</v>
      </c>
      <c r="I3159" s="270" t="s">
        <v>3966</v>
      </c>
      <c r="J3159" s="270" t="s">
        <v>3928</v>
      </c>
      <c r="K3159" s="270">
        <v>6010</v>
      </c>
      <c r="L3159" s="270">
        <v>406100</v>
      </c>
      <c r="M3159" s="270">
        <v>-60</v>
      </c>
      <c r="N3159" s="270" t="s">
        <v>3944</v>
      </c>
      <c r="O3159" s="270">
        <v>1702</v>
      </c>
      <c r="P3159" s="270" t="s">
        <v>3944</v>
      </c>
      <c r="Q3159" s="270" t="s">
        <v>3944</v>
      </c>
      <c r="R3159" s="270">
        <v>1702</v>
      </c>
      <c r="S3159" s="270">
        <v>23681.599999999999</v>
      </c>
      <c r="T3159" s="270">
        <v>25383.599999999999</v>
      </c>
      <c r="U3159" s="271" t="s">
        <v>3945</v>
      </c>
      <c r="V3159" s="267" t="s">
        <v>944</v>
      </c>
    </row>
    <row r="3160" spans="1:22" hidden="1" x14ac:dyDescent="0.25">
      <c r="A3160" s="266">
        <v>43629</v>
      </c>
      <c r="B3160" s="267">
        <v>2019</v>
      </c>
      <c r="C3160" s="267">
        <v>2019</v>
      </c>
      <c r="D3160" s="267">
        <v>1</v>
      </c>
      <c r="E3160" s="267">
        <v>1</v>
      </c>
      <c r="F3160" s="267" t="s">
        <v>944</v>
      </c>
      <c r="G3160" s="267" t="s">
        <v>3926</v>
      </c>
      <c r="H3160" s="267" t="s">
        <v>7613</v>
      </c>
      <c r="I3160" s="267" t="s">
        <v>4073</v>
      </c>
      <c r="J3160" s="267" t="s">
        <v>3928</v>
      </c>
      <c r="K3160" s="267">
        <v>6776</v>
      </c>
      <c r="L3160" s="267">
        <v>253400</v>
      </c>
      <c r="M3160" s="267" t="s">
        <v>3943</v>
      </c>
      <c r="N3160" s="267" t="s">
        <v>3944</v>
      </c>
      <c r="O3160" s="267">
        <v>6543</v>
      </c>
      <c r="P3160" s="267" t="s">
        <v>3944</v>
      </c>
      <c r="Q3160" s="267" t="s">
        <v>3944</v>
      </c>
      <c r="R3160" s="267">
        <v>6543</v>
      </c>
      <c r="S3160" s="267">
        <v>62510.7</v>
      </c>
      <c r="T3160" s="267">
        <v>69053.7</v>
      </c>
      <c r="U3160" s="268" t="s">
        <v>3945</v>
      </c>
      <c r="V3160" s="267" t="s">
        <v>944</v>
      </c>
    </row>
    <row r="3161" spans="1:22" hidden="1" x14ac:dyDescent="0.25">
      <c r="A3161" s="269">
        <v>43629</v>
      </c>
      <c r="B3161" s="270">
        <v>2019</v>
      </c>
      <c r="C3161" s="270">
        <v>2019</v>
      </c>
      <c r="D3161" s="270">
        <v>1</v>
      </c>
      <c r="E3161" s="270">
        <v>1</v>
      </c>
      <c r="F3161" s="270" t="s">
        <v>944</v>
      </c>
      <c r="G3161" s="270" t="s">
        <v>3926</v>
      </c>
      <c r="H3161" s="270" t="s">
        <v>7614</v>
      </c>
      <c r="I3161" s="270" t="s">
        <v>3966</v>
      </c>
      <c r="J3161" s="270" t="s">
        <v>3928</v>
      </c>
      <c r="K3161" s="270">
        <v>6010</v>
      </c>
      <c r="L3161" s="270">
        <v>405900</v>
      </c>
      <c r="M3161" s="270" t="s">
        <v>3960</v>
      </c>
      <c r="N3161" s="270" t="s">
        <v>3944</v>
      </c>
      <c r="O3161" s="270">
        <v>2657</v>
      </c>
      <c r="P3161" s="270" t="s">
        <v>3944</v>
      </c>
      <c r="Q3161" s="270" t="s">
        <v>3944</v>
      </c>
      <c r="R3161" s="270">
        <v>2657</v>
      </c>
      <c r="S3161" s="270">
        <v>38671</v>
      </c>
      <c r="T3161" s="270">
        <v>41328</v>
      </c>
      <c r="U3161" s="271" t="s">
        <v>3945</v>
      </c>
      <c r="V3161" s="267" t="s">
        <v>944</v>
      </c>
    </row>
    <row r="3162" spans="1:22" hidden="1" x14ac:dyDescent="0.25">
      <c r="A3162" s="266">
        <v>43629</v>
      </c>
      <c r="B3162" s="267">
        <v>2019</v>
      </c>
      <c r="C3162" s="267">
        <v>2019</v>
      </c>
      <c r="D3162" s="267">
        <v>1</v>
      </c>
      <c r="E3162" s="267">
        <v>1</v>
      </c>
      <c r="F3162" s="267" t="s">
        <v>944</v>
      </c>
      <c r="G3162" s="267" t="s">
        <v>3926</v>
      </c>
      <c r="H3162" s="267" t="s">
        <v>7615</v>
      </c>
      <c r="I3162" s="267" t="s">
        <v>4114</v>
      </c>
      <c r="J3162" s="267" t="s">
        <v>3928</v>
      </c>
      <c r="K3162" s="267">
        <v>6410</v>
      </c>
      <c r="L3162" s="267">
        <v>343101</v>
      </c>
      <c r="M3162" s="267" t="s">
        <v>3943</v>
      </c>
      <c r="N3162" s="267" t="s">
        <v>3944</v>
      </c>
      <c r="O3162" s="267">
        <v>8492</v>
      </c>
      <c r="P3162" s="267" t="s">
        <v>3944</v>
      </c>
      <c r="Q3162" s="267" t="s">
        <v>3944</v>
      </c>
      <c r="R3162" s="267">
        <v>8492</v>
      </c>
      <c r="S3162" s="267">
        <v>60700.57</v>
      </c>
      <c r="T3162" s="267">
        <v>69192.570000000007</v>
      </c>
      <c r="U3162" s="268" t="s">
        <v>3945</v>
      </c>
      <c r="V3162" s="267" t="s">
        <v>944</v>
      </c>
    </row>
    <row r="3163" spans="1:22" hidden="1" x14ac:dyDescent="0.25">
      <c r="A3163" s="269">
        <v>43629</v>
      </c>
      <c r="B3163" s="270">
        <v>2019</v>
      </c>
      <c r="C3163" s="270">
        <v>2019</v>
      </c>
      <c r="D3163" s="270">
        <v>1</v>
      </c>
      <c r="E3163" s="270">
        <v>1</v>
      </c>
      <c r="F3163" s="270" t="s">
        <v>944</v>
      </c>
      <c r="G3163" s="270" t="s">
        <v>3926</v>
      </c>
      <c r="H3163" s="270" t="s">
        <v>7616</v>
      </c>
      <c r="I3163" s="270" t="s">
        <v>950</v>
      </c>
      <c r="J3163" s="270" t="s">
        <v>3928</v>
      </c>
      <c r="K3163" s="270">
        <v>6516</v>
      </c>
      <c r="L3163" s="270">
        <v>155000</v>
      </c>
      <c r="M3163" s="270" t="s">
        <v>3940</v>
      </c>
      <c r="N3163" s="270" t="s">
        <v>3944</v>
      </c>
      <c r="O3163" s="270">
        <v>2779</v>
      </c>
      <c r="P3163" s="270" t="s">
        <v>3944</v>
      </c>
      <c r="Q3163" s="270" t="s">
        <v>3944</v>
      </c>
      <c r="R3163" s="270">
        <v>2779</v>
      </c>
      <c r="S3163" s="270">
        <v>22741.119999999999</v>
      </c>
      <c r="T3163" s="270">
        <v>25520.12</v>
      </c>
      <c r="U3163" s="271" t="s">
        <v>3945</v>
      </c>
      <c r="V3163" s="267" t="s">
        <v>944</v>
      </c>
    </row>
    <row r="3164" spans="1:22" hidden="1" x14ac:dyDescent="0.25">
      <c r="A3164" s="266">
        <v>43629</v>
      </c>
      <c r="B3164" s="267">
        <v>2019</v>
      </c>
      <c r="C3164" s="267">
        <v>2019</v>
      </c>
      <c r="D3164" s="267">
        <v>1</v>
      </c>
      <c r="E3164" s="267">
        <v>1</v>
      </c>
      <c r="F3164" s="267" t="s">
        <v>944</v>
      </c>
      <c r="G3164" s="267" t="s">
        <v>3926</v>
      </c>
      <c r="H3164" s="267" t="s">
        <v>7617</v>
      </c>
      <c r="I3164" s="267" t="s">
        <v>4040</v>
      </c>
      <c r="J3164" s="267" t="s">
        <v>3928</v>
      </c>
      <c r="K3164" s="267">
        <v>6339</v>
      </c>
      <c r="L3164" s="267">
        <v>701100</v>
      </c>
      <c r="M3164" s="267" t="s">
        <v>3960</v>
      </c>
      <c r="N3164" s="267" t="s">
        <v>3944</v>
      </c>
      <c r="O3164" s="267">
        <v>3807</v>
      </c>
      <c r="P3164" s="267" t="s">
        <v>3944</v>
      </c>
      <c r="Q3164" s="267" t="s">
        <v>3944</v>
      </c>
      <c r="R3164" s="267">
        <v>3807</v>
      </c>
      <c r="S3164" s="267">
        <v>31171.599999999999</v>
      </c>
      <c r="T3164" s="267">
        <v>34978.6</v>
      </c>
      <c r="U3164" s="268" t="s">
        <v>3945</v>
      </c>
      <c r="V3164" s="267" t="s">
        <v>944</v>
      </c>
    </row>
    <row r="3165" spans="1:22" hidden="1" x14ac:dyDescent="0.25">
      <c r="A3165" s="269">
        <v>43629</v>
      </c>
      <c r="B3165" s="270">
        <v>2019</v>
      </c>
      <c r="C3165" s="270">
        <v>2019</v>
      </c>
      <c r="D3165" s="270">
        <v>1</v>
      </c>
      <c r="E3165" s="270">
        <v>1</v>
      </c>
      <c r="F3165" s="270" t="s">
        <v>944</v>
      </c>
      <c r="G3165" s="270" t="s">
        <v>3997</v>
      </c>
      <c r="H3165" s="270" t="s">
        <v>7618</v>
      </c>
      <c r="I3165" s="270" t="s">
        <v>3008</v>
      </c>
      <c r="J3165" s="270" t="s">
        <v>3928</v>
      </c>
      <c r="K3165" s="270">
        <v>6460</v>
      </c>
      <c r="L3165" s="270">
        <v>150100</v>
      </c>
      <c r="M3165" s="270" t="s">
        <v>3960</v>
      </c>
      <c r="N3165" s="270" t="s">
        <v>3944</v>
      </c>
      <c r="O3165" s="270">
        <v>972.69</v>
      </c>
      <c r="P3165" s="270" t="s">
        <v>3944</v>
      </c>
      <c r="Q3165" s="270" t="s">
        <v>3944</v>
      </c>
      <c r="R3165" s="270">
        <v>972.69</v>
      </c>
      <c r="S3165" s="270">
        <v>15457.71</v>
      </c>
      <c r="T3165" s="270">
        <v>16430.400000000001</v>
      </c>
      <c r="U3165" s="271" t="s">
        <v>3945</v>
      </c>
      <c r="V3165" s="267" t="s">
        <v>944</v>
      </c>
    </row>
    <row r="3166" spans="1:22" hidden="1" x14ac:dyDescent="0.25">
      <c r="A3166" s="266">
        <v>43629</v>
      </c>
      <c r="B3166" s="267">
        <v>2019</v>
      </c>
      <c r="C3166" s="267">
        <v>2019</v>
      </c>
      <c r="D3166" s="267">
        <v>1</v>
      </c>
      <c r="E3166" s="267">
        <v>1</v>
      </c>
      <c r="F3166" s="267" t="s">
        <v>944</v>
      </c>
      <c r="G3166" s="267" t="s">
        <v>3926</v>
      </c>
      <c r="H3166" s="267" t="s">
        <v>7619</v>
      </c>
      <c r="I3166" s="267" t="s">
        <v>3009</v>
      </c>
      <c r="J3166" s="267" t="s">
        <v>3928</v>
      </c>
      <c r="K3166" s="267">
        <v>6484</v>
      </c>
      <c r="L3166" s="267">
        <v>110202</v>
      </c>
      <c r="M3166" s="267" t="s">
        <v>3935</v>
      </c>
      <c r="N3166" s="267" t="s">
        <v>3944</v>
      </c>
      <c r="O3166" s="267">
        <v>1839</v>
      </c>
      <c r="P3166" s="267" t="s">
        <v>3944</v>
      </c>
      <c r="Q3166" s="267" t="s">
        <v>3944</v>
      </c>
      <c r="R3166" s="267">
        <v>1839</v>
      </c>
      <c r="S3166" s="267">
        <v>31236</v>
      </c>
      <c r="T3166" s="267">
        <v>33075</v>
      </c>
      <c r="U3166" s="268" t="s">
        <v>3945</v>
      </c>
      <c r="V3166" s="267" t="s">
        <v>944</v>
      </c>
    </row>
    <row r="3167" spans="1:22" hidden="1" x14ac:dyDescent="0.25">
      <c r="A3167" s="269">
        <v>43629</v>
      </c>
      <c r="B3167" s="270">
        <v>2019</v>
      </c>
      <c r="C3167" s="270">
        <v>2019</v>
      </c>
      <c r="D3167" s="270">
        <v>1</v>
      </c>
      <c r="E3167" s="270">
        <v>1</v>
      </c>
      <c r="F3167" s="270" t="s">
        <v>944</v>
      </c>
      <c r="G3167" s="270" t="s">
        <v>3926</v>
      </c>
      <c r="H3167" s="270" t="s">
        <v>7620</v>
      </c>
      <c r="I3167" s="270" t="s">
        <v>4019</v>
      </c>
      <c r="J3167" s="270" t="s">
        <v>3928</v>
      </c>
      <c r="K3167" s="270">
        <v>6706</v>
      </c>
      <c r="L3167" s="270">
        <v>351500</v>
      </c>
      <c r="M3167" s="270" t="s">
        <v>3940</v>
      </c>
      <c r="N3167" s="270" t="s">
        <v>3944</v>
      </c>
      <c r="O3167" s="270">
        <v>2347</v>
      </c>
      <c r="P3167" s="270" t="s">
        <v>3944</v>
      </c>
      <c r="Q3167" s="270" t="s">
        <v>3944</v>
      </c>
      <c r="R3167" s="270">
        <v>2347</v>
      </c>
      <c r="S3167" s="270">
        <v>31515.5</v>
      </c>
      <c r="T3167" s="270">
        <v>33862.5</v>
      </c>
      <c r="U3167" s="271" t="s">
        <v>3945</v>
      </c>
      <c r="V3167" s="267" t="s">
        <v>944</v>
      </c>
    </row>
    <row r="3168" spans="1:22" hidden="1" x14ac:dyDescent="0.25">
      <c r="A3168" s="266">
        <v>43629</v>
      </c>
      <c r="B3168" s="267">
        <v>2019</v>
      </c>
      <c r="C3168" s="267">
        <v>2019</v>
      </c>
      <c r="D3168" s="267">
        <v>1</v>
      </c>
      <c r="E3168" s="267">
        <v>1</v>
      </c>
      <c r="F3168" s="267" t="s">
        <v>944</v>
      </c>
      <c r="G3168" s="267" t="s">
        <v>3926</v>
      </c>
      <c r="H3168" s="267" t="s">
        <v>7621</v>
      </c>
      <c r="I3168" s="267" t="s">
        <v>4213</v>
      </c>
      <c r="J3168" s="267" t="s">
        <v>3928</v>
      </c>
      <c r="K3168" s="267">
        <v>6051</v>
      </c>
      <c r="L3168" s="267">
        <v>415400</v>
      </c>
      <c r="M3168" s="267">
        <v>-60</v>
      </c>
      <c r="N3168" s="267" t="s">
        <v>3944</v>
      </c>
      <c r="O3168" s="267">
        <v>1868.86</v>
      </c>
      <c r="P3168" s="267" t="s">
        <v>3944</v>
      </c>
      <c r="Q3168" s="267" t="s">
        <v>3944</v>
      </c>
      <c r="R3168" s="267">
        <v>1868.86</v>
      </c>
      <c r="S3168" s="267">
        <v>27939.14</v>
      </c>
      <c r="T3168" s="267">
        <v>29808</v>
      </c>
      <c r="U3168" s="268" t="s">
        <v>3945</v>
      </c>
      <c r="V3168" s="267" t="s">
        <v>944</v>
      </c>
    </row>
    <row r="3169" spans="1:22" hidden="1" x14ac:dyDescent="0.25">
      <c r="A3169" s="269">
        <v>43629</v>
      </c>
      <c r="B3169" s="270">
        <v>2019</v>
      </c>
      <c r="C3169" s="270">
        <v>2019</v>
      </c>
      <c r="D3169" s="270">
        <v>1</v>
      </c>
      <c r="E3169" s="270">
        <v>1</v>
      </c>
      <c r="F3169" s="270" t="s">
        <v>944</v>
      </c>
      <c r="G3169" s="270" t="s">
        <v>3926</v>
      </c>
      <c r="H3169" s="270" t="s">
        <v>7622</v>
      </c>
      <c r="I3169" s="270" t="s">
        <v>2987</v>
      </c>
      <c r="J3169" s="270" t="s">
        <v>3928</v>
      </c>
      <c r="K3169" s="270">
        <v>6611</v>
      </c>
      <c r="L3169" s="270">
        <v>90200</v>
      </c>
      <c r="M3169" s="270" t="s">
        <v>3943</v>
      </c>
      <c r="N3169" s="270" t="s">
        <v>3944</v>
      </c>
      <c r="O3169" s="270">
        <v>3840.55</v>
      </c>
      <c r="P3169" s="270" t="s">
        <v>3944</v>
      </c>
      <c r="Q3169" s="270" t="s">
        <v>3944</v>
      </c>
      <c r="R3169" s="270">
        <v>3840.55</v>
      </c>
      <c r="S3169" s="270">
        <v>60959.45</v>
      </c>
      <c r="T3169" s="270">
        <v>64800</v>
      </c>
      <c r="U3169" s="271" t="s">
        <v>3945</v>
      </c>
      <c r="V3169" s="267" t="s">
        <v>944</v>
      </c>
    </row>
    <row r="3170" spans="1:22" hidden="1" x14ac:dyDescent="0.25">
      <c r="A3170" s="266">
        <v>43629</v>
      </c>
      <c r="B3170" s="267">
        <v>2019</v>
      </c>
      <c r="C3170" s="267">
        <v>2019</v>
      </c>
      <c r="D3170" s="267">
        <v>1</v>
      </c>
      <c r="E3170" s="267">
        <v>1</v>
      </c>
      <c r="F3170" s="267" t="s">
        <v>944</v>
      </c>
      <c r="G3170" s="267" t="s">
        <v>3926</v>
      </c>
      <c r="H3170" s="267" t="s">
        <v>7623</v>
      </c>
      <c r="I3170" s="267" t="s">
        <v>4019</v>
      </c>
      <c r="J3170" s="267" t="s">
        <v>3928</v>
      </c>
      <c r="K3170" s="267">
        <v>6705</v>
      </c>
      <c r="L3170" s="267">
        <v>352600</v>
      </c>
      <c r="M3170" s="267">
        <v>-60</v>
      </c>
      <c r="N3170" s="267" t="s">
        <v>3944</v>
      </c>
      <c r="O3170" s="267">
        <v>881.44</v>
      </c>
      <c r="P3170" s="267" t="s">
        <v>3944</v>
      </c>
      <c r="Q3170" s="267" t="s">
        <v>3944</v>
      </c>
      <c r="R3170" s="267">
        <v>881.44</v>
      </c>
      <c r="S3170" s="267">
        <v>12660.74</v>
      </c>
      <c r="T3170" s="267">
        <v>13542.18</v>
      </c>
      <c r="U3170" s="268" t="s">
        <v>3945</v>
      </c>
      <c r="V3170" s="267" t="s">
        <v>944</v>
      </c>
    </row>
    <row r="3171" spans="1:22" hidden="1" x14ac:dyDescent="0.25">
      <c r="A3171" s="269">
        <v>43629</v>
      </c>
      <c r="B3171" s="270">
        <v>2019</v>
      </c>
      <c r="C3171" s="270">
        <v>2019</v>
      </c>
      <c r="D3171" s="270">
        <v>1</v>
      </c>
      <c r="E3171" s="270">
        <v>1</v>
      </c>
      <c r="F3171" s="270" t="s">
        <v>944</v>
      </c>
      <c r="G3171" s="270" t="s">
        <v>3926</v>
      </c>
      <c r="H3171" s="270" t="s">
        <v>7624</v>
      </c>
      <c r="I3171" s="270" t="s">
        <v>4087</v>
      </c>
      <c r="J3171" s="270" t="s">
        <v>3928</v>
      </c>
      <c r="K3171" s="270">
        <v>6355</v>
      </c>
      <c r="L3171" s="270">
        <v>702100</v>
      </c>
      <c r="M3171" s="270" t="s">
        <v>3960</v>
      </c>
      <c r="N3171" s="270" t="s">
        <v>3944</v>
      </c>
      <c r="O3171" s="270">
        <v>2250.0500000000002</v>
      </c>
      <c r="P3171" s="270" t="s">
        <v>3944</v>
      </c>
      <c r="Q3171" s="270" t="s">
        <v>3944</v>
      </c>
      <c r="R3171" s="270">
        <v>2250.0500000000002</v>
      </c>
      <c r="S3171" s="270">
        <v>45737.07</v>
      </c>
      <c r="T3171" s="270">
        <v>47987.12</v>
      </c>
      <c r="U3171" s="271" t="s">
        <v>3945</v>
      </c>
      <c r="V3171" s="267" t="s">
        <v>944</v>
      </c>
    </row>
    <row r="3172" spans="1:22" hidden="1" x14ac:dyDescent="0.25">
      <c r="A3172" s="266">
        <v>43629</v>
      </c>
      <c r="B3172" s="267">
        <v>2019</v>
      </c>
      <c r="C3172" s="267">
        <v>2019</v>
      </c>
      <c r="D3172" s="267">
        <v>1</v>
      </c>
      <c r="E3172" s="267">
        <v>1</v>
      </c>
      <c r="F3172" s="267" t="s">
        <v>944</v>
      </c>
      <c r="G3172" s="267" t="s">
        <v>3926</v>
      </c>
      <c r="H3172" s="267" t="s">
        <v>7625</v>
      </c>
      <c r="I3172" s="267" t="s">
        <v>4392</v>
      </c>
      <c r="J3172" s="267" t="s">
        <v>3928</v>
      </c>
      <c r="K3172" s="267">
        <v>6457</v>
      </c>
      <c r="L3172" s="267">
        <v>541402</v>
      </c>
      <c r="M3172" s="267" t="s">
        <v>3935</v>
      </c>
      <c r="N3172" s="267" t="s">
        <v>3944</v>
      </c>
      <c r="O3172" s="267">
        <v>1424.19</v>
      </c>
      <c r="P3172" s="267" t="s">
        <v>3944</v>
      </c>
      <c r="Q3172" s="267" t="s">
        <v>3944</v>
      </c>
      <c r="R3172" s="267">
        <v>1424.19</v>
      </c>
      <c r="S3172" s="267">
        <v>16284.81</v>
      </c>
      <c r="T3172" s="267">
        <v>17709</v>
      </c>
      <c r="U3172" s="268" t="s">
        <v>3945</v>
      </c>
      <c r="V3172" s="267" t="s">
        <v>944</v>
      </c>
    </row>
    <row r="3173" spans="1:22" x14ac:dyDescent="0.25">
      <c r="A3173" s="269">
        <v>43629</v>
      </c>
      <c r="B3173" s="270">
        <v>2019</v>
      </c>
      <c r="C3173" s="270">
        <v>2019</v>
      </c>
      <c r="D3173" s="270">
        <v>1</v>
      </c>
      <c r="E3173" s="270">
        <v>1</v>
      </c>
      <c r="F3173" s="270" t="s">
        <v>944</v>
      </c>
      <c r="G3173" s="270" t="s">
        <v>3926</v>
      </c>
      <c r="H3173" s="270" t="s">
        <v>7626</v>
      </c>
      <c r="I3173" s="270" t="s">
        <v>934</v>
      </c>
      <c r="J3173" s="270" t="s">
        <v>3928</v>
      </c>
      <c r="K3173" s="270">
        <v>6610</v>
      </c>
      <c r="L3173" s="270">
        <v>73100</v>
      </c>
      <c r="M3173" s="270">
        <v>-60</v>
      </c>
      <c r="N3173" s="270" t="s">
        <v>3944</v>
      </c>
      <c r="O3173" s="270">
        <v>1968.4</v>
      </c>
      <c r="P3173" s="270" t="s">
        <v>3944</v>
      </c>
      <c r="Q3173" s="270" t="s">
        <v>3944</v>
      </c>
      <c r="R3173" s="270">
        <v>1968.4</v>
      </c>
      <c r="S3173" s="270">
        <v>26157.65</v>
      </c>
      <c r="T3173" s="270">
        <v>28126.05</v>
      </c>
      <c r="U3173" s="271" t="s">
        <v>3945</v>
      </c>
      <c r="V3173" s="276" t="s">
        <v>936</v>
      </c>
    </row>
    <row r="3174" spans="1:22" hidden="1" x14ac:dyDescent="0.25">
      <c r="A3174" s="266">
        <v>43629</v>
      </c>
      <c r="B3174" s="267">
        <v>2019</v>
      </c>
      <c r="C3174" s="267">
        <v>2019</v>
      </c>
      <c r="D3174" s="267">
        <v>1</v>
      </c>
      <c r="E3174" s="267">
        <v>1</v>
      </c>
      <c r="F3174" s="267" t="s">
        <v>944</v>
      </c>
      <c r="G3174" s="267" t="s">
        <v>3926</v>
      </c>
      <c r="H3174" s="267" t="s">
        <v>7627</v>
      </c>
      <c r="I3174" s="267" t="s">
        <v>3949</v>
      </c>
      <c r="J3174" s="267" t="s">
        <v>3928</v>
      </c>
      <c r="K3174" s="267">
        <v>6437</v>
      </c>
      <c r="L3174" s="267">
        <v>190200</v>
      </c>
      <c r="M3174" s="267" t="s">
        <v>3943</v>
      </c>
      <c r="N3174" s="267" t="s">
        <v>3944</v>
      </c>
      <c r="O3174" s="267">
        <v>2705.08</v>
      </c>
      <c r="P3174" s="267" t="s">
        <v>3944</v>
      </c>
      <c r="Q3174" s="267" t="s">
        <v>3944</v>
      </c>
      <c r="R3174" s="267">
        <v>2705.08</v>
      </c>
      <c r="S3174" s="267">
        <v>43757.72</v>
      </c>
      <c r="T3174" s="267">
        <v>46462.8</v>
      </c>
      <c r="U3174" s="268" t="s">
        <v>3945</v>
      </c>
      <c r="V3174" s="267" t="s">
        <v>944</v>
      </c>
    </row>
    <row r="3175" spans="1:22" hidden="1" x14ac:dyDescent="0.25">
      <c r="A3175" s="269">
        <v>43629</v>
      </c>
      <c r="B3175" s="270">
        <v>2019</v>
      </c>
      <c r="C3175" s="270">
        <v>2019</v>
      </c>
      <c r="D3175" s="270">
        <v>1</v>
      </c>
      <c r="E3175" s="270">
        <v>1</v>
      </c>
      <c r="F3175" s="270" t="s">
        <v>944</v>
      </c>
      <c r="G3175" s="270" t="s">
        <v>3926</v>
      </c>
      <c r="H3175" s="270" t="s">
        <v>7628</v>
      </c>
      <c r="I3175" s="270" t="s">
        <v>3956</v>
      </c>
      <c r="J3175" s="270" t="s">
        <v>3928</v>
      </c>
      <c r="K3175" s="270">
        <v>6106</v>
      </c>
      <c r="L3175" s="270">
        <v>504900</v>
      </c>
      <c r="M3175" s="270">
        <v>-60</v>
      </c>
      <c r="N3175" s="270" t="s">
        <v>3944</v>
      </c>
      <c r="O3175" s="270">
        <v>1213.49</v>
      </c>
      <c r="P3175" s="270" t="s">
        <v>3944</v>
      </c>
      <c r="Q3175" s="270" t="s">
        <v>3944</v>
      </c>
      <c r="R3175" s="270">
        <v>1213.49</v>
      </c>
      <c r="S3175" s="270">
        <v>21009.55</v>
      </c>
      <c r="T3175" s="270">
        <v>22223.040000000001</v>
      </c>
      <c r="U3175" s="271" t="s">
        <v>3945</v>
      </c>
      <c r="V3175" s="267" t="s">
        <v>944</v>
      </c>
    </row>
    <row r="3176" spans="1:22" hidden="1" x14ac:dyDescent="0.25">
      <c r="A3176" s="266">
        <v>43629</v>
      </c>
      <c r="B3176" s="267">
        <v>2019</v>
      </c>
      <c r="C3176" s="267">
        <v>2019</v>
      </c>
      <c r="D3176" s="267">
        <v>1</v>
      </c>
      <c r="E3176" s="267">
        <v>1</v>
      </c>
      <c r="F3176" s="267" t="s">
        <v>944</v>
      </c>
      <c r="G3176" s="267" t="s">
        <v>3926</v>
      </c>
      <c r="H3176" s="267" t="s">
        <v>7629</v>
      </c>
      <c r="I3176" s="267" t="s">
        <v>4035</v>
      </c>
      <c r="J3176" s="267" t="s">
        <v>3928</v>
      </c>
      <c r="K3176" s="267">
        <v>6074</v>
      </c>
      <c r="L3176" s="267">
        <v>487100</v>
      </c>
      <c r="M3176" s="267" t="s">
        <v>3943</v>
      </c>
      <c r="N3176" s="267" t="s">
        <v>3944</v>
      </c>
      <c r="O3176" s="267">
        <v>2211.69</v>
      </c>
      <c r="P3176" s="267" t="s">
        <v>3944</v>
      </c>
      <c r="Q3176" s="267" t="s">
        <v>3944</v>
      </c>
      <c r="R3176" s="267">
        <v>2211.69</v>
      </c>
      <c r="S3176" s="267">
        <v>37456.699999999997</v>
      </c>
      <c r="T3176" s="267">
        <v>39668.39</v>
      </c>
      <c r="U3176" s="268" t="s">
        <v>3945</v>
      </c>
      <c r="V3176" s="267" t="s">
        <v>944</v>
      </c>
    </row>
    <row r="3177" spans="1:22" hidden="1" x14ac:dyDescent="0.25">
      <c r="A3177" s="269">
        <v>43629</v>
      </c>
      <c r="B3177" s="270">
        <v>2019</v>
      </c>
      <c r="C3177" s="270">
        <v>2019</v>
      </c>
      <c r="D3177" s="270">
        <v>1</v>
      </c>
      <c r="E3177" s="270">
        <v>1</v>
      </c>
      <c r="F3177" s="270" t="s">
        <v>944</v>
      </c>
      <c r="G3177" s="270" t="s">
        <v>3926</v>
      </c>
      <c r="H3177" s="270" t="s">
        <v>7630</v>
      </c>
      <c r="I3177" s="270" t="s">
        <v>4011</v>
      </c>
      <c r="J3177" s="270" t="s">
        <v>3928</v>
      </c>
      <c r="K3177" s="270">
        <v>6002</v>
      </c>
      <c r="L3177" s="270">
        <v>471100</v>
      </c>
      <c r="M3177" s="270" t="s">
        <v>3935</v>
      </c>
      <c r="N3177" s="270" t="s">
        <v>3944</v>
      </c>
      <c r="O3177" s="270">
        <v>1919.05</v>
      </c>
      <c r="P3177" s="270" t="s">
        <v>3944</v>
      </c>
      <c r="Q3177" s="270" t="s">
        <v>3944</v>
      </c>
      <c r="R3177" s="270">
        <v>1919.05</v>
      </c>
      <c r="S3177" s="270">
        <v>24123.59</v>
      </c>
      <c r="T3177" s="270">
        <v>26042.639999999999</v>
      </c>
      <c r="U3177" s="271" t="s">
        <v>3945</v>
      </c>
      <c r="V3177" s="267" t="s">
        <v>944</v>
      </c>
    </row>
    <row r="3178" spans="1:22" hidden="1" x14ac:dyDescent="0.25">
      <c r="A3178" s="266">
        <v>43629</v>
      </c>
      <c r="B3178" s="267">
        <v>2019</v>
      </c>
      <c r="C3178" s="267">
        <v>2019</v>
      </c>
      <c r="D3178" s="267">
        <v>1</v>
      </c>
      <c r="E3178" s="267">
        <v>1</v>
      </c>
      <c r="F3178" s="267" t="s">
        <v>944</v>
      </c>
      <c r="G3178" s="267" t="s">
        <v>3926</v>
      </c>
      <c r="H3178" s="267" t="s">
        <v>7631</v>
      </c>
      <c r="I3178" s="267" t="s">
        <v>953</v>
      </c>
      <c r="J3178" s="267" t="s">
        <v>3928</v>
      </c>
      <c r="K3178" s="267">
        <v>6514</v>
      </c>
      <c r="L3178" s="267">
        <v>165802</v>
      </c>
      <c r="M3178" s="267" t="s">
        <v>3943</v>
      </c>
      <c r="N3178" s="267" t="s">
        <v>3944</v>
      </c>
      <c r="O3178" s="267">
        <v>2810.43</v>
      </c>
      <c r="P3178" s="267" t="s">
        <v>3944</v>
      </c>
      <c r="Q3178" s="267" t="s">
        <v>3944</v>
      </c>
      <c r="R3178" s="267">
        <v>2810.43</v>
      </c>
      <c r="S3178" s="267">
        <v>54326.77</v>
      </c>
      <c r="T3178" s="267">
        <v>57137.2</v>
      </c>
      <c r="U3178" s="268" t="s">
        <v>3945</v>
      </c>
      <c r="V3178" s="267" t="s">
        <v>944</v>
      </c>
    </row>
    <row r="3179" spans="1:22" hidden="1" x14ac:dyDescent="0.25">
      <c r="A3179" s="269">
        <v>43629</v>
      </c>
      <c r="B3179" s="270">
        <v>2019</v>
      </c>
      <c r="C3179" s="270">
        <v>2019</v>
      </c>
      <c r="D3179" s="270">
        <v>1</v>
      </c>
      <c r="E3179" s="270">
        <v>1</v>
      </c>
      <c r="F3179" s="270" t="s">
        <v>944</v>
      </c>
      <c r="G3179" s="270" t="s">
        <v>3926</v>
      </c>
      <c r="H3179" s="270" t="s">
        <v>7632</v>
      </c>
      <c r="I3179" s="270" t="s">
        <v>3012</v>
      </c>
      <c r="J3179" s="270" t="s">
        <v>3928</v>
      </c>
      <c r="K3179" s="270">
        <v>6477</v>
      </c>
      <c r="L3179" s="270">
        <v>157200</v>
      </c>
      <c r="M3179" s="270" t="s">
        <v>3943</v>
      </c>
      <c r="N3179" s="270" t="s">
        <v>3944</v>
      </c>
      <c r="O3179" s="270">
        <v>2835.53</v>
      </c>
      <c r="P3179" s="270" t="s">
        <v>3944</v>
      </c>
      <c r="Q3179" s="270" t="s">
        <v>3944</v>
      </c>
      <c r="R3179" s="270">
        <v>2835.53</v>
      </c>
      <c r="S3179" s="270">
        <v>37377.589999999997</v>
      </c>
      <c r="T3179" s="270">
        <v>40213.120000000003</v>
      </c>
      <c r="U3179" s="271" t="s">
        <v>3945</v>
      </c>
      <c r="V3179" s="267" t="s">
        <v>944</v>
      </c>
    </row>
    <row r="3180" spans="1:22" hidden="1" x14ac:dyDescent="0.25">
      <c r="A3180" s="266">
        <v>43629</v>
      </c>
      <c r="B3180" s="267">
        <v>2019</v>
      </c>
      <c r="C3180" s="267">
        <v>2019</v>
      </c>
      <c r="D3180" s="267">
        <v>1</v>
      </c>
      <c r="E3180" s="267">
        <v>1</v>
      </c>
      <c r="F3180" s="267" t="s">
        <v>944</v>
      </c>
      <c r="G3180" s="267" t="s">
        <v>3926</v>
      </c>
      <c r="H3180" s="267" t="s">
        <v>7633</v>
      </c>
      <c r="I3180" s="267" t="s">
        <v>4392</v>
      </c>
      <c r="J3180" s="267" t="s">
        <v>3928</v>
      </c>
      <c r="K3180" s="267">
        <v>6457</v>
      </c>
      <c r="L3180" s="267">
        <v>541300</v>
      </c>
      <c r="M3180" s="267" t="s">
        <v>3940</v>
      </c>
      <c r="N3180" s="267" t="s">
        <v>3944</v>
      </c>
      <c r="O3180" s="267">
        <v>2711.49</v>
      </c>
      <c r="P3180" s="267" t="s">
        <v>3944</v>
      </c>
      <c r="Q3180" s="267" t="s">
        <v>3944</v>
      </c>
      <c r="R3180" s="267">
        <v>2711.49</v>
      </c>
      <c r="S3180" s="267">
        <v>37464.51</v>
      </c>
      <c r="T3180" s="267">
        <v>40176</v>
      </c>
      <c r="U3180" s="268" t="s">
        <v>3945</v>
      </c>
      <c r="V3180" s="267" t="s">
        <v>944</v>
      </c>
    </row>
    <row r="3181" spans="1:22" hidden="1" x14ac:dyDescent="0.25">
      <c r="A3181" s="269">
        <v>43629</v>
      </c>
      <c r="B3181" s="270">
        <v>2019</v>
      </c>
      <c r="C3181" s="270">
        <v>2019</v>
      </c>
      <c r="D3181" s="270">
        <v>1</v>
      </c>
      <c r="E3181" s="270">
        <v>1</v>
      </c>
      <c r="F3181" s="270" t="s">
        <v>944</v>
      </c>
      <c r="G3181" s="270" t="s">
        <v>3926</v>
      </c>
      <c r="H3181" s="270" t="s">
        <v>7634</v>
      </c>
      <c r="I3181" s="270" t="s">
        <v>956</v>
      </c>
      <c r="J3181" s="270" t="s">
        <v>3928</v>
      </c>
      <c r="K3181" s="270">
        <v>6615</v>
      </c>
      <c r="L3181" s="270">
        <v>80400</v>
      </c>
      <c r="M3181" s="270" t="s">
        <v>3940</v>
      </c>
      <c r="N3181" s="270" t="s">
        <v>3944</v>
      </c>
      <c r="O3181" s="270">
        <v>905.7</v>
      </c>
      <c r="P3181" s="270" t="s">
        <v>3944</v>
      </c>
      <c r="Q3181" s="270" t="s">
        <v>3944</v>
      </c>
      <c r="R3181" s="270">
        <v>905.7</v>
      </c>
      <c r="S3181" s="270">
        <v>11594.76</v>
      </c>
      <c r="T3181" s="270">
        <v>12500.46</v>
      </c>
      <c r="U3181" s="271" t="s">
        <v>3945</v>
      </c>
      <c r="V3181" s="267" t="s">
        <v>944</v>
      </c>
    </row>
    <row r="3182" spans="1:22" hidden="1" x14ac:dyDescent="0.25">
      <c r="A3182" s="266">
        <v>43630</v>
      </c>
      <c r="B3182" s="267">
        <v>2019</v>
      </c>
      <c r="C3182" s="267">
        <v>2019</v>
      </c>
      <c r="D3182" s="267">
        <v>1</v>
      </c>
      <c r="E3182" s="267">
        <v>1</v>
      </c>
      <c r="F3182" s="267" t="s">
        <v>944</v>
      </c>
      <c r="G3182" s="267" t="s">
        <v>3926</v>
      </c>
      <c r="H3182" s="267" t="s">
        <v>7635</v>
      </c>
      <c r="I3182" s="267" t="s">
        <v>5480</v>
      </c>
      <c r="J3182" s="267" t="s">
        <v>3928</v>
      </c>
      <c r="K3182" s="267">
        <v>6783</v>
      </c>
      <c r="L3182" s="267">
        <v>268100</v>
      </c>
      <c r="M3182" s="267" t="s">
        <v>3943</v>
      </c>
      <c r="N3182" s="267" t="s">
        <v>7636</v>
      </c>
      <c r="O3182" s="267">
        <v>0</v>
      </c>
      <c r="P3182" s="267" t="s">
        <v>3930</v>
      </c>
      <c r="Q3182" s="267" t="s">
        <v>3930</v>
      </c>
      <c r="R3182" s="267">
        <v>0</v>
      </c>
      <c r="S3182" s="267">
        <v>2720</v>
      </c>
      <c r="T3182" s="267">
        <v>2720</v>
      </c>
      <c r="U3182" s="268" t="s">
        <v>3937</v>
      </c>
      <c r="V3182" s="267" t="s">
        <v>944</v>
      </c>
    </row>
    <row r="3183" spans="1:22" hidden="1" x14ac:dyDescent="0.25">
      <c r="A3183" s="269">
        <v>43630</v>
      </c>
      <c r="B3183" s="270">
        <v>2019</v>
      </c>
      <c r="C3183" s="270">
        <v>2019</v>
      </c>
      <c r="D3183" s="270">
        <v>1</v>
      </c>
      <c r="E3183" s="270">
        <v>1</v>
      </c>
      <c r="F3183" s="270" t="s">
        <v>944</v>
      </c>
      <c r="G3183" s="270" t="s">
        <v>3926</v>
      </c>
      <c r="H3183" s="270" t="s">
        <v>7637</v>
      </c>
      <c r="I3183" s="270" t="s">
        <v>3934</v>
      </c>
      <c r="J3183" s="270" t="s">
        <v>3928</v>
      </c>
      <c r="K3183" s="270">
        <v>6405</v>
      </c>
      <c r="L3183" s="270">
        <v>184700</v>
      </c>
      <c r="M3183" s="270" t="s">
        <v>3935</v>
      </c>
      <c r="N3183" s="270" t="s">
        <v>7638</v>
      </c>
      <c r="O3183" s="270">
        <v>0</v>
      </c>
      <c r="P3183" s="270" t="s">
        <v>3930</v>
      </c>
      <c r="Q3183" s="270" t="s">
        <v>3930</v>
      </c>
      <c r="R3183" s="270">
        <v>0</v>
      </c>
      <c r="S3183" s="270">
        <v>10850</v>
      </c>
      <c r="T3183" s="270">
        <v>10850</v>
      </c>
      <c r="U3183" s="271" t="s">
        <v>3937</v>
      </c>
      <c r="V3183" s="267" t="s">
        <v>944</v>
      </c>
    </row>
    <row r="3184" spans="1:22" hidden="1" x14ac:dyDescent="0.25">
      <c r="A3184" s="266">
        <v>43630</v>
      </c>
      <c r="B3184" s="267">
        <v>2019</v>
      </c>
      <c r="C3184" s="267">
        <v>2019</v>
      </c>
      <c r="D3184" s="267">
        <v>1</v>
      </c>
      <c r="E3184" s="267">
        <v>1</v>
      </c>
      <c r="F3184" s="267" t="s">
        <v>944</v>
      </c>
      <c r="G3184" s="267" t="s">
        <v>3926</v>
      </c>
      <c r="H3184" s="267" t="s">
        <v>7639</v>
      </c>
      <c r="I3184" s="267" t="s">
        <v>4839</v>
      </c>
      <c r="J3184" s="267" t="s">
        <v>3928</v>
      </c>
      <c r="K3184" s="267">
        <v>6524</v>
      </c>
      <c r="L3184" s="267">
        <v>161100</v>
      </c>
      <c r="M3184" s="267" t="s">
        <v>3943</v>
      </c>
      <c r="N3184" s="267" t="s">
        <v>7640</v>
      </c>
      <c r="O3184" s="267">
        <v>0</v>
      </c>
      <c r="P3184" s="267" t="s">
        <v>3930</v>
      </c>
      <c r="Q3184" s="267" t="s">
        <v>3930</v>
      </c>
      <c r="R3184" s="267">
        <v>0</v>
      </c>
      <c r="S3184" s="267">
        <v>13065</v>
      </c>
      <c r="T3184" s="267">
        <v>13065</v>
      </c>
      <c r="U3184" s="268" t="s">
        <v>3937</v>
      </c>
      <c r="V3184" s="267" t="s">
        <v>944</v>
      </c>
    </row>
    <row r="3185" spans="1:22" hidden="1" x14ac:dyDescent="0.25">
      <c r="A3185" s="269">
        <v>43630</v>
      </c>
      <c r="B3185" s="270">
        <v>2019</v>
      </c>
      <c r="C3185" s="270">
        <v>2019</v>
      </c>
      <c r="D3185" s="270">
        <v>1</v>
      </c>
      <c r="E3185" s="270">
        <v>1</v>
      </c>
      <c r="F3185" s="270" t="s">
        <v>944</v>
      </c>
      <c r="G3185" s="270" t="s">
        <v>3926</v>
      </c>
      <c r="H3185" s="270" t="s">
        <v>7641</v>
      </c>
      <c r="I3185" s="270" t="s">
        <v>4250</v>
      </c>
      <c r="J3185" s="270" t="s">
        <v>3928</v>
      </c>
      <c r="K3185" s="270">
        <v>6239</v>
      </c>
      <c r="L3185" s="270">
        <v>904500</v>
      </c>
      <c r="M3185" s="270" t="s">
        <v>3940</v>
      </c>
      <c r="N3185" s="270" t="s">
        <v>3986</v>
      </c>
      <c r="O3185" s="270">
        <v>3481.92</v>
      </c>
      <c r="P3185" s="270" t="s">
        <v>3930</v>
      </c>
      <c r="Q3185" s="270" t="s">
        <v>3931</v>
      </c>
      <c r="R3185" s="270">
        <v>8481.92</v>
      </c>
      <c r="S3185" s="270">
        <v>16196.8</v>
      </c>
      <c r="T3185" s="270">
        <v>24678.720000000001</v>
      </c>
      <c r="U3185" s="271" t="s">
        <v>3932</v>
      </c>
      <c r="V3185" s="267" t="s">
        <v>944</v>
      </c>
    </row>
    <row r="3186" spans="1:22" hidden="1" x14ac:dyDescent="0.25">
      <c r="A3186" s="266">
        <v>43630</v>
      </c>
      <c r="B3186" s="267">
        <v>2019</v>
      </c>
      <c r="C3186" s="267">
        <v>2019</v>
      </c>
      <c r="D3186" s="267">
        <v>1</v>
      </c>
      <c r="E3186" s="267">
        <v>1</v>
      </c>
      <c r="F3186" s="267" t="s">
        <v>944</v>
      </c>
      <c r="G3186" s="267" t="s">
        <v>3926</v>
      </c>
      <c r="H3186" s="267" t="s">
        <v>7642</v>
      </c>
      <c r="I3186" s="267" t="s">
        <v>4011</v>
      </c>
      <c r="J3186" s="267" t="s">
        <v>3928</v>
      </c>
      <c r="K3186" s="267">
        <v>6002</v>
      </c>
      <c r="L3186" s="267">
        <v>471400</v>
      </c>
      <c r="M3186" s="267" t="s">
        <v>3943</v>
      </c>
      <c r="N3186" s="267" t="s">
        <v>7643</v>
      </c>
      <c r="O3186" s="267">
        <v>1448.44</v>
      </c>
      <c r="P3186" s="267" t="s">
        <v>3930</v>
      </c>
      <c r="Q3186" s="267" t="s">
        <v>3931</v>
      </c>
      <c r="R3186" s="267">
        <v>6448.44</v>
      </c>
      <c r="S3186" s="267">
        <v>29295.3</v>
      </c>
      <c r="T3186" s="267">
        <v>35743.74</v>
      </c>
      <c r="U3186" s="268" t="s">
        <v>3932</v>
      </c>
      <c r="V3186" s="267" t="s">
        <v>944</v>
      </c>
    </row>
    <row r="3187" spans="1:22" hidden="1" x14ac:dyDescent="0.25">
      <c r="A3187" s="269">
        <v>43630</v>
      </c>
      <c r="B3187" s="270">
        <v>2019</v>
      </c>
      <c r="C3187" s="270">
        <v>2019</v>
      </c>
      <c r="D3187" s="270">
        <v>1</v>
      </c>
      <c r="E3187" s="270">
        <v>1</v>
      </c>
      <c r="F3187" s="270" t="s">
        <v>944</v>
      </c>
      <c r="G3187" s="270" t="s">
        <v>3926</v>
      </c>
      <c r="H3187" s="270" t="s">
        <v>7644</v>
      </c>
      <c r="I3187" s="270" t="s">
        <v>4392</v>
      </c>
      <c r="J3187" s="270" t="s">
        <v>3928</v>
      </c>
      <c r="K3187" s="270">
        <v>6457</v>
      </c>
      <c r="L3187" s="270">
        <v>542000</v>
      </c>
      <c r="M3187" s="270" t="s">
        <v>3935</v>
      </c>
      <c r="N3187" s="270" t="s">
        <v>7124</v>
      </c>
      <c r="O3187" s="270">
        <v>1469.83</v>
      </c>
      <c r="P3187" s="270" t="s">
        <v>3930</v>
      </c>
      <c r="Q3187" s="270" t="s">
        <v>3931</v>
      </c>
      <c r="R3187" s="270">
        <v>6469.83</v>
      </c>
      <c r="S3187" s="270">
        <v>17356</v>
      </c>
      <c r="T3187" s="270">
        <v>23825.83</v>
      </c>
      <c r="U3187" s="271" t="s">
        <v>3932</v>
      </c>
      <c r="V3187" s="267" t="s">
        <v>944</v>
      </c>
    </row>
    <row r="3188" spans="1:22" hidden="1" x14ac:dyDescent="0.25">
      <c r="A3188" s="266">
        <v>43630</v>
      </c>
      <c r="B3188" s="267">
        <v>2019</v>
      </c>
      <c r="C3188" s="267">
        <v>2019</v>
      </c>
      <c r="D3188" s="267">
        <v>1</v>
      </c>
      <c r="E3188" s="267">
        <v>1</v>
      </c>
      <c r="F3188" s="267" t="s">
        <v>944</v>
      </c>
      <c r="G3188" s="267" t="s">
        <v>3926</v>
      </c>
      <c r="H3188" s="267" t="s">
        <v>7645</v>
      </c>
      <c r="I3188" s="267" t="s">
        <v>4126</v>
      </c>
      <c r="J3188" s="267" t="s">
        <v>3928</v>
      </c>
      <c r="K3188" s="267">
        <v>6880</v>
      </c>
      <c r="L3188" s="267">
        <v>50300</v>
      </c>
      <c r="M3188" s="267" t="s">
        <v>3943</v>
      </c>
      <c r="N3188" s="267" t="s">
        <v>3944</v>
      </c>
      <c r="O3188" s="267">
        <v>2324</v>
      </c>
      <c r="P3188" s="267" t="s">
        <v>3944</v>
      </c>
      <c r="Q3188" s="267" t="s">
        <v>3944</v>
      </c>
      <c r="R3188" s="267">
        <v>2324</v>
      </c>
      <c r="S3188" s="267">
        <v>31367.5</v>
      </c>
      <c r="T3188" s="267">
        <v>33691.5</v>
      </c>
      <c r="U3188" s="268" t="s">
        <v>3945</v>
      </c>
      <c r="V3188" s="267" t="s">
        <v>944</v>
      </c>
    </row>
    <row r="3189" spans="1:22" x14ac:dyDescent="0.25">
      <c r="A3189" s="269">
        <v>43630</v>
      </c>
      <c r="B3189" s="270">
        <v>2019</v>
      </c>
      <c r="C3189" s="270">
        <v>2019</v>
      </c>
      <c r="D3189" s="270">
        <v>1</v>
      </c>
      <c r="E3189" s="270">
        <v>1</v>
      </c>
      <c r="F3189" s="270" t="s">
        <v>944</v>
      </c>
      <c r="G3189" s="270" t="s">
        <v>3926</v>
      </c>
      <c r="H3189" s="270" t="s">
        <v>7646</v>
      </c>
      <c r="I3189" s="270" t="s">
        <v>934</v>
      </c>
      <c r="J3189" s="270" t="s">
        <v>3928</v>
      </c>
      <c r="K3189" s="270">
        <v>6605</v>
      </c>
      <c r="L3189" s="270">
        <v>70100</v>
      </c>
      <c r="M3189" s="270" t="s">
        <v>3960</v>
      </c>
      <c r="N3189" s="270" t="s">
        <v>3944</v>
      </c>
      <c r="O3189" s="270">
        <v>2840</v>
      </c>
      <c r="P3189" s="270" t="s">
        <v>3944</v>
      </c>
      <c r="Q3189" s="270" t="s">
        <v>3944</v>
      </c>
      <c r="R3189" s="270">
        <v>2840</v>
      </c>
      <c r="S3189" s="270">
        <v>21966.25</v>
      </c>
      <c r="T3189" s="270">
        <v>24806.25</v>
      </c>
      <c r="U3189" s="271" t="s">
        <v>3945</v>
      </c>
      <c r="V3189" s="276" t="s">
        <v>936</v>
      </c>
    </row>
    <row r="3190" spans="1:22" hidden="1" x14ac:dyDescent="0.25">
      <c r="A3190" s="266">
        <v>43630</v>
      </c>
      <c r="B3190" s="267">
        <v>2019</v>
      </c>
      <c r="C3190" s="267">
        <v>2019</v>
      </c>
      <c r="D3190" s="267">
        <v>1</v>
      </c>
      <c r="E3190" s="267">
        <v>1</v>
      </c>
      <c r="F3190" s="267" t="s">
        <v>944</v>
      </c>
      <c r="G3190" s="267" t="s">
        <v>3926</v>
      </c>
      <c r="H3190" s="267" t="s">
        <v>7647</v>
      </c>
      <c r="I3190" s="267" t="s">
        <v>4232</v>
      </c>
      <c r="J3190" s="267" t="s">
        <v>3928</v>
      </c>
      <c r="K3190" s="267">
        <v>6483</v>
      </c>
      <c r="L3190" s="267">
        <v>130101</v>
      </c>
      <c r="M3190" s="267" t="s">
        <v>3940</v>
      </c>
      <c r="N3190" s="267" t="s">
        <v>3944</v>
      </c>
      <c r="O3190" s="267">
        <v>5073</v>
      </c>
      <c r="P3190" s="267" t="s">
        <v>3944</v>
      </c>
      <c r="Q3190" s="267" t="s">
        <v>3944</v>
      </c>
      <c r="R3190" s="267">
        <v>5073</v>
      </c>
      <c r="S3190" s="267">
        <v>39285</v>
      </c>
      <c r="T3190" s="267">
        <v>44358</v>
      </c>
      <c r="U3190" s="268" t="s">
        <v>3945</v>
      </c>
      <c r="V3190" s="267" t="s">
        <v>944</v>
      </c>
    </row>
    <row r="3191" spans="1:22" hidden="1" x14ac:dyDescent="0.25">
      <c r="A3191" s="269">
        <v>43630</v>
      </c>
      <c r="B3191" s="270">
        <v>2019</v>
      </c>
      <c r="C3191" s="270">
        <v>2019</v>
      </c>
      <c r="D3191" s="270">
        <v>1</v>
      </c>
      <c r="E3191" s="270">
        <v>1</v>
      </c>
      <c r="F3191" s="270" t="s">
        <v>944</v>
      </c>
      <c r="G3191" s="270" t="s">
        <v>3926</v>
      </c>
      <c r="H3191" s="270" t="s">
        <v>7648</v>
      </c>
      <c r="I3191" s="270" t="s">
        <v>6330</v>
      </c>
      <c r="J3191" s="270" t="s">
        <v>3928</v>
      </c>
      <c r="K3191" s="270">
        <v>6791</v>
      </c>
      <c r="L3191" s="270">
        <v>298400</v>
      </c>
      <c r="M3191" s="270" t="s">
        <v>3943</v>
      </c>
      <c r="N3191" s="270" t="s">
        <v>3944</v>
      </c>
      <c r="O3191" s="270">
        <v>5186</v>
      </c>
      <c r="P3191" s="270" t="s">
        <v>3944</v>
      </c>
      <c r="Q3191" s="270" t="s">
        <v>3944</v>
      </c>
      <c r="R3191" s="270">
        <v>5186</v>
      </c>
      <c r="S3191" s="270">
        <v>53751.25</v>
      </c>
      <c r="T3191" s="270">
        <v>58937.25</v>
      </c>
      <c r="U3191" s="271" t="s">
        <v>3945</v>
      </c>
      <c r="V3191" s="267" t="s">
        <v>944</v>
      </c>
    </row>
    <row r="3192" spans="1:22" hidden="1" x14ac:dyDescent="0.25">
      <c r="A3192" s="266">
        <v>43630</v>
      </c>
      <c r="B3192" s="267">
        <v>2019</v>
      </c>
      <c r="C3192" s="267">
        <v>2019</v>
      </c>
      <c r="D3192" s="267">
        <v>1</v>
      </c>
      <c r="E3192" s="267">
        <v>1</v>
      </c>
      <c r="F3192" s="267" t="s">
        <v>944</v>
      </c>
      <c r="G3192" s="267" t="s">
        <v>3926</v>
      </c>
      <c r="H3192" s="267" t="s">
        <v>7649</v>
      </c>
      <c r="I3192" s="267" t="s">
        <v>3966</v>
      </c>
      <c r="J3192" s="267" t="s">
        <v>3928</v>
      </c>
      <c r="K3192" s="267">
        <v>6010</v>
      </c>
      <c r="L3192" s="267">
        <v>405800</v>
      </c>
      <c r="M3192" s="267" t="s">
        <v>3935</v>
      </c>
      <c r="N3192" s="267" t="s">
        <v>3944</v>
      </c>
      <c r="O3192" s="267">
        <v>1741</v>
      </c>
      <c r="P3192" s="267" t="s">
        <v>3944</v>
      </c>
      <c r="Q3192" s="267" t="s">
        <v>3944</v>
      </c>
      <c r="R3192" s="267">
        <v>1741</v>
      </c>
      <c r="S3192" s="267">
        <v>26564</v>
      </c>
      <c r="T3192" s="267">
        <v>28305</v>
      </c>
      <c r="U3192" s="268" t="s">
        <v>3945</v>
      </c>
      <c r="V3192" s="267" t="s">
        <v>944</v>
      </c>
    </row>
    <row r="3193" spans="1:22" hidden="1" x14ac:dyDescent="0.25">
      <c r="A3193" s="269">
        <v>43630</v>
      </c>
      <c r="B3193" s="270">
        <v>2019</v>
      </c>
      <c r="C3193" s="270">
        <v>2019</v>
      </c>
      <c r="D3193" s="270">
        <v>1</v>
      </c>
      <c r="E3193" s="270">
        <v>1</v>
      </c>
      <c r="F3193" s="270" t="s">
        <v>944</v>
      </c>
      <c r="G3193" s="270" t="s">
        <v>3926</v>
      </c>
      <c r="H3193" s="270" t="s">
        <v>7650</v>
      </c>
      <c r="I3193" s="270" t="s">
        <v>3012</v>
      </c>
      <c r="J3193" s="270" t="s">
        <v>3928</v>
      </c>
      <c r="K3193" s="270">
        <v>6477</v>
      </c>
      <c r="L3193" s="270">
        <v>157400</v>
      </c>
      <c r="M3193" s="270" t="s">
        <v>3943</v>
      </c>
      <c r="N3193" s="270" t="s">
        <v>3944</v>
      </c>
      <c r="O3193" s="270">
        <v>4793</v>
      </c>
      <c r="P3193" s="270" t="s">
        <v>3944</v>
      </c>
      <c r="Q3193" s="270" t="s">
        <v>3944</v>
      </c>
      <c r="R3193" s="270">
        <v>4793</v>
      </c>
      <c r="S3193" s="270">
        <v>25501</v>
      </c>
      <c r="T3193" s="270">
        <v>30294</v>
      </c>
      <c r="U3193" s="271" t="s">
        <v>3945</v>
      </c>
      <c r="V3193" s="267" t="s">
        <v>944</v>
      </c>
    </row>
    <row r="3194" spans="1:22" hidden="1" x14ac:dyDescent="0.25">
      <c r="A3194" s="266">
        <v>43630</v>
      </c>
      <c r="B3194" s="267">
        <v>2019</v>
      </c>
      <c r="C3194" s="267">
        <v>2019</v>
      </c>
      <c r="D3194" s="267">
        <v>1</v>
      </c>
      <c r="E3194" s="267">
        <v>1</v>
      </c>
      <c r="F3194" s="267" t="s">
        <v>944</v>
      </c>
      <c r="G3194" s="267" t="s">
        <v>3926</v>
      </c>
      <c r="H3194" s="267" t="s">
        <v>7651</v>
      </c>
      <c r="I3194" s="267" t="s">
        <v>4119</v>
      </c>
      <c r="J3194" s="267" t="s">
        <v>3928</v>
      </c>
      <c r="K3194" s="267">
        <v>6078</v>
      </c>
      <c r="L3194" s="267">
        <v>477102</v>
      </c>
      <c r="M3194" s="267" t="s">
        <v>3943</v>
      </c>
      <c r="N3194" s="267" t="s">
        <v>3944</v>
      </c>
      <c r="O3194" s="267">
        <v>6940</v>
      </c>
      <c r="P3194" s="267" t="s">
        <v>3944</v>
      </c>
      <c r="Q3194" s="267" t="s">
        <v>3944</v>
      </c>
      <c r="R3194" s="267">
        <v>6940</v>
      </c>
      <c r="S3194" s="267">
        <v>73088.5</v>
      </c>
      <c r="T3194" s="267">
        <v>80028.5</v>
      </c>
      <c r="U3194" s="268" t="s">
        <v>3945</v>
      </c>
      <c r="V3194" s="267" t="s">
        <v>944</v>
      </c>
    </row>
    <row r="3195" spans="1:22" hidden="1" x14ac:dyDescent="0.25">
      <c r="A3195" s="269">
        <v>43630</v>
      </c>
      <c r="B3195" s="270">
        <v>2019</v>
      </c>
      <c r="C3195" s="270">
        <v>2019</v>
      </c>
      <c r="D3195" s="270">
        <v>1</v>
      </c>
      <c r="E3195" s="270">
        <v>1</v>
      </c>
      <c r="F3195" s="270" t="s">
        <v>944</v>
      </c>
      <c r="G3195" s="270" t="s">
        <v>3926</v>
      </c>
      <c r="H3195" s="270" t="s">
        <v>7652</v>
      </c>
      <c r="I3195" s="270" t="s">
        <v>3964</v>
      </c>
      <c r="J3195" s="270" t="s">
        <v>3928</v>
      </c>
      <c r="K3195" s="270">
        <v>6033</v>
      </c>
      <c r="L3195" s="270">
        <v>520201</v>
      </c>
      <c r="M3195" s="270" t="s">
        <v>3943</v>
      </c>
      <c r="N3195" s="270" t="s">
        <v>3944</v>
      </c>
      <c r="O3195" s="270">
        <v>4068</v>
      </c>
      <c r="P3195" s="270" t="s">
        <v>3944</v>
      </c>
      <c r="Q3195" s="270" t="s">
        <v>3944</v>
      </c>
      <c r="R3195" s="270">
        <v>4068</v>
      </c>
      <c r="S3195" s="270">
        <v>25087.5</v>
      </c>
      <c r="T3195" s="270">
        <v>29155.5</v>
      </c>
      <c r="U3195" s="271" t="s">
        <v>3945</v>
      </c>
      <c r="V3195" s="267" t="s">
        <v>944</v>
      </c>
    </row>
    <row r="3196" spans="1:22" hidden="1" x14ac:dyDescent="0.25">
      <c r="A3196" s="266">
        <v>43630</v>
      </c>
      <c r="B3196" s="267">
        <v>2019</v>
      </c>
      <c r="C3196" s="267">
        <v>2019</v>
      </c>
      <c r="D3196" s="267">
        <v>1</v>
      </c>
      <c r="E3196" s="267">
        <v>1</v>
      </c>
      <c r="F3196" s="267" t="s">
        <v>944</v>
      </c>
      <c r="G3196" s="267" t="s">
        <v>3926</v>
      </c>
      <c r="H3196" s="267" t="s">
        <v>7653</v>
      </c>
      <c r="I3196" s="267" t="s">
        <v>4276</v>
      </c>
      <c r="J3196" s="267" t="s">
        <v>3928</v>
      </c>
      <c r="K3196" s="267">
        <v>6331</v>
      </c>
      <c r="L3196" s="267">
        <v>906100</v>
      </c>
      <c r="M3196" s="267" t="s">
        <v>3960</v>
      </c>
      <c r="N3196" s="267" t="s">
        <v>3944</v>
      </c>
      <c r="O3196" s="267">
        <v>7574</v>
      </c>
      <c r="P3196" s="267" t="s">
        <v>3944</v>
      </c>
      <c r="Q3196" s="267" t="s">
        <v>3944</v>
      </c>
      <c r="R3196" s="267">
        <v>7574</v>
      </c>
      <c r="S3196" s="267">
        <v>55915.34</v>
      </c>
      <c r="T3196" s="267">
        <v>63489.34</v>
      </c>
      <c r="U3196" s="268" t="s">
        <v>3945</v>
      </c>
      <c r="V3196" s="267" t="s">
        <v>944</v>
      </c>
    </row>
    <row r="3197" spans="1:22" hidden="1" x14ac:dyDescent="0.25">
      <c r="A3197" s="269">
        <v>43630</v>
      </c>
      <c r="B3197" s="270">
        <v>2019</v>
      </c>
      <c r="C3197" s="270">
        <v>2019</v>
      </c>
      <c r="D3197" s="270">
        <v>1</v>
      </c>
      <c r="E3197" s="270">
        <v>1</v>
      </c>
      <c r="F3197" s="270" t="s">
        <v>944</v>
      </c>
      <c r="G3197" s="270" t="s">
        <v>3926</v>
      </c>
      <c r="H3197" s="270" t="s">
        <v>7654</v>
      </c>
      <c r="I3197" s="270" t="s">
        <v>950</v>
      </c>
      <c r="J3197" s="270" t="s">
        <v>3928</v>
      </c>
      <c r="K3197" s="270">
        <v>6516</v>
      </c>
      <c r="L3197" s="270">
        <v>155000</v>
      </c>
      <c r="M3197" s="270" t="s">
        <v>3940</v>
      </c>
      <c r="N3197" s="270" t="s">
        <v>3944</v>
      </c>
      <c r="O3197" s="270">
        <v>1584.1</v>
      </c>
      <c r="P3197" s="270" t="s">
        <v>3944</v>
      </c>
      <c r="Q3197" s="270" t="s">
        <v>3944</v>
      </c>
      <c r="R3197" s="270">
        <v>1584.1</v>
      </c>
      <c r="S3197" s="270">
        <v>22535.9</v>
      </c>
      <c r="T3197" s="270">
        <v>24120</v>
      </c>
      <c r="U3197" s="271" t="s">
        <v>3945</v>
      </c>
      <c r="V3197" s="267" t="s">
        <v>944</v>
      </c>
    </row>
    <row r="3198" spans="1:22" hidden="1" x14ac:dyDescent="0.25">
      <c r="A3198" s="266">
        <v>43630</v>
      </c>
      <c r="B3198" s="267">
        <v>2019</v>
      </c>
      <c r="C3198" s="267">
        <v>2019</v>
      </c>
      <c r="D3198" s="267">
        <v>1</v>
      </c>
      <c r="E3198" s="267">
        <v>1</v>
      </c>
      <c r="F3198" s="267" t="s">
        <v>944</v>
      </c>
      <c r="G3198" s="267" t="s">
        <v>3926</v>
      </c>
      <c r="H3198" s="267" t="s">
        <v>7655</v>
      </c>
      <c r="I3198" s="267" t="s">
        <v>943</v>
      </c>
      <c r="J3198" s="267" t="s">
        <v>3928</v>
      </c>
      <c r="K3198" s="267">
        <v>6512</v>
      </c>
      <c r="L3198" s="267">
        <v>142800</v>
      </c>
      <c r="M3198" s="267" t="s">
        <v>3940</v>
      </c>
      <c r="N3198" s="267" t="s">
        <v>3944</v>
      </c>
      <c r="O3198" s="267">
        <v>1435.39</v>
      </c>
      <c r="P3198" s="267" t="s">
        <v>3944</v>
      </c>
      <c r="Q3198" s="267" t="s">
        <v>3944</v>
      </c>
      <c r="R3198" s="267">
        <v>1435.39</v>
      </c>
      <c r="S3198" s="267">
        <v>21069.05</v>
      </c>
      <c r="T3198" s="267">
        <v>22504.44</v>
      </c>
      <c r="U3198" s="268" t="s">
        <v>3945</v>
      </c>
      <c r="V3198" s="267" t="s">
        <v>944</v>
      </c>
    </row>
    <row r="3199" spans="1:22" x14ac:dyDescent="0.25">
      <c r="A3199" s="269">
        <v>43630</v>
      </c>
      <c r="B3199" s="270">
        <v>2019</v>
      </c>
      <c r="C3199" s="270">
        <v>2019</v>
      </c>
      <c r="D3199" s="270">
        <v>1</v>
      </c>
      <c r="E3199" s="270">
        <v>1</v>
      </c>
      <c r="F3199" s="270" t="s">
        <v>944</v>
      </c>
      <c r="G3199" s="270" t="s">
        <v>3926</v>
      </c>
      <c r="H3199" s="270" t="s">
        <v>7656</v>
      </c>
      <c r="I3199" s="270" t="s">
        <v>934</v>
      </c>
      <c r="J3199" s="270" t="s">
        <v>3928</v>
      </c>
      <c r="K3199" s="270">
        <v>6610</v>
      </c>
      <c r="L3199" s="270">
        <v>73400</v>
      </c>
      <c r="M3199" s="270" t="s">
        <v>3940</v>
      </c>
      <c r="N3199" s="270" t="s">
        <v>3944</v>
      </c>
      <c r="O3199" s="270">
        <v>2042.64</v>
      </c>
      <c r="P3199" s="270" t="s">
        <v>3944</v>
      </c>
      <c r="Q3199" s="270" t="s">
        <v>3944</v>
      </c>
      <c r="R3199" s="270">
        <v>2042.64</v>
      </c>
      <c r="S3199" s="270">
        <v>33531.01</v>
      </c>
      <c r="T3199" s="270">
        <v>35573.65</v>
      </c>
      <c r="U3199" s="271" t="s">
        <v>3945</v>
      </c>
      <c r="V3199" s="276" t="s">
        <v>936</v>
      </c>
    </row>
    <row r="3200" spans="1:22" hidden="1" x14ac:dyDescent="0.25">
      <c r="A3200" s="266">
        <v>43630</v>
      </c>
      <c r="B3200" s="267">
        <v>2019</v>
      </c>
      <c r="C3200" s="267">
        <v>2019</v>
      </c>
      <c r="D3200" s="267">
        <v>1</v>
      </c>
      <c r="E3200" s="267">
        <v>1</v>
      </c>
      <c r="F3200" s="267" t="s">
        <v>944</v>
      </c>
      <c r="G3200" s="267" t="s">
        <v>3926</v>
      </c>
      <c r="H3200" s="267" t="s">
        <v>7657</v>
      </c>
      <c r="I3200" s="267" t="s">
        <v>4019</v>
      </c>
      <c r="J3200" s="267" t="s">
        <v>3928</v>
      </c>
      <c r="K3200" s="267">
        <v>6710</v>
      </c>
      <c r="L3200" s="267">
        <v>350900</v>
      </c>
      <c r="M3200" s="267" t="s">
        <v>3935</v>
      </c>
      <c r="N3200" s="267" t="s">
        <v>3944</v>
      </c>
      <c r="O3200" s="267">
        <v>1197.7</v>
      </c>
      <c r="P3200" s="267" t="s">
        <v>3944</v>
      </c>
      <c r="Q3200" s="267" t="s">
        <v>3944</v>
      </c>
      <c r="R3200" s="267">
        <v>1197.7</v>
      </c>
      <c r="S3200" s="267">
        <v>14711.45</v>
      </c>
      <c r="T3200" s="267">
        <v>15909.15</v>
      </c>
      <c r="U3200" s="268" t="s">
        <v>3945</v>
      </c>
      <c r="V3200" s="267" t="s">
        <v>944</v>
      </c>
    </row>
    <row r="3201" spans="1:22" hidden="1" x14ac:dyDescent="0.25">
      <c r="A3201" s="269">
        <v>43630</v>
      </c>
      <c r="B3201" s="270">
        <v>2019</v>
      </c>
      <c r="C3201" s="270">
        <v>2019</v>
      </c>
      <c r="D3201" s="270">
        <v>1</v>
      </c>
      <c r="E3201" s="270">
        <v>1</v>
      </c>
      <c r="F3201" s="270" t="s">
        <v>944</v>
      </c>
      <c r="G3201" s="270" t="s">
        <v>3926</v>
      </c>
      <c r="H3201" s="270" t="s">
        <v>7658</v>
      </c>
      <c r="I3201" s="270" t="s">
        <v>4239</v>
      </c>
      <c r="J3201" s="270" t="s">
        <v>3928</v>
      </c>
      <c r="K3201" s="270">
        <v>6085</v>
      </c>
      <c r="L3201" s="270">
        <v>460301</v>
      </c>
      <c r="M3201" s="270" t="s">
        <v>3943</v>
      </c>
      <c r="N3201" s="270" t="s">
        <v>3944</v>
      </c>
      <c r="O3201" s="270">
        <v>2078.9299999999998</v>
      </c>
      <c r="P3201" s="270" t="s">
        <v>3944</v>
      </c>
      <c r="Q3201" s="270" t="s">
        <v>3944</v>
      </c>
      <c r="R3201" s="270">
        <v>2078.9299999999998</v>
      </c>
      <c r="S3201" s="270">
        <v>27775.27</v>
      </c>
      <c r="T3201" s="270">
        <v>29854.2</v>
      </c>
      <c r="U3201" s="271" t="s">
        <v>3945</v>
      </c>
      <c r="V3201" s="267" t="s">
        <v>944</v>
      </c>
    </row>
    <row r="3202" spans="1:22" hidden="1" x14ac:dyDescent="0.25">
      <c r="A3202" s="266">
        <v>43630</v>
      </c>
      <c r="B3202" s="267">
        <v>2019</v>
      </c>
      <c r="C3202" s="267">
        <v>2019</v>
      </c>
      <c r="D3202" s="267">
        <v>1</v>
      </c>
      <c r="E3202" s="267">
        <v>1</v>
      </c>
      <c r="F3202" s="267" t="s">
        <v>944</v>
      </c>
      <c r="G3202" s="267" t="s">
        <v>3926</v>
      </c>
      <c r="H3202" s="267" t="s">
        <v>7659</v>
      </c>
      <c r="I3202" s="267" t="s">
        <v>3008</v>
      </c>
      <c r="J3202" s="267" t="s">
        <v>3928</v>
      </c>
      <c r="K3202" s="267">
        <v>6460</v>
      </c>
      <c r="L3202" s="267">
        <v>151100</v>
      </c>
      <c r="M3202" s="267" t="s">
        <v>3960</v>
      </c>
      <c r="N3202" s="267" t="s">
        <v>3944</v>
      </c>
      <c r="O3202" s="267">
        <v>2541.21</v>
      </c>
      <c r="P3202" s="267" t="s">
        <v>3944</v>
      </c>
      <c r="Q3202" s="267" t="s">
        <v>3944</v>
      </c>
      <c r="R3202" s="267">
        <v>2541.21</v>
      </c>
      <c r="S3202" s="267">
        <v>37523.120000000003</v>
      </c>
      <c r="T3202" s="267">
        <v>40064.33</v>
      </c>
      <c r="U3202" s="268" t="s">
        <v>3945</v>
      </c>
      <c r="V3202" s="267" t="s">
        <v>944</v>
      </c>
    </row>
    <row r="3203" spans="1:22" hidden="1" x14ac:dyDescent="0.25">
      <c r="A3203" s="269">
        <v>43631</v>
      </c>
      <c r="B3203" s="270">
        <v>2019</v>
      </c>
      <c r="C3203" s="270">
        <v>2019</v>
      </c>
      <c r="D3203" s="270">
        <v>1</v>
      </c>
      <c r="E3203" s="270">
        <v>1</v>
      </c>
      <c r="F3203" s="270" t="s">
        <v>944</v>
      </c>
      <c r="G3203" s="270" t="s">
        <v>3926</v>
      </c>
      <c r="H3203" s="270" t="s">
        <v>7660</v>
      </c>
      <c r="I3203" s="270" t="s">
        <v>934</v>
      </c>
      <c r="J3203" s="270" t="s">
        <v>3928</v>
      </c>
      <c r="K3203" s="270">
        <v>6606</v>
      </c>
      <c r="L3203" s="270">
        <v>72300</v>
      </c>
      <c r="M3203" s="270" t="s">
        <v>3940</v>
      </c>
      <c r="N3203" s="270" t="s">
        <v>3983</v>
      </c>
      <c r="O3203" s="270">
        <v>3432.83</v>
      </c>
      <c r="P3203" s="270" t="s">
        <v>3930</v>
      </c>
      <c r="Q3203" s="270" t="s">
        <v>3931</v>
      </c>
      <c r="R3203" s="270">
        <v>8432.83</v>
      </c>
      <c r="S3203" s="270">
        <v>16504</v>
      </c>
      <c r="T3203" s="270">
        <v>24936.83</v>
      </c>
      <c r="U3203" s="271" t="s">
        <v>3932</v>
      </c>
      <c r="V3203" s="267" t="s">
        <v>944</v>
      </c>
    </row>
    <row r="3204" spans="1:22" hidden="1" x14ac:dyDescent="0.25">
      <c r="A3204" s="266">
        <v>43631</v>
      </c>
      <c r="B3204" s="267">
        <v>2019</v>
      </c>
      <c r="C3204" s="267">
        <v>2019</v>
      </c>
      <c r="D3204" s="267">
        <v>1</v>
      </c>
      <c r="E3204" s="267">
        <v>1</v>
      </c>
      <c r="F3204" s="267" t="s">
        <v>944</v>
      </c>
      <c r="G3204" s="267" t="s">
        <v>3926</v>
      </c>
      <c r="H3204" s="267" t="s">
        <v>7661</v>
      </c>
      <c r="I3204" s="267" t="s">
        <v>4250</v>
      </c>
      <c r="J3204" s="267" t="s">
        <v>3928</v>
      </c>
      <c r="K3204" s="267">
        <v>6241</v>
      </c>
      <c r="L3204" s="267">
        <v>904100</v>
      </c>
      <c r="M3204" s="267" t="s">
        <v>3935</v>
      </c>
      <c r="N3204" s="267" t="s">
        <v>4103</v>
      </c>
      <c r="O3204" s="267">
        <v>1897.04</v>
      </c>
      <c r="P3204" s="267" t="s">
        <v>3930</v>
      </c>
      <c r="Q3204" s="267" t="s">
        <v>3931</v>
      </c>
      <c r="R3204" s="267">
        <v>6897.04</v>
      </c>
      <c r="S3204" s="267">
        <v>24145.599999999999</v>
      </c>
      <c r="T3204" s="267">
        <v>31042.639999999999</v>
      </c>
      <c r="U3204" s="268" t="s">
        <v>3932</v>
      </c>
      <c r="V3204" s="267" t="s">
        <v>944</v>
      </c>
    </row>
    <row r="3205" spans="1:22" hidden="1" x14ac:dyDescent="0.25">
      <c r="A3205" s="269">
        <v>43631</v>
      </c>
      <c r="B3205" s="270">
        <v>2019</v>
      </c>
      <c r="C3205" s="270">
        <v>2019</v>
      </c>
      <c r="D3205" s="270">
        <v>1</v>
      </c>
      <c r="E3205" s="270">
        <v>1</v>
      </c>
      <c r="F3205" s="270" t="s">
        <v>944</v>
      </c>
      <c r="G3205" s="270" t="s">
        <v>3926</v>
      </c>
      <c r="H3205" s="270" t="s">
        <v>7662</v>
      </c>
      <c r="I3205" s="270" t="s">
        <v>2981</v>
      </c>
      <c r="J3205" s="270" t="s">
        <v>3928</v>
      </c>
      <c r="K3205" s="270">
        <v>6612</v>
      </c>
      <c r="L3205" s="270">
        <v>105100</v>
      </c>
      <c r="M3205" s="270" t="s">
        <v>3943</v>
      </c>
      <c r="N3205" s="270" t="s">
        <v>7226</v>
      </c>
      <c r="O3205" s="270">
        <v>2137.21</v>
      </c>
      <c r="P3205" s="270" t="s">
        <v>3930</v>
      </c>
      <c r="Q3205" s="270" t="s">
        <v>3931</v>
      </c>
      <c r="R3205" s="270">
        <v>7137.21</v>
      </c>
      <c r="S3205" s="270">
        <v>41608.9</v>
      </c>
      <c r="T3205" s="270">
        <v>48746.11</v>
      </c>
      <c r="U3205" s="271" t="s">
        <v>3932</v>
      </c>
      <c r="V3205" s="267" t="s">
        <v>944</v>
      </c>
    </row>
    <row r="3206" spans="1:22" hidden="1" x14ac:dyDescent="0.25">
      <c r="A3206" s="266">
        <v>43631</v>
      </c>
      <c r="B3206" s="267">
        <v>2019</v>
      </c>
      <c r="C3206" s="267">
        <v>2019</v>
      </c>
      <c r="D3206" s="267">
        <v>1</v>
      </c>
      <c r="E3206" s="267">
        <v>1</v>
      </c>
      <c r="F3206" s="267" t="s">
        <v>944</v>
      </c>
      <c r="G3206" s="267" t="s">
        <v>3926</v>
      </c>
      <c r="H3206" s="267" t="s">
        <v>7663</v>
      </c>
      <c r="I3206" s="267" t="s">
        <v>934</v>
      </c>
      <c r="J3206" s="267" t="s">
        <v>3928</v>
      </c>
      <c r="K3206" s="267">
        <v>6606</v>
      </c>
      <c r="L3206" s="267">
        <v>72500</v>
      </c>
      <c r="M3206" s="267" t="s">
        <v>3940</v>
      </c>
      <c r="N3206" s="267" t="s">
        <v>6079</v>
      </c>
      <c r="O3206" s="267">
        <v>3975.75</v>
      </c>
      <c r="P3206" s="267" t="s">
        <v>3930</v>
      </c>
      <c r="Q3206" s="267" t="s">
        <v>3931</v>
      </c>
      <c r="R3206" s="267">
        <v>8975.75</v>
      </c>
      <c r="S3206" s="267">
        <v>24808</v>
      </c>
      <c r="T3206" s="267">
        <v>33783.75</v>
      </c>
      <c r="U3206" s="268" t="s">
        <v>3932</v>
      </c>
      <c r="V3206" s="267" t="s">
        <v>944</v>
      </c>
    </row>
    <row r="3207" spans="1:22" hidden="1" x14ac:dyDescent="0.25">
      <c r="A3207" s="269">
        <v>43631</v>
      </c>
      <c r="B3207" s="270">
        <v>2019</v>
      </c>
      <c r="C3207" s="270">
        <v>2019</v>
      </c>
      <c r="D3207" s="270">
        <v>1</v>
      </c>
      <c r="E3207" s="270">
        <v>1</v>
      </c>
      <c r="F3207" s="270" t="s">
        <v>944</v>
      </c>
      <c r="G3207" s="270" t="s">
        <v>3926</v>
      </c>
      <c r="H3207" s="270" t="s">
        <v>7664</v>
      </c>
      <c r="I3207" s="270" t="s">
        <v>934</v>
      </c>
      <c r="J3207" s="270" t="s">
        <v>3928</v>
      </c>
      <c r="K3207" s="270">
        <v>6606</v>
      </c>
      <c r="L3207" s="270">
        <v>72900</v>
      </c>
      <c r="M3207" s="270" t="s">
        <v>3940</v>
      </c>
      <c r="N3207" s="270" t="s">
        <v>6079</v>
      </c>
      <c r="O3207" s="270">
        <v>4400.82</v>
      </c>
      <c r="P3207" s="270" t="s">
        <v>3930</v>
      </c>
      <c r="Q3207" s="270" t="s">
        <v>3931</v>
      </c>
      <c r="R3207" s="270">
        <v>9400.82</v>
      </c>
      <c r="S3207" s="270">
        <v>24808</v>
      </c>
      <c r="T3207" s="270">
        <v>34208.82</v>
      </c>
      <c r="U3207" s="271" t="s">
        <v>3932</v>
      </c>
      <c r="V3207" s="267" t="s">
        <v>944</v>
      </c>
    </row>
    <row r="3208" spans="1:22" hidden="1" x14ac:dyDescent="0.25">
      <c r="A3208" s="266">
        <v>43631</v>
      </c>
      <c r="B3208" s="267">
        <v>2019</v>
      </c>
      <c r="C3208" s="267">
        <v>2019</v>
      </c>
      <c r="D3208" s="267">
        <v>1</v>
      </c>
      <c r="E3208" s="267">
        <v>1</v>
      </c>
      <c r="F3208" s="267" t="s">
        <v>944</v>
      </c>
      <c r="G3208" s="267" t="s">
        <v>3926</v>
      </c>
      <c r="H3208" s="267" t="s">
        <v>7665</v>
      </c>
      <c r="I3208" s="267" t="s">
        <v>956</v>
      </c>
      <c r="J3208" s="267" t="s">
        <v>3928</v>
      </c>
      <c r="K3208" s="267">
        <v>6614</v>
      </c>
      <c r="L3208" s="267">
        <v>80100</v>
      </c>
      <c r="M3208" s="267" t="s">
        <v>3935</v>
      </c>
      <c r="N3208" s="267" t="s">
        <v>3983</v>
      </c>
      <c r="O3208" s="267">
        <v>2928.31</v>
      </c>
      <c r="P3208" s="267" t="s">
        <v>3930</v>
      </c>
      <c r="Q3208" s="267" t="s">
        <v>3931</v>
      </c>
      <c r="R3208" s="267">
        <v>7928.31</v>
      </c>
      <c r="S3208" s="267">
        <v>16504</v>
      </c>
      <c r="T3208" s="267">
        <v>24432.31</v>
      </c>
      <c r="U3208" s="268" t="s">
        <v>3932</v>
      </c>
      <c r="V3208" s="267" t="s">
        <v>944</v>
      </c>
    </row>
    <row r="3209" spans="1:22" hidden="1" x14ac:dyDescent="0.25">
      <c r="A3209" s="269">
        <v>43631</v>
      </c>
      <c r="B3209" s="270">
        <v>2019</v>
      </c>
      <c r="C3209" s="270">
        <v>2019</v>
      </c>
      <c r="D3209" s="270">
        <v>1</v>
      </c>
      <c r="E3209" s="270">
        <v>1</v>
      </c>
      <c r="F3209" s="270" t="s">
        <v>944</v>
      </c>
      <c r="G3209" s="270" t="s">
        <v>3926</v>
      </c>
      <c r="H3209" s="270" t="s">
        <v>7666</v>
      </c>
      <c r="I3209" s="270" t="s">
        <v>4461</v>
      </c>
      <c r="J3209" s="270" t="s">
        <v>3928</v>
      </c>
      <c r="K3209" s="270">
        <v>6831</v>
      </c>
      <c r="L3209" s="270">
        <v>10101</v>
      </c>
      <c r="M3209" s="270" t="s">
        <v>3943</v>
      </c>
      <c r="N3209" s="270" t="s">
        <v>3929</v>
      </c>
      <c r="O3209" s="270">
        <v>2284.66</v>
      </c>
      <c r="P3209" s="270" t="s">
        <v>3930</v>
      </c>
      <c r="Q3209" s="270" t="s">
        <v>3931</v>
      </c>
      <c r="R3209" s="270">
        <v>7284.66</v>
      </c>
      <c r="S3209" s="270">
        <v>34744</v>
      </c>
      <c r="T3209" s="270">
        <v>42028.66</v>
      </c>
      <c r="U3209" s="271" t="s">
        <v>3932</v>
      </c>
      <c r="V3209" s="267" t="s">
        <v>944</v>
      </c>
    </row>
    <row r="3210" spans="1:22" hidden="1" x14ac:dyDescent="0.25">
      <c r="A3210" s="266">
        <v>43631</v>
      </c>
      <c r="B3210" s="267">
        <v>2019</v>
      </c>
      <c r="C3210" s="267">
        <v>2019</v>
      </c>
      <c r="D3210" s="267">
        <v>1</v>
      </c>
      <c r="E3210" s="267">
        <v>1</v>
      </c>
      <c r="F3210" s="267" t="s">
        <v>944</v>
      </c>
      <c r="G3210" s="267" t="s">
        <v>3926</v>
      </c>
      <c r="H3210" s="267" t="s">
        <v>7667</v>
      </c>
      <c r="I3210" s="267" t="s">
        <v>953</v>
      </c>
      <c r="J3210" s="267" t="s">
        <v>3928</v>
      </c>
      <c r="K3210" s="267">
        <v>6514</v>
      </c>
      <c r="L3210" s="267">
        <v>165802</v>
      </c>
      <c r="M3210" s="267" t="s">
        <v>3943</v>
      </c>
      <c r="N3210" s="267" t="s">
        <v>7643</v>
      </c>
      <c r="O3210" s="267">
        <v>1570.8</v>
      </c>
      <c r="P3210" s="267" t="s">
        <v>3930</v>
      </c>
      <c r="Q3210" s="267" t="s">
        <v>3931</v>
      </c>
      <c r="R3210" s="267">
        <v>6570.8</v>
      </c>
      <c r="S3210" s="267">
        <v>29295.3</v>
      </c>
      <c r="T3210" s="267">
        <v>35866.1</v>
      </c>
      <c r="U3210" s="268" t="s">
        <v>3932</v>
      </c>
      <c r="V3210" s="267" t="s">
        <v>944</v>
      </c>
    </row>
    <row r="3211" spans="1:22" hidden="1" x14ac:dyDescent="0.25">
      <c r="A3211" s="269">
        <v>43631</v>
      </c>
      <c r="B3211" s="270">
        <v>2019</v>
      </c>
      <c r="C3211" s="270">
        <v>2019</v>
      </c>
      <c r="D3211" s="270">
        <v>1</v>
      </c>
      <c r="E3211" s="270">
        <v>1</v>
      </c>
      <c r="F3211" s="270" t="s">
        <v>944</v>
      </c>
      <c r="G3211" s="270" t="s">
        <v>3926</v>
      </c>
      <c r="H3211" s="270" t="s">
        <v>7668</v>
      </c>
      <c r="I3211" s="270" t="s">
        <v>4269</v>
      </c>
      <c r="J3211" s="270" t="s">
        <v>3928</v>
      </c>
      <c r="K3211" s="270">
        <v>6107</v>
      </c>
      <c r="L3211" s="270">
        <v>496300</v>
      </c>
      <c r="M3211" s="270" t="s">
        <v>3960</v>
      </c>
      <c r="N3211" s="270" t="s">
        <v>5725</v>
      </c>
      <c r="O3211" s="270">
        <v>0</v>
      </c>
      <c r="P3211" s="270" t="s">
        <v>3930</v>
      </c>
      <c r="Q3211" s="270" t="s">
        <v>3930</v>
      </c>
      <c r="R3211" s="270">
        <v>0</v>
      </c>
      <c r="S3211" s="270">
        <v>10400</v>
      </c>
      <c r="T3211" s="270">
        <v>10400</v>
      </c>
      <c r="U3211" s="271" t="s">
        <v>3937</v>
      </c>
      <c r="V3211" s="267" t="s">
        <v>944</v>
      </c>
    </row>
    <row r="3212" spans="1:22" hidden="1" x14ac:dyDescent="0.25">
      <c r="A3212" s="266">
        <v>43633</v>
      </c>
      <c r="B3212" s="267">
        <v>2019</v>
      </c>
      <c r="C3212" s="267">
        <v>2019</v>
      </c>
      <c r="D3212" s="267">
        <v>1</v>
      </c>
      <c r="E3212" s="267">
        <v>1</v>
      </c>
      <c r="F3212" s="267" t="s">
        <v>944</v>
      </c>
      <c r="G3212" s="267" t="s">
        <v>3926</v>
      </c>
      <c r="H3212" s="267" t="s">
        <v>7669</v>
      </c>
      <c r="I3212" s="267" t="s">
        <v>2987</v>
      </c>
      <c r="J3212" s="267" t="s">
        <v>3928</v>
      </c>
      <c r="K3212" s="267">
        <v>6611</v>
      </c>
      <c r="L3212" s="267">
        <v>90700</v>
      </c>
      <c r="M3212" s="267" t="s">
        <v>3943</v>
      </c>
      <c r="N3212" s="267" t="s">
        <v>7670</v>
      </c>
      <c r="O3212" s="267">
        <v>0</v>
      </c>
      <c r="P3212" s="267" t="s">
        <v>3930</v>
      </c>
      <c r="Q3212" s="267" t="s">
        <v>3930</v>
      </c>
      <c r="R3212" s="267">
        <v>0</v>
      </c>
      <c r="S3212" s="267">
        <v>15884</v>
      </c>
      <c r="T3212" s="267">
        <v>15884</v>
      </c>
      <c r="U3212" s="268" t="s">
        <v>3937</v>
      </c>
      <c r="V3212" s="267" t="s">
        <v>944</v>
      </c>
    </row>
    <row r="3213" spans="1:22" hidden="1" x14ac:dyDescent="0.25">
      <c r="A3213" s="269">
        <v>43633</v>
      </c>
      <c r="B3213" s="270">
        <v>2019</v>
      </c>
      <c r="C3213" s="270">
        <v>2019</v>
      </c>
      <c r="D3213" s="270">
        <v>1</v>
      </c>
      <c r="E3213" s="270">
        <v>1</v>
      </c>
      <c r="F3213" s="270" t="s">
        <v>944</v>
      </c>
      <c r="G3213" s="270" t="s">
        <v>3926</v>
      </c>
      <c r="H3213" s="270" t="s">
        <v>7671</v>
      </c>
      <c r="I3213" s="270" t="s">
        <v>4137</v>
      </c>
      <c r="J3213" s="270" t="s">
        <v>3928</v>
      </c>
      <c r="K3213" s="270">
        <v>6067</v>
      </c>
      <c r="L3213" s="270">
        <v>490302</v>
      </c>
      <c r="M3213" s="270" t="s">
        <v>3960</v>
      </c>
      <c r="N3213" s="270" t="s">
        <v>7672</v>
      </c>
      <c r="O3213" s="270">
        <v>0</v>
      </c>
      <c r="P3213" s="270" t="s">
        <v>3930</v>
      </c>
      <c r="Q3213" s="270" t="s">
        <v>3930</v>
      </c>
      <c r="R3213" s="270">
        <v>0</v>
      </c>
      <c r="S3213" s="270">
        <v>12128.84</v>
      </c>
      <c r="T3213" s="270">
        <v>12128.84</v>
      </c>
      <c r="U3213" s="271" t="s">
        <v>3937</v>
      </c>
      <c r="V3213" s="267" t="s">
        <v>944</v>
      </c>
    </row>
    <row r="3214" spans="1:22" hidden="1" x14ac:dyDescent="0.25">
      <c r="A3214" s="266">
        <v>43633</v>
      </c>
      <c r="B3214" s="267">
        <v>2019</v>
      </c>
      <c r="C3214" s="267">
        <v>2019</v>
      </c>
      <c r="D3214" s="267">
        <v>1</v>
      </c>
      <c r="E3214" s="267">
        <v>1</v>
      </c>
      <c r="F3214" s="267" t="s">
        <v>944</v>
      </c>
      <c r="G3214" s="267" t="s">
        <v>3926</v>
      </c>
      <c r="H3214" s="267" t="s">
        <v>7673</v>
      </c>
      <c r="I3214" s="267" t="s">
        <v>3939</v>
      </c>
      <c r="J3214" s="267" t="s">
        <v>3928</v>
      </c>
      <c r="K3214" s="267">
        <v>6512</v>
      </c>
      <c r="L3214" s="267">
        <v>180100</v>
      </c>
      <c r="M3214" s="267" t="s">
        <v>3940</v>
      </c>
      <c r="N3214" s="267" t="s">
        <v>7674</v>
      </c>
      <c r="O3214" s="267">
        <v>0</v>
      </c>
      <c r="P3214" s="267" t="s">
        <v>3930</v>
      </c>
      <c r="Q3214" s="267" t="s">
        <v>3930</v>
      </c>
      <c r="R3214" s="267">
        <v>0</v>
      </c>
      <c r="S3214" s="267">
        <v>6160</v>
      </c>
      <c r="T3214" s="267">
        <v>6160</v>
      </c>
      <c r="U3214" s="268" t="s">
        <v>3937</v>
      </c>
      <c r="V3214" s="267" t="s">
        <v>944</v>
      </c>
    </row>
    <row r="3215" spans="1:22" hidden="1" x14ac:dyDescent="0.25">
      <c r="A3215" s="269">
        <v>43633</v>
      </c>
      <c r="B3215" s="270">
        <v>2019</v>
      </c>
      <c r="C3215" s="270">
        <v>2019</v>
      </c>
      <c r="D3215" s="270">
        <v>1</v>
      </c>
      <c r="E3215" s="270">
        <v>1</v>
      </c>
      <c r="F3215" s="270" t="s">
        <v>944</v>
      </c>
      <c r="G3215" s="270" t="s">
        <v>3926</v>
      </c>
      <c r="H3215" s="270" t="s">
        <v>7675</v>
      </c>
      <c r="I3215" s="270" t="s">
        <v>4220</v>
      </c>
      <c r="J3215" s="270" t="s">
        <v>3928</v>
      </c>
      <c r="K3215" s="270">
        <v>6455</v>
      </c>
      <c r="L3215" s="270">
        <v>580100</v>
      </c>
      <c r="M3215" s="270" t="s">
        <v>3960</v>
      </c>
      <c r="N3215" s="270" t="s">
        <v>7676</v>
      </c>
      <c r="O3215" s="270">
        <v>0</v>
      </c>
      <c r="P3215" s="270" t="s">
        <v>3930</v>
      </c>
      <c r="Q3215" s="270" t="s">
        <v>3930</v>
      </c>
      <c r="R3215" s="270">
        <v>0</v>
      </c>
      <c r="S3215" s="270">
        <v>21804</v>
      </c>
      <c r="T3215" s="270">
        <v>21804</v>
      </c>
      <c r="U3215" s="271" t="s">
        <v>3937</v>
      </c>
      <c r="V3215" s="267" t="s">
        <v>944</v>
      </c>
    </row>
    <row r="3216" spans="1:22" hidden="1" x14ac:dyDescent="0.25">
      <c r="A3216" s="266">
        <v>43633</v>
      </c>
      <c r="B3216" s="267">
        <v>2019</v>
      </c>
      <c r="C3216" s="267">
        <v>2019</v>
      </c>
      <c r="D3216" s="267">
        <v>1</v>
      </c>
      <c r="E3216" s="267">
        <v>1</v>
      </c>
      <c r="F3216" s="267" t="s">
        <v>944</v>
      </c>
      <c r="G3216" s="267" t="s">
        <v>3926</v>
      </c>
      <c r="H3216" s="267" t="s">
        <v>7677</v>
      </c>
      <c r="I3216" s="267" t="s">
        <v>3008</v>
      </c>
      <c r="J3216" s="267" t="s">
        <v>3928</v>
      </c>
      <c r="K3216" s="267">
        <v>6460</v>
      </c>
      <c r="L3216" s="267">
        <v>151100</v>
      </c>
      <c r="M3216" s="267" t="s">
        <v>3960</v>
      </c>
      <c r="N3216" s="267" t="s">
        <v>7678</v>
      </c>
      <c r="O3216" s="267">
        <v>2230.33</v>
      </c>
      <c r="P3216" s="267" t="s">
        <v>3930</v>
      </c>
      <c r="Q3216" s="267" t="s">
        <v>3931</v>
      </c>
      <c r="R3216" s="267">
        <v>7230.33</v>
      </c>
      <c r="S3216" s="267">
        <v>29524</v>
      </c>
      <c r="T3216" s="267">
        <v>36754.33</v>
      </c>
      <c r="U3216" s="268" t="s">
        <v>3932</v>
      </c>
      <c r="V3216" s="267" t="s">
        <v>944</v>
      </c>
    </row>
    <row r="3217" spans="1:22" hidden="1" x14ac:dyDescent="0.25">
      <c r="A3217" s="269">
        <v>43633</v>
      </c>
      <c r="B3217" s="270">
        <v>2019</v>
      </c>
      <c r="C3217" s="270">
        <v>2019</v>
      </c>
      <c r="D3217" s="270">
        <v>1</v>
      </c>
      <c r="E3217" s="270">
        <v>1</v>
      </c>
      <c r="F3217" s="270" t="s">
        <v>944</v>
      </c>
      <c r="G3217" s="270" t="s">
        <v>3926</v>
      </c>
      <c r="H3217" s="270" t="s">
        <v>7679</v>
      </c>
      <c r="I3217" s="270" t="s">
        <v>953</v>
      </c>
      <c r="J3217" s="270" t="s">
        <v>3928</v>
      </c>
      <c r="K3217" s="270">
        <v>6514</v>
      </c>
      <c r="L3217" s="270">
        <v>165801</v>
      </c>
      <c r="M3217" s="270" t="s">
        <v>3935</v>
      </c>
      <c r="N3217" s="270" t="s">
        <v>7680</v>
      </c>
      <c r="O3217" s="270">
        <v>771.09</v>
      </c>
      <c r="P3217" s="270" t="s">
        <v>3930</v>
      </c>
      <c r="Q3217" s="270" t="s">
        <v>3931</v>
      </c>
      <c r="R3217" s="270">
        <v>5771.09</v>
      </c>
      <c r="S3217" s="270">
        <v>11128</v>
      </c>
      <c r="T3217" s="270">
        <v>16899.09</v>
      </c>
      <c r="U3217" s="271" t="s">
        <v>3932</v>
      </c>
      <c r="V3217" s="267" t="s">
        <v>944</v>
      </c>
    </row>
    <row r="3218" spans="1:22" hidden="1" x14ac:dyDescent="0.25">
      <c r="A3218" s="266">
        <v>43633</v>
      </c>
      <c r="B3218" s="267">
        <v>2019</v>
      </c>
      <c r="C3218" s="267">
        <v>2019</v>
      </c>
      <c r="D3218" s="267">
        <v>1</v>
      </c>
      <c r="E3218" s="267">
        <v>1</v>
      </c>
      <c r="F3218" s="267" t="s">
        <v>944</v>
      </c>
      <c r="G3218" s="267" t="s">
        <v>3926</v>
      </c>
      <c r="H3218" s="267" t="s">
        <v>7681</v>
      </c>
      <c r="I3218" s="267" t="s">
        <v>4235</v>
      </c>
      <c r="J3218" s="267" t="s">
        <v>3928</v>
      </c>
      <c r="K3218" s="267">
        <v>6066</v>
      </c>
      <c r="L3218" s="267">
        <v>530301</v>
      </c>
      <c r="M3218" s="267" t="s">
        <v>3940</v>
      </c>
      <c r="N3218" s="267" t="s">
        <v>6079</v>
      </c>
      <c r="O3218" s="267">
        <v>4870.8900000000003</v>
      </c>
      <c r="P3218" s="267" t="s">
        <v>3930</v>
      </c>
      <c r="Q3218" s="267" t="s">
        <v>3931</v>
      </c>
      <c r="R3218" s="267">
        <v>9870.89</v>
      </c>
      <c r="S3218" s="267">
        <v>24808</v>
      </c>
      <c r="T3218" s="267">
        <v>34678.89</v>
      </c>
      <c r="U3218" s="268" t="s">
        <v>3932</v>
      </c>
      <c r="V3218" s="267" t="s">
        <v>944</v>
      </c>
    </row>
    <row r="3219" spans="1:22" hidden="1" x14ac:dyDescent="0.25">
      <c r="A3219" s="269">
        <v>43633</v>
      </c>
      <c r="B3219" s="270">
        <v>2019</v>
      </c>
      <c r="C3219" s="270">
        <v>2019</v>
      </c>
      <c r="D3219" s="270">
        <v>1</v>
      </c>
      <c r="E3219" s="270">
        <v>1</v>
      </c>
      <c r="F3219" s="270" t="s">
        <v>944</v>
      </c>
      <c r="G3219" s="270" t="s">
        <v>3926</v>
      </c>
      <c r="H3219" s="270" t="s">
        <v>7682</v>
      </c>
      <c r="I3219" s="270" t="s">
        <v>4159</v>
      </c>
      <c r="J3219" s="270" t="s">
        <v>3928</v>
      </c>
      <c r="K3219" s="270">
        <v>6096</v>
      </c>
      <c r="L3219" s="270">
        <v>476100</v>
      </c>
      <c r="M3219" s="270" t="s">
        <v>3940</v>
      </c>
      <c r="N3219" s="270" t="s">
        <v>3929</v>
      </c>
      <c r="O3219" s="270">
        <v>2217.29</v>
      </c>
      <c r="P3219" s="270" t="s">
        <v>3930</v>
      </c>
      <c r="Q3219" s="270" t="s">
        <v>3931</v>
      </c>
      <c r="R3219" s="270">
        <v>7217.29</v>
      </c>
      <c r="S3219" s="270">
        <v>34744</v>
      </c>
      <c r="T3219" s="270">
        <v>41961.29</v>
      </c>
      <c r="U3219" s="271" t="s">
        <v>3932</v>
      </c>
      <c r="V3219" s="267" t="s">
        <v>944</v>
      </c>
    </row>
    <row r="3220" spans="1:22" hidden="1" x14ac:dyDescent="0.25">
      <c r="A3220" s="266">
        <v>43633</v>
      </c>
      <c r="B3220" s="267">
        <v>2019</v>
      </c>
      <c r="C3220" s="267">
        <v>2019</v>
      </c>
      <c r="D3220" s="267">
        <v>1</v>
      </c>
      <c r="E3220" s="267">
        <v>1</v>
      </c>
      <c r="F3220" s="267" t="s">
        <v>944</v>
      </c>
      <c r="G3220" s="267" t="s">
        <v>3926</v>
      </c>
      <c r="H3220" s="267" t="s">
        <v>7683</v>
      </c>
      <c r="I3220" s="267" t="s">
        <v>2985</v>
      </c>
      <c r="J3220" s="267" t="s">
        <v>3928</v>
      </c>
      <c r="K3220" s="267">
        <v>6825</v>
      </c>
      <c r="L3220" s="267">
        <v>61200</v>
      </c>
      <c r="M3220" s="267" t="s">
        <v>3935</v>
      </c>
      <c r="N3220" s="267" t="s">
        <v>3944</v>
      </c>
      <c r="O3220" s="267">
        <v>3506</v>
      </c>
      <c r="P3220" s="267" t="s">
        <v>3944</v>
      </c>
      <c r="Q3220" s="267" t="s">
        <v>3944</v>
      </c>
      <c r="R3220" s="267">
        <v>3506</v>
      </c>
      <c r="S3220" s="267">
        <v>28894</v>
      </c>
      <c r="T3220" s="267">
        <v>32400</v>
      </c>
      <c r="U3220" s="268" t="s">
        <v>3945</v>
      </c>
      <c r="V3220" s="267" t="s">
        <v>944</v>
      </c>
    </row>
    <row r="3221" spans="1:22" hidden="1" x14ac:dyDescent="0.25">
      <c r="A3221" s="269">
        <v>43633</v>
      </c>
      <c r="B3221" s="270">
        <v>2019</v>
      </c>
      <c r="C3221" s="270">
        <v>2019</v>
      </c>
      <c r="D3221" s="270">
        <v>1</v>
      </c>
      <c r="E3221" s="270">
        <v>1</v>
      </c>
      <c r="F3221" s="270" t="s">
        <v>944</v>
      </c>
      <c r="G3221" s="270" t="s">
        <v>3926</v>
      </c>
      <c r="H3221" s="270" t="s">
        <v>7684</v>
      </c>
      <c r="I3221" s="270" t="s">
        <v>2985</v>
      </c>
      <c r="J3221" s="270" t="s">
        <v>3928</v>
      </c>
      <c r="K3221" s="270">
        <v>6824</v>
      </c>
      <c r="L3221" s="270">
        <v>61500</v>
      </c>
      <c r="M3221" s="270" t="s">
        <v>3943</v>
      </c>
      <c r="N3221" s="270" t="s">
        <v>3944</v>
      </c>
      <c r="O3221" s="270">
        <v>2656</v>
      </c>
      <c r="P3221" s="270" t="s">
        <v>3944</v>
      </c>
      <c r="Q3221" s="270" t="s">
        <v>3944</v>
      </c>
      <c r="R3221" s="270">
        <v>2656</v>
      </c>
      <c r="S3221" s="270">
        <v>22927.56</v>
      </c>
      <c r="T3221" s="270">
        <v>25583.56</v>
      </c>
      <c r="U3221" s="271" t="s">
        <v>3945</v>
      </c>
      <c r="V3221" s="267" t="s">
        <v>944</v>
      </c>
    </row>
    <row r="3222" spans="1:22" hidden="1" x14ac:dyDescent="0.25">
      <c r="A3222" s="266">
        <v>43633</v>
      </c>
      <c r="B3222" s="267">
        <v>2019</v>
      </c>
      <c r="C3222" s="267">
        <v>2019</v>
      </c>
      <c r="D3222" s="267">
        <v>1</v>
      </c>
      <c r="E3222" s="267">
        <v>1</v>
      </c>
      <c r="F3222" s="267" t="s">
        <v>944</v>
      </c>
      <c r="G3222" s="267" t="s">
        <v>3926</v>
      </c>
      <c r="H3222" s="267" t="s">
        <v>7685</v>
      </c>
      <c r="I3222" s="267" t="s">
        <v>3966</v>
      </c>
      <c r="J3222" s="267" t="s">
        <v>3928</v>
      </c>
      <c r="K3222" s="267">
        <v>6010</v>
      </c>
      <c r="L3222" s="267">
        <v>405500</v>
      </c>
      <c r="M3222" s="267" t="s">
        <v>3935</v>
      </c>
      <c r="N3222" s="267" t="s">
        <v>3944</v>
      </c>
      <c r="O3222" s="267">
        <v>2122</v>
      </c>
      <c r="P3222" s="267" t="s">
        <v>3944</v>
      </c>
      <c r="Q3222" s="267" t="s">
        <v>3944</v>
      </c>
      <c r="R3222" s="267">
        <v>2122</v>
      </c>
      <c r="S3222" s="267">
        <v>25528</v>
      </c>
      <c r="T3222" s="267">
        <v>27650</v>
      </c>
      <c r="U3222" s="268" t="s">
        <v>3945</v>
      </c>
      <c r="V3222" s="267" t="s">
        <v>944</v>
      </c>
    </row>
    <row r="3223" spans="1:22" hidden="1" x14ac:dyDescent="0.25">
      <c r="A3223" s="269">
        <v>43633</v>
      </c>
      <c r="B3223" s="270">
        <v>2019</v>
      </c>
      <c r="C3223" s="270">
        <v>2019</v>
      </c>
      <c r="D3223" s="270">
        <v>1</v>
      </c>
      <c r="E3223" s="270">
        <v>1</v>
      </c>
      <c r="F3223" s="270" t="s">
        <v>944</v>
      </c>
      <c r="G3223" s="270" t="s">
        <v>3926</v>
      </c>
      <c r="H3223" s="270" t="s">
        <v>7686</v>
      </c>
      <c r="I3223" s="270" t="s">
        <v>2981</v>
      </c>
      <c r="J3223" s="270" t="s">
        <v>3928</v>
      </c>
      <c r="K3223" s="270">
        <v>6612</v>
      </c>
      <c r="L3223" s="270">
        <v>105100</v>
      </c>
      <c r="M3223" s="270" t="s">
        <v>3943</v>
      </c>
      <c r="N3223" s="270" t="s">
        <v>3944</v>
      </c>
      <c r="O3223" s="270">
        <v>1626</v>
      </c>
      <c r="P3223" s="270" t="s">
        <v>3944</v>
      </c>
      <c r="Q3223" s="270" t="s">
        <v>3944</v>
      </c>
      <c r="R3223" s="270">
        <v>1626</v>
      </c>
      <c r="S3223" s="270">
        <v>21054</v>
      </c>
      <c r="T3223" s="270">
        <v>22680</v>
      </c>
      <c r="U3223" s="271" t="s">
        <v>3945</v>
      </c>
      <c r="V3223" s="267" t="s">
        <v>944</v>
      </c>
    </row>
    <row r="3224" spans="1:22" hidden="1" x14ac:dyDescent="0.25">
      <c r="A3224" s="266">
        <v>43633</v>
      </c>
      <c r="B3224" s="267">
        <v>2019</v>
      </c>
      <c r="C3224" s="267">
        <v>2019</v>
      </c>
      <c r="D3224" s="267">
        <v>1</v>
      </c>
      <c r="E3224" s="267">
        <v>1</v>
      </c>
      <c r="F3224" s="267" t="s">
        <v>944</v>
      </c>
      <c r="G3224" s="267" t="s">
        <v>3926</v>
      </c>
      <c r="H3224" s="267" t="s">
        <v>7687</v>
      </c>
      <c r="I3224" s="267" t="s">
        <v>2987</v>
      </c>
      <c r="J3224" s="267" t="s">
        <v>3928</v>
      </c>
      <c r="K3224" s="267">
        <v>6611</v>
      </c>
      <c r="L3224" s="267">
        <v>90300</v>
      </c>
      <c r="M3224" s="267" t="s">
        <v>3943</v>
      </c>
      <c r="N3224" s="267" t="s">
        <v>3944</v>
      </c>
      <c r="O3224" s="267">
        <v>3099</v>
      </c>
      <c r="P3224" s="267" t="s">
        <v>3944</v>
      </c>
      <c r="Q3224" s="267" t="s">
        <v>3944</v>
      </c>
      <c r="R3224" s="267">
        <v>3099</v>
      </c>
      <c r="S3224" s="267">
        <v>26507.75</v>
      </c>
      <c r="T3224" s="267">
        <v>29606.75</v>
      </c>
      <c r="U3224" s="268" t="s">
        <v>3945</v>
      </c>
      <c r="V3224" s="267" t="s">
        <v>944</v>
      </c>
    </row>
    <row r="3225" spans="1:22" hidden="1" x14ac:dyDescent="0.25">
      <c r="A3225" s="269">
        <v>43633</v>
      </c>
      <c r="B3225" s="270">
        <v>2019</v>
      </c>
      <c r="C3225" s="270">
        <v>2019</v>
      </c>
      <c r="D3225" s="270">
        <v>1</v>
      </c>
      <c r="E3225" s="270">
        <v>1</v>
      </c>
      <c r="F3225" s="270" t="s">
        <v>944</v>
      </c>
      <c r="G3225" s="270" t="s">
        <v>3926</v>
      </c>
      <c r="H3225" s="270" t="s">
        <v>7688</v>
      </c>
      <c r="I3225" s="270" t="s">
        <v>4111</v>
      </c>
      <c r="J3225" s="270" t="s">
        <v>3928</v>
      </c>
      <c r="K3225" s="270">
        <v>6095</v>
      </c>
      <c r="L3225" s="270">
        <v>473601</v>
      </c>
      <c r="M3225" s="270" t="s">
        <v>3943</v>
      </c>
      <c r="N3225" s="270" t="s">
        <v>3944</v>
      </c>
      <c r="O3225" s="270">
        <v>2353</v>
      </c>
      <c r="P3225" s="270" t="s">
        <v>3944</v>
      </c>
      <c r="Q3225" s="270" t="s">
        <v>3944</v>
      </c>
      <c r="R3225" s="270">
        <v>2353</v>
      </c>
      <c r="S3225" s="270">
        <v>25575</v>
      </c>
      <c r="T3225" s="270">
        <v>27928</v>
      </c>
      <c r="U3225" s="271" t="s">
        <v>3945</v>
      </c>
      <c r="V3225" s="267" t="s">
        <v>944</v>
      </c>
    </row>
    <row r="3226" spans="1:22" hidden="1" x14ac:dyDescent="0.25">
      <c r="A3226" s="266">
        <v>43633</v>
      </c>
      <c r="B3226" s="267">
        <v>2019</v>
      </c>
      <c r="C3226" s="267">
        <v>2019</v>
      </c>
      <c r="D3226" s="267">
        <v>1</v>
      </c>
      <c r="E3226" s="267">
        <v>1</v>
      </c>
      <c r="F3226" s="267" t="s">
        <v>944</v>
      </c>
      <c r="G3226" s="267" t="s">
        <v>3926</v>
      </c>
      <c r="H3226" s="267" t="s">
        <v>7689</v>
      </c>
      <c r="I3226" s="267" t="s">
        <v>4119</v>
      </c>
      <c r="J3226" s="267" t="s">
        <v>3928</v>
      </c>
      <c r="K3226" s="267">
        <v>6078</v>
      </c>
      <c r="L3226" s="267">
        <v>477102</v>
      </c>
      <c r="M3226" s="267" t="s">
        <v>3943</v>
      </c>
      <c r="N3226" s="267" t="s">
        <v>3944</v>
      </c>
      <c r="O3226" s="267">
        <v>6687</v>
      </c>
      <c r="P3226" s="267" t="s">
        <v>3944</v>
      </c>
      <c r="Q3226" s="267" t="s">
        <v>3944</v>
      </c>
      <c r="R3226" s="267">
        <v>6687</v>
      </c>
      <c r="S3226" s="267">
        <v>48903</v>
      </c>
      <c r="T3226" s="267">
        <v>55590</v>
      </c>
      <c r="U3226" s="268" t="s">
        <v>3945</v>
      </c>
      <c r="V3226" s="267" t="s">
        <v>944</v>
      </c>
    </row>
    <row r="3227" spans="1:22" hidden="1" x14ac:dyDescent="0.25">
      <c r="A3227" s="269">
        <v>43633</v>
      </c>
      <c r="B3227" s="270">
        <v>2019</v>
      </c>
      <c r="C3227" s="270">
        <v>2019</v>
      </c>
      <c r="D3227" s="270">
        <v>1</v>
      </c>
      <c r="E3227" s="270">
        <v>1</v>
      </c>
      <c r="F3227" s="270" t="s">
        <v>944</v>
      </c>
      <c r="G3227" s="270" t="s">
        <v>3926</v>
      </c>
      <c r="H3227" s="270" t="s">
        <v>7690</v>
      </c>
      <c r="I3227" s="270" t="s">
        <v>4548</v>
      </c>
      <c r="J3227" s="270" t="s">
        <v>3928</v>
      </c>
      <c r="K3227" s="270">
        <v>6037</v>
      </c>
      <c r="L3227" s="270">
        <v>400300</v>
      </c>
      <c r="M3227" s="270" t="s">
        <v>3960</v>
      </c>
      <c r="N3227" s="270" t="s">
        <v>3944</v>
      </c>
      <c r="O3227" s="270">
        <v>2296</v>
      </c>
      <c r="P3227" s="270" t="s">
        <v>3944</v>
      </c>
      <c r="Q3227" s="270" t="s">
        <v>3944</v>
      </c>
      <c r="R3227" s="270">
        <v>2296</v>
      </c>
      <c r="S3227" s="270">
        <v>22224.85</v>
      </c>
      <c r="T3227" s="270">
        <v>24520.85</v>
      </c>
      <c r="U3227" s="271" t="s">
        <v>3945</v>
      </c>
      <c r="V3227" s="267" t="s">
        <v>944</v>
      </c>
    </row>
    <row r="3228" spans="1:22" hidden="1" x14ac:dyDescent="0.25">
      <c r="A3228" s="266">
        <v>43633</v>
      </c>
      <c r="B3228" s="267">
        <v>2019</v>
      </c>
      <c r="C3228" s="267">
        <v>2019</v>
      </c>
      <c r="D3228" s="267">
        <v>1</v>
      </c>
      <c r="E3228" s="267">
        <v>1</v>
      </c>
      <c r="F3228" s="267" t="s">
        <v>944</v>
      </c>
      <c r="G3228" s="267" t="s">
        <v>3926</v>
      </c>
      <c r="H3228" s="267" t="s">
        <v>7691</v>
      </c>
      <c r="I3228" s="267" t="s">
        <v>3012</v>
      </c>
      <c r="J3228" s="267" t="s">
        <v>3928</v>
      </c>
      <c r="K3228" s="267">
        <v>6477</v>
      </c>
      <c r="L3228" s="267">
        <v>157400</v>
      </c>
      <c r="M3228" s="267" t="s">
        <v>3943</v>
      </c>
      <c r="N3228" s="267" t="s">
        <v>3944</v>
      </c>
      <c r="O3228" s="267">
        <v>5566</v>
      </c>
      <c r="P3228" s="267" t="s">
        <v>3944</v>
      </c>
      <c r="Q3228" s="267" t="s">
        <v>3944</v>
      </c>
      <c r="R3228" s="267">
        <v>5566</v>
      </c>
      <c r="S3228" s="267">
        <v>44044</v>
      </c>
      <c r="T3228" s="267">
        <v>49610</v>
      </c>
      <c r="U3228" s="268" t="s">
        <v>3945</v>
      </c>
      <c r="V3228" s="267" t="s">
        <v>944</v>
      </c>
    </row>
    <row r="3229" spans="1:22" hidden="1" x14ac:dyDescent="0.25">
      <c r="A3229" s="269">
        <v>43633</v>
      </c>
      <c r="B3229" s="270">
        <v>2019</v>
      </c>
      <c r="C3229" s="270">
        <v>2019</v>
      </c>
      <c r="D3229" s="270">
        <v>1</v>
      </c>
      <c r="E3229" s="270">
        <v>1</v>
      </c>
      <c r="F3229" s="270" t="s">
        <v>944</v>
      </c>
      <c r="G3229" s="270" t="s">
        <v>3926</v>
      </c>
      <c r="H3229" s="270" t="s">
        <v>7692</v>
      </c>
      <c r="I3229" s="270" t="s">
        <v>4124</v>
      </c>
      <c r="J3229" s="270" t="s">
        <v>3928</v>
      </c>
      <c r="K3229" s="270">
        <v>6482</v>
      </c>
      <c r="L3229" s="270">
        <v>230501</v>
      </c>
      <c r="M3229" s="270" t="s">
        <v>3943</v>
      </c>
      <c r="N3229" s="270" t="s">
        <v>3944</v>
      </c>
      <c r="O3229" s="270">
        <v>3019</v>
      </c>
      <c r="P3229" s="270" t="s">
        <v>3944</v>
      </c>
      <c r="Q3229" s="270" t="s">
        <v>3944</v>
      </c>
      <c r="R3229" s="270">
        <v>3019</v>
      </c>
      <c r="S3229" s="270">
        <v>34774</v>
      </c>
      <c r="T3229" s="270">
        <v>37793</v>
      </c>
      <c r="U3229" s="271" t="s">
        <v>3945</v>
      </c>
      <c r="V3229" s="267" t="s">
        <v>944</v>
      </c>
    </row>
    <row r="3230" spans="1:22" hidden="1" x14ac:dyDescent="0.25">
      <c r="A3230" s="266">
        <v>43633</v>
      </c>
      <c r="B3230" s="267">
        <v>2019</v>
      </c>
      <c r="C3230" s="267">
        <v>2019</v>
      </c>
      <c r="D3230" s="267">
        <v>1</v>
      </c>
      <c r="E3230" s="267">
        <v>1</v>
      </c>
      <c r="F3230" s="267" t="s">
        <v>944</v>
      </c>
      <c r="G3230" s="267" t="s">
        <v>3926</v>
      </c>
      <c r="H3230" s="267" t="s">
        <v>7693</v>
      </c>
      <c r="I3230" s="267" t="s">
        <v>4290</v>
      </c>
      <c r="J3230" s="267" t="s">
        <v>3928</v>
      </c>
      <c r="K3230" s="267">
        <v>6798</v>
      </c>
      <c r="L3230" s="267">
        <v>362102</v>
      </c>
      <c r="M3230" s="267" t="s">
        <v>3960</v>
      </c>
      <c r="N3230" s="267" t="s">
        <v>3944</v>
      </c>
      <c r="O3230" s="267">
        <v>4329</v>
      </c>
      <c r="P3230" s="267" t="s">
        <v>3944</v>
      </c>
      <c r="Q3230" s="267" t="s">
        <v>3944</v>
      </c>
      <c r="R3230" s="267">
        <v>4329</v>
      </c>
      <c r="S3230" s="267">
        <v>29407.5</v>
      </c>
      <c r="T3230" s="267">
        <v>33736.5</v>
      </c>
      <c r="U3230" s="268" t="s">
        <v>3945</v>
      </c>
      <c r="V3230" s="267" t="s">
        <v>944</v>
      </c>
    </row>
    <row r="3231" spans="1:22" hidden="1" x14ac:dyDescent="0.25">
      <c r="A3231" s="269">
        <v>43633</v>
      </c>
      <c r="B3231" s="270">
        <v>2019</v>
      </c>
      <c r="C3231" s="270">
        <v>2019</v>
      </c>
      <c r="D3231" s="270">
        <v>1</v>
      </c>
      <c r="E3231" s="270">
        <v>1</v>
      </c>
      <c r="F3231" s="270" t="s">
        <v>944</v>
      </c>
      <c r="G3231" s="270" t="s">
        <v>3926</v>
      </c>
      <c r="H3231" s="270" t="s">
        <v>7694</v>
      </c>
      <c r="I3231" s="270" t="s">
        <v>956</v>
      </c>
      <c r="J3231" s="270" t="s">
        <v>3928</v>
      </c>
      <c r="K3231" s="270">
        <v>6615</v>
      </c>
      <c r="L3231" s="270">
        <v>80500</v>
      </c>
      <c r="M3231" s="270" t="s">
        <v>3960</v>
      </c>
      <c r="N3231" s="270" t="s">
        <v>3944</v>
      </c>
      <c r="O3231" s="270">
        <v>2628</v>
      </c>
      <c r="P3231" s="270" t="s">
        <v>3944</v>
      </c>
      <c r="Q3231" s="270" t="s">
        <v>3944</v>
      </c>
      <c r="R3231" s="270">
        <v>2628</v>
      </c>
      <c r="S3231" s="270">
        <v>25122</v>
      </c>
      <c r="T3231" s="270">
        <v>27750</v>
      </c>
      <c r="U3231" s="271" t="s">
        <v>3945</v>
      </c>
      <c r="V3231" s="267" t="s">
        <v>944</v>
      </c>
    </row>
    <row r="3232" spans="1:22" hidden="1" x14ac:dyDescent="0.25">
      <c r="A3232" s="266">
        <v>43633</v>
      </c>
      <c r="B3232" s="267">
        <v>2019</v>
      </c>
      <c r="C3232" s="267">
        <v>2019</v>
      </c>
      <c r="D3232" s="267">
        <v>1</v>
      </c>
      <c r="E3232" s="267">
        <v>1</v>
      </c>
      <c r="F3232" s="267" t="s">
        <v>944</v>
      </c>
      <c r="G3232" s="267" t="s">
        <v>3926</v>
      </c>
      <c r="H3232" s="267" t="s">
        <v>7695</v>
      </c>
      <c r="I3232" s="267" t="s">
        <v>4519</v>
      </c>
      <c r="J3232" s="267" t="s">
        <v>3928</v>
      </c>
      <c r="K3232" s="267">
        <v>6840</v>
      </c>
      <c r="L3232" s="267">
        <v>35100</v>
      </c>
      <c r="M3232" s="267" t="s">
        <v>3943</v>
      </c>
      <c r="N3232" s="267" t="s">
        <v>3944</v>
      </c>
      <c r="O3232" s="267">
        <v>3780</v>
      </c>
      <c r="P3232" s="267" t="s">
        <v>3944</v>
      </c>
      <c r="Q3232" s="267" t="s">
        <v>3944</v>
      </c>
      <c r="R3232" s="267">
        <v>3780</v>
      </c>
      <c r="S3232" s="267">
        <v>54051</v>
      </c>
      <c r="T3232" s="267">
        <v>57831</v>
      </c>
      <c r="U3232" s="268" t="s">
        <v>3945</v>
      </c>
      <c r="V3232" s="267" t="s">
        <v>944</v>
      </c>
    </row>
    <row r="3233" spans="1:22" hidden="1" x14ac:dyDescent="0.25">
      <c r="A3233" s="269">
        <v>43633</v>
      </c>
      <c r="B3233" s="270">
        <v>2019</v>
      </c>
      <c r="C3233" s="270">
        <v>2019</v>
      </c>
      <c r="D3233" s="270">
        <v>1</v>
      </c>
      <c r="E3233" s="270">
        <v>1</v>
      </c>
      <c r="F3233" s="270" t="s">
        <v>944</v>
      </c>
      <c r="G3233" s="270" t="s">
        <v>3926</v>
      </c>
      <c r="H3233" s="270" t="s">
        <v>7696</v>
      </c>
      <c r="I3233" s="270" t="s">
        <v>3011</v>
      </c>
      <c r="J3233" s="270" t="s">
        <v>3928</v>
      </c>
      <c r="K3233" s="270">
        <v>6418</v>
      </c>
      <c r="L3233" s="270">
        <v>120200</v>
      </c>
      <c r="M3233" s="270">
        <v>-60</v>
      </c>
      <c r="N3233" s="270" t="s">
        <v>3944</v>
      </c>
      <c r="O3233" s="270">
        <v>1905</v>
      </c>
      <c r="P3233" s="270" t="s">
        <v>3944</v>
      </c>
      <c r="Q3233" s="270" t="s">
        <v>3944</v>
      </c>
      <c r="R3233" s="270">
        <v>1905</v>
      </c>
      <c r="S3233" s="270">
        <v>24937.11</v>
      </c>
      <c r="T3233" s="270">
        <v>26842.11</v>
      </c>
      <c r="U3233" s="271" t="s">
        <v>3945</v>
      </c>
      <c r="V3233" s="267" t="s">
        <v>944</v>
      </c>
    </row>
    <row r="3234" spans="1:22" x14ac:dyDescent="0.25">
      <c r="A3234" s="266">
        <v>43633</v>
      </c>
      <c r="B3234" s="267">
        <v>2019</v>
      </c>
      <c r="C3234" s="267">
        <v>2019</v>
      </c>
      <c r="D3234" s="267">
        <v>1</v>
      </c>
      <c r="E3234" s="267">
        <v>1</v>
      </c>
      <c r="F3234" s="267" t="s">
        <v>944</v>
      </c>
      <c r="G3234" s="267" t="s">
        <v>3926</v>
      </c>
      <c r="H3234" s="267" t="s">
        <v>7697</v>
      </c>
      <c r="I3234" s="267" t="s">
        <v>934</v>
      </c>
      <c r="J3234" s="267" t="s">
        <v>3928</v>
      </c>
      <c r="K3234" s="267">
        <v>6605</v>
      </c>
      <c r="L3234" s="267">
        <v>70100</v>
      </c>
      <c r="M3234" s="267" t="s">
        <v>3960</v>
      </c>
      <c r="N3234" s="267" t="s">
        <v>3944</v>
      </c>
      <c r="O3234" s="267">
        <v>2376</v>
      </c>
      <c r="P3234" s="267" t="s">
        <v>3944</v>
      </c>
      <c r="Q3234" s="267" t="s">
        <v>3944</v>
      </c>
      <c r="R3234" s="267">
        <v>2376</v>
      </c>
      <c r="S3234" s="267">
        <v>20038</v>
      </c>
      <c r="T3234" s="267">
        <v>22414</v>
      </c>
      <c r="U3234" s="268" t="s">
        <v>3945</v>
      </c>
      <c r="V3234" s="276" t="s">
        <v>936</v>
      </c>
    </row>
    <row r="3235" spans="1:22" hidden="1" x14ac:dyDescent="0.25">
      <c r="A3235" s="269">
        <v>43633</v>
      </c>
      <c r="B3235" s="270">
        <v>2019</v>
      </c>
      <c r="C3235" s="270">
        <v>2019</v>
      </c>
      <c r="D3235" s="270">
        <v>1</v>
      </c>
      <c r="E3235" s="270">
        <v>1</v>
      </c>
      <c r="F3235" s="270" t="s">
        <v>944</v>
      </c>
      <c r="G3235" s="270" t="s">
        <v>3926</v>
      </c>
      <c r="H3235" s="270" t="s">
        <v>7698</v>
      </c>
      <c r="I3235" s="270" t="s">
        <v>3954</v>
      </c>
      <c r="J3235" s="270" t="s">
        <v>3928</v>
      </c>
      <c r="K3235" s="270">
        <v>6333</v>
      </c>
      <c r="L3235" s="270">
        <v>716101</v>
      </c>
      <c r="M3235" s="270" t="s">
        <v>3935</v>
      </c>
      <c r="N3235" s="270" t="s">
        <v>3944</v>
      </c>
      <c r="O3235" s="270">
        <v>4663</v>
      </c>
      <c r="P3235" s="270" t="s">
        <v>3944</v>
      </c>
      <c r="Q3235" s="270" t="s">
        <v>3944</v>
      </c>
      <c r="R3235" s="270">
        <v>4663</v>
      </c>
      <c r="S3235" s="270">
        <v>45327.5</v>
      </c>
      <c r="T3235" s="270">
        <v>49990.5</v>
      </c>
      <c r="U3235" s="271" t="s">
        <v>3945</v>
      </c>
      <c r="V3235" s="267" t="s">
        <v>944</v>
      </c>
    </row>
    <row r="3236" spans="1:22" hidden="1" x14ac:dyDescent="0.25">
      <c r="A3236" s="266">
        <v>43633</v>
      </c>
      <c r="B3236" s="267">
        <v>2019</v>
      </c>
      <c r="C3236" s="267">
        <v>2019</v>
      </c>
      <c r="D3236" s="267">
        <v>1</v>
      </c>
      <c r="E3236" s="267">
        <v>1</v>
      </c>
      <c r="F3236" s="267" t="s">
        <v>944</v>
      </c>
      <c r="G3236" s="267" t="s">
        <v>3926</v>
      </c>
      <c r="H3236" s="267" t="s">
        <v>7699</v>
      </c>
      <c r="I3236" s="267" t="s">
        <v>4124</v>
      </c>
      <c r="J3236" s="267" t="s">
        <v>3928</v>
      </c>
      <c r="K3236" s="267">
        <v>6470</v>
      </c>
      <c r="L3236" s="267">
        <v>230300</v>
      </c>
      <c r="M3236" s="267" t="s">
        <v>3943</v>
      </c>
      <c r="N3236" s="267" t="s">
        <v>3944</v>
      </c>
      <c r="O3236" s="267">
        <v>6929</v>
      </c>
      <c r="P3236" s="267" t="s">
        <v>3944</v>
      </c>
      <c r="Q3236" s="267" t="s">
        <v>3944</v>
      </c>
      <c r="R3236" s="267">
        <v>6929</v>
      </c>
      <c r="S3236" s="267">
        <v>76390.600000000006</v>
      </c>
      <c r="T3236" s="267">
        <v>83319.600000000006</v>
      </c>
      <c r="U3236" s="268" t="s">
        <v>3945</v>
      </c>
      <c r="V3236" s="267" t="s">
        <v>944</v>
      </c>
    </row>
    <row r="3237" spans="1:22" hidden="1" x14ac:dyDescent="0.25">
      <c r="A3237" s="269">
        <v>43633</v>
      </c>
      <c r="B3237" s="270">
        <v>2019</v>
      </c>
      <c r="C3237" s="270">
        <v>2019</v>
      </c>
      <c r="D3237" s="270">
        <v>1</v>
      </c>
      <c r="E3237" s="270">
        <v>1</v>
      </c>
      <c r="F3237" s="270" t="s">
        <v>944</v>
      </c>
      <c r="G3237" s="270" t="s">
        <v>3926</v>
      </c>
      <c r="H3237" s="270" t="s">
        <v>7700</v>
      </c>
      <c r="I3237" s="270" t="s">
        <v>3949</v>
      </c>
      <c r="J3237" s="270" t="s">
        <v>3928</v>
      </c>
      <c r="K3237" s="270">
        <v>6437</v>
      </c>
      <c r="L3237" s="270">
        <v>190302</v>
      </c>
      <c r="M3237" s="270" t="s">
        <v>3943</v>
      </c>
      <c r="N3237" s="270" t="s">
        <v>3944</v>
      </c>
      <c r="O3237" s="270">
        <v>7081</v>
      </c>
      <c r="P3237" s="270" t="s">
        <v>3944</v>
      </c>
      <c r="Q3237" s="270" t="s">
        <v>3944</v>
      </c>
      <c r="R3237" s="270">
        <v>7081</v>
      </c>
      <c r="S3237" s="270">
        <v>41126.9</v>
      </c>
      <c r="T3237" s="270">
        <v>48207.9</v>
      </c>
      <c r="U3237" s="271" t="s">
        <v>3945</v>
      </c>
      <c r="V3237" s="267" t="s">
        <v>944</v>
      </c>
    </row>
    <row r="3238" spans="1:22" hidden="1" x14ac:dyDescent="0.25">
      <c r="A3238" s="266">
        <v>43633</v>
      </c>
      <c r="B3238" s="267">
        <v>2019</v>
      </c>
      <c r="C3238" s="267">
        <v>2019</v>
      </c>
      <c r="D3238" s="267">
        <v>1</v>
      </c>
      <c r="E3238" s="267">
        <v>1</v>
      </c>
      <c r="F3238" s="267" t="s">
        <v>944</v>
      </c>
      <c r="G3238" s="267" t="s">
        <v>3926</v>
      </c>
      <c r="H3238" s="267" t="s">
        <v>7701</v>
      </c>
      <c r="I3238" s="267" t="s">
        <v>2985</v>
      </c>
      <c r="J3238" s="267" t="s">
        <v>3928</v>
      </c>
      <c r="K3238" s="267">
        <v>6824</v>
      </c>
      <c r="L3238" s="267">
        <v>60900</v>
      </c>
      <c r="M3238" s="267" t="s">
        <v>3943</v>
      </c>
      <c r="N3238" s="267" t="s">
        <v>3944</v>
      </c>
      <c r="O3238" s="267">
        <v>4380</v>
      </c>
      <c r="P3238" s="267" t="s">
        <v>3944</v>
      </c>
      <c r="Q3238" s="267" t="s">
        <v>3944</v>
      </c>
      <c r="R3238" s="267">
        <v>4380</v>
      </c>
      <c r="S3238" s="267">
        <v>39120</v>
      </c>
      <c r="T3238" s="267">
        <v>43500</v>
      </c>
      <c r="U3238" s="268" t="s">
        <v>3945</v>
      </c>
      <c r="V3238" s="267" t="s">
        <v>944</v>
      </c>
    </row>
    <row r="3239" spans="1:22" hidden="1" x14ac:dyDescent="0.25">
      <c r="A3239" s="269">
        <v>43633</v>
      </c>
      <c r="B3239" s="270">
        <v>2019</v>
      </c>
      <c r="C3239" s="270">
        <v>2019</v>
      </c>
      <c r="D3239" s="270">
        <v>1</v>
      </c>
      <c r="E3239" s="270">
        <v>1</v>
      </c>
      <c r="F3239" s="270" t="s">
        <v>944</v>
      </c>
      <c r="G3239" s="270" t="s">
        <v>3926</v>
      </c>
      <c r="H3239" s="270" t="s">
        <v>7702</v>
      </c>
      <c r="I3239" s="270" t="s">
        <v>4029</v>
      </c>
      <c r="J3239" s="270" t="s">
        <v>3928</v>
      </c>
      <c r="K3239" s="270">
        <v>6851</v>
      </c>
      <c r="L3239" s="270">
        <v>42700</v>
      </c>
      <c r="M3239" s="270" t="s">
        <v>3960</v>
      </c>
      <c r="N3239" s="270" t="s">
        <v>3944</v>
      </c>
      <c r="O3239" s="270">
        <v>4718</v>
      </c>
      <c r="P3239" s="270" t="s">
        <v>3944</v>
      </c>
      <c r="Q3239" s="270" t="s">
        <v>3944</v>
      </c>
      <c r="R3239" s="270">
        <v>4718</v>
      </c>
      <c r="S3239" s="270">
        <v>36625.75</v>
      </c>
      <c r="T3239" s="270">
        <v>41343.75</v>
      </c>
      <c r="U3239" s="271" t="s">
        <v>3945</v>
      </c>
      <c r="V3239" s="267" t="s">
        <v>944</v>
      </c>
    </row>
    <row r="3240" spans="1:22" hidden="1" x14ac:dyDescent="0.25">
      <c r="A3240" s="266">
        <v>43633</v>
      </c>
      <c r="B3240" s="267">
        <v>2019</v>
      </c>
      <c r="C3240" s="267">
        <v>2019</v>
      </c>
      <c r="D3240" s="267">
        <v>1</v>
      </c>
      <c r="E3240" s="267">
        <v>1</v>
      </c>
      <c r="F3240" s="267" t="s">
        <v>944</v>
      </c>
      <c r="G3240" s="267" t="s">
        <v>3926</v>
      </c>
      <c r="H3240" s="267" t="s">
        <v>7703</v>
      </c>
      <c r="I3240" s="267" t="s">
        <v>956</v>
      </c>
      <c r="J3240" s="267" t="s">
        <v>3928</v>
      </c>
      <c r="K3240" s="267">
        <v>6614</v>
      </c>
      <c r="L3240" s="267">
        <v>81200</v>
      </c>
      <c r="M3240" s="267" t="s">
        <v>3943</v>
      </c>
      <c r="N3240" s="267" t="s">
        <v>3944</v>
      </c>
      <c r="O3240" s="267">
        <v>2098.2199999999998</v>
      </c>
      <c r="P3240" s="267" t="s">
        <v>3944</v>
      </c>
      <c r="Q3240" s="267" t="s">
        <v>3944</v>
      </c>
      <c r="R3240" s="267">
        <v>2098.2199999999998</v>
      </c>
      <c r="S3240" s="267">
        <v>31981.33</v>
      </c>
      <c r="T3240" s="267">
        <v>34079.550000000003</v>
      </c>
      <c r="U3240" s="268" t="s">
        <v>3945</v>
      </c>
      <c r="V3240" s="267" t="s">
        <v>944</v>
      </c>
    </row>
    <row r="3241" spans="1:22" hidden="1" x14ac:dyDescent="0.25">
      <c r="A3241" s="269">
        <v>43633</v>
      </c>
      <c r="B3241" s="270">
        <v>2019</v>
      </c>
      <c r="C3241" s="270">
        <v>2019</v>
      </c>
      <c r="D3241" s="270">
        <v>1</v>
      </c>
      <c r="E3241" s="270">
        <v>1</v>
      </c>
      <c r="F3241" s="270" t="s">
        <v>944</v>
      </c>
      <c r="G3241" s="270" t="s">
        <v>3926</v>
      </c>
      <c r="H3241" s="270" t="s">
        <v>7704</v>
      </c>
      <c r="I3241" s="270" t="s">
        <v>5325</v>
      </c>
      <c r="J3241" s="270" t="s">
        <v>3928</v>
      </c>
      <c r="K3241" s="270">
        <v>6057</v>
      </c>
      <c r="L3241" s="270">
        <v>306100</v>
      </c>
      <c r="M3241" s="270" t="s">
        <v>3943</v>
      </c>
      <c r="N3241" s="270" t="s">
        <v>3944</v>
      </c>
      <c r="O3241" s="270">
        <v>1073.7</v>
      </c>
      <c r="P3241" s="270" t="s">
        <v>3944</v>
      </c>
      <c r="Q3241" s="270" t="s">
        <v>3944</v>
      </c>
      <c r="R3241" s="270">
        <v>1073.7</v>
      </c>
      <c r="S3241" s="270">
        <v>14454.22</v>
      </c>
      <c r="T3241" s="270">
        <v>15527.92</v>
      </c>
      <c r="U3241" s="271" t="s">
        <v>3945</v>
      </c>
      <c r="V3241" s="267" t="s">
        <v>944</v>
      </c>
    </row>
    <row r="3242" spans="1:22" hidden="1" x14ac:dyDescent="0.25">
      <c r="A3242" s="266">
        <v>43633</v>
      </c>
      <c r="B3242" s="267">
        <v>2019</v>
      </c>
      <c r="C3242" s="267">
        <v>2019</v>
      </c>
      <c r="D3242" s="267">
        <v>1</v>
      </c>
      <c r="E3242" s="267">
        <v>1</v>
      </c>
      <c r="F3242" s="267" t="s">
        <v>944</v>
      </c>
      <c r="G3242" s="267" t="s">
        <v>3926</v>
      </c>
      <c r="H3242" s="267" t="s">
        <v>7705</v>
      </c>
      <c r="I3242" s="267" t="s">
        <v>3999</v>
      </c>
      <c r="J3242" s="267" t="s">
        <v>3928</v>
      </c>
      <c r="K3242" s="267">
        <v>6450</v>
      </c>
      <c r="L3242" s="267">
        <v>171100</v>
      </c>
      <c r="M3242" s="267" t="s">
        <v>3940</v>
      </c>
      <c r="N3242" s="267" t="s">
        <v>3944</v>
      </c>
      <c r="O3242" s="267">
        <v>1664.99</v>
      </c>
      <c r="P3242" s="267" t="s">
        <v>3944</v>
      </c>
      <c r="Q3242" s="267" t="s">
        <v>3944</v>
      </c>
      <c r="R3242" s="267">
        <v>1664.99</v>
      </c>
      <c r="S3242" s="267">
        <v>22358.53</v>
      </c>
      <c r="T3242" s="267">
        <v>24023.52</v>
      </c>
      <c r="U3242" s="268" t="s">
        <v>3945</v>
      </c>
      <c r="V3242" s="267" t="s">
        <v>944</v>
      </c>
    </row>
    <row r="3243" spans="1:22" hidden="1" x14ac:dyDescent="0.25">
      <c r="A3243" s="269">
        <v>43633</v>
      </c>
      <c r="B3243" s="270">
        <v>2019</v>
      </c>
      <c r="C3243" s="270">
        <v>2019</v>
      </c>
      <c r="D3243" s="270">
        <v>1</v>
      </c>
      <c r="E3243" s="270">
        <v>1</v>
      </c>
      <c r="F3243" s="270" t="s">
        <v>944</v>
      </c>
      <c r="G3243" s="270" t="s">
        <v>3926</v>
      </c>
      <c r="H3243" s="270" t="s">
        <v>7706</v>
      </c>
      <c r="I3243" s="270" t="s">
        <v>6330</v>
      </c>
      <c r="J3243" s="270" t="s">
        <v>3928</v>
      </c>
      <c r="K3243" s="270">
        <v>6791</v>
      </c>
      <c r="L3243" s="270">
        <v>298300</v>
      </c>
      <c r="M3243" s="270" t="s">
        <v>3943</v>
      </c>
      <c r="N3243" s="270" t="s">
        <v>3944</v>
      </c>
      <c r="O3243" s="270">
        <v>1971.52</v>
      </c>
      <c r="P3243" s="270" t="s">
        <v>3944</v>
      </c>
      <c r="Q3243" s="270" t="s">
        <v>3944</v>
      </c>
      <c r="R3243" s="270">
        <v>1971.52</v>
      </c>
      <c r="S3243" s="270">
        <v>21737.77</v>
      </c>
      <c r="T3243" s="270">
        <v>23709.29</v>
      </c>
      <c r="U3243" s="271" t="s">
        <v>3945</v>
      </c>
      <c r="V3243" s="267" t="s">
        <v>944</v>
      </c>
    </row>
    <row r="3244" spans="1:22" x14ac:dyDescent="0.25">
      <c r="A3244" s="266">
        <v>43633</v>
      </c>
      <c r="B3244" s="267">
        <v>2019</v>
      </c>
      <c r="C3244" s="267">
        <v>2019</v>
      </c>
      <c r="D3244" s="267">
        <v>1</v>
      </c>
      <c r="E3244" s="267">
        <v>1</v>
      </c>
      <c r="F3244" s="267" t="s">
        <v>944</v>
      </c>
      <c r="G3244" s="267" t="s">
        <v>3926</v>
      </c>
      <c r="H3244" s="267" t="s">
        <v>7707</v>
      </c>
      <c r="I3244" s="267" t="s">
        <v>953</v>
      </c>
      <c r="J3244" s="267" t="s">
        <v>3928</v>
      </c>
      <c r="K3244" s="267">
        <v>6514</v>
      </c>
      <c r="L3244" s="267">
        <v>165500</v>
      </c>
      <c r="M3244" s="267">
        <v>-60</v>
      </c>
      <c r="N3244" s="267" t="s">
        <v>3944</v>
      </c>
      <c r="O3244" s="267">
        <v>1190.04</v>
      </c>
      <c r="P3244" s="267" t="s">
        <v>3944</v>
      </c>
      <c r="Q3244" s="267" t="s">
        <v>3944</v>
      </c>
      <c r="R3244" s="267">
        <v>1190.04</v>
      </c>
      <c r="S3244" s="267">
        <v>16375.06</v>
      </c>
      <c r="T3244" s="267">
        <v>17565.099999999999</v>
      </c>
      <c r="U3244" s="268" t="s">
        <v>3945</v>
      </c>
      <c r="V3244" s="276" t="s">
        <v>936</v>
      </c>
    </row>
    <row r="3245" spans="1:22" hidden="1" x14ac:dyDescent="0.25">
      <c r="A3245" s="269">
        <v>43633</v>
      </c>
      <c r="B3245" s="270">
        <v>2019</v>
      </c>
      <c r="C3245" s="270">
        <v>2019</v>
      </c>
      <c r="D3245" s="270">
        <v>1</v>
      </c>
      <c r="E3245" s="270">
        <v>1</v>
      </c>
      <c r="F3245" s="270" t="s">
        <v>944</v>
      </c>
      <c r="G3245" s="270" t="s">
        <v>3926</v>
      </c>
      <c r="H3245" s="270" t="s">
        <v>7708</v>
      </c>
      <c r="I3245" s="270" t="s">
        <v>3962</v>
      </c>
      <c r="J3245" s="270" t="s">
        <v>3928</v>
      </c>
      <c r="K3245" s="270">
        <v>6355</v>
      </c>
      <c r="L3245" s="270">
        <v>705300</v>
      </c>
      <c r="M3245" s="270" t="s">
        <v>3960</v>
      </c>
      <c r="N3245" s="270" t="s">
        <v>3944</v>
      </c>
      <c r="O3245" s="270">
        <v>570.75</v>
      </c>
      <c r="P3245" s="270" t="s">
        <v>3944</v>
      </c>
      <c r="Q3245" s="270" t="s">
        <v>3944</v>
      </c>
      <c r="R3245" s="270">
        <v>570.75</v>
      </c>
      <c r="S3245" s="270">
        <v>8991.8799999999992</v>
      </c>
      <c r="T3245" s="270">
        <v>9562.6299999999992</v>
      </c>
      <c r="U3245" s="271" t="s">
        <v>3945</v>
      </c>
      <c r="V3245" s="267" t="s">
        <v>944</v>
      </c>
    </row>
    <row r="3246" spans="1:22" hidden="1" x14ac:dyDescent="0.25">
      <c r="A3246" s="266">
        <v>43633</v>
      </c>
      <c r="B3246" s="267">
        <v>2019</v>
      </c>
      <c r="C3246" s="267">
        <v>2019</v>
      </c>
      <c r="D3246" s="267">
        <v>1</v>
      </c>
      <c r="E3246" s="267">
        <v>1</v>
      </c>
      <c r="F3246" s="267" t="s">
        <v>944</v>
      </c>
      <c r="G3246" s="267" t="s">
        <v>3926</v>
      </c>
      <c r="H3246" s="267" t="s">
        <v>7709</v>
      </c>
      <c r="I3246" s="267" t="s">
        <v>4424</v>
      </c>
      <c r="J3246" s="267" t="s">
        <v>3928</v>
      </c>
      <c r="K3246" s="267">
        <v>6417</v>
      </c>
      <c r="L3246" s="267">
        <v>620100</v>
      </c>
      <c r="M3246" s="267" t="s">
        <v>3935</v>
      </c>
      <c r="N3246" s="267" t="s">
        <v>3944</v>
      </c>
      <c r="O3246" s="267">
        <v>1945.58</v>
      </c>
      <c r="P3246" s="267" t="s">
        <v>3944</v>
      </c>
      <c r="Q3246" s="267" t="s">
        <v>3944</v>
      </c>
      <c r="R3246" s="267">
        <v>1945.58</v>
      </c>
      <c r="S3246" s="267">
        <v>30222.22</v>
      </c>
      <c r="T3246" s="267">
        <v>32167.8</v>
      </c>
      <c r="U3246" s="268" t="s">
        <v>3945</v>
      </c>
      <c r="V3246" s="267" t="s">
        <v>944</v>
      </c>
    </row>
    <row r="3247" spans="1:22" hidden="1" x14ac:dyDescent="0.25">
      <c r="A3247" s="269">
        <v>43633</v>
      </c>
      <c r="B3247" s="270">
        <v>2019</v>
      </c>
      <c r="C3247" s="270">
        <v>2019</v>
      </c>
      <c r="D3247" s="270">
        <v>1</v>
      </c>
      <c r="E3247" s="270">
        <v>1</v>
      </c>
      <c r="F3247" s="270" t="s">
        <v>944</v>
      </c>
      <c r="G3247" s="270" t="s">
        <v>3926</v>
      </c>
      <c r="H3247" s="270" t="s">
        <v>7710</v>
      </c>
      <c r="I3247" s="270" t="s">
        <v>3999</v>
      </c>
      <c r="J3247" s="270" t="s">
        <v>3928</v>
      </c>
      <c r="K3247" s="270">
        <v>6450</v>
      </c>
      <c r="L3247" s="270">
        <v>171700</v>
      </c>
      <c r="M3247" s="270" t="s">
        <v>3935</v>
      </c>
      <c r="N3247" s="270" t="s">
        <v>3944</v>
      </c>
      <c r="O3247" s="270">
        <v>865.27</v>
      </c>
      <c r="P3247" s="270" t="s">
        <v>3944</v>
      </c>
      <c r="Q3247" s="270" t="s">
        <v>3944</v>
      </c>
      <c r="R3247" s="270">
        <v>865.27</v>
      </c>
      <c r="S3247" s="270">
        <v>11528.39</v>
      </c>
      <c r="T3247" s="270">
        <v>12393.66</v>
      </c>
      <c r="U3247" s="271" t="s">
        <v>3945</v>
      </c>
      <c r="V3247" s="267" t="s">
        <v>944</v>
      </c>
    </row>
    <row r="3248" spans="1:22" hidden="1" x14ac:dyDescent="0.25">
      <c r="A3248" s="266">
        <v>43633</v>
      </c>
      <c r="B3248" s="267">
        <v>2019</v>
      </c>
      <c r="C3248" s="267">
        <v>2019</v>
      </c>
      <c r="D3248" s="267">
        <v>1</v>
      </c>
      <c r="E3248" s="267">
        <v>1</v>
      </c>
      <c r="F3248" s="267" t="s">
        <v>944</v>
      </c>
      <c r="G3248" s="267" t="s">
        <v>3926</v>
      </c>
      <c r="H3248" s="267" t="s">
        <v>7711</v>
      </c>
      <c r="I3248" s="267" t="s">
        <v>4019</v>
      </c>
      <c r="J3248" s="267" t="s">
        <v>3928</v>
      </c>
      <c r="K3248" s="267">
        <v>6710</v>
      </c>
      <c r="L3248" s="267">
        <v>351000</v>
      </c>
      <c r="M3248" s="267" t="s">
        <v>3940</v>
      </c>
      <c r="N3248" s="267" t="s">
        <v>3944</v>
      </c>
      <c r="O3248" s="267">
        <v>1092.56</v>
      </c>
      <c r="P3248" s="267" t="s">
        <v>3944</v>
      </c>
      <c r="Q3248" s="267" t="s">
        <v>3944</v>
      </c>
      <c r="R3248" s="267">
        <v>1092.56</v>
      </c>
      <c r="S3248" s="267">
        <v>14392.48</v>
      </c>
      <c r="T3248" s="267">
        <v>15485.04</v>
      </c>
      <c r="U3248" s="268" t="s">
        <v>3945</v>
      </c>
      <c r="V3248" s="267" t="s">
        <v>944</v>
      </c>
    </row>
    <row r="3249" spans="1:22" hidden="1" x14ac:dyDescent="0.25">
      <c r="A3249" s="269">
        <v>43633</v>
      </c>
      <c r="B3249" s="270">
        <v>2019</v>
      </c>
      <c r="C3249" s="270">
        <v>2019</v>
      </c>
      <c r="D3249" s="270">
        <v>1</v>
      </c>
      <c r="E3249" s="270">
        <v>1</v>
      </c>
      <c r="F3249" s="270" t="s">
        <v>944</v>
      </c>
      <c r="G3249" s="270" t="s">
        <v>3926</v>
      </c>
      <c r="H3249" s="270" t="s">
        <v>7712</v>
      </c>
      <c r="I3249" s="270" t="s">
        <v>934</v>
      </c>
      <c r="J3249" s="270" t="s">
        <v>3928</v>
      </c>
      <c r="K3249" s="270">
        <v>6606</v>
      </c>
      <c r="L3249" s="270">
        <v>72700</v>
      </c>
      <c r="M3249" s="270" t="s">
        <v>3935</v>
      </c>
      <c r="N3249" s="270" t="s">
        <v>3944</v>
      </c>
      <c r="O3249" s="270">
        <v>1086.96</v>
      </c>
      <c r="P3249" s="270" t="s">
        <v>3944</v>
      </c>
      <c r="Q3249" s="270" t="s">
        <v>3944</v>
      </c>
      <c r="R3249" s="270">
        <v>1086.96</v>
      </c>
      <c r="S3249" s="270">
        <v>15963.2</v>
      </c>
      <c r="T3249" s="270">
        <v>17050.16</v>
      </c>
      <c r="U3249" s="271" t="s">
        <v>3945</v>
      </c>
      <c r="V3249" s="267" t="s">
        <v>944</v>
      </c>
    </row>
    <row r="3250" spans="1:22" hidden="1" x14ac:dyDescent="0.25">
      <c r="A3250" s="266">
        <v>43633</v>
      </c>
      <c r="B3250" s="267">
        <v>2019</v>
      </c>
      <c r="C3250" s="267">
        <v>2019</v>
      </c>
      <c r="D3250" s="267">
        <v>1</v>
      </c>
      <c r="E3250" s="267">
        <v>1</v>
      </c>
      <c r="F3250" s="267" t="s">
        <v>944</v>
      </c>
      <c r="G3250" s="267" t="s">
        <v>3926</v>
      </c>
      <c r="H3250" s="267" t="s">
        <v>7713</v>
      </c>
      <c r="I3250" s="267" t="s">
        <v>3025</v>
      </c>
      <c r="J3250" s="267" t="s">
        <v>3928</v>
      </c>
      <c r="K3250" s="267">
        <v>6473</v>
      </c>
      <c r="L3250" s="267">
        <v>167201</v>
      </c>
      <c r="M3250" s="267" t="s">
        <v>3960</v>
      </c>
      <c r="N3250" s="267" t="s">
        <v>3944</v>
      </c>
      <c r="O3250" s="267">
        <v>2814.14</v>
      </c>
      <c r="P3250" s="267" t="s">
        <v>3944</v>
      </c>
      <c r="Q3250" s="267" t="s">
        <v>3944</v>
      </c>
      <c r="R3250" s="267">
        <v>2814.14</v>
      </c>
      <c r="S3250" s="267">
        <v>49039.62</v>
      </c>
      <c r="T3250" s="267">
        <v>51853.760000000002</v>
      </c>
      <c r="U3250" s="268" t="s">
        <v>3945</v>
      </c>
      <c r="V3250" s="267" t="s">
        <v>944</v>
      </c>
    </row>
    <row r="3251" spans="1:22" x14ac:dyDescent="0.25">
      <c r="A3251" s="269">
        <v>43633</v>
      </c>
      <c r="B3251" s="270">
        <v>2019</v>
      </c>
      <c r="C3251" s="270">
        <v>2019</v>
      </c>
      <c r="D3251" s="270">
        <v>1</v>
      </c>
      <c r="E3251" s="270">
        <v>1</v>
      </c>
      <c r="F3251" s="270" t="s">
        <v>944</v>
      </c>
      <c r="G3251" s="270" t="s">
        <v>3926</v>
      </c>
      <c r="H3251" s="270" t="s">
        <v>7714</v>
      </c>
      <c r="I3251" s="270" t="s">
        <v>934</v>
      </c>
      <c r="J3251" s="270" t="s">
        <v>3928</v>
      </c>
      <c r="K3251" s="270">
        <v>6608</v>
      </c>
      <c r="L3251" s="270">
        <v>73600</v>
      </c>
      <c r="M3251" s="270">
        <v>-60</v>
      </c>
      <c r="N3251" s="270" t="s">
        <v>3944</v>
      </c>
      <c r="O3251" s="270">
        <v>806.79</v>
      </c>
      <c r="P3251" s="270" t="s">
        <v>3944</v>
      </c>
      <c r="Q3251" s="270" t="s">
        <v>3944</v>
      </c>
      <c r="R3251" s="270">
        <v>806.79</v>
      </c>
      <c r="S3251" s="270">
        <v>11331.6</v>
      </c>
      <c r="T3251" s="270">
        <v>12138.39</v>
      </c>
      <c r="U3251" s="271" t="s">
        <v>3945</v>
      </c>
      <c r="V3251" s="276" t="s">
        <v>936</v>
      </c>
    </row>
    <row r="3252" spans="1:22" hidden="1" x14ac:dyDescent="0.25">
      <c r="A3252" s="266">
        <v>43633</v>
      </c>
      <c r="B3252" s="267">
        <v>2019</v>
      </c>
      <c r="C3252" s="267">
        <v>2019</v>
      </c>
      <c r="D3252" s="267">
        <v>1</v>
      </c>
      <c r="E3252" s="267">
        <v>1</v>
      </c>
      <c r="F3252" s="267" t="s">
        <v>944</v>
      </c>
      <c r="G3252" s="267" t="s">
        <v>3926</v>
      </c>
      <c r="H3252" s="267" t="s">
        <v>7715</v>
      </c>
      <c r="I3252" s="267" t="s">
        <v>4069</v>
      </c>
      <c r="J3252" s="267" t="s">
        <v>3928</v>
      </c>
      <c r="K3252" s="267">
        <v>6902</v>
      </c>
      <c r="L3252" s="267">
        <v>21300</v>
      </c>
      <c r="M3252" s="267" t="s">
        <v>3943</v>
      </c>
      <c r="N3252" s="267" t="s">
        <v>3944</v>
      </c>
      <c r="O3252" s="267">
        <v>2455.15</v>
      </c>
      <c r="P3252" s="267" t="s">
        <v>3944</v>
      </c>
      <c r="Q3252" s="267" t="s">
        <v>3944</v>
      </c>
      <c r="R3252" s="267">
        <v>2455.15</v>
      </c>
      <c r="S3252" s="267">
        <v>37995.33</v>
      </c>
      <c r="T3252" s="267">
        <v>40450.480000000003</v>
      </c>
      <c r="U3252" s="268" t="s">
        <v>3945</v>
      </c>
      <c r="V3252" s="267" t="s">
        <v>944</v>
      </c>
    </row>
    <row r="3253" spans="1:22" hidden="1" x14ac:dyDescent="0.25">
      <c r="A3253" s="269">
        <v>43633</v>
      </c>
      <c r="B3253" s="270">
        <v>2019</v>
      </c>
      <c r="C3253" s="270">
        <v>2019</v>
      </c>
      <c r="D3253" s="270">
        <v>1</v>
      </c>
      <c r="E3253" s="270">
        <v>1</v>
      </c>
      <c r="F3253" s="270" t="s">
        <v>944</v>
      </c>
      <c r="G3253" s="270" t="s">
        <v>3926</v>
      </c>
      <c r="H3253" s="270" t="s">
        <v>7716</v>
      </c>
      <c r="I3253" s="270" t="s">
        <v>956</v>
      </c>
      <c r="J3253" s="270" t="s">
        <v>3928</v>
      </c>
      <c r="K3253" s="270">
        <v>6615</v>
      </c>
      <c r="L3253" s="270">
        <v>80600</v>
      </c>
      <c r="M3253" s="270" t="s">
        <v>3935</v>
      </c>
      <c r="N3253" s="270" t="s">
        <v>3944</v>
      </c>
      <c r="O3253" s="270">
        <v>1044.44</v>
      </c>
      <c r="P3253" s="270" t="s">
        <v>3944</v>
      </c>
      <c r="Q3253" s="270" t="s">
        <v>3944</v>
      </c>
      <c r="R3253" s="270">
        <v>1044.44</v>
      </c>
      <c r="S3253" s="270">
        <v>16217.19</v>
      </c>
      <c r="T3253" s="270">
        <v>17261.63</v>
      </c>
      <c r="U3253" s="271" t="s">
        <v>3945</v>
      </c>
      <c r="V3253" s="267" t="s">
        <v>944</v>
      </c>
    </row>
    <row r="3254" spans="1:22" hidden="1" x14ac:dyDescent="0.25">
      <c r="A3254" s="266">
        <v>43633</v>
      </c>
      <c r="B3254" s="267">
        <v>2019</v>
      </c>
      <c r="C3254" s="267">
        <v>2019</v>
      </c>
      <c r="D3254" s="267">
        <v>1</v>
      </c>
      <c r="E3254" s="267">
        <v>1</v>
      </c>
      <c r="F3254" s="267" t="s">
        <v>944</v>
      </c>
      <c r="G3254" s="267" t="s">
        <v>3926</v>
      </c>
      <c r="H3254" s="267" t="s">
        <v>7717</v>
      </c>
      <c r="I3254" s="267" t="s">
        <v>3966</v>
      </c>
      <c r="J3254" s="267" t="s">
        <v>3928</v>
      </c>
      <c r="K3254" s="267">
        <v>6010</v>
      </c>
      <c r="L3254" s="267">
        <v>405500</v>
      </c>
      <c r="M3254" s="267" t="s">
        <v>3935</v>
      </c>
      <c r="N3254" s="267" t="s">
        <v>3944</v>
      </c>
      <c r="O3254" s="267">
        <v>1319.05</v>
      </c>
      <c r="P3254" s="267" t="s">
        <v>3944</v>
      </c>
      <c r="Q3254" s="267" t="s">
        <v>3944</v>
      </c>
      <c r="R3254" s="267">
        <v>1319.05</v>
      </c>
      <c r="S3254" s="267">
        <v>17635.25</v>
      </c>
      <c r="T3254" s="267">
        <v>18954.3</v>
      </c>
      <c r="U3254" s="268" t="s">
        <v>3945</v>
      </c>
      <c r="V3254" s="267" t="s">
        <v>944</v>
      </c>
    </row>
    <row r="3255" spans="1:22" hidden="1" x14ac:dyDescent="0.25">
      <c r="A3255" s="269">
        <v>43633</v>
      </c>
      <c r="B3255" s="270">
        <v>2019</v>
      </c>
      <c r="C3255" s="270">
        <v>2019</v>
      </c>
      <c r="D3255" s="270">
        <v>1</v>
      </c>
      <c r="E3255" s="270">
        <v>1</v>
      </c>
      <c r="F3255" s="270" t="s">
        <v>944</v>
      </c>
      <c r="G3255" s="270" t="s">
        <v>3926</v>
      </c>
      <c r="H3255" s="270" t="s">
        <v>7718</v>
      </c>
      <c r="I3255" s="270" t="s">
        <v>3026</v>
      </c>
      <c r="J3255" s="270" t="s">
        <v>3928</v>
      </c>
      <c r="K3255" s="270">
        <v>6471</v>
      </c>
      <c r="L3255" s="270">
        <v>186100</v>
      </c>
      <c r="M3255" s="270" t="s">
        <v>3935</v>
      </c>
      <c r="N3255" s="270" t="s">
        <v>3944</v>
      </c>
      <c r="O3255" s="270">
        <v>1559.01</v>
      </c>
      <c r="P3255" s="270" t="s">
        <v>3944</v>
      </c>
      <c r="Q3255" s="270" t="s">
        <v>3944</v>
      </c>
      <c r="R3255" s="270">
        <v>1559.01</v>
      </c>
      <c r="S3255" s="270">
        <v>23828.97</v>
      </c>
      <c r="T3255" s="270">
        <v>25387.98</v>
      </c>
      <c r="U3255" s="271" t="s">
        <v>3945</v>
      </c>
      <c r="V3255" s="267" t="s">
        <v>944</v>
      </c>
    </row>
    <row r="3256" spans="1:22" hidden="1" x14ac:dyDescent="0.25">
      <c r="A3256" s="266">
        <v>43633</v>
      </c>
      <c r="B3256" s="267">
        <v>2019</v>
      </c>
      <c r="C3256" s="267">
        <v>2019</v>
      </c>
      <c r="D3256" s="267">
        <v>1</v>
      </c>
      <c r="E3256" s="267">
        <v>1</v>
      </c>
      <c r="F3256" s="267" t="s">
        <v>944</v>
      </c>
      <c r="G3256" s="267" t="s">
        <v>3926</v>
      </c>
      <c r="H3256" s="267" t="s">
        <v>7719</v>
      </c>
      <c r="I3256" s="267" t="s">
        <v>4731</v>
      </c>
      <c r="J3256" s="267" t="s">
        <v>3928</v>
      </c>
      <c r="K3256" s="267">
        <v>6478</v>
      </c>
      <c r="L3256" s="267">
        <v>346101</v>
      </c>
      <c r="M3256" s="267" t="s">
        <v>3943</v>
      </c>
      <c r="N3256" s="267" t="s">
        <v>3944</v>
      </c>
      <c r="O3256" s="267">
        <v>878.54</v>
      </c>
      <c r="P3256" s="267" t="s">
        <v>3944</v>
      </c>
      <c r="Q3256" s="267" t="s">
        <v>3944</v>
      </c>
      <c r="R3256" s="267">
        <v>878.54</v>
      </c>
      <c r="S3256" s="267">
        <v>10502.46</v>
      </c>
      <c r="T3256" s="267">
        <v>11381</v>
      </c>
      <c r="U3256" s="268" t="s">
        <v>3945</v>
      </c>
      <c r="V3256" s="267" t="s">
        <v>944</v>
      </c>
    </row>
    <row r="3257" spans="1:22" hidden="1" x14ac:dyDescent="0.25">
      <c r="A3257" s="269">
        <v>43633</v>
      </c>
      <c r="B3257" s="270">
        <v>2019</v>
      </c>
      <c r="C3257" s="270">
        <v>2019</v>
      </c>
      <c r="D3257" s="270">
        <v>1</v>
      </c>
      <c r="E3257" s="270">
        <v>1</v>
      </c>
      <c r="F3257" s="270" t="s">
        <v>944</v>
      </c>
      <c r="G3257" s="270" t="s">
        <v>3926</v>
      </c>
      <c r="H3257" s="270" t="s">
        <v>7720</v>
      </c>
      <c r="I3257" s="270" t="s">
        <v>4037</v>
      </c>
      <c r="J3257" s="270" t="s">
        <v>3928</v>
      </c>
      <c r="K3257" s="270">
        <v>6811</v>
      </c>
      <c r="L3257" s="270">
        <v>211000</v>
      </c>
      <c r="M3257" s="270" t="s">
        <v>3960</v>
      </c>
      <c r="N3257" s="270" t="s">
        <v>3944</v>
      </c>
      <c r="O3257" s="270">
        <v>2045.96</v>
      </c>
      <c r="P3257" s="270" t="s">
        <v>3944</v>
      </c>
      <c r="Q3257" s="270" t="s">
        <v>3944</v>
      </c>
      <c r="R3257" s="270">
        <v>2045.96</v>
      </c>
      <c r="S3257" s="270">
        <v>23120.92</v>
      </c>
      <c r="T3257" s="270">
        <v>25166.880000000001</v>
      </c>
      <c r="U3257" s="271" t="s">
        <v>3945</v>
      </c>
      <c r="V3257" s="267" t="s">
        <v>944</v>
      </c>
    </row>
    <row r="3258" spans="1:22" hidden="1" x14ac:dyDescent="0.25">
      <c r="A3258" s="266">
        <v>43633</v>
      </c>
      <c r="B3258" s="267">
        <v>2019</v>
      </c>
      <c r="C3258" s="267">
        <v>2019</v>
      </c>
      <c r="D3258" s="267">
        <v>1</v>
      </c>
      <c r="E3258" s="267">
        <v>1</v>
      </c>
      <c r="F3258" s="267" t="s">
        <v>944</v>
      </c>
      <c r="G3258" s="267" t="s">
        <v>3926</v>
      </c>
      <c r="H3258" s="267" t="s">
        <v>7721</v>
      </c>
      <c r="I3258" s="267" t="s">
        <v>4019</v>
      </c>
      <c r="J3258" s="267" t="s">
        <v>3928</v>
      </c>
      <c r="K3258" s="267">
        <v>6710</v>
      </c>
      <c r="L3258" s="267">
        <v>351000</v>
      </c>
      <c r="M3258" s="267" t="s">
        <v>3940</v>
      </c>
      <c r="N3258" s="267" t="s">
        <v>3944</v>
      </c>
      <c r="O3258" s="267">
        <v>2335.69</v>
      </c>
      <c r="P3258" s="267" t="s">
        <v>3944</v>
      </c>
      <c r="Q3258" s="267" t="s">
        <v>3944</v>
      </c>
      <c r="R3258" s="267">
        <v>2335.69</v>
      </c>
      <c r="S3258" s="267">
        <v>29529.51</v>
      </c>
      <c r="T3258" s="267">
        <v>31865.200000000001</v>
      </c>
      <c r="U3258" s="268" t="s">
        <v>3945</v>
      </c>
      <c r="V3258" s="267" t="s">
        <v>944</v>
      </c>
    </row>
    <row r="3259" spans="1:22" hidden="1" x14ac:dyDescent="0.25">
      <c r="A3259" s="269">
        <v>43633</v>
      </c>
      <c r="B3259" s="270">
        <v>2019</v>
      </c>
      <c r="C3259" s="270">
        <v>2019</v>
      </c>
      <c r="D3259" s="270">
        <v>1</v>
      </c>
      <c r="E3259" s="270">
        <v>1</v>
      </c>
      <c r="F3259" s="270" t="s">
        <v>944</v>
      </c>
      <c r="G3259" s="270" t="s">
        <v>3926</v>
      </c>
      <c r="H3259" s="270" t="s">
        <v>7722</v>
      </c>
      <c r="I3259" s="270" t="s">
        <v>3954</v>
      </c>
      <c r="J3259" s="270" t="s">
        <v>3928</v>
      </c>
      <c r="K3259" s="270">
        <v>6357</v>
      </c>
      <c r="L3259" s="270">
        <v>870704</v>
      </c>
      <c r="M3259" s="270" t="s">
        <v>3935</v>
      </c>
      <c r="N3259" s="270" t="s">
        <v>3944</v>
      </c>
      <c r="O3259" s="270">
        <v>3111.99</v>
      </c>
      <c r="P3259" s="270" t="s">
        <v>3944</v>
      </c>
      <c r="Q3259" s="270" t="s">
        <v>3944</v>
      </c>
      <c r="R3259" s="270">
        <v>3111.99</v>
      </c>
      <c r="S3259" s="270">
        <v>19889.009999999998</v>
      </c>
      <c r="T3259" s="270">
        <v>23001</v>
      </c>
      <c r="U3259" s="271" t="s">
        <v>3945</v>
      </c>
      <c r="V3259" s="267" t="s">
        <v>944</v>
      </c>
    </row>
    <row r="3260" spans="1:22" hidden="1" x14ac:dyDescent="0.25">
      <c r="A3260" s="266">
        <v>43633</v>
      </c>
      <c r="B3260" s="267">
        <v>2019</v>
      </c>
      <c r="C3260" s="267">
        <v>2019</v>
      </c>
      <c r="D3260" s="267">
        <v>1</v>
      </c>
      <c r="E3260" s="267">
        <v>1</v>
      </c>
      <c r="F3260" s="267" t="s">
        <v>944</v>
      </c>
      <c r="G3260" s="267" t="s">
        <v>3926</v>
      </c>
      <c r="H3260" s="267" t="s">
        <v>7723</v>
      </c>
      <c r="I3260" s="267" t="s">
        <v>934</v>
      </c>
      <c r="J3260" s="267" t="s">
        <v>3928</v>
      </c>
      <c r="K3260" s="267">
        <v>6606</v>
      </c>
      <c r="L3260" s="267">
        <v>72900</v>
      </c>
      <c r="M3260" s="267" t="s">
        <v>3940</v>
      </c>
      <c r="N3260" s="267" t="s">
        <v>3944</v>
      </c>
      <c r="O3260" s="267">
        <v>1639.26</v>
      </c>
      <c r="P3260" s="267" t="s">
        <v>3944</v>
      </c>
      <c r="Q3260" s="267" t="s">
        <v>3944</v>
      </c>
      <c r="R3260" s="267">
        <v>1639.26</v>
      </c>
      <c r="S3260" s="267">
        <v>22296.880000000001</v>
      </c>
      <c r="T3260" s="267">
        <v>23936.14</v>
      </c>
      <c r="U3260" s="268" t="s">
        <v>3945</v>
      </c>
      <c r="V3260" s="267" t="s">
        <v>944</v>
      </c>
    </row>
    <row r="3261" spans="1:22" hidden="1" x14ac:dyDescent="0.25">
      <c r="A3261" s="269">
        <v>43633</v>
      </c>
      <c r="B3261" s="270">
        <v>2019</v>
      </c>
      <c r="C3261" s="270">
        <v>2019</v>
      </c>
      <c r="D3261" s="270">
        <v>1</v>
      </c>
      <c r="E3261" s="270">
        <v>1</v>
      </c>
      <c r="F3261" s="270" t="s">
        <v>944</v>
      </c>
      <c r="G3261" s="270" t="s">
        <v>3926</v>
      </c>
      <c r="H3261" s="270" t="s">
        <v>7724</v>
      </c>
      <c r="I3261" s="270" t="s">
        <v>4159</v>
      </c>
      <c r="J3261" s="270" t="s">
        <v>3928</v>
      </c>
      <c r="K3261" s="270">
        <v>6016</v>
      </c>
      <c r="L3261" s="270">
        <v>484200</v>
      </c>
      <c r="M3261" s="270" t="s">
        <v>3935</v>
      </c>
      <c r="N3261" s="270" t="s">
        <v>3944</v>
      </c>
      <c r="O3261" s="270">
        <v>1722.42</v>
      </c>
      <c r="P3261" s="270" t="s">
        <v>3944</v>
      </c>
      <c r="Q3261" s="270" t="s">
        <v>3944</v>
      </c>
      <c r="R3261" s="270">
        <v>1722.42</v>
      </c>
      <c r="S3261" s="270">
        <v>20459.61</v>
      </c>
      <c r="T3261" s="270">
        <v>22182.03</v>
      </c>
      <c r="U3261" s="271" t="s">
        <v>3945</v>
      </c>
      <c r="V3261" s="267" t="s">
        <v>944</v>
      </c>
    </row>
    <row r="3262" spans="1:22" hidden="1" x14ac:dyDescent="0.25">
      <c r="A3262" s="266">
        <v>43633</v>
      </c>
      <c r="B3262" s="267">
        <v>2019</v>
      </c>
      <c r="C3262" s="267">
        <v>2019</v>
      </c>
      <c r="D3262" s="267">
        <v>1</v>
      </c>
      <c r="E3262" s="267">
        <v>1</v>
      </c>
      <c r="F3262" s="267" t="s">
        <v>944</v>
      </c>
      <c r="G3262" s="267" t="s">
        <v>3926</v>
      </c>
      <c r="H3262" s="267" t="s">
        <v>7725</v>
      </c>
      <c r="I3262" s="267" t="s">
        <v>934</v>
      </c>
      <c r="J3262" s="267" t="s">
        <v>3928</v>
      </c>
      <c r="K3262" s="267">
        <v>6606</v>
      </c>
      <c r="L3262" s="267">
        <v>72400</v>
      </c>
      <c r="M3262" s="267" t="s">
        <v>3940</v>
      </c>
      <c r="N3262" s="267" t="s">
        <v>3944</v>
      </c>
      <c r="O3262" s="267">
        <v>1281.9100000000001</v>
      </c>
      <c r="P3262" s="267" t="s">
        <v>3944</v>
      </c>
      <c r="Q3262" s="267" t="s">
        <v>3944</v>
      </c>
      <c r="R3262" s="267">
        <v>1281.9100000000001</v>
      </c>
      <c r="S3262" s="267">
        <v>18341.060000000001</v>
      </c>
      <c r="T3262" s="267">
        <v>19622.97</v>
      </c>
      <c r="U3262" s="268" t="s">
        <v>3945</v>
      </c>
      <c r="V3262" s="267" t="s">
        <v>944</v>
      </c>
    </row>
    <row r="3263" spans="1:22" hidden="1" x14ac:dyDescent="0.25">
      <c r="A3263" s="269">
        <v>43633</v>
      </c>
      <c r="B3263" s="270">
        <v>2019</v>
      </c>
      <c r="C3263" s="270">
        <v>2019</v>
      </c>
      <c r="D3263" s="270">
        <v>1</v>
      </c>
      <c r="E3263" s="270">
        <v>1</v>
      </c>
      <c r="F3263" s="270" t="s">
        <v>944</v>
      </c>
      <c r="G3263" s="270" t="s">
        <v>3926</v>
      </c>
      <c r="H3263" s="270" t="s">
        <v>7726</v>
      </c>
      <c r="I3263" s="270" t="s">
        <v>4029</v>
      </c>
      <c r="J3263" s="270" t="s">
        <v>3928</v>
      </c>
      <c r="K3263" s="270">
        <v>6850</v>
      </c>
      <c r="L3263" s="270">
        <v>43100</v>
      </c>
      <c r="M3263" s="270" t="s">
        <v>3943</v>
      </c>
      <c r="N3263" s="270" t="s">
        <v>3944</v>
      </c>
      <c r="O3263" s="270">
        <v>779.8</v>
      </c>
      <c r="P3263" s="270" t="s">
        <v>3944</v>
      </c>
      <c r="Q3263" s="270" t="s">
        <v>3944</v>
      </c>
      <c r="R3263" s="270">
        <v>779.8</v>
      </c>
      <c r="S3263" s="270">
        <v>10490.2</v>
      </c>
      <c r="T3263" s="270">
        <v>11270</v>
      </c>
      <c r="U3263" s="271" t="s">
        <v>3945</v>
      </c>
      <c r="V3263" s="267" t="s">
        <v>944</v>
      </c>
    </row>
    <row r="3264" spans="1:22" hidden="1" x14ac:dyDescent="0.25">
      <c r="A3264" s="266">
        <v>43633</v>
      </c>
      <c r="B3264" s="267">
        <v>2019</v>
      </c>
      <c r="C3264" s="267">
        <v>2019</v>
      </c>
      <c r="D3264" s="267">
        <v>1</v>
      </c>
      <c r="E3264" s="267">
        <v>1</v>
      </c>
      <c r="F3264" s="267" t="s">
        <v>944</v>
      </c>
      <c r="G3264" s="267" t="s">
        <v>3926</v>
      </c>
      <c r="H3264" s="267" t="s">
        <v>7727</v>
      </c>
      <c r="I3264" s="267" t="s">
        <v>4037</v>
      </c>
      <c r="J3264" s="267" t="s">
        <v>3928</v>
      </c>
      <c r="K3264" s="267">
        <v>6811</v>
      </c>
      <c r="L3264" s="267">
        <v>210900</v>
      </c>
      <c r="M3264" s="267" t="s">
        <v>3943</v>
      </c>
      <c r="N3264" s="267" t="s">
        <v>3944</v>
      </c>
      <c r="O3264" s="267">
        <v>1153.74</v>
      </c>
      <c r="P3264" s="267" t="s">
        <v>3944</v>
      </c>
      <c r="Q3264" s="267" t="s">
        <v>3944</v>
      </c>
      <c r="R3264" s="267">
        <v>1153.74</v>
      </c>
      <c r="S3264" s="267">
        <v>11509.26</v>
      </c>
      <c r="T3264" s="267">
        <v>12663</v>
      </c>
      <c r="U3264" s="268" t="s">
        <v>3945</v>
      </c>
      <c r="V3264" s="267" t="s">
        <v>944</v>
      </c>
    </row>
    <row r="3265" spans="1:22" hidden="1" x14ac:dyDescent="0.25">
      <c r="A3265" s="269">
        <v>43633</v>
      </c>
      <c r="B3265" s="270">
        <v>2019</v>
      </c>
      <c r="C3265" s="270">
        <v>2019</v>
      </c>
      <c r="D3265" s="270">
        <v>1</v>
      </c>
      <c r="E3265" s="270">
        <v>1</v>
      </c>
      <c r="F3265" s="270" t="s">
        <v>944</v>
      </c>
      <c r="G3265" s="270" t="s">
        <v>3926</v>
      </c>
      <c r="H3265" s="270" t="s">
        <v>7728</v>
      </c>
      <c r="I3265" s="270" t="s">
        <v>5010</v>
      </c>
      <c r="J3265" s="270" t="s">
        <v>3928</v>
      </c>
      <c r="K3265" s="270">
        <v>6365</v>
      </c>
      <c r="L3265" s="270">
        <v>700100</v>
      </c>
      <c r="M3265" s="270" t="s">
        <v>3935</v>
      </c>
      <c r="N3265" s="270" t="s">
        <v>3944</v>
      </c>
      <c r="O3265" s="270">
        <v>1753.33</v>
      </c>
      <c r="P3265" s="270" t="s">
        <v>3944</v>
      </c>
      <c r="Q3265" s="270" t="s">
        <v>3944</v>
      </c>
      <c r="R3265" s="270">
        <v>1753.33</v>
      </c>
      <c r="S3265" s="270">
        <v>22031.67</v>
      </c>
      <c r="T3265" s="270">
        <v>23785</v>
      </c>
      <c r="U3265" s="271" t="s">
        <v>3945</v>
      </c>
      <c r="V3265" s="267" t="s">
        <v>944</v>
      </c>
    </row>
    <row r="3266" spans="1:22" hidden="1" x14ac:dyDescent="0.25">
      <c r="A3266" s="266">
        <v>43633</v>
      </c>
      <c r="B3266" s="267">
        <v>2019</v>
      </c>
      <c r="C3266" s="267">
        <v>2019</v>
      </c>
      <c r="D3266" s="267">
        <v>1</v>
      </c>
      <c r="E3266" s="267">
        <v>1</v>
      </c>
      <c r="F3266" s="267" t="s">
        <v>944</v>
      </c>
      <c r="G3266" s="267" t="s">
        <v>3926</v>
      </c>
      <c r="H3266" s="267" t="s">
        <v>7729</v>
      </c>
      <c r="I3266" s="267" t="s">
        <v>5401</v>
      </c>
      <c r="J3266" s="267" t="s">
        <v>3928</v>
      </c>
      <c r="K3266" s="267">
        <v>6820</v>
      </c>
      <c r="L3266" s="267">
        <v>30400</v>
      </c>
      <c r="M3266" s="267" t="s">
        <v>3943</v>
      </c>
      <c r="N3266" s="267" t="s">
        <v>3944</v>
      </c>
      <c r="O3266" s="267">
        <v>1470.46</v>
      </c>
      <c r="P3266" s="267" t="s">
        <v>3944</v>
      </c>
      <c r="Q3266" s="267" t="s">
        <v>3944</v>
      </c>
      <c r="R3266" s="267">
        <v>1470.46</v>
      </c>
      <c r="S3266" s="267">
        <v>14846.54</v>
      </c>
      <c r="T3266" s="267">
        <v>16317</v>
      </c>
      <c r="U3266" s="268" t="s">
        <v>3945</v>
      </c>
      <c r="V3266" s="267" t="s">
        <v>944</v>
      </c>
    </row>
    <row r="3267" spans="1:22" hidden="1" x14ac:dyDescent="0.25">
      <c r="A3267" s="269">
        <v>43633</v>
      </c>
      <c r="B3267" s="270">
        <v>2019</v>
      </c>
      <c r="C3267" s="270">
        <v>2019</v>
      </c>
      <c r="D3267" s="270">
        <v>1</v>
      </c>
      <c r="E3267" s="270">
        <v>1</v>
      </c>
      <c r="F3267" s="270" t="s">
        <v>944</v>
      </c>
      <c r="G3267" s="270" t="s">
        <v>3926</v>
      </c>
      <c r="H3267" s="270" t="s">
        <v>7730</v>
      </c>
      <c r="I3267" s="270" t="s">
        <v>3996</v>
      </c>
      <c r="J3267" s="270" t="s">
        <v>3928</v>
      </c>
      <c r="K3267" s="270">
        <v>6790</v>
      </c>
      <c r="L3267" s="270">
        <v>310602</v>
      </c>
      <c r="M3267" s="270" t="s">
        <v>3935</v>
      </c>
      <c r="N3267" s="270" t="s">
        <v>3944</v>
      </c>
      <c r="O3267" s="270">
        <v>1307.6400000000001</v>
      </c>
      <c r="P3267" s="270" t="s">
        <v>3944</v>
      </c>
      <c r="Q3267" s="270" t="s">
        <v>3944</v>
      </c>
      <c r="R3267" s="270">
        <v>1307.6400000000001</v>
      </c>
      <c r="S3267" s="270">
        <v>18536.36</v>
      </c>
      <c r="T3267" s="270">
        <v>19844</v>
      </c>
      <c r="U3267" s="271" t="s">
        <v>3945</v>
      </c>
      <c r="V3267" s="267" t="s">
        <v>944</v>
      </c>
    </row>
    <row r="3268" spans="1:22" hidden="1" x14ac:dyDescent="0.25">
      <c r="A3268" s="266">
        <v>43633</v>
      </c>
      <c r="B3268" s="267">
        <v>2019</v>
      </c>
      <c r="C3268" s="267">
        <v>2019</v>
      </c>
      <c r="D3268" s="267">
        <v>1</v>
      </c>
      <c r="E3268" s="267">
        <v>1</v>
      </c>
      <c r="F3268" s="267" t="s">
        <v>944</v>
      </c>
      <c r="G3268" s="267" t="s">
        <v>3926</v>
      </c>
      <c r="H3268" s="267" t="s">
        <v>7731</v>
      </c>
      <c r="I3268" s="267" t="s">
        <v>5183</v>
      </c>
      <c r="J3268" s="267" t="s">
        <v>3928</v>
      </c>
      <c r="K3268" s="267">
        <v>6277</v>
      </c>
      <c r="L3268" s="267">
        <v>900100</v>
      </c>
      <c r="M3268" s="267" t="s">
        <v>3935</v>
      </c>
      <c r="N3268" s="267" t="s">
        <v>3944</v>
      </c>
      <c r="O3268" s="267">
        <v>1303.0899999999999</v>
      </c>
      <c r="P3268" s="267" t="s">
        <v>3944</v>
      </c>
      <c r="Q3268" s="267" t="s">
        <v>3944</v>
      </c>
      <c r="R3268" s="267">
        <v>1303.0899999999999</v>
      </c>
      <c r="S3268" s="267">
        <v>10522.91</v>
      </c>
      <c r="T3268" s="267">
        <v>11826</v>
      </c>
      <c r="U3268" s="268" t="s">
        <v>3945</v>
      </c>
      <c r="V3268" s="267" t="s">
        <v>944</v>
      </c>
    </row>
    <row r="3269" spans="1:22" hidden="1" x14ac:dyDescent="0.25">
      <c r="A3269" s="269">
        <v>43633</v>
      </c>
      <c r="B3269" s="270">
        <v>2019</v>
      </c>
      <c r="C3269" s="270">
        <v>2019</v>
      </c>
      <c r="D3269" s="270">
        <v>1</v>
      </c>
      <c r="E3269" s="270">
        <v>1</v>
      </c>
      <c r="F3269" s="270" t="s">
        <v>944</v>
      </c>
      <c r="G3269" s="270" t="s">
        <v>3926</v>
      </c>
      <c r="H3269" s="270" t="s">
        <v>7732</v>
      </c>
      <c r="I3269" s="270" t="s">
        <v>4037</v>
      </c>
      <c r="J3269" s="270" t="s">
        <v>3928</v>
      </c>
      <c r="K3269" s="270">
        <v>6810</v>
      </c>
      <c r="L3269" s="270">
        <v>210600</v>
      </c>
      <c r="M3269" s="270" t="s">
        <v>3940</v>
      </c>
      <c r="N3269" s="270" t="s">
        <v>3944</v>
      </c>
      <c r="O3269" s="270">
        <v>1461.53</v>
      </c>
      <c r="P3269" s="270" t="s">
        <v>3944</v>
      </c>
      <c r="Q3269" s="270" t="s">
        <v>3944</v>
      </c>
      <c r="R3269" s="270">
        <v>1461.53</v>
      </c>
      <c r="S3269" s="270">
        <v>12729.47</v>
      </c>
      <c r="T3269" s="270">
        <v>14191</v>
      </c>
      <c r="U3269" s="271" t="s">
        <v>3945</v>
      </c>
      <c r="V3269" s="267" t="s">
        <v>944</v>
      </c>
    </row>
    <row r="3270" spans="1:22" hidden="1" x14ac:dyDescent="0.25">
      <c r="A3270" s="266">
        <v>43633</v>
      </c>
      <c r="B3270" s="267">
        <v>2019</v>
      </c>
      <c r="C3270" s="267">
        <v>2019</v>
      </c>
      <c r="D3270" s="267">
        <v>1</v>
      </c>
      <c r="E3270" s="267">
        <v>1</v>
      </c>
      <c r="F3270" s="267" t="s">
        <v>944</v>
      </c>
      <c r="G3270" s="267" t="s">
        <v>3926</v>
      </c>
      <c r="H3270" s="267" t="s">
        <v>7733</v>
      </c>
      <c r="I3270" s="267" t="s">
        <v>4019</v>
      </c>
      <c r="J3270" s="267" t="s">
        <v>3928</v>
      </c>
      <c r="K3270" s="267">
        <v>6705</v>
      </c>
      <c r="L3270" s="267">
        <v>352600</v>
      </c>
      <c r="M3270" s="267">
        <v>-60</v>
      </c>
      <c r="N3270" s="267" t="s">
        <v>3944</v>
      </c>
      <c r="O3270" s="267">
        <v>1729.07</v>
      </c>
      <c r="P3270" s="267" t="s">
        <v>3944</v>
      </c>
      <c r="Q3270" s="267" t="s">
        <v>3944</v>
      </c>
      <c r="R3270" s="267">
        <v>1729.07</v>
      </c>
      <c r="S3270" s="267">
        <v>22125.61</v>
      </c>
      <c r="T3270" s="267">
        <v>23854.68</v>
      </c>
      <c r="U3270" s="268" t="s">
        <v>3945</v>
      </c>
      <c r="V3270" s="267" t="s">
        <v>944</v>
      </c>
    </row>
    <row r="3271" spans="1:22" hidden="1" x14ac:dyDescent="0.25">
      <c r="A3271" s="269">
        <v>43633</v>
      </c>
      <c r="B3271" s="270">
        <v>2019</v>
      </c>
      <c r="C3271" s="270">
        <v>2019</v>
      </c>
      <c r="D3271" s="270">
        <v>1</v>
      </c>
      <c r="E3271" s="270">
        <v>1</v>
      </c>
      <c r="F3271" s="270" t="s">
        <v>944</v>
      </c>
      <c r="G3271" s="270" t="s">
        <v>3926</v>
      </c>
      <c r="H3271" s="270" t="s">
        <v>7734</v>
      </c>
      <c r="I3271" s="270" t="s">
        <v>4108</v>
      </c>
      <c r="J3271" s="270" t="s">
        <v>3928</v>
      </c>
      <c r="K3271" s="270">
        <v>6082</v>
      </c>
      <c r="L3271" s="270">
        <v>480500</v>
      </c>
      <c r="M3271" s="270" t="s">
        <v>3935</v>
      </c>
      <c r="N3271" s="270" t="s">
        <v>3944</v>
      </c>
      <c r="O3271" s="270">
        <v>1746.47</v>
      </c>
      <c r="P3271" s="270" t="s">
        <v>3944</v>
      </c>
      <c r="Q3271" s="270" t="s">
        <v>3944</v>
      </c>
      <c r="R3271" s="270">
        <v>1746.47</v>
      </c>
      <c r="S3271" s="270">
        <v>18406.53</v>
      </c>
      <c r="T3271" s="270">
        <v>20153</v>
      </c>
      <c r="U3271" s="271" t="s">
        <v>3945</v>
      </c>
      <c r="V3271" s="267" t="s">
        <v>944</v>
      </c>
    </row>
    <row r="3272" spans="1:22" hidden="1" x14ac:dyDescent="0.25">
      <c r="A3272" s="266">
        <v>43633</v>
      </c>
      <c r="B3272" s="267">
        <v>2019</v>
      </c>
      <c r="C3272" s="267">
        <v>2019</v>
      </c>
      <c r="D3272" s="267">
        <v>1</v>
      </c>
      <c r="E3272" s="267">
        <v>1</v>
      </c>
      <c r="F3272" s="267" t="s">
        <v>944</v>
      </c>
      <c r="G3272" s="267" t="s">
        <v>3926</v>
      </c>
      <c r="H3272" s="267" t="s">
        <v>7735</v>
      </c>
      <c r="I3272" s="267" t="s">
        <v>3999</v>
      </c>
      <c r="J3272" s="267" t="s">
        <v>3928</v>
      </c>
      <c r="K3272" s="267">
        <v>6450</v>
      </c>
      <c r="L3272" s="267">
        <v>171200</v>
      </c>
      <c r="M3272" s="267" t="s">
        <v>3960</v>
      </c>
      <c r="N3272" s="267" t="s">
        <v>3944</v>
      </c>
      <c r="O3272" s="267">
        <v>1544.69</v>
      </c>
      <c r="P3272" s="267" t="s">
        <v>3944</v>
      </c>
      <c r="Q3272" s="267" t="s">
        <v>3944</v>
      </c>
      <c r="R3272" s="267">
        <v>1544.69</v>
      </c>
      <c r="S3272" s="267">
        <v>20470.310000000001</v>
      </c>
      <c r="T3272" s="267">
        <v>22015</v>
      </c>
      <c r="U3272" s="268" t="s">
        <v>3945</v>
      </c>
      <c r="V3272" s="267" t="s">
        <v>944</v>
      </c>
    </row>
    <row r="3273" spans="1:22" hidden="1" x14ac:dyDescent="0.25">
      <c r="A3273" s="269">
        <v>43633</v>
      </c>
      <c r="B3273" s="270">
        <v>2019</v>
      </c>
      <c r="C3273" s="270">
        <v>2019</v>
      </c>
      <c r="D3273" s="270">
        <v>1</v>
      </c>
      <c r="E3273" s="270">
        <v>1</v>
      </c>
      <c r="F3273" s="270" t="s">
        <v>944</v>
      </c>
      <c r="G3273" s="270" t="s">
        <v>3926</v>
      </c>
      <c r="H3273" s="270" t="s">
        <v>7736</v>
      </c>
      <c r="I3273" s="270" t="s">
        <v>2987</v>
      </c>
      <c r="J3273" s="270" t="s">
        <v>3928</v>
      </c>
      <c r="K3273" s="270">
        <v>6611</v>
      </c>
      <c r="L3273" s="270">
        <v>90300</v>
      </c>
      <c r="M3273" s="270" t="s">
        <v>3943</v>
      </c>
      <c r="N3273" s="270" t="s">
        <v>3944</v>
      </c>
      <c r="O3273" s="270">
        <v>2241.54</v>
      </c>
      <c r="P3273" s="270" t="s">
        <v>3944</v>
      </c>
      <c r="Q3273" s="270" t="s">
        <v>3944</v>
      </c>
      <c r="R3273" s="270">
        <v>2241.54</v>
      </c>
      <c r="S3273" s="270">
        <v>16898.46</v>
      </c>
      <c r="T3273" s="270">
        <v>19140</v>
      </c>
      <c r="U3273" s="271" t="s">
        <v>3945</v>
      </c>
      <c r="V3273" s="267" t="s">
        <v>944</v>
      </c>
    </row>
    <row r="3274" spans="1:22" hidden="1" x14ac:dyDescent="0.25">
      <c r="A3274" s="266">
        <v>43633</v>
      </c>
      <c r="B3274" s="267">
        <v>2019</v>
      </c>
      <c r="C3274" s="267">
        <v>2019</v>
      </c>
      <c r="D3274" s="267">
        <v>1</v>
      </c>
      <c r="E3274" s="267">
        <v>1</v>
      </c>
      <c r="F3274" s="267" t="s">
        <v>944</v>
      </c>
      <c r="G3274" s="267" t="s">
        <v>3926</v>
      </c>
      <c r="H3274" s="267" t="s">
        <v>7737</v>
      </c>
      <c r="I3274" s="267" t="s">
        <v>4147</v>
      </c>
      <c r="J3274" s="267" t="s">
        <v>3928</v>
      </c>
      <c r="K3274" s="267">
        <v>6109</v>
      </c>
      <c r="L3274" s="267">
        <v>492600</v>
      </c>
      <c r="M3274" s="267" t="s">
        <v>3960</v>
      </c>
      <c r="N3274" s="267" t="s">
        <v>3944</v>
      </c>
      <c r="O3274" s="267">
        <v>1470.63</v>
      </c>
      <c r="P3274" s="267" t="s">
        <v>3944</v>
      </c>
      <c r="Q3274" s="267" t="s">
        <v>3944</v>
      </c>
      <c r="R3274" s="267">
        <v>1470.63</v>
      </c>
      <c r="S3274" s="267">
        <v>25981.37</v>
      </c>
      <c r="T3274" s="267">
        <v>27452</v>
      </c>
      <c r="U3274" s="268" t="s">
        <v>3945</v>
      </c>
      <c r="V3274" s="267" t="s">
        <v>944</v>
      </c>
    </row>
    <row r="3275" spans="1:22" hidden="1" x14ac:dyDescent="0.25">
      <c r="A3275" s="269">
        <v>43633</v>
      </c>
      <c r="B3275" s="270">
        <v>2019</v>
      </c>
      <c r="C3275" s="270">
        <v>2019</v>
      </c>
      <c r="D3275" s="270">
        <v>1</v>
      </c>
      <c r="E3275" s="270">
        <v>1</v>
      </c>
      <c r="F3275" s="270" t="s">
        <v>944</v>
      </c>
      <c r="G3275" s="270" t="s">
        <v>3926</v>
      </c>
      <c r="H3275" s="270" t="s">
        <v>7738</v>
      </c>
      <c r="I3275" s="270" t="s">
        <v>3975</v>
      </c>
      <c r="J3275" s="270" t="s">
        <v>3928</v>
      </c>
      <c r="K3275" s="270">
        <v>6479</v>
      </c>
      <c r="L3275" s="270">
        <v>430500</v>
      </c>
      <c r="M3275" s="270" t="s">
        <v>3943</v>
      </c>
      <c r="N3275" s="270" t="s">
        <v>3944</v>
      </c>
      <c r="O3275" s="270">
        <v>1384.15</v>
      </c>
      <c r="P3275" s="270" t="s">
        <v>3944</v>
      </c>
      <c r="Q3275" s="270" t="s">
        <v>3944</v>
      </c>
      <c r="R3275" s="270">
        <v>1384.15</v>
      </c>
      <c r="S3275" s="270">
        <v>23205.200000000001</v>
      </c>
      <c r="T3275" s="270">
        <v>24589.35</v>
      </c>
      <c r="U3275" s="271" t="s">
        <v>3945</v>
      </c>
      <c r="V3275" s="267" t="s">
        <v>944</v>
      </c>
    </row>
    <row r="3276" spans="1:22" hidden="1" x14ac:dyDescent="0.25">
      <c r="A3276" s="266">
        <v>43633</v>
      </c>
      <c r="B3276" s="267">
        <v>2019</v>
      </c>
      <c r="C3276" s="267">
        <v>2019</v>
      </c>
      <c r="D3276" s="267">
        <v>1</v>
      </c>
      <c r="E3276" s="267">
        <v>1</v>
      </c>
      <c r="F3276" s="267" t="s">
        <v>944</v>
      </c>
      <c r="G3276" s="267" t="s">
        <v>3926</v>
      </c>
      <c r="H3276" s="267" t="s">
        <v>7739</v>
      </c>
      <c r="I3276" s="267" t="s">
        <v>3008</v>
      </c>
      <c r="J3276" s="267" t="s">
        <v>3928</v>
      </c>
      <c r="K3276" s="267">
        <v>6460</v>
      </c>
      <c r="L3276" s="267">
        <v>150500</v>
      </c>
      <c r="M3276" s="267" t="s">
        <v>3960</v>
      </c>
      <c r="N3276" s="267" t="s">
        <v>3944</v>
      </c>
      <c r="O3276" s="267">
        <v>1528.94</v>
      </c>
      <c r="P3276" s="267" t="s">
        <v>3944</v>
      </c>
      <c r="Q3276" s="267" t="s">
        <v>3944</v>
      </c>
      <c r="R3276" s="267">
        <v>1528.94</v>
      </c>
      <c r="S3276" s="267">
        <v>25812.21</v>
      </c>
      <c r="T3276" s="267">
        <v>27341.15</v>
      </c>
      <c r="U3276" s="268" t="s">
        <v>3945</v>
      </c>
      <c r="V3276" s="267" t="s">
        <v>944</v>
      </c>
    </row>
    <row r="3277" spans="1:22" hidden="1" x14ac:dyDescent="0.25">
      <c r="A3277" s="269">
        <v>43633</v>
      </c>
      <c r="B3277" s="270">
        <v>2019</v>
      </c>
      <c r="C3277" s="270">
        <v>2019</v>
      </c>
      <c r="D3277" s="270">
        <v>1</v>
      </c>
      <c r="E3277" s="270">
        <v>1</v>
      </c>
      <c r="F3277" s="270" t="s">
        <v>944</v>
      </c>
      <c r="G3277" s="270" t="s">
        <v>3926</v>
      </c>
      <c r="H3277" s="270" t="s">
        <v>7740</v>
      </c>
      <c r="I3277" s="270" t="s">
        <v>4003</v>
      </c>
      <c r="J3277" s="270" t="s">
        <v>3928</v>
      </c>
      <c r="K3277" s="270">
        <v>6374</v>
      </c>
      <c r="L3277" s="270">
        <v>907100</v>
      </c>
      <c r="M3277" s="270" t="s">
        <v>3935</v>
      </c>
      <c r="N3277" s="270" t="s">
        <v>3944</v>
      </c>
      <c r="O3277" s="270">
        <v>1486.21</v>
      </c>
      <c r="P3277" s="270" t="s">
        <v>3944</v>
      </c>
      <c r="Q3277" s="270" t="s">
        <v>3944</v>
      </c>
      <c r="R3277" s="270">
        <v>1486.21</v>
      </c>
      <c r="S3277" s="270">
        <v>17379.79</v>
      </c>
      <c r="T3277" s="270">
        <v>18866</v>
      </c>
      <c r="U3277" s="271" t="s">
        <v>3945</v>
      </c>
      <c r="V3277" s="267" t="s">
        <v>944</v>
      </c>
    </row>
    <row r="3278" spans="1:22" hidden="1" x14ac:dyDescent="0.25">
      <c r="A3278" s="266">
        <v>43633</v>
      </c>
      <c r="B3278" s="267">
        <v>2019</v>
      </c>
      <c r="C3278" s="267">
        <v>2019</v>
      </c>
      <c r="D3278" s="267">
        <v>1</v>
      </c>
      <c r="E3278" s="267">
        <v>1</v>
      </c>
      <c r="F3278" s="267" t="s">
        <v>944</v>
      </c>
      <c r="G3278" s="267" t="s">
        <v>3926</v>
      </c>
      <c r="H3278" s="267" t="s">
        <v>7741</v>
      </c>
      <c r="I3278" s="267" t="s">
        <v>3939</v>
      </c>
      <c r="J3278" s="267" t="s">
        <v>3928</v>
      </c>
      <c r="K3278" s="267">
        <v>6513</v>
      </c>
      <c r="L3278" s="267">
        <v>180602</v>
      </c>
      <c r="M3278" s="267" t="s">
        <v>3935</v>
      </c>
      <c r="N3278" s="267" t="s">
        <v>3944</v>
      </c>
      <c r="O3278" s="267">
        <v>1571.64</v>
      </c>
      <c r="P3278" s="267" t="s">
        <v>3944</v>
      </c>
      <c r="Q3278" s="267" t="s">
        <v>3944</v>
      </c>
      <c r="R3278" s="267">
        <v>1571.64</v>
      </c>
      <c r="S3278" s="267">
        <v>15795.6</v>
      </c>
      <c r="T3278" s="267">
        <v>17367.240000000002</v>
      </c>
      <c r="U3278" s="268" t="s">
        <v>3945</v>
      </c>
      <c r="V3278" s="267" t="s">
        <v>944</v>
      </c>
    </row>
    <row r="3279" spans="1:22" hidden="1" x14ac:dyDescent="0.25">
      <c r="A3279" s="269">
        <v>43633</v>
      </c>
      <c r="B3279" s="270">
        <v>2019</v>
      </c>
      <c r="C3279" s="270">
        <v>2019</v>
      </c>
      <c r="D3279" s="270">
        <v>1</v>
      </c>
      <c r="E3279" s="270">
        <v>1</v>
      </c>
      <c r="F3279" s="270" t="s">
        <v>944</v>
      </c>
      <c r="G3279" s="270" t="s">
        <v>3926</v>
      </c>
      <c r="H3279" s="270" t="s">
        <v>7742</v>
      </c>
      <c r="I3279" s="270" t="s">
        <v>4019</v>
      </c>
      <c r="J3279" s="270" t="s">
        <v>3928</v>
      </c>
      <c r="K3279" s="270">
        <v>6706</v>
      </c>
      <c r="L3279" s="270">
        <v>350500</v>
      </c>
      <c r="M3279" s="270">
        <v>-60</v>
      </c>
      <c r="N3279" s="270" t="s">
        <v>3944</v>
      </c>
      <c r="O3279" s="270">
        <v>2280.9499999999998</v>
      </c>
      <c r="P3279" s="270" t="s">
        <v>3944</v>
      </c>
      <c r="Q3279" s="270" t="s">
        <v>3944</v>
      </c>
      <c r="R3279" s="270">
        <v>2280.9499999999998</v>
      </c>
      <c r="S3279" s="270">
        <v>50360.77</v>
      </c>
      <c r="T3279" s="270">
        <v>52641.72</v>
      </c>
      <c r="U3279" s="271" t="s">
        <v>3945</v>
      </c>
      <c r="V3279" s="267" t="s">
        <v>944</v>
      </c>
    </row>
    <row r="3280" spans="1:22" hidden="1" x14ac:dyDescent="0.25">
      <c r="A3280" s="266">
        <v>43633</v>
      </c>
      <c r="B3280" s="267">
        <v>2019</v>
      </c>
      <c r="C3280" s="267">
        <v>2019</v>
      </c>
      <c r="D3280" s="267">
        <v>1</v>
      </c>
      <c r="E3280" s="267">
        <v>1</v>
      </c>
      <c r="F3280" s="267" t="s">
        <v>944</v>
      </c>
      <c r="G3280" s="267" t="s">
        <v>3926</v>
      </c>
      <c r="H3280" s="267" t="s">
        <v>7743</v>
      </c>
      <c r="I3280" s="267" t="s">
        <v>4497</v>
      </c>
      <c r="J3280" s="267" t="s">
        <v>3928</v>
      </c>
      <c r="K3280" s="267">
        <v>6260</v>
      </c>
      <c r="L3280" s="267">
        <v>903100</v>
      </c>
      <c r="M3280" s="267" t="s">
        <v>3940</v>
      </c>
      <c r="N3280" s="267" t="s">
        <v>3944</v>
      </c>
      <c r="O3280" s="267">
        <v>3574.69</v>
      </c>
      <c r="P3280" s="267" t="s">
        <v>3944</v>
      </c>
      <c r="Q3280" s="267" t="s">
        <v>3944</v>
      </c>
      <c r="R3280" s="267">
        <v>3574.69</v>
      </c>
      <c r="S3280" s="267">
        <v>55718.79</v>
      </c>
      <c r="T3280" s="267">
        <v>59293.48</v>
      </c>
      <c r="U3280" s="268" t="s">
        <v>3945</v>
      </c>
      <c r="V3280" s="267" t="s">
        <v>944</v>
      </c>
    </row>
    <row r="3281" spans="1:22" hidden="1" x14ac:dyDescent="0.25">
      <c r="A3281" s="269">
        <v>43633</v>
      </c>
      <c r="B3281" s="270">
        <v>2019</v>
      </c>
      <c r="C3281" s="270">
        <v>2019</v>
      </c>
      <c r="D3281" s="270">
        <v>1</v>
      </c>
      <c r="E3281" s="270">
        <v>1</v>
      </c>
      <c r="F3281" s="270" t="s">
        <v>944</v>
      </c>
      <c r="G3281" s="270" t="s">
        <v>3926</v>
      </c>
      <c r="H3281" s="270" t="s">
        <v>7744</v>
      </c>
      <c r="I3281" s="270" t="s">
        <v>7745</v>
      </c>
      <c r="J3281" s="270" t="s">
        <v>3928</v>
      </c>
      <c r="K3281" s="270">
        <v>6024</v>
      </c>
      <c r="L3281" s="270">
        <v>260200</v>
      </c>
      <c r="M3281" s="270" t="s">
        <v>3940</v>
      </c>
      <c r="N3281" s="270" t="s">
        <v>7746</v>
      </c>
      <c r="O3281" s="270">
        <v>0</v>
      </c>
      <c r="P3281" s="270" t="s">
        <v>3944</v>
      </c>
      <c r="Q3281" s="270" t="s">
        <v>7747</v>
      </c>
      <c r="R3281" s="270">
        <v>293828.03000000003</v>
      </c>
      <c r="S3281" s="270">
        <v>389492.97</v>
      </c>
      <c r="T3281" s="270">
        <v>683321</v>
      </c>
      <c r="U3281" s="271" t="s">
        <v>5304</v>
      </c>
      <c r="V3281" s="267" t="s">
        <v>944</v>
      </c>
    </row>
    <row r="3282" spans="1:22" hidden="1" x14ac:dyDescent="0.25">
      <c r="A3282" s="266">
        <v>43634</v>
      </c>
      <c r="B3282" s="267">
        <v>2019</v>
      </c>
      <c r="C3282" s="267">
        <v>2019</v>
      </c>
      <c r="D3282" s="267">
        <v>1</v>
      </c>
      <c r="E3282" s="267">
        <v>1</v>
      </c>
      <c r="F3282" s="267" t="s">
        <v>944</v>
      </c>
      <c r="G3282" s="267" t="s">
        <v>3926</v>
      </c>
      <c r="H3282" s="267" t="s">
        <v>7748</v>
      </c>
      <c r="I3282" s="267" t="s">
        <v>950</v>
      </c>
      <c r="J3282" s="267" t="s">
        <v>3928</v>
      </c>
      <c r="K3282" s="267">
        <v>6516</v>
      </c>
      <c r="L3282" s="267">
        <v>155000</v>
      </c>
      <c r="M3282" s="267" t="s">
        <v>3940</v>
      </c>
      <c r="N3282" s="267" t="s">
        <v>7749</v>
      </c>
      <c r="O3282" s="267">
        <v>0</v>
      </c>
      <c r="P3282" s="267" t="s">
        <v>3930</v>
      </c>
      <c r="Q3282" s="267" t="s">
        <v>3930</v>
      </c>
      <c r="R3282" s="267">
        <v>0</v>
      </c>
      <c r="S3282" s="267">
        <v>14000</v>
      </c>
      <c r="T3282" s="267">
        <v>14000</v>
      </c>
      <c r="U3282" s="268" t="s">
        <v>3937</v>
      </c>
      <c r="V3282" s="267" t="s">
        <v>944</v>
      </c>
    </row>
    <row r="3283" spans="1:22" hidden="1" x14ac:dyDescent="0.25">
      <c r="A3283" s="269">
        <v>43634</v>
      </c>
      <c r="B3283" s="270">
        <v>2019</v>
      </c>
      <c r="C3283" s="270">
        <v>2019</v>
      </c>
      <c r="D3283" s="270">
        <v>1</v>
      </c>
      <c r="E3283" s="270">
        <v>1</v>
      </c>
      <c r="F3283" s="270" t="s">
        <v>944</v>
      </c>
      <c r="G3283" s="270" t="s">
        <v>3926</v>
      </c>
      <c r="H3283" s="270" t="s">
        <v>7750</v>
      </c>
      <c r="I3283" s="270" t="s">
        <v>4069</v>
      </c>
      <c r="J3283" s="270" t="s">
        <v>3928</v>
      </c>
      <c r="K3283" s="270">
        <v>6905</v>
      </c>
      <c r="L3283" s="270">
        <v>20600</v>
      </c>
      <c r="M3283" s="270" t="s">
        <v>3943</v>
      </c>
      <c r="N3283" s="270" t="s">
        <v>4580</v>
      </c>
      <c r="O3283" s="270">
        <v>0</v>
      </c>
      <c r="P3283" s="270" t="s">
        <v>3930</v>
      </c>
      <c r="Q3283" s="270" t="s">
        <v>3930</v>
      </c>
      <c r="R3283" s="270">
        <v>0</v>
      </c>
      <c r="S3283" s="270">
        <v>13600</v>
      </c>
      <c r="T3283" s="270">
        <v>13600</v>
      </c>
      <c r="U3283" s="271" t="s">
        <v>3937</v>
      </c>
      <c r="V3283" s="267" t="s">
        <v>944</v>
      </c>
    </row>
    <row r="3284" spans="1:22" hidden="1" x14ac:dyDescent="0.25">
      <c r="A3284" s="266">
        <v>43634</v>
      </c>
      <c r="B3284" s="267">
        <v>2019</v>
      </c>
      <c r="C3284" s="267">
        <v>2019</v>
      </c>
      <c r="D3284" s="267">
        <v>1</v>
      </c>
      <c r="E3284" s="267">
        <v>1</v>
      </c>
      <c r="F3284" s="267" t="s">
        <v>944</v>
      </c>
      <c r="G3284" s="267" t="s">
        <v>3926</v>
      </c>
      <c r="H3284" s="267" t="s">
        <v>7751</v>
      </c>
      <c r="I3284" s="267" t="s">
        <v>4037</v>
      </c>
      <c r="J3284" s="267" t="s">
        <v>3928</v>
      </c>
      <c r="K3284" s="267">
        <v>6811</v>
      </c>
      <c r="L3284" s="267">
        <v>210900</v>
      </c>
      <c r="M3284" s="267" t="s">
        <v>3943</v>
      </c>
      <c r="N3284" s="267" t="s">
        <v>7752</v>
      </c>
      <c r="O3284" s="267">
        <v>0</v>
      </c>
      <c r="P3284" s="267" t="s">
        <v>3930</v>
      </c>
      <c r="Q3284" s="267" t="s">
        <v>3930</v>
      </c>
      <c r="R3284" s="267">
        <v>0</v>
      </c>
      <c r="S3284" s="267">
        <v>4745.12</v>
      </c>
      <c r="T3284" s="267">
        <v>4745.12</v>
      </c>
      <c r="U3284" s="268" t="s">
        <v>3937</v>
      </c>
      <c r="V3284" s="267" t="s">
        <v>944</v>
      </c>
    </row>
    <row r="3285" spans="1:22" hidden="1" x14ac:dyDescent="0.25">
      <c r="A3285" s="269">
        <v>43634</v>
      </c>
      <c r="B3285" s="270">
        <v>2019</v>
      </c>
      <c r="C3285" s="270">
        <v>2019</v>
      </c>
      <c r="D3285" s="270">
        <v>1</v>
      </c>
      <c r="E3285" s="270">
        <v>1</v>
      </c>
      <c r="F3285" s="270" t="s">
        <v>944</v>
      </c>
      <c r="G3285" s="270" t="s">
        <v>3926</v>
      </c>
      <c r="H3285" s="270" t="s">
        <v>7753</v>
      </c>
      <c r="I3285" s="270" t="s">
        <v>2985</v>
      </c>
      <c r="J3285" s="270" t="s">
        <v>3928</v>
      </c>
      <c r="K3285" s="270">
        <v>6824</v>
      </c>
      <c r="L3285" s="270">
        <v>60700</v>
      </c>
      <c r="M3285" s="270" t="s">
        <v>3943</v>
      </c>
      <c r="N3285" s="270" t="s">
        <v>7754</v>
      </c>
      <c r="O3285" s="270">
        <v>3473</v>
      </c>
      <c r="P3285" s="270" t="s">
        <v>3930</v>
      </c>
      <c r="Q3285" s="270" t="s">
        <v>3930</v>
      </c>
      <c r="R3285" s="270">
        <v>3473</v>
      </c>
      <c r="S3285" s="270">
        <v>19651.27</v>
      </c>
      <c r="T3285" s="270">
        <v>23124.27</v>
      </c>
      <c r="U3285" s="271" t="s">
        <v>3937</v>
      </c>
      <c r="V3285" s="267" t="s">
        <v>944</v>
      </c>
    </row>
    <row r="3286" spans="1:22" hidden="1" x14ac:dyDescent="0.25">
      <c r="A3286" s="266">
        <v>43634</v>
      </c>
      <c r="B3286" s="267">
        <v>2019</v>
      </c>
      <c r="C3286" s="267">
        <v>2019</v>
      </c>
      <c r="D3286" s="267">
        <v>1</v>
      </c>
      <c r="E3286" s="267">
        <v>1</v>
      </c>
      <c r="F3286" s="267" t="s">
        <v>944</v>
      </c>
      <c r="G3286" s="267" t="s">
        <v>3926</v>
      </c>
      <c r="H3286" s="267" t="s">
        <v>7755</v>
      </c>
      <c r="I3286" s="267" t="s">
        <v>4005</v>
      </c>
      <c r="J3286" s="267" t="s">
        <v>3928</v>
      </c>
      <c r="K3286" s="267">
        <v>6108</v>
      </c>
      <c r="L3286" s="267">
        <v>510300</v>
      </c>
      <c r="M3286" s="267" t="s">
        <v>3940</v>
      </c>
      <c r="N3286" s="267" t="s">
        <v>7756</v>
      </c>
      <c r="O3286" s="267">
        <v>0</v>
      </c>
      <c r="P3286" s="267" t="s">
        <v>3930</v>
      </c>
      <c r="Q3286" s="267" t="s">
        <v>3930</v>
      </c>
      <c r="R3286" s="267">
        <v>0</v>
      </c>
      <c r="S3286" s="267">
        <v>7082.56</v>
      </c>
      <c r="T3286" s="267">
        <v>7082.56</v>
      </c>
      <c r="U3286" s="268" t="s">
        <v>3937</v>
      </c>
      <c r="V3286" s="267" t="s">
        <v>944</v>
      </c>
    </row>
    <row r="3287" spans="1:22" hidden="1" x14ac:dyDescent="0.25">
      <c r="A3287" s="269">
        <v>43634</v>
      </c>
      <c r="B3287" s="270">
        <v>2019</v>
      </c>
      <c r="C3287" s="270">
        <v>2019</v>
      </c>
      <c r="D3287" s="270">
        <v>1</v>
      </c>
      <c r="E3287" s="270">
        <v>1</v>
      </c>
      <c r="F3287" s="270" t="s">
        <v>944</v>
      </c>
      <c r="G3287" s="270" t="s">
        <v>3926</v>
      </c>
      <c r="H3287" s="270" t="s">
        <v>7757</v>
      </c>
      <c r="I3287" s="270" t="s">
        <v>4137</v>
      </c>
      <c r="J3287" s="270" t="s">
        <v>3928</v>
      </c>
      <c r="K3287" s="270">
        <v>6067</v>
      </c>
      <c r="L3287" s="270">
        <v>490302</v>
      </c>
      <c r="M3287" s="270" t="s">
        <v>3960</v>
      </c>
      <c r="N3287" s="270" t="s">
        <v>6628</v>
      </c>
      <c r="O3287" s="270">
        <v>0</v>
      </c>
      <c r="P3287" s="270" t="s">
        <v>3930</v>
      </c>
      <c r="Q3287" s="270" t="s">
        <v>3930</v>
      </c>
      <c r="R3287" s="270">
        <v>0</v>
      </c>
      <c r="S3287" s="270">
        <v>14500</v>
      </c>
      <c r="T3287" s="270">
        <v>14500</v>
      </c>
      <c r="U3287" s="271" t="s">
        <v>3937</v>
      </c>
      <c r="V3287" s="267" t="s">
        <v>944</v>
      </c>
    </row>
    <row r="3288" spans="1:22" hidden="1" x14ac:dyDescent="0.25">
      <c r="A3288" s="266">
        <v>43634</v>
      </c>
      <c r="B3288" s="267">
        <v>2019</v>
      </c>
      <c r="C3288" s="267">
        <v>2019</v>
      </c>
      <c r="D3288" s="267">
        <v>1</v>
      </c>
      <c r="E3288" s="267">
        <v>1</v>
      </c>
      <c r="F3288" s="267" t="s">
        <v>944</v>
      </c>
      <c r="G3288" s="267" t="s">
        <v>3926</v>
      </c>
      <c r="H3288" s="267" t="s">
        <v>7758</v>
      </c>
      <c r="I3288" s="267" t="s">
        <v>3008</v>
      </c>
      <c r="J3288" s="267" t="s">
        <v>3928</v>
      </c>
      <c r="K3288" s="267">
        <v>6460</v>
      </c>
      <c r="L3288" s="267">
        <v>150900</v>
      </c>
      <c r="M3288" s="267" t="s">
        <v>3943</v>
      </c>
      <c r="N3288" s="267" t="s">
        <v>4103</v>
      </c>
      <c r="O3288" s="267">
        <v>1803.31</v>
      </c>
      <c r="P3288" s="267" t="s">
        <v>3930</v>
      </c>
      <c r="Q3288" s="267" t="s">
        <v>3931</v>
      </c>
      <c r="R3288" s="267">
        <v>6803.31</v>
      </c>
      <c r="S3288" s="267">
        <v>24145.599999999999</v>
      </c>
      <c r="T3288" s="267">
        <v>30948.91</v>
      </c>
      <c r="U3288" s="268" t="s">
        <v>3932</v>
      </c>
      <c r="V3288" s="267" t="s">
        <v>944</v>
      </c>
    </row>
    <row r="3289" spans="1:22" hidden="1" x14ac:dyDescent="0.25">
      <c r="A3289" s="269">
        <v>43634</v>
      </c>
      <c r="B3289" s="270">
        <v>2019</v>
      </c>
      <c r="C3289" s="270">
        <v>2019</v>
      </c>
      <c r="D3289" s="270">
        <v>1</v>
      </c>
      <c r="E3289" s="270">
        <v>1</v>
      </c>
      <c r="F3289" s="270" t="s">
        <v>944</v>
      </c>
      <c r="G3289" s="270" t="s">
        <v>3926</v>
      </c>
      <c r="H3289" s="270" t="s">
        <v>7759</v>
      </c>
      <c r="I3289" s="270" t="s">
        <v>3939</v>
      </c>
      <c r="J3289" s="270" t="s">
        <v>3928</v>
      </c>
      <c r="K3289" s="270">
        <v>6513</v>
      </c>
      <c r="L3289" s="270">
        <v>180602</v>
      </c>
      <c r="M3289" s="270" t="s">
        <v>3935</v>
      </c>
      <c r="N3289" s="270" t="s">
        <v>3944</v>
      </c>
      <c r="O3289" s="270">
        <v>5481</v>
      </c>
      <c r="P3289" s="270" t="s">
        <v>3944</v>
      </c>
      <c r="Q3289" s="270" t="s">
        <v>3944</v>
      </c>
      <c r="R3289" s="270">
        <v>5481</v>
      </c>
      <c r="S3289" s="270">
        <v>42175</v>
      </c>
      <c r="T3289" s="270">
        <v>47656</v>
      </c>
      <c r="U3289" s="271" t="s">
        <v>3945</v>
      </c>
      <c r="V3289" s="267" t="s">
        <v>944</v>
      </c>
    </row>
    <row r="3290" spans="1:22" hidden="1" x14ac:dyDescent="0.25">
      <c r="A3290" s="266">
        <v>43634</v>
      </c>
      <c r="B3290" s="267">
        <v>2019</v>
      </c>
      <c r="C3290" s="267">
        <v>2019</v>
      </c>
      <c r="D3290" s="267">
        <v>1</v>
      </c>
      <c r="E3290" s="267">
        <v>1</v>
      </c>
      <c r="F3290" s="267" t="s">
        <v>944</v>
      </c>
      <c r="G3290" s="267" t="s">
        <v>3926</v>
      </c>
      <c r="H3290" s="267" t="s">
        <v>7760</v>
      </c>
      <c r="I3290" s="267" t="s">
        <v>3968</v>
      </c>
      <c r="J3290" s="267" t="s">
        <v>3928</v>
      </c>
      <c r="K3290" s="267">
        <v>6040</v>
      </c>
      <c r="L3290" s="267">
        <v>515102</v>
      </c>
      <c r="M3290" s="267" t="s">
        <v>3935</v>
      </c>
      <c r="N3290" s="267" t="s">
        <v>3944</v>
      </c>
      <c r="O3290" s="267">
        <v>3617</v>
      </c>
      <c r="P3290" s="267" t="s">
        <v>3944</v>
      </c>
      <c r="Q3290" s="267" t="s">
        <v>3944</v>
      </c>
      <c r="R3290" s="267">
        <v>3617</v>
      </c>
      <c r="S3290" s="267">
        <v>45173</v>
      </c>
      <c r="T3290" s="267">
        <v>48790</v>
      </c>
      <c r="U3290" s="268" t="s">
        <v>3945</v>
      </c>
      <c r="V3290" s="267" t="s">
        <v>944</v>
      </c>
    </row>
    <row r="3291" spans="1:22" hidden="1" x14ac:dyDescent="0.25">
      <c r="A3291" s="269">
        <v>43634</v>
      </c>
      <c r="B3291" s="270">
        <v>2019</v>
      </c>
      <c r="C3291" s="270">
        <v>2019</v>
      </c>
      <c r="D3291" s="270">
        <v>1</v>
      </c>
      <c r="E3291" s="270">
        <v>1</v>
      </c>
      <c r="F3291" s="270" t="s">
        <v>944</v>
      </c>
      <c r="G3291" s="270" t="s">
        <v>3926</v>
      </c>
      <c r="H3291" s="270" t="s">
        <v>7761</v>
      </c>
      <c r="I3291" s="270" t="s">
        <v>4203</v>
      </c>
      <c r="J3291" s="270" t="s">
        <v>3928</v>
      </c>
      <c r="K3291" s="270">
        <v>6071</v>
      </c>
      <c r="L3291" s="270">
        <v>538202</v>
      </c>
      <c r="M3291" s="270" t="s">
        <v>3943</v>
      </c>
      <c r="N3291" s="270" t="s">
        <v>3944</v>
      </c>
      <c r="O3291" s="270">
        <v>4319</v>
      </c>
      <c r="P3291" s="270" t="s">
        <v>3944</v>
      </c>
      <c r="Q3291" s="270" t="s">
        <v>3944</v>
      </c>
      <c r="R3291" s="270">
        <v>4319</v>
      </c>
      <c r="S3291" s="270">
        <v>33368.5</v>
      </c>
      <c r="T3291" s="270">
        <v>37687.5</v>
      </c>
      <c r="U3291" s="271" t="s">
        <v>3945</v>
      </c>
      <c r="V3291" s="267" t="s">
        <v>944</v>
      </c>
    </row>
    <row r="3292" spans="1:22" hidden="1" x14ac:dyDescent="0.25">
      <c r="A3292" s="266">
        <v>43634</v>
      </c>
      <c r="B3292" s="267">
        <v>2019</v>
      </c>
      <c r="C3292" s="267">
        <v>2019</v>
      </c>
      <c r="D3292" s="267">
        <v>1</v>
      </c>
      <c r="E3292" s="267">
        <v>1</v>
      </c>
      <c r="F3292" s="267" t="s">
        <v>944</v>
      </c>
      <c r="G3292" s="267" t="s">
        <v>3926</v>
      </c>
      <c r="H3292" s="267" t="s">
        <v>7762</v>
      </c>
      <c r="I3292" s="267" t="s">
        <v>4519</v>
      </c>
      <c r="J3292" s="267" t="s">
        <v>3928</v>
      </c>
      <c r="K3292" s="267">
        <v>6840</v>
      </c>
      <c r="L3292" s="267">
        <v>35400</v>
      </c>
      <c r="M3292" s="267" t="s">
        <v>3943</v>
      </c>
      <c r="N3292" s="267" t="s">
        <v>3944</v>
      </c>
      <c r="O3292" s="267">
        <v>3917</v>
      </c>
      <c r="P3292" s="267" t="s">
        <v>3944</v>
      </c>
      <c r="Q3292" s="267" t="s">
        <v>3944</v>
      </c>
      <c r="R3292" s="267">
        <v>3917</v>
      </c>
      <c r="S3292" s="267">
        <v>48408</v>
      </c>
      <c r="T3292" s="267">
        <v>52325</v>
      </c>
      <c r="U3292" s="268" t="s">
        <v>3945</v>
      </c>
      <c r="V3292" s="267" t="s">
        <v>944</v>
      </c>
    </row>
    <row r="3293" spans="1:22" hidden="1" x14ac:dyDescent="0.25">
      <c r="A3293" s="269">
        <v>43634</v>
      </c>
      <c r="B3293" s="270">
        <v>2019</v>
      </c>
      <c r="C3293" s="270">
        <v>2019</v>
      </c>
      <c r="D3293" s="270">
        <v>1</v>
      </c>
      <c r="E3293" s="270">
        <v>1</v>
      </c>
      <c r="F3293" s="270" t="s">
        <v>944</v>
      </c>
      <c r="G3293" s="270" t="s">
        <v>3926</v>
      </c>
      <c r="H3293" s="270" t="s">
        <v>7763</v>
      </c>
      <c r="I3293" s="270" t="s">
        <v>2987</v>
      </c>
      <c r="J3293" s="270" t="s">
        <v>3928</v>
      </c>
      <c r="K3293" s="270">
        <v>6611</v>
      </c>
      <c r="L3293" s="270">
        <v>90300</v>
      </c>
      <c r="M3293" s="270" t="s">
        <v>3943</v>
      </c>
      <c r="N3293" s="270" t="s">
        <v>3944</v>
      </c>
      <c r="O3293" s="270">
        <v>2687</v>
      </c>
      <c r="P3293" s="270" t="s">
        <v>3944</v>
      </c>
      <c r="Q3293" s="270" t="s">
        <v>3944</v>
      </c>
      <c r="R3293" s="270">
        <v>2687</v>
      </c>
      <c r="S3293" s="270">
        <v>36463</v>
      </c>
      <c r="T3293" s="270">
        <v>39150</v>
      </c>
      <c r="U3293" s="271" t="s">
        <v>3945</v>
      </c>
      <c r="V3293" s="267" t="s">
        <v>944</v>
      </c>
    </row>
    <row r="3294" spans="1:22" hidden="1" x14ac:dyDescent="0.25">
      <c r="A3294" s="266">
        <v>43634</v>
      </c>
      <c r="B3294" s="267">
        <v>2019</v>
      </c>
      <c r="C3294" s="267">
        <v>2019</v>
      </c>
      <c r="D3294" s="267">
        <v>1</v>
      </c>
      <c r="E3294" s="267">
        <v>1</v>
      </c>
      <c r="F3294" s="267" t="s">
        <v>944</v>
      </c>
      <c r="G3294" s="267" t="s">
        <v>3926</v>
      </c>
      <c r="H3294" s="267" t="s">
        <v>7764</v>
      </c>
      <c r="I3294" s="267" t="s">
        <v>4594</v>
      </c>
      <c r="J3294" s="267" t="s">
        <v>3928</v>
      </c>
      <c r="K3294" s="267">
        <v>6488</v>
      </c>
      <c r="L3294" s="267">
        <v>348122</v>
      </c>
      <c r="M3294" s="267" t="s">
        <v>3943</v>
      </c>
      <c r="N3294" s="267" t="s">
        <v>3944</v>
      </c>
      <c r="O3294" s="267">
        <v>4593</v>
      </c>
      <c r="P3294" s="267" t="s">
        <v>3944</v>
      </c>
      <c r="Q3294" s="267" t="s">
        <v>3944</v>
      </c>
      <c r="R3294" s="267">
        <v>4593</v>
      </c>
      <c r="S3294" s="267">
        <v>41827.68</v>
      </c>
      <c r="T3294" s="267">
        <v>46420.68</v>
      </c>
      <c r="U3294" s="268" t="s">
        <v>3945</v>
      </c>
      <c r="V3294" s="267" t="s">
        <v>944</v>
      </c>
    </row>
    <row r="3295" spans="1:22" hidden="1" x14ac:dyDescent="0.25">
      <c r="A3295" s="269">
        <v>43634</v>
      </c>
      <c r="B3295" s="270">
        <v>2019</v>
      </c>
      <c r="C3295" s="270">
        <v>2019</v>
      </c>
      <c r="D3295" s="270">
        <v>1</v>
      </c>
      <c r="E3295" s="270">
        <v>1</v>
      </c>
      <c r="F3295" s="270" t="s">
        <v>944</v>
      </c>
      <c r="G3295" s="270" t="s">
        <v>3926</v>
      </c>
      <c r="H3295" s="270" t="s">
        <v>7765</v>
      </c>
      <c r="I3295" s="270" t="s">
        <v>3939</v>
      </c>
      <c r="J3295" s="270" t="s">
        <v>3928</v>
      </c>
      <c r="K3295" s="270">
        <v>6512</v>
      </c>
      <c r="L3295" s="270">
        <v>180200</v>
      </c>
      <c r="M3295" s="270" t="s">
        <v>3940</v>
      </c>
      <c r="N3295" s="270" t="s">
        <v>3944</v>
      </c>
      <c r="O3295" s="270">
        <v>2476</v>
      </c>
      <c r="P3295" s="270" t="s">
        <v>3944</v>
      </c>
      <c r="Q3295" s="270" t="s">
        <v>3944</v>
      </c>
      <c r="R3295" s="270">
        <v>2476</v>
      </c>
      <c r="S3295" s="270">
        <v>20276</v>
      </c>
      <c r="T3295" s="270">
        <v>22752</v>
      </c>
      <c r="U3295" s="271" t="s">
        <v>3945</v>
      </c>
      <c r="V3295" s="267" t="s">
        <v>944</v>
      </c>
    </row>
    <row r="3296" spans="1:22" hidden="1" x14ac:dyDescent="0.25">
      <c r="A3296" s="266">
        <v>43634</v>
      </c>
      <c r="B3296" s="267">
        <v>2019</v>
      </c>
      <c r="C3296" s="267">
        <v>2019</v>
      </c>
      <c r="D3296" s="267">
        <v>1</v>
      </c>
      <c r="E3296" s="267">
        <v>1</v>
      </c>
      <c r="F3296" s="267" t="s">
        <v>944</v>
      </c>
      <c r="G3296" s="267" t="s">
        <v>3926</v>
      </c>
      <c r="H3296" s="267" t="s">
        <v>7766</v>
      </c>
      <c r="I3296" s="267" t="s">
        <v>956</v>
      </c>
      <c r="J3296" s="267" t="s">
        <v>3928</v>
      </c>
      <c r="K3296" s="267">
        <v>6606</v>
      </c>
      <c r="L3296" s="267">
        <v>72300</v>
      </c>
      <c r="M3296" s="267" t="s">
        <v>3940</v>
      </c>
      <c r="N3296" s="267" t="s">
        <v>3944</v>
      </c>
      <c r="O3296" s="267">
        <v>2509</v>
      </c>
      <c r="P3296" s="267" t="s">
        <v>3944</v>
      </c>
      <c r="Q3296" s="267" t="s">
        <v>3944</v>
      </c>
      <c r="R3296" s="267">
        <v>2509</v>
      </c>
      <c r="S3296" s="267">
        <v>24041.47</v>
      </c>
      <c r="T3296" s="267">
        <v>26550.47</v>
      </c>
      <c r="U3296" s="268" t="s">
        <v>3945</v>
      </c>
      <c r="V3296" s="267" t="s">
        <v>944</v>
      </c>
    </row>
    <row r="3297" spans="1:22" hidden="1" x14ac:dyDescent="0.25">
      <c r="A3297" s="269">
        <v>43634</v>
      </c>
      <c r="B3297" s="270">
        <v>2019</v>
      </c>
      <c r="C3297" s="270">
        <v>2019</v>
      </c>
      <c r="D3297" s="270">
        <v>1</v>
      </c>
      <c r="E3297" s="270">
        <v>1</v>
      </c>
      <c r="F3297" s="270" t="s">
        <v>944</v>
      </c>
      <c r="G3297" s="270" t="s">
        <v>3926</v>
      </c>
      <c r="H3297" s="270" t="s">
        <v>7767</v>
      </c>
      <c r="I3297" s="270" t="s">
        <v>4062</v>
      </c>
      <c r="J3297" s="270" t="s">
        <v>3928</v>
      </c>
      <c r="K3297" s="270">
        <v>6763</v>
      </c>
      <c r="L3297" s="270">
        <v>303100</v>
      </c>
      <c r="M3297" s="270" t="s">
        <v>3960</v>
      </c>
      <c r="N3297" s="270" t="s">
        <v>3944</v>
      </c>
      <c r="O3297" s="270">
        <v>1325.66</v>
      </c>
      <c r="P3297" s="270" t="s">
        <v>3944</v>
      </c>
      <c r="Q3297" s="270" t="s">
        <v>3944</v>
      </c>
      <c r="R3297" s="270">
        <v>1325.66</v>
      </c>
      <c r="S3297" s="270">
        <v>31026.89</v>
      </c>
      <c r="T3297" s="270">
        <v>32352.55</v>
      </c>
      <c r="U3297" s="271" t="s">
        <v>3945</v>
      </c>
      <c r="V3297" s="267" t="s">
        <v>944</v>
      </c>
    </row>
    <row r="3298" spans="1:22" hidden="1" x14ac:dyDescent="0.25">
      <c r="A3298" s="266">
        <v>43634</v>
      </c>
      <c r="B3298" s="267">
        <v>2019</v>
      </c>
      <c r="C3298" s="267">
        <v>2019</v>
      </c>
      <c r="D3298" s="267">
        <v>1</v>
      </c>
      <c r="E3298" s="267">
        <v>1</v>
      </c>
      <c r="F3298" s="267" t="s">
        <v>944</v>
      </c>
      <c r="G3298" s="267" t="s">
        <v>3926</v>
      </c>
      <c r="H3298" s="267" t="s">
        <v>7768</v>
      </c>
      <c r="I3298" s="267" t="s">
        <v>4035</v>
      </c>
      <c r="J3298" s="267" t="s">
        <v>3928</v>
      </c>
      <c r="K3298" s="267">
        <v>6074</v>
      </c>
      <c r="L3298" s="267">
        <v>487400</v>
      </c>
      <c r="M3298" s="267" t="s">
        <v>3943</v>
      </c>
      <c r="N3298" s="267" t="s">
        <v>3944</v>
      </c>
      <c r="O3298" s="267">
        <v>3373.51</v>
      </c>
      <c r="P3298" s="267" t="s">
        <v>3944</v>
      </c>
      <c r="Q3298" s="267" t="s">
        <v>3944</v>
      </c>
      <c r="R3298" s="267">
        <v>3373.51</v>
      </c>
      <c r="S3298" s="267">
        <v>49054.64</v>
      </c>
      <c r="T3298" s="267">
        <v>52428.15</v>
      </c>
      <c r="U3298" s="268" t="s">
        <v>3945</v>
      </c>
      <c r="V3298" s="267" t="s">
        <v>944</v>
      </c>
    </row>
    <row r="3299" spans="1:22" hidden="1" x14ac:dyDescent="0.25">
      <c r="A3299" s="269">
        <v>43634</v>
      </c>
      <c r="B3299" s="270">
        <v>2019</v>
      </c>
      <c r="C3299" s="270">
        <v>2019</v>
      </c>
      <c r="D3299" s="270">
        <v>1</v>
      </c>
      <c r="E3299" s="270">
        <v>1</v>
      </c>
      <c r="F3299" s="270" t="s">
        <v>944</v>
      </c>
      <c r="G3299" s="270" t="s">
        <v>3926</v>
      </c>
      <c r="H3299" s="270" t="s">
        <v>7769</v>
      </c>
      <c r="I3299" s="270" t="s">
        <v>4235</v>
      </c>
      <c r="J3299" s="270" t="s">
        <v>3928</v>
      </c>
      <c r="K3299" s="270">
        <v>6066</v>
      </c>
      <c r="L3299" s="270">
        <v>530500</v>
      </c>
      <c r="M3299" s="270" t="s">
        <v>3935</v>
      </c>
      <c r="N3299" s="270" t="s">
        <v>3944</v>
      </c>
      <c r="O3299" s="270">
        <v>2485.84</v>
      </c>
      <c r="P3299" s="270" t="s">
        <v>3944</v>
      </c>
      <c r="Q3299" s="270" t="s">
        <v>3944</v>
      </c>
      <c r="R3299" s="270">
        <v>2485.84</v>
      </c>
      <c r="S3299" s="270">
        <v>31806.76</v>
      </c>
      <c r="T3299" s="270">
        <v>34292.6</v>
      </c>
      <c r="U3299" s="271" t="s">
        <v>3945</v>
      </c>
      <c r="V3299" s="267" t="s">
        <v>944</v>
      </c>
    </row>
    <row r="3300" spans="1:22" hidden="1" x14ac:dyDescent="0.25">
      <c r="A3300" s="266">
        <v>43634</v>
      </c>
      <c r="B3300" s="267">
        <v>2019</v>
      </c>
      <c r="C3300" s="267">
        <v>2019</v>
      </c>
      <c r="D3300" s="267">
        <v>1</v>
      </c>
      <c r="E3300" s="267">
        <v>1</v>
      </c>
      <c r="F3300" s="267" t="s">
        <v>944</v>
      </c>
      <c r="G3300" s="267" t="s">
        <v>3926</v>
      </c>
      <c r="H3300" s="267" t="s">
        <v>7770</v>
      </c>
      <c r="I3300" s="267" t="s">
        <v>4695</v>
      </c>
      <c r="J3300" s="267" t="s">
        <v>3928</v>
      </c>
      <c r="K3300" s="267">
        <v>6234</v>
      </c>
      <c r="L3300" s="267">
        <v>905100</v>
      </c>
      <c r="M3300" s="267" t="s">
        <v>3935</v>
      </c>
      <c r="N3300" s="267" t="s">
        <v>3944</v>
      </c>
      <c r="O3300" s="267">
        <v>2023.77</v>
      </c>
      <c r="P3300" s="267" t="s">
        <v>3944</v>
      </c>
      <c r="Q3300" s="267" t="s">
        <v>3944</v>
      </c>
      <c r="R3300" s="267">
        <v>2023.77</v>
      </c>
      <c r="S3300" s="267">
        <v>30959.39</v>
      </c>
      <c r="T3300" s="267">
        <v>32983.160000000003</v>
      </c>
      <c r="U3300" s="268" t="s">
        <v>3945</v>
      </c>
      <c r="V3300" s="267" t="s">
        <v>944</v>
      </c>
    </row>
    <row r="3301" spans="1:22" hidden="1" x14ac:dyDescent="0.25">
      <c r="A3301" s="269">
        <v>43634</v>
      </c>
      <c r="B3301" s="270">
        <v>2019</v>
      </c>
      <c r="C3301" s="270">
        <v>2019</v>
      </c>
      <c r="D3301" s="270">
        <v>1</v>
      </c>
      <c r="E3301" s="270">
        <v>1</v>
      </c>
      <c r="F3301" s="270" t="s">
        <v>944</v>
      </c>
      <c r="G3301" s="270" t="s">
        <v>3926</v>
      </c>
      <c r="H3301" s="270" t="s">
        <v>7771</v>
      </c>
      <c r="I3301" s="270" t="s">
        <v>3975</v>
      </c>
      <c r="J3301" s="270" t="s">
        <v>3928</v>
      </c>
      <c r="K3301" s="270">
        <v>6489</v>
      </c>
      <c r="L3301" s="270">
        <v>430202</v>
      </c>
      <c r="M3301" s="270" t="s">
        <v>3943</v>
      </c>
      <c r="N3301" s="270" t="s">
        <v>3944</v>
      </c>
      <c r="O3301" s="270">
        <v>4345.99</v>
      </c>
      <c r="P3301" s="270" t="s">
        <v>3944</v>
      </c>
      <c r="Q3301" s="270" t="s">
        <v>3944</v>
      </c>
      <c r="R3301" s="270">
        <v>4345.99</v>
      </c>
      <c r="S3301" s="270">
        <v>60706.25</v>
      </c>
      <c r="T3301" s="270">
        <v>65052.24</v>
      </c>
      <c r="U3301" s="271" t="s">
        <v>3945</v>
      </c>
      <c r="V3301" s="267" t="s">
        <v>944</v>
      </c>
    </row>
    <row r="3302" spans="1:22" hidden="1" x14ac:dyDescent="0.25">
      <c r="A3302" s="266">
        <v>43634</v>
      </c>
      <c r="B3302" s="267">
        <v>2019</v>
      </c>
      <c r="C3302" s="267">
        <v>2019</v>
      </c>
      <c r="D3302" s="267">
        <v>1</v>
      </c>
      <c r="E3302" s="267">
        <v>1</v>
      </c>
      <c r="F3302" s="267" t="s">
        <v>944</v>
      </c>
      <c r="G3302" s="267" t="s">
        <v>3926</v>
      </c>
      <c r="H3302" s="267" t="s">
        <v>7772</v>
      </c>
      <c r="I3302" s="267" t="s">
        <v>5388</v>
      </c>
      <c r="J3302" s="267" t="s">
        <v>3928</v>
      </c>
      <c r="K3302" s="267">
        <v>6384</v>
      </c>
      <c r="L3302" s="267">
        <v>708100</v>
      </c>
      <c r="M3302" s="267" t="s">
        <v>3935</v>
      </c>
      <c r="N3302" s="267" t="s">
        <v>3944</v>
      </c>
      <c r="O3302" s="267">
        <v>2195.1</v>
      </c>
      <c r="P3302" s="267" t="s">
        <v>3944</v>
      </c>
      <c r="Q3302" s="267" t="s">
        <v>3944</v>
      </c>
      <c r="R3302" s="267">
        <v>2195.1</v>
      </c>
      <c r="S3302" s="267">
        <v>37522.1</v>
      </c>
      <c r="T3302" s="267">
        <v>39717.199999999997</v>
      </c>
      <c r="U3302" s="268" t="s">
        <v>3945</v>
      </c>
      <c r="V3302" s="267" t="s">
        <v>944</v>
      </c>
    </row>
    <row r="3303" spans="1:22" hidden="1" x14ac:dyDescent="0.25">
      <c r="A3303" s="269">
        <v>43634</v>
      </c>
      <c r="B3303" s="270">
        <v>2019</v>
      </c>
      <c r="C3303" s="270">
        <v>2019</v>
      </c>
      <c r="D3303" s="270">
        <v>1</v>
      </c>
      <c r="E3303" s="270">
        <v>1</v>
      </c>
      <c r="F3303" s="270" t="s">
        <v>944</v>
      </c>
      <c r="G3303" s="270" t="s">
        <v>3926</v>
      </c>
      <c r="H3303" s="270" t="s">
        <v>7773</v>
      </c>
      <c r="I3303" s="270" t="s">
        <v>4029</v>
      </c>
      <c r="J3303" s="270" t="s">
        <v>3928</v>
      </c>
      <c r="K3303" s="270">
        <v>6851</v>
      </c>
      <c r="L3303" s="270">
        <v>43600</v>
      </c>
      <c r="M3303" s="270" t="s">
        <v>3960</v>
      </c>
      <c r="N3303" s="270" t="s">
        <v>3944</v>
      </c>
      <c r="O3303" s="270">
        <v>1064.98</v>
      </c>
      <c r="P3303" s="270" t="s">
        <v>3944</v>
      </c>
      <c r="Q3303" s="270" t="s">
        <v>3944</v>
      </c>
      <c r="R3303" s="270">
        <v>1064.98</v>
      </c>
      <c r="S3303" s="270">
        <v>12546.74</v>
      </c>
      <c r="T3303" s="270">
        <v>13611.72</v>
      </c>
      <c r="U3303" s="271" t="s">
        <v>3945</v>
      </c>
      <c r="V3303" s="267" t="s">
        <v>944</v>
      </c>
    </row>
    <row r="3304" spans="1:22" hidden="1" x14ac:dyDescent="0.25">
      <c r="A3304" s="266">
        <v>43634</v>
      </c>
      <c r="B3304" s="267">
        <v>2019</v>
      </c>
      <c r="C3304" s="267">
        <v>2019</v>
      </c>
      <c r="D3304" s="267">
        <v>1</v>
      </c>
      <c r="E3304" s="267">
        <v>1</v>
      </c>
      <c r="F3304" s="267" t="s">
        <v>944</v>
      </c>
      <c r="G3304" s="267" t="s">
        <v>3926</v>
      </c>
      <c r="H3304" s="267" t="s">
        <v>7774</v>
      </c>
      <c r="I3304" s="267" t="s">
        <v>3008</v>
      </c>
      <c r="J3304" s="267" t="s">
        <v>3928</v>
      </c>
      <c r="K3304" s="267">
        <v>6460</v>
      </c>
      <c r="L3304" s="267">
        <v>151100</v>
      </c>
      <c r="M3304" s="267" t="s">
        <v>3960</v>
      </c>
      <c r="N3304" s="267" t="s">
        <v>3944</v>
      </c>
      <c r="O3304" s="267">
        <v>2417.63</v>
      </c>
      <c r="P3304" s="267" t="s">
        <v>3944</v>
      </c>
      <c r="Q3304" s="267" t="s">
        <v>3944</v>
      </c>
      <c r="R3304" s="267">
        <v>2417.63</v>
      </c>
      <c r="S3304" s="267">
        <v>40938.97</v>
      </c>
      <c r="T3304" s="267">
        <v>43356.6</v>
      </c>
      <c r="U3304" s="268" t="s">
        <v>3945</v>
      </c>
      <c r="V3304" s="267" t="s">
        <v>944</v>
      </c>
    </row>
    <row r="3305" spans="1:22" hidden="1" x14ac:dyDescent="0.25">
      <c r="A3305" s="269">
        <v>43634</v>
      </c>
      <c r="B3305" s="270">
        <v>2019</v>
      </c>
      <c r="C3305" s="270">
        <v>2019</v>
      </c>
      <c r="D3305" s="270">
        <v>1</v>
      </c>
      <c r="E3305" s="270">
        <v>1</v>
      </c>
      <c r="F3305" s="270" t="s">
        <v>944</v>
      </c>
      <c r="G3305" s="270" t="s">
        <v>3926</v>
      </c>
      <c r="H3305" s="270" t="s">
        <v>7775</v>
      </c>
      <c r="I3305" s="270" t="s">
        <v>3966</v>
      </c>
      <c r="J3305" s="270" t="s">
        <v>3928</v>
      </c>
      <c r="K3305" s="270">
        <v>6010</v>
      </c>
      <c r="L3305" s="270">
        <v>405800</v>
      </c>
      <c r="M3305" s="270" t="s">
        <v>3935</v>
      </c>
      <c r="N3305" s="270" t="s">
        <v>3944</v>
      </c>
      <c r="O3305" s="270">
        <v>2153.59</v>
      </c>
      <c r="P3305" s="270" t="s">
        <v>3944</v>
      </c>
      <c r="Q3305" s="270" t="s">
        <v>3944</v>
      </c>
      <c r="R3305" s="270">
        <v>2153.59</v>
      </c>
      <c r="S3305" s="270">
        <v>30078.44</v>
      </c>
      <c r="T3305" s="270">
        <v>32232.03</v>
      </c>
      <c r="U3305" s="271" t="s">
        <v>3945</v>
      </c>
      <c r="V3305" s="267" t="s">
        <v>944</v>
      </c>
    </row>
    <row r="3306" spans="1:22" hidden="1" x14ac:dyDescent="0.25">
      <c r="A3306" s="266">
        <v>43634</v>
      </c>
      <c r="B3306" s="267">
        <v>2019</v>
      </c>
      <c r="C3306" s="267">
        <v>2019</v>
      </c>
      <c r="D3306" s="267">
        <v>1</v>
      </c>
      <c r="E3306" s="267">
        <v>1</v>
      </c>
      <c r="F3306" s="267" t="s">
        <v>944</v>
      </c>
      <c r="G3306" s="267" t="s">
        <v>3926</v>
      </c>
      <c r="H3306" s="267" t="s">
        <v>7776</v>
      </c>
      <c r="I3306" s="267" t="s">
        <v>4392</v>
      </c>
      <c r="J3306" s="267" t="s">
        <v>3928</v>
      </c>
      <c r="K3306" s="267">
        <v>6457</v>
      </c>
      <c r="L3306" s="267">
        <v>541402</v>
      </c>
      <c r="M3306" s="267" t="s">
        <v>3935</v>
      </c>
      <c r="N3306" s="267" t="s">
        <v>3944</v>
      </c>
      <c r="O3306" s="267">
        <v>1944.53</v>
      </c>
      <c r="P3306" s="267" t="s">
        <v>3944</v>
      </c>
      <c r="Q3306" s="267" t="s">
        <v>3944</v>
      </c>
      <c r="R3306" s="267">
        <v>1944.53</v>
      </c>
      <c r="S3306" s="267">
        <v>27863.47</v>
      </c>
      <c r="T3306" s="267">
        <v>29808</v>
      </c>
      <c r="U3306" s="268" t="s">
        <v>3945</v>
      </c>
      <c r="V3306" s="267" t="s">
        <v>944</v>
      </c>
    </row>
    <row r="3307" spans="1:22" hidden="1" x14ac:dyDescent="0.25">
      <c r="A3307" s="269">
        <v>43634</v>
      </c>
      <c r="B3307" s="270">
        <v>2019</v>
      </c>
      <c r="C3307" s="270">
        <v>2019</v>
      </c>
      <c r="D3307" s="270">
        <v>1</v>
      </c>
      <c r="E3307" s="270">
        <v>1</v>
      </c>
      <c r="F3307" s="270" t="s">
        <v>944</v>
      </c>
      <c r="G3307" s="270" t="s">
        <v>3926</v>
      </c>
      <c r="H3307" s="270" t="s">
        <v>7777</v>
      </c>
      <c r="I3307" s="270" t="s">
        <v>3996</v>
      </c>
      <c r="J3307" s="270" t="s">
        <v>3928</v>
      </c>
      <c r="K3307" s="270">
        <v>6790</v>
      </c>
      <c r="L3307" s="270">
        <v>310100</v>
      </c>
      <c r="M3307" s="270" t="s">
        <v>3940</v>
      </c>
      <c r="N3307" s="270" t="s">
        <v>3944</v>
      </c>
      <c r="O3307" s="270">
        <v>1929.62</v>
      </c>
      <c r="P3307" s="270" t="s">
        <v>3944</v>
      </c>
      <c r="Q3307" s="270" t="s">
        <v>3944</v>
      </c>
      <c r="R3307" s="270">
        <v>1929.62</v>
      </c>
      <c r="S3307" s="270">
        <v>25219.98</v>
      </c>
      <c r="T3307" s="270">
        <v>27149.599999999999</v>
      </c>
      <c r="U3307" s="271" t="s">
        <v>3945</v>
      </c>
      <c r="V3307" s="267" t="s">
        <v>944</v>
      </c>
    </row>
    <row r="3308" spans="1:22" hidden="1" x14ac:dyDescent="0.25">
      <c r="A3308" s="266">
        <v>43634</v>
      </c>
      <c r="B3308" s="267">
        <v>2019</v>
      </c>
      <c r="C3308" s="267">
        <v>2019</v>
      </c>
      <c r="D3308" s="267">
        <v>1</v>
      </c>
      <c r="E3308" s="267">
        <v>1</v>
      </c>
      <c r="F3308" s="267" t="s">
        <v>944</v>
      </c>
      <c r="G3308" s="267" t="s">
        <v>3926</v>
      </c>
      <c r="H3308" s="267" t="s">
        <v>7778</v>
      </c>
      <c r="I3308" s="267" t="s">
        <v>3975</v>
      </c>
      <c r="J3308" s="267" t="s">
        <v>3928</v>
      </c>
      <c r="K3308" s="267">
        <v>6489</v>
      </c>
      <c r="L3308" s="267">
        <v>430500</v>
      </c>
      <c r="M3308" s="267" t="s">
        <v>3943</v>
      </c>
      <c r="N3308" s="267" t="s">
        <v>3944</v>
      </c>
      <c r="O3308" s="267">
        <v>1989.75</v>
      </c>
      <c r="P3308" s="267" t="s">
        <v>3944</v>
      </c>
      <c r="Q3308" s="267" t="s">
        <v>3944</v>
      </c>
      <c r="R3308" s="267">
        <v>1989.75</v>
      </c>
      <c r="S3308" s="267">
        <v>30314.2</v>
      </c>
      <c r="T3308" s="267">
        <v>32303.95</v>
      </c>
      <c r="U3308" s="268" t="s">
        <v>3945</v>
      </c>
      <c r="V3308" s="267" t="s">
        <v>944</v>
      </c>
    </row>
    <row r="3309" spans="1:22" hidden="1" x14ac:dyDescent="0.25">
      <c r="A3309" s="269">
        <v>43634</v>
      </c>
      <c r="B3309" s="270">
        <v>2019</v>
      </c>
      <c r="C3309" s="270">
        <v>2019</v>
      </c>
      <c r="D3309" s="270">
        <v>1</v>
      </c>
      <c r="E3309" s="270">
        <v>1</v>
      </c>
      <c r="F3309" s="270" t="s">
        <v>944</v>
      </c>
      <c r="G3309" s="270" t="s">
        <v>3926</v>
      </c>
      <c r="H3309" s="270" t="s">
        <v>7779</v>
      </c>
      <c r="I3309" s="270" t="s">
        <v>3956</v>
      </c>
      <c r="J3309" s="270" t="s">
        <v>3928</v>
      </c>
      <c r="K3309" s="270">
        <v>6120</v>
      </c>
      <c r="L3309" s="270">
        <v>524400</v>
      </c>
      <c r="M3309" s="270">
        <v>-60</v>
      </c>
      <c r="N3309" s="270" t="s">
        <v>3944</v>
      </c>
      <c r="O3309" s="270">
        <v>1121.19</v>
      </c>
      <c r="P3309" s="270" t="s">
        <v>3944</v>
      </c>
      <c r="Q3309" s="270" t="s">
        <v>3944</v>
      </c>
      <c r="R3309" s="270">
        <v>1121.19</v>
      </c>
      <c r="S3309" s="270">
        <v>13435.23</v>
      </c>
      <c r="T3309" s="270">
        <v>14556.42</v>
      </c>
      <c r="U3309" s="271" t="s">
        <v>3945</v>
      </c>
      <c r="V3309" s="267" t="s">
        <v>944</v>
      </c>
    </row>
    <row r="3310" spans="1:22" hidden="1" x14ac:dyDescent="0.25">
      <c r="A3310" s="266">
        <v>43634</v>
      </c>
      <c r="B3310" s="267">
        <v>2019</v>
      </c>
      <c r="C3310" s="267">
        <v>2019</v>
      </c>
      <c r="D3310" s="267">
        <v>1</v>
      </c>
      <c r="E3310" s="267">
        <v>1</v>
      </c>
      <c r="F3310" s="267" t="s">
        <v>944</v>
      </c>
      <c r="G3310" s="267" t="s">
        <v>3926</v>
      </c>
      <c r="H3310" s="267" t="s">
        <v>7780</v>
      </c>
      <c r="I3310" s="267" t="s">
        <v>3008</v>
      </c>
      <c r="J3310" s="267" t="s">
        <v>3928</v>
      </c>
      <c r="K3310" s="267">
        <v>6460</v>
      </c>
      <c r="L3310" s="267">
        <v>150400</v>
      </c>
      <c r="M3310" s="267" t="s">
        <v>3940</v>
      </c>
      <c r="N3310" s="267" t="s">
        <v>3944</v>
      </c>
      <c r="O3310" s="267">
        <v>1109.57</v>
      </c>
      <c r="P3310" s="267" t="s">
        <v>3944</v>
      </c>
      <c r="Q3310" s="267" t="s">
        <v>3944</v>
      </c>
      <c r="R3310" s="267">
        <v>1109.57</v>
      </c>
      <c r="S3310" s="267">
        <v>18811.57</v>
      </c>
      <c r="T3310" s="267">
        <v>19921.14</v>
      </c>
      <c r="U3310" s="268" t="s">
        <v>3945</v>
      </c>
      <c r="V3310" s="267" t="s">
        <v>944</v>
      </c>
    </row>
    <row r="3311" spans="1:22" hidden="1" x14ac:dyDescent="0.25">
      <c r="A3311" s="269">
        <v>43634</v>
      </c>
      <c r="B3311" s="270">
        <v>2019</v>
      </c>
      <c r="C3311" s="270">
        <v>2019</v>
      </c>
      <c r="D3311" s="270">
        <v>1</v>
      </c>
      <c r="E3311" s="270">
        <v>1</v>
      </c>
      <c r="F3311" s="270" t="s">
        <v>944</v>
      </c>
      <c r="G3311" s="270" t="s">
        <v>3926</v>
      </c>
      <c r="H3311" s="270" t="s">
        <v>7781</v>
      </c>
      <c r="I3311" s="270" t="s">
        <v>4269</v>
      </c>
      <c r="J3311" s="270" t="s">
        <v>3928</v>
      </c>
      <c r="K3311" s="270">
        <v>6110</v>
      </c>
      <c r="L3311" s="270">
        <v>496200</v>
      </c>
      <c r="M3311" s="270" t="s">
        <v>3935</v>
      </c>
      <c r="N3311" s="270" t="s">
        <v>3944</v>
      </c>
      <c r="O3311" s="270">
        <v>976.22</v>
      </c>
      <c r="P3311" s="270" t="s">
        <v>3944</v>
      </c>
      <c r="Q3311" s="270" t="s">
        <v>3944</v>
      </c>
      <c r="R3311" s="270">
        <v>976.22</v>
      </c>
      <c r="S3311" s="270">
        <v>14058.18</v>
      </c>
      <c r="T3311" s="270">
        <v>15034.4</v>
      </c>
      <c r="U3311" s="271" t="s">
        <v>3945</v>
      </c>
      <c r="V3311" s="267" t="s">
        <v>944</v>
      </c>
    </row>
    <row r="3312" spans="1:22" hidden="1" x14ac:dyDescent="0.25">
      <c r="A3312" s="266">
        <v>43634</v>
      </c>
      <c r="B3312" s="267">
        <v>2019</v>
      </c>
      <c r="C3312" s="267">
        <v>2019</v>
      </c>
      <c r="D3312" s="267">
        <v>1</v>
      </c>
      <c r="E3312" s="267">
        <v>1</v>
      </c>
      <c r="F3312" s="267" t="s">
        <v>944</v>
      </c>
      <c r="G3312" s="267" t="s">
        <v>3926</v>
      </c>
      <c r="H3312" s="267" t="s">
        <v>7782</v>
      </c>
      <c r="I3312" s="267" t="s">
        <v>3964</v>
      </c>
      <c r="J3312" s="267" t="s">
        <v>3928</v>
      </c>
      <c r="K3312" s="267">
        <v>6033</v>
      </c>
      <c r="L3312" s="267">
        <v>520400</v>
      </c>
      <c r="M3312" s="267" t="s">
        <v>3943</v>
      </c>
      <c r="N3312" s="267" t="s">
        <v>3944</v>
      </c>
      <c r="O3312" s="267">
        <v>1617.7</v>
      </c>
      <c r="P3312" s="267" t="s">
        <v>3944</v>
      </c>
      <c r="Q3312" s="267" t="s">
        <v>3944</v>
      </c>
      <c r="R3312" s="267">
        <v>1617.7</v>
      </c>
      <c r="S3312" s="267">
        <v>26189.91</v>
      </c>
      <c r="T3312" s="267">
        <v>27807.61</v>
      </c>
      <c r="U3312" s="268" t="s">
        <v>3945</v>
      </c>
      <c r="V3312" s="267" t="s">
        <v>944</v>
      </c>
    </row>
    <row r="3313" spans="1:22" hidden="1" x14ac:dyDescent="0.25">
      <c r="A3313" s="269">
        <v>43634</v>
      </c>
      <c r="B3313" s="270">
        <v>2019</v>
      </c>
      <c r="C3313" s="270">
        <v>2019</v>
      </c>
      <c r="D3313" s="270">
        <v>1</v>
      </c>
      <c r="E3313" s="270">
        <v>1</v>
      </c>
      <c r="F3313" s="270" t="s">
        <v>944</v>
      </c>
      <c r="G3313" s="270" t="s">
        <v>3926</v>
      </c>
      <c r="H3313" s="270" t="s">
        <v>7783</v>
      </c>
      <c r="I3313" s="270" t="s">
        <v>4079</v>
      </c>
      <c r="J3313" s="270" t="s">
        <v>3928</v>
      </c>
      <c r="K3313" s="270">
        <v>6111</v>
      </c>
      <c r="L3313" s="270">
        <v>494600</v>
      </c>
      <c r="M3313" s="270" t="s">
        <v>3935</v>
      </c>
      <c r="N3313" s="270" t="s">
        <v>3944</v>
      </c>
      <c r="O3313" s="270">
        <v>1213.7</v>
      </c>
      <c r="P3313" s="270" t="s">
        <v>3944</v>
      </c>
      <c r="Q3313" s="270" t="s">
        <v>3944</v>
      </c>
      <c r="R3313" s="270">
        <v>1213.7</v>
      </c>
      <c r="S3313" s="270">
        <v>17468.34</v>
      </c>
      <c r="T3313" s="270">
        <v>18682.04</v>
      </c>
      <c r="U3313" s="271" t="s">
        <v>3945</v>
      </c>
      <c r="V3313" s="267" t="s">
        <v>944</v>
      </c>
    </row>
    <row r="3314" spans="1:22" hidden="1" x14ac:dyDescent="0.25">
      <c r="A3314" s="266">
        <v>43634</v>
      </c>
      <c r="B3314" s="267">
        <v>2019</v>
      </c>
      <c r="C3314" s="267">
        <v>2019</v>
      </c>
      <c r="D3314" s="267">
        <v>1</v>
      </c>
      <c r="E3314" s="267">
        <v>1</v>
      </c>
      <c r="F3314" s="267" t="s">
        <v>944</v>
      </c>
      <c r="G3314" s="267" t="s">
        <v>3926</v>
      </c>
      <c r="H3314" s="267" t="s">
        <v>7784</v>
      </c>
      <c r="I3314" s="267" t="s">
        <v>4548</v>
      </c>
      <c r="J3314" s="267" t="s">
        <v>3928</v>
      </c>
      <c r="K3314" s="267">
        <v>6037</v>
      </c>
      <c r="L3314" s="267">
        <v>400200</v>
      </c>
      <c r="M3314" s="267" t="s">
        <v>3943</v>
      </c>
      <c r="N3314" s="267" t="s">
        <v>3944</v>
      </c>
      <c r="O3314" s="267">
        <v>2802.94</v>
      </c>
      <c r="P3314" s="267" t="s">
        <v>3944</v>
      </c>
      <c r="Q3314" s="267" t="s">
        <v>3944</v>
      </c>
      <c r="R3314" s="267">
        <v>2802.94</v>
      </c>
      <c r="S3314" s="267">
        <v>40009.339999999997</v>
      </c>
      <c r="T3314" s="267">
        <v>42812.28</v>
      </c>
      <c r="U3314" s="268" t="s">
        <v>3945</v>
      </c>
      <c r="V3314" s="267" t="s">
        <v>944</v>
      </c>
    </row>
    <row r="3315" spans="1:22" hidden="1" x14ac:dyDescent="0.25">
      <c r="A3315" s="269">
        <v>43634</v>
      </c>
      <c r="B3315" s="270">
        <v>2019</v>
      </c>
      <c r="C3315" s="270">
        <v>2019</v>
      </c>
      <c r="D3315" s="270">
        <v>1</v>
      </c>
      <c r="E3315" s="270">
        <v>1</v>
      </c>
      <c r="F3315" s="270" t="s">
        <v>944</v>
      </c>
      <c r="G3315" s="270" t="s">
        <v>3926</v>
      </c>
      <c r="H3315" s="270" t="s">
        <v>7785</v>
      </c>
      <c r="I3315" s="270" t="s">
        <v>4019</v>
      </c>
      <c r="J3315" s="270" t="s">
        <v>3928</v>
      </c>
      <c r="K3315" s="270">
        <v>6704</v>
      </c>
      <c r="L3315" s="270">
        <v>351000</v>
      </c>
      <c r="M3315" s="270" t="s">
        <v>3940</v>
      </c>
      <c r="N3315" s="270" t="s">
        <v>3944</v>
      </c>
      <c r="O3315" s="270">
        <v>2219.35</v>
      </c>
      <c r="P3315" s="270" t="s">
        <v>3944</v>
      </c>
      <c r="Q3315" s="270" t="s">
        <v>3944</v>
      </c>
      <c r="R3315" s="270">
        <v>2219.35</v>
      </c>
      <c r="S3315" s="270">
        <v>33425.96</v>
      </c>
      <c r="T3315" s="270">
        <v>35645.31</v>
      </c>
      <c r="U3315" s="271" t="s">
        <v>3945</v>
      </c>
      <c r="V3315" s="267" t="s">
        <v>944</v>
      </c>
    </row>
    <row r="3316" spans="1:22" hidden="1" x14ac:dyDescent="0.25">
      <c r="A3316" s="266">
        <v>43634</v>
      </c>
      <c r="B3316" s="267">
        <v>2019</v>
      </c>
      <c r="C3316" s="267">
        <v>2019</v>
      </c>
      <c r="D3316" s="267">
        <v>1</v>
      </c>
      <c r="E3316" s="267">
        <v>1</v>
      </c>
      <c r="F3316" s="267" t="s">
        <v>944</v>
      </c>
      <c r="G3316" s="267" t="s">
        <v>3926</v>
      </c>
      <c r="H3316" s="267" t="s">
        <v>7786</v>
      </c>
      <c r="I3316" s="267" t="s">
        <v>7536</v>
      </c>
      <c r="J3316" s="267" t="s">
        <v>3928</v>
      </c>
      <c r="K3316" s="267">
        <v>6330</v>
      </c>
      <c r="L3316" s="267">
        <v>825000</v>
      </c>
      <c r="M3316" s="267" t="s">
        <v>3935</v>
      </c>
      <c r="N3316" s="267" t="s">
        <v>3944</v>
      </c>
      <c r="O3316" s="267">
        <v>1599.85</v>
      </c>
      <c r="P3316" s="267" t="s">
        <v>3944</v>
      </c>
      <c r="Q3316" s="267" t="s">
        <v>3944</v>
      </c>
      <c r="R3316" s="267">
        <v>1599.85</v>
      </c>
      <c r="S3316" s="267">
        <v>23509.03</v>
      </c>
      <c r="T3316" s="267">
        <v>25108.880000000001</v>
      </c>
      <c r="U3316" s="268" t="s">
        <v>3945</v>
      </c>
      <c r="V3316" s="267" t="s">
        <v>944</v>
      </c>
    </row>
    <row r="3317" spans="1:22" hidden="1" x14ac:dyDescent="0.25">
      <c r="A3317" s="269">
        <v>43634</v>
      </c>
      <c r="B3317" s="270">
        <v>2019</v>
      </c>
      <c r="C3317" s="270">
        <v>2019</v>
      </c>
      <c r="D3317" s="270">
        <v>1</v>
      </c>
      <c r="E3317" s="270">
        <v>1</v>
      </c>
      <c r="F3317" s="270" t="s">
        <v>944</v>
      </c>
      <c r="G3317" s="270" t="s">
        <v>3926</v>
      </c>
      <c r="H3317" s="270" t="s">
        <v>7787</v>
      </c>
      <c r="I3317" s="270" t="s">
        <v>956</v>
      </c>
      <c r="J3317" s="270" t="s">
        <v>3928</v>
      </c>
      <c r="K3317" s="270">
        <v>6615</v>
      </c>
      <c r="L3317" s="270">
        <v>80200</v>
      </c>
      <c r="M3317" s="270" t="s">
        <v>3935</v>
      </c>
      <c r="N3317" s="270" t="s">
        <v>3944</v>
      </c>
      <c r="O3317" s="270">
        <v>2150.89</v>
      </c>
      <c r="P3317" s="270" t="s">
        <v>3944</v>
      </c>
      <c r="Q3317" s="270" t="s">
        <v>3944</v>
      </c>
      <c r="R3317" s="270">
        <v>2150.89</v>
      </c>
      <c r="S3317" s="270">
        <v>34210.050000000003</v>
      </c>
      <c r="T3317" s="270">
        <v>36360.94</v>
      </c>
      <c r="U3317" s="271" t="s">
        <v>3945</v>
      </c>
      <c r="V3317" s="267" t="s">
        <v>944</v>
      </c>
    </row>
    <row r="3318" spans="1:22" hidden="1" x14ac:dyDescent="0.25">
      <c r="A3318" s="266">
        <v>43634</v>
      </c>
      <c r="B3318" s="267">
        <v>2019</v>
      </c>
      <c r="C3318" s="267">
        <v>2019</v>
      </c>
      <c r="D3318" s="267">
        <v>1</v>
      </c>
      <c r="E3318" s="267">
        <v>1</v>
      </c>
      <c r="F3318" s="267" t="s">
        <v>944</v>
      </c>
      <c r="G3318" s="267" t="s">
        <v>3926</v>
      </c>
      <c r="H3318" s="267" t="s">
        <v>7788</v>
      </c>
      <c r="I3318" s="267" t="s">
        <v>4392</v>
      </c>
      <c r="J3318" s="267" t="s">
        <v>3928</v>
      </c>
      <c r="K3318" s="267">
        <v>6457</v>
      </c>
      <c r="L3318" s="267">
        <v>541700</v>
      </c>
      <c r="M3318" s="267">
        <v>-60</v>
      </c>
      <c r="N3318" s="267" t="s">
        <v>3944</v>
      </c>
      <c r="O3318" s="267">
        <v>1412.78</v>
      </c>
      <c r="P3318" s="267" t="s">
        <v>3944</v>
      </c>
      <c r="Q3318" s="267" t="s">
        <v>3944</v>
      </c>
      <c r="R3318" s="267">
        <v>1412.78</v>
      </c>
      <c r="S3318" s="267">
        <v>23368.22</v>
      </c>
      <c r="T3318" s="267">
        <v>24781</v>
      </c>
      <c r="U3318" s="268" t="s">
        <v>3945</v>
      </c>
      <c r="V3318" s="267" t="s">
        <v>944</v>
      </c>
    </row>
    <row r="3319" spans="1:22" hidden="1" x14ac:dyDescent="0.25">
      <c r="A3319" s="269">
        <v>43634</v>
      </c>
      <c r="B3319" s="270">
        <v>2019</v>
      </c>
      <c r="C3319" s="270">
        <v>2019</v>
      </c>
      <c r="D3319" s="270">
        <v>1</v>
      </c>
      <c r="E3319" s="270">
        <v>1</v>
      </c>
      <c r="F3319" s="270" t="s">
        <v>944</v>
      </c>
      <c r="G3319" s="270" t="s">
        <v>3926</v>
      </c>
      <c r="H3319" s="270" t="s">
        <v>7789</v>
      </c>
      <c r="I3319" s="270" t="s">
        <v>4147</v>
      </c>
      <c r="J3319" s="270" t="s">
        <v>3928</v>
      </c>
      <c r="K3319" s="270">
        <v>6109</v>
      </c>
      <c r="L3319" s="270">
        <v>492400</v>
      </c>
      <c r="M3319" s="270" t="s">
        <v>3935</v>
      </c>
      <c r="N3319" s="270" t="s">
        <v>3944</v>
      </c>
      <c r="O3319" s="270">
        <v>1228.4000000000001</v>
      </c>
      <c r="P3319" s="270" t="s">
        <v>3944</v>
      </c>
      <c r="Q3319" s="270" t="s">
        <v>3944</v>
      </c>
      <c r="R3319" s="270">
        <v>1228.4000000000001</v>
      </c>
      <c r="S3319" s="270">
        <v>16523.919999999998</v>
      </c>
      <c r="T3319" s="270">
        <v>17752.32</v>
      </c>
      <c r="U3319" s="271" t="s">
        <v>3945</v>
      </c>
      <c r="V3319" s="267" t="s">
        <v>944</v>
      </c>
    </row>
    <row r="3320" spans="1:22" hidden="1" x14ac:dyDescent="0.25">
      <c r="A3320" s="266">
        <v>43634</v>
      </c>
      <c r="B3320" s="267">
        <v>2019</v>
      </c>
      <c r="C3320" s="267">
        <v>2019</v>
      </c>
      <c r="D3320" s="267">
        <v>1</v>
      </c>
      <c r="E3320" s="267">
        <v>1</v>
      </c>
      <c r="F3320" s="267" t="s">
        <v>944</v>
      </c>
      <c r="G3320" s="267" t="s">
        <v>3926</v>
      </c>
      <c r="H3320" s="267" t="s">
        <v>7790</v>
      </c>
      <c r="I3320" s="267" t="s">
        <v>943</v>
      </c>
      <c r="J3320" s="267" t="s">
        <v>3928</v>
      </c>
      <c r="K3320" s="267">
        <v>6515</v>
      </c>
      <c r="L3320" s="267">
        <v>141100</v>
      </c>
      <c r="M3320" s="267" t="s">
        <v>3960</v>
      </c>
      <c r="N3320" s="267" t="s">
        <v>3944</v>
      </c>
      <c r="O3320" s="267">
        <v>2661.72</v>
      </c>
      <c r="P3320" s="267" t="s">
        <v>3944</v>
      </c>
      <c r="Q3320" s="267" t="s">
        <v>3944</v>
      </c>
      <c r="R3320" s="267">
        <v>2661.72</v>
      </c>
      <c r="S3320" s="267">
        <v>43515.47</v>
      </c>
      <c r="T3320" s="267">
        <v>46177.19</v>
      </c>
      <c r="U3320" s="268" t="s">
        <v>3945</v>
      </c>
      <c r="V3320" s="267" t="s">
        <v>944</v>
      </c>
    </row>
    <row r="3321" spans="1:22" hidden="1" x14ac:dyDescent="0.25">
      <c r="A3321" s="269">
        <v>43635</v>
      </c>
      <c r="B3321" s="270">
        <v>2019</v>
      </c>
      <c r="C3321" s="270">
        <v>2019</v>
      </c>
      <c r="D3321" s="270">
        <v>1</v>
      </c>
      <c r="E3321" s="270">
        <v>1</v>
      </c>
      <c r="F3321" s="270" t="s">
        <v>944</v>
      </c>
      <c r="G3321" s="270" t="s">
        <v>3926</v>
      </c>
      <c r="H3321" s="270" t="s">
        <v>7791</v>
      </c>
      <c r="I3321" s="270" t="s">
        <v>3999</v>
      </c>
      <c r="J3321" s="270" t="s">
        <v>3928</v>
      </c>
      <c r="K3321" s="270">
        <v>6450</v>
      </c>
      <c r="L3321" s="270">
        <v>171000</v>
      </c>
      <c r="M3321" s="270">
        <v>-60</v>
      </c>
      <c r="N3321" s="270" t="s">
        <v>7792</v>
      </c>
      <c r="O3321" s="270">
        <v>0</v>
      </c>
      <c r="P3321" s="270" t="s">
        <v>3930</v>
      </c>
      <c r="Q3321" s="270" t="s">
        <v>3930</v>
      </c>
      <c r="R3321" s="270">
        <v>0</v>
      </c>
      <c r="S3321" s="270">
        <v>8609.0300000000007</v>
      </c>
      <c r="T3321" s="270">
        <v>8609.0300000000007</v>
      </c>
      <c r="U3321" s="271" t="s">
        <v>3937</v>
      </c>
      <c r="V3321" s="267" t="s">
        <v>944</v>
      </c>
    </row>
    <row r="3322" spans="1:22" hidden="1" x14ac:dyDescent="0.25">
      <c r="A3322" s="266">
        <v>43635</v>
      </c>
      <c r="B3322" s="267">
        <v>2019</v>
      </c>
      <c r="C3322" s="267">
        <v>2019</v>
      </c>
      <c r="D3322" s="267">
        <v>1</v>
      </c>
      <c r="E3322" s="267">
        <v>1</v>
      </c>
      <c r="F3322" s="267" t="s">
        <v>944</v>
      </c>
      <c r="G3322" s="267" t="s">
        <v>3926</v>
      </c>
      <c r="H3322" s="267" t="s">
        <v>7793</v>
      </c>
      <c r="I3322" s="267" t="s">
        <v>4839</v>
      </c>
      <c r="J3322" s="267" t="s">
        <v>3928</v>
      </c>
      <c r="K3322" s="267">
        <v>6524</v>
      </c>
      <c r="L3322" s="267">
        <v>161100</v>
      </c>
      <c r="M3322" s="267" t="s">
        <v>3943</v>
      </c>
      <c r="N3322" s="267" t="s">
        <v>7794</v>
      </c>
      <c r="O3322" s="267">
        <v>0</v>
      </c>
      <c r="P3322" s="267" t="s">
        <v>3930</v>
      </c>
      <c r="Q3322" s="267" t="s">
        <v>3930</v>
      </c>
      <c r="R3322" s="267">
        <v>0</v>
      </c>
      <c r="S3322" s="267">
        <v>49731</v>
      </c>
      <c r="T3322" s="267">
        <v>49731</v>
      </c>
      <c r="U3322" s="268" t="s">
        <v>3937</v>
      </c>
      <c r="V3322" s="267" t="s">
        <v>944</v>
      </c>
    </row>
    <row r="3323" spans="1:22" hidden="1" x14ac:dyDescent="0.25">
      <c r="A3323" s="269">
        <v>43635</v>
      </c>
      <c r="B3323" s="270">
        <v>2019</v>
      </c>
      <c r="C3323" s="270">
        <v>2019</v>
      </c>
      <c r="D3323" s="270">
        <v>1</v>
      </c>
      <c r="E3323" s="270">
        <v>1</v>
      </c>
      <c r="F3323" s="270" t="s">
        <v>944</v>
      </c>
      <c r="G3323" s="270" t="s">
        <v>3926</v>
      </c>
      <c r="H3323" s="270" t="s">
        <v>7795</v>
      </c>
      <c r="I3323" s="270" t="s">
        <v>4248</v>
      </c>
      <c r="J3323" s="270" t="s">
        <v>3928</v>
      </c>
      <c r="K3323" s="270">
        <v>6076</v>
      </c>
      <c r="L3323" s="270">
        <v>890201</v>
      </c>
      <c r="M3323" s="270" t="s">
        <v>3960</v>
      </c>
      <c r="N3323" s="270" t="s">
        <v>7796</v>
      </c>
      <c r="O3323" s="270">
        <v>0</v>
      </c>
      <c r="P3323" s="270" t="s">
        <v>3930</v>
      </c>
      <c r="Q3323" s="270" t="s">
        <v>3930</v>
      </c>
      <c r="R3323" s="270">
        <v>0</v>
      </c>
      <c r="S3323" s="270">
        <v>7295</v>
      </c>
      <c r="T3323" s="270">
        <v>7295</v>
      </c>
      <c r="U3323" s="271" t="s">
        <v>3937</v>
      </c>
      <c r="V3323" s="267" t="s">
        <v>944</v>
      </c>
    </row>
    <row r="3324" spans="1:22" hidden="1" x14ac:dyDescent="0.25">
      <c r="A3324" s="266">
        <v>43635</v>
      </c>
      <c r="B3324" s="267">
        <v>2019</v>
      </c>
      <c r="C3324" s="267">
        <v>2019</v>
      </c>
      <c r="D3324" s="267">
        <v>1</v>
      </c>
      <c r="E3324" s="267">
        <v>1</v>
      </c>
      <c r="F3324" s="267" t="s">
        <v>944</v>
      </c>
      <c r="G3324" s="267" t="s">
        <v>3926</v>
      </c>
      <c r="H3324" s="267" t="s">
        <v>7797</v>
      </c>
      <c r="I3324" s="267" t="s">
        <v>4129</v>
      </c>
      <c r="J3324" s="267" t="s">
        <v>3928</v>
      </c>
      <c r="K3324" s="267">
        <v>6259</v>
      </c>
      <c r="L3324" s="267">
        <v>902200</v>
      </c>
      <c r="M3324" s="267" t="s">
        <v>3960</v>
      </c>
      <c r="N3324" s="267" t="s">
        <v>4103</v>
      </c>
      <c r="O3324" s="267">
        <v>1884.82</v>
      </c>
      <c r="P3324" s="267" t="s">
        <v>3930</v>
      </c>
      <c r="Q3324" s="267" t="s">
        <v>3931</v>
      </c>
      <c r="R3324" s="267">
        <v>6884.82</v>
      </c>
      <c r="S3324" s="267">
        <v>24145.599999999999</v>
      </c>
      <c r="T3324" s="267">
        <v>31030.42</v>
      </c>
      <c r="U3324" s="268" t="s">
        <v>3932</v>
      </c>
      <c r="V3324" s="267" t="s">
        <v>944</v>
      </c>
    </row>
    <row r="3325" spans="1:22" hidden="1" x14ac:dyDescent="0.25">
      <c r="A3325" s="269">
        <v>43635</v>
      </c>
      <c r="B3325" s="270">
        <v>2019</v>
      </c>
      <c r="C3325" s="270">
        <v>2019</v>
      </c>
      <c r="D3325" s="270">
        <v>1</v>
      </c>
      <c r="E3325" s="270">
        <v>1</v>
      </c>
      <c r="F3325" s="270" t="s">
        <v>944</v>
      </c>
      <c r="G3325" s="270" t="s">
        <v>3926</v>
      </c>
      <c r="H3325" s="270" t="s">
        <v>7798</v>
      </c>
      <c r="I3325" s="270" t="s">
        <v>4269</v>
      </c>
      <c r="J3325" s="270" t="s">
        <v>3928</v>
      </c>
      <c r="K3325" s="270">
        <v>6110</v>
      </c>
      <c r="L3325" s="270">
        <v>496200</v>
      </c>
      <c r="M3325" s="270" t="s">
        <v>3935</v>
      </c>
      <c r="N3325" s="270" t="s">
        <v>4103</v>
      </c>
      <c r="O3325" s="270">
        <v>4133.6099999999997</v>
      </c>
      <c r="P3325" s="270" t="s">
        <v>3930</v>
      </c>
      <c r="Q3325" s="270" t="s">
        <v>3931</v>
      </c>
      <c r="R3325" s="270">
        <v>9133.61</v>
      </c>
      <c r="S3325" s="270">
        <v>24145.599999999999</v>
      </c>
      <c r="T3325" s="270">
        <v>33279.21</v>
      </c>
      <c r="U3325" s="271" t="s">
        <v>3932</v>
      </c>
      <c r="V3325" s="267" t="s">
        <v>944</v>
      </c>
    </row>
    <row r="3326" spans="1:22" hidden="1" x14ac:dyDescent="0.25">
      <c r="A3326" s="266">
        <v>43635</v>
      </c>
      <c r="B3326" s="267">
        <v>2019</v>
      </c>
      <c r="C3326" s="267">
        <v>2019</v>
      </c>
      <c r="D3326" s="267">
        <v>1</v>
      </c>
      <c r="E3326" s="267">
        <v>1</v>
      </c>
      <c r="F3326" s="267" t="s">
        <v>944</v>
      </c>
      <c r="G3326" s="267" t="s">
        <v>3926</v>
      </c>
      <c r="H3326" s="267" t="s">
        <v>7799</v>
      </c>
      <c r="I3326" s="267" t="s">
        <v>4029</v>
      </c>
      <c r="J3326" s="267" t="s">
        <v>3928</v>
      </c>
      <c r="K3326" s="267">
        <v>6851</v>
      </c>
      <c r="L3326" s="267">
        <v>42800</v>
      </c>
      <c r="M3326" s="267" t="s">
        <v>3960</v>
      </c>
      <c r="N3326" s="267" t="s">
        <v>7049</v>
      </c>
      <c r="O3326" s="267">
        <v>2856.42</v>
      </c>
      <c r="P3326" s="267" t="s">
        <v>3930</v>
      </c>
      <c r="Q3326" s="267" t="s">
        <v>3931</v>
      </c>
      <c r="R3326" s="267">
        <v>7856.42</v>
      </c>
      <c r="S3326" s="267">
        <v>14456</v>
      </c>
      <c r="T3326" s="267">
        <v>22312.42</v>
      </c>
      <c r="U3326" s="268" t="s">
        <v>3932</v>
      </c>
      <c r="V3326" s="267" t="s">
        <v>944</v>
      </c>
    </row>
    <row r="3327" spans="1:22" hidden="1" x14ac:dyDescent="0.25">
      <c r="A3327" s="269">
        <v>43635</v>
      </c>
      <c r="B3327" s="270">
        <v>2019</v>
      </c>
      <c r="C3327" s="270">
        <v>2019</v>
      </c>
      <c r="D3327" s="270">
        <v>1</v>
      </c>
      <c r="E3327" s="270">
        <v>1</v>
      </c>
      <c r="F3327" s="270" t="s">
        <v>944</v>
      </c>
      <c r="G3327" s="270" t="s">
        <v>3926</v>
      </c>
      <c r="H3327" s="270" t="s">
        <v>7800</v>
      </c>
      <c r="I3327" s="270" t="s">
        <v>4040</v>
      </c>
      <c r="J3327" s="270" t="s">
        <v>3928</v>
      </c>
      <c r="K3327" s="270">
        <v>6339</v>
      </c>
      <c r="L3327" s="270">
        <v>701100</v>
      </c>
      <c r="M3327" s="270" t="s">
        <v>3960</v>
      </c>
      <c r="N3327" s="270" t="s">
        <v>4582</v>
      </c>
      <c r="O3327" s="270">
        <v>6089.96</v>
      </c>
      <c r="P3327" s="270" t="s">
        <v>3930</v>
      </c>
      <c r="Q3327" s="270" t="s">
        <v>3931</v>
      </c>
      <c r="R3327" s="270">
        <v>11089.96</v>
      </c>
      <c r="S3327" s="270">
        <v>34785.4</v>
      </c>
      <c r="T3327" s="270">
        <v>45875.360000000001</v>
      </c>
      <c r="U3327" s="271" t="s">
        <v>3932</v>
      </c>
      <c r="V3327" s="267" t="s">
        <v>944</v>
      </c>
    </row>
    <row r="3328" spans="1:22" hidden="1" x14ac:dyDescent="0.25">
      <c r="A3328" s="266">
        <v>43635</v>
      </c>
      <c r="B3328" s="267">
        <v>2019</v>
      </c>
      <c r="C3328" s="267">
        <v>2019</v>
      </c>
      <c r="D3328" s="267">
        <v>1</v>
      </c>
      <c r="E3328" s="267">
        <v>1</v>
      </c>
      <c r="F3328" s="267" t="s">
        <v>944</v>
      </c>
      <c r="G3328" s="267" t="s">
        <v>3926</v>
      </c>
      <c r="H3328" s="267" t="s">
        <v>7801</v>
      </c>
      <c r="I3328" s="267" t="s">
        <v>3025</v>
      </c>
      <c r="J3328" s="267" t="s">
        <v>3928</v>
      </c>
      <c r="K3328" s="267">
        <v>6473</v>
      </c>
      <c r="L3328" s="267">
        <v>167202</v>
      </c>
      <c r="M3328" s="267" t="s">
        <v>3935</v>
      </c>
      <c r="N3328" s="267" t="s">
        <v>3944</v>
      </c>
      <c r="O3328" s="267">
        <v>5474</v>
      </c>
      <c r="P3328" s="267" t="s">
        <v>3944</v>
      </c>
      <c r="Q3328" s="267" t="s">
        <v>3944</v>
      </c>
      <c r="R3328" s="267">
        <v>5474</v>
      </c>
      <c r="S3328" s="267">
        <v>40175</v>
      </c>
      <c r="T3328" s="267">
        <v>45649</v>
      </c>
      <c r="U3328" s="268" t="s">
        <v>3945</v>
      </c>
      <c r="V3328" s="267" t="s">
        <v>944</v>
      </c>
    </row>
    <row r="3329" spans="1:22" hidden="1" x14ac:dyDescent="0.25">
      <c r="A3329" s="269">
        <v>43635</v>
      </c>
      <c r="B3329" s="270">
        <v>2019</v>
      </c>
      <c r="C3329" s="270">
        <v>2019</v>
      </c>
      <c r="D3329" s="270">
        <v>1</v>
      </c>
      <c r="E3329" s="270">
        <v>1</v>
      </c>
      <c r="F3329" s="270" t="s">
        <v>944</v>
      </c>
      <c r="G3329" s="270" t="s">
        <v>3926</v>
      </c>
      <c r="H3329" s="270" t="s">
        <v>7802</v>
      </c>
      <c r="I3329" s="270" t="s">
        <v>3999</v>
      </c>
      <c r="J3329" s="270" t="s">
        <v>3928</v>
      </c>
      <c r="K3329" s="270">
        <v>6451</v>
      </c>
      <c r="L3329" s="270">
        <v>170900</v>
      </c>
      <c r="M3329" s="270">
        <v>-60</v>
      </c>
      <c r="N3329" s="270" t="s">
        <v>3944</v>
      </c>
      <c r="O3329" s="270">
        <v>1713</v>
      </c>
      <c r="P3329" s="270" t="s">
        <v>3944</v>
      </c>
      <c r="Q3329" s="270" t="s">
        <v>3944</v>
      </c>
      <c r="R3329" s="270">
        <v>1713</v>
      </c>
      <c r="S3329" s="270">
        <v>27192</v>
      </c>
      <c r="T3329" s="270">
        <v>28905</v>
      </c>
      <c r="U3329" s="271" t="s">
        <v>3945</v>
      </c>
      <c r="V3329" s="267" t="s">
        <v>944</v>
      </c>
    </row>
    <row r="3330" spans="1:22" hidden="1" x14ac:dyDescent="0.25">
      <c r="A3330" s="266">
        <v>43635</v>
      </c>
      <c r="B3330" s="267">
        <v>2019</v>
      </c>
      <c r="C3330" s="267">
        <v>2019</v>
      </c>
      <c r="D3330" s="267">
        <v>1</v>
      </c>
      <c r="E3330" s="267">
        <v>1</v>
      </c>
      <c r="F3330" s="267" t="s">
        <v>944</v>
      </c>
      <c r="G3330" s="267" t="s">
        <v>3926</v>
      </c>
      <c r="H3330" s="267" t="s">
        <v>7803</v>
      </c>
      <c r="I3330" s="267" t="s">
        <v>4306</v>
      </c>
      <c r="J3330" s="267" t="s">
        <v>3928</v>
      </c>
      <c r="K3330" s="267">
        <v>6716</v>
      </c>
      <c r="L3330" s="267">
        <v>361300</v>
      </c>
      <c r="M3330" s="267" t="s">
        <v>3960</v>
      </c>
      <c r="N3330" s="267" t="s">
        <v>3944</v>
      </c>
      <c r="O3330" s="267">
        <v>3925</v>
      </c>
      <c r="P3330" s="267" t="s">
        <v>3944</v>
      </c>
      <c r="Q3330" s="267" t="s">
        <v>3944</v>
      </c>
      <c r="R3330" s="267">
        <v>3925</v>
      </c>
      <c r="S3330" s="267">
        <v>41855</v>
      </c>
      <c r="T3330" s="267">
        <v>45780</v>
      </c>
      <c r="U3330" s="268" t="s">
        <v>3945</v>
      </c>
      <c r="V3330" s="267" t="s">
        <v>944</v>
      </c>
    </row>
    <row r="3331" spans="1:22" hidden="1" x14ac:dyDescent="0.25">
      <c r="A3331" s="269">
        <v>43635</v>
      </c>
      <c r="B3331" s="270">
        <v>2019</v>
      </c>
      <c r="C3331" s="270">
        <v>2019</v>
      </c>
      <c r="D3331" s="270">
        <v>1</v>
      </c>
      <c r="E3331" s="270">
        <v>1</v>
      </c>
      <c r="F3331" s="270" t="s">
        <v>944</v>
      </c>
      <c r="G3331" s="270" t="s">
        <v>3926</v>
      </c>
      <c r="H3331" s="270" t="s">
        <v>7804</v>
      </c>
      <c r="I3331" s="270" t="s">
        <v>5010</v>
      </c>
      <c r="J3331" s="270" t="s">
        <v>3928</v>
      </c>
      <c r="K3331" s="270">
        <v>6365</v>
      </c>
      <c r="L3331" s="270">
        <v>700100</v>
      </c>
      <c r="M3331" s="270" t="s">
        <v>3935</v>
      </c>
      <c r="N3331" s="270" t="s">
        <v>3944</v>
      </c>
      <c r="O3331" s="270">
        <v>2979</v>
      </c>
      <c r="P3331" s="270" t="s">
        <v>3944</v>
      </c>
      <c r="Q3331" s="270" t="s">
        <v>3944</v>
      </c>
      <c r="R3331" s="270">
        <v>2979</v>
      </c>
      <c r="S3331" s="270">
        <v>44356.06</v>
      </c>
      <c r="T3331" s="270">
        <v>47335.06</v>
      </c>
      <c r="U3331" s="271" t="s">
        <v>3945</v>
      </c>
      <c r="V3331" s="267" t="s">
        <v>944</v>
      </c>
    </row>
    <row r="3332" spans="1:22" hidden="1" x14ac:dyDescent="0.25">
      <c r="A3332" s="266">
        <v>43635</v>
      </c>
      <c r="B3332" s="267">
        <v>2019</v>
      </c>
      <c r="C3332" s="267">
        <v>2019</v>
      </c>
      <c r="D3332" s="267">
        <v>1</v>
      </c>
      <c r="E3332" s="267">
        <v>1</v>
      </c>
      <c r="F3332" s="267" t="s">
        <v>944</v>
      </c>
      <c r="G3332" s="267" t="s">
        <v>3926</v>
      </c>
      <c r="H3332" s="267" t="s">
        <v>7805</v>
      </c>
      <c r="I3332" s="267" t="s">
        <v>4392</v>
      </c>
      <c r="J3332" s="267" t="s">
        <v>3928</v>
      </c>
      <c r="K3332" s="267">
        <v>6457</v>
      </c>
      <c r="L3332" s="267">
        <v>541401</v>
      </c>
      <c r="M3332" s="267" t="s">
        <v>3943</v>
      </c>
      <c r="N3332" s="267" t="s">
        <v>3944</v>
      </c>
      <c r="O3332" s="267">
        <v>4157</v>
      </c>
      <c r="P3332" s="267" t="s">
        <v>3944</v>
      </c>
      <c r="Q3332" s="267" t="s">
        <v>3944</v>
      </c>
      <c r="R3332" s="267">
        <v>4157</v>
      </c>
      <c r="S3332" s="267">
        <v>28094</v>
      </c>
      <c r="T3332" s="267">
        <v>32251</v>
      </c>
      <c r="U3332" s="268" t="s">
        <v>3945</v>
      </c>
      <c r="V3332" s="267" t="s">
        <v>944</v>
      </c>
    </row>
    <row r="3333" spans="1:22" hidden="1" x14ac:dyDescent="0.25">
      <c r="A3333" s="269">
        <v>43635</v>
      </c>
      <c r="B3333" s="270">
        <v>2019</v>
      </c>
      <c r="C3333" s="270">
        <v>2019</v>
      </c>
      <c r="D3333" s="270">
        <v>1</v>
      </c>
      <c r="E3333" s="270">
        <v>1</v>
      </c>
      <c r="F3333" s="270" t="s">
        <v>944</v>
      </c>
      <c r="G3333" s="270" t="s">
        <v>3926</v>
      </c>
      <c r="H3333" s="270" t="s">
        <v>7806</v>
      </c>
      <c r="I3333" s="270" t="s">
        <v>4323</v>
      </c>
      <c r="J3333" s="270" t="s">
        <v>3928</v>
      </c>
      <c r="K3333" s="270">
        <v>6385</v>
      </c>
      <c r="L3333" s="270">
        <v>693700</v>
      </c>
      <c r="M3333" s="270" t="s">
        <v>3943</v>
      </c>
      <c r="N3333" s="270" t="s">
        <v>3944</v>
      </c>
      <c r="O3333" s="270">
        <v>1540.74</v>
      </c>
      <c r="P3333" s="270" t="s">
        <v>3944</v>
      </c>
      <c r="Q3333" s="270" t="s">
        <v>3944</v>
      </c>
      <c r="R3333" s="270">
        <v>1540.74</v>
      </c>
      <c r="S3333" s="270">
        <v>29986.92</v>
      </c>
      <c r="T3333" s="270">
        <v>31527.66</v>
      </c>
      <c r="U3333" s="271" t="s">
        <v>3945</v>
      </c>
      <c r="V3333" s="267" t="s">
        <v>944</v>
      </c>
    </row>
    <row r="3334" spans="1:22" hidden="1" x14ac:dyDescent="0.25">
      <c r="A3334" s="266">
        <v>43635</v>
      </c>
      <c r="B3334" s="267">
        <v>2019</v>
      </c>
      <c r="C3334" s="267">
        <v>2019</v>
      </c>
      <c r="D3334" s="267">
        <v>1</v>
      </c>
      <c r="E3334" s="267">
        <v>1</v>
      </c>
      <c r="F3334" s="267" t="s">
        <v>944</v>
      </c>
      <c r="G3334" s="267" t="s">
        <v>3926</v>
      </c>
      <c r="H3334" s="267" t="s">
        <v>7807</v>
      </c>
      <c r="I3334" s="267" t="s">
        <v>6330</v>
      </c>
      <c r="J3334" s="267" t="s">
        <v>3928</v>
      </c>
      <c r="K3334" s="267">
        <v>6791</v>
      </c>
      <c r="L3334" s="267">
        <v>298300</v>
      </c>
      <c r="M3334" s="267" t="s">
        <v>3943</v>
      </c>
      <c r="N3334" s="267" t="s">
        <v>3944</v>
      </c>
      <c r="O3334" s="267">
        <v>1915.31</v>
      </c>
      <c r="P3334" s="267" t="s">
        <v>3944</v>
      </c>
      <c r="Q3334" s="267" t="s">
        <v>3944</v>
      </c>
      <c r="R3334" s="267">
        <v>1915.31</v>
      </c>
      <c r="S3334" s="267">
        <v>36964.69</v>
      </c>
      <c r="T3334" s="267">
        <v>38880</v>
      </c>
      <c r="U3334" s="268" t="s">
        <v>3945</v>
      </c>
      <c r="V3334" s="267" t="s">
        <v>944</v>
      </c>
    </row>
    <row r="3335" spans="1:22" hidden="1" x14ac:dyDescent="0.25">
      <c r="A3335" s="269">
        <v>43635</v>
      </c>
      <c r="B3335" s="270">
        <v>2019</v>
      </c>
      <c r="C3335" s="270">
        <v>2019</v>
      </c>
      <c r="D3335" s="270">
        <v>1</v>
      </c>
      <c r="E3335" s="270">
        <v>1</v>
      </c>
      <c r="F3335" s="270" t="s">
        <v>944</v>
      </c>
      <c r="G3335" s="270" t="s">
        <v>3926</v>
      </c>
      <c r="H3335" s="270" t="s">
        <v>7808</v>
      </c>
      <c r="I3335" s="270" t="s">
        <v>4111</v>
      </c>
      <c r="J3335" s="270" t="s">
        <v>3928</v>
      </c>
      <c r="K3335" s="270">
        <v>6095</v>
      </c>
      <c r="L3335" s="270">
        <v>473501</v>
      </c>
      <c r="M3335" s="270" t="s">
        <v>3943</v>
      </c>
      <c r="N3335" s="270" t="s">
        <v>3944</v>
      </c>
      <c r="O3335" s="270">
        <v>2091.39</v>
      </c>
      <c r="P3335" s="270" t="s">
        <v>3944</v>
      </c>
      <c r="Q3335" s="270" t="s">
        <v>3944</v>
      </c>
      <c r="R3335" s="270">
        <v>2091.39</v>
      </c>
      <c r="S3335" s="270">
        <v>24847.05</v>
      </c>
      <c r="T3335" s="270">
        <v>26938.44</v>
      </c>
      <c r="U3335" s="271" t="s">
        <v>3945</v>
      </c>
      <c r="V3335" s="267" t="s">
        <v>944</v>
      </c>
    </row>
    <row r="3336" spans="1:22" hidden="1" x14ac:dyDescent="0.25">
      <c r="A3336" s="266">
        <v>43635</v>
      </c>
      <c r="B3336" s="267">
        <v>2019</v>
      </c>
      <c r="C3336" s="267">
        <v>2019</v>
      </c>
      <c r="D3336" s="267">
        <v>1</v>
      </c>
      <c r="E3336" s="267">
        <v>1</v>
      </c>
      <c r="F3336" s="267" t="s">
        <v>944</v>
      </c>
      <c r="G3336" s="267" t="s">
        <v>3926</v>
      </c>
      <c r="H3336" s="267" t="s">
        <v>7809</v>
      </c>
      <c r="I3336" s="267" t="s">
        <v>4046</v>
      </c>
      <c r="J3336" s="267" t="s">
        <v>3928</v>
      </c>
      <c r="K3336" s="267">
        <v>6281</v>
      </c>
      <c r="L3336" s="267">
        <v>901100</v>
      </c>
      <c r="M3336" s="267" t="s">
        <v>3960</v>
      </c>
      <c r="N3336" s="267" t="s">
        <v>3944</v>
      </c>
      <c r="O3336" s="267">
        <v>1457.16</v>
      </c>
      <c r="P3336" s="267" t="s">
        <v>3944</v>
      </c>
      <c r="Q3336" s="267" t="s">
        <v>3944</v>
      </c>
      <c r="R3336" s="267">
        <v>1457.16</v>
      </c>
      <c r="S3336" s="267">
        <v>27054.84</v>
      </c>
      <c r="T3336" s="267">
        <v>28512</v>
      </c>
      <c r="U3336" s="268" t="s">
        <v>3945</v>
      </c>
      <c r="V3336" s="267" t="s">
        <v>944</v>
      </c>
    </row>
    <row r="3337" spans="1:22" hidden="1" x14ac:dyDescent="0.25">
      <c r="A3337" s="269">
        <v>43635</v>
      </c>
      <c r="B3337" s="270">
        <v>2019</v>
      </c>
      <c r="C3337" s="270">
        <v>2019</v>
      </c>
      <c r="D3337" s="270">
        <v>1</v>
      </c>
      <c r="E3337" s="270">
        <v>1</v>
      </c>
      <c r="F3337" s="270" t="s">
        <v>944</v>
      </c>
      <c r="G3337" s="270" t="s">
        <v>3926</v>
      </c>
      <c r="H3337" s="270" t="s">
        <v>7810</v>
      </c>
      <c r="I3337" s="270" t="s">
        <v>3939</v>
      </c>
      <c r="J3337" s="270" t="s">
        <v>3928</v>
      </c>
      <c r="K3337" s="270">
        <v>6512</v>
      </c>
      <c r="L3337" s="270">
        <v>180200</v>
      </c>
      <c r="M3337" s="270" t="s">
        <v>3940</v>
      </c>
      <c r="N3337" s="270" t="s">
        <v>3944</v>
      </c>
      <c r="O3337" s="270">
        <v>1618.3</v>
      </c>
      <c r="P3337" s="270" t="s">
        <v>3944</v>
      </c>
      <c r="Q3337" s="270" t="s">
        <v>3944</v>
      </c>
      <c r="R3337" s="270">
        <v>1618.3</v>
      </c>
      <c r="S3337" s="270">
        <v>20604.740000000002</v>
      </c>
      <c r="T3337" s="270">
        <v>22223.040000000001</v>
      </c>
      <c r="U3337" s="271" t="s">
        <v>3945</v>
      </c>
      <c r="V3337" s="267" t="s">
        <v>944</v>
      </c>
    </row>
    <row r="3338" spans="1:22" hidden="1" x14ac:dyDescent="0.25">
      <c r="A3338" s="266">
        <v>43635</v>
      </c>
      <c r="B3338" s="267">
        <v>2019</v>
      </c>
      <c r="C3338" s="267">
        <v>2019</v>
      </c>
      <c r="D3338" s="267">
        <v>1</v>
      </c>
      <c r="E3338" s="267">
        <v>1</v>
      </c>
      <c r="F3338" s="267" t="s">
        <v>944</v>
      </c>
      <c r="G3338" s="267" t="s">
        <v>3926</v>
      </c>
      <c r="H3338" s="267" t="s">
        <v>7811</v>
      </c>
      <c r="I3338" s="267" t="s">
        <v>4213</v>
      </c>
      <c r="J3338" s="267" t="s">
        <v>3928</v>
      </c>
      <c r="K3338" s="267">
        <v>6053</v>
      </c>
      <c r="L3338" s="267">
        <v>417200</v>
      </c>
      <c r="M3338" s="267">
        <v>-60</v>
      </c>
      <c r="N3338" s="267" t="s">
        <v>3944</v>
      </c>
      <c r="O3338" s="267">
        <v>1158.71</v>
      </c>
      <c r="P3338" s="267" t="s">
        <v>3944</v>
      </c>
      <c r="Q3338" s="267" t="s">
        <v>3944</v>
      </c>
      <c r="R3338" s="267">
        <v>1158.71</v>
      </c>
      <c r="S3338" s="267">
        <v>24265.11</v>
      </c>
      <c r="T3338" s="267">
        <v>25423.82</v>
      </c>
      <c r="U3338" s="268" t="s">
        <v>3945</v>
      </c>
      <c r="V3338" s="267" t="s">
        <v>944</v>
      </c>
    </row>
    <row r="3339" spans="1:22" hidden="1" x14ac:dyDescent="0.25">
      <c r="A3339" s="269">
        <v>43636</v>
      </c>
      <c r="B3339" s="270">
        <v>2019</v>
      </c>
      <c r="C3339" s="270">
        <v>2019</v>
      </c>
      <c r="D3339" s="270">
        <v>1</v>
      </c>
      <c r="E3339" s="270">
        <v>1</v>
      </c>
      <c r="F3339" s="270" t="s">
        <v>944</v>
      </c>
      <c r="G3339" s="270" t="s">
        <v>3926</v>
      </c>
      <c r="H3339" s="270" t="s">
        <v>7812</v>
      </c>
      <c r="I3339" s="270" t="s">
        <v>3993</v>
      </c>
      <c r="J3339" s="270" t="s">
        <v>3928</v>
      </c>
      <c r="K3339" s="270">
        <v>6415</v>
      </c>
      <c r="L3339" s="270">
        <v>714104</v>
      </c>
      <c r="M3339" s="270" t="s">
        <v>3960</v>
      </c>
      <c r="N3339" s="270" t="s">
        <v>7813</v>
      </c>
      <c r="O3339" s="270">
        <v>0</v>
      </c>
      <c r="P3339" s="270" t="s">
        <v>3930</v>
      </c>
      <c r="Q3339" s="270" t="s">
        <v>3930</v>
      </c>
      <c r="R3339" s="270">
        <v>0</v>
      </c>
      <c r="S3339" s="270">
        <v>6694.53</v>
      </c>
      <c r="T3339" s="270">
        <v>6694.53</v>
      </c>
      <c r="U3339" s="271" t="s">
        <v>3937</v>
      </c>
      <c r="V3339" s="267" t="s">
        <v>944</v>
      </c>
    </row>
    <row r="3340" spans="1:22" hidden="1" x14ac:dyDescent="0.25">
      <c r="A3340" s="266">
        <v>43636</v>
      </c>
      <c r="B3340" s="267">
        <v>2019</v>
      </c>
      <c r="C3340" s="267">
        <v>2019</v>
      </c>
      <c r="D3340" s="267">
        <v>1</v>
      </c>
      <c r="E3340" s="267">
        <v>1</v>
      </c>
      <c r="F3340" s="267" t="s">
        <v>944</v>
      </c>
      <c r="G3340" s="267" t="s">
        <v>3926</v>
      </c>
      <c r="H3340" s="267" t="s">
        <v>7814</v>
      </c>
      <c r="I3340" s="267" t="s">
        <v>3008</v>
      </c>
      <c r="J3340" s="267" t="s">
        <v>3928</v>
      </c>
      <c r="K3340" s="267">
        <v>6460</v>
      </c>
      <c r="L3340" s="267">
        <v>150900</v>
      </c>
      <c r="M3340" s="267" t="s">
        <v>3943</v>
      </c>
      <c r="N3340" s="267" t="s">
        <v>7815</v>
      </c>
      <c r="O3340" s="267">
        <v>0</v>
      </c>
      <c r="P3340" s="267" t="s">
        <v>3930</v>
      </c>
      <c r="Q3340" s="267" t="s">
        <v>3930</v>
      </c>
      <c r="R3340" s="267">
        <v>0</v>
      </c>
      <c r="S3340" s="267">
        <v>7970</v>
      </c>
      <c r="T3340" s="267">
        <v>7970</v>
      </c>
      <c r="U3340" s="268" t="s">
        <v>3937</v>
      </c>
      <c r="V3340" s="267" t="s">
        <v>944</v>
      </c>
    </row>
    <row r="3341" spans="1:22" hidden="1" x14ac:dyDescent="0.25">
      <c r="A3341" s="269">
        <v>43636</v>
      </c>
      <c r="B3341" s="270">
        <v>2019</v>
      </c>
      <c r="C3341" s="270">
        <v>2019</v>
      </c>
      <c r="D3341" s="270">
        <v>1</v>
      </c>
      <c r="E3341" s="270">
        <v>1</v>
      </c>
      <c r="F3341" s="270" t="s">
        <v>944</v>
      </c>
      <c r="G3341" s="270" t="s">
        <v>3926</v>
      </c>
      <c r="H3341" s="270" t="s">
        <v>7816</v>
      </c>
      <c r="I3341" s="270" t="s">
        <v>4821</v>
      </c>
      <c r="J3341" s="270" t="s">
        <v>3928</v>
      </c>
      <c r="K3341" s="270">
        <v>6784</v>
      </c>
      <c r="L3341" s="270">
        <v>257100</v>
      </c>
      <c r="M3341" s="270" t="s">
        <v>3960</v>
      </c>
      <c r="N3341" s="270" t="s">
        <v>7817</v>
      </c>
      <c r="O3341" s="270">
        <v>0</v>
      </c>
      <c r="P3341" s="270" t="s">
        <v>3930</v>
      </c>
      <c r="Q3341" s="270" t="s">
        <v>3930</v>
      </c>
      <c r="R3341" s="270">
        <v>0</v>
      </c>
      <c r="S3341" s="270">
        <v>39675.97</v>
      </c>
      <c r="T3341" s="270">
        <v>39675.97</v>
      </c>
      <c r="U3341" s="271" t="s">
        <v>3937</v>
      </c>
      <c r="V3341" s="267" t="s">
        <v>944</v>
      </c>
    </row>
    <row r="3342" spans="1:22" hidden="1" x14ac:dyDescent="0.25">
      <c r="A3342" s="266">
        <v>43636</v>
      </c>
      <c r="B3342" s="267">
        <v>2019</v>
      </c>
      <c r="C3342" s="267">
        <v>2019</v>
      </c>
      <c r="D3342" s="267">
        <v>1</v>
      </c>
      <c r="E3342" s="267">
        <v>1</v>
      </c>
      <c r="F3342" s="267" t="s">
        <v>944</v>
      </c>
      <c r="G3342" s="267" t="s">
        <v>3926</v>
      </c>
      <c r="H3342" s="267" t="s">
        <v>7818</v>
      </c>
      <c r="I3342" s="267" t="s">
        <v>4519</v>
      </c>
      <c r="J3342" s="267" t="s">
        <v>3928</v>
      </c>
      <c r="K3342" s="267">
        <v>6840</v>
      </c>
      <c r="L3342" s="267">
        <v>35100</v>
      </c>
      <c r="M3342" s="267" t="s">
        <v>3943</v>
      </c>
      <c r="N3342" s="267" t="s">
        <v>7819</v>
      </c>
      <c r="O3342" s="267">
        <v>0</v>
      </c>
      <c r="P3342" s="267" t="s">
        <v>3930</v>
      </c>
      <c r="Q3342" s="267" t="s">
        <v>3930</v>
      </c>
      <c r="R3342" s="267">
        <v>0</v>
      </c>
      <c r="S3342" s="267">
        <v>11987</v>
      </c>
      <c r="T3342" s="267">
        <v>11987</v>
      </c>
      <c r="U3342" s="268" t="s">
        <v>3937</v>
      </c>
      <c r="V3342" s="267" t="s">
        <v>944</v>
      </c>
    </row>
    <row r="3343" spans="1:22" hidden="1" x14ac:dyDescent="0.25">
      <c r="A3343" s="269">
        <v>43636</v>
      </c>
      <c r="B3343" s="270">
        <v>2019</v>
      </c>
      <c r="C3343" s="270">
        <v>2019</v>
      </c>
      <c r="D3343" s="270">
        <v>1</v>
      </c>
      <c r="E3343" s="270">
        <v>1</v>
      </c>
      <c r="F3343" s="270" t="s">
        <v>944</v>
      </c>
      <c r="G3343" s="270" t="s">
        <v>3926</v>
      </c>
      <c r="H3343" s="270" t="s">
        <v>7820</v>
      </c>
      <c r="I3343" s="270" t="s">
        <v>4392</v>
      </c>
      <c r="J3343" s="270" t="s">
        <v>3928</v>
      </c>
      <c r="K3343" s="270">
        <v>6457</v>
      </c>
      <c r="L3343" s="270">
        <v>680200</v>
      </c>
      <c r="M3343" s="270" t="s">
        <v>3935</v>
      </c>
      <c r="N3343" s="270" t="s">
        <v>4534</v>
      </c>
      <c r="O3343" s="270">
        <v>0</v>
      </c>
      <c r="P3343" s="270" t="s">
        <v>3930</v>
      </c>
      <c r="Q3343" s="270" t="s">
        <v>3930</v>
      </c>
      <c r="R3343" s="270">
        <v>0</v>
      </c>
      <c r="S3343" s="270">
        <v>11365</v>
      </c>
      <c r="T3343" s="270">
        <v>11365</v>
      </c>
      <c r="U3343" s="271" t="s">
        <v>3937</v>
      </c>
      <c r="V3343" s="267" t="s">
        <v>944</v>
      </c>
    </row>
    <row r="3344" spans="1:22" hidden="1" x14ac:dyDescent="0.25">
      <c r="A3344" s="266">
        <v>43636</v>
      </c>
      <c r="B3344" s="267">
        <v>2019</v>
      </c>
      <c r="C3344" s="267">
        <v>2019</v>
      </c>
      <c r="D3344" s="267">
        <v>1</v>
      </c>
      <c r="E3344" s="267">
        <v>1</v>
      </c>
      <c r="F3344" s="267" t="s">
        <v>944</v>
      </c>
      <c r="G3344" s="267" t="s">
        <v>3926</v>
      </c>
      <c r="H3344" s="267" t="s">
        <v>7821</v>
      </c>
      <c r="I3344" s="267" t="s">
        <v>3968</v>
      </c>
      <c r="J3344" s="267" t="s">
        <v>3928</v>
      </c>
      <c r="K3344" s="267">
        <v>6042</v>
      </c>
      <c r="L3344" s="267">
        <v>514500</v>
      </c>
      <c r="M3344" s="267" t="s">
        <v>3935</v>
      </c>
      <c r="N3344" s="267" t="s">
        <v>3944</v>
      </c>
      <c r="O3344" s="267">
        <v>969.36</v>
      </c>
      <c r="P3344" s="267" t="s">
        <v>3944</v>
      </c>
      <c r="Q3344" s="267" t="s">
        <v>3944</v>
      </c>
      <c r="R3344" s="267">
        <v>969.36</v>
      </c>
      <c r="S3344" s="267">
        <v>14827.89</v>
      </c>
      <c r="T3344" s="267">
        <v>15797.25</v>
      </c>
      <c r="U3344" s="268" t="s">
        <v>3945</v>
      </c>
      <c r="V3344" s="267" t="s">
        <v>944</v>
      </c>
    </row>
    <row r="3345" spans="1:22" hidden="1" x14ac:dyDescent="0.25">
      <c r="A3345" s="269">
        <v>43636</v>
      </c>
      <c r="B3345" s="270">
        <v>2019</v>
      </c>
      <c r="C3345" s="270">
        <v>2019</v>
      </c>
      <c r="D3345" s="270">
        <v>1</v>
      </c>
      <c r="E3345" s="270">
        <v>1</v>
      </c>
      <c r="F3345" s="270" t="s">
        <v>944</v>
      </c>
      <c r="G3345" s="270" t="s">
        <v>3926</v>
      </c>
      <c r="H3345" s="270" t="s">
        <v>7822</v>
      </c>
      <c r="I3345" s="270" t="s">
        <v>4005</v>
      </c>
      <c r="J3345" s="270" t="s">
        <v>3928</v>
      </c>
      <c r="K3345" s="270">
        <v>6108</v>
      </c>
      <c r="L3345" s="270">
        <v>511400</v>
      </c>
      <c r="M3345" s="270" t="s">
        <v>3935</v>
      </c>
      <c r="N3345" s="270" t="s">
        <v>3944</v>
      </c>
      <c r="O3345" s="270">
        <v>1477.91</v>
      </c>
      <c r="P3345" s="270" t="s">
        <v>3944</v>
      </c>
      <c r="Q3345" s="270" t="s">
        <v>3944</v>
      </c>
      <c r="R3345" s="270">
        <v>1477.91</v>
      </c>
      <c r="S3345" s="270">
        <v>21293.73</v>
      </c>
      <c r="T3345" s="270">
        <v>22771.64</v>
      </c>
      <c r="U3345" s="271" t="s">
        <v>3945</v>
      </c>
      <c r="V3345" s="267" t="s">
        <v>944</v>
      </c>
    </row>
    <row r="3346" spans="1:22" hidden="1" x14ac:dyDescent="0.25">
      <c r="A3346" s="266">
        <v>43636</v>
      </c>
      <c r="B3346" s="267">
        <v>2019</v>
      </c>
      <c r="C3346" s="267">
        <v>2019</v>
      </c>
      <c r="D3346" s="267">
        <v>1</v>
      </c>
      <c r="E3346" s="267">
        <v>1</v>
      </c>
      <c r="F3346" s="267" t="s">
        <v>944</v>
      </c>
      <c r="G3346" s="267" t="s">
        <v>3926</v>
      </c>
      <c r="H3346" s="267" t="s">
        <v>7823</v>
      </c>
      <c r="I3346" s="267" t="s">
        <v>956</v>
      </c>
      <c r="J3346" s="267" t="s">
        <v>3928</v>
      </c>
      <c r="K3346" s="267">
        <v>6615</v>
      </c>
      <c r="L3346" s="267">
        <v>80400</v>
      </c>
      <c r="M3346" s="267" t="s">
        <v>3940</v>
      </c>
      <c r="N3346" s="267" t="s">
        <v>3944</v>
      </c>
      <c r="O3346" s="267">
        <v>1608.15</v>
      </c>
      <c r="P3346" s="267" t="s">
        <v>3944</v>
      </c>
      <c r="Q3346" s="267" t="s">
        <v>3944</v>
      </c>
      <c r="R3346" s="267">
        <v>1608.15</v>
      </c>
      <c r="S3346" s="267">
        <v>24312.69</v>
      </c>
      <c r="T3346" s="267">
        <v>25920.84</v>
      </c>
      <c r="U3346" s="268" t="s">
        <v>3945</v>
      </c>
      <c r="V3346" s="267" t="s">
        <v>944</v>
      </c>
    </row>
    <row r="3347" spans="1:22" hidden="1" x14ac:dyDescent="0.25">
      <c r="A3347" s="269">
        <v>43636</v>
      </c>
      <c r="B3347" s="270">
        <v>2019</v>
      </c>
      <c r="C3347" s="270">
        <v>2019</v>
      </c>
      <c r="D3347" s="270">
        <v>1</v>
      </c>
      <c r="E3347" s="270">
        <v>1</v>
      </c>
      <c r="F3347" s="270" t="s">
        <v>944</v>
      </c>
      <c r="G3347" s="270" t="s">
        <v>3926</v>
      </c>
      <c r="H3347" s="270" t="s">
        <v>7824</v>
      </c>
      <c r="I3347" s="270" t="s">
        <v>4073</v>
      </c>
      <c r="J3347" s="270" t="s">
        <v>3928</v>
      </c>
      <c r="K3347" s="270">
        <v>6776</v>
      </c>
      <c r="L3347" s="270">
        <v>253600</v>
      </c>
      <c r="M3347" s="270" t="s">
        <v>3940</v>
      </c>
      <c r="N3347" s="270" t="s">
        <v>3944</v>
      </c>
      <c r="O3347" s="270">
        <v>2147.6</v>
      </c>
      <c r="P3347" s="270" t="s">
        <v>3944</v>
      </c>
      <c r="Q3347" s="270" t="s">
        <v>3944</v>
      </c>
      <c r="R3347" s="270">
        <v>2147.6</v>
      </c>
      <c r="S3347" s="270">
        <v>28686.91</v>
      </c>
      <c r="T3347" s="270">
        <v>30834.51</v>
      </c>
      <c r="U3347" s="271" t="s">
        <v>3945</v>
      </c>
      <c r="V3347" s="267" t="s">
        <v>944</v>
      </c>
    </row>
    <row r="3348" spans="1:22" hidden="1" x14ac:dyDescent="0.25">
      <c r="A3348" s="266">
        <v>43636</v>
      </c>
      <c r="B3348" s="267">
        <v>2019</v>
      </c>
      <c r="C3348" s="267">
        <v>2019</v>
      </c>
      <c r="D3348" s="267">
        <v>1</v>
      </c>
      <c r="E3348" s="267">
        <v>1</v>
      </c>
      <c r="F3348" s="267" t="s">
        <v>944</v>
      </c>
      <c r="G3348" s="267" t="s">
        <v>3926</v>
      </c>
      <c r="H3348" s="267" t="s">
        <v>7825</v>
      </c>
      <c r="I3348" s="267" t="s">
        <v>4137</v>
      </c>
      <c r="J3348" s="267" t="s">
        <v>3928</v>
      </c>
      <c r="K3348" s="267">
        <v>6067</v>
      </c>
      <c r="L3348" s="267">
        <v>490302</v>
      </c>
      <c r="M3348" s="267" t="s">
        <v>3960</v>
      </c>
      <c r="N3348" s="267" t="s">
        <v>3944</v>
      </c>
      <c r="O3348" s="267">
        <v>1622.67</v>
      </c>
      <c r="P3348" s="267" t="s">
        <v>3944</v>
      </c>
      <c r="Q3348" s="267" t="s">
        <v>3944</v>
      </c>
      <c r="R3348" s="267">
        <v>1622.67</v>
      </c>
      <c r="S3348" s="267">
        <v>21708.7</v>
      </c>
      <c r="T3348" s="267">
        <v>23331.37</v>
      </c>
      <c r="U3348" s="268" t="s">
        <v>3945</v>
      </c>
      <c r="V3348" s="267" t="s">
        <v>944</v>
      </c>
    </row>
    <row r="3349" spans="1:22" hidden="1" x14ac:dyDescent="0.25">
      <c r="A3349" s="269">
        <v>43636</v>
      </c>
      <c r="B3349" s="270">
        <v>2019</v>
      </c>
      <c r="C3349" s="270">
        <v>2019</v>
      </c>
      <c r="D3349" s="270">
        <v>1</v>
      </c>
      <c r="E3349" s="270">
        <v>1</v>
      </c>
      <c r="F3349" s="270" t="s">
        <v>944</v>
      </c>
      <c r="G3349" s="270" t="s">
        <v>3926</v>
      </c>
      <c r="H3349" s="270" t="s">
        <v>7826</v>
      </c>
      <c r="I3349" s="270" t="s">
        <v>956</v>
      </c>
      <c r="J3349" s="270" t="s">
        <v>3928</v>
      </c>
      <c r="K3349" s="270">
        <v>6615</v>
      </c>
      <c r="L3349" s="270">
        <v>80500</v>
      </c>
      <c r="M3349" s="270" t="s">
        <v>3960</v>
      </c>
      <c r="N3349" s="270" t="s">
        <v>3944</v>
      </c>
      <c r="O3349" s="270">
        <v>1638.63</v>
      </c>
      <c r="P3349" s="270" t="s">
        <v>3944</v>
      </c>
      <c r="Q3349" s="270" t="s">
        <v>3944</v>
      </c>
      <c r="R3349" s="270">
        <v>1638.63</v>
      </c>
      <c r="S3349" s="270">
        <v>26333.37</v>
      </c>
      <c r="T3349" s="270">
        <v>27972</v>
      </c>
      <c r="U3349" s="271" t="s">
        <v>3945</v>
      </c>
      <c r="V3349" s="267" t="s">
        <v>944</v>
      </c>
    </row>
    <row r="3350" spans="1:22" hidden="1" x14ac:dyDescent="0.25">
      <c r="A3350" s="266">
        <v>43636</v>
      </c>
      <c r="B3350" s="267">
        <v>2019</v>
      </c>
      <c r="C3350" s="267">
        <v>2019</v>
      </c>
      <c r="D3350" s="267">
        <v>1</v>
      </c>
      <c r="E3350" s="267">
        <v>1</v>
      </c>
      <c r="F3350" s="267" t="s">
        <v>944</v>
      </c>
      <c r="G3350" s="267" t="s">
        <v>3926</v>
      </c>
      <c r="H3350" s="267" t="s">
        <v>7827</v>
      </c>
      <c r="I3350" s="267" t="s">
        <v>3996</v>
      </c>
      <c r="J3350" s="267" t="s">
        <v>3928</v>
      </c>
      <c r="K3350" s="267">
        <v>6790</v>
      </c>
      <c r="L3350" s="267">
        <v>310602</v>
      </c>
      <c r="M3350" s="267" t="s">
        <v>3935</v>
      </c>
      <c r="N3350" s="267" t="s">
        <v>3944</v>
      </c>
      <c r="O3350" s="267">
        <v>1793.79</v>
      </c>
      <c r="P3350" s="267" t="s">
        <v>3944</v>
      </c>
      <c r="Q3350" s="267" t="s">
        <v>3944</v>
      </c>
      <c r="R3350" s="267">
        <v>1793.79</v>
      </c>
      <c r="S3350" s="267">
        <v>22373.49</v>
      </c>
      <c r="T3350" s="267">
        <v>24167.279999999999</v>
      </c>
      <c r="U3350" s="268" t="s">
        <v>3945</v>
      </c>
      <c r="V3350" s="267" t="s">
        <v>944</v>
      </c>
    </row>
    <row r="3351" spans="1:22" hidden="1" x14ac:dyDescent="0.25">
      <c r="A3351" s="269">
        <v>43636</v>
      </c>
      <c r="B3351" s="270">
        <v>2019</v>
      </c>
      <c r="C3351" s="270">
        <v>2019</v>
      </c>
      <c r="D3351" s="270">
        <v>1</v>
      </c>
      <c r="E3351" s="270">
        <v>1</v>
      </c>
      <c r="F3351" s="270" t="s">
        <v>944</v>
      </c>
      <c r="G3351" s="270" t="s">
        <v>3926</v>
      </c>
      <c r="H3351" s="270" t="s">
        <v>7828</v>
      </c>
      <c r="I3351" s="270" t="s">
        <v>3968</v>
      </c>
      <c r="J3351" s="270" t="s">
        <v>3928</v>
      </c>
      <c r="K3351" s="270">
        <v>6040</v>
      </c>
      <c r="L3351" s="270">
        <v>514900</v>
      </c>
      <c r="M3351" s="270" t="s">
        <v>3960</v>
      </c>
      <c r="N3351" s="270" t="s">
        <v>3944</v>
      </c>
      <c r="O3351" s="270">
        <v>1279.6400000000001</v>
      </c>
      <c r="P3351" s="270" t="s">
        <v>3944</v>
      </c>
      <c r="Q3351" s="270" t="s">
        <v>3944</v>
      </c>
      <c r="R3351" s="270">
        <v>1279.6400000000001</v>
      </c>
      <c r="S3351" s="270">
        <v>18471.990000000002</v>
      </c>
      <c r="T3351" s="270">
        <v>19751.63</v>
      </c>
      <c r="U3351" s="271" t="s">
        <v>3945</v>
      </c>
      <c r="V3351" s="267" t="s">
        <v>944</v>
      </c>
    </row>
    <row r="3352" spans="1:22" hidden="1" x14ac:dyDescent="0.25">
      <c r="A3352" s="266">
        <v>43636</v>
      </c>
      <c r="B3352" s="267">
        <v>2019</v>
      </c>
      <c r="C3352" s="267">
        <v>2019</v>
      </c>
      <c r="D3352" s="267">
        <v>1</v>
      </c>
      <c r="E3352" s="267">
        <v>1</v>
      </c>
      <c r="F3352" s="267" t="s">
        <v>944</v>
      </c>
      <c r="G3352" s="267" t="s">
        <v>3926</v>
      </c>
      <c r="H3352" s="267" t="s">
        <v>7829</v>
      </c>
      <c r="I3352" s="267" t="s">
        <v>3985</v>
      </c>
      <c r="J3352" s="267" t="s">
        <v>3928</v>
      </c>
      <c r="K3352" s="267">
        <v>6226</v>
      </c>
      <c r="L3352" s="267">
        <v>800400</v>
      </c>
      <c r="M3352" s="267" t="s">
        <v>3940</v>
      </c>
      <c r="N3352" s="267" t="s">
        <v>3944</v>
      </c>
      <c r="O3352" s="267">
        <v>4262.41</v>
      </c>
      <c r="P3352" s="267" t="s">
        <v>3944</v>
      </c>
      <c r="Q3352" s="267" t="s">
        <v>3944</v>
      </c>
      <c r="R3352" s="267">
        <v>4262.41</v>
      </c>
      <c r="S3352" s="267">
        <v>60800.33</v>
      </c>
      <c r="T3352" s="267">
        <v>65062.74</v>
      </c>
      <c r="U3352" s="268" t="s">
        <v>3945</v>
      </c>
      <c r="V3352" s="267" t="s">
        <v>944</v>
      </c>
    </row>
    <row r="3353" spans="1:22" hidden="1" x14ac:dyDescent="0.25">
      <c r="A3353" s="269">
        <v>43636</v>
      </c>
      <c r="B3353" s="270">
        <v>2019</v>
      </c>
      <c r="C3353" s="270">
        <v>2019</v>
      </c>
      <c r="D3353" s="270">
        <v>1</v>
      </c>
      <c r="E3353" s="270">
        <v>1</v>
      </c>
      <c r="F3353" s="270" t="s">
        <v>944</v>
      </c>
      <c r="G3353" s="270" t="s">
        <v>3926</v>
      </c>
      <c r="H3353" s="270" t="s">
        <v>7830</v>
      </c>
      <c r="I3353" s="270" t="s">
        <v>3975</v>
      </c>
      <c r="J3353" s="270" t="s">
        <v>3928</v>
      </c>
      <c r="K3353" s="270">
        <v>6489</v>
      </c>
      <c r="L3353" s="270">
        <v>430202</v>
      </c>
      <c r="M3353" s="270" t="s">
        <v>3943</v>
      </c>
      <c r="N3353" s="270" t="s">
        <v>3944</v>
      </c>
      <c r="O3353" s="270">
        <v>3033.38</v>
      </c>
      <c r="P3353" s="270" t="s">
        <v>3944</v>
      </c>
      <c r="Q3353" s="270" t="s">
        <v>3944</v>
      </c>
      <c r="R3353" s="270">
        <v>3033.38</v>
      </c>
      <c r="S3353" s="270">
        <v>43334.92</v>
      </c>
      <c r="T3353" s="270">
        <v>46368.3</v>
      </c>
      <c r="U3353" s="271" t="s">
        <v>3945</v>
      </c>
      <c r="V3353" s="267" t="s">
        <v>944</v>
      </c>
    </row>
    <row r="3354" spans="1:22" hidden="1" x14ac:dyDescent="0.25">
      <c r="A3354" s="266">
        <v>43636</v>
      </c>
      <c r="B3354" s="267">
        <v>2019</v>
      </c>
      <c r="C3354" s="267">
        <v>2019</v>
      </c>
      <c r="D3354" s="267">
        <v>1</v>
      </c>
      <c r="E3354" s="267">
        <v>1</v>
      </c>
      <c r="F3354" s="267" t="s">
        <v>944</v>
      </c>
      <c r="G3354" s="267" t="s">
        <v>3926</v>
      </c>
      <c r="H3354" s="267" t="s">
        <v>7831</v>
      </c>
      <c r="I3354" s="267" t="s">
        <v>4005</v>
      </c>
      <c r="J3354" s="267" t="s">
        <v>3928</v>
      </c>
      <c r="K3354" s="267">
        <v>6108</v>
      </c>
      <c r="L3354" s="267">
        <v>510100</v>
      </c>
      <c r="M3354" s="267" t="s">
        <v>3940</v>
      </c>
      <c r="N3354" s="267" t="s">
        <v>3944</v>
      </c>
      <c r="O3354" s="267">
        <v>1940.19</v>
      </c>
      <c r="P3354" s="267" t="s">
        <v>3944</v>
      </c>
      <c r="Q3354" s="267" t="s">
        <v>3944</v>
      </c>
      <c r="R3354" s="267">
        <v>1940.19</v>
      </c>
      <c r="S3354" s="267">
        <v>30365.360000000001</v>
      </c>
      <c r="T3354" s="267">
        <v>32305.55</v>
      </c>
      <c r="U3354" s="268" t="s">
        <v>3945</v>
      </c>
      <c r="V3354" s="267" t="s">
        <v>944</v>
      </c>
    </row>
    <row r="3355" spans="1:22" hidden="1" x14ac:dyDescent="0.25">
      <c r="A3355" s="269">
        <v>43636</v>
      </c>
      <c r="B3355" s="270">
        <v>2019</v>
      </c>
      <c r="C3355" s="270">
        <v>2019</v>
      </c>
      <c r="D3355" s="270">
        <v>1</v>
      </c>
      <c r="E3355" s="270">
        <v>1</v>
      </c>
      <c r="F3355" s="270" t="s">
        <v>944</v>
      </c>
      <c r="G3355" s="270" t="s">
        <v>3926</v>
      </c>
      <c r="H3355" s="270" t="s">
        <v>7832</v>
      </c>
      <c r="I3355" s="270" t="s">
        <v>953</v>
      </c>
      <c r="J3355" s="270" t="s">
        <v>3928</v>
      </c>
      <c r="K3355" s="270">
        <v>6517</v>
      </c>
      <c r="L3355" s="270">
        <v>165400</v>
      </c>
      <c r="M3355" s="270" t="s">
        <v>3935</v>
      </c>
      <c r="N3355" s="270" t="s">
        <v>3944</v>
      </c>
      <c r="O3355" s="270">
        <v>1487.85</v>
      </c>
      <c r="P3355" s="270" t="s">
        <v>3944</v>
      </c>
      <c r="Q3355" s="270" t="s">
        <v>3944</v>
      </c>
      <c r="R3355" s="270">
        <v>1487.85</v>
      </c>
      <c r="S3355" s="270">
        <v>21568.79</v>
      </c>
      <c r="T3355" s="270">
        <v>23056.639999999999</v>
      </c>
      <c r="U3355" s="271" t="s">
        <v>3945</v>
      </c>
      <c r="V3355" s="267" t="s">
        <v>944</v>
      </c>
    </row>
    <row r="3356" spans="1:22" hidden="1" x14ac:dyDescent="0.25">
      <c r="A3356" s="266">
        <v>43637</v>
      </c>
      <c r="B3356" s="267">
        <v>2019</v>
      </c>
      <c r="C3356" s="267">
        <v>2019</v>
      </c>
      <c r="D3356" s="267">
        <v>1</v>
      </c>
      <c r="E3356" s="267">
        <v>1</v>
      </c>
      <c r="F3356" s="267" t="s">
        <v>944</v>
      </c>
      <c r="G3356" s="267" t="s">
        <v>3926</v>
      </c>
      <c r="H3356" s="267" t="s">
        <v>7833</v>
      </c>
      <c r="I3356" s="267" t="s">
        <v>2981</v>
      </c>
      <c r="J3356" s="267" t="s">
        <v>3928</v>
      </c>
      <c r="K3356" s="267">
        <v>6612</v>
      </c>
      <c r="L3356" s="267">
        <v>105100</v>
      </c>
      <c r="M3356" s="267" t="s">
        <v>3943</v>
      </c>
      <c r="N3356" s="267" t="s">
        <v>7834</v>
      </c>
      <c r="O3356" s="267">
        <v>0</v>
      </c>
      <c r="P3356" s="267" t="s">
        <v>3930</v>
      </c>
      <c r="Q3356" s="267" t="s">
        <v>3930</v>
      </c>
      <c r="R3356" s="267">
        <v>0</v>
      </c>
      <c r="S3356" s="267">
        <v>21984</v>
      </c>
      <c r="T3356" s="267">
        <v>21984</v>
      </c>
      <c r="U3356" s="268" t="s">
        <v>3937</v>
      </c>
      <c r="V3356" s="267" t="s">
        <v>944</v>
      </c>
    </row>
    <row r="3357" spans="1:22" hidden="1" x14ac:dyDescent="0.25">
      <c r="A3357" s="269">
        <v>43637</v>
      </c>
      <c r="B3357" s="270">
        <v>2019</v>
      </c>
      <c r="C3357" s="270">
        <v>2019</v>
      </c>
      <c r="D3357" s="270">
        <v>1</v>
      </c>
      <c r="E3357" s="270">
        <v>1</v>
      </c>
      <c r="F3357" s="270" t="s">
        <v>944</v>
      </c>
      <c r="G3357" s="270" t="s">
        <v>3926</v>
      </c>
      <c r="H3357" s="270" t="s">
        <v>7835</v>
      </c>
      <c r="I3357" s="270" t="s">
        <v>4124</v>
      </c>
      <c r="J3357" s="270" t="s">
        <v>3928</v>
      </c>
      <c r="K3357" s="270">
        <v>6470</v>
      </c>
      <c r="L3357" s="270">
        <v>230100</v>
      </c>
      <c r="M3357" s="270" t="s">
        <v>3943</v>
      </c>
      <c r="N3357" s="270" t="s">
        <v>7836</v>
      </c>
      <c r="O3357" s="270">
        <v>0</v>
      </c>
      <c r="P3357" s="270" t="s">
        <v>3930</v>
      </c>
      <c r="Q3357" s="270" t="s">
        <v>3930</v>
      </c>
      <c r="R3357" s="270">
        <v>0</v>
      </c>
      <c r="S3357" s="270">
        <v>15985.4</v>
      </c>
      <c r="T3357" s="270">
        <v>15985.4</v>
      </c>
      <c r="U3357" s="271" t="s">
        <v>3937</v>
      </c>
      <c r="V3357" s="267" t="s">
        <v>944</v>
      </c>
    </row>
    <row r="3358" spans="1:22" hidden="1" x14ac:dyDescent="0.25">
      <c r="A3358" s="266">
        <v>43637</v>
      </c>
      <c r="B3358" s="267">
        <v>2019</v>
      </c>
      <c r="C3358" s="267">
        <v>2019</v>
      </c>
      <c r="D3358" s="267">
        <v>1</v>
      </c>
      <c r="E3358" s="267">
        <v>1</v>
      </c>
      <c r="F3358" s="267" t="s">
        <v>944</v>
      </c>
      <c r="G3358" s="267" t="s">
        <v>3926</v>
      </c>
      <c r="H3358" s="267" t="s">
        <v>7837</v>
      </c>
      <c r="I3358" s="267" t="s">
        <v>3996</v>
      </c>
      <c r="J3358" s="267" t="s">
        <v>3928</v>
      </c>
      <c r="K3358" s="267">
        <v>6790</v>
      </c>
      <c r="L3358" s="267">
        <v>310602</v>
      </c>
      <c r="M3358" s="267" t="s">
        <v>3935</v>
      </c>
      <c r="N3358" s="267" t="s">
        <v>7838</v>
      </c>
      <c r="O3358" s="267">
        <v>1051.3</v>
      </c>
      <c r="P3358" s="267" t="s">
        <v>3930</v>
      </c>
      <c r="Q3358" s="267" t="s">
        <v>3931</v>
      </c>
      <c r="R3358" s="267">
        <v>6051.3</v>
      </c>
      <c r="S3358" s="267">
        <v>16933.599999999999</v>
      </c>
      <c r="T3358" s="267">
        <v>22984.9</v>
      </c>
      <c r="U3358" s="268" t="s">
        <v>3932</v>
      </c>
      <c r="V3358" s="267" t="s">
        <v>944</v>
      </c>
    </row>
    <row r="3359" spans="1:22" hidden="1" x14ac:dyDescent="0.25">
      <c r="A3359" s="269">
        <v>43637</v>
      </c>
      <c r="B3359" s="270">
        <v>2019</v>
      </c>
      <c r="C3359" s="270">
        <v>2019</v>
      </c>
      <c r="D3359" s="270">
        <v>1</v>
      </c>
      <c r="E3359" s="270">
        <v>1</v>
      </c>
      <c r="F3359" s="270" t="s">
        <v>944</v>
      </c>
      <c r="G3359" s="270" t="s">
        <v>3926</v>
      </c>
      <c r="H3359" s="270" t="s">
        <v>7839</v>
      </c>
      <c r="I3359" s="270" t="s">
        <v>5122</v>
      </c>
      <c r="J3359" s="270" t="s">
        <v>3928</v>
      </c>
      <c r="K3359" s="270">
        <v>6022</v>
      </c>
      <c r="L3359" s="270">
        <v>464101</v>
      </c>
      <c r="M3359" s="270" t="s">
        <v>3943</v>
      </c>
      <c r="N3359" s="270" t="s">
        <v>3944</v>
      </c>
      <c r="O3359" s="270">
        <v>3719</v>
      </c>
      <c r="P3359" s="270" t="s">
        <v>3944</v>
      </c>
      <c r="Q3359" s="270" t="s">
        <v>3944</v>
      </c>
      <c r="R3359" s="270">
        <v>3719</v>
      </c>
      <c r="S3359" s="270">
        <v>28701</v>
      </c>
      <c r="T3359" s="270">
        <v>32420</v>
      </c>
      <c r="U3359" s="271" t="s">
        <v>3945</v>
      </c>
      <c r="V3359" s="267" t="s">
        <v>944</v>
      </c>
    </row>
    <row r="3360" spans="1:22" hidden="1" x14ac:dyDescent="0.25">
      <c r="A3360" s="266">
        <v>43637</v>
      </c>
      <c r="B3360" s="267">
        <v>2019</v>
      </c>
      <c r="C3360" s="267">
        <v>2019</v>
      </c>
      <c r="D3360" s="267">
        <v>1</v>
      </c>
      <c r="E3360" s="267">
        <v>1</v>
      </c>
      <c r="F3360" s="267" t="s">
        <v>944</v>
      </c>
      <c r="G3360" s="267" t="s">
        <v>3926</v>
      </c>
      <c r="H3360" s="267" t="s">
        <v>7840</v>
      </c>
      <c r="I3360" s="267" t="s">
        <v>4225</v>
      </c>
      <c r="J3360" s="267" t="s">
        <v>3928</v>
      </c>
      <c r="K3360" s="267">
        <v>6896</v>
      </c>
      <c r="L3360" s="267">
        <v>240100</v>
      </c>
      <c r="M3360" s="267" t="s">
        <v>3943</v>
      </c>
      <c r="N3360" s="267" t="s">
        <v>3944</v>
      </c>
      <c r="O3360" s="267">
        <v>2038</v>
      </c>
      <c r="P3360" s="267" t="s">
        <v>3944</v>
      </c>
      <c r="Q3360" s="267" t="s">
        <v>3944</v>
      </c>
      <c r="R3360" s="267">
        <v>2038</v>
      </c>
      <c r="S3360" s="267">
        <v>26923.78</v>
      </c>
      <c r="T3360" s="267">
        <v>28961.78</v>
      </c>
      <c r="U3360" s="268" t="s">
        <v>3945</v>
      </c>
      <c r="V3360" s="267" t="s">
        <v>944</v>
      </c>
    </row>
    <row r="3361" spans="1:22" hidden="1" x14ac:dyDescent="0.25">
      <c r="A3361" s="269">
        <v>43637</v>
      </c>
      <c r="B3361" s="270">
        <v>2019</v>
      </c>
      <c r="C3361" s="270">
        <v>2019</v>
      </c>
      <c r="D3361" s="270">
        <v>1</v>
      </c>
      <c r="E3361" s="270">
        <v>1</v>
      </c>
      <c r="F3361" s="270" t="s">
        <v>944</v>
      </c>
      <c r="G3361" s="270" t="s">
        <v>3926</v>
      </c>
      <c r="H3361" s="270" t="s">
        <v>7841</v>
      </c>
      <c r="I3361" s="270" t="s">
        <v>4695</v>
      </c>
      <c r="J3361" s="270" t="s">
        <v>3928</v>
      </c>
      <c r="K3361" s="270">
        <v>6234</v>
      </c>
      <c r="L3361" s="270">
        <v>905100</v>
      </c>
      <c r="M3361" s="270" t="s">
        <v>3935</v>
      </c>
      <c r="N3361" s="270" t="s">
        <v>3944</v>
      </c>
      <c r="O3361" s="270">
        <v>3902</v>
      </c>
      <c r="P3361" s="270" t="s">
        <v>3944</v>
      </c>
      <c r="Q3361" s="270" t="s">
        <v>3944</v>
      </c>
      <c r="R3361" s="270">
        <v>3902</v>
      </c>
      <c r="S3361" s="270">
        <v>28098</v>
      </c>
      <c r="T3361" s="270">
        <v>32000</v>
      </c>
      <c r="U3361" s="271" t="s">
        <v>3945</v>
      </c>
      <c r="V3361" s="267" t="s">
        <v>944</v>
      </c>
    </row>
    <row r="3362" spans="1:22" hidden="1" x14ac:dyDescent="0.25">
      <c r="A3362" s="266">
        <v>43637</v>
      </c>
      <c r="B3362" s="267">
        <v>2019</v>
      </c>
      <c r="C3362" s="267">
        <v>2019</v>
      </c>
      <c r="D3362" s="267">
        <v>1</v>
      </c>
      <c r="E3362" s="267">
        <v>1</v>
      </c>
      <c r="F3362" s="267" t="s">
        <v>944</v>
      </c>
      <c r="G3362" s="267" t="s">
        <v>3926</v>
      </c>
      <c r="H3362" s="267" t="s">
        <v>7842</v>
      </c>
      <c r="I3362" s="267" t="s">
        <v>3956</v>
      </c>
      <c r="J3362" s="267" t="s">
        <v>3928</v>
      </c>
      <c r="K3362" s="267">
        <v>6112</v>
      </c>
      <c r="L3362" s="267">
        <v>503900</v>
      </c>
      <c r="M3362" s="267">
        <v>-60</v>
      </c>
      <c r="N3362" s="267" t="s">
        <v>3944</v>
      </c>
      <c r="O3362" s="267">
        <v>2252</v>
      </c>
      <c r="P3362" s="267" t="s">
        <v>3944</v>
      </c>
      <c r="Q3362" s="267" t="s">
        <v>3944</v>
      </c>
      <c r="R3362" s="267">
        <v>2252</v>
      </c>
      <c r="S3362" s="267">
        <v>32988</v>
      </c>
      <c r="T3362" s="267">
        <v>35240</v>
      </c>
      <c r="U3362" s="268" t="s">
        <v>3945</v>
      </c>
      <c r="V3362" s="267" t="s">
        <v>944</v>
      </c>
    </row>
    <row r="3363" spans="1:22" hidden="1" x14ac:dyDescent="0.25">
      <c r="A3363" s="269">
        <v>43637</v>
      </c>
      <c r="B3363" s="270">
        <v>2019</v>
      </c>
      <c r="C3363" s="270">
        <v>2019</v>
      </c>
      <c r="D3363" s="270">
        <v>1</v>
      </c>
      <c r="E3363" s="270">
        <v>1</v>
      </c>
      <c r="F3363" s="270" t="s">
        <v>944</v>
      </c>
      <c r="G3363" s="270" t="s">
        <v>3926</v>
      </c>
      <c r="H3363" s="270" t="s">
        <v>7843</v>
      </c>
      <c r="I3363" s="270" t="s">
        <v>3008</v>
      </c>
      <c r="J3363" s="270" t="s">
        <v>3928</v>
      </c>
      <c r="K3363" s="270">
        <v>6460</v>
      </c>
      <c r="L3363" s="270">
        <v>150200</v>
      </c>
      <c r="M3363" s="270" t="s">
        <v>3935</v>
      </c>
      <c r="N3363" s="270" t="s">
        <v>3944</v>
      </c>
      <c r="O3363" s="270">
        <v>3394</v>
      </c>
      <c r="P3363" s="270" t="s">
        <v>3944</v>
      </c>
      <c r="Q3363" s="270" t="s">
        <v>3944</v>
      </c>
      <c r="R3363" s="270">
        <v>3394</v>
      </c>
      <c r="S3363" s="270">
        <v>22200</v>
      </c>
      <c r="T3363" s="270">
        <v>25594</v>
      </c>
      <c r="U3363" s="271" t="s">
        <v>3945</v>
      </c>
      <c r="V3363" s="267" t="s">
        <v>944</v>
      </c>
    </row>
    <row r="3364" spans="1:22" hidden="1" x14ac:dyDescent="0.25">
      <c r="A3364" s="266">
        <v>43637</v>
      </c>
      <c r="B3364" s="267">
        <v>2019</v>
      </c>
      <c r="C3364" s="267">
        <v>2019</v>
      </c>
      <c r="D3364" s="267">
        <v>1</v>
      </c>
      <c r="E3364" s="267">
        <v>1</v>
      </c>
      <c r="F3364" s="267" t="s">
        <v>944</v>
      </c>
      <c r="G3364" s="267" t="s">
        <v>3926</v>
      </c>
      <c r="H3364" s="267" t="s">
        <v>7844</v>
      </c>
      <c r="I3364" s="267" t="s">
        <v>7845</v>
      </c>
      <c r="J3364" s="267" t="s">
        <v>3928</v>
      </c>
      <c r="K3364" s="267">
        <v>6777</v>
      </c>
      <c r="L3364" s="267">
        <v>265100</v>
      </c>
      <c r="M3364" s="267" t="s">
        <v>3943</v>
      </c>
      <c r="N3364" s="267" t="s">
        <v>3944</v>
      </c>
      <c r="O3364" s="267">
        <v>3174</v>
      </c>
      <c r="P3364" s="267" t="s">
        <v>3944</v>
      </c>
      <c r="Q3364" s="267" t="s">
        <v>3944</v>
      </c>
      <c r="R3364" s="267">
        <v>3174</v>
      </c>
      <c r="S3364" s="267">
        <v>22122</v>
      </c>
      <c r="T3364" s="267">
        <v>25296</v>
      </c>
      <c r="U3364" s="268" t="s">
        <v>3945</v>
      </c>
      <c r="V3364" s="267" t="s">
        <v>944</v>
      </c>
    </row>
    <row r="3365" spans="1:22" hidden="1" x14ac:dyDescent="0.25">
      <c r="A3365" s="269">
        <v>43637</v>
      </c>
      <c r="B3365" s="270">
        <v>2019</v>
      </c>
      <c r="C3365" s="270">
        <v>2019</v>
      </c>
      <c r="D3365" s="270">
        <v>1</v>
      </c>
      <c r="E3365" s="270">
        <v>1</v>
      </c>
      <c r="F3365" s="270" t="s">
        <v>944</v>
      </c>
      <c r="G3365" s="270" t="s">
        <v>3926</v>
      </c>
      <c r="H3365" s="270" t="s">
        <v>7846</v>
      </c>
      <c r="I3365" s="270" t="s">
        <v>934</v>
      </c>
      <c r="J3365" s="270" t="s">
        <v>3928</v>
      </c>
      <c r="K3365" s="270">
        <v>6604</v>
      </c>
      <c r="L3365" s="270">
        <v>72100</v>
      </c>
      <c r="M3365" s="270" t="s">
        <v>3940</v>
      </c>
      <c r="N3365" s="270" t="s">
        <v>3944</v>
      </c>
      <c r="O3365" s="270">
        <v>3102</v>
      </c>
      <c r="P3365" s="270" t="s">
        <v>3944</v>
      </c>
      <c r="Q3365" s="270" t="s">
        <v>3944</v>
      </c>
      <c r="R3365" s="270">
        <v>3102</v>
      </c>
      <c r="S3365" s="270">
        <v>21267</v>
      </c>
      <c r="T3365" s="270">
        <v>24369</v>
      </c>
      <c r="U3365" s="271" t="s">
        <v>3945</v>
      </c>
      <c r="V3365" s="267" t="s">
        <v>944</v>
      </c>
    </row>
    <row r="3366" spans="1:22" hidden="1" x14ac:dyDescent="0.25">
      <c r="A3366" s="266">
        <v>43637</v>
      </c>
      <c r="B3366" s="267">
        <v>2019</v>
      </c>
      <c r="C3366" s="267">
        <v>2019</v>
      </c>
      <c r="D3366" s="267">
        <v>1</v>
      </c>
      <c r="E3366" s="267">
        <v>1</v>
      </c>
      <c r="F3366" s="267" t="s">
        <v>944</v>
      </c>
      <c r="G3366" s="267" t="s">
        <v>3926</v>
      </c>
      <c r="H3366" s="267" t="s">
        <v>7847</v>
      </c>
      <c r="I3366" s="267" t="s">
        <v>4392</v>
      </c>
      <c r="J3366" s="267" t="s">
        <v>3928</v>
      </c>
      <c r="K3366" s="267">
        <v>6457</v>
      </c>
      <c r="L3366" s="267">
        <v>542200</v>
      </c>
      <c r="M3366" s="267" t="s">
        <v>3960</v>
      </c>
      <c r="N3366" s="267" t="s">
        <v>3944</v>
      </c>
      <c r="O3366" s="267">
        <v>1443.47</v>
      </c>
      <c r="P3366" s="267" t="s">
        <v>3944</v>
      </c>
      <c r="Q3366" s="267" t="s">
        <v>3944</v>
      </c>
      <c r="R3366" s="267">
        <v>1443.47</v>
      </c>
      <c r="S3366" s="267">
        <v>20473.77</v>
      </c>
      <c r="T3366" s="267">
        <v>21917.24</v>
      </c>
      <c r="U3366" s="268" t="s">
        <v>3945</v>
      </c>
      <c r="V3366" s="267" t="s">
        <v>944</v>
      </c>
    </row>
    <row r="3367" spans="1:22" hidden="1" x14ac:dyDescent="0.25">
      <c r="A3367" s="269">
        <v>43637</v>
      </c>
      <c r="B3367" s="270">
        <v>2019</v>
      </c>
      <c r="C3367" s="270">
        <v>2019</v>
      </c>
      <c r="D3367" s="270">
        <v>1</v>
      </c>
      <c r="E3367" s="270">
        <v>1</v>
      </c>
      <c r="F3367" s="270" t="s">
        <v>944</v>
      </c>
      <c r="G3367" s="270" t="s">
        <v>3926</v>
      </c>
      <c r="H3367" s="270" t="s">
        <v>7848</v>
      </c>
      <c r="I3367" s="270" t="s">
        <v>3008</v>
      </c>
      <c r="J3367" s="270" t="s">
        <v>3928</v>
      </c>
      <c r="K3367" s="270">
        <v>6460</v>
      </c>
      <c r="L3367" s="270">
        <v>151100</v>
      </c>
      <c r="M3367" s="270" t="s">
        <v>3960</v>
      </c>
      <c r="N3367" s="270" t="s">
        <v>3944</v>
      </c>
      <c r="O3367" s="270">
        <v>1395.35</v>
      </c>
      <c r="P3367" s="270" t="s">
        <v>3944</v>
      </c>
      <c r="Q3367" s="270" t="s">
        <v>3944</v>
      </c>
      <c r="R3367" s="270">
        <v>1395.35</v>
      </c>
      <c r="S3367" s="270">
        <v>20452.310000000001</v>
      </c>
      <c r="T3367" s="270">
        <v>21847.66</v>
      </c>
      <c r="U3367" s="271" t="s">
        <v>3945</v>
      </c>
      <c r="V3367" s="267" t="s">
        <v>944</v>
      </c>
    </row>
    <row r="3368" spans="1:22" hidden="1" x14ac:dyDescent="0.25">
      <c r="A3368" s="266">
        <v>43637</v>
      </c>
      <c r="B3368" s="267">
        <v>2019</v>
      </c>
      <c r="C3368" s="267">
        <v>2019</v>
      </c>
      <c r="D3368" s="267">
        <v>1</v>
      </c>
      <c r="E3368" s="267">
        <v>1</v>
      </c>
      <c r="F3368" s="267" t="s">
        <v>944</v>
      </c>
      <c r="G3368" s="267" t="s">
        <v>3926</v>
      </c>
      <c r="H3368" s="267" t="s">
        <v>7849</v>
      </c>
      <c r="I3368" s="267" t="s">
        <v>4065</v>
      </c>
      <c r="J3368" s="267" t="s">
        <v>3928</v>
      </c>
      <c r="K3368" s="267">
        <v>6480</v>
      </c>
      <c r="L3368" s="267">
        <v>560100</v>
      </c>
      <c r="M3368" s="267" t="s">
        <v>3943</v>
      </c>
      <c r="N3368" s="267" t="s">
        <v>3944</v>
      </c>
      <c r="O3368" s="267">
        <v>2132.87</v>
      </c>
      <c r="P3368" s="267" t="s">
        <v>3944</v>
      </c>
      <c r="Q3368" s="267" t="s">
        <v>3944</v>
      </c>
      <c r="R3368" s="267">
        <v>2132.87</v>
      </c>
      <c r="S3368" s="267">
        <v>29032.720000000001</v>
      </c>
      <c r="T3368" s="267">
        <v>31165.59</v>
      </c>
      <c r="U3368" s="268" t="s">
        <v>3945</v>
      </c>
      <c r="V3368" s="267" t="s">
        <v>944</v>
      </c>
    </row>
    <row r="3369" spans="1:22" hidden="1" x14ac:dyDescent="0.25">
      <c r="A3369" s="269">
        <v>43637</v>
      </c>
      <c r="B3369" s="270">
        <v>2019</v>
      </c>
      <c r="C3369" s="270">
        <v>2019</v>
      </c>
      <c r="D3369" s="270">
        <v>1</v>
      </c>
      <c r="E3369" s="270">
        <v>1</v>
      </c>
      <c r="F3369" s="270" t="s">
        <v>944</v>
      </c>
      <c r="G3369" s="270" t="s">
        <v>3926</v>
      </c>
      <c r="H3369" s="270" t="s">
        <v>7850</v>
      </c>
      <c r="I3369" s="270" t="s">
        <v>953</v>
      </c>
      <c r="J3369" s="270" t="s">
        <v>3928</v>
      </c>
      <c r="K3369" s="270">
        <v>6518</v>
      </c>
      <c r="L3369" s="270">
        <v>166001</v>
      </c>
      <c r="M3369" s="270" t="s">
        <v>3935</v>
      </c>
      <c r="N3369" s="270" t="s">
        <v>3944</v>
      </c>
      <c r="O3369" s="270">
        <v>1336.65</v>
      </c>
      <c r="P3369" s="270" t="s">
        <v>3944</v>
      </c>
      <c r="Q3369" s="270" t="s">
        <v>3944</v>
      </c>
      <c r="R3369" s="270">
        <v>1336.65</v>
      </c>
      <c r="S3369" s="270">
        <v>20671.189999999999</v>
      </c>
      <c r="T3369" s="270">
        <v>22007.84</v>
      </c>
      <c r="U3369" s="271" t="s">
        <v>3945</v>
      </c>
      <c r="V3369" s="267" t="s">
        <v>944</v>
      </c>
    </row>
    <row r="3370" spans="1:22" hidden="1" x14ac:dyDescent="0.25">
      <c r="A3370" s="266">
        <v>43637</v>
      </c>
      <c r="B3370" s="267">
        <v>2019</v>
      </c>
      <c r="C3370" s="267">
        <v>2019</v>
      </c>
      <c r="D3370" s="267">
        <v>1</v>
      </c>
      <c r="E3370" s="267">
        <v>1</v>
      </c>
      <c r="F3370" s="267" t="s">
        <v>944</v>
      </c>
      <c r="G3370" s="267" t="s">
        <v>3926</v>
      </c>
      <c r="H3370" s="267" t="s">
        <v>7851</v>
      </c>
      <c r="I3370" s="267" t="s">
        <v>3966</v>
      </c>
      <c r="J3370" s="267" t="s">
        <v>3928</v>
      </c>
      <c r="K3370" s="267">
        <v>6010</v>
      </c>
      <c r="L3370" s="267">
        <v>405300</v>
      </c>
      <c r="M3370" s="267" t="s">
        <v>3940</v>
      </c>
      <c r="N3370" s="267" t="s">
        <v>3944</v>
      </c>
      <c r="O3370" s="267">
        <v>1979.81</v>
      </c>
      <c r="P3370" s="267" t="s">
        <v>3944</v>
      </c>
      <c r="Q3370" s="267" t="s">
        <v>3944</v>
      </c>
      <c r="R3370" s="267">
        <v>1979.81</v>
      </c>
      <c r="S3370" s="267">
        <v>27152.59</v>
      </c>
      <c r="T3370" s="267">
        <v>29132.400000000001</v>
      </c>
      <c r="U3370" s="268" t="s">
        <v>3945</v>
      </c>
      <c r="V3370" s="267" t="s">
        <v>944</v>
      </c>
    </row>
    <row r="3371" spans="1:22" hidden="1" x14ac:dyDescent="0.25">
      <c r="A3371" s="269">
        <v>43637</v>
      </c>
      <c r="B3371" s="270">
        <v>2019</v>
      </c>
      <c r="C3371" s="270">
        <v>2019</v>
      </c>
      <c r="D3371" s="270">
        <v>1</v>
      </c>
      <c r="E3371" s="270">
        <v>1</v>
      </c>
      <c r="F3371" s="270" t="s">
        <v>944</v>
      </c>
      <c r="G3371" s="270" t="s">
        <v>3926</v>
      </c>
      <c r="H3371" s="270" t="s">
        <v>7852</v>
      </c>
      <c r="I3371" s="270" t="s">
        <v>4005</v>
      </c>
      <c r="J3371" s="270" t="s">
        <v>3928</v>
      </c>
      <c r="K3371" s="270">
        <v>6108</v>
      </c>
      <c r="L3371" s="270">
        <v>511400</v>
      </c>
      <c r="M3371" s="270" t="s">
        <v>3935</v>
      </c>
      <c r="N3371" s="270" t="s">
        <v>3944</v>
      </c>
      <c r="O3371" s="270">
        <v>1551.52</v>
      </c>
      <c r="P3371" s="270" t="s">
        <v>3944</v>
      </c>
      <c r="Q3371" s="270" t="s">
        <v>3944</v>
      </c>
      <c r="R3371" s="270">
        <v>1551.52</v>
      </c>
      <c r="S3371" s="270">
        <v>22276.97</v>
      </c>
      <c r="T3371" s="270">
        <v>23828.49</v>
      </c>
      <c r="U3371" s="271" t="s">
        <v>3945</v>
      </c>
      <c r="V3371" s="267" t="s">
        <v>944</v>
      </c>
    </row>
    <row r="3372" spans="1:22" hidden="1" x14ac:dyDescent="0.25">
      <c r="A3372" s="266">
        <v>43637</v>
      </c>
      <c r="B3372" s="267">
        <v>2019</v>
      </c>
      <c r="C3372" s="267">
        <v>2019</v>
      </c>
      <c r="D3372" s="267">
        <v>1</v>
      </c>
      <c r="E3372" s="267">
        <v>1</v>
      </c>
      <c r="F3372" s="267" t="s">
        <v>944</v>
      </c>
      <c r="G3372" s="267" t="s">
        <v>3926</v>
      </c>
      <c r="H3372" s="267" t="s">
        <v>7853</v>
      </c>
      <c r="I3372" s="267" t="s">
        <v>4392</v>
      </c>
      <c r="J3372" s="267" t="s">
        <v>3928</v>
      </c>
      <c r="K3372" s="267">
        <v>6457</v>
      </c>
      <c r="L3372" s="267">
        <v>542000</v>
      </c>
      <c r="M3372" s="267" t="s">
        <v>3935</v>
      </c>
      <c r="N3372" s="267" t="s">
        <v>3944</v>
      </c>
      <c r="O3372" s="267">
        <v>1093.19</v>
      </c>
      <c r="P3372" s="267" t="s">
        <v>3944</v>
      </c>
      <c r="Q3372" s="267" t="s">
        <v>3944</v>
      </c>
      <c r="R3372" s="267">
        <v>1093.19</v>
      </c>
      <c r="S3372" s="267">
        <v>14558.31</v>
      </c>
      <c r="T3372" s="267">
        <v>15651.5</v>
      </c>
      <c r="U3372" s="268" t="s">
        <v>3945</v>
      </c>
      <c r="V3372" s="267" t="s">
        <v>944</v>
      </c>
    </row>
    <row r="3373" spans="1:22" hidden="1" x14ac:dyDescent="0.25">
      <c r="A3373" s="269">
        <v>43637</v>
      </c>
      <c r="B3373" s="270">
        <v>2019</v>
      </c>
      <c r="C3373" s="270">
        <v>2019</v>
      </c>
      <c r="D3373" s="270">
        <v>1</v>
      </c>
      <c r="E3373" s="270">
        <v>1</v>
      </c>
      <c r="F3373" s="270" t="s">
        <v>944</v>
      </c>
      <c r="G3373" s="270" t="s">
        <v>3926</v>
      </c>
      <c r="H3373" s="270" t="s">
        <v>7854</v>
      </c>
      <c r="I3373" s="270" t="s">
        <v>4392</v>
      </c>
      <c r="J3373" s="270" t="s">
        <v>3928</v>
      </c>
      <c r="K3373" s="270">
        <v>6457</v>
      </c>
      <c r="L3373" s="270">
        <v>542000</v>
      </c>
      <c r="M3373" s="270" t="s">
        <v>3935</v>
      </c>
      <c r="N3373" s="270" t="s">
        <v>3944</v>
      </c>
      <c r="O3373" s="270">
        <v>1105.6199999999999</v>
      </c>
      <c r="P3373" s="270" t="s">
        <v>3944</v>
      </c>
      <c r="Q3373" s="270" t="s">
        <v>3944</v>
      </c>
      <c r="R3373" s="270">
        <v>1105.6199999999999</v>
      </c>
      <c r="S3373" s="270">
        <v>17747.13</v>
      </c>
      <c r="T3373" s="270">
        <v>18852.75</v>
      </c>
      <c r="U3373" s="271" t="s">
        <v>3945</v>
      </c>
      <c r="V3373" s="267" t="s">
        <v>944</v>
      </c>
    </row>
    <row r="3374" spans="1:22" hidden="1" x14ac:dyDescent="0.25">
      <c r="A3374" s="266">
        <v>43637</v>
      </c>
      <c r="B3374" s="267">
        <v>2019</v>
      </c>
      <c r="C3374" s="267">
        <v>2019</v>
      </c>
      <c r="D3374" s="267">
        <v>1</v>
      </c>
      <c r="E3374" s="267">
        <v>1</v>
      </c>
      <c r="F3374" s="267" t="s">
        <v>944</v>
      </c>
      <c r="G3374" s="267" t="s">
        <v>3926</v>
      </c>
      <c r="H3374" s="267" t="s">
        <v>7855</v>
      </c>
      <c r="I3374" s="267" t="s">
        <v>5032</v>
      </c>
      <c r="J3374" s="267" t="s">
        <v>3928</v>
      </c>
      <c r="K3374" s="267">
        <v>6062</v>
      </c>
      <c r="L3374" s="267">
        <v>420600</v>
      </c>
      <c r="M3374" s="267" t="s">
        <v>3935</v>
      </c>
      <c r="N3374" s="267" t="s">
        <v>3944</v>
      </c>
      <c r="O3374" s="267">
        <v>4051.88</v>
      </c>
      <c r="P3374" s="267" t="s">
        <v>3944</v>
      </c>
      <c r="Q3374" s="267" t="s">
        <v>3944</v>
      </c>
      <c r="R3374" s="267">
        <v>4051.88</v>
      </c>
      <c r="S3374" s="267">
        <v>60778.77</v>
      </c>
      <c r="T3374" s="267">
        <v>64830.65</v>
      </c>
      <c r="U3374" s="268" t="s">
        <v>3945</v>
      </c>
      <c r="V3374" s="267" t="s">
        <v>944</v>
      </c>
    </row>
    <row r="3375" spans="1:22" hidden="1" x14ac:dyDescent="0.25">
      <c r="A3375" s="269">
        <v>43637</v>
      </c>
      <c r="B3375" s="270">
        <v>2019</v>
      </c>
      <c r="C3375" s="270">
        <v>2019</v>
      </c>
      <c r="D3375" s="270">
        <v>1</v>
      </c>
      <c r="E3375" s="270">
        <v>1</v>
      </c>
      <c r="F3375" s="270" t="s">
        <v>944</v>
      </c>
      <c r="G3375" s="270" t="s">
        <v>3926</v>
      </c>
      <c r="H3375" s="270" t="s">
        <v>7856</v>
      </c>
      <c r="I3375" s="270" t="s">
        <v>3934</v>
      </c>
      <c r="J3375" s="270" t="s">
        <v>3928</v>
      </c>
      <c r="K3375" s="270">
        <v>6405</v>
      </c>
      <c r="L3375" s="270">
        <v>184700</v>
      </c>
      <c r="M3375" s="270" t="s">
        <v>3935</v>
      </c>
      <c r="N3375" s="270" t="s">
        <v>3944</v>
      </c>
      <c r="O3375" s="270">
        <v>1772.19</v>
      </c>
      <c r="P3375" s="270" t="s">
        <v>3944</v>
      </c>
      <c r="Q3375" s="270" t="s">
        <v>3944</v>
      </c>
      <c r="R3375" s="270">
        <v>1772.19</v>
      </c>
      <c r="S3375" s="270">
        <v>24401.82</v>
      </c>
      <c r="T3375" s="270">
        <v>26174.01</v>
      </c>
      <c r="U3375" s="271" t="s">
        <v>3945</v>
      </c>
      <c r="V3375" s="267" t="s">
        <v>944</v>
      </c>
    </row>
    <row r="3376" spans="1:22" hidden="1" x14ac:dyDescent="0.25">
      <c r="A3376" s="266">
        <v>43637</v>
      </c>
      <c r="B3376" s="267">
        <v>2019</v>
      </c>
      <c r="C3376" s="267">
        <v>2019</v>
      </c>
      <c r="D3376" s="267">
        <v>1</v>
      </c>
      <c r="E3376" s="267">
        <v>1</v>
      </c>
      <c r="F3376" s="267" t="s">
        <v>944</v>
      </c>
      <c r="G3376" s="267" t="s">
        <v>3926</v>
      </c>
      <c r="H3376" s="267" t="s">
        <v>7857</v>
      </c>
      <c r="I3376" s="267" t="s">
        <v>4037</v>
      </c>
      <c r="J3376" s="267" t="s">
        <v>3928</v>
      </c>
      <c r="K3376" s="267">
        <v>6810</v>
      </c>
      <c r="L3376" s="267">
        <v>210300</v>
      </c>
      <c r="M3376" s="267" t="s">
        <v>3940</v>
      </c>
      <c r="N3376" s="267" t="s">
        <v>3944</v>
      </c>
      <c r="O3376" s="267">
        <v>596.67999999999995</v>
      </c>
      <c r="P3376" s="267" t="s">
        <v>3944</v>
      </c>
      <c r="Q3376" s="267" t="s">
        <v>3944</v>
      </c>
      <c r="R3376" s="267">
        <v>596.67999999999995</v>
      </c>
      <c r="S3376" s="267">
        <v>8433.2800000000007</v>
      </c>
      <c r="T3376" s="267">
        <v>9029.9599999999991</v>
      </c>
      <c r="U3376" s="268" t="s">
        <v>3945</v>
      </c>
      <c r="V3376" s="267" t="s">
        <v>944</v>
      </c>
    </row>
    <row r="3377" spans="1:22" hidden="1" x14ac:dyDescent="0.25">
      <c r="A3377" s="269">
        <v>43637</v>
      </c>
      <c r="B3377" s="270">
        <v>2019</v>
      </c>
      <c r="C3377" s="270">
        <v>2019</v>
      </c>
      <c r="D3377" s="270">
        <v>1</v>
      </c>
      <c r="E3377" s="270">
        <v>1</v>
      </c>
      <c r="F3377" s="270" t="s">
        <v>944</v>
      </c>
      <c r="G3377" s="270" t="s">
        <v>3926</v>
      </c>
      <c r="H3377" s="270" t="s">
        <v>7858</v>
      </c>
      <c r="I3377" s="270" t="s">
        <v>950</v>
      </c>
      <c r="J3377" s="270" t="s">
        <v>3928</v>
      </c>
      <c r="K3377" s="270">
        <v>6516</v>
      </c>
      <c r="L3377" s="270">
        <v>361500</v>
      </c>
      <c r="M3377" s="270" t="s">
        <v>3940</v>
      </c>
      <c r="N3377" s="270" t="s">
        <v>3944</v>
      </c>
      <c r="O3377" s="270">
        <v>1453.66</v>
      </c>
      <c r="P3377" s="270" t="s">
        <v>3944</v>
      </c>
      <c r="Q3377" s="270" t="s">
        <v>3944</v>
      </c>
      <c r="R3377" s="270">
        <v>1453.66</v>
      </c>
      <c r="S3377" s="270">
        <v>22434.959999999999</v>
      </c>
      <c r="T3377" s="270">
        <v>23888.62</v>
      </c>
      <c r="U3377" s="271" t="s">
        <v>3945</v>
      </c>
      <c r="V3377" s="267" t="s">
        <v>944</v>
      </c>
    </row>
    <row r="3378" spans="1:22" hidden="1" x14ac:dyDescent="0.25">
      <c r="A3378" s="266">
        <v>43637</v>
      </c>
      <c r="B3378" s="267">
        <v>2019</v>
      </c>
      <c r="C3378" s="267">
        <v>2019</v>
      </c>
      <c r="D3378" s="267">
        <v>1</v>
      </c>
      <c r="E3378" s="267">
        <v>1</v>
      </c>
      <c r="F3378" s="267" t="s">
        <v>944</v>
      </c>
      <c r="G3378" s="267" t="s">
        <v>3926</v>
      </c>
      <c r="H3378" s="267" t="s">
        <v>7859</v>
      </c>
      <c r="I3378" s="267" t="s">
        <v>4019</v>
      </c>
      <c r="J3378" s="267" t="s">
        <v>3928</v>
      </c>
      <c r="K3378" s="267">
        <v>6708</v>
      </c>
      <c r="L3378" s="267">
        <v>352000</v>
      </c>
      <c r="M3378" s="267" t="s">
        <v>3935</v>
      </c>
      <c r="N3378" s="267" t="s">
        <v>3944</v>
      </c>
      <c r="O3378" s="267">
        <v>3662.4</v>
      </c>
      <c r="P3378" s="267" t="s">
        <v>3944</v>
      </c>
      <c r="Q3378" s="267" t="s">
        <v>3944</v>
      </c>
      <c r="R3378" s="267">
        <v>3662.4</v>
      </c>
      <c r="S3378" s="267">
        <v>47941.97</v>
      </c>
      <c r="T3378" s="267">
        <v>51604.37</v>
      </c>
      <c r="U3378" s="268" t="s">
        <v>3945</v>
      </c>
      <c r="V3378" s="267" t="s">
        <v>944</v>
      </c>
    </row>
    <row r="3379" spans="1:22" hidden="1" x14ac:dyDescent="0.25">
      <c r="A3379" s="269">
        <v>43637</v>
      </c>
      <c r="B3379" s="270">
        <v>2019</v>
      </c>
      <c r="C3379" s="270">
        <v>2019</v>
      </c>
      <c r="D3379" s="270">
        <v>1</v>
      </c>
      <c r="E3379" s="270">
        <v>1</v>
      </c>
      <c r="F3379" s="270" t="s">
        <v>944</v>
      </c>
      <c r="G3379" s="270" t="s">
        <v>3926</v>
      </c>
      <c r="H3379" s="270" t="s">
        <v>7860</v>
      </c>
      <c r="I3379" s="270" t="s">
        <v>3968</v>
      </c>
      <c r="J3379" s="270" t="s">
        <v>3928</v>
      </c>
      <c r="K3379" s="270">
        <v>6042</v>
      </c>
      <c r="L3379" s="270">
        <v>514900</v>
      </c>
      <c r="M3379" s="270" t="s">
        <v>3960</v>
      </c>
      <c r="N3379" s="270" t="s">
        <v>3944</v>
      </c>
      <c r="O3379" s="270">
        <v>847.21</v>
      </c>
      <c r="P3379" s="270" t="s">
        <v>3944</v>
      </c>
      <c r="Q3379" s="270" t="s">
        <v>3944</v>
      </c>
      <c r="R3379" s="270">
        <v>847.21</v>
      </c>
      <c r="S3379" s="270">
        <v>11213.11</v>
      </c>
      <c r="T3379" s="270">
        <v>12060.32</v>
      </c>
      <c r="U3379" s="271" t="s">
        <v>3945</v>
      </c>
      <c r="V3379" s="267" t="s">
        <v>944</v>
      </c>
    </row>
    <row r="3380" spans="1:22" hidden="1" x14ac:dyDescent="0.25">
      <c r="A3380" s="266">
        <v>43637</v>
      </c>
      <c r="B3380" s="267">
        <v>2019</v>
      </c>
      <c r="C3380" s="267">
        <v>2019</v>
      </c>
      <c r="D3380" s="267">
        <v>1</v>
      </c>
      <c r="E3380" s="267">
        <v>1</v>
      </c>
      <c r="F3380" s="267" t="s">
        <v>944</v>
      </c>
      <c r="G3380" s="267" t="s">
        <v>3926</v>
      </c>
      <c r="H3380" s="267" t="s">
        <v>7861</v>
      </c>
      <c r="I3380" s="267" t="s">
        <v>950</v>
      </c>
      <c r="J3380" s="267" t="s">
        <v>3928</v>
      </c>
      <c r="K3380" s="267">
        <v>6516</v>
      </c>
      <c r="L3380" s="267">
        <v>154700</v>
      </c>
      <c r="M3380" s="267" t="s">
        <v>3960</v>
      </c>
      <c r="N3380" s="267" t="s">
        <v>3944</v>
      </c>
      <c r="O3380" s="267">
        <v>1337.91</v>
      </c>
      <c r="P3380" s="267" t="s">
        <v>3944</v>
      </c>
      <c r="Q3380" s="267" t="s">
        <v>3944</v>
      </c>
      <c r="R3380" s="267">
        <v>1337.91</v>
      </c>
      <c r="S3380" s="267">
        <v>19092.849999999999</v>
      </c>
      <c r="T3380" s="267">
        <v>20430.759999999998</v>
      </c>
      <c r="U3380" s="268" t="s">
        <v>3945</v>
      </c>
      <c r="V3380" s="267" t="s">
        <v>944</v>
      </c>
    </row>
    <row r="3381" spans="1:22" hidden="1" x14ac:dyDescent="0.25">
      <c r="A3381" s="269">
        <v>43637</v>
      </c>
      <c r="B3381" s="270">
        <v>2019</v>
      </c>
      <c r="C3381" s="270">
        <v>2019</v>
      </c>
      <c r="D3381" s="270">
        <v>1</v>
      </c>
      <c r="E3381" s="270">
        <v>1</v>
      </c>
      <c r="F3381" s="270" t="s">
        <v>944</v>
      </c>
      <c r="G3381" s="270" t="s">
        <v>3926</v>
      </c>
      <c r="H3381" s="270" t="s">
        <v>7862</v>
      </c>
      <c r="I3381" s="270" t="s">
        <v>956</v>
      </c>
      <c r="J3381" s="270" t="s">
        <v>3928</v>
      </c>
      <c r="K3381" s="270">
        <v>6614</v>
      </c>
      <c r="L3381" s="270">
        <v>81000</v>
      </c>
      <c r="M3381" s="270" t="s">
        <v>3940</v>
      </c>
      <c r="N3381" s="270" t="s">
        <v>3944</v>
      </c>
      <c r="O3381" s="270">
        <v>1202.08</v>
      </c>
      <c r="P3381" s="270" t="s">
        <v>3944</v>
      </c>
      <c r="Q3381" s="270" t="s">
        <v>3944</v>
      </c>
      <c r="R3381" s="270">
        <v>1202.08</v>
      </c>
      <c r="S3381" s="270">
        <v>19813.05</v>
      </c>
      <c r="T3381" s="270">
        <v>21015.13</v>
      </c>
      <c r="U3381" s="271" t="s">
        <v>3945</v>
      </c>
      <c r="V3381" s="267" t="s">
        <v>944</v>
      </c>
    </row>
    <row r="3382" spans="1:22" hidden="1" x14ac:dyDescent="0.25">
      <c r="A3382" s="266">
        <v>43637</v>
      </c>
      <c r="B3382" s="267">
        <v>2019</v>
      </c>
      <c r="C3382" s="267">
        <v>2019</v>
      </c>
      <c r="D3382" s="267">
        <v>1</v>
      </c>
      <c r="E3382" s="267">
        <v>1</v>
      </c>
      <c r="F3382" s="267" t="s">
        <v>944</v>
      </c>
      <c r="G3382" s="267" t="s">
        <v>3926</v>
      </c>
      <c r="H3382" s="267" t="s">
        <v>7863</v>
      </c>
      <c r="I3382" s="267" t="s">
        <v>3956</v>
      </c>
      <c r="J3382" s="267" t="s">
        <v>3928</v>
      </c>
      <c r="K3382" s="267">
        <v>6106</v>
      </c>
      <c r="L3382" s="267">
        <v>524700</v>
      </c>
      <c r="M3382" s="267" t="s">
        <v>3935</v>
      </c>
      <c r="N3382" s="267" t="s">
        <v>3944</v>
      </c>
      <c r="O3382" s="267">
        <v>843.89</v>
      </c>
      <c r="P3382" s="267" t="s">
        <v>3944</v>
      </c>
      <c r="Q3382" s="267" t="s">
        <v>3944</v>
      </c>
      <c r="R3382" s="267">
        <v>843.89</v>
      </c>
      <c r="S3382" s="267">
        <v>10826.55</v>
      </c>
      <c r="T3382" s="267">
        <v>11670.44</v>
      </c>
      <c r="U3382" s="268" t="s">
        <v>3945</v>
      </c>
      <c r="V3382" s="267" t="s">
        <v>944</v>
      </c>
    </row>
    <row r="3383" spans="1:22" hidden="1" x14ac:dyDescent="0.25">
      <c r="A3383" s="269">
        <v>43637</v>
      </c>
      <c r="B3383" s="270">
        <v>2019</v>
      </c>
      <c r="C3383" s="270">
        <v>2019</v>
      </c>
      <c r="D3383" s="270">
        <v>1</v>
      </c>
      <c r="E3383" s="270">
        <v>1</v>
      </c>
      <c r="F3383" s="270" t="s">
        <v>944</v>
      </c>
      <c r="G3383" s="270" t="s">
        <v>3926</v>
      </c>
      <c r="H3383" s="270" t="s">
        <v>7864</v>
      </c>
      <c r="I3383" s="270" t="s">
        <v>4037</v>
      </c>
      <c r="J3383" s="270" t="s">
        <v>3928</v>
      </c>
      <c r="K3383" s="270">
        <v>6810</v>
      </c>
      <c r="L3383" s="270">
        <v>210300</v>
      </c>
      <c r="M3383" s="270" t="s">
        <v>3940</v>
      </c>
      <c r="N3383" s="270" t="s">
        <v>3944</v>
      </c>
      <c r="O3383" s="270">
        <v>1220.31</v>
      </c>
      <c r="P3383" s="270" t="s">
        <v>3944</v>
      </c>
      <c r="Q3383" s="270" t="s">
        <v>3944</v>
      </c>
      <c r="R3383" s="270">
        <v>1220.31</v>
      </c>
      <c r="S3383" s="270">
        <v>21690.34</v>
      </c>
      <c r="T3383" s="270">
        <v>22910.65</v>
      </c>
      <c r="U3383" s="271" t="s">
        <v>3945</v>
      </c>
      <c r="V3383" s="267" t="s">
        <v>944</v>
      </c>
    </row>
    <row r="3384" spans="1:22" x14ac:dyDescent="0.25">
      <c r="A3384" s="266">
        <v>43637</v>
      </c>
      <c r="B3384" s="267">
        <v>2019</v>
      </c>
      <c r="C3384" s="267">
        <v>2019</v>
      </c>
      <c r="D3384" s="267">
        <v>1</v>
      </c>
      <c r="E3384" s="267">
        <v>1</v>
      </c>
      <c r="F3384" s="267" t="s">
        <v>944</v>
      </c>
      <c r="G3384" s="267" t="s">
        <v>3926</v>
      </c>
      <c r="H3384" s="267" t="s">
        <v>7865</v>
      </c>
      <c r="I3384" s="267" t="s">
        <v>943</v>
      </c>
      <c r="J3384" s="267" t="s">
        <v>3928</v>
      </c>
      <c r="K3384" s="267">
        <v>6513</v>
      </c>
      <c r="L3384" s="267">
        <v>142400</v>
      </c>
      <c r="M3384" s="267">
        <v>-60</v>
      </c>
      <c r="N3384" s="267" t="s">
        <v>3944</v>
      </c>
      <c r="O3384" s="267">
        <v>1212.44</v>
      </c>
      <c r="P3384" s="267" t="s">
        <v>3944</v>
      </c>
      <c r="Q3384" s="267" t="s">
        <v>3944</v>
      </c>
      <c r="R3384" s="267">
        <v>1212.44</v>
      </c>
      <c r="S3384" s="267">
        <v>17538.25</v>
      </c>
      <c r="T3384" s="267">
        <v>18750.689999999999</v>
      </c>
      <c r="U3384" s="268" t="s">
        <v>3945</v>
      </c>
      <c r="V3384" s="276" t="s">
        <v>936</v>
      </c>
    </row>
    <row r="3385" spans="1:22" hidden="1" x14ac:dyDescent="0.25">
      <c r="A3385" s="269">
        <v>43637</v>
      </c>
      <c r="B3385" s="270">
        <v>2019</v>
      </c>
      <c r="C3385" s="270">
        <v>2019</v>
      </c>
      <c r="D3385" s="270">
        <v>1</v>
      </c>
      <c r="E3385" s="270">
        <v>1</v>
      </c>
      <c r="F3385" s="270" t="s">
        <v>944</v>
      </c>
      <c r="G3385" s="270" t="s">
        <v>3926</v>
      </c>
      <c r="H3385" s="270" t="s">
        <v>7866</v>
      </c>
      <c r="I3385" s="270" t="s">
        <v>4239</v>
      </c>
      <c r="J3385" s="270" t="s">
        <v>3928</v>
      </c>
      <c r="K3385" s="270">
        <v>6032</v>
      </c>
      <c r="L3385" s="270">
        <v>460301</v>
      </c>
      <c r="M3385" s="270" t="s">
        <v>3943</v>
      </c>
      <c r="N3385" s="270" t="s">
        <v>3944</v>
      </c>
      <c r="O3385" s="270">
        <v>800.35</v>
      </c>
      <c r="P3385" s="270" t="s">
        <v>3944</v>
      </c>
      <c r="Q3385" s="270" t="s">
        <v>3944</v>
      </c>
      <c r="R3385" s="270">
        <v>800.35</v>
      </c>
      <c r="S3385" s="270">
        <v>11245.52</v>
      </c>
      <c r="T3385" s="270">
        <v>12045.87</v>
      </c>
      <c r="U3385" s="271" t="s">
        <v>3945</v>
      </c>
      <c r="V3385" s="267" t="s">
        <v>944</v>
      </c>
    </row>
    <row r="3386" spans="1:22" hidden="1" x14ac:dyDescent="0.25">
      <c r="A3386" s="266">
        <v>43637</v>
      </c>
      <c r="B3386" s="267">
        <v>2019</v>
      </c>
      <c r="C3386" s="267">
        <v>2019</v>
      </c>
      <c r="D3386" s="267">
        <v>1</v>
      </c>
      <c r="E3386" s="267">
        <v>1</v>
      </c>
      <c r="F3386" s="267" t="s">
        <v>944</v>
      </c>
      <c r="G3386" s="267" t="s">
        <v>3926</v>
      </c>
      <c r="H3386" s="267" t="s">
        <v>7867</v>
      </c>
      <c r="I3386" s="267" t="s">
        <v>4108</v>
      </c>
      <c r="J3386" s="267" t="s">
        <v>3928</v>
      </c>
      <c r="K3386" s="267">
        <v>6082</v>
      </c>
      <c r="L3386" s="267">
        <v>481200</v>
      </c>
      <c r="M3386" s="267" t="s">
        <v>3960</v>
      </c>
      <c r="N3386" s="267" t="s">
        <v>3944</v>
      </c>
      <c r="O3386" s="267">
        <v>1681.58</v>
      </c>
      <c r="P3386" s="267" t="s">
        <v>3944</v>
      </c>
      <c r="Q3386" s="267" t="s">
        <v>3944</v>
      </c>
      <c r="R3386" s="267">
        <v>1681.58</v>
      </c>
      <c r="S3386" s="267">
        <v>24891.25</v>
      </c>
      <c r="T3386" s="267">
        <v>26572.83</v>
      </c>
      <c r="U3386" s="268" t="s">
        <v>3945</v>
      </c>
      <c r="V3386" s="267" t="s">
        <v>944</v>
      </c>
    </row>
    <row r="3387" spans="1:22" hidden="1" x14ac:dyDescent="0.25">
      <c r="A3387" s="269">
        <v>43637</v>
      </c>
      <c r="B3387" s="270">
        <v>2019</v>
      </c>
      <c r="C3387" s="270">
        <v>2019</v>
      </c>
      <c r="D3387" s="270">
        <v>1</v>
      </c>
      <c r="E3387" s="270">
        <v>1</v>
      </c>
      <c r="F3387" s="270" t="s">
        <v>944</v>
      </c>
      <c r="G3387" s="270" t="s">
        <v>3926</v>
      </c>
      <c r="H3387" s="270" t="s">
        <v>7868</v>
      </c>
      <c r="I3387" s="270" t="s">
        <v>956</v>
      </c>
      <c r="J3387" s="270" t="s">
        <v>3928</v>
      </c>
      <c r="K3387" s="270">
        <v>6615</v>
      </c>
      <c r="L3387" s="270">
        <v>80400</v>
      </c>
      <c r="M3387" s="270" t="s">
        <v>3940</v>
      </c>
      <c r="N3387" s="270" t="s">
        <v>3944</v>
      </c>
      <c r="O3387" s="270">
        <v>2293.17</v>
      </c>
      <c r="P3387" s="270" t="s">
        <v>3944</v>
      </c>
      <c r="Q3387" s="270" t="s">
        <v>3944</v>
      </c>
      <c r="R3387" s="270">
        <v>2293.17</v>
      </c>
      <c r="S3387" s="270">
        <v>30909.49</v>
      </c>
      <c r="T3387" s="270">
        <v>33202.660000000003</v>
      </c>
      <c r="U3387" s="271" t="s">
        <v>3945</v>
      </c>
      <c r="V3387" s="267" t="s">
        <v>944</v>
      </c>
    </row>
    <row r="3388" spans="1:22" hidden="1" x14ac:dyDescent="0.25">
      <c r="A3388" s="266">
        <v>43637</v>
      </c>
      <c r="B3388" s="267">
        <v>2019</v>
      </c>
      <c r="C3388" s="267">
        <v>2019</v>
      </c>
      <c r="D3388" s="267">
        <v>1</v>
      </c>
      <c r="E3388" s="267">
        <v>1</v>
      </c>
      <c r="F3388" s="267" t="s">
        <v>944</v>
      </c>
      <c r="G3388" s="267" t="s">
        <v>3926</v>
      </c>
      <c r="H3388" s="267" t="s">
        <v>7869</v>
      </c>
      <c r="I3388" s="267" t="s">
        <v>3008</v>
      </c>
      <c r="J3388" s="267" t="s">
        <v>3928</v>
      </c>
      <c r="K3388" s="267">
        <v>6460</v>
      </c>
      <c r="L3388" s="267">
        <v>151200</v>
      </c>
      <c r="M3388" s="267" t="s">
        <v>3935</v>
      </c>
      <c r="N3388" s="267" t="s">
        <v>3944</v>
      </c>
      <c r="O3388" s="267">
        <v>1729.7</v>
      </c>
      <c r="P3388" s="267" t="s">
        <v>3944</v>
      </c>
      <c r="Q3388" s="267" t="s">
        <v>3944</v>
      </c>
      <c r="R3388" s="267">
        <v>1729.7</v>
      </c>
      <c r="S3388" s="267">
        <v>28150.91</v>
      </c>
      <c r="T3388" s="267">
        <v>29880.61</v>
      </c>
      <c r="U3388" s="268" t="s">
        <v>3945</v>
      </c>
      <c r="V3388" s="267" t="s">
        <v>944</v>
      </c>
    </row>
    <row r="3389" spans="1:22" hidden="1" x14ac:dyDescent="0.25">
      <c r="A3389" s="269">
        <v>43637</v>
      </c>
      <c r="B3389" s="270">
        <v>2019</v>
      </c>
      <c r="C3389" s="270">
        <v>2019</v>
      </c>
      <c r="D3389" s="270">
        <v>1</v>
      </c>
      <c r="E3389" s="270">
        <v>1</v>
      </c>
      <c r="F3389" s="270" t="s">
        <v>944</v>
      </c>
      <c r="G3389" s="270" t="s">
        <v>3926</v>
      </c>
      <c r="H3389" s="270" t="s">
        <v>7870</v>
      </c>
      <c r="I3389" s="270" t="s">
        <v>4019</v>
      </c>
      <c r="J3389" s="270" t="s">
        <v>3928</v>
      </c>
      <c r="K3389" s="270">
        <v>6704</v>
      </c>
      <c r="L3389" s="270">
        <v>351000</v>
      </c>
      <c r="M3389" s="270" t="s">
        <v>3940</v>
      </c>
      <c r="N3389" s="270" t="s">
        <v>3944</v>
      </c>
      <c r="O3389" s="270">
        <v>1887.73</v>
      </c>
      <c r="P3389" s="270" t="s">
        <v>3944</v>
      </c>
      <c r="Q3389" s="270" t="s">
        <v>3944</v>
      </c>
      <c r="R3389" s="270">
        <v>1887.73</v>
      </c>
      <c r="S3389" s="270">
        <v>24249.66</v>
      </c>
      <c r="T3389" s="270">
        <v>26137.39</v>
      </c>
      <c r="U3389" s="271" t="s">
        <v>3945</v>
      </c>
      <c r="V3389" s="267" t="s">
        <v>944</v>
      </c>
    </row>
    <row r="3390" spans="1:22" hidden="1" x14ac:dyDescent="0.25">
      <c r="A3390" s="266">
        <v>43637</v>
      </c>
      <c r="B3390" s="267">
        <v>2019</v>
      </c>
      <c r="C3390" s="267">
        <v>2019</v>
      </c>
      <c r="D3390" s="267">
        <v>1</v>
      </c>
      <c r="E3390" s="267">
        <v>1</v>
      </c>
      <c r="F3390" s="267" t="s">
        <v>944</v>
      </c>
      <c r="G3390" s="267" t="s">
        <v>3926</v>
      </c>
      <c r="H3390" s="267" t="s">
        <v>7871</v>
      </c>
      <c r="I3390" s="267" t="s">
        <v>3008</v>
      </c>
      <c r="J3390" s="267" t="s">
        <v>3928</v>
      </c>
      <c r="K3390" s="267">
        <v>6460</v>
      </c>
      <c r="L3390" s="267">
        <v>151000</v>
      </c>
      <c r="M3390" s="267" t="s">
        <v>3960</v>
      </c>
      <c r="N3390" s="267" t="s">
        <v>3944</v>
      </c>
      <c r="O3390" s="267">
        <v>1974.84</v>
      </c>
      <c r="P3390" s="267" t="s">
        <v>3944</v>
      </c>
      <c r="Q3390" s="267" t="s">
        <v>3944</v>
      </c>
      <c r="R3390" s="267">
        <v>1974.84</v>
      </c>
      <c r="S3390" s="267">
        <v>33253.26</v>
      </c>
      <c r="T3390" s="267">
        <v>35228.1</v>
      </c>
      <c r="U3390" s="268" t="s">
        <v>3945</v>
      </c>
      <c r="V3390" s="267" t="s">
        <v>944</v>
      </c>
    </row>
    <row r="3391" spans="1:22" hidden="1" x14ac:dyDescent="0.25">
      <c r="A3391" s="269">
        <v>43637</v>
      </c>
      <c r="B3391" s="270">
        <v>2019</v>
      </c>
      <c r="C3391" s="270">
        <v>2019</v>
      </c>
      <c r="D3391" s="270">
        <v>1</v>
      </c>
      <c r="E3391" s="270">
        <v>1</v>
      </c>
      <c r="F3391" s="270" t="s">
        <v>944</v>
      </c>
      <c r="G3391" s="270" t="s">
        <v>3926</v>
      </c>
      <c r="H3391" s="270" t="s">
        <v>7872</v>
      </c>
      <c r="I3391" s="270" t="s">
        <v>4213</v>
      </c>
      <c r="J3391" s="270" t="s">
        <v>3928</v>
      </c>
      <c r="K3391" s="270">
        <v>6053</v>
      </c>
      <c r="L3391" s="270">
        <v>416800</v>
      </c>
      <c r="M3391" s="270" t="s">
        <v>3940</v>
      </c>
      <c r="N3391" s="270" t="s">
        <v>3944</v>
      </c>
      <c r="O3391" s="270">
        <v>1130.71</v>
      </c>
      <c r="P3391" s="270" t="s">
        <v>3944</v>
      </c>
      <c r="Q3391" s="270" t="s">
        <v>3944</v>
      </c>
      <c r="R3391" s="270">
        <v>1130.71</v>
      </c>
      <c r="S3391" s="270">
        <v>15685.04</v>
      </c>
      <c r="T3391" s="270">
        <v>16815.75</v>
      </c>
      <c r="U3391" s="271" t="s">
        <v>3945</v>
      </c>
      <c r="V3391" s="267" t="s">
        <v>944</v>
      </c>
    </row>
    <row r="3392" spans="1:22" hidden="1" x14ac:dyDescent="0.25">
      <c r="A3392" s="266">
        <v>43637</v>
      </c>
      <c r="B3392" s="267">
        <v>2019</v>
      </c>
      <c r="C3392" s="267">
        <v>2019</v>
      </c>
      <c r="D3392" s="267">
        <v>1</v>
      </c>
      <c r="E3392" s="267">
        <v>1</v>
      </c>
      <c r="F3392" s="267" t="s">
        <v>944</v>
      </c>
      <c r="G3392" s="267" t="s">
        <v>3926</v>
      </c>
      <c r="H3392" s="267" t="s">
        <v>7873</v>
      </c>
      <c r="I3392" s="267" t="s">
        <v>950</v>
      </c>
      <c r="J3392" s="267" t="s">
        <v>3928</v>
      </c>
      <c r="K3392" s="267">
        <v>6516</v>
      </c>
      <c r="L3392" s="267">
        <v>154600</v>
      </c>
      <c r="M3392" s="267">
        <v>-60</v>
      </c>
      <c r="N3392" s="267" t="s">
        <v>3944</v>
      </c>
      <c r="O3392" s="267">
        <v>754.08</v>
      </c>
      <c r="P3392" s="267" t="s">
        <v>3944</v>
      </c>
      <c r="Q3392" s="267" t="s">
        <v>3944</v>
      </c>
      <c r="R3392" s="267">
        <v>754.08</v>
      </c>
      <c r="S3392" s="267">
        <v>15267.6</v>
      </c>
      <c r="T3392" s="267">
        <v>16021.68</v>
      </c>
      <c r="U3392" s="268" t="s">
        <v>3945</v>
      </c>
      <c r="V3392" s="267" t="s">
        <v>944</v>
      </c>
    </row>
    <row r="3393" spans="1:22" hidden="1" x14ac:dyDescent="0.25">
      <c r="A3393" s="269">
        <v>43637</v>
      </c>
      <c r="B3393" s="270">
        <v>2019</v>
      </c>
      <c r="C3393" s="270">
        <v>2019</v>
      </c>
      <c r="D3393" s="270">
        <v>1</v>
      </c>
      <c r="E3393" s="270">
        <v>1</v>
      </c>
      <c r="F3393" s="270" t="s">
        <v>944</v>
      </c>
      <c r="G3393" s="270" t="s">
        <v>3926</v>
      </c>
      <c r="H3393" s="270" t="s">
        <v>7874</v>
      </c>
      <c r="I3393" s="270" t="s">
        <v>4392</v>
      </c>
      <c r="J3393" s="270" t="s">
        <v>3928</v>
      </c>
      <c r="K3393" s="270">
        <v>6457</v>
      </c>
      <c r="L3393" s="270">
        <v>541500</v>
      </c>
      <c r="M3393" s="270" t="s">
        <v>3940</v>
      </c>
      <c r="N3393" s="270" t="s">
        <v>3944</v>
      </c>
      <c r="O3393" s="270">
        <v>734.41</v>
      </c>
      <c r="P3393" s="270" t="s">
        <v>3944</v>
      </c>
      <c r="Q3393" s="270" t="s">
        <v>3944</v>
      </c>
      <c r="R3393" s="270">
        <v>734.41</v>
      </c>
      <c r="S3393" s="270">
        <v>9766.0400000000009</v>
      </c>
      <c r="T3393" s="270">
        <v>10500.45</v>
      </c>
      <c r="U3393" s="271" t="s">
        <v>3945</v>
      </c>
      <c r="V3393" s="267" t="s">
        <v>944</v>
      </c>
    </row>
    <row r="3394" spans="1:22" hidden="1" x14ac:dyDescent="0.25">
      <c r="A3394" s="266">
        <v>43637</v>
      </c>
      <c r="B3394" s="267">
        <v>2019</v>
      </c>
      <c r="C3394" s="267">
        <v>2019</v>
      </c>
      <c r="D3394" s="267">
        <v>1</v>
      </c>
      <c r="E3394" s="267">
        <v>1</v>
      </c>
      <c r="F3394" s="267" t="s">
        <v>944</v>
      </c>
      <c r="G3394" s="267" t="s">
        <v>3926</v>
      </c>
      <c r="H3394" s="267" t="s">
        <v>7875</v>
      </c>
      <c r="I3394" s="267" t="s">
        <v>4003</v>
      </c>
      <c r="J3394" s="267" t="s">
        <v>3928</v>
      </c>
      <c r="K3394" s="267">
        <v>6374</v>
      </c>
      <c r="L3394" s="267">
        <v>907100</v>
      </c>
      <c r="M3394" s="267" t="s">
        <v>3935</v>
      </c>
      <c r="N3394" s="267" t="s">
        <v>3944</v>
      </c>
      <c r="O3394" s="267">
        <v>2273.46</v>
      </c>
      <c r="P3394" s="267" t="s">
        <v>3944</v>
      </c>
      <c r="Q3394" s="267" t="s">
        <v>3944</v>
      </c>
      <c r="R3394" s="267">
        <v>2273.46</v>
      </c>
      <c r="S3394" s="267">
        <v>27978.95</v>
      </c>
      <c r="T3394" s="267">
        <v>30252.41</v>
      </c>
      <c r="U3394" s="268" t="s">
        <v>3945</v>
      </c>
      <c r="V3394" s="267" t="s">
        <v>944</v>
      </c>
    </row>
    <row r="3395" spans="1:22" hidden="1" x14ac:dyDescent="0.25">
      <c r="A3395" s="269">
        <v>43637</v>
      </c>
      <c r="B3395" s="270">
        <v>2019</v>
      </c>
      <c r="C3395" s="270">
        <v>2019</v>
      </c>
      <c r="D3395" s="270">
        <v>1</v>
      </c>
      <c r="E3395" s="270">
        <v>1</v>
      </c>
      <c r="F3395" s="270" t="s">
        <v>944</v>
      </c>
      <c r="G3395" s="270" t="s">
        <v>3926</v>
      </c>
      <c r="H3395" s="270" t="s">
        <v>7876</v>
      </c>
      <c r="I3395" s="270" t="s">
        <v>3008</v>
      </c>
      <c r="J3395" s="270" t="s">
        <v>3928</v>
      </c>
      <c r="K3395" s="270">
        <v>6460</v>
      </c>
      <c r="L3395" s="270">
        <v>151000</v>
      </c>
      <c r="M3395" s="270" t="s">
        <v>3960</v>
      </c>
      <c r="N3395" s="270" t="s">
        <v>3944</v>
      </c>
      <c r="O3395" s="270">
        <v>2629.59</v>
      </c>
      <c r="P3395" s="270" t="s">
        <v>3944</v>
      </c>
      <c r="Q3395" s="270" t="s">
        <v>3944</v>
      </c>
      <c r="R3395" s="270">
        <v>2629.59</v>
      </c>
      <c r="S3395" s="270">
        <v>39503.129999999997</v>
      </c>
      <c r="T3395" s="270">
        <v>42132.72</v>
      </c>
      <c r="U3395" s="271" t="s">
        <v>3945</v>
      </c>
      <c r="V3395" s="267" t="s">
        <v>944</v>
      </c>
    </row>
    <row r="3396" spans="1:22" hidden="1" x14ac:dyDescent="0.25">
      <c r="A3396" s="266">
        <v>43637</v>
      </c>
      <c r="B3396" s="267">
        <v>2019</v>
      </c>
      <c r="C3396" s="267">
        <v>2019</v>
      </c>
      <c r="D3396" s="267">
        <v>1</v>
      </c>
      <c r="E3396" s="267">
        <v>1</v>
      </c>
      <c r="F3396" s="267" t="s">
        <v>944</v>
      </c>
      <c r="G3396" s="267" t="s">
        <v>3926</v>
      </c>
      <c r="H3396" s="267" t="s">
        <v>7877</v>
      </c>
      <c r="I3396" s="267" t="s">
        <v>4665</v>
      </c>
      <c r="J3396" s="267" t="s">
        <v>3928</v>
      </c>
      <c r="K3396" s="267">
        <v>6073</v>
      </c>
      <c r="L3396" s="267">
        <v>520202</v>
      </c>
      <c r="M3396" s="267" t="s">
        <v>3943</v>
      </c>
      <c r="N3396" s="267" t="s">
        <v>3944</v>
      </c>
      <c r="O3396" s="267">
        <v>2103.8200000000002</v>
      </c>
      <c r="P3396" s="267" t="s">
        <v>3944</v>
      </c>
      <c r="Q3396" s="267" t="s">
        <v>3944</v>
      </c>
      <c r="R3396" s="267">
        <v>2103.8200000000002</v>
      </c>
      <c r="S3396" s="267">
        <v>28283.86</v>
      </c>
      <c r="T3396" s="267">
        <v>30387.68</v>
      </c>
      <c r="U3396" s="268" t="s">
        <v>3945</v>
      </c>
      <c r="V3396" s="267" t="s">
        <v>944</v>
      </c>
    </row>
    <row r="3397" spans="1:22" hidden="1" x14ac:dyDescent="0.25">
      <c r="A3397" s="269">
        <v>43637</v>
      </c>
      <c r="B3397" s="270">
        <v>2019</v>
      </c>
      <c r="C3397" s="270">
        <v>2019</v>
      </c>
      <c r="D3397" s="270">
        <v>1</v>
      </c>
      <c r="E3397" s="270">
        <v>1</v>
      </c>
      <c r="F3397" s="270" t="s">
        <v>944</v>
      </c>
      <c r="G3397" s="270" t="s">
        <v>3926</v>
      </c>
      <c r="H3397" s="270" t="s">
        <v>7878</v>
      </c>
      <c r="I3397" s="270" t="s">
        <v>4042</v>
      </c>
      <c r="J3397" s="270" t="s">
        <v>3928</v>
      </c>
      <c r="K3397" s="270">
        <v>6382</v>
      </c>
      <c r="L3397" s="270">
        <v>870501</v>
      </c>
      <c r="M3397" s="270" t="s">
        <v>3935</v>
      </c>
      <c r="N3397" s="270" t="s">
        <v>3944</v>
      </c>
      <c r="O3397" s="270">
        <v>2266.4299999999998</v>
      </c>
      <c r="P3397" s="270" t="s">
        <v>3944</v>
      </c>
      <c r="Q3397" s="270" t="s">
        <v>3944</v>
      </c>
      <c r="R3397" s="270">
        <v>2266.4299999999998</v>
      </c>
      <c r="S3397" s="270">
        <v>32222.99</v>
      </c>
      <c r="T3397" s="270">
        <v>34489.42</v>
      </c>
      <c r="U3397" s="271" t="s">
        <v>3945</v>
      </c>
      <c r="V3397" s="267" t="s">
        <v>944</v>
      </c>
    </row>
    <row r="3398" spans="1:22" hidden="1" x14ac:dyDescent="0.25">
      <c r="A3398" s="266">
        <v>43638</v>
      </c>
      <c r="B3398" s="267">
        <v>2019</v>
      </c>
      <c r="C3398" s="267">
        <v>2019</v>
      </c>
      <c r="D3398" s="267">
        <v>1</v>
      </c>
      <c r="E3398" s="267">
        <v>1</v>
      </c>
      <c r="F3398" s="267" t="s">
        <v>944</v>
      </c>
      <c r="G3398" s="267" t="s">
        <v>3997</v>
      </c>
      <c r="H3398" s="267" t="s">
        <v>7879</v>
      </c>
      <c r="I3398" s="267" t="s">
        <v>3956</v>
      </c>
      <c r="J3398" s="267" t="s">
        <v>3928</v>
      </c>
      <c r="K3398" s="267">
        <v>6106</v>
      </c>
      <c r="L3398" s="267">
        <v>504800</v>
      </c>
      <c r="M3398" s="267" t="s">
        <v>3940</v>
      </c>
      <c r="N3398" s="267" t="s">
        <v>7880</v>
      </c>
      <c r="O3398" s="267">
        <v>0</v>
      </c>
      <c r="P3398" s="267" t="s">
        <v>3930</v>
      </c>
      <c r="Q3398" s="267" t="s">
        <v>3931</v>
      </c>
      <c r="R3398" s="267">
        <v>5000</v>
      </c>
      <c r="S3398" s="267">
        <v>15064</v>
      </c>
      <c r="T3398" s="267">
        <v>20064</v>
      </c>
      <c r="U3398" s="268" t="s">
        <v>3932</v>
      </c>
      <c r="V3398" s="267" t="s">
        <v>944</v>
      </c>
    </row>
    <row r="3399" spans="1:22" hidden="1" x14ac:dyDescent="0.25">
      <c r="A3399" s="269">
        <v>43640</v>
      </c>
      <c r="B3399" s="270">
        <v>2019</v>
      </c>
      <c r="C3399" s="270">
        <v>2019</v>
      </c>
      <c r="D3399" s="270">
        <v>1</v>
      </c>
      <c r="E3399" s="270">
        <v>1</v>
      </c>
      <c r="F3399" s="270" t="s">
        <v>944</v>
      </c>
      <c r="G3399" s="270" t="s">
        <v>3926</v>
      </c>
      <c r="H3399" s="270" t="s">
        <v>7881</v>
      </c>
      <c r="I3399" s="270" t="s">
        <v>3964</v>
      </c>
      <c r="J3399" s="270" t="s">
        <v>3928</v>
      </c>
      <c r="K3399" s="270">
        <v>6033</v>
      </c>
      <c r="L3399" s="270">
        <v>520100</v>
      </c>
      <c r="M3399" s="270" t="s">
        <v>3943</v>
      </c>
      <c r="N3399" s="270" t="s">
        <v>7882</v>
      </c>
      <c r="O3399" s="270">
        <v>0</v>
      </c>
      <c r="P3399" s="270" t="s">
        <v>3930</v>
      </c>
      <c r="Q3399" s="270" t="s">
        <v>3930</v>
      </c>
      <c r="R3399" s="270">
        <v>0</v>
      </c>
      <c r="S3399" s="270">
        <v>9760</v>
      </c>
      <c r="T3399" s="270">
        <v>9760</v>
      </c>
      <c r="U3399" s="271" t="s">
        <v>3937</v>
      </c>
      <c r="V3399" s="267" t="s">
        <v>944</v>
      </c>
    </row>
    <row r="3400" spans="1:22" hidden="1" x14ac:dyDescent="0.25">
      <c r="A3400" s="266">
        <v>43640</v>
      </c>
      <c r="B3400" s="267">
        <v>2019</v>
      </c>
      <c r="C3400" s="267">
        <v>2019</v>
      </c>
      <c r="D3400" s="267">
        <v>1</v>
      </c>
      <c r="E3400" s="267">
        <v>1</v>
      </c>
      <c r="F3400" s="267" t="s">
        <v>944</v>
      </c>
      <c r="G3400" s="267" t="s">
        <v>3926</v>
      </c>
      <c r="H3400" s="267" t="s">
        <v>7883</v>
      </c>
      <c r="I3400" s="267" t="s">
        <v>950</v>
      </c>
      <c r="J3400" s="267" t="s">
        <v>3928</v>
      </c>
      <c r="K3400" s="267">
        <v>6516</v>
      </c>
      <c r="L3400" s="267">
        <v>154700</v>
      </c>
      <c r="M3400" s="267" t="s">
        <v>3960</v>
      </c>
      <c r="N3400" s="267" t="s">
        <v>7884</v>
      </c>
      <c r="O3400" s="267">
        <v>0</v>
      </c>
      <c r="P3400" s="267" t="s">
        <v>3930</v>
      </c>
      <c r="Q3400" s="267" t="s">
        <v>3930</v>
      </c>
      <c r="R3400" s="267">
        <v>0</v>
      </c>
      <c r="S3400" s="267">
        <v>26748</v>
      </c>
      <c r="T3400" s="267">
        <v>26748</v>
      </c>
      <c r="U3400" s="268" t="s">
        <v>3937</v>
      </c>
      <c r="V3400" s="267" t="s">
        <v>944</v>
      </c>
    </row>
    <row r="3401" spans="1:22" hidden="1" x14ac:dyDescent="0.25">
      <c r="A3401" s="269">
        <v>43640</v>
      </c>
      <c r="B3401" s="270">
        <v>2019</v>
      </c>
      <c r="C3401" s="270">
        <v>2019</v>
      </c>
      <c r="D3401" s="270">
        <v>1</v>
      </c>
      <c r="E3401" s="270">
        <v>1</v>
      </c>
      <c r="F3401" s="270" t="s">
        <v>944</v>
      </c>
      <c r="G3401" s="270" t="s">
        <v>3926</v>
      </c>
      <c r="H3401" s="270" t="s">
        <v>7885</v>
      </c>
      <c r="I3401" s="270" t="s">
        <v>4069</v>
      </c>
      <c r="J3401" s="270" t="s">
        <v>3928</v>
      </c>
      <c r="K3401" s="270">
        <v>6902</v>
      </c>
      <c r="L3401" s="270">
        <v>21900</v>
      </c>
      <c r="M3401" s="270" t="s">
        <v>3940</v>
      </c>
      <c r="N3401" s="270" t="s">
        <v>7886</v>
      </c>
      <c r="O3401" s="270">
        <v>0</v>
      </c>
      <c r="P3401" s="270" t="s">
        <v>3930</v>
      </c>
      <c r="Q3401" s="270" t="s">
        <v>3930</v>
      </c>
      <c r="R3401" s="270">
        <v>0</v>
      </c>
      <c r="S3401" s="270">
        <v>17940</v>
      </c>
      <c r="T3401" s="270">
        <v>17940</v>
      </c>
      <c r="U3401" s="271" t="s">
        <v>3937</v>
      </c>
      <c r="V3401" s="267" t="s">
        <v>944</v>
      </c>
    </row>
    <row r="3402" spans="1:22" hidden="1" x14ac:dyDescent="0.25">
      <c r="A3402" s="266">
        <v>43640</v>
      </c>
      <c r="B3402" s="267">
        <v>2019</v>
      </c>
      <c r="C3402" s="267">
        <v>2019</v>
      </c>
      <c r="D3402" s="267">
        <v>1</v>
      </c>
      <c r="E3402" s="267">
        <v>1</v>
      </c>
      <c r="F3402" s="267" t="s">
        <v>944</v>
      </c>
      <c r="G3402" s="267" t="s">
        <v>3926</v>
      </c>
      <c r="H3402" s="267" t="s">
        <v>7887</v>
      </c>
      <c r="I3402" s="267" t="s">
        <v>4019</v>
      </c>
      <c r="J3402" s="267" t="s">
        <v>3928</v>
      </c>
      <c r="K3402" s="267">
        <v>6710</v>
      </c>
      <c r="L3402" s="267">
        <v>350900</v>
      </c>
      <c r="M3402" s="267" t="s">
        <v>3935</v>
      </c>
      <c r="N3402" s="267" t="s">
        <v>5489</v>
      </c>
      <c r="O3402" s="267">
        <v>3385.79</v>
      </c>
      <c r="P3402" s="267" t="s">
        <v>3930</v>
      </c>
      <c r="Q3402" s="267" t="s">
        <v>3931</v>
      </c>
      <c r="R3402" s="267">
        <v>8385.7900000000009</v>
      </c>
      <c r="S3402" s="267">
        <v>16817.8</v>
      </c>
      <c r="T3402" s="267">
        <v>25203.59</v>
      </c>
      <c r="U3402" s="268" t="s">
        <v>3932</v>
      </c>
      <c r="V3402" s="267" t="s">
        <v>944</v>
      </c>
    </row>
    <row r="3403" spans="1:22" hidden="1" x14ac:dyDescent="0.25">
      <c r="A3403" s="269">
        <v>43640</v>
      </c>
      <c r="B3403" s="270">
        <v>2019</v>
      </c>
      <c r="C3403" s="270">
        <v>2019</v>
      </c>
      <c r="D3403" s="270">
        <v>1</v>
      </c>
      <c r="E3403" s="270">
        <v>1</v>
      </c>
      <c r="F3403" s="270" t="s">
        <v>944</v>
      </c>
      <c r="G3403" s="270" t="s">
        <v>3926</v>
      </c>
      <c r="H3403" s="270" t="s">
        <v>7888</v>
      </c>
      <c r="I3403" s="270" t="s">
        <v>3996</v>
      </c>
      <c r="J3403" s="270" t="s">
        <v>3928</v>
      </c>
      <c r="K3403" s="270">
        <v>6790</v>
      </c>
      <c r="L3403" s="270">
        <v>310803</v>
      </c>
      <c r="M3403" s="270">
        <v>-60</v>
      </c>
      <c r="N3403" s="270" t="s">
        <v>6079</v>
      </c>
      <c r="O3403" s="270">
        <v>4347.45</v>
      </c>
      <c r="P3403" s="270" t="s">
        <v>3930</v>
      </c>
      <c r="Q3403" s="270" t="s">
        <v>3931</v>
      </c>
      <c r="R3403" s="270">
        <v>9347.4500000000007</v>
      </c>
      <c r="S3403" s="270">
        <v>24808</v>
      </c>
      <c r="T3403" s="270">
        <v>34155.449999999997</v>
      </c>
      <c r="U3403" s="271" t="s">
        <v>3932</v>
      </c>
      <c r="V3403" s="267" t="s">
        <v>944</v>
      </c>
    </row>
    <row r="3404" spans="1:22" hidden="1" x14ac:dyDescent="0.25">
      <c r="A3404" s="266">
        <v>43640</v>
      </c>
      <c r="B3404" s="267">
        <v>2019</v>
      </c>
      <c r="C3404" s="267">
        <v>2019</v>
      </c>
      <c r="D3404" s="267">
        <v>1</v>
      </c>
      <c r="E3404" s="267">
        <v>1</v>
      </c>
      <c r="F3404" s="267" t="s">
        <v>944</v>
      </c>
      <c r="G3404" s="267" t="s">
        <v>3926</v>
      </c>
      <c r="H3404" s="267" t="s">
        <v>7889</v>
      </c>
      <c r="I3404" s="267" t="s">
        <v>953</v>
      </c>
      <c r="J3404" s="267" t="s">
        <v>3928</v>
      </c>
      <c r="K3404" s="267">
        <v>6514</v>
      </c>
      <c r="L3404" s="267">
        <v>165802</v>
      </c>
      <c r="M3404" s="267" t="s">
        <v>3943</v>
      </c>
      <c r="N3404" s="267" t="s">
        <v>4103</v>
      </c>
      <c r="O3404" s="267">
        <v>4132.08</v>
      </c>
      <c r="P3404" s="267" t="s">
        <v>3930</v>
      </c>
      <c r="Q3404" s="267" t="s">
        <v>3931</v>
      </c>
      <c r="R3404" s="267">
        <v>9132.08</v>
      </c>
      <c r="S3404" s="267">
        <v>24145.599999999999</v>
      </c>
      <c r="T3404" s="267">
        <v>33277.68</v>
      </c>
      <c r="U3404" s="268" t="s">
        <v>3932</v>
      </c>
      <c r="V3404" s="267" t="s">
        <v>944</v>
      </c>
    </row>
    <row r="3405" spans="1:22" hidden="1" x14ac:dyDescent="0.25">
      <c r="A3405" s="269">
        <v>43640</v>
      </c>
      <c r="B3405" s="270">
        <v>2019</v>
      </c>
      <c r="C3405" s="270">
        <v>2019</v>
      </c>
      <c r="D3405" s="270">
        <v>1</v>
      </c>
      <c r="E3405" s="270">
        <v>1</v>
      </c>
      <c r="F3405" s="270" t="s">
        <v>944</v>
      </c>
      <c r="G3405" s="270" t="s">
        <v>3926</v>
      </c>
      <c r="H3405" s="270" t="s">
        <v>7890</v>
      </c>
      <c r="I3405" s="270" t="s">
        <v>4548</v>
      </c>
      <c r="J3405" s="270" t="s">
        <v>3928</v>
      </c>
      <c r="K3405" s="270">
        <v>6037</v>
      </c>
      <c r="L3405" s="270">
        <v>400200</v>
      </c>
      <c r="M3405" s="270" t="s">
        <v>3943</v>
      </c>
      <c r="N3405" s="270" t="s">
        <v>3944</v>
      </c>
      <c r="O3405" s="270">
        <v>4893</v>
      </c>
      <c r="P3405" s="270" t="s">
        <v>3944</v>
      </c>
      <c r="Q3405" s="270" t="s">
        <v>3944</v>
      </c>
      <c r="R3405" s="270">
        <v>4893</v>
      </c>
      <c r="S3405" s="270">
        <v>50277</v>
      </c>
      <c r="T3405" s="270">
        <v>55170</v>
      </c>
      <c r="U3405" s="271" t="s">
        <v>3945</v>
      </c>
      <c r="V3405" s="267" t="s">
        <v>944</v>
      </c>
    </row>
    <row r="3406" spans="1:22" hidden="1" x14ac:dyDescent="0.25">
      <c r="A3406" s="266">
        <v>43640</v>
      </c>
      <c r="B3406" s="267">
        <v>2019</v>
      </c>
      <c r="C3406" s="267">
        <v>2019</v>
      </c>
      <c r="D3406" s="267">
        <v>1</v>
      </c>
      <c r="E3406" s="267">
        <v>1</v>
      </c>
      <c r="F3406" s="267" t="s">
        <v>944</v>
      </c>
      <c r="G3406" s="267" t="s">
        <v>3926</v>
      </c>
      <c r="H3406" s="267" t="s">
        <v>7891</v>
      </c>
      <c r="I3406" s="267" t="s">
        <v>4301</v>
      </c>
      <c r="J3406" s="267" t="s">
        <v>3928</v>
      </c>
      <c r="K3406" s="267">
        <v>6359</v>
      </c>
      <c r="L3406" s="267">
        <v>707100</v>
      </c>
      <c r="M3406" s="267" t="s">
        <v>3935</v>
      </c>
      <c r="N3406" s="267" t="s">
        <v>3944</v>
      </c>
      <c r="O3406" s="267">
        <v>4106</v>
      </c>
      <c r="P3406" s="267" t="s">
        <v>3944</v>
      </c>
      <c r="Q3406" s="267" t="s">
        <v>3944</v>
      </c>
      <c r="R3406" s="267">
        <v>4106</v>
      </c>
      <c r="S3406" s="267">
        <v>28630</v>
      </c>
      <c r="T3406" s="267">
        <v>32736</v>
      </c>
      <c r="U3406" s="268" t="s">
        <v>3945</v>
      </c>
      <c r="V3406" s="267" t="s">
        <v>944</v>
      </c>
    </row>
    <row r="3407" spans="1:22" hidden="1" x14ac:dyDescent="0.25">
      <c r="A3407" s="269">
        <v>43640</v>
      </c>
      <c r="B3407" s="270">
        <v>2019</v>
      </c>
      <c r="C3407" s="270">
        <v>2019</v>
      </c>
      <c r="D3407" s="270">
        <v>1</v>
      </c>
      <c r="E3407" s="270">
        <v>1</v>
      </c>
      <c r="F3407" s="270" t="s">
        <v>944</v>
      </c>
      <c r="G3407" s="270" t="s">
        <v>3926</v>
      </c>
      <c r="H3407" s="270" t="s">
        <v>7892</v>
      </c>
      <c r="I3407" s="270" t="s">
        <v>4490</v>
      </c>
      <c r="J3407" s="270" t="s">
        <v>3928</v>
      </c>
      <c r="K3407" s="270">
        <v>6409</v>
      </c>
      <c r="L3407" s="270">
        <v>630100</v>
      </c>
      <c r="M3407" s="270" t="s">
        <v>3960</v>
      </c>
      <c r="N3407" s="270" t="s">
        <v>3944</v>
      </c>
      <c r="O3407" s="270">
        <v>3023</v>
      </c>
      <c r="P3407" s="270" t="s">
        <v>3944</v>
      </c>
      <c r="Q3407" s="270" t="s">
        <v>3944</v>
      </c>
      <c r="R3407" s="270">
        <v>3023</v>
      </c>
      <c r="S3407" s="270">
        <v>20193</v>
      </c>
      <c r="T3407" s="270">
        <v>23216</v>
      </c>
      <c r="U3407" s="271" t="s">
        <v>3945</v>
      </c>
      <c r="V3407" s="267" t="s">
        <v>944</v>
      </c>
    </row>
    <row r="3408" spans="1:22" hidden="1" x14ac:dyDescent="0.25">
      <c r="A3408" s="266">
        <v>43640</v>
      </c>
      <c r="B3408" s="267">
        <v>2019</v>
      </c>
      <c r="C3408" s="267">
        <v>2019</v>
      </c>
      <c r="D3408" s="267">
        <v>1</v>
      </c>
      <c r="E3408" s="267">
        <v>1</v>
      </c>
      <c r="F3408" s="267" t="s">
        <v>944</v>
      </c>
      <c r="G3408" s="267" t="s">
        <v>3926</v>
      </c>
      <c r="H3408" s="267" t="s">
        <v>7893</v>
      </c>
      <c r="I3408" s="267" t="s">
        <v>4871</v>
      </c>
      <c r="J3408" s="267" t="s">
        <v>3928</v>
      </c>
      <c r="K3408" s="267">
        <v>6877</v>
      </c>
      <c r="L3408" s="267">
        <v>245600</v>
      </c>
      <c r="M3408" s="267" t="s">
        <v>3943</v>
      </c>
      <c r="N3408" s="267" t="s">
        <v>3944</v>
      </c>
      <c r="O3408" s="267">
        <v>6646</v>
      </c>
      <c r="P3408" s="267" t="s">
        <v>3944</v>
      </c>
      <c r="Q3408" s="267" t="s">
        <v>3944</v>
      </c>
      <c r="R3408" s="267">
        <v>6646</v>
      </c>
      <c r="S3408" s="267">
        <v>51026</v>
      </c>
      <c r="T3408" s="267">
        <v>57672</v>
      </c>
      <c r="U3408" s="268" t="s">
        <v>3945</v>
      </c>
      <c r="V3408" s="267" t="s">
        <v>944</v>
      </c>
    </row>
    <row r="3409" spans="1:22" hidden="1" x14ac:dyDescent="0.25">
      <c r="A3409" s="269">
        <v>43640</v>
      </c>
      <c r="B3409" s="270">
        <v>2019</v>
      </c>
      <c r="C3409" s="270">
        <v>2019</v>
      </c>
      <c r="D3409" s="270">
        <v>1</v>
      </c>
      <c r="E3409" s="270">
        <v>1</v>
      </c>
      <c r="F3409" s="270" t="s">
        <v>944</v>
      </c>
      <c r="G3409" s="270" t="s">
        <v>3926</v>
      </c>
      <c r="H3409" s="270" t="s">
        <v>7894</v>
      </c>
      <c r="I3409" s="270" t="s">
        <v>4019</v>
      </c>
      <c r="J3409" s="270" t="s">
        <v>3928</v>
      </c>
      <c r="K3409" s="270">
        <v>6706</v>
      </c>
      <c r="L3409" s="270">
        <v>351500</v>
      </c>
      <c r="M3409" s="270" t="s">
        <v>3940</v>
      </c>
      <c r="N3409" s="270" t="s">
        <v>3944</v>
      </c>
      <c r="O3409" s="270">
        <v>1573</v>
      </c>
      <c r="P3409" s="270" t="s">
        <v>3944</v>
      </c>
      <c r="Q3409" s="270" t="s">
        <v>3944</v>
      </c>
      <c r="R3409" s="270">
        <v>1573</v>
      </c>
      <c r="S3409" s="270">
        <v>40007.01</v>
      </c>
      <c r="T3409" s="270">
        <v>41580.01</v>
      </c>
      <c r="U3409" s="271" t="s">
        <v>3945</v>
      </c>
      <c r="V3409" s="267" t="s">
        <v>944</v>
      </c>
    </row>
    <row r="3410" spans="1:22" hidden="1" x14ac:dyDescent="0.25">
      <c r="A3410" s="266">
        <v>43640</v>
      </c>
      <c r="B3410" s="267">
        <v>2019</v>
      </c>
      <c r="C3410" s="267">
        <v>2019</v>
      </c>
      <c r="D3410" s="267">
        <v>1</v>
      </c>
      <c r="E3410" s="267">
        <v>1</v>
      </c>
      <c r="F3410" s="267" t="s">
        <v>944</v>
      </c>
      <c r="G3410" s="267" t="s">
        <v>3926</v>
      </c>
      <c r="H3410" s="267" t="s">
        <v>7895</v>
      </c>
      <c r="I3410" s="267" t="s">
        <v>6268</v>
      </c>
      <c r="J3410" s="267" t="s">
        <v>3928</v>
      </c>
      <c r="K3410" s="267">
        <v>6371</v>
      </c>
      <c r="L3410" s="267">
        <v>660102</v>
      </c>
      <c r="M3410" s="267" t="s">
        <v>3960</v>
      </c>
      <c r="N3410" s="267" t="s">
        <v>3944</v>
      </c>
      <c r="O3410" s="267">
        <v>2731</v>
      </c>
      <c r="P3410" s="267" t="s">
        <v>3944</v>
      </c>
      <c r="Q3410" s="267" t="s">
        <v>3944</v>
      </c>
      <c r="R3410" s="267">
        <v>2731</v>
      </c>
      <c r="S3410" s="267">
        <v>25304</v>
      </c>
      <c r="T3410" s="267">
        <v>28035</v>
      </c>
      <c r="U3410" s="268" t="s">
        <v>3945</v>
      </c>
      <c r="V3410" s="267" t="s">
        <v>944</v>
      </c>
    </row>
    <row r="3411" spans="1:22" hidden="1" x14ac:dyDescent="0.25">
      <c r="A3411" s="269">
        <v>43640</v>
      </c>
      <c r="B3411" s="270">
        <v>2019</v>
      </c>
      <c r="C3411" s="270">
        <v>2019</v>
      </c>
      <c r="D3411" s="270">
        <v>1</v>
      </c>
      <c r="E3411" s="270">
        <v>1</v>
      </c>
      <c r="F3411" s="270" t="s">
        <v>944</v>
      </c>
      <c r="G3411" s="270" t="s">
        <v>3926</v>
      </c>
      <c r="H3411" s="270" t="s">
        <v>7896</v>
      </c>
      <c r="I3411" s="270" t="s">
        <v>2981</v>
      </c>
      <c r="J3411" s="270" t="s">
        <v>3928</v>
      </c>
      <c r="K3411" s="270">
        <v>6612</v>
      </c>
      <c r="L3411" s="270">
        <v>105100</v>
      </c>
      <c r="M3411" s="270" t="s">
        <v>3943</v>
      </c>
      <c r="N3411" s="270" t="s">
        <v>3944</v>
      </c>
      <c r="O3411" s="270">
        <v>3703</v>
      </c>
      <c r="P3411" s="270" t="s">
        <v>3944</v>
      </c>
      <c r="Q3411" s="270" t="s">
        <v>3944</v>
      </c>
      <c r="R3411" s="270">
        <v>3703</v>
      </c>
      <c r="S3411" s="270">
        <v>27347</v>
      </c>
      <c r="T3411" s="270">
        <v>31050</v>
      </c>
      <c r="U3411" s="271" t="s">
        <v>3945</v>
      </c>
      <c r="V3411" s="267" t="s">
        <v>944</v>
      </c>
    </row>
    <row r="3412" spans="1:22" hidden="1" x14ac:dyDescent="0.25">
      <c r="A3412" s="266">
        <v>43640</v>
      </c>
      <c r="B3412" s="267">
        <v>2019</v>
      </c>
      <c r="C3412" s="267">
        <v>2019</v>
      </c>
      <c r="D3412" s="267">
        <v>1</v>
      </c>
      <c r="E3412" s="267">
        <v>1</v>
      </c>
      <c r="F3412" s="267" t="s">
        <v>944</v>
      </c>
      <c r="G3412" s="267" t="s">
        <v>3926</v>
      </c>
      <c r="H3412" s="267" t="s">
        <v>7897</v>
      </c>
      <c r="I3412" s="267" t="s">
        <v>4497</v>
      </c>
      <c r="J3412" s="267" t="s">
        <v>3928</v>
      </c>
      <c r="K3412" s="267">
        <v>6260</v>
      </c>
      <c r="L3412" s="267">
        <v>903100</v>
      </c>
      <c r="M3412" s="267" t="s">
        <v>3940</v>
      </c>
      <c r="N3412" s="267" t="s">
        <v>3944</v>
      </c>
      <c r="O3412" s="267">
        <v>4795</v>
      </c>
      <c r="P3412" s="267" t="s">
        <v>3944</v>
      </c>
      <c r="Q3412" s="267" t="s">
        <v>3944</v>
      </c>
      <c r="R3412" s="267">
        <v>4795</v>
      </c>
      <c r="S3412" s="267">
        <v>23730</v>
      </c>
      <c r="T3412" s="267">
        <v>28525</v>
      </c>
      <c r="U3412" s="268" t="s">
        <v>3945</v>
      </c>
      <c r="V3412" s="267" t="s">
        <v>944</v>
      </c>
    </row>
    <row r="3413" spans="1:22" hidden="1" x14ac:dyDescent="0.25">
      <c r="A3413" s="269">
        <v>43640</v>
      </c>
      <c r="B3413" s="270">
        <v>2019</v>
      </c>
      <c r="C3413" s="270">
        <v>2019</v>
      </c>
      <c r="D3413" s="270">
        <v>1</v>
      </c>
      <c r="E3413" s="270">
        <v>1</v>
      </c>
      <c r="F3413" s="270" t="s">
        <v>944</v>
      </c>
      <c r="G3413" s="270" t="s">
        <v>3926</v>
      </c>
      <c r="H3413" s="270" t="s">
        <v>7898</v>
      </c>
      <c r="I3413" s="270" t="s">
        <v>956</v>
      </c>
      <c r="J3413" s="270" t="s">
        <v>3928</v>
      </c>
      <c r="K3413" s="270">
        <v>6615</v>
      </c>
      <c r="L3413" s="270">
        <v>80400</v>
      </c>
      <c r="M3413" s="270" t="s">
        <v>3940</v>
      </c>
      <c r="N3413" s="270" t="s">
        <v>3944</v>
      </c>
      <c r="O3413" s="270">
        <v>2383</v>
      </c>
      <c r="P3413" s="270" t="s">
        <v>3944</v>
      </c>
      <c r="Q3413" s="270" t="s">
        <v>3944</v>
      </c>
      <c r="R3413" s="270">
        <v>2383</v>
      </c>
      <c r="S3413" s="270">
        <v>19297.099999999999</v>
      </c>
      <c r="T3413" s="270">
        <v>21680.1</v>
      </c>
      <c r="U3413" s="271" t="s">
        <v>3945</v>
      </c>
      <c r="V3413" s="267" t="s">
        <v>944</v>
      </c>
    </row>
    <row r="3414" spans="1:22" hidden="1" x14ac:dyDescent="0.25">
      <c r="A3414" s="266">
        <v>43640</v>
      </c>
      <c r="B3414" s="267">
        <v>2019</v>
      </c>
      <c r="C3414" s="267">
        <v>2019</v>
      </c>
      <c r="D3414" s="267">
        <v>1</v>
      </c>
      <c r="E3414" s="267">
        <v>1</v>
      </c>
      <c r="F3414" s="267" t="s">
        <v>944</v>
      </c>
      <c r="G3414" s="267" t="s">
        <v>3926</v>
      </c>
      <c r="H3414" s="267" t="s">
        <v>7899</v>
      </c>
      <c r="I3414" s="267" t="s">
        <v>4269</v>
      </c>
      <c r="J3414" s="267" t="s">
        <v>3928</v>
      </c>
      <c r="K3414" s="267">
        <v>6117</v>
      </c>
      <c r="L3414" s="267">
        <v>497300</v>
      </c>
      <c r="M3414" s="267" t="s">
        <v>3943</v>
      </c>
      <c r="N3414" s="267" t="s">
        <v>3944</v>
      </c>
      <c r="O3414" s="267">
        <v>2091.39</v>
      </c>
      <c r="P3414" s="267" t="s">
        <v>3944</v>
      </c>
      <c r="Q3414" s="267" t="s">
        <v>3944</v>
      </c>
      <c r="R3414" s="267">
        <v>2091.39</v>
      </c>
      <c r="S3414" s="267">
        <v>36973.79</v>
      </c>
      <c r="T3414" s="267">
        <v>39065.18</v>
      </c>
      <c r="U3414" s="268" t="s">
        <v>3945</v>
      </c>
      <c r="V3414" s="267" t="s">
        <v>944</v>
      </c>
    </row>
    <row r="3415" spans="1:22" hidden="1" x14ac:dyDescent="0.25">
      <c r="A3415" s="269">
        <v>43640</v>
      </c>
      <c r="B3415" s="270">
        <v>2019</v>
      </c>
      <c r="C3415" s="270">
        <v>2019</v>
      </c>
      <c r="D3415" s="270">
        <v>1</v>
      </c>
      <c r="E3415" s="270">
        <v>1</v>
      </c>
      <c r="F3415" s="270" t="s">
        <v>944</v>
      </c>
      <c r="G3415" s="270" t="s">
        <v>3926</v>
      </c>
      <c r="H3415" s="270" t="s">
        <v>7900</v>
      </c>
      <c r="I3415" s="270" t="s">
        <v>4200</v>
      </c>
      <c r="J3415" s="270" t="s">
        <v>3928</v>
      </c>
      <c r="K3415" s="270">
        <v>6779</v>
      </c>
      <c r="L3415" s="270">
        <v>360400</v>
      </c>
      <c r="M3415" s="270" t="s">
        <v>3940</v>
      </c>
      <c r="N3415" s="270" t="s">
        <v>3944</v>
      </c>
      <c r="O3415" s="270">
        <v>767.8</v>
      </c>
      <c r="P3415" s="270" t="s">
        <v>3944</v>
      </c>
      <c r="Q3415" s="270" t="s">
        <v>3944</v>
      </c>
      <c r="R3415" s="270">
        <v>767.8</v>
      </c>
      <c r="S3415" s="270">
        <v>15764.78</v>
      </c>
      <c r="T3415" s="270">
        <v>16532.580000000002</v>
      </c>
      <c r="U3415" s="271" t="s">
        <v>3945</v>
      </c>
      <c r="V3415" s="267" t="s">
        <v>944</v>
      </c>
    </row>
    <row r="3416" spans="1:22" hidden="1" x14ac:dyDescent="0.25">
      <c r="A3416" s="266">
        <v>43640</v>
      </c>
      <c r="B3416" s="267">
        <v>2019</v>
      </c>
      <c r="C3416" s="267">
        <v>2019</v>
      </c>
      <c r="D3416" s="267">
        <v>1</v>
      </c>
      <c r="E3416" s="267">
        <v>1</v>
      </c>
      <c r="F3416" s="267" t="s">
        <v>944</v>
      </c>
      <c r="G3416" s="267" t="s">
        <v>3926</v>
      </c>
      <c r="H3416" s="267" t="s">
        <v>7901</v>
      </c>
      <c r="I3416" s="267" t="s">
        <v>4422</v>
      </c>
      <c r="J3416" s="267" t="s">
        <v>3928</v>
      </c>
      <c r="K3416" s="267">
        <v>6801</v>
      </c>
      <c r="L3416" s="267">
        <v>200100</v>
      </c>
      <c r="M3416" s="267" t="s">
        <v>3935</v>
      </c>
      <c r="N3416" s="267" t="s">
        <v>3944</v>
      </c>
      <c r="O3416" s="267">
        <v>1696.1</v>
      </c>
      <c r="P3416" s="267" t="s">
        <v>3944</v>
      </c>
      <c r="Q3416" s="267" t="s">
        <v>3944</v>
      </c>
      <c r="R3416" s="267">
        <v>1696.1</v>
      </c>
      <c r="S3416" s="267">
        <v>23567.84</v>
      </c>
      <c r="T3416" s="267">
        <v>25263.94</v>
      </c>
      <c r="U3416" s="268" t="s">
        <v>3945</v>
      </c>
      <c r="V3416" s="267" t="s">
        <v>944</v>
      </c>
    </row>
    <row r="3417" spans="1:22" hidden="1" x14ac:dyDescent="0.25">
      <c r="A3417" s="269">
        <v>43640</v>
      </c>
      <c r="B3417" s="270">
        <v>2019</v>
      </c>
      <c r="C3417" s="270">
        <v>2019</v>
      </c>
      <c r="D3417" s="270">
        <v>1</v>
      </c>
      <c r="E3417" s="270">
        <v>1</v>
      </c>
      <c r="F3417" s="270" t="s">
        <v>944</v>
      </c>
      <c r="G3417" s="270" t="s">
        <v>3926</v>
      </c>
      <c r="H3417" s="270" t="s">
        <v>7902</v>
      </c>
      <c r="I3417" s="270" t="s">
        <v>4114</v>
      </c>
      <c r="J3417" s="270" t="s">
        <v>3928</v>
      </c>
      <c r="K3417" s="270">
        <v>6410</v>
      </c>
      <c r="L3417" s="270">
        <v>343200</v>
      </c>
      <c r="M3417" s="270" t="s">
        <v>3943</v>
      </c>
      <c r="N3417" s="270" t="s">
        <v>3944</v>
      </c>
      <c r="O3417" s="270">
        <v>1957.62</v>
      </c>
      <c r="P3417" s="270" t="s">
        <v>3944</v>
      </c>
      <c r="Q3417" s="270" t="s">
        <v>3944</v>
      </c>
      <c r="R3417" s="270">
        <v>1957.62</v>
      </c>
      <c r="S3417" s="270">
        <v>28871.119999999999</v>
      </c>
      <c r="T3417" s="270">
        <v>30828.74</v>
      </c>
      <c r="U3417" s="271" t="s">
        <v>3945</v>
      </c>
      <c r="V3417" s="267" t="s">
        <v>944</v>
      </c>
    </row>
    <row r="3418" spans="1:22" hidden="1" x14ac:dyDescent="0.25">
      <c r="A3418" s="266">
        <v>43640</v>
      </c>
      <c r="B3418" s="267">
        <v>2019</v>
      </c>
      <c r="C3418" s="267">
        <v>2019</v>
      </c>
      <c r="D3418" s="267">
        <v>1</v>
      </c>
      <c r="E3418" s="267">
        <v>1</v>
      </c>
      <c r="F3418" s="267" t="s">
        <v>944</v>
      </c>
      <c r="G3418" s="267" t="s">
        <v>3926</v>
      </c>
      <c r="H3418" s="267" t="s">
        <v>7903</v>
      </c>
      <c r="I3418" s="267" t="s">
        <v>5127</v>
      </c>
      <c r="J3418" s="267" t="s">
        <v>3928</v>
      </c>
      <c r="K3418" s="267">
        <v>6759</v>
      </c>
      <c r="L3418" s="267">
        <v>300500</v>
      </c>
      <c r="M3418" s="267" t="s">
        <v>3935</v>
      </c>
      <c r="N3418" s="267" t="s">
        <v>3944</v>
      </c>
      <c r="O3418" s="267">
        <v>1142.1199999999999</v>
      </c>
      <c r="P3418" s="267" t="s">
        <v>3944</v>
      </c>
      <c r="Q3418" s="267" t="s">
        <v>3944</v>
      </c>
      <c r="R3418" s="267">
        <v>1142.1199999999999</v>
      </c>
      <c r="S3418" s="267">
        <v>14187.88</v>
      </c>
      <c r="T3418" s="267">
        <v>15330</v>
      </c>
      <c r="U3418" s="268" t="s">
        <v>3945</v>
      </c>
      <c r="V3418" s="267" t="s">
        <v>944</v>
      </c>
    </row>
    <row r="3419" spans="1:22" hidden="1" x14ac:dyDescent="0.25">
      <c r="A3419" s="269">
        <v>43640</v>
      </c>
      <c r="B3419" s="270">
        <v>2019</v>
      </c>
      <c r="C3419" s="270">
        <v>2019</v>
      </c>
      <c r="D3419" s="270">
        <v>1</v>
      </c>
      <c r="E3419" s="270">
        <v>1</v>
      </c>
      <c r="F3419" s="270" t="s">
        <v>944</v>
      </c>
      <c r="G3419" s="270" t="s">
        <v>3926</v>
      </c>
      <c r="H3419" s="270" t="s">
        <v>7904</v>
      </c>
      <c r="I3419" s="270" t="s">
        <v>4232</v>
      </c>
      <c r="J3419" s="270" t="s">
        <v>3928</v>
      </c>
      <c r="K3419" s="270">
        <v>6483</v>
      </c>
      <c r="L3419" s="270">
        <v>130200</v>
      </c>
      <c r="M3419" s="270" t="s">
        <v>3935</v>
      </c>
      <c r="N3419" s="270" t="s">
        <v>3944</v>
      </c>
      <c r="O3419" s="270">
        <v>2405.17</v>
      </c>
      <c r="P3419" s="270" t="s">
        <v>3944</v>
      </c>
      <c r="Q3419" s="270" t="s">
        <v>3944</v>
      </c>
      <c r="R3419" s="270">
        <v>2405.17</v>
      </c>
      <c r="S3419" s="270">
        <v>33276.230000000003</v>
      </c>
      <c r="T3419" s="270">
        <v>35681.4</v>
      </c>
      <c r="U3419" s="271" t="s">
        <v>3945</v>
      </c>
      <c r="V3419" s="267" t="s">
        <v>944</v>
      </c>
    </row>
    <row r="3420" spans="1:22" hidden="1" x14ac:dyDescent="0.25">
      <c r="A3420" s="266">
        <v>43640</v>
      </c>
      <c r="B3420" s="267">
        <v>2019</v>
      </c>
      <c r="C3420" s="267">
        <v>2019</v>
      </c>
      <c r="D3420" s="267">
        <v>1</v>
      </c>
      <c r="E3420" s="267">
        <v>1</v>
      </c>
      <c r="F3420" s="267" t="s">
        <v>944</v>
      </c>
      <c r="G3420" s="267" t="s">
        <v>3926</v>
      </c>
      <c r="H3420" s="267" t="s">
        <v>7905</v>
      </c>
      <c r="I3420" s="267" t="s">
        <v>4392</v>
      </c>
      <c r="J3420" s="267" t="s">
        <v>3928</v>
      </c>
      <c r="K3420" s="267">
        <v>6457</v>
      </c>
      <c r="L3420" s="267">
        <v>542200</v>
      </c>
      <c r="M3420" s="267" t="s">
        <v>3960</v>
      </c>
      <c r="N3420" s="267" t="s">
        <v>3944</v>
      </c>
      <c r="O3420" s="267">
        <v>2210.85</v>
      </c>
      <c r="P3420" s="267" t="s">
        <v>3944</v>
      </c>
      <c r="Q3420" s="267" t="s">
        <v>3944</v>
      </c>
      <c r="R3420" s="267">
        <v>2210.85</v>
      </c>
      <c r="S3420" s="267">
        <v>34077.15</v>
      </c>
      <c r="T3420" s="267">
        <v>36288</v>
      </c>
      <c r="U3420" s="268" t="s">
        <v>3945</v>
      </c>
      <c r="V3420" s="267" t="s">
        <v>944</v>
      </c>
    </row>
    <row r="3421" spans="1:22" hidden="1" x14ac:dyDescent="0.25">
      <c r="A3421" s="269">
        <v>43640</v>
      </c>
      <c r="B3421" s="270">
        <v>2019</v>
      </c>
      <c r="C3421" s="270">
        <v>2019</v>
      </c>
      <c r="D3421" s="270">
        <v>1</v>
      </c>
      <c r="E3421" s="270">
        <v>1</v>
      </c>
      <c r="F3421" s="270" t="s">
        <v>944</v>
      </c>
      <c r="G3421" s="270" t="s">
        <v>3926</v>
      </c>
      <c r="H3421" s="270" t="s">
        <v>7906</v>
      </c>
      <c r="I3421" s="270" t="s">
        <v>3026</v>
      </c>
      <c r="J3421" s="270" t="s">
        <v>3928</v>
      </c>
      <c r="K3421" s="270">
        <v>6471</v>
      </c>
      <c r="L3421" s="270">
        <v>186100</v>
      </c>
      <c r="M3421" s="270" t="s">
        <v>3935</v>
      </c>
      <c r="N3421" s="270" t="s">
        <v>3944</v>
      </c>
      <c r="O3421" s="270">
        <v>2357.25</v>
      </c>
      <c r="P3421" s="270" t="s">
        <v>3944</v>
      </c>
      <c r="Q3421" s="270" t="s">
        <v>3944</v>
      </c>
      <c r="R3421" s="270">
        <v>2357.25</v>
      </c>
      <c r="S3421" s="270">
        <v>33490.160000000003</v>
      </c>
      <c r="T3421" s="270">
        <v>35847.410000000003</v>
      </c>
      <c r="U3421" s="271" t="s">
        <v>3945</v>
      </c>
      <c r="V3421" s="267" t="s">
        <v>944</v>
      </c>
    </row>
    <row r="3422" spans="1:22" x14ac:dyDescent="0.25">
      <c r="A3422" s="266">
        <v>43640</v>
      </c>
      <c r="B3422" s="267">
        <v>2019</v>
      </c>
      <c r="C3422" s="267">
        <v>2019</v>
      </c>
      <c r="D3422" s="267">
        <v>1</v>
      </c>
      <c r="E3422" s="267">
        <v>1</v>
      </c>
      <c r="F3422" s="267" t="s">
        <v>944</v>
      </c>
      <c r="G3422" s="267" t="s">
        <v>3926</v>
      </c>
      <c r="H3422" s="267" t="s">
        <v>7907</v>
      </c>
      <c r="I3422" s="267" t="s">
        <v>950</v>
      </c>
      <c r="J3422" s="267" t="s">
        <v>3928</v>
      </c>
      <c r="K3422" s="267">
        <v>6516</v>
      </c>
      <c r="L3422" s="267">
        <v>155100</v>
      </c>
      <c r="M3422" s="267">
        <v>-60</v>
      </c>
      <c r="N3422" s="267" t="s">
        <v>3944</v>
      </c>
      <c r="O3422" s="267">
        <v>1066.24</v>
      </c>
      <c r="P3422" s="267" t="s">
        <v>3944</v>
      </c>
      <c r="Q3422" s="267" t="s">
        <v>3944</v>
      </c>
      <c r="R3422" s="267">
        <v>1066.24</v>
      </c>
      <c r="S3422" s="267">
        <v>18788.54</v>
      </c>
      <c r="T3422" s="267">
        <v>19854.78</v>
      </c>
      <c r="U3422" s="268" t="s">
        <v>3945</v>
      </c>
      <c r="V3422" s="276" t="s">
        <v>936</v>
      </c>
    </row>
    <row r="3423" spans="1:22" hidden="1" x14ac:dyDescent="0.25">
      <c r="A3423" s="269">
        <v>43640</v>
      </c>
      <c r="B3423" s="270">
        <v>2019</v>
      </c>
      <c r="C3423" s="270">
        <v>2019</v>
      </c>
      <c r="D3423" s="270">
        <v>1</v>
      </c>
      <c r="E3423" s="270">
        <v>1</v>
      </c>
      <c r="F3423" s="270" t="s">
        <v>944</v>
      </c>
      <c r="G3423" s="270" t="s">
        <v>3926</v>
      </c>
      <c r="H3423" s="270" t="s">
        <v>7908</v>
      </c>
      <c r="I3423" s="270" t="s">
        <v>953</v>
      </c>
      <c r="J3423" s="270" t="s">
        <v>3928</v>
      </c>
      <c r="K3423" s="270">
        <v>6514</v>
      </c>
      <c r="L3423" s="270">
        <v>165802</v>
      </c>
      <c r="M3423" s="270" t="s">
        <v>3943</v>
      </c>
      <c r="N3423" s="270" t="s">
        <v>3944</v>
      </c>
      <c r="O3423" s="270">
        <v>1041.95</v>
      </c>
      <c r="P3423" s="270" t="s">
        <v>3944</v>
      </c>
      <c r="Q3423" s="270" t="s">
        <v>3944</v>
      </c>
      <c r="R3423" s="270">
        <v>1041.95</v>
      </c>
      <c r="S3423" s="270">
        <v>19694.05</v>
      </c>
      <c r="T3423" s="270">
        <v>20736</v>
      </c>
      <c r="U3423" s="271" t="s">
        <v>3945</v>
      </c>
      <c r="V3423" s="267" t="s">
        <v>944</v>
      </c>
    </row>
    <row r="3424" spans="1:22" hidden="1" x14ac:dyDescent="0.25">
      <c r="A3424" s="266">
        <v>43640</v>
      </c>
      <c r="B3424" s="267">
        <v>2019</v>
      </c>
      <c r="C3424" s="267">
        <v>2019</v>
      </c>
      <c r="D3424" s="267">
        <v>1</v>
      </c>
      <c r="E3424" s="267">
        <v>1</v>
      </c>
      <c r="F3424" s="267" t="s">
        <v>944</v>
      </c>
      <c r="G3424" s="267" t="s">
        <v>3926</v>
      </c>
      <c r="H3424" s="267" t="s">
        <v>7909</v>
      </c>
      <c r="I3424" s="267" t="s">
        <v>3966</v>
      </c>
      <c r="J3424" s="267" t="s">
        <v>3928</v>
      </c>
      <c r="K3424" s="267">
        <v>6010</v>
      </c>
      <c r="L3424" s="267">
        <v>405402</v>
      </c>
      <c r="M3424" s="267" t="s">
        <v>3940</v>
      </c>
      <c r="N3424" s="267" t="s">
        <v>3944</v>
      </c>
      <c r="O3424" s="267">
        <v>1202.08</v>
      </c>
      <c r="P3424" s="267" t="s">
        <v>3944</v>
      </c>
      <c r="Q3424" s="267" t="s">
        <v>3944</v>
      </c>
      <c r="R3424" s="267">
        <v>1202.08</v>
      </c>
      <c r="S3424" s="267">
        <v>22198.52</v>
      </c>
      <c r="T3424" s="267">
        <v>23400.6</v>
      </c>
      <c r="U3424" s="268" t="s">
        <v>3945</v>
      </c>
      <c r="V3424" s="267" t="s">
        <v>944</v>
      </c>
    </row>
    <row r="3425" spans="1:22" hidden="1" x14ac:dyDescent="0.25">
      <c r="A3425" s="269">
        <v>43640</v>
      </c>
      <c r="B3425" s="270">
        <v>2019</v>
      </c>
      <c r="C3425" s="270">
        <v>2019</v>
      </c>
      <c r="D3425" s="270">
        <v>1</v>
      </c>
      <c r="E3425" s="270">
        <v>1</v>
      </c>
      <c r="F3425" s="270" t="s">
        <v>944</v>
      </c>
      <c r="G3425" s="270" t="s">
        <v>3926</v>
      </c>
      <c r="H3425" s="270" t="s">
        <v>7910</v>
      </c>
      <c r="I3425" s="270" t="s">
        <v>4235</v>
      </c>
      <c r="J3425" s="270" t="s">
        <v>3928</v>
      </c>
      <c r="K3425" s="270">
        <v>6066</v>
      </c>
      <c r="L3425" s="270">
        <v>530302</v>
      </c>
      <c r="M3425" s="270" t="s">
        <v>3935</v>
      </c>
      <c r="N3425" s="270" t="s">
        <v>3944</v>
      </c>
      <c r="O3425" s="270">
        <v>2859.99</v>
      </c>
      <c r="P3425" s="270" t="s">
        <v>3944</v>
      </c>
      <c r="Q3425" s="270" t="s">
        <v>3944</v>
      </c>
      <c r="R3425" s="270">
        <v>2859.99</v>
      </c>
      <c r="S3425" s="270">
        <v>38612.01</v>
      </c>
      <c r="T3425" s="270">
        <v>41472</v>
      </c>
      <c r="U3425" s="271" t="s">
        <v>3945</v>
      </c>
      <c r="V3425" s="267" t="s">
        <v>944</v>
      </c>
    </row>
    <row r="3426" spans="1:22" hidden="1" x14ac:dyDescent="0.25">
      <c r="A3426" s="266">
        <v>43640</v>
      </c>
      <c r="B3426" s="267">
        <v>2019</v>
      </c>
      <c r="C3426" s="267">
        <v>2019</v>
      </c>
      <c r="D3426" s="267">
        <v>1</v>
      </c>
      <c r="E3426" s="267">
        <v>1</v>
      </c>
      <c r="F3426" s="267" t="s">
        <v>944</v>
      </c>
      <c r="G3426" s="267" t="s">
        <v>3926</v>
      </c>
      <c r="H3426" s="267" t="s">
        <v>7911</v>
      </c>
      <c r="I3426" s="267" t="s">
        <v>4683</v>
      </c>
      <c r="J3426" s="267" t="s">
        <v>3928</v>
      </c>
      <c r="K3426" s="267">
        <v>6762</v>
      </c>
      <c r="L3426" s="267">
        <v>344100</v>
      </c>
      <c r="M3426" s="267" t="s">
        <v>3943</v>
      </c>
      <c r="N3426" s="267" t="s">
        <v>3944</v>
      </c>
      <c r="O3426" s="267">
        <v>1928.57</v>
      </c>
      <c r="P3426" s="267" t="s">
        <v>3944</v>
      </c>
      <c r="Q3426" s="267" t="s">
        <v>3944</v>
      </c>
      <c r="R3426" s="267">
        <v>1928.57</v>
      </c>
      <c r="S3426" s="267">
        <v>30108.880000000001</v>
      </c>
      <c r="T3426" s="267">
        <v>32037.45</v>
      </c>
      <c r="U3426" s="268" t="s">
        <v>3945</v>
      </c>
      <c r="V3426" s="267" t="s">
        <v>944</v>
      </c>
    </row>
    <row r="3427" spans="1:22" hidden="1" x14ac:dyDescent="0.25">
      <c r="A3427" s="269">
        <v>43640</v>
      </c>
      <c r="B3427" s="270">
        <v>2019</v>
      </c>
      <c r="C3427" s="270">
        <v>2019</v>
      </c>
      <c r="D3427" s="270">
        <v>1</v>
      </c>
      <c r="E3427" s="270">
        <v>1</v>
      </c>
      <c r="F3427" s="270" t="s">
        <v>944</v>
      </c>
      <c r="G3427" s="270" t="s">
        <v>3926</v>
      </c>
      <c r="H3427" s="270" t="s">
        <v>7912</v>
      </c>
      <c r="I3427" s="270" t="s">
        <v>4011</v>
      </c>
      <c r="J3427" s="270" t="s">
        <v>3928</v>
      </c>
      <c r="K3427" s="270">
        <v>6002</v>
      </c>
      <c r="L3427" s="270">
        <v>471500</v>
      </c>
      <c r="M3427" s="270" t="s">
        <v>3935</v>
      </c>
      <c r="N3427" s="270" t="s">
        <v>3944</v>
      </c>
      <c r="O3427" s="270">
        <v>2942.94</v>
      </c>
      <c r="P3427" s="270" t="s">
        <v>3944</v>
      </c>
      <c r="Q3427" s="270" t="s">
        <v>3944</v>
      </c>
      <c r="R3427" s="270">
        <v>2942.94</v>
      </c>
      <c r="S3427" s="270">
        <v>52336.58</v>
      </c>
      <c r="T3427" s="270">
        <v>55279.519999999997</v>
      </c>
      <c r="U3427" s="271" t="s">
        <v>3945</v>
      </c>
      <c r="V3427" s="267" t="s">
        <v>944</v>
      </c>
    </row>
    <row r="3428" spans="1:22" hidden="1" x14ac:dyDescent="0.25">
      <c r="A3428" s="266">
        <v>43641</v>
      </c>
      <c r="B3428" s="267">
        <v>2019</v>
      </c>
      <c r="C3428" s="267">
        <v>2019</v>
      </c>
      <c r="D3428" s="267">
        <v>1</v>
      </c>
      <c r="E3428" s="267">
        <v>1</v>
      </c>
      <c r="F3428" s="267" t="s">
        <v>944</v>
      </c>
      <c r="G3428" s="267" t="s">
        <v>3926</v>
      </c>
      <c r="H3428" s="267" t="s">
        <v>7913</v>
      </c>
      <c r="I3428" s="267" t="s">
        <v>4213</v>
      </c>
      <c r="J3428" s="267" t="s">
        <v>3928</v>
      </c>
      <c r="K3428" s="267">
        <v>6053</v>
      </c>
      <c r="L3428" s="267">
        <v>416500</v>
      </c>
      <c r="M3428" s="267" t="s">
        <v>3940</v>
      </c>
      <c r="N3428" s="267" t="s">
        <v>7221</v>
      </c>
      <c r="O3428" s="267">
        <v>1700.02</v>
      </c>
      <c r="P3428" s="267" t="s">
        <v>3930</v>
      </c>
      <c r="Q3428" s="267" t="s">
        <v>3931</v>
      </c>
      <c r="R3428" s="267">
        <v>6700.02</v>
      </c>
      <c r="S3428" s="267">
        <v>32277.5</v>
      </c>
      <c r="T3428" s="267">
        <v>38977.519999999997</v>
      </c>
      <c r="U3428" s="268" t="s">
        <v>3932</v>
      </c>
      <c r="V3428" s="267" t="s">
        <v>944</v>
      </c>
    </row>
    <row r="3429" spans="1:22" hidden="1" x14ac:dyDescent="0.25">
      <c r="A3429" s="269">
        <v>43641</v>
      </c>
      <c r="B3429" s="270">
        <v>2019</v>
      </c>
      <c r="C3429" s="270">
        <v>2019</v>
      </c>
      <c r="D3429" s="270">
        <v>1</v>
      </c>
      <c r="E3429" s="270">
        <v>1</v>
      </c>
      <c r="F3429" s="270" t="s">
        <v>944</v>
      </c>
      <c r="G3429" s="270" t="s">
        <v>3926</v>
      </c>
      <c r="H3429" s="270" t="s">
        <v>7914</v>
      </c>
      <c r="I3429" s="270" t="s">
        <v>4079</v>
      </c>
      <c r="J3429" s="270" t="s">
        <v>3928</v>
      </c>
      <c r="K3429" s="270">
        <v>6111</v>
      </c>
      <c r="L3429" s="270">
        <v>494202</v>
      </c>
      <c r="M3429" s="270" t="s">
        <v>3960</v>
      </c>
      <c r="N3429" s="270" t="s">
        <v>4755</v>
      </c>
      <c r="O3429" s="270">
        <v>0</v>
      </c>
      <c r="P3429" s="270" t="s">
        <v>3930</v>
      </c>
      <c r="Q3429" s="270" t="s">
        <v>3930</v>
      </c>
      <c r="R3429" s="270">
        <v>0</v>
      </c>
      <c r="S3429" s="270">
        <v>6500</v>
      </c>
      <c r="T3429" s="270">
        <v>6500</v>
      </c>
      <c r="U3429" s="271" t="s">
        <v>3937</v>
      </c>
      <c r="V3429" s="267" t="s">
        <v>944</v>
      </c>
    </row>
    <row r="3430" spans="1:22" hidden="1" x14ac:dyDescent="0.25">
      <c r="A3430" s="266">
        <v>43641</v>
      </c>
      <c r="B3430" s="267">
        <v>2019</v>
      </c>
      <c r="C3430" s="267">
        <v>2019</v>
      </c>
      <c r="D3430" s="267">
        <v>1</v>
      </c>
      <c r="E3430" s="267">
        <v>1</v>
      </c>
      <c r="F3430" s="267" t="s">
        <v>944</v>
      </c>
      <c r="G3430" s="267" t="s">
        <v>3926</v>
      </c>
      <c r="H3430" s="267" t="s">
        <v>7915</v>
      </c>
      <c r="I3430" s="267" t="s">
        <v>4213</v>
      </c>
      <c r="J3430" s="267" t="s">
        <v>3928</v>
      </c>
      <c r="K3430" s="267">
        <v>6053</v>
      </c>
      <c r="L3430" s="267">
        <v>416500</v>
      </c>
      <c r="M3430" s="267" t="s">
        <v>3940</v>
      </c>
      <c r="N3430" s="267" t="s">
        <v>3944</v>
      </c>
      <c r="O3430" s="267">
        <v>1752</v>
      </c>
      <c r="P3430" s="267" t="s">
        <v>3944</v>
      </c>
      <c r="Q3430" s="267" t="s">
        <v>3944</v>
      </c>
      <c r="R3430" s="267">
        <v>1752</v>
      </c>
      <c r="S3430" s="267">
        <v>17588</v>
      </c>
      <c r="T3430" s="267">
        <v>19340</v>
      </c>
      <c r="U3430" s="268" t="s">
        <v>3945</v>
      </c>
      <c r="V3430" s="267" t="s">
        <v>944</v>
      </c>
    </row>
    <row r="3431" spans="1:22" hidden="1" x14ac:dyDescent="0.25">
      <c r="A3431" s="269">
        <v>43641</v>
      </c>
      <c r="B3431" s="270">
        <v>2019</v>
      </c>
      <c r="C3431" s="270">
        <v>2019</v>
      </c>
      <c r="D3431" s="270">
        <v>1</v>
      </c>
      <c r="E3431" s="270">
        <v>1</v>
      </c>
      <c r="F3431" s="270" t="s">
        <v>944</v>
      </c>
      <c r="G3431" s="270" t="s">
        <v>3926</v>
      </c>
      <c r="H3431" s="270" t="s">
        <v>7916</v>
      </c>
      <c r="I3431" s="270" t="s">
        <v>2985</v>
      </c>
      <c r="J3431" s="270" t="s">
        <v>3928</v>
      </c>
      <c r="K3431" s="270">
        <v>6824</v>
      </c>
      <c r="L3431" s="270">
        <v>60400</v>
      </c>
      <c r="M3431" s="270" t="s">
        <v>3943</v>
      </c>
      <c r="N3431" s="270" t="s">
        <v>3944</v>
      </c>
      <c r="O3431" s="270">
        <v>5353</v>
      </c>
      <c r="P3431" s="270" t="s">
        <v>3944</v>
      </c>
      <c r="Q3431" s="270" t="s">
        <v>3944</v>
      </c>
      <c r="R3431" s="270">
        <v>5353</v>
      </c>
      <c r="S3431" s="270">
        <v>36616</v>
      </c>
      <c r="T3431" s="270">
        <v>41969</v>
      </c>
      <c r="U3431" s="271" t="s">
        <v>3945</v>
      </c>
      <c r="V3431" s="267" t="s">
        <v>944</v>
      </c>
    </row>
    <row r="3432" spans="1:22" hidden="1" x14ac:dyDescent="0.25">
      <c r="A3432" s="266">
        <v>43641</v>
      </c>
      <c r="B3432" s="267">
        <v>2019</v>
      </c>
      <c r="C3432" s="267">
        <v>2019</v>
      </c>
      <c r="D3432" s="267">
        <v>1</v>
      </c>
      <c r="E3432" s="267">
        <v>1</v>
      </c>
      <c r="F3432" s="267" t="s">
        <v>944</v>
      </c>
      <c r="G3432" s="267" t="s">
        <v>3926</v>
      </c>
      <c r="H3432" s="267" t="s">
        <v>7917</v>
      </c>
      <c r="I3432" s="267" t="s">
        <v>4126</v>
      </c>
      <c r="J3432" s="267" t="s">
        <v>3928</v>
      </c>
      <c r="K3432" s="267">
        <v>6880</v>
      </c>
      <c r="L3432" s="267">
        <v>50200</v>
      </c>
      <c r="M3432" s="267" t="s">
        <v>3943</v>
      </c>
      <c r="N3432" s="267" t="s">
        <v>3944</v>
      </c>
      <c r="O3432" s="267">
        <v>5107</v>
      </c>
      <c r="P3432" s="267" t="s">
        <v>3944</v>
      </c>
      <c r="Q3432" s="267" t="s">
        <v>3944</v>
      </c>
      <c r="R3432" s="267">
        <v>5107</v>
      </c>
      <c r="S3432" s="267">
        <v>79913</v>
      </c>
      <c r="T3432" s="267">
        <v>85020</v>
      </c>
      <c r="U3432" s="268" t="s">
        <v>3945</v>
      </c>
      <c r="V3432" s="267" t="s">
        <v>944</v>
      </c>
    </row>
    <row r="3433" spans="1:22" hidden="1" x14ac:dyDescent="0.25">
      <c r="A3433" s="269">
        <v>43641</v>
      </c>
      <c r="B3433" s="270">
        <v>2019</v>
      </c>
      <c r="C3433" s="270">
        <v>2019</v>
      </c>
      <c r="D3433" s="270">
        <v>1</v>
      </c>
      <c r="E3433" s="270">
        <v>1</v>
      </c>
      <c r="F3433" s="270" t="s">
        <v>944</v>
      </c>
      <c r="G3433" s="270" t="s">
        <v>3926</v>
      </c>
      <c r="H3433" s="270" t="s">
        <v>7918</v>
      </c>
      <c r="I3433" s="270" t="s">
        <v>4005</v>
      </c>
      <c r="J3433" s="270" t="s">
        <v>3928</v>
      </c>
      <c r="K3433" s="270">
        <v>6108</v>
      </c>
      <c r="L3433" s="270">
        <v>510400</v>
      </c>
      <c r="M3433" s="270">
        <v>-60</v>
      </c>
      <c r="N3433" s="270" t="s">
        <v>3944</v>
      </c>
      <c r="O3433" s="270">
        <v>2573</v>
      </c>
      <c r="P3433" s="270" t="s">
        <v>3944</v>
      </c>
      <c r="Q3433" s="270" t="s">
        <v>3944</v>
      </c>
      <c r="R3433" s="270">
        <v>2573</v>
      </c>
      <c r="S3433" s="270">
        <v>29135.8</v>
      </c>
      <c r="T3433" s="270">
        <v>31708.799999999999</v>
      </c>
      <c r="U3433" s="271" t="s">
        <v>3945</v>
      </c>
      <c r="V3433" s="267" t="s">
        <v>944</v>
      </c>
    </row>
    <row r="3434" spans="1:22" hidden="1" x14ac:dyDescent="0.25">
      <c r="A3434" s="266">
        <v>43641</v>
      </c>
      <c r="B3434" s="267">
        <v>2019</v>
      </c>
      <c r="C3434" s="267">
        <v>2019</v>
      </c>
      <c r="D3434" s="267">
        <v>1</v>
      </c>
      <c r="E3434" s="267">
        <v>1</v>
      </c>
      <c r="F3434" s="267" t="s">
        <v>944</v>
      </c>
      <c r="G3434" s="267" t="s">
        <v>3926</v>
      </c>
      <c r="H3434" s="267" t="s">
        <v>7919</v>
      </c>
      <c r="I3434" s="267" t="s">
        <v>4170</v>
      </c>
      <c r="J3434" s="267" t="s">
        <v>3928</v>
      </c>
      <c r="K3434" s="267">
        <v>6498</v>
      </c>
      <c r="L3434" s="267">
        <v>680100</v>
      </c>
      <c r="M3434" s="267" t="s">
        <v>3935</v>
      </c>
      <c r="N3434" s="267" t="s">
        <v>3944</v>
      </c>
      <c r="O3434" s="267">
        <v>5434</v>
      </c>
      <c r="P3434" s="267" t="s">
        <v>3944</v>
      </c>
      <c r="Q3434" s="267" t="s">
        <v>3944</v>
      </c>
      <c r="R3434" s="267">
        <v>5434</v>
      </c>
      <c r="S3434" s="267">
        <v>37535</v>
      </c>
      <c r="T3434" s="267">
        <v>42969</v>
      </c>
      <c r="U3434" s="268" t="s">
        <v>3945</v>
      </c>
      <c r="V3434" s="267" t="s">
        <v>944</v>
      </c>
    </row>
    <row r="3435" spans="1:22" hidden="1" x14ac:dyDescent="0.25">
      <c r="A3435" s="269">
        <v>43641</v>
      </c>
      <c r="B3435" s="270">
        <v>2019</v>
      </c>
      <c r="C3435" s="270">
        <v>2019</v>
      </c>
      <c r="D3435" s="270">
        <v>1</v>
      </c>
      <c r="E3435" s="270">
        <v>1</v>
      </c>
      <c r="F3435" s="270" t="s">
        <v>944</v>
      </c>
      <c r="G3435" s="270" t="s">
        <v>3926</v>
      </c>
      <c r="H3435" s="270" t="s">
        <v>7920</v>
      </c>
      <c r="I3435" s="270" t="s">
        <v>4490</v>
      </c>
      <c r="J3435" s="270" t="s">
        <v>3928</v>
      </c>
      <c r="K3435" s="270">
        <v>6426</v>
      </c>
      <c r="L3435" s="270">
        <v>630100</v>
      </c>
      <c r="M3435" s="270" t="s">
        <v>3960</v>
      </c>
      <c r="N3435" s="270" t="s">
        <v>3944</v>
      </c>
      <c r="O3435" s="270">
        <v>2984</v>
      </c>
      <c r="P3435" s="270" t="s">
        <v>3944</v>
      </c>
      <c r="Q3435" s="270" t="s">
        <v>3944</v>
      </c>
      <c r="R3435" s="270">
        <v>2984</v>
      </c>
      <c r="S3435" s="270">
        <v>22642</v>
      </c>
      <c r="T3435" s="270">
        <v>25626</v>
      </c>
      <c r="U3435" s="271" t="s">
        <v>3945</v>
      </c>
      <c r="V3435" s="267" t="s">
        <v>944</v>
      </c>
    </row>
    <row r="3436" spans="1:22" hidden="1" x14ac:dyDescent="0.25">
      <c r="A3436" s="266">
        <v>43641</v>
      </c>
      <c r="B3436" s="267">
        <v>2019</v>
      </c>
      <c r="C3436" s="267">
        <v>2019</v>
      </c>
      <c r="D3436" s="267">
        <v>1</v>
      </c>
      <c r="E3436" s="267">
        <v>1</v>
      </c>
      <c r="F3436" s="267" t="s">
        <v>944</v>
      </c>
      <c r="G3436" s="267" t="s">
        <v>3926</v>
      </c>
      <c r="H3436" s="267" t="s">
        <v>7921</v>
      </c>
      <c r="I3436" s="267" t="s">
        <v>4011</v>
      </c>
      <c r="J3436" s="267" t="s">
        <v>3928</v>
      </c>
      <c r="K3436" s="267">
        <v>6002</v>
      </c>
      <c r="L3436" s="267">
        <v>471300</v>
      </c>
      <c r="M3436" s="267" t="s">
        <v>3935</v>
      </c>
      <c r="N3436" s="267" t="s">
        <v>3944</v>
      </c>
      <c r="O3436" s="267">
        <v>4086</v>
      </c>
      <c r="P3436" s="267" t="s">
        <v>3944</v>
      </c>
      <c r="Q3436" s="267" t="s">
        <v>3944</v>
      </c>
      <c r="R3436" s="267">
        <v>4086</v>
      </c>
      <c r="S3436" s="267">
        <v>43441.43</v>
      </c>
      <c r="T3436" s="267">
        <v>47527.43</v>
      </c>
      <c r="U3436" s="268" t="s">
        <v>3945</v>
      </c>
      <c r="V3436" s="267" t="s">
        <v>944</v>
      </c>
    </row>
    <row r="3437" spans="1:22" hidden="1" x14ac:dyDescent="0.25">
      <c r="A3437" s="269">
        <v>43641</v>
      </c>
      <c r="B3437" s="270">
        <v>2019</v>
      </c>
      <c r="C3437" s="270">
        <v>2019</v>
      </c>
      <c r="D3437" s="270">
        <v>1</v>
      </c>
      <c r="E3437" s="270">
        <v>1</v>
      </c>
      <c r="F3437" s="270" t="s">
        <v>944</v>
      </c>
      <c r="G3437" s="270" t="s">
        <v>3926</v>
      </c>
      <c r="H3437" s="270" t="s">
        <v>7922</v>
      </c>
      <c r="I3437" s="270" t="s">
        <v>3949</v>
      </c>
      <c r="J3437" s="270" t="s">
        <v>3928</v>
      </c>
      <c r="K3437" s="270">
        <v>6437</v>
      </c>
      <c r="L3437" s="270">
        <v>190100</v>
      </c>
      <c r="M3437" s="270" t="s">
        <v>3960</v>
      </c>
      <c r="N3437" s="270" t="s">
        <v>3944</v>
      </c>
      <c r="O3437" s="270">
        <v>4864</v>
      </c>
      <c r="P3437" s="270" t="s">
        <v>3944</v>
      </c>
      <c r="Q3437" s="270" t="s">
        <v>3944</v>
      </c>
      <c r="R3437" s="270">
        <v>4864</v>
      </c>
      <c r="S3437" s="270">
        <v>25974.5</v>
      </c>
      <c r="T3437" s="270">
        <v>30838.5</v>
      </c>
      <c r="U3437" s="271" t="s">
        <v>3945</v>
      </c>
      <c r="V3437" s="267" t="s">
        <v>944</v>
      </c>
    </row>
    <row r="3438" spans="1:22" hidden="1" x14ac:dyDescent="0.25">
      <c r="A3438" s="266">
        <v>43641</v>
      </c>
      <c r="B3438" s="267">
        <v>2019</v>
      </c>
      <c r="C3438" s="267">
        <v>2019</v>
      </c>
      <c r="D3438" s="267">
        <v>1</v>
      </c>
      <c r="E3438" s="267">
        <v>1</v>
      </c>
      <c r="F3438" s="267" t="s">
        <v>944</v>
      </c>
      <c r="G3438" s="267" t="s">
        <v>3926</v>
      </c>
      <c r="H3438" s="267" t="s">
        <v>7923</v>
      </c>
      <c r="I3438" s="267" t="s">
        <v>4461</v>
      </c>
      <c r="J3438" s="267" t="s">
        <v>3928</v>
      </c>
      <c r="K3438" s="267">
        <v>6830</v>
      </c>
      <c r="L3438" s="267">
        <v>10500</v>
      </c>
      <c r="M3438" s="267" t="s">
        <v>3960</v>
      </c>
      <c r="N3438" s="267" t="s">
        <v>3944</v>
      </c>
      <c r="O3438" s="267">
        <v>2459</v>
      </c>
      <c r="P3438" s="267" t="s">
        <v>3944</v>
      </c>
      <c r="Q3438" s="267" t="s">
        <v>3944</v>
      </c>
      <c r="R3438" s="267">
        <v>2459</v>
      </c>
      <c r="S3438" s="267">
        <v>35621</v>
      </c>
      <c r="T3438" s="267">
        <v>38080</v>
      </c>
      <c r="U3438" s="268" t="s">
        <v>3945</v>
      </c>
      <c r="V3438" s="267" t="s">
        <v>944</v>
      </c>
    </row>
    <row r="3439" spans="1:22" hidden="1" x14ac:dyDescent="0.25">
      <c r="A3439" s="269">
        <v>43641</v>
      </c>
      <c r="B3439" s="270">
        <v>2019</v>
      </c>
      <c r="C3439" s="270">
        <v>2019</v>
      </c>
      <c r="D3439" s="270">
        <v>1</v>
      </c>
      <c r="E3439" s="270">
        <v>1</v>
      </c>
      <c r="F3439" s="270" t="s">
        <v>944</v>
      </c>
      <c r="G3439" s="270" t="s">
        <v>3926</v>
      </c>
      <c r="H3439" s="270" t="s">
        <v>7924</v>
      </c>
      <c r="I3439" s="270" t="s">
        <v>4220</v>
      </c>
      <c r="J3439" s="270" t="s">
        <v>3928</v>
      </c>
      <c r="K3439" s="270">
        <v>6481</v>
      </c>
      <c r="L3439" s="270">
        <v>580100</v>
      </c>
      <c r="M3439" s="270" t="s">
        <v>3960</v>
      </c>
      <c r="N3439" s="270" t="s">
        <v>3944</v>
      </c>
      <c r="O3439" s="270">
        <v>5843</v>
      </c>
      <c r="P3439" s="270" t="s">
        <v>3944</v>
      </c>
      <c r="Q3439" s="270" t="s">
        <v>3944</v>
      </c>
      <c r="R3439" s="270">
        <v>5843</v>
      </c>
      <c r="S3439" s="270">
        <v>37608</v>
      </c>
      <c r="T3439" s="270">
        <v>43451</v>
      </c>
      <c r="U3439" s="271" t="s">
        <v>3945</v>
      </c>
      <c r="V3439" s="267" t="s">
        <v>944</v>
      </c>
    </row>
    <row r="3440" spans="1:22" hidden="1" x14ac:dyDescent="0.25">
      <c r="A3440" s="266">
        <v>43641</v>
      </c>
      <c r="B3440" s="267">
        <v>2019</v>
      </c>
      <c r="C3440" s="267">
        <v>2019</v>
      </c>
      <c r="D3440" s="267">
        <v>1</v>
      </c>
      <c r="E3440" s="267">
        <v>1</v>
      </c>
      <c r="F3440" s="267" t="s">
        <v>944</v>
      </c>
      <c r="G3440" s="267" t="s">
        <v>3926</v>
      </c>
      <c r="H3440" s="267" t="s">
        <v>7925</v>
      </c>
      <c r="I3440" s="267" t="s">
        <v>3025</v>
      </c>
      <c r="J3440" s="267" t="s">
        <v>3928</v>
      </c>
      <c r="K3440" s="267">
        <v>6473</v>
      </c>
      <c r="L3440" s="267">
        <v>167300</v>
      </c>
      <c r="M3440" s="267" t="s">
        <v>3943</v>
      </c>
      <c r="N3440" s="267" t="s">
        <v>3944</v>
      </c>
      <c r="O3440" s="267">
        <v>4460</v>
      </c>
      <c r="P3440" s="267" t="s">
        <v>3944</v>
      </c>
      <c r="Q3440" s="267" t="s">
        <v>3944</v>
      </c>
      <c r="R3440" s="267">
        <v>4460</v>
      </c>
      <c r="S3440" s="267">
        <v>33169</v>
      </c>
      <c r="T3440" s="267">
        <v>37629</v>
      </c>
      <c r="U3440" s="268" t="s">
        <v>3945</v>
      </c>
      <c r="V3440" s="267" t="s">
        <v>944</v>
      </c>
    </row>
    <row r="3441" spans="1:22" hidden="1" x14ac:dyDescent="0.25">
      <c r="A3441" s="269">
        <v>43641</v>
      </c>
      <c r="B3441" s="270">
        <v>2019</v>
      </c>
      <c r="C3441" s="270">
        <v>2019</v>
      </c>
      <c r="D3441" s="270">
        <v>1</v>
      </c>
      <c r="E3441" s="270">
        <v>1</v>
      </c>
      <c r="F3441" s="270" t="s">
        <v>944</v>
      </c>
      <c r="G3441" s="270" t="s">
        <v>3926</v>
      </c>
      <c r="H3441" s="270" t="s">
        <v>7926</v>
      </c>
      <c r="I3441" s="270" t="s">
        <v>3012</v>
      </c>
      <c r="J3441" s="270" t="s">
        <v>3928</v>
      </c>
      <c r="K3441" s="270">
        <v>6477</v>
      </c>
      <c r="L3441" s="270">
        <v>157200</v>
      </c>
      <c r="M3441" s="270" t="s">
        <v>3943</v>
      </c>
      <c r="N3441" s="270" t="s">
        <v>3944</v>
      </c>
      <c r="O3441" s="270">
        <v>2741</v>
      </c>
      <c r="P3441" s="270" t="s">
        <v>3944</v>
      </c>
      <c r="Q3441" s="270" t="s">
        <v>3944</v>
      </c>
      <c r="R3441" s="270">
        <v>2741</v>
      </c>
      <c r="S3441" s="270">
        <v>18109</v>
      </c>
      <c r="T3441" s="270">
        <v>20850</v>
      </c>
      <c r="U3441" s="271" t="s">
        <v>3945</v>
      </c>
      <c r="V3441" s="267" t="s">
        <v>944</v>
      </c>
    </row>
    <row r="3442" spans="1:22" hidden="1" x14ac:dyDescent="0.25">
      <c r="A3442" s="266">
        <v>43641</v>
      </c>
      <c r="B3442" s="267">
        <v>2019</v>
      </c>
      <c r="C3442" s="267">
        <v>2019</v>
      </c>
      <c r="D3442" s="267">
        <v>1</v>
      </c>
      <c r="E3442" s="267">
        <v>1</v>
      </c>
      <c r="F3442" s="267" t="s">
        <v>944</v>
      </c>
      <c r="G3442" s="267" t="s">
        <v>3926</v>
      </c>
      <c r="H3442" s="267" t="s">
        <v>7927</v>
      </c>
      <c r="I3442" s="267" t="s">
        <v>5147</v>
      </c>
      <c r="J3442" s="267" t="s">
        <v>3928</v>
      </c>
      <c r="K3442" s="267">
        <v>6830</v>
      </c>
      <c r="L3442" s="267">
        <v>10300</v>
      </c>
      <c r="M3442" s="267" t="s">
        <v>3943</v>
      </c>
      <c r="N3442" s="267" t="s">
        <v>3944</v>
      </c>
      <c r="O3442" s="267">
        <v>5084</v>
      </c>
      <c r="P3442" s="267" t="s">
        <v>3944</v>
      </c>
      <c r="Q3442" s="267" t="s">
        <v>3944</v>
      </c>
      <c r="R3442" s="267">
        <v>5084</v>
      </c>
      <c r="S3442" s="267">
        <v>34895</v>
      </c>
      <c r="T3442" s="267">
        <v>39979</v>
      </c>
      <c r="U3442" s="268" t="s">
        <v>3945</v>
      </c>
      <c r="V3442" s="267" t="s">
        <v>944</v>
      </c>
    </row>
    <row r="3443" spans="1:22" hidden="1" x14ac:dyDescent="0.25">
      <c r="A3443" s="269">
        <v>43641</v>
      </c>
      <c r="B3443" s="270">
        <v>2019</v>
      </c>
      <c r="C3443" s="270">
        <v>2019</v>
      </c>
      <c r="D3443" s="270">
        <v>1</v>
      </c>
      <c r="E3443" s="270">
        <v>1</v>
      </c>
      <c r="F3443" s="270" t="s">
        <v>944</v>
      </c>
      <c r="G3443" s="270" t="s">
        <v>3926</v>
      </c>
      <c r="H3443" s="270" t="s">
        <v>7928</v>
      </c>
      <c r="I3443" s="270" t="s">
        <v>4114</v>
      </c>
      <c r="J3443" s="270" t="s">
        <v>3928</v>
      </c>
      <c r="K3443" s="270">
        <v>6410</v>
      </c>
      <c r="L3443" s="270">
        <v>343400</v>
      </c>
      <c r="M3443" s="270" t="s">
        <v>3943</v>
      </c>
      <c r="N3443" s="270" t="s">
        <v>3944</v>
      </c>
      <c r="O3443" s="270">
        <v>2421.7600000000002</v>
      </c>
      <c r="P3443" s="270" t="s">
        <v>3944</v>
      </c>
      <c r="Q3443" s="270" t="s">
        <v>3944</v>
      </c>
      <c r="R3443" s="270">
        <v>2421.7600000000002</v>
      </c>
      <c r="S3443" s="270">
        <v>32500.16</v>
      </c>
      <c r="T3443" s="270">
        <v>34921.919999999998</v>
      </c>
      <c r="U3443" s="271" t="s">
        <v>3945</v>
      </c>
      <c r="V3443" s="267" t="s">
        <v>944</v>
      </c>
    </row>
    <row r="3444" spans="1:22" hidden="1" x14ac:dyDescent="0.25">
      <c r="A3444" s="266">
        <v>43641</v>
      </c>
      <c r="B3444" s="267">
        <v>2019</v>
      </c>
      <c r="C3444" s="267">
        <v>2019</v>
      </c>
      <c r="D3444" s="267">
        <v>1</v>
      </c>
      <c r="E3444" s="267">
        <v>1</v>
      </c>
      <c r="F3444" s="267" t="s">
        <v>944</v>
      </c>
      <c r="G3444" s="267" t="s">
        <v>3926</v>
      </c>
      <c r="H3444" s="267" t="s">
        <v>7929</v>
      </c>
      <c r="I3444" s="267" t="s">
        <v>3008</v>
      </c>
      <c r="J3444" s="267" t="s">
        <v>3928</v>
      </c>
      <c r="K3444" s="267">
        <v>6460</v>
      </c>
      <c r="L3444" s="267">
        <v>151100</v>
      </c>
      <c r="M3444" s="267" t="s">
        <v>3960</v>
      </c>
      <c r="N3444" s="267" t="s">
        <v>3944</v>
      </c>
      <c r="O3444" s="267">
        <v>2243.4</v>
      </c>
      <c r="P3444" s="267" t="s">
        <v>3944</v>
      </c>
      <c r="Q3444" s="267" t="s">
        <v>3944</v>
      </c>
      <c r="R3444" s="267">
        <v>2243.4</v>
      </c>
      <c r="S3444" s="267">
        <v>29982.6</v>
      </c>
      <c r="T3444" s="267">
        <v>32226</v>
      </c>
      <c r="U3444" s="268" t="s">
        <v>3945</v>
      </c>
      <c r="V3444" s="267" t="s">
        <v>944</v>
      </c>
    </row>
    <row r="3445" spans="1:22" hidden="1" x14ac:dyDescent="0.25">
      <c r="A3445" s="269">
        <v>43641</v>
      </c>
      <c r="B3445" s="270">
        <v>2019</v>
      </c>
      <c r="C3445" s="270">
        <v>2019</v>
      </c>
      <c r="D3445" s="270">
        <v>1</v>
      </c>
      <c r="E3445" s="270">
        <v>1</v>
      </c>
      <c r="F3445" s="270" t="s">
        <v>944</v>
      </c>
      <c r="G3445" s="270" t="s">
        <v>3926</v>
      </c>
      <c r="H3445" s="270" t="s">
        <v>7930</v>
      </c>
      <c r="I3445" s="270" t="s">
        <v>4269</v>
      </c>
      <c r="J3445" s="270" t="s">
        <v>3928</v>
      </c>
      <c r="K3445" s="270">
        <v>6110</v>
      </c>
      <c r="L3445" s="270">
        <v>496100</v>
      </c>
      <c r="M3445" s="270" t="s">
        <v>3940</v>
      </c>
      <c r="N3445" s="270" t="s">
        <v>3944</v>
      </c>
      <c r="O3445" s="270">
        <v>1851.01</v>
      </c>
      <c r="P3445" s="270" t="s">
        <v>3944</v>
      </c>
      <c r="Q3445" s="270" t="s">
        <v>3944</v>
      </c>
      <c r="R3445" s="270">
        <v>1851.01</v>
      </c>
      <c r="S3445" s="270">
        <v>21548.99</v>
      </c>
      <c r="T3445" s="270">
        <v>23400</v>
      </c>
      <c r="U3445" s="271" t="s">
        <v>3945</v>
      </c>
      <c r="V3445" s="267" t="s">
        <v>944</v>
      </c>
    </row>
    <row r="3446" spans="1:22" hidden="1" x14ac:dyDescent="0.25">
      <c r="A3446" s="266">
        <v>43641</v>
      </c>
      <c r="B3446" s="267">
        <v>2019</v>
      </c>
      <c r="C3446" s="267">
        <v>2019</v>
      </c>
      <c r="D3446" s="267">
        <v>1</v>
      </c>
      <c r="E3446" s="267">
        <v>1</v>
      </c>
      <c r="F3446" s="267" t="s">
        <v>944</v>
      </c>
      <c r="G3446" s="267" t="s">
        <v>3926</v>
      </c>
      <c r="H3446" s="267" t="s">
        <v>7931</v>
      </c>
      <c r="I3446" s="267" t="s">
        <v>4392</v>
      </c>
      <c r="J3446" s="267" t="s">
        <v>3928</v>
      </c>
      <c r="K3446" s="267">
        <v>6457</v>
      </c>
      <c r="L3446" s="267">
        <v>542100</v>
      </c>
      <c r="M3446" s="267" t="s">
        <v>3940</v>
      </c>
      <c r="N3446" s="267" t="s">
        <v>3944</v>
      </c>
      <c r="O3446" s="267">
        <v>2154.0100000000002</v>
      </c>
      <c r="P3446" s="267" t="s">
        <v>3944</v>
      </c>
      <c r="Q3446" s="267" t="s">
        <v>3944</v>
      </c>
      <c r="R3446" s="267">
        <v>2154.0100000000002</v>
      </c>
      <c r="S3446" s="267">
        <v>35429.99</v>
      </c>
      <c r="T3446" s="267">
        <v>37584</v>
      </c>
      <c r="U3446" s="268" t="s">
        <v>3945</v>
      </c>
      <c r="V3446" s="267" t="s">
        <v>944</v>
      </c>
    </row>
    <row r="3447" spans="1:22" hidden="1" x14ac:dyDescent="0.25">
      <c r="A3447" s="269">
        <v>43641</v>
      </c>
      <c r="B3447" s="270">
        <v>2019</v>
      </c>
      <c r="C3447" s="270">
        <v>2019</v>
      </c>
      <c r="D3447" s="270">
        <v>1</v>
      </c>
      <c r="E3447" s="270">
        <v>1</v>
      </c>
      <c r="F3447" s="270" t="s">
        <v>944</v>
      </c>
      <c r="G3447" s="270" t="s">
        <v>3926</v>
      </c>
      <c r="H3447" s="270" t="s">
        <v>7932</v>
      </c>
      <c r="I3447" s="270" t="s">
        <v>4011</v>
      </c>
      <c r="J3447" s="270" t="s">
        <v>3928</v>
      </c>
      <c r="K3447" s="270">
        <v>6002</v>
      </c>
      <c r="L3447" s="270">
        <v>471400</v>
      </c>
      <c r="M3447" s="270" t="s">
        <v>3943</v>
      </c>
      <c r="N3447" s="270" t="s">
        <v>3944</v>
      </c>
      <c r="O3447" s="270">
        <v>3610.99</v>
      </c>
      <c r="P3447" s="270" t="s">
        <v>3944</v>
      </c>
      <c r="Q3447" s="270" t="s">
        <v>3944</v>
      </c>
      <c r="R3447" s="270">
        <v>3610.99</v>
      </c>
      <c r="S3447" s="270">
        <v>56475.01</v>
      </c>
      <c r="T3447" s="270">
        <v>60086</v>
      </c>
      <c r="U3447" s="271" t="s">
        <v>3945</v>
      </c>
      <c r="V3447" s="267" t="s">
        <v>944</v>
      </c>
    </row>
    <row r="3448" spans="1:22" hidden="1" x14ac:dyDescent="0.25">
      <c r="A3448" s="266">
        <v>43641</v>
      </c>
      <c r="B3448" s="267">
        <v>2019</v>
      </c>
      <c r="C3448" s="267">
        <v>2019</v>
      </c>
      <c r="D3448" s="267">
        <v>1</v>
      </c>
      <c r="E3448" s="267">
        <v>1</v>
      </c>
      <c r="F3448" s="267" t="s">
        <v>944</v>
      </c>
      <c r="G3448" s="267" t="s">
        <v>3926</v>
      </c>
      <c r="H3448" s="267" t="s">
        <v>7933</v>
      </c>
      <c r="I3448" s="267" t="s">
        <v>7934</v>
      </c>
      <c r="J3448" s="267" t="s">
        <v>3928</v>
      </c>
      <c r="K3448" s="267">
        <v>6098</v>
      </c>
      <c r="L3448" s="267">
        <v>320100</v>
      </c>
      <c r="M3448" s="267" t="s">
        <v>3940</v>
      </c>
      <c r="N3448" s="267" t="s">
        <v>3944</v>
      </c>
      <c r="O3448" s="267">
        <v>1679.69</v>
      </c>
      <c r="P3448" s="267" t="s">
        <v>3944</v>
      </c>
      <c r="Q3448" s="267" t="s">
        <v>3944</v>
      </c>
      <c r="R3448" s="267">
        <v>1679.69</v>
      </c>
      <c r="S3448" s="267">
        <v>25181.87</v>
      </c>
      <c r="T3448" s="267">
        <v>26861.56</v>
      </c>
      <c r="U3448" s="268" t="s">
        <v>3945</v>
      </c>
      <c r="V3448" s="267" t="s">
        <v>944</v>
      </c>
    </row>
    <row r="3449" spans="1:22" hidden="1" x14ac:dyDescent="0.25">
      <c r="A3449" s="269">
        <v>43641</v>
      </c>
      <c r="B3449" s="270">
        <v>2019</v>
      </c>
      <c r="C3449" s="270">
        <v>2019</v>
      </c>
      <c r="D3449" s="270">
        <v>1</v>
      </c>
      <c r="E3449" s="270">
        <v>1</v>
      </c>
      <c r="F3449" s="270" t="s">
        <v>944</v>
      </c>
      <c r="G3449" s="270" t="s">
        <v>3926</v>
      </c>
      <c r="H3449" s="270" t="s">
        <v>7935</v>
      </c>
      <c r="I3449" s="270" t="s">
        <v>3966</v>
      </c>
      <c r="J3449" s="270" t="s">
        <v>3928</v>
      </c>
      <c r="K3449" s="270">
        <v>6010</v>
      </c>
      <c r="L3449" s="270">
        <v>405900</v>
      </c>
      <c r="M3449" s="270" t="s">
        <v>3960</v>
      </c>
      <c r="N3449" s="270" t="s">
        <v>3944</v>
      </c>
      <c r="O3449" s="270">
        <v>1788.19</v>
      </c>
      <c r="P3449" s="270" t="s">
        <v>3944</v>
      </c>
      <c r="Q3449" s="270" t="s">
        <v>3944</v>
      </c>
      <c r="R3449" s="270">
        <v>1788.19</v>
      </c>
      <c r="S3449" s="270">
        <v>22659.78</v>
      </c>
      <c r="T3449" s="270">
        <v>24447.97</v>
      </c>
      <c r="U3449" s="271" t="s">
        <v>3945</v>
      </c>
      <c r="V3449" s="267" t="s">
        <v>944</v>
      </c>
    </row>
    <row r="3450" spans="1:22" hidden="1" x14ac:dyDescent="0.25">
      <c r="A3450" s="266">
        <v>43642</v>
      </c>
      <c r="B3450" s="267">
        <v>2019</v>
      </c>
      <c r="C3450" s="267">
        <v>2019</v>
      </c>
      <c r="D3450" s="267">
        <v>1</v>
      </c>
      <c r="E3450" s="267">
        <v>1</v>
      </c>
      <c r="F3450" s="267" t="s">
        <v>944</v>
      </c>
      <c r="G3450" s="267" t="s">
        <v>3926</v>
      </c>
      <c r="H3450" s="267" t="s">
        <v>7936</v>
      </c>
      <c r="I3450" s="267" t="s">
        <v>2987</v>
      </c>
      <c r="J3450" s="267" t="s">
        <v>3928</v>
      </c>
      <c r="K3450" s="267">
        <v>6611</v>
      </c>
      <c r="L3450" s="267">
        <v>90300</v>
      </c>
      <c r="M3450" s="267" t="s">
        <v>3943</v>
      </c>
      <c r="N3450" s="267" t="s">
        <v>7937</v>
      </c>
      <c r="O3450" s="267">
        <v>0</v>
      </c>
      <c r="P3450" s="267" t="s">
        <v>3930</v>
      </c>
      <c r="Q3450" s="267" t="s">
        <v>3930</v>
      </c>
      <c r="R3450" s="267">
        <v>0</v>
      </c>
      <c r="S3450" s="267">
        <v>8100</v>
      </c>
      <c r="T3450" s="267">
        <v>8100</v>
      </c>
      <c r="U3450" s="268" t="s">
        <v>3937</v>
      </c>
      <c r="V3450" s="267" t="s">
        <v>944</v>
      </c>
    </row>
    <row r="3451" spans="1:22" hidden="1" x14ac:dyDescent="0.25">
      <c r="A3451" s="269">
        <v>43642</v>
      </c>
      <c r="B3451" s="270">
        <v>2019</v>
      </c>
      <c r="C3451" s="270">
        <v>2019</v>
      </c>
      <c r="D3451" s="270">
        <v>1</v>
      </c>
      <c r="E3451" s="270">
        <v>1</v>
      </c>
      <c r="F3451" s="270" t="s">
        <v>944</v>
      </c>
      <c r="G3451" s="270" t="s">
        <v>3926</v>
      </c>
      <c r="H3451" s="270" t="s">
        <v>7938</v>
      </c>
      <c r="I3451" s="270" t="s">
        <v>4011</v>
      </c>
      <c r="J3451" s="270" t="s">
        <v>3928</v>
      </c>
      <c r="K3451" s="270">
        <v>6002</v>
      </c>
      <c r="L3451" s="270">
        <v>471500</v>
      </c>
      <c r="M3451" s="270" t="s">
        <v>3935</v>
      </c>
      <c r="N3451" s="270" t="s">
        <v>7939</v>
      </c>
      <c r="O3451" s="270">
        <v>2059.5500000000002</v>
      </c>
      <c r="P3451" s="270" t="s">
        <v>3930</v>
      </c>
      <c r="Q3451" s="270" t="s">
        <v>3931</v>
      </c>
      <c r="R3451" s="270">
        <v>7059.55</v>
      </c>
      <c r="S3451" s="270">
        <v>29542</v>
      </c>
      <c r="T3451" s="270">
        <v>36601.550000000003</v>
      </c>
      <c r="U3451" s="271" t="s">
        <v>3932</v>
      </c>
      <c r="V3451" s="267" t="s">
        <v>944</v>
      </c>
    </row>
    <row r="3452" spans="1:22" hidden="1" x14ac:dyDescent="0.25">
      <c r="A3452" s="266">
        <v>43642</v>
      </c>
      <c r="B3452" s="267">
        <v>2019</v>
      </c>
      <c r="C3452" s="267">
        <v>2019</v>
      </c>
      <c r="D3452" s="267">
        <v>1</v>
      </c>
      <c r="E3452" s="267">
        <v>1</v>
      </c>
      <c r="F3452" s="267" t="s">
        <v>944</v>
      </c>
      <c r="G3452" s="267" t="s">
        <v>3926</v>
      </c>
      <c r="H3452" s="267" t="s">
        <v>7940</v>
      </c>
      <c r="I3452" s="267" t="s">
        <v>4490</v>
      </c>
      <c r="J3452" s="267" t="s">
        <v>3928</v>
      </c>
      <c r="K3452" s="267">
        <v>6426</v>
      </c>
      <c r="L3452" s="267">
        <v>630100</v>
      </c>
      <c r="M3452" s="267" t="s">
        <v>3960</v>
      </c>
      <c r="N3452" s="267" t="s">
        <v>3944</v>
      </c>
      <c r="O3452" s="267">
        <v>0</v>
      </c>
      <c r="P3452" s="267" t="s">
        <v>3944</v>
      </c>
      <c r="Q3452" s="267" t="s">
        <v>3944</v>
      </c>
      <c r="R3452" s="267">
        <v>0</v>
      </c>
      <c r="S3452" s="267">
        <v>186500</v>
      </c>
      <c r="T3452" s="267">
        <v>186500</v>
      </c>
      <c r="U3452" s="268" t="s">
        <v>3945</v>
      </c>
      <c r="V3452" s="267" t="s">
        <v>944</v>
      </c>
    </row>
    <row r="3453" spans="1:22" hidden="1" x14ac:dyDescent="0.25">
      <c r="A3453" s="269">
        <v>43642</v>
      </c>
      <c r="B3453" s="270">
        <v>2019</v>
      </c>
      <c r="C3453" s="270">
        <v>2019</v>
      </c>
      <c r="D3453" s="270">
        <v>1</v>
      </c>
      <c r="E3453" s="270">
        <v>1</v>
      </c>
      <c r="F3453" s="270" t="s">
        <v>944</v>
      </c>
      <c r="G3453" s="270" t="s">
        <v>3926</v>
      </c>
      <c r="H3453" s="270" t="s">
        <v>7941</v>
      </c>
      <c r="I3453" s="270" t="s">
        <v>2981</v>
      </c>
      <c r="J3453" s="270" t="s">
        <v>3928</v>
      </c>
      <c r="K3453" s="270">
        <v>6612</v>
      </c>
      <c r="L3453" s="270">
        <v>105200</v>
      </c>
      <c r="M3453" s="270" t="s">
        <v>3943</v>
      </c>
      <c r="N3453" s="270" t="s">
        <v>3944</v>
      </c>
      <c r="O3453" s="270">
        <v>7716</v>
      </c>
      <c r="P3453" s="270" t="s">
        <v>3944</v>
      </c>
      <c r="Q3453" s="270" t="s">
        <v>3944</v>
      </c>
      <c r="R3453" s="270">
        <v>7716</v>
      </c>
      <c r="S3453" s="270">
        <v>54051</v>
      </c>
      <c r="T3453" s="270">
        <v>61767</v>
      </c>
      <c r="U3453" s="271" t="s">
        <v>3945</v>
      </c>
      <c r="V3453" s="267" t="s">
        <v>944</v>
      </c>
    </row>
    <row r="3454" spans="1:22" hidden="1" x14ac:dyDescent="0.25">
      <c r="A3454" s="266">
        <v>43642</v>
      </c>
      <c r="B3454" s="267">
        <v>2019</v>
      </c>
      <c r="C3454" s="267">
        <v>2019</v>
      </c>
      <c r="D3454" s="267">
        <v>1</v>
      </c>
      <c r="E3454" s="267">
        <v>1</v>
      </c>
      <c r="F3454" s="267" t="s">
        <v>944</v>
      </c>
      <c r="G3454" s="267" t="s">
        <v>3926</v>
      </c>
      <c r="H3454" s="267" t="s">
        <v>7942</v>
      </c>
      <c r="I3454" s="267" t="s">
        <v>3939</v>
      </c>
      <c r="J3454" s="267" t="s">
        <v>3928</v>
      </c>
      <c r="K3454" s="267">
        <v>6512</v>
      </c>
      <c r="L3454" s="267">
        <v>180200</v>
      </c>
      <c r="M3454" s="267" t="s">
        <v>3940</v>
      </c>
      <c r="N3454" s="267" t="s">
        <v>3944</v>
      </c>
      <c r="O3454" s="267">
        <v>1376</v>
      </c>
      <c r="P3454" s="267" t="s">
        <v>3944</v>
      </c>
      <c r="Q3454" s="267" t="s">
        <v>3944</v>
      </c>
      <c r="R3454" s="267">
        <v>1376</v>
      </c>
      <c r="S3454" s="267">
        <v>19206</v>
      </c>
      <c r="T3454" s="267">
        <v>20582</v>
      </c>
      <c r="U3454" s="268" t="s">
        <v>3945</v>
      </c>
      <c r="V3454" s="267" t="s">
        <v>944</v>
      </c>
    </row>
    <row r="3455" spans="1:22" hidden="1" x14ac:dyDescent="0.25">
      <c r="A3455" s="269">
        <v>43642</v>
      </c>
      <c r="B3455" s="270">
        <v>2019</v>
      </c>
      <c r="C3455" s="270">
        <v>2019</v>
      </c>
      <c r="D3455" s="270">
        <v>1</v>
      </c>
      <c r="E3455" s="270">
        <v>1</v>
      </c>
      <c r="F3455" s="270" t="s">
        <v>944</v>
      </c>
      <c r="G3455" s="270" t="s">
        <v>3926</v>
      </c>
      <c r="H3455" s="270" t="s">
        <v>7943</v>
      </c>
      <c r="I3455" s="270" t="s">
        <v>3954</v>
      </c>
      <c r="J3455" s="270" t="s">
        <v>3928</v>
      </c>
      <c r="K3455" s="270">
        <v>6357</v>
      </c>
      <c r="L3455" s="270">
        <v>870704</v>
      </c>
      <c r="M3455" s="270" t="s">
        <v>3935</v>
      </c>
      <c r="N3455" s="270" t="s">
        <v>3944</v>
      </c>
      <c r="O3455" s="270">
        <v>3288</v>
      </c>
      <c r="P3455" s="270" t="s">
        <v>3944</v>
      </c>
      <c r="Q3455" s="270" t="s">
        <v>3944</v>
      </c>
      <c r="R3455" s="270">
        <v>3288</v>
      </c>
      <c r="S3455" s="270">
        <v>24567</v>
      </c>
      <c r="T3455" s="270">
        <v>27855</v>
      </c>
      <c r="U3455" s="271" t="s">
        <v>3945</v>
      </c>
      <c r="V3455" s="267" t="s">
        <v>944</v>
      </c>
    </row>
    <row r="3456" spans="1:22" hidden="1" x14ac:dyDescent="0.25">
      <c r="A3456" s="266">
        <v>43642</v>
      </c>
      <c r="B3456" s="267">
        <v>2019</v>
      </c>
      <c r="C3456" s="267">
        <v>2019</v>
      </c>
      <c r="D3456" s="267">
        <v>1</v>
      </c>
      <c r="E3456" s="267">
        <v>1</v>
      </c>
      <c r="F3456" s="267" t="s">
        <v>944</v>
      </c>
      <c r="G3456" s="267" t="s">
        <v>3926</v>
      </c>
      <c r="H3456" s="267" t="s">
        <v>7944</v>
      </c>
      <c r="I3456" s="267" t="s">
        <v>4124</v>
      </c>
      <c r="J3456" s="267" t="s">
        <v>3928</v>
      </c>
      <c r="K3456" s="267">
        <v>6470</v>
      </c>
      <c r="L3456" s="267">
        <v>230400</v>
      </c>
      <c r="M3456" s="267" t="s">
        <v>3943</v>
      </c>
      <c r="N3456" s="267" t="s">
        <v>3944</v>
      </c>
      <c r="O3456" s="267">
        <v>2737</v>
      </c>
      <c r="P3456" s="267" t="s">
        <v>3944</v>
      </c>
      <c r="Q3456" s="267" t="s">
        <v>3944</v>
      </c>
      <c r="R3456" s="267">
        <v>2737</v>
      </c>
      <c r="S3456" s="267">
        <v>29311.58</v>
      </c>
      <c r="T3456" s="267">
        <v>32048.58</v>
      </c>
      <c r="U3456" s="268" t="s">
        <v>3945</v>
      </c>
      <c r="V3456" s="267" t="s">
        <v>944</v>
      </c>
    </row>
    <row r="3457" spans="1:22" hidden="1" x14ac:dyDescent="0.25">
      <c r="A3457" s="269">
        <v>43642</v>
      </c>
      <c r="B3457" s="270">
        <v>2019</v>
      </c>
      <c r="C3457" s="270">
        <v>2019</v>
      </c>
      <c r="D3457" s="270">
        <v>1</v>
      </c>
      <c r="E3457" s="270">
        <v>1</v>
      </c>
      <c r="F3457" s="270" t="s">
        <v>944</v>
      </c>
      <c r="G3457" s="270" t="s">
        <v>3926</v>
      </c>
      <c r="H3457" s="270" t="s">
        <v>7945</v>
      </c>
      <c r="I3457" s="270" t="s">
        <v>6565</v>
      </c>
      <c r="J3457" s="270" t="s">
        <v>3928</v>
      </c>
      <c r="K3457" s="270">
        <v>6021</v>
      </c>
      <c r="L3457" s="270">
        <v>293100</v>
      </c>
      <c r="M3457" s="270" t="s">
        <v>3960</v>
      </c>
      <c r="N3457" s="270" t="s">
        <v>3944</v>
      </c>
      <c r="O3457" s="270">
        <v>4594</v>
      </c>
      <c r="P3457" s="270" t="s">
        <v>3944</v>
      </c>
      <c r="Q3457" s="270" t="s">
        <v>3944</v>
      </c>
      <c r="R3457" s="270">
        <v>4594</v>
      </c>
      <c r="S3457" s="270">
        <v>30056.44</v>
      </c>
      <c r="T3457" s="270">
        <v>34650.44</v>
      </c>
      <c r="U3457" s="271" t="s">
        <v>3945</v>
      </c>
      <c r="V3457" s="267" t="s">
        <v>944</v>
      </c>
    </row>
    <row r="3458" spans="1:22" hidden="1" x14ac:dyDescent="0.25">
      <c r="A3458" s="266">
        <v>43642</v>
      </c>
      <c r="B3458" s="267">
        <v>2019</v>
      </c>
      <c r="C3458" s="267">
        <v>2019</v>
      </c>
      <c r="D3458" s="267">
        <v>1</v>
      </c>
      <c r="E3458" s="267">
        <v>1</v>
      </c>
      <c r="F3458" s="267" t="s">
        <v>944</v>
      </c>
      <c r="G3458" s="267" t="s">
        <v>3926</v>
      </c>
      <c r="H3458" s="267" t="s">
        <v>7946</v>
      </c>
      <c r="I3458" s="267" t="s">
        <v>6362</v>
      </c>
      <c r="J3458" s="267" t="s">
        <v>3928</v>
      </c>
      <c r="K3458" s="267">
        <v>6026</v>
      </c>
      <c r="L3458" s="267">
        <v>470100</v>
      </c>
      <c r="M3458" s="267" t="s">
        <v>3943</v>
      </c>
      <c r="N3458" s="267" t="s">
        <v>3944</v>
      </c>
      <c r="O3458" s="267">
        <v>3868</v>
      </c>
      <c r="P3458" s="267" t="s">
        <v>3944</v>
      </c>
      <c r="Q3458" s="267" t="s">
        <v>3944</v>
      </c>
      <c r="R3458" s="267">
        <v>3868</v>
      </c>
      <c r="S3458" s="267">
        <v>25097.360000000001</v>
      </c>
      <c r="T3458" s="267">
        <v>28965.360000000001</v>
      </c>
      <c r="U3458" s="268" t="s">
        <v>3945</v>
      </c>
      <c r="V3458" s="267" t="s">
        <v>944</v>
      </c>
    </row>
    <row r="3459" spans="1:22" hidden="1" x14ac:dyDescent="0.25">
      <c r="A3459" s="269">
        <v>43642</v>
      </c>
      <c r="B3459" s="270">
        <v>2019</v>
      </c>
      <c r="C3459" s="270">
        <v>2019</v>
      </c>
      <c r="D3459" s="270">
        <v>1</v>
      </c>
      <c r="E3459" s="270">
        <v>1</v>
      </c>
      <c r="F3459" s="270" t="s">
        <v>944</v>
      </c>
      <c r="G3459" s="270" t="s">
        <v>3926</v>
      </c>
      <c r="H3459" s="270" t="s">
        <v>7947</v>
      </c>
      <c r="I3459" s="270" t="s">
        <v>4594</v>
      </c>
      <c r="J3459" s="270" t="s">
        <v>3928</v>
      </c>
      <c r="K3459" s="270">
        <v>6488</v>
      </c>
      <c r="L3459" s="270">
        <v>348123</v>
      </c>
      <c r="M3459" s="270" t="s">
        <v>3943</v>
      </c>
      <c r="N3459" s="270" t="s">
        <v>3944</v>
      </c>
      <c r="O3459" s="270">
        <v>3066</v>
      </c>
      <c r="P3459" s="270" t="s">
        <v>3944</v>
      </c>
      <c r="Q3459" s="270" t="s">
        <v>3944</v>
      </c>
      <c r="R3459" s="270">
        <v>3066</v>
      </c>
      <c r="S3459" s="270">
        <v>24109</v>
      </c>
      <c r="T3459" s="270">
        <v>27175</v>
      </c>
      <c r="U3459" s="271" t="s">
        <v>3945</v>
      </c>
      <c r="V3459" s="267" t="s">
        <v>944</v>
      </c>
    </row>
    <row r="3460" spans="1:22" hidden="1" x14ac:dyDescent="0.25">
      <c r="A3460" s="266">
        <v>43642</v>
      </c>
      <c r="B3460" s="267">
        <v>2019</v>
      </c>
      <c r="C3460" s="267">
        <v>2019</v>
      </c>
      <c r="D3460" s="267">
        <v>1</v>
      </c>
      <c r="E3460" s="267">
        <v>1</v>
      </c>
      <c r="F3460" s="267" t="s">
        <v>944</v>
      </c>
      <c r="G3460" s="267" t="s">
        <v>3926</v>
      </c>
      <c r="H3460" s="267" t="s">
        <v>7948</v>
      </c>
      <c r="I3460" s="267" t="s">
        <v>4235</v>
      </c>
      <c r="J3460" s="267" t="s">
        <v>3928</v>
      </c>
      <c r="K3460" s="267">
        <v>6066</v>
      </c>
      <c r="L3460" s="267">
        <v>530301</v>
      </c>
      <c r="M3460" s="267" t="s">
        <v>3940</v>
      </c>
      <c r="N3460" s="267" t="s">
        <v>3944</v>
      </c>
      <c r="O3460" s="267">
        <v>1583.47</v>
      </c>
      <c r="P3460" s="267" t="s">
        <v>3944</v>
      </c>
      <c r="Q3460" s="267" t="s">
        <v>3944</v>
      </c>
      <c r="R3460" s="267">
        <v>1583.47</v>
      </c>
      <c r="S3460" s="267">
        <v>21409.200000000001</v>
      </c>
      <c r="T3460" s="267">
        <v>22992.67</v>
      </c>
      <c r="U3460" s="268" t="s">
        <v>3945</v>
      </c>
      <c r="V3460" s="267" t="s">
        <v>944</v>
      </c>
    </row>
    <row r="3461" spans="1:22" hidden="1" x14ac:dyDescent="0.25">
      <c r="A3461" s="269">
        <v>43642</v>
      </c>
      <c r="B3461" s="270">
        <v>2019</v>
      </c>
      <c r="C3461" s="270">
        <v>2019</v>
      </c>
      <c r="D3461" s="270">
        <v>1</v>
      </c>
      <c r="E3461" s="270">
        <v>1</v>
      </c>
      <c r="F3461" s="270" t="s">
        <v>944</v>
      </c>
      <c r="G3461" s="270" t="s">
        <v>3926</v>
      </c>
      <c r="H3461" s="270" t="s">
        <v>7949</v>
      </c>
      <c r="I3461" s="270" t="s">
        <v>3010</v>
      </c>
      <c r="J3461" s="270" t="s">
        <v>3928</v>
      </c>
      <c r="K3461" s="270">
        <v>6401</v>
      </c>
      <c r="L3461" s="270">
        <v>125100</v>
      </c>
      <c r="M3461" s="270" t="s">
        <v>3960</v>
      </c>
      <c r="N3461" s="270" t="s">
        <v>3944</v>
      </c>
      <c r="O3461" s="270">
        <v>1170.75</v>
      </c>
      <c r="P3461" s="270" t="s">
        <v>3944</v>
      </c>
      <c r="Q3461" s="270" t="s">
        <v>3944</v>
      </c>
      <c r="R3461" s="270">
        <v>1170.75</v>
      </c>
      <c r="S3461" s="270">
        <v>19438.68</v>
      </c>
      <c r="T3461" s="270">
        <v>20609.43</v>
      </c>
      <c r="U3461" s="271" t="s">
        <v>3945</v>
      </c>
      <c r="V3461" s="267" t="s">
        <v>944</v>
      </c>
    </row>
    <row r="3462" spans="1:22" hidden="1" x14ac:dyDescent="0.25">
      <c r="A3462" s="266">
        <v>43642</v>
      </c>
      <c r="B3462" s="267">
        <v>2019</v>
      </c>
      <c r="C3462" s="267">
        <v>2019</v>
      </c>
      <c r="D3462" s="267">
        <v>1</v>
      </c>
      <c r="E3462" s="267">
        <v>1</v>
      </c>
      <c r="F3462" s="267" t="s">
        <v>944</v>
      </c>
      <c r="G3462" s="267" t="s">
        <v>3926</v>
      </c>
      <c r="H3462" s="267" t="s">
        <v>7950</v>
      </c>
      <c r="I3462" s="267" t="s">
        <v>4019</v>
      </c>
      <c r="J3462" s="267" t="s">
        <v>3928</v>
      </c>
      <c r="K3462" s="267">
        <v>6708</v>
      </c>
      <c r="L3462" s="267">
        <v>352000</v>
      </c>
      <c r="M3462" s="267" t="s">
        <v>3935</v>
      </c>
      <c r="N3462" s="267" t="s">
        <v>3944</v>
      </c>
      <c r="O3462" s="267">
        <v>1782.38</v>
      </c>
      <c r="P3462" s="267" t="s">
        <v>3944</v>
      </c>
      <c r="Q3462" s="267" t="s">
        <v>3944</v>
      </c>
      <c r="R3462" s="267">
        <v>1782.38</v>
      </c>
      <c r="S3462" s="267">
        <v>24574.9</v>
      </c>
      <c r="T3462" s="267">
        <v>26357.279999999999</v>
      </c>
      <c r="U3462" s="268" t="s">
        <v>3945</v>
      </c>
      <c r="V3462" s="267" t="s">
        <v>944</v>
      </c>
    </row>
    <row r="3463" spans="1:22" hidden="1" x14ac:dyDescent="0.25">
      <c r="A3463" s="269">
        <v>43642</v>
      </c>
      <c r="B3463" s="270">
        <v>2019</v>
      </c>
      <c r="C3463" s="270">
        <v>2019</v>
      </c>
      <c r="D3463" s="270">
        <v>1</v>
      </c>
      <c r="E3463" s="270">
        <v>1</v>
      </c>
      <c r="F3463" s="270" t="s">
        <v>944</v>
      </c>
      <c r="G3463" s="270" t="s">
        <v>3926</v>
      </c>
      <c r="H3463" s="270" t="s">
        <v>7951</v>
      </c>
      <c r="I3463" s="270" t="s">
        <v>4019</v>
      </c>
      <c r="J3463" s="270" t="s">
        <v>3928</v>
      </c>
      <c r="K3463" s="270">
        <v>6708</v>
      </c>
      <c r="L3463" s="270">
        <v>351900</v>
      </c>
      <c r="M3463" s="270" t="s">
        <v>3935</v>
      </c>
      <c r="N3463" s="270" t="s">
        <v>3944</v>
      </c>
      <c r="O3463" s="270">
        <v>2466.14</v>
      </c>
      <c r="P3463" s="270" t="s">
        <v>3944</v>
      </c>
      <c r="Q3463" s="270" t="s">
        <v>3944</v>
      </c>
      <c r="R3463" s="270">
        <v>2466.14</v>
      </c>
      <c r="S3463" s="270">
        <v>29826.73</v>
      </c>
      <c r="T3463" s="270">
        <v>32292.87</v>
      </c>
      <c r="U3463" s="271" t="s">
        <v>3945</v>
      </c>
      <c r="V3463" s="267" t="s">
        <v>944</v>
      </c>
    </row>
    <row r="3464" spans="1:22" hidden="1" x14ac:dyDescent="0.25">
      <c r="A3464" s="266">
        <v>43642</v>
      </c>
      <c r="B3464" s="267">
        <v>2019</v>
      </c>
      <c r="C3464" s="267">
        <v>2019</v>
      </c>
      <c r="D3464" s="267">
        <v>1</v>
      </c>
      <c r="E3464" s="267">
        <v>1</v>
      </c>
      <c r="F3464" s="267" t="s">
        <v>944</v>
      </c>
      <c r="G3464" s="267" t="s">
        <v>3926</v>
      </c>
      <c r="H3464" s="267" t="s">
        <v>7952</v>
      </c>
      <c r="I3464" s="267" t="s">
        <v>3962</v>
      </c>
      <c r="J3464" s="267" t="s">
        <v>3928</v>
      </c>
      <c r="K3464" s="267">
        <v>6355</v>
      </c>
      <c r="L3464" s="267">
        <v>702100</v>
      </c>
      <c r="M3464" s="267" t="s">
        <v>3960</v>
      </c>
      <c r="N3464" s="267" t="s">
        <v>3944</v>
      </c>
      <c r="O3464" s="267">
        <v>1726.38</v>
      </c>
      <c r="P3464" s="267" t="s">
        <v>3944</v>
      </c>
      <c r="Q3464" s="267" t="s">
        <v>3944</v>
      </c>
      <c r="R3464" s="267">
        <v>1726.38</v>
      </c>
      <c r="S3464" s="267">
        <v>25251.87</v>
      </c>
      <c r="T3464" s="267">
        <v>26978.25</v>
      </c>
      <c r="U3464" s="268" t="s">
        <v>3945</v>
      </c>
      <c r="V3464" s="267" t="s">
        <v>944</v>
      </c>
    </row>
    <row r="3465" spans="1:22" hidden="1" x14ac:dyDescent="0.25">
      <c r="A3465" s="269">
        <v>43642</v>
      </c>
      <c r="B3465" s="270">
        <v>2019</v>
      </c>
      <c r="C3465" s="270">
        <v>2019</v>
      </c>
      <c r="D3465" s="270">
        <v>1</v>
      </c>
      <c r="E3465" s="270">
        <v>1</v>
      </c>
      <c r="F3465" s="270" t="s">
        <v>944</v>
      </c>
      <c r="G3465" s="270" t="s">
        <v>3926</v>
      </c>
      <c r="H3465" s="270" t="s">
        <v>7953</v>
      </c>
      <c r="I3465" s="270" t="s">
        <v>4621</v>
      </c>
      <c r="J3465" s="270" t="s">
        <v>3928</v>
      </c>
      <c r="K3465" s="270">
        <v>6443</v>
      </c>
      <c r="L3465" s="270">
        <v>194202</v>
      </c>
      <c r="M3465" s="270" t="s">
        <v>3943</v>
      </c>
      <c r="N3465" s="270" t="s">
        <v>3944</v>
      </c>
      <c r="O3465" s="270">
        <v>1320.27</v>
      </c>
      <c r="P3465" s="270" t="s">
        <v>3944</v>
      </c>
      <c r="Q3465" s="270" t="s">
        <v>3944</v>
      </c>
      <c r="R3465" s="270">
        <v>1320.27</v>
      </c>
      <c r="S3465" s="270">
        <v>18712.21</v>
      </c>
      <c r="T3465" s="270">
        <v>20032.48</v>
      </c>
      <c r="U3465" s="271" t="s">
        <v>3945</v>
      </c>
      <c r="V3465" s="267" t="s">
        <v>944</v>
      </c>
    </row>
    <row r="3466" spans="1:22" hidden="1" x14ac:dyDescent="0.25">
      <c r="A3466" s="266">
        <v>43642</v>
      </c>
      <c r="B3466" s="267">
        <v>2019</v>
      </c>
      <c r="C3466" s="267">
        <v>2019</v>
      </c>
      <c r="D3466" s="267">
        <v>1</v>
      </c>
      <c r="E3466" s="267">
        <v>1</v>
      </c>
      <c r="F3466" s="267" t="s">
        <v>944</v>
      </c>
      <c r="G3466" s="267" t="s">
        <v>3926</v>
      </c>
      <c r="H3466" s="267" t="s">
        <v>7954</v>
      </c>
      <c r="I3466" s="267" t="s">
        <v>3990</v>
      </c>
      <c r="J3466" s="267" t="s">
        <v>3928</v>
      </c>
      <c r="K3466" s="267">
        <v>6804</v>
      </c>
      <c r="L3466" s="267">
        <v>205300</v>
      </c>
      <c r="M3466" s="267" t="s">
        <v>3960</v>
      </c>
      <c r="N3466" s="267" t="s">
        <v>3944</v>
      </c>
      <c r="O3466" s="267">
        <v>2848.16</v>
      </c>
      <c r="P3466" s="267" t="s">
        <v>3944</v>
      </c>
      <c r="Q3466" s="267" t="s">
        <v>3944</v>
      </c>
      <c r="R3466" s="267">
        <v>2848.16</v>
      </c>
      <c r="S3466" s="267">
        <v>39481.440000000002</v>
      </c>
      <c r="T3466" s="267">
        <v>42329.599999999999</v>
      </c>
      <c r="U3466" s="268" t="s">
        <v>3945</v>
      </c>
      <c r="V3466" s="267" t="s">
        <v>944</v>
      </c>
    </row>
    <row r="3467" spans="1:22" hidden="1" x14ac:dyDescent="0.25">
      <c r="A3467" s="269">
        <v>43642</v>
      </c>
      <c r="B3467" s="270">
        <v>2019</v>
      </c>
      <c r="C3467" s="270">
        <v>2019</v>
      </c>
      <c r="D3467" s="270">
        <v>1</v>
      </c>
      <c r="E3467" s="270">
        <v>1</v>
      </c>
      <c r="F3467" s="270" t="s">
        <v>944</v>
      </c>
      <c r="G3467" s="270" t="s">
        <v>3926</v>
      </c>
      <c r="H3467" s="270" t="s">
        <v>7955</v>
      </c>
      <c r="I3467" s="270" t="s">
        <v>4005</v>
      </c>
      <c r="J3467" s="270" t="s">
        <v>3928</v>
      </c>
      <c r="K3467" s="270">
        <v>6108</v>
      </c>
      <c r="L3467" s="270">
        <v>510300</v>
      </c>
      <c r="M3467" s="270" t="s">
        <v>3940</v>
      </c>
      <c r="N3467" s="270" t="s">
        <v>3944</v>
      </c>
      <c r="O3467" s="270">
        <v>1615.81</v>
      </c>
      <c r="P3467" s="270" t="s">
        <v>3944</v>
      </c>
      <c r="Q3467" s="270" t="s">
        <v>3944</v>
      </c>
      <c r="R3467" s="270">
        <v>1615.81</v>
      </c>
      <c r="S3467" s="270">
        <v>23093.21</v>
      </c>
      <c r="T3467" s="270">
        <v>24709.02</v>
      </c>
      <c r="U3467" s="271" t="s">
        <v>3945</v>
      </c>
      <c r="V3467" s="267" t="s">
        <v>944</v>
      </c>
    </row>
    <row r="3468" spans="1:22" hidden="1" x14ac:dyDescent="0.25">
      <c r="A3468" s="266">
        <v>43642</v>
      </c>
      <c r="B3468" s="267">
        <v>2019</v>
      </c>
      <c r="C3468" s="267">
        <v>2019</v>
      </c>
      <c r="D3468" s="267">
        <v>1</v>
      </c>
      <c r="E3468" s="267">
        <v>1</v>
      </c>
      <c r="F3468" s="267" t="s">
        <v>944</v>
      </c>
      <c r="G3468" s="267" t="s">
        <v>3926</v>
      </c>
      <c r="H3468" s="267" t="s">
        <v>7956</v>
      </c>
      <c r="I3468" s="267" t="s">
        <v>3996</v>
      </c>
      <c r="J3468" s="267" t="s">
        <v>3928</v>
      </c>
      <c r="K3468" s="267">
        <v>6790</v>
      </c>
      <c r="L3468" s="267">
        <v>310100</v>
      </c>
      <c r="M3468" s="267" t="s">
        <v>3940</v>
      </c>
      <c r="N3468" s="267" t="s">
        <v>3944</v>
      </c>
      <c r="O3468" s="267">
        <v>2707.78</v>
      </c>
      <c r="P3468" s="267" t="s">
        <v>3944</v>
      </c>
      <c r="Q3468" s="267" t="s">
        <v>3944</v>
      </c>
      <c r="R3468" s="267">
        <v>2707.78</v>
      </c>
      <c r="S3468" s="267">
        <v>34573.879999999997</v>
      </c>
      <c r="T3468" s="267">
        <v>37281.660000000003</v>
      </c>
      <c r="U3468" s="268" t="s">
        <v>3945</v>
      </c>
      <c r="V3468" s="267" t="s">
        <v>944</v>
      </c>
    </row>
    <row r="3469" spans="1:22" hidden="1" x14ac:dyDescent="0.25">
      <c r="A3469" s="269">
        <v>43642</v>
      </c>
      <c r="B3469" s="270">
        <v>2019</v>
      </c>
      <c r="C3469" s="270">
        <v>2019</v>
      </c>
      <c r="D3469" s="270">
        <v>1</v>
      </c>
      <c r="E3469" s="270">
        <v>1</v>
      </c>
      <c r="F3469" s="270" t="s">
        <v>944</v>
      </c>
      <c r="G3469" s="270" t="s">
        <v>3926</v>
      </c>
      <c r="H3469" s="270" t="s">
        <v>7957</v>
      </c>
      <c r="I3469" s="270" t="s">
        <v>4269</v>
      </c>
      <c r="J3469" s="270" t="s">
        <v>3928</v>
      </c>
      <c r="K3469" s="270">
        <v>6110</v>
      </c>
      <c r="L3469" s="270">
        <v>496200</v>
      </c>
      <c r="M3469" s="270" t="s">
        <v>3935</v>
      </c>
      <c r="N3469" s="270" t="s">
        <v>3944</v>
      </c>
      <c r="O3469" s="270">
        <v>1482.46</v>
      </c>
      <c r="P3469" s="270" t="s">
        <v>3944</v>
      </c>
      <c r="Q3469" s="270" t="s">
        <v>3944</v>
      </c>
      <c r="R3469" s="270">
        <v>1482.46</v>
      </c>
      <c r="S3469" s="270">
        <v>21240.21</v>
      </c>
      <c r="T3469" s="270">
        <v>22722.67</v>
      </c>
      <c r="U3469" s="271" t="s">
        <v>3945</v>
      </c>
      <c r="V3469" s="267" t="s">
        <v>944</v>
      </c>
    </row>
    <row r="3470" spans="1:22" x14ac:dyDescent="0.25">
      <c r="A3470" s="266">
        <v>43642</v>
      </c>
      <c r="B3470" s="267">
        <v>2019</v>
      </c>
      <c r="C3470" s="267">
        <v>2019</v>
      </c>
      <c r="D3470" s="267">
        <v>1</v>
      </c>
      <c r="E3470" s="267">
        <v>1</v>
      </c>
      <c r="F3470" s="267" t="s">
        <v>944</v>
      </c>
      <c r="G3470" s="267" t="s">
        <v>3926</v>
      </c>
      <c r="H3470" s="267" t="s">
        <v>7958</v>
      </c>
      <c r="I3470" s="267" t="s">
        <v>934</v>
      </c>
      <c r="J3470" s="267" t="s">
        <v>3928</v>
      </c>
      <c r="K3470" s="267">
        <v>6606</v>
      </c>
      <c r="L3470" s="267">
        <v>72000</v>
      </c>
      <c r="M3470" s="267" t="s">
        <v>3940</v>
      </c>
      <c r="N3470" s="267" t="s">
        <v>3944</v>
      </c>
      <c r="O3470" s="267">
        <v>1863.65</v>
      </c>
      <c r="P3470" s="267" t="s">
        <v>3944</v>
      </c>
      <c r="Q3470" s="267" t="s">
        <v>3944</v>
      </c>
      <c r="R3470" s="267">
        <v>1863.65</v>
      </c>
      <c r="S3470" s="267">
        <v>27304.09</v>
      </c>
      <c r="T3470" s="267">
        <v>29167.74</v>
      </c>
      <c r="U3470" s="268" t="s">
        <v>3945</v>
      </c>
      <c r="V3470" s="276" t="s">
        <v>936</v>
      </c>
    </row>
    <row r="3471" spans="1:22" hidden="1" x14ac:dyDescent="0.25">
      <c r="A3471" s="269">
        <v>43642</v>
      </c>
      <c r="B3471" s="270">
        <v>2019</v>
      </c>
      <c r="C3471" s="270">
        <v>2019</v>
      </c>
      <c r="D3471" s="270">
        <v>1</v>
      </c>
      <c r="E3471" s="270">
        <v>1</v>
      </c>
      <c r="F3471" s="270" t="s">
        <v>944</v>
      </c>
      <c r="G3471" s="270" t="s">
        <v>3926</v>
      </c>
      <c r="H3471" s="270" t="s">
        <v>7959</v>
      </c>
      <c r="I3471" s="270" t="s">
        <v>934</v>
      </c>
      <c r="J3471" s="270" t="s">
        <v>3928</v>
      </c>
      <c r="K3471" s="270">
        <v>6606</v>
      </c>
      <c r="L3471" s="270">
        <v>72500</v>
      </c>
      <c r="M3471" s="270" t="s">
        <v>3940</v>
      </c>
      <c r="N3471" s="270" t="s">
        <v>3944</v>
      </c>
      <c r="O3471" s="270">
        <v>1673.07</v>
      </c>
      <c r="P3471" s="270" t="s">
        <v>3944</v>
      </c>
      <c r="Q3471" s="270" t="s">
        <v>3944</v>
      </c>
      <c r="R3471" s="270">
        <v>1673.07</v>
      </c>
      <c r="S3471" s="270">
        <v>24701.040000000001</v>
      </c>
      <c r="T3471" s="270">
        <v>26374.11</v>
      </c>
      <c r="U3471" s="271" t="s">
        <v>3945</v>
      </c>
      <c r="V3471" s="267" t="s">
        <v>944</v>
      </c>
    </row>
    <row r="3472" spans="1:22" hidden="1" x14ac:dyDescent="0.25">
      <c r="A3472" s="266">
        <v>43642</v>
      </c>
      <c r="B3472" s="267">
        <v>2019</v>
      </c>
      <c r="C3472" s="267">
        <v>2019</v>
      </c>
      <c r="D3472" s="267">
        <v>1</v>
      </c>
      <c r="E3472" s="267">
        <v>1</v>
      </c>
      <c r="F3472" s="267" t="s">
        <v>944</v>
      </c>
      <c r="G3472" s="267" t="s">
        <v>3926</v>
      </c>
      <c r="H3472" s="267" t="s">
        <v>7960</v>
      </c>
      <c r="I3472" s="267" t="s">
        <v>4005</v>
      </c>
      <c r="J3472" s="267" t="s">
        <v>3928</v>
      </c>
      <c r="K3472" s="267">
        <v>6108</v>
      </c>
      <c r="L3472" s="267">
        <v>511400</v>
      </c>
      <c r="M3472" s="267" t="s">
        <v>3935</v>
      </c>
      <c r="N3472" s="267" t="s">
        <v>3944</v>
      </c>
      <c r="O3472" s="267">
        <v>1721.79</v>
      </c>
      <c r="P3472" s="267" t="s">
        <v>3944</v>
      </c>
      <c r="Q3472" s="267" t="s">
        <v>3944</v>
      </c>
      <c r="R3472" s="267">
        <v>1721.79</v>
      </c>
      <c r="S3472" s="267">
        <v>24115.37</v>
      </c>
      <c r="T3472" s="267">
        <v>25837.16</v>
      </c>
      <c r="U3472" s="268" t="s">
        <v>3945</v>
      </c>
      <c r="V3472" s="267" t="s">
        <v>944</v>
      </c>
    </row>
    <row r="3473" spans="1:22" hidden="1" x14ac:dyDescent="0.25">
      <c r="A3473" s="269">
        <v>43642</v>
      </c>
      <c r="B3473" s="270">
        <v>2019</v>
      </c>
      <c r="C3473" s="270">
        <v>2019</v>
      </c>
      <c r="D3473" s="270">
        <v>1</v>
      </c>
      <c r="E3473" s="270">
        <v>1</v>
      </c>
      <c r="F3473" s="270" t="s">
        <v>944</v>
      </c>
      <c r="G3473" s="270" t="s">
        <v>3926</v>
      </c>
      <c r="H3473" s="270" t="s">
        <v>7961</v>
      </c>
      <c r="I3473" s="270" t="s">
        <v>3962</v>
      </c>
      <c r="J3473" s="270" t="s">
        <v>3928</v>
      </c>
      <c r="K3473" s="270">
        <v>6379</v>
      </c>
      <c r="L3473" s="270">
        <v>705101</v>
      </c>
      <c r="M3473" s="270" t="s">
        <v>3935</v>
      </c>
      <c r="N3473" s="270" t="s">
        <v>3944</v>
      </c>
      <c r="O3473" s="270">
        <v>1962.38</v>
      </c>
      <c r="P3473" s="270" t="s">
        <v>3944</v>
      </c>
      <c r="Q3473" s="270" t="s">
        <v>3944</v>
      </c>
      <c r="R3473" s="270">
        <v>1962.38</v>
      </c>
      <c r="S3473" s="270">
        <v>28012.62</v>
      </c>
      <c r="T3473" s="270">
        <v>29975</v>
      </c>
      <c r="U3473" s="271" t="s">
        <v>3945</v>
      </c>
      <c r="V3473" s="267" t="s">
        <v>944</v>
      </c>
    </row>
    <row r="3474" spans="1:22" hidden="1" x14ac:dyDescent="0.25">
      <c r="A3474" s="266">
        <v>43642</v>
      </c>
      <c r="B3474" s="267">
        <v>2019</v>
      </c>
      <c r="C3474" s="267">
        <v>2019</v>
      </c>
      <c r="D3474" s="267">
        <v>1</v>
      </c>
      <c r="E3474" s="267">
        <v>1</v>
      </c>
      <c r="F3474" s="267" t="s">
        <v>944</v>
      </c>
      <c r="G3474" s="267" t="s">
        <v>3926</v>
      </c>
      <c r="H3474" s="267" t="s">
        <v>7962</v>
      </c>
      <c r="I3474" s="267" t="s">
        <v>4695</v>
      </c>
      <c r="J3474" s="267" t="s">
        <v>3928</v>
      </c>
      <c r="K3474" s="267">
        <v>6234</v>
      </c>
      <c r="L3474" s="267">
        <v>905100</v>
      </c>
      <c r="M3474" s="267" t="s">
        <v>3935</v>
      </c>
      <c r="N3474" s="267" t="s">
        <v>3944</v>
      </c>
      <c r="O3474" s="267">
        <v>1980.62</v>
      </c>
      <c r="P3474" s="267" t="s">
        <v>3944</v>
      </c>
      <c r="Q3474" s="267" t="s">
        <v>3944</v>
      </c>
      <c r="R3474" s="267">
        <v>1980.62</v>
      </c>
      <c r="S3474" s="267">
        <v>27782.31</v>
      </c>
      <c r="T3474" s="267">
        <v>29762.93</v>
      </c>
      <c r="U3474" s="268" t="s">
        <v>3945</v>
      </c>
      <c r="V3474" s="267" t="s">
        <v>944</v>
      </c>
    </row>
    <row r="3475" spans="1:22" hidden="1" x14ac:dyDescent="0.25">
      <c r="A3475" s="269">
        <v>43642</v>
      </c>
      <c r="B3475" s="270">
        <v>2019</v>
      </c>
      <c r="C3475" s="270">
        <v>2019</v>
      </c>
      <c r="D3475" s="270">
        <v>1</v>
      </c>
      <c r="E3475" s="270">
        <v>1</v>
      </c>
      <c r="F3475" s="270" t="s">
        <v>944</v>
      </c>
      <c r="G3475" s="270" t="s">
        <v>3926</v>
      </c>
      <c r="H3475" s="270" t="s">
        <v>7963</v>
      </c>
      <c r="I3475" s="270" t="s">
        <v>4683</v>
      </c>
      <c r="J3475" s="270" t="s">
        <v>3928</v>
      </c>
      <c r="K3475" s="270">
        <v>6762</v>
      </c>
      <c r="L3475" s="270">
        <v>344200</v>
      </c>
      <c r="M3475" s="270" t="s">
        <v>3943</v>
      </c>
      <c r="N3475" s="270" t="s">
        <v>3944</v>
      </c>
      <c r="O3475" s="270">
        <v>1410.71</v>
      </c>
      <c r="P3475" s="270" t="s">
        <v>3944</v>
      </c>
      <c r="Q3475" s="270" t="s">
        <v>3944</v>
      </c>
      <c r="R3475" s="270">
        <v>1410.71</v>
      </c>
      <c r="S3475" s="270">
        <v>20132.79</v>
      </c>
      <c r="T3475" s="270">
        <v>21543.5</v>
      </c>
      <c r="U3475" s="271" t="s">
        <v>3945</v>
      </c>
      <c r="V3475" s="267" t="s">
        <v>944</v>
      </c>
    </row>
    <row r="3476" spans="1:22" hidden="1" x14ac:dyDescent="0.25">
      <c r="A3476" s="266">
        <v>43642</v>
      </c>
      <c r="B3476" s="267">
        <v>2019</v>
      </c>
      <c r="C3476" s="267">
        <v>2019</v>
      </c>
      <c r="D3476" s="267">
        <v>1</v>
      </c>
      <c r="E3476" s="267">
        <v>1</v>
      </c>
      <c r="F3476" s="267" t="s">
        <v>944</v>
      </c>
      <c r="G3476" s="267" t="s">
        <v>3926</v>
      </c>
      <c r="H3476" s="267" t="s">
        <v>7964</v>
      </c>
      <c r="I3476" s="267" t="s">
        <v>4016</v>
      </c>
      <c r="J3476" s="267" t="s">
        <v>3928</v>
      </c>
      <c r="K3476" s="267">
        <v>6770</v>
      </c>
      <c r="L3476" s="267">
        <v>345300</v>
      </c>
      <c r="M3476" s="267" t="s">
        <v>3940</v>
      </c>
      <c r="N3476" s="267" t="s">
        <v>3944</v>
      </c>
      <c r="O3476" s="267">
        <v>1313.66</v>
      </c>
      <c r="P3476" s="267" t="s">
        <v>3944</v>
      </c>
      <c r="Q3476" s="267" t="s">
        <v>3944</v>
      </c>
      <c r="R3476" s="267">
        <v>1313.66</v>
      </c>
      <c r="S3476" s="267">
        <v>18712.97</v>
      </c>
      <c r="T3476" s="267">
        <v>20026.63</v>
      </c>
      <c r="U3476" s="268" t="s">
        <v>3945</v>
      </c>
      <c r="V3476" s="267" t="s">
        <v>944</v>
      </c>
    </row>
    <row r="3477" spans="1:22" hidden="1" x14ac:dyDescent="0.25">
      <c r="A3477" s="269">
        <v>43642</v>
      </c>
      <c r="B3477" s="270">
        <v>2019</v>
      </c>
      <c r="C3477" s="270">
        <v>2019</v>
      </c>
      <c r="D3477" s="270">
        <v>1</v>
      </c>
      <c r="E3477" s="270">
        <v>1</v>
      </c>
      <c r="F3477" s="270" t="s">
        <v>944</v>
      </c>
      <c r="G3477" s="270" t="s">
        <v>3926</v>
      </c>
      <c r="H3477" s="270" t="s">
        <v>7965</v>
      </c>
      <c r="I3477" s="270" t="s">
        <v>3949</v>
      </c>
      <c r="J3477" s="270" t="s">
        <v>3928</v>
      </c>
      <c r="K3477" s="270">
        <v>6437</v>
      </c>
      <c r="L3477" s="270">
        <v>190100</v>
      </c>
      <c r="M3477" s="270" t="s">
        <v>3960</v>
      </c>
      <c r="N3477" s="270" t="s">
        <v>3944</v>
      </c>
      <c r="O3477" s="270">
        <v>1970.89</v>
      </c>
      <c r="P3477" s="270" t="s">
        <v>3944</v>
      </c>
      <c r="Q3477" s="270" t="s">
        <v>3944</v>
      </c>
      <c r="R3477" s="270">
        <v>1970.89</v>
      </c>
      <c r="S3477" s="270">
        <v>25113.439999999999</v>
      </c>
      <c r="T3477" s="270">
        <v>27084.33</v>
      </c>
      <c r="U3477" s="271" t="s">
        <v>3945</v>
      </c>
      <c r="V3477" s="267" t="s">
        <v>944</v>
      </c>
    </row>
    <row r="3478" spans="1:22" hidden="1" x14ac:dyDescent="0.25">
      <c r="A3478" s="266">
        <v>43642</v>
      </c>
      <c r="B3478" s="267">
        <v>2019</v>
      </c>
      <c r="C3478" s="267">
        <v>2019</v>
      </c>
      <c r="D3478" s="267">
        <v>1</v>
      </c>
      <c r="E3478" s="267">
        <v>1</v>
      </c>
      <c r="F3478" s="267" t="s">
        <v>944</v>
      </c>
      <c r="G3478" s="267" t="s">
        <v>3926</v>
      </c>
      <c r="H3478" s="267" t="s">
        <v>7966</v>
      </c>
      <c r="I3478" s="267" t="s">
        <v>4310</v>
      </c>
      <c r="J3478" s="267" t="s">
        <v>3928</v>
      </c>
      <c r="K3478" s="267">
        <v>6351</v>
      </c>
      <c r="L3478" s="267">
        <v>710100</v>
      </c>
      <c r="M3478" s="267" t="s">
        <v>3960</v>
      </c>
      <c r="N3478" s="267" t="s">
        <v>3944</v>
      </c>
      <c r="O3478" s="267">
        <v>3381.18</v>
      </c>
      <c r="P3478" s="267" t="s">
        <v>3944</v>
      </c>
      <c r="Q3478" s="267" t="s">
        <v>3944</v>
      </c>
      <c r="R3478" s="267">
        <v>3381.18</v>
      </c>
      <c r="S3478" s="267">
        <v>51417.41</v>
      </c>
      <c r="T3478" s="267">
        <v>54798.59</v>
      </c>
      <c r="U3478" s="268" t="s">
        <v>3945</v>
      </c>
      <c r="V3478" s="267" t="s">
        <v>944</v>
      </c>
    </row>
    <row r="3479" spans="1:22" hidden="1" x14ac:dyDescent="0.25">
      <c r="A3479" s="269">
        <v>43642</v>
      </c>
      <c r="B3479" s="270">
        <v>2019</v>
      </c>
      <c r="C3479" s="270">
        <v>2019</v>
      </c>
      <c r="D3479" s="270">
        <v>1</v>
      </c>
      <c r="E3479" s="270">
        <v>1</v>
      </c>
      <c r="F3479" s="270" t="s">
        <v>944</v>
      </c>
      <c r="G3479" s="270" t="s">
        <v>3926</v>
      </c>
      <c r="H3479" s="270" t="s">
        <v>7967</v>
      </c>
      <c r="I3479" s="270" t="s">
        <v>3939</v>
      </c>
      <c r="J3479" s="270" t="s">
        <v>3928</v>
      </c>
      <c r="K3479" s="270">
        <v>6512</v>
      </c>
      <c r="L3479" s="270">
        <v>180400</v>
      </c>
      <c r="M3479" s="270" t="s">
        <v>3935</v>
      </c>
      <c r="N3479" s="270" t="s">
        <v>3944</v>
      </c>
      <c r="O3479" s="270">
        <v>1378.16</v>
      </c>
      <c r="P3479" s="270" t="s">
        <v>3944</v>
      </c>
      <c r="Q3479" s="270" t="s">
        <v>3944</v>
      </c>
      <c r="R3479" s="270">
        <v>1378.16</v>
      </c>
      <c r="S3479" s="270">
        <v>21632.29</v>
      </c>
      <c r="T3479" s="270">
        <v>23010.45</v>
      </c>
      <c r="U3479" s="271" t="s">
        <v>3945</v>
      </c>
      <c r="V3479" s="267" t="s">
        <v>944</v>
      </c>
    </row>
    <row r="3480" spans="1:22" hidden="1" x14ac:dyDescent="0.25">
      <c r="A3480" s="266">
        <v>43642</v>
      </c>
      <c r="B3480" s="267">
        <v>2019</v>
      </c>
      <c r="C3480" s="267">
        <v>2019</v>
      </c>
      <c r="D3480" s="267">
        <v>1</v>
      </c>
      <c r="E3480" s="267">
        <v>1</v>
      </c>
      <c r="F3480" s="267" t="s">
        <v>944</v>
      </c>
      <c r="G3480" s="267" t="s">
        <v>3926</v>
      </c>
      <c r="H3480" s="267" t="s">
        <v>7968</v>
      </c>
      <c r="I3480" s="267" t="s">
        <v>3025</v>
      </c>
      <c r="J3480" s="267" t="s">
        <v>3928</v>
      </c>
      <c r="K3480" s="267">
        <v>6473</v>
      </c>
      <c r="L3480" s="267">
        <v>167201</v>
      </c>
      <c r="M3480" s="267" t="s">
        <v>3960</v>
      </c>
      <c r="N3480" s="267" t="s">
        <v>3944</v>
      </c>
      <c r="O3480" s="267">
        <v>1991.01</v>
      </c>
      <c r="P3480" s="267" t="s">
        <v>3944</v>
      </c>
      <c r="Q3480" s="267" t="s">
        <v>3944</v>
      </c>
      <c r="R3480" s="267">
        <v>1991.01</v>
      </c>
      <c r="S3480" s="267">
        <v>23865.97</v>
      </c>
      <c r="T3480" s="267">
        <v>25856.98</v>
      </c>
      <c r="U3480" s="268" t="s">
        <v>3945</v>
      </c>
      <c r="V3480" s="267" t="s">
        <v>944</v>
      </c>
    </row>
    <row r="3481" spans="1:22" hidden="1" x14ac:dyDescent="0.25">
      <c r="A3481" s="269">
        <v>43642</v>
      </c>
      <c r="B3481" s="270">
        <v>2019</v>
      </c>
      <c r="C3481" s="270">
        <v>2019</v>
      </c>
      <c r="D3481" s="270">
        <v>1</v>
      </c>
      <c r="E3481" s="270">
        <v>1</v>
      </c>
      <c r="F3481" s="270" t="s">
        <v>944</v>
      </c>
      <c r="G3481" s="270" t="s">
        <v>3926</v>
      </c>
      <c r="H3481" s="270" t="s">
        <v>7969</v>
      </c>
      <c r="I3481" s="270" t="s">
        <v>3956</v>
      </c>
      <c r="J3481" s="270" t="s">
        <v>3928</v>
      </c>
      <c r="K3481" s="270">
        <v>6112</v>
      </c>
      <c r="L3481" s="270">
        <v>503900</v>
      </c>
      <c r="M3481" s="270">
        <v>-60</v>
      </c>
      <c r="N3481" s="270" t="s">
        <v>3944</v>
      </c>
      <c r="O3481" s="270">
        <v>2719.36</v>
      </c>
      <c r="P3481" s="270" t="s">
        <v>3944</v>
      </c>
      <c r="Q3481" s="270" t="s">
        <v>3944</v>
      </c>
      <c r="R3481" s="270">
        <v>2719.36</v>
      </c>
      <c r="S3481" s="270">
        <v>38491.71</v>
      </c>
      <c r="T3481" s="270">
        <v>41211.07</v>
      </c>
      <c r="U3481" s="271" t="s">
        <v>3945</v>
      </c>
      <c r="V3481" s="267" t="s">
        <v>944</v>
      </c>
    </row>
    <row r="3482" spans="1:22" hidden="1" x14ac:dyDescent="0.25">
      <c r="A3482" s="266">
        <v>43642</v>
      </c>
      <c r="B3482" s="267">
        <v>2019</v>
      </c>
      <c r="C3482" s="267">
        <v>2019</v>
      </c>
      <c r="D3482" s="267">
        <v>1</v>
      </c>
      <c r="E3482" s="267">
        <v>1</v>
      </c>
      <c r="F3482" s="267" t="s">
        <v>944</v>
      </c>
      <c r="G3482" s="267" t="s">
        <v>3926</v>
      </c>
      <c r="H3482" s="267" t="s">
        <v>7970</v>
      </c>
      <c r="I3482" s="267" t="s">
        <v>4269</v>
      </c>
      <c r="J3482" s="267" t="s">
        <v>3928</v>
      </c>
      <c r="K3482" s="267">
        <v>6110</v>
      </c>
      <c r="L3482" s="267">
        <v>496200</v>
      </c>
      <c r="M3482" s="267" t="s">
        <v>3935</v>
      </c>
      <c r="N3482" s="267" t="s">
        <v>3944</v>
      </c>
      <c r="O3482" s="267">
        <v>2041.41</v>
      </c>
      <c r="P3482" s="267" t="s">
        <v>3944</v>
      </c>
      <c r="Q3482" s="267" t="s">
        <v>3944</v>
      </c>
      <c r="R3482" s="267">
        <v>2041.41</v>
      </c>
      <c r="S3482" s="267">
        <v>34045.919999999998</v>
      </c>
      <c r="T3482" s="267">
        <v>36087.33</v>
      </c>
      <c r="U3482" s="268" t="s">
        <v>3945</v>
      </c>
      <c r="V3482" s="267" t="s">
        <v>944</v>
      </c>
    </row>
    <row r="3483" spans="1:22" hidden="1" x14ac:dyDescent="0.25">
      <c r="A3483" s="269">
        <v>43642</v>
      </c>
      <c r="B3483" s="270">
        <v>2019</v>
      </c>
      <c r="C3483" s="270">
        <v>2019</v>
      </c>
      <c r="D3483" s="270">
        <v>1</v>
      </c>
      <c r="E3483" s="270">
        <v>1</v>
      </c>
      <c r="F3483" s="270" t="s">
        <v>944</v>
      </c>
      <c r="G3483" s="270" t="s">
        <v>3926</v>
      </c>
      <c r="H3483" s="270" t="s">
        <v>7971</v>
      </c>
      <c r="I3483" s="270" t="s">
        <v>3008</v>
      </c>
      <c r="J3483" s="270" t="s">
        <v>3928</v>
      </c>
      <c r="K3483" s="270">
        <v>6460</v>
      </c>
      <c r="L3483" s="270">
        <v>150400</v>
      </c>
      <c r="M3483" s="270" t="s">
        <v>3940</v>
      </c>
      <c r="N3483" s="270" t="s">
        <v>3944</v>
      </c>
      <c r="O3483" s="270">
        <v>1139.6400000000001</v>
      </c>
      <c r="P3483" s="270" t="s">
        <v>3944</v>
      </c>
      <c r="Q3483" s="270" t="s">
        <v>3944</v>
      </c>
      <c r="R3483" s="270">
        <v>1139.6400000000001</v>
      </c>
      <c r="S3483" s="270">
        <v>19830.12</v>
      </c>
      <c r="T3483" s="270">
        <v>20969.759999999998</v>
      </c>
      <c r="U3483" s="271" t="s">
        <v>3945</v>
      </c>
      <c r="V3483" s="267" t="s">
        <v>944</v>
      </c>
    </row>
    <row r="3484" spans="1:22" hidden="1" x14ac:dyDescent="0.25">
      <c r="A3484" s="266">
        <v>43642</v>
      </c>
      <c r="B3484" s="267">
        <v>2019</v>
      </c>
      <c r="C3484" s="267">
        <v>2019</v>
      </c>
      <c r="D3484" s="267">
        <v>1</v>
      </c>
      <c r="E3484" s="267">
        <v>1</v>
      </c>
      <c r="F3484" s="267" t="s">
        <v>944</v>
      </c>
      <c r="G3484" s="267" t="s">
        <v>3926</v>
      </c>
      <c r="H3484" s="267" t="s">
        <v>7972</v>
      </c>
      <c r="I3484" s="267" t="s">
        <v>3975</v>
      </c>
      <c r="J3484" s="267" t="s">
        <v>3928</v>
      </c>
      <c r="K3484" s="267">
        <v>6479</v>
      </c>
      <c r="L3484" s="267">
        <v>430400</v>
      </c>
      <c r="M3484" s="267" t="s">
        <v>3960</v>
      </c>
      <c r="N3484" s="267" t="s">
        <v>3944</v>
      </c>
      <c r="O3484" s="267">
        <v>1829.87</v>
      </c>
      <c r="P3484" s="267" t="s">
        <v>3944</v>
      </c>
      <c r="Q3484" s="267" t="s">
        <v>3944</v>
      </c>
      <c r="R3484" s="267">
        <v>1829.87</v>
      </c>
      <c r="S3484" s="267">
        <v>24120.26</v>
      </c>
      <c r="T3484" s="267">
        <v>25950.13</v>
      </c>
      <c r="U3484" s="268" t="s">
        <v>3945</v>
      </c>
      <c r="V3484" s="267" t="s">
        <v>944</v>
      </c>
    </row>
    <row r="3485" spans="1:22" hidden="1" x14ac:dyDescent="0.25">
      <c r="A3485" s="269">
        <v>43642</v>
      </c>
      <c r="B3485" s="270">
        <v>2019</v>
      </c>
      <c r="C3485" s="270">
        <v>2019</v>
      </c>
      <c r="D3485" s="270">
        <v>1</v>
      </c>
      <c r="E3485" s="270">
        <v>1</v>
      </c>
      <c r="F3485" s="270" t="s">
        <v>944</v>
      </c>
      <c r="G3485" s="270" t="s">
        <v>3926</v>
      </c>
      <c r="H3485" s="270" t="s">
        <v>7973</v>
      </c>
      <c r="I3485" s="270" t="s">
        <v>4353</v>
      </c>
      <c r="J3485" s="270" t="s">
        <v>3928</v>
      </c>
      <c r="K3485" s="270">
        <v>6416</v>
      </c>
      <c r="L3485" s="270">
        <v>570300</v>
      </c>
      <c r="M3485" s="270" t="s">
        <v>3940</v>
      </c>
      <c r="N3485" s="270" t="s">
        <v>3944</v>
      </c>
      <c r="O3485" s="270">
        <v>1375.68</v>
      </c>
      <c r="P3485" s="270" t="s">
        <v>3944</v>
      </c>
      <c r="Q3485" s="270" t="s">
        <v>3944</v>
      </c>
      <c r="R3485" s="270">
        <v>1375.68</v>
      </c>
      <c r="S3485" s="270">
        <v>19473.63</v>
      </c>
      <c r="T3485" s="270">
        <v>20849.310000000001</v>
      </c>
      <c r="U3485" s="271" t="s">
        <v>3945</v>
      </c>
      <c r="V3485" s="267" t="s">
        <v>944</v>
      </c>
    </row>
    <row r="3486" spans="1:22" hidden="1" x14ac:dyDescent="0.25">
      <c r="A3486" s="266">
        <v>43643</v>
      </c>
      <c r="B3486" s="267">
        <v>2019</v>
      </c>
      <c r="C3486" s="267">
        <v>2019</v>
      </c>
      <c r="D3486" s="267">
        <v>1</v>
      </c>
      <c r="E3486" s="267">
        <v>1</v>
      </c>
      <c r="F3486" s="267" t="s">
        <v>944</v>
      </c>
      <c r="G3486" s="267" t="s">
        <v>3926</v>
      </c>
      <c r="H3486" s="267" t="s">
        <v>7974</v>
      </c>
      <c r="I3486" s="267" t="s">
        <v>956</v>
      </c>
      <c r="J3486" s="267" t="s">
        <v>3928</v>
      </c>
      <c r="K3486" s="267">
        <v>6614</v>
      </c>
      <c r="L3486" s="267">
        <v>80800</v>
      </c>
      <c r="M3486" s="267" t="s">
        <v>3960</v>
      </c>
      <c r="N3486" s="267" t="s">
        <v>5840</v>
      </c>
      <c r="O3486" s="267">
        <v>0</v>
      </c>
      <c r="P3486" s="267" t="s">
        <v>3930</v>
      </c>
      <c r="Q3486" s="267" t="s">
        <v>3930</v>
      </c>
      <c r="R3486" s="267">
        <v>0</v>
      </c>
      <c r="S3486" s="267">
        <v>29600</v>
      </c>
      <c r="T3486" s="267">
        <v>29600</v>
      </c>
      <c r="U3486" s="268" t="s">
        <v>3937</v>
      </c>
      <c r="V3486" s="267" t="s">
        <v>944</v>
      </c>
    </row>
    <row r="3487" spans="1:22" hidden="1" x14ac:dyDescent="0.25">
      <c r="A3487" s="269">
        <v>43643</v>
      </c>
      <c r="B3487" s="270">
        <v>2019</v>
      </c>
      <c r="C3487" s="270">
        <v>2019</v>
      </c>
      <c r="D3487" s="270">
        <v>1</v>
      </c>
      <c r="E3487" s="270">
        <v>1</v>
      </c>
      <c r="F3487" s="270" t="s">
        <v>944</v>
      </c>
      <c r="G3487" s="270" t="s">
        <v>3926</v>
      </c>
      <c r="H3487" s="270" t="s">
        <v>7975</v>
      </c>
      <c r="I3487" s="270" t="s">
        <v>4029</v>
      </c>
      <c r="J3487" s="270" t="s">
        <v>3928</v>
      </c>
      <c r="K3487" s="270">
        <v>6854</v>
      </c>
      <c r="L3487" s="270">
        <v>44000</v>
      </c>
      <c r="M3487" s="270" t="s">
        <v>3940</v>
      </c>
      <c r="N3487" s="270" t="s">
        <v>7976</v>
      </c>
      <c r="O3487" s="270">
        <v>0</v>
      </c>
      <c r="P3487" s="270" t="s">
        <v>3930</v>
      </c>
      <c r="Q3487" s="270" t="s">
        <v>3930</v>
      </c>
      <c r="R3487" s="270">
        <v>0</v>
      </c>
      <c r="S3487" s="270">
        <v>12120</v>
      </c>
      <c r="T3487" s="270">
        <v>12120</v>
      </c>
      <c r="U3487" s="271" t="s">
        <v>3937</v>
      </c>
      <c r="V3487" s="267" t="s">
        <v>944</v>
      </c>
    </row>
    <row r="3488" spans="1:22" hidden="1" x14ac:dyDescent="0.25">
      <c r="A3488" s="266">
        <v>43643</v>
      </c>
      <c r="B3488" s="267">
        <v>2019</v>
      </c>
      <c r="C3488" s="267">
        <v>2019</v>
      </c>
      <c r="D3488" s="267">
        <v>1</v>
      </c>
      <c r="E3488" s="267">
        <v>1</v>
      </c>
      <c r="F3488" s="267" t="s">
        <v>944</v>
      </c>
      <c r="G3488" s="267" t="s">
        <v>3926</v>
      </c>
      <c r="H3488" s="267" t="s">
        <v>7977</v>
      </c>
      <c r="I3488" s="267" t="s">
        <v>3939</v>
      </c>
      <c r="J3488" s="267" t="s">
        <v>3928</v>
      </c>
      <c r="K3488" s="267">
        <v>6512</v>
      </c>
      <c r="L3488" s="267">
        <v>180601</v>
      </c>
      <c r="M3488" s="267" t="s">
        <v>3940</v>
      </c>
      <c r="N3488" s="267" t="s">
        <v>4701</v>
      </c>
      <c r="O3488" s="267">
        <v>5733</v>
      </c>
      <c r="P3488" s="267" t="s">
        <v>3930</v>
      </c>
      <c r="Q3488" s="267" t="s">
        <v>3931</v>
      </c>
      <c r="R3488" s="267">
        <v>10733</v>
      </c>
      <c r="S3488" s="267">
        <v>34648</v>
      </c>
      <c r="T3488" s="267">
        <v>45381</v>
      </c>
      <c r="U3488" s="268" t="s">
        <v>3932</v>
      </c>
      <c r="V3488" s="267" t="s">
        <v>944</v>
      </c>
    </row>
    <row r="3489" spans="1:22" hidden="1" x14ac:dyDescent="0.25">
      <c r="A3489" s="269">
        <v>43643</v>
      </c>
      <c r="B3489" s="270">
        <v>2019</v>
      </c>
      <c r="C3489" s="270">
        <v>2019</v>
      </c>
      <c r="D3489" s="270">
        <v>1</v>
      </c>
      <c r="E3489" s="270">
        <v>1</v>
      </c>
      <c r="F3489" s="270" t="s">
        <v>944</v>
      </c>
      <c r="G3489" s="270" t="s">
        <v>3926</v>
      </c>
      <c r="H3489" s="270" t="s">
        <v>7978</v>
      </c>
      <c r="I3489" s="270" t="s">
        <v>4147</v>
      </c>
      <c r="J3489" s="270" t="s">
        <v>3928</v>
      </c>
      <c r="K3489" s="270">
        <v>6109</v>
      </c>
      <c r="L3489" s="270">
        <v>492400</v>
      </c>
      <c r="M3489" s="270" t="s">
        <v>3935</v>
      </c>
      <c r="N3489" s="270" t="s">
        <v>3983</v>
      </c>
      <c r="O3489" s="270">
        <v>3310.74</v>
      </c>
      <c r="P3489" s="270" t="s">
        <v>3930</v>
      </c>
      <c r="Q3489" s="270" t="s">
        <v>3931</v>
      </c>
      <c r="R3489" s="270">
        <v>8310.74</v>
      </c>
      <c r="S3489" s="270">
        <v>16504</v>
      </c>
      <c r="T3489" s="270">
        <v>24814.74</v>
      </c>
      <c r="U3489" s="271" t="s">
        <v>3932</v>
      </c>
      <c r="V3489" s="267" t="s">
        <v>944</v>
      </c>
    </row>
    <row r="3490" spans="1:22" hidden="1" x14ac:dyDescent="0.25">
      <c r="A3490" s="266">
        <v>43643</v>
      </c>
      <c r="B3490" s="267">
        <v>2019</v>
      </c>
      <c r="C3490" s="267">
        <v>2019</v>
      </c>
      <c r="D3490" s="267">
        <v>1</v>
      </c>
      <c r="E3490" s="267">
        <v>1</v>
      </c>
      <c r="F3490" s="267" t="s">
        <v>944</v>
      </c>
      <c r="G3490" s="267" t="s">
        <v>3926</v>
      </c>
      <c r="H3490" s="267" t="s">
        <v>7979</v>
      </c>
      <c r="I3490" s="267" t="s">
        <v>4323</v>
      </c>
      <c r="J3490" s="267" t="s">
        <v>3928</v>
      </c>
      <c r="K3490" s="267">
        <v>6385</v>
      </c>
      <c r="L3490" s="267">
        <v>693500</v>
      </c>
      <c r="M3490" s="267" t="s">
        <v>3943</v>
      </c>
      <c r="N3490" s="267" t="s">
        <v>7980</v>
      </c>
      <c r="O3490" s="267">
        <v>0</v>
      </c>
      <c r="P3490" s="267" t="s">
        <v>3930</v>
      </c>
      <c r="Q3490" s="267" t="s">
        <v>3930</v>
      </c>
      <c r="R3490" s="267">
        <v>0</v>
      </c>
      <c r="S3490" s="267">
        <v>9637</v>
      </c>
      <c r="T3490" s="267">
        <v>9637</v>
      </c>
      <c r="U3490" s="268" t="s">
        <v>3937</v>
      </c>
      <c r="V3490" s="267" t="s">
        <v>944</v>
      </c>
    </row>
    <row r="3491" spans="1:22" hidden="1" x14ac:dyDescent="0.25">
      <c r="A3491" s="269">
        <v>43643</v>
      </c>
      <c r="B3491" s="270">
        <v>2019</v>
      </c>
      <c r="C3491" s="270">
        <v>2019</v>
      </c>
      <c r="D3491" s="270">
        <v>1</v>
      </c>
      <c r="E3491" s="270">
        <v>1</v>
      </c>
      <c r="F3491" s="270" t="s">
        <v>944</v>
      </c>
      <c r="G3491" s="270" t="s">
        <v>3926</v>
      </c>
      <c r="H3491" s="270" t="s">
        <v>7981</v>
      </c>
      <c r="I3491" s="270" t="s">
        <v>4269</v>
      </c>
      <c r="J3491" s="270" t="s">
        <v>3928</v>
      </c>
      <c r="K3491" s="270">
        <v>6117</v>
      </c>
      <c r="L3491" s="270">
        <v>497500</v>
      </c>
      <c r="M3491" s="270" t="s">
        <v>3960</v>
      </c>
      <c r="N3491" s="270" t="s">
        <v>7982</v>
      </c>
      <c r="O3491" s="270">
        <v>0</v>
      </c>
      <c r="P3491" s="270" t="s">
        <v>3930</v>
      </c>
      <c r="Q3491" s="270" t="s">
        <v>3930</v>
      </c>
      <c r="R3491" s="270">
        <v>0</v>
      </c>
      <c r="S3491" s="270">
        <v>8375.44</v>
      </c>
      <c r="T3491" s="270">
        <v>8375.44</v>
      </c>
      <c r="U3491" s="271" t="s">
        <v>3937</v>
      </c>
      <c r="V3491" s="267" t="s">
        <v>944</v>
      </c>
    </row>
    <row r="3492" spans="1:22" hidden="1" x14ac:dyDescent="0.25">
      <c r="A3492" s="266">
        <v>43643</v>
      </c>
      <c r="B3492" s="267">
        <v>2019</v>
      </c>
      <c r="C3492" s="267">
        <v>2019</v>
      </c>
      <c r="D3492" s="267">
        <v>1</v>
      </c>
      <c r="E3492" s="267">
        <v>1</v>
      </c>
      <c r="F3492" s="267" t="s">
        <v>944</v>
      </c>
      <c r="G3492" s="267" t="s">
        <v>3926</v>
      </c>
      <c r="H3492" s="267" t="s">
        <v>7983</v>
      </c>
      <c r="I3492" s="267" t="s">
        <v>4037</v>
      </c>
      <c r="J3492" s="267" t="s">
        <v>3928</v>
      </c>
      <c r="K3492" s="267">
        <v>6811</v>
      </c>
      <c r="L3492" s="267">
        <v>211000</v>
      </c>
      <c r="M3492" s="267" t="s">
        <v>3960</v>
      </c>
      <c r="N3492" s="267" t="s">
        <v>3944</v>
      </c>
      <c r="O3492" s="267">
        <v>3315</v>
      </c>
      <c r="P3492" s="267" t="s">
        <v>3944</v>
      </c>
      <c r="Q3492" s="267" t="s">
        <v>3944</v>
      </c>
      <c r="R3492" s="267">
        <v>3315</v>
      </c>
      <c r="S3492" s="267">
        <v>20026.5</v>
      </c>
      <c r="T3492" s="267">
        <v>23341.5</v>
      </c>
      <c r="U3492" s="268" t="s">
        <v>3945</v>
      </c>
      <c r="V3492" s="267" t="s">
        <v>944</v>
      </c>
    </row>
    <row r="3493" spans="1:22" hidden="1" x14ac:dyDescent="0.25">
      <c r="A3493" s="269">
        <v>43643</v>
      </c>
      <c r="B3493" s="270">
        <v>2019</v>
      </c>
      <c r="C3493" s="270">
        <v>2019</v>
      </c>
      <c r="D3493" s="270">
        <v>1</v>
      </c>
      <c r="E3493" s="270">
        <v>1</v>
      </c>
      <c r="F3493" s="270" t="s">
        <v>944</v>
      </c>
      <c r="G3493" s="270" t="s">
        <v>3926</v>
      </c>
      <c r="H3493" s="270" t="s">
        <v>7984</v>
      </c>
      <c r="I3493" s="270" t="s">
        <v>4556</v>
      </c>
      <c r="J3493" s="270" t="s">
        <v>3928</v>
      </c>
      <c r="K3493" s="270">
        <v>6029</v>
      </c>
      <c r="L3493" s="270">
        <v>535200</v>
      </c>
      <c r="M3493" s="270" t="s">
        <v>3960</v>
      </c>
      <c r="N3493" s="270" t="s">
        <v>3944</v>
      </c>
      <c r="O3493" s="270">
        <v>3578</v>
      </c>
      <c r="P3493" s="270" t="s">
        <v>3944</v>
      </c>
      <c r="Q3493" s="270" t="s">
        <v>3944</v>
      </c>
      <c r="R3493" s="270">
        <v>3578</v>
      </c>
      <c r="S3493" s="270">
        <v>48409.25</v>
      </c>
      <c r="T3493" s="270">
        <v>51987.25</v>
      </c>
      <c r="U3493" s="271" t="s">
        <v>3945</v>
      </c>
      <c r="V3493" s="267" t="s">
        <v>944</v>
      </c>
    </row>
    <row r="3494" spans="1:22" hidden="1" x14ac:dyDescent="0.25">
      <c r="A3494" s="266">
        <v>43643</v>
      </c>
      <c r="B3494" s="267">
        <v>2019</v>
      </c>
      <c r="C3494" s="267">
        <v>2019</v>
      </c>
      <c r="D3494" s="267">
        <v>1</v>
      </c>
      <c r="E3494" s="267">
        <v>1</v>
      </c>
      <c r="F3494" s="267" t="s">
        <v>944</v>
      </c>
      <c r="G3494" s="267" t="s">
        <v>3926</v>
      </c>
      <c r="H3494" s="267" t="s">
        <v>7985</v>
      </c>
      <c r="I3494" s="267" t="s">
        <v>4029</v>
      </c>
      <c r="J3494" s="267" t="s">
        <v>3928</v>
      </c>
      <c r="K3494" s="267">
        <v>6851</v>
      </c>
      <c r="L3494" s="267">
        <v>42600</v>
      </c>
      <c r="M3494" s="267" t="s">
        <v>3943</v>
      </c>
      <c r="N3494" s="267" t="s">
        <v>3944</v>
      </c>
      <c r="O3494" s="267">
        <v>4386</v>
      </c>
      <c r="P3494" s="267" t="s">
        <v>3944</v>
      </c>
      <c r="Q3494" s="267" t="s">
        <v>3944</v>
      </c>
      <c r="R3494" s="267">
        <v>4386</v>
      </c>
      <c r="S3494" s="267">
        <v>51108</v>
      </c>
      <c r="T3494" s="267">
        <v>55494</v>
      </c>
      <c r="U3494" s="268" t="s">
        <v>3945</v>
      </c>
      <c r="V3494" s="267" t="s">
        <v>944</v>
      </c>
    </row>
    <row r="3495" spans="1:22" hidden="1" x14ac:dyDescent="0.25">
      <c r="A3495" s="269">
        <v>43643</v>
      </c>
      <c r="B3495" s="270">
        <v>2019</v>
      </c>
      <c r="C3495" s="270">
        <v>2019</v>
      </c>
      <c r="D3495" s="270">
        <v>1</v>
      </c>
      <c r="E3495" s="270">
        <v>1</v>
      </c>
      <c r="F3495" s="270" t="s">
        <v>944</v>
      </c>
      <c r="G3495" s="270" t="s">
        <v>3926</v>
      </c>
      <c r="H3495" s="270" t="s">
        <v>7986</v>
      </c>
      <c r="I3495" s="270" t="s">
        <v>4323</v>
      </c>
      <c r="J3495" s="270" t="s">
        <v>3928</v>
      </c>
      <c r="K3495" s="270">
        <v>6385</v>
      </c>
      <c r="L3495" s="270">
        <v>693500</v>
      </c>
      <c r="M3495" s="270" t="s">
        <v>3943</v>
      </c>
      <c r="N3495" s="270" t="s">
        <v>3944</v>
      </c>
      <c r="O3495" s="270">
        <v>3301</v>
      </c>
      <c r="P3495" s="270" t="s">
        <v>3944</v>
      </c>
      <c r="Q3495" s="270" t="s">
        <v>3944</v>
      </c>
      <c r="R3495" s="270">
        <v>3301</v>
      </c>
      <c r="S3495" s="270">
        <v>45241.5</v>
      </c>
      <c r="T3495" s="270">
        <v>48542.5</v>
      </c>
      <c r="U3495" s="271" t="s">
        <v>3945</v>
      </c>
      <c r="V3495" s="267" t="s">
        <v>944</v>
      </c>
    </row>
    <row r="3496" spans="1:22" hidden="1" x14ac:dyDescent="0.25">
      <c r="A3496" s="266">
        <v>43643</v>
      </c>
      <c r="B3496" s="267">
        <v>2019</v>
      </c>
      <c r="C3496" s="267">
        <v>2019</v>
      </c>
      <c r="D3496" s="267">
        <v>1</v>
      </c>
      <c r="E3496" s="267">
        <v>1</v>
      </c>
      <c r="F3496" s="267" t="s">
        <v>944</v>
      </c>
      <c r="G3496" s="267" t="s">
        <v>3926</v>
      </c>
      <c r="H3496" s="267" t="s">
        <v>7987</v>
      </c>
      <c r="I3496" s="267" t="s">
        <v>6268</v>
      </c>
      <c r="J3496" s="267" t="s">
        <v>3928</v>
      </c>
      <c r="K3496" s="267">
        <v>6371</v>
      </c>
      <c r="L3496" s="267">
        <v>660101</v>
      </c>
      <c r="M3496" s="267" t="s">
        <v>3960</v>
      </c>
      <c r="N3496" s="267" t="s">
        <v>3944</v>
      </c>
      <c r="O3496" s="267">
        <v>1416</v>
      </c>
      <c r="P3496" s="267" t="s">
        <v>3944</v>
      </c>
      <c r="Q3496" s="267" t="s">
        <v>3944</v>
      </c>
      <c r="R3496" s="267">
        <v>1416</v>
      </c>
      <c r="S3496" s="267">
        <v>17187.650000000001</v>
      </c>
      <c r="T3496" s="267">
        <v>18603.650000000001</v>
      </c>
      <c r="U3496" s="268" t="s">
        <v>3945</v>
      </c>
      <c r="V3496" s="267" t="s">
        <v>944</v>
      </c>
    </row>
    <row r="3497" spans="1:22" hidden="1" x14ac:dyDescent="0.25">
      <c r="A3497" s="269">
        <v>43643</v>
      </c>
      <c r="B3497" s="270">
        <v>2019</v>
      </c>
      <c r="C3497" s="270">
        <v>2019</v>
      </c>
      <c r="D3497" s="270">
        <v>1</v>
      </c>
      <c r="E3497" s="270">
        <v>1</v>
      </c>
      <c r="F3497" s="270" t="s">
        <v>944</v>
      </c>
      <c r="G3497" s="270" t="s">
        <v>3997</v>
      </c>
      <c r="H3497" s="270" t="s">
        <v>7988</v>
      </c>
      <c r="I3497" s="270" t="s">
        <v>943</v>
      </c>
      <c r="J3497" s="270" t="s">
        <v>3928</v>
      </c>
      <c r="K3497" s="270">
        <v>6515</v>
      </c>
      <c r="L3497" s="270">
        <v>141000</v>
      </c>
      <c r="M3497" s="270" t="s">
        <v>3960</v>
      </c>
      <c r="N3497" s="270" t="s">
        <v>3944</v>
      </c>
      <c r="O3497" s="270">
        <v>1550.29</v>
      </c>
      <c r="P3497" s="270" t="s">
        <v>3944</v>
      </c>
      <c r="Q3497" s="270" t="s">
        <v>3944</v>
      </c>
      <c r="R3497" s="270">
        <v>1550.29</v>
      </c>
      <c r="S3497" s="270">
        <v>16933.91</v>
      </c>
      <c r="T3497" s="270">
        <v>18484.2</v>
      </c>
      <c r="U3497" s="271" t="s">
        <v>3945</v>
      </c>
      <c r="V3497" s="267" t="s">
        <v>944</v>
      </c>
    </row>
    <row r="3498" spans="1:22" hidden="1" x14ac:dyDescent="0.25">
      <c r="A3498" s="266">
        <v>43643</v>
      </c>
      <c r="B3498" s="267">
        <v>2019</v>
      </c>
      <c r="C3498" s="267">
        <v>2019</v>
      </c>
      <c r="D3498" s="267">
        <v>1</v>
      </c>
      <c r="E3498" s="267">
        <v>1</v>
      </c>
      <c r="F3498" s="267" t="s">
        <v>944</v>
      </c>
      <c r="G3498" s="267" t="s">
        <v>3926</v>
      </c>
      <c r="H3498" s="267" t="s">
        <v>7989</v>
      </c>
      <c r="I3498" s="267" t="s">
        <v>4392</v>
      </c>
      <c r="J3498" s="267" t="s">
        <v>3928</v>
      </c>
      <c r="K3498" s="267">
        <v>6457</v>
      </c>
      <c r="L3498" s="267">
        <v>542000</v>
      </c>
      <c r="M3498" s="267" t="s">
        <v>3935</v>
      </c>
      <c r="N3498" s="267" t="s">
        <v>3944</v>
      </c>
      <c r="O3498" s="267">
        <v>3167</v>
      </c>
      <c r="P3498" s="267" t="s">
        <v>3944</v>
      </c>
      <c r="Q3498" s="267" t="s">
        <v>3944</v>
      </c>
      <c r="R3498" s="267">
        <v>3167</v>
      </c>
      <c r="S3498" s="267">
        <v>28124</v>
      </c>
      <c r="T3498" s="267">
        <v>31291</v>
      </c>
      <c r="U3498" s="268" t="s">
        <v>3945</v>
      </c>
      <c r="V3498" s="267" t="s">
        <v>944</v>
      </c>
    </row>
    <row r="3499" spans="1:22" hidden="1" x14ac:dyDescent="0.25">
      <c r="A3499" s="269">
        <v>43643</v>
      </c>
      <c r="B3499" s="270">
        <v>2019</v>
      </c>
      <c r="C3499" s="270">
        <v>2019</v>
      </c>
      <c r="D3499" s="270">
        <v>1</v>
      </c>
      <c r="E3499" s="270">
        <v>1</v>
      </c>
      <c r="F3499" s="270" t="s">
        <v>944</v>
      </c>
      <c r="G3499" s="270" t="s">
        <v>3926</v>
      </c>
      <c r="H3499" s="270" t="s">
        <v>7990</v>
      </c>
      <c r="I3499" s="270" t="s">
        <v>2985</v>
      </c>
      <c r="J3499" s="270" t="s">
        <v>3928</v>
      </c>
      <c r="K3499" s="270">
        <v>6824</v>
      </c>
      <c r="L3499" s="270">
        <v>61300</v>
      </c>
      <c r="M3499" s="270" t="s">
        <v>3960</v>
      </c>
      <c r="N3499" s="270" t="s">
        <v>3944</v>
      </c>
      <c r="O3499" s="270">
        <v>3504</v>
      </c>
      <c r="P3499" s="270" t="s">
        <v>3944</v>
      </c>
      <c r="Q3499" s="270" t="s">
        <v>3944</v>
      </c>
      <c r="R3499" s="270">
        <v>3504</v>
      </c>
      <c r="S3499" s="270">
        <v>19837.5</v>
      </c>
      <c r="T3499" s="270">
        <v>23341.5</v>
      </c>
      <c r="U3499" s="271" t="s">
        <v>3945</v>
      </c>
      <c r="V3499" s="267" t="s">
        <v>944</v>
      </c>
    </row>
    <row r="3500" spans="1:22" hidden="1" x14ac:dyDescent="0.25">
      <c r="A3500" s="266">
        <v>43643</v>
      </c>
      <c r="B3500" s="267">
        <v>2019</v>
      </c>
      <c r="C3500" s="267">
        <v>2019</v>
      </c>
      <c r="D3500" s="267">
        <v>1</v>
      </c>
      <c r="E3500" s="267">
        <v>1</v>
      </c>
      <c r="F3500" s="267" t="s">
        <v>944</v>
      </c>
      <c r="G3500" s="267" t="s">
        <v>3997</v>
      </c>
      <c r="H3500" s="267" t="s">
        <v>7991</v>
      </c>
      <c r="I3500" s="267" t="s">
        <v>3999</v>
      </c>
      <c r="J3500" s="267" t="s">
        <v>3928</v>
      </c>
      <c r="K3500" s="267">
        <v>6450</v>
      </c>
      <c r="L3500" s="267">
        <v>171100</v>
      </c>
      <c r="M3500" s="267" t="s">
        <v>3940</v>
      </c>
      <c r="N3500" s="267" t="s">
        <v>3944</v>
      </c>
      <c r="O3500" s="267">
        <v>2128.3200000000002</v>
      </c>
      <c r="P3500" s="267" t="s">
        <v>3944</v>
      </c>
      <c r="Q3500" s="267" t="s">
        <v>3944</v>
      </c>
      <c r="R3500" s="267">
        <v>2128.3200000000002</v>
      </c>
      <c r="S3500" s="267">
        <v>31759.38</v>
      </c>
      <c r="T3500" s="267">
        <v>33887.699999999997</v>
      </c>
      <c r="U3500" s="268" t="s">
        <v>3945</v>
      </c>
      <c r="V3500" s="267" t="s">
        <v>944</v>
      </c>
    </row>
    <row r="3501" spans="1:22" hidden="1" x14ac:dyDescent="0.25">
      <c r="A3501" s="269">
        <v>43643</v>
      </c>
      <c r="B3501" s="270">
        <v>2019</v>
      </c>
      <c r="C3501" s="270">
        <v>2019</v>
      </c>
      <c r="D3501" s="270">
        <v>1</v>
      </c>
      <c r="E3501" s="270">
        <v>1</v>
      </c>
      <c r="F3501" s="270" t="s">
        <v>944</v>
      </c>
      <c r="G3501" s="270" t="s">
        <v>3926</v>
      </c>
      <c r="H3501" s="270" t="s">
        <v>7992</v>
      </c>
      <c r="I3501" s="270" t="s">
        <v>3990</v>
      </c>
      <c r="J3501" s="270" t="s">
        <v>3928</v>
      </c>
      <c r="K3501" s="270">
        <v>6804</v>
      </c>
      <c r="L3501" s="270">
        <v>205100</v>
      </c>
      <c r="M3501" s="270" t="s">
        <v>3943</v>
      </c>
      <c r="N3501" s="270" t="s">
        <v>3944</v>
      </c>
      <c r="O3501" s="270">
        <v>3516</v>
      </c>
      <c r="P3501" s="270" t="s">
        <v>3944</v>
      </c>
      <c r="Q3501" s="270" t="s">
        <v>3944</v>
      </c>
      <c r="R3501" s="270">
        <v>3516</v>
      </c>
      <c r="S3501" s="270">
        <v>19825.5</v>
      </c>
      <c r="T3501" s="270">
        <v>23341.5</v>
      </c>
      <c r="U3501" s="271" t="s">
        <v>3945</v>
      </c>
      <c r="V3501" s="267" t="s">
        <v>944</v>
      </c>
    </row>
    <row r="3502" spans="1:22" hidden="1" x14ac:dyDescent="0.25">
      <c r="A3502" s="266">
        <v>43643</v>
      </c>
      <c r="B3502" s="267">
        <v>2019</v>
      </c>
      <c r="C3502" s="267">
        <v>2019</v>
      </c>
      <c r="D3502" s="267">
        <v>1</v>
      </c>
      <c r="E3502" s="267">
        <v>1</v>
      </c>
      <c r="F3502" s="267" t="s">
        <v>944</v>
      </c>
      <c r="G3502" s="267" t="s">
        <v>3926</v>
      </c>
      <c r="H3502" s="267" t="s">
        <v>7993</v>
      </c>
      <c r="I3502" s="267" t="s">
        <v>934</v>
      </c>
      <c r="J3502" s="267" t="s">
        <v>3928</v>
      </c>
      <c r="K3502" s="267">
        <v>6606</v>
      </c>
      <c r="L3502" s="267">
        <v>72500</v>
      </c>
      <c r="M3502" s="267" t="s">
        <v>3940</v>
      </c>
      <c r="N3502" s="267" t="s">
        <v>3944</v>
      </c>
      <c r="O3502" s="267">
        <v>944.69</v>
      </c>
      <c r="P3502" s="267" t="s">
        <v>3944</v>
      </c>
      <c r="Q3502" s="267" t="s">
        <v>3944</v>
      </c>
      <c r="R3502" s="267">
        <v>944.69</v>
      </c>
      <c r="S3502" s="267">
        <v>14680.9</v>
      </c>
      <c r="T3502" s="267">
        <v>15625.59</v>
      </c>
      <c r="U3502" s="268" t="s">
        <v>3945</v>
      </c>
      <c r="V3502" s="267" t="s">
        <v>944</v>
      </c>
    </row>
    <row r="3503" spans="1:22" hidden="1" x14ac:dyDescent="0.25">
      <c r="A3503" s="269">
        <v>43643</v>
      </c>
      <c r="B3503" s="270">
        <v>2019</v>
      </c>
      <c r="C3503" s="270">
        <v>2019</v>
      </c>
      <c r="D3503" s="270">
        <v>1</v>
      </c>
      <c r="E3503" s="270">
        <v>1</v>
      </c>
      <c r="F3503" s="270" t="s">
        <v>944</v>
      </c>
      <c r="G3503" s="270" t="s">
        <v>3926</v>
      </c>
      <c r="H3503" s="270" t="s">
        <v>7994</v>
      </c>
      <c r="I3503" s="270" t="s">
        <v>4005</v>
      </c>
      <c r="J3503" s="270" t="s">
        <v>3928</v>
      </c>
      <c r="K3503" s="270">
        <v>6108</v>
      </c>
      <c r="L3503" s="270">
        <v>510200</v>
      </c>
      <c r="M3503" s="270">
        <v>-60</v>
      </c>
      <c r="N3503" s="270" t="s">
        <v>3944</v>
      </c>
      <c r="O3503" s="270">
        <v>988.23</v>
      </c>
      <c r="P3503" s="270" t="s">
        <v>3944</v>
      </c>
      <c r="Q3503" s="270" t="s">
        <v>3944</v>
      </c>
      <c r="R3503" s="270">
        <v>988.23</v>
      </c>
      <c r="S3503" s="270">
        <v>14309.21</v>
      </c>
      <c r="T3503" s="270">
        <v>15297.44</v>
      </c>
      <c r="U3503" s="271" t="s">
        <v>3945</v>
      </c>
      <c r="V3503" s="267" t="s">
        <v>944</v>
      </c>
    </row>
    <row r="3504" spans="1:22" hidden="1" x14ac:dyDescent="0.25">
      <c r="A3504" s="266">
        <v>43643</v>
      </c>
      <c r="B3504" s="267">
        <v>2019</v>
      </c>
      <c r="C3504" s="267">
        <v>2019</v>
      </c>
      <c r="D3504" s="267">
        <v>1</v>
      </c>
      <c r="E3504" s="267">
        <v>1</v>
      </c>
      <c r="F3504" s="267" t="s">
        <v>944</v>
      </c>
      <c r="G3504" s="267" t="s">
        <v>3926</v>
      </c>
      <c r="H3504" s="267" t="s">
        <v>7995</v>
      </c>
      <c r="I3504" s="267" t="s">
        <v>4035</v>
      </c>
      <c r="J3504" s="267" t="s">
        <v>3928</v>
      </c>
      <c r="K3504" s="267">
        <v>6074</v>
      </c>
      <c r="L3504" s="267">
        <v>487201</v>
      </c>
      <c r="M3504" s="267" t="s">
        <v>3943</v>
      </c>
      <c r="N3504" s="267" t="s">
        <v>3944</v>
      </c>
      <c r="O3504" s="267">
        <v>2445.21</v>
      </c>
      <c r="P3504" s="267" t="s">
        <v>3944</v>
      </c>
      <c r="Q3504" s="267" t="s">
        <v>3944</v>
      </c>
      <c r="R3504" s="267">
        <v>2445.21</v>
      </c>
      <c r="S3504" s="267">
        <v>32476.71</v>
      </c>
      <c r="T3504" s="267">
        <v>34921.919999999998</v>
      </c>
      <c r="U3504" s="268" t="s">
        <v>3945</v>
      </c>
      <c r="V3504" s="267" t="s">
        <v>944</v>
      </c>
    </row>
    <row r="3505" spans="1:22" hidden="1" x14ac:dyDescent="0.25">
      <c r="A3505" s="269">
        <v>43643</v>
      </c>
      <c r="B3505" s="270">
        <v>2019</v>
      </c>
      <c r="C3505" s="270">
        <v>2019</v>
      </c>
      <c r="D3505" s="270">
        <v>1</v>
      </c>
      <c r="E3505" s="270">
        <v>1</v>
      </c>
      <c r="F3505" s="270" t="s">
        <v>944</v>
      </c>
      <c r="G3505" s="270" t="s">
        <v>3926</v>
      </c>
      <c r="H3505" s="270" t="s">
        <v>7996</v>
      </c>
      <c r="I3505" s="270" t="s">
        <v>3966</v>
      </c>
      <c r="J3505" s="270" t="s">
        <v>3928</v>
      </c>
      <c r="K3505" s="270">
        <v>6010</v>
      </c>
      <c r="L3505" s="270">
        <v>405600</v>
      </c>
      <c r="M3505" s="270" t="s">
        <v>3940</v>
      </c>
      <c r="N3505" s="270" t="s">
        <v>3944</v>
      </c>
      <c r="O3505" s="270">
        <v>1665.79</v>
      </c>
      <c r="P3505" s="270" t="s">
        <v>3944</v>
      </c>
      <c r="Q3505" s="270" t="s">
        <v>3944</v>
      </c>
      <c r="R3505" s="270">
        <v>1665.79</v>
      </c>
      <c r="S3505" s="270">
        <v>12528.21</v>
      </c>
      <c r="T3505" s="270">
        <v>14194</v>
      </c>
      <c r="U3505" s="271" t="s">
        <v>3945</v>
      </c>
      <c r="V3505" s="267" t="s">
        <v>944</v>
      </c>
    </row>
    <row r="3506" spans="1:22" hidden="1" x14ac:dyDescent="0.25">
      <c r="A3506" s="266">
        <v>43643</v>
      </c>
      <c r="B3506" s="267">
        <v>2019</v>
      </c>
      <c r="C3506" s="267">
        <v>2019</v>
      </c>
      <c r="D3506" s="267">
        <v>1</v>
      </c>
      <c r="E3506" s="267">
        <v>1</v>
      </c>
      <c r="F3506" s="267" t="s">
        <v>944</v>
      </c>
      <c r="G3506" s="267" t="s">
        <v>3926</v>
      </c>
      <c r="H3506" s="267" t="s">
        <v>7997</v>
      </c>
      <c r="I3506" s="267" t="s">
        <v>4392</v>
      </c>
      <c r="J3506" s="267" t="s">
        <v>3928</v>
      </c>
      <c r="K3506" s="267">
        <v>6457</v>
      </c>
      <c r="L3506" s="267">
        <v>541200</v>
      </c>
      <c r="M3506" s="267" t="s">
        <v>3935</v>
      </c>
      <c r="N3506" s="267" t="s">
        <v>3944</v>
      </c>
      <c r="O3506" s="267">
        <v>1803.31</v>
      </c>
      <c r="P3506" s="267" t="s">
        <v>3944</v>
      </c>
      <c r="Q3506" s="267" t="s">
        <v>3944</v>
      </c>
      <c r="R3506" s="267">
        <v>1803.31</v>
      </c>
      <c r="S3506" s="267">
        <v>30596.69</v>
      </c>
      <c r="T3506" s="267">
        <v>32400</v>
      </c>
      <c r="U3506" s="268" t="s">
        <v>3945</v>
      </c>
      <c r="V3506" s="267" t="s">
        <v>944</v>
      </c>
    </row>
    <row r="3507" spans="1:22" hidden="1" x14ac:dyDescent="0.25">
      <c r="A3507" s="269">
        <v>43643</v>
      </c>
      <c r="B3507" s="270">
        <v>2019</v>
      </c>
      <c r="C3507" s="270">
        <v>2019</v>
      </c>
      <c r="D3507" s="270">
        <v>1</v>
      </c>
      <c r="E3507" s="270">
        <v>1</v>
      </c>
      <c r="F3507" s="270" t="s">
        <v>944</v>
      </c>
      <c r="G3507" s="270" t="s">
        <v>3926</v>
      </c>
      <c r="H3507" s="270" t="s">
        <v>7998</v>
      </c>
      <c r="I3507" s="270" t="s">
        <v>3993</v>
      </c>
      <c r="J3507" s="270" t="s">
        <v>3928</v>
      </c>
      <c r="K3507" s="270">
        <v>6415</v>
      </c>
      <c r="L3507" s="270">
        <v>714103</v>
      </c>
      <c r="M3507" s="270" t="s">
        <v>3943</v>
      </c>
      <c r="N3507" s="270" t="s">
        <v>3944</v>
      </c>
      <c r="O3507" s="270">
        <v>2330.5100000000002</v>
      </c>
      <c r="P3507" s="270" t="s">
        <v>3944</v>
      </c>
      <c r="Q3507" s="270" t="s">
        <v>3944</v>
      </c>
      <c r="R3507" s="270">
        <v>2330.5100000000002</v>
      </c>
      <c r="S3507" s="270">
        <v>32165.26</v>
      </c>
      <c r="T3507" s="270">
        <v>34495.769999999997</v>
      </c>
      <c r="U3507" s="271" t="s">
        <v>3945</v>
      </c>
      <c r="V3507" s="267" t="s">
        <v>944</v>
      </c>
    </row>
    <row r="3508" spans="1:22" hidden="1" x14ac:dyDescent="0.25">
      <c r="A3508" s="266">
        <v>43643</v>
      </c>
      <c r="B3508" s="267">
        <v>2019</v>
      </c>
      <c r="C3508" s="267">
        <v>2019</v>
      </c>
      <c r="D3508" s="267">
        <v>1</v>
      </c>
      <c r="E3508" s="267">
        <v>1</v>
      </c>
      <c r="F3508" s="267" t="s">
        <v>944</v>
      </c>
      <c r="G3508" s="267" t="s">
        <v>3926</v>
      </c>
      <c r="H3508" s="267" t="s">
        <v>7999</v>
      </c>
      <c r="I3508" s="267" t="s">
        <v>3993</v>
      </c>
      <c r="J3508" s="267" t="s">
        <v>3928</v>
      </c>
      <c r="K3508" s="267">
        <v>6415</v>
      </c>
      <c r="L3508" s="267">
        <v>714103</v>
      </c>
      <c r="M3508" s="267" t="s">
        <v>3943</v>
      </c>
      <c r="N3508" s="267" t="s">
        <v>3944</v>
      </c>
      <c r="O3508" s="267">
        <v>1720.99</v>
      </c>
      <c r="P3508" s="267" t="s">
        <v>3944</v>
      </c>
      <c r="Q3508" s="267" t="s">
        <v>3944</v>
      </c>
      <c r="R3508" s="267">
        <v>1720.99</v>
      </c>
      <c r="S3508" s="267">
        <v>16686.009999999998</v>
      </c>
      <c r="T3508" s="267">
        <v>18407</v>
      </c>
      <c r="U3508" s="268" t="s">
        <v>3945</v>
      </c>
      <c r="V3508" s="267" t="s">
        <v>944</v>
      </c>
    </row>
    <row r="3509" spans="1:22" hidden="1" x14ac:dyDescent="0.25">
      <c r="A3509" s="269">
        <v>43643</v>
      </c>
      <c r="B3509" s="270">
        <v>2019</v>
      </c>
      <c r="C3509" s="270">
        <v>2019</v>
      </c>
      <c r="D3509" s="270">
        <v>1</v>
      </c>
      <c r="E3509" s="270">
        <v>1</v>
      </c>
      <c r="F3509" s="270" t="s">
        <v>944</v>
      </c>
      <c r="G3509" s="270" t="s">
        <v>3926</v>
      </c>
      <c r="H3509" s="270" t="s">
        <v>8000</v>
      </c>
      <c r="I3509" s="270" t="s">
        <v>950</v>
      </c>
      <c r="J3509" s="270" t="s">
        <v>3928</v>
      </c>
      <c r="K3509" s="270">
        <v>6516</v>
      </c>
      <c r="L3509" s="270">
        <v>154700</v>
      </c>
      <c r="M3509" s="270" t="s">
        <v>3960</v>
      </c>
      <c r="N3509" s="270" t="s">
        <v>3944</v>
      </c>
      <c r="O3509" s="270">
        <v>721.32</v>
      </c>
      <c r="P3509" s="270" t="s">
        <v>3944</v>
      </c>
      <c r="Q3509" s="270" t="s">
        <v>3944</v>
      </c>
      <c r="R3509" s="270">
        <v>721.32</v>
      </c>
      <c r="S3509" s="270">
        <v>10998.68</v>
      </c>
      <c r="T3509" s="270">
        <v>11720</v>
      </c>
      <c r="U3509" s="271" t="s">
        <v>3945</v>
      </c>
      <c r="V3509" s="267" t="s">
        <v>944</v>
      </c>
    </row>
    <row r="3510" spans="1:22" hidden="1" x14ac:dyDescent="0.25">
      <c r="A3510" s="266">
        <v>43643</v>
      </c>
      <c r="B3510" s="267">
        <v>2019</v>
      </c>
      <c r="C3510" s="267">
        <v>2019</v>
      </c>
      <c r="D3510" s="267">
        <v>1</v>
      </c>
      <c r="E3510" s="267">
        <v>1</v>
      </c>
      <c r="F3510" s="267" t="s">
        <v>944</v>
      </c>
      <c r="G3510" s="267" t="s">
        <v>3926</v>
      </c>
      <c r="H3510" s="267" t="s">
        <v>8001</v>
      </c>
      <c r="I3510" s="267" t="s">
        <v>3993</v>
      </c>
      <c r="J3510" s="267" t="s">
        <v>3928</v>
      </c>
      <c r="K3510" s="267">
        <v>6415</v>
      </c>
      <c r="L3510" s="267">
        <v>714103</v>
      </c>
      <c r="M3510" s="267" t="s">
        <v>3943</v>
      </c>
      <c r="N3510" s="267" t="s">
        <v>3944</v>
      </c>
      <c r="O3510" s="267">
        <v>1339.38</v>
      </c>
      <c r="P3510" s="267" t="s">
        <v>3944</v>
      </c>
      <c r="Q3510" s="267" t="s">
        <v>3944</v>
      </c>
      <c r="R3510" s="267">
        <v>1339.38</v>
      </c>
      <c r="S3510" s="267">
        <v>18941.25</v>
      </c>
      <c r="T3510" s="267">
        <v>20280.63</v>
      </c>
      <c r="U3510" s="268" t="s">
        <v>3945</v>
      </c>
      <c r="V3510" s="267" t="s">
        <v>944</v>
      </c>
    </row>
    <row r="3511" spans="1:22" hidden="1" x14ac:dyDescent="0.25">
      <c r="A3511" s="269">
        <v>43643</v>
      </c>
      <c r="B3511" s="270">
        <v>2019</v>
      </c>
      <c r="C3511" s="270">
        <v>2019</v>
      </c>
      <c r="D3511" s="270">
        <v>1</v>
      </c>
      <c r="E3511" s="270">
        <v>1</v>
      </c>
      <c r="F3511" s="270" t="s">
        <v>944</v>
      </c>
      <c r="G3511" s="270" t="s">
        <v>3926</v>
      </c>
      <c r="H3511" s="270" t="s">
        <v>8002</v>
      </c>
      <c r="I3511" s="270" t="s">
        <v>3949</v>
      </c>
      <c r="J3511" s="270" t="s">
        <v>3928</v>
      </c>
      <c r="K3511" s="270">
        <v>6437</v>
      </c>
      <c r="L3511" s="270">
        <v>190100</v>
      </c>
      <c r="M3511" s="270" t="s">
        <v>3960</v>
      </c>
      <c r="N3511" s="270" t="s">
        <v>3944</v>
      </c>
      <c r="O3511" s="270">
        <v>1572.9</v>
      </c>
      <c r="P3511" s="270" t="s">
        <v>3944</v>
      </c>
      <c r="Q3511" s="270" t="s">
        <v>3944</v>
      </c>
      <c r="R3511" s="270">
        <v>1572.9</v>
      </c>
      <c r="S3511" s="270">
        <v>23621.79</v>
      </c>
      <c r="T3511" s="270">
        <v>25194.69</v>
      </c>
      <c r="U3511" s="271" t="s">
        <v>3945</v>
      </c>
      <c r="V3511" s="267" t="s">
        <v>944</v>
      </c>
    </row>
    <row r="3512" spans="1:22" hidden="1" x14ac:dyDescent="0.25">
      <c r="A3512" s="266">
        <v>43643</v>
      </c>
      <c r="B3512" s="267">
        <v>2019</v>
      </c>
      <c r="C3512" s="267">
        <v>2019</v>
      </c>
      <c r="D3512" s="267">
        <v>1</v>
      </c>
      <c r="E3512" s="267">
        <v>1</v>
      </c>
      <c r="F3512" s="267" t="s">
        <v>944</v>
      </c>
      <c r="G3512" s="267" t="s">
        <v>3926</v>
      </c>
      <c r="H3512" s="267" t="s">
        <v>8003</v>
      </c>
      <c r="I3512" s="267" t="s">
        <v>4019</v>
      </c>
      <c r="J3512" s="267" t="s">
        <v>3928</v>
      </c>
      <c r="K3512" s="267">
        <v>6710</v>
      </c>
      <c r="L3512" s="267">
        <v>350800</v>
      </c>
      <c r="M3512" s="267">
        <v>-60</v>
      </c>
      <c r="N3512" s="267" t="s">
        <v>3944</v>
      </c>
      <c r="O3512" s="267">
        <v>1849.37</v>
      </c>
      <c r="P3512" s="267" t="s">
        <v>3944</v>
      </c>
      <c r="Q3512" s="267" t="s">
        <v>3944</v>
      </c>
      <c r="R3512" s="267">
        <v>1849.37</v>
      </c>
      <c r="S3512" s="267">
        <v>24559.96</v>
      </c>
      <c r="T3512" s="267">
        <v>26409.33</v>
      </c>
      <c r="U3512" s="268" t="s">
        <v>3945</v>
      </c>
      <c r="V3512" s="267" t="s">
        <v>944</v>
      </c>
    </row>
    <row r="3513" spans="1:22" hidden="1" x14ac:dyDescent="0.25">
      <c r="A3513" s="269">
        <v>43643</v>
      </c>
      <c r="B3513" s="270">
        <v>2019</v>
      </c>
      <c r="C3513" s="270">
        <v>2019</v>
      </c>
      <c r="D3513" s="270">
        <v>1</v>
      </c>
      <c r="E3513" s="270">
        <v>1</v>
      </c>
      <c r="F3513" s="270" t="s">
        <v>944</v>
      </c>
      <c r="G3513" s="270" t="s">
        <v>3926</v>
      </c>
      <c r="H3513" s="270" t="s">
        <v>8004</v>
      </c>
      <c r="I3513" s="270" t="s">
        <v>3010</v>
      </c>
      <c r="J3513" s="270" t="s">
        <v>3928</v>
      </c>
      <c r="K3513" s="270">
        <v>6401</v>
      </c>
      <c r="L3513" s="270">
        <v>125200</v>
      </c>
      <c r="M3513" s="270">
        <v>-60</v>
      </c>
      <c r="N3513" s="270" t="s">
        <v>3944</v>
      </c>
      <c r="O3513" s="270">
        <v>2131.8200000000002</v>
      </c>
      <c r="P3513" s="270" t="s">
        <v>3944</v>
      </c>
      <c r="Q3513" s="270" t="s">
        <v>3944</v>
      </c>
      <c r="R3513" s="270">
        <v>2131.8200000000002</v>
      </c>
      <c r="S3513" s="270">
        <v>32591.47</v>
      </c>
      <c r="T3513" s="270">
        <v>34723.29</v>
      </c>
      <c r="U3513" s="271" t="s">
        <v>3945</v>
      </c>
      <c r="V3513" s="267" t="s">
        <v>944</v>
      </c>
    </row>
    <row r="3514" spans="1:22" hidden="1" x14ac:dyDescent="0.25">
      <c r="A3514" s="266">
        <v>43643</v>
      </c>
      <c r="B3514" s="267">
        <v>2019</v>
      </c>
      <c r="C3514" s="267">
        <v>2019</v>
      </c>
      <c r="D3514" s="267">
        <v>1</v>
      </c>
      <c r="E3514" s="267">
        <v>1</v>
      </c>
      <c r="F3514" s="267" t="s">
        <v>944</v>
      </c>
      <c r="G3514" s="267" t="s">
        <v>3926</v>
      </c>
      <c r="H3514" s="267" t="s">
        <v>8005</v>
      </c>
      <c r="I3514" s="267" t="s">
        <v>4108</v>
      </c>
      <c r="J3514" s="267" t="s">
        <v>3928</v>
      </c>
      <c r="K3514" s="267">
        <v>6082</v>
      </c>
      <c r="L3514" s="267">
        <v>481200</v>
      </c>
      <c r="M3514" s="267" t="s">
        <v>3960</v>
      </c>
      <c r="N3514" s="267" t="s">
        <v>3944</v>
      </c>
      <c r="O3514" s="267">
        <v>4334.16</v>
      </c>
      <c r="P3514" s="267" t="s">
        <v>3944</v>
      </c>
      <c r="Q3514" s="267" t="s">
        <v>3944</v>
      </c>
      <c r="R3514" s="267">
        <v>4334.16</v>
      </c>
      <c r="S3514" s="267">
        <v>24044.84</v>
      </c>
      <c r="T3514" s="267">
        <v>28379</v>
      </c>
      <c r="U3514" s="268" t="s">
        <v>3945</v>
      </c>
      <c r="V3514" s="267" t="s">
        <v>944</v>
      </c>
    </row>
    <row r="3515" spans="1:22" hidden="1" x14ac:dyDescent="0.25">
      <c r="A3515" s="269">
        <v>43643</v>
      </c>
      <c r="B3515" s="270">
        <v>2019</v>
      </c>
      <c r="C3515" s="270">
        <v>2019</v>
      </c>
      <c r="D3515" s="270">
        <v>1</v>
      </c>
      <c r="E3515" s="270">
        <v>1</v>
      </c>
      <c r="F3515" s="270" t="s">
        <v>944</v>
      </c>
      <c r="G3515" s="270" t="s">
        <v>3926</v>
      </c>
      <c r="H3515" s="270" t="s">
        <v>8006</v>
      </c>
      <c r="I3515" s="270" t="s">
        <v>4269</v>
      </c>
      <c r="J3515" s="270" t="s">
        <v>3928</v>
      </c>
      <c r="K3515" s="270">
        <v>6117</v>
      </c>
      <c r="L3515" s="270">
        <v>497500</v>
      </c>
      <c r="M3515" s="270" t="s">
        <v>3960</v>
      </c>
      <c r="N3515" s="270" t="s">
        <v>3944</v>
      </c>
      <c r="O3515" s="270">
        <v>3096.63</v>
      </c>
      <c r="P3515" s="270" t="s">
        <v>3944</v>
      </c>
      <c r="Q3515" s="270" t="s">
        <v>3944</v>
      </c>
      <c r="R3515" s="270">
        <v>3096.63</v>
      </c>
      <c r="S3515" s="270">
        <v>42054.84</v>
      </c>
      <c r="T3515" s="270">
        <v>45151.47</v>
      </c>
      <c r="U3515" s="271" t="s">
        <v>3945</v>
      </c>
      <c r="V3515" s="267" t="s">
        <v>944</v>
      </c>
    </row>
    <row r="3516" spans="1:22" hidden="1" x14ac:dyDescent="0.25">
      <c r="A3516" s="266">
        <v>43643</v>
      </c>
      <c r="B3516" s="267">
        <v>2019</v>
      </c>
      <c r="C3516" s="267">
        <v>2019</v>
      </c>
      <c r="D3516" s="267">
        <v>1</v>
      </c>
      <c r="E3516" s="267">
        <v>1</v>
      </c>
      <c r="F3516" s="267" t="s">
        <v>944</v>
      </c>
      <c r="G3516" s="267" t="s">
        <v>3926</v>
      </c>
      <c r="H3516" s="267" t="s">
        <v>8007</v>
      </c>
      <c r="I3516" s="267" t="s">
        <v>934</v>
      </c>
      <c r="J3516" s="267" t="s">
        <v>3928</v>
      </c>
      <c r="K3516" s="267">
        <v>6610</v>
      </c>
      <c r="L3516" s="267">
        <v>73000</v>
      </c>
      <c r="M3516" s="267" t="s">
        <v>3960</v>
      </c>
      <c r="N3516" s="267" t="s">
        <v>3944</v>
      </c>
      <c r="O3516" s="267">
        <v>738.96</v>
      </c>
      <c r="P3516" s="267" t="s">
        <v>3944</v>
      </c>
      <c r="Q3516" s="267" t="s">
        <v>3944</v>
      </c>
      <c r="R3516" s="267">
        <v>738.96</v>
      </c>
      <c r="S3516" s="267">
        <v>10928.04</v>
      </c>
      <c r="T3516" s="267">
        <v>11667</v>
      </c>
      <c r="U3516" s="268" t="s">
        <v>3945</v>
      </c>
      <c r="V3516" s="267" t="s">
        <v>944</v>
      </c>
    </row>
    <row r="3517" spans="1:22" hidden="1" x14ac:dyDescent="0.25">
      <c r="A3517" s="269">
        <v>43643</v>
      </c>
      <c r="B3517" s="270">
        <v>2019</v>
      </c>
      <c r="C3517" s="270">
        <v>2019</v>
      </c>
      <c r="D3517" s="270">
        <v>1</v>
      </c>
      <c r="E3517" s="270">
        <v>1</v>
      </c>
      <c r="F3517" s="270" t="s">
        <v>944</v>
      </c>
      <c r="G3517" s="270" t="s">
        <v>3926</v>
      </c>
      <c r="H3517" s="270" t="s">
        <v>8008</v>
      </c>
      <c r="I3517" s="270" t="s">
        <v>3008</v>
      </c>
      <c r="J3517" s="270" t="s">
        <v>3928</v>
      </c>
      <c r="K3517" s="270">
        <v>6460</v>
      </c>
      <c r="L3517" s="270">
        <v>150900</v>
      </c>
      <c r="M3517" s="270" t="s">
        <v>3943</v>
      </c>
      <c r="N3517" s="270" t="s">
        <v>3944</v>
      </c>
      <c r="O3517" s="270">
        <v>1033.24</v>
      </c>
      <c r="P3517" s="270" t="s">
        <v>3944</v>
      </c>
      <c r="Q3517" s="270" t="s">
        <v>3944</v>
      </c>
      <c r="R3517" s="270">
        <v>1033.24</v>
      </c>
      <c r="S3517" s="270">
        <v>15634.04</v>
      </c>
      <c r="T3517" s="270">
        <v>16667.28</v>
      </c>
      <c r="U3517" s="271" t="s">
        <v>3945</v>
      </c>
      <c r="V3517" s="267" t="s">
        <v>944</v>
      </c>
    </row>
    <row r="3518" spans="1:22" hidden="1" x14ac:dyDescent="0.25">
      <c r="A3518" s="266">
        <v>43643</v>
      </c>
      <c r="B3518" s="267">
        <v>2019</v>
      </c>
      <c r="C3518" s="267">
        <v>2019</v>
      </c>
      <c r="D3518" s="267">
        <v>1</v>
      </c>
      <c r="E3518" s="267">
        <v>1</v>
      </c>
      <c r="F3518" s="267" t="s">
        <v>944</v>
      </c>
      <c r="G3518" s="267" t="s">
        <v>3926</v>
      </c>
      <c r="H3518" s="267" t="s">
        <v>8009</v>
      </c>
      <c r="I3518" s="267" t="s">
        <v>4947</v>
      </c>
      <c r="J3518" s="267" t="s">
        <v>3928</v>
      </c>
      <c r="K3518" s="267">
        <v>6787</v>
      </c>
      <c r="L3518" s="267">
        <v>349100</v>
      </c>
      <c r="M3518" s="267" t="s">
        <v>3935</v>
      </c>
      <c r="N3518" s="267" t="s">
        <v>3944</v>
      </c>
      <c r="O3518" s="267">
        <v>3073.39</v>
      </c>
      <c r="P3518" s="267" t="s">
        <v>3944</v>
      </c>
      <c r="Q3518" s="267" t="s">
        <v>3944</v>
      </c>
      <c r="R3518" s="267">
        <v>3073.39</v>
      </c>
      <c r="S3518" s="267">
        <v>43438.01</v>
      </c>
      <c r="T3518" s="267">
        <v>46511.4</v>
      </c>
      <c r="U3518" s="268" t="s">
        <v>3945</v>
      </c>
      <c r="V3518" s="267" t="s">
        <v>944</v>
      </c>
    </row>
    <row r="3519" spans="1:22" hidden="1" x14ac:dyDescent="0.25">
      <c r="A3519" s="269">
        <v>43643</v>
      </c>
      <c r="B3519" s="270">
        <v>2019</v>
      </c>
      <c r="C3519" s="270">
        <v>2019</v>
      </c>
      <c r="D3519" s="270">
        <v>1</v>
      </c>
      <c r="E3519" s="270">
        <v>1</v>
      </c>
      <c r="F3519" s="270" t="s">
        <v>944</v>
      </c>
      <c r="G3519" s="270" t="s">
        <v>3926</v>
      </c>
      <c r="H3519" s="270" t="s">
        <v>8010</v>
      </c>
      <c r="I3519" s="270" t="s">
        <v>4016</v>
      </c>
      <c r="J3519" s="270" t="s">
        <v>3928</v>
      </c>
      <c r="K3519" s="270">
        <v>6770</v>
      </c>
      <c r="L3519" s="270">
        <v>345300</v>
      </c>
      <c r="M3519" s="270" t="s">
        <v>3940</v>
      </c>
      <c r="N3519" s="270" t="s">
        <v>3944</v>
      </c>
      <c r="O3519" s="270">
        <v>1401.37</v>
      </c>
      <c r="P3519" s="270" t="s">
        <v>3944</v>
      </c>
      <c r="Q3519" s="270" t="s">
        <v>3944</v>
      </c>
      <c r="R3519" s="270">
        <v>1401.37</v>
      </c>
      <c r="S3519" s="270">
        <v>21203.03</v>
      </c>
      <c r="T3519" s="270">
        <v>22604.400000000001</v>
      </c>
      <c r="U3519" s="271" t="s">
        <v>3945</v>
      </c>
      <c r="V3519" s="267" t="s">
        <v>944</v>
      </c>
    </row>
    <row r="3520" spans="1:22" hidden="1" x14ac:dyDescent="0.25">
      <c r="A3520" s="266">
        <v>43643</v>
      </c>
      <c r="B3520" s="267">
        <v>2019</v>
      </c>
      <c r="C3520" s="267">
        <v>2019</v>
      </c>
      <c r="D3520" s="267">
        <v>1</v>
      </c>
      <c r="E3520" s="267">
        <v>1</v>
      </c>
      <c r="F3520" s="267" t="s">
        <v>944</v>
      </c>
      <c r="G3520" s="267" t="s">
        <v>3926</v>
      </c>
      <c r="H3520" s="267" t="s">
        <v>8011</v>
      </c>
      <c r="I3520" s="267" t="s">
        <v>3956</v>
      </c>
      <c r="J3520" s="267" t="s">
        <v>3928</v>
      </c>
      <c r="K3520" s="267">
        <v>6106</v>
      </c>
      <c r="L3520" s="267">
        <v>524700</v>
      </c>
      <c r="M3520" s="267" t="s">
        <v>3935</v>
      </c>
      <c r="N3520" s="267" t="s">
        <v>3944</v>
      </c>
      <c r="O3520" s="267">
        <v>1069.32</v>
      </c>
      <c r="P3520" s="267" t="s">
        <v>3944</v>
      </c>
      <c r="Q3520" s="267" t="s">
        <v>3944</v>
      </c>
      <c r="R3520" s="267">
        <v>1069.32</v>
      </c>
      <c r="S3520" s="267">
        <v>11720.81</v>
      </c>
      <c r="T3520" s="267">
        <v>12790.13</v>
      </c>
      <c r="U3520" s="268" t="s">
        <v>3945</v>
      </c>
      <c r="V3520" s="267" t="s">
        <v>944</v>
      </c>
    </row>
    <row r="3521" spans="1:22" hidden="1" x14ac:dyDescent="0.25">
      <c r="A3521" s="269">
        <v>43643</v>
      </c>
      <c r="B3521" s="270">
        <v>2019</v>
      </c>
      <c r="C3521" s="270">
        <v>2019</v>
      </c>
      <c r="D3521" s="270">
        <v>1</v>
      </c>
      <c r="E3521" s="270">
        <v>1</v>
      </c>
      <c r="F3521" s="270" t="s">
        <v>944</v>
      </c>
      <c r="G3521" s="270" t="s">
        <v>3926</v>
      </c>
      <c r="H3521" s="270" t="s">
        <v>8012</v>
      </c>
      <c r="I3521" s="270" t="s">
        <v>4079</v>
      </c>
      <c r="J3521" s="270" t="s">
        <v>3928</v>
      </c>
      <c r="K3521" s="270">
        <v>6111</v>
      </c>
      <c r="L3521" s="270">
        <v>494100</v>
      </c>
      <c r="M3521" s="270" t="s">
        <v>3935</v>
      </c>
      <c r="N3521" s="270" t="s">
        <v>3944</v>
      </c>
      <c r="O3521" s="270">
        <v>1265.1099999999999</v>
      </c>
      <c r="P3521" s="270" t="s">
        <v>3944</v>
      </c>
      <c r="Q3521" s="270" t="s">
        <v>3944</v>
      </c>
      <c r="R3521" s="270">
        <v>1265.1099999999999</v>
      </c>
      <c r="S3521" s="270">
        <v>19470.89</v>
      </c>
      <c r="T3521" s="270">
        <v>20736</v>
      </c>
      <c r="U3521" s="271" t="s">
        <v>3945</v>
      </c>
      <c r="V3521" s="267" t="s">
        <v>944</v>
      </c>
    </row>
    <row r="3522" spans="1:22" hidden="1" x14ac:dyDescent="0.25">
      <c r="A3522" s="266">
        <v>43643</v>
      </c>
      <c r="B3522" s="267">
        <v>2019</v>
      </c>
      <c r="C3522" s="267">
        <v>2019</v>
      </c>
      <c r="D3522" s="267">
        <v>1</v>
      </c>
      <c r="E3522" s="267">
        <v>1</v>
      </c>
      <c r="F3522" s="267" t="s">
        <v>944</v>
      </c>
      <c r="G3522" s="267" t="s">
        <v>3926</v>
      </c>
      <c r="H3522" s="267" t="s">
        <v>8013</v>
      </c>
      <c r="I3522" s="267" t="s">
        <v>3008</v>
      </c>
      <c r="J3522" s="267" t="s">
        <v>3928</v>
      </c>
      <c r="K3522" s="267">
        <v>6461</v>
      </c>
      <c r="L3522" s="267">
        <v>150700</v>
      </c>
      <c r="M3522" s="267" t="s">
        <v>3943</v>
      </c>
      <c r="N3522" s="267" t="s">
        <v>3944</v>
      </c>
      <c r="O3522" s="267">
        <v>2479.8200000000002</v>
      </c>
      <c r="P3522" s="267" t="s">
        <v>3944</v>
      </c>
      <c r="Q3522" s="267" t="s">
        <v>3944</v>
      </c>
      <c r="R3522" s="267">
        <v>2479.8200000000002</v>
      </c>
      <c r="S3522" s="267">
        <v>43375.27</v>
      </c>
      <c r="T3522" s="267">
        <v>45855.09</v>
      </c>
      <c r="U3522" s="268" t="s">
        <v>3945</v>
      </c>
      <c r="V3522" s="267" t="s">
        <v>944</v>
      </c>
    </row>
    <row r="3523" spans="1:22" hidden="1" x14ac:dyDescent="0.25">
      <c r="A3523" s="269">
        <v>43643</v>
      </c>
      <c r="B3523" s="270">
        <v>2019</v>
      </c>
      <c r="C3523" s="270">
        <v>2019</v>
      </c>
      <c r="D3523" s="270">
        <v>1</v>
      </c>
      <c r="E3523" s="270">
        <v>1</v>
      </c>
      <c r="F3523" s="270" t="s">
        <v>944</v>
      </c>
      <c r="G3523" s="270" t="s">
        <v>3926</v>
      </c>
      <c r="H3523" s="270" t="s">
        <v>8014</v>
      </c>
      <c r="I3523" s="270" t="s">
        <v>3993</v>
      </c>
      <c r="J3523" s="270" t="s">
        <v>3928</v>
      </c>
      <c r="K3523" s="270">
        <v>6415</v>
      </c>
      <c r="L3523" s="270">
        <v>714104</v>
      </c>
      <c r="M3523" s="270" t="s">
        <v>3960</v>
      </c>
      <c r="N3523" s="270" t="s">
        <v>3944</v>
      </c>
      <c r="O3523" s="270">
        <v>1762.67</v>
      </c>
      <c r="P3523" s="270" t="s">
        <v>3944</v>
      </c>
      <c r="Q3523" s="270" t="s">
        <v>3944</v>
      </c>
      <c r="R3523" s="270">
        <v>1762.67</v>
      </c>
      <c r="S3523" s="270">
        <v>30570.06</v>
      </c>
      <c r="T3523" s="270">
        <v>32332.73</v>
      </c>
      <c r="U3523" s="271" t="s">
        <v>3945</v>
      </c>
      <c r="V3523" s="267" t="s">
        <v>944</v>
      </c>
    </row>
    <row r="3524" spans="1:22" hidden="1" x14ac:dyDescent="0.25">
      <c r="A3524" s="266">
        <v>43643</v>
      </c>
      <c r="B3524" s="267">
        <v>2019</v>
      </c>
      <c r="C3524" s="267">
        <v>2019</v>
      </c>
      <c r="D3524" s="267">
        <v>1</v>
      </c>
      <c r="E3524" s="267">
        <v>1</v>
      </c>
      <c r="F3524" s="267" t="s">
        <v>944</v>
      </c>
      <c r="G3524" s="267" t="s">
        <v>3926</v>
      </c>
      <c r="H3524" s="267" t="s">
        <v>8015</v>
      </c>
      <c r="I3524" s="267" t="s">
        <v>3008</v>
      </c>
      <c r="J3524" s="267" t="s">
        <v>3928</v>
      </c>
      <c r="K3524" s="267">
        <v>6460</v>
      </c>
      <c r="L3524" s="267">
        <v>150500</v>
      </c>
      <c r="M3524" s="267" t="s">
        <v>3960</v>
      </c>
      <c r="N3524" s="267" t="s">
        <v>3944</v>
      </c>
      <c r="O3524" s="267">
        <v>958.16</v>
      </c>
      <c r="P3524" s="267" t="s">
        <v>3944</v>
      </c>
      <c r="Q3524" s="267" t="s">
        <v>3944</v>
      </c>
      <c r="R3524" s="267">
        <v>958.16</v>
      </c>
      <c r="S3524" s="267">
        <v>16865.79</v>
      </c>
      <c r="T3524" s="267">
        <v>17823.95</v>
      </c>
      <c r="U3524" s="268" t="s">
        <v>3945</v>
      </c>
      <c r="V3524" s="267" t="s">
        <v>944</v>
      </c>
    </row>
    <row r="3525" spans="1:22" hidden="1" x14ac:dyDescent="0.25">
      <c r="A3525" s="269">
        <v>43643</v>
      </c>
      <c r="B3525" s="270">
        <v>2019</v>
      </c>
      <c r="C3525" s="270">
        <v>2019</v>
      </c>
      <c r="D3525" s="270">
        <v>1</v>
      </c>
      <c r="E3525" s="270">
        <v>1</v>
      </c>
      <c r="F3525" s="270" t="s">
        <v>944</v>
      </c>
      <c r="G3525" s="270" t="s">
        <v>3926</v>
      </c>
      <c r="H3525" s="270" t="s">
        <v>8016</v>
      </c>
      <c r="I3525" s="270" t="s">
        <v>4200</v>
      </c>
      <c r="J3525" s="270" t="s">
        <v>3928</v>
      </c>
      <c r="K3525" s="270">
        <v>6779</v>
      </c>
      <c r="L3525" s="270">
        <v>360400</v>
      </c>
      <c r="M3525" s="270" t="s">
        <v>3940</v>
      </c>
      <c r="N3525" s="270" t="s">
        <v>3944</v>
      </c>
      <c r="O3525" s="270">
        <v>2389.84</v>
      </c>
      <c r="P3525" s="270" t="s">
        <v>3944</v>
      </c>
      <c r="Q3525" s="270" t="s">
        <v>3944</v>
      </c>
      <c r="R3525" s="270">
        <v>2389.84</v>
      </c>
      <c r="S3525" s="270">
        <v>36312.03</v>
      </c>
      <c r="T3525" s="270">
        <v>38701.870000000003</v>
      </c>
      <c r="U3525" s="271" t="s">
        <v>3945</v>
      </c>
      <c r="V3525" s="267" t="s">
        <v>944</v>
      </c>
    </row>
    <row r="3526" spans="1:22" hidden="1" x14ac:dyDescent="0.25">
      <c r="A3526" s="266">
        <v>43643</v>
      </c>
      <c r="B3526" s="267">
        <v>2019</v>
      </c>
      <c r="C3526" s="267">
        <v>2019</v>
      </c>
      <c r="D3526" s="267">
        <v>1</v>
      </c>
      <c r="E3526" s="267">
        <v>1</v>
      </c>
      <c r="F3526" s="267" t="s">
        <v>944</v>
      </c>
      <c r="G3526" s="267" t="s">
        <v>3926</v>
      </c>
      <c r="H3526" s="267" t="s">
        <v>8017</v>
      </c>
      <c r="I3526" s="267" t="s">
        <v>3008</v>
      </c>
      <c r="J3526" s="267" t="s">
        <v>3928</v>
      </c>
      <c r="K3526" s="267">
        <v>6461</v>
      </c>
      <c r="L3526" s="267">
        <v>150700</v>
      </c>
      <c r="M3526" s="267" t="s">
        <v>3943</v>
      </c>
      <c r="N3526" s="267" t="s">
        <v>3944</v>
      </c>
      <c r="O3526" s="267">
        <v>3580.5</v>
      </c>
      <c r="P3526" s="267" t="s">
        <v>3944</v>
      </c>
      <c r="Q3526" s="267" t="s">
        <v>3944</v>
      </c>
      <c r="R3526" s="267">
        <v>3580.5</v>
      </c>
      <c r="S3526" s="267">
        <v>60898.46</v>
      </c>
      <c r="T3526" s="267">
        <v>64478.96</v>
      </c>
      <c r="U3526" s="268" t="s">
        <v>3945</v>
      </c>
      <c r="V3526" s="267" t="s">
        <v>944</v>
      </c>
    </row>
    <row r="3527" spans="1:22" hidden="1" x14ac:dyDescent="0.25">
      <c r="A3527" s="269">
        <v>43643</v>
      </c>
      <c r="B3527" s="270">
        <v>2019</v>
      </c>
      <c r="C3527" s="270">
        <v>2019</v>
      </c>
      <c r="D3527" s="270">
        <v>1</v>
      </c>
      <c r="E3527" s="270">
        <v>1</v>
      </c>
      <c r="F3527" s="270" t="s">
        <v>944</v>
      </c>
      <c r="G3527" s="270" t="s">
        <v>3926</v>
      </c>
      <c r="H3527" s="270" t="s">
        <v>8018</v>
      </c>
      <c r="I3527" s="270" t="s">
        <v>3975</v>
      </c>
      <c r="J3527" s="270" t="s">
        <v>3928</v>
      </c>
      <c r="K3527" s="270">
        <v>6479</v>
      </c>
      <c r="L3527" s="270">
        <v>430500</v>
      </c>
      <c r="M3527" s="270" t="s">
        <v>3943</v>
      </c>
      <c r="N3527" s="270" t="s">
        <v>3944</v>
      </c>
      <c r="O3527" s="270">
        <v>2150.09</v>
      </c>
      <c r="P3527" s="270" t="s">
        <v>3944</v>
      </c>
      <c r="Q3527" s="270" t="s">
        <v>3944</v>
      </c>
      <c r="R3527" s="270">
        <v>2150.09</v>
      </c>
      <c r="S3527" s="270">
        <v>29586.16</v>
      </c>
      <c r="T3527" s="270">
        <v>31736.25</v>
      </c>
      <c r="U3527" s="271" t="s">
        <v>3945</v>
      </c>
      <c r="V3527" s="267" t="s">
        <v>944</v>
      </c>
    </row>
    <row r="3528" spans="1:22" hidden="1" x14ac:dyDescent="0.25">
      <c r="A3528" s="266">
        <v>43643</v>
      </c>
      <c r="B3528" s="267">
        <v>2019</v>
      </c>
      <c r="C3528" s="267">
        <v>2019</v>
      </c>
      <c r="D3528" s="267">
        <v>1</v>
      </c>
      <c r="E3528" s="267">
        <v>1</v>
      </c>
      <c r="F3528" s="267" t="s">
        <v>944</v>
      </c>
      <c r="G3528" s="267" t="s">
        <v>3926</v>
      </c>
      <c r="H3528" s="267" t="s">
        <v>8019</v>
      </c>
      <c r="I3528" s="267" t="s">
        <v>3010</v>
      </c>
      <c r="J3528" s="267" t="s">
        <v>3928</v>
      </c>
      <c r="K3528" s="267">
        <v>6401</v>
      </c>
      <c r="L3528" s="267">
        <v>125200</v>
      </c>
      <c r="M3528" s="267">
        <v>-60</v>
      </c>
      <c r="N3528" s="267" t="s">
        <v>3944</v>
      </c>
      <c r="O3528" s="267">
        <v>1814.51</v>
      </c>
      <c r="P3528" s="267" t="s">
        <v>3944</v>
      </c>
      <c r="Q3528" s="267" t="s">
        <v>3944</v>
      </c>
      <c r="R3528" s="267">
        <v>1814.51</v>
      </c>
      <c r="S3528" s="267">
        <v>28106.84</v>
      </c>
      <c r="T3528" s="267">
        <v>29921.35</v>
      </c>
      <c r="U3528" s="268" t="s">
        <v>3945</v>
      </c>
      <c r="V3528" s="267" t="s">
        <v>944</v>
      </c>
    </row>
    <row r="3529" spans="1:22" hidden="1" x14ac:dyDescent="0.25">
      <c r="A3529" s="269">
        <v>43643</v>
      </c>
      <c r="B3529" s="270">
        <v>2019</v>
      </c>
      <c r="C3529" s="270">
        <v>2019</v>
      </c>
      <c r="D3529" s="270">
        <v>1</v>
      </c>
      <c r="E3529" s="270">
        <v>1</v>
      </c>
      <c r="F3529" s="270" t="s">
        <v>944</v>
      </c>
      <c r="G3529" s="270" t="s">
        <v>3926</v>
      </c>
      <c r="H3529" s="270" t="s">
        <v>8020</v>
      </c>
      <c r="I3529" s="270" t="s">
        <v>3009</v>
      </c>
      <c r="J3529" s="270" t="s">
        <v>3928</v>
      </c>
      <c r="K3529" s="270">
        <v>6484</v>
      </c>
      <c r="L3529" s="270">
        <v>110500</v>
      </c>
      <c r="M3529" s="270" t="s">
        <v>3943</v>
      </c>
      <c r="N3529" s="270" t="s">
        <v>3944</v>
      </c>
      <c r="O3529" s="270">
        <v>2134.9299999999998</v>
      </c>
      <c r="P3529" s="270" t="s">
        <v>3944</v>
      </c>
      <c r="Q3529" s="270" t="s">
        <v>3944</v>
      </c>
      <c r="R3529" s="270">
        <v>2134.9299999999998</v>
      </c>
      <c r="S3529" s="270">
        <v>34578.32</v>
      </c>
      <c r="T3529" s="270">
        <v>36713.25</v>
      </c>
      <c r="U3529" s="271" t="s">
        <v>3945</v>
      </c>
      <c r="V3529" s="267" t="s">
        <v>944</v>
      </c>
    </row>
    <row r="3530" spans="1:22" hidden="1" x14ac:dyDescent="0.25">
      <c r="A3530" s="266">
        <v>43643</v>
      </c>
      <c r="B3530" s="267">
        <v>2019</v>
      </c>
      <c r="C3530" s="267">
        <v>2019</v>
      </c>
      <c r="D3530" s="267">
        <v>1</v>
      </c>
      <c r="E3530" s="267">
        <v>1</v>
      </c>
      <c r="F3530" s="267" t="s">
        <v>944</v>
      </c>
      <c r="G3530" s="267" t="s">
        <v>3926</v>
      </c>
      <c r="H3530" s="267" t="s">
        <v>8021</v>
      </c>
      <c r="I3530" s="267" t="s">
        <v>3025</v>
      </c>
      <c r="J3530" s="267" t="s">
        <v>3928</v>
      </c>
      <c r="K3530" s="267">
        <v>6473</v>
      </c>
      <c r="L3530" s="267">
        <v>167100</v>
      </c>
      <c r="M3530" s="267" t="s">
        <v>3943</v>
      </c>
      <c r="N3530" s="267" t="s">
        <v>3944</v>
      </c>
      <c r="O3530" s="267">
        <v>2235.31</v>
      </c>
      <c r="P3530" s="267" t="s">
        <v>3944</v>
      </c>
      <c r="Q3530" s="267" t="s">
        <v>3944</v>
      </c>
      <c r="R3530" s="267">
        <v>2235.31</v>
      </c>
      <c r="S3530" s="267">
        <v>33639.760000000002</v>
      </c>
      <c r="T3530" s="267">
        <v>35875.07</v>
      </c>
      <c r="U3530" s="268" t="s">
        <v>3945</v>
      </c>
      <c r="V3530" s="267" t="s">
        <v>944</v>
      </c>
    </row>
    <row r="3531" spans="1:22" hidden="1" x14ac:dyDescent="0.25">
      <c r="A3531" s="269">
        <v>43643</v>
      </c>
      <c r="B3531" s="270">
        <v>2019</v>
      </c>
      <c r="C3531" s="270">
        <v>2019</v>
      </c>
      <c r="D3531" s="270">
        <v>1</v>
      </c>
      <c r="E3531" s="270">
        <v>1</v>
      </c>
      <c r="F3531" s="270" t="s">
        <v>944</v>
      </c>
      <c r="G3531" s="270" t="s">
        <v>3926</v>
      </c>
      <c r="H3531" s="270" t="s">
        <v>8022</v>
      </c>
      <c r="I3531" s="270" t="s">
        <v>950</v>
      </c>
      <c r="J3531" s="270" t="s">
        <v>3928</v>
      </c>
      <c r="K3531" s="270">
        <v>6516</v>
      </c>
      <c r="L3531" s="270">
        <v>154200</v>
      </c>
      <c r="M3531" s="270" t="s">
        <v>3940</v>
      </c>
      <c r="N3531" s="270" t="s">
        <v>3944</v>
      </c>
      <c r="O3531" s="270">
        <v>1880.87</v>
      </c>
      <c r="P3531" s="270" t="s">
        <v>3944</v>
      </c>
      <c r="Q3531" s="270" t="s">
        <v>3944</v>
      </c>
      <c r="R3531" s="270">
        <v>1880.87</v>
      </c>
      <c r="S3531" s="270">
        <v>33537.1</v>
      </c>
      <c r="T3531" s="270">
        <v>35417.97</v>
      </c>
      <c r="U3531" s="271" t="s">
        <v>3945</v>
      </c>
      <c r="V3531" s="267" t="s">
        <v>944</v>
      </c>
    </row>
    <row r="3532" spans="1:22" hidden="1" x14ac:dyDescent="0.25">
      <c r="A3532" s="266">
        <v>43643</v>
      </c>
      <c r="B3532" s="267">
        <v>2019</v>
      </c>
      <c r="C3532" s="267">
        <v>2019</v>
      </c>
      <c r="D3532" s="267">
        <v>1</v>
      </c>
      <c r="E3532" s="267">
        <v>1</v>
      </c>
      <c r="F3532" s="267" t="s">
        <v>944</v>
      </c>
      <c r="G3532" s="267" t="s">
        <v>3926</v>
      </c>
      <c r="H3532" s="267" t="s">
        <v>8023</v>
      </c>
      <c r="I3532" s="267" t="s">
        <v>4200</v>
      </c>
      <c r="J3532" s="267" t="s">
        <v>3928</v>
      </c>
      <c r="K3532" s="267">
        <v>6795</v>
      </c>
      <c r="L3532" s="267">
        <v>360200</v>
      </c>
      <c r="M3532" s="267" t="s">
        <v>3943</v>
      </c>
      <c r="N3532" s="267" t="s">
        <v>3944</v>
      </c>
      <c r="O3532" s="267">
        <v>3589.01</v>
      </c>
      <c r="P3532" s="267" t="s">
        <v>3944</v>
      </c>
      <c r="Q3532" s="267" t="s">
        <v>3944</v>
      </c>
      <c r="R3532" s="267">
        <v>3589.01</v>
      </c>
      <c r="S3532" s="267">
        <v>33430.269999999997</v>
      </c>
      <c r="T3532" s="267">
        <v>37019.279999999999</v>
      </c>
      <c r="U3532" s="268" t="s">
        <v>3945</v>
      </c>
      <c r="V3532" s="267" t="s">
        <v>944</v>
      </c>
    </row>
    <row r="3533" spans="1:22" hidden="1" x14ac:dyDescent="0.25">
      <c r="A3533" s="269">
        <v>43643</v>
      </c>
      <c r="B3533" s="270">
        <v>2019</v>
      </c>
      <c r="C3533" s="270">
        <v>2019</v>
      </c>
      <c r="D3533" s="270">
        <v>1</v>
      </c>
      <c r="E3533" s="270">
        <v>1</v>
      </c>
      <c r="F3533" s="270" t="s">
        <v>944</v>
      </c>
      <c r="G3533" s="270" t="s">
        <v>3926</v>
      </c>
      <c r="H3533" s="270" t="s">
        <v>8024</v>
      </c>
      <c r="I3533" s="270" t="s">
        <v>4019</v>
      </c>
      <c r="J3533" s="270" t="s">
        <v>3928</v>
      </c>
      <c r="K3533" s="270">
        <v>6708</v>
      </c>
      <c r="L3533" s="270">
        <v>351601</v>
      </c>
      <c r="M3533" s="270">
        <v>-60</v>
      </c>
      <c r="N3533" s="270" t="s">
        <v>3944</v>
      </c>
      <c r="O3533" s="270">
        <v>1023.51</v>
      </c>
      <c r="P3533" s="270" t="s">
        <v>3944</v>
      </c>
      <c r="Q3533" s="270" t="s">
        <v>3944</v>
      </c>
      <c r="R3533" s="270">
        <v>1023.51</v>
      </c>
      <c r="S3533" s="270">
        <v>13748.89</v>
      </c>
      <c r="T3533" s="270">
        <v>14772.4</v>
      </c>
      <c r="U3533" s="271" t="s">
        <v>3945</v>
      </c>
      <c r="V3533" s="267" t="s">
        <v>944</v>
      </c>
    </row>
    <row r="3534" spans="1:22" hidden="1" x14ac:dyDescent="0.25">
      <c r="A3534" s="266">
        <v>43643</v>
      </c>
      <c r="B3534" s="267">
        <v>2019</v>
      </c>
      <c r="C3534" s="267">
        <v>2019</v>
      </c>
      <c r="D3534" s="267">
        <v>1</v>
      </c>
      <c r="E3534" s="267">
        <v>1</v>
      </c>
      <c r="F3534" s="267" t="s">
        <v>944</v>
      </c>
      <c r="G3534" s="267" t="s">
        <v>3926</v>
      </c>
      <c r="H3534" s="267" t="s">
        <v>8025</v>
      </c>
      <c r="I3534" s="267" t="s">
        <v>3025</v>
      </c>
      <c r="J3534" s="267" t="s">
        <v>3928</v>
      </c>
      <c r="K3534" s="267">
        <v>6473</v>
      </c>
      <c r="L3534" s="267">
        <v>167300</v>
      </c>
      <c r="M3534" s="267" t="s">
        <v>3943</v>
      </c>
      <c r="N3534" s="267" t="s">
        <v>3944</v>
      </c>
      <c r="O3534" s="267">
        <v>2084.3200000000002</v>
      </c>
      <c r="P3534" s="267" t="s">
        <v>3944</v>
      </c>
      <c r="Q3534" s="267" t="s">
        <v>3944</v>
      </c>
      <c r="R3534" s="267">
        <v>2084.3200000000002</v>
      </c>
      <c r="S3534" s="267">
        <v>35677.879999999997</v>
      </c>
      <c r="T3534" s="267">
        <v>37762.199999999997</v>
      </c>
      <c r="U3534" s="268" t="s">
        <v>3945</v>
      </c>
      <c r="V3534" s="267" t="s">
        <v>944</v>
      </c>
    </row>
    <row r="3535" spans="1:22" hidden="1" x14ac:dyDescent="0.25">
      <c r="A3535" s="269">
        <v>43643</v>
      </c>
      <c r="B3535" s="270">
        <v>2019</v>
      </c>
      <c r="C3535" s="270">
        <v>2019</v>
      </c>
      <c r="D3535" s="270">
        <v>1</v>
      </c>
      <c r="E3535" s="270">
        <v>1</v>
      </c>
      <c r="F3535" s="270" t="s">
        <v>944</v>
      </c>
      <c r="G3535" s="270" t="s">
        <v>3926</v>
      </c>
      <c r="H3535" s="270" t="s">
        <v>8026</v>
      </c>
      <c r="I3535" s="270" t="s">
        <v>3008</v>
      </c>
      <c r="J3535" s="270" t="s">
        <v>3928</v>
      </c>
      <c r="K3535" s="270">
        <v>6460</v>
      </c>
      <c r="L3535" s="270">
        <v>151000</v>
      </c>
      <c r="M3535" s="270" t="s">
        <v>3960</v>
      </c>
      <c r="N3535" s="270" t="s">
        <v>3944</v>
      </c>
      <c r="O3535" s="270">
        <v>2319.52</v>
      </c>
      <c r="P3535" s="270" t="s">
        <v>3944</v>
      </c>
      <c r="Q3535" s="270" t="s">
        <v>3944</v>
      </c>
      <c r="R3535" s="270">
        <v>2319.52</v>
      </c>
      <c r="S3535" s="270">
        <v>40319.160000000003</v>
      </c>
      <c r="T3535" s="270">
        <v>42638.68</v>
      </c>
      <c r="U3535" s="271" t="s">
        <v>3945</v>
      </c>
      <c r="V3535" s="267" t="s">
        <v>944</v>
      </c>
    </row>
    <row r="3536" spans="1:22" hidden="1" x14ac:dyDescent="0.25">
      <c r="A3536" s="266">
        <v>43643</v>
      </c>
      <c r="B3536" s="267">
        <v>2019</v>
      </c>
      <c r="C3536" s="267">
        <v>2019</v>
      </c>
      <c r="D3536" s="267">
        <v>1</v>
      </c>
      <c r="E3536" s="267">
        <v>1</v>
      </c>
      <c r="F3536" s="267" t="s">
        <v>944</v>
      </c>
      <c r="G3536" s="267" t="s">
        <v>3926</v>
      </c>
      <c r="H3536" s="267" t="s">
        <v>8027</v>
      </c>
      <c r="I3536" s="267" t="s">
        <v>3962</v>
      </c>
      <c r="J3536" s="267" t="s">
        <v>3928</v>
      </c>
      <c r="K3536" s="267">
        <v>6379</v>
      </c>
      <c r="L3536" s="267">
        <v>705101</v>
      </c>
      <c r="M3536" s="267" t="s">
        <v>3935</v>
      </c>
      <c r="N3536" s="267" t="s">
        <v>3944</v>
      </c>
      <c r="O3536" s="267">
        <v>1328.78</v>
      </c>
      <c r="P3536" s="267" t="s">
        <v>3944</v>
      </c>
      <c r="Q3536" s="267" t="s">
        <v>3944</v>
      </c>
      <c r="R3536" s="267">
        <v>1328.78</v>
      </c>
      <c r="S3536" s="267">
        <v>19601.28</v>
      </c>
      <c r="T3536" s="267">
        <v>20930.060000000001</v>
      </c>
      <c r="U3536" s="268" t="s">
        <v>3945</v>
      </c>
      <c r="V3536" s="267" t="s">
        <v>944</v>
      </c>
    </row>
    <row r="3537" spans="1:22" hidden="1" x14ac:dyDescent="0.25">
      <c r="A3537" s="269">
        <v>43643</v>
      </c>
      <c r="B3537" s="270">
        <v>2019</v>
      </c>
      <c r="C3537" s="270">
        <v>2019</v>
      </c>
      <c r="D3537" s="270">
        <v>1</v>
      </c>
      <c r="E3537" s="270">
        <v>1</v>
      </c>
      <c r="F3537" s="270" t="s">
        <v>944</v>
      </c>
      <c r="G3537" s="270" t="s">
        <v>3926</v>
      </c>
      <c r="H3537" s="270" t="s">
        <v>8028</v>
      </c>
      <c r="I3537" s="270" t="s">
        <v>4085</v>
      </c>
      <c r="J3537" s="270" t="s">
        <v>3928</v>
      </c>
      <c r="K3537" s="270">
        <v>6351</v>
      </c>
      <c r="L3537" s="270">
        <v>709100</v>
      </c>
      <c r="M3537" s="270" t="s">
        <v>3935</v>
      </c>
      <c r="N3537" s="270" t="s">
        <v>3944</v>
      </c>
      <c r="O3537" s="270">
        <v>3747.45</v>
      </c>
      <c r="P3537" s="270" t="s">
        <v>3944</v>
      </c>
      <c r="Q3537" s="270" t="s">
        <v>3944</v>
      </c>
      <c r="R3537" s="270">
        <v>3747.45</v>
      </c>
      <c r="S3537" s="270">
        <v>51559.28</v>
      </c>
      <c r="T3537" s="270">
        <v>55306.73</v>
      </c>
      <c r="U3537" s="271" t="s">
        <v>3945</v>
      </c>
      <c r="V3537" s="267" t="s">
        <v>944</v>
      </c>
    </row>
    <row r="3538" spans="1:22" x14ac:dyDescent="0.25">
      <c r="A3538" s="266">
        <v>43643</v>
      </c>
      <c r="B3538" s="267">
        <v>2019</v>
      </c>
      <c r="C3538" s="267">
        <v>2019</v>
      </c>
      <c r="D3538" s="267">
        <v>1</v>
      </c>
      <c r="E3538" s="267">
        <v>1</v>
      </c>
      <c r="F3538" s="267" t="s">
        <v>944</v>
      </c>
      <c r="G3538" s="267" t="s">
        <v>3926</v>
      </c>
      <c r="H3538" s="267" t="s">
        <v>8029</v>
      </c>
      <c r="I3538" s="267" t="s">
        <v>953</v>
      </c>
      <c r="J3538" s="267" t="s">
        <v>3928</v>
      </c>
      <c r="K3538" s="267">
        <v>6514</v>
      </c>
      <c r="L3538" s="267">
        <v>165500</v>
      </c>
      <c r="M3538" s="267">
        <v>-60</v>
      </c>
      <c r="N3538" s="267" t="s">
        <v>3944</v>
      </c>
      <c r="O3538" s="267">
        <v>1346.21</v>
      </c>
      <c r="P3538" s="267" t="s">
        <v>3944</v>
      </c>
      <c r="Q3538" s="267" t="s">
        <v>3944</v>
      </c>
      <c r="R3538" s="267">
        <v>1346.21</v>
      </c>
      <c r="S3538" s="267">
        <v>21981.79</v>
      </c>
      <c r="T3538" s="267">
        <v>23328</v>
      </c>
      <c r="U3538" s="268" t="s">
        <v>3945</v>
      </c>
      <c r="V3538" s="276" t="s">
        <v>936</v>
      </c>
    </row>
    <row r="3539" spans="1:22" hidden="1" x14ac:dyDescent="0.25">
      <c r="A3539" s="269">
        <v>43643</v>
      </c>
      <c r="B3539" s="270">
        <v>2019</v>
      </c>
      <c r="C3539" s="270">
        <v>2019</v>
      </c>
      <c r="D3539" s="270">
        <v>1</v>
      </c>
      <c r="E3539" s="270">
        <v>1</v>
      </c>
      <c r="F3539" s="270" t="s">
        <v>944</v>
      </c>
      <c r="G3539" s="270" t="s">
        <v>3926</v>
      </c>
      <c r="H3539" s="270" t="s">
        <v>8030</v>
      </c>
      <c r="I3539" s="270" t="s">
        <v>4392</v>
      </c>
      <c r="J3539" s="270" t="s">
        <v>3928</v>
      </c>
      <c r="K3539" s="270">
        <v>6457</v>
      </c>
      <c r="L3539" s="270">
        <v>542200</v>
      </c>
      <c r="M3539" s="270" t="s">
        <v>3960</v>
      </c>
      <c r="N3539" s="270" t="s">
        <v>3944</v>
      </c>
      <c r="O3539" s="270">
        <v>1871.35</v>
      </c>
      <c r="P3539" s="270" t="s">
        <v>3944</v>
      </c>
      <c r="Q3539" s="270" t="s">
        <v>3944</v>
      </c>
      <c r="R3539" s="270">
        <v>1871.35</v>
      </c>
      <c r="S3539" s="270">
        <v>27687.45</v>
      </c>
      <c r="T3539" s="270">
        <v>29558.799999999999</v>
      </c>
      <c r="U3539" s="271" t="s">
        <v>3945</v>
      </c>
      <c r="V3539" s="267" t="s">
        <v>944</v>
      </c>
    </row>
    <row r="3540" spans="1:22" hidden="1" x14ac:dyDescent="0.25">
      <c r="A3540" s="266">
        <v>43643</v>
      </c>
      <c r="B3540" s="267">
        <v>2019</v>
      </c>
      <c r="C3540" s="267">
        <v>2019</v>
      </c>
      <c r="D3540" s="267">
        <v>1</v>
      </c>
      <c r="E3540" s="267">
        <v>1</v>
      </c>
      <c r="F3540" s="267" t="s">
        <v>944</v>
      </c>
      <c r="G3540" s="267" t="s">
        <v>3926</v>
      </c>
      <c r="H3540" s="267" t="s">
        <v>8031</v>
      </c>
      <c r="I3540" s="267" t="s">
        <v>3008</v>
      </c>
      <c r="J3540" s="267" t="s">
        <v>3928</v>
      </c>
      <c r="K3540" s="267">
        <v>6461</v>
      </c>
      <c r="L3540" s="267">
        <v>150800</v>
      </c>
      <c r="M3540" s="267" t="s">
        <v>3960</v>
      </c>
      <c r="N3540" s="267" t="s">
        <v>3944</v>
      </c>
      <c r="O3540" s="267">
        <v>2357.88</v>
      </c>
      <c r="P3540" s="267" t="s">
        <v>3944</v>
      </c>
      <c r="Q3540" s="267" t="s">
        <v>3944</v>
      </c>
      <c r="R3540" s="267">
        <v>2357.88</v>
      </c>
      <c r="S3540" s="267">
        <v>39745.019999999997</v>
      </c>
      <c r="T3540" s="267">
        <v>42102.9</v>
      </c>
      <c r="U3540" s="268" t="s">
        <v>3945</v>
      </c>
      <c r="V3540" s="267" t="s">
        <v>944</v>
      </c>
    </row>
    <row r="3541" spans="1:22" hidden="1" x14ac:dyDescent="0.25">
      <c r="A3541" s="269">
        <v>43643</v>
      </c>
      <c r="B3541" s="270">
        <v>2019</v>
      </c>
      <c r="C3541" s="270">
        <v>2019</v>
      </c>
      <c r="D3541" s="270">
        <v>1</v>
      </c>
      <c r="E3541" s="270">
        <v>1</v>
      </c>
      <c r="F3541" s="270" t="s">
        <v>944</v>
      </c>
      <c r="G3541" s="270" t="s">
        <v>3926</v>
      </c>
      <c r="H3541" s="270" t="s">
        <v>8032</v>
      </c>
      <c r="I3541" s="270" t="s">
        <v>934</v>
      </c>
      <c r="J3541" s="270" t="s">
        <v>3928</v>
      </c>
      <c r="K3541" s="270">
        <v>6604</v>
      </c>
      <c r="L3541" s="270">
        <v>71400</v>
      </c>
      <c r="M3541" s="270">
        <v>-60</v>
      </c>
      <c r="N3541" s="270" t="s">
        <v>3944</v>
      </c>
      <c r="O3541" s="270">
        <v>2059.65</v>
      </c>
      <c r="P3541" s="270" t="s">
        <v>3944</v>
      </c>
      <c r="Q3541" s="270" t="s">
        <v>3944</v>
      </c>
      <c r="R3541" s="270">
        <v>2059.65</v>
      </c>
      <c r="S3541" s="270">
        <v>26452.35</v>
      </c>
      <c r="T3541" s="270">
        <v>28512</v>
      </c>
      <c r="U3541" s="271" t="s">
        <v>3945</v>
      </c>
      <c r="V3541" s="267" t="s">
        <v>944</v>
      </c>
    </row>
    <row r="3542" spans="1:22" hidden="1" x14ac:dyDescent="0.25">
      <c r="A3542" s="266">
        <v>43643</v>
      </c>
      <c r="B3542" s="267">
        <v>2019</v>
      </c>
      <c r="C3542" s="267">
        <v>2019</v>
      </c>
      <c r="D3542" s="267">
        <v>1</v>
      </c>
      <c r="E3542" s="267">
        <v>1</v>
      </c>
      <c r="F3542" s="267" t="s">
        <v>944</v>
      </c>
      <c r="G3542" s="267" t="s">
        <v>3926</v>
      </c>
      <c r="H3542" s="267" t="s">
        <v>8033</v>
      </c>
      <c r="I3542" s="267" t="s">
        <v>5325</v>
      </c>
      <c r="J3542" s="267" t="s">
        <v>3928</v>
      </c>
      <c r="K3542" s="267">
        <v>6057</v>
      </c>
      <c r="L3542" s="267">
        <v>306100</v>
      </c>
      <c r="M3542" s="267" t="s">
        <v>3943</v>
      </c>
      <c r="N3542" s="267" t="s">
        <v>3944</v>
      </c>
      <c r="O3542" s="267">
        <v>1435.18</v>
      </c>
      <c r="P3542" s="267" t="s">
        <v>3944</v>
      </c>
      <c r="Q3542" s="267" t="s">
        <v>3944</v>
      </c>
      <c r="R3542" s="267">
        <v>1435.18</v>
      </c>
      <c r="S3542" s="267">
        <v>19655.87</v>
      </c>
      <c r="T3542" s="267">
        <v>21091.05</v>
      </c>
      <c r="U3542" s="268" t="s">
        <v>3945</v>
      </c>
      <c r="V3542" s="267" t="s">
        <v>944</v>
      </c>
    </row>
    <row r="3543" spans="1:22" hidden="1" x14ac:dyDescent="0.25">
      <c r="A3543" s="269">
        <v>43643</v>
      </c>
      <c r="B3543" s="270">
        <v>2019</v>
      </c>
      <c r="C3543" s="270">
        <v>2019</v>
      </c>
      <c r="D3543" s="270">
        <v>1</v>
      </c>
      <c r="E3543" s="270">
        <v>1</v>
      </c>
      <c r="F3543" s="270" t="s">
        <v>944</v>
      </c>
      <c r="G3543" s="270" t="s">
        <v>3926</v>
      </c>
      <c r="H3543" s="270" t="s">
        <v>8034</v>
      </c>
      <c r="I3543" s="270" t="s">
        <v>4392</v>
      </c>
      <c r="J3543" s="270" t="s">
        <v>3928</v>
      </c>
      <c r="K3543" s="270">
        <v>6457</v>
      </c>
      <c r="L3543" s="270">
        <v>541500</v>
      </c>
      <c r="M3543" s="270" t="s">
        <v>3940</v>
      </c>
      <c r="N3543" s="270" t="s">
        <v>3944</v>
      </c>
      <c r="O3543" s="270">
        <v>1167.43</v>
      </c>
      <c r="P3543" s="270" t="s">
        <v>3944</v>
      </c>
      <c r="Q3543" s="270" t="s">
        <v>3944</v>
      </c>
      <c r="R3543" s="270">
        <v>1167.43</v>
      </c>
      <c r="S3543" s="270">
        <v>17003.73</v>
      </c>
      <c r="T3543" s="270">
        <v>18171.16</v>
      </c>
      <c r="U3543" s="271" t="s">
        <v>3945</v>
      </c>
      <c r="V3543" s="267" t="s">
        <v>944</v>
      </c>
    </row>
    <row r="3544" spans="1:22" hidden="1" x14ac:dyDescent="0.25">
      <c r="A3544" s="266">
        <v>43643</v>
      </c>
      <c r="B3544" s="267">
        <v>2019</v>
      </c>
      <c r="C3544" s="267">
        <v>2019</v>
      </c>
      <c r="D3544" s="267">
        <v>1</v>
      </c>
      <c r="E3544" s="267">
        <v>1</v>
      </c>
      <c r="F3544" s="267" t="s">
        <v>944</v>
      </c>
      <c r="G3544" s="267" t="s">
        <v>3926</v>
      </c>
      <c r="H3544" s="267" t="s">
        <v>8035</v>
      </c>
      <c r="I3544" s="267" t="s">
        <v>3993</v>
      </c>
      <c r="J3544" s="267" t="s">
        <v>3928</v>
      </c>
      <c r="K3544" s="267">
        <v>6415</v>
      </c>
      <c r="L3544" s="267">
        <v>714104</v>
      </c>
      <c r="M3544" s="267" t="s">
        <v>3960</v>
      </c>
      <c r="N3544" s="267" t="s">
        <v>3944</v>
      </c>
      <c r="O3544" s="267">
        <v>1500.52</v>
      </c>
      <c r="P3544" s="267" t="s">
        <v>3944</v>
      </c>
      <c r="Q3544" s="267" t="s">
        <v>3944</v>
      </c>
      <c r="R3544" s="267">
        <v>1500.52</v>
      </c>
      <c r="S3544" s="267">
        <v>21987.42</v>
      </c>
      <c r="T3544" s="267">
        <v>23487.94</v>
      </c>
      <c r="U3544" s="268" t="s">
        <v>3945</v>
      </c>
      <c r="V3544" s="267" t="s">
        <v>944</v>
      </c>
    </row>
    <row r="3545" spans="1:22" hidden="1" x14ac:dyDescent="0.25">
      <c r="A3545" s="269">
        <v>43643</v>
      </c>
      <c r="B3545" s="270">
        <v>2019</v>
      </c>
      <c r="C3545" s="270">
        <v>2019</v>
      </c>
      <c r="D3545" s="270">
        <v>1</v>
      </c>
      <c r="E3545" s="270">
        <v>1</v>
      </c>
      <c r="F3545" s="270" t="s">
        <v>944</v>
      </c>
      <c r="G3545" s="270" t="s">
        <v>3926</v>
      </c>
      <c r="H3545" s="270" t="s">
        <v>8036</v>
      </c>
      <c r="I3545" s="270" t="s">
        <v>3008</v>
      </c>
      <c r="J3545" s="270" t="s">
        <v>3928</v>
      </c>
      <c r="K3545" s="270">
        <v>6460</v>
      </c>
      <c r="L3545" s="270">
        <v>150200</v>
      </c>
      <c r="M3545" s="270" t="s">
        <v>3935</v>
      </c>
      <c r="N3545" s="270" t="s">
        <v>3944</v>
      </c>
      <c r="O3545" s="270">
        <v>1396.61</v>
      </c>
      <c r="P3545" s="270" t="s">
        <v>3944</v>
      </c>
      <c r="Q3545" s="270" t="s">
        <v>3944</v>
      </c>
      <c r="R3545" s="270">
        <v>1396.61</v>
      </c>
      <c r="S3545" s="270">
        <v>18482.12</v>
      </c>
      <c r="T3545" s="270">
        <v>19878.73</v>
      </c>
      <c r="U3545" s="271" t="s">
        <v>3945</v>
      </c>
      <c r="V3545" s="267" t="s">
        <v>944</v>
      </c>
    </row>
    <row r="3546" spans="1:22" hidden="1" x14ac:dyDescent="0.25">
      <c r="A3546" s="266">
        <v>43644</v>
      </c>
      <c r="B3546" s="267">
        <v>2019</v>
      </c>
      <c r="C3546" s="267">
        <v>2019</v>
      </c>
      <c r="D3546" s="267">
        <v>1</v>
      </c>
      <c r="E3546" s="267">
        <v>1</v>
      </c>
      <c r="F3546" s="267" t="s">
        <v>944</v>
      </c>
      <c r="G3546" s="267" t="s">
        <v>3926</v>
      </c>
      <c r="H3546" s="267" t="s">
        <v>8037</v>
      </c>
      <c r="I3546" s="267" t="s">
        <v>3975</v>
      </c>
      <c r="J3546" s="267" t="s">
        <v>3928</v>
      </c>
      <c r="K3546" s="267">
        <v>6489</v>
      </c>
      <c r="L3546" s="267">
        <v>430201</v>
      </c>
      <c r="M3546" s="267" t="s">
        <v>3960</v>
      </c>
      <c r="N3546" s="267" t="s">
        <v>8038</v>
      </c>
      <c r="O3546" s="267">
        <v>0</v>
      </c>
      <c r="P3546" s="267" t="s">
        <v>3930</v>
      </c>
      <c r="Q3546" s="267" t="s">
        <v>3930</v>
      </c>
      <c r="R3546" s="267">
        <v>0</v>
      </c>
      <c r="S3546" s="267">
        <v>11212.83</v>
      </c>
      <c r="T3546" s="267">
        <v>11212.83</v>
      </c>
      <c r="U3546" s="268" t="s">
        <v>3937</v>
      </c>
      <c r="V3546" s="267" t="s">
        <v>944</v>
      </c>
    </row>
    <row r="3547" spans="1:22" hidden="1" x14ac:dyDescent="0.25">
      <c r="A3547" s="269">
        <v>43644</v>
      </c>
      <c r="B3547" s="270">
        <v>2019</v>
      </c>
      <c r="C3547" s="270">
        <v>2019</v>
      </c>
      <c r="D3547" s="270">
        <v>1</v>
      </c>
      <c r="E3547" s="270">
        <v>1</v>
      </c>
      <c r="F3547" s="270" t="s">
        <v>944</v>
      </c>
      <c r="G3547" s="270" t="s">
        <v>3926</v>
      </c>
      <c r="H3547" s="270" t="s">
        <v>8039</v>
      </c>
      <c r="I3547" s="270" t="s">
        <v>6426</v>
      </c>
      <c r="J3547" s="270" t="s">
        <v>3928</v>
      </c>
      <c r="K3547" s="270">
        <v>6422</v>
      </c>
      <c r="L3547" s="270">
        <v>585100</v>
      </c>
      <c r="M3547" s="270" t="s">
        <v>3943</v>
      </c>
      <c r="N3547" s="270" t="s">
        <v>8040</v>
      </c>
      <c r="O3547" s="270">
        <v>0</v>
      </c>
      <c r="P3547" s="270" t="s">
        <v>3930</v>
      </c>
      <c r="Q3547" s="270" t="s">
        <v>3930</v>
      </c>
      <c r="R3547" s="270">
        <v>0</v>
      </c>
      <c r="S3547" s="270">
        <v>14385</v>
      </c>
      <c r="T3547" s="270">
        <v>14385</v>
      </c>
      <c r="U3547" s="271" t="s">
        <v>3937</v>
      </c>
      <c r="V3547" s="267" t="s">
        <v>944</v>
      </c>
    </row>
    <row r="3548" spans="1:22" x14ac:dyDescent="0.25">
      <c r="A3548" s="266">
        <v>43644</v>
      </c>
      <c r="B3548" s="267">
        <v>2019</v>
      </c>
      <c r="C3548" s="267">
        <v>2019</v>
      </c>
      <c r="D3548" s="267">
        <v>1</v>
      </c>
      <c r="E3548" s="267">
        <v>1</v>
      </c>
      <c r="F3548" s="267" t="s">
        <v>944</v>
      </c>
      <c r="G3548" s="267" t="s">
        <v>3926</v>
      </c>
      <c r="H3548" s="267" t="s">
        <v>8041</v>
      </c>
      <c r="I3548" s="267" t="s">
        <v>953</v>
      </c>
      <c r="J3548" s="267" t="s">
        <v>3928</v>
      </c>
      <c r="K3548" s="267">
        <v>6514</v>
      </c>
      <c r="L3548" s="267">
        <v>165500</v>
      </c>
      <c r="M3548" s="267">
        <v>-60</v>
      </c>
      <c r="N3548" s="267" t="s">
        <v>4103</v>
      </c>
      <c r="O3548" s="267">
        <v>4168.26</v>
      </c>
      <c r="P3548" s="267" t="s">
        <v>3930</v>
      </c>
      <c r="Q3548" s="267" t="s">
        <v>3931</v>
      </c>
      <c r="R3548" s="267">
        <v>9168.26</v>
      </c>
      <c r="S3548" s="267">
        <v>24145.599999999999</v>
      </c>
      <c r="T3548" s="267">
        <v>33313.86</v>
      </c>
      <c r="U3548" s="268" t="s">
        <v>3932</v>
      </c>
      <c r="V3548" s="276" t="s">
        <v>936</v>
      </c>
    </row>
    <row r="3549" spans="1:22" hidden="1" x14ac:dyDescent="0.25">
      <c r="A3549" s="269">
        <v>43644</v>
      </c>
      <c r="B3549" s="270">
        <v>2019</v>
      </c>
      <c r="C3549" s="270">
        <v>2019</v>
      </c>
      <c r="D3549" s="270">
        <v>1</v>
      </c>
      <c r="E3549" s="270">
        <v>1</v>
      </c>
      <c r="F3549" s="270" t="s">
        <v>944</v>
      </c>
      <c r="G3549" s="270" t="s">
        <v>3926</v>
      </c>
      <c r="H3549" s="270" t="s">
        <v>8042</v>
      </c>
      <c r="I3549" s="270" t="s">
        <v>934</v>
      </c>
      <c r="J3549" s="270" t="s">
        <v>3928</v>
      </c>
      <c r="K3549" s="270">
        <v>6606</v>
      </c>
      <c r="L3549" s="270">
        <v>72800</v>
      </c>
      <c r="M3549" s="270" t="s">
        <v>3940</v>
      </c>
      <c r="N3549" s="270" t="s">
        <v>7939</v>
      </c>
      <c r="O3549" s="270">
        <v>2422.6</v>
      </c>
      <c r="P3549" s="270" t="s">
        <v>3930</v>
      </c>
      <c r="Q3549" s="270" t="s">
        <v>3931</v>
      </c>
      <c r="R3549" s="270">
        <v>7422.6</v>
      </c>
      <c r="S3549" s="270">
        <v>29542</v>
      </c>
      <c r="T3549" s="270">
        <v>36964.6</v>
      </c>
      <c r="U3549" s="271" t="s">
        <v>3932</v>
      </c>
      <c r="V3549" s="267" t="s">
        <v>944</v>
      </c>
    </row>
    <row r="3550" spans="1:22" hidden="1" x14ac:dyDescent="0.25">
      <c r="A3550" s="266">
        <v>43644</v>
      </c>
      <c r="B3550" s="267">
        <v>2019</v>
      </c>
      <c r="C3550" s="267">
        <v>2019</v>
      </c>
      <c r="D3550" s="267">
        <v>1</v>
      </c>
      <c r="E3550" s="267">
        <v>1</v>
      </c>
      <c r="F3550" s="267" t="s">
        <v>944</v>
      </c>
      <c r="G3550" s="267" t="s">
        <v>3926</v>
      </c>
      <c r="H3550" s="267" t="s">
        <v>8043</v>
      </c>
      <c r="I3550" s="267" t="s">
        <v>3008</v>
      </c>
      <c r="J3550" s="267" t="s">
        <v>3928</v>
      </c>
      <c r="K3550" s="267">
        <v>6461</v>
      </c>
      <c r="L3550" s="267">
        <v>150600</v>
      </c>
      <c r="M3550" s="267" t="s">
        <v>3960</v>
      </c>
      <c r="N3550" s="267" t="s">
        <v>8044</v>
      </c>
      <c r="O3550" s="267">
        <v>0</v>
      </c>
      <c r="P3550" s="267" t="s">
        <v>3930</v>
      </c>
      <c r="Q3550" s="267" t="s">
        <v>3930</v>
      </c>
      <c r="R3550" s="267">
        <v>0</v>
      </c>
      <c r="S3550" s="267">
        <v>10535</v>
      </c>
      <c r="T3550" s="267">
        <v>10535</v>
      </c>
      <c r="U3550" s="268" t="s">
        <v>3937</v>
      </c>
      <c r="V3550" s="267" t="s">
        <v>944</v>
      </c>
    </row>
    <row r="3551" spans="1:22" hidden="1" x14ac:dyDescent="0.25">
      <c r="A3551" s="269">
        <v>43644</v>
      </c>
      <c r="B3551" s="270">
        <v>2019</v>
      </c>
      <c r="C3551" s="270">
        <v>2019</v>
      </c>
      <c r="D3551" s="270">
        <v>1</v>
      </c>
      <c r="E3551" s="270">
        <v>1</v>
      </c>
      <c r="F3551" s="270" t="s">
        <v>944</v>
      </c>
      <c r="G3551" s="270" t="s">
        <v>3926</v>
      </c>
      <c r="H3551" s="270" t="s">
        <v>8045</v>
      </c>
      <c r="I3551" s="270" t="s">
        <v>4323</v>
      </c>
      <c r="J3551" s="270" t="s">
        <v>3928</v>
      </c>
      <c r="K3551" s="270">
        <v>6375</v>
      </c>
      <c r="L3551" s="270">
        <v>693700</v>
      </c>
      <c r="M3551" s="270" t="s">
        <v>3943</v>
      </c>
      <c r="N3551" s="270" t="s">
        <v>3944</v>
      </c>
      <c r="O3551" s="270">
        <v>2980</v>
      </c>
      <c r="P3551" s="270" t="s">
        <v>3944</v>
      </c>
      <c r="Q3551" s="270" t="s">
        <v>3944</v>
      </c>
      <c r="R3551" s="270">
        <v>2980</v>
      </c>
      <c r="S3551" s="270">
        <v>24294.5</v>
      </c>
      <c r="T3551" s="270">
        <v>27274.5</v>
      </c>
      <c r="U3551" s="271" t="s">
        <v>3945</v>
      </c>
      <c r="V3551" s="267" t="s">
        <v>944</v>
      </c>
    </row>
    <row r="3552" spans="1:22" hidden="1" x14ac:dyDescent="0.25">
      <c r="A3552" s="266">
        <v>43644</v>
      </c>
      <c r="B3552" s="267">
        <v>2019</v>
      </c>
      <c r="C3552" s="267">
        <v>2019</v>
      </c>
      <c r="D3552" s="267">
        <v>1</v>
      </c>
      <c r="E3552" s="267">
        <v>1</v>
      </c>
      <c r="F3552" s="267" t="s">
        <v>944</v>
      </c>
      <c r="G3552" s="267" t="s">
        <v>3997</v>
      </c>
      <c r="H3552" s="267" t="s">
        <v>8046</v>
      </c>
      <c r="I3552" s="267" t="s">
        <v>950</v>
      </c>
      <c r="J3552" s="267" t="s">
        <v>3928</v>
      </c>
      <c r="K3552" s="267">
        <v>6516</v>
      </c>
      <c r="L3552" s="267">
        <v>154700</v>
      </c>
      <c r="M3552" s="267" t="s">
        <v>3960</v>
      </c>
      <c r="N3552" s="267" t="s">
        <v>3944</v>
      </c>
      <c r="O3552" s="267">
        <v>3682.32</v>
      </c>
      <c r="P3552" s="267" t="s">
        <v>3944</v>
      </c>
      <c r="Q3552" s="267" t="s">
        <v>3944</v>
      </c>
      <c r="R3552" s="267">
        <v>3682.32</v>
      </c>
      <c r="S3552" s="267">
        <v>51770.28</v>
      </c>
      <c r="T3552" s="267">
        <v>55452.6</v>
      </c>
      <c r="U3552" s="268" t="s">
        <v>3945</v>
      </c>
      <c r="V3552" s="267" t="s">
        <v>944</v>
      </c>
    </row>
    <row r="3553" spans="1:22" hidden="1" x14ac:dyDescent="0.25">
      <c r="A3553" s="269">
        <v>43644</v>
      </c>
      <c r="B3553" s="270">
        <v>2019</v>
      </c>
      <c r="C3553" s="270">
        <v>2019</v>
      </c>
      <c r="D3553" s="270">
        <v>1</v>
      </c>
      <c r="E3553" s="270">
        <v>1</v>
      </c>
      <c r="F3553" s="270" t="s">
        <v>944</v>
      </c>
      <c r="G3553" s="270" t="s">
        <v>3926</v>
      </c>
      <c r="H3553" s="270" t="s">
        <v>8047</v>
      </c>
      <c r="I3553" s="270" t="s">
        <v>4062</v>
      </c>
      <c r="J3553" s="270" t="s">
        <v>3928</v>
      </c>
      <c r="K3553" s="270">
        <v>6763</v>
      </c>
      <c r="L3553" s="270">
        <v>303100</v>
      </c>
      <c r="M3553" s="270" t="s">
        <v>3960</v>
      </c>
      <c r="N3553" s="270" t="s">
        <v>3944</v>
      </c>
      <c r="O3553" s="270">
        <v>1757</v>
      </c>
      <c r="P3553" s="270" t="s">
        <v>3944</v>
      </c>
      <c r="Q3553" s="270" t="s">
        <v>3944</v>
      </c>
      <c r="R3553" s="270">
        <v>1757</v>
      </c>
      <c r="S3553" s="270">
        <v>36193</v>
      </c>
      <c r="T3553" s="270">
        <v>37950</v>
      </c>
      <c r="U3553" s="271" t="s">
        <v>3945</v>
      </c>
      <c r="V3553" s="267" t="s">
        <v>944</v>
      </c>
    </row>
    <row r="3554" spans="1:22" hidden="1" x14ac:dyDescent="0.25">
      <c r="A3554" s="266">
        <v>43644</v>
      </c>
      <c r="B3554" s="267">
        <v>2019</v>
      </c>
      <c r="C3554" s="267">
        <v>2019</v>
      </c>
      <c r="D3554" s="267">
        <v>1</v>
      </c>
      <c r="E3554" s="267">
        <v>1</v>
      </c>
      <c r="F3554" s="267" t="s">
        <v>944</v>
      </c>
      <c r="G3554" s="267" t="s">
        <v>3997</v>
      </c>
      <c r="H3554" s="267" t="s">
        <v>8048</v>
      </c>
      <c r="I3554" s="267" t="s">
        <v>3956</v>
      </c>
      <c r="J3554" s="267" t="s">
        <v>3928</v>
      </c>
      <c r="K3554" s="267">
        <v>6106</v>
      </c>
      <c r="L3554" s="267">
        <v>524700</v>
      </c>
      <c r="M3554" s="267" t="s">
        <v>3935</v>
      </c>
      <c r="N3554" s="267" t="s">
        <v>3944</v>
      </c>
      <c r="O3554" s="267">
        <v>1946.84</v>
      </c>
      <c r="P3554" s="267" t="s">
        <v>3944</v>
      </c>
      <c r="Q3554" s="267" t="s">
        <v>3944</v>
      </c>
      <c r="R3554" s="267">
        <v>1946.84</v>
      </c>
      <c r="S3554" s="267">
        <v>30913.96</v>
      </c>
      <c r="T3554" s="267">
        <v>32860.800000000003</v>
      </c>
      <c r="U3554" s="268" t="s">
        <v>3945</v>
      </c>
      <c r="V3554" s="267" t="s">
        <v>944</v>
      </c>
    </row>
    <row r="3555" spans="1:22" hidden="1" x14ac:dyDescent="0.25">
      <c r="A3555" s="269">
        <v>43644</v>
      </c>
      <c r="B3555" s="270">
        <v>2019</v>
      </c>
      <c r="C3555" s="270">
        <v>2019</v>
      </c>
      <c r="D3555" s="270">
        <v>1</v>
      </c>
      <c r="E3555" s="270">
        <v>1</v>
      </c>
      <c r="F3555" s="270" t="s">
        <v>944</v>
      </c>
      <c r="G3555" s="270" t="s">
        <v>3926</v>
      </c>
      <c r="H3555" s="270" t="s">
        <v>8049</v>
      </c>
      <c r="I3555" s="270" t="s">
        <v>5127</v>
      </c>
      <c r="J3555" s="270" t="s">
        <v>3928</v>
      </c>
      <c r="K3555" s="270">
        <v>6759</v>
      </c>
      <c r="L3555" s="270">
        <v>300500</v>
      </c>
      <c r="M3555" s="270" t="s">
        <v>3935</v>
      </c>
      <c r="N3555" s="270" t="s">
        <v>3944</v>
      </c>
      <c r="O3555" s="270">
        <v>988.65</v>
      </c>
      <c r="P3555" s="270" t="s">
        <v>3944</v>
      </c>
      <c r="Q3555" s="270" t="s">
        <v>3944</v>
      </c>
      <c r="R3555" s="270">
        <v>988.65</v>
      </c>
      <c r="S3555" s="270">
        <v>15943.19</v>
      </c>
      <c r="T3555" s="270">
        <v>16931.84</v>
      </c>
      <c r="U3555" s="271" t="s">
        <v>3945</v>
      </c>
      <c r="V3555" s="267" t="s">
        <v>944</v>
      </c>
    </row>
    <row r="3556" spans="1:22" hidden="1" x14ac:dyDescent="0.25">
      <c r="A3556" s="266">
        <v>43644</v>
      </c>
      <c r="B3556" s="267">
        <v>2019</v>
      </c>
      <c r="C3556" s="267">
        <v>2019</v>
      </c>
      <c r="D3556" s="267">
        <v>1</v>
      </c>
      <c r="E3556" s="267">
        <v>1</v>
      </c>
      <c r="F3556" s="267" t="s">
        <v>944</v>
      </c>
      <c r="G3556" s="267" t="s">
        <v>3926</v>
      </c>
      <c r="H3556" s="267" t="s">
        <v>8050</v>
      </c>
      <c r="I3556" s="267" t="s">
        <v>3939</v>
      </c>
      <c r="J3556" s="267" t="s">
        <v>3928</v>
      </c>
      <c r="K3556" s="267">
        <v>6512</v>
      </c>
      <c r="L3556" s="267">
        <v>180601</v>
      </c>
      <c r="M3556" s="267" t="s">
        <v>3940</v>
      </c>
      <c r="N3556" s="267" t="s">
        <v>3944</v>
      </c>
      <c r="O3556" s="267">
        <v>1513.79</v>
      </c>
      <c r="P3556" s="267" t="s">
        <v>3944</v>
      </c>
      <c r="Q3556" s="267" t="s">
        <v>3944</v>
      </c>
      <c r="R3556" s="267">
        <v>1513.79</v>
      </c>
      <c r="S3556" s="267">
        <v>17236.900000000001</v>
      </c>
      <c r="T3556" s="267">
        <v>18750.689999999999</v>
      </c>
      <c r="U3556" s="268" t="s">
        <v>3945</v>
      </c>
      <c r="V3556" s="267" t="s">
        <v>944</v>
      </c>
    </row>
    <row r="3557" spans="1:22" hidden="1" x14ac:dyDescent="0.25">
      <c r="A3557" s="269">
        <v>43644</v>
      </c>
      <c r="B3557" s="270">
        <v>2019</v>
      </c>
      <c r="C3557" s="270">
        <v>2019</v>
      </c>
      <c r="D3557" s="270">
        <v>1</v>
      </c>
      <c r="E3557" s="270">
        <v>1</v>
      </c>
      <c r="F3557" s="270" t="s">
        <v>944</v>
      </c>
      <c r="G3557" s="270" t="s">
        <v>3926</v>
      </c>
      <c r="H3557" s="270" t="s">
        <v>8051</v>
      </c>
      <c r="I3557" s="270" t="s">
        <v>4019</v>
      </c>
      <c r="J3557" s="270" t="s">
        <v>3928</v>
      </c>
      <c r="K3557" s="270">
        <v>6706</v>
      </c>
      <c r="L3557" s="270">
        <v>351500</v>
      </c>
      <c r="M3557" s="270" t="s">
        <v>3940</v>
      </c>
      <c r="N3557" s="270" t="s">
        <v>3944</v>
      </c>
      <c r="O3557" s="270">
        <v>1591.35</v>
      </c>
      <c r="P3557" s="270" t="s">
        <v>3944</v>
      </c>
      <c r="Q3557" s="270" t="s">
        <v>3944</v>
      </c>
      <c r="R3557" s="270">
        <v>1591.35</v>
      </c>
      <c r="S3557" s="270">
        <v>21326.16</v>
      </c>
      <c r="T3557" s="270">
        <v>22917.51</v>
      </c>
      <c r="U3557" s="271" t="s">
        <v>3945</v>
      </c>
      <c r="V3557" s="267" t="s">
        <v>944</v>
      </c>
    </row>
    <row r="3558" spans="1:22" hidden="1" x14ac:dyDescent="0.25">
      <c r="A3558" s="266">
        <v>43644</v>
      </c>
      <c r="B3558" s="267">
        <v>2019</v>
      </c>
      <c r="C3558" s="267">
        <v>2019</v>
      </c>
      <c r="D3558" s="267">
        <v>1</v>
      </c>
      <c r="E3558" s="267">
        <v>1</v>
      </c>
      <c r="F3558" s="267" t="s">
        <v>944</v>
      </c>
      <c r="G3558" s="267" t="s">
        <v>3926</v>
      </c>
      <c r="H3558" s="267" t="s">
        <v>8052</v>
      </c>
      <c r="I3558" s="267" t="s">
        <v>3968</v>
      </c>
      <c r="J3558" s="267" t="s">
        <v>3928</v>
      </c>
      <c r="K3558" s="267">
        <v>6040</v>
      </c>
      <c r="L3558" s="267">
        <v>515102</v>
      </c>
      <c r="M3558" s="267" t="s">
        <v>3935</v>
      </c>
      <c r="N3558" s="267" t="s">
        <v>3944</v>
      </c>
      <c r="O3558" s="267">
        <v>2414.7199999999998</v>
      </c>
      <c r="P3558" s="267" t="s">
        <v>3944</v>
      </c>
      <c r="Q3558" s="267" t="s">
        <v>3944</v>
      </c>
      <c r="R3558" s="267">
        <v>2414.7199999999998</v>
      </c>
      <c r="S3558" s="267">
        <v>36740.160000000003</v>
      </c>
      <c r="T3558" s="267">
        <v>39154.879999999997</v>
      </c>
      <c r="U3558" s="268" t="s">
        <v>3945</v>
      </c>
      <c r="V3558" s="267" t="s">
        <v>944</v>
      </c>
    </row>
    <row r="3559" spans="1:22" hidden="1" x14ac:dyDescent="0.25">
      <c r="A3559" s="269">
        <v>43644</v>
      </c>
      <c r="B3559" s="270">
        <v>2019</v>
      </c>
      <c r="C3559" s="270">
        <v>2019</v>
      </c>
      <c r="D3559" s="270">
        <v>1</v>
      </c>
      <c r="E3559" s="270">
        <v>1</v>
      </c>
      <c r="F3559" s="270" t="s">
        <v>944</v>
      </c>
      <c r="G3559" s="270" t="s">
        <v>3926</v>
      </c>
      <c r="H3559" s="270" t="s">
        <v>8053</v>
      </c>
      <c r="I3559" s="270" t="s">
        <v>4011</v>
      </c>
      <c r="J3559" s="270" t="s">
        <v>3928</v>
      </c>
      <c r="K3559" s="270">
        <v>6002</v>
      </c>
      <c r="L3559" s="270">
        <v>471100</v>
      </c>
      <c r="M3559" s="270" t="s">
        <v>3935</v>
      </c>
      <c r="N3559" s="270" t="s">
        <v>3944</v>
      </c>
      <c r="O3559" s="270">
        <v>988.44</v>
      </c>
      <c r="P3559" s="270" t="s">
        <v>3944</v>
      </c>
      <c r="Q3559" s="270" t="s">
        <v>3944</v>
      </c>
      <c r="R3559" s="270">
        <v>988.44</v>
      </c>
      <c r="S3559" s="270">
        <v>11512.02</v>
      </c>
      <c r="T3559" s="270">
        <v>12500.46</v>
      </c>
      <c r="U3559" s="271" t="s">
        <v>3945</v>
      </c>
      <c r="V3559" s="267" t="s">
        <v>944</v>
      </c>
    </row>
    <row r="3560" spans="1:22" hidden="1" x14ac:dyDescent="0.25">
      <c r="A3560" s="266">
        <v>43644</v>
      </c>
      <c r="B3560" s="267">
        <v>2019</v>
      </c>
      <c r="C3560" s="267">
        <v>2019</v>
      </c>
      <c r="D3560" s="267">
        <v>1</v>
      </c>
      <c r="E3560" s="267">
        <v>1</v>
      </c>
      <c r="F3560" s="267" t="s">
        <v>944</v>
      </c>
      <c r="G3560" s="267" t="s">
        <v>3926</v>
      </c>
      <c r="H3560" s="267" t="s">
        <v>8054</v>
      </c>
      <c r="I3560" s="267" t="s">
        <v>3008</v>
      </c>
      <c r="J3560" s="267" t="s">
        <v>3928</v>
      </c>
      <c r="K3560" s="267">
        <v>6460</v>
      </c>
      <c r="L3560" s="267">
        <v>150900</v>
      </c>
      <c r="M3560" s="267" t="s">
        <v>3943</v>
      </c>
      <c r="N3560" s="267" t="s">
        <v>3944</v>
      </c>
      <c r="O3560" s="267">
        <v>1530.59</v>
      </c>
      <c r="P3560" s="267" t="s">
        <v>3944</v>
      </c>
      <c r="Q3560" s="267" t="s">
        <v>3944</v>
      </c>
      <c r="R3560" s="267">
        <v>1530.59</v>
      </c>
      <c r="S3560" s="267">
        <v>22428.639999999999</v>
      </c>
      <c r="T3560" s="267">
        <v>23959.23</v>
      </c>
      <c r="U3560" s="268" t="s">
        <v>3945</v>
      </c>
      <c r="V3560" s="267" t="s">
        <v>944</v>
      </c>
    </row>
    <row r="3561" spans="1:22" hidden="1" x14ac:dyDescent="0.25">
      <c r="A3561" s="269">
        <v>43644</v>
      </c>
      <c r="B3561" s="270">
        <v>2019</v>
      </c>
      <c r="C3561" s="270">
        <v>2019</v>
      </c>
      <c r="D3561" s="270">
        <v>1</v>
      </c>
      <c r="E3561" s="270">
        <v>1</v>
      </c>
      <c r="F3561" s="270" t="s">
        <v>944</v>
      </c>
      <c r="G3561" s="270" t="s">
        <v>3926</v>
      </c>
      <c r="H3561" s="270" t="s">
        <v>8055</v>
      </c>
      <c r="I3561" s="270" t="s">
        <v>956</v>
      </c>
      <c r="J3561" s="270" t="s">
        <v>3928</v>
      </c>
      <c r="K3561" s="270">
        <v>6615</v>
      </c>
      <c r="L3561" s="270">
        <v>80500</v>
      </c>
      <c r="M3561" s="270" t="s">
        <v>3960</v>
      </c>
      <c r="N3561" s="270" t="s">
        <v>3944</v>
      </c>
      <c r="O3561" s="270">
        <v>1411.94</v>
      </c>
      <c r="P3561" s="270" t="s">
        <v>3944</v>
      </c>
      <c r="Q3561" s="270" t="s">
        <v>3944</v>
      </c>
      <c r="R3561" s="270">
        <v>1411.94</v>
      </c>
      <c r="S3561" s="270">
        <v>20463.88</v>
      </c>
      <c r="T3561" s="270">
        <v>21875.82</v>
      </c>
      <c r="U3561" s="271" t="s">
        <v>3945</v>
      </c>
      <c r="V3561" s="267" t="s">
        <v>944</v>
      </c>
    </row>
    <row r="3562" spans="1:22" hidden="1" x14ac:dyDescent="0.25">
      <c r="A3562" s="266">
        <v>43644</v>
      </c>
      <c r="B3562" s="267">
        <v>2019</v>
      </c>
      <c r="C3562" s="267">
        <v>2019</v>
      </c>
      <c r="D3562" s="267">
        <v>1</v>
      </c>
      <c r="E3562" s="267">
        <v>1</v>
      </c>
      <c r="F3562" s="267" t="s">
        <v>944</v>
      </c>
      <c r="G3562" s="267" t="s">
        <v>3926</v>
      </c>
      <c r="H3562" s="267" t="s">
        <v>8056</v>
      </c>
      <c r="I3562" s="267" t="s">
        <v>4422</v>
      </c>
      <c r="J3562" s="267" t="s">
        <v>3928</v>
      </c>
      <c r="K3562" s="267">
        <v>6801</v>
      </c>
      <c r="L3562" s="267">
        <v>200301</v>
      </c>
      <c r="M3562" s="267" t="s">
        <v>3943</v>
      </c>
      <c r="N3562" s="267" t="s">
        <v>3944</v>
      </c>
      <c r="O3562" s="267">
        <v>2676.45</v>
      </c>
      <c r="P3562" s="267" t="s">
        <v>3944</v>
      </c>
      <c r="Q3562" s="267" t="s">
        <v>3944</v>
      </c>
      <c r="R3562" s="267">
        <v>2676.45</v>
      </c>
      <c r="S3562" s="267">
        <v>40033.47</v>
      </c>
      <c r="T3562" s="267">
        <v>42709.919999999998</v>
      </c>
      <c r="U3562" s="268" t="s">
        <v>3945</v>
      </c>
      <c r="V3562" s="267" t="s">
        <v>944</v>
      </c>
    </row>
    <row r="3563" spans="1:22" hidden="1" x14ac:dyDescent="0.25">
      <c r="A3563" s="269">
        <v>43644</v>
      </c>
      <c r="B3563" s="270">
        <v>2019</v>
      </c>
      <c r="C3563" s="270">
        <v>2019</v>
      </c>
      <c r="D3563" s="270">
        <v>1</v>
      </c>
      <c r="E3563" s="270">
        <v>1</v>
      </c>
      <c r="F3563" s="270" t="s">
        <v>944</v>
      </c>
      <c r="G3563" s="270" t="s">
        <v>3926</v>
      </c>
      <c r="H3563" s="270" t="s">
        <v>8057</v>
      </c>
      <c r="I3563" s="270" t="s">
        <v>4029</v>
      </c>
      <c r="J3563" s="270" t="s">
        <v>3928</v>
      </c>
      <c r="K3563" s="270">
        <v>6851</v>
      </c>
      <c r="L3563" s="270">
        <v>42800</v>
      </c>
      <c r="M3563" s="270" t="s">
        <v>3960</v>
      </c>
      <c r="N3563" s="270" t="s">
        <v>3944</v>
      </c>
      <c r="O3563" s="270">
        <v>1040.52</v>
      </c>
      <c r="P3563" s="270" t="s">
        <v>3944</v>
      </c>
      <c r="Q3563" s="270" t="s">
        <v>3944</v>
      </c>
      <c r="R3563" s="270">
        <v>1040.52</v>
      </c>
      <c r="S3563" s="270">
        <v>15626.76</v>
      </c>
      <c r="T3563" s="270">
        <v>16667.28</v>
      </c>
      <c r="U3563" s="271" t="s">
        <v>3945</v>
      </c>
      <c r="V3563" s="267" t="s">
        <v>944</v>
      </c>
    </row>
    <row r="3564" spans="1:22" hidden="1" x14ac:dyDescent="0.25">
      <c r="A3564" s="266">
        <v>43644</v>
      </c>
      <c r="B3564" s="267">
        <v>2019</v>
      </c>
      <c r="C3564" s="267">
        <v>2019</v>
      </c>
      <c r="D3564" s="267">
        <v>1</v>
      </c>
      <c r="E3564" s="267">
        <v>1</v>
      </c>
      <c r="F3564" s="267" t="s">
        <v>944</v>
      </c>
      <c r="G3564" s="267" t="s">
        <v>3926</v>
      </c>
      <c r="H3564" s="267" t="s">
        <v>8058</v>
      </c>
      <c r="I3564" s="267" t="s">
        <v>4490</v>
      </c>
      <c r="J3564" s="267" t="s">
        <v>3928</v>
      </c>
      <c r="K3564" s="267">
        <v>6442</v>
      </c>
      <c r="L3564" s="267">
        <v>630100</v>
      </c>
      <c r="M3564" s="267" t="s">
        <v>3960</v>
      </c>
      <c r="N3564" s="267" t="s">
        <v>8059</v>
      </c>
      <c r="O3564" s="267"/>
      <c r="P3564" s="267" t="s">
        <v>3944</v>
      </c>
      <c r="Q3564" s="267" t="s">
        <v>8059</v>
      </c>
      <c r="R3564" s="267">
        <v>1109922.68</v>
      </c>
      <c r="S3564" s="267">
        <v>40000</v>
      </c>
      <c r="T3564" s="267">
        <v>1149922.68</v>
      </c>
      <c r="U3564" s="268" t="s">
        <v>4099</v>
      </c>
      <c r="V3564" s="267" t="s">
        <v>944</v>
      </c>
    </row>
    <row r="3565" spans="1:22" hidden="1" x14ac:dyDescent="0.25">
      <c r="A3565" s="269">
        <v>43644</v>
      </c>
      <c r="B3565" s="270">
        <v>2019</v>
      </c>
      <c r="C3565" s="270">
        <v>2019</v>
      </c>
      <c r="D3565" s="270">
        <v>1</v>
      </c>
      <c r="E3565" s="270">
        <v>1</v>
      </c>
      <c r="F3565" s="270" t="s">
        <v>944</v>
      </c>
      <c r="G3565" s="270" t="s">
        <v>3926</v>
      </c>
      <c r="H3565" s="270" t="s">
        <v>8060</v>
      </c>
      <c r="I3565" s="270" t="s">
        <v>4114</v>
      </c>
      <c r="J3565" s="270" t="s">
        <v>3928</v>
      </c>
      <c r="K3565" s="270">
        <v>6410</v>
      </c>
      <c r="L3565" s="270">
        <v>343300</v>
      </c>
      <c r="M3565" s="270" t="s">
        <v>3943</v>
      </c>
      <c r="N3565" s="270" t="s">
        <v>3944</v>
      </c>
      <c r="O3565" s="270">
        <v>1720.99</v>
      </c>
      <c r="P3565" s="270" t="s">
        <v>3944</v>
      </c>
      <c r="Q3565" s="270" t="s">
        <v>3944</v>
      </c>
      <c r="R3565" s="270">
        <v>1720.99</v>
      </c>
      <c r="S3565" s="270">
        <v>28488.47</v>
      </c>
      <c r="T3565" s="270">
        <v>30209.46</v>
      </c>
      <c r="U3565" s="271" t="s">
        <v>3945</v>
      </c>
      <c r="V3565" s="267" t="s">
        <v>944</v>
      </c>
    </row>
    <row r="3566" spans="1:22" hidden="1" x14ac:dyDescent="0.25">
      <c r="A3566" s="266">
        <v>43645</v>
      </c>
      <c r="B3566" s="267">
        <v>2019</v>
      </c>
      <c r="C3566" s="267">
        <v>2019</v>
      </c>
      <c r="D3566" s="267">
        <v>1</v>
      </c>
      <c r="E3566" s="267">
        <v>1</v>
      </c>
      <c r="F3566" s="267" t="s">
        <v>944</v>
      </c>
      <c r="G3566" s="267" t="s">
        <v>3926</v>
      </c>
      <c r="H3566" s="267" t="s">
        <v>8061</v>
      </c>
      <c r="I3566" s="267" t="s">
        <v>4094</v>
      </c>
      <c r="J3566" s="267" t="s">
        <v>3928</v>
      </c>
      <c r="K3566" s="267">
        <v>6096</v>
      </c>
      <c r="L3566" s="267">
        <v>476200</v>
      </c>
      <c r="M3566" s="267" t="s">
        <v>3935</v>
      </c>
      <c r="N3566" s="267" t="s">
        <v>5725</v>
      </c>
      <c r="O3566" s="267">
        <v>0</v>
      </c>
      <c r="P3566" s="267" t="s">
        <v>3930</v>
      </c>
      <c r="Q3566" s="267" t="s">
        <v>3930</v>
      </c>
      <c r="R3566" s="267">
        <v>0</v>
      </c>
      <c r="S3566" s="267">
        <v>6000</v>
      </c>
      <c r="T3566" s="267">
        <v>6000</v>
      </c>
      <c r="U3566" s="268" t="s">
        <v>3937</v>
      </c>
      <c r="V3566" s="267" t="s">
        <v>944</v>
      </c>
    </row>
    <row r="3567" spans="1:22" hidden="1" x14ac:dyDescent="0.25">
      <c r="A3567" s="269">
        <v>43646</v>
      </c>
      <c r="B3567" s="270">
        <v>2019</v>
      </c>
      <c r="C3567" s="270">
        <v>2019</v>
      </c>
      <c r="D3567" s="270">
        <v>1</v>
      </c>
      <c r="E3567" s="270">
        <v>1</v>
      </c>
      <c r="F3567" s="270" t="s">
        <v>944</v>
      </c>
      <c r="G3567" s="270" t="s">
        <v>3926</v>
      </c>
      <c r="H3567" s="270" t="s">
        <v>8062</v>
      </c>
      <c r="I3567" s="270" t="s">
        <v>4269</v>
      </c>
      <c r="J3567" s="270" t="s">
        <v>3928</v>
      </c>
      <c r="K3567" s="270">
        <v>6110</v>
      </c>
      <c r="L3567" s="270">
        <v>496800</v>
      </c>
      <c r="M3567" s="270" t="s">
        <v>3935</v>
      </c>
      <c r="N3567" s="270" t="s">
        <v>4209</v>
      </c>
      <c r="O3567" s="270">
        <v>0</v>
      </c>
      <c r="P3567" s="270" t="s">
        <v>3930</v>
      </c>
      <c r="Q3567" s="270" t="s">
        <v>3930</v>
      </c>
      <c r="R3567" s="270">
        <v>0</v>
      </c>
      <c r="S3567" s="270">
        <v>9100</v>
      </c>
      <c r="T3567" s="270">
        <v>9100</v>
      </c>
      <c r="U3567" s="271" t="s">
        <v>3937</v>
      </c>
      <c r="V3567" s="267" t="s">
        <v>944</v>
      </c>
    </row>
    <row r="3568" spans="1:22" x14ac:dyDescent="0.25">
      <c r="A3568" s="266">
        <v>43646</v>
      </c>
      <c r="B3568" s="267">
        <v>2019</v>
      </c>
      <c r="C3568" s="267">
        <v>2019</v>
      </c>
      <c r="D3568" s="267">
        <v>1</v>
      </c>
      <c r="E3568" s="267">
        <v>1</v>
      </c>
      <c r="F3568" s="267" t="s">
        <v>944</v>
      </c>
      <c r="G3568" s="267" t="s">
        <v>3997</v>
      </c>
      <c r="H3568" s="267" t="s">
        <v>8063</v>
      </c>
      <c r="I3568" s="267" t="s">
        <v>934</v>
      </c>
      <c r="J3568" s="267" t="s">
        <v>3928</v>
      </c>
      <c r="K3568" s="267">
        <v>6607</v>
      </c>
      <c r="L3568" s="267">
        <v>74400</v>
      </c>
      <c r="M3568" s="267">
        <v>-60</v>
      </c>
      <c r="N3568" s="267" t="s">
        <v>4053</v>
      </c>
      <c r="O3568" s="267">
        <v>2745.9</v>
      </c>
      <c r="P3568" s="267" t="s">
        <v>3930</v>
      </c>
      <c r="Q3568" s="267" t="s">
        <v>3931</v>
      </c>
      <c r="R3568" s="267">
        <v>7745.9</v>
      </c>
      <c r="S3568" s="267">
        <v>18603.2</v>
      </c>
      <c r="T3568" s="267">
        <v>26349.1</v>
      </c>
      <c r="U3568" s="268" t="s">
        <v>3932</v>
      </c>
      <c r="V3568" s="276" t="s">
        <v>936</v>
      </c>
    </row>
    <row r="3569" spans="1:22" hidden="1" x14ac:dyDescent="0.25">
      <c r="A3569" s="269">
        <v>43647</v>
      </c>
      <c r="B3569" s="270">
        <v>2019</v>
      </c>
      <c r="C3569" s="270">
        <v>2020</v>
      </c>
      <c r="D3569" s="270">
        <v>1</v>
      </c>
      <c r="E3569" s="270">
        <v>1</v>
      </c>
      <c r="F3569" s="270" t="s">
        <v>944</v>
      </c>
      <c r="G3569" s="270" t="s">
        <v>3926</v>
      </c>
      <c r="H3569" s="270" t="s">
        <v>8064</v>
      </c>
      <c r="I3569" s="270" t="s">
        <v>950</v>
      </c>
      <c r="J3569" s="270" t="s">
        <v>3928</v>
      </c>
      <c r="K3569" s="270">
        <v>6516</v>
      </c>
      <c r="L3569" s="270">
        <v>154100</v>
      </c>
      <c r="M3569" s="270" t="s">
        <v>3940</v>
      </c>
      <c r="N3569" s="270" t="s">
        <v>8065</v>
      </c>
      <c r="O3569" s="270">
        <v>0</v>
      </c>
      <c r="P3569" s="270" t="s">
        <v>3930</v>
      </c>
      <c r="Q3569" s="270" t="s">
        <v>3930</v>
      </c>
      <c r="R3569" s="270">
        <v>0</v>
      </c>
      <c r="S3569" s="270">
        <v>6875</v>
      </c>
      <c r="T3569" s="270">
        <v>6875</v>
      </c>
      <c r="U3569" s="271" t="s">
        <v>3937</v>
      </c>
      <c r="V3569" s="267" t="s">
        <v>944</v>
      </c>
    </row>
    <row r="3570" spans="1:22" hidden="1" x14ac:dyDescent="0.25">
      <c r="A3570" s="266">
        <v>43647</v>
      </c>
      <c r="B3570" s="267">
        <v>2019</v>
      </c>
      <c r="C3570" s="267">
        <v>2020</v>
      </c>
      <c r="D3570" s="267">
        <v>1</v>
      </c>
      <c r="E3570" s="267">
        <v>1</v>
      </c>
      <c r="F3570" s="267" t="s">
        <v>944</v>
      </c>
      <c r="G3570" s="267" t="s">
        <v>3926</v>
      </c>
      <c r="H3570" s="267" t="s">
        <v>8066</v>
      </c>
      <c r="I3570" s="267" t="s">
        <v>4111</v>
      </c>
      <c r="J3570" s="267" t="s">
        <v>3928</v>
      </c>
      <c r="K3570" s="267">
        <v>6095</v>
      </c>
      <c r="L3570" s="267">
        <v>473800</v>
      </c>
      <c r="M3570" s="267" t="s">
        <v>3935</v>
      </c>
      <c r="N3570" s="267" t="s">
        <v>4732</v>
      </c>
      <c r="O3570" s="267">
        <v>0</v>
      </c>
      <c r="P3570" s="267" t="s">
        <v>3930</v>
      </c>
      <c r="Q3570" s="267" t="s">
        <v>3930</v>
      </c>
      <c r="R3570" s="267">
        <v>0</v>
      </c>
      <c r="S3570" s="267">
        <v>9000</v>
      </c>
      <c r="T3570" s="267">
        <v>9000</v>
      </c>
      <c r="U3570" s="268" t="s">
        <v>3937</v>
      </c>
      <c r="V3570" s="267" t="s">
        <v>944</v>
      </c>
    </row>
    <row r="3571" spans="1:22" hidden="1" x14ac:dyDescent="0.25">
      <c r="A3571" s="269">
        <v>43647</v>
      </c>
      <c r="B3571" s="270">
        <v>2019</v>
      </c>
      <c r="C3571" s="270">
        <v>2020</v>
      </c>
      <c r="D3571" s="270">
        <v>1</v>
      </c>
      <c r="E3571" s="270">
        <v>1</v>
      </c>
      <c r="F3571" s="270" t="s">
        <v>944</v>
      </c>
      <c r="G3571" s="270" t="s">
        <v>3926</v>
      </c>
      <c r="H3571" s="270" t="s">
        <v>8067</v>
      </c>
      <c r="I3571" s="270" t="s">
        <v>3939</v>
      </c>
      <c r="J3571" s="270" t="s">
        <v>3928</v>
      </c>
      <c r="K3571" s="270">
        <v>6512</v>
      </c>
      <c r="L3571" s="270">
        <v>180500</v>
      </c>
      <c r="M3571" s="270" t="s">
        <v>3935</v>
      </c>
      <c r="N3571" s="270" t="s">
        <v>8068</v>
      </c>
      <c r="O3571" s="270">
        <v>0</v>
      </c>
      <c r="P3571" s="270" t="s">
        <v>3930</v>
      </c>
      <c r="Q3571" s="270" t="s">
        <v>3930</v>
      </c>
      <c r="R3571" s="270">
        <v>0</v>
      </c>
      <c r="S3571" s="270">
        <v>5200</v>
      </c>
      <c r="T3571" s="270">
        <v>5200</v>
      </c>
      <c r="U3571" s="271" t="s">
        <v>3937</v>
      </c>
      <c r="V3571" s="267" t="s">
        <v>944</v>
      </c>
    </row>
    <row r="3572" spans="1:22" x14ac:dyDescent="0.25">
      <c r="A3572" s="266">
        <v>43647</v>
      </c>
      <c r="B3572" s="267">
        <v>2019</v>
      </c>
      <c r="C3572" s="267">
        <v>2020</v>
      </c>
      <c r="D3572" s="267">
        <v>1</v>
      </c>
      <c r="E3572" s="267">
        <v>1</v>
      </c>
      <c r="F3572" s="267" t="s">
        <v>944</v>
      </c>
      <c r="G3572" s="267" t="s">
        <v>3926</v>
      </c>
      <c r="H3572" s="267" t="s">
        <v>8069</v>
      </c>
      <c r="I3572" s="267" t="s">
        <v>3956</v>
      </c>
      <c r="J3572" s="267" t="s">
        <v>3928</v>
      </c>
      <c r="K3572" s="267">
        <v>6120</v>
      </c>
      <c r="L3572" s="267">
        <v>501800</v>
      </c>
      <c r="M3572" s="267">
        <v>-60</v>
      </c>
      <c r="N3572" s="267" t="s">
        <v>3983</v>
      </c>
      <c r="O3572" s="267">
        <v>1294.58</v>
      </c>
      <c r="P3572" s="267" t="s">
        <v>3930</v>
      </c>
      <c r="Q3572" s="267" t="s">
        <v>3931</v>
      </c>
      <c r="R3572" s="267">
        <v>6294.58</v>
      </c>
      <c r="S3572" s="267">
        <v>16504</v>
      </c>
      <c r="T3572" s="267">
        <v>22798.58</v>
      </c>
      <c r="U3572" s="268" t="s">
        <v>3932</v>
      </c>
      <c r="V3572" s="267" t="s">
        <v>936</v>
      </c>
    </row>
    <row r="3573" spans="1:22" hidden="1" x14ac:dyDescent="0.25">
      <c r="A3573" s="269">
        <v>43647</v>
      </c>
      <c r="B3573" s="270">
        <v>2019</v>
      </c>
      <c r="C3573" s="270">
        <v>2020</v>
      </c>
      <c r="D3573" s="270">
        <v>1</v>
      </c>
      <c r="E3573" s="270">
        <v>1</v>
      </c>
      <c r="F3573" s="270" t="s">
        <v>944</v>
      </c>
      <c r="G3573" s="270" t="s">
        <v>3926</v>
      </c>
      <c r="H3573" s="270" t="s">
        <v>8070</v>
      </c>
      <c r="I3573" s="270" t="s">
        <v>956</v>
      </c>
      <c r="J3573" s="270" t="s">
        <v>3928</v>
      </c>
      <c r="K3573" s="270">
        <v>6615</v>
      </c>
      <c r="L3573" s="270">
        <v>80200</v>
      </c>
      <c r="M3573" s="270" t="s">
        <v>3935</v>
      </c>
      <c r="N3573" s="270" t="s">
        <v>4714</v>
      </c>
      <c r="O3573" s="270">
        <v>1442.63</v>
      </c>
      <c r="P3573" s="270" t="s">
        <v>3930</v>
      </c>
      <c r="Q3573" s="270" t="s">
        <v>3931</v>
      </c>
      <c r="R3573" s="270">
        <v>6442.63</v>
      </c>
      <c r="S3573" s="270">
        <v>24518.2</v>
      </c>
      <c r="T3573" s="270">
        <v>30960.83</v>
      </c>
      <c r="U3573" s="271" t="s">
        <v>3932</v>
      </c>
      <c r="V3573" s="267" t="s">
        <v>944</v>
      </c>
    </row>
    <row r="3574" spans="1:22" hidden="1" x14ac:dyDescent="0.25">
      <c r="A3574" s="266">
        <v>43647</v>
      </c>
      <c r="B3574" s="267">
        <v>2019</v>
      </c>
      <c r="C3574" s="267">
        <v>2020</v>
      </c>
      <c r="D3574" s="267">
        <v>1</v>
      </c>
      <c r="E3574" s="267">
        <v>1</v>
      </c>
      <c r="F3574" s="267" t="s">
        <v>944</v>
      </c>
      <c r="G3574" s="267" t="s">
        <v>3926</v>
      </c>
      <c r="H3574" s="267" t="s">
        <v>8071</v>
      </c>
      <c r="I3574" s="267" t="s">
        <v>4035</v>
      </c>
      <c r="J3574" s="267" t="s">
        <v>3928</v>
      </c>
      <c r="K3574" s="267">
        <v>6074</v>
      </c>
      <c r="L3574" s="267">
        <v>487201</v>
      </c>
      <c r="M3574" s="267" t="s">
        <v>3943</v>
      </c>
      <c r="N3574" s="267" t="s">
        <v>4103</v>
      </c>
      <c r="O3574" s="267">
        <v>4543.2</v>
      </c>
      <c r="P3574" s="267" t="s">
        <v>3930</v>
      </c>
      <c r="Q3574" s="267" t="s">
        <v>3931</v>
      </c>
      <c r="R3574" s="267">
        <v>9543.2000000000007</v>
      </c>
      <c r="S3574" s="267">
        <v>24145.599999999999</v>
      </c>
      <c r="T3574" s="267">
        <v>33688.800000000003</v>
      </c>
      <c r="U3574" s="268" t="s">
        <v>3932</v>
      </c>
      <c r="V3574" s="267" t="s">
        <v>944</v>
      </c>
    </row>
    <row r="3575" spans="1:22" hidden="1" x14ac:dyDescent="0.25">
      <c r="A3575" s="269">
        <v>43647</v>
      </c>
      <c r="B3575" s="270">
        <v>2019</v>
      </c>
      <c r="C3575" s="270">
        <v>2020</v>
      </c>
      <c r="D3575" s="270">
        <v>1</v>
      </c>
      <c r="E3575" s="270">
        <v>1</v>
      </c>
      <c r="F3575" s="270" t="s">
        <v>944</v>
      </c>
      <c r="G3575" s="270" t="s">
        <v>3997</v>
      </c>
      <c r="H3575" s="270" t="s">
        <v>8072</v>
      </c>
      <c r="I3575" s="270" t="s">
        <v>934</v>
      </c>
      <c r="J3575" s="270" t="s">
        <v>3928</v>
      </c>
      <c r="K3575" s="270">
        <v>6606</v>
      </c>
      <c r="L3575" s="270">
        <v>72600</v>
      </c>
      <c r="M3575" s="270" t="s">
        <v>3940</v>
      </c>
      <c r="N3575" s="270" t="s">
        <v>4498</v>
      </c>
      <c r="O3575" s="270">
        <v>0</v>
      </c>
      <c r="P3575" s="270" t="s">
        <v>3930</v>
      </c>
      <c r="Q3575" s="270" t="s">
        <v>3931</v>
      </c>
      <c r="R3575" s="270">
        <v>5000</v>
      </c>
      <c r="S3575" s="270">
        <v>21752</v>
      </c>
      <c r="T3575" s="270">
        <v>26752</v>
      </c>
      <c r="U3575" s="271" t="s">
        <v>3932</v>
      </c>
      <c r="V3575" s="267" t="s">
        <v>944</v>
      </c>
    </row>
    <row r="3576" spans="1:22" hidden="1" x14ac:dyDescent="0.25">
      <c r="A3576" s="266">
        <v>43647</v>
      </c>
      <c r="B3576" s="267">
        <v>2019</v>
      </c>
      <c r="C3576" s="267">
        <v>2020</v>
      </c>
      <c r="D3576" s="267">
        <v>1</v>
      </c>
      <c r="E3576" s="267">
        <v>1</v>
      </c>
      <c r="F3576" s="267" t="s">
        <v>944</v>
      </c>
      <c r="G3576" s="267" t="s">
        <v>3926</v>
      </c>
      <c r="H3576" s="267" t="s">
        <v>8073</v>
      </c>
      <c r="I3576" s="267" t="s">
        <v>4094</v>
      </c>
      <c r="J3576" s="267" t="s">
        <v>3928</v>
      </c>
      <c r="K3576" s="267">
        <v>6096</v>
      </c>
      <c r="L3576" s="267">
        <v>476100</v>
      </c>
      <c r="M3576" s="267" t="s">
        <v>3940</v>
      </c>
      <c r="N3576" s="267" t="s">
        <v>4732</v>
      </c>
      <c r="O3576" s="267">
        <v>0</v>
      </c>
      <c r="P3576" s="267" t="s">
        <v>3930</v>
      </c>
      <c r="Q3576" s="267" t="s">
        <v>3930</v>
      </c>
      <c r="R3576" s="267">
        <v>0</v>
      </c>
      <c r="S3576" s="267">
        <v>8800</v>
      </c>
      <c r="T3576" s="267">
        <v>8800</v>
      </c>
      <c r="U3576" s="268" t="s">
        <v>3937</v>
      </c>
      <c r="V3576" s="267" t="s">
        <v>944</v>
      </c>
    </row>
    <row r="3577" spans="1:22" hidden="1" x14ac:dyDescent="0.25">
      <c r="A3577" s="269">
        <v>43647</v>
      </c>
      <c r="B3577" s="270">
        <v>2019</v>
      </c>
      <c r="C3577" s="270">
        <v>2020</v>
      </c>
      <c r="D3577" s="270">
        <v>1</v>
      </c>
      <c r="E3577" s="270">
        <v>1</v>
      </c>
      <c r="F3577" s="270" t="s">
        <v>944</v>
      </c>
      <c r="G3577" s="270" t="s">
        <v>3926</v>
      </c>
      <c r="H3577" s="270" t="s">
        <v>8074</v>
      </c>
      <c r="I3577" s="270" t="s">
        <v>4042</v>
      </c>
      <c r="J3577" s="270" t="s">
        <v>3928</v>
      </c>
      <c r="K3577" s="270">
        <v>6370</v>
      </c>
      <c r="L3577" s="270">
        <v>695202</v>
      </c>
      <c r="M3577" s="270" t="s">
        <v>3935</v>
      </c>
      <c r="N3577" s="270" t="s">
        <v>3944</v>
      </c>
      <c r="O3577" s="270">
        <v>4052</v>
      </c>
      <c r="P3577" s="270" t="s">
        <v>3944</v>
      </c>
      <c r="Q3577" s="270" t="s">
        <v>3944</v>
      </c>
      <c r="R3577" s="270">
        <v>4052</v>
      </c>
      <c r="S3577" s="270">
        <v>29968</v>
      </c>
      <c r="T3577" s="270">
        <v>34020</v>
      </c>
      <c r="U3577" s="271" t="s">
        <v>3945</v>
      </c>
      <c r="V3577" s="267" t="s">
        <v>944</v>
      </c>
    </row>
    <row r="3578" spans="1:22" x14ac:dyDescent="0.25">
      <c r="A3578" s="266">
        <v>43647</v>
      </c>
      <c r="B3578" s="267">
        <v>2019</v>
      </c>
      <c r="C3578" s="267">
        <v>2020</v>
      </c>
      <c r="D3578" s="267">
        <v>1</v>
      </c>
      <c r="E3578" s="267">
        <v>1</v>
      </c>
      <c r="F3578" s="267" t="s">
        <v>944</v>
      </c>
      <c r="G3578" s="267" t="s">
        <v>3926</v>
      </c>
      <c r="H3578" s="267" t="s">
        <v>8075</v>
      </c>
      <c r="I3578" s="267" t="s">
        <v>950</v>
      </c>
      <c r="J3578" s="267" t="s">
        <v>3928</v>
      </c>
      <c r="K3578" s="267">
        <v>6516</v>
      </c>
      <c r="L3578" s="267">
        <v>155100</v>
      </c>
      <c r="M3578" s="267">
        <v>-60</v>
      </c>
      <c r="N3578" s="267" t="s">
        <v>3944</v>
      </c>
      <c r="O3578" s="267">
        <v>1702</v>
      </c>
      <c r="P3578" s="267" t="s">
        <v>3944</v>
      </c>
      <c r="Q3578" s="267" t="s">
        <v>3944</v>
      </c>
      <c r="R3578" s="267">
        <v>1702</v>
      </c>
      <c r="S3578" s="267">
        <v>14424</v>
      </c>
      <c r="T3578" s="267">
        <v>16126</v>
      </c>
      <c r="U3578" s="268" t="s">
        <v>3945</v>
      </c>
      <c r="V3578" s="276" t="s">
        <v>936</v>
      </c>
    </row>
    <row r="3579" spans="1:22" hidden="1" x14ac:dyDescent="0.25">
      <c r="A3579" s="269">
        <v>43647</v>
      </c>
      <c r="B3579" s="270">
        <v>2019</v>
      </c>
      <c r="C3579" s="270">
        <v>2020</v>
      </c>
      <c r="D3579" s="270">
        <v>1</v>
      </c>
      <c r="E3579" s="270">
        <v>1</v>
      </c>
      <c r="F3579" s="270" t="s">
        <v>944</v>
      </c>
      <c r="G3579" s="270" t="s">
        <v>3926</v>
      </c>
      <c r="H3579" s="270" t="s">
        <v>8076</v>
      </c>
      <c r="I3579" s="270" t="s">
        <v>5631</v>
      </c>
      <c r="J3579" s="270" t="s">
        <v>3928</v>
      </c>
      <c r="K3579" s="270">
        <v>6058</v>
      </c>
      <c r="L3579" s="270">
        <v>425600</v>
      </c>
      <c r="M3579" s="270" t="s">
        <v>3935</v>
      </c>
      <c r="N3579" s="270" t="s">
        <v>3944</v>
      </c>
      <c r="O3579" s="270">
        <v>1823</v>
      </c>
      <c r="P3579" s="270" t="s">
        <v>3944</v>
      </c>
      <c r="Q3579" s="270" t="s">
        <v>3944</v>
      </c>
      <c r="R3579" s="270">
        <v>1823</v>
      </c>
      <c r="S3579" s="270">
        <v>20837.25</v>
      </c>
      <c r="T3579" s="270">
        <v>22660.25</v>
      </c>
      <c r="U3579" s="271" t="s">
        <v>3945</v>
      </c>
      <c r="V3579" s="267" t="s">
        <v>944</v>
      </c>
    </row>
    <row r="3580" spans="1:22" hidden="1" x14ac:dyDescent="0.25">
      <c r="A3580" s="266">
        <v>43647</v>
      </c>
      <c r="B3580" s="267">
        <v>2019</v>
      </c>
      <c r="C3580" s="267">
        <v>2020</v>
      </c>
      <c r="D3580" s="267">
        <v>1</v>
      </c>
      <c r="E3580" s="267">
        <v>1</v>
      </c>
      <c r="F3580" s="267" t="s">
        <v>944</v>
      </c>
      <c r="G3580" s="267" t="s">
        <v>3926</v>
      </c>
      <c r="H3580" s="267" t="s">
        <v>8077</v>
      </c>
      <c r="I3580" s="267" t="s">
        <v>3964</v>
      </c>
      <c r="J3580" s="267" t="s">
        <v>3928</v>
      </c>
      <c r="K3580" s="267">
        <v>6073</v>
      </c>
      <c r="L3580" s="267">
        <v>520501</v>
      </c>
      <c r="M3580" s="267" t="s">
        <v>3943</v>
      </c>
      <c r="N3580" s="267" t="s">
        <v>3944</v>
      </c>
      <c r="O3580" s="267">
        <v>7171</v>
      </c>
      <c r="P3580" s="267" t="s">
        <v>3944</v>
      </c>
      <c r="Q3580" s="267" t="s">
        <v>3944</v>
      </c>
      <c r="R3580" s="267">
        <v>7171</v>
      </c>
      <c r="S3580" s="267">
        <v>53749</v>
      </c>
      <c r="T3580" s="267">
        <v>60920</v>
      </c>
      <c r="U3580" s="268" t="s">
        <v>3945</v>
      </c>
      <c r="V3580" s="267" t="s">
        <v>944</v>
      </c>
    </row>
    <row r="3581" spans="1:22" hidden="1" x14ac:dyDescent="0.25">
      <c r="A3581" s="269">
        <v>43647</v>
      </c>
      <c r="B3581" s="270">
        <v>2019</v>
      </c>
      <c r="C3581" s="270">
        <v>2020</v>
      </c>
      <c r="D3581" s="270">
        <v>1</v>
      </c>
      <c r="E3581" s="270">
        <v>1</v>
      </c>
      <c r="F3581" s="270" t="s">
        <v>944</v>
      </c>
      <c r="G3581" s="270" t="s">
        <v>3926</v>
      </c>
      <c r="H3581" s="270" t="s">
        <v>8078</v>
      </c>
      <c r="I3581" s="270" t="s">
        <v>4552</v>
      </c>
      <c r="J3581" s="270" t="s">
        <v>3928</v>
      </c>
      <c r="K3581" s="270">
        <v>6423</v>
      </c>
      <c r="L3581" s="270">
        <v>595101</v>
      </c>
      <c r="M3581" s="270" t="s">
        <v>3943</v>
      </c>
      <c r="N3581" s="270" t="s">
        <v>3944</v>
      </c>
      <c r="O3581" s="270">
        <v>2625</v>
      </c>
      <c r="P3581" s="270" t="s">
        <v>3944</v>
      </c>
      <c r="Q3581" s="270" t="s">
        <v>3944</v>
      </c>
      <c r="R3581" s="270">
        <v>2625</v>
      </c>
      <c r="S3581" s="270">
        <v>28911</v>
      </c>
      <c r="T3581" s="270">
        <v>31536</v>
      </c>
      <c r="U3581" s="271" t="s">
        <v>3945</v>
      </c>
      <c r="V3581" s="267" t="s">
        <v>944</v>
      </c>
    </row>
    <row r="3582" spans="1:22" hidden="1" x14ac:dyDescent="0.25">
      <c r="A3582" s="266">
        <v>43647</v>
      </c>
      <c r="B3582" s="267">
        <v>2019</v>
      </c>
      <c r="C3582" s="267">
        <v>2020</v>
      </c>
      <c r="D3582" s="267">
        <v>1</v>
      </c>
      <c r="E3582" s="267">
        <v>1</v>
      </c>
      <c r="F3582" s="267" t="s">
        <v>944</v>
      </c>
      <c r="G3582" s="267" t="s">
        <v>3926</v>
      </c>
      <c r="H3582" s="267" t="s">
        <v>8079</v>
      </c>
      <c r="I3582" s="267" t="s">
        <v>4137</v>
      </c>
      <c r="J3582" s="267" t="s">
        <v>3928</v>
      </c>
      <c r="K3582" s="267">
        <v>6067</v>
      </c>
      <c r="L3582" s="267">
        <v>490302</v>
      </c>
      <c r="M3582" s="267" t="s">
        <v>3960</v>
      </c>
      <c r="N3582" s="267" t="s">
        <v>3944</v>
      </c>
      <c r="O3582" s="267">
        <v>4332</v>
      </c>
      <c r="P3582" s="267" t="s">
        <v>3944</v>
      </c>
      <c r="Q3582" s="267" t="s">
        <v>3944</v>
      </c>
      <c r="R3582" s="267">
        <v>4332</v>
      </c>
      <c r="S3582" s="267">
        <v>29940</v>
      </c>
      <c r="T3582" s="267">
        <v>34272</v>
      </c>
      <c r="U3582" s="268" t="s">
        <v>3945</v>
      </c>
      <c r="V3582" s="267" t="s">
        <v>944</v>
      </c>
    </row>
    <row r="3583" spans="1:22" hidden="1" x14ac:dyDescent="0.25">
      <c r="A3583" s="269">
        <v>43647</v>
      </c>
      <c r="B3583" s="270">
        <v>2019</v>
      </c>
      <c r="C3583" s="270">
        <v>2020</v>
      </c>
      <c r="D3583" s="270">
        <v>1</v>
      </c>
      <c r="E3583" s="270">
        <v>1</v>
      </c>
      <c r="F3583" s="270" t="s">
        <v>944</v>
      </c>
      <c r="G3583" s="270" t="s">
        <v>3926</v>
      </c>
      <c r="H3583" s="270" t="s">
        <v>8080</v>
      </c>
      <c r="I3583" s="270" t="s">
        <v>4073</v>
      </c>
      <c r="J3583" s="270" t="s">
        <v>3928</v>
      </c>
      <c r="K3583" s="270">
        <v>6776</v>
      </c>
      <c r="L3583" s="270">
        <v>253500</v>
      </c>
      <c r="M3583" s="270" t="s">
        <v>3943</v>
      </c>
      <c r="N3583" s="270" t="s">
        <v>3944</v>
      </c>
      <c r="O3583" s="270">
        <v>4810</v>
      </c>
      <c r="P3583" s="270" t="s">
        <v>3944</v>
      </c>
      <c r="Q3583" s="270" t="s">
        <v>3944</v>
      </c>
      <c r="R3583" s="270">
        <v>4810</v>
      </c>
      <c r="S3583" s="270">
        <v>43184</v>
      </c>
      <c r="T3583" s="270">
        <v>47994</v>
      </c>
      <c r="U3583" s="271" t="s">
        <v>3945</v>
      </c>
      <c r="V3583" s="267" t="s">
        <v>944</v>
      </c>
    </row>
    <row r="3584" spans="1:22" hidden="1" x14ac:dyDescent="0.25">
      <c r="A3584" s="266">
        <v>43647</v>
      </c>
      <c r="B3584" s="267">
        <v>2019</v>
      </c>
      <c r="C3584" s="267">
        <v>2020</v>
      </c>
      <c r="D3584" s="267">
        <v>1</v>
      </c>
      <c r="E3584" s="267">
        <v>1</v>
      </c>
      <c r="F3584" s="267" t="s">
        <v>944</v>
      </c>
      <c r="G3584" s="267" t="s">
        <v>3926</v>
      </c>
      <c r="H3584" s="267" t="s">
        <v>8081</v>
      </c>
      <c r="I3584" s="267" t="s">
        <v>950</v>
      </c>
      <c r="J3584" s="267" t="s">
        <v>3928</v>
      </c>
      <c r="K3584" s="267">
        <v>6516</v>
      </c>
      <c r="L3584" s="267">
        <v>154800</v>
      </c>
      <c r="M3584" s="267" t="s">
        <v>3960</v>
      </c>
      <c r="N3584" s="267" t="s">
        <v>3944</v>
      </c>
      <c r="O3584" s="267">
        <v>2776</v>
      </c>
      <c r="P3584" s="267" t="s">
        <v>3944</v>
      </c>
      <c r="Q3584" s="267" t="s">
        <v>3944</v>
      </c>
      <c r="R3584" s="267">
        <v>2776</v>
      </c>
      <c r="S3584" s="267">
        <v>43284.800000000003</v>
      </c>
      <c r="T3584" s="267">
        <v>46060.800000000003</v>
      </c>
      <c r="U3584" s="268" t="s">
        <v>3945</v>
      </c>
      <c r="V3584" s="267" t="s">
        <v>944</v>
      </c>
    </row>
    <row r="3585" spans="1:22" x14ac:dyDescent="0.25">
      <c r="A3585" s="269">
        <v>43647</v>
      </c>
      <c r="B3585" s="270">
        <v>2019</v>
      </c>
      <c r="C3585" s="270">
        <v>2020</v>
      </c>
      <c r="D3585" s="270">
        <v>1</v>
      </c>
      <c r="E3585" s="270">
        <v>1</v>
      </c>
      <c r="F3585" s="270" t="s">
        <v>944</v>
      </c>
      <c r="G3585" s="270" t="s">
        <v>3926</v>
      </c>
      <c r="H3585" s="270" t="s">
        <v>8082</v>
      </c>
      <c r="I3585" s="270" t="s">
        <v>3956</v>
      </c>
      <c r="J3585" s="270" t="s">
        <v>3928</v>
      </c>
      <c r="K3585" s="270">
        <v>6112</v>
      </c>
      <c r="L3585" s="270">
        <v>501800</v>
      </c>
      <c r="M3585" s="270">
        <v>-60</v>
      </c>
      <c r="N3585" s="270" t="s">
        <v>3944</v>
      </c>
      <c r="O3585" s="270">
        <v>1720.78</v>
      </c>
      <c r="P3585" s="270" t="s">
        <v>3944</v>
      </c>
      <c r="Q3585" s="270" t="s">
        <v>3944</v>
      </c>
      <c r="R3585" s="270">
        <v>1720.78</v>
      </c>
      <c r="S3585" s="270">
        <v>28363.02</v>
      </c>
      <c r="T3585" s="270">
        <v>30083.8</v>
      </c>
      <c r="U3585" s="271" t="s">
        <v>3945</v>
      </c>
      <c r="V3585" s="267" t="s">
        <v>936</v>
      </c>
    </row>
    <row r="3586" spans="1:22" hidden="1" x14ac:dyDescent="0.25">
      <c r="A3586" s="266">
        <v>43647</v>
      </c>
      <c r="B3586" s="267">
        <v>2019</v>
      </c>
      <c r="C3586" s="267">
        <v>2020</v>
      </c>
      <c r="D3586" s="267">
        <v>1</v>
      </c>
      <c r="E3586" s="267">
        <v>1</v>
      </c>
      <c r="F3586" s="267" t="s">
        <v>944</v>
      </c>
      <c r="G3586" s="267" t="s">
        <v>3926</v>
      </c>
      <c r="H3586" s="267" t="s">
        <v>8083</v>
      </c>
      <c r="I3586" s="267" t="s">
        <v>3939</v>
      </c>
      <c r="J3586" s="267" t="s">
        <v>3928</v>
      </c>
      <c r="K3586" s="267">
        <v>6512</v>
      </c>
      <c r="L3586" s="267">
        <v>180100</v>
      </c>
      <c r="M3586" s="267" t="s">
        <v>3940</v>
      </c>
      <c r="N3586" s="267" t="s">
        <v>3944</v>
      </c>
      <c r="O3586" s="267">
        <v>1858.68</v>
      </c>
      <c r="P3586" s="267" t="s">
        <v>3944</v>
      </c>
      <c r="Q3586" s="267" t="s">
        <v>3944</v>
      </c>
      <c r="R3586" s="267">
        <v>1858.68</v>
      </c>
      <c r="S3586" s="267">
        <v>29392.47</v>
      </c>
      <c r="T3586" s="267">
        <v>31251.15</v>
      </c>
      <c r="U3586" s="268" t="s">
        <v>3945</v>
      </c>
      <c r="V3586" s="267" t="s">
        <v>944</v>
      </c>
    </row>
    <row r="3587" spans="1:22" hidden="1" x14ac:dyDescent="0.25">
      <c r="A3587" s="269">
        <v>43647</v>
      </c>
      <c r="B3587" s="270">
        <v>2019</v>
      </c>
      <c r="C3587" s="270">
        <v>2020</v>
      </c>
      <c r="D3587" s="270">
        <v>1</v>
      </c>
      <c r="E3587" s="270">
        <v>1</v>
      </c>
      <c r="F3587" s="270" t="s">
        <v>944</v>
      </c>
      <c r="G3587" s="270" t="s">
        <v>3926</v>
      </c>
      <c r="H3587" s="270" t="s">
        <v>8084</v>
      </c>
      <c r="I3587" s="270" t="s">
        <v>3975</v>
      </c>
      <c r="J3587" s="270" t="s">
        <v>3928</v>
      </c>
      <c r="K3587" s="270">
        <v>6489</v>
      </c>
      <c r="L3587" s="270">
        <v>430602</v>
      </c>
      <c r="M3587" s="270" t="s">
        <v>3960</v>
      </c>
      <c r="N3587" s="270" t="s">
        <v>3944</v>
      </c>
      <c r="O3587" s="270">
        <v>1972.95</v>
      </c>
      <c r="P3587" s="270" t="s">
        <v>3944</v>
      </c>
      <c r="Q3587" s="270" t="s">
        <v>3944</v>
      </c>
      <c r="R3587" s="270">
        <v>1972.95</v>
      </c>
      <c r="S3587" s="270">
        <v>32725.85</v>
      </c>
      <c r="T3587" s="270">
        <v>34698.800000000003</v>
      </c>
      <c r="U3587" s="271" t="s">
        <v>3945</v>
      </c>
      <c r="V3587" s="267" t="s">
        <v>944</v>
      </c>
    </row>
    <row r="3588" spans="1:22" hidden="1" x14ac:dyDescent="0.25">
      <c r="A3588" s="266">
        <v>43647</v>
      </c>
      <c r="B3588" s="267">
        <v>2019</v>
      </c>
      <c r="C3588" s="267">
        <v>2020</v>
      </c>
      <c r="D3588" s="267">
        <v>1</v>
      </c>
      <c r="E3588" s="267">
        <v>1</v>
      </c>
      <c r="F3588" s="267" t="s">
        <v>944</v>
      </c>
      <c r="G3588" s="267" t="s">
        <v>3926</v>
      </c>
      <c r="H3588" s="267" t="s">
        <v>8085</v>
      </c>
      <c r="I3588" s="267" t="s">
        <v>4016</v>
      </c>
      <c r="J3588" s="267" t="s">
        <v>3928</v>
      </c>
      <c r="K3588" s="267">
        <v>6770</v>
      </c>
      <c r="L3588" s="267">
        <v>345202</v>
      </c>
      <c r="M3588" s="267" t="s">
        <v>3960</v>
      </c>
      <c r="N3588" s="267" t="s">
        <v>3944</v>
      </c>
      <c r="O3588" s="267">
        <v>1342.88</v>
      </c>
      <c r="P3588" s="267" t="s">
        <v>3944</v>
      </c>
      <c r="Q3588" s="267" t="s">
        <v>3944</v>
      </c>
      <c r="R3588" s="267">
        <v>1342.88</v>
      </c>
      <c r="S3588" s="267">
        <v>19165.52</v>
      </c>
      <c r="T3588" s="267">
        <v>20508.400000000001</v>
      </c>
      <c r="U3588" s="268" t="s">
        <v>3945</v>
      </c>
      <c r="V3588" s="267" t="s">
        <v>944</v>
      </c>
    </row>
    <row r="3589" spans="1:22" hidden="1" x14ac:dyDescent="0.25">
      <c r="A3589" s="269">
        <v>43647</v>
      </c>
      <c r="B3589" s="270">
        <v>2019</v>
      </c>
      <c r="C3589" s="270">
        <v>2020</v>
      </c>
      <c r="D3589" s="270">
        <v>1</v>
      </c>
      <c r="E3589" s="270">
        <v>1</v>
      </c>
      <c r="F3589" s="270" t="s">
        <v>944</v>
      </c>
      <c r="G3589" s="270" t="s">
        <v>3926</v>
      </c>
      <c r="H3589" s="270" t="s">
        <v>8086</v>
      </c>
      <c r="I3589" s="270" t="s">
        <v>3939</v>
      </c>
      <c r="J3589" s="270" t="s">
        <v>3928</v>
      </c>
      <c r="K3589" s="270">
        <v>6512</v>
      </c>
      <c r="L3589" s="270">
        <v>180200</v>
      </c>
      <c r="M3589" s="270" t="s">
        <v>3940</v>
      </c>
      <c r="N3589" s="270" t="s">
        <v>3944</v>
      </c>
      <c r="O3589" s="270">
        <v>2058.21</v>
      </c>
      <c r="P3589" s="270" t="s">
        <v>3944</v>
      </c>
      <c r="Q3589" s="270" t="s">
        <v>3944</v>
      </c>
      <c r="R3589" s="270">
        <v>2058.21</v>
      </c>
      <c r="S3589" s="270">
        <v>28630.75</v>
      </c>
      <c r="T3589" s="270">
        <v>30688.959999999999</v>
      </c>
      <c r="U3589" s="271" t="s">
        <v>3945</v>
      </c>
      <c r="V3589" s="267" t="s">
        <v>944</v>
      </c>
    </row>
    <row r="3590" spans="1:22" hidden="1" x14ac:dyDescent="0.25">
      <c r="A3590" s="266">
        <v>43647</v>
      </c>
      <c r="B3590" s="267">
        <v>2019</v>
      </c>
      <c r="C3590" s="267">
        <v>2020</v>
      </c>
      <c r="D3590" s="267">
        <v>1</v>
      </c>
      <c r="E3590" s="267">
        <v>1</v>
      </c>
      <c r="F3590" s="267" t="s">
        <v>944</v>
      </c>
      <c r="G3590" s="267" t="s">
        <v>3926</v>
      </c>
      <c r="H3590" s="267" t="s">
        <v>8087</v>
      </c>
      <c r="I3590" s="267" t="s">
        <v>3026</v>
      </c>
      <c r="J3590" s="267" t="s">
        <v>3928</v>
      </c>
      <c r="K3590" s="267">
        <v>6471</v>
      </c>
      <c r="L3590" s="267">
        <v>186100</v>
      </c>
      <c r="M3590" s="267" t="s">
        <v>3935</v>
      </c>
      <c r="N3590" s="267" t="s">
        <v>3944</v>
      </c>
      <c r="O3590" s="267">
        <v>2632.28</v>
      </c>
      <c r="P3590" s="267" t="s">
        <v>3944</v>
      </c>
      <c r="Q3590" s="267" t="s">
        <v>3944</v>
      </c>
      <c r="R3590" s="267">
        <v>2632.28</v>
      </c>
      <c r="S3590" s="267">
        <v>40270.31</v>
      </c>
      <c r="T3590" s="267">
        <v>42902.59</v>
      </c>
      <c r="U3590" s="268" t="s">
        <v>3945</v>
      </c>
      <c r="V3590" s="267" t="s">
        <v>944</v>
      </c>
    </row>
    <row r="3591" spans="1:22" x14ac:dyDescent="0.25">
      <c r="A3591" s="269">
        <v>43647</v>
      </c>
      <c r="B3591" s="270">
        <v>2019</v>
      </c>
      <c r="C3591" s="270">
        <v>2020</v>
      </c>
      <c r="D3591" s="270">
        <v>1</v>
      </c>
      <c r="E3591" s="270"/>
      <c r="F3591" s="270" t="s">
        <v>944</v>
      </c>
      <c r="G3591" s="270" t="s">
        <v>3997</v>
      </c>
      <c r="H3591" s="270" t="s">
        <v>8088</v>
      </c>
      <c r="I3591" s="270" t="s">
        <v>943</v>
      </c>
      <c r="J3591" s="270" t="s">
        <v>3928</v>
      </c>
      <c r="K3591" s="270">
        <v>6511</v>
      </c>
      <c r="L3591" s="270">
        <v>140700</v>
      </c>
      <c r="M3591" s="270">
        <v>-60</v>
      </c>
      <c r="N3591" s="270" t="s">
        <v>8089</v>
      </c>
      <c r="O3591" s="270"/>
      <c r="P3591" s="270" t="s">
        <v>3944</v>
      </c>
      <c r="Q3591" s="270" t="s">
        <v>3930</v>
      </c>
      <c r="R3591" s="270">
        <v>0</v>
      </c>
      <c r="S3591" s="270">
        <v>47217.599999999999</v>
      </c>
      <c r="T3591" s="270">
        <v>47217.599999999999</v>
      </c>
      <c r="U3591" s="271" t="s">
        <v>5605</v>
      </c>
      <c r="V3591" s="276" t="s">
        <v>936</v>
      </c>
    </row>
    <row r="3592" spans="1:22" x14ac:dyDescent="0.25">
      <c r="A3592" s="266">
        <v>43647</v>
      </c>
      <c r="B3592" s="267">
        <v>2019</v>
      </c>
      <c r="C3592" s="267">
        <v>2020</v>
      </c>
      <c r="D3592" s="267">
        <v>1</v>
      </c>
      <c r="E3592" s="267"/>
      <c r="F3592" s="267" t="s">
        <v>944</v>
      </c>
      <c r="G3592" s="267" t="s">
        <v>3997</v>
      </c>
      <c r="H3592" s="267" t="s">
        <v>8090</v>
      </c>
      <c r="I3592" s="267" t="s">
        <v>943</v>
      </c>
      <c r="J3592" s="267" t="s">
        <v>3928</v>
      </c>
      <c r="K3592" s="267">
        <v>6511</v>
      </c>
      <c r="L3592" s="267">
        <v>140700</v>
      </c>
      <c r="M3592" s="267">
        <v>-60</v>
      </c>
      <c r="N3592" s="267" t="s">
        <v>4098</v>
      </c>
      <c r="O3592" s="267"/>
      <c r="P3592" s="267" t="s">
        <v>3944</v>
      </c>
      <c r="Q3592" s="267" t="s">
        <v>3930</v>
      </c>
      <c r="R3592" s="267">
        <v>0</v>
      </c>
      <c r="S3592" s="267">
        <v>390000</v>
      </c>
      <c r="T3592" s="267">
        <v>390000</v>
      </c>
      <c r="U3592" s="268" t="s">
        <v>5027</v>
      </c>
      <c r="V3592" s="276" t="s">
        <v>936</v>
      </c>
    </row>
    <row r="3593" spans="1:22" x14ac:dyDescent="0.25">
      <c r="A3593" s="269">
        <v>43647</v>
      </c>
      <c r="B3593" s="270">
        <v>2019</v>
      </c>
      <c r="C3593" s="270">
        <v>2020</v>
      </c>
      <c r="D3593" s="270">
        <v>1</v>
      </c>
      <c r="E3593" s="270">
        <v>88</v>
      </c>
      <c r="F3593" s="270" t="s">
        <v>944</v>
      </c>
      <c r="G3593" s="270" t="s">
        <v>3997</v>
      </c>
      <c r="H3593" s="270" t="s">
        <v>8091</v>
      </c>
      <c r="I3593" s="270" t="s">
        <v>943</v>
      </c>
      <c r="J3593" s="270" t="s">
        <v>3928</v>
      </c>
      <c r="K3593" s="270">
        <v>6511</v>
      </c>
      <c r="L3593" s="270">
        <v>140700</v>
      </c>
      <c r="M3593" s="270">
        <v>-60</v>
      </c>
      <c r="N3593" s="270" t="s">
        <v>8092</v>
      </c>
      <c r="O3593" s="270"/>
      <c r="P3593" s="270" t="s">
        <v>3944</v>
      </c>
      <c r="Q3593" s="270" t="s">
        <v>3930</v>
      </c>
      <c r="R3593" s="270">
        <v>0</v>
      </c>
      <c r="S3593" s="270">
        <v>216391.82</v>
      </c>
      <c r="T3593" s="270">
        <v>216391.82</v>
      </c>
      <c r="U3593" s="271" t="s">
        <v>5605</v>
      </c>
      <c r="V3593" s="276" t="s">
        <v>936</v>
      </c>
    </row>
    <row r="3594" spans="1:22" hidden="1" x14ac:dyDescent="0.25">
      <c r="A3594" s="266">
        <v>43647</v>
      </c>
      <c r="B3594" s="267">
        <v>2019</v>
      </c>
      <c r="C3594" s="267">
        <v>2020</v>
      </c>
      <c r="D3594" s="267">
        <v>1</v>
      </c>
      <c r="E3594" s="267">
        <v>1</v>
      </c>
      <c r="F3594" s="267" t="s">
        <v>944</v>
      </c>
      <c r="G3594" s="267" t="s">
        <v>3926</v>
      </c>
      <c r="H3594" s="267" t="s">
        <v>8093</v>
      </c>
      <c r="I3594" s="267" t="s">
        <v>4239</v>
      </c>
      <c r="J3594" s="267" t="s">
        <v>3928</v>
      </c>
      <c r="K3594" s="267">
        <v>6032</v>
      </c>
      <c r="L3594" s="267">
        <v>460202</v>
      </c>
      <c r="M3594" s="267" t="s">
        <v>3960</v>
      </c>
      <c r="N3594" s="267" t="s">
        <v>3944</v>
      </c>
      <c r="O3594" s="267">
        <v>2742.39</v>
      </c>
      <c r="P3594" s="267" t="s">
        <v>3944</v>
      </c>
      <c r="Q3594" s="267" t="s">
        <v>3944</v>
      </c>
      <c r="R3594" s="267">
        <v>2742.39</v>
      </c>
      <c r="S3594" s="267">
        <v>43634.96</v>
      </c>
      <c r="T3594" s="267">
        <v>46377.35</v>
      </c>
      <c r="U3594" s="268" t="s">
        <v>3945</v>
      </c>
      <c r="V3594" s="267" t="s">
        <v>944</v>
      </c>
    </row>
    <row r="3595" spans="1:22" hidden="1" x14ac:dyDescent="0.25">
      <c r="A3595" s="269">
        <v>43647</v>
      </c>
      <c r="B3595" s="270">
        <v>2019</v>
      </c>
      <c r="C3595" s="270">
        <v>2020</v>
      </c>
      <c r="D3595" s="270">
        <v>1</v>
      </c>
      <c r="E3595" s="270">
        <v>1</v>
      </c>
      <c r="F3595" s="270" t="s">
        <v>944</v>
      </c>
      <c r="G3595" s="270" t="s">
        <v>3926</v>
      </c>
      <c r="H3595" s="270" t="s">
        <v>8094</v>
      </c>
      <c r="I3595" s="270" t="s">
        <v>4079</v>
      </c>
      <c r="J3595" s="270" t="s">
        <v>3928</v>
      </c>
      <c r="K3595" s="270">
        <v>6111</v>
      </c>
      <c r="L3595" s="270">
        <v>494300</v>
      </c>
      <c r="M3595" s="270" t="s">
        <v>3935</v>
      </c>
      <c r="N3595" s="270" t="s">
        <v>3944</v>
      </c>
      <c r="O3595" s="270">
        <v>1561.07</v>
      </c>
      <c r="P3595" s="270" t="s">
        <v>3944</v>
      </c>
      <c r="Q3595" s="270" t="s">
        <v>3944</v>
      </c>
      <c r="R3595" s="270">
        <v>1561.07</v>
      </c>
      <c r="S3595" s="270">
        <v>21536.98</v>
      </c>
      <c r="T3595" s="270">
        <v>23098.05</v>
      </c>
      <c r="U3595" s="271" t="s">
        <v>3945</v>
      </c>
      <c r="V3595" s="267" t="s">
        <v>944</v>
      </c>
    </row>
    <row r="3596" spans="1:22" x14ac:dyDescent="0.25">
      <c r="A3596" s="266">
        <v>43647</v>
      </c>
      <c r="B3596" s="267">
        <v>2019</v>
      </c>
      <c r="C3596" s="267">
        <v>2020</v>
      </c>
      <c r="D3596" s="267">
        <v>1</v>
      </c>
      <c r="E3596" s="267">
        <v>88</v>
      </c>
      <c r="F3596" s="267" t="s">
        <v>944</v>
      </c>
      <c r="G3596" s="267" t="s">
        <v>3997</v>
      </c>
      <c r="H3596" s="267" t="s">
        <v>8095</v>
      </c>
      <c r="I3596" s="267" t="s">
        <v>943</v>
      </c>
      <c r="J3596" s="267" t="s">
        <v>3928</v>
      </c>
      <c r="K3596" s="267">
        <v>6511</v>
      </c>
      <c r="L3596" s="267">
        <v>140700</v>
      </c>
      <c r="M3596" s="267">
        <v>-60</v>
      </c>
      <c r="N3596" s="267" t="s">
        <v>8096</v>
      </c>
      <c r="O3596" s="267"/>
      <c r="P3596" s="267" t="s">
        <v>3944</v>
      </c>
      <c r="Q3596" s="267" t="s">
        <v>3930</v>
      </c>
      <c r="R3596" s="267">
        <v>0</v>
      </c>
      <c r="S3596" s="267">
        <v>291536.34999999998</v>
      </c>
      <c r="T3596" s="267">
        <v>291536.34999999998</v>
      </c>
      <c r="U3596" s="268" t="s">
        <v>5027</v>
      </c>
      <c r="V3596" s="276" t="s">
        <v>936</v>
      </c>
    </row>
    <row r="3597" spans="1:22" hidden="1" x14ac:dyDescent="0.25">
      <c r="A3597" s="269">
        <v>43648</v>
      </c>
      <c r="B3597" s="270">
        <v>2019</v>
      </c>
      <c r="C3597" s="270">
        <v>2020</v>
      </c>
      <c r="D3597" s="270">
        <v>1</v>
      </c>
      <c r="E3597" s="270">
        <v>1</v>
      </c>
      <c r="F3597" s="270" t="s">
        <v>944</v>
      </c>
      <c r="G3597" s="270" t="s">
        <v>3926</v>
      </c>
      <c r="H3597" s="270" t="s">
        <v>8097</v>
      </c>
      <c r="I3597" s="270" t="s">
        <v>4079</v>
      </c>
      <c r="J3597" s="270" t="s">
        <v>3928</v>
      </c>
      <c r="K3597" s="270">
        <v>6111</v>
      </c>
      <c r="L3597" s="270">
        <v>494400</v>
      </c>
      <c r="M3597" s="270" t="s">
        <v>3935</v>
      </c>
      <c r="N3597" s="270" t="s">
        <v>7882</v>
      </c>
      <c r="O3597" s="270">
        <v>0</v>
      </c>
      <c r="P3597" s="270" t="s">
        <v>3930</v>
      </c>
      <c r="Q3597" s="270" t="s">
        <v>3930</v>
      </c>
      <c r="R3597" s="270">
        <v>0</v>
      </c>
      <c r="S3597" s="270">
        <v>9760</v>
      </c>
      <c r="T3597" s="270">
        <v>9760</v>
      </c>
      <c r="U3597" s="271" t="s">
        <v>3937</v>
      </c>
      <c r="V3597" s="267" t="s">
        <v>944</v>
      </c>
    </row>
    <row r="3598" spans="1:22" hidden="1" x14ac:dyDescent="0.25">
      <c r="A3598" s="266">
        <v>43648</v>
      </c>
      <c r="B3598" s="267">
        <v>2019</v>
      </c>
      <c r="C3598" s="267">
        <v>2020</v>
      </c>
      <c r="D3598" s="267">
        <v>1</v>
      </c>
      <c r="E3598" s="267">
        <v>1</v>
      </c>
      <c r="F3598" s="267" t="s">
        <v>944</v>
      </c>
      <c r="G3598" s="267" t="s">
        <v>3926</v>
      </c>
      <c r="H3598" s="267" t="s">
        <v>8098</v>
      </c>
      <c r="I3598" s="267" t="s">
        <v>4019</v>
      </c>
      <c r="J3598" s="267" t="s">
        <v>3928</v>
      </c>
      <c r="K3598" s="267">
        <v>6704</v>
      </c>
      <c r="L3598" s="267">
        <v>352500</v>
      </c>
      <c r="M3598" s="267">
        <v>-60</v>
      </c>
      <c r="N3598" s="267" t="s">
        <v>3929</v>
      </c>
      <c r="O3598" s="267">
        <v>2280.11</v>
      </c>
      <c r="P3598" s="267" t="s">
        <v>3930</v>
      </c>
      <c r="Q3598" s="267" t="s">
        <v>3931</v>
      </c>
      <c r="R3598" s="267">
        <v>7280.11</v>
      </c>
      <c r="S3598" s="267">
        <v>34744</v>
      </c>
      <c r="T3598" s="267">
        <v>42024.11</v>
      </c>
      <c r="U3598" s="268" t="s">
        <v>3932</v>
      </c>
      <c r="V3598" s="267" t="s">
        <v>944</v>
      </c>
    </row>
    <row r="3599" spans="1:22" hidden="1" x14ac:dyDescent="0.25">
      <c r="A3599" s="269">
        <v>43648</v>
      </c>
      <c r="B3599" s="270">
        <v>2019</v>
      </c>
      <c r="C3599" s="270">
        <v>2020</v>
      </c>
      <c r="D3599" s="270">
        <v>1</v>
      </c>
      <c r="E3599" s="270">
        <v>1</v>
      </c>
      <c r="F3599" s="270" t="s">
        <v>944</v>
      </c>
      <c r="G3599" s="270" t="s">
        <v>3926</v>
      </c>
      <c r="H3599" s="270" t="s">
        <v>8099</v>
      </c>
      <c r="I3599" s="270" t="s">
        <v>953</v>
      </c>
      <c r="J3599" s="270" t="s">
        <v>3928</v>
      </c>
      <c r="K3599" s="270">
        <v>6518</v>
      </c>
      <c r="L3599" s="270">
        <v>165900</v>
      </c>
      <c r="M3599" s="270" t="s">
        <v>3943</v>
      </c>
      <c r="N3599" s="270" t="s">
        <v>3983</v>
      </c>
      <c r="O3599" s="270">
        <v>1163.0899999999999</v>
      </c>
      <c r="P3599" s="270" t="s">
        <v>3930</v>
      </c>
      <c r="Q3599" s="270" t="s">
        <v>3931</v>
      </c>
      <c r="R3599" s="270">
        <v>6163.09</v>
      </c>
      <c r="S3599" s="270">
        <v>16504</v>
      </c>
      <c r="T3599" s="270">
        <v>22667.09</v>
      </c>
      <c r="U3599" s="271" t="s">
        <v>3932</v>
      </c>
      <c r="V3599" s="267" t="s">
        <v>944</v>
      </c>
    </row>
    <row r="3600" spans="1:22" hidden="1" x14ac:dyDescent="0.25">
      <c r="A3600" s="266">
        <v>43648</v>
      </c>
      <c r="B3600" s="267">
        <v>2019</v>
      </c>
      <c r="C3600" s="267">
        <v>2020</v>
      </c>
      <c r="D3600" s="267">
        <v>1</v>
      </c>
      <c r="E3600" s="267">
        <v>1</v>
      </c>
      <c r="F3600" s="267" t="s">
        <v>944</v>
      </c>
      <c r="G3600" s="267" t="s">
        <v>3926</v>
      </c>
      <c r="H3600" s="267" t="s">
        <v>8100</v>
      </c>
      <c r="I3600" s="267" t="s">
        <v>3968</v>
      </c>
      <c r="J3600" s="267" t="s">
        <v>3928</v>
      </c>
      <c r="K3600" s="267">
        <v>6042</v>
      </c>
      <c r="L3600" s="267">
        <v>514102</v>
      </c>
      <c r="M3600" s="267" t="s">
        <v>3935</v>
      </c>
      <c r="N3600" s="267" t="s">
        <v>3929</v>
      </c>
      <c r="O3600" s="267">
        <v>6154.83</v>
      </c>
      <c r="P3600" s="267" t="s">
        <v>3930</v>
      </c>
      <c r="Q3600" s="267" t="s">
        <v>3931</v>
      </c>
      <c r="R3600" s="267">
        <v>11154.83</v>
      </c>
      <c r="S3600" s="267">
        <v>34744</v>
      </c>
      <c r="T3600" s="267">
        <v>45898.83</v>
      </c>
      <c r="U3600" s="268" t="s">
        <v>3932</v>
      </c>
      <c r="V3600" s="267" t="s">
        <v>944</v>
      </c>
    </row>
    <row r="3601" spans="1:22" hidden="1" x14ac:dyDescent="0.25">
      <c r="A3601" s="269">
        <v>43648</v>
      </c>
      <c r="B3601" s="270">
        <v>2019</v>
      </c>
      <c r="C3601" s="270">
        <v>2020</v>
      </c>
      <c r="D3601" s="270">
        <v>1</v>
      </c>
      <c r="E3601" s="270">
        <v>1</v>
      </c>
      <c r="F3601" s="270" t="s">
        <v>944</v>
      </c>
      <c r="G3601" s="270" t="s">
        <v>3926</v>
      </c>
      <c r="H3601" s="270" t="s">
        <v>8101</v>
      </c>
      <c r="I3601" s="270" t="s">
        <v>4019</v>
      </c>
      <c r="J3601" s="270" t="s">
        <v>3928</v>
      </c>
      <c r="K3601" s="270">
        <v>6704</v>
      </c>
      <c r="L3601" s="270">
        <v>352500</v>
      </c>
      <c r="M3601" s="270">
        <v>-60</v>
      </c>
      <c r="N3601" s="270" t="s">
        <v>4103</v>
      </c>
      <c r="O3601" s="270">
        <v>1542.84</v>
      </c>
      <c r="P3601" s="270" t="s">
        <v>3930</v>
      </c>
      <c r="Q3601" s="270" t="s">
        <v>3931</v>
      </c>
      <c r="R3601" s="270">
        <v>6542.84</v>
      </c>
      <c r="S3601" s="270">
        <v>24145.599999999999</v>
      </c>
      <c r="T3601" s="270">
        <v>30688.44</v>
      </c>
      <c r="U3601" s="271" t="s">
        <v>3932</v>
      </c>
      <c r="V3601" s="267" t="s">
        <v>944</v>
      </c>
    </row>
    <row r="3602" spans="1:22" hidden="1" x14ac:dyDescent="0.25">
      <c r="A3602" s="266">
        <v>43648</v>
      </c>
      <c r="B3602" s="267">
        <v>2019</v>
      </c>
      <c r="C3602" s="267">
        <v>2020</v>
      </c>
      <c r="D3602" s="267">
        <v>1</v>
      </c>
      <c r="E3602" s="267">
        <v>1</v>
      </c>
      <c r="F3602" s="267" t="s">
        <v>944</v>
      </c>
      <c r="G3602" s="267" t="s">
        <v>3926</v>
      </c>
      <c r="H3602" s="267" t="s">
        <v>8102</v>
      </c>
      <c r="I3602" s="267" t="s">
        <v>4035</v>
      </c>
      <c r="J3602" s="267" t="s">
        <v>3928</v>
      </c>
      <c r="K3602" s="267">
        <v>6074</v>
      </c>
      <c r="L3602" s="267">
        <v>487100</v>
      </c>
      <c r="M3602" s="267" t="s">
        <v>3943</v>
      </c>
      <c r="N3602" s="267" t="s">
        <v>8103</v>
      </c>
      <c r="O3602" s="267">
        <v>0</v>
      </c>
      <c r="P3602" s="267" t="s">
        <v>3930</v>
      </c>
      <c r="Q3602" s="267" t="s">
        <v>3930</v>
      </c>
      <c r="R3602" s="267">
        <v>0</v>
      </c>
      <c r="S3602" s="267">
        <v>14008</v>
      </c>
      <c r="T3602" s="267">
        <v>14008</v>
      </c>
      <c r="U3602" s="268" t="s">
        <v>3937</v>
      </c>
      <c r="V3602" s="267" t="s">
        <v>944</v>
      </c>
    </row>
    <row r="3603" spans="1:22" hidden="1" x14ac:dyDescent="0.25">
      <c r="A3603" s="269">
        <v>43648</v>
      </c>
      <c r="B3603" s="270">
        <v>2019</v>
      </c>
      <c r="C3603" s="270">
        <v>2020</v>
      </c>
      <c r="D3603" s="270">
        <v>1</v>
      </c>
      <c r="E3603" s="270">
        <v>1</v>
      </c>
      <c r="F3603" s="270" t="s">
        <v>944</v>
      </c>
      <c r="G3603" s="270" t="s">
        <v>3926</v>
      </c>
      <c r="H3603" s="270" t="s">
        <v>8104</v>
      </c>
      <c r="I3603" s="270" t="s">
        <v>953</v>
      </c>
      <c r="J3603" s="270" t="s">
        <v>3928</v>
      </c>
      <c r="K3603" s="270">
        <v>6514</v>
      </c>
      <c r="L3603" s="270">
        <v>165801</v>
      </c>
      <c r="M3603" s="270" t="s">
        <v>3935</v>
      </c>
      <c r="N3603" s="270" t="s">
        <v>4493</v>
      </c>
      <c r="O3603" s="270">
        <v>1417.54</v>
      </c>
      <c r="P3603" s="270" t="s">
        <v>3930</v>
      </c>
      <c r="Q3603" s="270" t="s">
        <v>3931</v>
      </c>
      <c r="R3603" s="270">
        <v>6417.54</v>
      </c>
      <c r="S3603" s="270">
        <v>27900.400000000001</v>
      </c>
      <c r="T3603" s="270">
        <v>34317.94</v>
      </c>
      <c r="U3603" s="271" t="s">
        <v>3932</v>
      </c>
      <c r="V3603" s="267" t="s">
        <v>944</v>
      </c>
    </row>
    <row r="3604" spans="1:22" hidden="1" x14ac:dyDescent="0.25">
      <c r="A3604" s="266">
        <v>43648</v>
      </c>
      <c r="B3604" s="267">
        <v>2019</v>
      </c>
      <c r="C3604" s="267">
        <v>2020</v>
      </c>
      <c r="D3604" s="267">
        <v>1</v>
      </c>
      <c r="E3604" s="267">
        <v>1</v>
      </c>
      <c r="F3604" s="267" t="s">
        <v>944</v>
      </c>
      <c r="G3604" s="267" t="s">
        <v>3926</v>
      </c>
      <c r="H3604" s="267" t="s">
        <v>8105</v>
      </c>
      <c r="I3604" s="267" t="s">
        <v>3934</v>
      </c>
      <c r="J3604" s="267" t="s">
        <v>3928</v>
      </c>
      <c r="K3604" s="267">
        <v>6405</v>
      </c>
      <c r="L3604" s="267">
        <v>184700</v>
      </c>
      <c r="M3604" s="267" t="s">
        <v>3935</v>
      </c>
      <c r="N3604" s="267" t="s">
        <v>3944</v>
      </c>
      <c r="O3604" s="267">
        <v>3642</v>
      </c>
      <c r="P3604" s="267" t="s">
        <v>3944</v>
      </c>
      <c r="Q3604" s="267" t="s">
        <v>3944</v>
      </c>
      <c r="R3604" s="267">
        <v>3642</v>
      </c>
      <c r="S3604" s="267">
        <v>30378</v>
      </c>
      <c r="T3604" s="267">
        <v>34020</v>
      </c>
      <c r="U3604" s="268" t="s">
        <v>3945</v>
      </c>
      <c r="V3604" s="267" t="s">
        <v>944</v>
      </c>
    </row>
    <row r="3605" spans="1:22" hidden="1" x14ac:dyDescent="0.25">
      <c r="A3605" s="269">
        <v>43649</v>
      </c>
      <c r="B3605" s="270">
        <v>2019</v>
      </c>
      <c r="C3605" s="270">
        <v>2020</v>
      </c>
      <c r="D3605" s="270">
        <v>1</v>
      </c>
      <c r="E3605" s="270">
        <v>1</v>
      </c>
      <c r="F3605" s="270" t="s">
        <v>944</v>
      </c>
      <c r="G3605" s="270" t="s">
        <v>3926</v>
      </c>
      <c r="H3605" s="270" t="s">
        <v>8106</v>
      </c>
      <c r="I3605" s="270" t="s">
        <v>3025</v>
      </c>
      <c r="J3605" s="270" t="s">
        <v>3928</v>
      </c>
      <c r="K3605" s="270">
        <v>6473</v>
      </c>
      <c r="L3605" s="270">
        <v>167300</v>
      </c>
      <c r="M3605" s="270" t="s">
        <v>3943</v>
      </c>
      <c r="N3605" s="270" t="s">
        <v>8107</v>
      </c>
      <c r="O3605" s="270">
        <v>0</v>
      </c>
      <c r="P3605" s="270" t="s">
        <v>3930</v>
      </c>
      <c r="Q3605" s="270" t="s">
        <v>3930</v>
      </c>
      <c r="R3605" s="270">
        <v>0</v>
      </c>
      <c r="S3605" s="270">
        <v>7440</v>
      </c>
      <c r="T3605" s="270">
        <v>7440</v>
      </c>
      <c r="U3605" s="271" t="s">
        <v>3937</v>
      </c>
      <c r="V3605" s="267" t="s">
        <v>944</v>
      </c>
    </row>
    <row r="3606" spans="1:22" hidden="1" x14ac:dyDescent="0.25">
      <c r="A3606" s="266">
        <v>43649</v>
      </c>
      <c r="B3606" s="267">
        <v>2019</v>
      </c>
      <c r="C3606" s="267">
        <v>2020</v>
      </c>
      <c r="D3606" s="267">
        <v>1</v>
      </c>
      <c r="E3606" s="267">
        <v>1</v>
      </c>
      <c r="F3606" s="267" t="s">
        <v>944</v>
      </c>
      <c r="G3606" s="267" t="s">
        <v>3926</v>
      </c>
      <c r="H3606" s="267" t="s">
        <v>8108</v>
      </c>
      <c r="I3606" s="267" t="s">
        <v>3012</v>
      </c>
      <c r="J3606" s="267" t="s">
        <v>3928</v>
      </c>
      <c r="K3606" s="267">
        <v>6477</v>
      </c>
      <c r="L3606" s="267">
        <v>157100</v>
      </c>
      <c r="M3606" s="267" t="s">
        <v>3940</v>
      </c>
      <c r="N3606" s="267" t="s">
        <v>8109</v>
      </c>
      <c r="O3606" s="267">
        <v>0</v>
      </c>
      <c r="P3606" s="267" t="s">
        <v>3930</v>
      </c>
      <c r="Q3606" s="267" t="s">
        <v>3930</v>
      </c>
      <c r="R3606" s="267">
        <v>0</v>
      </c>
      <c r="S3606" s="267">
        <v>33281.42</v>
      </c>
      <c r="T3606" s="267">
        <v>33281.42</v>
      </c>
      <c r="U3606" s="268" t="s">
        <v>3937</v>
      </c>
      <c r="V3606" s="267" t="s">
        <v>944</v>
      </c>
    </row>
    <row r="3607" spans="1:22" hidden="1" x14ac:dyDescent="0.25">
      <c r="A3607" s="269">
        <v>43649</v>
      </c>
      <c r="B3607" s="270">
        <v>2019</v>
      </c>
      <c r="C3607" s="270">
        <v>2020</v>
      </c>
      <c r="D3607" s="270">
        <v>1</v>
      </c>
      <c r="E3607" s="270">
        <v>1</v>
      </c>
      <c r="F3607" s="270" t="s">
        <v>944</v>
      </c>
      <c r="G3607" s="270" t="s">
        <v>3926</v>
      </c>
      <c r="H3607" s="270" t="s">
        <v>8110</v>
      </c>
      <c r="I3607" s="270" t="s">
        <v>5659</v>
      </c>
      <c r="J3607" s="270" t="s">
        <v>3928</v>
      </c>
      <c r="K3607" s="270">
        <v>6419</v>
      </c>
      <c r="L3607" s="270">
        <v>640100</v>
      </c>
      <c r="M3607" s="270" t="s">
        <v>3943</v>
      </c>
      <c r="N3607" s="270" t="s">
        <v>8111</v>
      </c>
      <c r="O3607" s="270">
        <v>0</v>
      </c>
      <c r="P3607" s="270" t="s">
        <v>3930</v>
      </c>
      <c r="Q3607" s="270" t="s">
        <v>3930</v>
      </c>
      <c r="R3607" s="270">
        <v>0</v>
      </c>
      <c r="S3607" s="270">
        <v>20156</v>
      </c>
      <c r="T3607" s="270">
        <v>20156</v>
      </c>
      <c r="U3607" s="271" t="s">
        <v>3937</v>
      </c>
      <c r="V3607" s="267" t="s">
        <v>944</v>
      </c>
    </row>
    <row r="3608" spans="1:22" hidden="1" x14ac:dyDescent="0.25">
      <c r="A3608" s="266">
        <v>43649</v>
      </c>
      <c r="B3608" s="267">
        <v>2019</v>
      </c>
      <c r="C3608" s="267">
        <v>2020</v>
      </c>
      <c r="D3608" s="267">
        <v>1</v>
      </c>
      <c r="E3608" s="267">
        <v>1</v>
      </c>
      <c r="F3608" s="267" t="s">
        <v>944</v>
      </c>
      <c r="G3608" s="267" t="s">
        <v>3926</v>
      </c>
      <c r="H3608" s="267" t="s">
        <v>8112</v>
      </c>
      <c r="I3608" s="267" t="s">
        <v>4250</v>
      </c>
      <c r="J3608" s="267" t="s">
        <v>3928</v>
      </c>
      <c r="K3608" s="267">
        <v>6241</v>
      </c>
      <c r="L3608" s="267">
        <v>904100</v>
      </c>
      <c r="M3608" s="267" t="s">
        <v>3935</v>
      </c>
      <c r="N3608" s="267" t="s">
        <v>8113</v>
      </c>
      <c r="O3608" s="267">
        <v>3905</v>
      </c>
      <c r="P3608" s="267" t="s">
        <v>3930</v>
      </c>
      <c r="Q3608" s="267" t="s">
        <v>3930</v>
      </c>
      <c r="R3608" s="267">
        <v>3905</v>
      </c>
      <c r="S3608" s="267">
        <v>20243</v>
      </c>
      <c r="T3608" s="267">
        <v>24148</v>
      </c>
      <c r="U3608" s="268" t="s">
        <v>3937</v>
      </c>
      <c r="V3608" s="267" t="s">
        <v>944</v>
      </c>
    </row>
    <row r="3609" spans="1:22" hidden="1" x14ac:dyDescent="0.25">
      <c r="A3609" s="269">
        <v>43649</v>
      </c>
      <c r="B3609" s="270">
        <v>2019</v>
      </c>
      <c r="C3609" s="270">
        <v>2020</v>
      </c>
      <c r="D3609" s="270">
        <v>1</v>
      </c>
      <c r="E3609" s="270">
        <v>1</v>
      </c>
      <c r="F3609" s="270" t="s">
        <v>944</v>
      </c>
      <c r="G3609" s="270" t="s">
        <v>3926</v>
      </c>
      <c r="H3609" s="270" t="s">
        <v>8114</v>
      </c>
      <c r="I3609" s="270" t="s">
        <v>4046</v>
      </c>
      <c r="J3609" s="270" t="s">
        <v>3928</v>
      </c>
      <c r="K3609" s="270">
        <v>6281</v>
      </c>
      <c r="L3609" s="270">
        <v>901100</v>
      </c>
      <c r="M3609" s="270" t="s">
        <v>3960</v>
      </c>
      <c r="N3609" s="270" t="s">
        <v>8115</v>
      </c>
      <c r="O3609" s="270">
        <v>0</v>
      </c>
      <c r="P3609" s="270" t="s">
        <v>3930</v>
      </c>
      <c r="Q3609" s="270" t="s">
        <v>3930</v>
      </c>
      <c r="R3609" s="270">
        <v>0</v>
      </c>
      <c r="S3609" s="270">
        <v>12700</v>
      </c>
      <c r="T3609" s="270">
        <v>12700</v>
      </c>
      <c r="U3609" s="271" t="s">
        <v>3937</v>
      </c>
      <c r="V3609" s="267" t="s">
        <v>944</v>
      </c>
    </row>
    <row r="3610" spans="1:22" hidden="1" x14ac:dyDescent="0.25">
      <c r="A3610" s="266">
        <v>43649</v>
      </c>
      <c r="B3610" s="267">
        <v>2019</v>
      </c>
      <c r="C3610" s="267">
        <v>2020</v>
      </c>
      <c r="D3610" s="267">
        <v>1</v>
      </c>
      <c r="E3610" s="267">
        <v>1</v>
      </c>
      <c r="F3610" s="267" t="s">
        <v>944</v>
      </c>
      <c r="G3610" s="267" t="s">
        <v>3926</v>
      </c>
      <c r="H3610" s="267" t="s">
        <v>8116</v>
      </c>
      <c r="I3610" s="267" t="s">
        <v>3025</v>
      </c>
      <c r="J3610" s="267" t="s">
        <v>3928</v>
      </c>
      <c r="K3610" s="267">
        <v>6473</v>
      </c>
      <c r="L3610" s="267">
        <v>167201</v>
      </c>
      <c r="M3610" s="267" t="s">
        <v>3960</v>
      </c>
      <c r="N3610" s="267" t="s">
        <v>8117</v>
      </c>
      <c r="O3610" s="267">
        <v>0</v>
      </c>
      <c r="P3610" s="267" t="s">
        <v>3930</v>
      </c>
      <c r="Q3610" s="267" t="s">
        <v>3930</v>
      </c>
      <c r="R3610" s="267">
        <v>0</v>
      </c>
      <c r="S3610" s="267">
        <v>10499</v>
      </c>
      <c r="T3610" s="267">
        <v>10499</v>
      </c>
      <c r="U3610" s="268" t="s">
        <v>3937</v>
      </c>
      <c r="V3610" s="267" t="s">
        <v>944</v>
      </c>
    </row>
    <row r="3611" spans="1:22" hidden="1" x14ac:dyDescent="0.25">
      <c r="A3611" s="269">
        <v>43649</v>
      </c>
      <c r="B3611" s="270">
        <v>2019</v>
      </c>
      <c r="C3611" s="270">
        <v>2020</v>
      </c>
      <c r="D3611" s="270">
        <v>1</v>
      </c>
      <c r="E3611" s="270">
        <v>1</v>
      </c>
      <c r="F3611" s="270" t="s">
        <v>944</v>
      </c>
      <c r="G3611" s="270" t="s">
        <v>3926</v>
      </c>
      <c r="H3611" s="270" t="s">
        <v>8118</v>
      </c>
      <c r="I3611" s="270" t="s">
        <v>4042</v>
      </c>
      <c r="J3611" s="270" t="s">
        <v>3928</v>
      </c>
      <c r="K3611" s="270">
        <v>6370</v>
      </c>
      <c r="L3611" s="270">
        <v>695201</v>
      </c>
      <c r="M3611" s="270" t="s">
        <v>3935</v>
      </c>
      <c r="N3611" s="270" t="s">
        <v>8119</v>
      </c>
      <c r="O3611" s="270">
        <v>0</v>
      </c>
      <c r="P3611" s="270" t="s">
        <v>3930</v>
      </c>
      <c r="Q3611" s="270" t="s">
        <v>3930</v>
      </c>
      <c r="R3611" s="270">
        <v>0</v>
      </c>
      <c r="S3611" s="270">
        <v>7400</v>
      </c>
      <c r="T3611" s="270">
        <v>7400</v>
      </c>
      <c r="U3611" s="271" t="s">
        <v>3937</v>
      </c>
      <c r="V3611" s="267" t="s">
        <v>944</v>
      </c>
    </row>
    <row r="3612" spans="1:22" hidden="1" x14ac:dyDescent="0.25">
      <c r="A3612" s="266">
        <v>43649</v>
      </c>
      <c r="B3612" s="267">
        <v>2019</v>
      </c>
      <c r="C3612" s="267">
        <v>2020</v>
      </c>
      <c r="D3612" s="267">
        <v>1</v>
      </c>
      <c r="E3612" s="267">
        <v>1</v>
      </c>
      <c r="F3612" s="267" t="s">
        <v>944</v>
      </c>
      <c r="G3612" s="267" t="s">
        <v>3926</v>
      </c>
      <c r="H3612" s="267" t="s">
        <v>8120</v>
      </c>
      <c r="I3612" s="267" t="s">
        <v>934</v>
      </c>
      <c r="J3612" s="267" t="s">
        <v>3928</v>
      </c>
      <c r="K3612" s="267">
        <v>6606</v>
      </c>
      <c r="L3612" s="267">
        <v>72400</v>
      </c>
      <c r="M3612" s="267" t="s">
        <v>3940</v>
      </c>
      <c r="N3612" s="267" t="s">
        <v>8121</v>
      </c>
      <c r="O3612" s="267">
        <v>4410.2299999999996</v>
      </c>
      <c r="P3612" s="267" t="s">
        <v>3930</v>
      </c>
      <c r="Q3612" s="267" t="s">
        <v>3931</v>
      </c>
      <c r="R3612" s="267">
        <v>9410.23</v>
      </c>
      <c r="S3612" s="267">
        <v>22399.9</v>
      </c>
      <c r="T3612" s="267">
        <v>31810.13</v>
      </c>
      <c r="U3612" s="268" t="s">
        <v>3932</v>
      </c>
      <c r="V3612" s="267" t="s">
        <v>944</v>
      </c>
    </row>
    <row r="3613" spans="1:22" hidden="1" x14ac:dyDescent="0.25">
      <c r="A3613" s="269">
        <v>43649</v>
      </c>
      <c r="B3613" s="270">
        <v>2019</v>
      </c>
      <c r="C3613" s="270">
        <v>2020</v>
      </c>
      <c r="D3613" s="270">
        <v>1</v>
      </c>
      <c r="E3613" s="270">
        <v>1</v>
      </c>
      <c r="F3613" s="270" t="s">
        <v>944</v>
      </c>
      <c r="G3613" s="270" t="s">
        <v>3926</v>
      </c>
      <c r="H3613" s="270" t="s">
        <v>8122</v>
      </c>
      <c r="I3613" s="270" t="s">
        <v>4407</v>
      </c>
      <c r="J3613" s="270" t="s">
        <v>3928</v>
      </c>
      <c r="K3613" s="270">
        <v>6238</v>
      </c>
      <c r="L3613" s="270">
        <v>850200</v>
      </c>
      <c r="M3613" s="270" t="s">
        <v>3960</v>
      </c>
      <c r="N3613" s="270" t="s">
        <v>3944</v>
      </c>
      <c r="O3613" s="270">
        <v>2727</v>
      </c>
      <c r="P3613" s="270" t="s">
        <v>3944</v>
      </c>
      <c r="Q3613" s="270" t="s">
        <v>3944</v>
      </c>
      <c r="R3613" s="270">
        <v>2727</v>
      </c>
      <c r="S3613" s="270">
        <v>19119.13</v>
      </c>
      <c r="T3613" s="270">
        <v>21846.13</v>
      </c>
      <c r="U3613" s="271" t="s">
        <v>3945</v>
      </c>
      <c r="V3613" s="267" t="s">
        <v>944</v>
      </c>
    </row>
    <row r="3614" spans="1:22" hidden="1" x14ac:dyDescent="0.25">
      <c r="A3614" s="266">
        <v>43649</v>
      </c>
      <c r="B3614" s="267">
        <v>2019</v>
      </c>
      <c r="C3614" s="267">
        <v>2020</v>
      </c>
      <c r="D3614" s="267">
        <v>1</v>
      </c>
      <c r="E3614" s="267">
        <v>1</v>
      </c>
      <c r="F3614" s="267" t="s">
        <v>944</v>
      </c>
      <c r="G3614" s="267" t="s">
        <v>3926</v>
      </c>
      <c r="H3614" s="267" t="s">
        <v>8123</v>
      </c>
      <c r="I3614" s="267" t="s">
        <v>4353</v>
      </c>
      <c r="J3614" s="267" t="s">
        <v>3928</v>
      </c>
      <c r="K3614" s="267">
        <v>6416</v>
      </c>
      <c r="L3614" s="267">
        <v>570100</v>
      </c>
      <c r="M3614" s="267" t="s">
        <v>3960</v>
      </c>
      <c r="N3614" s="267" t="s">
        <v>3944</v>
      </c>
      <c r="O3614" s="267">
        <v>1935.01</v>
      </c>
      <c r="P3614" s="267" t="s">
        <v>3944</v>
      </c>
      <c r="Q3614" s="267" t="s">
        <v>3944</v>
      </c>
      <c r="R3614" s="267">
        <v>1935.01</v>
      </c>
      <c r="S3614" s="267">
        <v>24681.99</v>
      </c>
      <c r="T3614" s="267">
        <v>26617</v>
      </c>
      <c r="U3614" s="268" t="s">
        <v>3945</v>
      </c>
      <c r="V3614" s="267" t="s">
        <v>944</v>
      </c>
    </row>
    <row r="3615" spans="1:22" hidden="1" x14ac:dyDescent="0.25">
      <c r="A3615" s="269">
        <v>43649</v>
      </c>
      <c r="B3615" s="270">
        <v>2019</v>
      </c>
      <c r="C3615" s="270">
        <v>2020</v>
      </c>
      <c r="D3615" s="270">
        <v>1</v>
      </c>
      <c r="E3615" s="270">
        <v>1</v>
      </c>
      <c r="F3615" s="270" t="s">
        <v>944</v>
      </c>
      <c r="G3615" s="270" t="s">
        <v>3926</v>
      </c>
      <c r="H3615" s="270" t="s">
        <v>8124</v>
      </c>
      <c r="I3615" s="270" t="s">
        <v>3968</v>
      </c>
      <c r="J3615" s="270" t="s">
        <v>3928</v>
      </c>
      <c r="K3615" s="270">
        <v>6040</v>
      </c>
      <c r="L3615" s="270">
        <v>515102</v>
      </c>
      <c r="M3615" s="270" t="s">
        <v>3935</v>
      </c>
      <c r="N3615" s="270" t="s">
        <v>3944</v>
      </c>
      <c r="O3615" s="270">
        <v>1546.13</v>
      </c>
      <c r="P3615" s="270" t="s">
        <v>3944</v>
      </c>
      <c r="Q3615" s="270" t="s">
        <v>3944</v>
      </c>
      <c r="R3615" s="270">
        <v>1546.13</v>
      </c>
      <c r="S3615" s="270">
        <v>19937.87</v>
      </c>
      <c r="T3615" s="270">
        <v>21484</v>
      </c>
      <c r="U3615" s="271" t="s">
        <v>3945</v>
      </c>
      <c r="V3615" s="267" t="s">
        <v>944</v>
      </c>
    </row>
    <row r="3616" spans="1:22" hidden="1" x14ac:dyDescent="0.25">
      <c r="A3616" s="266">
        <v>43650</v>
      </c>
      <c r="B3616" s="267">
        <v>2019</v>
      </c>
      <c r="C3616" s="267">
        <v>2020</v>
      </c>
      <c r="D3616" s="267">
        <v>1</v>
      </c>
      <c r="E3616" s="267">
        <v>1</v>
      </c>
      <c r="F3616" s="267" t="s">
        <v>944</v>
      </c>
      <c r="G3616" s="267" t="s">
        <v>3926</v>
      </c>
      <c r="H3616" s="267" t="s">
        <v>8125</v>
      </c>
      <c r="I3616" s="267" t="s">
        <v>934</v>
      </c>
      <c r="J3616" s="267" t="s">
        <v>3928</v>
      </c>
      <c r="K3616" s="267">
        <v>6601</v>
      </c>
      <c r="L3616" s="267">
        <v>240200</v>
      </c>
      <c r="M3616" s="267" t="s">
        <v>3943</v>
      </c>
      <c r="N3616" s="267" t="s">
        <v>7680</v>
      </c>
      <c r="O3616" s="267">
        <v>2307.9499999999998</v>
      </c>
      <c r="P3616" s="267" t="s">
        <v>3930</v>
      </c>
      <c r="Q3616" s="267" t="s">
        <v>3931</v>
      </c>
      <c r="R3616" s="267">
        <v>7307.95</v>
      </c>
      <c r="S3616" s="267">
        <v>11128</v>
      </c>
      <c r="T3616" s="267">
        <v>18435.95</v>
      </c>
      <c r="U3616" s="268" t="s">
        <v>3932</v>
      </c>
      <c r="V3616" s="267" t="s">
        <v>944</v>
      </c>
    </row>
    <row r="3617" spans="1:22" hidden="1" x14ac:dyDescent="0.25">
      <c r="A3617" s="269">
        <v>43650</v>
      </c>
      <c r="B3617" s="270">
        <v>2019</v>
      </c>
      <c r="C3617" s="270">
        <v>2020</v>
      </c>
      <c r="D3617" s="270">
        <v>1</v>
      </c>
      <c r="E3617" s="270">
        <v>1</v>
      </c>
      <c r="F3617" s="270" t="s">
        <v>944</v>
      </c>
      <c r="G3617" s="270" t="s">
        <v>3926</v>
      </c>
      <c r="H3617" s="270" t="s">
        <v>8126</v>
      </c>
      <c r="I3617" s="270" t="s">
        <v>4042</v>
      </c>
      <c r="J3617" s="270" t="s">
        <v>3928</v>
      </c>
      <c r="K3617" s="270">
        <v>6382</v>
      </c>
      <c r="L3617" s="270">
        <v>695201</v>
      </c>
      <c r="M3617" s="270" t="s">
        <v>3935</v>
      </c>
      <c r="N3617" s="270" t="s">
        <v>6873</v>
      </c>
      <c r="O3617" s="270">
        <v>0</v>
      </c>
      <c r="P3617" s="270" t="s">
        <v>3930</v>
      </c>
      <c r="Q3617" s="270" t="s">
        <v>3930</v>
      </c>
      <c r="R3617" s="270">
        <v>0</v>
      </c>
      <c r="S3617" s="270">
        <v>7200</v>
      </c>
      <c r="T3617" s="270">
        <v>7200</v>
      </c>
      <c r="U3617" s="271" t="s">
        <v>3937</v>
      </c>
      <c r="V3617" s="267" t="s">
        <v>944</v>
      </c>
    </row>
    <row r="3618" spans="1:22" hidden="1" x14ac:dyDescent="0.25">
      <c r="A3618" s="266">
        <v>43651</v>
      </c>
      <c r="B3618" s="267">
        <v>2019</v>
      </c>
      <c r="C3618" s="267">
        <v>2020</v>
      </c>
      <c r="D3618" s="267">
        <v>1</v>
      </c>
      <c r="E3618" s="267">
        <v>1</v>
      </c>
      <c r="F3618" s="267" t="s">
        <v>944</v>
      </c>
      <c r="G3618" s="267" t="s">
        <v>3926</v>
      </c>
      <c r="H3618" s="267" t="s">
        <v>8127</v>
      </c>
      <c r="I3618" s="267" t="s">
        <v>2985</v>
      </c>
      <c r="J3618" s="267" t="s">
        <v>3928</v>
      </c>
      <c r="K3618" s="267">
        <v>6825</v>
      </c>
      <c r="L3618" s="267">
        <v>60100</v>
      </c>
      <c r="M3618" s="267" t="s">
        <v>3943</v>
      </c>
      <c r="N3618" s="267" t="s">
        <v>8128</v>
      </c>
      <c r="O3618" s="267">
        <v>0</v>
      </c>
      <c r="P3618" s="267" t="s">
        <v>3930</v>
      </c>
      <c r="Q3618" s="267" t="s">
        <v>3930</v>
      </c>
      <c r="R3618" s="267">
        <v>0</v>
      </c>
      <c r="S3618" s="267">
        <v>9900</v>
      </c>
      <c r="T3618" s="267">
        <v>9900</v>
      </c>
      <c r="U3618" s="268" t="s">
        <v>3937</v>
      </c>
      <c r="V3618" s="267" t="s">
        <v>944</v>
      </c>
    </row>
    <row r="3619" spans="1:22" hidden="1" x14ac:dyDescent="0.25">
      <c r="A3619" s="269">
        <v>43651</v>
      </c>
      <c r="B3619" s="270">
        <v>2019</v>
      </c>
      <c r="C3619" s="270">
        <v>2020</v>
      </c>
      <c r="D3619" s="270">
        <v>1</v>
      </c>
      <c r="E3619" s="270">
        <v>1</v>
      </c>
      <c r="F3619" s="270" t="s">
        <v>944</v>
      </c>
      <c r="G3619" s="270" t="s">
        <v>3926</v>
      </c>
      <c r="H3619" s="270" t="s">
        <v>8129</v>
      </c>
      <c r="I3619" s="270" t="s">
        <v>4037</v>
      </c>
      <c r="J3619" s="270" t="s">
        <v>3928</v>
      </c>
      <c r="K3619" s="270">
        <v>6811</v>
      </c>
      <c r="L3619" s="270">
        <v>210900</v>
      </c>
      <c r="M3619" s="270" t="s">
        <v>3943</v>
      </c>
      <c r="N3619" s="270" t="s">
        <v>4103</v>
      </c>
      <c r="O3619" s="270">
        <v>4227.33</v>
      </c>
      <c r="P3619" s="270" t="s">
        <v>3930</v>
      </c>
      <c r="Q3619" s="270" t="s">
        <v>3931</v>
      </c>
      <c r="R3619" s="270">
        <v>9227.33</v>
      </c>
      <c r="S3619" s="270">
        <v>24145.599999999999</v>
      </c>
      <c r="T3619" s="270">
        <v>33372.93</v>
      </c>
      <c r="U3619" s="271" t="s">
        <v>3932</v>
      </c>
      <c r="V3619" s="267" t="s">
        <v>944</v>
      </c>
    </row>
    <row r="3620" spans="1:22" hidden="1" x14ac:dyDescent="0.25">
      <c r="A3620" s="266">
        <v>43651</v>
      </c>
      <c r="B3620" s="267">
        <v>2019</v>
      </c>
      <c r="C3620" s="267">
        <v>2020</v>
      </c>
      <c r="D3620" s="267">
        <v>1</v>
      </c>
      <c r="E3620" s="267">
        <v>1</v>
      </c>
      <c r="F3620" s="267" t="s">
        <v>944</v>
      </c>
      <c r="G3620" s="267" t="s">
        <v>3926</v>
      </c>
      <c r="H3620" s="267" t="s">
        <v>8130</v>
      </c>
      <c r="I3620" s="267" t="s">
        <v>3009</v>
      </c>
      <c r="J3620" s="267" t="s">
        <v>3928</v>
      </c>
      <c r="K3620" s="267">
        <v>6484</v>
      </c>
      <c r="L3620" s="267">
        <v>110202</v>
      </c>
      <c r="M3620" s="267" t="s">
        <v>3935</v>
      </c>
      <c r="N3620" s="267" t="s">
        <v>4103</v>
      </c>
      <c r="O3620" s="267">
        <v>4216.47</v>
      </c>
      <c r="P3620" s="267" t="s">
        <v>3930</v>
      </c>
      <c r="Q3620" s="267" t="s">
        <v>3931</v>
      </c>
      <c r="R3620" s="267">
        <v>9216.4699999999993</v>
      </c>
      <c r="S3620" s="267">
        <v>24145.599999999999</v>
      </c>
      <c r="T3620" s="267">
        <v>33362.07</v>
      </c>
      <c r="U3620" s="268" t="s">
        <v>3932</v>
      </c>
      <c r="V3620" s="267" t="s">
        <v>944</v>
      </c>
    </row>
    <row r="3621" spans="1:22" hidden="1" x14ac:dyDescent="0.25">
      <c r="A3621" s="269">
        <v>43651</v>
      </c>
      <c r="B3621" s="270">
        <v>2019</v>
      </c>
      <c r="C3621" s="270">
        <v>2020</v>
      </c>
      <c r="D3621" s="270">
        <v>1</v>
      </c>
      <c r="E3621" s="270">
        <v>1</v>
      </c>
      <c r="F3621" s="270" t="s">
        <v>944</v>
      </c>
      <c r="G3621" s="270" t="s">
        <v>3926</v>
      </c>
      <c r="H3621" s="270" t="s">
        <v>8131</v>
      </c>
      <c r="I3621" s="270" t="s">
        <v>3954</v>
      </c>
      <c r="J3621" s="270" t="s">
        <v>3928</v>
      </c>
      <c r="K3621" s="270">
        <v>6333</v>
      </c>
      <c r="L3621" s="270">
        <v>716102</v>
      </c>
      <c r="M3621" s="270" t="s">
        <v>3943</v>
      </c>
      <c r="N3621" s="270" t="s">
        <v>8132</v>
      </c>
      <c r="O3621" s="270">
        <v>0</v>
      </c>
      <c r="P3621" s="270" t="s">
        <v>3930</v>
      </c>
      <c r="Q3621" s="270" t="s">
        <v>3930</v>
      </c>
      <c r="R3621" s="270">
        <v>0</v>
      </c>
      <c r="S3621" s="270">
        <v>8280</v>
      </c>
      <c r="T3621" s="270">
        <v>8280</v>
      </c>
      <c r="U3621" s="271" t="s">
        <v>3937</v>
      </c>
      <c r="V3621" s="267" t="s">
        <v>944</v>
      </c>
    </row>
    <row r="3622" spans="1:22" hidden="1" x14ac:dyDescent="0.25">
      <c r="A3622" s="266">
        <v>43651</v>
      </c>
      <c r="B3622" s="267">
        <v>2019</v>
      </c>
      <c r="C3622" s="267">
        <v>2020</v>
      </c>
      <c r="D3622" s="267">
        <v>1</v>
      </c>
      <c r="E3622" s="267">
        <v>1</v>
      </c>
      <c r="F3622" s="267" t="s">
        <v>944</v>
      </c>
      <c r="G3622" s="267" t="s">
        <v>3926</v>
      </c>
      <c r="H3622" s="267" t="s">
        <v>8133</v>
      </c>
      <c r="I3622" s="267" t="s">
        <v>3975</v>
      </c>
      <c r="J3622" s="267" t="s">
        <v>3928</v>
      </c>
      <c r="K3622" s="267">
        <v>6479</v>
      </c>
      <c r="L3622" s="267">
        <v>430500</v>
      </c>
      <c r="M3622" s="267" t="s">
        <v>3943</v>
      </c>
      <c r="N3622" s="267" t="s">
        <v>3944</v>
      </c>
      <c r="O3622" s="267">
        <v>1554.42</v>
      </c>
      <c r="P3622" s="267" t="s">
        <v>3944</v>
      </c>
      <c r="Q3622" s="267" t="s">
        <v>3944</v>
      </c>
      <c r="R3622" s="267">
        <v>1554.42</v>
      </c>
      <c r="S3622" s="267">
        <v>19494.11</v>
      </c>
      <c r="T3622" s="267">
        <v>21048.53</v>
      </c>
      <c r="U3622" s="268" t="s">
        <v>3945</v>
      </c>
      <c r="V3622" s="267" t="s">
        <v>944</v>
      </c>
    </row>
    <row r="3623" spans="1:22" hidden="1" x14ac:dyDescent="0.25">
      <c r="A3623" s="269">
        <v>43651</v>
      </c>
      <c r="B3623" s="270">
        <v>2019</v>
      </c>
      <c r="C3623" s="270">
        <v>2020</v>
      </c>
      <c r="D3623" s="270">
        <v>1</v>
      </c>
      <c r="E3623" s="270">
        <v>1</v>
      </c>
      <c r="F3623" s="270" t="s">
        <v>944</v>
      </c>
      <c r="G3623" s="270" t="s">
        <v>3926</v>
      </c>
      <c r="H3623" s="270" t="s">
        <v>8134</v>
      </c>
      <c r="I3623" s="270" t="s">
        <v>3008</v>
      </c>
      <c r="J3623" s="270" t="s">
        <v>3928</v>
      </c>
      <c r="K3623" s="270">
        <v>6460</v>
      </c>
      <c r="L3623" s="270">
        <v>150500</v>
      </c>
      <c r="M3623" s="270" t="s">
        <v>3960</v>
      </c>
      <c r="N3623" s="270" t="s">
        <v>3944</v>
      </c>
      <c r="O3623" s="270">
        <v>1316.35</v>
      </c>
      <c r="P3623" s="270" t="s">
        <v>3944</v>
      </c>
      <c r="Q3623" s="270" t="s">
        <v>3944</v>
      </c>
      <c r="R3623" s="270">
        <v>1316.35</v>
      </c>
      <c r="S3623" s="270">
        <v>21567.14</v>
      </c>
      <c r="T3623" s="270">
        <v>22883.49</v>
      </c>
      <c r="U3623" s="271" t="s">
        <v>3945</v>
      </c>
      <c r="V3623" s="267" t="s">
        <v>944</v>
      </c>
    </row>
    <row r="3624" spans="1:22" hidden="1" x14ac:dyDescent="0.25">
      <c r="A3624" s="266">
        <v>43651</v>
      </c>
      <c r="B3624" s="267">
        <v>2019</v>
      </c>
      <c r="C3624" s="267">
        <v>2020</v>
      </c>
      <c r="D3624" s="267">
        <v>1</v>
      </c>
      <c r="E3624" s="267">
        <v>1</v>
      </c>
      <c r="F3624" s="267" t="s">
        <v>944</v>
      </c>
      <c r="G3624" s="267" t="s">
        <v>3926</v>
      </c>
      <c r="H3624" s="267" t="s">
        <v>8135</v>
      </c>
      <c r="I3624" s="267" t="s">
        <v>3996</v>
      </c>
      <c r="J3624" s="267" t="s">
        <v>3928</v>
      </c>
      <c r="K3624" s="267">
        <v>6790</v>
      </c>
      <c r="L3624" s="267">
        <v>310500</v>
      </c>
      <c r="M3624" s="267" t="s">
        <v>3940</v>
      </c>
      <c r="N3624" s="267" t="s">
        <v>3944</v>
      </c>
      <c r="O3624" s="267">
        <v>2822.44</v>
      </c>
      <c r="P3624" s="267" t="s">
        <v>3944</v>
      </c>
      <c r="Q3624" s="267" t="s">
        <v>3944</v>
      </c>
      <c r="R3624" s="267">
        <v>2822.44</v>
      </c>
      <c r="S3624" s="267">
        <v>38434.629999999997</v>
      </c>
      <c r="T3624" s="267">
        <v>41257.07</v>
      </c>
      <c r="U3624" s="268" t="s">
        <v>3945</v>
      </c>
      <c r="V3624" s="267" t="s">
        <v>944</v>
      </c>
    </row>
    <row r="3625" spans="1:22" hidden="1" x14ac:dyDescent="0.25">
      <c r="A3625" s="269">
        <v>43651</v>
      </c>
      <c r="B3625" s="270">
        <v>2019</v>
      </c>
      <c r="C3625" s="270">
        <v>2020</v>
      </c>
      <c r="D3625" s="270">
        <v>1</v>
      </c>
      <c r="E3625" s="270">
        <v>1</v>
      </c>
      <c r="F3625" s="270" t="s">
        <v>944</v>
      </c>
      <c r="G3625" s="270" t="s">
        <v>3926</v>
      </c>
      <c r="H3625" s="270" t="s">
        <v>8136</v>
      </c>
      <c r="I3625" s="270" t="s">
        <v>4037</v>
      </c>
      <c r="J3625" s="270" t="s">
        <v>3928</v>
      </c>
      <c r="K3625" s="270">
        <v>6810</v>
      </c>
      <c r="L3625" s="270">
        <v>210400</v>
      </c>
      <c r="M3625" s="270" t="s">
        <v>3935</v>
      </c>
      <c r="N3625" s="270" t="s">
        <v>3944</v>
      </c>
      <c r="O3625" s="270">
        <v>2279.27</v>
      </c>
      <c r="P3625" s="270" t="s">
        <v>3944</v>
      </c>
      <c r="Q3625" s="270" t="s">
        <v>3944</v>
      </c>
      <c r="R3625" s="270">
        <v>2279.27</v>
      </c>
      <c r="S3625" s="270">
        <v>33043.15</v>
      </c>
      <c r="T3625" s="270">
        <v>35322.42</v>
      </c>
      <c r="U3625" s="271" t="s">
        <v>3945</v>
      </c>
      <c r="V3625" s="267" t="s">
        <v>944</v>
      </c>
    </row>
    <row r="3626" spans="1:22" hidden="1" x14ac:dyDescent="0.25">
      <c r="A3626" s="266">
        <v>43651</v>
      </c>
      <c r="B3626" s="267">
        <v>2019</v>
      </c>
      <c r="C3626" s="267">
        <v>2020</v>
      </c>
      <c r="D3626" s="267">
        <v>1</v>
      </c>
      <c r="E3626" s="267">
        <v>1</v>
      </c>
      <c r="F3626" s="267" t="s">
        <v>944</v>
      </c>
      <c r="G3626" s="267" t="s">
        <v>3926</v>
      </c>
      <c r="H3626" s="267" t="s">
        <v>8137</v>
      </c>
      <c r="I3626" s="267" t="s">
        <v>3008</v>
      </c>
      <c r="J3626" s="267" t="s">
        <v>3928</v>
      </c>
      <c r="K3626" s="267">
        <v>6460</v>
      </c>
      <c r="L3626" s="267">
        <v>150200</v>
      </c>
      <c r="M3626" s="267" t="s">
        <v>3935</v>
      </c>
      <c r="N3626" s="267" t="s">
        <v>3944</v>
      </c>
      <c r="O3626" s="267">
        <v>1403.47</v>
      </c>
      <c r="P3626" s="267" t="s">
        <v>3944</v>
      </c>
      <c r="Q3626" s="267" t="s">
        <v>3944</v>
      </c>
      <c r="R3626" s="267">
        <v>1403.47</v>
      </c>
      <c r="S3626" s="267">
        <v>22224.55</v>
      </c>
      <c r="T3626" s="267">
        <v>23628.02</v>
      </c>
      <c r="U3626" s="268" t="s">
        <v>3945</v>
      </c>
      <c r="V3626" s="267" t="s">
        <v>944</v>
      </c>
    </row>
    <row r="3627" spans="1:22" hidden="1" x14ac:dyDescent="0.25">
      <c r="A3627" s="269">
        <v>43651</v>
      </c>
      <c r="B3627" s="270">
        <v>2019</v>
      </c>
      <c r="C3627" s="270">
        <v>2020</v>
      </c>
      <c r="D3627" s="270">
        <v>1</v>
      </c>
      <c r="E3627" s="270">
        <v>1</v>
      </c>
      <c r="F3627" s="270" t="s">
        <v>944</v>
      </c>
      <c r="G3627" s="270" t="s">
        <v>3926</v>
      </c>
      <c r="H3627" s="270" t="s">
        <v>8138</v>
      </c>
      <c r="I3627" s="270" t="s">
        <v>953</v>
      </c>
      <c r="J3627" s="270" t="s">
        <v>3928</v>
      </c>
      <c r="K3627" s="270">
        <v>6518</v>
      </c>
      <c r="L3627" s="270">
        <v>166002</v>
      </c>
      <c r="M3627" s="270" t="s">
        <v>3960</v>
      </c>
      <c r="N3627" s="270" t="s">
        <v>3944</v>
      </c>
      <c r="O3627" s="270">
        <v>1691.52</v>
      </c>
      <c r="P3627" s="270" t="s">
        <v>3944</v>
      </c>
      <c r="Q3627" s="270" t="s">
        <v>3944</v>
      </c>
      <c r="R3627" s="270">
        <v>1691.52</v>
      </c>
      <c r="S3627" s="270">
        <v>26104.47</v>
      </c>
      <c r="T3627" s="270">
        <v>27795.99</v>
      </c>
      <c r="U3627" s="271" t="s">
        <v>3945</v>
      </c>
      <c r="V3627" s="267" t="s">
        <v>944</v>
      </c>
    </row>
    <row r="3628" spans="1:22" hidden="1" x14ac:dyDescent="0.25">
      <c r="A3628" s="266">
        <v>43651</v>
      </c>
      <c r="B3628" s="267">
        <v>2019</v>
      </c>
      <c r="C3628" s="267">
        <v>2020</v>
      </c>
      <c r="D3628" s="267">
        <v>1</v>
      </c>
      <c r="E3628" s="267">
        <v>1</v>
      </c>
      <c r="F3628" s="267" t="s">
        <v>944</v>
      </c>
      <c r="G3628" s="267" t="s">
        <v>3926</v>
      </c>
      <c r="H3628" s="267" t="s">
        <v>8139</v>
      </c>
      <c r="I3628" s="267" t="s">
        <v>4046</v>
      </c>
      <c r="J3628" s="267" t="s">
        <v>3928</v>
      </c>
      <c r="K3628" s="267">
        <v>6281</v>
      </c>
      <c r="L3628" s="267">
        <v>901100</v>
      </c>
      <c r="M3628" s="267" t="s">
        <v>3960</v>
      </c>
      <c r="N3628" s="267" t="s">
        <v>3944</v>
      </c>
      <c r="O3628" s="267">
        <v>3626.32</v>
      </c>
      <c r="P3628" s="267" t="s">
        <v>3944</v>
      </c>
      <c r="Q3628" s="267" t="s">
        <v>3944</v>
      </c>
      <c r="R3628" s="267">
        <v>3626.32</v>
      </c>
      <c r="S3628" s="267">
        <v>52635.78</v>
      </c>
      <c r="T3628" s="267">
        <v>56262.1</v>
      </c>
      <c r="U3628" s="268" t="s">
        <v>3945</v>
      </c>
      <c r="V3628" s="267" t="s">
        <v>944</v>
      </c>
    </row>
    <row r="3629" spans="1:22" hidden="1" x14ac:dyDescent="0.25">
      <c r="A3629" s="269">
        <v>43651</v>
      </c>
      <c r="B3629" s="270">
        <v>2019</v>
      </c>
      <c r="C3629" s="270">
        <v>2020</v>
      </c>
      <c r="D3629" s="270">
        <v>1</v>
      </c>
      <c r="E3629" s="270">
        <v>1</v>
      </c>
      <c r="F3629" s="270" t="s">
        <v>944</v>
      </c>
      <c r="G3629" s="270" t="s">
        <v>3926</v>
      </c>
      <c r="H3629" s="270" t="s">
        <v>8140</v>
      </c>
      <c r="I3629" s="270" t="s">
        <v>934</v>
      </c>
      <c r="J3629" s="270" t="s">
        <v>3928</v>
      </c>
      <c r="K3629" s="270">
        <v>6610</v>
      </c>
      <c r="L3629" s="270">
        <v>73200</v>
      </c>
      <c r="M3629" s="270">
        <v>-60</v>
      </c>
      <c r="N3629" s="270" t="s">
        <v>3944</v>
      </c>
      <c r="O3629" s="270">
        <v>545.86</v>
      </c>
      <c r="P3629" s="270" t="s">
        <v>3944</v>
      </c>
      <c r="Q3629" s="270" t="s">
        <v>3944</v>
      </c>
      <c r="R3629" s="270">
        <v>545.86</v>
      </c>
      <c r="S3629" s="270">
        <v>7810.03</v>
      </c>
      <c r="T3629" s="270">
        <v>8355.89</v>
      </c>
      <c r="U3629" s="271" t="s">
        <v>3945</v>
      </c>
      <c r="V3629" s="267" t="s">
        <v>944</v>
      </c>
    </row>
    <row r="3630" spans="1:22" hidden="1" x14ac:dyDescent="0.25">
      <c r="A3630" s="266">
        <v>43651</v>
      </c>
      <c r="B3630" s="267">
        <v>2019</v>
      </c>
      <c r="C3630" s="267">
        <v>2020</v>
      </c>
      <c r="D3630" s="267">
        <v>1</v>
      </c>
      <c r="E3630" s="267">
        <v>1</v>
      </c>
      <c r="F3630" s="267" t="s">
        <v>944</v>
      </c>
      <c r="G3630" s="267" t="s">
        <v>3926</v>
      </c>
      <c r="H3630" s="267" t="s">
        <v>8141</v>
      </c>
      <c r="I3630" s="267" t="s">
        <v>3008</v>
      </c>
      <c r="J3630" s="267" t="s">
        <v>3928</v>
      </c>
      <c r="K3630" s="267">
        <v>6460</v>
      </c>
      <c r="L3630" s="267">
        <v>150200</v>
      </c>
      <c r="M3630" s="267" t="s">
        <v>3935</v>
      </c>
      <c r="N3630" s="267" t="s">
        <v>3944</v>
      </c>
      <c r="O3630" s="267">
        <v>1080.1400000000001</v>
      </c>
      <c r="P3630" s="267" t="s">
        <v>3944</v>
      </c>
      <c r="Q3630" s="267" t="s">
        <v>3944</v>
      </c>
      <c r="R3630" s="267">
        <v>1080.1400000000001</v>
      </c>
      <c r="S3630" s="267">
        <v>17354.68</v>
      </c>
      <c r="T3630" s="267">
        <v>18434.82</v>
      </c>
      <c r="U3630" s="268" t="s">
        <v>3945</v>
      </c>
      <c r="V3630" s="267" t="s">
        <v>944</v>
      </c>
    </row>
    <row r="3631" spans="1:22" hidden="1" x14ac:dyDescent="0.25">
      <c r="A3631" s="269">
        <v>43651</v>
      </c>
      <c r="B3631" s="270">
        <v>2019</v>
      </c>
      <c r="C3631" s="270">
        <v>2020</v>
      </c>
      <c r="D3631" s="270">
        <v>1</v>
      </c>
      <c r="E3631" s="270">
        <v>1</v>
      </c>
      <c r="F3631" s="270" t="s">
        <v>944</v>
      </c>
      <c r="G3631" s="270" t="s">
        <v>3926</v>
      </c>
      <c r="H3631" s="270" t="s">
        <v>8142</v>
      </c>
      <c r="I3631" s="270" t="s">
        <v>3956</v>
      </c>
      <c r="J3631" s="270" t="s">
        <v>3928</v>
      </c>
      <c r="K3631" s="270">
        <v>6112</v>
      </c>
      <c r="L3631" s="270">
        <v>503900</v>
      </c>
      <c r="M3631" s="270">
        <v>-60</v>
      </c>
      <c r="N3631" s="270" t="s">
        <v>3944</v>
      </c>
      <c r="O3631" s="270">
        <v>1144.4000000000001</v>
      </c>
      <c r="P3631" s="270" t="s">
        <v>3944</v>
      </c>
      <c r="Q3631" s="270" t="s">
        <v>3944</v>
      </c>
      <c r="R3631" s="270">
        <v>1144.4000000000001</v>
      </c>
      <c r="S3631" s="270">
        <v>17462.13</v>
      </c>
      <c r="T3631" s="270">
        <v>18606.53</v>
      </c>
      <c r="U3631" s="271" t="s">
        <v>3945</v>
      </c>
      <c r="V3631" s="267" t="s">
        <v>944</v>
      </c>
    </row>
    <row r="3632" spans="1:22" hidden="1" x14ac:dyDescent="0.25">
      <c r="A3632" s="266">
        <v>43651</v>
      </c>
      <c r="B3632" s="267">
        <v>2019</v>
      </c>
      <c r="C3632" s="267">
        <v>2020</v>
      </c>
      <c r="D3632" s="267">
        <v>1</v>
      </c>
      <c r="E3632" s="267">
        <v>1</v>
      </c>
      <c r="F3632" s="267" t="s">
        <v>944</v>
      </c>
      <c r="G3632" s="267" t="s">
        <v>3926</v>
      </c>
      <c r="H3632" s="267" t="s">
        <v>8143</v>
      </c>
      <c r="I3632" s="267" t="s">
        <v>4037</v>
      </c>
      <c r="J3632" s="267" t="s">
        <v>3928</v>
      </c>
      <c r="K3632" s="267">
        <v>6810</v>
      </c>
      <c r="L3632" s="267">
        <v>210200</v>
      </c>
      <c r="M3632" s="267">
        <v>-60</v>
      </c>
      <c r="N3632" s="267" t="s">
        <v>3944</v>
      </c>
      <c r="O3632" s="267">
        <v>1685.5</v>
      </c>
      <c r="P3632" s="267" t="s">
        <v>3944</v>
      </c>
      <c r="Q3632" s="267" t="s">
        <v>3944</v>
      </c>
      <c r="R3632" s="267">
        <v>1685.5</v>
      </c>
      <c r="S3632" s="267">
        <v>23751.599999999999</v>
      </c>
      <c r="T3632" s="267">
        <v>25437.1</v>
      </c>
      <c r="U3632" s="268" t="s">
        <v>3945</v>
      </c>
      <c r="V3632" s="267" t="s">
        <v>944</v>
      </c>
    </row>
    <row r="3633" spans="1:22" hidden="1" x14ac:dyDescent="0.25">
      <c r="A3633" s="269">
        <v>43651</v>
      </c>
      <c r="B3633" s="270">
        <v>2019</v>
      </c>
      <c r="C3633" s="270">
        <v>2020</v>
      </c>
      <c r="D3633" s="270">
        <v>1</v>
      </c>
      <c r="E3633" s="270">
        <v>1</v>
      </c>
      <c r="F3633" s="270" t="s">
        <v>944</v>
      </c>
      <c r="G3633" s="270" t="s">
        <v>3926</v>
      </c>
      <c r="H3633" s="270" t="s">
        <v>8144</v>
      </c>
      <c r="I3633" s="270" t="s">
        <v>3975</v>
      </c>
      <c r="J3633" s="270" t="s">
        <v>3928</v>
      </c>
      <c r="K3633" s="270">
        <v>6479</v>
      </c>
      <c r="L3633" s="270">
        <v>430500</v>
      </c>
      <c r="M3633" s="270" t="s">
        <v>3943</v>
      </c>
      <c r="N3633" s="270" t="s">
        <v>3944</v>
      </c>
      <c r="O3633" s="270">
        <v>2159.4</v>
      </c>
      <c r="P3633" s="270" t="s">
        <v>3944</v>
      </c>
      <c r="Q3633" s="270" t="s">
        <v>3944</v>
      </c>
      <c r="R3633" s="270">
        <v>2159.4</v>
      </c>
      <c r="S3633" s="270">
        <v>31441.93</v>
      </c>
      <c r="T3633" s="270">
        <v>33601.33</v>
      </c>
      <c r="U3633" s="271" t="s">
        <v>3945</v>
      </c>
      <c r="V3633" s="267" t="s">
        <v>944</v>
      </c>
    </row>
    <row r="3634" spans="1:22" hidden="1" x14ac:dyDescent="0.25">
      <c r="A3634" s="266">
        <v>43651</v>
      </c>
      <c r="B3634" s="267">
        <v>2019</v>
      </c>
      <c r="C3634" s="267">
        <v>2020</v>
      </c>
      <c r="D3634" s="267">
        <v>1</v>
      </c>
      <c r="E3634" s="267">
        <v>1</v>
      </c>
      <c r="F3634" s="267" t="s">
        <v>944</v>
      </c>
      <c r="G3634" s="267" t="s">
        <v>3926</v>
      </c>
      <c r="H3634" s="267" t="s">
        <v>8145</v>
      </c>
      <c r="I3634" s="267" t="s">
        <v>3993</v>
      </c>
      <c r="J3634" s="267" t="s">
        <v>3928</v>
      </c>
      <c r="K3634" s="267">
        <v>6415</v>
      </c>
      <c r="L3634" s="267">
        <v>714104</v>
      </c>
      <c r="M3634" s="267" t="s">
        <v>3960</v>
      </c>
      <c r="N3634" s="267" t="s">
        <v>3944</v>
      </c>
      <c r="O3634" s="267">
        <v>1916.15</v>
      </c>
      <c r="P3634" s="267" t="s">
        <v>3944</v>
      </c>
      <c r="Q3634" s="267" t="s">
        <v>3944</v>
      </c>
      <c r="R3634" s="267">
        <v>1916.15</v>
      </c>
      <c r="S3634" s="267">
        <v>27197.42</v>
      </c>
      <c r="T3634" s="267">
        <v>29113.57</v>
      </c>
      <c r="U3634" s="268" t="s">
        <v>3945</v>
      </c>
      <c r="V3634" s="267" t="s">
        <v>944</v>
      </c>
    </row>
    <row r="3635" spans="1:22" hidden="1" x14ac:dyDescent="0.25">
      <c r="A3635" s="269">
        <v>43651</v>
      </c>
      <c r="B3635" s="270">
        <v>2019</v>
      </c>
      <c r="C3635" s="270">
        <v>2020</v>
      </c>
      <c r="D3635" s="270">
        <v>1</v>
      </c>
      <c r="E3635" s="270">
        <v>1</v>
      </c>
      <c r="F3635" s="270" t="s">
        <v>944</v>
      </c>
      <c r="G3635" s="270" t="s">
        <v>3926</v>
      </c>
      <c r="H3635" s="270" t="s">
        <v>8146</v>
      </c>
      <c r="I3635" s="270" t="s">
        <v>950</v>
      </c>
      <c r="J3635" s="270" t="s">
        <v>3928</v>
      </c>
      <c r="K3635" s="270">
        <v>6516</v>
      </c>
      <c r="L3635" s="270">
        <v>155000</v>
      </c>
      <c r="M3635" s="270" t="s">
        <v>3940</v>
      </c>
      <c r="N3635" s="270" t="s">
        <v>3944</v>
      </c>
      <c r="O3635" s="270">
        <v>1038.03</v>
      </c>
      <c r="P3635" s="270" t="s">
        <v>3944</v>
      </c>
      <c r="Q3635" s="270" t="s">
        <v>3944</v>
      </c>
      <c r="R3635" s="270">
        <v>1038.03</v>
      </c>
      <c r="S3635" s="270">
        <v>17710.7</v>
      </c>
      <c r="T3635" s="270">
        <v>18748.73</v>
      </c>
      <c r="U3635" s="271" t="s">
        <v>3945</v>
      </c>
      <c r="V3635" s="267" t="s">
        <v>944</v>
      </c>
    </row>
    <row r="3636" spans="1:22" hidden="1" x14ac:dyDescent="0.25">
      <c r="A3636" s="266">
        <v>43651</v>
      </c>
      <c r="B3636" s="267">
        <v>2019</v>
      </c>
      <c r="C3636" s="267">
        <v>2020</v>
      </c>
      <c r="D3636" s="267">
        <v>1</v>
      </c>
      <c r="E3636" s="267">
        <v>1</v>
      </c>
      <c r="F3636" s="267" t="s">
        <v>944</v>
      </c>
      <c r="G3636" s="267" t="s">
        <v>3926</v>
      </c>
      <c r="H3636" s="267" t="s">
        <v>8147</v>
      </c>
      <c r="I3636" s="267" t="s">
        <v>3939</v>
      </c>
      <c r="J3636" s="267" t="s">
        <v>3928</v>
      </c>
      <c r="K3636" s="267">
        <v>6512</v>
      </c>
      <c r="L3636" s="267">
        <v>180400</v>
      </c>
      <c r="M3636" s="267" t="s">
        <v>3935</v>
      </c>
      <c r="N3636" s="267" t="s">
        <v>3944</v>
      </c>
      <c r="O3636" s="267">
        <v>2114</v>
      </c>
      <c r="P3636" s="267" t="s">
        <v>3944</v>
      </c>
      <c r="Q3636" s="267" t="s">
        <v>3944</v>
      </c>
      <c r="R3636" s="267">
        <v>2114</v>
      </c>
      <c r="S3636" s="267">
        <v>33509.86</v>
      </c>
      <c r="T3636" s="267">
        <v>35623.86</v>
      </c>
      <c r="U3636" s="268" t="s">
        <v>3945</v>
      </c>
      <c r="V3636" s="267" t="s">
        <v>944</v>
      </c>
    </row>
    <row r="3637" spans="1:22" hidden="1" x14ac:dyDescent="0.25">
      <c r="A3637" s="269">
        <v>43651</v>
      </c>
      <c r="B3637" s="270">
        <v>2019</v>
      </c>
      <c r="C3637" s="270">
        <v>2020</v>
      </c>
      <c r="D3637" s="270">
        <v>1</v>
      </c>
      <c r="E3637" s="270">
        <v>1</v>
      </c>
      <c r="F3637" s="270" t="s">
        <v>944</v>
      </c>
      <c r="G3637" s="270" t="s">
        <v>3926</v>
      </c>
      <c r="H3637" s="270" t="s">
        <v>8148</v>
      </c>
      <c r="I3637" s="270" t="s">
        <v>4003</v>
      </c>
      <c r="J3637" s="270" t="s">
        <v>3928</v>
      </c>
      <c r="K3637" s="270">
        <v>6374</v>
      </c>
      <c r="L3637" s="270">
        <v>907300</v>
      </c>
      <c r="M3637" s="270" t="s">
        <v>3935</v>
      </c>
      <c r="N3637" s="270" t="s">
        <v>3944</v>
      </c>
      <c r="O3637" s="270">
        <v>2772.67</v>
      </c>
      <c r="P3637" s="270" t="s">
        <v>3944</v>
      </c>
      <c r="Q3637" s="270" t="s">
        <v>3944</v>
      </c>
      <c r="R3637" s="270">
        <v>2772.67</v>
      </c>
      <c r="S3637" s="270">
        <v>33535.120000000003</v>
      </c>
      <c r="T3637" s="270">
        <v>36307.79</v>
      </c>
      <c r="U3637" s="271" t="s">
        <v>3945</v>
      </c>
      <c r="V3637" s="267" t="s">
        <v>944</v>
      </c>
    </row>
    <row r="3638" spans="1:22" hidden="1" x14ac:dyDescent="0.25">
      <c r="A3638" s="266">
        <v>43651</v>
      </c>
      <c r="B3638" s="267">
        <v>2019</v>
      </c>
      <c r="C3638" s="267">
        <v>2020</v>
      </c>
      <c r="D3638" s="267">
        <v>1</v>
      </c>
      <c r="E3638" s="267">
        <v>1</v>
      </c>
      <c r="F3638" s="267" t="s">
        <v>944</v>
      </c>
      <c r="G3638" s="267" t="s">
        <v>3926</v>
      </c>
      <c r="H3638" s="267" t="s">
        <v>8149</v>
      </c>
      <c r="I3638" s="267" t="s">
        <v>3993</v>
      </c>
      <c r="J3638" s="267" t="s">
        <v>3928</v>
      </c>
      <c r="K3638" s="267">
        <v>6415</v>
      </c>
      <c r="L3638" s="267">
        <v>714104</v>
      </c>
      <c r="M3638" s="267" t="s">
        <v>3960</v>
      </c>
      <c r="N3638" s="267" t="s">
        <v>3944</v>
      </c>
      <c r="O3638" s="267">
        <v>3532.8</v>
      </c>
      <c r="P3638" s="267" t="s">
        <v>3944</v>
      </c>
      <c r="Q3638" s="267" t="s">
        <v>3944</v>
      </c>
      <c r="R3638" s="267">
        <v>3532.8</v>
      </c>
      <c r="S3638" s="267">
        <v>52340.33</v>
      </c>
      <c r="T3638" s="267">
        <v>55873.13</v>
      </c>
      <c r="U3638" s="268" t="s">
        <v>3945</v>
      </c>
      <c r="V3638" s="267" t="s">
        <v>944</v>
      </c>
    </row>
    <row r="3639" spans="1:22" hidden="1" x14ac:dyDescent="0.25">
      <c r="A3639" s="269">
        <v>43651</v>
      </c>
      <c r="B3639" s="270">
        <v>2019</v>
      </c>
      <c r="C3639" s="270">
        <v>2020</v>
      </c>
      <c r="D3639" s="270">
        <v>1</v>
      </c>
      <c r="E3639" s="270">
        <v>1</v>
      </c>
      <c r="F3639" s="270" t="s">
        <v>944</v>
      </c>
      <c r="G3639" s="270" t="s">
        <v>3926</v>
      </c>
      <c r="H3639" s="270" t="s">
        <v>8150</v>
      </c>
      <c r="I3639" s="270" t="s">
        <v>3008</v>
      </c>
      <c r="J3639" s="270" t="s">
        <v>3928</v>
      </c>
      <c r="K3639" s="270">
        <v>6461</v>
      </c>
      <c r="L3639" s="270">
        <v>150500</v>
      </c>
      <c r="M3639" s="270" t="s">
        <v>3960</v>
      </c>
      <c r="N3639" s="270" t="s">
        <v>3944</v>
      </c>
      <c r="O3639" s="270">
        <v>1999.73</v>
      </c>
      <c r="P3639" s="270" t="s">
        <v>3944</v>
      </c>
      <c r="Q3639" s="270" t="s">
        <v>3944</v>
      </c>
      <c r="R3639" s="270">
        <v>1999.73</v>
      </c>
      <c r="S3639" s="270">
        <v>26503.55</v>
      </c>
      <c r="T3639" s="270">
        <v>28503.279999999999</v>
      </c>
      <c r="U3639" s="271" t="s">
        <v>3945</v>
      </c>
      <c r="V3639" s="267" t="s">
        <v>944</v>
      </c>
    </row>
    <row r="3640" spans="1:22" hidden="1" x14ac:dyDescent="0.25">
      <c r="A3640" s="266">
        <v>43651</v>
      </c>
      <c r="B3640" s="267">
        <v>2019</v>
      </c>
      <c r="C3640" s="267">
        <v>2020</v>
      </c>
      <c r="D3640" s="267">
        <v>1</v>
      </c>
      <c r="E3640" s="267">
        <v>1</v>
      </c>
      <c r="F3640" s="267" t="s">
        <v>944</v>
      </c>
      <c r="G3640" s="267" t="s">
        <v>3926</v>
      </c>
      <c r="H3640" s="267" t="s">
        <v>8151</v>
      </c>
      <c r="I3640" s="267" t="s">
        <v>3993</v>
      </c>
      <c r="J3640" s="267" t="s">
        <v>3928</v>
      </c>
      <c r="K3640" s="267">
        <v>6415</v>
      </c>
      <c r="L3640" s="267">
        <v>714103</v>
      </c>
      <c r="M3640" s="267" t="s">
        <v>3943</v>
      </c>
      <c r="N3640" s="267" t="s">
        <v>3944</v>
      </c>
      <c r="O3640" s="267">
        <v>2817.05</v>
      </c>
      <c r="P3640" s="267" t="s">
        <v>3944</v>
      </c>
      <c r="Q3640" s="267" t="s">
        <v>3944</v>
      </c>
      <c r="R3640" s="267">
        <v>2817.05</v>
      </c>
      <c r="S3640" s="267">
        <v>39918.99</v>
      </c>
      <c r="T3640" s="267">
        <v>42736.04</v>
      </c>
      <c r="U3640" s="268" t="s">
        <v>3945</v>
      </c>
      <c r="V3640" s="267" t="s">
        <v>944</v>
      </c>
    </row>
    <row r="3641" spans="1:22" hidden="1" x14ac:dyDescent="0.25">
      <c r="A3641" s="269">
        <v>43651</v>
      </c>
      <c r="B3641" s="270">
        <v>2019</v>
      </c>
      <c r="C3641" s="270">
        <v>2020</v>
      </c>
      <c r="D3641" s="270">
        <v>1</v>
      </c>
      <c r="E3641" s="270">
        <v>1</v>
      </c>
      <c r="F3641" s="270" t="s">
        <v>944</v>
      </c>
      <c r="G3641" s="270" t="s">
        <v>3926</v>
      </c>
      <c r="H3641" s="270" t="s">
        <v>8152</v>
      </c>
      <c r="I3641" s="270" t="s">
        <v>3011</v>
      </c>
      <c r="J3641" s="270" t="s">
        <v>3928</v>
      </c>
      <c r="K3641" s="270">
        <v>6418</v>
      </c>
      <c r="L3641" s="270">
        <v>120100</v>
      </c>
      <c r="M3641" s="270" t="s">
        <v>3940</v>
      </c>
      <c r="N3641" s="270" t="s">
        <v>3944</v>
      </c>
      <c r="O3641" s="270">
        <v>2232.62</v>
      </c>
      <c r="P3641" s="270" t="s">
        <v>3944</v>
      </c>
      <c r="Q3641" s="270" t="s">
        <v>3944</v>
      </c>
      <c r="R3641" s="270">
        <v>2232.62</v>
      </c>
      <c r="S3641" s="270">
        <v>35341.94</v>
      </c>
      <c r="T3641" s="270">
        <v>37574.559999999998</v>
      </c>
      <c r="U3641" s="271" t="s">
        <v>3945</v>
      </c>
      <c r="V3641" s="267" t="s">
        <v>944</v>
      </c>
    </row>
    <row r="3642" spans="1:22" hidden="1" x14ac:dyDescent="0.25">
      <c r="A3642" s="266">
        <v>43651</v>
      </c>
      <c r="B3642" s="267">
        <v>2019</v>
      </c>
      <c r="C3642" s="267">
        <v>2020</v>
      </c>
      <c r="D3642" s="267">
        <v>1</v>
      </c>
      <c r="E3642" s="267">
        <v>1</v>
      </c>
      <c r="F3642" s="267" t="s">
        <v>944</v>
      </c>
      <c r="G3642" s="267" t="s">
        <v>3926</v>
      </c>
      <c r="H3642" s="267" t="s">
        <v>8153</v>
      </c>
      <c r="I3642" s="267" t="s">
        <v>3996</v>
      </c>
      <c r="J3642" s="267" t="s">
        <v>3928</v>
      </c>
      <c r="K3642" s="267">
        <v>6790</v>
      </c>
      <c r="L3642" s="267">
        <v>310100</v>
      </c>
      <c r="M3642" s="267" t="s">
        <v>3940</v>
      </c>
      <c r="N3642" s="267" t="s">
        <v>3944</v>
      </c>
      <c r="O3642" s="267">
        <v>1251.22</v>
      </c>
      <c r="P3642" s="267" t="s">
        <v>3944</v>
      </c>
      <c r="Q3642" s="267" t="s">
        <v>3944</v>
      </c>
      <c r="R3642" s="267">
        <v>1251.22</v>
      </c>
      <c r="S3642" s="267">
        <v>20184.55</v>
      </c>
      <c r="T3642" s="267">
        <v>21435.77</v>
      </c>
      <c r="U3642" s="268" t="s">
        <v>3945</v>
      </c>
      <c r="V3642" s="267" t="s">
        <v>944</v>
      </c>
    </row>
    <row r="3643" spans="1:22" hidden="1" x14ac:dyDescent="0.25">
      <c r="A3643" s="269">
        <v>43651</v>
      </c>
      <c r="B3643" s="270">
        <v>2019</v>
      </c>
      <c r="C3643" s="270">
        <v>2020</v>
      </c>
      <c r="D3643" s="270">
        <v>1</v>
      </c>
      <c r="E3643" s="270">
        <v>1</v>
      </c>
      <c r="F3643" s="270" t="s">
        <v>944</v>
      </c>
      <c r="G3643" s="270" t="s">
        <v>3926</v>
      </c>
      <c r="H3643" s="270" t="s">
        <v>8154</v>
      </c>
      <c r="I3643" s="270" t="s">
        <v>4079</v>
      </c>
      <c r="J3643" s="270" t="s">
        <v>3928</v>
      </c>
      <c r="K3643" s="270">
        <v>6111</v>
      </c>
      <c r="L3643" s="270">
        <v>494202</v>
      </c>
      <c r="M3643" s="270" t="s">
        <v>3960</v>
      </c>
      <c r="N3643" s="270" t="s">
        <v>3944</v>
      </c>
      <c r="O3643" s="270">
        <v>2091.81</v>
      </c>
      <c r="P3643" s="270" t="s">
        <v>3944</v>
      </c>
      <c r="Q3643" s="270" t="s">
        <v>3944</v>
      </c>
      <c r="R3643" s="270">
        <v>2091.81</v>
      </c>
      <c r="S3643" s="270">
        <v>30399.79</v>
      </c>
      <c r="T3643" s="270">
        <v>32491.599999999999</v>
      </c>
      <c r="U3643" s="271" t="s">
        <v>3945</v>
      </c>
      <c r="V3643" s="267" t="s">
        <v>944</v>
      </c>
    </row>
    <row r="3644" spans="1:22" hidden="1" x14ac:dyDescent="0.25">
      <c r="A3644" s="266">
        <v>43651</v>
      </c>
      <c r="B3644" s="267">
        <v>2019</v>
      </c>
      <c r="C3644" s="267">
        <v>2020</v>
      </c>
      <c r="D3644" s="267">
        <v>1</v>
      </c>
      <c r="E3644" s="267">
        <v>1</v>
      </c>
      <c r="F3644" s="267" t="s">
        <v>944</v>
      </c>
      <c r="G3644" s="267" t="s">
        <v>3926</v>
      </c>
      <c r="H3644" s="267" t="s">
        <v>8155</v>
      </c>
      <c r="I3644" s="267" t="s">
        <v>3008</v>
      </c>
      <c r="J3644" s="267" t="s">
        <v>3928</v>
      </c>
      <c r="K3644" s="267">
        <v>6460</v>
      </c>
      <c r="L3644" s="267">
        <v>150500</v>
      </c>
      <c r="M3644" s="267" t="s">
        <v>3960</v>
      </c>
      <c r="N3644" s="267" t="s">
        <v>3944</v>
      </c>
      <c r="O3644" s="267">
        <v>1363.85</v>
      </c>
      <c r="P3644" s="267" t="s">
        <v>3944</v>
      </c>
      <c r="Q3644" s="267" t="s">
        <v>3944</v>
      </c>
      <c r="R3644" s="267">
        <v>1363.85</v>
      </c>
      <c r="S3644" s="267">
        <v>22412.35</v>
      </c>
      <c r="T3644" s="267">
        <v>23776.2</v>
      </c>
      <c r="U3644" s="268" t="s">
        <v>3945</v>
      </c>
      <c r="V3644" s="267" t="s">
        <v>944</v>
      </c>
    </row>
    <row r="3645" spans="1:22" hidden="1" x14ac:dyDescent="0.25">
      <c r="A3645" s="269">
        <v>43651</v>
      </c>
      <c r="B3645" s="270">
        <v>2019</v>
      </c>
      <c r="C3645" s="270">
        <v>2020</v>
      </c>
      <c r="D3645" s="270">
        <v>1</v>
      </c>
      <c r="E3645" s="270">
        <v>1</v>
      </c>
      <c r="F3645" s="270" t="s">
        <v>944</v>
      </c>
      <c r="G3645" s="270" t="s">
        <v>3926</v>
      </c>
      <c r="H3645" s="270" t="s">
        <v>8156</v>
      </c>
      <c r="I3645" s="270" t="s">
        <v>3025</v>
      </c>
      <c r="J3645" s="270" t="s">
        <v>3928</v>
      </c>
      <c r="K3645" s="270">
        <v>6473</v>
      </c>
      <c r="L3645" s="270">
        <v>167100</v>
      </c>
      <c r="M3645" s="270" t="s">
        <v>3943</v>
      </c>
      <c r="N3645" s="270" t="s">
        <v>3944</v>
      </c>
      <c r="O3645" s="270">
        <v>2911.02</v>
      </c>
      <c r="P3645" s="270" t="s">
        <v>3944</v>
      </c>
      <c r="Q3645" s="270" t="s">
        <v>3944</v>
      </c>
      <c r="R3645" s="270">
        <v>2911.02</v>
      </c>
      <c r="S3645" s="270">
        <v>61907.16</v>
      </c>
      <c r="T3645" s="270">
        <v>64818.18</v>
      </c>
      <c r="U3645" s="271" t="s">
        <v>3945</v>
      </c>
      <c r="V3645" s="267" t="s">
        <v>944</v>
      </c>
    </row>
    <row r="3646" spans="1:22" hidden="1" x14ac:dyDescent="0.25">
      <c r="A3646" s="266">
        <v>43651</v>
      </c>
      <c r="B3646" s="267">
        <v>2019</v>
      </c>
      <c r="C3646" s="267">
        <v>2020</v>
      </c>
      <c r="D3646" s="267">
        <v>1</v>
      </c>
      <c r="E3646" s="267">
        <v>1</v>
      </c>
      <c r="F3646" s="267" t="s">
        <v>944</v>
      </c>
      <c r="G3646" s="267" t="s">
        <v>3926</v>
      </c>
      <c r="H3646" s="267" t="s">
        <v>8157</v>
      </c>
      <c r="I3646" s="267" t="s">
        <v>943</v>
      </c>
      <c r="J3646" s="267" t="s">
        <v>3928</v>
      </c>
      <c r="K3646" s="267">
        <v>6515</v>
      </c>
      <c r="L3646" s="267">
        <v>141000</v>
      </c>
      <c r="M3646" s="267" t="s">
        <v>3960</v>
      </c>
      <c r="N3646" s="267" t="s">
        <v>3944</v>
      </c>
      <c r="O3646" s="267">
        <v>1922.76</v>
      </c>
      <c r="P3646" s="267" t="s">
        <v>3944</v>
      </c>
      <c r="Q3646" s="267" t="s">
        <v>3944</v>
      </c>
      <c r="R3646" s="267">
        <v>1922.76</v>
      </c>
      <c r="S3646" s="267">
        <v>32279.94</v>
      </c>
      <c r="T3646" s="267">
        <v>34202.699999999997</v>
      </c>
      <c r="U3646" s="268" t="s">
        <v>3945</v>
      </c>
      <c r="V3646" s="267" t="s">
        <v>944</v>
      </c>
    </row>
    <row r="3647" spans="1:22" hidden="1" x14ac:dyDescent="0.25">
      <c r="A3647" s="269">
        <v>43651</v>
      </c>
      <c r="B3647" s="270">
        <v>2019</v>
      </c>
      <c r="C3647" s="270">
        <v>2020</v>
      </c>
      <c r="D3647" s="270">
        <v>1</v>
      </c>
      <c r="E3647" s="270">
        <v>1</v>
      </c>
      <c r="F3647" s="270" t="s">
        <v>944</v>
      </c>
      <c r="G3647" s="270" t="s">
        <v>3926</v>
      </c>
      <c r="H3647" s="270" t="s">
        <v>8158</v>
      </c>
      <c r="I3647" s="270" t="s">
        <v>4055</v>
      </c>
      <c r="J3647" s="270" t="s">
        <v>3928</v>
      </c>
      <c r="K3647" s="270">
        <v>6070</v>
      </c>
      <c r="L3647" s="270">
        <v>466400</v>
      </c>
      <c r="M3647" s="270" t="s">
        <v>3960</v>
      </c>
      <c r="N3647" s="270" t="s">
        <v>3944</v>
      </c>
      <c r="O3647" s="270">
        <v>2497.46</v>
      </c>
      <c r="P3647" s="270" t="s">
        <v>3944</v>
      </c>
      <c r="Q3647" s="270" t="s">
        <v>3944</v>
      </c>
      <c r="R3647" s="270">
        <v>2497.46</v>
      </c>
      <c r="S3647" s="270">
        <v>33029.160000000003</v>
      </c>
      <c r="T3647" s="270">
        <v>35526.620000000003</v>
      </c>
      <c r="U3647" s="271" t="s">
        <v>3945</v>
      </c>
      <c r="V3647" s="267" t="s">
        <v>944</v>
      </c>
    </row>
    <row r="3648" spans="1:22" hidden="1" x14ac:dyDescent="0.25">
      <c r="A3648" s="266">
        <v>43651</v>
      </c>
      <c r="B3648" s="267">
        <v>2019</v>
      </c>
      <c r="C3648" s="267">
        <v>2020</v>
      </c>
      <c r="D3648" s="267">
        <v>1</v>
      </c>
      <c r="E3648" s="267">
        <v>1</v>
      </c>
      <c r="F3648" s="267" t="s">
        <v>944</v>
      </c>
      <c r="G3648" s="267" t="s">
        <v>3926</v>
      </c>
      <c r="H3648" s="267" t="s">
        <v>8159</v>
      </c>
      <c r="I3648" s="267" t="s">
        <v>4147</v>
      </c>
      <c r="J3648" s="267" t="s">
        <v>3928</v>
      </c>
      <c r="K3648" s="267">
        <v>6109</v>
      </c>
      <c r="L3648" s="267">
        <v>492100</v>
      </c>
      <c r="M3648" s="267" t="s">
        <v>3960</v>
      </c>
      <c r="N3648" s="267" t="s">
        <v>3944</v>
      </c>
      <c r="O3648" s="267">
        <v>1956.99</v>
      </c>
      <c r="P3648" s="267" t="s">
        <v>3944</v>
      </c>
      <c r="Q3648" s="267" t="s">
        <v>3944</v>
      </c>
      <c r="R3648" s="267">
        <v>1956.99</v>
      </c>
      <c r="S3648" s="267">
        <v>26129.14</v>
      </c>
      <c r="T3648" s="267">
        <v>28086.13</v>
      </c>
      <c r="U3648" s="268" t="s">
        <v>3945</v>
      </c>
      <c r="V3648" s="267" t="s">
        <v>944</v>
      </c>
    </row>
    <row r="3649" spans="1:22" hidden="1" x14ac:dyDescent="0.25">
      <c r="A3649" s="269">
        <v>43651</v>
      </c>
      <c r="B3649" s="270">
        <v>2019</v>
      </c>
      <c r="C3649" s="270">
        <v>2020</v>
      </c>
      <c r="D3649" s="270">
        <v>1</v>
      </c>
      <c r="E3649" s="270">
        <v>1</v>
      </c>
      <c r="F3649" s="270" t="s">
        <v>944</v>
      </c>
      <c r="G3649" s="270" t="s">
        <v>3926</v>
      </c>
      <c r="H3649" s="270" t="s">
        <v>8160</v>
      </c>
      <c r="I3649" s="270" t="s">
        <v>3956</v>
      </c>
      <c r="J3649" s="270" t="s">
        <v>3928</v>
      </c>
      <c r="K3649" s="270">
        <v>6112</v>
      </c>
      <c r="L3649" s="270">
        <v>503900</v>
      </c>
      <c r="M3649" s="270">
        <v>-60</v>
      </c>
      <c r="N3649" s="270" t="s">
        <v>3944</v>
      </c>
      <c r="O3649" s="270">
        <v>741.86</v>
      </c>
      <c r="P3649" s="270" t="s">
        <v>3944</v>
      </c>
      <c r="Q3649" s="270" t="s">
        <v>3944</v>
      </c>
      <c r="R3649" s="270">
        <v>741.86</v>
      </c>
      <c r="S3649" s="270">
        <v>11361.81</v>
      </c>
      <c r="T3649" s="270">
        <v>12103.67</v>
      </c>
      <c r="U3649" s="271" t="s">
        <v>3945</v>
      </c>
      <c r="V3649" s="267" t="s">
        <v>944</v>
      </c>
    </row>
    <row r="3650" spans="1:22" hidden="1" x14ac:dyDescent="0.25">
      <c r="A3650" s="266">
        <v>43651</v>
      </c>
      <c r="B3650" s="267">
        <v>2019</v>
      </c>
      <c r="C3650" s="267">
        <v>2020</v>
      </c>
      <c r="D3650" s="267">
        <v>1</v>
      </c>
      <c r="E3650" s="267">
        <v>1</v>
      </c>
      <c r="F3650" s="267" t="s">
        <v>944</v>
      </c>
      <c r="G3650" s="267" t="s">
        <v>3926</v>
      </c>
      <c r="H3650" s="267" t="s">
        <v>8161</v>
      </c>
      <c r="I3650" s="267" t="s">
        <v>3949</v>
      </c>
      <c r="J3650" s="267" t="s">
        <v>3928</v>
      </c>
      <c r="K3650" s="267">
        <v>6437</v>
      </c>
      <c r="L3650" s="267">
        <v>190100</v>
      </c>
      <c r="M3650" s="267" t="s">
        <v>3960</v>
      </c>
      <c r="N3650" s="267" t="s">
        <v>3944</v>
      </c>
      <c r="O3650" s="267">
        <v>2720.41</v>
      </c>
      <c r="P3650" s="267" t="s">
        <v>3944</v>
      </c>
      <c r="Q3650" s="267" t="s">
        <v>3944</v>
      </c>
      <c r="R3650" s="267">
        <v>2720.41</v>
      </c>
      <c r="S3650" s="267">
        <v>39688.1</v>
      </c>
      <c r="T3650" s="267">
        <v>42408.51</v>
      </c>
      <c r="U3650" s="268" t="s">
        <v>3945</v>
      </c>
      <c r="V3650" s="267" t="s">
        <v>944</v>
      </c>
    </row>
    <row r="3651" spans="1:22" hidden="1" x14ac:dyDescent="0.25">
      <c r="A3651" s="269">
        <v>43651</v>
      </c>
      <c r="B3651" s="270">
        <v>2019</v>
      </c>
      <c r="C3651" s="270">
        <v>2020</v>
      </c>
      <c r="D3651" s="270">
        <v>1</v>
      </c>
      <c r="E3651" s="270">
        <v>1</v>
      </c>
      <c r="F3651" s="270" t="s">
        <v>944</v>
      </c>
      <c r="G3651" s="270" t="s">
        <v>3926</v>
      </c>
      <c r="H3651" s="270" t="s">
        <v>8162</v>
      </c>
      <c r="I3651" s="270" t="s">
        <v>3010</v>
      </c>
      <c r="J3651" s="270" t="s">
        <v>3928</v>
      </c>
      <c r="K3651" s="270">
        <v>6401</v>
      </c>
      <c r="L3651" s="270">
        <v>125100</v>
      </c>
      <c r="M3651" s="270" t="s">
        <v>3960</v>
      </c>
      <c r="N3651" s="270" t="s">
        <v>3944</v>
      </c>
      <c r="O3651" s="270">
        <v>3401.09</v>
      </c>
      <c r="P3651" s="270" t="s">
        <v>3944</v>
      </c>
      <c r="Q3651" s="270" t="s">
        <v>3944</v>
      </c>
      <c r="R3651" s="270">
        <v>3401.09</v>
      </c>
      <c r="S3651" s="270">
        <v>55707.14</v>
      </c>
      <c r="T3651" s="270">
        <v>59108.23</v>
      </c>
      <c r="U3651" s="271" t="s">
        <v>3945</v>
      </c>
      <c r="V3651" s="267" t="s">
        <v>944</v>
      </c>
    </row>
    <row r="3652" spans="1:22" hidden="1" x14ac:dyDescent="0.25">
      <c r="A3652" s="266">
        <v>43651</v>
      </c>
      <c r="B3652" s="267">
        <v>2019</v>
      </c>
      <c r="C3652" s="267">
        <v>2020</v>
      </c>
      <c r="D3652" s="267">
        <v>1</v>
      </c>
      <c r="E3652" s="267">
        <v>1</v>
      </c>
      <c r="F3652" s="267" t="s">
        <v>944</v>
      </c>
      <c r="G3652" s="267" t="s">
        <v>3926</v>
      </c>
      <c r="H3652" s="267" t="s">
        <v>8163</v>
      </c>
      <c r="I3652" s="267" t="s">
        <v>3956</v>
      </c>
      <c r="J3652" s="267" t="s">
        <v>3928</v>
      </c>
      <c r="K3652" s="267">
        <v>6112</v>
      </c>
      <c r="L3652" s="267">
        <v>503900</v>
      </c>
      <c r="M3652" s="267">
        <v>-60</v>
      </c>
      <c r="N3652" s="267" t="s">
        <v>3944</v>
      </c>
      <c r="O3652" s="267">
        <v>893.45</v>
      </c>
      <c r="P3652" s="267" t="s">
        <v>3944</v>
      </c>
      <c r="Q3652" s="267" t="s">
        <v>3944</v>
      </c>
      <c r="R3652" s="267">
        <v>893.45</v>
      </c>
      <c r="S3652" s="267">
        <v>13021.22</v>
      </c>
      <c r="T3652" s="267">
        <v>13914.67</v>
      </c>
      <c r="U3652" s="268" t="s">
        <v>3945</v>
      </c>
      <c r="V3652" s="267" t="s">
        <v>944</v>
      </c>
    </row>
    <row r="3653" spans="1:22" hidden="1" x14ac:dyDescent="0.25">
      <c r="A3653" s="269">
        <v>43651</v>
      </c>
      <c r="B3653" s="270">
        <v>2019</v>
      </c>
      <c r="C3653" s="270">
        <v>2020</v>
      </c>
      <c r="D3653" s="270">
        <v>1</v>
      </c>
      <c r="E3653" s="270">
        <v>1</v>
      </c>
      <c r="F3653" s="270" t="s">
        <v>944</v>
      </c>
      <c r="G3653" s="270" t="s">
        <v>3926</v>
      </c>
      <c r="H3653" s="270" t="s">
        <v>8164</v>
      </c>
      <c r="I3653" s="270" t="s">
        <v>4037</v>
      </c>
      <c r="J3653" s="270" t="s">
        <v>3928</v>
      </c>
      <c r="K3653" s="270">
        <v>6810</v>
      </c>
      <c r="L3653" s="270">
        <v>210300</v>
      </c>
      <c r="M3653" s="270" t="s">
        <v>3940</v>
      </c>
      <c r="N3653" s="270" t="s">
        <v>3944</v>
      </c>
      <c r="O3653" s="270">
        <v>970.62</v>
      </c>
      <c r="P3653" s="270" t="s">
        <v>3944</v>
      </c>
      <c r="Q3653" s="270" t="s">
        <v>3944</v>
      </c>
      <c r="R3653" s="270">
        <v>970.62</v>
      </c>
      <c r="S3653" s="270">
        <v>13078.62</v>
      </c>
      <c r="T3653" s="270">
        <v>14049.24</v>
      </c>
      <c r="U3653" s="271" t="s">
        <v>3945</v>
      </c>
      <c r="V3653" s="267" t="s">
        <v>944</v>
      </c>
    </row>
    <row r="3654" spans="1:22" hidden="1" x14ac:dyDescent="0.25">
      <c r="A3654" s="266">
        <v>43651</v>
      </c>
      <c r="B3654" s="267">
        <v>2019</v>
      </c>
      <c r="C3654" s="267">
        <v>2020</v>
      </c>
      <c r="D3654" s="267">
        <v>1</v>
      </c>
      <c r="E3654" s="267">
        <v>1</v>
      </c>
      <c r="F3654" s="267" t="s">
        <v>944</v>
      </c>
      <c r="G3654" s="267" t="s">
        <v>3926</v>
      </c>
      <c r="H3654" s="267" t="s">
        <v>8165</v>
      </c>
      <c r="I3654" s="267" t="s">
        <v>4250</v>
      </c>
      <c r="J3654" s="267" t="s">
        <v>3928</v>
      </c>
      <c r="K3654" s="267">
        <v>6239</v>
      </c>
      <c r="L3654" s="267">
        <v>904500</v>
      </c>
      <c r="M3654" s="267" t="s">
        <v>3940</v>
      </c>
      <c r="N3654" s="267" t="s">
        <v>3944</v>
      </c>
      <c r="O3654" s="267">
        <v>1973.37</v>
      </c>
      <c r="P3654" s="267" t="s">
        <v>3944</v>
      </c>
      <c r="Q3654" s="267" t="s">
        <v>3944</v>
      </c>
      <c r="R3654" s="267">
        <v>1973.37</v>
      </c>
      <c r="S3654" s="267">
        <v>30722.25</v>
      </c>
      <c r="T3654" s="267">
        <v>32695.62</v>
      </c>
      <c r="U3654" s="268" t="s">
        <v>3945</v>
      </c>
      <c r="V3654" s="267" t="s">
        <v>944</v>
      </c>
    </row>
    <row r="3655" spans="1:22" hidden="1" x14ac:dyDescent="0.25">
      <c r="A3655" s="269">
        <v>43651</v>
      </c>
      <c r="B3655" s="270">
        <v>2019</v>
      </c>
      <c r="C3655" s="270">
        <v>2020</v>
      </c>
      <c r="D3655" s="270">
        <v>1</v>
      </c>
      <c r="E3655" s="270">
        <v>1</v>
      </c>
      <c r="F3655" s="270" t="s">
        <v>944</v>
      </c>
      <c r="G3655" s="270" t="s">
        <v>3926</v>
      </c>
      <c r="H3655" s="270" t="s">
        <v>8166</v>
      </c>
      <c r="I3655" s="270" t="s">
        <v>4016</v>
      </c>
      <c r="J3655" s="270" t="s">
        <v>3928</v>
      </c>
      <c r="K3655" s="270">
        <v>6770</v>
      </c>
      <c r="L3655" s="270">
        <v>345100</v>
      </c>
      <c r="M3655" s="270" t="s">
        <v>3940</v>
      </c>
      <c r="N3655" s="270" t="s">
        <v>3944</v>
      </c>
      <c r="O3655" s="270">
        <v>2229.71</v>
      </c>
      <c r="P3655" s="270" t="s">
        <v>3944</v>
      </c>
      <c r="Q3655" s="270" t="s">
        <v>3944</v>
      </c>
      <c r="R3655" s="270">
        <v>2229.71</v>
      </c>
      <c r="S3655" s="270">
        <v>32292.75</v>
      </c>
      <c r="T3655" s="270">
        <v>34522.46</v>
      </c>
      <c r="U3655" s="271" t="s">
        <v>3945</v>
      </c>
      <c r="V3655" s="267" t="s">
        <v>944</v>
      </c>
    </row>
    <row r="3656" spans="1:22" x14ac:dyDescent="0.25">
      <c r="A3656" s="266">
        <v>43652</v>
      </c>
      <c r="B3656" s="267">
        <v>2019</v>
      </c>
      <c r="C3656" s="267">
        <v>2020</v>
      </c>
      <c r="D3656" s="267">
        <v>1</v>
      </c>
      <c r="E3656" s="267">
        <v>1</v>
      </c>
      <c r="F3656" s="267" t="s">
        <v>944</v>
      </c>
      <c r="G3656" s="267" t="s">
        <v>3926</v>
      </c>
      <c r="H3656" s="267" t="s">
        <v>8167</v>
      </c>
      <c r="I3656" s="267" t="s">
        <v>943</v>
      </c>
      <c r="J3656" s="267" t="s">
        <v>3928</v>
      </c>
      <c r="K3656" s="267">
        <v>6513</v>
      </c>
      <c r="L3656" s="267">
        <v>142400</v>
      </c>
      <c r="M3656" s="267">
        <v>-60</v>
      </c>
      <c r="N3656" s="267" t="s">
        <v>4701</v>
      </c>
      <c r="O3656" s="267">
        <v>5769.81</v>
      </c>
      <c r="P3656" s="267" t="s">
        <v>3930</v>
      </c>
      <c r="Q3656" s="267" t="s">
        <v>3931</v>
      </c>
      <c r="R3656" s="267">
        <v>10769.81</v>
      </c>
      <c r="S3656" s="267">
        <v>34648</v>
      </c>
      <c r="T3656" s="267">
        <v>45417.81</v>
      </c>
      <c r="U3656" s="268" t="s">
        <v>3932</v>
      </c>
      <c r="V3656" s="276" t="s">
        <v>936</v>
      </c>
    </row>
    <row r="3657" spans="1:22" hidden="1" x14ac:dyDescent="0.25">
      <c r="A3657" s="269">
        <v>43652</v>
      </c>
      <c r="B3657" s="270">
        <v>2019</v>
      </c>
      <c r="C3657" s="270">
        <v>2020</v>
      </c>
      <c r="D3657" s="270">
        <v>1</v>
      </c>
      <c r="E3657" s="270">
        <v>1</v>
      </c>
      <c r="F3657" s="270" t="s">
        <v>944</v>
      </c>
      <c r="G3657" s="270" t="s">
        <v>3926</v>
      </c>
      <c r="H3657" s="270" t="s">
        <v>8168</v>
      </c>
      <c r="I3657" s="270" t="s">
        <v>4392</v>
      </c>
      <c r="J3657" s="270" t="s">
        <v>3928</v>
      </c>
      <c r="K3657" s="270">
        <v>6457</v>
      </c>
      <c r="L3657" s="270">
        <v>542000</v>
      </c>
      <c r="M3657" s="270" t="s">
        <v>3935</v>
      </c>
      <c r="N3657" s="270" t="s">
        <v>4053</v>
      </c>
      <c r="O3657" s="270">
        <v>1467.73</v>
      </c>
      <c r="P3657" s="270" t="s">
        <v>3930</v>
      </c>
      <c r="Q3657" s="270" t="s">
        <v>3931</v>
      </c>
      <c r="R3657" s="270">
        <v>6467.73</v>
      </c>
      <c r="S3657" s="270">
        <v>18603.2</v>
      </c>
      <c r="T3657" s="270">
        <v>25070.93</v>
      </c>
      <c r="U3657" s="271" t="s">
        <v>3932</v>
      </c>
      <c r="V3657" s="267" t="s">
        <v>944</v>
      </c>
    </row>
    <row r="3658" spans="1:22" x14ac:dyDescent="0.25">
      <c r="A3658" s="266">
        <v>43652</v>
      </c>
      <c r="B3658" s="267">
        <v>2019</v>
      </c>
      <c r="C3658" s="267">
        <v>2020</v>
      </c>
      <c r="D3658" s="267">
        <v>1</v>
      </c>
      <c r="E3658" s="267">
        <v>1</v>
      </c>
      <c r="F3658" s="267" t="s">
        <v>944</v>
      </c>
      <c r="G3658" s="267" t="s">
        <v>3926</v>
      </c>
      <c r="H3658" s="267" t="s">
        <v>8169</v>
      </c>
      <c r="I3658" s="267" t="s">
        <v>934</v>
      </c>
      <c r="J3658" s="267" t="s">
        <v>3928</v>
      </c>
      <c r="K3658" s="267">
        <v>6610</v>
      </c>
      <c r="L3658" s="267">
        <v>73400</v>
      </c>
      <c r="M3658" s="267" t="s">
        <v>3940</v>
      </c>
      <c r="N3658" s="267" t="s">
        <v>3983</v>
      </c>
      <c r="O3658" s="267">
        <v>2090.9299999999998</v>
      </c>
      <c r="P3658" s="267" t="s">
        <v>3930</v>
      </c>
      <c r="Q3658" s="267" t="s">
        <v>3931</v>
      </c>
      <c r="R3658" s="267">
        <v>7090.93</v>
      </c>
      <c r="S3658" s="267">
        <v>16504</v>
      </c>
      <c r="T3658" s="267">
        <v>23594.93</v>
      </c>
      <c r="U3658" s="268" t="s">
        <v>3932</v>
      </c>
      <c r="V3658" s="276" t="s">
        <v>936</v>
      </c>
    </row>
    <row r="3659" spans="1:22" hidden="1" x14ac:dyDescent="0.25">
      <c r="A3659" s="269">
        <v>43653</v>
      </c>
      <c r="B3659" s="270">
        <v>2019</v>
      </c>
      <c r="C3659" s="270">
        <v>2020</v>
      </c>
      <c r="D3659" s="270">
        <v>1</v>
      </c>
      <c r="E3659" s="270">
        <v>1</v>
      </c>
      <c r="F3659" s="270" t="s">
        <v>944</v>
      </c>
      <c r="G3659" s="270" t="s">
        <v>3926</v>
      </c>
      <c r="H3659" s="270" t="s">
        <v>8170</v>
      </c>
      <c r="I3659" s="270" t="s">
        <v>4170</v>
      </c>
      <c r="J3659" s="270" t="s">
        <v>3928</v>
      </c>
      <c r="K3659" s="270">
        <v>6498</v>
      </c>
      <c r="L3659" s="270">
        <v>680100</v>
      </c>
      <c r="M3659" s="270" t="s">
        <v>3935</v>
      </c>
      <c r="N3659" s="270" t="s">
        <v>8171</v>
      </c>
      <c r="O3659" s="270">
        <v>0</v>
      </c>
      <c r="P3659" s="270" t="s">
        <v>3930</v>
      </c>
      <c r="Q3659" s="270" t="s">
        <v>3930</v>
      </c>
      <c r="R3659" s="270">
        <v>0</v>
      </c>
      <c r="S3659" s="270">
        <v>9342</v>
      </c>
      <c r="T3659" s="270">
        <v>9342</v>
      </c>
      <c r="U3659" s="271" t="s">
        <v>3937</v>
      </c>
      <c r="V3659" s="267" t="s">
        <v>944</v>
      </c>
    </row>
    <row r="3660" spans="1:22" hidden="1" x14ac:dyDescent="0.25">
      <c r="A3660" s="266">
        <v>43654</v>
      </c>
      <c r="B3660" s="267">
        <v>2019</v>
      </c>
      <c r="C3660" s="267">
        <v>2020</v>
      </c>
      <c r="D3660" s="267">
        <v>1</v>
      </c>
      <c r="E3660" s="267">
        <v>1</v>
      </c>
      <c r="F3660" s="267" t="s">
        <v>944</v>
      </c>
      <c r="G3660" s="267" t="s">
        <v>3926</v>
      </c>
      <c r="H3660" s="267" t="s">
        <v>8172</v>
      </c>
      <c r="I3660" s="267" t="s">
        <v>4037</v>
      </c>
      <c r="J3660" s="267" t="s">
        <v>3928</v>
      </c>
      <c r="K3660" s="267">
        <v>6810</v>
      </c>
      <c r="L3660" s="267">
        <v>210500</v>
      </c>
      <c r="M3660" s="267" t="s">
        <v>3960</v>
      </c>
      <c r="N3660" s="267" t="s">
        <v>8173</v>
      </c>
      <c r="O3660" s="267">
        <v>0</v>
      </c>
      <c r="P3660" s="267" t="s">
        <v>3930</v>
      </c>
      <c r="Q3660" s="267" t="s">
        <v>3930</v>
      </c>
      <c r="R3660" s="267">
        <v>0</v>
      </c>
      <c r="S3660" s="267">
        <v>11101.92</v>
      </c>
      <c r="T3660" s="267">
        <v>11101.92</v>
      </c>
      <c r="U3660" s="268" t="s">
        <v>3937</v>
      </c>
      <c r="V3660" s="267" t="s">
        <v>944</v>
      </c>
    </row>
    <row r="3661" spans="1:22" hidden="1" x14ac:dyDescent="0.25">
      <c r="A3661" s="269">
        <v>43654</v>
      </c>
      <c r="B3661" s="270">
        <v>2019</v>
      </c>
      <c r="C3661" s="270">
        <v>2020</v>
      </c>
      <c r="D3661" s="270">
        <v>1</v>
      </c>
      <c r="E3661" s="270">
        <v>1</v>
      </c>
      <c r="F3661" s="270" t="s">
        <v>944</v>
      </c>
      <c r="G3661" s="270" t="s">
        <v>3926</v>
      </c>
      <c r="H3661" s="270" t="s">
        <v>8174</v>
      </c>
      <c r="I3661" s="270" t="s">
        <v>2985</v>
      </c>
      <c r="J3661" s="270" t="s">
        <v>3928</v>
      </c>
      <c r="K3661" s="270">
        <v>6825</v>
      </c>
      <c r="L3661" s="270">
        <v>60200</v>
      </c>
      <c r="M3661" s="270" t="s">
        <v>3943</v>
      </c>
      <c r="N3661" s="270" t="s">
        <v>7209</v>
      </c>
      <c r="O3661" s="270">
        <v>0</v>
      </c>
      <c r="P3661" s="270" t="s">
        <v>3930</v>
      </c>
      <c r="Q3661" s="270" t="s">
        <v>3930</v>
      </c>
      <c r="R3661" s="270">
        <v>0</v>
      </c>
      <c r="S3661" s="270">
        <v>20800</v>
      </c>
      <c r="T3661" s="270">
        <v>20800</v>
      </c>
      <c r="U3661" s="271" t="s">
        <v>3937</v>
      </c>
      <c r="V3661" s="267" t="s">
        <v>944</v>
      </c>
    </row>
    <row r="3662" spans="1:22" hidden="1" x14ac:dyDescent="0.25">
      <c r="A3662" s="266">
        <v>43654</v>
      </c>
      <c r="B3662" s="267">
        <v>2019</v>
      </c>
      <c r="C3662" s="267">
        <v>2020</v>
      </c>
      <c r="D3662" s="267">
        <v>1</v>
      </c>
      <c r="E3662" s="267">
        <v>1</v>
      </c>
      <c r="F3662" s="267" t="s">
        <v>944</v>
      </c>
      <c r="G3662" s="267" t="s">
        <v>3926</v>
      </c>
      <c r="H3662" s="267" t="s">
        <v>8175</v>
      </c>
      <c r="I3662" s="267" t="s">
        <v>4392</v>
      </c>
      <c r="J3662" s="267" t="s">
        <v>3928</v>
      </c>
      <c r="K3662" s="267">
        <v>6457</v>
      </c>
      <c r="L3662" s="267">
        <v>542000</v>
      </c>
      <c r="M3662" s="267" t="s">
        <v>3935</v>
      </c>
      <c r="N3662" s="267" t="s">
        <v>3986</v>
      </c>
      <c r="O3662" s="267">
        <v>1297.07</v>
      </c>
      <c r="P3662" s="267" t="s">
        <v>3930</v>
      </c>
      <c r="Q3662" s="267" t="s">
        <v>3931</v>
      </c>
      <c r="R3662" s="267">
        <v>6297.07</v>
      </c>
      <c r="S3662" s="267">
        <v>16196.8</v>
      </c>
      <c r="T3662" s="267">
        <v>22493.87</v>
      </c>
      <c r="U3662" s="268" t="s">
        <v>3932</v>
      </c>
      <c r="V3662" s="267" t="s">
        <v>944</v>
      </c>
    </row>
    <row r="3663" spans="1:22" hidden="1" x14ac:dyDescent="0.25">
      <c r="A3663" s="269">
        <v>43654</v>
      </c>
      <c r="B3663" s="270">
        <v>2019</v>
      </c>
      <c r="C3663" s="270">
        <v>2020</v>
      </c>
      <c r="D3663" s="270">
        <v>1</v>
      </c>
      <c r="E3663" s="270">
        <v>1</v>
      </c>
      <c r="F3663" s="270" t="s">
        <v>944</v>
      </c>
      <c r="G3663" s="270" t="s">
        <v>3926</v>
      </c>
      <c r="H3663" s="270" t="s">
        <v>8176</v>
      </c>
      <c r="I3663" s="270" t="s">
        <v>4005</v>
      </c>
      <c r="J3663" s="270" t="s">
        <v>3928</v>
      </c>
      <c r="K3663" s="270">
        <v>6118</v>
      </c>
      <c r="L3663" s="270">
        <v>511100</v>
      </c>
      <c r="M3663" s="270" t="s">
        <v>3960</v>
      </c>
      <c r="N3663" s="270" t="s">
        <v>4523</v>
      </c>
      <c r="O3663" s="270">
        <v>1759.14</v>
      </c>
      <c r="P3663" s="270" t="s">
        <v>3930</v>
      </c>
      <c r="Q3663" s="270" t="s">
        <v>3931</v>
      </c>
      <c r="R3663" s="270">
        <v>6759.14</v>
      </c>
      <c r="S3663" s="270">
        <v>25412.799999999999</v>
      </c>
      <c r="T3663" s="270">
        <v>32171.94</v>
      </c>
      <c r="U3663" s="271" t="s">
        <v>3932</v>
      </c>
      <c r="V3663" s="267" t="s">
        <v>944</v>
      </c>
    </row>
    <row r="3664" spans="1:22" hidden="1" x14ac:dyDescent="0.25">
      <c r="A3664" s="266">
        <v>43654</v>
      </c>
      <c r="B3664" s="267">
        <v>2019</v>
      </c>
      <c r="C3664" s="267">
        <v>2020</v>
      </c>
      <c r="D3664" s="267">
        <v>1</v>
      </c>
      <c r="E3664" s="267">
        <v>1</v>
      </c>
      <c r="F3664" s="267" t="s">
        <v>944</v>
      </c>
      <c r="G3664" s="267" t="s">
        <v>3926</v>
      </c>
      <c r="H3664" s="267" t="s">
        <v>8177</v>
      </c>
      <c r="I3664" s="267" t="s">
        <v>943</v>
      </c>
      <c r="J3664" s="267" t="s">
        <v>3928</v>
      </c>
      <c r="K3664" s="267">
        <v>6515</v>
      </c>
      <c r="L3664" s="267">
        <v>141000</v>
      </c>
      <c r="M3664" s="267" t="s">
        <v>3960</v>
      </c>
      <c r="N3664" s="267" t="s">
        <v>3983</v>
      </c>
      <c r="O3664" s="267">
        <v>1216.18</v>
      </c>
      <c r="P3664" s="267" t="s">
        <v>3930</v>
      </c>
      <c r="Q3664" s="267" t="s">
        <v>3931</v>
      </c>
      <c r="R3664" s="267">
        <v>6216.18</v>
      </c>
      <c r="S3664" s="267">
        <v>16504</v>
      </c>
      <c r="T3664" s="267">
        <v>22720.18</v>
      </c>
      <c r="U3664" s="268" t="s">
        <v>3932</v>
      </c>
      <c r="V3664" s="267" t="s">
        <v>944</v>
      </c>
    </row>
    <row r="3665" spans="1:22" hidden="1" x14ac:dyDescent="0.25">
      <c r="A3665" s="269">
        <v>43654</v>
      </c>
      <c r="B3665" s="270">
        <v>2019</v>
      </c>
      <c r="C3665" s="270">
        <v>2020</v>
      </c>
      <c r="D3665" s="270">
        <v>1</v>
      </c>
      <c r="E3665" s="270">
        <v>1</v>
      </c>
      <c r="F3665" s="270" t="s">
        <v>944</v>
      </c>
      <c r="G3665" s="270" t="s">
        <v>3926</v>
      </c>
      <c r="H3665" s="270" t="s">
        <v>8178</v>
      </c>
      <c r="I3665" s="270" t="s">
        <v>4353</v>
      </c>
      <c r="J3665" s="270" t="s">
        <v>3928</v>
      </c>
      <c r="K3665" s="270">
        <v>6416</v>
      </c>
      <c r="L3665" s="270">
        <v>570300</v>
      </c>
      <c r="M3665" s="270" t="s">
        <v>3940</v>
      </c>
      <c r="N3665" s="270" t="s">
        <v>4103</v>
      </c>
      <c r="O3665" s="270">
        <v>4215.78</v>
      </c>
      <c r="P3665" s="270" t="s">
        <v>3930</v>
      </c>
      <c r="Q3665" s="270" t="s">
        <v>3931</v>
      </c>
      <c r="R3665" s="270">
        <v>9215.7800000000007</v>
      </c>
      <c r="S3665" s="270">
        <v>24145.599999999999</v>
      </c>
      <c r="T3665" s="270">
        <v>33361.379999999997</v>
      </c>
      <c r="U3665" s="271" t="s">
        <v>3932</v>
      </c>
      <c r="V3665" s="267" t="s">
        <v>944</v>
      </c>
    </row>
    <row r="3666" spans="1:22" hidden="1" x14ac:dyDescent="0.25">
      <c r="A3666" s="266">
        <v>43654</v>
      </c>
      <c r="B3666" s="267">
        <v>2019</v>
      </c>
      <c r="C3666" s="267">
        <v>2020</v>
      </c>
      <c r="D3666" s="267">
        <v>1</v>
      </c>
      <c r="E3666" s="267">
        <v>1</v>
      </c>
      <c r="F3666" s="267" t="s">
        <v>944</v>
      </c>
      <c r="G3666" s="267" t="s">
        <v>3926</v>
      </c>
      <c r="H3666" s="267" t="s">
        <v>8179</v>
      </c>
      <c r="I3666" s="267" t="s">
        <v>956</v>
      </c>
      <c r="J3666" s="267" t="s">
        <v>3928</v>
      </c>
      <c r="K3666" s="267">
        <v>6614</v>
      </c>
      <c r="L3666" s="267">
        <v>81100</v>
      </c>
      <c r="M3666" s="267" t="s">
        <v>3960</v>
      </c>
      <c r="N3666" s="267" t="s">
        <v>4701</v>
      </c>
      <c r="O3666" s="267">
        <v>2496.2399999999998</v>
      </c>
      <c r="P3666" s="267" t="s">
        <v>3930</v>
      </c>
      <c r="Q3666" s="267" t="s">
        <v>3931</v>
      </c>
      <c r="R3666" s="267">
        <v>7496.24</v>
      </c>
      <c r="S3666" s="267">
        <v>34648</v>
      </c>
      <c r="T3666" s="267">
        <v>42144.24</v>
      </c>
      <c r="U3666" s="268" t="s">
        <v>3932</v>
      </c>
      <c r="V3666" s="267" t="s">
        <v>944</v>
      </c>
    </row>
    <row r="3667" spans="1:22" hidden="1" x14ac:dyDescent="0.25">
      <c r="A3667" s="269">
        <v>43654</v>
      </c>
      <c r="B3667" s="270">
        <v>2019</v>
      </c>
      <c r="C3667" s="270">
        <v>2020</v>
      </c>
      <c r="D3667" s="270">
        <v>1</v>
      </c>
      <c r="E3667" s="270">
        <v>1</v>
      </c>
      <c r="F3667" s="270" t="s">
        <v>944</v>
      </c>
      <c r="G3667" s="270" t="s">
        <v>3926</v>
      </c>
      <c r="H3667" s="270" t="s">
        <v>8180</v>
      </c>
      <c r="I3667" s="270" t="s">
        <v>3008</v>
      </c>
      <c r="J3667" s="270" t="s">
        <v>3928</v>
      </c>
      <c r="K3667" s="270">
        <v>6460</v>
      </c>
      <c r="L3667" s="270">
        <v>151100</v>
      </c>
      <c r="M3667" s="270" t="s">
        <v>3960</v>
      </c>
      <c r="N3667" s="270" t="s">
        <v>8181</v>
      </c>
      <c r="O3667" s="270">
        <v>0</v>
      </c>
      <c r="P3667" s="270" t="s">
        <v>3930</v>
      </c>
      <c r="Q3667" s="270" t="s">
        <v>3930</v>
      </c>
      <c r="R3667" s="270">
        <v>0</v>
      </c>
      <c r="S3667" s="270">
        <v>5700</v>
      </c>
      <c r="T3667" s="270">
        <v>5700</v>
      </c>
      <c r="U3667" s="271" t="s">
        <v>3937</v>
      </c>
      <c r="V3667" s="267" t="s">
        <v>944</v>
      </c>
    </row>
    <row r="3668" spans="1:22" hidden="1" x14ac:dyDescent="0.25">
      <c r="A3668" s="266">
        <v>43654</v>
      </c>
      <c r="B3668" s="267">
        <v>2019</v>
      </c>
      <c r="C3668" s="267">
        <v>2020</v>
      </c>
      <c r="D3668" s="267">
        <v>1</v>
      </c>
      <c r="E3668" s="267">
        <v>1</v>
      </c>
      <c r="F3668" s="267" t="s">
        <v>944</v>
      </c>
      <c r="G3668" s="267" t="s">
        <v>3926</v>
      </c>
      <c r="H3668" s="267" t="s">
        <v>8182</v>
      </c>
      <c r="I3668" s="267" t="s">
        <v>3956</v>
      </c>
      <c r="J3668" s="267" t="s">
        <v>3928</v>
      </c>
      <c r="K3668" s="267">
        <v>6106</v>
      </c>
      <c r="L3668" s="267">
        <v>504500</v>
      </c>
      <c r="M3668" s="267">
        <v>-60</v>
      </c>
      <c r="N3668" s="267" t="s">
        <v>8183</v>
      </c>
      <c r="O3668" s="267">
        <v>0</v>
      </c>
      <c r="P3668" s="267" t="s">
        <v>3930</v>
      </c>
      <c r="Q3668" s="267" t="s">
        <v>3930</v>
      </c>
      <c r="R3668" s="267">
        <v>0</v>
      </c>
      <c r="S3668" s="267">
        <v>7950</v>
      </c>
      <c r="T3668" s="267">
        <v>7950</v>
      </c>
      <c r="U3668" s="268" t="s">
        <v>3937</v>
      </c>
      <c r="V3668" s="267" t="s">
        <v>944</v>
      </c>
    </row>
    <row r="3669" spans="1:22" hidden="1" x14ac:dyDescent="0.25">
      <c r="A3669" s="269">
        <v>43654</v>
      </c>
      <c r="B3669" s="270">
        <v>2019</v>
      </c>
      <c r="C3669" s="270">
        <v>2020</v>
      </c>
      <c r="D3669" s="270">
        <v>1</v>
      </c>
      <c r="E3669" s="270">
        <v>1</v>
      </c>
      <c r="F3669" s="270" t="s">
        <v>944</v>
      </c>
      <c r="G3669" s="270" t="s">
        <v>3926</v>
      </c>
      <c r="H3669" s="270" t="s">
        <v>8184</v>
      </c>
      <c r="I3669" s="270" t="s">
        <v>4035</v>
      </c>
      <c r="J3669" s="270" t="s">
        <v>3928</v>
      </c>
      <c r="K3669" s="270">
        <v>6074</v>
      </c>
      <c r="L3669" s="270">
        <v>487500</v>
      </c>
      <c r="M3669" s="270" t="s">
        <v>3935</v>
      </c>
      <c r="N3669" s="270" t="s">
        <v>8185</v>
      </c>
      <c r="O3669" s="270">
        <v>0</v>
      </c>
      <c r="P3669" s="270" t="s">
        <v>3930</v>
      </c>
      <c r="Q3669" s="270" t="s">
        <v>3930</v>
      </c>
      <c r="R3669" s="270">
        <v>0</v>
      </c>
      <c r="S3669" s="270">
        <v>12763.55</v>
      </c>
      <c r="T3669" s="270">
        <v>12763.55</v>
      </c>
      <c r="U3669" s="271" t="s">
        <v>3937</v>
      </c>
      <c r="V3669" s="267" t="s">
        <v>944</v>
      </c>
    </row>
    <row r="3670" spans="1:22" hidden="1" x14ac:dyDescent="0.25">
      <c r="A3670" s="266">
        <v>43654</v>
      </c>
      <c r="B3670" s="267">
        <v>2019</v>
      </c>
      <c r="C3670" s="267">
        <v>2020</v>
      </c>
      <c r="D3670" s="267">
        <v>1</v>
      </c>
      <c r="E3670" s="267">
        <v>1</v>
      </c>
      <c r="F3670" s="267" t="s">
        <v>944</v>
      </c>
      <c r="G3670" s="267" t="s">
        <v>3926</v>
      </c>
      <c r="H3670" s="267" t="s">
        <v>8186</v>
      </c>
      <c r="I3670" s="267" t="s">
        <v>943</v>
      </c>
      <c r="J3670" s="267" t="s">
        <v>3928</v>
      </c>
      <c r="K3670" s="267">
        <v>6512</v>
      </c>
      <c r="L3670" s="267">
        <v>142800</v>
      </c>
      <c r="M3670" s="267" t="s">
        <v>3940</v>
      </c>
      <c r="N3670" s="267" t="s">
        <v>3944</v>
      </c>
      <c r="O3670" s="267">
        <v>2705</v>
      </c>
      <c r="P3670" s="267" t="s">
        <v>3944</v>
      </c>
      <c r="Q3670" s="267" t="s">
        <v>3944</v>
      </c>
      <c r="R3670" s="267">
        <v>2705</v>
      </c>
      <c r="S3670" s="267">
        <v>22140.5</v>
      </c>
      <c r="T3670" s="267">
        <v>24845.5</v>
      </c>
      <c r="U3670" s="268" t="s">
        <v>3945</v>
      </c>
      <c r="V3670" s="267" t="s">
        <v>944</v>
      </c>
    </row>
    <row r="3671" spans="1:22" hidden="1" x14ac:dyDescent="0.25">
      <c r="A3671" s="269">
        <v>43654</v>
      </c>
      <c r="B3671" s="270">
        <v>2019</v>
      </c>
      <c r="C3671" s="270">
        <v>2020</v>
      </c>
      <c r="D3671" s="270">
        <v>1</v>
      </c>
      <c r="E3671" s="270">
        <v>1</v>
      </c>
      <c r="F3671" s="270" t="s">
        <v>944</v>
      </c>
      <c r="G3671" s="270" t="s">
        <v>3926</v>
      </c>
      <c r="H3671" s="270" t="s">
        <v>8187</v>
      </c>
      <c r="I3671" s="270" t="s">
        <v>4087</v>
      </c>
      <c r="J3671" s="270" t="s">
        <v>3928</v>
      </c>
      <c r="K3671" s="270">
        <v>6355</v>
      </c>
      <c r="L3671" s="270">
        <v>702100</v>
      </c>
      <c r="M3671" s="270" t="s">
        <v>3960</v>
      </c>
      <c r="N3671" s="270" t="s">
        <v>3944</v>
      </c>
      <c r="O3671" s="270">
        <v>4345</v>
      </c>
      <c r="P3671" s="270" t="s">
        <v>3944</v>
      </c>
      <c r="Q3671" s="270" t="s">
        <v>3944</v>
      </c>
      <c r="R3671" s="270">
        <v>4345</v>
      </c>
      <c r="S3671" s="270">
        <v>34420.6</v>
      </c>
      <c r="T3671" s="270">
        <v>38765.599999999999</v>
      </c>
      <c r="U3671" s="271" t="s">
        <v>3945</v>
      </c>
      <c r="V3671" s="267" t="s">
        <v>944</v>
      </c>
    </row>
    <row r="3672" spans="1:22" hidden="1" x14ac:dyDescent="0.25">
      <c r="A3672" s="266">
        <v>43654</v>
      </c>
      <c r="B3672" s="267">
        <v>2019</v>
      </c>
      <c r="C3672" s="267">
        <v>2020</v>
      </c>
      <c r="D3672" s="267">
        <v>1</v>
      </c>
      <c r="E3672" s="267">
        <v>1</v>
      </c>
      <c r="F3672" s="267" t="s">
        <v>944</v>
      </c>
      <c r="G3672" s="267" t="s">
        <v>3926</v>
      </c>
      <c r="H3672" s="267" t="s">
        <v>8188</v>
      </c>
      <c r="I3672" s="267" t="s">
        <v>4461</v>
      </c>
      <c r="J3672" s="267" t="s">
        <v>3928</v>
      </c>
      <c r="K3672" s="267">
        <v>6831</v>
      </c>
      <c r="L3672" s="267">
        <v>10400</v>
      </c>
      <c r="M3672" s="267" t="s">
        <v>3943</v>
      </c>
      <c r="N3672" s="267" t="s">
        <v>3944</v>
      </c>
      <c r="O3672" s="267">
        <v>2603</v>
      </c>
      <c r="P3672" s="267" t="s">
        <v>3944</v>
      </c>
      <c r="Q3672" s="267" t="s">
        <v>3944</v>
      </c>
      <c r="R3672" s="267">
        <v>2603</v>
      </c>
      <c r="S3672" s="267">
        <v>19999.5</v>
      </c>
      <c r="T3672" s="267">
        <v>22602.5</v>
      </c>
      <c r="U3672" s="268" t="s">
        <v>3945</v>
      </c>
      <c r="V3672" s="267" t="s">
        <v>944</v>
      </c>
    </row>
    <row r="3673" spans="1:22" hidden="1" x14ac:dyDescent="0.25">
      <c r="A3673" s="269">
        <v>43654</v>
      </c>
      <c r="B3673" s="270">
        <v>2019</v>
      </c>
      <c r="C3673" s="270">
        <v>2020</v>
      </c>
      <c r="D3673" s="270">
        <v>1</v>
      </c>
      <c r="E3673" s="270">
        <v>1</v>
      </c>
      <c r="F3673" s="270" t="s">
        <v>944</v>
      </c>
      <c r="G3673" s="270" t="s">
        <v>3926</v>
      </c>
      <c r="H3673" s="270" t="s">
        <v>8189</v>
      </c>
      <c r="I3673" s="270" t="s">
        <v>953</v>
      </c>
      <c r="J3673" s="270" t="s">
        <v>3928</v>
      </c>
      <c r="K3673" s="270">
        <v>6518</v>
      </c>
      <c r="L3673" s="270">
        <v>165900</v>
      </c>
      <c r="M3673" s="270" t="s">
        <v>3943</v>
      </c>
      <c r="N3673" s="270" t="s">
        <v>3944</v>
      </c>
      <c r="O3673" s="270">
        <v>4573</v>
      </c>
      <c r="P3673" s="270" t="s">
        <v>3944</v>
      </c>
      <c r="Q3673" s="270" t="s">
        <v>3944</v>
      </c>
      <c r="R3673" s="270">
        <v>4573</v>
      </c>
      <c r="S3673" s="270">
        <v>35589.5</v>
      </c>
      <c r="T3673" s="270">
        <v>40162.5</v>
      </c>
      <c r="U3673" s="271" t="s">
        <v>3945</v>
      </c>
      <c r="V3673" s="267" t="s">
        <v>944</v>
      </c>
    </row>
    <row r="3674" spans="1:22" hidden="1" x14ac:dyDescent="0.25">
      <c r="A3674" s="266">
        <v>43654</v>
      </c>
      <c r="B3674" s="267">
        <v>2019</v>
      </c>
      <c r="C3674" s="267">
        <v>2020</v>
      </c>
      <c r="D3674" s="267">
        <v>1</v>
      </c>
      <c r="E3674" s="267">
        <v>1</v>
      </c>
      <c r="F3674" s="267" t="s">
        <v>944</v>
      </c>
      <c r="G3674" s="267" t="s">
        <v>3926</v>
      </c>
      <c r="H3674" s="267" t="s">
        <v>8190</v>
      </c>
      <c r="I3674" s="267" t="s">
        <v>4073</v>
      </c>
      <c r="J3674" s="267" t="s">
        <v>3928</v>
      </c>
      <c r="K3674" s="267">
        <v>6776</v>
      </c>
      <c r="L3674" s="267">
        <v>253500</v>
      </c>
      <c r="M3674" s="267" t="s">
        <v>3943</v>
      </c>
      <c r="N3674" s="267" t="s">
        <v>3944</v>
      </c>
      <c r="O3674" s="267">
        <v>3489.43</v>
      </c>
      <c r="P3674" s="267" t="s">
        <v>3944</v>
      </c>
      <c r="Q3674" s="267" t="s">
        <v>3944</v>
      </c>
      <c r="R3674" s="267">
        <v>3489.43</v>
      </c>
      <c r="S3674" s="267">
        <v>48229.96</v>
      </c>
      <c r="T3674" s="267">
        <v>51719.39</v>
      </c>
      <c r="U3674" s="268" t="s">
        <v>3945</v>
      </c>
      <c r="V3674" s="267" t="s">
        <v>944</v>
      </c>
    </row>
    <row r="3675" spans="1:22" hidden="1" x14ac:dyDescent="0.25">
      <c r="A3675" s="269">
        <v>43654</v>
      </c>
      <c r="B3675" s="270">
        <v>2019</v>
      </c>
      <c r="C3675" s="270">
        <v>2020</v>
      </c>
      <c r="D3675" s="270">
        <v>1</v>
      </c>
      <c r="E3675" s="270">
        <v>1</v>
      </c>
      <c r="F3675" s="270" t="s">
        <v>944</v>
      </c>
      <c r="G3675" s="270" t="s">
        <v>3926</v>
      </c>
      <c r="H3675" s="270" t="s">
        <v>8191</v>
      </c>
      <c r="I3675" s="270" t="s">
        <v>2985</v>
      </c>
      <c r="J3675" s="270" t="s">
        <v>3928</v>
      </c>
      <c r="K3675" s="270">
        <v>6824</v>
      </c>
      <c r="L3675" s="270">
        <v>61500</v>
      </c>
      <c r="M3675" s="270" t="s">
        <v>3943</v>
      </c>
      <c r="N3675" s="270" t="s">
        <v>3944</v>
      </c>
      <c r="O3675" s="270">
        <v>2619.8200000000002</v>
      </c>
      <c r="P3675" s="270" t="s">
        <v>3944</v>
      </c>
      <c r="Q3675" s="270" t="s">
        <v>3944</v>
      </c>
      <c r="R3675" s="270">
        <v>2619.8200000000002</v>
      </c>
      <c r="S3675" s="270">
        <v>44495.839999999997</v>
      </c>
      <c r="T3675" s="270">
        <v>47115.66</v>
      </c>
      <c r="U3675" s="271" t="s">
        <v>3945</v>
      </c>
      <c r="V3675" s="267" t="s">
        <v>944</v>
      </c>
    </row>
    <row r="3676" spans="1:22" hidden="1" x14ac:dyDescent="0.25">
      <c r="A3676" s="266">
        <v>43654</v>
      </c>
      <c r="B3676" s="267">
        <v>2019</v>
      </c>
      <c r="C3676" s="267">
        <v>2020</v>
      </c>
      <c r="D3676" s="267">
        <v>1</v>
      </c>
      <c r="E3676" s="267">
        <v>1</v>
      </c>
      <c r="F3676" s="267" t="s">
        <v>944</v>
      </c>
      <c r="G3676" s="267" t="s">
        <v>3926</v>
      </c>
      <c r="H3676" s="267" t="s">
        <v>8192</v>
      </c>
      <c r="I3676" s="267" t="s">
        <v>4029</v>
      </c>
      <c r="J3676" s="267" t="s">
        <v>3928</v>
      </c>
      <c r="K3676" s="267">
        <v>6851</v>
      </c>
      <c r="L3676" s="267">
        <v>42600</v>
      </c>
      <c r="M3676" s="267" t="s">
        <v>3943</v>
      </c>
      <c r="N3676" s="267" t="s">
        <v>3944</v>
      </c>
      <c r="O3676" s="267">
        <v>1227.3800000000001</v>
      </c>
      <c r="P3676" s="267" t="s">
        <v>3944</v>
      </c>
      <c r="Q3676" s="267" t="s">
        <v>3944</v>
      </c>
      <c r="R3676" s="267">
        <v>1227.3800000000001</v>
      </c>
      <c r="S3676" s="267">
        <v>16802.32</v>
      </c>
      <c r="T3676" s="267">
        <v>18029.7</v>
      </c>
      <c r="U3676" s="268" t="s">
        <v>3945</v>
      </c>
      <c r="V3676" s="267" t="s">
        <v>944</v>
      </c>
    </row>
    <row r="3677" spans="1:22" hidden="1" x14ac:dyDescent="0.25">
      <c r="A3677" s="269">
        <v>43654</v>
      </c>
      <c r="B3677" s="270">
        <v>2019</v>
      </c>
      <c r="C3677" s="270">
        <v>2020</v>
      </c>
      <c r="D3677" s="270">
        <v>1</v>
      </c>
      <c r="E3677" s="270">
        <v>1</v>
      </c>
      <c r="F3677" s="270" t="s">
        <v>944</v>
      </c>
      <c r="G3677" s="270" t="s">
        <v>3926</v>
      </c>
      <c r="H3677" s="270" t="s">
        <v>8193</v>
      </c>
      <c r="I3677" s="270" t="s">
        <v>934</v>
      </c>
      <c r="J3677" s="270" t="s">
        <v>3928</v>
      </c>
      <c r="K3677" s="270">
        <v>6606</v>
      </c>
      <c r="L3677" s="270">
        <v>72300</v>
      </c>
      <c r="M3677" s="270" t="s">
        <v>3940</v>
      </c>
      <c r="N3677" s="270" t="s">
        <v>3944</v>
      </c>
      <c r="O3677" s="270">
        <v>2155.69</v>
      </c>
      <c r="P3677" s="270" t="s">
        <v>3944</v>
      </c>
      <c r="Q3677" s="270" t="s">
        <v>3944</v>
      </c>
      <c r="R3677" s="270">
        <v>2155.69</v>
      </c>
      <c r="S3677" s="270">
        <v>28471.7</v>
      </c>
      <c r="T3677" s="270">
        <v>30627.39</v>
      </c>
      <c r="U3677" s="271" t="s">
        <v>3945</v>
      </c>
      <c r="V3677" s="267" t="s">
        <v>944</v>
      </c>
    </row>
    <row r="3678" spans="1:22" hidden="1" x14ac:dyDescent="0.25">
      <c r="A3678" s="266">
        <v>43654</v>
      </c>
      <c r="B3678" s="267">
        <v>2019</v>
      </c>
      <c r="C3678" s="267">
        <v>2020</v>
      </c>
      <c r="D3678" s="267">
        <v>1</v>
      </c>
      <c r="E3678" s="267">
        <v>1</v>
      </c>
      <c r="F3678" s="267" t="s">
        <v>944</v>
      </c>
      <c r="G3678" s="267" t="s">
        <v>3926</v>
      </c>
      <c r="H3678" s="267" t="s">
        <v>8194</v>
      </c>
      <c r="I3678" s="267" t="s">
        <v>3008</v>
      </c>
      <c r="J3678" s="267" t="s">
        <v>3928</v>
      </c>
      <c r="K3678" s="267">
        <v>6460</v>
      </c>
      <c r="L3678" s="267">
        <v>151100</v>
      </c>
      <c r="M3678" s="267" t="s">
        <v>3960</v>
      </c>
      <c r="N3678" s="267" t="s">
        <v>3944</v>
      </c>
      <c r="O3678" s="267">
        <v>1541.58</v>
      </c>
      <c r="P3678" s="267" t="s">
        <v>3944</v>
      </c>
      <c r="Q3678" s="267" t="s">
        <v>3944</v>
      </c>
      <c r="R3678" s="267">
        <v>1541.58</v>
      </c>
      <c r="S3678" s="267">
        <v>28475.33</v>
      </c>
      <c r="T3678" s="267">
        <v>30016.91</v>
      </c>
      <c r="U3678" s="268" t="s">
        <v>3945</v>
      </c>
      <c r="V3678" s="267" t="s">
        <v>944</v>
      </c>
    </row>
    <row r="3679" spans="1:22" hidden="1" x14ac:dyDescent="0.25">
      <c r="A3679" s="269">
        <v>43654</v>
      </c>
      <c r="B3679" s="270">
        <v>2019</v>
      </c>
      <c r="C3679" s="270">
        <v>2020</v>
      </c>
      <c r="D3679" s="270">
        <v>1</v>
      </c>
      <c r="E3679" s="270">
        <v>1</v>
      </c>
      <c r="F3679" s="270" t="s">
        <v>944</v>
      </c>
      <c r="G3679" s="270" t="s">
        <v>3926</v>
      </c>
      <c r="H3679" s="270" t="s">
        <v>8195</v>
      </c>
      <c r="I3679" s="270" t="s">
        <v>4306</v>
      </c>
      <c r="J3679" s="270" t="s">
        <v>3928</v>
      </c>
      <c r="K3679" s="270">
        <v>6716</v>
      </c>
      <c r="L3679" s="270">
        <v>361300</v>
      </c>
      <c r="M3679" s="270" t="s">
        <v>3960</v>
      </c>
      <c r="N3679" s="270" t="s">
        <v>3944</v>
      </c>
      <c r="O3679" s="270">
        <v>4265.3100000000004</v>
      </c>
      <c r="P3679" s="270" t="s">
        <v>3944</v>
      </c>
      <c r="Q3679" s="270" t="s">
        <v>3944</v>
      </c>
      <c r="R3679" s="270">
        <v>4265.3100000000004</v>
      </c>
      <c r="S3679" s="270">
        <v>71616.62</v>
      </c>
      <c r="T3679" s="270">
        <v>75881.929999999993</v>
      </c>
      <c r="U3679" s="271" t="s">
        <v>3945</v>
      </c>
      <c r="V3679" s="267" t="s">
        <v>944</v>
      </c>
    </row>
    <row r="3680" spans="1:22" hidden="1" x14ac:dyDescent="0.25">
      <c r="A3680" s="266">
        <v>43654</v>
      </c>
      <c r="B3680" s="267">
        <v>2019</v>
      </c>
      <c r="C3680" s="267">
        <v>2020</v>
      </c>
      <c r="D3680" s="267">
        <v>1</v>
      </c>
      <c r="E3680" s="267">
        <v>1</v>
      </c>
      <c r="F3680" s="267" t="s">
        <v>944</v>
      </c>
      <c r="G3680" s="267" t="s">
        <v>3926</v>
      </c>
      <c r="H3680" s="267" t="s">
        <v>8196</v>
      </c>
      <c r="I3680" s="267" t="s">
        <v>4003</v>
      </c>
      <c r="J3680" s="267" t="s">
        <v>3928</v>
      </c>
      <c r="K3680" s="267">
        <v>6374</v>
      </c>
      <c r="L3680" s="267">
        <v>907100</v>
      </c>
      <c r="M3680" s="267" t="s">
        <v>3935</v>
      </c>
      <c r="N3680" s="267" t="s">
        <v>3944</v>
      </c>
      <c r="O3680" s="267">
        <v>3752.63</v>
      </c>
      <c r="P3680" s="267" t="s">
        <v>3944</v>
      </c>
      <c r="Q3680" s="267" t="s">
        <v>3944</v>
      </c>
      <c r="R3680" s="267">
        <v>3752.63</v>
      </c>
      <c r="S3680" s="267">
        <v>47292.49</v>
      </c>
      <c r="T3680" s="267">
        <v>51045.120000000003</v>
      </c>
      <c r="U3680" s="268" t="s">
        <v>3945</v>
      </c>
      <c r="V3680" s="267" t="s">
        <v>944</v>
      </c>
    </row>
    <row r="3681" spans="1:22" hidden="1" x14ac:dyDescent="0.25">
      <c r="A3681" s="269">
        <v>43654</v>
      </c>
      <c r="B3681" s="270">
        <v>2019</v>
      </c>
      <c r="C3681" s="270">
        <v>2020</v>
      </c>
      <c r="D3681" s="270">
        <v>1</v>
      </c>
      <c r="E3681" s="270">
        <v>1</v>
      </c>
      <c r="F3681" s="270" t="s">
        <v>944</v>
      </c>
      <c r="G3681" s="270" t="s">
        <v>3926</v>
      </c>
      <c r="H3681" s="270" t="s">
        <v>8197</v>
      </c>
      <c r="I3681" s="270" t="s">
        <v>3010</v>
      </c>
      <c r="J3681" s="270" t="s">
        <v>3928</v>
      </c>
      <c r="K3681" s="270">
        <v>6401</v>
      </c>
      <c r="L3681" s="270">
        <v>125400</v>
      </c>
      <c r="M3681" s="270">
        <v>-60</v>
      </c>
      <c r="N3681" s="270" t="s">
        <v>3944</v>
      </c>
      <c r="O3681" s="270">
        <v>668.64</v>
      </c>
      <c r="P3681" s="270" t="s">
        <v>3944</v>
      </c>
      <c r="Q3681" s="270" t="s">
        <v>3944</v>
      </c>
      <c r="R3681" s="270">
        <v>668.64</v>
      </c>
      <c r="S3681" s="270">
        <v>8775.2000000000007</v>
      </c>
      <c r="T3681" s="270">
        <v>9443.84</v>
      </c>
      <c r="U3681" s="271" t="s">
        <v>3945</v>
      </c>
      <c r="V3681" s="267" t="s">
        <v>944</v>
      </c>
    </row>
    <row r="3682" spans="1:22" hidden="1" x14ac:dyDescent="0.25">
      <c r="A3682" s="266">
        <v>43654</v>
      </c>
      <c r="B3682" s="267">
        <v>2019</v>
      </c>
      <c r="C3682" s="267">
        <v>2020</v>
      </c>
      <c r="D3682" s="267">
        <v>1</v>
      </c>
      <c r="E3682" s="267">
        <v>1</v>
      </c>
      <c r="F3682" s="267" t="s">
        <v>944</v>
      </c>
      <c r="G3682" s="267" t="s">
        <v>3926</v>
      </c>
      <c r="H3682" s="267" t="s">
        <v>8198</v>
      </c>
      <c r="I3682" s="267" t="s">
        <v>4016</v>
      </c>
      <c r="J3682" s="267" t="s">
        <v>3928</v>
      </c>
      <c r="K3682" s="267">
        <v>6770</v>
      </c>
      <c r="L3682" s="267">
        <v>345400</v>
      </c>
      <c r="M3682" s="267" t="s">
        <v>3935</v>
      </c>
      <c r="N3682" s="267" t="s">
        <v>3944</v>
      </c>
      <c r="O3682" s="267">
        <v>927.47</v>
      </c>
      <c r="P3682" s="267" t="s">
        <v>3944</v>
      </c>
      <c r="Q3682" s="267" t="s">
        <v>3944</v>
      </c>
      <c r="R3682" s="267">
        <v>927.47</v>
      </c>
      <c r="S3682" s="267">
        <v>13269.87</v>
      </c>
      <c r="T3682" s="267">
        <v>14197.34</v>
      </c>
      <c r="U3682" s="268" t="s">
        <v>3945</v>
      </c>
      <c r="V3682" s="267" t="s">
        <v>944</v>
      </c>
    </row>
    <row r="3683" spans="1:22" hidden="1" x14ac:dyDescent="0.25">
      <c r="A3683" s="269">
        <v>43654</v>
      </c>
      <c r="B3683" s="270">
        <v>2019</v>
      </c>
      <c r="C3683" s="270">
        <v>2020</v>
      </c>
      <c r="D3683" s="270">
        <v>1</v>
      </c>
      <c r="E3683" s="270">
        <v>1</v>
      </c>
      <c r="F3683" s="270" t="s">
        <v>944</v>
      </c>
      <c r="G3683" s="270" t="s">
        <v>3926</v>
      </c>
      <c r="H3683" s="270" t="s">
        <v>8199</v>
      </c>
      <c r="I3683" s="270" t="s">
        <v>4137</v>
      </c>
      <c r="J3683" s="270" t="s">
        <v>3928</v>
      </c>
      <c r="K3683" s="270">
        <v>6067</v>
      </c>
      <c r="L3683" s="270">
        <v>490302</v>
      </c>
      <c r="M3683" s="270" t="s">
        <v>3960</v>
      </c>
      <c r="N3683" s="270" t="s">
        <v>3944</v>
      </c>
      <c r="O3683" s="270">
        <v>1583.47</v>
      </c>
      <c r="P3683" s="270" t="s">
        <v>3944</v>
      </c>
      <c r="Q3683" s="270" t="s">
        <v>3944</v>
      </c>
      <c r="R3683" s="270">
        <v>1583.47</v>
      </c>
      <c r="S3683" s="270">
        <v>22349.59</v>
      </c>
      <c r="T3683" s="270">
        <v>23933.06</v>
      </c>
      <c r="U3683" s="271" t="s">
        <v>3945</v>
      </c>
      <c r="V3683" s="267" t="s">
        <v>944</v>
      </c>
    </row>
    <row r="3684" spans="1:22" x14ac:dyDescent="0.25">
      <c r="A3684" s="266">
        <v>43654</v>
      </c>
      <c r="B3684" s="267">
        <v>2019</v>
      </c>
      <c r="C3684" s="267">
        <v>2020</v>
      </c>
      <c r="D3684" s="267">
        <v>1</v>
      </c>
      <c r="E3684" s="267">
        <v>1</v>
      </c>
      <c r="F3684" s="267" t="s">
        <v>944</v>
      </c>
      <c r="G3684" s="267" t="s">
        <v>3926</v>
      </c>
      <c r="H3684" s="267" t="s">
        <v>8200</v>
      </c>
      <c r="I3684" s="267" t="s">
        <v>943</v>
      </c>
      <c r="J3684" s="267" t="s">
        <v>3928</v>
      </c>
      <c r="K3684" s="267">
        <v>6511</v>
      </c>
      <c r="L3684" s="267">
        <v>141600</v>
      </c>
      <c r="M3684" s="267">
        <v>-60</v>
      </c>
      <c r="N3684" s="267" t="s">
        <v>3944</v>
      </c>
      <c r="O3684" s="267">
        <v>1629.32</v>
      </c>
      <c r="P3684" s="267" t="s">
        <v>3944</v>
      </c>
      <c r="Q3684" s="267" t="s">
        <v>3944</v>
      </c>
      <c r="R3684" s="267">
        <v>1629.32</v>
      </c>
      <c r="S3684" s="267">
        <v>37997.61</v>
      </c>
      <c r="T3684" s="267">
        <v>39626.93</v>
      </c>
      <c r="U3684" s="268" t="s">
        <v>3945</v>
      </c>
      <c r="V3684" s="276" t="s">
        <v>936</v>
      </c>
    </row>
    <row r="3685" spans="1:22" hidden="1" x14ac:dyDescent="0.25">
      <c r="A3685" s="269">
        <v>43654</v>
      </c>
      <c r="B3685" s="270">
        <v>2019</v>
      </c>
      <c r="C3685" s="270">
        <v>2020</v>
      </c>
      <c r="D3685" s="270">
        <v>1</v>
      </c>
      <c r="E3685" s="270">
        <v>1</v>
      </c>
      <c r="F3685" s="270" t="s">
        <v>944</v>
      </c>
      <c r="G3685" s="270" t="s">
        <v>3926</v>
      </c>
      <c r="H3685" s="270" t="s">
        <v>8201</v>
      </c>
      <c r="I3685" s="270" t="s">
        <v>4016</v>
      </c>
      <c r="J3685" s="270" t="s">
        <v>3928</v>
      </c>
      <c r="K3685" s="270">
        <v>6770</v>
      </c>
      <c r="L3685" s="270">
        <v>345202</v>
      </c>
      <c r="M3685" s="270" t="s">
        <v>3960</v>
      </c>
      <c r="N3685" s="270" t="s">
        <v>3944</v>
      </c>
      <c r="O3685" s="270">
        <v>1403.47</v>
      </c>
      <c r="P3685" s="270" t="s">
        <v>3944</v>
      </c>
      <c r="Q3685" s="270" t="s">
        <v>3944</v>
      </c>
      <c r="R3685" s="270">
        <v>1403.47</v>
      </c>
      <c r="S3685" s="270">
        <v>22221.27</v>
      </c>
      <c r="T3685" s="270">
        <v>23624.74</v>
      </c>
      <c r="U3685" s="271" t="s">
        <v>3945</v>
      </c>
      <c r="V3685" s="267" t="s">
        <v>944</v>
      </c>
    </row>
    <row r="3686" spans="1:22" hidden="1" x14ac:dyDescent="0.25">
      <c r="A3686" s="266">
        <v>43654</v>
      </c>
      <c r="B3686" s="267">
        <v>2019</v>
      </c>
      <c r="C3686" s="267">
        <v>2020</v>
      </c>
      <c r="D3686" s="267">
        <v>1</v>
      </c>
      <c r="E3686" s="267">
        <v>1</v>
      </c>
      <c r="F3686" s="267" t="s">
        <v>944</v>
      </c>
      <c r="G3686" s="267" t="s">
        <v>3926</v>
      </c>
      <c r="H3686" s="267" t="s">
        <v>8202</v>
      </c>
      <c r="I3686" s="267" t="s">
        <v>3026</v>
      </c>
      <c r="J3686" s="267" t="s">
        <v>3928</v>
      </c>
      <c r="K3686" s="267">
        <v>6471</v>
      </c>
      <c r="L3686" s="267">
        <v>186100</v>
      </c>
      <c r="M3686" s="267" t="s">
        <v>3935</v>
      </c>
      <c r="N3686" s="267" t="s">
        <v>3944</v>
      </c>
      <c r="O3686" s="267">
        <v>2600.33</v>
      </c>
      <c r="P3686" s="267" t="s">
        <v>3944</v>
      </c>
      <c r="Q3686" s="267" t="s">
        <v>3944</v>
      </c>
      <c r="R3686" s="267">
        <v>2600.33</v>
      </c>
      <c r="S3686" s="267">
        <v>43393.279999999999</v>
      </c>
      <c r="T3686" s="267">
        <v>45993.61</v>
      </c>
      <c r="U3686" s="268" t="s">
        <v>3945</v>
      </c>
      <c r="V3686" s="267" t="s">
        <v>944</v>
      </c>
    </row>
    <row r="3687" spans="1:22" hidden="1" x14ac:dyDescent="0.25">
      <c r="A3687" s="269">
        <v>43654</v>
      </c>
      <c r="B3687" s="270">
        <v>2019</v>
      </c>
      <c r="C3687" s="270">
        <v>2020</v>
      </c>
      <c r="D3687" s="270">
        <v>1</v>
      </c>
      <c r="E3687" s="270">
        <v>1</v>
      </c>
      <c r="F3687" s="270" t="s">
        <v>944</v>
      </c>
      <c r="G3687" s="270" t="s">
        <v>3926</v>
      </c>
      <c r="H3687" s="270" t="s">
        <v>8203</v>
      </c>
      <c r="I3687" s="270" t="s">
        <v>4005</v>
      </c>
      <c r="J3687" s="270" t="s">
        <v>3928</v>
      </c>
      <c r="K3687" s="270">
        <v>6108</v>
      </c>
      <c r="L3687" s="270">
        <v>511400</v>
      </c>
      <c r="M3687" s="270" t="s">
        <v>3935</v>
      </c>
      <c r="N3687" s="270" t="s">
        <v>3944</v>
      </c>
      <c r="O3687" s="270">
        <v>1139.6400000000001</v>
      </c>
      <c r="P3687" s="270" t="s">
        <v>3944</v>
      </c>
      <c r="Q3687" s="270" t="s">
        <v>3944</v>
      </c>
      <c r="R3687" s="270">
        <v>1139.6400000000001</v>
      </c>
      <c r="S3687" s="270">
        <v>17033.96</v>
      </c>
      <c r="T3687" s="270">
        <v>18173.599999999999</v>
      </c>
      <c r="U3687" s="271" t="s">
        <v>3945</v>
      </c>
      <c r="V3687" s="267" t="s">
        <v>944</v>
      </c>
    </row>
    <row r="3688" spans="1:22" hidden="1" x14ac:dyDescent="0.25">
      <c r="A3688" s="266">
        <v>43654</v>
      </c>
      <c r="B3688" s="267">
        <v>2019</v>
      </c>
      <c r="C3688" s="267">
        <v>2020</v>
      </c>
      <c r="D3688" s="267">
        <v>1</v>
      </c>
      <c r="E3688" s="267">
        <v>1</v>
      </c>
      <c r="F3688" s="267" t="s">
        <v>944</v>
      </c>
      <c r="G3688" s="267" t="s">
        <v>3926</v>
      </c>
      <c r="H3688" s="267" t="s">
        <v>8204</v>
      </c>
      <c r="I3688" s="267" t="s">
        <v>4200</v>
      </c>
      <c r="J3688" s="267" t="s">
        <v>3928</v>
      </c>
      <c r="K3688" s="267">
        <v>6779</v>
      </c>
      <c r="L3688" s="267">
        <v>360300</v>
      </c>
      <c r="M3688" s="267" t="s">
        <v>3935</v>
      </c>
      <c r="N3688" s="267" t="s">
        <v>3944</v>
      </c>
      <c r="O3688" s="267">
        <v>2444.58</v>
      </c>
      <c r="P3688" s="267" t="s">
        <v>3944</v>
      </c>
      <c r="Q3688" s="267" t="s">
        <v>3944</v>
      </c>
      <c r="R3688" s="267">
        <v>2444.58</v>
      </c>
      <c r="S3688" s="267">
        <v>33114.22</v>
      </c>
      <c r="T3688" s="267">
        <v>35558.800000000003</v>
      </c>
      <c r="U3688" s="268" t="s">
        <v>3945</v>
      </c>
      <c r="V3688" s="267" t="s">
        <v>944</v>
      </c>
    </row>
    <row r="3689" spans="1:22" hidden="1" x14ac:dyDescent="0.25">
      <c r="A3689" s="269">
        <v>43654</v>
      </c>
      <c r="B3689" s="270">
        <v>2019</v>
      </c>
      <c r="C3689" s="270">
        <v>2020</v>
      </c>
      <c r="D3689" s="270">
        <v>1</v>
      </c>
      <c r="E3689" s="270">
        <v>1</v>
      </c>
      <c r="F3689" s="270" t="s">
        <v>944</v>
      </c>
      <c r="G3689" s="270" t="s">
        <v>3926</v>
      </c>
      <c r="H3689" s="270" t="s">
        <v>8205</v>
      </c>
      <c r="I3689" s="270" t="s">
        <v>3010</v>
      </c>
      <c r="J3689" s="270" t="s">
        <v>3928</v>
      </c>
      <c r="K3689" s="270">
        <v>6401</v>
      </c>
      <c r="L3689" s="270">
        <v>125100</v>
      </c>
      <c r="M3689" s="270" t="s">
        <v>3960</v>
      </c>
      <c r="N3689" s="270" t="s">
        <v>3944</v>
      </c>
      <c r="O3689" s="270">
        <v>1474.17</v>
      </c>
      <c r="P3689" s="270" t="s">
        <v>3944</v>
      </c>
      <c r="Q3689" s="270" t="s">
        <v>3944</v>
      </c>
      <c r="R3689" s="270">
        <v>1474.17</v>
      </c>
      <c r="S3689" s="270">
        <v>25227.21</v>
      </c>
      <c r="T3689" s="270">
        <v>26701.38</v>
      </c>
      <c r="U3689" s="271" t="s">
        <v>3945</v>
      </c>
      <c r="V3689" s="267" t="s">
        <v>944</v>
      </c>
    </row>
    <row r="3690" spans="1:22" hidden="1" x14ac:dyDescent="0.25">
      <c r="A3690" s="266">
        <v>43654</v>
      </c>
      <c r="B3690" s="267">
        <v>2019</v>
      </c>
      <c r="C3690" s="267">
        <v>2020</v>
      </c>
      <c r="D3690" s="267">
        <v>1</v>
      </c>
      <c r="E3690" s="267">
        <v>1</v>
      </c>
      <c r="F3690" s="267" t="s">
        <v>944</v>
      </c>
      <c r="G3690" s="267" t="s">
        <v>3926</v>
      </c>
      <c r="H3690" s="267" t="s">
        <v>8206</v>
      </c>
      <c r="I3690" s="267" t="s">
        <v>4016</v>
      </c>
      <c r="J3690" s="267" t="s">
        <v>3928</v>
      </c>
      <c r="K3690" s="267">
        <v>6770</v>
      </c>
      <c r="L3690" s="267">
        <v>345100</v>
      </c>
      <c r="M3690" s="267" t="s">
        <v>3940</v>
      </c>
      <c r="N3690" s="267" t="s">
        <v>8207</v>
      </c>
      <c r="O3690" s="267"/>
      <c r="P3690" s="267" t="s">
        <v>3944</v>
      </c>
      <c r="Q3690" s="267" t="s">
        <v>3930</v>
      </c>
      <c r="R3690" s="267">
        <v>0</v>
      </c>
      <c r="S3690" s="267">
        <v>799874.52</v>
      </c>
      <c r="T3690" s="267">
        <v>799874.52</v>
      </c>
      <c r="U3690" s="268" t="s">
        <v>4099</v>
      </c>
      <c r="V3690" s="267" t="s">
        <v>944</v>
      </c>
    </row>
    <row r="3691" spans="1:22" hidden="1" x14ac:dyDescent="0.25">
      <c r="A3691" s="269">
        <v>43654</v>
      </c>
      <c r="B3691" s="270">
        <v>2019</v>
      </c>
      <c r="C3691" s="270">
        <v>2020</v>
      </c>
      <c r="D3691" s="270">
        <v>1</v>
      </c>
      <c r="E3691" s="270">
        <v>1</v>
      </c>
      <c r="F3691" s="270" t="s">
        <v>944</v>
      </c>
      <c r="G3691" s="270" t="s">
        <v>3926</v>
      </c>
      <c r="H3691" s="270" t="s">
        <v>8208</v>
      </c>
      <c r="I3691" s="270" t="s">
        <v>3956</v>
      </c>
      <c r="J3691" s="270" t="s">
        <v>3928</v>
      </c>
      <c r="K3691" s="270">
        <v>6120</v>
      </c>
      <c r="L3691" s="270">
        <v>500700</v>
      </c>
      <c r="M3691" s="270" t="s">
        <v>8209</v>
      </c>
      <c r="N3691" s="270" t="s">
        <v>8210</v>
      </c>
      <c r="O3691" s="270"/>
      <c r="P3691" s="270" t="s">
        <v>3944</v>
      </c>
      <c r="Q3691" s="270" t="s">
        <v>3930</v>
      </c>
      <c r="R3691" s="270">
        <v>0</v>
      </c>
      <c r="S3691" s="270">
        <v>337452.32</v>
      </c>
      <c r="T3691" s="270">
        <v>337452.32</v>
      </c>
      <c r="U3691" s="271" t="s">
        <v>4099</v>
      </c>
      <c r="V3691" s="267" t="s">
        <v>944</v>
      </c>
    </row>
    <row r="3692" spans="1:22" hidden="1" x14ac:dyDescent="0.25">
      <c r="A3692" s="266">
        <v>43654</v>
      </c>
      <c r="B3692" s="267">
        <v>2019</v>
      </c>
      <c r="C3692" s="267">
        <v>2020</v>
      </c>
      <c r="D3692" s="267">
        <v>1</v>
      </c>
      <c r="E3692" s="267">
        <v>1</v>
      </c>
      <c r="F3692" s="267" t="s">
        <v>944</v>
      </c>
      <c r="G3692" s="267" t="s">
        <v>3926</v>
      </c>
      <c r="H3692" s="267" t="s">
        <v>8211</v>
      </c>
      <c r="I3692" s="267" t="s">
        <v>3999</v>
      </c>
      <c r="J3692" s="267" t="s">
        <v>3928</v>
      </c>
      <c r="K3692" s="267">
        <v>6450</v>
      </c>
      <c r="L3692" s="267">
        <v>171500</v>
      </c>
      <c r="M3692" s="267">
        <v>-60</v>
      </c>
      <c r="N3692" s="267" t="s">
        <v>8212</v>
      </c>
      <c r="O3692" s="267"/>
      <c r="P3692" s="267" t="s">
        <v>3944</v>
      </c>
      <c r="Q3692" s="267" t="s">
        <v>3930</v>
      </c>
      <c r="R3692" s="267">
        <v>0</v>
      </c>
      <c r="S3692" s="267">
        <v>908668.29</v>
      </c>
      <c r="T3692" s="267">
        <v>908668.29</v>
      </c>
      <c r="U3692" s="268" t="s">
        <v>4099</v>
      </c>
      <c r="V3692" s="267" t="s">
        <v>944</v>
      </c>
    </row>
    <row r="3693" spans="1:22" hidden="1" x14ac:dyDescent="0.25">
      <c r="A3693" s="269">
        <v>43654</v>
      </c>
      <c r="B3693" s="270">
        <v>2019</v>
      </c>
      <c r="C3693" s="270">
        <v>2020</v>
      </c>
      <c r="D3693" s="270">
        <v>1</v>
      </c>
      <c r="E3693" s="270">
        <v>1</v>
      </c>
      <c r="F3693" s="270" t="s">
        <v>944</v>
      </c>
      <c r="G3693" s="270" t="s">
        <v>3926</v>
      </c>
      <c r="H3693" s="270" t="s">
        <v>8213</v>
      </c>
      <c r="I3693" s="270" t="s">
        <v>4548</v>
      </c>
      <c r="J3693" s="270" t="s">
        <v>3928</v>
      </c>
      <c r="K3693" s="270">
        <v>6037</v>
      </c>
      <c r="L3693" s="270">
        <v>400300</v>
      </c>
      <c r="M3693" s="270" t="s">
        <v>3960</v>
      </c>
      <c r="N3693" s="270" t="s">
        <v>3944</v>
      </c>
      <c r="O3693" s="270">
        <v>2652.58</v>
      </c>
      <c r="P3693" s="270" t="s">
        <v>3944</v>
      </c>
      <c r="Q3693" s="270" t="s">
        <v>3944</v>
      </c>
      <c r="R3693" s="270">
        <v>2652.58</v>
      </c>
      <c r="S3693" s="270">
        <v>40373.75</v>
      </c>
      <c r="T3693" s="270">
        <v>43026.33</v>
      </c>
      <c r="U3693" s="271" t="s">
        <v>3945</v>
      </c>
      <c r="V3693" s="267" t="s">
        <v>944</v>
      </c>
    </row>
    <row r="3694" spans="1:22" hidden="1" x14ac:dyDescent="0.25">
      <c r="A3694" s="266">
        <v>43654</v>
      </c>
      <c r="B3694" s="267">
        <v>2019</v>
      </c>
      <c r="C3694" s="267">
        <v>2020</v>
      </c>
      <c r="D3694" s="267">
        <v>1</v>
      </c>
      <c r="E3694" s="267">
        <v>1</v>
      </c>
      <c r="F3694" s="267" t="s">
        <v>944</v>
      </c>
      <c r="G3694" s="267" t="s">
        <v>3926</v>
      </c>
      <c r="H3694" s="267" t="s">
        <v>8214</v>
      </c>
      <c r="I3694" s="267" t="s">
        <v>5032</v>
      </c>
      <c r="J3694" s="267" t="s">
        <v>3928</v>
      </c>
      <c r="K3694" s="267">
        <v>6062</v>
      </c>
      <c r="L3694" s="267">
        <v>420700</v>
      </c>
      <c r="M3694" s="267" t="s">
        <v>3935</v>
      </c>
      <c r="N3694" s="267" t="s">
        <v>3944</v>
      </c>
      <c r="O3694" s="267">
        <v>3630.69</v>
      </c>
      <c r="P3694" s="267" t="s">
        <v>3944</v>
      </c>
      <c r="Q3694" s="267" t="s">
        <v>3944</v>
      </c>
      <c r="R3694" s="267">
        <v>3630.69</v>
      </c>
      <c r="S3694" s="267">
        <v>53556.78</v>
      </c>
      <c r="T3694" s="267">
        <v>57187.47</v>
      </c>
      <c r="U3694" s="268" t="s">
        <v>3945</v>
      </c>
      <c r="V3694" s="267" t="s">
        <v>944</v>
      </c>
    </row>
    <row r="3695" spans="1:22" hidden="1" x14ac:dyDescent="0.25">
      <c r="A3695" s="269">
        <v>43655</v>
      </c>
      <c r="B3695" s="270">
        <v>2019</v>
      </c>
      <c r="C3695" s="270">
        <v>2020</v>
      </c>
      <c r="D3695" s="270">
        <v>1</v>
      </c>
      <c r="E3695" s="270">
        <v>1</v>
      </c>
      <c r="F3695" s="270" t="s">
        <v>944</v>
      </c>
      <c r="G3695" s="270" t="s">
        <v>3926</v>
      </c>
      <c r="H3695" s="270" t="s">
        <v>8215</v>
      </c>
      <c r="I3695" s="270" t="s">
        <v>4269</v>
      </c>
      <c r="J3695" s="270" t="s">
        <v>3928</v>
      </c>
      <c r="K3695" s="270">
        <v>6110</v>
      </c>
      <c r="L3695" s="270">
        <v>496200</v>
      </c>
      <c r="M3695" s="270" t="s">
        <v>3935</v>
      </c>
      <c r="N3695" s="270" t="s">
        <v>8216</v>
      </c>
      <c r="O3695" s="270">
        <v>0</v>
      </c>
      <c r="P3695" s="270" t="s">
        <v>3930</v>
      </c>
      <c r="Q3695" s="270" t="s">
        <v>3930</v>
      </c>
      <c r="R3695" s="270">
        <v>0</v>
      </c>
      <c r="S3695" s="270">
        <v>7250</v>
      </c>
      <c r="T3695" s="270">
        <v>7250</v>
      </c>
      <c r="U3695" s="271" t="s">
        <v>3937</v>
      </c>
      <c r="V3695" s="267" t="s">
        <v>944</v>
      </c>
    </row>
    <row r="3696" spans="1:22" hidden="1" x14ac:dyDescent="0.25">
      <c r="A3696" s="266">
        <v>43655</v>
      </c>
      <c r="B3696" s="267">
        <v>2019</v>
      </c>
      <c r="C3696" s="267">
        <v>2020</v>
      </c>
      <c r="D3696" s="267">
        <v>1</v>
      </c>
      <c r="E3696" s="267">
        <v>1</v>
      </c>
      <c r="F3696" s="267" t="s">
        <v>944</v>
      </c>
      <c r="G3696" s="267" t="s">
        <v>3926</v>
      </c>
      <c r="H3696" s="267" t="s">
        <v>8217</v>
      </c>
      <c r="I3696" s="267" t="s">
        <v>4029</v>
      </c>
      <c r="J3696" s="267" t="s">
        <v>3928</v>
      </c>
      <c r="K3696" s="267">
        <v>6851</v>
      </c>
      <c r="L3696" s="267">
        <v>43400</v>
      </c>
      <c r="M3696" s="267" t="s">
        <v>3935</v>
      </c>
      <c r="N3696" s="267" t="s">
        <v>8218</v>
      </c>
      <c r="O3696" s="267">
        <v>0</v>
      </c>
      <c r="P3696" s="267" t="s">
        <v>3930</v>
      </c>
      <c r="Q3696" s="267" t="s">
        <v>3930</v>
      </c>
      <c r="R3696" s="267">
        <v>0</v>
      </c>
      <c r="S3696" s="267">
        <v>11400</v>
      </c>
      <c r="T3696" s="267">
        <v>11400</v>
      </c>
      <c r="U3696" s="268" t="s">
        <v>3937</v>
      </c>
      <c r="V3696" s="267" t="s">
        <v>944</v>
      </c>
    </row>
    <row r="3697" spans="1:22" hidden="1" x14ac:dyDescent="0.25">
      <c r="A3697" s="269">
        <v>43655</v>
      </c>
      <c r="B3697" s="270">
        <v>2019</v>
      </c>
      <c r="C3697" s="270">
        <v>2020</v>
      </c>
      <c r="D3697" s="270">
        <v>1</v>
      </c>
      <c r="E3697" s="270">
        <v>1</v>
      </c>
      <c r="F3697" s="270" t="s">
        <v>944</v>
      </c>
      <c r="G3697" s="270" t="s">
        <v>3926</v>
      </c>
      <c r="H3697" s="270" t="s">
        <v>8219</v>
      </c>
      <c r="I3697" s="270" t="s">
        <v>3014</v>
      </c>
      <c r="J3697" s="270" t="s">
        <v>3928</v>
      </c>
      <c r="K3697" s="270">
        <v>6525</v>
      </c>
      <c r="L3697" s="270">
        <v>160200</v>
      </c>
      <c r="M3697" s="270" t="s">
        <v>3943</v>
      </c>
      <c r="N3697" s="270" t="s">
        <v>8220</v>
      </c>
      <c r="O3697" s="270">
        <v>4153</v>
      </c>
      <c r="P3697" s="270" t="s">
        <v>3930</v>
      </c>
      <c r="Q3697" s="270" t="s">
        <v>3930</v>
      </c>
      <c r="R3697" s="270">
        <v>4153</v>
      </c>
      <c r="S3697" s="270">
        <v>17247</v>
      </c>
      <c r="T3697" s="270">
        <v>21400</v>
      </c>
      <c r="U3697" s="271" t="s">
        <v>3937</v>
      </c>
      <c r="V3697" s="267" t="s">
        <v>944</v>
      </c>
    </row>
    <row r="3698" spans="1:22" x14ac:dyDescent="0.25">
      <c r="A3698" s="266">
        <v>43655</v>
      </c>
      <c r="B3698" s="267">
        <v>2019</v>
      </c>
      <c r="C3698" s="267">
        <v>2020</v>
      </c>
      <c r="D3698" s="267">
        <v>1</v>
      </c>
      <c r="E3698" s="267">
        <v>1</v>
      </c>
      <c r="F3698" s="267" t="s">
        <v>944</v>
      </c>
      <c r="G3698" s="267" t="s">
        <v>3926</v>
      </c>
      <c r="H3698" s="267" t="s">
        <v>8221</v>
      </c>
      <c r="I3698" s="267" t="s">
        <v>934</v>
      </c>
      <c r="J3698" s="267" t="s">
        <v>3928</v>
      </c>
      <c r="K3698" s="267">
        <v>6606</v>
      </c>
      <c r="L3698" s="267">
        <v>72200</v>
      </c>
      <c r="M3698" s="267">
        <v>-60</v>
      </c>
      <c r="N3698" s="267" t="s">
        <v>3983</v>
      </c>
      <c r="O3698" s="267">
        <v>1358.67</v>
      </c>
      <c r="P3698" s="267" t="s">
        <v>3930</v>
      </c>
      <c r="Q3698" s="267" t="s">
        <v>3931</v>
      </c>
      <c r="R3698" s="267">
        <v>6358.67</v>
      </c>
      <c r="S3698" s="267">
        <v>16504</v>
      </c>
      <c r="T3698" s="267">
        <v>22862.67</v>
      </c>
      <c r="U3698" s="268" t="s">
        <v>3932</v>
      </c>
      <c r="V3698" s="276" t="s">
        <v>936</v>
      </c>
    </row>
    <row r="3699" spans="1:22" hidden="1" x14ac:dyDescent="0.25">
      <c r="A3699" s="269">
        <v>43655</v>
      </c>
      <c r="B3699" s="270">
        <v>2019</v>
      </c>
      <c r="C3699" s="270">
        <v>2020</v>
      </c>
      <c r="D3699" s="270">
        <v>1</v>
      </c>
      <c r="E3699" s="270">
        <v>1</v>
      </c>
      <c r="F3699" s="270" t="s">
        <v>944</v>
      </c>
      <c r="G3699" s="270" t="s">
        <v>3926</v>
      </c>
      <c r="H3699" s="270" t="s">
        <v>8222</v>
      </c>
      <c r="I3699" s="270" t="s">
        <v>934</v>
      </c>
      <c r="J3699" s="270" t="s">
        <v>3928</v>
      </c>
      <c r="K3699" s="270">
        <v>6606</v>
      </c>
      <c r="L3699" s="270">
        <v>72500</v>
      </c>
      <c r="M3699" s="270" t="s">
        <v>3940</v>
      </c>
      <c r="N3699" s="270" t="s">
        <v>8223</v>
      </c>
      <c r="O3699" s="270">
        <v>763.86</v>
      </c>
      <c r="P3699" s="270" t="s">
        <v>3930</v>
      </c>
      <c r="Q3699" s="270" t="s">
        <v>3931</v>
      </c>
      <c r="R3699" s="270">
        <v>5763.86</v>
      </c>
      <c r="S3699" s="270">
        <v>12702.4</v>
      </c>
      <c r="T3699" s="270">
        <v>18466.259999999998</v>
      </c>
      <c r="U3699" s="271" t="s">
        <v>3932</v>
      </c>
      <c r="V3699" s="267" t="s">
        <v>944</v>
      </c>
    </row>
    <row r="3700" spans="1:22" hidden="1" x14ac:dyDescent="0.25">
      <c r="A3700" s="266">
        <v>43655</v>
      </c>
      <c r="B3700" s="267">
        <v>2019</v>
      </c>
      <c r="C3700" s="267">
        <v>2020</v>
      </c>
      <c r="D3700" s="267">
        <v>1</v>
      </c>
      <c r="E3700" s="267">
        <v>1</v>
      </c>
      <c r="F3700" s="267" t="s">
        <v>944</v>
      </c>
      <c r="G3700" s="267" t="s">
        <v>3926</v>
      </c>
      <c r="H3700" s="267" t="s">
        <v>8224</v>
      </c>
      <c r="I3700" s="267" t="s">
        <v>3993</v>
      </c>
      <c r="J3700" s="267" t="s">
        <v>3928</v>
      </c>
      <c r="K3700" s="267">
        <v>6320</v>
      </c>
      <c r="L3700" s="267">
        <v>690900</v>
      </c>
      <c r="M3700" s="267" t="s">
        <v>3935</v>
      </c>
      <c r="N3700" s="267" t="s">
        <v>8225</v>
      </c>
      <c r="O3700" s="267">
        <v>0</v>
      </c>
      <c r="P3700" s="267" t="s">
        <v>3930</v>
      </c>
      <c r="Q3700" s="267" t="s">
        <v>3930</v>
      </c>
      <c r="R3700" s="267">
        <v>0</v>
      </c>
      <c r="S3700" s="267">
        <v>7615</v>
      </c>
      <c r="T3700" s="267">
        <v>7615</v>
      </c>
      <c r="U3700" s="268" t="s">
        <v>3937</v>
      </c>
      <c r="V3700" s="267" t="s">
        <v>944</v>
      </c>
    </row>
    <row r="3701" spans="1:22" hidden="1" x14ac:dyDescent="0.25">
      <c r="A3701" s="269">
        <v>43655</v>
      </c>
      <c r="B3701" s="270">
        <v>2019</v>
      </c>
      <c r="C3701" s="270">
        <v>2020</v>
      </c>
      <c r="D3701" s="270">
        <v>1</v>
      </c>
      <c r="E3701" s="270">
        <v>1</v>
      </c>
      <c r="F3701" s="270" t="s">
        <v>944</v>
      </c>
      <c r="G3701" s="270" t="s">
        <v>3926</v>
      </c>
      <c r="H3701" s="270" t="s">
        <v>8226</v>
      </c>
      <c r="I3701" s="270" t="s">
        <v>956</v>
      </c>
      <c r="J3701" s="270" t="s">
        <v>3928</v>
      </c>
      <c r="K3701" s="270">
        <v>6614</v>
      </c>
      <c r="L3701" s="270">
        <v>80800</v>
      </c>
      <c r="M3701" s="270" t="s">
        <v>3960</v>
      </c>
      <c r="N3701" s="270" t="s">
        <v>3944</v>
      </c>
      <c r="O3701" s="270">
        <v>1125.32</v>
      </c>
      <c r="P3701" s="270" t="s">
        <v>3944</v>
      </c>
      <c r="Q3701" s="270" t="s">
        <v>3944</v>
      </c>
      <c r="R3701" s="270">
        <v>1125.32</v>
      </c>
      <c r="S3701" s="270">
        <v>17276.54</v>
      </c>
      <c r="T3701" s="270">
        <v>18401.86</v>
      </c>
      <c r="U3701" s="271" t="s">
        <v>3945</v>
      </c>
      <c r="V3701" s="267" t="s">
        <v>944</v>
      </c>
    </row>
    <row r="3702" spans="1:22" hidden="1" x14ac:dyDescent="0.25">
      <c r="A3702" s="266">
        <v>43655</v>
      </c>
      <c r="B3702" s="267">
        <v>2019</v>
      </c>
      <c r="C3702" s="267">
        <v>2020</v>
      </c>
      <c r="D3702" s="267">
        <v>1</v>
      </c>
      <c r="E3702" s="267">
        <v>1</v>
      </c>
      <c r="F3702" s="267" t="s">
        <v>944</v>
      </c>
      <c r="G3702" s="267" t="s">
        <v>3926</v>
      </c>
      <c r="H3702" s="267" t="s">
        <v>8227</v>
      </c>
      <c r="I3702" s="267" t="s">
        <v>3962</v>
      </c>
      <c r="J3702" s="267" t="s">
        <v>3928</v>
      </c>
      <c r="K3702" s="267">
        <v>6355</v>
      </c>
      <c r="L3702" s="267">
        <v>705300</v>
      </c>
      <c r="M3702" s="267" t="s">
        <v>3960</v>
      </c>
      <c r="N3702" s="267" t="s">
        <v>3944</v>
      </c>
      <c r="O3702" s="267">
        <v>3178.98</v>
      </c>
      <c r="P3702" s="267" t="s">
        <v>3944</v>
      </c>
      <c r="Q3702" s="267" t="s">
        <v>3944</v>
      </c>
      <c r="R3702" s="267">
        <v>3178.98</v>
      </c>
      <c r="S3702" s="267">
        <v>39893.980000000003</v>
      </c>
      <c r="T3702" s="267">
        <v>43072.959999999999</v>
      </c>
      <c r="U3702" s="268" t="s">
        <v>3945</v>
      </c>
      <c r="V3702" s="267" t="s">
        <v>944</v>
      </c>
    </row>
    <row r="3703" spans="1:22" hidden="1" x14ac:dyDescent="0.25">
      <c r="A3703" s="269">
        <v>43655</v>
      </c>
      <c r="B3703" s="270">
        <v>2019</v>
      </c>
      <c r="C3703" s="270">
        <v>2020</v>
      </c>
      <c r="D3703" s="270">
        <v>1</v>
      </c>
      <c r="E3703" s="270">
        <v>1</v>
      </c>
      <c r="F3703" s="270" t="s">
        <v>944</v>
      </c>
      <c r="G3703" s="270" t="s">
        <v>3926</v>
      </c>
      <c r="H3703" s="270" t="s">
        <v>8228</v>
      </c>
      <c r="I3703" s="270" t="s">
        <v>956</v>
      </c>
      <c r="J3703" s="270" t="s">
        <v>3928</v>
      </c>
      <c r="K3703" s="270">
        <v>6614</v>
      </c>
      <c r="L3703" s="270">
        <v>80900</v>
      </c>
      <c r="M3703" s="270" t="s">
        <v>3960</v>
      </c>
      <c r="N3703" s="270" t="s">
        <v>3944</v>
      </c>
      <c r="O3703" s="270">
        <v>1177.79</v>
      </c>
      <c r="P3703" s="270" t="s">
        <v>3944</v>
      </c>
      <c r="Q3703" s="270" t="s">
        <v>3944</v>
      </c>
      <c r="R3703" s="270">
        <v>1177.79</v>
      </c>
      <c r="S3703" s="270">
        <v>16728.63</v>
      </c>
      <c r="T3703" s="270">
        <v>17906.419999999998</v>
      </c>
      <c r="U3703" s="271" t="s">
        <v>3945</v>
      </c>
      <c r="V3703" s="267" t="s">
        <v>944</v>
      </c>
    </row>
    <row r="3704" spans="1:22" hidden="1" x14ac:dyDescent="0.25">
      <c r="A3704" s="266">
        <v>43655</v>
      </c>
      <c r="B3704" s="267">
        <v>2019</v>
      </c>
      <c r="C3704" s="267">
        <v>2020</v>
      </c>
      <c r="D3704" s="267">
        <v>1</v>
      </c>
      <c r="E3704" s="267">
        <v>1</v>
      </c>
      <c r="F3704" s="267" t="s">
        <v>944</v>
      </c>
      <c r="G3704" s="267" t="s">
        <v>3926</v>
      </c>
      <c r="H3704" s="267" t="s">
        <v>8229</v>
      </c>
      <c r="I3704" s="267" t="s">
        <v>3996</v>
      </c>
      <c r="J3704" s="267" t="s">
        <v>3928</v>
      </c>
      <c r="K3704" s="267">
        <v>6790</v>
      </c>
      <c r="L3704" s="267">
        <v>310500</v>
      </c>
      <c r="M3704" s="267" t="s">
        <v>3940</v>
      </c>
      <c r="N3704" s="267" t="s">
        <v>3944</v>
      </c>
      <c r="O3704" s="267">
        <v>2265.8000000000002</v>
      </c>
      <c r="P3704" s="267" t="s">
        <v>3944</v>
      </c>
      <c r="Q3704" s="267" t="s">
        <v>3944</v>
      </c>
      <c r="R3704" s="267">
        <v>2265.8000000000002</v>
      </c>
      <c r="S3704" s="267">
        <v>33436.76</v>
      </c>
      <c r="T3704" s="267">
        <v>35702.559999999998</v>
      </c>
      <c r="U3704" s="268" t="s">
        <v>3945</v>
      </c>
      <c r="V3704" s="267" t="s">
        <v>944</v>
      </c>
    </row>
    <row r="3705" spans="1:22" hidden="1" x14ac:dyDescent="0.25">
      <c r="A3705" s="269">
        <v>43655</v>
      </c>
      <c r="B3705" s="270">
        <v>2019</v>
      </c>
      <c r="C3705" s="270">
        <v>2020</v>
      </c>
      <c r="D3705" s="270">
        <v>1</v>
      </c>
      <c r="E3705" s="270">
        <v>1</v>
      </c>
      <c r="F3705" s="270" t="s">
        <v>944</v>
      </c>
      <c r="G3705" s="270" t="s">
        <v>3926</v>
      </c>
      <c r="H3705" s="270" t="s">
        <v>8230</v>
      </c>
      <c r="I3705" s="270" t="s">
        <v>4235</v>
      </c>
      <c r="J3705" s="270" t="s">
        <v>3928</v>
      </c>
      <c r="K3705" s="270">
        <v>6066</v>
      </c>
      <c r="L3705" s="270">
        <v>530301</v>
      </c>
      <c r="M3705" s="270" t="s">
        <v>3940</v>
      </c>
      <c r="N3705" s="270" t="s">
        <v>3944</v>
      </c>
      <c r="O3705" s="270">
        <v>1491.6</v>
      </c>
      <c r="P3705" s="270" t="s">
        <v>3944</v>
      </c>
      <c r="Q3705" s="270" t="s">
        <v>3944</v>
      </c>
      <c r="R3705" s="270">
        <v>1491.6</v>
      </c>
      <c r="S3705" s="270">
        <v>20405.060000000001</v>
      </c>
      <c r="T3705" s="270">
        <v>21896.66</v>
      </c>
      <c r="U3705" s="271" t="s">
        <v>3945</v>
      </c>
      <c r="V3705" s="267" t="s">
        <v>944</v>
      </c>
    </row>
    <row r="3706" spans="1:22" hidden="1" x14ac:dyDescent="0.25">
      <c r="A3706" s="266">
        <v>43655</v>
      </c>
      <c r="B3706" s="267">
        <v>2019</v>
      </c>
      <c r="C3706" s="267">
        <v>2020</v>
      </c>
      <c r="D3706" s="267">
        <v>1</v>
      </c>
      <c r="E3706" s="267">
        <v>1</v>
      </c>
      <c r="F3706" s="267" t="s">
        <v>944</v>
      </c>
      <c r="G3706" s="267" t="s">
        <v>3926</v>
      </c>
      <c r="H3706" s="267" t="s">
        <v>8231</v>
      </c>
      <c r="I3706" s="267" t="s">
        <v>4269</v>
      </c>
      <c r="J3706" s="267" t="s">
        <v>3928</v>
      </c>
      <c r="K3706" s="267">
        <v>6117</v>
      </c>
      <c r="L3706" s="267">
        <v>497000</v>
      </c>
      <c r="M3706" s="267" t="s">
        <v>3943</v>
      </c>
      <c r="N3706" s="267" t="s">
        <v>3944</v>
      </c>
      <c r="O3706" s="267">
        <v>650.83000000000004</v>
      </c>
      <c r="P3706" s="267" t="s">
        <v>3944</v>
      </c>
      <c r="Q3706" s="267" t="s">
        <v>3944</v>
      </c>
      <c r="R3706" s="267">
        <v>650.83000000000004</v>
      </c>
      <c r="S3706" s="267">
        <v>9388.77</v>
      </c>
      <c r="T3706" s="267">
        <v>10039.6</v>
      </c>
      <c r="U3706" s="268" t="s">
        <v>3945</v>
      </c>
      <c r="V3706" s="267" t="s">
        <v>944</v>
      </c>
    </row>
    <row r="3707" spans="1:22" hidden="1" x14ac:dyDescent="0.25">
      <c r="A3707" s="269">
        <v>43655</v>
      </c>
      <c r="B3707" s="270">
        <v>2019</v>
      </c>
      <c r="C3707" s="270">
        <v>2020</v>
      </c>
      <c r="D3707" s="270">
        <v>1</v>
      </c>
      <c r="E3707" s="270">
        <v>1</v>
      </c>
      <c r="F3707" s="270" t="s">
        <v>944</v>
      </c>
      <c r="G3707" s="270" t="s">
        <v>3926</v>
      </c>
      <c r="H3707" s="270" t="s">
        <v>8232</v>
      </c>
      <c r="I3707" s="270" t="s">
        <v>3939</v>
      </c>
      <c r="J3707" s="270" t="s">
        <v>3928</v>
      </c>
      <c r="K3707" s="270">
        <v>6512</v>
      </c>
      <c r="L3707" s="270">
        <v>180100</v>
      </c>
      <c r="M3707" s="270" t="s">
        <v>3940</v>
      </c>
      <c r="N3707" s="270" t="s">
        <v>3944</v>
      </c>
      <c r="O3707" s="270">
        <v>1823.85</v>
      </c>
      <c r="P3707" s="270" t="s">
        <v>3944</v>
      </c>
      <c r="Q3707" s="270" t="s">
        <v>3944</v>
      </c>
      <c r="R3707" s="270">
        <v>1823.85</v>
      </c>
      <c r="S3707" s="270">
        <v>27224.86</v>
      </c>
      <c r="T3707" s="270">
        <v>29048.71</v>
      </c>
      <c r="U3707" s="271" t="s">
        <v>3945</v>
      </c>
      <c r="V3707" s="267" t="s">
        <v>944</v>
      </c>
    </row>
    <row r="3708" spans="1:22" hidden="1" x14ac:dyDescent="0.25">
      <c r="A3708" s="266">
        <v>43655</v>
      </c>
      <c r="B3708" s="267">
        <v>2019</v>
      </c>
      <c r="C3708" s="267">
        <v>2020</v>
      </c>
      <c r="D3708" s="267">
        <v>1</v>
      </c>
      <c r="E3708" s="267">
        <v>1</v>
      </c>
      <c r="F3708" s="267" t="s">
        <v>944</v>
      </c>
      <c r="G3708" s="267" t="s">
        <v>3926</v>
      </c>
      <c r="H3708" s="267" t="s">
        <v>8233</v>
      </c>
      <c r="I3708" s="267" t="s">
        <v>6426</v>
      </c>
      <c r="J3708" s="267" t="s">
        <v>3928</v>
      </c>
      <c r="K3708" s="267">
        <v>6422</v>
      </c>
      <c r="L3708" s="267">
        <v>585100</v>
      </c>
      <c r="M3708" s="267" t="s">
        <v>3943</v>
      </c>
      <c r="N3708" s="267" t="s">
        <v>3944</v>
      </c>
      <c r="O3708" s="267">
        <v>716.14</v>
      </c>
      <c r="P3708" s="267" t="s">
        <v>3944</v>
      </c>
      <c r="Q3708" s="267" t="s">
        <v>3944</v>
      </c>
      <c r="R3708" s="267">
        <v>716.14</v>
      </c>
      <c r="S3708" s="267">
        <v>9652.77</v>
      </c>
      <c r="T3708" s="267">
        <v>10368.91</v>
      </c>
      <c r="U3708" s="268" t="s">
        <v>3945</v>
      </c>
      <c r="V3708" s="267" t="s">
        <v>944</v>
      </c>
    </row>
    <row r="3709" spans="1:22" hidden="1" x14ac:dyDescent="0.25">
      <c r="A3709" s="269">
        <v>43655</v>
      </c>
      <c r="B3709" s="270">
        <v>2019</v>
      </c>
      <c r="C3709" s="270">
        <v>2020</v>
      </c>
      <c r="D3709" s="270">
        <v>1</v>
      </c>
      <c r="E3709" s="270">
        <v>1</v>
      </c>
      <c r="F3709" s="270" t="s">
        <v>944</v>
      </c>
      <c r="G3709" s="270" t="s">
        <v>3926</v>
      </c>
      <c r="H3709" s="270" t="s">
        <v>8234</v>
      </c>
      <c r="I3709" s="270" t="s">
        <v>4306</v>
      </c>
      <c r="J3709" s="270" t="s">
        <v>3928</v>
      </c>
      <c r="K3709" s="270">
        <v>6716</v>
      </c>
      <c r="L3709" s="270">
        <v>361200</v>
      </c>
      <c r="M3709" s="270" t="s">
        <v>3960</v>
      </c>
      <c r="N3709" s="270" t="s">
        <v>3944</v>
      </c>
      <c r="O3709" s="270">
        <v>2207.52</v>
      </c>
      <c r="P3709" s="270" t="s">
        <v>3944</v>
      </c>
      <c r="Q3709" s="270" t="s">
        <v>3944</v>
      </c>
      <c r="R3709" s="270">
        <v>2207.52</v>
      </c>
      <c r="S3709" s="270">
        <v>30433.35</v>
      </c>
      <c r="T3709" s="270">
        <v>32640.87</v>
      </c>
      <c r="U3709" s="271" t="s">
        <v>3945</v>
      </c>
      <c r="V3709" s="267" t="s">
        <v>944</v>
      </c>
    </row>
    <row r="3710" spans="1:22" hidden="1" x14ac:dyDescent="0.25">
      <c r="A3710" s="266">
        <v>43655</v>
      </c>
      <c r="B3710" s="267">
        <v>2019</v>
      </c>
      <c r="C3710" s="267">
        <v>2020</v>
      </c>
      <c r="D3710" s="267">
        <v>1</v>
      </c>
      <c r="E3710" s="267">
        <v>1</v>
      </c>
      <c r="F3710" s="267" t="s">
        <v>944</v>
      </c>
      <c r="G3710" s="267" t="s">
        <v>3926</v>
      </c>
      <c r="H3710" s="267" t="s">
        <v>8235</v>
      </c>
      <c r="I3710" s="267" t="s">
        <v>4687</v>
      </c>
      <c r="J3710" s="267" t="s">
        <v>3928</v>
      </c>
      <c r="K3710" s="267">
        <v>6424</v>
      </c>
      <c r="L3710" s="267">
        <v>550201</v>
      </c>
      <c r="M3710" s="267" t="s">
        <v>3943</v>
      </c>
      <c r="N3710" s="267" t="s">
        <v>3944</v>
      </c>
      <c r="O3710" s="267">
        <v>3907.33</v>
      </c>
      <c r="P3710" s="267" t="s">
        <v>3944</v>
      </c>
      <c r="Q3710" s="267" t="s">
        <v>3944</v>
      </c>
      <c r="R3710" s="267">
        <v>3907.33</v>
      </c>
      <c r="S3710" s="267">
        <v>53017.58</v>
      </c>
      <c r="T3710" s="267">
        <v>56924.91</v>
      </c>
      <c r="U3710" s="268" t="s">
        <v>3945</v>
      </c>
      <c r="V3710" s="267" t="s">
        <v>944</v>
      </c>
    </row>
    <row r="3711" spans="1:22" hidden="1" x14ac:dyDescent="0.25">
      <c r="A3711" s="269">
        <v>43655</v>
      </c>
      <c r="B3711" s="270">
        <v>2019</v>
      </c>
      <c r="C3711" s="270">
        <v>2020</v>
      </c>
      <c r="D3711" s="270">
        <v>1</v>
      </c>
      <c r="E3711" s="270">
        <v>1</v>
      </c>
      <c r="F3711" s="270" t="s">
        <v>944</v>
      </c>
      <c r="G3711" s="270" t="s">
        <v>3926</v>
      </c>
      <c r="H3711" s="270" t="s">
        <v>8236</v>
      </c>
      <c r="I3711" s="270" t="s">
        <v>950</v>
      </c>
      <c r="J3711" s="270" t="s">
        <v>3928</v>
      </c>
      <c r="K3711" s="270">
        <v>6516</v>
      </c>
      <c r="L3711" s="270">
        <v>154600</v>
      </c>
      <c r="M3711" s="270">
        <v>-60</v>
      </c>
      <c r="N3711" s="270" t="s">
        <v>3944</v>
      </c>
      <c r="O3711" s="270">
        <v>1502.38</v>
      </c>
      <c r="P3711" s="270" t="s">
        <v>3944</v>
      </c>
      <c r="Q3711" s="270" t="s">
        <v>3944</v>
      </c>
      <c r="R3711" s="270">
        <v>1502.38</v>
      </c>
      <c r="S3711" s="270">
        <v>24296.12</v>
      </c>
      <c r="T3711" s="270">
        <v>25798.5</v>
      </c>
      <c r="U3711" s="271" t="s">
        <v>3945</v>
      </c>
      <c r="V3711" s="267" t="s">
        <v>944</v>
      </c>
    </row>
    <row r="3712" spans="1:22" hidden="1" x14ac:dyDescent="0.25">
      <c r="A3712" s="266">
        <v>43655</v>
      </c>
      <c r="B3712" s="267">
        <v>2019</v>
      </c>
      <c r="C3712" s="267">
        <v>2020</v>
      </c>
      <c r="D3712" s="267">
        <v>1</v>
      </c>
      <c r="E3712" s="267">
        <v>1</v>
      </c>
      <c r="F3712" s="267" t="s">
        <v>944</v>
      </c>
      <c r="G3712" s="267" t="s">
        <v>3926</v>
      </c>
      <c r="H3712" s="267" t="s">
        <v>8237</v>
      </c>
      <c r="I3712" s="267" t="s">
        <v>3996</v>
      </c>
      <c r="J3712" s="267" t="s">
        <v>3928</v>
      </c>
      <c r="K3712" s="267">
        <v>6790</v>
      </c>
      <c r="L3712" s="267">
        <v>310803</v>
      </c>
      <c r="M3712" s="267">
        <v>-60</v>
      </c>
      <c r="N3712" s="267" t="s">
        <v>3944</v>
      </c>
      <c r="O3712" s="267">
        <v>1903.06</v>
      </c>
      <c r="P3712" s="267" t="s">
        <v>3944</v>
      </c>
      <c r="Q3712" s="267" t="s">
        <v>3944</v>
      </c>
      <c r="R3712" s="267">
        <v>1903.06</v>
      </c>
      <c r="S3712" s="267">
        <v>24582.97</v>
      </c>
      <c r="T3712" s="267">
        <v>26486.03</v>
      </c>
      <c r="U3712" s="268" t="s">
        <v>3945</v>
      </c>
      <c r="V3712" s="267" t="s">
        <v>944</v>
      </c>
    </row>
    <row r="3713" spans="1:22" hidden="1" x14ac:dyDescent="0.25">
      <c r="A3713" s="269">
        <v>43655</v>
      </c>
      <c r="B3713" s="270">
        <v>2019</v>
      </c>
      <c r="C3713" s="270">
        <v>2020</v>
      </c>
      <c r="D3713" s="270">
        <v>1</v>
      </c>
      <c r="E3713" s="270">
        <v>1</v>
      </c>
      <c r="F3713" s="270" t="s">
        <v>944</v>
      </c>
      <c r="G3713" s="270" t="s">
        <v>3926</v>
      </c>
      <c r="H3713" s="270" t="s">
        <v>8238</v>
      </c>
      <c r="I3713" s="270" t="s">
        <v>4042</v>
      </c>
      <c r="J3713" s="270" t="s">
        <v>3928</v>
      </c>
      <c r="K3713" s="270">
        <v>6370</v>
      </c>
      <c r="L3713" s="270">
        <v>695202</v>
      </c>
      <c r="M3713" s="270" t="s">
        <v>3935</v>
      </c>
      <c r="N3713" s="270" t="s">
        <v>3944</v>
      </c>
      <c r="O3713" s="270">
        <v>1224.27</v>
      </c>
      <c r="P3713" s="270" t="s">
        <v>3944</v>
      </c>
      <c r="Q3713" s="270" t="s">
        <v>3944</v>
      </c>
      <c r="R3713" s="270">
        <v>1224.27</v>
      </c>
      <c r="S3713" s="270">
        <v>16851.66</v>
      </c>
      <c r="T3713" s="270">
        <v>18075.93</v>
      </c>
      <c r="U3713" s="271" t="s">
        <v>3945</v>
      </c>
      <c r="V3713" s="267" t="s">
        <v>944</v>
      </c>
    </row>
    <row r="3714" spans="1:22" hidden="1" x14ac:dyDescent="0.25">
      <c r="A3714" s="266">
        <v>43656</v>
      </c>
      <c r="B3714" s="267">
        <v>2019</v>
      </c>
      <c r="C3714" s="267">
        <v>2020</v>
      </c>
      <c r="D3714" s="267">
        <v>1</v>
      </c>
      <c r="E3714" s="267">
        <v>1</v>
      </c>
      <c r="F3714" s="267" t="s">
        <v>944</v>
      </c>
      <c r="G3714" s="267" t="s">
        <v>3926</v>
      </c>
      <c r="H3714" s="267" t="s">
        <v>8239</v>
      </c>
      <c r="I3714" s="267" t="s">
        <v>950</v>
      </c>
      <c r="J3714" s="267" t="s">
        <v>3928</v>
      </c>
      <c r="K3714" s="267">
        <v>6516</v>
      </c>
      <c r="L3714" s="267">
        <v>154800</v>
      </c>
      <c r="M3714" s="267" t="s">
        <v>3960</v>
      </c>
      <c r="N3714" s="267" t="s">
        <v>8240</v>
      </c>
      <c r="O3714" s="267">
        <v>0</v>
      </c>
      <c r="P3714" s="267" t="s">
        <v>3930</v>
      </c>
      <c r="Q3714" s="267" t="s">
        <v>3930</v>
      </c>
      <c r="R3714" s="267">
        <v>0</v>
      </c>
      <c r="S3714" s="267">
        <v>8950</v>
      </c>
      <c r="T3714" s="267">
        <v>8950</v>
      </c>
      <c r="U3714" s="268" t="s">
        <v>3937</v>
      </c>
      <c r="V3714" s="267" t="s">
        <v>944</v>
      </c>
    </row>
    <row r="3715" spans="1:22" hidden="1" x14ac:dyDescent="0.25">
      <c r="A3715" s="269">
        <v>43656</v>
      </c>
      <c r="B3715" s="270">
        <v>2019</v>
      </c>
      <c r="C3715" s="270">
        <v>2020</v>
      </c>
      <c r="D3715" s="270">
        <v>1</v>
      </c>
      <c r="E3715" s="270">
        <v>1</v>
      </c>
      <c r="F3715" s="270" t="s">
        <v>944</v>
      </c>
      <c r="G3715" s="270" t="s">
        <v>3926</v>
      </c>
      <c r="H3715" s="270" t="s">
        <v>8241</v>
      </c>
      <c r="I3715" s="270" t="s">
        <v>4069</v>
      </c>
      <c r="J3715" s="270" t="s">
        <v>3928</v>
      </c>
      <c r="K3715" s="270">
        <v>6902</v>
      </c>
      <c r="L3715" s="270">
        <v>21900</v>
      </c>
      <c r="M3715" s="270" t="s">
        <v>3940</v>
      </c>
      <c r="N3715" s="270" t="s">
        <v>8242</v>
      </c>
      <c r="O3715" s="270">
        <v>0</v>
      </c>
      <c r="P3715" s="270" t="s">
        <v>3930</v>
      </c>
      <c r="Q3715" s="270" t="s">
        <v>3930</v>
      </c>
      <c r="R3715" s="270">
        <v>0</v>
      </c>
      <c r="S3715" s="270">
        <v>17724</v>
      </c>
      <c r="T3715" s="270">
        <v>17724</v>
      </c>
      <c r="U3715" s="271" t="s">
        <v>3937</v>
      </c>
      <c r="V3715" s="267" t="s">
        <v>944</v>
      </c>
    </row>
    <row r="3716" spans="1:22" hidden="1" x14ac:dyDescent="0.25">
      <c r="A3716" s="266">
        <v>43656</v>
      </c>
      <c r="B3716" s="267">
        <v>2019</v>
      </c>
      <c r="C3716" s="267">
        <v>2020</v>
      </c>
      <c r="D3716" s="267">
        <v>1</v>
      </c>
      <c r="E3716" s="267">
        <v>1</v>
      </c>
      <c r="F3716" s="267" t="s">
        <v>944</v>
      </c>
      <c r="G3716" s="267" t="s">
        <v>3926</v>
      </c>
      <c r="H3716" s="267" t="s">
        <v>8243</v>
      </c>
      <c r="I3716" s="267" t="s">
        <v>4079</v>
      </c>
      <c r="J3716" s="267" t="s">
        <v>3928</v>
      </c>
      <c r="K3716" s="267">
        <v>6111</v>
      </c>
      <c r="L3716" s="267">
        <v>494600</v>
      </c>
      <c r="M3716" s="267" t="s">
        <v>3935</v>
      </c>
      <c r="N3716" s="267" t="s">
        <v>8216</v>
      </c>
      <c r="O3716" s="267">
        <v>0</v>
      </c>
      <c r="P3716" s="267" t="s">
        <v>3930</v>
      </c>
      <c r="Q3716" s="267" t="s">
        <v>3930</v>
      </c>
      <c r="R3716" s="267">
        <v>0</v>
      </c>
      <c r="S3716" s="267">
        <v>7250</v>
      </c>
      <c r="T3716" s="267">
        <v>7250</v>
      </c>
      <c r="U3716" s="268" t="s">
        <v>3937</v>
      </c>
      <c r="V3716" s="267" t="s">
        <v>944</v>
      </c>
    </row>
    <row r="3717" spans="1:22" hidden="1" x14ac:dyDescent="0.25">
      <c r="A3717" s="269">
        <v>43656</v>
      </c>
      <c r="B3717" s="270">
        <v>2019</v>
      </c>
      <c r="C3717" s="270">
        <v>2020</v>
      </c>
      <c r="D3717" s="270">
        <v>1</v>
      </c>
      <c r="E3717" s="270">
        <v>1</v>
      </c>
      <c r="F3717" s="270" t="s">
        <v>944</v>
      </c>
      <c r="G3717" s="270" t="s">
        <v>3926</v>
      </c>
      <c r="H3717" s="270" t="s">
        <v>8244</v>
      </c>
      <c r="I3717" s="270" t="s">
        <v>4392</v>
      </c>
      <c r="J3717" s="270" t="s">
        <v>3928</v>
      </c>
      <c r="K3717" s="270">
        <v>6457</v>
      </c>
      <c r="L3717" s="270">
        <v>541100</v>
      </c>
      <c r="M3717" s="270">
        <v>-60</v>
      </c>
      <c r="N3717" s="270" t="s">
        <v>4103</v>
      </c>
      <c r="O3717" s="270">
        <v>1522.29</v>
      </c>
      <c r="P3717" s="270" t="s">
        <v>3930</v>
      </c>
      <c r="Q3717" s="270" t="s">
        <v>3931</v>
      </c>
      <c r="R3717" s="270">
        <v>6522.29</v>
      </c>
      <c r="S3717" s="270">
        <v>24145.599999999999</v>
      </c>
      <c r="T3717" s="270">
        <v>30667.89</v>
      </c>
      <c r="U3717" s="271" t="s">
        <v>3932</v>
      </c>
      <c r="V3717" s="267" t="s">
        <v>944</v>
      </c>
    </row>
    <row r="3718" spans="1:22" hidden="1" x14ac:dyDescent="0.25">
      <c r="A3718" s="266">
        <v>43656</v>
      </c>
      <c r="B3718" s="267">
        <v>2019</v>
      </c>
      <c r="C3718" s="267">
        <v>2020</v>
      </c>
      <c r="D3718" s="267">
        <v>1</v>
      </c>
      <c r="E3718" s="267">
        <v>1</v>
      </c>
      <c r="F3718" s="267" t="s">
        <v>944</v>
      </c>
      <c r="G3718" s="267" t="s">
        <v>3926</v>
      </c>
      <c r="H3718" s="267" t="s">
        <v>8245</v>
      </c>
      <c r="I3718" s="267" t="s">
        <v>950</v>
      </c>
      <c r="J3718" s="267" t="s">
        <v>3928</v>
      </c>
      <c r="K3718" s="267">
        <v>6516</v>
      </c>
      <c r="L3718" s="267">
        <v>154200</v>
      </c>
      <c r="M3718" s="267" t="s">
        <v>3940</v>
      </c>
      <c r="N3718" s="267" t="s">
        <v>4103</v>
      </c>
      <c r="O3718" s="267">
        <v>3663.27</v>
      </c>
      <c r="P3718" s="267" t="s">
        <v>3930</v>
      </c>
      <c r="Q3718" s="267" t="s">
        <v>3931</v>
      </c>
      <c r="R3718" s="267">
        <v>8663.27</v>
      </c>
      <c r="S3718" s="267">
        <v>24145.599999999999</v>
      </c>
      <c r="T3718" s="267">
        <v>32808.870000000003</v>
      </c>
      <c r="U3718" s="268" t="s">
        <v>3932</v>
      </c>
      <c r="V3718" s="267" t="s">
        <v>944</v>
      </c>
    </row>
    <row r="3719" spans="1:22" hidden="1" x14ac:dyDescent="0.25">
      <c r="A3719" s="269">
        <v>43656</v>
      </c>
      <c r="B3719" s="270">
        <v>2019</v>
      </c>
      <c r="C3719" s="270">
        <v>2020</v>
      </c>
      <c r="D3719" s="270">
        <v>1</v>
      </c>
      <c r="E3719" s="270">
        <v>1</v>
      </c>
      <c r="F3719" s="270" t="s">
        <v>944</v>
      </c>
      <c r="G3719" s="270" t="s">
        <v>3926</v>
      </c>
      <c r="H3719" s="270" t="s">
        <v>8246</v>
      </c>
      <c r="I3719" s="270" t="s">
        <v>3008</v>
      </c>
      <c r="J3719" s="270" t="s">
        <v>3928</v>
      </c>
      <c r="K3719" s="270">
        <v>6461</v>
      </c>
      <c r="L3719" s="270">
        <v>150700</v>
      </c>
      <c r="M3719" s="270" t="s">
        <v>3943</v>
      </c>
      <c r="N3719" s="270" t="s">
        <v>8247</v>
      </c>
      <c r="O3719" s="270">
        <v>0</v>
      </c>
      <c r="P3719" s="270" t="s">
        <v>3930</v>
      </c>
      <c r="Q3719" s="270" t="s">
        <v>3930</v>
      </c>
      <c r="R3719" s="270">
        <v>0</v>
      </c>
      <c r="S3719" s="270">
        <v>12600</v>
      </c>
      <c r="T3719" s="270">
        <v>12600</v>
      </c>
      <c r="U3719" s="271" t="s">
        <v>3937</v>
      </c>
      <c r="V3719" s="267" t="s">
        <v>944</v>
      </c>
    </row>
    <row r="3720" spans="1:22" hidden="1" x14ac:dyDescent="0.25">
      <c r="A3720" s="266">
        <v>43656</v>
      </c>
      <c r="B3720" s="267">
        <v>2019</v>
      </c>
      <c r="C3720" s="267">
        <v>2020</v>
      </c>
      <c r="D3720" s="267">
        <v>1</v>
      </c>
      <c r="E3720" s="267">
        <v>1</v>
      </c>
      <c r="F3720" s="267" t="s">
        <v>944</v>
      </c>
      <c r="G3720" s="267" t="s">
        <v>3926</v>
      </c>
      <c r="H3720" s="267" t="s">
        <v>8248</v>
      </c>
      <c r="I3720" s="267" t="s">
        <v>4011</v>
      </c>
      <c r="J3720" s="267" t="s">
        <v>3928</v>
      </c>
      <c r="K3720" s="267">
        <v>6002</v>
      </c>
      <c r="L3720" s="267">
        <v>471300</v>
      </c>
      <c r="M3720" s="267" t="s">
        <v>3935</v>
      </c>
      <c r="N3720" s="267" t="s">
        <v>3944</v>
      </c>
      <c r="O3720" s="267">
        <v>2428</v>
      </c>
      <c r="P3720" s="267" t="s">
        <v>3944</v>
      </c>
      <c r="Q3720" s="267" t="s">
        <v>3944</v>
      </c>
      <c r="R3720" s="267">
        <v>2428</v>
      </c>
      <c r="S3720" s="267">
        <v>20756</v>
      </c>
      <c r="T3720" s="267">
        <v>23184</v>
      </c>
      <c r="U3720" s="268" t="s">
        <v>3945</v>
      </c>
      <c r="V3720" s="267" t="s">
        <v>944</v>
      </c>
    </row>
    <row r="3721" spans="1:22" hidden="1" x14ac:dyDescent="0.25">
      <c r="A3721" s="269">
        <v>43656</v>
      </c>
      <c r="B3721" s="270">
        <v>2019</v>
      </c>
      <c r="C3721" s="270">
        <v>2020</v>
      </c>
      <c r="D3721" s="270">
        <v>1</v>
      </c>
      <c r="E3721" s="270">
        <v>1</v>
      </c>
      <c r="F3721" s="270" t="s">
        <v>944</v>
      </c>
      <c r="G3721" s="270" t="s">
        <v>3926</v>
      </c>
      <c r="H3721" s="270" t="s">
        <v>8249</v>
      </c>
      <c r="I3721" s="270" t="s">
        <v>4422</v>
      </c>
      <c r="J3721" s="270" t="s">
        <v>3928</v>
      </c>
      <c r="K3721" s="270">
        <v>6801</v>
      </c>
      <c r="L3721" s="270">
        <v>200302</v>
      </c>
      <c r="M3721" s="270" t="s">
        <v>3943</v>
      </c>
      <c r="N3721" s="270" t="s">
        <v>3944</v>
      </c>
      <c r="O3721" s="270">
        <v>4319</v>
      </c>
      <c r="P3721" s="270" t="s">
        <v>3944</v>
      </c>
      <c r="Q3721" s="270" t="s">
        <v>3944</v>
      </c>
      <c r="R3721" s="270">
        <v>4319</v>
      </c>
      <c r="S3721" s="270">
        <v>42397</v>
      </c>
      <c r="T3721" s="270">
        <v>46716</v>
      </c>
      <c r="U3721" s="271" t="s">
        <v>3945</v>
      </c>
      <c r="V3721" s="267" t="s">
        <v>944</v>
      </c>
    </row>
    <row r="3722" spans="1:22" hidden="1" x14ac:dyDescent="0.25">
      <c r="A3722" s="266">
        <v>43656</v>
      </c>
      <c r="B3722" s="267">
        <v>2019</v>
      </c>
      <c r="C3722" s="267">
        <v>2020</v>
      </c>
      <c r="D3722" s="267">
        <v>1</v>
      </c>
      <c r="E3722" s="267">
        <v>1</v>
      </c>
      <c r="F3722" s="267" t="s">
        <v>944</v>
      </c>
      <c r="G3722" s="267" t="s">
        <v>3926</v>
      </c>
      <c r="H3722" s="267" t="s">
        <v>8250</v>
      </c>
      <c r="I3722" s="267" t="s">
        <v>3971</v>
      </c>
      <c r="J3722" s="267" t="s">
        <v>3928</v>
      </c>
      <c r="K3722" s="267">
        <v>6084</v>
      </c>
      <c r="L3722" s="267">
        <v>533102</v>
      </c>
      <c r="M3722" s="267" t="s">
        <v>3943</v>
      </c>
      <c r="N3722" s="267" t="s">
        <v>3944</v>
      </c>
      <c r="O3722" s="267">
        <v>7899</v>
      </c>
      <c r="P3722" s="267" t="s">
        <v>3944</v>
      </c>
      <c r="Q3722" s="267" t="s">
        <v>3944</v>
      </c>
      <c r="R3722" s="267">
        <v>7899</v>
      </c>
      <c r="S3722" s="267">
        <v>73524</v>
      </c>
      <c r="T3722" s="267">
        <v>81423</v>
      </c>
      <c r="U3722" s="268" t="s">
        <v>3945</v>
      </c>
      <c r="V3722" s="267" t="s">
        <v>944</v>
      </c>
    </row>
    <row r="3723" spans="1:22" hidden="1" x14ac:dyDescent="0.25">
      <c r="A3723" s="269">
        <v>43656</v>
      </c>
      <c r="B3723" s="270">
        <v>2019</v>
      </c>
      <c r="C3723" s="270">
        <v>2020</v>
      </c>
      <c r="D3723" s="270">
        <v>1</v>
      </c>
      <c r="E3723" s="270">
        <v>1</v>
      </c>
      <c r="F3723" s="270" t="s">
        <v>944</v>
      </c>
      <c r="G3723" s="270" t="s">
        <v>3926</v>
      </c>
      <c r="H3723" s="270" t="s">
        <v>8251</v>
      </c>
      <c r="I3723" s="270" t="s">
        <v>4213</v>
      </c>
      <c r="J3723" s="270" t="s">
        <v>3928</v>
      </c>
      <c r="K3723" s="270">
        <v>6053</v>
      </c>
      <c r="L3723" s="270">
        <v>416700</v>
      </c>
      <c r="M3723" s="270">
        <v>-60</v>
      </c>
      <c r="N3723" s="270" t="s">
        <v>3944</v>
      </c>
      <c r="O3723" s="270">
        <v>2523</v>
      </c>
      <c r="P3723" s="270" t="s">
        <v>3944</v>
      </c>
      <c r="Q3723" s="270" t="s">
        <v>3944</v>
      </c>
      <c r="R3723" s="270">
        <v>2523</v>
      </c>
      <c r="S3723" s="270">
        <v>21783.3</v>
      </c>
      <c r="T3723" s="270">
        <v>24306.3</v>
      </c>
      <c r="U3723" s="271" t="s">
        <v>3945</v>
      </c>
      <c r="V3723" s="267" t="s">
        <v>944</v>
      </c>
    </row>
    <row r="3724" spans="1:22" hidden="1" x14ac:dyDescent="0.25">
      <c r="A3724" s="266">
        <v>43656</v>
      </c>
      <c r="B3724" s="267">
        <v>2019</v>
      </c>
      <c r="C3724" s="267">
        <v>2020</v>
      </c>
      <c r="D3724" s="267">
        <v>1</v>
      </c>
      <c r="E3724" s="267">
        <v>1</v>
      </c>
      <c r="F3724" s="267" t="s">
        <v>944</v>
      </c>
      <c r="G3724" s="267" t="s">
        <v>3926</v>
      </c>
      <c r="H3724" s="267" t="s">
        <v>8252</v>
      </c>
      <c r="I3724" s="267" t="s">
        <v>4407</v>
      </c>
      <c r="J3724" s="267" t="s">
        <v>3928</v>
      </c>
      <c r="K3724" s="267">
        <v>6238</v>
      </c>
      <c r="L3724" s="267">
        <v>850100</v>
      </c>
      <c r="M3724" s="267" t="s">
        <v>3960</v>
      </c>
      <c r="N3724" s="267" t="s">
        <v>3944</v>
      </c>
      <c r="O3724" s="267">
        <v>3713</v>
      </c>
      <c r="P3724" s="267" t="s">
        <v>3944</v>
      </c>
      <c r="Q3724" s="267" t="s">
        <v>3944</v>
      </c>
      <c r="R3724" s="267">
        <v>3713</v>
      </c>
      <c r="S3724" s="267">
        <v>32248.6</v>
      </c>
      <c r="T3724" s="267">
        <v>35961.599999999999</v>
      </c>
      <c r="U3724" s="268" t="s">
        <v>3945</v>
      </c>
      <c r="V3724" s="267" t="s">
        <v>944</v>
      </c>
    </row>
    <row r="3725" spans="1:22" hidden="1" x14ac:dyDescent="0.25">
      <c r="A3725" s="269">
        <v>43656</v>
      </c>
      <c r="B3725" s="270">
        <v>2019</v>
      </c>
      <c r="C3725" s="270">
        <v>2020</v>
      </c>
      <c r="D3725" s="270">
        <v>1</v>
      </c>
      <c r="E3725" s="270">
        <v>1</v>
      </c>
      <c r="F3725" s="270" t="s">
        <v>944</v>
      </c>
      <c r="G3725" s="270" t="s">
        <v>3926</v>
      </c>
      <c r="H3725" s="270" t="s">
        <v>8253</v>
      </c>
      <c r="I3725" s="270" t="s">
        <v>4323</v>
      </c>
      <c r="J3725" s="270" t="s">
        <v>3928</v>
      </c>
      <c r="K3725" s="270">
        <v>6385</v>
      </c>
      <c r="L3725" s="270">
        <v>693700</v>
      </c>
      <c r="M3725" s="270" t="s">
        <v>3943</v>
      </c>
      <c r="N3725" s="270" t="s">
        <v>3944</v>
      </c>
      <c r="O3725" s="270">
        <v>3403</v>
      </c>
      <c r="P3725" s="270" t="s">
        <v>3944</v>
      </c>
      <c r="Q3725" s="270" t="s">
        <v>3944</v>
      </c>
      <c r="R3725" s="270">
        <v>3403</v>
      </c>
      <c r="S3725" s="270">
        <v>28277</v>
      </c>
      <c r="T3725" s="270">
        <v>31680</v>
      </c>
      <c r="U3725" s="271" t="s">
        <v>3945</v>
      </c>
      <c r="V3725" s="267" t="s">
        <v>944</v>
      </c>
    </row>
    <row r="3726" spans="1:22" hidden="1" x14ac:dyDescent="0.25">
      <c r="A3726" s="266">
        <v>43656</v>
      </c>
      <c r="B3726" s="267">
        <v>2019</v>
      </c>
      <c r="C3726" s="267">
        <v>2020</v>
      </c>
      <c r="D3726" s="267">
        <v>1</v>
      </c>
      <c r="E3726" s="267">
        <v>1</v>
      </c>
      <c r="F3726" s="267" t="s">
        <v>944</v>
      </c>
      <c r="G3726" s="267" t="s">
        <v>3926</v>
      </c>
      <c r="H3726" s="267" t="s">
        <v>8254</v>
      </c>
      <c r="I3726" s="267" t="s">
        <v>3956</v>
      </c>
      <c r="J3726" s="267" t="s">
        <v>3928</v>
      </c>
      <c r="K3726" s="267">
        <v>6112</v>
      </c>
      <c r="L3726" s="267">
        <v>501400</v>
      </c>
      <c r="M3726" s="267">
        <v>-60</v>
      </c>
      <c r="N3726" s="267" t="s">
        <v>3944</v>
      </c>
      <c r="O3726" s="267">
        <v>1682</v>
      </c>
      <c r="P3726" s="267" t="s">
        <v>3944</v>
      </c>
      <c r="Q3726" s="267" t="s">
        <v>3944</v>
      </c>
      <c r="R3726" s="267">
        <v>1682</v>
      </c>
      <c r="S3726" s="267">
        <v>13541.2</v>
      </c>
      <c r="T3726" s="267">
        <v>15223.2</v>
      </c>
      <c r="U3726" s="268" t="s">
        <v>3945</v>
      </c>
      <c r="V3726" s="267" t="s">
        <v>944</v>
      </c>
    </row>
    <row r="3727" spans="1:22" hidden="1" x14ac:dyDescent="0.25">
      <c r="A3727" s="269">
        <v>43656</v>
      </c>
      <c r="B3727" s="270">
        <v>2019</v>
      </c>
      <c r="C3727" s="270">
        <v>2020</v>
      </c>
      <c r="D3727" s="270">
        <v>1</v>
      </c>
      <c r="E3727" s="270">
        <v>1</v>
      </c>
      <c r="F3727" s="270" t="s">
        <v>944</v>
      </c>
      <c r="G3727" s="270" t="s">
        <v>3926</v>
      </c>
      <c r="H3727" s="270" t="s">
        <v>8255</v>
      </c>
      <c r="I3727" s="270" t="s">
        <v>3008</v>
      </c>
      <c r="J3727" s="270" t="s">
        <v>3928</v>
      </c>
      <c r="K3727" s="270">
        <v>6460</v>
      </c>
      <c r="L3727" s="270">
        <v>150400</v>
      </c>
      <c r="M3727" s="270" t="s">
        <v>3940</v>
      </c>
      <c r="N3727" s="270" t="s">
        <v>3944</v>
      </c>
      <c r="O3727" s="270">
        <v>4576</v>
      </c>
      <c r="P3727" s="270" t="s">
        <v>3944</v>
      </c>
      <c r="Q3727" s="270" t="s">
        <v>3944</v>
      </c>
      <c r="R3727" s="270">
        <v>4576</v>
      </c>
      <c r="S3727" s="270">
        <v>32950</v>
      </c>
      <c r="T3727" s="270">
        <v>37526</v>
      </c>
      <c r="U3727" s="271" t="s">
        <v>3945</v>
      </c>
      <c r="V3727" s="267" t="s">
        <v>944</v>
      </c>
    </row>
    <row r="3728" spans="1:22" hidden="1" x14ac:dyDescent="0.25">
      <c r="A3728" s="266">
        <v>43656</v>
      </c>
      <c r="B3728" s="267">
        <v>2019</v>
      </c>
      <c r="C3728" s="267">
        <v>2020</v>
      </c>
      <c r="D3728" s="267">
        <v>1</v>
      </c>
      <c r="E3728" s="267">
        <v>1</v>
      </c>
      <c r="F3728" s="267" t="s">
        <v>944</v>
      </c>
      <c r="G3728" s="267" t="s">
        <v>3926</v>
      </c>
      <c r="H3728" s="267" t="s">
        <v>8256</v>
      </c>
      <c r="I3728" s="267" t="s">
        <v>4037</v>
      </c>
      <c r="J3728" s="267" t="s">
        <v>3928</v>
      </c>
      <c r="K3728" s="267">
        <v>6811</v>
      </c>
      <c r="L3728" s="267">
        <v>211000</v>
      </c>
      <c r="M3728" s="267" t="s">
        <v>3960</v>
      </c>
      <c r="N3728" s="267" t="s">
        <v>3944</v>
      </c>
      <c r="O3728" s="267">
        <v>5977</v>
      </c>
      <c r="P3728" s="267" t="s">
        <v>3944</v>
      </c>
      <c r="Q3728" s="267" t="s">
        <v>3944</v>
      </c>
      <c r="R3728" s="267">
        <v>5977</v>
      </c>
      <c r="S3728" s="267">
        <v>41687</v>
      </c>
      <c r="T3728" s="267">
        <v>47664</v>
      </c>
      <c r="U3728" s="268" t="s">
        <v>3945</v>
      </c>
      <c r="V3728" s="267" t="s">
        <v>944</v>
      </c>
    </row>
    <row r="3729" spans="1:22" hidden="1" x14ac:dyDescent="0.25">
      <c r="A3729" s="269">
        <v>43656</v>
      </c>
      <c r="B3729" s="270">
        <v>2019</v>
      </c>
      <c r="C3729" s="270">
        <v>2020</v>
      </c>
      <c r="D3729" s="270">
        <v>1</v>
      </c>
      <c r="E3729" s="270">
        <v>1</v>
      </c>
      <c r="F3729" s="270" t="s">
        <v>944</v>
      </c>
      <c r="G3729" s="270" t="s">
        <v>3926</v>
      </c>
      <c r="H3729" s="270" t="s">
        <v>8257</v>
      </c>
      <c r="I3729" s="270" t="s">
        <v>4073</v>
      </c>
      <c r="J3729" s="270" t="s">
        <v>3928</v>
      </c>
      <c r="K3729" s="270">
        <v>6776</v>
      </c>
      <c r="L3729" s="270">
        <v>253400</v>
      </c>
      <c r="M3729" s="270" t="s">
        <v>3943</v>
      </c>
      <c r="N3729" s="270" t="s">
        <v>3944</v>
      </c>
      <c r="O3729" s="270">
        <v>3720</v>
      </c>
      <c r="P3729" s="270" t="s">
        <v>3944</v>
      </c>
      <c r="Q3729" s="270" t="s">
        <v>3944</v>
      </c>
      <c r="R3729" s="270">
        <v>3720</v>
      </c>
      <c r="S3729" s="270">
        <v>41219.269999999997</v>
      </c>
      <c r="T3729" s="270">
        <v>44939.27</v>
      </c>
      <c r="U3729" s="271" t="s">
        <v>3945</v>
      </c>
      <c r="V3729" s="267" t="s">
        <v>944</v>
      </c>
    </row>
    <row r="3730" spans="1:22" hidden="1" x14ac:dyDescent="0.25">
      <c r="A3730" s="266">
        <v>43656</v>
      </c>
      <c r="B3730" s="267">
        <v>2019</v>
      </c>
      <c r="C3730" s="267">
        <v>2020</v>
      </c>
      <c r="D3730" s="267">
        <v>1</v>
      </c>
      <c r="E3730" s="267">
        <v>1</v>
      </c>
      <c r="F3730" s="267" t="s">
        <v>944</v>
      </c>
      <c r="G3730" s="267" t="s">
        <v>3926</v>
      </c>
      <c r="H3730" s="267" t="s">
        <v>8258</v>
      </c>
      <c r="I3730" s="267" t="s">
        <v>4306</v>
      </c>
      <c r="J3730" s="267" t="s">
        <v>3928</v>
      </c>
      <c r="K3730" s="267">
        <v>6716</v>
      </c>
      <c r="L3730" s="267">
        <v>361300</v>
      </c>
      <c r="M3730" s="267" t="s">
        <v>3960</v>
      </c>
      <c r="N3730" s="267" t="s">
        <v>3944</v>
      </c>
      <c r="O3730" s="267">
        <v>3417</v>
      </c>
      <c r="P3730" s="267" t="s">
        <v>3944</v>
      </c>
      <c r="Q3730" s="267" t="s">
        <v>3944</v>
      </c>
      <c r="R3730" s="267">
        <v>3417</v>
      </c>
      <c r="S3730" s="267">
        <v>36647</v>
      </c>
      <c r="T3730" s="267">
        <v>40064</v>
      </c>
      <c r="U3730" s="268" t="s">
        <v>3945</v>
      </c>
      <c r="V3730" s="267" t="s">
        <v>944</v>
      </c>
    </row>
    <row r="3731" spans="1:22" hidden="1" x14ac:dyDescent="0.25">
      <c r="A3731" s="269">
        <v>43656</v>
      </c>
      <c r="B3731" s="270">
        <v>2019</v>
      </c>
      <c r="C3731" s="270">
        <v>2020</v>
      </c>
      <c r="D3731" s="270">
        <v>1</v>
      </c>
      <c r="E3731" s="270">
        <v>1</v>
      </c>
      <c r="F3731" s="270" t="s">
        <v>944</v>
      </c>
      <c r="G3731" s="270" t="s">
        <v>3926</v>
      </c>
      <c r="H3731" s="270" t="s">
        <v>8259</v>
      </c>
      <c r="I3731" s="270" t="s">
        <v>4119</v>
      </c>
      <c r="J3731" s="270" t="s">
        <v>3928</v>
      </c>
      <c r="K3731" s="270">
        <v>6093</v>
      </c>
      <c r="L3731" s="270">
        <v>477200</v>
      </c>
      <c r="M3731" s="270" t="s">
        <v>3943</v>
      </c>
      <c r="N3731" s="270" t="s">
        <v>3944</v>
      </c>
      <c r="O3731" s="270">
        <v>4633</v>
      </c>
      <c r="P3731" s="270" t="s">
        <v>3944</v>
      </c>
      <c r="Q3731" s="270" t="s">
        <v>3944</v>
      </c>
      <c r="R3731" s="270">
        <v>4633</v>
      </c>
      <c r="S3731" s="270">
        <v>33910</v>
      </c>
      <c r="T3731" s="270">
        <v>38543</v>
      </c>
      <c r="U3731" s="271" t="s">
        <v>3945</v>
      </c>
      <c r="V3731" s="267" t="s">
        <v>944</v>
      </c>
    </row>
    <row r="3732" spans="1:22" hidden="1" x14ac:dyDescent="0.25">
      <c r="A3732" s="266">
        <v>43656</v>
      </c>
      <c r="B3732" s="267">
        <v>2019</v>
      </c>
      <c r="C3732" s="267">
        <v>2020</v>
      </c>
      <c r="D3732" s="267">
        <v>1</v>
      </c>
      <c r="E3732" s="267">
        <v>1</v>
      </c>
      <c r="F3732" s="267" t="s">
        <v>944</v>
      </c>
      <c r="G3732" s="267" t="s">
        <v>3926</v>
      </c>
      <c r="H3732" s="267" t="s">
        <v>8260</v>
      </c>
      <c r="I3732" s="267" t="s">
        <v>3008</v>
      </c>
      <c r="J3732" s="267" t="s">
        <v>3928</v>
      </c>
      <c r="K3732" s="267">
        <v>6460</v>
      </c>
      <c r="L3732" s="267">
        <v>151100</v>
      </c>
      <c r="M3732" s="267" t="s">
        <v>3960</v>
      </c>
      <c r="N3732" s="267" t="s">
        <v>3944</v>
      </c>
      <c r="O3732" s="267">
        <v>5308</v>
      </c>
      <c r="P3732" s="267" t="s">
        <v>3944</v>
      </c>
      <c r="Q3732" s="267" t="s">
        <v>3944</v>
      </c>
      <c r="R3732" s="267">
        <v>5308</v>
      </c>
      <c r="S3732" s="267">
        <v>38187</v>
      </c>
      <c r="T3732" s="267">
        <v>43495</v>
      </c>
      <c r="U3732" s="268" t="s">
        <v>3945</v>
      </c>
      <c r="V3732" s="267" t="s">
        <v>944</v>
      </c>
    </row>
    <row r="3733" spans="1:22" hidden="1" x14ac:dyDescent="0.25">
      <c r="A3733" s="269">
        <v>43656</v>
      </c>
      <c r="B3733" s="270">
        <v>2019</v>
      </c>
      <c r="C3733" s="270">
        <v>2020</v>
      </c>
      <c r="D3733" s="270">
        <v>1</v>
      </c>
      <c r="E3733" s="270">
        <v>1</v>
      </c>
      <c r="F3733" s="270" t="s">
        <v>944</v>
      </c>
      <c r="G3733" s="270" t="s">
        <v>3926</v>
      </c>
      <c r="H3733" s="270" t="s">
        <v>8261</v>
      </c>
      <c r="I3733" s="270" t="s">
        <v>4037</v>
      </c>
      <c r="J3733" s="270" t="s">
        <v>3928</v>
      </c>
      <c r="K3733" s="270">
        <v>6811</v>
      </c>
      <c r="L3733" s="270">
        <v>210900</v>
      </c>
      <c r="M3733" s="270" t="s">
        <v>3943</v>
      </c>
      <c r="N3733" s="270" t="s">
        <v>3944</v>
      </c>
      <c r="O3733" s="270">
        <v>3470.36</v>
      </c>
      <c r="P3733" s="270" t="s">
        <v>3944</v>
      </c>
      <c r="Q3733" s="270" t="s">
        <v>3944</v>
      </c>
      <c r="R3733" s="270">
        <v>3470.36</v>
      </c>
      <c r="S3733" s="270">
        <v>56145.64</v>
      </c>
      <c r="T3733" s="270">
        <v>59616</v>
      </c>
      <c r="U3733" s="271" t="s">
        <v>3945</v>
      </c>
      <c r="V3733" s="267" t="s">
        <v>944</v>
      </c>
    </row>
    <row r="3734" spans="1:22" hidden="1" x14ac:dyDescent="0.25">
      <c r="A3734" s="266">
        <v>43656</v>
      </c>
      <c r="B3734" s="267">
        <v>2019</v>
      </c>
      <c r="C3734" s="267">
        <v>2020</v>
      </c>
      <c r="D3734" s="267">
        <v>1</v>
      </c>
      <c r="E3734" s="267">
        <v>1</v>
      </c>
      <c r="F3734" s="267" t="s">
        <v>944</v>
      </c>
      <c r="G3734" s="267" t="s">
        <v>3926</v>
      </c>
      <c r="H3734" s="267" t="s">
        <v>8262</v>
      </c>
      <c r="I3734" s="267" t="s">
        <v>4197</v>
      </c>
      <c r="J3734" s="267" t="s">
        <v>3928</v>
      </c>
      <c r="K3734" s="267">
        <v>6812</v>
      </c>
      <c r="L3734" s="267">
        <v>220300</v>
      </c>
      <c r="M3734" s="267" t="s">
        <v>3943</v>
      </c>
      <c r="N3734" s="267" t="s">
        <v>3944</v>
      </c>
      <c r="O3734" s="267">
        <v>2635.4</v>
      </c>
      <c r="P3734" s="267" t="s">
        <v>3944</v>
      </c>
      <c r="Q3734" s="267" t="s">
        <v>3944</v>
      </c>
      <c r="R3734" s="267">
        <v>2635.4</v>
      </c>
      <c r="S3734" s="267">
        <v>34358.800000000003</v>
      </c>
      <c r="T3734" s="267">
        <v>36994.199999999997</v>
      </c>
      <c r="U3734" s="268" t="s">
        <v>3945</v>
      </c>
      <c r="V3734" s="267" t="s">
        <v>944</v>
      </c>
    </row>
    <row r="3735" spans="1:22" hidden="1" x14ac:dyDescent="0.25">
      <c r="A3735" s="269">
        <v>43656</v>
      </c>
      <c r="B3735" s="270">
        <v>2019</v>
      </c>
      <c r="C3735" s="270">
        <v>2020</v>
      </c>
      <c r="D3735" s="270">
        <v>1</v>
      </c>
      <c r="E3735" s="270">
        <v>1</v>
      </c>
      <c r="F3735" s="270" t="s">
        <v>944</v>
      </c>
      <c r="G3735" s="270" t="s">
        <v>3926</v>
      </c>
      <c r="H3735" s="270" t="s">
        <v>8263</v>
      </c>
      <c r="I3735" s="270" t="s">
        <v>4306</v>
      </c>
      <c r="J3735" s="270" t="s">
        <v>3928</v>
      </c>
      <c r="K3735" s="270">
        <v>6716</v>
      </c>
      <c r="L3735" s="270">
        <v>361100</v>
      </c>
      <c r="M3735" s="270" t="s">
        <v>3960</v>
      </c>
      <c r="N3735" s="270" t="s">
        <v>3944</v>
      </c>
      <c r="O3735" s="270">
        <v>2479.23</v>
      </c>
      <c r="P3735" s="270" t="s">
        <v>3944</v>
      </c>
      <c r="Q3735" s="270" t="s">
        <v>3944</v>
      </c>
      <c r="R3735" s="270">
        <v>2479.23</v>
      </c>
      <c r="S3735" s="270">
        <v>39199.74</v>
      </c>
      <c r="T3735" s="270">
        <v>41678.97</v>
      </c>
      <c r="U3735" s="271" t="s">
        <v>3945</v>
      </c>
      <c r="V3735" s="267" t="s">
        <v>944</v>
      </c>
    </row>
    <row r="3736" spans="1:22" hidden="1" x14ac:dyDescent="0.25">
      <c r="A3736" s="266">
        <v>43656</v>
      </c>
      <c r="B3736" s="267">
        <v>2019</v>
      </c>
      <c r="C3736" s="267">
        <v>2020</v>
      </c>
      <c r="D3736" s="267">
        <v>1</v>
      </c>
      <c r="E3736" s="267">
        <v>1</v>
      </c>
      <c r="F3736" s="267" t="s">
        <v>944</v>
      </c>
      <c r="G3736" s="267" t="s">
        <v>3926</v>
      </c>
      <c r="H3736" s="267" t="s">
        <v>8264</v>
      </c>
      <c r="I3736" s="267" t="s">
        <v>4392</v>
      </c>
      <c r="J3736" s="267" t="s">
        <v>3928</v>
      </c>
      <c r="K3736" s="267">
        <v>6457</v>
      </c>
      <c r="L3736" s="267">
        <v>541402</v>
      </c>
      <c r="M3736" s="267" t="s">
        <v>3935</v>
      </c>
      <c r="N3736" s="267" t="s">
        <v>3944</v>
      </c>
      <c r="O3736" s="267">
        <v>1154.79</v>
      </c>
      <c r="P3736" s="267" t="s">
        <v>3944</v>
      </c>
      <c r="Q3736" s="267" t="s">
        <v>3944</v>
      </c>
      <c r="R3736" s="267">
        <v>1154.79</v>
      </c>
      <c r="S3736" s="267">
        <v>19392.330000000002</v>
      </c>
      <c r="T3736" s="267">
        <v>20547.12</v>
      </c>
      <c r="U3736" s="268" t="s">
        <v>3945</v>
      </c>
      <c r="V3736" s="267" t="s">
        <v>944</v>
      </c>
    </row>
    <row r="3737" spans="1:22" hidden="1" x14ac:dyDescent="0.25">
      <c r="A3737" s="269">
        <v>43656</v>
      </c>
      <c r="B3737" s="270">
        <v>2019</v>
      </c>
      <c r="C3737" s="270">
        <v>2020</v>
      </c>
      <c r="D3737" s="270">
        <v>1</v>
      </c>
      <c r="E3737" s="270">
        <v>1</v>
      </c>
      <c r="F3737" s="270" t="s">
        <v>944</v>
      </c>
      <c r="G3737" s="270" t="s">
        <v>3926</v>
      </c>
      <c r="H3737" s="270" t="s">
        <v>8265</v>
      </c>
      <c r="I3737" s="270" t="s">
        <v>4947</v>
      </c>
      <c r="J3737" s="270" t="s">
        <v>3928</v>
      </c>
      <c r="K3737" s="270">
        <v>6787</v>
      </c>
      <c r="L3737" s="270">
        <v>349200</v>
      </c>
      <c r="M3737" s="270" t="s">
        <v>3940</v>
      </c>
      <c r="N3737" s="270" t="s">
        <v>3944</v>
      </c>
      <c r="O3737" s="270">
        <v>954.84</v>
      </c>
      <c r="P3737" s="270" t="s">
        <v>3944</v>
      </c>
      <c r="Q3737" s="270" t="s">
        <v>3944</v>
      </c>
      <c r="R3737" s="270">
        <v>954.84</v>
      </c>
      <c r="S3737" s="270">
        <v>12632.38</v>
      </c>
      <c r="T3737" s="270">
        <v>13587.22</v>
      </c>
      <c r="U3737" s="271" t="s">
        <v>3945</v>
      </c>
      <c r="V3737" s="267" t="s">
        <v>944</v>
      </c>
    </row>
    <row r="3738" spans="1:22" hidden="1" x14ac:dyDescent="0.25">
      <c r="A3738" s="266">
        <v>43656</v>
      </c>
      <c r="B3738" s="267">
        <v>2019</v>
      </c>
      <c r="C3738" s="267">
        <v>2020</v>
      </c>
      <c r="D3738" s="267">
        <v>1</v>
      </c>
      <c r="E3738" s="267">
        <v>1</v>
      </c>
      <c r="F3738" s="267" t="s">
        <v>944</v>
      </c>
      <c r="G3738" s="267" t="s">
        <v>3926</v>
      </c>
      <c r="H3738" s="267" t="s">
        <v>8266</v>
      </c>
      <c r="I3738" s="267" t="s">
        <v>934</v>
      </c>
      <c r="J3738" s="267" t="s">
        <v>3928</v>
      </c>
      <c r="K3738" s="267">
        <v>6606</v>
      </c>
      <c r="L3738" s="267">
        <v>72300</v>
      </c>
      <c r="M3738" s="267" t="s">
        <v>3940</v>
      </c>
      <c r="N3738" s="267" t="s">
        <v>3944</v>
      </c>
      <c r="O3738" s="267">
        <v>1164.73</v>
      </c>
      <c r="P3738" s="267" t="s">
        <v>3944</v>
      </c>
      <c r="Q3738" s="267" t="s">
        <v>3944</v>
      </c>
      <c r="R3738" s="267">
        <v>1164.73</v>
      </c>
      <c r="S3738" s="267">
        <v>20970.88</v>
      </c>
      <c r="T3738" s="267">
        <v>22135.61</v>
      </c>
      <c r="U3738" s="268" t="s">
        <v>3945</v>
      </c>
      <c r="V3738" s="267" t="s">
        <v>944</v>
      </c>
    </row>
    <row r="3739" spans="1:22" hidden="1" x14ac:dyDescent="0.25">
      <c r="A3739" s="269">
        <v>43656</v>
      </c>
      <c r="B3739" s="270">
        <v>2019</v>
      </c>
      <c r="C3739" s="270">
        <v>2020</v>
      </c>
      <c r="D3739" s="270">
        <v>1</v>
      </c>
      <c r="E3739" s="270">
        <v>1</v>
      </c>
      <c r="F3739" s="270" t="s">
        <v>944</v>
      </c>
      <c r="G3739" s="270" t="s">
        <v>3926</v>
      </c>
      <c r="H3739" s="270" t="s">
        <v>8267</v>
      </c>
      <c r="I3739" s="270" t="s">
        <v>2987</v>
      </c>
      <c r="J3739" s="270" t="s">
        <v>3928</v>
      </c>
      <c r="K3739" s="270">
        <v>6611</v>
      </c>
      <c r="L3739" s="270">
        <v>90600</v>
      </c>
      <c r="M3739" s="270" t="s">
        <v>3960</v>
      </c>
      <c r="N3739" s="270" t="s">
        <v>3944</v>
      </c>
      <c r="O3739" s="270">
        <v>4065.6</v>
      </c>
      <c r="P3739" s="270" t="s">
        <v>3944</v>
      </c>
      <c r="Q3739" s="270" t="s">
        <v>3944</v>
      </c>
      <c r="R3739" s="270">
        <v>4065.6</v>
      </c>
      <c r="S3739" s="270">
        <v>72077.8</v>
      </c>
      <c r="T3739" s="270">
        <v>76143.399999999994</v>
      </c>
      <c r="U3739" s="271" t="s">
        <v>3945</v>
      </c>
      <c r="V3739" s="267" t="s">
        <v>944</v>
      </c>
    </row>
    <row r="3740" spans="1:22" hidden="1" x14ac:dyDescent="0.25">
      <c r="A3740" s="266">
        <v>43656</v>
      </c>
      <c r="B3740" s="267">
        <v>2019</v>
      </c>
      <c r="C3740" s="267">
        <v>2020</v>
      </c>
      <c r="D3740" s="267">
        <v>1</v>
      </c>
      <c r="E3740" s="267">
        <v>1</v>
      </c>
      <c r="F3740" s="267" t="s">
        <v>944</v>
      </c>
      <c r="G3740" s="267" t="s">
        <v>3926</v>
      </c>
      <c r="H3740" s="267" t="s">
        <v>8268</v>
      </c>
      <c r="I3740" s="267" t="s">
        <v>5010</v>
      </c>
      <c r="J3740" s="267" t="s">
        <v>3928</v>
      </c>
      <c r="K3740" s="267">
        <v>6365</v>
      </c>
      <c r="L3740" s="267">
        <v>700100</v>
      </c>
      <c r="M3740" s="267" t="s">
        <v>3935</v>
      </c>
      <c r="N3740" s="267" t="s">
        <v>3944</v>
      </c>
      <c r="O3740" s="267">
        <v>1761.2</v>
      </c>
      <c r="P3740" s="267" t="s">
        <v>3944</v>
      </c>
      <c r="Q3740" s="267" t="s">
        <v>3944</v>
      </c>
      <c r="R3740" s="267">
        <v>1761.2</v>
      </c>
      <c r="S3740" s="267">
        <v>34558</v>
      </c>
      <c r="T3740" s="267">
        <v>36319.199999999997</v>
      </c>
      <c r="U3740" s="268" t="s">
        <v>3945</v>
      </c>
      <c r="V3740" s="267" t="s">
        <v>944</v>
      </c>
    </row>
    <row r="3741" spans="1:22" hidden="1" x14ac:dyDescent="0.25">
      <c r="A3741" s="269">
        <v>43656</v>
      </c>
      <c r="B3741" s="270">
        <v>2019</v>
      </c>
      <c r="C3741" s="270">
        <v>2020</v>
      </c>
      <c r="D3741" s="270">
        <v>1</v>
      </c>
      <c r="E3741" s="270">
        <v>1</v>
      </c>
      <c r="F3741" s="270" t="s">
        <v>944</v>
      </c>
      <c r="G3741" s="270" t="s">
        <v>3926</v>
      </c>
      <c r="H3741" s="270" t="s">
        <v>8269</v>
      </c>
      <c r="I3741" s="270" t="s">
        <v>934</v>
      </c>
      <c r="J3741" s="270" t="s">
        <v>3928</v>
      </c>
      <c r="K3741" s="270">
        <v>6606</v>
      </c>
      <c r="L3741" s="270">
        <v>72500</v>
      </c>
      <c r="M3741" s="270" t="s">
        <v>3940</v>
      </c>
      <c r="N3741" s="270" t="s">
        <v>3944</v>
      </c>
      <c r="O3741" s="270">
        <v>1972.53</v>
      </c>
      <c r="P3741" s="270" t="s">
        <v>3944</v>
      </c>
      <c r="Q3741" s="270" t="s">
        <v>3944</v>
      </c>
      <c r="R3741" s="270">
        <v>1972.53</v>
      </c>
      <c r="S3741" s="270">
        <v>30806.41</v>
      </c>
      <c r="T3741" s="270">
        <v>32778.94</v>
      </c>
      <c r="U3741" s="271" t="s">
        <v>3945</v>
      </c>
      <c r="V3741" s="267" t="s">
        <v>944</v>
      </c>
    </row>
    <row r="3742" spans="1:22" hidden="1" x14ac:dyDescent="0.25">
      <c r="A3742" s="266">
        <v>43656</v>
      </c>
      <c r="B3742" s="267">
        <v>2019</v>
      </c>
      <c r="C3742" s="267">
        <v>2020</v>
      </c>
      <c r="D3742" s="267">
        <v>1</v>
      </c>
      <c r="E3742" s="267">
        <v>1</v>
      </c>
      <c r="F3742" s="267" t="s">
        <v>944</v>
      </c>
      <c r="G3742" s="267" t="s">
        <v>3926</v>
      </c>
      <c r="H3742" s="267" t="s">
        <v>8270</v>
      </c>
      <c r="I3742" s="267" t="s">
        <v>934</v>
      </c>
      <c r="J3742" s="267" t="s">
        <v>3928</v>
      </c>
      <c r="K3742" s="267">
        <v>6606</v>
      </c>
      <c r="L3742" s="267">
        <v>72300</v>
      </c>
      <c r="M3742" s="267" t="s">
        <v>3940</v>
      </c>
      <c r="N3742" s="267" t="s">
        <v>3944</v>
      </c>
      <c r="O3742" s="267">
        <v>1145.45</v>
      </c>
      <c r="P3742" s="267" t="s">
        <v>3944</v>
      </c>
      <c r="Q3742" s="267" t="s">
        <v>3944</v>
      </c>
      <c r="R3742" s="267">
        <v>1145.45</v>
      </c>
      <c r="S3742" s="267">
        <v>19376.599999999999</v>
      </c>
      <c r="T3742" s="267">
        <v>20522.05</v>
      </c>
      <c r="U3742" s="268" t="s">
        <v>3945</v>
      </c>
      <c r="V3742" s="267" t="s">
        <v>944</v>
      </c>
    </row>
    <row r="3743" spans="1:22" hidden="1" x14ac:dyDescent="0.25">
      <c r="A3743" s="269">
        <v>43656</v>
      </c>
      <c r="B3743" s="270">
        <v>2019</v>
      </c>
      <c r="C3743" s="270">
        <v>2020</v>
      </c>
      <c r="D3743" s="270">
        <v>1</v>
      </c>
      <c r="E3743" s="270">
        <v>1</v>
      </c>
      <c r="F3743" s="270" t="s">
        <v>944</v>
      </c>
      <c r="G3743" s="270" t="s">
        <v>3926</v>
      </c>
      <c r="H3743" s="270" t="s">
        <v>8271</v>
      </c>
      <c r="I3743" s="270" t="s">
        <v>4556</v>
      </c>
      <c r="J3743" s="270" t="s">
        <v>3928</v>
      </c>
      <c r="K3743" s="270">
        <v>6029</v>
      </c>
      <c r="L3743" s="270">
        <v>535200</v>
      </c>
      <c r="M3743" s="270" t="s">
        <v>3960</v>
      </c>
      <c r="N3743" s="270" t="s">
        <v>3944</v>
      </c>
      <c r="O3743" s="270">
        <v>2197.79</v>
      </c>
      <c r="P3743" s="270" t="s">
        <v>3944</v>
      </c>
      <c r="Q3743" s="270" t="s">
        <v>3944</v>
      </c>
      <c r="R3743" s="270">
        <v>2197.79</v>
      </c>
      <c r="S3743" s="270">
        <v>28458.21</v>
      </c>
      <c r="T3743" s="270">
        <v>30656</v>
      </c>
      <c r="U3743" s="271" t="s">
        <v>3945</v>
      </c>
      <c r="V3743" s="267" t="s">
        <v>944</v>
      </c>
    </row>
    <row r="3744" spans="1:22" hidden="1" x14ac:dyDescent="0.25">
      <c r="A3744" s="266">
        <v>43656</v>
      </c>
      <c r="B3744" s="267">
        <v>2019</v>
      </c>
      <c r="C3744" s="267">
        <v>2020</v>
      </c>
      <c r="D3744" s="267">
        <v>1</v>
      </c>
      <c r="E3744" s="267">
        <v>1</v>
      </c>
      <c r="F3744" s="267" t="s">
        <v>944</v>
      </c>
      <c r="G3744" s="267" t="s">
        <v>3926</v>
      </c>
      <c r="H3744" s="267" t="s">
        <v>8272</v>
      </c>
      <c r="I3744" s="267" t="s">
        <v>956</v>
      </c>
      <c r="J3744" s="267" t="s">
        <v>3928</v>
      </c>
      <c r="K3744" s="267">
        <v>6614</v>
      </c>
      <c r="L3744" s="267">
        <v>80900</v>
      </c>
      <c r="M3744" s="267" t="s">
        <v>3960</v>
      </c>
      <c r="N3744" s="267" t="s">
        <v>3944</v>
      </c>
      <c r="O3744" s="267">
        <v>2495.4</v>
      </c>
      <c r="P3744" s="267" t="s">
        <v>3944</v>
      </c>
      <c r="Q3744" s="267" t="s">
        <v>3944</v>
      </c>
      <c r="R3744" s="267">
        <v>2495.4</v>
      </c>
      <c r="S3744" s="267">
        <v>40054.67</v>
      </c>
      <c r="T3744" s="267">
        <v>42550.07</v>
      </c>
      <c r="U3744" s="268" t="s">
        <v>3945</v>
      </c>
      <c r="V3744" s="267" t="s">
        <v>944</v>
      </c>
    </row>
    <row r="3745" spans="1:22" hidden="1" x14ac:dyDescent="0.25">
      <c r="A3745" s="269">
        <v>43656</v>
      </c>
      <c r="B3745" s="270">
        <v>2019</v>
      </c>
      <c r="C3745" s="270">
        <v>2020</v>
      </c>
      <c r="D3745" s="270">
        <v>1</v>
      </c>
      <c r="E3745" s="270">
        <v>1</v>
      </c>
      <c r="F3745" s="270" t="s">
        <v>944</v>
      </c>
      <c r="G3745" s="270" t="s">
        <v>3926</v>
      </c>
      <c r="H3745" s="270" t="s">
        <v>8273</v>
      </c>
      <c r="I3745" s="270" t="s">
        <v>4213</v>
      </c>
      <c r="J3745" s="270" t="s">
        <v>3928</v>
      </c>
      <c r="K3745" s="270">
        <v>6053</v>
      </c>
      <c r="L3745" s="270">
        <v>416700</v>
      </c>
      <c r="M3745" s="270">
        <v>-60</v>
      </c>
      <c r="N3745" s="270" t="s">
        <v>3944</v>
      </c>
      <c r="O3745" s="270">
        <v>1141.7</v>
      </c>
      <c r="P3745" s="270" t="s">
        <v>3944</v>
      </c>
      <c r="Q3745" s="270" t="s">
        <v>3944</v>
      </c>
      <c r="R3745" s="270">
        <v>1141.7</v>
      </c>
      <c r="S3745" s="270">
        <v>15434.29</v>
      </c>
      <c r="T3745" s="270">
        <v>16575.990000000002</v>
      </c>
      <c r="U3745" s="271" t="s">
        <v>3945</v>
      </c>
      <c r="V3745" s="267" t="s">
        <v>944</v>
      </c>
    </row>
    <row r="3746" spans="1:22" hidden="1" x14ac:dyDescent="0.25">
      <c r="A3746" s="266">
        <v>43656</v>
      </c>
      <c r="B3746" s="267">
        <v>2019</v>
      </c>
      <c r="C3746" s="267">
        <v>2020</v>
      </c>
      <c r="D3746" s="267">
        <v>1</v>
      </c>
      <c r="E3746" s="267">
        <v>1</v>
      </c>
      <c r="F3746" s="267" t="s">
        <v>944</v>
      </c>
      <c r="G3746" s="267" t="s">
        <v>3926</v>
      </c>
      <c r="H3746" s="267" t="s">
        <v>8274</v>
      </c>
      <c r="I3746" s="267" t="s">
        <v>3996</v>
      </c>
      <c r="J3746" s="267" t="s">
        <v>3928</v>
      </c>
      <c r="K3746" s="267">
        <v>6790</v>
      </c>
      <c r="L3746" s="267">
        <v>310602</v>
      </c>
      <c r="M3746" s="267" t="s">
        <v>3935</v>
      </c>
      <c r="N3746" s="267" t="s">
        <v>3944</v>
      </c>
      <c r="O3746" s="267">
        <v>1152.52</v>
      </c>
      <c r="P3746" s="267" t="s">
        <v>3944</v>
      </c>
      <c r="Q3746" s="267" t="s">
        <v>3944</v>
      </c>
      <c r="R3746" s="267">
        <v>1152.52</v>
      </c>
      <c r="S3746" s="267">
        <v>19706.8</v>
      </c>
      <c r="T3746" s="267">
        <v>20859.32</v>
      </c>
      <c r="U3746" s="268" t="s">
        <v>3945</v>
      </c>
      <c r="V3746" s="267" t="s">
        <v>944</v>
      </c>
    </row>
    <row r="3747" spans="1:22" hidden="1" x14ac:dyDescent="0.25">
      <c r="A3747" s="269">
        <v>43656</v>
      </c>
      <c r="B3747" s="270">
        <v>2019</v>
      </c>
      <c r="C3747" s="270">
        <v>2020</v>
      </c>
      <c r="D3747" s="270">
        <v>1</v>
      </c>
      <c r="E3747" s="270">
        <v>1</v>
      </c>
      <c r="F3747" s="270" t="s">
        <v>944</v>
      </c>
      <c r="G3747" s="270" t="s">
        <v>3926</v>
      </c>
      <c r="H3747" s="270" t="s">
        <v>8275</v>
      </c>
      <c r="I3747" s="270" t="s">
        <v>4124</v>
      </c>
      <c r="J3747" s="270" t="s">
        <v>3928</v>
      </c>
      <c r="K3747" s="270">
        <v>6470</v>
      </c>
      <c r="L3747" s="270">
        <v>230200</v>
      </c>
      <c r="M3747" s="270" t="s">
        <v>3943</v>
      </c>
      <c r="N3747" s="270" t="s">
        <v>3944</v>
      </c>
      <c r="O3747" s="270">
        <v>2057.37</v>
      </c>
      <c r="P3747" s="270" t="s">
        <v>3944</v>
      </c>
      <c r="Q3747" s="270" t="s">
        <v>3944</v>
      </c>
      <c r="R3747" s="270">
        <v>2057.37</v>
      </c>
      <c r="S3747" s="270">
        <v>29821.81</v>
      </c>
      <c r="T3747" s="270">
        <v>31879.18</v>
      </c>
      <c r="U3747" s="271" t="s">
        <v>3945</v>
      </c>
      <c r="V3747" s="267" t="s">
        <v>944</v>
      </c>
    </row>
    <row r="3748" spans="1:22" hidden="1" x14ac:dyDescent="0.25">
      <c r="A3748" s="266">
        <v>43656</v>
      </c>
      <c r="B3748" s="267">
        <v>2019</v>
      </c>
      <c r="C3748" s="267">
        <v>2020</v>
      </c>
      <c r="D3748" s="267">
        <v>1</v>
      </c>
      <c r="E3748" s="267">
        <v>1</v>
      </c>
      <c r="F3748" s="267" t="s">
        <v>944</v>
      </c>
      <c r="G3748" s="267" t="s">
        <v>3926</v>
      </c>
      <c r="H3748" s="267" t="s">
        <v>8276</v>
      </c>
      <c r="I3748" s="267" t="s">
        <v>4016</v>
      </c>
      <c r="J3748" s="267" t="s">
        <v>3928</v>
      </c>
      <c r="K3748" s="267">
        <v>6770</v>
      </c>
      <c r="L3748" s="267">
        <v>345300</v>
      </c>
      <c r="M3748" s="267" t="s">
        <v>3940</v>
      </c>
      <c r="N3748" s="267" t="s">
        <v>3944</v>
      </c>
      <c r="O3748" s="267">
        <v>3089.17</v>
      </c>
      <c r="P3748" s="267" t="s">
        <v>3944</v>
      </c>
      <c r="Q3748" s="267" t="s">
        <v>3944</v>
      </c>
      <c r="R3748" s="267">
        <v>3089.17</v>
      </c>
      <c r="S3748" s="267">
        <v>43064.79</v>
      </c>
      <c r="T3748" s="267">
        <v>46153.96</v>
      </c>
      <c r="U3748" s="268" t="s">
        <v>3945</v>
      </c>
      <c r="V3748" s="267" t="s">
        <v>944</v>
      </c>
    </row>
    <row r="3749" spans="1:22" hidden="1" x14ac:dyDescent="0.25">
      <c r="A3749" s="269">
        <v>43656</v>
      </c>
      <c r="B3749" s="270">
        <v>2019</v>
      </c>
      <c r="C3749" s="270">
        <v>2020</v>
      </c>
      <c r="D3749" s="270">
        <v>1</v>
      </c>
      <c r="E3749" s="270">
        <v>1</v>
      </c>
      <c r="F3749" s="270" t="s">
        <v>944</v>
      </c>
      <c r="G3749" s="270" t="s">
        <v>3926</v>
      </c>
      <c r="H3749" s="270" t="s">
        <v>8277</v>
      </c>
      <c r="I3749" s="270" t="s">
        <v>3975</v>
      </c>
      <c r="J3749" s="270" t="s">
        <v>3928</v>
      </c>
      <c r="K3749" s="270">
        <v>6479</v>
      </c>
      <c r="L3749" s="270">
        <v>430301</v>
      </c>
      <c r="M3749" s="270" t="s">
        <v>3943</v>
      </c>
      <c r="N3749" s="270" t="s">
        <v>3944</v>
      </c>
      <c r="O3749" s="270">
        <v>3543.58</v>
      </c>
      <c r="P3749" s="270" t="s">
        <v>3944</v>
      </c>
      <c r="Q3749" s="270" t="s">
        <v>3944</v>
      </c>
      <c r="R3749" s="270">
        <v>3543.58</v>
      </c>
      <c r="S3749" s="270">
        <v>54488.22</v>
      </c>
      <c r="T3749" s="270">
        <v>58031.8</v>
      </c>
      <c r="U3749" s="271" t="s">
        <v>3945</v>
      </c>
      <c r="V3749" s="267" t="s">
        <v>944</v>
      </c>
    </row>
    <row r="3750" spans="1:22" hidden="1" x14ac:dyDescent="0.25">
      <c r="A3750" s="266">
        <v>43657</v>
      </c>
      <c r="B3750" s="267">
        <v>2019</v>
      </c>
      <c r="C3750" s="267">
        <v>2020</v>
      </c>
      <c r="D3750" s="267">
        <v>1</v>
      </c>
      <c r="E3750" s="267">
        <v>1</v>
      </c>
      <c r="F3750" s="267" t="s">
        <v>944</v>
      </c>
      <c r="G3750" s="267" t="s">
        <v>3926</v>
      </c>
      <c r="H3750" s="267" t="s">
        <v>8278</v>
      </c>
      <c r="I3750" s="267" t="s">
        <v>4019</v>
      </c>
      <c r="J3750" s="267" t="s">
        <v>3928</v>
      </c>
      <c r="K3750" s="267">
        <v>6706</v>
      </c>
      <c r="L3750" s="267">
        <v>351400</v>
      </c>
      <c r="M3750" s="267">
        <v>-60</v>
      </c>
      <c r="N3750" s="267" t="s">
        <v>8279</v>
      </c>
      <c r="O3750" s="267">
        <v>0</v>
      </c>
      <c r="P3750" s="267" t="s">
        <v>3930</v>
      </c>
      <c r="Q3750" s="267" t="s">
        <v>3930</v>
      </c>
      <c r="R3750" s="267">
        <v>0</v>
      </c>
      <c r="S3750" s="267">
        <v>13027</v>
      </c>
      <c r="T3750" s="267">
        <v>13027</v>
      </c>
      <c r="U3750" s="268" t="s">
        <v>3937</v>
      </c>
      <c r="V3750" s="267" t="s">
        <v>944</v>
      </c>
    </row>
    <row r="3751" spans="1:22" hidden="1" x14ac:dyDescent="0.25">
      <c r="A3751" s="269">
        <v>43657</v>
      </c>
      <c r="B3751" s="270">
        <v>2019</v>
      </c>
      <c r="C3751" s="270">
        <v>2020</v>
      </c>
      <c r="D3751" s="270">
        <v>1</v>
      </c>
      <c r="E3751" s="270">
        <v>1</v>
      </c>
      <c r="F3751" s="270" t="s">
        <v>944</v>
      </c>
      <c r="G3751" s="270" t="s">
        <v>3926</v>
      </c>
      <c r="H3751" s="270" t="s">
        <v>8280</v>
      </c>
      <c r="I3751" s="270" t="s">
        <v>4079</v>
      </c>
      <c r="J3751" s="270" t="s">
        <v>3928</v>
      </c>
      <c r="K3751" s="270">
        <v>6111</v>
      </c>
      <c r="L3751" s="270">
        <v>494201</v>
      </c>
      <c r="M3751" s="270" t="s">
        <v>3935</v>
      </c>
      <c r="N3751" s="270" t="s">
        <v>4732</v>
      </c>
      <c r="O3751" s="270">
        <v>0</v>
      </c>
      <c r="P3751" s="270" t="s">
        <v>3930</v>
      </c>
      <c r="Q3751" s="270" t="s">
        <v>3930</v>
      </c>
      <c r="R3751" s="270">
        <v>0</v>
      </c>
      <c r="S3751" s="270">
        <v>9000</v>
      </c>
      <c r="T3751" s="270">
        <v>9000</v>
      </c>
      <c r="U3751" s="271" t="s">
        <v>3937</v>
      </c>
      <c r="V3751" s="267" t="s">
        <v>944</v>
      </c>
    </row>
    <row r="3752" spans="1:22" hidden="1" x14ac:dyDescent="0.25">
      <c r="A3752" s="266">
        <v>43657</v>
      </c>
      <c r="B3752" s="267">
        <v>2019</v>
      </c>
      <c r="C3752" s="267">
        <v>2020</v>
      </c>
      <c r="D3752" s="267">
        <v>1</v>
      </c>
      <c r="E3752" s="267">
        <v>1</v>
      </c>
      <c r="F3752" s="267" t="s">
        <v>944</v>
      </c>
      <c r="G3752" s="267" t="s">
        <v>3926</v>
      </c>
      <c r="H3752" s="267" t="s">
        <v>8281</v>
      </c>
      <c r="I3752" s="267" t="s">
        <v>4073</v>
      </c>
      <c r="J3752" s="267" t="s">
        <v>3928</v>
      </c>
      <c r="K3752" s="267">
        <v>6776</v>
      </c>
      <c r="L3752" s="267">
        <v>253500</v>
      </c>
      <c r="M3752" s="267" t="s">
        <v>3943</v>
      </c>
      <c r="N3752" s="267" t="s">
        <v>8282</v>
      </c>
      <c r="O3752" s="267">
        <v>0</v>
      </c>
      <c r="P3752" s="267" t="s">
        <v>3930</v>
      </c>
      <c r="Q3752" s="267" t="s">
        <v>3930</v>
      </c>
      <c r="R3752" s="267">
        <v>0</v>
      </c>
      <c r="S3752" s="267">
        <v>24409.200000000001</v>
      </c>
      <c r="T3752" s="267">
        <v>24409.200000000001</v>
      </c>
      <c r="U3752" s="268" t="s">
        <v>3937</v>
      </c>
      <c r="V3752" s="267" t="s">
        <v>944</v>
      </c>
    </row>
    <row r="3753" spans="1:22" hidden="1" x14ac:dyDescent="0.25">
      <c r="A3753" s="269">
        <v>43657</v>
      </c>
      <c r="B3753" s="270">
        <v>2019</v>
      </c>
      <c r="C3753" s="270">
        <v>2020</v>
      </c>
      <c r="D3753" s="270">
        <v>1</v>
      </c>
      <c r="E3753" s="270">
        <v>1</v>
      </c>
      <c r="F3753" s="270" t="s">
        <v>944</v>
      </c>
      <c r="G3753" s="270" t="s">
        <v>3926</v>
      </c>
      <c r="H3753" s="270" t="s">
        <v>8283</v>
      </c>
      <c r="I3753" s="270" t="s">
        <v>4005</v>
      </c>
      <c r="J3753" s="270" t="s">
        <v>3928</v>
      </c>
      <c r="K3753" s="270">
        <v>6108</v>
      </c>
      <c r="L3753" s="270">
        <v>511400</v>
      </c>
      <c r="M3753" s="270" t="s">
        <v>3935</v>
      </c>
      <c r="N3753" s="270" t="s">
        <v>8284</v>
      </c>
      <c r="O3753" s="270">
        <v>3355</v>
      </c>
      <c r="P3753" s="270" t="s">
        <v>3930</v>
      </c>
      <c r="Q3753" s="270" t="s">
        <v>3930</v>
      </c>
      <c r="R3753" s="270">
        <v>3355</v>
      </c>
      <c r="S3753" s="270">
        <v>15309</v>
      </c>
      <c r="T3753" s="270">
        <v>18664</v>
      </c>
      <c r="U3753" s="271" t="s">
        <v>3937</v>
      </c>
      <c r="V3753" s="267" t="s">
        <v>944</v>
      </c>
    </row>
    <row r="3754" spans="1:22" hidden="1" x14ac:dyDescent="0.25">
      <c r="A3754" s="266">
        <v>43657</v>
      </c>
      <c r="B3754" s="267">
        <v>2019</v>
      </c>
      <c r="C3754" s="267">
        <v>2020</v>
      </c>
      <c r="D3754" s="267">
        <v>1</v>
      </c>
      <c r="E3754" s="267">
        <v>1</v>
      </c>
      <c r="F3754" s="267" t="s">
        <v>944</v>
      </c>
      <c r="G3754" s="267" t="s">
        <v>3926</v>
      </c>
      <c r="H3754" s="267" t="s">
        <v>8285</v>
      </c>
      <c r="I3754" s="267" t="s">
        <v>4019</v>
      </c>
      <c r="J3754" s="267" t="s">
        <v>3928</v>
      </c>
      <c r="K3754" s="267">
        <v>6704</v>
      </c>
      <c r="L3754" s="267">
        <v>352400</v>
      </c>
      <c r="M3754" s="267">
        <v>-60</v>
      </c>
      <c r="N3754" s="267" t="s">
        <v>5489</v>
      </c>
      <c r="O3754" s="267">
        <v>1259.3</v>
      </c>
      <c r="P3754" s="267" t="s">
        <v>3930</v>
      </c>
      <c r="Q3754" s="267" t="s">
        <v>3931</v>
      </c>
      <c r="R3754" s="267">
        <v>6259.3</v>
      </c>
      <c r="S3754" s="267">
        <v>16817.8</v>
      </c>
      <c r="T3754" s="267">
        <v>23077.1</v>
      </c>
      <c r="U3754" s="268" t="s">
        <v>3932</v>
      </c>
      <c r="V3754" s="267" t="s">
        <v>944</v>
      </c>
    </row>
    <row r="3755" spans="1:22" hidden="1" x14ac:dyDescent="0.25">
      <c r="A3755" s="269">
        <v>43657</v>
      </c>
      <c r="B3755" s="270">
        <v>2019</v>
      </c>
      <c r="C3755" s="270">
        <v>2020</v>
      </c>
      <c r="D3755" s="270">
        <v>1</v>
      </c>
      <c r="E3755" s="270">
        <v>1</v>
      </c>
      <c r="F3755" s="270" t="s">
        <v>944</v>
      </c>
      <c r="G3755" s="270" t="s">
        <v>3926</v>
      </c>
      <c r="H3755" s="270" t="s">
        <v>8286</v>
      </c>
      <c r="I3755" s="270" t="s">
        <v>4137</v>
      </c>
      <c r="J3755" s="270" t="s">
        <v>3928</v>
      </c>
      <c r="K3755" s="270">
        <v>6067</v>
      </c>
      <c r="L3755" s="270">
        <v>490302</v>
      </c>
      <c r="M3755" s="270" t="s">
        <v>3960</v>
      </c>
      <c r="N3755" s="270" t="s">
        <v>4732</v>
      </c>
      <c r="O3755" s="270">
        <v>0</v>
      </c>
      <c r="P3755" s="270" t="s">
        <v>3930</v>
      </c>
      <c r="Q3755" s="270" t="s">
        <v>3930</v>
      </c>
      <c r="R3755" s="270">
        <v>0</v>
      </c>
      <c r="S3755" s="270">
        <v>9000</v>
      </c>
      <c r="T3755" s="270">
        <v>9000</v>
      </c>
      <c r="U3755" s="271" t="s">
        <v>3937</v>
      </c>
      <c r="V3755" s="267" t="s">
        <v>944</v>
      </c>
    </row>
    <row r="3756" spans="1:22" hidden="1" x14ac:dyDescent="0.25">
      <c r="A3756" s="266">
        <v>43657</v>
      </c>
      <c r="B3756" s="267">
        <v>2019</v>
      </c>
      <c r="C3756" s="267">
        <v>2020</v>
      </c>
      <c r="D3756" s="267">
        <v>1</v>
      </c>
      <c r="E3756" s="267">
        <v>1</v>
      </c>
      <c r="F3756" s="267" t="s">
        <v>944</v>
      </c>
      <c r="G3756" s="267" t="s">
        <v>3926</v>
      </c>
      <c r="H3756" s="267" t="s">
        <v>8287</v>
      </c>
      <c r="I3756" s="267" t="s">
        <v>4504</v>
      </c>
      <c r="J3756" s="267" t="s">
        <v>3928</v>
      </c>
      <c r="K3756" s="267">
        <v>6279</v>
      </c>
      <c r="L3756" s="267">
        <v>840100</v>
      </c>
      <c r="M3756" s="267" t="s">
        <v>3935</v>
      </c>
      <c r="N3756" s="267" t="s">
        <v>3944</v>
      </c>
      <c r="O3756" s="267">
        <v>1104</v>
      </c>
      <c r="P3756" s="267" t="s">
        <v>3944</v>
      </c>
      <c r="Q3756" s="267" t="s">
        <v>3944</v>
      </c>
      <c r="R3756" s="267">
        <v>1104</v>
      </c>
      <c r="S3756" s="267">
        <v>10121</v>
      </c>
      <c r="T3756" s="267">
        <v>11225</v>
      </c>
      <c r="U3756" s="268" t="s">
        <v>3945</v>
      </c>
      <c r="V3756" s="267" t="s">
        <v>944</v>
      </c>
    </row>
    <row r="3757" spans="1:22" hidden="1" x14ac:dyDescent="0.25">
      <c r="A3757" s="269">
        <v>43657</v>
      </c>
      <c r="B3757" s="270">
        <v>2019</v>
      </c>
      <c r="C3757" s="270">
        <v>2020</v>
      </c>
      <c r="D3757" s="270">
        <v>1</v>
      </c>
      <c r="E3757" s="270">
        <v>1</v>
      </c>
      <c r="F3757" s="270" t="s">
        <v>944</v>
      </c>
      <c r="G3757" s="270" t="s">
        <v>3926</v>
      </c>
      <c r="H3757" s="270" t="s">
        <v>8288</v>
      </c>
      <c r="I3757" s="270" t="s">
        <v>3008</v>
      </c>
      <c r="J3757" s="270" t="s">
        <v>3928</v>
      </c>
      <c r="K3757" s="270">
        <v>6460</v>
      </c>
      <c r="L3757" s="270">
        <v>151000</v>
      </c>
      <c r="M3757" s="270" t="s">
        <v>3960</v>
      </c>
      <c r="N3757" s="270" t="s">
        <v>3944</v>
      </c>
      <c r="O3757" s="270">
        <v>1459</v>
      </c>
      <c r="P3757" s="270" t="s">
        <v>3944</v>
      </c>
      <c r="Q3757" s="270" t="s">
        <v>3944</v>
      </c>
      <c r="R3757" s="270">
        <v>1459</v>
      </c>
      <c r="S3757" s="270">
        <v>22638.51</v>
      </c>
      <c r="T3757" s="270">
        <v>24097.51</v>
      </c>
      <c r="U3757" s="271" t="s">
        <v>3945</v>
      </c>
      <c r="V3757" s="267" t="s">
        <v>944</v>
      </c>
    </row>
    <row r="3758" spans="1:22" hidden="1" x14ac:dyDescent="0.25">
      <c r="A3758" s="266">
        <v>43657</v>
      </c>
      <c r="B3758" s="267">
        <v>2019</v>
      </c>
      <c r="C3758" s="267">
        <v>2020</v>
      </c>
      <c r="D3758" s="267">
        <v>1</v>
      </c>
      <c r="E3758" s="267">
        <v>1</v>
      </c>
      <c r="F3758" s="267" t="s">
        <v>944</v>
      </c>
      <c r="G3758" s="267" t="s">
        <v>3926</v>
      </c>
      <c r="H3758" s="267" t="s">
        <v>8289</v>
      </c>
      <c r="I3758" s="267" t="s">
        <v>4108</v>
      </c>
      <c r="J3758" s="267" t="s">
        <v>3928</v>
      </c>
      <c r="K3758" s="267">
        <v>6082</v>
      </c>
      <c r="L3758" s="267">
        <v>480900</v>
      </c>
      <c r="M3758" s="267" t="s">
        <v>3960</v>
      </c>
      <c r="N3758" s="267" t="s">
        <v>3944</v>
      </c>
      <c r="O3758" s="267">
        <v>1674</v>
      </c>
      <c r="P3758" s="267" t="s">
        <v>3944</v>
      </c>
      <c r="Q3758" s="267" t="s">
        <v>3944</v>
      </c>
      <c r="R3758" s="267">
        <v>1674</v>
      </c>
      <c r="S3758" s="267">
        <v>24786</v>
      </c>
      <c r="T3758" s="267">
        <v>26460</v>
      </c>
      <c r="U3758" s="268" t="s">
        <v>3945</v>
      </c>
      <c r="V3758" s="267" t="s">
        <v>944</v>
      </c>
    </row>
    <row r="3759" spans="1:22" hidden="1" x14ac:dyDescent="0.25">
      <c r="A3759" s="269">
        <v>43657</v>
      </c>
      <c r="B3759" s="270">
        <v>2019</v>
      </c>
      <c r="C3759" s="270">
        <v>2020</v>
      </c>
      <c r="D3759" s="270">
        <v>1</v>
      </c>
      <c r="E3759" s="270">
        <v>1</v>
      </c>
      <c r="F3759" s="270" t="s">
        <v>944</v>
      </c>
      <c r="G3759" s="270" t="s">
        <v>3926</v>
      </c>
      <c r="H3759" s="270" t="s">
        <v>8290</v>
      </c>
      <c r="I3759" s="270" t="s">
        <v>7845</v>
      </c>
      <c r="J3759" s="270" t="s">
        <v>3928</v>
      </c>
      <c r="K3759" s="270">
        <v>6777</v>
      </c>
      <c r="L3759" s="270">
        <v>265100</v>
      </c>
      <c r="M3759" s="270" t="s">
        <v>3943</v>
      </c>
      <c r="N3759" s="270" t="s">
        <v>3944</v>
      </c>
      <c r="O3759" s="270">
        <v>2937</v>
      </c>
      <c r="P3759" s="270" t="s">
        <v>3944</v>
      </c>
      <c r="Q3759" s="270" t="s">
        <v>3944</v>
      </c>
      <c r="R3759" s="270">
        <v>2937</v>
      </c>
      <c r="S3759" s="270">
        <v>32545</v>
      </c>
      <c r="T3759" s="270">
        <v>35482</v>
      </c>
      <c r="U3759" s="271" t="s">
        <v>3945</v>
      </c>
      <c r="V3759" s="267" t="s">
        <v>944</v>
      </c>
    </row>
    <row r="3760" spans="1:22" hidden="1" x14ac:dyDescent="0.25">
      <c r="A3760" s="266">
        <v>43657</v>
      </c>
      <c r="B3760" s="267">
        <v>2019</v>
      </c>
      <c r="C3760" s="267">
        <v>2020</v>
      </c>
      <c r="D3760" s="267">
        <v>1</v>
      </c>
      <c r="E3760" s="267">
        <v>1</v>
      </c>
      <c r="F3760" s="267" t="s">
        <v>944</v>
      </c>
      <c r="G3760" s="267" t="s">
        <v>3926</v>
      </c>
      <c r="H3760" s="267" t="s">
        <v>8291</v>
      </c>
      <c r="I3760" s="267" t="s">
        <v>4029</v>
      </c>
      <c r="J3760" s="267" t="s">
        <v>3928</v>
      </c>
      <c r="K3760" s="267">
        <v>6850</v>
      </c>
      <c r="L3760" s="267">
        <v>43200</v>
      </c>
      <c r="M3760" s="267" t="s">
        <v>3935</v>
      </c>
      <c r="N3760" s="267" t="s">
        <v>3944</v>
      </c>
      <c r="O3760" s="267">
        <v>4252</v>
      </c>
      <c r="P3760" s="267" t="s">
        <v>3944</v>
      </c>
      <c r="Q3760" s="267" t="s">
        <v>3944</v>
      </c>
      <c r="R3760" s="267">
        <v>4252</v>
      </c>
      <c r="S3760" s="267">
        <v>26750</v>
      </c>
      <c r="T3760" s="267">
        <v>31002</v>
      </c>
      <c r="U3760" s="268" t="s">
        <v>3945</v>
      </c>
      <c r="V3760" s="267" t="s">
        <v>944</v>
      </c>
    </row>
    <row r="3761" spans="1:22" hidden="1" x14ac:dyDescent="0.25">
      <c r="A3761" s="269">
        <v>43657</v>
      </c>
      <c r="B3761" s="270">
        <v>2019</v>
      </c>
      <c r="C3761" s="270">
        <v>2020</v>
      </c>
      <c r="D3761" s="270">
        <v>1</v>
      </c>
      <c r="E3761" s="270">
        <v>1</v>
      </c>
      <c r="F3761" s="270" t="s">
        <v>944</v>
      </c>
      <c r="G3761" s="270" t="s">
        <v>3926</v>
      </c>
      <c r="H3761" s="270" t="s">
        <v>8292</v>
      </c>
      <c r="I3761" s="270" t="s">
        <v>3947</v>
      </c>
      <c r="J3761" s="270" t="s">
        <v>3928</v>
      </c>
      <c r="K3761" s="270">
        <v>6035</v>
      </c>
      <c r="L3761" s="270">
        <v>468101</v>
      </c>
      <c r="M3761" s="270" t="s">
        <v>3943</v>
      </c>
      <c r="N3761" s="270" t="s">
        <v>3944</v>
      </c>
      <c r="O3761" s="270">
        <v>6287</v>
      </c>
      <c r="P3761" s="270" t="s">
        <v>3944</v>
      </c>
      <c r="Q3761" s="270" t="s">
        <v>3944</v>
      </c>
      <c r="R3761" s="270">
        <v>6287</v>
      </c>
      <c r="S3761" s="270">
        <v>44929</v>
      </c>
      <c r="T3761" s="270">
        <v>51216</v>
      </c>
      <c r="U3761" s="271" t="s">
        <v>3945</v>
      </c>
      <c r="V3761" s="267" t="s">
        <v>944</v>
      </c>
    </row>
    <row r="3762" spans="1:22" hidden="1" x14ac:dyDescent="0.25">
      <c r="A3762" s="266">
        <v>43657</v>
      </c>
      <c r="B3762" s="267">
        <v>2019</v>
      </c>
      <c r="C3762" s="267">
        <v>2020</v>
      </c>
      <c r="D3762" s="267">
        <v>1</v>
      </c>
      <c r="E3762" s="267">
        <v>1</v>
      </c>
      <c r="F3762" s="267" t="s">
        <v>944</v>
      </c>
      <c r="G3762" s="267" t="s">
        <v>3926</v>
      </c>
      <c r="H3762" s="267" t="s">
        <v>8293</v>
      </c>
      <c r="I3762" s="267" t="s">
        <v>4993</v>
      </c>
      <c r="J3762" s="267" t="s">
        <v>3928</v>
      </c>
      <c r="K3762" s="267">
        <v>6237</v>
      </c>
      <c r="L3762" s="267">
        <v>860100</v>
      </c>
      <c r="M3762" s="267" t="s">
        <v>3943</v>
      </c>
      <c r="N3762" s="267" t="s">
        <v>3944</v>
      </c>
      <c r="O3762" s="267">
        <v>4228</v>
      </c>
      <c r="P3762" s="267" t="s">
        <v>3944</v>
      </c>
      <c r="Q3762" s="267" t="s">
        <v>3944</v>
      </c>
      <c r="R3762" s="267">
        <v>4228</v>
      </c>
      <c r="S3762" s="267">
        <v>21328.880000000001</v>
      </c>
      <c r="T3762" s="267">
        <v>25556.880000000001</v>
      </c>
      <c r="U3762" s="268" t="s">
        <v>3945</v>
      </c>
      <c r="V3762" s="267" t="s">
        <v>944</v>
      </c>
    </row>
    <row r="3763" spans="1:22" hidden="1" x14ac:dyDescent="0.25">
      <c r="A3763" s="269">
        <v>43657</v>
      </c>
      <c r="B3763" s="270">
        <v>2019</v>
      </c>
      <c r="C3763" s="270">
        <v>2020</v>
      </c>
      <c r="D3763" s="270">
        <v>1</v>
      </c>
      <c r="E3763" s="270">
        <v>1</v>
      </c>
      <c r="F3763" s="270" t="s">
        <v>944</v>
      </c>
      <c r="G3763" s="270" t="s">
        <v>3926</v>
      </c>
      <c r="H3763" s="270" t="s">
        <v>8294</v>
      </c>
      <c r="I3763" s="270" t="s">
        <v>4172</v>
      </c>
      <c r="J3763" s="270" t="s">
        <v>3928</v>
      </c>
      <c r="K3763" s="270">
        <v>6782</v>
      </c>
      <c r="L3763" s="270">
        <v>425400</v>
      </c>
      <c r="M3763" s="270" t="s">
        <v>3935</v>
      </c>
      <c r="N3763" s="270" t="s">
        <v>3944</v>
      </c>
      <c r="O3763" s="270">
        <v>1595</v>
      </c>
      <c r="P3763" s="270" t="s">
        <v>3944</v>
      </c>
      <c r="Q3763" s="270" t="s">
        <v>3944</v>
      </c>
      <c r="R3763" s="270">
        <v>1595</v>
      </c>
      <c r="S3763" s="270">
        <v>10075.75</v>
      </c>
      <c r="T3763" s="270">
        <v>11670.75</v>
      </c>
      <c r="U3763" s="271" t="s">
        <v>3945</v>
      </c>
      <c r="V3763" s="267" t="s">
        <v>944</v>
      </c>
    </row>
    <row r="3764" spans="1:22" hidden="1" x14ac:dyDescent="0.25">
      <c r="A3764" s="266">
        <v>43657</v>
      </c>
      <c r="B3764" s="267">
        <v>2019</v>
      </c>
      <c r="C3764" s="267">
        <v>2020</v>
      </c>
      <c r="D3764" s="267">
        <v>1</v>
      </c>
      <c r="E3764" s="267">
        <v>1</v>
      </c>
      <c r="F3764" s="267" t="s">
        <v>944</v>
      </c>
      <c r="G3764" s="267" t="s">
        <v>3926</v>
      </c>
      <c r="H3764" s="267" t="s">
        <v>8295</v>
      </c>
      <c r="I3764" s="267" t="s">
        <v>4055</v>
      </c>
      <c r="J3764" s="267" t="s">
        <v>3928</v>
      </c>
      <c r="K3764" s="267">
        <v>6070</v>
      </c>
      <c r="L3764" s="267">
        <v>466202</v>
      </c>
      <c r="M3764" s="267" t="s">
        <v>3943</v>
      </c>
      <c r="N3764" s="267" t="s">
        <v>3944</v>
      </c>
      <c r="O3764" s="267">
        <v>3152</v>
      </c>
      <c r="P3764" s="267" t="s">
        <v>3944</v>
      </c>
      <c r="Q3764" s="267" t="s">
        <v>3944</v>
      </c>
      <c r="R3764" s="267">
        <v>3152</v>
      </c>
      <c r="S3764" s="267">
        <v>34843</v>
      </c>
      <c r="T3764" s="267">
        <v>37995</v>
      </c>
      <c r="U3764" s="268" t="s">
        <v>3945</v>
      </c>
      <c r="V3764" s="267" t="s">
        <v>944</v>
      </c>
    </row>
    <row r="3765" spans="1:22" hidden="1" x14ac:dyDescent="0.25">
      <c r="A3765" s="269">
        <v>43657</v>
      </c>
      <c r="B3765" s="270">
        <v>2019</v>
      </c>
      <c r="C3765" s="270">
        <v>2020</v>
      </c>
      <c r="D3765" s="270">
        <v>1</v>
      </c>
      <c r="E3765" s="270">
        <v>1</v>
      </c>
      <c r="F3765" s="270" t="s">
        <v>944</v>
      </c>
      <c r="G3765" s="270" t="s">
        <v>3926</v>
      </c>
      <c r="H3765" s="270" t="s">
        <v>8296</v>
      </c>
      <c r="I3765" s="270" t="s">
        <v>4556</v>
      </c>
      <c r="J3765" s="270" t="s">
        <v>3928</v>
      </c>
      <c r="K3765" s="270">
        <v>6029</v>
      </c>
      <c r="L3765" s="270">
        <v>535200</v>
      </c>
      <c r="M3765" s="270" t="s">
        <v>3960</v>
      </c>
      <c r="N3765" s="270" t="s">
        <v>3944</v>
      </c>
      <c r="O3765" s="270">
        <v>4907</v>
      </c>
      <c r="P3765" s="270" t="s">
        <v>3944</v>
      </c>
      <c r="Q3765" s="270" t="s">
        <v>3944</v>
      </c>
      <c r="R3765" s="270">
        <v>4907</v>
      </c>
      <c r="S3765" s="270">
        <v>60341</v>
      </c>
      <c r="T3765" s="270">
        <v>65248</v>
      </c>
      <c r="U3765" s="271" t="s">
        <v>3945</v>
      </c>
      <c r="V3765" s="267" t="s">
        <v>944</v>
      </c>
    </row>
    <row r="3766" spans="1:22" hidden="1" x14ac:dyDescent="0.25">
      <c r="A3766" s="266">
        <v>43657</v>
      </c>
      <c r="B3766" s="267">
        <v>2019</v>
      </c>
      <c r="C3766" s="267">
        <v>2020</v>
      </c>
      <c r="D3766" s="267">
        <v>1</v>
      </c>
      <c r="E3766" s="267">
        <v>1</v>
      </c>
      <c r="F3766" s="267" t="s">
        <v>944</v>
      </c>
      <c r="G3766" s="267" t="s">
        <v>3926</v>
      </c>
      <c r="H3766" s="267" t="s">
        <v>8297</v>
      </c>
      <c r="I3766" s="267" t="s">
        <v>5032</v>
      </c>
      <c r="J3766" s="267" t="s">
        <v>3928</v>
      </c>
      <c r="K3766" s="267">
        <v>6062</v>
      </c>
      <c r="L3766" s="267">
        <v>420600</v>
      </c>
      <c r="M3766" s="267" t="s">
        <v>3935</v>
      </c>
      <c r="N3766" s="267" t="s">
        <v>3944</v>
      </c>
      <c r="O3766" s="267">
        <v>1856</v>
      </c>
      <c r="P3766" s="267" t="s">
        <v>3944</v>
      </c>
      <c r="Q3766" s="267" t="s">
        <v>3944</v>
      </c>
      <c r="R3766" s="267">
        <v>1856</v>
      </c>
      <c r="S3766" s="267">
        <v>17109</v>
      </c>
      <c r="T3766" s="267">
        <v>18965</v>
      </c>
      <c r="U3766" s="268" t="s">
        <v>3945</v>
      </c>
      <c r="V3766" s="267" t="s">
        <v>944</v>
      </c>
    </row>
    <row r="3767" spans="1:22" hidden="1" x14ac:dyDescent="0.25">
      <c r="A3767" s="269">
        <v>43657</v>
      </c>
      <c r="B3767" s="270">
        <v>2019</v>
      </c>
      <c r="C3767" s="270">
        <v>2020</v>
      </c>
      <c r="D3767" s="270">
        <v>1</v>
      </c>
      <c r="E3767" s="270">
        <v>1</v>
      </c>
      <c r="F3767" s="270" t="s">
        <v>944</v>
      </c>
      <c r="G3767" s="270" t="s">
        <v>3926</v>
      </c>
      <c r="H3767" s="270" t="s">
        <v>8298</v>
      </c>
      <c r="I3767" s="270" t="s">
        <v>6493</v>
      </c>
      <c r="J3767" s="270" t="s">
        <v>3928</v>
      </c>
      <c r="K3767" s="270">
        <v>6447</v>
      </c>
      <c r="L3767" s="270">
        <v>524100</v>
      </c>
      <c r="M3767" s="270" t="s">
        <v>3943</v>
      </c>
      <c r="N3767" s="270" t="s">
        <v>3944</v>
      </c>
      <c r="O3767" s="270">
        <v>3698</v>
      </c>
      <c r="P3767" s="270" t="s">
        <v>3944</v>
      </c>
      <c r="Q3767" s="270" t="s">
        <v>3944</v>
      </c>
      <c r="R3767" s="270">
        <v>3698</v>
      </c>
      <c r="S3767" s="270">
        <v>27147</v>
      </c>
      <c r="T3767" s="270">
        <v>30845</v>
      </c>
      <c r="U3767" s="271" t="s">
        <v>3945</v>
      </c>
      <c r="V3767" s="267" t="s">
        <v>944</v>
      </c>
    </row>
    <row r="3768" spans="1:22" hidden="1" x14ac:dyDescent="0.25">
      <c r="A3768" s="266">
        <v>43657</v>
      </c>
      <c r="B3768" s="267">
        <v>2019</v>
      </c>
      <c r="C3768" s="267">
        <v>2020</v>
      </c>
      <c r="D3768" s="267">
        <v>1</v>
      </c>
      <c r="E3768" s="267">
        <v>1</v>
      </c>
      <c r="F3768" s="267" t="s">
        <v>944</v>
      </c>
      <c r="G3768" s="267" t="s">
        <v>3926</v>
      </c>
      <c r="H3768" s="267" t="s">
        <v>8299</v>
      </c>
      <c r="I3768" s="267" t="s">
        <v>4147</v>
      </c>
      <c r="J3768" s="267" t="s">
        <v>3928</v>
      </c>
      <c r="K3768" s="267">
        <v>6109</v>
      </c>
      <c r="L3768" s="267">
        <v>492200</v>
      </c>
      <c r="M3768" s="267" t="s">
        <v>3960</v>
      </c>
      <c r="N3768" s="267" t="s">
        <v>3944</v>
      </c>
      <c r="O3768" s="267">
        <v>1292</v>
      </c>
      <c r="P3768" s="267" t="s">
        <v>3944</v>
      </c>
      <c r="Q3768" s="267" t="s">
        <v>3944</v>
      </c>
      <c r="R3768" s="267">
        <v>1292</v>
      </c>
      <c r="S3768" s="267">
        <v>16316.5</v>
      </c>
      <c r="T3768" s="267">
        <v>17608.5</v>
      </c>
      <c r="U3768" s="268" t="s">
        <v>3945</v>
      </c>
      <c r="V3768" s="267" t="s">
        <v>944</v>
      </c>
    </row>
    <row r="3769" spans="1:22" hidden="1" x14ac:dyDescent="0.25">
      <c r="A3769" s="269">
        <v>43657</v>
      </c>
      <c r="B3769" s="270">
        <v>2019</v>
      </c>
      <c r="C3769" s="270">
        <v>2020</v>
      </c>
      <c r="D3769" s="270">
        <v>1</v>
      </c>
      <c r="E3769" s="270">
        <v>1</v>
      </c>
      <c r="F3769" s="270" t="s">
        <v>944</v>
      </c>
      <c r="G3769" s="270" t="s">
        <v>3926</v>
      </c>
      <c r="H3769" s="270" t="s">
        <v>8300</v>
      </c>
      <c r="I3769" s="270" t="s">
        <v>3966</v>
      </c>
      <c r="J3769" s="270" t="s">
        <v>3928</v>
      </c>
      <c r="K3769" s="270">
        <v>6010</v>
      </c>
      <c r="L3769" s="270">
        <v>405402</v>
      </c>
      <c r="M3769" s="270" t="s">
        <v>3940</v>
      </c>
      <c r="N3769" s="270" t="s">
        <v>3944</v>
      </c>
      <c r="O3769" s="270">
        <v>3330</v>
      </c>
      <c r="P3769" s="270" t="s">
        <v>3944</v>
      </c>
      <c r="Q3769" s="270" t="s">
        <v>3944</v>
      </c>
      <c r="R3769" s="270">
        <v>3330</v>
      </c>
      <c r="S3769" s="270">
        <v>39793.51</v>
      </c>
      <c r="T3769" s="270">
        <v>43123.51</v>
      </c>
      <c r="U3769" s="271" t="s">
        <v>3945</v>
      </c>
      <c r="V3769" s="267" t="s">
        <v>944</v>
      </c>
    </row>
    <row r="3770" spans="1:22" hidden="1" x14ac:dyDescent="0.25">
      <c r="A3770" s="266">
        <v>43657</v>
      </c>
      <c r="B3770" s="267">
        <v>2019</v>
      </c>
      <c r="C3770" s="267">
        <v>2020</v>
      </c>
      <c r="D3770" s="267">
        <v>1</v>
      </c>
      <c r="E3770" s="267">
        <v>1</v>
      </c>
      <c r="F3770" s="267" t="s">
        <v>944</v>
      </c>
      <c r="G3770" s="267" t="s">
        <v>3926</v>
      </c>
      <c r="H3770" s="267" t="s">
        <v>8301</v>
      </c>
      <c r="I3770" s="267" t="s">
        <v>3939</v>
      </c>
      <c r="J3770" s="267" t="s">
        <v>3928</v>
      </c>
      <c r="K3770" s="267">
        <v>6512</v>
      </c>
      <c r="L3770" s="267">
        <v>180500</v>
      </c>
      <c r="M3770" s="267" t="s">
        <v>3935</v>
      </c>
      <c r="N3770" s="267" t="s">
        <v>3944</v>
      </c>
      <c r="O3770" s="267">
        <v>2411.19</v>
      </c>
      <c r="P3770" s="267" t="s">
        <v>3944</v>
      </c>
      <c r="Q3770" s="267" t="s">
        <v>3944</v>
      </c>
      <c r="R3770" s="267">
        <v>2411.19</v>
      </c>
      <c r="S3770" s="267">
        <v>49690.51</v>
      </c>
      <c r="T3770" s="267">
        <v>52101.7</v>
      </c>
      <c r="U3770" s="268" t="s">
        <v>3945</v>
      </c>
      <c r="V3770" s="267" t="s">
        <v>944</v>
      </c>
    </row>
    <row r="3771" spans="1:22" hidden="1" x14ac:dyDescent="0.25">
      <c r="A3771" s="269">
        <v>43657</v>
      </c>
      <c r="B3771" s="270">
        <v>2019</v>
      </c>
      <c r="C3771" s="270">
        <v>2020</v>
      </c>
      <c r="D3771" s="270">
        <v>1</v>
      </c>
      <c r="E3771" s="270">
        <v>1</v>
      </c>
      <c r="F3771" s="270" t="s">
        <v>944</v>
      </c>
      <c r="G3771" s="270" t="s">
        <v>3926</v>
      </c>
      <c r="H3771" s="270" t="s">
        <v>8302</v>
      </c>
      <c r="I3771" s="270" t="s">
        <v>3008</v>
      </c>
      <c r="J3771" s="270" t="s">
        <v>3928</v>
      </c>
      <c r="K3771" s="270">
        <v>6461</v>
      </c>
      <c r="L3771" s="270">
        <v>150700</v>
      </c>
      <c r="M3771" s="270" t="s">
        <v>3943</v>
      </c>
      <c r="N3771" s="270" t="s">
        <v>3944</v>
      </c>
      <c r="O3771" s="270">
        <v>1010.63</v>
      </c>
      <c r="P3771" s="270" t="s">
        <v>3944</v>
      </c>
      <c r="Q3771" s="270" t="s">
        <v>3944</v>
      </c>
      <c r="R3771" s="270">
        <v>1010.63</v>
      </c>
      <c r="S3771" s="270">
        <v>10927.37</v>
      </c>
      <c r="T3771" s="270">
        <v>11938</v>
      </c>
      <c r="U3771" s="271" t="s">
        <v>3945</v>
      </c>
      <c r="V3771" s="267" t="s">
        <v>944</v>
      </c>
    </row>
    <row r="3772" spans="1:22" hidden="1" x14ac:dyDescent="0.25">
      <c r="A3772" s="266">
        <v>43657</v>
      </c>
      <c r="B3772" s="267">
        <v>2019</v>
      </c>
      <c r="C3772" s="267">
        <v>2020</v>
      </c>
      <c r="D3772" s="267">
        <v>1</v>
      </c>
      <c r="E3772" s="267">
        <v>1</v>
      </c>
      <c r="F3772" s="267" t="s">
        <v>944</v>
      </c>
      <c r="G3772" s="267" t="s">
        <v>3926</v>
      </c>
      <c r="H3772" s="267" t="s">
        <v>8303</v>
      </c>
      <c r="I3772" s="267" t="s">
        <v>4250</v>
      </c>
      <c r="J3772" s="267" t="s">
        <v>3928</v>
      </c>
      <c r="K3772" s="267">
        <v>6239</v>
      </c>
      <c r="L3772" s="267">
        <v>904500</v>
      </c>
      <c r="M3772" s="267" t="s">
        <v>3940</v>
      </c>
      <c r="N3772" s="267" t="s">
        <v>3944</v>
      </c>
      <c r="O3772" s="267">
        <v>755.97</v>
      </c>
      <c r="P3772" s="267" t="s">
        <v>3944</v>
      </c>
      <c r="Q3772" s="267" t="s">
        <v>3944</v>
      </c>
      <c r="R3772" s="267">
        <v>755.97</v>
      </c>
      <c r="S3772" s="267">
        <v>7896.03</v>
      </c>
      <c r="T3772" s="267">
        <v>8652</v>
      </c>
      <c r="U3772" s="268" t="s">
        <v>3945</v>
      </c>
      <c r="V3772" s="267" t="s">
        <v>944</v>
      </c>
    </row>
    <row r="3773" spans="1:22" hidden="1" x14ac:dyDescent="0.25">
      <c r="A3773" s="269">
        <v>43657</v>
      </c>
      <c r="B3773" s="270">
        <v>2019</v>
      </c>
      <c r="C3773" s="270">
        <v>2020</v>
      </c>
      <c r="D3773" s="270">
        <v>1</v>
      </c>
      <c r="E3773" s="270">
        <v>1</v>
      </c>
      <c r="F3773" s="270" t="s">
        <v>944</v>
      </c>
      <c r="G3773" s="270" t="s">
        <v>3926</v>
      </c>
      <c r="H3773" s="270" t="s">
        <v>8304</v>
      </c>
      <c r="I3773" s="270" t="s">
        <v>3999</v>
      </c>
      <c r="J3773" s="270" t="s">
        <v>3928</v>
      </c>
      <c r="K3773" s="270">
        <v>6451</v>
      </c>
      <c r="L3773" s="270">
        <v>171600</v>
      </c>
      <c r="M3773" s="270" t="s">
        <v>3940</v>
      </c>
      <c r="N3773" s="270" t="s">
        <v>3944</v>
      </c>
      <c r="O3773" s="270">
        <v>1366.12</v>
      </c>
      <c r="P3773" s="270" t="s">
        <v>3944</v>
      </c>
      <c r="Q3773" s="270" t="s">
        <v>3944</v>
      </c>
      <c r="R3773" s="270">
        <v>1366.12</v>
      </c>
      <c r="S3773" s="270">
        <v>14004.88</v>
      </c>
      <c r="T3773" s="270">
        <v>15371</v>
      </c>
      <c r="U3773" s="271" t="s">
        <v>3945</v>
      </c>
      <c r="V3773" s="267" t="s">
        <v>944</v>
      </c>
    </row>
    <row r="3774" spans="1:22" hidden="1" x14ac:dyDescent="0.25">
      <c r="A3774" s="266">
        <v>43657</v>
      </c>
      <c r="B3774" s="267">
        <v>2019</v>
      </c>
      <c r="C3774" s="267">
        <v>2020</v>
      </c>
      <c r="D3774" s="267">
        <v>1</v>
      </c>
      <c r="E3774" s="267">
        <v>1</v>
      </c>
      <c r="F3774" s="267" t="s">
        <v>944</v>
      </c>
      <c r="G3774" s="267" t="s">
        <v>3926</v>
      </c>
      <c r="H3774" s="267" t="s">
        <v>8305</v>
      </c>
      <c r="I3774" s="267" t="s">
        <v>5183</v>
      </c>
      <c r="J3774" s="267" t="s">
        <v>3928</v>
      </c>
      <c r="K3774" s="267">
        <v>6255</v>
      </c>
      <c r="L3774" s="267">
        <v>900200</v>
      </c>
      <c r="M3774" s="267" t="s">
        <v>3935</v>
      </c>
      <c r="N3774" s="267" t="s">
        <v>3944</v>
      </c>
      <c r="O3774" s="267">
        <v>2472.16</v>
      </c>
      <c r="P3774" s="267" t="s">
        <v>3944</v>
      </c>
      <c r="Q3774" s="267" t="s">
        <v>3944</v>
      </c>
      <c r="R3774" s="267">
        <v>2472.16</v>
      </c>
      <c r="S3774" s="267">
        <v>20064.84</v>
      </c>
      <c r="T3774" s="267">
        <v>22537</v>
      </c>
      <c r="U3774" s="268" t="s">
        <v>3945</v>
      </c>
      <c r="V3774" s="267" t="s">
        <v>944</v>
      </c>
    </row>
    <row r="3775" spans="1:22" hidden="1" x14ac:dyDescent="0.25">
      <c r="A3775" s="269">
        <v>43657</v>
      </c>
      <c r="B3775" s="270">
        <v>2019</v>
      </c>
      <c r="C3775" s="270">
        <v>2020</v>
      </c>
      <c r="D3775" s="270">
        <v>1</v>
      </c>
      <c r="E3775" s="270">
        <v>1</v>
      </c>
      <c r="F3775" s="270" t="s">
        <v>944</v>
      </c>
      <c r="G3775" s="270" t="s">
        <v>3926</v>
      </c>
      <c r="H3775" s="270" t="s">
        <v>8306</v>
      </c>
      <c r="I3775" s="270" t="s">
        <v>3026</v>
      </c>
      <c r="J3775" s="270" t="s">
        <v>3928</v>
      </c>
      <c r="K3775" s="270">
        <v>6471</v>
      </c>
      <c r="L3775" s="270">
        <v>186100</v>
      </c>
      <c r="M3775" s="270" t="s">
        <v>3935</v>
      </c>
      <c r="N3775" s="270" t="s">
        <v>3944</v>
      </c>
      <c r="O3775" s="270">
        <v>1659.6</v>
      </c>
      <c r="P3775" s="270" t="s">
        <v>3944</v>
      </c>
      <c r="Q3775" s="270" t="s">
        <v>3944</v>
      </c>
      <c r="R3775" s="270">
        <v>1659.6</v>
      </c>
      <c r="S3775" s="270">
        <v>23857.9</v>
      </c>
      <c r="T3775" s="270">
        <v>25517.5</v>
      </c>
      <c r="U3775" s="271" t="s">
        <v>3945</v>
      </c>
      <c r="V3775" s="267" t="s">
        <v>944</v>
      </c>
    </row>
    <row r="3776" spans="1:22" hidden="1" x14ac:dyDescent="0.25">
      <c r="A3776" s="266">
        <v>43657</v>
      </c>
      <c r="B3776" s="267">
        <v>2019</v>
      </c>
      <c r="C3776" s="267">
        <v>2020</v>
      </c>
      <c r="D3776" s="267">
        <v>1</v>
      </c>
      <c r="E3776" s="267">
        <v>1</v>
      </c>
      <c r="F3776" s="267" t="s">
        <v>944</v>
      </c>
      <c r="G3776" s="267" t="s">
        <v>3926</v>
      </c>
      <c r="H3776" s="267" t="s">
        <v>8307</v>
      </c>
      <c r="I3776" s="267" t="s">
        <v>3968</v>
      </c>
      <c r="J3776" s="267" t="s">
        <v>3928</v>
      </c>
      <c r="K3776" s="267">
        <v>6040</v>
      </c>
      <c r="L3776" s="267">
        <v>515101</v>
      </c>
      <c r="M3776" s="267" t="s">
        <v>3935</v>
      </c>
      <c r="N3776" s="267" t="s">
        <v>3944</v>
      </c>
      <c r="O3776" s="267">
        <v>1367.17</v>
      </c>
      <c r="P3776" s="267" t="s">
        <v>3944</v>
      </c>
      <c r="Q3776" s="267" t="s">
        <v>3944</v>
      </c>
      <c r="R3776" s="267">
        <v>1367.17</v>
      </c>
      <c r="S3776" s="267">
        <v>9990.83</v>
      </c>
      <c r="T3776" s="267">
        <v>11358</v>
      </c>
      <c r="U3776" s="268" t="s">
        <v>3945</v>
      </c>
      <c r="V3776" s="267" t="s">
        <v>944</v>
      </c>
    </row>
    <row r="3777" spans="1:22" hidden="1" x14ac:dyDescent="0.25">
      <c r="A3777" s="269">
        <v>43657</v>
      </c>
      <c r="B3777" s="270">
        <v>2019</v>
      </c>
      <c r="C3777" s="270">
        <v>2020</v>
      </c>
      <c r="D3777" s="270">
        <v>1</v>
      </c>
      <c r="E3777" s="270">
        <v>1</v>
      </c>
      <c r="F3777" s="270" t="s">
        <v>944</v>
      </c>
      <c r="G3777" s="270" t="s">
        <v>3926</v>
      </c>
      <c r="H3777" s="270" t="s">
        <v>8308</v>
      </c>
      <c r="I3777" s="270" t="s">
        <v>956</v>
      </c>
      <c r="J3777" s="270" t="s">
        <v>3928</v>
      </c>
      <c r="K3777" s="270">
        <v>6615</v>
      </c>
      <c r="L3777" s="270">
        <v>80700</v>
      </c>
      <c r="M3777" s="270" t="s">
        <v>3935</v>
      </c>
      <c r="N3777" s="270" t="s">
        <v>3944</v>
      </c>
      <c r="O3777" s="270">
        <v>1720.99</v>
      </c>
      <c r="P3777" s="270" t="s">
        <v>3944</v>
      </c>
      <c r="Q3777" s="270" t="s">
        <v>3944</v>
      </c>
      <c r="R3777" s="270">
        <v>1720.99</v>
      </c>
      <c r="S3777" s="270">
        <v>25793.25</v>
      </c>
      <c r="T3777" s="270">
        <v>27514.240000000002</v>
      </c>
      <c r="U3777" s="271" t="s">
        <v>3945</v>
      </c>
      <c r="V3777" s="267" t="s">
        <v>944</v>
      </c>
    </row>
    <row r="3778" spans="1:22" hidden="1" x14ac:dyDescent="0.25">
      <c r="A3778" s="266">
        <v>43657</v>
      </c>
      <c r="B3778" s="267">
        <v>2019</v>
      </c>
      <c r="C3778" s="267">
        <v>2020</v>
      </c>
      <c r="D3778" s="267">
        <v>1</v>
      </c>
      <c r="E3778" s="267">
        <v>1</v>
      </c>
      <c r="F3778" s="267" t="s">
        <v>944</v>
      </c>
      <c r="G3778" s="267" t="s">
        <v>3926</v>
      </c>
      <c r="H3778" s="267" t="s">
        <v>8309</v>
      </c>
      <c r="I3778" s="267" t="s">
        <v>3939</v>
      </c>
      <c r="J3778" s="267" t="s">
        <v>3928</v>
      </c>
      <c r="K3778" s="267">
        <v>6512</v>
      </c>
      <c r="L3778" s="267">
        <v>180300</v>
      </c>
      <c r="M3778" s="267">
        <v>-60</v>
      </c>
      <c r="N3778" s="267" t="s">
        <v>3944</v>
      </c>
      <c r="O3778" s="267">
        <v>1000.27</v>
      </c>
      <c r="P3778" s="267" t="s">
        <v>3944</v>
      </c>
      <c r="Q3778" s="267" t="s">
        <v>3944</v>
      </c>
      <c r="R3778" s="267">
        <v>1000.27</v>
      </c>
      <c r="S3778" s="267">
        <v>21394.82</v>
      </c>
      <c r="T3778" s="267">
        <v>22395.09</v>
      </c>
      <c r="U3778" s="268" t="s">
        <v>3945</v>
      </c>
      <c r="V3778" s="267" t="s">
        <v>944</v>
      </c>
    </row>
    <row r="3779" spans="1:22" hidden="1" x14ac:dyDescent="0.25">
      <c r="A3779" s="269">
        <v>43657</v>
      </c>
      <c r="B3779" s="270">
        <v>2019</v>
      </c>
      <c r="C3779" s="270">
        <v>2020</v>
      </c>
      <c r="D3779" s="270">
        <v>1</v>
      </c>
      <c r="E3779" s="270">
        <v>1</v>
      </c>
      <c r="F3779" s="270" t="s">
        <v>944</v>
      </c>
      <c r="G3779" s="270" t="s">
        <v>3926</v>
      </c>
      <c r="H3779" s="270" t="s">
        <v>8310</v>
      </c>
      <c r="I3779" s="270" t="s">
        <v>3025</v>
      </c>
      <c r="J3779" s="270" t="s">
        <v>3928</v>
      </c>
      <c r="K3779" s="270">
        <v>6473</v>
      </c>
      <c r="L3779" s="270">
        <v>167300</v>
      </c>
      <c r="M3779" s="270" t="s">
        <v>3943</v>
      </c>
      <c r="N3779" s="270" t="s">
        <v>3944</v>
      </c>
      <c r="O3779" s="270">
        <v>1589.07</v>
      </c>
      <c r="P3779" s="270" t="s">
        <v>3944</v>
      </c>
      <c r="Q3779" s="270" t="s">
        <v>3944</v>
      </c>
      <c r="R3779" s="270">
        <v>1589.07</v>
      </c>
      <c r="S3779" s="270">
        <v>23808.69</v>
      </c>
      <c r="T3779" s="270">
        <v>25397.759999999998</v>
      </c>
      <c r="U3779" s="271" t="s">
        <v>3945</v>
      </c>
      <c r="V3779" s="267" t="s">
        <v>944</v>
      </c>
    </row>
    <row r="3780" spans="1:22" hidden="1" x14ac:dyDescent="0.25">
      <c r="A3780" s="266">
        <v>43657</v>
      </c>
      <c r="B3780" s="267">
        <v>2019</v>
      </c>
      <c r="C3780" s="267">
        <v>2020</v>
      </c>
      <c r="D3780" s="267">
        <v>1</v>
      </c>
      <c r="E3780" s="267">
        <v>1</v>
      </c>
      <c r="F3780" s="267" t="s">
        <v>944</v>
      </c>
      <c r="G3780" s="267" t="s">
        <v>3926</v>
      </c>
      <c r="H3780" s="267" t="s">
        <v>8311</v>
      </c>
      <c r="I3780" s="267" t="s">
        <v>934</v>
      </c>
      <c r="J3780" s="267" t="s">
        <v>3928</v>
      </c>
      <c r="K3780" s="267">
        <v>6604</v>
      </c>
      <c r="L3780" s="267">
        <v>72600</v>
      </c>
      <c r="M3780" s="267" t="s">
        <v>3940</v>
      </c>
      <c r="N3780" s="267" t="s">
        <v>3944</v>
      </c>
      <c r="O3780" s="267">
        <v>3117.98</v>
      </c>
      <c r="P3780" s="267" t="s">
        <v>3944</v>
      </c>
      <c r="Q3780" s="267" t="s">
        <v>3944</v>
      </c>
      <c r="R3780" s="267">
        <v>3117.98</v>
      </c>
      <c r="S3780" s="267">
        <v>41926.46</v>
      </c>
      <c r="T3780" s="267">
        <v>45044.44</v>
      </c>
      <c r="U3780" s="268" t="s">
        <v>3945</v>
      </c>
      <c r="V3780" s="267" t="s">
        <v>944</v>
      </c>
    </row>
    <row r="3781" spans="1:22" hidden="1" x14ac:dyDescent="0.25">
      <c r="A3781" s="269">
        <v>43657</v>
      </c>
      <c r="B3781" s="270">
        <v>2019</v>
      </c>
      <c r="C3781" s="270">
        <v>2020</v>
      </c>
      <c r="D3781" s="270">
        <v>1</v>
      </c>
      <c r="E3781" s="270">
        <v>1</v>
      </c>
      <c r="F3781" s="270" t="s">
        <v>944</v>
      </c>
      <c r="G3781" s="270" t="s">
        <v>3926</v>
      </c>
      <c r="H3781" s="270" t="s">
        <v>8312</v>
      </c>
      <c r="I3781" s="270" t="s">
        <v>3939</v>
      </c>
      <c r="J3781" s="270" t="s">
        <v>3928</v>
      </c>
      <c r="K3781" s="270">
        <v>6512</v>
      </c>
      <c r="L3781" s="270">
        <v>180100</v>
      </c>
      <c r="M3781" s="270" t="s">
        <v>3940</v>
      </c>
      <c r="N3781" s="270" t="s">
        <v>3944</v>
      </c>
      <c r="O3781" s="270">
        <v>1844.36</v>
      </c>
      <c r="P3781" s="270" t="s">
        <v>3944</v>
      </c>
      <c r="Q3781" s="270" t="s">
        <v>3944</v>
      </c>
      <c r="R3781" s="270">
        <v>1844.36</v>
      </c>
      <c r="S3781" s="270">
        <v>29902.84</v>
      </c>
      <c r="T3781" s="270">
        <v>31747.200000000001</v>
      </c>
      <c r="U3781" s="271" t="s">
        <v>3945</v>
      </c>
      <c r="V3781" s="267" t="s">
        <v>944</v>
      </c>
    </row>
    <row r="3782" spans="1:22" hidden="1" x14ac:dyDescent="0.25">
      <c r="A3782" s="266">
        <v>43657</v>
      </c>
      <c r="B3782" s="267">
        <v>2019</v>
      </c>
      <c r="C3782" s="267">
        <v>2020</v>
      </c>
      <c r="D3782" s="267">
        <v>1</v>
      </c>
      <c r="E3782" s="267">
        <v>1</v>
      </c>
      <c r="F3782" s="267" t="s">
        <v>944</v>
      </c>
      <c r="G3782" s="267" t="s">
        <v>3926</v>
      </c>
      <c r="H3782" s="267" t="s">
        <v>8313</v>
      </c>
      <c r="I3782" s="267" t="s">
        <v>4306</v>
      </c>
      <c r="J3782" s="267" t="s">
        <v>3928</v>
      </c>
      <c r="K3782" s="267">
        <v>6716</v>
      </c>
      <c r="L3782" s="267">
        <v>361200</v>
      </c>
      <c r="M3782" s="267" t="s">
        <v>3960</v>
      </c>
      <c r="N3782" s="267" t="s">
        <v>3944</v>
      </c>
      <c r="O3782" s="267">
        <v>2200.2800000000002</v>
      </c>
      <c r="P3782" s="267" t="s">
        <v>3944</v>
      </c>
      <c r="Q3782" s="267" t="s">
        <v>3944</v>
      </c>
      <c r="R3782" s="267">
        <v>2200.2800000000002</v>
      </c>
      <c r="S3782" s="267">
        <v>14502.72</v>
      </c>
      <c r="T3782" s="267">
        <v>16703</v>
      </c>
      <c r="U3782" s="268" t="s">
        <v>3945</v>
      </c>
      <c r="V3782" s="267" t="s">
        <v>944</v>
      </c>
    </row>
    <row r="3783" spans="1:22" hidden="1" x14ac:dyDescent="0.25">
      <c r="A3783" s="269">
        <v>43657</v>
      </c>
      <c r="B3783" s="270">
        <v>2019</v>
      </c>
      <c r="C3783" s="270">
        <v>2020</v>
      </c>
      <c r="D3783" s="270">
        <v>1</v>
      </c>
      <c r="E3783" s="270">
        <v>1</v>
      </c>
      <c r="F3783" s="270" t="s">
        <v>944</v>
      </c>
      <c r="G3783" s="270" t="s">
        <v>3926</v>
      </c>
      <c r="H3783" s="270" t="s">
        <v>8314</v>
      </c>
      <c r="I3783" s="270" t="s">
        <v>4407</v>
      </c>
      <c r="J3783" s="270" t="s">
        <v>3928</v>
      </c>
      <c r="K3783" s="270">
        <v>6238</v>
      </c>
      <c r="L3783" s="270">
        <v>850100</v>
      </c>
      <c r="M3783" s="270" t="s">
        <v>3960</v>
      </c>
      <c r="N3783" s="270" t="s">
        <v>3944</v>
      </c>
      <c r="O3783" s="270">
        <v>4161.1899999999996</v>
      </c>
      <c r="P3783" s="270" t="s">
        <v>3944</v>
      </c>
      <c r="Q3783" s="270" t="s">
        <v>3944</v>
      </c>
      <c r="R3783" s="270">
        <v>4161.1899999999996</v>
      </c>
      <c r="S3783" s="270">
        <v>58623.72</v>
      </c>
      <c r="T3783" s="270">
        <v>62784.91</v>
      </c>
      <c r="U3783" s="271" t="s">
        <v>3945</v>
      </c>
      <c r="V3783" s="267" t="s">
        <v>944</v>
      </c>
    </row>
    <row r="3784" spans="1:22" hidden="1" x14ac:dyDescent="0.25">
      <c r="A3784" s="266">
        <v>43657</v>
      </c>
      <c r="B3784" s="267">
        <v>2019</v>
      </c>
      <c r="C3784" s="267">
        <v>2020</v>
      </c>
      <c r="D3784" s="267">
        <v>1</v>
      </c>
      <c r="E3784" s="267">
        <v>1</v>
      </c>
      <c r="F3784" s="267" t="s">
        <v>944</v>
      </c>
      <c r="G3784" s="267" t="s">
        <v>3926</v>
      </c>
      <c r="H3784" s="267" t="s">
        <v>8315</v>
      </c>
      <c r="I3784" s="267" t="s">
        <v>3009</v>
      </c>
      <c r="J3784" s="267" t="s">
        <v>3928</v>
      </c>
      <c r="K3784" s="267">
        <v>6484</v>
      </c>
      <c r="L3784" s="267">
        <v>110600</v>
      </c>
      <c r="M3784" s="267" t="s">
        <v>3943</v>
      </c>
      <c r="N3784" s="267" t="s">
        <v>3944</v>
      </c>
      <c r="O3784" s="267">
        <v>3564.3</v>
      </c>
      <c r="P3784" s="267" t="s">
        <v>3944</v>
      </c>
      <c r="Q3784" s="267" t="s">
        <v>3944</v>
      </c>
      <c r="R3784" s="267">
        <v>3564.3</v>
      </c>
      <c r="S3784" s="267">
        <v>57598.3</v>
      </c>
      <c r="T3784" s="267">
        <v>61162.6</v>
      </c>
      <c r="U3784" s="268" t="s">
        <v>3945</v>
      </c>
      <c r="V3784" s="267" t="s">
        <v>944</v>
      </c>
    </row>
    <row r="3785" spans="1:22" hidden="1" x14ac:dyDescent="0.25">
      <c r="A3785" s="269">
        <v>43657</v>
      </c>
      <c r="B3785" s="270">
        <v>2019</v>
      </c>
      <c r="C3785" s="270">
        <v>2020</v>
      </c>
      <c r="D3785" s="270">
        <v>1</v>
      </c>
      <c r="E3785" s="270">
        <v>1</v>
      </c>
      <c r="F3785" s="270" t="s">
        <v>944</v>
      </c>
      <c r="G3785" s="270" t="s">
        <v>3926</v>
      </c>
      <c r="H3785" s="270" t="s">
        <v>8316</v>
      </c>
      <c r="I3785" s="270" t="s">
        <v>4037</v>
      </c>
      <c r="J3785" s="270" t="s">
        <v>3928</v>
      </c>
      <c r="K3785" s="270">
        <v>6811</v>
      </c>
      <c r="L3785" s="270">
        <v>211300</v>
      </c>
      <c r="M3785" s="270" t="s">
        <v>3943</v>
      </c>
      <c r="N3785" s="270" t="s">
        <v>3944</v>
      </c>
      <c r="O3785" s="270">
        <v>1244.5999999999999</v>
      </c>
      <c r="P3785" s="270" t="s">
        <v>3944</v>
      </c>
      <c r="Q3785" s="270" t="s">
        <v>3944</v>
      </c>
      <c r="R3785" s="270">
        <v>1244.5999999999999</v>
      </c>
      <c r="S3785" s="270">
        <v>12691.4</v>
      </c>
      <c r="T3785" s="270">
        <v>13936</v>
      </c>
      <c r="U3785" s="271" t="s">
        <v>3945</v>
      </c>
      <c r="V3785" s="267" t="s">
        <v>944</v>
      </c>
    </row>
    <row r="3786" spans="1:22" hidden="1" x14ac:dyDescent="0.25">
      <c r="A3786" s="266">
        <v>43658</v>
      </c>
      <c r="B3786" s="267">
        <v>2019</v>
      </c>
      <c r="C3786" s="267">
        <v>2020</v>
      </c>
      <c r="D3786" s="267">
        <v>1</v>
      </c>
      <c r="E3786" s="267">
        <v>1</v>
      </c>
      <c r="F3786" s="267" t="s">
        <v>944</v>
      </c>
      <c r="G3786" s="267" t="s">
        <v>3926</v>
      </c>
      <c r="H3786" s="267" t="s">
        <v>8317</v>
      </c>
      <c r="I3786" s="267" t="s">
        <v>4490</v>
      </c>
      <c r="J3786" s="267" t="s">
        <v>3928</v>
      </c>
      <c r="K3786" s="267">
        <v>6426</v>
      </c>
      <c r="L3786" s="267">
        <v>630100</v>
      </c>
      <c r="M3786" s="267" t="s">
        <v>3960</v>
      </c>
      <c r="N3786" s="267" t="s">
        <v>8318</v>
      </c>
      <c r="O3786" s="267">
        <v>0</v>
      </c>
      <c r="P3786" s="267" t="s">
        <v>3930</v>
      </c>
      <c r="Q3786" s="267" t="s">
        <v>3930</v>
      </c>
      <c r="R3786" s="267">
        <v>0</v>
      </c>
      <c r="S3786" s="267">
        <v>9864</v>
      </c>
      <c r="T3786" s="267">
        <v>9864</v>
      </c>
      <c r="U3786" s="268" t="s">
        <v>3937</v>
      </c>
      <c r="V3786" s="267" t="s">
        <v>944</v>
      </c>
    </row>
    <row r="3787" spans="1:22" hidden="1" x14ac:dyDescent="0.25">
      <c r="A3787" s="269">
        <v>43658</v>
      </c>
      <c r="B3787" s="270">
        <v>2019</v>
      </c>
      <c r="C3787" s="270">
        <v>2020</v>
      </c>
      <c r="D3787" s="270">
        <v>1</v>
      </c>
      <c r="E3787" s="270">
        <v>1</v>
      </c>
      <c r="F3787" s="270" t="s">
        <v>944</v>
      </c>
      <c r="G3787" s="270" t="s">
        <v>3926</v>
      </c>
      <c r="H3787" s="270" t="s">
        <v>8319</v>
      </c>
      <c r="I3787" s="270" t="s">
        <v>3008</v>
      </c>
      <c r="J3787" s="270" t="s">
        <v>3928</v>
      </c>
      <c r="K3787" s="270">
        <v>6460</v>
      </c>
      <c r="L3787" s="270">
        <v>150400</v>
      </c>
      <c r="M3787" s="270" t="s">
        <v>3940</v>
      </c>
      <c r="N3787" s="270" t="s">
        <v>8320</v>
      </c>
      <c r="O3787" s="270">
        <v>0</v>
      </c>
      <c r="P3787" s="270" t="s">
        <v>3930</v>
      </c>
      <c r="Q3787" s="270" t="s">
        <v>3930</v>
      </c>
      <c r="R3787" s="270">
        <v>0</v>
      </c>
      <c r="S3787" s="270">
        <v>9784.2000000000007</v>
      </c>
      <c r="T3787" s="270">
        <v>9784.2000000000007</v>
      </c>
      <c r="U3787" s="271" t="s">
        <v>3937</v>
      </c>
      <c r="V3787" s="267" t="s">
        <v>944</v>
      </c>
    </row>
    <row r="3788" spans="1:22" hidden="1" x14ac:dyDescent="0.25">
      <c r="A3788" s="266">
        <v>43658</v>
      </c>
      <c r="B3788" s="267">
        <v>2019</v>
      </c>
      <c r="C3788" s="267">
        <v>2020</v>
      </c>
      <c r="D3788" s="267">
        <v>1</v>
      </c>
      <c r="E3788" s="267">
        <v>1</v>
      </c>
      <c r="F3788" s="267" t="s">
        <v>944</v>
      </c>
      <c r="G3788" s="267" t="s">
        <v>3926</v>
      </c>
      <c r="H3788" s="267" t="s">
        <v>8321</v>
      </c>
      <c r="I3788" s="267" t="s">
        <v>934</v>
      </c>
      <c r="J3788" s="267" t="s">
        <v>3928</v>
      </c>
      <c r="K3788" s="267">
        <v>6606</v>
      </c>
      <c r="L3788" s="267">
        <v>257200</v>
      </c>
      <c r="M3788" s="267">
        <v>-60</v>
      </c>
      <c r="N3788" s="267" t="s">
        <v>3983</v>
      </c>
      <c r="O3788" s="267">
        <v>1328.99</v>
      </c>
      <c r="P3788" s="267" t="s">
        <v>3930</v>
      </c>
      <c r="Q3788" s="267" t="s">
        <v>3931</v>
      </c>
      <c r="R3788" s="267">
        <v>6328.99</v>
      </c>
      <c r="S3788" s="267">
        <v>16504</v>
      </c>
      <c r="T3788" s="267">
        <v>22832.99</v>
      </c>
      <c r="U3788" s="268" t="s">
        <v>3932</v>
      </c>
      <c r="V3788" s="267" t="s">
        <v>944</v>
      </c>
    </row>
    <row r="3789" spans="1:22" hidden="1" x14ac:dyDescent="0.25">
      <c r="A3789" s="269">
        <v>43658</v>
      </c>
      <c r="B3789" s="270">
        <v>2019</v>
      </c>
      <c r="C3789" s="270">
        <v>2020</v>
      </c>
      <c r="D3789" s="270">
        <v>1</v>
      </c>
      <c r="E3789" s="270">
        <v>1</v>
      </c>
      <c r="F3789" s="270" t="s">
        <v>944</v>
      </c>
      <c r="G3789" s="270" t="s">
        <v>3926</v>
      </c>
      <c r="H3789" s="270" t="s">
        <v>8322</v>
      </c>
      <c r="I3789" s="270" t="s">
        <v>4019</v>
      </c>
      <c r="J3789" s="270" t="s">
        <v>3928</v>
      </c>
      <c r="K3789" s="270">
        <v>6706</v>
      </c>
      <c r="L3789" s="270">
        <v>351500</v>
      </c>
      <c r="M3789" s="270" t="s">
        <v>3940</v>
      </c>
      <c r="N3789" s="270" t="s">
        <v>7124</v>
      </c>
      <c r="O3789" s="270">
        <v>3556.62</v>
      </c>
      <c r="P3789" s="270" t="s">
        <v>3930</v>
      </c>
      <c r="Q3789" s="270" t="s">
        <v>3931</v>
      </c>
      <c r="R3789" s="270">
        <v>8556.6200000000008</v>
      </c>
      <c r="S3789" s="270">
        <v>17356</v>
      </c>
      <c r="T3789" s="270">
        <v>25912.62</v>
      </c>
      <c r="U3789" s="271" t="s">
        <v>3932</v>
      </c>
      <c r="V3789" s="267" t="s">
        <v>944</v>
      </c>
    </row>
    <row r="3790" spans="1:22" hidden="1" x14ac:dyDescent="0.25">
      <c r="A3790" s="266">
        <v>43658</v>
      </c>
      <c r="B3790" s="267">
        <v>2019</v>
      </c>
      <c r="C3790" s="267">
        <v>2020</v>
      </c>
      <c r="D3790" s="267">
        <v>1</v>
      </c>
      <c r="E3790" s="267">
        <v>1</v>
      </c>
      <c r="F3790" s="267" t="s">
        <v>944</v>
      </c>
      <c r="G3790" s="267" t="s">
        <v>3926</v>
      </c>
      <c r="H3790" s="267" t="s">
        <v>8323</v>
      </c>
      <c r="I3790" s="267" t="s">
        <v>934</v>
      </c>
      <c r="J3790" s="267" t="s">
        <v>3928</v>
      </c>
      <c r="K3790" s="267">
        <v>6606</v>
      </c>
      <c r="L3790" s="267">
        <v>72300</v>
      </c>
      <c r="M3790" s="267" t="s">
        <v>3940</v>
      </c>
      <c r="N3790" s="267" t="s">
        <v>8324</v>
      </c>
      <c r="O3790" s="267">
        <v>0</v>
      </c>
      <c r="P3790" s="267" t="s">
        <v>3930</v>
      </c>
      <c r="Q3790" s="267" t="s">
        <v>3931</v>
      </c>
      <c r="R3790" s="267">
        <v>5000</v>
      </c>
      <c r="S3790" s="267">
        <v>20318</v>
      </c>
      <c r="T3790" s="267">
        <v>25318</v>
      </c>
      <c r="U3790" s="268" t="s">
        <v>3932</v>
      </c>
      <c r="V3790" s="267" t="s">
        <v>944</v>
      </c>
    </row>
    <row r="3791" spans="1:22" hidden="1" x14ac:dyDescent="0.25">
      <c r="A3791" s="269">
        <v>43658</v>
      </c>
      <c r="B3791" s="270">
        <v>2019</v>
      </c>
      <c r="C3791" s="270">
        <v>2020</v>
      </c>
      <c r="D3791" s="270">
        <v>1</v>
      </c>
      <c r="E3791" s="270">
        <v>1</v>
      </c>
      <c r="F3791" s="270" t="s">
        <v>944</v>
      </c>
      <c r="G3791" s="270" t="s">
        <v>3926</v>
      </c>
      <c r="H3791" s="270" t="s">
        <v>8325</v>
      </c>
      <c r="I3791" s="270" t="s">
        <v>4019</v>
      </c>
      <c r="J3791" s="270" t="s">
        <v>3928</v>
      </c>
      <c r="K3791" s="270">
        <v>6708</v>
      </c>
      <c r="L3791" s="270">
        <v>351602</v>
      </c>
      <c r="M3791" s="270" t="s">
        <v>3940</v>
      </c>
      <c r="N3791" s="270" t="s">
        <v>8326</v>
      </c>
      <c r="O3791" s="270">
        <v>1156.44</v>
      </c>
      <c r="P3791" s="270" t="s">
        <v>3930</v>
      </c>
      <c r="Q3791" s="270" t="s">
        <v>3931</v>
      </c>
      <c r="R3791" s="270">
        <v>6156.44</v>
      </c>
      <c r="S3791" s="270">
        <v>21418</v>
      </c>
      <c r="T3791" s="270">
        <v>27574.44</v>
      </c>
      <c r="U3791" s="271" t="s">
        <v>3932</v>
      </c>
      <c r="V3791" s="267" t="s">
        <v>944</v>
      </c>
    </row>
    <row r="3792" spans="1:22" hidden="1" x14ac:dyDescent="0.25">
      <c r="A3792" s="266">
        <v>43658</v>
      </c>
      <c r="B3792" s="267">
        <v>2019</v>
      </c>
      <c r="C3792" s="267">
        <v>2020</v>
      </c>
      <c r="D3792" s="267">
        <v>1</v>
      </c>
      <c r="E3792" s="267">
        <v>1</v>
      </c>
      <c r="F3792" s="267" t="s">
        <v>944</v>
      </c>
      <c r="G3792" s="267" t="s">
        <v>3926</v>
      </c>
      <c r="H3792" s="267" t="s">
        <v>8327</v>
      </c>
      <c r="I3792" s="267" t="s">
        <v>4731</v>
      </c>
      <c r="J3792" s="267" t="s">
        <v>3928</v>
      </c>
      <c r="K3792" s="267">
        <v>6478</v>
      </c>
      <c r="L3792" s="267">
        <v>346101</v>
      </c>
      <c r="M3792" s="267" t="s">
        <v>3943</v>
      </c>
      <c r="N3792" s="267" t="s">
        <v>3944</v>
      </c>
      <c r="O3792" s="267">
        <v>4793</v>
      </c>
      <c r="P3792" s="267" t="s">
        <v>3944</v>
      </c>
      <c r="Q3792" s="267" t="s">
        <v>3944</v>
      </c>
      <c r="R3792" s="267">
        <v>4793</v>
      </c>
      <c r="S3792" s="267">
        <v>28995</v>
      </c>
      <c r="T3792" s="267">
        <v>33788</v>
      </c>
      <c r="U3792" s="268" t="s">
        <v>3945</v>
      </c>
      <c r="V3792" s="267" t="s">
        <v>944</v>
      </c>
    </row>
    <row r="3793" spans="1:22" hidden="1" x14ac:dyDescent="0.25">
      <c r="A3793" s="269">
        <v>43658</v>
      </c>
      <c r="B3793" s="270">
        <v>2019</v>
      </c>
      <c r="C3793" s="270">
        <v>2020</v>
      </c>
      <c r="D3793" s="270">
        <v>1</v>
      </c>
      <c r="E3793" s="270">
        <v>1</v>
      </c>
      <c r="F3793" s="270" t="s">
        <v>944</v>
      </c>
      <c r="G3793" s="270" t="s">
        <v>3926</v>
      </c>
      <c r="H3793" s="270" t="s">
        <v>8328</v>
      </c>
      <c r="I3793" s="270" t="s">
        <v>4124</v>
      </c>
      <c r="J3793" s="270" t="s">
        <v>3928</v>
      </c>
      <c r="K3793" s="270">
        <v>6470</v>
      </c>
      <c r="L3793" s="270">
        <v>230300</v>
      </c>
      <c r="M3793" s="270" t="s">
        <v>3943</v>
      </c>
      <c r="N3793" s="270" t="s">
        <v>3944</v>
      </c>
      <c r="O3793" s="270">
        <v>5888</v>
      </c>
      <c r="P3793" s="270" t="s">
        <v>3944</v>
      </c>
      <c r="Q3793" s="270" t="s">
        <v>3944</v>
      </c>
      <c r="R3793" s="270">
        <v>5888</v>
      </c>
      <c r="S3793" s="270">
        <v>47835.25</v>
      </c>
      <c r="T3793" s="270">
        <v>53723.25</v>
      </c>
      <c r="U3793" s="271" t="s">
        <v>3945</v>
      </c>
      <c r="V3793" s="267" t="s">
        <v>944</v>
      </c>
    </row>
    <row r="3794" spans="1:22" hidden="1" x14ac:dyDescent="0.25">
      <c r="A3794" s="266">
        <v>43658</v>
      </c>
      <c r="B3794" s="267">
        <v>2019</v>
      </c>
      <c r="C3794" s="267">
        <v>2020</v>
      </c>
      <c r="D3794" s="267">
        <v>1</v>
      </c>
      <c r="E3794" s="267">
        <v>1</v>
      </c>
      <c r="F3794" s="267" t="s">
        <v>944</v>
      </c>
      <c r="G3794" s="267" t="s">
        <v>3926</v>
      </c>
      <c r="H3794" s="267" t="s">
        <v>8329</v>
      </c>
      <c r="I3794" s="267" t="s">
        <v>3008</v>
      </c>
      <c r="J3794" s="267" t="s">
        <v>3928</v>
      </c>
      <c r="K3794" s="267">
        <v>6461</v>
      </c>
      <c r="L3794" s="267">
        <v>150700</v>
      </c>
      <c r="M3794" s="267" t="s">
        <v>3943</v>
      </c>
      <c r="N3794" s="267" t="s">
        <v>3944</v>
      </c>
      <c r="O3794" s="267">
        <v>2426</v>
      </c>
      <c r="P3794" s="267" t="s">
        <v>3944</v>
      </c>
      <c r="Q3794" s="267" t="s">
        <v>3944</v>
      </c>
      <c r="R3794" s="267">
        <v>2426</v>
      </c>
      <c r="S3794" s="267">
        <v>20197</v>
      </c>
      <c r="T3794" s="267">
        <v>22623</v>
      </c>
      <c r="U3794" s="268" t="s">
        <v>3945</v>
      </c>
      <c r="V3794" s="267" t="s">
        <v>944</v>
      </c>
    </row>
    <row r="3795" spans="1:22" hidden="1" x14ac:dyDescent="0.25">
      <c r="A3795" s="269">
        <v>43658</v>
      </c>
      <c r="B3795" s="270">
        <v>2019</v>
      </c>
      <c r="C3795" s="270">
        <v>2020</v>
      </c>
      <c r="D3795" s="270">
        <v>1</v>
      </c>
      <c r="E3795" s="270">
        <v>1</v>
      </c>
      <c r="F3795" s="270" t="s">
        <v>944</v>
      </c>
      <c r="G3795" s="270" t="s">
        <v>3926</v>
      </c>
      <c r="H3795" s="270" t="s">
        <v>8330</v>
      </c>
      <c r="I3795" s="270" t="s">
        <v>956</v>
      </c>
      <c r="J3795" s="270" t="s">
        <v>3928</v>
      </c>
      <c r="K3795" s="270">
        <v>6614</v>
      </c>
      <c r="L3795" s="270">
        <v>81300</v>
      </c>
      <c r="M3795" s="270" t="s">
        <v>3935</v>
      </c>
      <c r="N3795" s="270" t="s">
        <v>3944</v>
      </c>
      <c r="O3795" s="270">
        <v>1828</v>
      </c>
      <c r="P3795" s="270" t="s">
        <v>3944</v>
      </c>
      <c r="Q3795" s="270" t="s">
        <v>3944</v>
      </c>
      <c r="R3795" s="270">
        <v>1828</v>
      </c>
      <c r="S3795" s="270">
        <v>19450</v>
      </c>
      <c r="T3795" s="270">
        <v>21278</v>
      </c>
      <c r="U3795" s="271" t="s">
        <v>3945</v>
      </c>
      <c r="V3795" s="267" t="s">
        <v>944</v>
      </c>
    </row>
    <row r="3796" spans="1:22" hidden="1" x14ac:dyDescent="0.25">
      <c r="A3796" s="266">
        <v>43658</v>
      </c>
      <c r="B3796" s="267">
        <v>2019</v>
      </c>
      <c r="C3796" s="267">
        <v>2020</v>
      </c>
      <c r="D3796" s="267">
        <v>1</v>
      </c>
      <c r="E3796" s="267">
        <v>1</v>
      </c>
      <c r="F3796" s="267" t="s">
        <v>944</v>
      </c>
      <c r="G3796" s="267" t="s">
        <v>3926</v>
      </c>
      <c r="H3796" s="267" t="s">
        <v>8331</v>
      </c>
      <c r="I3796" s="267" t="s">
        <v>2987</v>
      </c>
      <c r="J3796" s="267" t="s">
        <v>3928</v>
      </c>
      <c r="K3796" s="267">
        <v>6611</v>
      </c>
      <c r="L3796" s="267">
        <v>90300</v>
      </c>
      <c r="M3796" s="267" t="s">
        <v>3943</v>
      </c>
      <c r="N3796" s="267" t="s">
        <v>3944</v>
      </c>
      <c r="O3796" s="267">
        <v>1698</v>
      </c>
      <c r="P3796" s="267" t="s">
        <v>3944</v>
      </c>
      <c r="Q3796" s="267" t="s">
        <v>3944</v>
      </c>
      <c r="R3796" s="267">
        <v>1698</v>
      </c>
      <c r="S3796" s="267">
        <v>16257</v>
      </c>
      <c r="T3796" s="267">
        <v>17955</v>
      </c>
      <c r="U3796" s="268" t="s">
        <v>3945</v>
      </c>
      <c r="V3796" s="267" t="s">
        <v>944</v>
      </c>
    </row>
    <row r="3797" spans="1:22" hidden="1" x14ac:dyDescent="0.25">
      <c r="A3797" s="269">
        <v>43658</v>
      </c>
      <c r="B3797" s="270">
        <v>2019</v>
      </c>
      <c r="C3797" s="270">
        <v>2020</v>
      </c>
      <c r="D3797" s="270">
        <v>1</v>
      </c>
      <c r="E3797" s="270">
        <v>1</v>
      </c>
      <c r="F3797" s="270" t="s">
        <v>944</v>
      </c>
      <c r="G3797" s="270" t="s">
        <v>3926</v>
      </c>
      <c r="H3797" s="270" t="s">
        <v>8332</v>
      </c>
      <c r="I3797" s="270" t="s">
        <v>4126</v>
      </c>
      <c r="J3797" s="270" t="s">
        <v>3928</v>
      </c>
      <c r="K3797" s="270">
        <v>6880</v>
      </c>
      <c r="L3797" s="270">
        <v>50200</v>
      </c>
      <c r="M3797" s="270" t="s">
        <v>3943</v>
      </c>
      <c r="N3797" s="270" t="s">
        <v>3944</v>
      </c>
      <c r="O3797" s="270">
        <v>4053</v>
      </c>
      <c r="P3797" s="270" t="s">
        <v>3944</v>
      </c>
      <c r="Q3797" s="270" t="s">
        <v>3944</v>
      </c>
      <c r="R3797" s="270">
        <v>4053</v>
      </c>
      <c r="S3797" s="270">
        <v>43932</v>
      </c>
      <c r="T3797" s="270">
        <v>47985</v>
      </c>
      <c r="U3797" s="271" t="s">
        <v>3945</v>
      </c>
      <c r="V3797" s="267" t="s">
        <v>944</v>
      </c>
    </row>
    <row r="3798" spans="1:22" hidden="1" x14ac:dyDescent="0.25">
      <c r="A3798" s="266">
        <v>43658</v>
      </c>
      <c r="B3798" s="267">
        <v>2019</v>
      </c>
      <c r="C3798" s="267">
        <v>2020</v>
      </c>
      <c r="D3798" s="267">
        <v>1</v>
      </c>
      <c r="E3798" s="267">
        <v>1</v>
      </c>
      <c r="F3798" s="267" t="s">
        <v>944</v>
      </c>
      <c r="G3798" s="267" t="s">
        <v>3926</v>
      </c>
      <c r="H3798" s="267" t="s">
        <v>8333</v>
      </c>
      <c r="I3798" s="267" t="s">
        <v>4126</v>
      </c>
      <c r="J3798" s="267" t="s">
        <v>3928</v>
      </c>
      <c r="K3798" s="267">
        <v>6880</v>
      </c>
      <c r="L3798" s="267">
        <v>50400</v>
      </c>
      <c r="M3798" s="267" t="s">
        <v>3943</v>
      </c>
      <c r="N3798" s="267" t="s">
        <v>3944</v>
      </c>
      <c r="O3798" s="267">
        <v>1304</v>
      </c>
      <c r="P3798" s="267" t="s">
        <v>3944</v>
      </c>
      <c r="Q3798" s="267" t="s">
        <v>3944</v>
      </c>
      <c r="R3798" s="267">
        <v>1304</v>
      </c>
      <c r="S3798" s="267">
        <v>21166.75</v>
      </c>
      <c r="T3798" s="267">
        <v>22470.75</v>
      </c>
      <c r="U3798" s="268" t="s">
        <v>3945</v>
      </c>
      <c r="V3798" s="267" t="s">
        <v>944</v>
      </c>
    </row>
    <row r="3799" spans="1:22" hidden="1" x14ac:dyDescent="0.25">
      <c r="A3799" s="269">
        <v>43658</v>
      </c>
      <c r="B3799" s="270">
        <v>2019</v>
      </c>
      <c r="C3799" s="270">
        <v>2020</v>
      </c>
      <c r="D3799" s="270">
        <v>1</v>
      </c>
      <c r="E3799" s="270">
        <v>1</v>
      </c>
      <c r="F3799" s="270" t="s">
        <v>944</v>
      </c>
      <c r="G3799" s="270" t="s">
        <v>3926</v>
      </c>
      <c r="H3799" s="270" t="s">
        <v>8334</v>
      </c>
      <c r="I3799" s="270" t="s">
        <v>4556</v>
      </c>
      <c r="J3799" s="270" t="s">
        <v>3928</v>
      </c>
      <c r="K3799" s="270">
        <v>6029</v>
      </c>
      <c r="L3799" s="270">
        <v>535100</v>
      </c>
      <c r="M3799" s="270" t="s">
        <v>3935</v>
      </c>
      <c r="N3799" s="270" t="s">
        <v>3944</v>
      </c>
      <c r="O3799" s="270">
        <v>4056</v>
      </c>
      <c r="P3799" s="270" t="s">
        <v>3944</v>
      </c>
      <c r="Q3799" s="270" t="s">
        <v>3944</v>
      </c>
      <c r="R3799" s="270">
        <v>4056</v>
      </c>
      <c r="S3799" s="270">
        <v>33082.5</v>
      </c>
      <c r="T3799" s="270">
        <v>37138.5</v>
      </c>
      <c r="U3799" s="271" t="s">
        <v>3945</v>
      </c>
      <c r="V3799" s="267" t="s">
        <v>944</v>
      </c>
    </row>
    <row r="3800" spans="1:22" hidden="1" x14ac:dyDescent="0.25">
      <c r="A3800" s="266">
        <v>43658</v>
      </c>
      <c r="B3800" s="267">
        <v>2019</v>
      </c>
      <c r="C3800" s="267">
        <v>2020</v>
      </c>
      <c r="D3800" s="267">
        <v>1</v>
      </c>
      <c r="E3800" s="267">
        <v>1</v>
      </c>
      <c r="F3800" s="267" t="s">
        <v>944</v>
      </c>
      <c r="G3800" s="267" t="s">
        <v>3926</v>
      </c>
      <c r="H3800" s="267" t="s">
        <v>8335</v>
      </c>
      <c r="I3800" s="267" t="s">
        <v>4392</v>
      </c>
      <c r="J3800" s="267" t="s">
        <v>3928</v>
      </c>
      <c r="K3800" s="267">
        <v>6457</v>
      </c>
      <c r="L3800" s="267">
        <v>542100</v>
      </c>
      <c r="M3800" s="267" t="s">
        <v>3940</v>
      </c>
      <c r="N3800" s="267" t="s">
        <v>3944</v>
      </c>
      <c r="O3800" s="267">
        <v>997.57</v>
      </c>
      <c r="P3800" s="267" t="s">
        <v>3944</v>
      </c>
      <c r="Q3800" s="267" t="s">
        <v>3944</v>
      </c>
      <c r="R3800" s="267">
        <v>997.57</v>
      </c>
      <c r="S3800" s="267">
        <v>13909.69</v>
      </c>
      <c r="T3800" s="267">
        <v>14907.26</v>
      </c>
      <c r="U3800" s="268" t="s">
        <v>3945</v>
      </c>
      <c r="V3800" s="267" t="s">
        <v>944</v>
      </c>
    </row>
    <row r="3801" spans="1:22" hidden="1" x14ac:dyDescent="0.25">
      <c r="A3801" s="269">
        <v>43658</v>
      </c>
      <c r="B3801" s="270">
        <v>2019</v>
      </c>
      <c r="C3801" s="270">
        <v>2020</v>
      </c>
      <c r="D3801" s="270">
        <v>1</v>
      </c>
      <c r="E3801" s="270">
        <v>1</v>
      </c>
      <c r="F3801" s="270" t="s">
        <v>944</v>
      </c>
      <c r="G3801" s="270" t="s">
        <v>3926</v>
      </c>
      <c r="H3801" s="270" t="s">
        <v>8336</v>
      </c>
      <c r="I3801" s="270" t="s">
        <v>4323</v>
      </c>
      <c r="J3801" s="270" t="s">
        <v>3928</v>
      </c>
      <c r="K3801" s="270">
        <v>6385</v>
      </c>
      <c r="L3801" s="270">
        <v>693400</v>
      </c>
      <c r="M3801" s="270" t="s">
        <v>3940</v>
      </c>
      <c r="N3801" s="270" t="s">
        <v>3944</v>
      </c>
      <c r="O3801" s="270">
        <v>3997.35</v>
      </c>
      <c r="P3801" s="270" t="s">
        <v>3944</v>
      </c>
      <c r="Q3801" s="270" t="s">
        <v>3944</v>
      </c>
      <c r="R3801" s="270">
        <v>3997.35</v>
      </c>
      <c r="S3801" s="270">
        <v>57788.25</v>
      </c>
      <c r="T3801" s="270">
        <v>61785.599999999999</v>
      </c>
      <c r="U3801" s="271" t="s">
        <v>3945</v>
      </c>
      <c r="V3801" s="267" t="s">
        <v>944</v>
      </c>
    </row>
    <row r="3802" spans="1:22" hidden="1" x14ac:dyDescent="0.25">
      <c r="A3802" s="266">
        <v>43658</v>
      </c>
      <c r="B3802" s="267">
        <v>2019</v>
      </c>
      <c r="C3802" s="267">
        <v>2020</v>
      </c>
      <c r="D3802" s="267">
        <v>1</v>
      </c>
      <c r="E3802" s="267">
        <v>1</v>
      </c>
      <c r="F3802" s="267" t="s">
        <v>944</v>
      </c>
      <c r="G3802" s="267" t="s">
        <v>3926</v>
      </c>
      <c r="H3802" s="267" t="s">
        <v>8337</v>
      </c>
      <c r="I3802" s="267" t="s">
        <v>4037</v>
      </c>
      <c r="J3802" s="267" t="s">
        <v>3928</v>
      </c>
      <c r="K3802" s="267">
        <v>6811</v>
      </c>
      <c r="L3802" s="267">
        <v>211400</v>
      </c>
      <c r="M3802" s="267" t="s">
        <v>3935</v>
      </c>
      <c r="N3802" s="267" t="s">
        <v>3944</v>
      </c>
      <c r="O3802" s="267">
        <v>3897.39</v>
      </c>
      <c r="P3802" s="267" t="s">
        <v>3944</v>
      </c>
      <c r="Q3802" s="267" t="s">
        <v>3944</v>
      </c>
      <c r="R3802" s="267">
        <v>3897.39</v>
      </c>
      <c r="S3802" s="267">
        <v>53222.04</v>
      </c>
      <c r="T3802" s="267">
        <v>57119.43</v>
      </c>
      <c r="U3802" s="268" t="s">
        <v>3945</v>
      </c>
      <c r="V3802" s="267" t="s">
        <v>944</v>
      </c>
    </row>
    <row r="3803" spans="1:22" hidden="1" x14ac:dyDescent="0.25">
      <c r="A3803" s="269">
        <v>43658</v>
      </c>
      <c r="B3803" s="270">
        <v>2019</v>
      </c>
      <c r="C3803" s="270">
        <v>2020</v>
      </c>
      <c r="D3803" s="270">
        <v>1</v>
      </c>
      <c r="E3803" s="270">
        <v>1</v>
      </c>
      <c r="F3803" s="270" t="s">
        <v>944</v>
      </c>
      <c r="G3803" s="270" t="s">
        <v>3926</v>
      </c>
      <c r="H3803" s="270" t="s">
        <v>8338</v>
      </c>
      <c r="I3803" s="270" t="s">
        <v>956</v>
      </c>
      <c r="J3803" s="270" t="s">
        <v>3928</v>
      </c>
      <c r="K3803" s="270">
        <v>6614</v>
      </c>
      <c r="L3803" s="270">
        <v>80100</v>
      </c>
      <c r="M3803" s="270" t="s">
        <v>3935</v>
      </c>
      <c r="N3803" s="270" t="s">
        <v>3944</v>
      </c>
      <c r="O3803" s="270">
        <v>774.83</v>
      </c>
      <c r="P3803" s="270" t="s">
        <v>3944</v>
      </c>
      <c r="Q3803" s="270" t="s">
        <v>3944</v>
      </c>
      <c r="R3803" s="270">
        <v>774.83</v>
      </c>
      <c r="S3803" s="270">
        <v>11893.33</v>
      </c>
      <c r="T3803" s="270">
        <v>12668.16</v>
      </c>
      <c r="U3803" s="271" t="s">
        <v>3945</v>
      </c>
      <c r="V3803" s="267" t="s">
        <v>944</v>
      </c>
    </row>
    <row r="3804" spans="1:22" hidden="1" x14ac:dyDescent="0.25">
      <c r="A3804" s="266">
        <v>43658</v>
      </c>
      <c r="B3804" s="267">
        <v>2019</v>
      </c>
      <c r="C3804" s="267">
        <v>2020</v>
      </c>
      <c r="D3804" s="267">
        <v>1</v>
      </c>
      <c r="E3804" s="267">
        <v>1</v>
      </c>
      <c r="F3804" s="267" t="s">
        <v>944</v>
      </c>
      <c r="G3804" s="267" t="s">
        <v>3926</v>
      </c>
      <c r="H3804" s="267" t="s">
        <v>8339</v>
      </c>
      <c r="I3804" s="267" t="s">
        <v>956</v>
      </c>
      <c r="J3804" s="267" t="s">
        <v>3928</v>
      </c>
      <c r="K3804" s="267">
        <v>6614</v>
      </c>
      <c r="L3804" s="267">
        <v>80100</v>
      </c>
      <c r="M3804" s="267" t="s">
        <v>3935</v>
      </c>
      <c r="N3804" s="267" t="s">
        <v>3944</v>
      </c>
      <c r="O3804" s="267">
        <v>962.75</v>
      </c>
      <c r="P3804" s="267" t="s">
        <v>3944</v>
      </c>
      <c r="Q3804" s="267" t="s">
        <v>3944</v>
      </c>
      <c r="R3804" s="267">
        <v>962.75</v>
      </c>
      <c r="S3804" s="267">
        <v>15324.08</v>
      </c>
      <c r="T3804" s="267">
        <v>16286.83</v>
      </c>
      <c r="U3804" s="268" t="s">
        <v>3945</v>
      </c>
      <c r="V3804" s="267" t="s">
        <v>944</v>
      </c>
    </row>
    <row r="3805" spans="1:22" hidden="1" x14ac:dyDescent="0.25">
      <c r="A3805" s="269">
        <v>43658</v>
      </c>
      <c r="B3805" s="270">
        <v>2019</v>
      </c>
      <c r="C3805" s="270">
        <v>2020</v>
      </c>
      <c r="D3805" s="270">
        <v>1</v>
      </c>
      <c r="E3805" s="270">
        <v>1</v>
      </c>
      <c r="F3805" s="270" t="s">
        <v>944</v>
      </c>
      <c r="G3805" s="270" t="s">
        <v>3926</v>
      </c>
      <c r="H3805" s="270" t="s">
        <v>8340</v>
      </c>
      <c r="I3805" s="270" t="s">
        <v>4137</v>
      </c>
      <c r="J3805" s="270" t="s">
        <v>3928</v>
      </c>
      <c r="K3805" s="270">
        <v>6067</v>
      </c>
      <c r="L3805" s="270">
        <v>524200</v>
      </c>
      <c r="M3805" s="270" t="s">
        <v>3960</v>
      </c>
      <c r="N3805" s="270" t="s">
        <v>3944</v>
      </c>
      <c r="O3805" s="270">
        <v>2975.11</v>
      </c>
      <c r="P3805" s="270" t="s">
        <v>3944</v>
      </c>
      <c r="Q3805" s="270" t="s">
        <v>3944</v>
      </c>
      <c r="R3805" s="270">
        <v>2975.11</v>
      </c>
      <c r="S3805" s="270">
        <v>40983.18</v>
      </c>
      <c r="T3805" s="270">
        <v>43958.29</v>
      </c>
      <c r="U3805" s="271" t="s">
        <v>3945</v>
      </c>
      <c r="V3805" s="267" t="s">
        <v>944</v>
      </c>
    </row>
    <row r="3806" spans="1:22" hidden="1" x14ac:dyDescent="0.25">
      <c r="A3806" s="266">
        <v>43658</v>
      </c>
      <c r="B3806" s="267">
        <v>2019</v>
      </c>
      <c r="C3806" s="267">
        <v>2020</v>
      </c>
      <c r="D3806" s="267">
        <v>1</v>
      </c>
      <c r="E3806" s="267">
        <v>1</v>
      </c>
      <c r="F3806" s="267" t="s">
        <v>944</v>
      </c>
      <c r="G3806" s="267" t="s">
        <v>3926</v>
      </c>
      <c r="H3806" s="267" t="s">
        <v>8341</v>
      </c>
      <c r="I3806" s="267" t="s">
        <v>4407</v>
      </c>
      <c r="J3806" s="267" t="s">
        <v>3928</v>
      </c>
      <c r="K3806" s="267">
        <v>6238</v>
      </c>
      <c r="L3806" s="267">
        <v>850100</v>
      </c>
      <c r="M3806" s="267" t="s">
        <v>3960</v>
      </c>
      <c r="N3806" s="267" t="s">
        <v>3944</v>
      </c>
      <c r="O3806" s="267">
        <v>4501.1099999999997</v>
      </c>
      <c r="P3806" s="267" t="s">
        <v>3944</v>
      </c>
      <c r="Q3806" s="267" t="s">
        <v>3944</v>
      </c>
      <c r="R3806" s="267">
        <v>4501.1099999999997</v>
      </c>
      <c r="S3806" s="267">
        <v>63552.02</v>
      </c>
      <c r="T3806" s="267">
        <v>68053.13</v>
      </c>
      <c r="U3806" s="268" t="s">
        <v>3945</v>
      </c>
      <c r="V3806" s="267" t="s">
        <v>944</v>
      </c>
    </row>
    <row r="3807" spans="1:22" hidden="1" x14ac:dyDescent="0.25">
      <c r="A3807" s="269">
        <v>43658</v>
      </c>
      <c r="B3807" s="270">
        <v>2019</v>
      </c>
      <c r="C3807" s="270">
        <v>2020</v>
      </c>
      <c r="D3807" s="270">
        <v>1</v>
      </c>
      <c r="E3807" s="270">
        <v>1</v>
      </c>
      <c r="F3807" s="270" t="s">
        <v>944</v>
      </c>
      <c r="G3807" s="270" t="s">
        <v>3926</v>
      </c>
      <c r="H3807" s="270" t="s">
        <v>8342</v>
      </c>
      <c r="I3807" s="270" t="s">
        <v>943</v>
      </c>
      <c r="J3807" s="270" t="s">
        <v>3928</v>
      </c>
      <c r="K3807" s="270">
        <v>6511</v>
      </c>
      <c r="L3807" s="270">
        <v>141400</v>
      </c>
      <c r="M3807" s="270">
        <v>-60</v>
      </c>
      <c r="N3807" s="270" t="s">
        <v>3944</v>
      </c>
      <c r="O3807" s="270">
        <v>526.16</v>
      </c>
      <c r="P3807" s="270" t="s">
        <v>3944</v>
      </c>
      <c r="Q3807" s="270" t="s">
        <v>3944</v>
      </c>
      <c r="R3807" s="270">
        <v>526.16</v>
      </c>
      <c r="S3807" s="270">
        <v>8970.59</v>
      </c>
      <c r="T3807" s="270">
        <v>9496.75</v>
      </c>
      <c r="U3807" s="271" t="s">
        <v>3945</v>
      </c>
      <c r="V3807" s="267" t="s">
        <v>944</v>
      </c>
    </row>
    <row r="3808" spans="1:22" hidden="1" x14ac:dyDescent="0.25">
      <c r="A3808" s="266">
        <v>43658</v>
      </c>
      <c r="B3808" s="267">
        <v>2019</v>
      </c>
      <c r="C3808" s="267">
        <v>2020</v>
      </c>
      <c r="D3808" s="267">
        <v>1</v>
      </c>
      <c r="E3808" s="267">
        <v>1</v>
      </c>
      <c r="F3808" s="267" t="s">
        <v>944</v>
      </c>
      <c r="G3808" s="267" t="s">
        <v>3926</v>
      </c>
      <c r="H3808" s="267" t="s">
        <v>8343</v>
      </c>
      <c r="I3808" s="267" t="s">
        <v>4005</v>
      </c>
      <c r="J3808" s="267" t="s">
        <v>3928</v>
      </c>
      <c r="K3808" s="267">
        <v>6108</v>
      </c>
      <c r="L3808" s="267">
        <v>510300</v>
      </c>
      <c r="M3808" s="267" t="s">
        <v>3940</v>
      </c>
      <c r="N3808" s="267" t="s">
        <v>3944</v>
      </c>
      <c r="O3808" s="267">
        <v>1526.04</v>
      </c>
      <c r="P3808" s="267" t="s">
        <v>3944</v>
      </c>
      <c r="Q3808" s="267" t="s">
        <v>3944</v>
      </c>
      <c r="R3808" s="267">
        <v>1526.04</v>
      </c>
      <c r="S3808" s="267">
        <v>21813.75</v>
      </c>
      <c r="T3808" s="267">
        <v>23339.79</v>
      </c>
      <c r="U3808" s="268" t="s">
        <v>3945</v>
      </c>
      <c r="V3808" s="267" t="s">
        <v>944</v>
      </c>
    </row>
    <row r="3809" spans="1:22" hidden="1" x14ac:dyDescent="0.25">
      <c r="A3809" s="269">
        <v>43658</v>
      </c>
      <c r="B3809" s="270">
        <v>2019</v>
      </c>
      <c r="C3809" s="270">
        <v>2020</v>
      </c>
      <c r="D3809" s="270">
        <v>1</v>
      </c>
      <c r="E3809" s="270">
        <v>1</v>
      </c>
      <c r="F3809" s="270" t="s">
        <v>944</v>
      </c>
      <c r="G3809" s="270" t="s">
        <v>3926</v>
      </c>
      <c r="H3809" s="270" t="s">
        <v>8344</v>
      </c>
      <c r="I3809" s="270" t="s">
        <v>956</v>
      </c>
      <c r="J3809" s="270" t="s">
        <v>3928</v>
      </c>
      <c r="K3809" s="270">
        <v>6614</v>
      </c>
      <c r="L3809" s="270">
        <v>81000</v>
      </c>
      <c r="M3809" s="270" t="s">
        <v>3940</v>
      </c>
      <c r="N3809" s="270" t="s">
        <v>3944</v>
      </c>
      <c r="O3809" s="270">
        <v>1854.13</v>
      </c>
      <c r="P3809" s="270" t="s">
        <v>3944</v>
      </c>
      <c r="Q3809" s="270" t="s">
        <v>3944</v>
      </c>
      <c r="R3809" s="270">
        <v>1854.13</v>
      </c>
      <c r="S3809" s="270">
        <v>35602.269999999997</v>
      </c>
      <c r="T3809" s="270">
        <v>37456.400000000001</v>
      </c>
      <c r="U3809" s="271" t="s">
        <v>3945</v>
      </c>
      <c r="V3809" s="267" t="s">
        <v>944</v>
      </c>
    </row>
    <row r="3810" spans="1:22" hidden="1" x14ac:dyDescent="0.25">
      <c r="A3810" s="266">
        <v>43658</v>
      </c>
      <c r="B3810" s="267">
        <v>2019</v>
      </c>
      <c r="C3810" s="267">
        <v>2020</v>
      </c>
      <c r="D3810" s="267">
        <v>1</v>
      </c>
      <c r="E3810" s="267">
        <v>1</v>
      </c>
      <c r="F3810" s="267" t="s">
        <v>944</v>
      </c>
      <c r="G3810" s="267" t="s">
        <v>3926</v>
      </c>
      <c r="H3810" s="267" t="s">
        <v>8345</v>
      </c>
      <c r="I3810" s="267" t="s">
        <v>4019</v>
      </c>
      <c r="J3810" s="267" t="s">
        <v>3928</v>
      </c>
      <c r="K3810" s="267">
        <v>6708</v>
      </c>
      <c r="L3810" s="267">
        <v>352000</v>
      </c>
      <c r="M3810" s="267" t="s">
        <v>3935</v>
      </c>
      <c r="N3810" s="267" t="s">
        <v>3944</v>
      </c>
      <c r="O3810" s="267">
        <v>3016.79</v>
      </c>
      <c r="P3810" s="267" t="s">
        <v>3944</v>
      </c>
      <c r="Q3810" s="267" t="s">
        <v>3944</v>
      </c>
      <c r="R3810" s="267">
        <v>3016.79</v>
      </c>
      <c r="S3810" s="267">
        <v>39763.49</v>
      </c>
      <c r="T3810" s="267">
        <v>42780.28</v>
      </c>
      <c r="U3810" s="268" t="s">
        <v>3945</v>
      </c>
      <c r="V3810" s="267" t="s">
        <v>944</v>
      </c>
    </row>
    <row r="3811" spans="1:22" hidden="1" x14ac:dyDescent="0.25">
      <c r="A3811" s="269">
        <v>43658</v>
      </c>
      <c r="B3811" s="270">
        <v>2019</v>
      </c>
      <c r="C3811" s="270">
        <v>2020</v>
      </c>
      <c r="D3811" s="270">
        <v>1</v>
      </c>
      <c r="E3811" s="270">
        <v>1</v>
      </c>
      <c r="F3811" s="270" t="s">
        <v>944</v>
      </c>
      <c r="G3811" s="270" t="s">
        <v>3926</v>
      </c>
      <c r="H3811" s="270" t="s">
        <v>8346</v>
      </c>
      <c r="I3811" s="270" t="s">
        <v>3999</v>
      </c>
      <c r="J3811" s="270" t="s">
        <v>3928</v>
      </c>
      <c r="K3811" s="270">
        <v>6451</v>
      </c>
      <c r="L3811" s="270">
        <v>170800</v>
      </c>
      <c r="M3811" s="270" t="s">
        <v>3940</v>
      </c>
      <c r="N3811" s="270" t="s">
        <v>3944</v>
      </c>
      <c r="O3811" s="270">
        <v>608.29999999999995</v>
      </c>
      <c r="P3811" s="270" t="s">
        <v>3944</v>
      </c>
      <c r="Q3811" s="270" t="s">
        <v>3944</v>
      </c>
      <c r="R3811" s="270">
        <v>608.29999999999995</v>
      </c>
      <c r="S3811" s="270">
        <v>9563.1299999999992</v>
      </c>
      <c r="T3811" s="270">
        <v>10171.43</v>
      </c>
      <c r="U3811" s="271" t="s">
        <v>3945</v>
      </c>
      <c r="V3811" s="267" t="s">
        <v>944</v>
      </c>
    </row>
    <row r="3812" spans="1:22" hidden="1" x14ac:dyDescent="0.25">
      <c r="A3812" s="266">
        <v>43658</v>
      </c>
      <c r="B3812" s="267">
        <v>2019</v>
      </c>
      <c r="C3812" s="267">
        <v>2020</v>
      </c>
      <c r="D3812" s="267">
        <v>1</v>
      </c>
      <c r="E3812" s="267">
        <v>1</v>
      </c>
      <c r="F3812" s="267" t="s">
        <v>944</v>
      </c>
      <c r="G3812" s="267" t="s">
        <v>3926</v>
      </c>
      <c r="H3812" s="267" t="s">
        <v>8347</v>
      </c>
      <c r="I3812" s="267" t="s">
        <v>4172</v>
      </c>
      <c r="J3812" s="267" t="s">
        <v>3928</v>
      </c>
      <c r="K3812" s="267">
        <v>6786</v>
      </c>
      <c r="L3812" s="267">
        <v>425300</v>
      </c>
      <c r="M3812" s="267" t="s">
        <v>3960</v>
      </c>
      <c r="N3812" s="267" t="s">
        <v>3944</v>
      </c>
      <c r="O3812" s="267">
        <v>1405.74</v>
      </c>
      <c r="P3812" s="267" t="s">
        <v>3944</v>
      </c>
      <c r="Q3812" s="267" t="s">
        <v>3944</v>
      </c>
      <c r="R3812" s="267">
        <v>1405.74</v>
      </c>
      <c r="S3812" s="267">
        <v>22214.71</v>
      </c>
      <c r="T3812" s="267">
        <v>23620.45</v>
      </c>
      <c r="U3812" s="268" t="s">
        <v>3945</v>
      </c>
      <c r="V3812" s="267" t="s">
        <v>944</v>
      </c>
    </row>
    <row r="3813" spans="1:22" hidden="1" x14ac:dyDescent="0.25">
      <c r="A3813" s="269">
        <v>43658</v>
      </c>
      <c r="B3813" s="270">
        <v>2019</v>
      </c>
      <c r="C3813" s="270">
        <v>2020</v>
      </c>
      <c r="D3813" s="270">
        <v>1</v>
      </c>
      <c r="E3813" s="270">
        <v>1</v>
      </c>
      <c r="F3813" s="270" t="s">
        <v>944</v>
      </c>
      <c r="G3813" s="270" t="s">
        <v>3926</v>
      </c>
      <c r="H3813" s="270" t="s">
        <v>8348</v>
      </c>
      <c r="I3813" s="270" t="s">
        <v>2987</v>
      </c>
      <c r="J3813" s="270" t="s">
        <v>3928</v>
      </c>
      <c r="K3813" s="270">
        <v>6611</v>
      </c>
      <c r="L3813" s="270">
        <v>90400</v>
      </c>
      <c r="M3813" s="270" t="s">
        <v>3943</v>
      </c>
      <c r="N3813" s="270" t="s">
        <v>3944</v>
      </c>
      <c r="O3813" s="270">
        <v>2748.2</v>
      </c>
      <c r="P3813" s="270" t="s">
        <v>3944</v>
      </c>
      <c r="Q3813" s="270" t="s">
        <v>3944</v>
      </c>
      <c r="R3813" s="270">
        <v>2748.2</v>
      </c>
      <c r="S3813" s="270">
        <v>50973</v>
      </c>
      <c r="T3813" s="270">
        <v>53721.2</v>
      </c>
      <c r="U3813" s="271" t="s">
        <v>3945</v>
      </c>
      <c r="V3813" s="267" t="s">
        <v>944</v>
      </c>
    </row>
    <row r="3814" spans="1:22" hidden="1" x14ac:dyDescent="0.25">
      <c r="A3814" s="266">
        <v>43658</v>
      </c>
      <c r="B3814" s="267">
        <v>2019</v>
      </c>
      <c r="C3814" s="267">
        <v>2020</v>
      </c>
      <c r="D3814" s="267">
        <v>1</v>
      </c>
      <c r="E3814" s="267">
        <v>1</v>
      </c>
      <c r="F3814" s="267" t="s">
        <v>944</v>
      </c>
      <c r="G3814" s="267" t="s">
        <v>3926</v>
      </c>
      <c r="H3814" s="267" t="s">
        <v>8349</v>
      </c>
      <c r="I3814" s="267" t="s">
        <v>953</v>
      </c>
      <c r="J3814" s="267" t="s">
        <v>3928</v>
      </c>
      <c r="K3814" s="267">
        <v>6518</v>
      </c>
      <c r="L3814" s="267">
        <v>165900</v>
      </c>
      <c r="M3814" s="267" t="s">
        <v>3943</v>
      </c>
      <c r="N3814" s="267" t="s">
        <v>3944</v>
      </c>
      <c r="O3814" s="267">
        <v>2117.29</v>
      </c>
      <c r="P3814" s="267" t="s">
        <v>3944</v>
      </c>
      <c r="Q3814" s="267" t="s">
        <v>3944</v>
      </c>
      <c r="R3814" s="267">
        <v>2117.29</v>
      </c>
      <c r="S3814" s="267">
        <v>42526.71</v>
      </c>
      <c r="T3814" s="267">
        <v>44644</v>
      </c>
      <c r="U3814" s="268" t="s">
        <v>3945</v>
      </c>
      <c r="V3814" s="267" t="s">
        <v>944</v>
      </c>
    </row>
    <row r="3815" spans="1:22" hidden="1" x14ac:dyDescent="0.25">
      <c r="A3815" s="269">
        <v>43658</v>
      </c>
      <c r="B3815" s="270">
        <v>2019</v>
      </c>
      <c r="C3815" s="270">
        <v>2020</v>
      </c>
      <c r="D3815" s="270">
        <v>1</v>
      </c>
      <c r="E3815" s="270">
        <v>1</v>
      </c>
      <c r="F3815" s="270" t="s">
        <v>944</v>
      </c>
      <c r="G3815" s="270" t="s">
        <v>3926</v>
      </c>
      <c r="H3815" s="270" t="s">
        <v>8350</v>
      </c>
      <c r="I3815" s="270" t="s">
        <v>4019</v>
      </c>
      <c r="J3815" s="270" t="s">
        <v>3928</v>
      </c>
      <c r="K3815" s="270">
        <v>6708</v>
      </c>
      <c r="L3815" s="270">
        <v>351800</v>
      </c>
      <c r="M3815" s="270" t="s">
        <v>3940</v>
      </c>
      <c r="N3815" s="270" t="s">
        <v>3944</v>
      </c>
      <c r="O3815" s="270">
        <v>1655.22</v>
      </c>
      <c r="P3815" s="270" t="s">
        <v>3944</v>
      </c>
      <c r="Q3815" s="270" t="s">
        <v>3944</v>
      </c>
      <c r="R3815" s="270">
        <v>1655.22</v>
      </c>
      <c r="S3815" s="270">
        <v>23122.67</v>
      </c>
      <c r="T3815" s="270">
        <v>24777.89</v>
      </c>
      <c r="U3815" s="271" t="s">
        <v>3945</v>
      </c>
      <c r="V3815" s="267" t="s">
        <v>944</v>
      </c>
    </row>
    <row r="3816" spans="1:22" hidden="1" x14ac:dyDescent="0.25">
      <c r="A3816" s="266">
        <v>43658</v>
      </c>
      <c r="B3816" s="267">
        <v>2019</v>
      </c>
      <c r="C3816" s="267">
        <v>2020</v>
      </c>
      <c r="D3816" s="267">
        <v>1</v>
      </c>
      <c r="E3816" s="267">
        <v>1</v>
      </c>
      <c r="F3816" s="267" t="s">
        <v>944</v>
      </c>
      <c r="G3816" s="267" t="s">
        <v>3926</v>
      </c>
      <c r="H3816" s="267" t="s">
        <v>8351</v>
      </c>
      <c r="I3816" s="267" t="s">
        <v>4310</v>
      </c>
      <c r="J3816" s="267" t="s">
        <v>3928</v>
      </c>
      <c r="K3816" s="267">
        <v>6351</v>
      </c>
      <c r="L3816" s="267">
        <v>710100</v>
      </c>
      <c r="M3816" s="267" t="s">
        <v>3960</v>
      </c>
      <c r="N3816" s="267" t="s">
        <v>3944</v>
      </c>
      <c r="O3816" s="267">
        <v>1533.91</v>
      </c>
      <c r="P3816" s="267" t="s">
        <v>3944</v>
      </c>
      <c r="Q3816" s="267" t="s">
        <v>3944</v>
      </c>
      <c r="R3816" s="267">
        <v>1533.91</v>
      </c>
      <c r="S3816" s="267">
        <v>18992.189999999999</v>
      </c>
      <c r="T3816" s="267">
        <v>20526.099999999999</v>
      </c>
      <c r="U3816" s="268" t="s">
        <v>3945</v>
      </c>
      <c r="V3816" s="267" t="s">
        <v>944</v>
      </c>
    </row>
    <row r="3817" spans="1:22" hidden="1" x14ac:dyDescent="0.25">
      <c r="A3817" s="269">
        <v>43658</v>
      </c>
      <c r="B3817" s="270">
        <v>2019</v>
      </c>
      <c r="C3817" s="270">
        <v>2020</v>
      </c>
      <c r="D3817" s="270">
        <v>1</v>
      </c>
      <c r="E3817" s="270">
        <v>1</v>
      </c>
      <c r="F3817" s="270" t="s">
        <v>944</v>
      </c>
      <c r="G3817" s="270" t="s">
        <v>3926</v>
      </c>
      <c r="H3817" s="270" t="s">
        <v>8352</v>
      </c>
      <c r="I3817" s="270" t="s">
        <v>3008</v>
      </c>
      <c r="J3817" s="270" t="s">
        <v>3928</v>
      </c>
      <c r="K3817" s="270">
        <v>6460</v>
      </c>
      <c r="L3817" s="270">
        <v>150200</v>
      </c>
      <c r="M3817" s="270" t="s">
        <v>3935</v>
      </c>
      <c r="N3817" s="270" t="s">
        <v>3944</v>
      </c>
      <c r="O3817" s="270">
        <v>2483.7800000000002</v>
      </c>
      <c r="P3817" s="270" t="s">
        <v>3944</v>
      </c>
      <c r="Q3817" s="270" t="s">
        <v>3944</v>
      </c>
      <c r="R3817" s="270">
        <v>2483.7800000000002</v>
      </c>
      <c r="S3817" s="270">
        <v>44339.22</v>
      </c>
      <c r="T3817" s="270">
        <v>46823</v>
      </c>
      <c r="U3817" s="271" t="s">
        <v>3945</v>
      </c>
      <c r="V3817" s="267" t="s">
        <v>944</v>
      </c>
    </row>
    <row r="3818" spans="1:22" hidden="1" x14ac:dyDescent="0.25">
      <c r="A3818" s="266">
        <v>43659</v>
      </c>
      <c r="B3818" s="267">
        <v>2019</v>
      </c>
      <c r="C3818" s="267">
        <v>2020</v>
      </c>
      <c r="D3818" s="267">
        <v>1</v>
      </c>
      <c r="E3818" s="267">
        <v>1</v>
      </c>
      <c r="F3818" s="267" t="s">
        <v>944</v>
      </c>
      <c r="G3818" s="267" t="s">
        <v>3926</v>
      </c>
      <c r="H3818" s="267" t="s">
        <v>8353</v>
      </c>
      <c r="I3818" s="267" t="s">
        <v>4232</v>
      </c>
      <c r="J3818" s="267" t="s">
        <v>3928</v>
      </c>
      <c r="K3818" s="267">
        <v>6483</v>
      </c>
      <c r="L3818" s="267">
        <v>130101</v>
      </c>
      <c r="M3818" s="267" t="s">
        <v>3940</v>
      </c>
      <c r="N3818" s="267" t="s">
        <v>4103</v>
      </c>
      <c r="O3818" s="267">
        <v>1705.62</v>
      </c>
      <c r="P3818" s="267" t="s">
        <v>3930</v>
      </c>
      <c r="Q3818" s="267" t="s">
        <v>3931</v>
      </c>
      <c r="R3818" s="267">
        <v>6705.62</v>
      </c>
      <c r="S3818" s="267">
        <v>24145.599999999999</v>
      </c>
      <c r="T3818" s="267">
        <v>30851.22</v>
      </c>
      <c r="U3818" s="268" t="s">
        <v>3932</v>
      </c>
      <c r="V3818" s="267" t="s">
        <v>944</v>
      </c>
    </row>
    <row r="3819" spans="1:22" hidden="1" x14ac:dyDescent="0.25">
      <c r="A3819" s="269">
        <v>43659</v>
      </c>
      <c r="B3819" s="270">
        <v>2019</v>
      </c>
      <c r="C3819" s="270">
        <v>2020</v>
      </c>
      <c r="D3819" s="270">
        <v>1</v>
      </c>
      <c r="E3819" s="270">
        <v>1</v>
      </c>
      <c r="F3819" s="270" t="s">
        <v>944</v>
      </c>
      <c r="G3819" s="270" t="s">
        <v>3926</v>
      </c>
      <c r="H3819" s="270" t="s">
        <v>8354</v>
      </c>
      <c r="I3819" s="270" t="s">
        <v>4621</v>
      </c>
      <c r="J3819" s="270" t="s">
        <v>3928</v>
      </c>
      <c r="K3819" s="270">
        <v>6443</v>
      </c>
      <c r="L3819" s="270">
        <v>194100</v>
      </c>
      <c r="M3819" s="270" t="s">
        <v>3935</v>
      </c>
      <c r="N3819" s="270" t="s">
        <v>3929</v>
      </c>
      <c r="O3819" s="270">
        <v>2154.2199999999998</v>
      </c>
      <c r="P3819" s="270" t="s">
        <v>3930</v>
      </c>
      <c r="Q3819" s="270" t="s">
        <v>3931</v>
      </c>
      <c r="R3819" s="270">
        <v>7154.22</v>
      </c>
      <c r="S3819" s="270">
        <v>34744</v>
      </c>
      <c r="T3819" s="270">
        <v>41898.22</v>
      </c>
      <c r="U3819" s="271" t="s">
        <v>3932</v>
      </c>
      <c r="V3819" s="267" t="s">
        <v>944</v>
      </c>
    </row>
    <row r="3820" spans="1:22" hidden="1" x14ac:dyDescent="0.25">
      <c r="A3820" s="266">
        <v>43660</v>
      </c>
      <c r="B3820" s="267">
        <v>2019</v>
      </c>
      <c r="C3820" s="267">
        <v>2020</v>
      </c>
      <c r="D3820" s="267">
        <v>1</v>
      </c>
      <c r="E3820" s="267">
        <v>1</v>
      </c>
      <c r="F3820" s="267" t="s">
        <v>944</v>
      </c>
      <c r="G3820" s="267" t="s">
        <v>3926</v>
      </c>
      <c r="H3820" s="267" t="s">
        <v>8355</v>
      </c>
      <c r="I3820" s="267" t="s">
        <v>956</v>
      </c>
      <c r="J3820" s="267" t="s">
        <v>3928</v>
      </c>
      <c r="K3820" s="267">
        <v>6614</v>
      </c>
      <c r="L3820" s="267">
        <v>81300</v>
      </c>
      <c r="M3820" s="267" t="s">
        <v>3935</v>
      </c>
      <c r="N3820" s="267" t="s">
        <v>4103</v>
      </c>
      <c r="O3820" s="267">
        <v>1493.45</v>
      </c>
      <c r="P3820" s="267" t="s">
        <v>3930</v>
      </c>
      <c r="Q3820" s="267" t="s">
        <v>3931</v>
      </c>
      <c r="R3820" s="267">
        <v>6493.45</v>
      </c>
      <c r="S3820" s="267">
        <v>24145.599999999999</v>
      </c>
      <c r="T3820" s="267">
        <v>30639.05</v>
      </c>
      <c r="U3820" s="268" t="s">
        <v>3932</v>
      </c>
      <c r="V3820" s="267" t="s">
        <v>944</v>
      </c>
    </row>
    <row r="3821" spans="1:22" x14ac:dyDescent="0.25">
      <c r="A3821" s="269">
        <v>43660</v>
      </c>
      <c r="B3821" s="270">
        <v>2019</v>
      </c>
      <c r="C3821" s="270">
        <v>2020</v>
      </c>
      <c r="D3821" s="270">
        <v>1</v>
      </c>
      <c r="E3821" s="270">
        <v>1</v>
      </c>
      <c r="F3821" s="270" t="s">
        <v>944</v>
      </c>
      <c r="G3821" s="270" t="s">
        <v>3926</v>
      </c>
      <c r="H3821" s="270" t="s">
        <v>8356</v>
      </c>
      <c r="I3821" s="270" t="s">
        <v>943</v>
      </c>
      <c r="J3821" s="270" t="s">
        <v>3928</v>
      </c>
      <c r="K3821" s="270">
        <v>6515</v>
      </c>
      <c r="L3821" s="270">
        <v>141300</v>
      </c>
      <c r="M3821" s="270">
        <v>-60</v>
      </c>
      <c r="N3821" s="270" t="s">
        <v>4498</v>
      </c>
      <c r="O3821" s="270">
        <v>1531.47</v>
      </c>
      <c r="P3821" s="270" t="s">
        <v>3930</v>
      </c>
      <c r="Q3821" s="270" t="s">
        <v>3931</v>
      </c>
      <c r="R3821" s="270">
        <v>6531.47</v>
      </c>
      <c r="S3821" s="270">
        <v>21752</v>
      </c>
      <c r="T3821" s="270">
        <v>28283.47</v>
      </c>
      <c r="U3821" s="271" t="s">
        <v>3932</v>
      </c>
      <c r="V3821" s="276" t="s">
        <v>936</v>
      </c>
    </row>
    <row r="3822" spans="1:22" hidden="1" x14ac:dyDescent="0.25">
      <c r="A3822" s="266">
        <v>43660</v>
      </c>
      <c r="B3822" s="267">
        <v>2019</v>
      </c>
      <c r="C3822" s="267">
        <v>2020</v>
      </c>
      <c r="D3822" s="267">
        <v>1</v>
      </c>
      <c r="E3822" s="267">
        <v>1</v>
      </c>
      <c r="F3822" s="267" t="s">
        <v>944</v>
      </c>
      <c r="G3822" s="267" t="s">
        <v>3926</v>
      </c>
      <c r="H3822" s="267" t="s">
        <v>8357</v>
      </c>
      <c r="I3822" s="267" t="s">
        <v>4042</v>
      </c>
      <c r="J3822" s="267" t="s">
        <v>3928</v>
      </c>
      <c r="K3822" s="267">
        <v>6382</v>
      </c>
      <c r="L3822" s="267">
        <v>695201</v>
      </c>
      <c r="M3822" s="267" t="s">
        <v>3935</v>
      </c>
      <c r="N3822" s="267" t="s">
        <v>4701</v>
      </c>
      <c r="O3822" s="267">
        <v>2202.5500000000002</v>
      </c>
      <c r="P3822" s="267" t="s">
        <v>3930</v>
      </c>
      <c r="Q3822" s="267" t="s">
        <v>3931</v>
      </c>
      <c r="R3822" s="267">
        <v>7202.55</v>
      </c>
      <c r="S3822" s="267">
        <v>34648</v>
      </c>
      <c r="T3822" s="267">
        <v>41850.550000000003</v>
      </c>
      <c r="U3822" s="268" t="s">
        <v>3932</v>
      </c>
      <c r="V3822" s="267" t="s">
        <v>944</v>
      </c>
    </row>
    <row r="3823" spans="1:22" hidden="1" x14ac:dyDescent="0.25">
      <c r="A3823" s="269">
        <v>43661</v>
      </c>
      <c r="B3823" s="270">
        <v>2019</v>
      </c>
      <c r="C3823" s="270">
        <v>2020</v>
      </c>
      <c r="D3823" s="270">
        <v>1</v>
      </c>
      <c r="E3823" s="270">
        <v>1</v>
      </c>
      <c r="F3823" s="270" t="s">
        <v>944</v>
      </c>
      <c r="G3823" s="270" t="s">
        <v>3926</v>
      </c>
      <c r="H3823" s="270" t="s">
        <v>8358</v>
      </c>
      <c r="I3823" s="270" t="s">
        <v>3008</v>
      </c>
      <c r="J3823" s="270" t="s">
        <v>3928</v>
      </c>
      <c r="K3823" s="270">
        <v>6460</v>
      </c>
      <c r="L3823" s="270">
        <v>150100</v>
      </c>
      <c r="M3823" s="270" t="s">
        <v>3960</v>
      </c>
      <c r="N3823" s="270" t="s">
        <v>8359</v>
      </c>
      <c r="O3823" s="270">
        <v>0</v>
      </c>
      <c r="P3823" s="270" t="s">
        <v>3930</v>
      </c>
      <c r="Q3823" s="270" t="s">
        <v>3930</v>
      </c>
      <c r="R3823" s="270">
        <v>0</v>
      </c>
      <c r="S3823" s="270">
        <v>28876</v>
      </c>
      <c r="T3823" s="270">
        <v>28876</v>
      </c>
      <c r="U3823" s="271" t="s">
        <v>3937</v>
      </c>
      <c r="V3823" s="267" t="s">
        <v>944</v>
      </c>
    </row>
    <row r="3824" spans="1:22" hidden="1" x14ac:dyDescent="0.25">
      <c r="A3824" s="266">
        <v>43661</v>
      </c>
      <c r="B3824" s="267">
        <v>2019</v>
      </c>
      <c r="C3824" s="267">
        <v>2020</v>
      </c>
      <c r="D3824" s="267">
        <v>1</v>
      </c>
      <c r="E3824" s="267">
        <v>1</v>
      </c>
      <c r="F3824" s="267" t="s">
        <v>944</v>
      </c>
      <c r="G3824" s="267" t="s">
        <v>3926</v>
      </c>
      <c r="H3824" s="267" t="s">
        <v>8360</v>
      </c>
      <c r="I3824" s="267" t="s">
        <v>5325</v>
      </c>
      <c r="J3824" s="267" t="s">
        <v>3928</v>
      </c>
      <c r="K3824" s="267">
        <v>6057</v>
      </c>
      <c r="L3824" s="267">
        <v>306100</v>
      </c>
      <c r="M3824" s="267" t="s">
        <v>3943</v>
      </c>
      <c r="N3824" s="267" t="s">
        <v>5840</v>
      </c>
      <c r="O3824" s="267">
        <v>0</v>
      </c>
      <c r="P3824" s="267" t="s">
        <v>3930</v>
      </c>
      <c r="Q3824" s="267" t="s">
        <v>3930</v>
      </c>
      <c r="R3824" s="267">
        <v>0</v>
      </c>
      <c r="S3824" s="267">
        <v>30816</v>
      </c>
      <c r="T3824" s="267">
        <v>30816</v>
      </c>
      <c r="U3824" s="268" t="s">
        <v>3937</v>
      </c>
      <c r="V3824" s="267" t="s">
        <v>944</v>
      </c>
    </row>
    <row r="3825" spans="1:22" hidden="1" x14ac:dyDescent="0.25">
      <c r="A3825" s="269">
        <v>43661</v>
      </c>
      <c r="B3825" s="270">
        <v>2019</v>
      </c>
      <c r="C3825" s="270">
        <v>2020</v>
      </c>
      <c r="D3825" s="270">
        <v>1</v>
      </c>
      <c r="E3825" s="270">
        <v>1</v>
      </c>
      <c r="F3825" s="270" t="s">
        <v>944</v>
      </c>
      <c r="G3825" s="270" t="s">
        <v>3997</v>
      </c>
      <c r="H3825" s="270" t="s">
        <v>8361</v>
      </c>
      <c r="I3825" s="270" t="s">
        <v>934</v>
      </c>
      <c r="J3825" s="270" t="s">
        <v>3928</v>
      </c>
      <c r="K3825" s="270">
        <v>6606</v>
      </c>
      <c r="L3825" s="270">
        <v>72500</v>
      </c>
      <c r="M3825" s="270" t="s">
        <v>3940</v>
      </c>
      <c r="N3825" s="270" t="s">
        <v>3983</v>
      </c>
      <c r="O3825" s="270">
        <v>1250.5899999999999</v>
      </c>
      <c r="P3825" s="270" t="s">
        <v>3930</v>
      </c>
      <c r="Q3825" s="270" t="s">
        <v>3931</v>
      </c>
      <c r="R3825" s="270">
        <v>6250.59</v>
      </c>
      <c r="S3825" s="270">
        <v>16504</v>
      </c>
      <c r="T3825" s="270">
        <v>22754.59</v>
      </c>
      <c r="U3825" s="271" t="s">
        <v>3932</v>
      </c>
      <c r="V3825" s="267" t="s">
        <v>944</v>
      </c>
    </row>
    <row r="3826" spans="1:22" hidden="1" x14ac:dyDescent="0.25">
      <c r="A3826" s="266">
        <v>43661</v>
      </c>
      <c r="B3826" s="267">
        <v>2019</v>
      </c>
      <c r="C3826" s="267">
        <v>2020</v>
      </c>
      <c r="D3826" s="267">
        <v>1</v>
      </c>
      <c r="E3826" s="267">
        <v>1</v>
      </c>
      <c r="F3826" s="267" t="s">
        <v>944</v>
      </c>
      <c r="G3826" s="267" t="s">
        <v>3926</v>
      </c>
      <c r="H3826" s="267" t="s">
        <v>8362</v>
      </c>
      <c r="I3826" s="267" t="s">
        <v>4019</v>
      </c>
      <c r="J3826" s="267" t="s">
        <v>3928</v>
      </c>
      <c r="K3826" s="267">
        <v>6708</v>
      </c>
      <c r="L3826" s="267">
        <v>351601</v>
      </c>
      <c r="M3826" s="267">
        <v>-60</v>
      </c>
      <c r="N3826" s="267" t="s">
        <v>4053</v>
      </c>
      <c r="O3826" s="267">
        <v>1290</v>
      </c>
      <c r="P3826" s="267" t="s">
        <v>3930</v>
      </c>
      <c r="Q3826" s="267" t="s">
        <v>3931</v>
      </c>
      <c r="R3826" s="267">
        <v>6290</v>
      </c>
      <c r="S3826" s="267">
        <v>18603.2</v>
      </c>
      <c r="T3826" s="267">
        <v>24893.200000000001</v>
      </c>
      <c r="U3826" s="268" t="s">
        <v>3932</v>
      </c>
      <c r="V3826" s="267" t="s">
        <v>944</v>
      </c>
    </row>
    <row r="3827" spans="1:22" hidden="1" x14ac:dyDescent="0.25">
      <c r="A3827" s="269">
        <v>43661</v>
      </c>
      <c r="B3827" s="270">
        <v>2019</v>
      </c>
      <c r="C3827" s="270">
        <v>2020</v>
      </c>
      <c r="D3827" s="270">
        <v>1</v>
      </c>
      <c r="E3827" s="270">
        <v>1</v>
      </c>
      <c r="F3827" s="270" t="s">
        <v>944</v>
      </c>
      <c r="G3827" s="270" t="s">
        <v>3926</v>
      </c>
      <c r="H3827" s="270" t="s">
        <v>8363</v>
      </c>
      <c r="I3827" s="270" t="s">
        <v>4392</v>
      </c>
      <c r="J3827" s="270" t="s">
        <v>3928</v>
      </c>
      <c r="K3827" s="270">
        <v>6457</v>
      </c>
      <c r="L3827" s="270">
        <v>542000</v>
      </c>
      <c r="M3827" s="270" t="s">
        <v>3935</v>
      </c>
      <c r="N3827" s="270" t="s">
        <v>4103</v>
      </c>
      <c r="O3827" s="270">
        <v>4010.94</v>
      </c>
      <c r="P3827" s="270" t="s">
        <v>3930</v>
      </c>
      <c r="Q3827" s="270" t="s">
        <v>3931</v>
      </c>
      <c r="R3827" s="270">
        <v>9010.94</v>
      </c>
      <c r="S3827" s="270">
        <v>24145.599999999999</v>
      </c>
      <c r="T3827" s="270">
        <v>33156.54</v>
      </c>
      <c r="U3827" s="271" t="s">
        <v>3932</v>
      </c>
      <c r="V3827" s="267" t="s">
        <v>944</v>
      </c>
    </row>
    <row r="3828" spans="1:22" x14ac:dyDescent="0.25">
      <c r="A3828" s="266">
        <v>43661</v>
      </c>
      <c r="B3828" s="267">
        <v>2019</v>
      </c>
      <c r="C3828" s="267">
        <v>2020</v>
      </c>
      <c r="D3828" s="267">
        <v>1</v>
      </c>
      <c r="E3828" s="267">
        <v>1</v>
      </c>
      <c r="F3828" s="267" t="s">
        <v>944</v>
      </c>
      <c r="G3828" s="267" t="s">
        <v>3926</v>
      </c>
      <c r="H3828" s="267" t="s">
        <v>8364</v>
      </c>
      <c r="I3828" s="267" t="s">
        <v>943</v>
      </c>
      <c r="J3828" s="267" t="s">
        <v>3928</v>
      </c>
      <c r="K3828" s="267">
        <v>6511</v>
      </c>
      <c r="L3828" s="267">
        <v>141500</v>
      </c>
      <c r="M3828" s="267">
        <v>-60</v>
      </c>
      <c r="N3828" s="267" t="s">
        <v>3986</v>
      </c>
      <c r="O3828" s="267">
        <v>1181.1099999999999</v>
      </c>
      <c r="P3828" s="267" t="s">
        <v>3930</v>
      </c>
      <c r="Q3828" s="267" t="s">
        <v>3931</v>
      </c>
      <c r="R3828" s="267">
        <v>6181.11</v>
      </c>
      <c r="S3828" s="267">
        <v>16196.8</v>
      </c>
      <c r="T3828" s="267">
        <v>22377.91</v>
      </c>
      <c r="U3828" s="268" t="s">
        <v>3932</v>
      </c>
      <c r="V3828" s="276" t="s">
        <v>936</v>
      </c>
    </row>
    <row r="3829" spans="1:22" hidden="1" x14ac:dyDescent="0.25">
      <c r="A3829" s="269">
        <v>43661</v>
      </c>
      <c r="B3829" s="270">
        <v>2019</v>
      </c>
      <c r="C3829" s="270">
        <v>2020</v>
      </c>
      <c r="D3829" s="270">
        <v>1</v>
      </c>
      <c r="E3829" s="270">
        <v>1</v>
      </c>
      <c r="F3829" s="270" t="s">
        <v>944</v>
      </c>
      <c r="G3829" s="270" t="s">
        <v>3926</v>
      </c>
      <c r="H3829" s="270" t="s">
        <v>8365</v>
      </c>
      <c r="I3829" s="270" t="s">
        <v>3939</v>
      </c>
      <c r="J3829" s="270" t="s">
        <v>3928</v>
      </c>
      <c r="K3829" s="270">
        <v>6513</v>
      </c>
      <c r="L3829" s="270">
        <v>180500</v>
      </c>
      <c r="M3829" s="270" t="s">
        <v>3935</v>
      </c>
      <c r="N3829" s="270" t="s">
        <v>8366</v>
      </c>
      <c r="O3829" s="270">
        <v>0</v>
      </c>
      <c r="P3829" s="270" t="s">
        <v>3930</v>
      </c>
      <c r="Q3829" s="270" t="s">
        <v>3930</v>
      </c>
      <c r="R3829" s="270">
        <v>0</v>
      </c>
      <c r="S3829" s="270">
        <v>9370</v>
      </c>
      <c r="T3829" s="270">
        <v>9370</v>
      </c>
      <c r="U3829" s="271" t="s">
        <v>3937</v>
      </c>
      <c r="V3829" s="267" t="s">
        <v>944</v>
      </c>
    </row>
    <row r="3830" spans="1:22" hidden="1" x14ac:dyDescent="0.25">
      <c r="A3830" s="266">
        <v>43661</v>
      </c>
      <c r="B3830" s="267">
        <v>2019</v>
      </c>
      <c r="C3830" s="267">
        <v>2020</v>
      </c>
      <c r="D3830" s="267">
        <v>1</v>
      </c>
      <c r="E3830" s="267">
        <v>1</v>
      </c>
      <c r="F3830" s="267" t="s">
        <v>944</v>
      </c>
      <c r="G3830" s="267" t="s">
        <v>3926</v>
      </c>
      <c r="H3830" s="267" t="s">
        <v>8367</v>
      </c>
      <c r="I3830" s="267" t="s">
        <v>4111</v>
      </c>
      <c r="J3830" s="267" t="s">
        <v>3928</v>
      </c>
      <c r="K3830" s="267">
        <v>6095</v>
      </c>
      <c r="L3830" s="267">
        <v>473601</v>
      </c>
      <c r="M3830" s="267" t="s">
        <v>3943</v>
      </c>
      <c r="N3830" s="267" t="s">
        <v>8368</v>
      </c>
      <c r="O3830" s="267">
        <v>0</v>
      </c>
      <c r="P3830" s="267" t="s">
        <v>3930</v>
      </c>
      <c r="Q3830" s="267" t="s">
        <v>3930</v>
      </c>
      <c r="R3830" s="267">
        <v>0</v>
      </c>
      <c r="S3830" s="267">
        <v>28797</v>
      </c>
      <c r="T3830" s="267">
        <v>28797</v>
      </c>
      <c r="U3830" s="268" t="s">
        <v>3937</v>
      </c>
      <c r="V3830" s="267" t="s">
        <v>944</v>
      </c>
    </row>
    <row r="3831" spans="1:22" hidden="1" x14ac:dyDescent="0.25">
      <c r="A3831" s="269">
        <v>43661</v>
      </c>
      <c r="B3831" s="270">
        <v>2019</v>
      </c>
      <c r="C3831" s="270">
        <v>2020</v>
      </c>
      <c r="D3831" s="270">
        <v>1</v>
      </c>
      <c r="E3831" s="270">
        <v>1</v>
      </c>
      <c r="F3831" s="270" t="s">
        <v>944</v>
      </c>
      <c r="G3831" s="270" t="s">
        <v>3926</v>
      </c>
      <c r="H3831" s="270" t="s">
        <v>8369</v>
      </c>
      <c r="I3831" s="270" t="s">
        <v>950</v>
      </c>
      <c r="J3831" s="270" t="s">
        <v>3928</v>
      </c>
      <c r="K3831" s="270">
        <v>6516</v>
      </c>
      <c r="L3831" s="270">
        <v>151200</v>
      </c>
      <c r="M3831" s="270" t="s">
        <v>3935</v>
      </c>
      <c r="N3831" s="270" t="s">
        <v>4103</v>
      </c>
      <c r="O3831" s="270">
        <v>1726.97</v>
      </c>
      <c r="P3831" s="270" t="s">
        <v>3930</v>
      </c>
      <c r="Q3831" s="270" t="s">
        <v>3931</v>
      </c>
      <c r="R3831" s="270">
        <v>6726.97</v>
      </c>
      <c r="S3831" s="270">
        <v>24145.599999999999</v>
      </c>
      <c r="T3831" s="270">
        <v>30872.57</v>
      </c>
      <c r="U3831" s="271" t="s">
        <v>3932</v>
      </c>
      <c r="V3831" s="267" t="s">
        <v>944</v>
      </c>
    </row>
    <row r="3832" spans="1:22" hidden="1" x14ac:dyDescent="0.25">
      <c r="A3832" s="266">
        <v>43661</v>
      </c>
      <c r="B3832" s="267">
        <v>2019</v>
      </c>
      <c r="C3832" s="267">
        <v>2020</v>
      </c>
      <c r="D3832" s="267">
        <v>1</v>
      </c>
      <c r="E3832" s="267">
        <v>1</v>
      </c>
      <c r="F3832" s="267" t="s">
        <v>944</v>
      </c>
      <c r="G3832" s="267" t="s">
        <v>3997</v>
      </c>
      <c r="H3832" s="267" t="s">
        <v>8370</v>
      </c>
      <c r="I3832" s="267" t="s">
        <v>943</v>
      </c>
      <c r="J3832" s="267" t="s">
        <v>3928</v>
      </c>
      <c r="K3832" s="267">
        <v>6515</v>
      </c>
      <c r="L3832" s="267">
        <v>141200</v>
      </c>
      <c r="M3832" s="267">
        <v>-60</v>
      </c>
      <c r="N3832" s="267" t="s">
        <v>3944</v>
      </c>
      <c r="O3832" s="267">
        <v>1018.12</v>
      </c>
      <c r="P3832" s="267" t="s">
        <v>3944</v>
      </c>
      <c r="Q3832" s="267" t="s">
        <v>3944</v>
      </c>
      <c r="R3832" s="267">
        <v>1018.12</v>
      </c>
      <c r="S3832" s="267">
        <v>12524.06</v>
      </c>
      <c r="T3832" s="267">
        <v>13542.18</v>
      </c>
      <c r="U3832" s="268" t="s">
        <v>3945</v>
      </c>
      <c r="V3832" s="267" t="s">
        <v>944</v>
      </c>
    </row>
    <row r="3833" spans="1:22" hidden="1" x14ac:dyDescent="0.25">
      <c r="A3833" s="269">
        <v>43661</v>
      </c>
      <c r="B3833" s="270">
        <v>2019</v>
      </c>
      <c r="C3833" s="270">
        <v>2020</v>
      </c>
      <c r="D3833" s="270">
        <v>1</v>
      </c>
      <c r="E3833" s="270">
        <v>1</v>
      </c>
      <c r="F3833" s="270" t="s">
        <v>944</v>
      </c>
      <c r="G3833" s="270" t="s">
        <v>3926</v>
      </c>
      <c r="H3833" s="270" t="s">
        <v>8371</v>
      </c>
      <c r="I3833" s="270" t="s">
        <v>4137</v>
      </c>
      <c r="J3833" s="270" t="s">
        <v>3928</v>
      </c>
      <c r="K3833" s="270">
        <v>6067</v>
      </c>
      <c r="L3833" s="270">
        <v>524200</v>
      </c>
      <c r="M3833" s="270" t="s">
        <v>3960</v>
      </c>
      <c r="N3833" s="270" t="s">
        <v>3944</v>
      </c>
      <c r="O3833" s="270">
        <v>1325.49</v>
      </c>
      <c r="P3833" s="270" t="s">
        <v>3944</v>
      </c>
      <c r="Q3833" s="270" t="s">
        <v>3944</v>
      </c>
      <c r="R3833" s="270">
        <v>1325.49</v>
      </c>
      <c r="S3833" s="270">
        <v>19098.650000000001</v>
      </c>
      <c r="T3833" s="270">
        <v>20424.14</v>
      </c>
      <c r="U3833" s="271" t="s">
        <v>3945</v>
      </c>
      <c r="V3833" s="267" t="s">
        <v>944</v>
      </c>
    </row>
    <row r="3834" spans="1:22" hidden="1" x14ac:dyDescent="0.25">
      <c r="A3834" s="266">
        <v>43661</v>
      </c>
      <c r="B3834" s="267">
        <v>2019</v>
      </c>
      <c r="C3834" s="267">
        <v>2020</v>
      </c>
      <c r="D3834" s="267">
        <v>1</v>
      </c>
      <c r="E3834" s="267">
        <v>1</v>
      </c>
      <c r="F3834" s="267" t="s">
        <v>944</v>
      </c>
      <c r="G3834" s="267" t="s">
        <v>3926</v>
      </c>
      <c r="H3834" s="267" t="s">
        <v>8372</v>
      </c>
      <c r="I3834" s="267" t="s">
        <v>2985</v>
      </c>
      <c r="J3834" s="267" t="s">
        <v>3928</v>
      </c>
      <c r="K3834" s="267">
        <v>6825</v>
      </c>
      <c r="L3834" s="267">
        <v>61300</v>
      </c>
      <c r="M3834" s="267" t="s">
        <v>3960</v>
      </c>
      <c r="N3834" s="267" t="s">
        <v>3944</v>
      </c>
      <c r="O3834" s="267">
        <v>1201.45</v>
      </c>
      <c r="P3834" s="267" t="s">
        <v>3944</v>
      </c>
      <c r="Q3834" s="267" t="s">
        <v>3944</v>
      </c>
      <c r="R3834" s="267">
        <v>1201.45</v>
      </c>
      <c r="S3834" s="267">
        <v>19827.75</v>
      </c>
      <c r="T3834" s="267">
        <v>21029.200000000001</v>
      </c>
      <c r="U3834" s="268" t="s">
        <v>3945</v>
      </c>
      <c r="V3834" s="267" t="s">
        <v>944</v>
      </c>
    </row>
    <row r="3835" spans="1:22" hidden="1" x14ac:dyDescent="0.25">
      <c r="A3835" s="269">
        <v>43661</v>
      </c>
      <c r="B3835" s="270">
        <v>2019</v>
      </c>
      <c r="C3835" s="270">
        <v>2020</v>
      </c>
      <c r="D3835" s="270">
        <v>1</v>
      </c>
      <c r="E3835" s="270">
        <v>1</v>
      </c>
      <c r="F3835" s="270" t="s">
        <v>944</v>
      </c>
      <c r="G3835" s="270" t="s">
        <v>3926</v>
      </c>
      <c r="H3835" s="270" t="s">
        <v>8373</v>
      </c>
      <c r="I3835" s="270" t="s">
        <v>4005</v>
      </c>
      <c r="J3835" s="270" t="s">
        <v>3928</v>
      </c>
      <c r="K3835" s="270">
        <v>6108</v>
      </c>
      <c r="L3835" s="270">
        <v>511400</v>
      </c>
      <c r="M3835" s="270" t="s">
        <v>3935</v>
      </c>
      <c r="N3835" s="270" t="s">
        <v>3944</v>
      </c>
      <c r="O3835" s="270">
        <v>1766.8</v>
      </c>
      <c r="P3835" s="270" t="s">
        <v>3944</v>
      </c>
      <c r="Q3835" s="270" t="s">
        <v>3944</v>
      </c>
      <c r="R3835" s="270">
        <v>1766.8</v>
      </c>
      <c r="S3835" s="270">
        <v>26191.3</v>
      </c>
      <c r="T3835" s="270">
        <v>27958.1</v>
      </c>
      <c r="U3835" s="271" t="s">
        <v>3945</v>
      </c>
      <c r="V3835" s="267" t="s">
        <v>944</v>
      </c>
    </row>
    <row r="3836" spans="1:22" hidden="1" x14ac:dyDescent="0.25">
      <c r="A3836" s="266">
        <v>43661</v>
      </c>
      <c r="B3836" s="267">
        <v>2019</v>
      </c>
      <c r="C3836" s="267">
        <v>2020</v>
      </c>
      <c r="D3836" s="267">
        <v>1</v>
      </c>
      <c r="E3836" s="267">
        <v>1</v>
      </c>
      <c r="F3836" s="267" t="s">
        <v>944</v>
      </c>
      <c r="G3836" s="267" t="s">
        <v>3926</v>
      </c>
      <c r="H3836" s="267" t="s">
        <v>8374</v>
      </c>
      <c r="I3836" s="267" t="s">
        <v>3996</v>
      </c>
      <c r="J3836" s="267" t="s">
        <v>3928</v>
      </c>
      <c r="K3836" s="267">
        <v>6790</v>
      </c>
      <c r="L3836" s="267">
        <v>310801</v>
      </c>
      <c r="M3836" s="267" t="s">
        <v>3940</v>
      </c>
      <c r="N3836" s="267" t="s">
        <v>3944</v>
      </c>
      <c r="O3836" s="267">
        <v>3156.37</v>
      </c>
      <c r="P3836" s="267" t="s">
        <v>3944</v>
      </c>
      <c r="Q3836" s="267" t="s">
        <v>3944</v>
      </c>
      <c r="R3836" s="267">
        <v>3156.37</v>
      </c>
      <c r="S3836" s="267">
        <v>39388.160000000003</v>
      </c>
      <c r="T3836" s="267">
        <v>42544.53</v>
      </c>
      <c r="U3836" s="268" t="s">
        <v>3945</v>
      </c>
      <c r="V3836" s="267" t="s">
        <v>944</v>
      </c>
    </row>
    <row r="3837" spans="1:22" hidden="1" x14ac:dyDescent="0.25">
      <c r="A3837" s="269">
        <v>43661</v>
      </c>
      <c r="B3837" s="270">
        <v>2019</v>
      </c>
      <c r="C3837" s="270">
        <v>2020</v>
      </c>
      <c r="D3837" s="270">
        <v>1</v>
      </c>
      <c r="E3837" s="270">
        <v>1</v>
      </c>
      <c r="F3837" s="270" t="s">
        <v>944</v>
      </c>
      <c r="G3837" s="270" t="s">
        <v>3926</v>
      </c>
      <c r="H3837" s="270" t="s">
        <v>8375</v>
      </c>
      <c r="I3837" s="270" t="s">
        <v>956</v>
      </c>
      <c r="J3837" s="270" t="s">
        <v>3928</v>
      </c>
      <c r="K3837" s="270">
        <v>6614</v>
      </c>
      <c r="L3837" s="270">
        <v>80900</v>
      </c>
      <c r="M3837" s="270" t="s">
        <v>3960</v>
      </c>
      <c r="N3837" s="270" t="s">
        <v>3944</v>
      </c>
      <c r="O3837" s="270">
        <v>1901.83</v>
      </c>
      <c r="P3837" s="270" t="s">
        <v>3944</v>
      </c>
      <c r="Q3837" s="270" t="s">
        <v>3944</v>
      </c>
      <c r="R3837" s="270">
        <v>1901.83</v>
      </c>
      <c r="S3837" s="270">
        <v>33063.17</v>
      </c>
      <c r="T3837" s="270">
        <v>34965</v>
      </c>
      <c r="U3837" s="271" t="s">
        <v>3945</v>
      </c>
      <c r="V3837" s="267" t="s">
        <v>944</v>
      </c>
    </row>
    <row r="3838" spans="1:22" hidden="1" x14ac:dyDescent="0.25">
      <c r="A3838" s="266">
        <v>43661</v>
      </c>
      <c r="B3838" s="267">
        <v>2019</v>
      </c>
      <c r="C3838" s="267">
        <v>2020</v>
      </c>
      <c r="D3838" s="267">
        <v>1</v>
      </c>
      <c r="E3838" s="267">
        <v>1</v>
      </c>
      <c r="F3838" s="267" t="s">
        <v>944</v>
      </c>
      <c r="G3838" s="267" t="s">
        <v>3926</v>
      </c>
      <c r="H3838" s="267" t="s">
        <v>8376</v>
      </c>
      <c r="I3838" s="267" t="s">
        <v>4019</v>
      </c>
      <c r="J3838" s="267" t="s">
        <v>3928</v>
      </c>
      <c r="K3838" s="267">
        <v>6704</v>
      </c>
      <c r="L3838" s="267">
        <v>352300</v>
      </c>
      <c r="M3838" s="267">
        <v>-60</v>
      </c>
      <c r="N3838" s="267" t="s">
        <v>3944</v>
      </c>
      <c r="O3838" s="267">
        <v>865.66</v>
      </c>
      <c r="P3838" s="267" t="s">
        <v>3944</v>
      </c>
      <c r="Q3838" s="267" t="s">
        <v>3944</v>
      </c>
      <c r="R3838" s="267">
        <v>865.66</v>
      </c>
      <c r="S3838" s="267">
        <v>13334.54</v>
      </c>
      <c r="T3838" s="267">
        <v>14200.2</v>
      </c>
      <c r="U3838" s="268" t="s">
        <v>3945</v>
      </c>
      <c r="V3838" s="267" t="s">
        <v>944</v>
      </c>
    </row>
    <row r="3839" spans="1:22" hidden="1" x14ac:dyDescent="0.25">
      <c r="A3839" s="269">
        <v>43661</v>
      </c>
      <c r="B3839" s="270">
        <v>2019</v>
      </c>
      <c r="C3839" s="270">
        <v>2020</v>
      </c>
      <c r="D3839" s="270">
        <v>1</v>
      </c>
      <c r="E3839" s="270">
        <v>1</v>
      </c>
      <c r="F3839" s="270" t="s">
        <v>944</v>
      </c>
      <c r="G3839" s="270" t="s">
        <v>3926</v>
      </c>
      <c r="H3839" s="270" t="s">
        <v>8377</v>
      </c>
      <c r="I3839" s="270" t="s">
        <v>4085</v>
      </c>
      <c r="J3839" s="270" t="s">
        <v>3928</v>
      </c>
      <c r="K3839" s="270">
        <v>6351</v>
      </c>
      <c r="L3839" s="270">
        <v>709100</v>
      </c>
      <c r="M3839" s="270" t="s">
        <v>3935</v>
      </c>
      <c r="N3839" s="270" t="s">
        <v>3944</v>
      </c>
      <c r="O3839" s="270">
        <v>1964.24</v>
      </c>
      <c r="P3839" s="270" t="s">
        <v>3944</v>
      </c>
      <c r="Q3839" s="270" t="s">
        <v>3944</v>
      </c>
      <c r="R3839" s="270">
        <v>1964.24</v>
      </c>
      <c r="S3839" s="270">
        <v>28662.33</v>
      </c>
      <c r="T3839" s="270">
        <v>30626.57</v>
      </c>
      <c r="U3839" s="271" t="s">
        <v>3945</v>
      </c>
      <c r="V3839" s="267" t="s">
        <v>944</v>
      </c>
    </row>
    <row r="3840" spans="1:22" hidden="1" x14ac:dyDescent="0.25">
      <c r="A3840" s="266">
        <v>43661</v>
      </c>
      <c r="B3840" s="267">
        <v>2019</v>
      </c>
      <c r="C3840" s="267">
        <v>2020</v>
      </c>
      <c r="D3840" s="267">
        <v>1</v>
      </c>
      <c r="E3840" s="267">
        <v>1</v>
      </c>
      <c r="F3840" s="267" t="s">
        <v>944</v>
      </c>
      <c r="G3840" s="267" t="s">
        <v>3926</v>
      </c>
      <c r="H3840" s="267" t="s">
        <v>8378</v>
      </c>
      <c r="I3840" s="267" t="s">
        <v>3956</v>
      </c>
      <c r="J3840" s="267" t="s">
        <v>3928</v>
      </c>
      <c r="K3840" s="267">
        <v>6112</v>
      </c>
      <c r="L3840" s="267">
        <v>503900</v>
      </c>
      <c r="M3840" s="267">
        <v>-60</v>
      </c>
      <c r="N3840" s="267" t="s">
        <v>3944</v>
      </c>
      <c r="O3840" s="267">
        <v>760.31</v>
      </c>
      <c r="P3840" s="267" t="s">
        <v>3944</v>
      </c>
      <c r="Q3840" s="267" t="s">
        <v>3944</v>
      </c>
      <c r="R3840" s="267">
        <v>760.31</v>
      </c>
      <c r="S3840" s="267">
        <v>10778.35</v>
      </c>
      <c r="T3840" s="267">
        <v>11538.66</v>
      </c>
      <c r="U3840" s="268" t="s">
        <v>3945</v>
      </c>
      <c r="V3840" s="267" t="s">
        <v>944</v>
      </c>
    </row>
    <row r="3841" spans="1:22" hidden="1" x14ac:dyDescent="0.25">
      <c r="A3841" s="269">
        <v>43661</v>
      </c>
      <c r="B3841" s="270">
        <v>2019</v>
      </c>
      <c r="C3841" s="270">
        <v>2020</v>
      </c>
      <c r="D3841" s="270">
        <v>1</v>
      </c>
      <c r="E3841" s="270">
        <v>1</v>
      </c>
      <c r="F3841" s="270" t="s">
        <v>944</v>
      </c>
      <c r="G3841" s="270" t="s">
        <v>3926</v>
      </c>
      <c r="H3841" s="270" t="s">
        <v>8379</v>
      </c>
      <c r="I3841" s="270" t="s">
        <v>3010</v>
      </c>
      <c r="J3841" s="270" t="s">
        <v>3928</v>
      </c>
      <c r="K3841" s="270">
        <v>6401</v>
      </c>
      <c r="L3841" s="270">
        <v>125200</v>
      </c>
      <c r="M3841" s="270">
        <v>-60</v>
      </c>
      <c r="N3841" s="270" t="s">
        <v>3944</v>
      </c>
      <c r="O3841" s="270">
        <v>1876.95</v>
      </c>
      <c r="P3841" s="270" t="s">
        <v>3944</v>
      </c>
      <c r="Q3841" s="270" t="s">
        <v>3944</v>
      </c>
      <c r="R3841" s="270">
        <v>1876.95</v>
      </c>
      <c r="S3841" s="270">
        <v>30508.61</v>
      </c>
      <c r="T3841" s="270">
        <v>32385.56</v>
      </c>
      <c r="U3841" s="271" t="s">
        <v>3945</v>
      </c>
      <c r="V3841" s="267" t="s">
        <v>944</v>
      </c>
    </row>
    <row r="3842" spans="1:22" hidden="1" x14ac:dyDescent="0.25">
      <c r="A3842" s="266">
        <v>43661</v>
      </c>
      <c r="B3842" s="267">
        <v>2019</v>
      </c>
      <c r="C3842" s="267">
        <v>2020</v>
      </c>
      <c r="D3842" s="267">
        <v>1</v>
      </c>
      <c r="E3842" s="267">
        <v>1</v>
      </c>
      <c r="F3842" s="267" t="s">
        <v>944</v>
      </c>
      <c r="G3842" s="267" t="s">
        <v>3926</v>
      </c>
      <c r="H3842" s="267" t="s">
        <v>8380</v>
      </c>
      <c r="I3842" s="267" t="s">
        <v>4203</v>
      </c>
      <c r="J3842" s="267" t="s">
        <v>3928</v>
      </c>
      <c r="K3842" s="267">
        <v>6071</v>
      </c>
      <c r="L3842" s="267">
        <v>538201</v>
      </c>
      <c r="M3842" s="267" t="s">
        <v>3943</v>
      </c>
      <c r="N3842" s="267" t="s">
        <v>3944</v>
      </c>
      <c r="O3842" s="267">
        <v>2496.83</v>
      </c>
      <c r="P3842" s="267" t="s">
        <v>3944</v>
      </c>
      <c r="Q3842" s="267" t="s">
        <v>3944</v>
      </c>
      <c r="R3842" s="267">
        <v>2496.83</v>
      </c>
      <c r="S3842" s="267">
        <v>33798.22</v>
      </c>
      <c r="T3842" s="267">
        <v>36295.050000000003</v>
      </c>
      <c r="U3842" s="268" t="s">
        <v>3945</v>
      </c>
      <c r="V3842" s="267" t="s">
        <v>944</v>
      </c>
    </row>
    <row r="3843" spans="1:22" hidden="1" x14ac:dyDescent="0.25">
      <c r="A3843" s="269">
        <v>43661</v>
      </c>
      <c r="B3843" s="270">
        <v>2019</v>
      </c>
      <c r="C3843" s="270">
        <v>2020</v>
      </c>
      <c r="D3843" s="270">
        <v>1</v>
      </c>
      <c r="E3843" s="270">
        <v>1</v>
      </c>
      <c r="F3843" s="270" t="s">
        <v>944</v>
      </c>
      <c r="G3843" s="270" t="s">
        <v>3926</v>
      </c>
      <c r="H3843" s="270" t="s">
        <v>8381</v>
      </c>
      <c r="I3843" s="270" t="s">
        <v>4422</v>
      </c>
      <c r="J3843" s="270" t="s">
        <v>3928</v>
      </c>
      <c r="K3843" s="270">
        <v>6801</v>
      </c>
      <c r="L3843" s="270">
        <v>200302</v>
      </c>
      <c r="M3843" s="270" t="s">
        <v>3943</v>
      </c>
      <c r="N3843" s="270" t="s">
        <v>3944</v>
      </c>
      <c r="O3843" s="270">
        <v>3698.49</v>
      </c>
      <c r="P3843" s="270" t="s">
        <v>3944</v>
      </c>
      <c r="Q3843" s="270" t="s">
        <v>3944</v>
      </c>
      <c r="R3843" s="270">
        <v>3698.49</v>
      </c>
      <c r="S3843" s="270">
        <v>49504.25</v>
      </c>
      <c r="T3843" s="270">
        <v>53202.74</v>
      </c>
      <c r="U3843" s="271" t="s">
        <v>3945</v>
      </c>
      <c r="V3843" s="267" t="s">
        <v>944</v>
      </c>
    </row>
    <row r="3844" spans="1:22" hidden="1" x14ac:dyDescent="0.25">
      <c r="A3844" s="266">
        <v>43661</v>
      </c>
      <c r="B3844" s="267">
        <v>2019</v>
      </c>
      <c r="C3844" s="267">
        <v>2020</v>
      </c>
      <c r="D3844" s="267">
        <v>1</v>
      </c>
      <c r="E3844" s="267">
        <v>1</v>
      </c>
      <c r="F3844" s="267" t="s">
        <v>944</v>
      </c>
      <c r="G3844" s="267" t="s">
        <v>3926</v>
      </c>
      <c r="H3844" s="267" t="s">
        <v>8382</v>
      </c>
      <c r="I3844" s="267" t="s">
        <v>4079</v>
      </c>
      <c r="J3844" s="267" t="s">
        <v>3928</v>
      </c>
      <c r="K3844" s="267">
        <v>6111</v>
      </c>
      <c r="L3844" s="267">
        <v>494202</v>
      </c>
      <c r="M3844" s="267" t="s">
        <v>3960</v>
      </c>
      <c r="N3844" s="267" t="s">
        <v>3944</v>
      </c>
      <c r="O3844" s="267">
        <v>1958.85</v>
      </c>
      <c r="P3844" s="267" t="s">
        <v>3944</v>
      </c>
      <c r="Q3844" s="267" t="s">
        <v>3944</v>
      </c>
      <c r="R3844" s="267">
        <v>1958.85</v>
      </c>
      <c r="S3844" s="267">
        <v>26688.58</v>
      </c>
      <c r="T3844" s="267">
        <v>28647.43</v>
      </c>
      <c r="U3844" s="268" t="s">
        <v>3945</v>
      </c>
      <c r="V3844" s="267" t="s">
        <v>944</v>
      </c>
    </row>
    <row r="3845" spans="1:22" hidden="1" x14ac:dyDescent="0.25">
      <c r="A3845" s="269">
        <v>43661</v>
      </c>
      <c r="B3845" s="270">
        <v>2019</v>
      </c>
      <c r="C3845" s="270">
        <v>2020</v>
      </c>
      <c r="D3845" s="270">
        <v>1</v>
      </c>
      <c r="E3845" s="270">
        <v>1</v>
      </c>
      <c r="F3845" s="270" t="s">
        <v>944</v>
      </c>
      <c r="G3845" s="270" t="s">
        <v>3926</v>
      </c>
      <c r="H3845" s="270" t="s">
        <v>8383</v>
      </c>
      <c r="I3845" s="270" t="s">
        <v>3975</v>
      </c>
      <c r="J3845" s="270" t="s">
        <v>3928</v>
      </c>
      <c r="K3845" s="270">
        <v>6489</v>
      </c>
      <c r="L3845" s="270">
        <v>430602</v>
      </c>
      <c r="M3845" s="270" t="s">
        <v>3960</v>
      </c>
      <c r="N3845" s="270" t="s">
        <v>3944</v>
      </c>
      <c r="O3845" s="270">
        <v>1193.78</v>
      </c>
      <c r="P3845" s="270" t="s">
        <v>3944</v>
      </c>
      <c r="Q3845" s="270" t="s">
        <v>3944</v>
      </c>
      <c r="R3845" s="270">
        <v>1193.78</v>
      </c>
      <c r="S3845" s="270">
        <v>16060.07</v>
      </c>
      <c r="T3845" s="270">
        <v>17253.849999999999</v>
      </c>
      <c r="U3845" s="271" t="s">
        <v>3945</v>
      </c>
      <c r="V3845" s="267" t="s">
        <v>944</v>
      </c>
    </row>
    <row r="3846" spans="1:22" hidden="1" x14ac:dyDescent="0.25">
      <c r="A3846" s="266">
        <v>43661</v>
      </c>
      <c r="B3846" s="267">
        <v>2019</v>
      </c>
      <c r="C3846" s="267">
        <v>2020</v>
      </c>
      <c r="D3846" s="267">
        <v>1</v>
      </c>
      <c r="E3846" s="267">
        <v>1</v>
      </c>
      <c r="F3846" s="267" t="s">
        <v>944</v>
      </c>
      <c r="G3846" s="267" t="s">
        <v>3926</v>
      </c>
      <c r="H3846" s="267" t="s">
        <v>8384</v>
      </c>
      <c r="I3846" s="267" t="s">
        <v>4085</v>
      </c>
      <c r="J3846" s="267" t="s">
        <v>3928</v>
      </c>
      <c r="K3846" s="267">
        <v>6351</v>
      </c>
      <c r="L3846" s="267">
        <v>709200</v>
      </c>
      <c r="M3846" s="267" t="s">
        <v>3940</v>
      </c>
      <c r="N3846" s="267" t="s">
        <v>3944</v>
      </c>
      <c r="O3846" s="267">
        <v>1107.0899999999999</v>
      </c>
      <c r="P3846" s="267" t="s">
        <v>3944</v>
      </c>
      <c r="Q3846" s="267" t="s">
        <v>3944</v>
      </c>
      <c r="R3846" s="267">
        <v>1107.0899999999999</v>
      </c>
      <c r="S3846" s="267">
        <v>15252.62</v>
      </c>
      <c r="T3846" s="267">
        <v>16359.71</v>
      </c>
      <c r="U3846" s="268" t="s">
        <v>3945</v>
      </c>
      <c r="V3846" s="267" t="s">
        <v>944</v>
      </c>
    </row>
    <row r="3847" spans="1:22" hidden="1" x14ac:dyDescent="0.25">
      <c r="A3847" s="269">
        <v>43661</v>
      </c>
      <c r="B3847" s="270">
        <v>2019</v>
      </c>
      <c r="C3847" s="270">
        <v>2020</v>
      </c>
      <c r="D3847" s="270">
        <v>1</v>
      </c>
      <c r="E3847" s="270">
        <v>1</v>
      </c>
      <c r="F3847" s="270" t="s">
        <v>944</v>
      </c>
      <c r="G3847" s="270" t="s">
        <v>3926</v>
      </c>
      <c r="H3847" s="270" t="s">
        <v>8385</v>
      </c>
      <c r="I3847" s="270" t="s">
        <v>4235</v>
      </c>
      <c r="J3847" s="270" t="s">
        <v>3928</v>
      </c>
      <c r="K3847" s="270">
        <v>6066</v>
      </c>
      <c r="L3847" s="270">
        <v>530301</v>
      </c>
      <c r="M3847" s="270" t="s">
        <v>3940</v>
      </c>
      <c r="N3847" s="270" t="s">
        <v>3944</v>
      </c>
      <c r="O3847" s="270">
        <v>1452.61</v>
      </c>
      <c r="P3847" s="270" t="s">
        <v>3944</v>
      </c>
      <c r="Q3847" s="270" t="s">
        <v>3944</v>
      </c>
      <c r="R3847" s="270">
        <v>1452.61</v>
      </c>
      <c r="S3847" s="270">
        <v>21640.79</v>
      </c>
      <c r="T3847" s="270">
        <v>23093.4</v>
      </c>
      <c r="U3847" s="271" t="s">
        <v>3945</v>
      </c>
      <c r="V3847" s="267" t="s">
        <v>944</v>
      </c>
    </row>
    <row r="3848" spans="1:22" hidden="1" x14ac:dyDescent="0.25">
      <c r="A3848" s="266">
        <v>43662</v>
      </c>
      <c r="B3848" s="267">
        <v>2019</v>
      </c>
      <c r="C3848" s="267">
        <v>2020</v>
      </c>
      <c r="D3848" s="267">
        <v>1</v>
      </c>
      <c r="E3848" s="267">
        <v>1</v>
      </c>
      <c r="F3848" s="267" t="s">
        <v>944</v>
      </c>
      <c r="G3848" s="267" t="s">
        <v>3926</v>
      </c>
      <c r="H3848" s="267" t="s">
        <v>8386</v>
      </c>
      <c r="I3848" s="267" t="s">
        <v>3934</v>
      </c>
      <c r="J3848" s="267" t="s">
        <v>3928</v>
      </c>
      <c r="K3848" s="267">
        <v>6405</v>
      </c>
      <c r="L3848" s="267">
        <v>184200</v>
      </c>
      <c r="M3848" s="267" t="s">
        <v>3940</v>
      </c>
      <c r="N3848" s="267" t="s">
        <v>8387</v>
      </c>
      <c r="O3848" s="267">
        <v>0</v>
      </c>
      <c r="P3848" s="267" t="s">
        <v>3930</v>
      </c>
      <c r="Q3848" s="267" t="s">
        <v>3930</v>
      </c>
      <c r="R3848" s="267">
        <v>0</v>
      </c>
      <c r="S3848" s="267">
        <v>16425</v>
      </c>
      <c r="T3848" s="267">
        <v>16425</v>
      </c>
      <c r="U3848" s="268" t="s">
        <v>3937</v>
      </c>
      <c r="V3848" s="267" t="s">
        <v>944</v>
      </c>
    </row>
    <row r="3849" spans="1:22" hidden="1" x14ac:dyDescent="0.25">
      <c r="A3849" s="269">
        <v>43662</v>
      </c>
      <c r="B3849" s="270">
        <v>2019</v>
      </c>
      <c r="C3849" s="270">
        <v>2020</v>
      </c>
      <c r="D3849" s="270">
        <v>1</v>
      </c>
      <c r="E3849" s="270">
        <v>1</v>
      </c>
      <c r="F3849" s="270" t="s">
        <v>944</v>
      </c>
      <c r="G3849" s="270" t="s">
        <v>3997</v>
      </c>
      <c r="H3849" s="270" t="s">
        <v>8388</v>
      </c>
      <c r="I3849" s="270" t="s">
        <v>934</v>
      </c>
      <c r="J3849" s="270" t="s">
        <v>3928</v>
      </c>
      <c r="K3849" s="270">
        <v>6604</v>
      </c>
      <c r="L3849" s="270">
        <v>72100</v>
      </c>
      <c r="M3849" s="270" t="s">
        <v>3940</v>
      </c>
      <c r="N3849" s="270" t="s">
        <v>4523</v>
      </c>
      <c r="O3849" s="270">
        <v>1396.38</v>
      </c>
      <c r="P3849" s="270" t="s">
        <v>3930</v>
      </c>
      <c r="Q3849" s="270" t="s">
        <v>3931</v>
      </c>
      <c r="R3849" s="270">
        <v>6396.38</v>
      </c>
      <c r="S3849" s="270">
        <v>25412.799999999999</v>
      </c>
      <c r="T3849" s="270">
        <v>31809.18</v>
      </c>
      <c r="U3849" s="271" t="s">
        <v>3932</v>
      </c>
      <c r="V3849" s="267" t="s">
        <v>944</v>
      </c>
    </row>
    <row r="3850" spans="1:22" hidden="1" x14ac:dyDescent="0.25">
      <c r="A3850" s="266">
        <v>43662</v>
      </c>
      <c r="B3850" s="267">
        <v>2019</v>
      </c>
      <c r="C3850" s="267">
        <v>2020</v>
      </c>
      <c r="D3850" s="267">
        <v>1</v>
      </c>
      <c r="E3850" s="267">
        <v>1</v>
      </c>
      <c r="F3850" s="267" t="s">
        <v>944</v>
      </c>
      <c r="G3850" s="267" t="s">
        <v>3926</v>
      </c>
      <c r="H3850" s="267" t="s">
        <v>8389</v>
      </c>
      <c r="I3850" s="267" t="s">
        <v>3966</v>
      </c>
      <c r="J3850" s="267" t="s">
        <v>3928</v>
      </c>
      <c r="K3850" s="267">
        <v>6010</v>
      </c>
      <c r="L3850" s="267">
        <v>405700</v>
      </c>
      <c r="M3850" s="267">
        <v>-60</v>
      </c>
      <c r="N3850" s="267" t="s">
        <v>3986</v>
      </c>
      <c r="O3850" s="267">
        <v>3143.79</v>
      </c>
      <c r="P3850" s="267" t="s">
        <v>3930</v>
      </c>
      <c r="Q3850" s="267" t="s">
        <v>3931</v>
      </c>
      <c r="R3850" s="267">
        <v>8143.79</v>
      </c>
      <c r="S3850" s="267">
        <v>16196.8</v>
      </c>
      <c r="T3850" s="267">
        <v>24340.59</v>
      </c>
      <c r="U3850" s="268" t="s">
        <v>3932</v>
      </c>
      <c r="V3850" s="267" t="s">
        <v>944</v>
      </c>
    </row>
    <row r="3851" spans="1:22" hidden="1" x14ac:dyDescent="0.25">
      <c r="A3851" s="269">
        <v>43662</v>
      </c>
      <c r="B3851" s="270">
        <v>2019</v>
      </c>
      <c r="C3851" s="270">
        <v>2020</v>
      </c>
      <c r="D3851" s="270">
        <v>1</v>
      </c>
      <c r="E3851" s="270">
        <v>1</v>
      </c>
      <c r="F3851" s="270" t="s">
        <v>944</v>
      </c>
      <c r="G3851" s="270" t="s">
        <v>3926</v>
      </c>
      <c r="H3851" s="270" t="s">
        <v>8390</v>
      </c>
      <c r="I3851" s="270" t="s">
        <v>4269</v>
      </c>
      <c r="J3851" s="270" t="s">
        <v>3928</v>
      </c>
      <c r="K3851" s="270">
        <v>6107</v>
      </c>
      <c r="L3851" s="270">
        <v>496600</v>
      </c>
      <c r="M3851" s="270" t="s">
        <v>3943</v>
      </c>
      <c r="N3851" s="270" t="s">
        <v>8391</v>
      </c>
      <c r="O3851" s="270">
        <v>0</v>
      </c>
      <c r="P3851" s="270" t="s">
        <v>3930</v>
      </c>
      <c r="Q3851" s="270" t="s">
        <v>3930</v>
      </c>
      <c r="R3851" s="270">
        <v>0</v>
      </c>
      <c r="S3851" s="270">
        <v>15500</v>
      </c>
      <c r="T3851" s="270">
        <v>15500</v>
      </c>
      <c r="U3851" s="271" t="s">
        <v>3937</v>
      </c>
      <c r="V3851" s="267" t="s">
        <v>944</v>
      </c>
    </row>
    <row r="3852" spans="1:22" hidden="1" x14ac:dyDescent="0.25">
      <c r="A3852" s="266">
        <v>43662</v>
      </c>
      <c r="B3852" s="267">
        <v>2019</v>
      </c>
      <c r="C3852" s="267">
        <v>2020</v>
      </c>
      <c r="D3852" s="267">
        <v>1</v>
      </c>
      <c r="E3852" s="267">
        <v>1</v>
      </c>
      <c r="F3852" s="267" t="s">
        <v>944</v>
      </c>
      <c r="G3852" s="267" t="s">
        <v>3926</v>
      </c>
      <c r="H3852" s="267" t="s">
        <v>8392</v>
      </c>
      <c r="I3852" s="267" t="s">
        <v>4019</v>
      </c>
      <c r="J3852" s="267" t="s">
        <v>3928</v>
      </c>
      <c r="K3852" s="267">
        <v>6708</v>
      </c>
      <c r="L3852" s="267">
        <v>351602</v>
      </c>
      <c r="M3852" s="267" t="s">
        <v>3940</v>
      </c>
      <c r="N3852" s="267" t="s">
        <v>8393</v>
      </c>
      <c r="O3852" s="267">
        <v>0</v>
      </c>
      <c r="P3852" s="267" t="s">
        <v>3930</v>
      </c>
      <c r="Q3852" s="267" t="s">
        <v>3930</v>
      </c>
      <c r="R3852" s="267">
        <v>0</v>
      </c>
      <c r="S3852" s="267">
        <v>4556</v>
      </c>
      <c r="T3852" s="267">
        <v>4556</v>
      </c>
      <c r="U3852" s="268" t="s">
        <v>3937</v>
      </c>
      <c r="V3852" s="267" t="s">
        <v>944</v>
      </c>
    </row>
    <row r="3853" spans="1:22" hidden="1" x14ac:dyDescent="0.25">
      <c r="A3853" s="269">
        <v>43662</v>
      </c>
      <c r="B3853" s="270">
        <v>2019</v>
      </c>
      <c r="C3853" s="270">
        <v>2020</v>
      </c>
      <c r="D3853" s="270">
        <v>1</v>
      </c>
      <c r="E3853" s="270">
        <v>1</v>
      </c>
      <c r="F3853" s="270" t="s">
        <v>944</v>
      </c>
      <c r="G3853" s="270" t="s">
        <v>3926</v>
      </c>
      <c r="H3853" s="270" t="s">
        <v>8394</v>
      </c>
      <c r="I3853" s="270" t="s">
        <v>4019</v>
      </c>
      <c r="J3853" s="270" t="s">
        <v>3928</v>
      </c>
      <c r="K3853" s="270">
        <v>6704</v>
      </c>
      <c r="L3853" s="270">
        <v>352200</v>
      </c>
      <c r="M3853" s="270">
        <v>-60</v>
      </c>
      <c r="N3853" s="270" t="s">
        <v>3944</v>
      </c>
      <c r="O3853" s="270">
        <v>1217.6199999999999</v>
      </c>
      <c r="P3853" s="270" t="s">
        <v>3944</v>
      </c>
      <c r="Q3853" s="270" t="s">
        <v>3944</v>
      </c>
      <c r="R3853" s="270">
        <v>1217.6199999999999</v>
      </c>
      <c r="S3853" s="270">
        <v>16512.060000000001</v>
      </c>
      <c r="T3853" s="270">
        <v>17729.68</v>
      </c>
      <c r="U3853" s="271" t="s">
        <v>3945</v>
      </c>
      <c r="V3853" s="267" t="s">
        <v>944</v>
      </c>
    </row>
    <row r="3854" spans="1:22" hidden="1" x14ac:dyDescent="0.25">
      <c r="A3854" s="266">
        <v>43662</v>
      </c>
      <c r="B3854" s="267">
        <v>2019</v>
      </c>
      <c r="C3854" s="267">
        <v>2020</v>
      </c>
      <c r="D3854" s="267">
        <v>1</v>
      </c>
      <c r="E3854" s="267">
        <v>1</v>
      </c>
      <c r="F3854" s="267" t="s">
        <v>944</v>
      </c>
      <c r="G3854" s="267" t="s">
        <v>3926</v>
      </c>
      <c r="H3854" s="267" t="s">
        <v>8395</v>
      </c>
      <c r="I3854" s="267" t="s">
        <v>4699</v>
      </c>
      <c r="J3854" s="267" t="s">
        <v>3928</v>
      </c>
      <c r="K3854" s="267">
        <v>6377</v>
      </c>
      <c r="L3854" s="267">
        <v>908100</v>
      </c>
      <c r="M3854" s="267" t="s">
        <v>3935</v>
      </c>
      <c r="N3854" s="267" t="s">
        <v>3944</v>
      </c>
      <c r="O3854" s="267">
        <v>4111.21</v>
      </c>
      <c r="P3854" s="267" t="s">
        <v>3944</v>
      </c>
      <c r="Q3854" s="267" t="s">
        <v>3944</v>
      </c>
      <c r="R3854" s="267">
        <v>4111.21</v>
      </c>
      <c r="S3854" s="267">
        <v>54915.75</v>
      </c>
      <c r="T3854" s="267">
        <v>59026.96</v>
      </c>
      <c r="U3854" s="268" t="s">
        <v>3945</v>
      </c>
      <c r="V3854" s="267" t="s">
        <v>944</v>
      </c>
    </row>
    <row r="3855" spans="1:22" hidden="1" x14ac:dyDescent="0.25">
      <c r="A3855" s="269">
        <v>43662</v>
      </c>
      <c r="B3855" s="270">
        <v>2019</v>
      </c>
      <c r="C3855" s="270">
        <v>2020</v>
      </c>
      <c r="D3855" s="270">
        <v>1</v>
      </c>
      <c r="E3855" s="270">
        <v>1</v>
      </c>
      <c r="F3855" s="270" t="s">
        <v>944</v>
      </c>
      <c r="G3855" s="270" t="s">
        <v>3926</v>
      </c>
      <c r="H3855" s="270" t="s">
        <v>8396</v>
      </c>
      <c r="I3855" s="270" t="s">
        <v>934</v>
      </c>
      <c r="J3855" s="270" t="s">
        <v>3928</v>
      </c>
      <c r="K3855" s="270">
        <v>6606</v>
      </c>
      <c r="L3855" s="270">
        <v>72400</v>
      </c>
      <c r="M3855" s="270" t="s">
        <v>3940</v>
      </c>
      <c r="N3855" s="270" t="s">
        <v>3944</v>
      </c>
      <c r="O3855" s="270">
        <v>2212.91</v>
      </c>
      <c r="P3855" s="270" t="s">
        <v>3944</v>
      </c>
      <c r="Q3855" s="270" t="s">
        <v>3944</v>
      </c>
      <c r="R3855" s="270">
        <v>2212.91</v>
      </c>
      <c r="S3855" s="270">
        <v>37371.879999999997</v>
      </c>
      <c r="T3855" s="270">
        <v>39584.79</v>
      </c>
      <c r="U3855" s="271" t="s">
        <v>3945</v>
      </c>
      <c r="V3855" s="267" t="s">
        <v>944</v>
      </c>
    </row>
    <row r="3856" spans="1:22" hidden="1" x14ac:dyDescent="0.25">
      <c r="A3856" s="266">
        <v>43662</v>
      </c>
      <c r="B3856" s="267">
        <v>2019</v>
      </c>
      <c r="C3856" s="267">
        <v>2020</v>
      </c>
      <c r="D3856" s="267">
        <v>1</v>
      </c>
      <c r="E3856" s="267">
        <v>1</v>
      </c>
      <c r="F3856" s="267" t="s">
        <v>944</v>
      </c>
      <c r="G3856" s="267" t="s">
        <v>3926</v>
      </c>
      <c r="H3856" s="267" t="s">
        <v>8397</v>
      </c>
      <c r="I3856" s="267" t="s">
        <v>950</v>
      </c>
      <c r="J3856" s="267" t="s">
        <v>3928</v>
      </c>
      <c r="K3856" s="267">
        <v>6516</v>
      </c>
      <c r="L3856" s="267">
        <v>154800</v>
      </c>
      <c r="M3856" s="267" t="s">
        <v>3960</v>
      </c>
      <c r="N3856" s="267" t="s">
        <v>3944</v>
      </c>
      <c r="O3856" s="267">
        <v>1133.4100000000001</v>
      </c>
      <c r="P3856" s="267" t="s">
        <v>3944</v>
      </c>
      <c r="Q3856" s="267" t="s">
        <v>3944</v>
      </c>
      <c r="R3856" s="267">
        <v>1133.4100000000001</v>
      </c>
      <c r="S3856" s="267">
        <v>17579.330000000002</v>
      </c>
      <c r="T3856" s="267">
        <v>18712.740000000002</v>
      </c>
      <c r="U3856" s="268" t="s">
        <v>3945</v>
      </c>
      <c r="V3856" s="267" t="s">
        <v>944</v>
      </c>
    </row>
    <row r="3857" spans="1:22" hidden="1" x14ac:dyDescent="0.25">
      <c r="A3857" s="269">
        <v>43662</v>
      </c>
      <c r="B3857" s="270">
        <v>2019</v>
      </c>
      <c r="C3857" s="270">
        <v>2020</v>
      </c>
      <c r="D3857" s="270">
        <v>1</v>
      </c>
      <c r="E3857" s="270">
        <v>1</v>
      </c>
      <c r="F3857" s="270" t="s">
        <v>944</v>
      </c>
      <c r="G3857" s="270" t="s">
        <v>3926</v>
      </c>
      <c r="H3857" s="270" t="s">
        <v>8398</v>
      </c>
      <c r="I3857" s="270" t="s">
        <v>3996</v>
      </c>
      <c r="J3857" s="270" t="s">
        <v>3928</v>
      </c>
      <c r="K3857" s="270">
        <v>6790</v>
      </c>
      <c r="L3857" s="270">
        <v>310100</v>
      </c>
      <c r="M3857" s="270" t="s">
        <v>3940</v>
      </c>
      <c r="N3857" s="270" t="s">
        <v>3944</v>
      </c>
      <c r="O3857" s="270">
        <v>962.75</v>
      </c>
      <c r="P3857" s="270" t="s">
        <v>3944</v>
      </c>
      <c r="Q3857" s="270" t="s">
        <v>3944</v>
      </c>
      <c r="R3857" s="270">
        <v>962.75</v>
      </c>
      <c r="S3857" s="270">
        <v>12189.33</v>
      </c>
      <c r="T3857" s="270">
        <v>13152.08</v>
      </c>
      <c r="U3857" s="271" t="s">
        <v>3945</v>
      </c>
      <c r="V3857" s="267" t="s">
        <v>944</v>
      </c>
    </row>
    <row r="3858" spans="1:22" hidden="1" x14ac:dyDescent="0.25">
      <c r="A3858" s="266">
        <v>43662</v>
      </c>
      <c r="B3858" s="267">
        <v>2019</v>
      </c>
      <c r="C3858" s="267">
        <v>2020</v>
      </c>
      <c r="D3858" s="267">
        <v>1</v>
      </c>
      <c r="E3858" s="267">
        <v>1</v>
      </c>
      <c r="F3858" s="267" t="s">
        <v>944</v>
      </c>
      <c r="G3858" s="267" t="s">
        <v>3926</v>
      </c>
      <c r="H3858" s="267" t="s">
        <v>8399</v>
      </c>
      <c r="I3858" s="267" t="s">
        <v>5010</v>
      </c>
      <c r="J3858" s="267" t="s">
        <v>3928</v>
      </c>
      <c r="K3858" s="267">
        <v>6365</v>
      </c>
      <c r="L3858" s="267">
        <v>700100</v>
      </c>
      <c r="M3858" s="267" t="s">
        <v>3935</v>
      </c>
      <c r="N3858" s="267" t="s">
        <v>3944</v>
      </c>
      <c r="O3858" s="267">
        <v>964.18</v>
      </c>
      <c r="P3858" s="267" t="s">
        <v>3944</v>
      </c>
      <c r="Q3858" s="267" t="s">
        <v>3944</v>
      </c>
      <c r="R3858" s="267">
        <v>964.18</v>
      </c>
      <c r="S3858" s="267">
        <v>14204.24</v>
      </c>
      <c r="T3858" s="267">
        <v>15168.42</v>
      </c>
      <c r="U3858" s="268" t="s">
        <v>3945</v>
      </c>
      <c r="V3858" s="267" t="s">
        <v>944</v>
      </c>
    </row>
    <row r="3859" spans="1:22" hidden="1" x14ac:dyDescent="0.25">
      <c r="A3859" s="269">
        <v>43662</v>
      </c>
      <c r="B3859" s="270">
        <v>2019</v>
      </c>
      <c r="C3859" s="270">
        <v>2020</v>
      </c>
      <c r="D3859" s="270">
        <v>1</v>
      </c>
      <c r="E3859" s="270">
        <v>1</v>
      </c>
      <c r="F3859" s="270" t="s">
        <v>944</v>
      </c>
      <c r="G3859" s="270" t="s">
        <v>3926</v>
      </c>
      <c r="H3859" s="270" t="s">
        <v>8400</v>
      </c>
      <c r="I3859" s="270" t="s">
        <v>3011</v>
      </c>
      <c r="J3859" s="270" t="s">
        <v>3928</v>
      </c>
      <c r="K3859" s="270">
        <v>6492</v>
      </c>
      <c r="L3859" s="270">
        <v>175700</v>
      </c>
      <c r="M3859" s="270" t="s">
        <v>3960</v>
      </c>
      <c r="N3859" s="270" t="s">
        <v>3944</v>
      </c>
      <c r="O3859" s="270">
        <v>3350.27</v>
      </c>
      <c r="P3859" s="270" t="s">
        <v>3944</v>
      </c>
      <c r="Q3859" s="270" t="s">
        <v>3944</v>
      </c>
      <c r="R3859" s="270">
        <v>3350.27</v>
      </c>
      <c r="S3859" s="270">
        <v>38641.22</v>
      </c>
      <c r="T3859" s="270">
        <v>41991.49</v>
      </c>
      <c r="U3859" s="271" t="s">
        <v>3945</v>
      </c>
      <c r="V3859" s="267" t="s">
        <v>944</v>
      </c>
    </row>
    <row r="3860" spans="1:22" hidden="1" x14ac:dyDescent="0.25">
      <c r="A3860" s="266">
        <v>43662</v>
      </c>
      <c r="B3860" s="267">
        <v>2019</v>
      </c>
      <c r="C3860" s="267">
        <v>2020</v>
      </c>
      <c r="D3860" s="267">
        <v>1</v>
      </c>
      <c r="E3860" s="267">
        <v>1</v>
      </c>
      <c r="F3860" s="267" t="s">
        <v>944</v>
      </c>
      <c r="G3860" s="267" t="s">
        <v>3926</v>
      </c>
      <c r="H3860" s="267" t="s">
        <v>8401</v>
      </c>
      <c r="I3860" s="267" t="s">
        <v>4019</v>
      </c>
      <c r="J3860" s="267" t="s">
        <v>3928</v>
      </c>
      <c r="K3860" s="267">
        <v>6704</v>
      </c>
      <c r="L3860" s="267">
        <v>350300</v>
      </c>
      <c r="M3860" s="267">
        <v>-60</v>
      </c>
      <c r="N3860" s="267" t="s">
        <v>3944</v>
      </c>
      <c r="O3860" s="267">
        <v>1516.69</v>
      </c>
      <c r="P3860" s="267" t="s">
        <v>3944</v>
      </c>
      <c r="Q3860" s="267" t="s">
        <v>3944</v>
      </c>
      <c r="R3860" s="267">
        <v>1516.69</v>
      </c>
      <c r="S3860" s="267">
        <v>23540.77</v>
      </c>
      <c r="T3860" s="267">
        <v>25057.46</v>
      </c>
      <c r="U3860" s="268" t="s">
        <v>3945</v>
      </c>
      <c r="V3860" s="267" t="s">
        <v>944</v>
      </c>
    </row>
    <row r="3861" spans="1:22" hidden="1" x14ac:dyDescent="0.25">
      <c r="A3861" s="269">
        <v>43662</v>
      </c>
      <c r="B3861" s="270">
        <v>2019</v>
      </c>
      <c r="C3861" s="270">
        <v>2020</v>
      </c>
      <c r="D3861" s="270">
        <v>1</v>
      </c>
      <c r="E3861" s="270">
        <v>1</v>
      </c>
      <c r="F3861" s="270" t="s">
        <v>944</v>
      </c>
      <c r="G3861" s="270" t="s">
        <v>3926</v>
      </c>
      <c r="H3861" s="270" t="s">
        <v>8402</v>
      </c>
      <c r="I3861" s="270" t="s">
        <v>3008</v>
      </c>
      <c r="J3861" s="270" t="s">
        <v>3928</v>
      </c>
      <c r="K3861" s="270">
        <v>6460</v>
      </c>
      <c r="L3861" s="270">
        <v>150500</v>
      </c>
      <c r="M3861" s="270" t="s">
        <v>3960</v>
      </c>
      <c r="N3861" s="270" t="s">
        <v>3944</v>
      </c>
      <c r="O3861" s="270">
        <v>786.87</v>
      </c>
      <c r="P3861" s="270" t="s">
        <v>3944</v>
      </c>
      <c r="Q3861" s="270" t="s">
        <v>3944</v>
      </c>
      <c r="R3861" s="270">
        <v>786.87</v>
      </c>
      <c r="S3861" s="270">
        <v>11800.53</v>
      </c>
      <c r="T3861" s="270">
        <v>12587.4</v>
      </c>
      <c r="U3861" s="271" t="s">
        <v>3945</v>
      </c>
      <c r="V3861" s="267" t="s">
        <v>944</v>
      </c>
    </row>
    <row r="3862" spans="1:22" hidden="1" x14ac:dyDescent="0.25">
      <c r="A3862" s="266">
        <v>43662</v>
      </c>
      <c r="B3862" s="267">
        <v>2019</v>
      </c>
      <c r="C3862" s="267">
        <v>2020</v>
      </c>
      <c r="D3862" s="267">
        <v>1</v>
      </c>
      <c r="E3862" s="267">
        <v>1</v>
      </c>
      <c r="F3862" s="267" t="s">
        <v>944</v>
      </c>
      <c r="G3862" s="267" t="s">
        <v>3926</v>
      </c>
      <c r="H3862" s="267" t="s">
        <v>8403</v>
      </c>
      <c r="I3862" s="267" t="s">
        <v>4019</v>
      </c>
      <c r="J3862" s="267" t="s">
        <v>3928</v>
      </c>
      <c r="K3862" s="267">
        <v>6706</v>
      </c>
      <c r="L3862" s="267">
        <v>351500</v>
      </c>
      <c r="M3862" s="267" t="s">
        <v>3940</v>
      </c>
      <c r="N3862" s="267" t="s">
        <v>3944</v>
      </c>
      <c r="O3862" s="267">
        <v>2632.88</v>
      </c>
      <c r="P3862" s="267" t="s">
        <v>3944</v>
      </c>
      <c r="Q3862" s="267" t="s">
        <v>3944</v>
      </c>
      <c r="R3862" s="267">
        <v>2632.88</v>
      </c>
      <c r="S3862" s="267">
        <v>33826.81</v>
      </c>
      <c r="T3862" s="267">
        <v>36459.69</v>
      </c>
      <c r="U3862" s="268" t="s">
        <v>3945</v>
      </c>
      <c r="V3862" s="267" t="s">
        <v>944</v>
      </c>
    </row>
    <row r="3863" spans="1:22" hidden="1" x14ac:dyDescent="0.25">
      <c r="A3863" s="269">
        <v>43662</v>
      </c>
      <c r="B3863" s="270">
        <v>2019</v>
      </c>
      <c r="C3863" s="270">
        <v>2020</v>
      </c>
      <c r="D3863" s="270">
        <v>1</v>
      </c>
      <c r="E3863" s="270">
        <v>1</v>
      </c>
      <c r="F3863" s="270" t="s">
        <v>944</v>
      </c>
      <c r="G3863" s="270" t="s">
        <v>3926</v>
      </c>
      <c r="H3863" s="270" t="s">
        <v>8404</v>
      </c>
      <c r="I3863" s="270" t="s">
        <v>3934</v>
      </c>
      <c r="J3863" s="270" t="s">
        <v>3928</v>
      </c>
      <c r="K3863" s="270">
        <v>6405</v>
      </c>
      <c r="L3863" s="270">
        <v>184600</v>
      </c>
      <c r="M3863" s="270" t="s">
        <v>3943</v>
      </c>
      <c r="N3863" s="270" t="s">
        <v>3944</v>
      </c>
      <c r="O3863" s="270">
        <v>3186.02</v>
      </c>
      <c r="P3863" s="270" t="s">
        <v>3944</v>
      </c>
      <c r="Q3863" s="270" t="s">
        <v>3944</v>
      </c>
      <c r="R3863" s="270">
        <v>3186.02</v>
      </c>
      <c r="S3863" s="270">
        <v>37440.49</v>
      </c>
      <c r="T3863" s="270">
        <v>40626.51</v>
      </c>
      <c r="U3863" s="271" t="s">
        <v>3945</v>
      </c>
      <c r="V3863" s="267" t="s">
        <v>944</v>
      </c>
    </row>
    <row r="3864" spans="1:22" hidden="1" x14ac:dyDescent="0.25">
      <c r="A3864" s="266">
        <v>43662</v>
      </c>
      <c r="B3864" s="267">
        <v>2019</v>
      </c>
      <c r="C3864" s="267">
        <v>2020</v>
      </c>
      <c r="D3864" s="267">
        <v>1</v>
      </c>
      <c r="E3864" s="267">
        <v>1</v>
      </c>
      <c r="F3864" s="267" t="s">
        <v>944</v>
      </c>
      <c r="G3864" s="267" t="s">
        <v>3926</v>
      </c>
      <c r="H3864" s="267" t="s">
        <v>8405</v>
      </c>
      <c r="I3864" s="267" t="s">
        <v>3975</v>
      </c>
      <c r="J3864" s="267" t="s">
        <v>3928</v>
      </c>
      <c r="K3864" s="267">
        <v>6479</v>
      </c>
      <c r="L3864" s="267">
        <v>430500</v>
      </c>
      <c r="M3864" s="267" t="s">
        <v>3943</v>
      </c>
      <c r="N3864" s="267" t="s">
        <v>3944</v>
      </c>
      <c r="O3864" s="267">
        <v>1514</v>
      </c>
      <c r="P3864" s="267" t="s">
        <v>3944</v>
      </c>
      <c r="Q3864" s="267" t="s">
        <v>3944</v>
      </c>
      <c r="R3864" s="267">
        <v>1514</v>
      </c>
      <c r="S3864" s="267">
        <v>19655.599999999999</v>
      </c>
      <c r="T3864" s="267">
        <v>21169.599999999999</v>
      </c>
      <c r="U3864" s="268" t="s">
        <v>3945</v>
      </c>
      <c r="V3864" s="267" t="s">
        <v>944</v>
      </c>
    </row>
    <row r="3865" spans="1:22" hidden="1" x14ac:dyDescent="0.25">
      <c r="A3865" s="269">
        <v>43662</v>
      </c>
      <c r="B3865" s="270">
        <v>2019</v>
      </c>
      <c r="C3865" s="270">
        <v>2020</v>
      </c>
      <c r="D3865" s="270">
        <v>1</v>
      </c>
      <c r="E3865" s="270">
        <v>1</v>
      </c>
      <c r="F3865" s="270" t="s">
        <v>944</v>
      </c>
      <c r="G3865" s="270" t="s">
        <v>3926</v>
      </c>
      <c r="H3865" s="270" t="s">
        <v>8406</v>
      </c>
      <c r="I3865" s="270" t="s">
        <v>4016</v>
      </c>
      <c r="J3865" s="270" t="s">
        <v>3928</v>
      </c>
      <c r="K3865" s="270">
        <v>6770</v>
      </c>
      <c r="L3865" s="270">
        <v>345201</v>
      </c>
      <c r="M3865" s="270" t="s">
        <v>3935</v>
      </c>
      <c r="N3865" s="270" t="s">
        <v>3944</v>
      </c>
      <c r="O3865" s="270">
        <v>2402.6799999999998</v>
      </c>
      <c r="P3865" s="270" t="s">
        <v>3944</v>
      </c>
      <c r="Q3865" s="270" t="s">
        <v>3944</v>
      </c>
      <c r="R3865" s="270">
        <v>2402.6799999999998</v>
      </c>
      <c r="S3865" s="270">
        <v>32444.34</v>
      </c>
      <c r="T3865" s="270">
        <v>34847.019999999997</v>
      </c>
      <c r="U3865" s="271" t="s">
        <v>3945</v>
      </c>
      <c r="V3865" s="267" t="s">
        <v>944</v>
      </c>
    </row>
    <row r="3866" spans="1:22" hidden="1" x14ac:dyDescent="0.25">
      <c r="A3866" s="266">
        <v>43662</v>
      </c>
      <c r="B3866" s="267">
        <v>2019</v>
      </c>
      <c r="C3866" s="267">
        <v>2020</v>
      </c>
      <c r="D3866" s="267">
        <v>1</v>
      </c>
      <c r="E3866" s="267">
        <v>1</v>
      </c>
      <c r="F3866" s="267" t="s">
        <v>944</v>
      </c>
      <c r="G3866" s="267" t="s">
        <v>3926</v>
      </c>
      <c r="H3866" s="267" t="s">
        <v>8407</v>
      </c>
      <c r="I3866" s="267" t="s">
        <v>4008</v>
      </c>
      <c r="J3866" s="267" t="s">
        <v>3928</v>
      </c>
      <c r="K3866" s="267">
        <v>6320</v>
      </c>
      <c r="L3866" s="267">
        <v>690300</v>
      </c>
      <c r="M3866" s="267">
        <v>-60</v>
      </c>
      <c r="N3866" s="267" t="s">
        <v>3944</v>
      </c>
      <c r="O3866" s="267">
        <v>1694.21</v>
      </c>
      <c r="P3866" s="267" t="s">
        <v>3944</v>
      </c>
      <c r="Q3866" s="267" t="s">
        <v>3944</v>
      </c>
      <c r="R3866" s="267">
        <v>1694.21</v>
      </c>
      <c r="S3866" s="267">
        <v>27317.51</v>
      </c>
      <c r="T3866" s="267">
        <v>29011.72</v>
      </c>
      <c r="U3866" s="268" t="s">
        <v>3945</v>
      </c>
      <c r="V3866" s="267" t="s">
        <v>944</v>
      </c>
    </row>
    <row r="3867" spans="1:22" hidden="1" x14ac:dyDescent="0.25">
      <c r="A3867" s="269">
        <v>43662</v>
      </c>
      <c r="B3867" s="270">
        <v>2019</v>
      </c>
      <c r="C3867" s="270">
        <v>2020</v>
      </c>
      <c r="D3867" s="270">
        <v>1</v>
      </c>
      <c r="E3867" s="270">
        <v>1</v>
      </c>
      <c r="F3867" s="270" t="s">
        <v>944</v>
      </c>
      <c r="G3867" s="270" t="s">
        <v>3926</v>
      </c>
      <c r="H3867" s="270" t="s">
        <v>8408</v>
      </c>
      <c r="I3867" s="270" t="s">
        <v>4042</v>
      </c>
      <c r="J3867" s="270" t="s">
        <v>3928</v>
      </c>
      <c r="K3867" s="270">
        <v>6382</v>
      </c>
      <c r="L3867" s="270">
        <v>695201</v>
      </c>
      <c r="M3867" s="270" t="s">
        <v>3935</v>
      </c>
      <c r="N3867" s="270" t="s">
        <v>3944</v>
      </c>
      <c r="O3867" s="270">
        <v>1800.61</v>
      </c>
      <c r="P3867" s="270" t="s">
        <v>3944</v>
      </c>
      <c r="Q3867" s="270" t="s">
        <v>3944</v>
      </c>
      <c r="R3867" s="270">
        <v>1800.61</v>
      </c>
      <c r="S3867" s="270">
        <v>27508.52</v>
      </c>
      <c r="T3867" s="270">
        <v>29309.13</v>
      </c>
      <c r="U3867" s="271" t="s">
        <v>3945</v>
      </c>
      <c r="V3867" s="267" t="s">
        <v>944</v>
      </c>
    </row>
    <row r="3868" spans="1:22" hidden="1" x14ac:dyDescent="0.25">
      <c r="A3868" s="266">
        <v>43662</v>
      </c>
      <c r="B3868" s="267">
        <v>2019</v>
      </c>
      <c r="C3868" s="267">
        <v>2020</v>
      </c>
      <c r="D3868" s="267">
        <v>1</v>
      </c>
      <c r="E3868" s="267">
        <v>1</v>
      </c>
      <c r="F3868" s="267" t="s">
        <v>944</v>
      </c>
      <c r="G3868" s="267" t="s">
        <v>3926</v>
      </c>
      <c r="H3868" s="267" t="s">
        <v>8409</v>
      </c>
      <c r="I3868" s="267" t="s">
        <v>4687</v>
      </c>
      <c r="J3868" s="267" t="s">
        <v>3928</v>
      </c>
      <c r="K3868" s="267">
        <v>6424</v>
      </c>
      <c r="L3868" s="267">
        <v>550201</v>
      </c>
      <c r="M3868" s="267" t="s">
        <v>3943</v>
      </c>
      <c r="N3868" s="267" t="s">
        <v>3944</v>
      </c>
      <c r="O3868" s="267">
        <v>2489.8000000000002</v>
      </c>
      <c r="P3868" s="267" t="s">
        <v>3944</v>
      </c>
      <c r="Q3868" s="267" t="s">
        <v>3944</v>
      </c>
      <c r="R3868" s="267">
        <v>2489.8000000000002</v>
      </c>
      <c r="S3868" s="267">
        <v>35338.199999999997</v>
      </c>
      <c r="T3868" s="267">
        <v>37828</v>
      </c>
      <c r="U3868" s="268" t="s">
        <v>3945</v>
      </c>
      <c r="V3868" s="267" t="s">
        <v>944</v>
      </c>
    </row>
    <row r="3869" spans="1:22" hidden="1" x14ac:dyDescent="0.25">
      <c r="A3869" s="269">
        <v>43662</v>
      </c>
      <c r="B3869" s="270">
        <v>2019</v>
      </c>
      <c r="C3869" s="270">
        <v>2020</v>
      </c>
      <c r="D3869" s="270">
        <v>1</v>
      </c>
      <c r="E3869" s="270">
        <v>1</v>
      </c>
      <c r="F3869" s="270" t="s">
        <v>944</v>
      </c>
      <c r="G3869" s="270" t="s">
        <v>3926</v>
      </c>
      <c r="H3869" s="270" t="s">
        <v>8410</v>
      </c>
      <c r="I3869" s="270" t="s">
        <v>4552</v>
      </c>
      <c r="J3869" s="270" t="s">
        <v>3928</v>
      </c>
      <c r="K3869" s="270">
        <v>6423</v>
      </c>
      <c r="L3869" s="270">
        <v>595102</v>
      </c>
      <c r="M3869" s="270" t="s">
        <v>3960</v>
      </c>
      <c r="N3869" s="270" t="s">
        <v>3944</v>
      </c>
      <c r="O3869" s="270">
        <v>2016.32</v>
      </c>
      <c r="P3869" s="270" t="s">
        <v>3944</v>
      </c>
      <c r="Q3869" s="270" t="s">
        <v>3944</v>
      </c>
      <c r="R3869" s="270">
        <v>2016.32</v>
      </c>
      <c r="S3869" s="270">
        <v>27185.5</v>
      </c>
      <c r="T3869" s="270">
        <v>29201.82</v>
      </c>
      <c r="U3869" s="271" t="s">
        <v>3945</v>
      </c>
      <c r="V3869" s="267" t="s">
        <v>944</v>
      </c>
    </row>
    <row r="3870" spans="1:22" hidden="1" x14ac:dyDescent="0.25">
      <c r="A3870" s="266">
        <v>43662</v>
      </c>
      <c r="B3870" s="267">
        <v>2019</v>
      </c>
      <c r="C3870" s="267">
        <v>2020</v>
      </c>
      <c r="D3870" s="267">
        <v>1</v>
      </c>
      <c r="E3870" s="267">
        <v>1</v>
      </c>
      <c r="F3870" s="267" t="s">
        <v>944</v>
      </c>
      <c r="G3870" s="267" t="s">
        <v>3926</v>
      </c>
      <c r="H3870" s="267" t="s">
        <v>8411</v>
      </c>
      <c r="I3870" s="267" t="s">
        <v>3025</v>
      </c>
      <c r="J3870" s="267" t="s">
        <v>3928</v>
      </c>
      <c r="K3870" s="267">
        <v>6473</v>
      </c>
      <c r="L3870" s="267">
        <v>167300</v>
      </c>
      <c r="M3870" s="267" t="s">
        <v>3943</v>
      </c>
      <c r="N3870" s="267" t="s">
        <v>3944</v>
      </c>
      <c r="O3870" s="267">
        <v>1163.3</v>
      </c>
      <c r="P3870" s="267" t="s">
        <v>3944</v>
      </c>
      <c r="Q3870" s="267" t="s">
        <v>3944</v>
      </c>
      <c r="R3870" s="267">
        <v>1163.3</v>
      </c>
      <c r="S3870" s="267">
        <v>17018.5</v>
      </c>
      <c r="T3870" s="267">
        <v>18181.8</v>
      </c>
      <c r="U3870" s="268" t="s">
        <v>3945</v>
      </c>
      <c r="V3870" s="267" t="s">
        <v>944</v>
      </c>
    </row>
    <row r="3871" spans="1:22" hidden="1" x14ac:dyDescent="0.25">
      <c r="A3871" s="269">
        <v>43662</v>
      </c>
      <c r="B3871" s="270">
        <v>2019</v>
      </c>
      <c r="C3871" s="270">
        <v>2020</v>
      </c>
      <c r="D3871" s="270">
        <v>1</v>
      </c>
      <c r="E3871" s="270">
        <v>1</v>
      </c>
      <c r="F3871" s="270" t="s">
        <v>944</v>
      </c>
      <c r="G3871" s="270" t="s">
        <v>3926</v>
      </c>
      <c r="H3871" s="270" t="s">
        <v>8412</v>
      </c>
      <c r="I3871" s="270" t="s">
        <v>3996</v>
      </c>
      <c r="J3871" s="270" t="s">
        <v>3928</v>
      </c>
      <c r="K3871" s="270">
        <v>6790</v>
      </c>
      <c r="L3871" s="270">
        <v>310100</v>
      </c>
      <c r="M3871" s="270" t="s">
        <v>3940</v>
      </c>
      <c r="N3871" s="270" t="s">
        <v>3944</v>
      </c>
      <c r="O3871" s="270">
        <v>1734.67</v>
      </c>
      <c r="P3871" s="270" t="s">
        <v>3944</v>
      </c>
      <c r="Q3871" s="270" t="s">
        <v>3944</v>
      </c>
      <c r="R3871" s="270">
        <v>1734.67</v>
      </c>
      <c r="S3871" s="270">
        <v>22317.66</v>
      </c>
      <c r="T3871" s="270">
        <v>24052.33</v>
      </c>
      <c r="U3871" s="271" t="s">
        <v>3945</v>
      </c>
      <c r="V3871" s="267" t="s">
        <v>944</v>
      </c>
    </row>
    <row r="3872" spans="1:22" hidden="1" x14ac:dyDescent="0.25">
      <c r="A3872" s="266">
        <v>43662</v>
      </c>
      <c r="B3872" s="267">
        <v>2019</v>
      </c>
      <c r="C3872" s="267">
        <v>2020</v>
      </c>
      <c r="D3872" s="267">
        <v>1</v>
      </c>
      <c r="E3872" s="267">
        <v>1</v>
      </c>
      <c r="F3872" s="267" t="s">
        <v>944</v>
      </c>
      <c r="G3872" s="267" t="s">
        <v>3926</v>
      </c>
      <c r="H3872" s="267" t="s">
        <v>8413</v>
      </c>
      <c r="I3872" s="267" t="s">
        <v>4310</v>
      </c>
      <c r="J3872" s="267" t="s">
        <v>3928</v>
      </c>
      <c r="K3872" s="267">
        <v>6351</v>
      </c>
      <c r="L3872" s="267">
        <v>710100</v>
      </c>
      <c r="M3872" s="267" t="s">
        <v>3960</v>
      </c>
      <c r="N3872" s="267" t="s">
        <v>3944</v>
      </c>
      <c r="O3872" s="267">
        <v>821.49</v>
      </c>
      <c r="P3872" s="267" t="s">
        <v>3944</v>
      </c>
      <c r="Q3872" s="267" t="s">
        <v>3944</v>
      </c>
      <c r="R3872" s="267">
        <v>821.49</v>
      </c>
      <c r="S3872" s="267">
        <v>12718.32</v>
      </c>
      <c r="T3872" s="267">
        <v>13539.81</v>
      </c>
      <c r="U3872" s="268" t="s">
        <v>3945</v>
      </c>
      <c r="V3872" s="267" t="s">
        <v>944</v>
      </c>
    </row>
    <row r="3873" spans="1:22" hidden="1" x14ac:dyDescent="0.25">
      <c r="A3873" s="269">
        <v>43662</v>
      </c>
      <c r="B3873" s="270">
        <v>2019</v>
      </c>
      <c r="C3873" s="270">
        <v>2020</v>
      </c>
      <c r="D3873" s="270">
        <v>1</v>
      </c>
      <c r="E3873" s="270">
        <v>1</v>
      </c>
      <c r="F3873" s="270" t="s">
        <v>944</v>
      </c>
      <c r="G3873" s="270" t="s">
        <v>3926</v>
      </c>
      <c r="H3873" s="270" t="s">
        <v>8414</v>
      </c>
      <c r="I3873" s="270" t="s">
        <v>4695</v>
      </c>
      <c r="J3873" s="270" t="s">
        <v>3928</v>
      </c>
      <c r="K3873" s="270">
        <v>6234</v>
      </c>
      <c r="L3873" s="270">
        <v>905100</v>
      </c>
      <c r="M3873" s="270" t="s">
        <v>3935</v>
      </c>
      <c r="N3873" s="270" t="s">
        <v>3944</v>
      </c>
      <c r="O3873" s="270">
        <v>2976.12</v>
      </c>
      <c r="P3873" s="270" t="s">
        <v>3944</v>
      </c>
      <c r="Q3873" s="270" t="s">
        <v>3944</v>
      </c>
      <c r="R3873" s="270">
        <v>2976.12</v>
      </c>
      <c r="S3873" s="270">
        <v>41345.519999999997</v>
      </c>
      <c r="T3873" s="270">
        <v>44321.64</v>
      </c>
      <c r="U3873" s="271" t="s">
        <v>3945</v>
      </c>
      <c r="V3873" s="267" t="s">
        <v>944</v>
      </c>
    </row>
    <row r="3874" spans="1:22" hidden="1" x14ac:dyDescent="0.25">
      <c r="A3874" s="266">
        <v>43662</v>
      </c>
      <c r="B3874" s="267">
        <v>2019</v>
      </c>
      <c r="C3874" s="267">
        <v>2020</v>
      </c>
      <c r="D3874" s="267">
        <v>1</v>
      </c>
      <c r="E3874" s="267">
        <v>1</v>
      </c>
      <c r="F3874" s="267" t="s">
        <v>944</v>
      </c>
      <c r="G3874" s="267" t="s">
        <v>3926</v>
      </c>
      <c r="H3874" s="267" t="s">
        <v>8415</v>
      </c>
      <c r="I3874" s="267" t="s">
        <v>934</v>
      </c>
      <c r="J3874" s="267" t="s">
        <v>3928</v>
      </c>
      <c r="K3874" s="267">
        <v>6610</v>
      </c>
      <c r="L3874" s="267">
        <v>73000</v>
      </c>
      <c r="M3874" s="267" t="s">
        <v>3960</v>
      </c>
      <c r="N3874" s="267" t="s">
        <v>3944</v>
      </c>
      <c r="O3874" s="267">
        <v>1348.9</v>
      </c>
      <c r="P3874" s="267" t="s">
        <v>3944</v>
      </c>
      <c r="Q3874" s="267" t="s">
        <v>3944</v>
      </c>
      <c r="R3874" s="267">
        <v>1348.9</v>
      </c>
      <c r="S3874" s="267">
        <v>19238.54</v>
      </c>
      <c r="T3874" s="267">
        <v>20587.439999999999</v>
      </c>
      <c r="U3874" s="268" t="s">
        <v>3945</v>
      </c>
      <c r="V3874" s="267" t="s">
        <v>944</v>
      </c>
    </row>
    <row r="3875" spans="1:22" hidden="1" x14ac:dyDescent="0.25">
      <c r="A3875" s="269">
        <v>43662</v>
      </c>
      <c r="B3875" s="270">
        <v>2019</v>
      </c>
      <c r="C3875" s="270">
        <v>2020</v>
      </c>
      <c r="D3875" s="270">
        <v>1</v>
      </c>
      <c r="E3875" s="270">
        <v>1</v>
      </c>
      <c r="F3875" s="270" t="s">
        <v>944</v>
      </c>
      <c r="G3875" s="270" t="s">
        <v>3926</v>
      </c>
      <c r="H3875" s="270" t="s">
        <v>8416</v>
      </c>
      <c r="I3875" s="270" t="s">
        <v>956</v>
      </c>
      <c r="J3875" s="270" t="s">
        <v>3928</v>
      </c>
      <c r="K3875" s="270">
        <v>6614</v>
      </c>
      <c r="L3875" s="270">
        <v>81200</v>
      </c>
      <c r="M3875" s="270" t="s">
        <v>3943</v>
      </c>
      <c r="N3875" s="270" t="s">
        <v>3944</v>
      </c>
      <c r="O3875" s="270">
        <v>971.04</v>
      </c>
      <c r="P3875" s="270" t="s">
        <v>3944</v>
      </c>
      <c r="Q3875" s="270" t="s">
        <v>3944</v>
      </c>
      <c r="R3875" s="270">
        <v>971.04</v>
      </c>
      <c r="S3875" s="270">
        <v>14597.61</v>
      </c>
      <c r="T3875" s="270">
        <v>15568.65</v>
      </c>
      <c r="U3875" s="271" t="s">
        <v>3945</v>
      </c>
      <c r="V3875" s="267" t="s">
        <v>944</v>
      </c>
    </row>
    <row r="3876" spans="1:22" hidden="1" x14ac:dyDescent="0.25">
      <c r="A3876" s="266">
        <v>43662</v>
      </c>
      <c r="B3876" s="267">
        <v>2019</v>
      </c>
      <c r="C3876" s="267">
        <v>2020</v>
      </c>
      <c r="D3876" s="267">
        <v>1</v>
      </c>
      <c r="E3876" s="267">
        <v>1</v>
      </c>
      <c r="F3876" s="267" t="s">
        <v>944</v>
      </c>
      <c r="G3876" s="267" t="s">
        <v>3926</v>
      </c>
      <c r="H3876" s="267" t="s">
        <v>8417</v>
      </c>
      <c r="I3876" s="267" t="s">
        <v>4003</v>
      </c>
      <c r="J3876" s="267" t="s">
        <v>3928</v>
      </c>
      <c r="K3876" s="267">
        <v>6374</v>
      </c>
      <c r="L3876" s="267">
        <v>907100</v>
      </c>
      <c r="M3876" s="267" t="s">
        <v>3935</v>
      </c>
      <c r="N3876" s="267" t="s">
        <v>3944</v>
      </c>
      <c r="O3876" s="267">
        <v>3053.51</v>
      </c>
      <c r="P3876" s="267" t="s">
        <v>3944</v>
      </c>
      <c r="Q3876" s="267" t="s">
        <v>3944</v>
      </c>
      <c r="R3876" s="267">
        <v>3053.51</v>
      </c>
      <c r="S3876" s="267">
        <v>37676.400000000001</v>
      </c>
      <c r="T3876" s="267">
        <v>40729.910000000003</v>
      </c>
      <c r="U3876" s="268" t="s">
        <v>3945</v>
      </c>
      <c r="V3876" s="267" t="s">
        <v>944</v>
      </c>
    </row>
    <row r="3877" spans="1:22" hidden="1" x14ac:dyDescent="0.25">
      <c r="A3877" s="269">
        <v>43663</v>
      </c>
      <c r="B3877" s="270">
        <v>2019</v>
      </c>
      <c r="C3877" s="270">
        <v>2020</v>
      </c>
      <c r="D3877" s="270">
        <v>1</v>
      </c>
      <c r="E3877" s="270">
        <v>1</v>
      </c>
      <c r="F3877" s="270" t="s">
        <v>944</v>
      </c>
      <c r="G3877" s="270" t="s">
        <v>3926</v>
      </c>
      <c r="H3877" s="270" t="s">
        <v>8418</v>
      </c>
      <c r="I3877" s="270" t="s">
        <v>4288</v>
      </c>
      <c r="J3877" s="270" t="s">
        <v>3928</v>
      </c>
      <c r="K3877" s="270">
        <v>6883</v>
      </c>
      <c r="L3877" s="270">
        <v>55200</v>
      </c>
      <c r="M3877" s="270" t="s">
        <v>3943</v>
      </c>
      <c r="N3877" s="270" t="s">
        <v>8419</v>
      </c>
      <c r="O3877" s="270">
        <v>0</v>
      </c>
      <c r="P3877" s="270" t="s">
        <v>3930</v>
      </c>
      <c r="Q3877" s="270" t="s">
        <v>3930</v>
      </c>
      <c r="R3877" s="270">
        <v>0</v>
      </c>
      <c r="S3877" s="270">
        <v>39550</v>
      </c>
      <c r="T3877" s="270">
        <v>39550</v>
      </c>
      <c r="U3877" s="271" t="s">
        <v>3937</v>
      </c>
      <c r="V3877" s="267" t="s">
        <v>944</v>
      </c>
    </row>
    <row r="3878" spans="1:22" hidden="1" x14ac:dyDescent="0.25">
      <c r="A3878" s="266">
        <v>43663</v>
      </c>
      <c r="B3878" s="267">
        <v>2019</v>
      </c>
      <c r="C3878" s="267">
        <v>2020</v>
      </c>
      <c r="D3878" s="267">
        <v>1</v>
      </c>
      <c r="E3878" s="267">
        <v>1</v>
      </c>
      <c r="F3878" s="267" t="s">
        <v>944</v>
      </c>
      <c r="G3878" s="267" t="s">
        <v>3926</v>
      </c>
      <c r="H3878" s="267" t="s">
        <v>8420</v>
      </c>
      <c r="I3878" s="267" t="s">
        <v>3975</v>
      </c>
      <c r="J3878" s="267" t="s">
        <v>3928</v>
      </c>
      <c r="K3878" s="267">
        <v>6489</v>
      </c>
      <c r="L3878" s="267">
        <v>430601</v>
      </c>
      <c r="M3878" s="267" t="s">
        <v>3940</v>
      </c>
      <c r="N3878" s="267" t="s">
        <v>8421</v>
      </c>
      <c r="O3878" s="267">
        <v>0</v>
      </c>
      <c r="P3878" s="267" t="s">
        <v>3930</v>
      </c>
      <c r="Q3878" s="267" t="s">
        <v>3930</v>
      </c>
      <c r="R3878" s="267">
        <v>0</v>
      </c>
      <c r="S3878" s="267">
        <v>9418.2000000000007</v>
      </c>
      <c r="T3878" s="267">
        <v>9418.2000000000007</v>
      </c>
      <c r="U3878" s="268" t="s">
        <v>3937</v>
      </c>
      <c r="V3878" s="267" t="s">
        <v>944</v>
      </c>
    </row>
    <row r="3879" spans="1:22" hidden="1" x14ac:dyDescent="0.25">
      <c r="A3879" s="269">
        <v>43663</v>
      </c>
      <c r="B3879" s="270">
        <v>2019</v>
      </c>
      <c r="C3879" s="270">
        <v>2020</v>
      </c>
      <c r="D3879" s="270">
        <v>1</v>
      </c>
      <c r="E3879" s="270">
        <v>1</v>
      </c>
      <c r="F3879" s="270" t="s">
        <v>944</v>
      </c>
      <c r="G3879" s="270" t="s">
        <v>3926</v>
      </c>
      <c r="H3879" s="270" t="s">
        <v>8422</v>
      </c>
      <c r="I3879" s="270" t="s">
        <v>943</v>
      </c>
      <c r="J3879" s="270" t="s">
        <v>3928</v>
      </c>
      <c r="K3879" s="270">
        <v>6511</v>
      </c>
      <c r="L3879" s="270">
        <v>141400</v>
      </c>
      <c r="M3879" s="270">
        <v>-60</v>
      </c>
      <c r="N3879" s="270" t="s">
        <v>4103</v>
      </c>
      <c r="O3879" s="270">
        <v>4755.51</v>
      </c>
      <c r="P3879" s="270" t="s">
        <v>3930</v>
      </c>
      <c r="Q3879" s="270" t="s">
        <v>3931</v>
      </c>
      <c r="R3879" s="270">
        <v>9755.51</v>
      </c>
      <c r="S3879" s="270">
        <v>24145.599999999999</v>
      </c>
      <c r="T3879" s="270">
        <v>33901.11</v>
      </c>
      <c r="U3879" s="271" t="s">
        <v>3932</v>
      </c>
      <c r="V3879" s="267" t="s">
        <v>944</v>
      </c>
    </row>
    <row r="3880" spans="1:22" hidden="1" x14ac:dyDescent="0.25">
      <c r="A3880" s="266">
        <v>43663</v>
      </c>
      <c r="B3880" s="267">
        <v>2019</v>
      </c>
      <c r="C3880" s="267">
        <v>2020</v>
      </c>
      <c r="D3880" s="267">
        <v>1</v>
      </c>
      <c r="E3880" s="267">
        <v>1</v>
      </c>
      <c r="F3880" s="267" t="s">
        <v>944</v>
      </c>
      <c r="G3880" s="267" t="s">
        <v>3926</v>
      </c>
      <c r="H3880" s="267" t="s">
        <v>8423</v>
      </c>
      <c r="I3880" s="267" t="s">
        <v>934</v>
      </c>
      <c r="J3880" s="267" t="s">
        <v>3928</v>
      </c>
      <c r="K3880" s="267">
        <v>6604</v>
      </c>
      <c r="L3880" s="267">
        <v>72100</v>
      </c>
      <c r="M3880" s="267" t="s">
        <v>3940</v>
      </c>
      <c r="N3880" s="267" t="s">
        <v>4103</v>
      </c>
      <c r="O3880" s="267">
        <v>4478.67</v>
      </c>
      <c r="P3880" s="267" t="s">
        <v>3930</v>
      </c>
      <c r="Q3880" s="267" t="s">
        <v>3931</v>
      </c>
      <c r="R3880" s="267">
        <v>9478.67</v>
      </c>
      <c r="S3880" s="267">
        <v>24145.599999999999</v>
      </c>
      <c r="T3880" s="267">
        <v>33624.269999999997</v>
      </c>
      <c r="U3880" s="268" t="s">
        <v>3932</v>
      </c>
      <c r="V3880" s="267" t="s">
        <v>944</v>
      </c>
    </row>
    <row r="3881" spans="1:22" hidden="1" x14ac:dyDescent="0.25">
      <c r="A3881" s="269">
        <v>43663</v>
      </c>
      <c r="B3881" s="270">
        <v>2019</v>
      </c>
      <c r="C3881" s="270">
        <v>2020</v>
      </c>
      <c r="D3881" s="270">
        <v>1</v>
      </c>
      <c r="E3881" s="270">
        <v>1</v>
      </c>
      <c r="F3881" s="270" t="s">
        <v>944</v>
      </c>
      <c r="G3881" s="270" t="s">
        <v>3926</v>
      </c>
      <c r="H3881" s="270" t="s">
        <v>8424</v>
      </c>
      <c r="I3881" s="270" t="s">
        <v>956</v>
      </c>
      <c r="J3881" s="270" t="s">
        <v>3928</v>
      </c>
      <c r="K3881" s="270">
        <v>6614</v>
      </c>
      <c r="L3881" s="270">
        <v>81000</v>
      </c>
      <c r="M3881" s="270" t="s">
        <v>3940</v>
      </c>
      <c r="N3881" s="270" t="s">
        <v>8425</v>
      </c>
      <c r="O3881" s="270">
        <v>0</v>
      </c>
      <c r="P3881" s="270" t="s">
        <v>3930</v>
      </c>
      <c r="Q3881" s="270" t="s">
        <v>3930</v>
      </c>
      <c r="R3881" s="270">
        <v>0</v>
      </c>
      <c r="S3881" s="270">
        <v>9953</v>
      </c>
      <c r="T3881" s="270">
        <v>9953</v>
      </c>
      <c r="U3881" s="271" t="s">
        <v>3937</v>
      </c>
      <c r="V3881" s="267" t="s">
        <v>944</v>
      </c>
    </row>
    <row r="3882" spans="1:22" hidden="1" x14ac:dyDescent="0.25">
      <c r="A3882" s="266">
        <v>43663</v>
      </c>
      <c r="B3882" s="267">
        <v>2019</v>
      </c>
      <c r="C3882" s="267">
        <v>2020</v>
      </c>
      <c r="D3882" s="267">
        <v>1</v>
      </c>
      <c r="E3882" s="267">
        <v>1</v>
      </c>
      <c r="F3882" s="267" t="s">
        <v>944</v>
      </c>
      <c r="G3882" s="267" t="s">
        <v>3926</v>
      </c>
      <c r="H3882" s="267" t="s">
        <v>8426</v>
      </c>
      <c r="I3882" s="267" t="s">
        <v>3008</v>
      </c>
      <c r="J3882" s="267" t="s">
        <v>3928</v>
      </c>
      <c r="K3882" s="267">
        <v>6460</v>
      </c>
      <c r="L3882" s="267">
        <v>151100</v>
      </c>
      <c r="M3882" s="267" t="s">
        <v>3960</v>
      </c>
      <c r="N3882" s="267" t="s">
        <v>8427</v>
      </c>
      <c r="O3882" s="267">
        <v>0</v>
      </c>
      <c r="P3882" s="267" t="s">
        <v>3930</v>
      </c>
      <c r="Q3882" s="267" t="s">
        <v>3930</v>
      </c>
      <c r="R3882" s="267">
        <v>0</v>
      </c>
      <c r="S3882" s="267">
        <v>13729</v>
      </c>
      <c r="T3882" s="267">
        <v>13729</v>
      </c>
      <c r="U3882" s="268" t="s">
        <v>3937</v>
      </c>
      <c r="V3882" s="267" t="s">
        <v>944</v>
      </c>
    </row>
    <row r="3883" spans="1:22" hidden="1" x14ac:dyDescent="0.25">
      <c r="A3883" s="269">
        <v>43663</v>
      </c>
      <c r="B3883" s="270">
        <v>2019</v>
      </c>
      <c r="C3883" s="270">
        <v>2020</v>
      </c>
      <c r="D3883" s="270">
        <v>1</v>
      </c>
      <c r="E3883" s="270">
        <v>1</v>
      </c>
      <c r="F3883" s="270" t="s">
        <v>944</v>
      </c>
      <c r="G3883" s="270" t="s">
        <v>3926</v>
      </c>
      <c r="H3883" s="270" t="s">
        <v>8428</v>
      </c>
      <c r="I3883" s="270" t="s">
        <v>4548</v>
      </c>
      <c r="J3883" s="270" t="s">
        <v>3928</v>
      </c>
      <c r="K3883" s="270">
        <v>6037</v>
      </c>
      <c r="L3883" s="270">
        <v>400300</v>
      </c>
      <c r="M3883" s="270" t="s">
        <v>3960</v>
      </c>
      <c r="N3883" s="270" t="s">
        <v>3929</v>
      </c>
      <c r="O3883" s="270">
        <v>2458.6799999999998</v>
      </c>
      <c r="P3883" s="270" t="s">
        <v>3930</v>
      </c>
      <c r="Q3883" s="270" t="s">
        <v>3931</v>
      </c>
      <c r="R3883" s="270">
        <v>7458.68</v>
      </c>
      <c r="S3883" s="270">
        <v>34744</v>
      </c>
      <c r="T3883" s="270">
        <v>42202.68</v>
      </c>
      <c r="U3883" s="271" t="s">
        <v>3932</v>
      </c>
      <c r="V3883" s="267" t="s">
        <v>944</v>
      </c>
    </row>
    <row r="3884" spans="1:22" hidden="1" x14ac:dyDescent="0.25">
      <c r="A3884" s="266">
        <v>43663</v>
      </c>
      <c r="B3884" s="267">
        <v>2019</v>
      </c>
      <c r="C3884" s="267">
        <v>2020</v>
      </c>
      <c r="D3884" s="267">
        <v>1</v>
      </c>
      <c r="E3884" s="267">
        <v>1</v>
      </c>
      <c r="F3884" s="267" t="s">
        <v>944</v>
      </c>
      <c r="G3884" s="267" t="s">
        <v>3926</v>
      </c>
      <c r="H3884" s="267" t="s">
        <v>8429</v>
      </c>
      <c r="I3884" s="267" t="s">
        <v>934</v>
      </c>
      <c r="J3884" s="267" t="s">
        <v>3928</v>
      </c>
      <c r="K3884" s="267">
        <v>6606</v>
      </c>
      <c r="L3884" s="267">
        <v>72800</v>
      </c>
      <c r="M3884" s="267" t="s">
        <v>3940</v>
      </c>
      <c r="N3884" s="267" t="s">
        <v>3983</v>
      </c>
      <c r="O3884" s="267">
        <v>1143.17</v>
      </c>
      <c r="P3884" s="267" t="s">
        <v>3930</v>
      </c>
      <c r="Q3884" s="267" t="s">
        <v>3931</v>
      </c>
      <c r="R3884" s="267">
        <v>6143.17</v>
      </c>
      <c r="S3884" s="267">
        <v>16504</v>
      </c>
      <c r="T3884" s="267">
        <v>22647.17</v>
      </c>
      <c r="U3884" s="268" t="s">
        <v>3932</v>
      </c>
      <c r="V3884" s="267" t="s">
        <v>944</v>
      </c>
    </row>
    <row r="3885" spans="1:22" hidden="1" x14ac:dyDescent="0.25">
      <c r="A3885" s="269">
        <v>43663</v>
      </c>
      <c r="B3885" s="270">
        <v>2019</v>
      </c>
      <c r="C3885" s="270">
        <v>2020</v>
      </c>
      <c r="D3885" s="270">
        <v>1</v>
      </c>
      <c r="E3885" s="270">
        <v>1</v>
      </c>
      <c r="F3885" s="270" t="s">
        <v>944</v>
      </c>
      <c r="G3885" s="270" t="s">
        <v>3926</v>
      </c>
      <c r="H3885" s="270" t="s">
        <v>8430</v>
      </c>
      <c r="I3885" s="270" t="s">
        <v>4147</v>
      </c>
      <c r="J3885" s="270" t="s">
        <v>3928</v>
      </c>
      <c r="K3885" s="270">
        <v>6109</v>
      </c>
      <c r="L3885" s="270">
        <v>492300</v>
      </c>
      <c r="M3885" s="270" t="s">
        <v>3940</v>
      </c>
      <c r="N3885" s="270" t="s">
        <v>8431</v>
      </c>
      <c r="O3885" s="270">
        <v>0</v>
      </c>
      <c r="P3885" s="270" t="s">
        <v>3930</v>
      </c>
      <c r="Q3885" s="270" t="s">
        <v>3930</v>
      </c>
      <c r="R3885" s="270">
        <v>0</v>
      </c>
      <c r="S3885" s="270">
        <v>6295</v>
      </c>
      <c r="T3885" s="270">
        <v>6295</v>
      </c>
      <c r="U3885" s="271" t="s">
        <v>3937</v>
      </c>
      <c r="V3885" s="267" t="s">
        <v>944</v>
      </c>
    </row>
    <row r="3886" spans="1:22" hidden="1" x14ac:dyDescent="0.25">
      <c r="A3886" s="266">
        <v>43663</v>
      </c>
      <c r="B3886" s="267">
        <v>2019</v>
      </c>
      <c r="C3886" s="267">
        <v>2020</v>
      </c>
      <c r="D3886" s="267">
        <v>1</v>
      </c>
      <c r="E3886" s="267">
        <v>1</v>
      </c>
      <c r="F3886" s="267" t="s">
        <v>944</v>
      </c>
      <c r="G3886" s="267" t="s">
        <v>3926</v>
      </c>
      <c r="H3886" s="267" t="s">
        <v>8432</v>
      </c>
      <c r="I3886" s="267" t="s">
        <v>4269</v>
      </c>
      <c r="J3886" s="267" t="s">
        <v>3928</v>
      </c>
      <c r="K3886" s="267">
        <v>6117</v>
      </c>
      <c r="L3886" s="267">
        <v>497500</v>
      </c>
      <c r="M3886" s="267" t="s">
        <v>3960</v>
      </c>
      <c r="N3886" s="267" t="s">
        <v>3944</v>
      </c>
      <c r="O3886" s="267">
        <v>2468.62</v>
      </c>
      <c r="P3886" s="267" t="s">
        <v>3944</v>
      </c>
      <c r="Q3886" s="267" t="s">
        <v>3944</v>
      </c>
      <c r="R3886" s="267">
        <v>2468.62</v>
      </c>
      <c r="S3886" s="267">
        <v>33404.71</v>
      </c>
      <c r="T3886" s="267">
        <v>35873.33</v>
      </c>
      <c r="U3886" s="268" t="s">
        <v>3945</v>
      </c>
      <c r="V3886" s="267" t="s">
        <v>944</v>
      </c>
    </row>
    <row r="3887" spans="1:22" hidden="1" x14ac:dyDescent="0.25">
      <c r="A3887" s="269">
        <v>43663</v>
      </c>
      <c r="B3887" s="270">
        <v>2019</v>
      </c>
      <c r="C3887" s="270">
        <v>2020</v>
      </c>
      <c r="D3887" s="270">
        <v>1</v>
      </c>
      <c r="E3887" s="270">
        <v>1</v>
      </c>
      <c r="F3887" s="270" t="s">
        <v>944</v>
      </c>
      <c r="G3887" s="270" t="s">
        <v>3926</v>
      </c>
      <c r="H3887" s="270" t="s">
        <v>8433</v>
      </c>
      <c r="I3887" s="270" t="s">
        <v>6565</v>
      </c>
      <c r="J3887" s="270" t="s">
        <v>3928</v>
      </c>
      <c r="K3887" s="270">
        <v>6098</v>
      </c>
      <c r="L3887" s="270">
        <v>293100</v>
      </c>
      <c r="M3887" s="270" t="s">
        <v>3960</v>
      </c>
      <c r="N3887" s="270" t="s">
        <v>3944</v>
      </c>
      <c r="O3887" s="270">
        <v>1958.04</v>
      </c>
      <c r="P3887" s="270" t="s">
        <v>3944</v>
      </c>
      <c r="Q3887" s="270" t="s">
        <v>3944</v>
      </c>
      <c r="R3887" s="270">
        <v>1958.04</v>
      </c>
      <c r="S3887" s="270">
        <v>26427.91</v>
      </c>
      <c r="T3887" s="270">
        <v>28385.95</v>
      </c>
      <c r="U3887" s="271" t="s">
        <v>3945</v>
      </c>
      <c r="V3887" s="267" t="s">
        <v>944</v>
      </c>
    </row>
    <row r="3888" spans="1:22" hidden="1" x14ac:dyDescent="0.25">
      <c r="A3888" s="266">
        <v>43663</v>
      </c>
      <c r="B3888" s="267">
        <v>2019</v>
      </c>
      <c r="C3888" s="267">
        <v>2020</v>
      </c>
      <c r="D3888" s="267">
        <v>1</v>
      </c>
      <c r="E3888" s="267">
        <v>1</v>
      </c>
      <c r="F3888" s="267" t="s">
        <v>944</v>
      </c>
      <c r="G3888" s="267" t="s">
        <v>3926</v>
      </c>
      <c r="H3888" s="267" t="s">
        <v>8434</v>
      </c>
      <c r="I3888" s="267" t="s">
        <v>4124</v>
      </c>
      <c r="J3888" s="267" t="s">
        <v>3928</v>
      </c>
      <c r="K3888" s="267">
        <v>6470</v>
      </c>
      <c r="L3888" s="267">
        <v>230200</v>
      </c>
      <c r="M3888" s="267" t="s">
        <v>3943</v>
      </c>
      <c r="N3888" s="267" t="s">
        <v>3944</v>
      </c>
      <c r="O3888" s="267">
        <v>2368.4499999999998</v>
      </c>
      <c r="P3888" s="267" t="s">
        <v>3944</v>
      </c>
      <c r="Q3888" s="267" t="s">
        <v>3944</v>
      </c>
      <c r="R3888" s="267">
        <v>2368.4499999999998</v>
      </c>
      <c r="S3888" s="267">
        <v>31675.26</v>
      </c>
      <c r="T3888" s="267">
        <v>34043.71</v>
      </c>
      <c r="U3888" s="268" t="s">
        <v>3945</v>
      </c>
      <c r="V3888" s="267" t="s">
        <v>944</v>
      </c>
    </row>
    <row r="3889" spans="1:22" hidden="1" x14ac:dyDescent="0.25">
      <c r="A3889" s="269">
        <v>43663</v>
      </c>
      <c r="B3889" s="270">
        <v>2019</v>
      </c>
      <c r="C3889" s="270">
        <v>2020</v>
      </c>
      <c r="D3889" s="270">
        <v>1</v>
      </c>
      <c r="E3889" s="270">
        <v>1</v>
      </c>
      <c r="F3889" s="270" t="s">
        <v>944</v>
      </c>
      <c r="G3889" s="270" t="s">
        <v>3926</v>
      </c>
      <c r="H3889" s="270" t="s">
        <v>8435</v>
      </c>
      <c r="I3889" s="270" t="s">
        <v>4422</v>
      </c>
      <c r="J3889" s="270" t="s">
        <v>3928</v>
      </c>
      <c r="K3889" s="270">
        <v>6801</v>
      </c>
      <c r="L3889" s="270">
        <v>200301</v>
      </c>
      <c r="M3889" s="270" t="s">
        <v>3943</v>
      </c>
      <c r="N3889" s="270" t="s">
        <v>3944</v>
      </c>
      <c r="O3889" s="270">
        <v>3949.23</v>
      </c>
      <c r="P3889" s="270" t="s">
        <v>3944</v>
      </c>
      <c r="Q3889" s="270" t="s">
        <v>3944</v>
      </c>
      <c r="R3889" s="270">
        <v>3949.23</v>
      </c>
      <c r="S3889" s="270">
        <v>58819</v>
      </c>
      <c r="T3889" s="270">
        <v>62768.23</v>
      </c>
      <c r="U3889" s="271" t="s">
        <v>3945</v>
      </c>
      <c r="V3889" s="267" t="s">
        <v>944</v>
      </c>
    </row>
    <row r="3890" spans="1:22" hidden="1" x14ac:dyDescent="0.25">
      <c r="A3890" s="266">
        <v>43663</v>
      </c>
      <c r="B3890" s="267">
        <v>2019</v>
      </c>
      <c r="C3890" s="267">
        <v>2020</v>
      </c>
      <c r="D3890" s="267">
        <v>1</v>
      </c>
      <c r="E3890" s="267">
        <v>1</v>
      </c>
      <c r="F3890" s="267" t="s">
        <v>944</v>
      </c>
      <c r="G3890" s="267" t="s">
        <v>3926</v>
      </c>
      <c r="H3890" s="267" t="s">
        <v>8436</v>
      </c>
      <c r="I3890" s="267" t="s">
        <v>4042</v>
      </c>
      <c r="J3890" s="267" t="s">
        <v>3928</v>
      </c>
      <c r="K3890" s="267">
        <v>6382</v>
      </c>
      <c r="L3890" s="267">
        <v>870501</v>
      </c>
      <c r="M3890" s="267" t="s">
        <v>3935</v>
      </c>
      <c r="N3890" s="267" t="s">
        <v>3944</v>
      </c>
      <c r="O3890" s="267">
        <v>1297.49</v>
      </c>
      <c r="P3890" s="267" t="s">
        <v>3944</v>
      </c>
      <c r="Q3890" s="267" t="s">
        <v>3944</v>
      </c>
      <c r="R3890" s="267">
        <v>1297.49</v>
      </c>
      <c r="S3890" s="267">
        <v>19778.27</v>
      </c>
      <c r="T3890" s="267">
        <v>21075.759999999998</v>
      </c>
      <c r="U3890" s="268" t="s">
        <v>3945</v>
      </c>
      <c r="V3890" s="267" t="s">
        <v>944</v>
      </c>
    </row>
    <row r="3891" spans="1:22" hidden="1" x14ac:dyDescent="0.25">
      <c r="A3891" s="269">
        <v>43663</v>
      </c>
      <c r="B3891" s="270">
        <v>2019</v>
      </c>
      <c r="C3891" s="270">
        <v>2020</v>
      </c>
      <c r="D3891" s="270">
        <v>1</v>
      </c>
      <c r="E3891" s="270">
        <v>1</v>
      </c>
      <c r="F3891" s="270" t="s">
        <v>944</v>
      </c>
      <c r="G3891" s="270" t="s">
        <v>3926</v>
      </c>
      <c r="H3891" s="270" t="s">
        <v>8437</v>
      </c>
      <c r="I3891" s="270" t="s">
        <v>956</v>
      </c>
      <c r="J3891" s="270" t="s">
        <v>3928</v>
      </c>
      <c r="K3891" s="270">
        <v>6615</v>
      </c>
      <c r="L3891" s="270">
        <v>80200</v>
      </c>
      <c r="M3891" s="270" t="s">
        <v>3935</v>
      </c>
      <c r="N3891" s="270" t="s">
        <v>3944</v>
      </c>
      <c r="O3891" s="270">
        <v>623.84</v>
      </c>
      <c r="P3891" s="270" t="s">
        <v>3944</v>
      </c>
      <c r="Q3891" s="270" t="s">
        <v>3944</v>
      </c>
      <c r="R3891" s="270">
        <v>623.84</v>
      </c>
      <c r="S3891" s="270">
        <v>9195.56</v>
      </c>
      <c r="T3891" s="270">
        <v>9819.4</v>
      </c>
      <c r="U3891" s="271" t="s">
        <v>3945</v>
      </c>
      <c r="V3891" s="267" t="s">
        <v>944</v>
      </c>
    </row>
    <row r="3892" spans="1:22" hidden="1" x14ac:dyDescent="0.25">
      <c r="A3892" s="266">
        <v>43663</v>
      </c>
      <c r="B3892" s="267">
        <v>2019</v>
      </c>
      <c r="C3892" s="267">
        <v>2020</v>
      </c>
      <c r="D3892" s="267">
        <v>1</v>
      </c>
      <c r="E3892" s="267">
        <v>1</v>
      </c>
      <c r="F3892" s="267" t="s">
        <v>944</v>
      </c>
      <c r="G3892" s="267" t="s">
        <v>3926</v>
      </c>
      <c r="H3892" s="267" t="s">
        <v>8438</v>
      </c>
      <c r="I3892" s="267" t="s">
        <v>3993</v>
      </c>
      <c r="J3892" s="267" t="s">
        <v>3928</v>
      </c>
      <c r="K3892" s="267">
        <v>6415</v>
      </c>
      <c r="L3892" s="267">
        <v>714103</v>
      </c>
      <c r="M3892" s="267" t="s">
        <v>3943</v>
      </c>
      <c r="N3892" s="267" t="s">
        <v>3944</v>
      </c>
      <c r="O3892" s="267">
        <v>1083.01</v>
      </c>
      <c r="P3892" s="267" t="s">
        <v>3944</v>
      </c>
      <c r="Q3892" s="267" t="s">
        <v>3944</v>
      </c>
      <c r="R3892" s="267">
        <v>1083.01</v>
      </c>
      <c r="S3892" s="267">
        <v>15643.49</v>
      </c>
      <c r="T3892" s="267">
        <v>16726.5</v>
      </c>
      <c r="U3892" s="268" t="s">
        <v>3945</v>
      </c>
      <c r="V3892" s="267" t="s">
        <v>944</v>
      </c>
    </row>
    <row r="3893" spans="1:22" x14ac:dyDescent="0.25">
      <c r="A3893" s="269">
        <v>43663</v>
      </c>
      <c r="B3893" s="270">
        <v>2019</v>
      </c>
      <c r="C3893" s="270">
        <v>2020</v>
      </c>
      <c r="D3893" s="270">
        <v>1</v>
      </c>
      <c r="E3893" s="270">
        <v>1</v>
      </c>
      <c r="F3893" s="270" t="s">
        <v>944</v>
      </c>
      <c r="G3893" s="270" t="s">
        <v>3926</v>
      </c>
      <c r="H3893" s="270" t="s">
        <v>8439</v>
      </c>
      <c r="I3893" s="270" t="s">
        <v>3010</v>
      </c>
      <c r="J3893" s="270" t="s">
        <v>3928</v>
      </c>
      <c r="K3893" s="270">
        <v>6401</v>
      </c>
      <c r="L3893" s="270">
        <v>125300</v>
      </c>
      <c r="M3893" s="270" t="s">
        <v>3940</v>
      </c>
      <c r="N3893" s="270" t="s">
        <v>3944</v>
      </c>
      <c r="O3893" s="270">
        <v>1280.48</v>
      </c>
      <c r="P3893" s="270" t="s">
        <v>3944</v>
      </c>
      <c r="Q3893" s="270" t="s">
        <v>3944</v>
      </c>
      <c r="R3893" s="270">
        <v>1280.48</v>
      </c>
      <c r="S3893" s="270">
        <v>20916.560000000001</v>
      </c>
      <c r="T3893" s="270">
        <v>22197.040000000001</v>
      </c>
      <c r="U3893" s="271" t="s">
        <v>3945</v>
      </c>
      <c r="V3893" s="276" t="s">
        <v>936</v>
      </c>
    </row>
    <row r="3894" spans="1:22" hidden="1" x14ac:dyDescent="0.25">
      <c r="A3894" s="266">
        <v>43663</v>
      </c>
      <c r="B3894" s="267">
        <v>2019</v>
      </c>
      <c r="C3894" s="267">
        <v>2020</v>
      </c>
      <c r="D3894" s="267">
        <v>1</v>
      </c>
      <c r="E3894" s="267">
        <v>1</v>
      </c>
      <c r="F3894" s="267" t="s">
        <v>944</v>
      </c>
      <c r="G3894" s="267" t="s">
        <v>3926</v>
      </c>
      <c r="H3894" s="267" t="s">
        <v>8440</v>
      </c>
      <c r="I3894" s="267" t="s">
        <v>4016</v>
      </c>
      <c r="J3894" s="267" t="s">
        <v>3928</v>
      </c>
      <c r="K3894" s="267">
        <v>6770</v>
      </c>
      <c r="L3894" s="267">
        <v>345201</v>
      </c>
      <c r="M3894" s="267" t="s">
        <v>3935</v>
      </c>
      <c r="N3894" s="267" t="s">
        <v>3944</v>
      </c>
      <c r="O3894" s="267">
        <v>2746.56</v>
      </c>
      <c r="P3894" s="267" t="s">
        <v>3944</v>
      </c>
      <c r="Q3894" s="267" t="s">
        <v>3944</v>
      </c>
      <c r="R3894" s="267">
        <v>2746.56</v>
      </c>
      <c r="S3894" s="267">
        <v>39018.050000000003</v>
      </c>
      <c r="T3894" s="267">
        <v>41764.61</v>
      </c>
      <c r="U3894" s="268" t="s">
        <v>3945</v>
      </c>
      <c r="V3894" s="267" t="s">
        <v>944</v>
      </c>
    </row>
    <row r="3895" spans="1:22" hidden="1" x14ac:dyDescent="0.25">
      <c r="A3895" s="269">
        <v>43663</v>
      </c>
      <c r="B3895" s="270">
        <v>2019</v>
      </c>
      <c r="C3895" s="270">
        <v>2020</v>
      </c>
      <c r="D3895" s="270">
        <v>1</v>
      </c>
      <c r="E3895" s="270">
        <v>1</v>
      </c>
      <c r="F3895" s="270" t="s">
        <v>944</v>
      </c>
      <c r="G3895" s="270" t="s">
        <v>3926</v>
      </c>
      <c r="H3895" s="270" t="s">
        <v>8441</v>
      </c>
      <c r="I3895" s="270" t="s">
        <v>4037</v>
      </c>
      <c r="J3895" s="270" t="s">
        <v>3928</v>
      </c>
      <c r="K3895" s="270">
        <v>6811</v>
      </c>
      <c r="L3895" s="270">
        <v>211200</v>
      </c>
      <c r="M3895" s="270" t="s">
        <v>3960</v>
      </c>
      <c r="N3895" s="270" t="s">
        <v>3944</v>
      </c>
      <c r="O3895" s="270">
        <v>2010.51</v>
      </c>
      <c r="P3895" s="270" t="s">
        <v>3944</v>
      </c>
      <c r="Q3895" s="270" t="s">
        <v>3944</v>
      </c>
      <c r="R3895" s="270">
        <v>2010.51</v>
      </c>
      <c r="S3895" s="270">
        <v>27726.27</v>
      </c>
      <c r="T3895" s="270">
        <v>29736.78</v>
      </c>
      <c r="U3895" s="271" t="s">
        <v>3945</v>
      </c>
      <c r="V3895" s="267" t="s">
        <v>944</v>
      </c>
    </row>
    <row r="3896" spans="1:22" hidden="1" x14ac:dyDescent="0.25">
      <c r="A3896" s="266">
        <v>43663</v>
      </c>
      <c r="B3896" s="267">
        <v>2019</v>
      </c>
      <c r="C3896" s="267">
        <v>2020</v>
      </c>
      <c r="D3896" s="267">
        <v>1</v>
      </c>
      <c r="E3896" s="267">
        <v>1</v>
      </c>
      <c r="F3896" s="267" t="s">
        <v>944</v>
      </c>
      <c r="G3896" s="267" t="s">
        <v>3926</v>
      </c>
      <c r="H3896" s="267" t="s">
        <v>8442</v>
      </c>
      <c r="I3896" s="267" t="s">
        <v>4276</v>
      </c>
      <c r="J3896" s="267" t="s">
        <v>3928</v>
      </c>
      <c r="K3896" s="267">
        <v>6331</v>
      </c>
      <c r="L3896" s="267">
        <v>906100</v>
      </c>
      <c r="M3896" s="267" t="s">
        <v>3960</v>
      </c>
      <c r="N3896" s="267" t="s">
        <v>3944</v>
      </c>
      <c r="O3896" s="267">
        <v>2811.66</v>
      </c>
      <c r="P3896" s="267" t="s">
        <v>3944</v>
      </c>
      <c r="Q3896" s="267" t="s">
        <v>3944</v>
      </c>
      <c r="R3896" s="267">
        <v>2811.66</v>
      </c>
      <c r="S3896" s="267">
        <v>45998.41</v>
      </c>
      <c r="T3896" s="267">
        <v>48810.07</v>
      </c>
      <c r="U3896" s="268" t="s">
        <v>3945</v>
      </c>
      <c r="V3896" s="267" t="s">
        <v>944</v>
      </c>
    </row>
    <row r="3897" spans="1:22" hidden="1" x14ac:dyDescent="0.25">
      <c r="A3897" s="269">
        <v>43663</v>
      </c>
      <c r="B3897" s="270">
        <v>2019</v>
      </c>
      <c r="C3897" s="270">
        <v>2020</v>
      </c>
      <c r="D3897" s="270">
        <v>1</v>
      </c>
      <c r="E3897" s="270">
        <v>1</v>
      </c>
      <c r="F3897" s="270" t="s">
        <v>944</v>
      </c>
      <c r="G3897" s="270" t="s">
        <v>3926</v>
      </c>
      <c r="H3897" s="270" t="s">
        <v>8443</v>
      </c>
      <c r="I3897" s="270" t="s">
        <v>4353</v>
      </c>
      <c r="J3897" s="270" t="s">
        <v>3928</v>
      </c>
      <c r="K3897" s="270">
        <v>6416</v>
      </c>
      <c r="L3897" s="270">
        <v>570200</v>
      </c>
      <c r="M3897" s="270" t="s">
        <v>3943</v>
      </c>
      <c r="N3897" s="270" t="s">
        <v>3944</v>
      </c>
      <c r="O3897" s="270">
        <v>2989.21</v>
      </c>
      <c r="P3897" s="270" t="s">
        <v>3944</v>
      </c>
      <c r="Q3897" s="270" t="s">
        <v>3944</v>
      </c>
      <c r="R3897" s="270">
        <v>2989.21</v>
      </c>
      <c r="S3897" s="270">
        <v>47736.24</v>
      </c>
      <c r="T3897" s="270">
        <v>50725.45</v>
      </c>
      <c r="U3897" s="271" t="s">
        <v>3945</v>
      </c>
      <c r="V3897" s="267" t="s">
        <v>944</v>
      </c>
    </row>
    <row r="3898" spans="1:22" hidden="1" x14ac:dyDescent="0.25">
      <c r="A3898" s="266">
        <v>43663</v>
      </c>
      <c r="B3898" s="267">
        <v>2019</v>
      </c>
      <c r="C3898" s="267">
        <v>2020</v>
      </c>
      <c r="D3898" s="267">
        <v>1</v>
      </c>
      <c r="E3898" s="267">
        <v>1</v>
      </c>
      <c r="F3898" s="267" t="s">
        <v>944</v>
      </c>
      <c r="G3898" s="267" t="s">
        <v>3926</v>
      </c>
      <c r="H3898" s="267" t="s">
        <v>8444</v>
      </c>
      <c r="I3898" s="267" t="s">
        <v>4254</v>
      </c>
      <c r="J3898" s="267" t="s">
        <v>3928</v>
      </c>
      <c r="K3898" s="267">
        <v>6076</v>
      </c>
      <c r="L3898" s="267">
        <v>890202</v>
      </c>
      <c r="M3898" s="267" t="s">
        <v>3960</v>
      </c>
      <c r="N3898" s="267" t="s">
        <v>3944</v>
      </c>
      <c r="O3898" s="267">
        <v>2679.78</v>
      </c>
      <c r="P3898" s="267" t="s">
        <v>3944</v>
      </c>
      <c r="Q3898" s="267" t="s">
        <v>3944</v>
      </c>
      <c r="R3898" s="267">
        <v>2679.78</v>
      </c>
      <c r="S3898" s="267">
        <v>33558.54</v>
      </c>
      <c r="T3898" s="267">
        <v>36238.32</v>
      </c>
      <c r="U3898" s="268" t="s">
        <v>3945</v>
      </c>
      <c r="V3898" s="267" t="s">
        <v>944</v>
      </c>
    </row>
    <row r="3899" spans="1:22" hidden="1" x14ac:dyDescent="0.25">
      <c r="A3899" s="269">
        <v>43663</v>
      </c>
      <c r="B3899" s="270">
        <v>2019</v>
      </c>
      <c r="C3899" s="270">
        <v>2020</v>
      </c>
      <c r="D3899" s="270">
        <v>1</v>
      </c>
      <c r="E3899" s="270">
        <v>1</v>
      </c>
      <c r="F3899" s="270" t="s">
        <v>944</v>
      </c>
      <c r="G3899" s="270" t="s">
        <v>3926</v>
      </c>
      <c r="H3899" s="270" t="s">
        <v>8445</v>
      </c>
      <c r="I3899" s="270" t="s">
        <v>3968</v>
      </c>
      <c r="J3899" s="270" t="s">
        <v>3928</v>
      </c>
      <c r="K3899" s="270">
        <v>6042</v>
      </c>
      <c r="L3899" s="270">
        <v>514200</v>
      </c>
      <c r="M3899" s="270" t="s">
        <v>3940</v>
      </c>
      <c r="N3899" s="270" t="s">
        <v>3944</v>
      </c>
      <c r="O3899" s="270">
        <v>1796.06</v>
      </c>
      <c r="P3899" s="270" t="s">
        <v>3944</v>
      </c>
      <c r="Q3899" s="270" t="s">
        <v>3944</v>
      </c>
      <c r="R3899" s="270">
        <v>1796.06</v>
      </c>
      <c r="S3899" s="270">
        <v>25259.78</v>
      </c>
      <c r="T3899" s="270">
        <v>27055.84</v>
      </c>
      <c r="U3899" s="271" t="s">
        <v>3945</v>
      </c>
      <c r="V3899" s="267" t="s">
        <v>944</v>
      </c>
    </row>
    <row r="3900" spans="1:22" hidden="1" x14ac:dyDescent="0.25">
      <c r="A3900" s="266">
        <v>43663</v>
      </c>
      <c r="B3900" s="267">
        <v>2019</v>
      </c>
      <c r="C3900" s="267">
        <v>2020</v>
      </c>
      <c r="D3900" s="267">
        <v>1</v>
      </c>
      <c r="E3900" s="267">
        <v>1</v>
      </c>
      <c r="F3900" s="267" t="s">
        <v>944</v>
      </c>
      <c r="G3900" s="267" t="s">
        <v>3926</v>
      </c>
      <c r="H3900" s="267" t="s">
        <v>8446</v>
      </c>
      <c r="I3900" s="267" t="s">
        <v>953</v>
      </c>
      <c r="J3900" s="267" t="s">
        <v>3928</v>
      </c>
      <c r="K3900" s="267">
        <v>6518</v>
      </c>
      <c r="L3900" s="267">
        <v>166001</v>
      </c>
      <c r="M3900" s="267" t="s">
        <v>3935</v>
      </c>
      <c r="N3900" s="267" t="s">
        <v>3944</v>
      </c>
      <c r="O3900" s="267">
        <v>1226.33</v>
      </c>
      <c r="P3900" s="267" t="s">
        <v>3944</v>
      </c>
      <c r="Q3900" s="267" t="s">
        <v>3944</v>
      </c>
      <c r="R3900" s="267">
        <v>1226.33</v>
      </c>
      <c r="S3900" s="267">
        <v>15440.95</v>
      </c>
      <c r="T3900" s="267">
        <v>16667.28</v>
      </c>
      <c r="U3900" s="268" t="s">
        <v>3945</v>
      </c>
      <c r="V3900" s="267" t="s">
        <v>944</v>
      </c>
    </row>
    <row r="3901" spans="1:22" hidden="1" x14ac:dyDescent="0.25">
      <c r="A3901" s="269">
        <v>43663</v>
      </c>
      <c r="B3901" s="270">
        <v>2019</v>
      </c>
      <c r="C3901" s="270">
        <v>2020</v>
      </c>
      <c r="D3901" s="270">
        <v>1</v>
      </c>
      <c r="E3901" s="270">
        <v>1</v>
      </c>
      <c r="F3901" s="270" t="s">
        <v>944</v>
      </c>
      <c r="G3901" s="270" t="s">
        <v>3926</v>
      </c>
      <c r="H3901" s="270" t="s">
        <v>8447</v>
      </c>
      <c r="I3901" s="270" t="s">
        <v>3939</v>
      </c>
      <c r="J3901" s="270" t="s">
        <v>3928</v>
      </c>
      <c r="K3901" s="270">
        <v>6512</v>
      </c>
      <c r="L3901" s="270">
        <v>180400</v>
      </c>
      <c r="M3901" s="270" t="s">
        <v>3935</v>
      </c>
      <c r="N3901" s="270" t="s">
        <v>3944</v>
      </c>
      <c r="O3901" s="270">
        <v>1450.75</v>
      </c>
      <c r="P3901" s="270" t="s">
        <v>3944</v>
      </c>
      <c r="Q3901" s="270" t="s">
        <v>3944</v>
      </c>
      <c r="R3901" s="270">
        <v>1450.75</v>
      </c>
      <c r="S3901" s="270">
        <v>25867.65</v>
      </c>
      <c r="T3901" s="270">
        <v>27318.400000000001</v>
      </c>
      <c r="U3901" s="271" t="s">
        <v>3945</v>
      </c>
      <c r="V3901" s="267" t="s">
        <v>944</v>
      </c>
    </row>
    <row r="3902" spans="1:22" hidden="1" x14ac:dyDescent="0.25">
      <c r="A3902" s="266">
        <v>43664</v>
      </c>
      <c r="B3902" s="267">
        <v>2019</v>
      </c>
      <c r="C3902" s="267">
        <v>2020</v>
      </c>
      <c r="D3902" s="267">
        <v>1</v>
      </c>
      <c r="E3902" s="267">
        <v>1</v>
      </c>
      <c r="F3902" s="267" t="s">
        <v>944</v>
      </c>
      <c r="G3902" s="267" t="s">
        <v>3926</v>
      </c>
      <c r="H3902" s="267" t="s">
        <v>8448</v>
      </c>
      <c r="I3902" s="267" t="s">
        <v>4055</v>
      </c>
      <c r="J3902" s="267" t="s">
        <v>3928</v>
      </c>
      <c r="K3902" s="267">
        <v>6081</v>
      </c>
      <c r="L3902" s="267">
        <v>466400</v>
      </c>
      <c r="M3902" s="267" t="s">
        <v>3960</v>
      </c>
      <c r="N3902" s="267" t="s">
        <v>4701</v>
      </c>
      <c r="O3902" s="267">
        <v>2722.27</v>
      </c>
      <c r="P3902" s="267" t="s">
        <v>3930</v>
      </c>
      <c r="Q3902" s="267" t="s">
        <v>3931</v>
      </c>
      <c r="R3902" s="267">
        <v>7722.27</v>
      </c>
      <c r="S3902" s="267">
        <v>34648</v>
      </c>
      <c r="T3902" s="267">
        <v>42370.27</v>
      </c>
      <c r="U3902" s="268" t="s">
        <v>3932</v>
      </c>
      <c r="V3902" s="267" t="s">
        <v>944</v>
      </c>
    </row>
    <row r="3903" spans="1:22" hidden="1" x14ac:dyDescent="0.25">
      <c r="A3903" s="269">
        <v>43664</v>
      </c>
      <c r="B3903" s="270">
        <v>2019</v>
      </c>
      <c r="C3903" s="270">
        <v>2020</v>
      </c>
      <c r="D3903" s="270">
        <v>1</v>
      </c>
      <c r="E3903" s="270">
        <v>1</v>
      </c>
      <c r="F3903" s="270" t="s">
        <v>944</v>
      </c>
      <c r="G3903" s="270" t="s">
        <v>3926</v>
      </c>
      <c r="H3903" s="270" t="s">
        <v>8449</v>
      </c>
      <c r="I3903" s="270" t="s">
        <v>4016</v>
      </c>
      <c r="J3903" s="270" t="s">
        <v>3928</v>
      </c>
      <c r="K3903" s="270">
        <v>6770</v>
      </c>
      <c r="L3903" s="270">
        <v>345202</v>
      </c>
      <c r="M3903" s="270" t="s">
        <v>3960</v>
      </c>
      <c r="N3903" s="270" t="s">
        <v>4103</v>
      </c>
      <c r="O3903" s="270">
        <v>4340.17</v>
      </c>
      <c r="P3903" s="270" t="s">
        <v>3930</v>
      </c>
      <c r="Q3903" s="270" t="s">
        <v>3931</v>
      </c>
      <c r="R3903" s="270">
        <v>9340.17</v>
      </c>
      <c r="S3903" s="270">
        <v>24145.599999999999</v>
      </c>
      <c r="T3903" s="270">
        <v>33485.769999999997</v>
      </c>
      <c r="U3903" s="271" t="s">
        <v>3932</v>
      </c>
      <c r="V3903" s="267" t="s">
        <v>944</v>
      </c>
    </row>
    <row r="3904" spans="1:22" hidden="1" x14ac:dyDescent="0.25">
      <c r="A3904" s="266">
        <v>43664</v>
      </c>
      <c r="B3904" s="267">
        <v>2019</v>
      </c>
      <c r="C3904" s="267">
        <v>2020</v>
      </c>
      <c r="D3904" s="267">
        <v>1</v>
      </c>
      <c r="E3904" s="267">
        <v>1</v>
      </c>
      <c r="F3904" s="267" t="s">
        <v>944</v>
      </c>
      <c r="G3904" s="267" t="s">
        <v>3926</v>
      </c>
      <c r="H3904" s="267" t="s">
        <v>8450</v>
      </c>
      <c r="I3904" s="267" t="s">
        <v>8451</v>
      </c>
      <c r="J3904" s="267" t="s">
        <v>3928</v>
      </c>
      <c r="K3904" s="267">
        <v>6757</v>
      </c>
      <c r="L3904" s="267">
        <v>266100</v>
      </c>
      <c r="M3904" s="267" t="s">
        <v>3935</v>
      </c>
      <c r="N3904" s="267" t="s">
        <v>3986</v>
      </c>
      <c r="O3904" s="267">
        <v>3397.68</v>
      </c>
      <c r="P3904" s="267" t="s">
        <v>3930</v>
      </c>
      <c r="Q3904" s="267" t="s">
        <v>3931</v>
      </c>
      <c r="R3904" s="267">
        <v>8397.68</v>
      </c>
      <c r="S3904" s="267">
        <v>16196.8</v>
      </c>
      <c r="T3904" s="267">
        <v>24594.48</v>
      </c>
      <c r="U3904" s="268" t="s">
        <v>3932</v>
      </c>
      <c r="V3904" s="267" t="s">
        <v>944</v>
      </c>
    </row>
    <row r="3905" spans="1:22" hidden="1" x14ac:dyDescent="0.25">
      <c r="A3905" s="269">
        <v>43664</v>
      </c>
      <c r="B3905" s="270">
        <v>2019</v>
      </c>
      <c r="C3905" s="270">
        <v>2020</v>
      </c>
      <c r="D3905" s="270">
        <v>1</v>
      </c>
      <c r="E3905" s="270">
        <v>1</v>
      </c>
      <c r="F3905" s="270" t="s">
        <v>944</v>
      </c>
      <c r="G3905" s="270" t="s">
        <v>3926</v>
      </c>
      <c r="H3905" s="270" t="s">
        <v>8452</v>
      </c>
      <c r="I3905" s="270" t="s">
        <v>934</v>
      </c>
      <c r="J3905" s="270" t="s">
        <v>3928</v>
      </c>
      <c r="K3905" s="270">
        <v>6606</v>
      </c>
      <c r="L3905" s="270">
        <v>72900</v>
      </c>
      <c r="M3905" s="270" t="s">
        <v>3940</v>
      </c>
      <c r="N3905" s="270" t="s">
        <v>3983</v>
      </c>
      <c r="O3905" s="270">
        <v>3046.15</v>
      </c>
      <c r="P3905" s="270" t="s">
        <v>3930</v>
      </c>
      <c r="Q3905" s="270" t="s">
        <v>3931</v>
      </c>
      <c r="R3905" s="270">
        <v>8046.15</v>
      </c>
      <c r="S3905" s="270">
        <v>16504</v>
      </c>
      <c r="T3905" s="270">
        <v>24550.15</v>
      </c>
      <c r="U3905" s="271" t="s">
        <v>3932</v>
      </c>
      <c r="V3905" s="267" t="s">
        <v>944</v>
      </c>
    </row>
    <row r="3906" spans="1:22" hidden="1" x14ac:dyDescent="0.25">
      <c r="A3906" s="266">
        <v>43664</v>
      </c>
      <c r="B3906" s="267">
        <v>2019</v>
      </c>
      <c r="C3906" s="267">
        <v>2020</v>
      </c>
      <c r="D3906" s="267">
        <v>1</v>
      </c>
      <c r="E3906" s="267">
        <v>1</v>
      </c>
      <c r="F3906" s="267" t="s">
        <v>944</v>
      </c>
      <c r="G3906" s="267" t="s">
        <v>3926</v>
      </c>
      <c r="H3906" s="267" t="s">
        <v>8453</v>
      </c>
      <c r="I3906" s="267" t="s">
        <v>3025</v>
      </c>
      <c r="J3906" s="267" t="s">
        <v>3928</v>
      </c>
      <c r="K3906" s="267">
        <v>6473</v>
      </c>
      <c r="L3906" s="267">
        <v>167100</v>
      </c>
      <c r="M3906" s="267" t="s">
        <v>3943</v>
      </c>
      <c r="N3906" s="267" t="s">
        <v>8454</v>
      </c>
      <c r="O3906" s="267">
        <v>0</v>
      </c>
      <c r="P3906" s="267" t="s">
        <v>3930</v>
      </c>
      <c r="Q3906" s="267" t="s">
        <v>3930</v>
      </c>
      <c r="R3906" s="267">
        <v>0</v>
      </c>
      <c r="S3906" s="267">
        <v>39634.120000000003</v>
      </c>
      <c r="T3906" s="267">
        <v>39634.120000000003</v>
      </c>
      <c r="U3906" s="268" t="s">
        <v>3937</v>
      </c>
      <c r="V3906" s="267" t="s">
        <v>944</v>
      </c>
    </row>
    <row r="3907" spans="1:22" hidden="1" x14ac:dyDescent="0.25">
      <c r="A3907" s="269">
        <v>43664</v>
      </c>
      <c r="B3907" s="270">
        <v>2019</v>
      </c>
      <c r="C3907" s="270">
        <v>2020</v>
      </c>
      <c r="D3907" s="270">
        <v>1</v>
      </c>
      <c r="E3907" s="270">
        <v>1</v>
      </c>
      <c r="F3907" s="270" t="s">
        <v>944</v>
      </c>
      <c r="G3907" s="270" t="s">
        <v>3926</v>
      </c>
      <c r="H3907" s="270" t="s">
        <v>8455</v>
      </c>
      <c r="I3907" s="270" t="s">
        <v>3014</v>
      </c>
      <c r="J3907" s="270" t="s">
        <v>3928</v>
      </c>
      <c r="K3907" s="270">
        <v>6525</v>
      </c>
      <c r="L3907" s="270">
        <v>160200</v>
      </c>
      <c r="M3907" s="270" t="s">
        <v>3943</v>
      </c>
      <c r="N3907" s="270" t="s">
        <v>3944</v>
      </c>
      <c r="O3907" s="270">
        <v>3315</v>
      </c>
      <c r="P3907" s="270" t="s">
        <v>3944</v>
      </c>
      <c r="Q3907" s="270" t="s">
        <v>3944</v>
      </c>
      <c r="R3907" s="270">
        <v>3315</v>
      </c>
      <c r="S3907" s="270">
        <v>30503</v>
      </c>
      <c r="T3907" s="270">
        <v>33818</v>
      </c>
      <c r="U3907" s="271" t="s">
        <v>3945</v>
      </c>
      <c r="V3907" s="267" t="s">
        <v>944</v>
      </c>
    </row>
    <row r="3908" spans="1:22" hidden="1" x14ac:dyDescent="0.25">
      <c r="A3908" s="266">
        <v>43664</v>
      </c>
      <c r="B3908" s="267">
        <v>2019</v>
      </c>
      <c r="C3908" s="267">
        <v>2020</v>
      </c>
      <c r="D3908" s="267">
        <v>1</v>
      </c>
      <c r="E3908" s="267">
        <v>1</v>
      </c>
      <c r="F3908" s="267" t="s">
        <v>944</v>
      </c>
      <c r="G3908" s="267" t="s">
        <v>3926</v>
      </c>
      <c r="H3908" s="267" t="s">
        <v>8456</v>
      </c>
      <c r="I3908" s="267" t="s">
        <v>4011</v>
      </c>
      <c r="J3908" s="267" t="s">
        <v>3928</v>
      </c>
      <c r="K3908" s="267">
        <v>6002</v>
      </c>
      <c r="L3908" s="267">
        <v>471300</v>
      </c>
      <c r="M3908" s="267" t="s">
        <v>3935</v>
      </c>
      <c r="N3908" s="267" t="s">
        <v>3944</v>
      </c>
      <c r="O3908" s="267">
        <v>2775</v>
      </c>
      <c r="P3908" s="267" t="s">
        <v>3944</v>
      </c>
      <c r="Q3908" s="267" t="s">
        <v>3944</v>
      </c>
      <c r="R3908" s="267">
        <v>2775</v>
      </c>
      <c r="S3908" s="267">
        <v>36601</v>
      </c>
      <c r="T3908" s="267">
        <v>39376</v>
      </c>
      <c r="U3908" s="268" t="s">
        <v>3945</v>
      </c>
      <c r="V3908" s="267" t="s">
        <v>944</v>
      </c>
    </row>
    <row r="3909" spans="1:22" hidden="1" x14ac:dyDescent="0.25">
      <c r="A3909" s="269">
        <v>43664</v>
      </c>
      <c r="B3909" s="270">
        <v>2019</v>
      </c>
      <c r="C3909" s="270">
        <v>2020</v>
      </c>
      <c r="D3909" s="270">
        <v>1</v>
      </c>
      <c r="E3909" s="270">
        <v>1</v>
      </c>
      <c r="F3909" s="270" t="s">
        <v>944</v>
      </c>
      <c r="G3909" s="270" t="s">
        <v>3926</v>
      </c>
      <c r="H3909" s="270" t="s">
        <v>8457</v>
      </c>
      <c r="I3909" s="270" t="s">
        <v>950</v>
      </c>
      <c r="J3909" s="270" t="s">
        <v>3928</v>
      </c>
      <c r="K3909" s="270">
        <v>6516</v>
      </c>
      <c r="L3909" s="270">
        <v>154200</v>
      </c>
      <c r="M3909" s="270" t="s">
        <v>3940</v>
      </c>
      <c r="N3909" s="270" t="s">
        <v>3944</v>
      </c>
      <c r="O3909" s="270">
        <v>4463</v>
      </c>
      <c r="P3909" s="270" t="s">
        <v>3944</v>
      </c>
      <c r="Q3909" s="270" t="s">
        <v>3944</v>
      </c>
      <c r="R3909" s="270">
        <v>4463</v>
      </c>
      <c r="S3909" s="270">
        <v>36635</v>
      </c>
      <c r="T3909" s="270">
        <v>41098</v>
      </c>
      <c r="U3909" s="271" t="s">
        <v>3945</v>
      </c>
      <c r="V3909" s="267" t="s">
        <v>944</v>
      </c>
    </row>
    <row r="3910" spans="1:22" hidden="1" x14ac:dyDescent="0.25">
      <c r="A3910" s="266">
        <v>43664</v>
      </c>
      <c r="B3910" s="267">
        <v>2019</v>
      </c>
      <c r="C3910" s="267">
        <v>2020</v>
      </c>
      <c r="D3910" s="267">
        <v>1</v>
      </c>
      <c r="E3910" s="267">
        <v>1</v>
      </c>
      <c r="F3910" s="267" t="s">
        <v>944</v>
      </c>
      <c r="G3910" s="267" t="s">
        <v>3926</v>
      </c>
      <c r="H3910" s="267" t="s">
        <v>8458</v>
      </c>
      <c r="I3910" s="267" t="s">
        <v>5659</v>
      </c>
      <c r="J3910" s="267" t="s">
        <v>3928</v>
      </c>
      <c r="K3910" s="267">
        <v>6419</v>
      </c>
      <c r="L3910" s="267">
        <v>640100</v>
      </c>
      <c r="M3910" s="267" t="s">
        <v>3943</v>
      </c>
      <c r="N3910" s="267" t="s">
        <v>3944</v>
      </c>
      <c r="O3910" s="267">
        <v>3303</v>
      </c>
      <c r="P3910" s="267" t="s">
        <v>3944</v>
      </c>
      <c r="Q3910" s="267" t="s">
        <v>3944</v>
      </c>
      <c r="R3910" s="267">
        <v>3303</v>
      </c>
      <c r="S3910" s="267">
        <v>30334.959999999999</v>
      </c>
      <c r="T3910" s="267">
        <v>33637.96</v>
      </c>
      <c r="U3910" s="268" t="s">
        <v>3945</v>
      </c>
      <c r="V3910" s="267" t="s">
        <v>944</v>
      </c>
    </row>
    <row r="3911" spans="1:22" hidden="1" x14ac:dyDescent="0.25">
      <c r="A3911" s="269">
        <v>43664</v>
      </c>
      <c r="B3911" s="270">
        <v>2019</v>
      </c>
      <c r="C3911" s="270">
        <v>2020</v>
      </c>
      <c r="D3911" s="270">
        <v>1</v>
      </c>
      <c r="E3911" s="270">
        <v>1</v>
      </c>
      <c r="F3911" s="270" t="s">
        <v>944</v>
      </c>
      <c r="G3911" s="270" t="s">
        <v>3926</v>
      </c>
      <c r="H3911" s="270" t="s">
        <v>8459</v>
      </c>
      <c r="I3911" s="270" t="s">
        <v>3966</v>
      </c>
      <c r="J3911" s="270" t="s">
        <v>3928</v>
      </c>
      <c r="K3911" s="270">
        <v>6010</v>
      </c>
      <c r="L3911" s="270">
        <v>406002</v>
      </c>
      <c r="M3911" s="270" t="s">
        <v>3935</v>
      </c>
      <c r="N3911" s="270" t="s">
        <v>3944</v>
      </c>
      <c r="O3911" s="270">
        <v>1745</v>
      </c>
      <c r="P3911" s="270" t="s">
        <v>3944</v>
      </c>
      <c r="Q3911" s="270" t="s">
        <v>3944</v>
      </c>
      <c r="R3911" s="270">
        <v>1745</v>
      </c>
      <c r="S3911" s="270">
        <v>21069.41</v>
      </c>
      <c r="T3911" s="270">
        <v>22814.41</v>
      </c>
      <c r="U3911" s="271" t="s">
        <v>3945</v>
      </c>
      <c r="V3911" s="267" t="s">
        <v>944</v>
      </c>
    </row>
    <row r="3912" spans="1:22" hidden="1" x14ac:dyDescent="0.25">
      <c r="A3912" s="266">
        <v>43664</v>
      </c>
      <c r="B3912" s="267">
        <v>2019</v>
      </c>
      <c r="C3912" s="267">
        <v>2020</v>
      </c>
      <c r="D3912" s="267">
        <v>1</v>
      </c>
      <c r="E3912" s="267">
        <v>1</v>
      </c>
      <c r="F3912" s="267" t="s">
        <v>944</v>
      </c>
      <c r="G3912" s="267" t="s">
        <v>3926</v>
      </c>
      <c r="H3912" s="267" t="s">
        <v>8460</v>
      </c>
      <c r="I3912" s="267" t="s">
        <v>953</v>
      </c>
      <c r="J3912" s="267" t="s">
        <v>3928</v>
      </c>
      <c r="K3912" s="267">
        <v>6518</v>
      </c>
      <c r="L3912" s="267">
        <v>165900</v>
      </c>
      <c r="M3912" s="267" t="s">
        <v>3943</v>
      </c>
      <c r="N3912" s="267" t="s">
        <v>3944</v>
      </c>
      <c r="O3912" s="267">
        <v>3342</v>
      </c>
      <c r="P3912" s="267" t="s">
        <v>3944</v>
      </c>
      <c r="Q3912" s="267" t="s">
        <v>3944</v>
      </c>
      <c r="R3912" s="267">
        <v>3342</v>
      </c>
      <c r="S3912" s="267">
        <v>33573</v>
      </c>
      <c r="T3912" s="267">
        <v>36915</v>
      </c>
      <c r="U3912" s="268" t="s">
        <v>3945</v>
      </c>
      <c r="V3912" s="267" t="s">
        <v>944</v>
      </c>
    </row>
    <row r="3913" spans="1:22" hidden="1" x14ac:dyDescent="0.25">
      <c r="A3913" s="269">
        <v>43664</v>
      </c>
      <c r="B3913" s="270">
        <v>2019</v>
      </c>
      <c r="C3913" s="270">
        <v>2020</v>
      </c>
      <c r="D3913" s="270">
        <v>1</v>
      </c>
      <c r="E3913" s="270">
        <v>1</v>
      </c>
      <c r="F3913" s="270" t="s">
        <v>944</v>
      </c>
      <c r="G3913" s="270" t="s">
        <v>3926</v>
      </c>
      <c r="H3913" s="270" t="s">
        <v>8461</v>
      </c>
      <c r="I3913" s="270" t="s">
        <v>956</v>
      </c>
      <c r="J3913" s="270" t="s">
        <v>3928</v>
      </c>
      <c r="K3913" s="270">
        <v>6615</v>
      </c>
      <c r="L3913" s="270">
        <v>80500</v>
      </c>
      <c r="M3913" s="270" t="s">
        <v>3960</v>
      </c>
      <c r="N3913" s="270" t="s">
        <v>3944</v>
      </c>
      <c r="O3913" s="270">
        <v>1860</v>
      </c>
      <c r="P3913" s="270" t="s">
        <v>3944</v>
      </c>
      <c r="Q3913" s="270" t="s">
        <v>3944</v>
      </c>
      <c r="R3913" s="270">
        <v>1860</v>
      </c>
      <c r="S3913" s="270">
        <v>32492</v>
      </c>
      <c r="T3913" s="270">
        <v>34352</v>
      </c>
      <c r="U3913" s="271" t="s">
        <v>3945</v>
      </c>
      <c r="V3913" s="267" t="s">
        <v>944</v>
      </c>
    </row>
    <row r="3914" spans="1:22" hidden="1" x14ac:dyDescent="0.25">
      <c r="A3914" s="266">
        <v>43664</v>
      </c>
      <c r="B3914" s="267">
        <v>2019</v>
      </c>
      <c r="C3914" s="267">
        <v>2020</v>
      </c>
      <c r="D3914" s="267">
        <v>1</v>
      </c>
      <c r="E3914" s="267">
        <v>1</v>
      </c>
      <c r="F3914" s="267" t="s">
        <v>944</v>
      </c>
      <c r="G3914" s="267" t="s">
        <v>3926</v>
      </c>
      <c r="H3914" s="267" t="s">
        <v>8462</v>
      </c>
      <c r="I3914" s="267" t="s">
        <v>4079</v>
      </c>
      <c r="J3914" s="267" t="s">
        <v>3928</v>
      </c>
      <c r="K3914" s="267">
        <v>6111</v>
      </c>
      <c r="L3914" s="267">
        <v>494600</v>
      </c>
      <c r="M3914" s="267" t="s">
        <v>3935</v>
      </c>
      <c r="N3914" s="267" t="s">
        <v>3944</v>
      </c>
      <c r="O3914" s="267">
        <v>2377</v>
      </c>
      <c r="P3914" s="267" t="s">
        <v>3944</v>
      </c>
      <c r="Q3914" s="267" t="s">
        <v>3944</v>
      </c>
      <c r="R3914" s="267">
        <v>2377</v>
      </c>
      <c r="S3914" s="267">
        <v>23806</v>
      </c>
      <c r="T3914" s="267">
        <v>26183</v>
      </c>
      <c r="U3914" s="268" t="s">
        <v>3945</v>
      </c>
      <c r="V3914" s="267" t="s">
        <v>944</v>
      </c>
    </row>
    <row r="3915" spans="1:22" hidden="1" x14ac:dyDescent="0.25">
      <c r="A3915" s="269">
        <v>43664</v>
      </c>
      <c r="B3915" s="270">
        <v>2019</v>
      </c>
      <c r="C3915" s="270">
        <v>2020</v>
      </c>
      <c r="D3915" s="270">
        <v>1</v>
      </c>
      <c r="E3915" s="270">
        <v>1</v>
      </c>
      <c r="F3915" s="270" t="s">
        <v>944</v>
      </c>
      <c r="G3915" s="270" t="s">
        <v>3926</v>
      </c>
      <c r="H3915" s="270" t="s">
        <v>8463</v>
      </c>
      <c r="I3915" s="270" t="s">
        <v>4422</v>
      </c>
      <c r="J3915" s="270" t="s">
        <v>3928</v>
      </c>
      <c r="K3915" s="270">
        <v>6801</v>
      </c>
      <c r="L3915" s="270">
        <v>200301</v>
      </c>
      <c r="M3915" s="270" t="s">
        <v>3943</v>
      </c>
      <c r="N3915" s="270" t="s">
        <v>3944</v>
      </c>
      <c r="O3915" s="270">
        <v>2156</v>
      </c>
      <c r="P3915" s="270" t="s">
        <v>3944</v>
      </c>
      <c r="Q3915" s="270" t="s">
        <v>3944</v>
      </c>
      <c r="R3915" s="270">
        <v>2156</v>
      </c>
      <c r="S3915" s="270">
        <v>25476</v>
      </c>
      <c r="T3915" s="270">
        <v>27632</v>
      </c>
      <c r="U3915" s="271" t="s">
        <v>3945</v>
      </c>
      <c r="V3915" s="267" t="s">
        <v>944</v>
      </c>
    </row>
    <row r="3916" spans="1:22" hidden="1" x14ac:dyDescent="0.25">
      <c r="A3916" s="266">
        <v>43664</v>
      </c>
      <c r="B3916" s="267">
        <v>2019</v>
      </c>
      <c r="C3916" s="267">
        <v>2020</v>
      </c>
      <c r="D3916" s="267">
        <v>1</v>
      </c>
      <c r="E3916" s="267">
        <v>1</v>
      </c>
      <c r="F3916" s="267" t="s">
        <v>944</v>
      </c>
      <c r="G3916" s="267" t="s">
        <v>3926</v>
      </c>
      <c r="H3916" s="267" t="s">
        <v>8464</v>
      </c>
      <c r="I3916" s="267" t="s">
        <v>3966</v>
      </c>
      <c r="J3916" s="267" t="s">
        <v>3928</v>
      </c>
      <c r="K3916" s="267">
        <v>6010</v>
      </c>
      <c r="L3916" s="267">
        <v>405500</v>
      </c>
      <c r="M3916" s="267" t="s">
        <v>3935</v>
      </c>
      <c r="N3916" s="267" t="s">
        <v>3944</v>
      </c>
      <c r="O3916" s="267">
        <v>2377</v>
      </c>
      <c r="P3916" s="267" t="s">
        <v>3944</v>
      </c>
      <c r="Q3916" s="267" t="s">
        <v>3944</v>
      </c>
      <c r="R3916" s="267">
        <v>2377</v>
      </c>
      <c r="S3916" s="267">
        <v>23792</v>
      </c>
      <c r="T3916" s="267">
        <v>26169</v>
      </c>
      <c r="U3916" s="268" t="s">
        <v>3945</v>
      </c>
      <c r="V3916" s="267" t="s">
        <v>944</v>
      </c>
    </row>
    <row r="3917" spans="1:22" hidden="1" x14ac:dyDescent="0.25">
      <c r="A3917" s="269">
        <v>43664</v>
      </c>
      <c r="B3917" s="270">
        <v>2019</v>
      </c>
      <c r="C3917" s="270">
        <v>2020</v>
      </c>
      <c r="D3917" s="270">
        <v>1</v>
      </c>
      <c r="E3917" s="270">
        <v>1</v>
      </c>
      <c r="F3917" s="270" t="s">
        <v>944</v>
      </c>
      <c r="G3917" s="270" t="s">
        <v>3926</v>
      </c>
      <c r="H3917" s="270" t="s">
        <v>8465</v>
      </c>
      <c r="I3917" s="270" t="s">
        <v>4042</v>
      </c>
      <c r="J3917" s="270" t="s">
        <v>3928</v>
      </c>
      <c r="K3917" s="270">
        <v>6370</v>
      </c>
      <c r="L3917" s="270">
        <v>695201</v>
      </c>
      <c r="M3917" s="270" t="s">
        <v>3935</v>
      </c>
      <c r="N3917" s="270" t="s">
        <v>3944</v>
      </c>
      <c r="O3917" s="270">
        <v>2642</v>
      </c>
      <c r="P3917" s="270" t="s">
        <v>3944</v>
      </c>
      <c r="Q3917" s="270" t="s">
        <v>3944</v>
      </c>
      <c r="R3917" s="270">
        <v>2642</v>
      </c>
      <c r="S3917" s="270">
        <v>21226.75</v>
      </c>
      <c r="T3917" s="270">
        <v>23868.75</v>
      </c>
      <c r="U3917" s="271" t="s">
        <v>3945</v>
      </c>
      <c r="V3917" s="267" t="s">
        <v>944</v>
      </c>
    </row>
    <row r="3918" spans="1:22" hidden="1" x14ac:dyDescent="0.25">
      <c r="A3918" s="266">
        <v>43664</v>
      </c>
      <c r="B3918" s="267">
        <v>2019</v>
      </c>
      <c r="C3918" s="267">
        <v>2020</v>
      </c>
      <c r="D3918" s="267">
        <v>1</v>
      </c>
      <c r="E3918" s="267">
        <v>1</v>
      </c>
      <c r="F3918" s="267" t="s">
        <v>944</v>
      </c>
      <c r="G3918" s="267" t="s">
        <v>3926</v>
      </c>
      <c r="H3918" s="267" t="s">
        <v>8466</v>
      </c>
      <c r="I3918" s="267" t="s">
        <v>3975</v>
      </c>
      <c r="J3918" s="267" t="s">
        <v>3928</v>
      </c>
      <c r="K3918" s="267">
        <v>6489</v>
      </c>
      <c r="L3918" s="267">
        <v>430301</v>
      </c>
      <c r="M3918" s="267" t="s">
        <v>3943</v>
      </c>
      <c r="N3918" s="267" t="s">
        <v>3944</v>
      </c>
      <c r="O3918" s="267">
        <v>2811</v>
      </c>
      <c r="P3918" s="267" t="s">
        <v>3944</v>
      </c>
      <c r="Q3918" s="267" t="s">
        <v>3944</v>
      </c>
      <c r="R3918" s="267">
        <v>2811</v>
      </c>
      <c r="S3918" s="267">
        <v>25184</v>
      </c>
      <c r="T3918" s="267">
        <v>27995</v>
      </c>
      <c r="U3918" s="268" t="s">
        <v>3945</v>
      </c>
      <c r="V3918" s="267" t="s">
        <v>944</v>
      </c>
    </row>
    <row r="3919" spans="1:22" hidden="1" x14ac:dyDescent="0.25">
      <c r="A3919" s="269">
        <v>43664</v>
      </c>
      <c r="B3919" s="270">
        <v>2019</v>
      </c>
      <c r="C3919" s="270">
        <v>2020</v>
      </c>
      <c r="D3919" s="270">
        <v>1</v>
      </c>
      <c r="E3919" s="270">
        <v>1</v>
      </c>
      <c r="F3919" s="270" t="s">
        <v>944</v>
      </c>
      <c r="G3919" s="270" t="s">
        <v>3926</v>
      </c>
      <c r="H3919" s="270" t="s">
        <v>8467</v>
      </c>
      <c r="I3919" s="270" t="s">
        <v>953</v>
      </c>
      <c r="J3919" s="270" t="s">
        <v>3928</v>
      </c>
      <c r="K3919" s="270">
        <v>6518</v>
      </c>
      <c r="L3919" s="270">
        <v>165900</v>
      </c>
      <c r="M3919" s="270" t="s">
        <v>3943</v>
      </c>
      <c r="N3919" s="270" t="s">
        <v>3944</v>
      </c>
      <c r="O3919" s="270">
        <v>2120</v>
      </c>
      <c r="P3919" s="270" t="s">
        <v>3944</v>
      </c>
      <c r="Q3919" s="270" t="s">
        <v>3944</v>
      </c>
      <c r="R3919" s="270">
        <v>2120</v>
      </c>
      <c r="S3919" s="270">
        <v>27756</v>
      </c>
      <c r="T3919" s="270">
        <v>29876</v>
      </c>
      <c r="U3919" s="271" t="s">
        <v>3945</v>
      </c>
      <c r="V3919" s="267" t="s">
        <v>944</v>
      </c>
    </row>
    <row r="3920" spans="1:22" hidden="1" x14ac:dyDescent="0.25">
      <c r="A3920" s="266">
        <v>43664</v>
      </c>
      <c r="B3920" s="267">
        <v>2019</v>
      </c>
      <c r="C3920" s="267">
        <v>2020</v>
      </c>
      <c r="D3920" s="267">
        <v>1</v>
      </c>
      <c r="E3920" s="267">
        <v>1</v>
      </c>
      <c r="F3920" s="267" t="s">
        <v>944</v>
      </c>
      <c r="G3920" s="267" t="s">
        <v>3926</v>
      </c>
      <c r="H3920" s="267" t="s">
        <v>8468</v>
      </c>
      <c r="I3920" s="267" t="s">
        <v>4232</v>
      </c>
      <c r="J3920" s="267" t="s">
        <v>3928</v>
      </c>
      <c r="K3920" s="267">
        <v>6483</v>
      </c>
      <c r="L3920" s="267">
        <v>130101</v>
      </c>
      <c r="M3920" s="267" t="s">
        <v>3940</v>
      </c>
      <c r="N3920" s="267" t="s">
        <v>3944</v>
      </c>
      <c r="O3920" s="267">
        <v>2503</v>
      </c>
      <c r="P3920" s="267" t="s">
        <v>3944</v>
      </c>
      <c r="Q3920" s="267" t="s">
        <v>3944</v>
      </c>
      <c r="R3920" s="267">
        <v>2503</v>
      </c>
      <c r="S3920" s="267">
        <v>25277</v>
      </c>
      <c r="T3920" s="267">
        <v>27780</v>
      </c>
      <c r="U3920" s="268" t="s">
        <v>3945</v>
      </c>
      <c r="V3920" s="267" t="s">
        <v>944</v>
      </c>
    </row>
    <row r="3921" spans="1:22" hidden="1" x14ac:dyDescent="0.25">
      <c r="A3921" s="269">
        <v>43664</v>
      </c>
      <c r="B3921" s="270">
        <v>2019</v>
      </c>
      <c r="C3921" s="270">
        <v>2020</v>
      </c>
      <c r="D3921" s="270">
        <v>1</v>
      </c>
      <c r="E3921" s="270">
        <v>1</v>
      </c>
      <c r="F3921" s="270" t="s">
        <v>944</v>
      </c>
      <c r="G3921" s="270" t="s">
        <v>3926</v>
      </c>
      <c r="H3921" s="270" t="s">
        <v>8469</v>
      </c>
      <c r="I3921" s="270" t="s">
        <v>3014</v>
      </c>
      <c r="J3921" s="270" t="s">
        <v>3928</v>
      </c>
      <c r="K3921" s="270">
        <v>6525</v>
      </c>
      <c r="L3921" s="270">
        <v>160100</v>
      </c>
      <c r="M3921" s="270" t="s">
        <v>3943</v>
      </c>
      <c r="N3921" s="270" t="s">
        <v>3944</v>
      </c>
      <c r="O3921" s="270">
        <v>2208</v>
      </c>
      <c r="P3921" s="270" t="s">
        <v>3944</v>
      </c>
      <c r="Q3921" s="270" t="s">
        <v>3944</v>
      </c>
      <c r="R3921" s="270">
        <v>2208</v>
      </c>
      <c r="S3921" s="270">
        <v>19902</v>
      </c>
      <c r="T3921" s="270">
        <v>22110</v>
      </c>
      <c r="U3921" s="271" t="s">
        <v>3945</v>
      </c>
      <c r="V3921" s="267" t="s">
        <v>944</v>
      </c>
    </row>
    <row r="3922" spans="1:22" hidden="1" x14ac:dyDescent="0.25">
      <c r="A3922" s="266">
        <v>43664</v>
      </c>
      <c r="B3922" s="267">
        <v>2019</v>
      </c>
      <c r="C3922" s="267">
        <v>2020</v>
      </c>
      <c r="D3922" s="267">
        <v>1</v>
      </c>
      <c r="E3922" s="267">
        <v>1</v>
      </c>
      <c r="F3922" s="267" t="s">
        <v>944</v>
      </c>
      <c r="G3922" s="267" t="s">
        <v>3926</v>
      </c>
      <c r="H3922" s="267" t="s">
        <v>8470</v>
      </c>
      <c r="I3922" s="267" t="s">
        <v>953</v>
      </c>
      <c r="J3922" s="267" t="s">
        <v>3928</v>
      </c>
      <c r="K3922" s="267">
        <v>6518</v>
      </c>
      <c r="L3922" s="267">
        <v>166002</v>
      </c>
      <c r="M3922" s="267" t="s">
        <v>3960</v>
      </c>
      <c r="N3922" s="267" t="s">
        <v>3944</v>
      </c>
      <c r="O3922" s="267">
        <v>2370</v>
      </c>
      <c r="P3922" s="267" t="s">
        <v>3944</v>
      </c>
      <c r="Q3922" s="267" t="s">
        <v>3944</v>
      </c>
      <c r="R3922" s="267">
        <v>2370</v>
      </c>
      <c r="S3922" s="267">
        <v>23812</v>
      </c>
      <c r="T3922" s="267">
        <v>26182</v>
      </c>
      <c r="U3922" s="268" t="s">
        <v>3945</v>
      </c>
      <c r="V3922" s="267" t="s">
        <v>944</v>
      </c>
    </row>
    <row r="3923" spans="1:22" hidden="1" x14ac:dyDescent="0.25">
      <c r="A3923" s="269">
        <v>43664</v>
      </c>
      <c r="B3923" s="270">
        <v>2019</v>
      </c>
      <c r="C3923" s="270">
        <v>2020</v>
      </c>
      <c r="D3923" s="270">
        <v>1</v>
      </c>
      <c r="E3923" s="270">
        <v>1</v>
      </c>
      <c r="F3923" s="270" t="s">
        <v>944</v>
      </c>
      <c r="G3923" s="270" t="s">
        <v>3926</v>
      </c>
      <c r="H3923" s="270" t="s">
        <v>8471</v>
      </c>
      <c r="I3923" s="270" t="s">
        <v>4003</v>
      </c>
      <c r="J3923" s="270" t="s">
        <v>3928</v>
      </c>
      <c r="K3923" s="270">
        <v>6374</v>
      </c>
      <c r="L3923" s="270">
        <v>907300</v>
      </c>
      <c r="M3923" s="270" t="s">
        <v>3935</v>
      </c>
      <c r="N3923" s="270" t="s">
        <v>3944</v>
      </c>
      <c r="O3923" s="270">
        <v>2561</v>
      </c>
      <c r="P3923" s="270" t="s">
        <v>3944</v>
      </c>
      <c r="Q3923" s="270" t="s">
        <v>3944</v>
      </c>
      <c r="R3923" s="270">
        <v>2561</v>
      </c>
      <c r="S3923" s="270">
        <v>17914</v>
      </c>
      <c r="T3923" s="270">
        <v>20475</v>
      </c>
      <c r="U3923" s="271" t="s">
        <v>3945</v>
      </c>
      <c r="V3923" s="267" t="s">
        <v>944</v>
      </c>
    </row>
    <row r="3924" spans="1:22" hidden="1" x14ac:dyDescent="0.25">
      <c r="A3924" s="266">
        <v>43664</v>
      </c>
      <c r="B3924" s="267">
        <v>2019</v>
      </c>
      <c r="C3924" s="267">
        <v>2020</v>
      </c>
      <c r="D3924" s="267">
        <v>1</v>
      </c>
      <c r="E3924" s="267">
        <v>1</v>
      </c>
      <c r="F3924" s="267" t="s">
        <v>944</v>
      </c>
      <c r="G3924" s="267" t="s">
        <v>3926</v>
      </c>
      <c r="H3924" s="267" t="s">
        <v>8472</v>
      </c>
      <c r="I3924" s="267" t="s">
        <v>4019</v>
      </c>
      <c r="J3924" s="267" t="s">
        <v>3928</v>
      </c>
      <c r="K3924" s="267">
        <v>6708</v>
      </c>
      <c r="L3924" s="267">
        <v>352100</v>
      </c>
      <c r="M3924" s="267" t="s">
        <v>3940</v>
      </c>
      <c r="N3924" s="267" t="s">
        <v>3944</v>
      </c>
      <c r="O3924" s="267">
        <v>2380.2800000000002</v>
      </c>
      <c r="P3924" s="267" t="s">
        <v>3944</v>
      </c>
      <c r="Q3924" s="267" t="s">
        <v>3944</v>
      </c>
      <c r="R3924" s="267">
        <v>2380.2800000000002</v>
      </c>
      <c r="S3924" s="267">
        <v>34589.14</v>
      </c>
      <c r="T3924" s="267">
        <v>36969.42</v>
      </c>
      <c r="U3924" s="268" t="s">
        <v>3945</v>
      </c>
      <c r="V3924" s="267" t="s">
        <v>944</v>
      </c>
    </row>
    <row r="3925" spans="1:22" hidden="1" x14ac:dyDescent="0.25">
      <c r="A3925" s="269">
        <v>43664</v>
      </c>
      <c r="B3925" s="270">
        <v>2019</v>
      </c>
      <c r="C3925" s="270">
        <v>2020</v>
      </c>
      <c r="D3925" s="270">
        <v>1</v>
      </c>
      <c r="E3925" s="270">
        <v>1</v>
      </c>
      <c r="F3925" s="270" t="s">
        <v>944</v>
      </c>
      <c r="G3925" s="270" t="s">
        <v>3926</v>
      </c>
      <c r="H3925" s="270" t="s">
        <v>8473</v>
      </c>
      <c r="I3925" s="270" t="s">
        <v>5631</v>
      </c>
      <c r="J3925" s="270" t="s">
        <v>3928</v>
      </c>
      <c r="K3925" s="270">
        <v>6058</v>
      </c>
      <c r="L3925" s="270">
        <v>425600</v>
      </c>
      <c r="M3925" s="270" t="s">
        <v>3935</v>
      </c>
      <c r="N3925" s="270" t="s">
        <v>3944</v>
      </c>
      <c r="O3925" s="270">
        <v>2478.81</v>
      </c>
      <c r="P3925" s="270" t="s">
        <v>3944</v>
      </c>
      <c r="Q3925" s="270" t="s">
        <v>3944</v>
      </c>
      <c r="R3925" s="270">
        <v>2478.81</v>
      </c>
      <c r="S3925" s="270">
        <v>32074</v>
      </c>
      <c r="T3925" s="270">
        <v>34552.81</v>
      </c>
      <c r="U3925" s="271" t="s">
        <v>3945</v>
      </c>
      <c r="V3925" s="267" t="s">
        <v>944</v>
      </c>
    </row>
    <row r="3926" spans="1:22" hidden="1" x14ac:dyDescent="0.25">
      <c r="A3926" s="266">
        <v>43664</v>
      </c>
      <c r="B3926" s="267">
        <v>2019</v>
      </c>
      <c r="C3926" s="267">
        <v>2020</v>
      </c>
      <c r="D3926" s="267">
        <v>1</v>
      </c>
      <c r="E3926" s="267">
        <v>1</v>
      </c>
      <c r="F3926" s="267" t="s">
        <v>944</v>
      </c>
      <c r="G3926" s="267" t="s">
        <v>3926</v>
      </c>
      <c r="H3926" s="267" t="s">
        <v>8474</v>
      </c>
      <c r="I3926" s="267" t="s">
        <v>4087</v>
      </c>
      <c r="J3926" s="267" t="s">
        <v>3928</v>
      </c>
      <c r="K3926" s="267">
        <v>6355</v>
      </c>
      <c r="L3926" s="267">
        <v>702100</v>
      </c>
      <c r="M3926" s="267" t="s">
        <v>3960</v>
      </c>
      <c r="N3926" s="267" t="s">
        <v>3944</v>
      </c>
      <c r="O3926" s="267">
        <v>2046.8</v>
      </c>
      <c r="P3926" s="267" t="s">
        <v>3944</v>
      </c>
      <c r="Q3926" s="267" t="s">
        <v>3944</v>
      </c>
      <c r="R3926" s="267">
        <v>2046.8</v>
      </c>
      <c r="S3926" s="267">
        <v>36960.519999999997</v>
      </c>
      <c r="T3926" s="267">
        <v>39007.32</v>
      </c>
      <c r="U3926" s="268" t="s">
        <v>3945</v>
      </c>
      <c r="V3926" s="267" t="s">
        <v>944</v>
      </c>
    </row>
    <row r="3927" spans="1:22" hidden="1" x14ac:dyDescent="0.25">
      <c r="A3927" s="269">
        <v>43664</v>
      </c>
      <c r="B3927" s="270">
        <v>2019</v>
      </c>
      <c r="C3927" s="270">
        <v>2020</v>
      </c>
      <c r="D3927" s="270">
        <v>1</v>
      </c>
      <c r="E3927" s="270">
        <v>1</v>
      </c>
      <c r="F3927" s="270" t="s">
        <v>944</v>
      </c>
      <c r="G3927" s="270" t="s">
        <v>3926</v>
      </c>
      <c r="H3927" s="270" t="s">
        <v>8475</v>
      </c>
      <c r="I3927" s="270" t="s">
        <v>4079</v>
      </c>
      <c r="J3927" s="270" t="s">
        <v>3928</v>
      </c>
      <c r="K3927" s="270">
        <v>6111</v>
      </c>
      <c r="L3927" s="270">
        <v>494500</v>
      </c>
      <c r="M3927" s="270" t="s">
        <v>3960</v>
      </c>
      <c r="N3927" s="270" t="s">
        <v>3944</v>
      </c>
      <c r="O3927" s="270">
        <v>1716.61</v>
      </c>
      <c r="P3927" s="270" t="s">
        <v>3944</v>
      </c>
      <c r="Q3927" s="270" t="s">
        <v>3944</v>
      </c>
      <c r="R3927" s="270">
        <v>1716.61</v>
      </c>
      <c r="S3927" s="270">
        <v>30683.39</v>
      </c>
      <c r="T3927" s="270">
        <v>32400</v>
      </c>
      <c r="U3927" s="271" t="s">
        <v>3945</v>
      </c>
      <c r="V3927" s="267" t="s">
        <v>944</v>
      </c>
    </row>
    <row r="3928" spans="1:22" hidden="1" x14ac:dyDescent="0.25">
      <c r="A3928" s="266">
        <v>43664</v>
      </c>
      <c r="B3928" s="267">
        <v>2019</v>
      </c>
      <c r="C3928" s="267">
        <v>2020</v>
      </c>
      <c r="D3928" s="267">
        <v>1</v>
      </c>
      <c r="E3928" s="267">
        <v>1</v>
      </c>
      <c r="F3928" s="267" t="s">
        <v>944</v>
      </c>
      <c r="G3928" s="267" t="s">
        <v>3926</v>
      </c>
      <c r="H3928" s="267" t="s">
        <v>8476</v>
      </c>
      <c r="I3928" s="267" t="s">
        <v>3999</v>
      </c>
      <c r="J3928" s="267" t="s">
        <v>3928</v>
      </c>
      <c r="K3928" s="267">
        <v>6451</v>
      </c>
      <c r="L3928" s="267">
        <v>170500</v>
      </c>
      <c r="M3928" s="267" t="s">
        <v>3935</v>
      </c>
      <c r="N3928" s="267" t="s">
        <v>3944</v>
      </c>
      <c r="O3928" s="267">
        <v>1247.0899999999999</v>
      </c>
      <c r="P3928" s="267" t="s">
        <v>3944</v>
      </c>
      <c r="Q3928" s="267" t="s">
        <v>3944</v>
      </c>
      <c r="R3928" s="267">
        <v>1247.0899999999999</v>
      </c>
      <c r="S3928" s="267">
        <v>22034.19</v>
      </c>
      <c r="T3928" s="267">
        <v>23281.279999999999</v>
      </c>
      <c r="U3928" s="268" t="s">
        <v>3945</v>
      </c>
      <c r="V3928" s="267" t="s">
        <v>944</v>
      </c>
    </row>
    <row r="3929" spans="1:22" hidden="1" x14ac:dyDescent="0.25">
      <c r="A3929" s="269">
        <v>43664</v>
      </c>
      <c r="B3929" s="270">
        <v>2019</v>
      </c>
      <c r="C3929" s="270">
        <v>2020</v>
      </c>
      <c r="D3929" s="270">
        <v>1</v>
      </c>
      <c r="E3929" s="270">
        <v>1</v>
      </c>
      <c r="F3929" s="270" t="s">
        <v>944</v>
      </c>
      <c r="G3929" s="270" t="s">
        <v>3926</v>
      </c>
      <c r="H3929" s="270" t="s">
        <v>8477</v>
      </c>
      <c r="I3929" s="270" t="s">
        <v>3012</v>
      </c>
      <c r="J3929" s="270" t="s">
        <v>3928</v>
      </c>
      <c r="K3929" s="270">
        <v>6477</v>
      </c>
      <c r="L3929" s="270">
        <v>157200</v>
      </c>
      <c r="M3929" s="270" t="s">
        <v>3943</v>
      </c>
      <c r="N3929" s="270" t="s">
        <v>3944</v>
      </c>
      <c r="O3929" s="270">
        <v>2099.06</v>
      </c>
      <c r="P3929" s="270" t="s">
        <v>3944</v>
      </c>
      <c r="Q3929" s="270" t="s">
        <v>3944</v>
      </c>
      <c r="R3929" s="270">
        <v>2099.06</v>
      </c>
      <c r="S3929" s="270">
        <v>33318.910000000003</v>
      </c>
      <c r="T3929" s="270">
        <v>35417.97</v>
      </c>
      <c r="U3929" s="271" t="s">
        <v>3945</v>
      </c>
      <c r="V3929" s="267" t="s">
        <v>944</v>
      </c>
    </row>
    <row r="3930" spans="1:22" hidden="1" x14ac:dyDescent="0.25">
      <c r="A3930" s="266">
        <v>43664</v>
      </c>
      <c r="B3930" s="267">
        <v>2019</v>
      </c>
      <c r="C3930" s="267">
        <v>2020</v>
      </c>
      <c r="D3930" s="267">
        <v>1</v>
      </c>
      <c r="E3930" s="267">
        <v>1</v>
      </c>
      <c r="F3930" s="267" t="s">
        <v>944</v>
      </c>
      <c r="G3930" s="267" t="s">
        <v>3926</v>
      </c>
      <c r="H3930" s="267" t="s">
        <v>8478</v>
      </c>
      <c r="I3930" s="267" t="s">
        <v>4037</v>
      </c>
      <c r="J3930" s="267" t="s">
        <v>3928</v>
      </c>
      <c r="K3930" s="267">
        <v>6811</v>
      </c>
      <c r="L3930" s="267">
        <v>211300</v>
      </c>
      <c r="M3930" s="267" t="s">
        <v>3943</v>
      </c>
      <c r="N3930" s="267" t="s">
        <v>3944</v>
      </c>
      <c r="O3930" s="267">
        <v>1524.99</v>
      </c>
      <c r="P3930" s="267" t="s">
        <v>3944</v>
      </c>
      <c r="Q3930" s="267" t="s">
        <v>3944</v>
      </c>
      <c r="R3930" s="267">
        <v>1524.99</v>
      </c>
      <c r="S3930" s="267">
        <v>23093.51</v>
      </c>
      <c r="T3930" s="267">
        <v>24618.5</v>
      </c>
      <c r="U3930" s="268" t="s">
        <v>3945</v>
      </c>
      <c r="V3930" s="267" t="s">
        <v>944</v>
      </c>
    </row>
    <row r="3931" spans="1:22" hidden="1" x14ac:dyDescent="0.25">
      <c r="A3931" s="269">
        <v>43664</v>
      </c>
      <c r="B3931" s="270">
        <v>2019</v>
      </c>
      <c r="C3931" s="270">
        <v>2020</v>
      </c>
      <c r="D3931" s="270">
        <v>1</v>
      </c>
      <c r="E3931" s="270">
        <v>1</v>
      </c>
      <c r="F3931" s="270" t="s">
        <v>944</v>
      </c>
      <c r="G3931" s="270" t="s">
        <v>3926</v>
      </c>
      <c r="H3931" s="270" t="s">
        <v>8479</v>
      </c>
      <c r="I3931" s="270" t="s">
        <v>943</v>
      </c>
      <c r="J3931" s="270" t="s">
        <v>3928</v>
      </c>
      <c r="K3931" s="270">
        <v>6511</v>
      </c>
      <c r="L3931" s="270">
        <v>141400</v>
      </c>
      <c r="M3931" s="270">
        <v>-60</v>
      </c>
      <c r="N3931" s="270" t="s">
        <v>3944</v>
      </c>
      <c r="O3931" s="270">
        <v>968.94</v>
      </c>
      <c r="P3931" s="270" t="s">
        <v>3944</v>
      </c>
      <c r="Q3931" s="270" t="s">
        <v>3944</v>
      </c>
      <c r="R3931" s="270">
        <v>968.94</v>
      </c>
      <c r="S3931" s="270">
        <v>17021.14</v>
      </c>
      <c r="T3931" s="270">
        <v>17990.080000000002</v>
      </c>
      <c r="U3931" s="271" t="s">
        <v>3945</v>
      </c>
      <c r="V3931" s="267" t="s">
        <v>944</v>
      </c>
    </row>
    <row r="3932" spans="1:22" hidden="1" x14ac:dyDescent="0.25">
      <c r="A3932" s="266">
        <v>43664</v>
      </c>
      <c r="B3932" s="267">
        <v>2019</v>
      </c>
      <c r="C3932" s="267">
        <v>2020</v>
      </c>
      <c r="D3932" s="267">
        <v>1</v>
      </c>
      <c r="E3932" s="267">
        <v>1</v>
      </c>
      <c r="F3932" s="267" t="s">
        <v>944</v>
      </c>
      <c r="G3932" s="267" t="s">
        <v>3926</v>
      </c>
      <c r="H3932" s="267" t="s">
        <v>8480</v>
      </c>
      <c r="I3932" s="267" t="s">
        <v>956</v>
      </c>
      <c r="J3932" s="267" t="s">
        <v>3928</v>
      </c>
      <c r="K3932" s="267">
        <v>6614</v>
      </c>
      <c r="L3932" s="267">
        <v>80800</v>
      </c>
      <c r="M3932" s="267" t="s">
        <v>3960</v>
      </c>
      <c r="N3932" s="267" t="s">
        <v>3944</v>
      </c>
      <c r="O3932" s="267">
        <v>2324.2800000000002</v>
      </c>
      <c r="P3932" s="267" t="s">
        <v>3944</v>
      </c>
      <c r="Q3932" s="267" t="s">
        <v>3944</v>
      </c>
      <c r="R3932" s="267">
        <v>2324.2800000000002</v>
      </c>
      <c r="S3932" s="267">
        <v>32597.64</v>
      </c>
      <c r="T3932" s="267">
        <v>34921.919999999998</v>
      </c>
      <c r="U3932" s="268" t="s">
        <v>3945</v>
      </c>
      <c r="V3932" s="267" t="s">
        <v>944</v>
      </c>
    </row>
    <row r="3933" spans="1:22" hidden="1" x14ac:dyDescent="0.25">
      <c r="A3933" s="269">
        <v>43664</v>
      </c>
      <c r="B3933" s="270">
        <v>2019</v>
      </c>
      <c r="C3933" s="270">
        <v>2020</v>
      </c>
      <c r="D3933" s="270">
        <v>1</v>
      </c>
      <c r="E3933" s="270">
        <v>1</v>
      </c>
      <c r="F3933" s="270" t="s">
        <v>944</v>
      </c>
      <c r="G3933" s="270" t="s">
        <v>3926</v>
      </c>
      <c r="H3933" s="270" t="s">
        <v>8481</v>
      </c>
      <c r="I3933" s="270" t="s">
        <v>2981</v>
      </c>
      <c r="J3933" s="270" t="s">
        <v>3928</v>
      </c>
      <c r="K3933" s="270">
        <v>6612</v>
      </c>
      <c r="L3933" s="270">
        <v>105200</v>
      </c>
      <c r="M3933" s="270" t="s">
        <v>3943</v>
      </c>
      <c r="N3933" s="270" t="s">
        <v>3944</v>
      </c>
      <c r="O3933" s="270">
        <v>3052.46</v>
      </c>
      <c r="P3933" s="270" t="s">
        <v>3944</v>
      </c>
      <c r="Q3933" s="270" t="s">
        <v>3944</v>
      </c>
      <c r="R3933" s="270">
        <v>3052.46</v>
      </c>
      <c r="S3933" s="270">
        <v>51976.02</v>
      </c>
      <c r="T3933" s="270">
        <v>55028.480000000003</v>
      </c>
      <c r="U3933" s="271" t="s">
        <v>3945</v>
      </c>
      <c r="V3933" s="267" t="s">
        <v>944</v>
      </c>
    </row>
    <row r="3934" spans="1:22" hidden="1" x14ac:dyDescent="0.25">
      <c r="A3934" s="266">
        <v>43664</v>
      </c>
      <c r="B3934" s="267">
        <v>2019</v>
      </c>
      <c r="C3934" s="267">
        <v>2020</v>
      </c>
      <c r="D3934" s="267">
        <v>1</v>
      </c>
      <c r="E3934" s="267">
        <v>1</v>
      </c>
      <c r="F3934" s="267" t="s">
        <v>944</v>
      </c>
      <c r="G3934" s="267" t="s">
        <v>3926</v>
      </c>
      <c r="H3934" s="267" t="s">
        <v>8482</v>
      </c>
      <c r="I3934" s="267" t="s">
        <v>956</v>
      </c>
      <c r="J3934" s="267" t="s">
        <v>3928</v>
      </c>
      <c r="K3934" s="267">
        <v>6615</v>
      </c>
      <c r="L3934" s="267">
        <v>80400</v>
      </c>
      <c r="M3934" s="267" t="s">
        <v>3940</v>
      </c>
      <c r="N3934" s="267" t="s">
        <v>3944</v>
      </c>
      <c r="O3934" s="267">
        <v>766.54</v>
      </c>
      <c r="P3934" s="267" t="s">
        <v>3944</v>
      </c>
      <c r="Q3934" s="267" t="s">
        <v>3944</v>
      </c>
      <c r="R3934" s="267">
        <v>766.54</v>
      </c>
      <c r="S3934" s="267">
        <v>12990.58</v>
      </c>
      <c r="T3934" s="267">
        <v>13757.12</v>
      </c>
      <c r="U3934" s="268" t="s">
        <v>3945</v>
      </c>
      <c r="V3934" s="267" t="s">
        <v>944</v>
      </c>
    </row>
    <row r="3935" spans="1:22" hidden="1" x14ac:dyDescent="0.25">
      <c r="A3935" s="269">
        <v>43665</v>
      </c>
      <c r="B3935" s="270">
        <v>2019</v>
      </c>
      <c r="C3935" s="270">
        <v>2020</v>
      </c>
      <c r="D3935" s="270">
        <v>1</v>
      </c>
      <c r="E3935" s="270">
        <v>1</v>
      </c>
      <c r="F3935" s="270" t="s">
        <v>944</v>
      </c>
      <c r="G3935" s="270" t="s">
        <v>3926</v>
      </c>
      <c r="H3935" s="270" t="s">
        <v>8483</v>
      </c>
      <c r="I3935" s="270" t="s">
        <v>4124</v>
      </c>
      <c r="J3935" s="270" t="s">
        <v>3928</v>
      </c>
      <c r="K3935" s="270">
        <v>6482</v>
      </c>
      <c r="L3935" s="270">
        <v>230501</v>
      </c>
      <c r="M3935" s="270" t="s">
        <v>3943</v>
      </c>
      <c r="N3935" s="270" t="s">
        <v>8484</v>
      </c>
      <c r="O3935" s="270">
        <v>0</v>
      </c>
      <c r="P3935" s="270" t="s">
        <v>3930</v>
      </c>
      <c r="Q3935" s="270" t="s">
        <v>3930</v>
      </c>
      <c r="R3935" s="270">
        <v>0</v>
      </c>
      <c r="S3935" s="270">
        <v>24500</v>
      </c>
      <c r="T3935" s="270">
        <v>24500</v>
      </c>
      <c r="U3935" s="271" t="s">
        <v>3937</v>
      </c>
      <c r="V3935" s="267" t="s">
        <v>944</v>
      </c>
    </row>
    <row r="3936" spans="1:22" hidden="1" x14ac:dyDescent="0.25">
      <c r="A3936" s="266">
        <v>43665</v>
      </c>
      <c r="B3936" s="267">
        <v>2019</v>
      </c>
      <c r="C3936" s="267">
        <v>2020</v>
      </c>
      <c r="D3936" s="267">
        <v>1</v>
      </c>
      <c r="E3936" s="267">
        <v>1</v>
      </c>
      <c r="F3936" s="267" t="s">
        <v>944</v>
      </c>
      <c r="G3936" s="267" t="s">
        <v>3926</v>
      </c>
      <c r="H3936" s="267" t="s">
        <v>8485</v>
      </c>
      <c r="I3936" s="267" t="s">
        <v>953</v>
      </c>
      <c r="J3936" s="267" t="s">
        <v>3928</v>
      </c>
      <c r="K3936" s="267">
        <v>6514</v>
      </c>
      <c r="L3936" s="267">
        <v>165700</v>
      </c>
      <c r="M3936" s="267" t="s">
        <v>3935</v>
      </c>
      <c r="N3936" s="267" t="s">
        <v>4103</v>
      </c>
      <c r="O3936" s="267">
        <v>1876.74</v>
      </c>
      <c r="P3936" s="267" t="s">
        <v>3930</v>
      </c>
      <c r="Q3936" s="267" t="s">
        <v>3931</v>
      </c>
      <c r="R3936" s="267">
        <v>6876.74</v>
      </c>
      <c r="S3936" s="267">
        <v>24145.599999999999</v>
      </c>
      <c r="T3936" s="267">
        <v>31022.34</v>
      </c>
      <c r="U3936" s="268" t="s">
        <v>3932</v>
      </c>
      <c r="V3936" s="267" t="s">
        <v>944</v>
      </c>
    </row>
    <row r="3937" spans="1:22" hidden="1" x14ac:dyDescent="0.25">
      <c r="A3937" s="269">
        <v>43665</v>
      </c>
      <c r="B3937" s="270">
        <v>2019</v>
      </c>
      <c r="C3937" s="270">
        <v>2020</v>
      </c>
      <c r="D3937" s="270">
        <v>1</v>
      </c>
      <c r="E3937" s="270">
        <v>1</v>
      </c>
      <c r="F3937" s="270" t="s">
        <v>944</v>
      </c>
      <c r="G3937" s="270" t="s">
        <v>3926</v>
      </c>
      <c r="H3937" s="270" t="s">
        <v>8486</v>
      </c>
      <c r="I3937" s="270" t="s">
        <v>3966</v>
      </c>
      <c r="J3937" s="270" t="s">
        <v>3928</v>
      </c>
      <c r="K3937" s="270">
        <v>6010</v>
      </c>
      <c r="L3937" s="270">
        <v>405700</v>
      </c>
      <c r="M3937" s="270">
        <v>-60</v>
      </c>
      <c r="N3937" s="270" t="s">
        <v>8487</v>
      </c>
      <c r="O3937" s="270">
        <v>3111.49</v>
      </c>
      <c r="P3937" s="270" t="s">
        <v>3930</v>
      </c>
      <c r="Q3937" s="270" t="s">
        <v>3931</v>
      </c>
      <c r="R3937" s="270">
        <v>8111.49</v>
      </c>
      <c r="S3937" s="270">
        <v>32401</v>
      </c>
      <c r="T3937" s="270">
        <v>40512.49</v>
      </c>
      <c r="U3937" s="271" t="s">
        <v>3932</v>
      </c>
      <c r="V3937" s="267" t="s">
        <v>944</v>
      </c>
    </row>
    <row r="3938" spans="1:22" hidden="1" x14ac:dyDescent="0.25">
      <c r="A3938" s="266">
        <v>43665</v>
      </c>
      <c r="B3938" s="267">
        <v>2019</v>
      </c>
      <c r="C3938" s="267">
        <v>2020</v>
      </c>
      <c r="D3938" s="267">
        <v>1</v>
      </c>
      <c r="E3938" s="267">
        <v>1</v>
      </c>
      <c r="F3938" s="267" t="s">
        <v>944</v>
      </c>
      <c r="G3938" s="267" t="s">
        <v>3926</v>
      </c>
      <c r="H3938" s="267" t="s">
        <v>8488</v>
      </c>
      <c r="I3938" s="267" t="s">
        <v>4621</v>
      </c>
      <c r="J3938" s="267" t="s">
        <v>3928</v>
      </c>
      <c r="K3938" s="267">
        <v>6443</v>
      </c>
      <c r="L3938" s="267">
        <v>194201</v>
      </c>
      <c r="M3938" s="267" t="s">
        <v>3943</v>
      </c>
      <c r="N3938" s="267" t="s">
        <v>8489</v>
      </c>
      <c r="O3938" s="267">
        <v>3544</v>
      </c>
      <c r="P3938" s="267" t="s">
        <v>3930</v>
      </c>
      <c r="Q3938" s="267" t="s">
        <v>3930</v>
      </c>
      <c r="R3938" s="267">
        <v>3544</v>
      </c>
      <c r="S3938" s="267">
        <v>21420</v>
      </c>
      <c r="T3938" s="267">
        <v>24964</v>
      </c>
      <c r="U3938" s="268" t="s">
        <v>3937</v>
      </c>
      <c r="V3938" s="267" t="s">
        <v>944</v>
      </c>
    </row>
    <row r="3939" spans="1:22" hidden="1" x14ac:dyDescent="0.25">
      <c r="A3939" s="269">
        <v>43665</v>
      </c>
      <c r="B3939" s="270">
        <v>2019</v>
      </c>
      <c r="C3939" s="270">
        <v>2020</v>
      </c>
      <c r="D3939" s="270">
        <v>1</v>
      </c>
      <c r="E3939" s="270">
        <v>1</v>
      </c>
      <c r="F3939" s="270" t="s">
        <v>944</v>
      </c>
      <c r="G3939" s="270" t="s">
        <v>3926</v>
      </c>
      <c r="H3939" s="270" t="s">
        <v>8490</v>
      </c>
      <c r="I3939" s="270" t="s">
        <v>2985</v>
      </c>
      <c r="J3939" s="270" t="s">
        <v>3928</v>
      </c>
      <c r="K3939" s="270">
        <v>6824</v>
      </c>
      <c r="L3939" s="270">
        <v>61500</v>
      </c>
      <c r="M3939" s="270" t="s">
        <v>3943</v>
      </c>
      <c r="N3939" s="270" t="s">
        <v>4103</v>
      </c>
      <c r="O3939" s="270">
        <v>1859.73</v>
      </c>
      <c r="P3939" s="270" t="s">
        <v>3930</v>
      </c>
      <c r="Q3939" s="270" t="s">
        <v>3931</v>
      </c>
      <c r="R3939" s="270">
        <v>6859.73</v>
      </c>
      <c r="S3939" s="270">
        <v>24145.599999999999</v>
      </c>
      <c r="T3939" s="270">
        <v>31005.33</v>
      </c>
      <c r="U3939" s="271" t="s">
        <v>3932</v>
      </c>
      <c r="V3939" s="267" t="s">
        <v>944</v>
      </c>
    </row>
    <row r="3940" spans="1:22" hidden="1" x14ac:dyDescent="0.25">
      <c r="A3940" s="266">
        <v>43665</v>
      </c>
      <c r="B3940" s="267">
        <v>2019</v>
      </c>
      <c r="C3940" s="267">
        <v>2020</v>
      </c>
      <c r="D3940" s="267">
        <v>1</v>
      </c>
      <c r="E3940" s="267">
        <v>1</v>
      </c>
      <c r="F3940" s="267" t="s">
        <v>944</v>
      </c>
      <c r="G3940" s="267" t="s">
        <v>3926</v>
      </c>
      <c r="H3940" s="267" t="s">
        <v>8491</v>
      </c>
      <c r="I3940" s="267" t="s">
        <v>934</v>
      </c>
      <c r="J3940" s="267" t="s">
        <v>3928</v>
      </c>
      <c r="K3940" s="267">
        <v>6516</v>
      </c>
      <c r="L3940" s="267">
        <v>361500</v>
      </c>
      <c r="M3940" s="267" t="s">
        <v>3940</v>
      </c>
      <c r="N3940" s="267" t="s">
        <v>4103</v>
      </c>
      <c r="O3940" s="267">
        <v>1989.54</v>
      </c>
      <c r="P3940" s="267" t="s">
        <v>3930</v>
      </c>
      <c r="Q3940" s="267" t="s">
        <v>3931</v>
      </c>
      <c r="R3940" s="267">
        <v>6989.54</v>
      </c>
      <c r="S3940" s="267">
        <v>24145.599999999999</v>
      </c>
      <c r="T3940" s="267">
        <v>31135.14</v>
      </c>
      <c r="U3940" s="268" t="s">
        <v>3932</v>
      </c>
      <c r="V3940" s="267" t="s">
        <v>944</v>
      </c>
    </row>
    <row r="3941" spans="1:22" hidden="1" x14ac:dyDescent="0.25">
      <c r="A3941" s="269">
        <v>43665</v>
      </c>
      <c r="B3941" s="270">
        <v>2019</v>
      </c>
      <c r="C3941" s="270">
        <v>2020</v>
      </c>
      <c r="D3941" s="270">
        <v>1</v>
      </c>
      <c r="E3941" s="270">
        <v>1</v>
      </c>
      <c r="F3941" s="270" t="s">
        <v>944</v>
      </c>
      <c r="G3941" s="270" t="s">
        <v>3926</v>
      </c>
      <c r="H3941" s="270" t="s">
        <v>8492</v>
      </c>
      <c r="I3941" s="270" t="s">
        <v>3025</v>
      </c>
      <c r="J3941" s="270" t="s">
        <v>3928</v>
      </c>
      <c r="K3941" s="270">
        <v>6473</v>
      </c>
      <c r="L3941" s="270">
        <v>167300</v>
      </c>
      <c r="M3941" s="270" t="s">
        <v>3943</v>
      </c>
      <c r="N3941" s="270" t="s">
        <v>3944</v>
      </c>
      <c r="O3941" s="270">
        <v>3667</v>
      </c>
      <c r="P3941" s="270" t="s">
        <v>3944</v>
      </c>
      <c r="Q3941" s="270" t="s">
        <v>3944</v>
      </c>
      <c r="R3941" s="270">
        <v>3667</v>
      </c>
      <c r="S3941" s="270">
        <v>34133</v>
      </c>
      <c r="T3941" s="270">
        <v>37800</v>
      </c>
      <c r="U3941" s="271" t="s">
        <v>3945</v>
      </c>
      <c r="V3941" s="267" t="s">
        <v>944</v>
      </c>
    </row>
    <row r="3942" spans="1:22" hidden="1" x14ac:dyDescent="0.25">
      <c r="A3942" s="266">
        <v>43665</v>
      </c>
      <c r="B3942" s="267">
        <v>2019</v>
      </c>
      <c r="C3942" s="267">
        <v>2020</v>
      </c>
      <c r="D3942" s="267">
        <v>1</v>
      </c>
      <c r="E3942" s="267">
        <v>1</v>
      </c>
      <c r="F3942" s="267" t="s">
        <v>944</v>
      </c>
      <c r="G3942" s="267" t="s">
        <v>3926</v>
      </c>
      <c r="H3942" s="267" t="s">
        <v>8493</v>
      </c>
      <c r="I3942" s="267" t="s">
        <v>3008</v>
      </c>
      <c r="J3942" s="267" t="s">
        <v>3928</v>
      </c>
      <c r="K3942" s="267">
        <v>6460</v>
      </c>
      <c r="L3942" s="267">
        <v>150500</v>
      </c>
      <c r="M3942" s="267" t="s">
        <v>3960</v>
      </c>
      <c r="N3942" s="267" t="s">
        <v>3944</v>
      </c>
      <c r="O3942" s="267">
        <v>4031</v>
      </c>
      <c r="P3942" s="267" t="s">
        <v>3944</v>
      </c>
      <c r="Q3942" s="267" t="s">
        <v>3944</v>
      </c>
      <c r="R3942" s="267">
        <v>4031</v>
      </c>
      <c r="S3942" s="267">
        <v>28815</v>
      </c>
      <c r="T3942" s="267">
        <v>32846</v>
      </c>
      <c r="U3942" s="268" t="s">
        <v>3945</v>
      </c>
      <c r="V3942" s="267" t="s">
        <v>944</v>
      </c>
    </row>
    <row r="3943" spans="1:22" hidden="1" x14ac:dyDescent="0.25">
      <c r="A3943" s="269">
        <v>43665</v>
      </c>
      <c r="B3943" s="270">
        <v>2019</v>
      </c>
      <c r="C3943" s="270">
        <v>2020</v>
      </c>
      <c r="D3943" s="270">
        <v>1</v>
      </c>
      <c r="E3943" s="270">
        <v>1</v>
      </c>
      <c r="F3943" s="270" t="s">
        <v>944</v>
      </c>
      <c r="G3943" s="270" t="s">
        <v>3926</v>
      </c>
      <c r="H3943" s="270" t="s">
        <v>8494</v>
      </c>
      <c r="I3943" s="270" t="s">
        <v>4269</v>
      </c>
      <c r="J3943" s="270" t="s">
        <v>3928</v>
      </c>
      <c r="K3943" s="270">
        <v>6107</v>
      </c>
      <c r="L3943" s="270">
        <v>496600</v>
      </c>
      <c r="M3943" s="270" t="s">
        <v>3943</v>
      </c>
      <c r="N3943" s="270" t="s">
        <v>3944</v>
      </c>
      <c r="O3943" s="270">
        <v>2668</v>
      </c>
      <c r="P3943" s="270" t="s">
        <v>3944</v>
      </c>
      <c r="Q3943" s="270" t="s">
        <v>3944</v>
      </c>
      <c r="R3943" s="270">
        <v>2668</v>
      </c>
      <c r="S3943" s="270">
        <v>20758.55</v>
      </c>
      <c r="T3943" s="270">
        <v>23426.55</v>
      </c>
      <c r="U3943" s="271" t="s">
        <v>3945</v>
      </c>
      <c r="V3943" s="267" t="s">
        <v>944</v>
      </c>
    </row>
    <row r="3944" spans="1:22" hidden="1" x14ac:dyDescent="0.25">
      <c r="A3944" s="266">
        <v>43665</v>
      </c>
      <c r="B3944" s="267">
        <v>2019</v>
      </c>
      <c r="C3944" s="267">
        <v>2020</v>
      </c>
      <c r="D3944" s="267">
        <v>1</v>
      </c>
      <c r="E3944" s="267">
        <v>1</v>
      </c>
      <c r="F3944" s="267" t="s">
        <v>944</v>
      </c>
      <c r="G3944" s="267" t="s">
        <v>3926</v>
      </c>
      <c r="H3944" s="267" t="s">
        <v>8495</v>
      </c>
      <c r="I3944" s="267" t="s">
        <v>4374</v>
      </c>
      <c r="J3944" s="267" t="s">
        <v>3928</v>
      </c>
      <c r="K3944" s="267">
        <v>6438</v>
      </c>
      <c r="L3944" s="267">
        <v>590100</v>
      </c>
      <c r="M3944" s="267" t="s">
        <v>3943</v>
      </c>
      <c r="N3944" s="267" t="s">
        <v>3944</v>
      </c>
      <c r="O3944" s="267">
        <v>4091</v>
      </c>
      <c r="P3944" s="267" t="s">
        <v>3944</v>
      </c>
      <c r="Q3944" s="267" t="s">
        <v>3944</v>
      </c>
      <c r="R3944" s="267">
        <v>4091</v>
      </c>
      <c r="S3944" s="267">
        <v>34309</v>
      </c>
      <c r="T3944" s="267">
        <v>38400</v>
      </c>
      <c r="U3944" s="268" t="s">
        <v>3945</v>
      </c>
      <c r="V3944" s="267" t="s">
        <v>944</v>
      </c>
    </row>
    <row r="3945" spans="1:22" hidden="1" x14ac:dyDescent="0.25">
      <c r="A3945" s="269">
        <v>43665</v>
      </c>
      <c r="B3945" s="270">
        <v>2019</v>
      </c>
      <c r="C3945" s="270">
        <v>2020</v>
      </c>
      <c r="D3945" s="270">
        <v>1</v>
      </c>
      <c r="E3945" s="270">
        <v>1</v>
      </c>
      <c r="F3945" s="270" t="s">
        <v>944</v>
      </c>
      <c r="G3945" s="270" t="s">
        <v>3926</v>
      </c>
      <c r="H3945" s="270" t="s">
        <v>8496</v>
      </c>
      <c r="I3945" s="270" t="s">
        <v>953</v>
      </c>
      <c r="J3945" s="270" t="s">
        <v>3928</v>
      </c>
      <c r="K3945" s="270">
        <v>6514</v>
      </c>
      <c r="L3945" s="270">
        <v>165900</v>
      </c>
      <c r="M3945" s="270" t="s">
        <v>3943</v>
      </c>
      <c r="N3945" s="270" t="s">
        <v>3944</v>
      </c>
      <c r="O3945" s="270">
        <v>6144</v>
      </c>
      <c r="P3945" s="270" t="s">
        <v>3944</v>
      </c>
      <c r="Q3945" s="270" t="s">
        <v>3944</v>
      </c>
      <c r="R3945" s="270">
        <v>6144</v>
      </c>
      <c r="S3945" s="270">
        <v>47886</v>
      </c>
      <c r="T3945" s="270">
        <v>54030</v>
      </c>
      <c r="U3945" s="271" t="s">
        <v>3945</v>
      </c>
      <c r="V3945" s="267" t="s">
        <v>944</v>
      </c>
    </row>
    <row r="3946" spans="1:22" hidden="1" x14ac:dyDescent="0.25">
      <c r="A3946" s="266">
        <v>43665</v>
      </c>
      <c r="B3946" s="267">
        <v>2019</v>
      </c>
      <c r="C3946" s="267">
        <v>2020</v>
      </c>
      <c r="D3946" s="267">
        <v>1</v>
      </c>
      <c r="E3946" s="267">
        <v>1</v>
      </c>
      <c r="F3946" s="267" t="s">
        <v>944</v>
      </c>
      <c r="G3946" s="267" t="s">
        <v>3926</v>
      </c>
      <c r="H3946" s="267" t="s">
        <v>8497</v>
      </c>
      <c r="I3946" s="267" t="s">
        <v>4225</v>
      </c>
      <c r="J3946" s="267" t="s">
        <v>3928</v>
      </c>
      <c r="K3946" s="267">
        <v>6896</v>
      </c>
      <c r="L3946" s="267">
        <v>240100</v>
      </c>
      <c r="M3946" s="267" t="s">
        <v>3943</v>
      </c>
      <c r="N3946" s="267" t="s">
        <v>3944</v>
      </c>
      <c r="O3946" s="267">
        <v>4009</v>
      </c>
      <c r="P3946" s="267" t="s">
        <v>3944</v>
      </c>
      <c r="Q3946" s="267" t="s">
        <v>3944</v>
      </c>
      <c r="R3946" s="267">
        <v>4009</v>
      </c>
      <c r="S3946" s="267">
        <v>60830</v>
      </c>
      <c r="T3946" s="267">
        <v>64839</v>
      </c>
      <c r="U3946" s="268" t="s">
        <v>3945</v>
      </c>
      <c r="V3946" s="267" t="s">
        <v>944</v>
      </c>
    </row>
    <row r="3947" spans="1:22" hidden="1" x14ac:dyDescent="0.25">
      <c r="A3947" s="269">
        <v>43665</v>
      </c>
      <c r="B3947" s="270">
        <v>2019</v>
      </c>
      <c r="C3947" s="270">
        <v>2020</v>
      </c>
      <c r="D3947" s="270">
        <v>1</v>
      </c>
      <c r="E3947" s="270">
        <v>1</v>
      </c>
      <c r="F3947" s="270" t="s">
        <v>944</v>
      </c>
      <c r="G3947" s="270" t="s">
        <v>3926</v>
      </c>
      <c r="H3947" s="270" t="s">
        <v>8498</v>
      </c>
      <c r="I3947" s="270" t="s">
        <v>4244</v>
      </c>
      <c r="J3947" s="270" t="s">
        <v>3928</v>
      </c>
      <c r="K3947" s="270">
        <v>6268</v>
      </c>
      <c r="L3947" s="270">
        <v>881300</v>
      </c>
      <c r="M3947" s="270">
        <v>-60</v>
      </c>
      <c r="N3947" s="270" t="s">
        <v>3944</v>
      </c>
      <c r="O3947" s="270">
        <v>6926</v>
      </c>
      <c r="P3947" s="270" t="s">
        <v>3944</v>
      </c>
      <c r="Q3947" s="270" t="s">
        <v>3944</v>
      </c>
      <c r="R3947" s="270">
        <v>6926</v>
      </c>
      <c r="S3947" s="270">
        <v>44960</v>
      </c>
      <c r="T3947" s="270">
        <v>51886</v>
      </c>
      <c r="U3947" s="271" t="s">
        <v>3945</v>
      </c>
      <c r="V3947" s="267" t="s">
        <v>944</v>
      </c>
    </row>
    <row r="3948" spans="1:22" hidden="1" x14ac:dyDescent="0.25">
      <c r="A3948" s="266">
        <v>43665</v>
      </c>
      <c r="B3948" s="267">
        <v>2019</v>
      </c>
      <c r="C3948" s="267">
        <v>2020</v>
      </c>
      <c r="D3948" s="267">
        <v>1</v>
      </c>
      <c r="E3948" s="267">
        <v>1</v>
      </c>
      <c r="F3948" s="267" t="s">
        <v>944</v>
      </c>
      <c r="G3948" s="267" t="s">
        <v>3926</v>
      </c>
      <c r="H3948" s="267" t="s">
        <v>8499</v>
      </c>
      <c r="I3948" s="267" t="s">
        <v>956</v>
      </c>
      <c r="J3948" s="267" t="s">
        <v>3928</v>
      </c>
      <c r="K3948" s="267">
        <v>6614</v>
      </c>
      <c r="L3948" s="267">
        <v>80800</v>
      </c>
      <c r="M3948" s="267" t="s">
        <v>3960</v>
      </c>
      <c r="N3948" s="267" t="s">
        <v>3944</v>
      </c>
      <c r="O3948" s="267">
        <v>4403</v>
      </c>
      <c r="P3948" s="267" t="s">
        <v>3944</v>
      </c>
      <c r="Q3948" s="267" t="s">
        <v>3944</v>
      </c>
      <c r="R3948" s="267">
        <v>4403</v>
      </c>
      <c r="S3948" s="267">
        <v>26047</v>
      </c>
      <c r="T3948" s="267">
        <v>30450</v>
      </c>
      <c r="U3948" s="268" t="s">
        <v>3945</v>
      </c>
      <c r="V3948" s="267" t="s">
        <v>944</v>
      </c>
    </row>
    <row r="3949" spans="1:22" hidden="1" x14ac:dyDescent="0.25">
      <c r="A3949" s="269">
        <v>43665</v>
      </c>
      <c r="B3949" s="270">
        <v>2019</v>
      </c>
      <c r="C3949" s="270">
        <v>2020</v>
      </c>
      <c r="D3949" s="270">
        <v>1</v>
      </c>
      <c r="E3949" s="270">
        <v>1</v>
      </c>
      <c r="F3949" s="270" t="s">
        <v>944</v>
      </c>
      <c r="G3949" s="270" t="s">
        <v>3926</v>
      </c>
      <c r="H3949" s="270" t="s">
        <v>8500</v>
      </c>
      <c r="I3949" s="270" t="s">
        <v>3939</v>
      </c>
      <c r="J3949" s="270" t="s">
        <v>3928</v>
      </c>
      <c r="K3949" s="270">
        <v>6513</v>
      </c>
      <c r="L3949" s="270">
        <v>180500</v>
      </c>
      <c r="M3949" s="270" t="s">
        <v>3935</v>
      </c>
      <c r="N3949" s="270" t="s">
        <v>3944</v>
      </c>
      <c r="O3949" s="270">
        <v>3253</v>
      </c>
      <c r="P3949" s="270" t="s">
        <v>3944</v>
      </c>
      <c r="Q3949" s="270" t="s">
        <v>3944</v>
      </c>
      <c r="R3949" s="270">
        <v>3253</v>
      </c>
      <c r="S3949" s="270">
        <v>43035</v>
      </c>
      <c r="T3949" s="270">
        <v>46288</v>
      </c>
      <c r="U3949" s="271" t="s">
        <v>3945</v>
      </c>
      <c r="V3949" s="267" t="s">
        <v>944</v>
      </c>
    </row>
    <row r="3950" spans="1:22" hidden="1" x14ac:dyDescent="0.25">
      <c r="A3950" s="266">
        <v>43665</v>
      </c>
      <c r="B3950" s="267">
        <v>2019</v>
      </c>
      <c r="C3950" s="267">
        <v>2020</v>
      </c>
      <c r="D3950" s="267">
        <v>1</v>
      </c>
      <c r="E3950" s="267">
        <v>1</v>
      </c>
      <c r="F3950" s="267" t="s">
        <v>944</v>
      </c>
      <c r="G3950" s="267" t="s">
        <v>3926</v>
      </c>
      <c r="H3950" s="267" t="s">
        <v>8501</v>
      </c>
      <c r="I3950" s="267" t="s">
        <v>5183</v>
      </c>
      <c r="J3950" s="267" t="s">
        <v>3928</v>
      </c>
      <c r="K3950" s="267">
        <v>6277</v>
      </c>
      <c r="L3950" s="267">
        <v>900200</v>
      </c>
      <c r="M3950" s="267" t="s">
        <v>3935</v>
      </c>
      <c r="N3950" s="267" t="s">
        <v>3944</v>
      </c>
      <c r="O3950" s="267">
        <v>4861</v>
      </c>
      <c r="P3950" s="267" t="s">
        <v>3944</v>
      </c>
      <c r="Q3950" s="267" t="s">
        <v>3944</v>
      </c>
      <c r="R3950" s="267">
        <v>4861</v>
      </c>
      <c r="S3950" s="267">
        <v>27258</v>
      </c>
      <c r="T3950" s="267">
        <v>32119</v>
      </c>
      <c r="U3950" s="268" t="s">
        <v>3945</v>
      </c>
      <c r="V3950" s="267" t="s">
        <v>944</v>
      </c>
    </row>
    <row r="3951" spans="1:22" hidden="1" x14ac:dyDescent="0.25">
      <c r="A3951" s="269">
        <v>43665</v>
      </c>
      <c r="B3951" s="270">
        <v>2019</v>
      </c>
      <c r="C3951" s="270">
        <v>2020</v>
      </c>
      <c r="D3951" s="270">
        <v>1</v>
      </c>
      <c r="E3951" s="270">
        <v>1</v>
      </c>
      <c r="F3951" s="270" t="s">
        <v>944</v>
      </c>
      <c r="G3951" s="270" t="s">
        <v>3997</v>
      </c>
      <c r="H3951" s="270" t="s">
        <v>8502</v>
      </c>
      <c r="I3951" s="270" t="s">
        <v>953</v>
      </c>
      <c r="J3951" s="270" t="s">
        <v>3928</v>
      </c>
      <c r="K3951" s="270">
        <v>6517</v>
      </c>
      <c r="L3951" s="270">
        <v>165300</v>
      </c>
      <c r="M3951" s="270" t="s">
        <v>3943</v>
      </c>
      <c r="N3951" s="270" t="s">
        <v>3944</v>
      </c>
      <c r="O3951" s="270">
        <v>900.1</v>
      </c>
      <c r="P3951" s="270" t="s">
        <v>3944</v>
      </c>
      <c r="Q3951" s="270" t="s">
        <v>3944</v>
      </c>
      <c r="R3951" s="270">
        <v>900.1</v>
      </c>
      <c r="S3951" s="270">
        <v>12642.08</v>
      </c>
      <c r="T3951" s="270">
        <v>13542.18</v>
      </c>
      <c r="U3951" s="271" t="s">
        <v>3945</v>
      </c>
      <c r="V3951" s="267" t="s">
        <v>944</v>
      </c>
    </row>
    <row r="3952" spans="1:22" hidden="1" x14ac:dyDescent="0.25">
      <c r="A3952" s="266">
        <v>43665</v>
      </c>
      <c r="B3952" s="267">
        <v>2019</v>
      </c>
      <c r="C3952" s="267">
        <v>2020</v>
      </c>
      <c r="D3952" s="267">
        <v>1</v>
      </c>
      <c r="E3952" s="267">
        <v>1</v>
      </c>
      <c r="F3952" s="267" t="s">
        <v>944</v>
      </c>
      <c r="G3952" s="267" t="s">
        <v>3926</v>
      </c>
      <c r="H3952" s="267" t="s">
        <v>8503</v>
      </c>
      <c r="I3952" s="267" t="s">
        <v>4124</v>
      </c>
      <c r="J3952" s="267" t="s">
        <v>3928</v>
      </c>
      <c r="K3952" s="267">
        <v>6482</v>
      </c>
      <c r="L3952" s="267">
        <v>230501</v>
      </c>
      <c r="M3952" s="267" t="s">
        <v>3943</v>
      </c>
      <c r="N3952" s="267" t="s">
        <v>3944</v>
      </c>
      <c r="O3952" s="267">
        <v>5226</v>
      </c>
      <c r="P3952" s="267" t="s">
        <v>3944</v>
      </c>
      <c r="Q3952" s="267" t="s">
        <v>3944</v>
      </c>
      <c r="R3952" s="267">
        <v>5226</v>
      </c>
      <c r="S3952" s="267">
        <v>38236</v>
      </c>
      <c r="T3952" s="267">
        <v>43462</v>
      </c>
      <c r="U3952" s="268" t="s">
        <v>3945</v>
      </c>
      <c r="V3952" s="267" t="s">
        <v>944</v>
      </c>
    </row>
    <row r="3953" spans="1:22" hidden="1" x14ac:dyDescent="0.25">
      <c r="A3953" s="269">
        <v>43665</v>
      </c>
      <c r="B3953" s="270">
        <v>2019</v>
      </c>
      <c r="C3953" s="270">
        <v>2020</v>
      </c>
      <c r="D3953" s="270">
        <v>1</v>
      </c>
      <c r="E3953" s="270">
        <v>1</v>
      </c>
      <c r="F3953" s="270" t="s">
        <v>944</v>
      </c>
      <c r="G3953" s="270" t="s">
        <v>3997</v>
      </c>
      <c r="H3953" s="270" t="s">
        <v>8504</v>
      </c>
      <c r="I3953" s="270" t="s">
        <v>5032</v>
      </c>
      <c r="J3953" s="270" t="s">
        <v>3928</v>
      </c>
      <c r="K3953" s="270">
        <v>6062</v>
      </c>
      <c r="L3953" s="270">
        <v>420500</v>
      </c>
      <c r="M3953" s="270" t="s">
        <v>3940</v>
      </c>
      <c r="N3953" s="270" t="s">
        <v>3944</v>
      </c>
      <c r="O3953" s="270">
        <v>2159.8200000000002</v>
      </c>
      <c r="P3953" s="270" t="s">
        <v>3944</v>
      </c>
      <c r="Q3953" s="270" t="s">
        <v>3944</v>
      </c>
      <c r="R3953" s="270">
        <v>2159.8200000000002</v>
      </c>
      <c r="S3953" s="270">
        <v>28647.18</v>
      </c>
      <c r="T3953" s="270">
        <v>30807</v>
      </c>
      <c r="U3953" s="271" t="s">
        <v>3945</v>
      </c>
      <c r="V3953" s="267" t="s">
        <v>944</v>
      </c>
    </row>
    <row r="3954" spans="1:22" hidden="1" x14ac:dyDescent="0.25">
      <c r="A3954" s="266">
        <v>43665</v>
      </c>
      <c r="B3954" s="267">
        <v>2019</v>
      </c>
      <c r="C3954" s="267">
        <v>2020</v>
      </c>
      <c r="D3954" s="267">
        <v>1</v>
      </c>
      <c r="E3954" s="267">
        <v>1</v>
      </c>
      <c r="F3954" s="267" t="s">
        <v>944</v>
      </c>
      <c r="G3954" s="267" t="s">
        <v>3926</v>
      </c>
      <c r="H3954" s="267" t="s">
        <v>8505</v>
      </c>
      <c r="I3954" s="267" t="s">
        <v>3008</v>
      </c>
      <c r="J3954" s="267" t="s">
        <v>3928</v>
      </c>
      <c r="K3954" s="267">
        <v>6460</v>
      </c>
      <c r="L3954" s="267">
        <v>150500</v>
      </c>
      <c r="M3954" s="267" t="s">
        <v>3960</v>
      </c>
      <c r="N3954" s="267" t="s">
        <v>3944</v>
      </c>
      <c r="O3954" s="267">
        <v>3754</v>
      </c>
      <c r="P3954" s="267" t="s">
        <v>3944</v>
      </c>
      <c r="Q3954" s="267" t="s">
        <v>3944</v>
      </c>
      <c r="R3954" s="267">
        <v>3754</v>
      </c>
      <c r="S3954" s="267">
        <v>48476</v>
      </c>
      <c r="T3954" s="267">
        <v>52230</v>
      </c>
      <c r="U3954" s="268" t="s">
        <v>3945</v>
      </c>
      <c r="V3954" s="267" t="s">
        <v>944</v>
      </c>
    </row>
    <row r="3955" spans="1:22" hidden="1" x14ac:dyDescent="0.25">
      <c r="A3955" s="269">
        <v>43665</v>
      </c>
      <c r="B3955" s="270">
        <v>2019</v>
      </c>
      <c r="C3955" s="270">
        <v>2020</v>
      </c>
      <c r="D3955" s="270">
        <v>1</v>
      </c>
      <c r="E3955" s="270">
        <v>1</v>
      </c>
      <c r="F3955" s="270" t="s">
        <v>944</v>
      </c>
      <c r="G3955" s="270" t="s">
        <v>3926</v>
      </c>
      <c r="H3955" s="270" t="s">
        <v>8506</v>
      </c>
      <c r="I3955" s="270" t="s">
        <v>950</v>
      </c>
      <c r="J3955" s="270" t="s">
        <v>3928</v>
      </c>
      <c r="K3955" s="270">
        <v>6516</v>
      </c>
      <c r="L3955" s="270">
        <v>154700</v>
      </c>
      <c r="M3955" s="270" t="s">
        <v>3960</v>
      </c>
      <c r="N3955" s="270" t="s">
        <v>3944</v>
      </c>
      <c r="O3955" s="270">
        <v>3084</v>
      </c>
      <c r="P3955" s="270" t="s">
        <v>3944</v>
      </c>
      <c r="Q3955" s="270" t="s">
        <v>3944</v>
      </c>
      <c r="R3955" s="270">
        <v>3084</v>
      </c>
      <c r="S3955" s="270">
        <v>29289</v>
      </c>
      <c r="T3955" s="270">
        <v>32373</v>
      </c>
      <c r="U3955" s="271" t="s">
        <v>3945</v>
      </c>
      <c r="V3955" s="267" t="s">
        <v>944</v>
      </c>
    </row>
    <row r="3956" spans="1:22" hidden="1" x14ac:dyDescent="0.25">
      <c r="A3956" s="266">
        <v>43665</v>
      </c>
      <c r="B3956" s="267">
        <v>2019</v>
      </c>
      <c r="C3956" s="267">
        <v>2020</v>
      </c>
      <c r="D3956" s="267">
        <v>1</v>
      </c>
      <c r="E3956" s="267">
        <v>1</v>
      </c>
      <c r="F3956" s="267" t="s">
        <v>944</v>
      </c>
      <c r="G3956" s="267" t="s">
        <v>3926</v>
      </c>
      <c r="H3956" s="267" t="s">
        <v>8507</v>
      </c>
      <c r="I3956" s="267" t="s">
        <v>953</v>
      </c>
      <c r="J3956" s="267" t="s">
        <v>3928</v>
      </c>
      <c r="K3956" s="267">
        <v>6514</v>
      </c>
      <c r="L3956" s="267">
        <v>165600</v>
      </c>
      <c r="M3956" s="267" t="s">
        <v>3940</v>
      </c>
      <c r="N3956" s="267" t="s">
        <v>3944</v>
      </c>
      <c r="O3956" s="267">
        <v>4833.78</v>
      </c>
      <c r="P3956" s="267" t="s">
        <v>3944</v>
      </c>
      <c r="Q3956" s="267" t="s">
        <v>3944</v>
      </c>
      <c r="R3956" s="267">
        <v>4833.78</v>
      </c>
      <c r="S3956" s="267">
        <v>74623.94</v>
      </c>
      <c r="T3956" s="267">
        <v>79457.72</v>
      </c>
      <c r="U3956" s="268" t="s">
        <v>3945</v>
      </c>
      <c r="V3956" s="267" t="s">
        <v>944</v>
      </c>
    </row>
    <row r="3957" spans="1:22" hidden="1" x14ac:dyDescent="0.25">
      <c r="A3957" s="269">
        <v>43665</v>
      </c>
      <c r="B3957" s="270">
        <v>2019</v>
      </c>
      <c r="C3957" s="270">
        <v>2020</v>
      </c>
      <c r="D3957" s="270">
        <v>1</v>
      </c>
      <c r="E3957" s="270">
        <v>1</v>
      </c>
      <c r="F3957" s="270" t="s">
        <v>944</v>
      </c>
      <c r="G3957" s="270" t="s">
        <v>3926</v>
      </c>
      <c r="H3957" s="270" t="s">
        <v>8508</v>
      </c>
      <c r="I3957" s="270" t="s">
        <v>3966</v>
      </c>
      <c r="J3957" s="270" t="s">
        <v>3928</v>
      </c>
      <c r="K3957" s="270">
        <v>6010</v>
      </c>
      <c r="L3957" s="270">
        <v>406002</v>
      </c>
      <c r="M3957" s="270" t="s">
        <v>3935</v>
      </c>
      <c r="N3957" s="270" t="s">
        <v>3944</v>
      </c>
      <c r="O3957" s="270">
        <v>1101.9100000000001</v>
      </c>
      <c r="P3957" s="270" t="s">
        <v>3944</v>
      </c>
      <c r="Q3957" s="270" t="s">
        <v>3944</v>
      </c>
      <c r="R3957" s="270">
        <v>1101.9100000000001</v>
      </c>
      <c r="S3957" s="270">
        <v>16772.37</v>
      </c>
      <c r="T3957" s="270">
        <v>17874.28</v>
      </c>
      <c r="U3957" s="271" t="s">
        <v>3945</v>
      </c>
      <c r="V3957" s="267" t="s">
        <v>944</v>
      </c>
    </row>
    <row r="3958" spans="1:22" hidden="1" x14ac:dyDescent="0.25">
      <c r="A3958" s="266">
        <v>43665</v>
      </c>
      <c r="B3958" s="267">
        <v>2019</v>
      </c>
      <c r="C3958" s="267">
        <v>2020</v>
      </c>
      <c r="D3958" s="267">
        <v>1</v>
      </c>
      <c r="E3958" s="267">
        <v>1</v>
      </c>
      <c r="F3958" s="267" t="s">
        <v>944</v>
      </c>
      <c r="G3958" s="267" t="s">
        <v>3926</v>
      </c>
      <c r="H3958" s="267" t="s">
        <v>8509</v>
      </c>
      <c r="I3958" s="267" t="s">
        <v>4124</v>
      </c>
      <c r="J3958" s="267" t="s">
        <v>3928</v>
      </c>
      <c r="K3958" s="267">
        <v>6470</v>
      </c>
      <c r="L3958" s="267">
        <v>230200</v>
      </c>
      <c r="M3958" s="267" t="s">
        <v>3943</v>
      </c>
      <c r="N3958" s="267" t="s">
        <v>3944</v>
      </c>
      <c r="O3958" s="267">
        <v>3307.75</v>
      </c>
      <c r="P3958" s="267" t="s">
        <v>3944</v>
      </c>
      <c r="Q3958" s="267" t="s">
        <v>3944</v>
      </c>
      <c r="R3958" s="267">
        <v>3307.75</v>
      </c>
      <c r="S3958" s="267">
        <v>41373.53</v>
      </c>
      <c r="T3958" s="267">
        <v>44681.279999999999</v>
      </c>
      <c r="U3958" s="268" t="s">
        <v>3945</v>
      </c>
      <c r="V3958" s="267" t="s">
        <v>944</v>
      </c>
    </row>
    <row r="3959" spans="1:22" hidden="1" x14ac:dyDescent="0.25">
      <c r="A3959" s="269">
        <v>43665</v>
      </c>
      <c r="B3959" s="270">
        <v>2019</v>
      </c>
      <c r="C3959" s="270">
        <v>2020</v>
      </c>
      <c r="D3959" s="270">
        <v>1</v>
      </c>
      <c r="E3959" s="270">
        <v>1</v>
      </c>
      <c r="F3959" s="270" t="s">
        <v>944</v>
      </c>
      <c r="G3959" s="270" t="s">
        <v>3926</v>
      </c>
      <c r="H3959" s="270" t="s">
        <v>8510</v>
      </c>
      <c r="I3959" s="270" t="s">
        <v>3975</v>
      </c>
      <c r="J3959" s="270" t="s">
        <v>3928</v>
      </c>
      <c r="K3959" s="270">
        <v>6479</v>
      </c>
      <c r="L3959" s="270">
        <v>430500</v>
      </c>
      <c r="M3959" s="270" t="s">
        <v>3943</v>
      </c>
      <c r="N3959" s="270" t="s">
        <v>3944</v>
      </c>
      <c r="O3959" s="270">
        <v>2478.1799999999998</v>
      </c>
      <c r="P3959" s="270" t="s">
        <v>3944</v>
      </c>
      <c r="Q3959" s="270" t="s">
        <v>3944</v>
      </c>
      <c r="R3959" s="270">
        <v>2478.1799999999998</v>
      </c>
      <c r="S3959" s="270">
        <v>38831.199999999997</v>
      </c>
      <c r="T3959" s="270">
        <v>41309.379999999997</v>
      </c>
      <c r="U3959" s="271" t="s">
        <v>3945</v>
      </c>
      <c r="V3959" s="267" t="s">
        <v>944</v>
      </c>
    </row>
    <row r="3960" spans="1:22" hidden="1" x14ac:dyDescent="0.25">
      <c r="A3960" s="266">
        <v>43665</v>
      </c>
      <c r="B3960" s="267">
        <v>2019</v>
      </c>
      <c r="C3960" s="267">
        <v>2020</v>
      </c>
      <c r="D3960" s="267">
        <v>1</v>
      </c>
      <c r="E3960" s="267">
        <v>1</v>
      </c>
      <c r="F3960" s="267" t="s">
        <v>944</v>
      </c>
      <c r="G3960" s="267" t="s">
        <v>3926</v>
      </c>
      <c r="H3960" s="267" t="s">
        <v>8511</v>
      </c>
      <c r="I3960" s="267" t="s">
        <v>4011</v>
      </c>
      <c r="J3960" s="267" t="s">
        <v>3928</v>
      </c>
      <c r="K3960" s="267">
        <v>6002</v>
      </c>
      <c r="L3960" s="267">
        <v>471300</v>
      </c>
      <c r="M3960" s="267" t="s">
        <v>3935</v>
      </c>
      <c r="N3960" s="267" t="s">
        <v>3944</v>
      </c>
      <c r="O3960" s="267">
        <v>2225.16</v>
      </c>
      <c r="P3960" s="267" t="s">
        <v>3944</v>
      </c>
      <c r="Q3960" s="267" t="s">
        <v>3944</v>
      </c>
      <c r="R3960" s="267">
        <v>2225.16</v>
      </c>
      <c r="S3960" s="267">
        <v>33150.720000000001</v>
      </c>
      <c r="T3960" s="267">
        <v>35375.879999999997</v>
      </c>
      <c r="U3960" s="268" t="s">
        <v>3945</v>
      </c>
      <c r="V3960" s="267" t="s">
        <v>944</v>
      </c>
    </row>
    <row r="3961" spans="1:22" hidden="1" x14ac:dyDescent="0.25">
      <c r="A3961" s="269">
        <v>43665</v>
      </c>
      <c r="B3961" s="270">
        <v>2019</v>
      </c>
      <c r="C3961" s="270">
        <v>2020</v>
      </c>
      <c r="D3961" s="270">
        <v>1</v>
      </c>
      <c r="E3961" s="270">
        <v>1</v>
      </c>
      <c r="F3961" s="270" t="s">
        <v>944</v>
      </c>
      <c r="G3961" s="270" t="s">
        <v>3926</v>
      </c>
      <c r="H3961" s="270" t="s">
        <v>8512</v>
      </c>
      <c r="I3961" s="270" t="s">
        <v>3962</v>
      </c>
      <c r="J3961" s="270" t="s">
        <v>3928</v>
      </c>
      <c r="K3961" s="270">
        <v>6378</v>
      </c>
      <c r="L3961" s="270">
        <v>707100</v>
      </c>
      <c r="M3961" s="270" t="s">
        <v>3935</v>
      </c>
      <c r="N3961" s="270" t="s">
        <v>3944</v>
      </c>
      <c r="O3961" s="270">
        <v>1592.82</v>
      </c>
      <c r="P3961" s="270" t="s">
        <v>3944</v>
      </c>
      <c r="Q3961" s="270" t="s">
        <v>3944</v>
      </c>
      <c r="R3961" s="270">
        <v>1592.82</v>
      </c>
      <c r="S3961" s="270">
        <v>23020.639999999999</v>
      </c>
      <c r="T3961" s="270">
        <v>24613.46</v>
      </c>
      <c r="U3961" s="271" t="s">
        <v>3945</v>
      </c>
      <c r="V3961" s="267" t="s">
        <v>944</v>
      </c>
    </row>
    <row r="3962" spans="1:22" hidden="1" x14ac:dyDescent="0.25">
      <c r="A3962" s="266">
        <v>43665</v>
      </c>
      <c r="B3962" s="267">
        <v>2019</v>
      </c>
      <c r="C3962" s="267">
        <v>2020</v>
      </c>
      <c r="D3962" s="267">
        <v>1</v>
      </c>
      <c r="E3962" s="267">
        <v>1</v>
      </c>
      <c r="F3962" s="267" t="s">
        <v>944</v>
      </c>
      <c r="G3962" s="267" t="s">
        <v>3926</v>
      </c>
      <c r="H3962" s="267" t="s">
        <v>8513</v>
      </c>
      <c r="I3962" s="267" t="s">
        <v>4269</v>
      </c>
      <c r="J3962" s="267" t="s">
        <v>3928</v>
      </c>
      <c r="K3962" s="267">
        <v>6119</v>
      </c>
      <c r="L3962" s="267">
        <v>497000</v>
      </c>
      <c r="M3962" s="267" t="s">
        <v>3943</v>
      </c>
      <c r="N3962" s="267" t="s">
        <v>3944</v>
      </c>
      <c r="O3962" s="267">
        <v>1120.56</v>
      </c>
      <c r="P3962" s="267" t="s">
        <v>3944</v>
      </c>
      <c r="Q3962" s="267" t="s">
        <v>3944</v>
      </c>
      <c r="R3962" s="267">
        <v>1120.56</v>
      </c>
      <c r="S3962" s="267">
        <v>16583.990000000002</v>
      </c>
      <c r="T3962" s="267">
        <v>17704.55</v>
      </c>
      <c r="U3962" s="268" t="s">
        <v>3945</v>
      </c>
      <c r="V3962" s="267" t="s">
        <v>944</v>
      </c>
    </row>
    <row r="3963" spans="1:22" hidden="1" x14ac:dyDescent="0.25">
      <c r="A3963" s="269">
        <v>43665</v>
      </c>
      <c r="B3963" s="270">
        <v>2019</v>
      </c>
      <c r="C3963" s="270">
        <v>2020</v>
      </c>
      <c r="D3963" s="270">
        <v>1</v>
      </c>
      <c r="E3963" s="270">
        <v>1</v>
      </c>
      <c r="F3963" s="270" t="s">
        <v>944</v>
      </c>
      <c r="G3963" s="270" t="s">
        <v>3926</v>
      </c>
      <c r="H3963" s="270" t="s">
        <v>8514</v>
      </c>
      <c r="I3963" s="270" t="s">
        <v>4019</v>
      </c>
      <c r="J3963" s="270" t="s">
        <v>3928</v>
      </c>
      <c r="K3963" s="270">
        <v>6708</v>
      </c>
      <c r="L3963" s="270">
        <v>351800</v>
      </c>
      <c r="M3963" s="270" t="s">
        <v>3940</v>
      </c>
      <c r="N3963" s="270" t="s">
        <v>3944</v>
      </c>
      <c r="O3963" s="270">
        <v>1350.58</v>
      </c>
      <c r="P3963" s="270" t="s">
        <v>3944</v>
      </c>
      <c r="Q3963" s="270" t="s">
        <v>3944</v>
      </c>
      <c r="R3963" s="270">
        <v>1350.58</v>
      </c>
      <c r="S3963" s="270">
        <v>21463.54</v>
      </c>
      <c r="T3963" s="270">
        <v>22814.12</v>
      </c>
      <c r="U3963" s="271" t="s">
        <v>3945</v>
      </c>
      <c r="V3963" s="267" t="s">
        <v>944</v>
      </c>
    </row>
    <row r="3964" spans="1:22" hidden="1" x14ac:dyDescent="0.25">
      <c r="A3964" s="266">
        <v>43665</v>
      </c>
      <c r="B3964" s="267">
        <v>2019</v>
      </c>
      <c r="C3964" s="267">
        <v>2020</v>
      </c>
      <c r="D3964" s="267">
        <v>1</v>
      </c>
      <c r="E3964" s="267">
        <v>1</v>
      </c>
      <c r="F3964" s="267" t="s">
        <v>944</v>
      </c>
      <c r="G3964" s="267" t="s">
        <v>3926</v>
      </c>
      <c r="H3964" s="267" t="s">
        <v>8515</v>
      </c>
      <c r="I3964" s="267" t="s">
        <v>4353</v>
      </c>
      <c r="J3964" s="267" t="s">
        <v>3928</v>
      </c>
      <c r="K3964" s="267">
        <v>6416</v>
      </c>
      <c r="L3964" s="267">
        <v>570200</v>
      </c>
      <c r="M3964" s="267" t="s">
        <v>3943</v>
      </c>
      <c r="N3964" s="267" t="s">
        <v>3944</v>
      </c>
      <c r="O3964" s="267">
        <v>2270.17</v>
      </c>
      <c r="P3964" s="267" t="s">
        <v>3944</v>
      </c>
      <c r="Q3964" s="267" t="s">
        <v>3944</v>
      </c>
      <c r="R3964" s="267">
        <v>2270.17</v>
      </c>
      <c r="S3964" s="267">
        <v>30760.6</v>
      </c>
      <c r="T3964" s="267">
        <v>33030.769999999997</v>
      </c>
      <c r="U3964" s="268" t="s">
        <v>3945</v>
      </c>
      <c r="V3964" s="267" t="s">
        <v>944</v>
      </c>
    </row>
    <row r="3965" spans="1:22" hidden="1" x14ac:dyDescent="0.25">
      <c r="A3965" s="269">
        <v>43665</v>
      </c>
      <c r="B3965" s="270">
        <v>2019</v>
      </c>
      <c r="C3965" s="270">
        <v>2020</v>
      </c>
      <c r="D3965" s="270">
        <v>1</v>
      </c>
      <c r="E3965" s="270">
        <v>1</v>
      </c>
      <c r="F3965" s="270" t="s">
        <v>944</v>
      </c>
      <c r="G3965" s="270" t="s">
        <v>3926</v>
      </c>
      <c r="H3965" s="270" t="s">
        <v>8516</v>
      </c>
      <c r="I3965" s="270" t="s">
        <v>4548</v>
      </c>
      <c r="J3965" s="270" t="s">
        <v>3928</v>
      </c>
      <c r="K3965" s="270">
        <v>6037</v>
      </c>
      <c r="L3965" s="270">
        <v>400300</v>
      </c>
      <c r="M3965" s="270" t="s">
        <v>3960</v>
      </c>
      <c r="N3965" s="270" t="s">
        <v>3944</v>
      </c>
      <c r="O3965" s="270">
        <v>1026.83</v>
      </c>
      <c r="P3965" s="270" t="s">
        <v>3944</v>
      </c>
      <c r="Q3965" s="270" t="s">
        <v>3944</v>
      </c>
      <c r="R3965" s="270">
        <v>1026.83</v>
      </c>
      <c r="S3965" s="270">
        <v>17016.52</v>
      </c>
      <c r="T3965" s="270">
        <v>18043.349999999999</v>
      </c>
      <c r="U3965" s="271" t="s">
        <v>3945</v>
      </c>
      <c r="V3965" s="267" t="s">
        <v>944</v>
      </c>
    </row>
    <row r="3966" spans="1:22" hidden="1" x14ac:dyDescent="0.25">
      <c r="A3966" s="266">
        <v>43665</v>
      </c>
      <c r="B3966" s="267">
        <v>2019</v>
      </c>
      <c r="C3966" s="267">
        <v>2020</v>
      </c>
      <c r="D3966" s="267">
        <v>1</v>
      </c>
      <c r="E3966" s="267">
        <v>1</v>
      </c>
      <c r="F3966" s="267" t="s">
        <v>944</v>
      </c>
      <c r="G3966" s="267" t="s">
        <v>3926</v>
      </c>
      <c r="H3966" s="267" t="s">
        <v>8517</v>
      </c>
      <c r="I3966" s="267" t="s">
        <v>3008</v>
      </c>
      <c r="J3966" s="267" t="s">
        <v>3928</v>
      </c>
      <c r="K3966" s="267">
        <v>6460</v>
      </c>
      <c r="L3966" s="267">
        <v>150500</v>
      </c>
      <c r="M3966" s="267" t="s">
        <v>3960</v>
      </c>
      <c r="N3966" s="267" t="s">
        <v>3944</v>
      </c>
      <c r="O3966" s="267">
        <v>2237.8000000000002</v>
      </c>
      <c r="P3966" s="267" t="s">
        <v>3944</v>
      </c>
      <c r="Q3966" s="267" t="s">
        <v>3944</v>
      </c>
      <c r="R3966" s="267">
        <v>2237.8000000000002</v>
      </c>
      <c r="S3966" s="267">
        <v>32138.48</v>
      </c>
      <c r="T3966" s="267">
        <v>34376.28</v>
      </c>
      <c r="U3966" s="268" t="s">
        <v>3945</v>
      </c>
      <c r="V3966" s="267" t="s">
        <v>944</v>
      </c>
    </row>
    <row r="3967" spans="1:22" hidden="1" x14ac:dyDescent="0.25">
      <c r="A3967" s="269">
        <v>43665</v>
      </c>
      <c r="B3967" s="270">
        <v>2019</v>
      </c>
      <c r="C3967" s="270">
        <v>2020</v>
      </c>
      <c r="D3967" s="270">
        <v>1</v>
      </c>
      <c r="E3967" s="270">
        <v>1</v>
      </c>
      <c r="F3967" s="270" t="s">
        <v>944</v>
      </c>
      <c r="G3967" s="270" t="s">
        <v>3926</v>
      </c>
      <c r="H3967" s="270" t="s">
        <v>8518</v>
      </c>
      <c r="I3967" s="270" t="s">
        <v>953</v>
      </c>
      <c r="J3967" s="270" t="s">
        <v>3928</v>
      </c>
      <c r="K3967" s="270">
        <v>6517</v>
      </c>
      <c r="L3967" s="270">
        <v>165100</v>
      </c>
      <c r="M3967" s="270" t="s">
        <v>3935</v>
      </c>
      <c r="N3967" s="270" t="s">
        <v>3944</v>
      </c>
      <c r="O3967" s="270">
        <v>1583.05</v>
      </c>
      <c r="P3967" s="270" t="s">
        <v>3944</v>
      </c>
      <c r="Q3967" s="270" t="s">
        <v>3944</v>
      </c>
      <c r="R3967" s="270">
        <v>1583.05</v>
      </c>
      <c r="S3967" s="270">
        <v>22756.47</v>
      </c>
      <c r="T3967" s="270">
        <v>24339.52</v>
      </c>
      <c r="U3967" s="271" t="s">
        <v>3945</v>
      </c>
      <c r="V3967" s="267" t="s">
        <v>944</v>
      </c>
    </row>
    <row r="3968" spans="1:22" hidden="1" x14ac:dyDescent="0.25">
      <c r="A3968" s="266">
        <v>43665</v>
      </c>
      <c r="B3968" s="267">
        <v>2019</v>
      </c>
      <c r="C3968" s="267">
        <v>2020</v>
      </c>
      <c r="D3968" s="267">
        <v>1</v>
      </c>
      <c r="E3968" s="267">
        <v>1</v>
      </c>
      <c r="F3968" s="267" t="s">
        <v>944</v>
      </c>
      <c r="G3968" s="267" t="s">
        <v>3926</v>
      </c>
      <c r="H3968" s="267" t="s">
        <v>8519</v>
      </c>
      <c r="I3968" s="267" t="s">
        <v>3012</v>
      </c>
      <c r="J3968" s="267" t="s">
        <v>3928</v>
      </c>
      <c r="K3968" s="267">
        <v>6477</v>
      </c>
      <c r="L3968" s="267">
        <v>157300</v>
      </c>
      <c r="M3968" s="267" t="s">
        <v>3943</v>
      </c>
      <c r="N3968" s="267" t="s">
        <v>3944</v>
      </c>
      <c r="O3968" s="267">
        <v>1386.46</v>
      </c>
      <c r="P3968" s="267" t="s">
        <v>3944</v>
      </c>
      <c r="Q3968" s="267" t="s">
        <v>3944</v>
      </c>
      <c r="R3968" s="267">
        <v>1386.46</v>
      </c>
      <c r="S3968" s="267">
        <v>23486.48</v>
      </c>
      <c r="T3968" s="267">
        <v>24872.94</v>
      </c>
      <c r="U3968" s="268" t="s">
        <v>3945</v>
      </c>
      <c r="V3968" s="267" t="s">
        <v>944</v>
      </c>
    </row>
    <row r="3969" spans="1:22" hidden="1" x14ac:dyDescent="0.25">
      <c r="A3969" s="269">
        <v>43665</v>
      </c>
      <c r="B3969" s="270">
        <v>2019</v>
      </c>
      <c r="C3969" s="270">
        <v>2020</v>
      </c>
      <c r="D3969" s="270">
        <v>1</v>
      </c>
      <c r="E3969" s="270">
        <v>1</v>
      </c>
      <c r="F3969" s="270" t="s">
        <v>944</v>
      </c>
      <c r="G3969" s="270" t="s">
        <v>3926</v>
      </c>
      <c r="H3969" s="270" t="s">
        <v>8520</v>
      </c>
      <c r="I3969" s="270" t="s">
        <v>3008</v>
      </c>
      <c r="J3969" s="270" t="s">
        <v>3928</v>
      </c>
      <c r="K3969" s="270">
        <v>6461</v>
      </c>
      <c r="L3969" s="270">
        <v>150600</v>
      </c>
      <c r="M3969" s="270" t="s">
        <v>3960</v>
      </c>
      <c r="N3969" s="270" t="s">
        <v>3944</v>
      </c>
      <c r="O3969" s="270">
        <v>1138.2</v>
      </c>
      <c r="P3969" s="270" t="s">
        <v>3944</v>
      </c>
      <c r="Q3969" s="270" t="s">
        <v>3944</v>
      </c>
      <c r="R3969" s="270">
        <v>1138.2</v>
      </c>
      <c r="S3969" s="270">
        <v>13445.67</v>
      </c>
      <c r="T3969" s="270">
        <v>14583.87</v>
      </c>
      <c r="U3969" s="271" t="s">
        <v>3945</v>
      </c>
      <c r="V3969" s="267" t="s">
        <v>944</v>
      </c>
    </row>
    <row r="3970" spans="1:22" hidden="1" x14ac:dyDescent="0.25">
      <c r="A3970" s="266">
        <v>43665</v>
      </c>
      <c r="B3970" s="267">
        <v>2019</v>
      </c>
      <c r="C3970" s="267">
        <v>2020</v>
      </c>
      <c r="D3970" s="267">
        <v>1</v>
      </c>
      <c r="E3970" s="267">
        <v>1</v>
      </c>
      <c r="F3970" s="267" t="s">
        <v>944</v>
      </c>
      <c r="G3970" s="267" t="s">
        <v>3926</v>
      </c>
      <c r="H3970" s="267" t="s">
        <v>8521</v>
      </c>
      <c r="I3970" s="267" t="s">
        <v>953</v>
      </c>
      <c r="J3970" s="267" t="s">
        <v>3928</v>
      </c>
      <c r="K3970" s="267">
        <v>6514</v>
      </c>
      <c r="L3970" s="267">
        <v>165700</v>
      </c>
      <c r="M3970" s="267" t="s">
        <v>3935</v>
      </c>
      <c r="N3970" s="267" t="s">
        <v>3944</v>
      </c>
      <c r="O3970" s="267">
        <v>1157.28</v>
      </c>
      <c r="P3970" s="267" t="s">
        <v>3944</v>
      </c>
      <c r="Q3970" s="267" t="s">
        <v>3944</v>
      </c>
      <c r="R3970" s="267">
        <v>1157.28</v>
      </c>
      <c r="S3970" s="267">
        <v>19747.330000000002</v>
      </c>
      <c r="T3970" s="267">
        <v>20904.61</v>
      </c>
      <c r="U3970" s="268" t="s">
        <v>3945</v>
      </c>
      <c r="V3970" s="267" t="s">
        <v>944</v>
      </c>
    </row>
    <row r="3971" spans="1:22" hidden="1" x14ac:dyDescent="0.25">
      <c r="A3971" s="269">
        <v>43665</v>
      </c>
      <c r="B3971" s="270">
        <v>2019</v>
      </c>
      <c r="C3971" s="270">
        <v>2020</v>
      </c>
      <c r="D3971" s="270">
        <v>1</v>
      </c>
      <c r="E3971" s="270">
        <v>1</v>
      </c>
      <c r="F3971" s="270" t="s">
        <v>944</v>
      </c>
      <c r="G3971" s="270" t="s">
        <v>3926</v>
      </c>
      <c r="H3971" s="270" t="s">
        <v>8522</v>
      </c>
      <c r="I3971" s="270" t="s">
        <v>3975</v>
      </c>
      <c r="J3971" s="270" t="s">
        <v>3928</v>
      </c>
      <c r="K3971" s="270">
        <v>6489</v>
      </c>
      <c r="L3971" s="270">
        <v>430601</v>
      </c>
      <c r="M3971" s="270" t="s">
        <v>3940</v>
      </c>
      <c r="N3971" s="270" t="s">
        <v>3944</v>
      </c>
      <c r="O3971" s="270">
        <v>1205.79</v>
      </c>
      <c r="P3971" s="270" t="s">
        <v>3944</v>
      </c>
      <c r="Q3971" s="270" t="s">
        <v>3944</v>
      </c>
      <c r="R3971" s="270">
        <v>1205.79</v>
      </c>
      <c r="S3971" s="270">
        <v>19267.7</v>
      </c>
      <c r="T3971" s="270">
        <v>20473.490000000002</v>
      </c>
      <c r="U3971" s="271" t="s">
        <v>3945</v>
      </c>
      <c r="V3971" s="267" t="s">
        <v>944</v>
      </c>
    </row>
    <row r="3972" spans="1:22" hidden="1" x14ac:dyDescent="0.25">
      <c r="A3972" s="266">
        <v>43665</v>
      </c>
      <c r="B3972" s="267">
        <v>2019</v>
      </c>
      <c r="C3972" s="267">
        <v>2020</v>
      </c>
      <c r="D3972" s="267">
        <v>1</v>
      </c>
      <c r="E3972" s="267">
        <v>1</v>
      </c>
      <c r="F3972" s="267" t="s">
        <v>944</v>
      </c>
      <c r="G3972" s="267" t="s">
        <v>3926</v>
      </c>
      <c r="H3972" s="267" t="s">
        <v>8523</v>
      </c>
      <c r="I3972" s="267" t="s">
        <v>5183</v>
      </c>
      <c r="J3972" s="267" t="s">
        <v>3928</v>
      </c>
      <c r="K3972" s="267">
        <v>6255</v>
      </c>
      <c r="L3972" s="267">
        <v>900200</v>
      </c>
      <c r="M3972" s="267" t="s">
        <v>3935</v>
      </c>
      <c r="N3972" s="267" t="s">
        <v>3944</v>
      </c>
      <c r="O3972" s="267">
        <v>1031.5899999999999</v>
      </c>
      <c r="P3972" s="267" t="s">
        <v>3944</v>
      </c>
      <c r="Q3972" s="267" t="s">
        <v>3944</v>
      </c>
      <c r="R3972" s="267">
        <v>1031.5899999999999</v>
      </c>
      <c r="S3972" s="267">
        <v>12697.59</v>
      </c>
      <c r="T3972" s="267">
        <v>13729.18</v>
      </c>
      <c r="U3972" s="268" t="s">
        <v>3945</v>
      </c>
      <c r="V3972" s="267" t="s">
        <v>944</v>
      </c>
    </row>
    <row r="3973" spans="1:22" hidden="1" x14ac:dyDescent="0.25">
      <c r="A3973" s="269">
        <v>43665</v>
      </c>
      <c r="B3973" s="270">
        <v>2019</v>
      </c>
      <c r="C3973" s="270">
        <v>2020</v>
      </c>
      <c r="D3973" s="270">
        <v>1</v>
      </c>
      <c r="E3973" s="270">
        <v>1</v>
      </c>
      <c r="F3973" s="270" t="s">
        <v>944</v>
      </c>
      <c r="G3973" s="270" t="s">
        <v>3926</v>
      </c>
      <c r="H3973" s="270" t="s">
        <v>8524</v>
      </c>
      <c r="I3973" s="270" t="s">
        <v>4073</v>
      </c>
      <c r="J3973" s="270" t="s">
        <v>3928</v>
      </c>
      <c r="K3973" s="270">
        <v>6776</v>
      </c>
      <c r="L3973" s="270">
        <v>253200</v>
      </c>
      <c r="M3973" s="270" t="s">
        <v>3960</v>
      </c>
      <c r="N3973" s="270" t="s">
        <v>3944</v>
      </c>
      <c r="O3973" s="270">
        <v>1496.57</v>
      </c>
      <c r="P3973" s="270" t="s">
        <v>3944</v>
      </c>
      <c r="Q3973" s="270" t="s">
        <v>3944</v>
      </c>
      <c r="R3973" s="270">
        <v>1496.57</v>
      </c>
      <c r="S3973" s="270">
        <v>24178.43</v>
      </c>
      <c r="T3973" s="270">
        <v>25675</v>
      </c>
      <c r="U3973" s="271" t="s">
        <v>3945</v>
      </c>
      <c r="V3973" s="267" t="s">
        <v>944</v>
      </c>
    </row>
    <row r="3974" spans="1:22" hidden="1" x14ac:dyDescent="0.25">
      <c r="A3974" s="266">
        <v>43665</v>
      </c>
      <c r="B3974" s="267">
        <v>2019</v>
      </c>
      <c r="C3974" s="267">
        <v>2020</v>
      </c>
      <c r="D3974" s="267">
        <v>1</v>
      </c>
      <c r="E3974" s="267">
        <v>1</v>
      </c>
      <c r="F3974" s="267" t="s">
        <v>944</v>
      </c>
      <c r="G3974" s="267" t="s">
        <v>3926</v>
      </c>
      <c r="H3974" s="267" t="s">
        <v>8525</v>
      </c>
      <c r="I3974" s="267" t="s">
        <v>3025</v>
      </c>
      <c r="J3974" s="267" t="s">
        <v>3928</v>
      </c>
      <c r="K3974" s="267">
        <v>6473</v>
      </c>
      <c r="L3974" s="267">
        <v>167201</v>
      </c>
      <c r="M3974" s="267" t="s">
        <v>3960</v>
      </c>
      <c r="N3974" s="267" t="s">
        <v>3944</v>
      </c>
      <c r="O3974" s="267">
        <v>1216.18</v>
      </c>
      <c r="P3974" s="267" t="s">
        <v>3944</v>
      </c>
      <c r="Q3974" s="267" t="s">
        <v>3944</v>
      </c>
      <c r="R3974" s="267">
        <v>1216.18</v>
      </c>
      <c r="S3974" s="267">
        <v>16492.82</v>
      </c>
      <c r="T3974" s="267">
        <v>17709</v>
      </c>
      <c r="U3974" s="268" t="s">
        <v>3945</v>
      </c>
      <c r="V3974" s="267" t="s">
        <v>944</v>
      </c>
    </row>
    <row r="3975" spans="1:22" hidden="1" x14ac:dyDescent="0.25">
      <c r="A3975" s="269">
        <v>43665</v>
      </c>
      <c r="B3975" s="270">
        <v>2019</v>
      </c>
      <c r="C3975" s="270">
        <v>2020</v>
      </c>
      <c r="D3975" s="270">
        <v>1</v>
      </c>
      <c r="E3975" s="270">
        <v>1</v>
      </c>
      <c r="F3975" s="270" t="s">
        <v>944</v>
      </c>
      <c r="G3975" s="270" t="s">
        <v>3926</v>
      </c>
      <c r="H3975" s="270" t="s">
        <v>8526</v>
      </c>
      <c r="I3975" s="270" t="s">
        <v>4108</v>
      </c>
      <c r="J3975" s="270" t="s">
        <v>3928</v>
      </c>
      <c r="K3975" s="270">
        <v>6082</v>
      </c>
      <c r="L3975" s="270">
        <v>480900</v>
      </c>
      <c r="M3975" s="270" t="s">
        <v>3960</v>
      </c>
      <c r="N3975" s="270" t="s">
        <v>3944</v>
      </c>
      <c r="O3975" s="270">
        <v>2465.33</v>
      </c>
      <c r="P3975" s="270" t="s">
        <v>3944</v>
      </c>
      <c r="Q3975" s="270" t="s">
        <v>3944</v>
      </c>
      <c r="R3975" s="270">
        <v>2465.33</v>
      </c>
      <c r="S3975" s="270">
        <v>32992.879999999997</v>
      </c>
      <c r="T3975" s="270">
        <v>35458.21</v>
      </c>
      <c r="U3975" s="271" t="s">
        <v>3945</v>
      </c>
      <c r="V3975" s="267" t="s">
        <v>944</v>
      </c>
    </row>
    <row r="3976" spans="1:22" hidden="1" x14ac:dyDescent="0.25">
      <c r="A3976" s="266">
        <v>43665</v>
      </c>
      <c r="B3976" s="267">
        <v>2019</v>
      </c>
      <c r="C3976" s="267">
        <v>2020</v>
      </c>
      <c r="D3976" s="267">
        <v>1</v>
      </c>
      <c r="E3976" s="267">
        <v>1</v>
      </c>
      <c r="F3976" s="267" t="s">
        <v>944</v>
      </c>
      <c r="G3976" s="267" t="s">
        <v>3926</v>
      </c>
      <c r="H3976" s="267" t="s">
        <v>8527</v>
      </c>
      <c r="I3976" s="267" t="s">
        <v>4079</v>
      </c>
      <c r="J3976" s="267" t="s">
        <v>3928</v>
      </c>
      <c r="K3976" s="267">
        <v>6111</v>
      </c>
      <c r="L3976" s="267">
        <v>494400</v>
      </c>
      <c r="M3976" s="267" t="s">
        <v>3935</v>
      </c>
      <c r="N3976" s="267" t="s">
        <v>3944</v>
      </c>
      <c r="O3976" s="267">
        <v>3015.53</v>
      </c>
      <c r="P3976" s="267" t="s">
        <v>3944</v>
      </c>
      <c r="Q3976" s="267" t="s">
        <v>3944</v>
      </c>
      <c r="R3976" s="267">
        <v>3015.53</v>
      </c>
      <c r="S3976" s="267">
        <v>40362.21</v>
      </c>
      <c r="T3976" s="267">
        <v>43377.74</v>
      </c>
      <c r="U3976" s="268" t="s">
        <v>3945</v>
      </c>
      <c r="V3976" s="267" t="s">
        <v>944</v>
      </c>
    </row>
    <row r="3977" spans="1:22" hidden="1" x14ac:dyDescent="0.25">
      <c r="A3977" s="269">
        <v>43665</v>
      </c>
      <c r="B3977" s="270">
        <v>2019</v>
      </c>
      <c r="C3977" s="270">
        <v>2020</v>
      </c>
      <c r="D3977" s="270">
        <v>1</v>
      </c>
      <c r="E3977" s="270">
        <v>1</v>
      </c>
      <c r="F3977" s="270" t="s">
        <v>944</v>
      </c>
      <c r="G3977" s="270" t="s">
        <v>3926</v>
      </c>
      <c r="H3977" s="270" t="s">
        <v>8528</v>
      </c>
      <c r="I3977" s="270" t="s">
        <v>956</v>
      </c>
      <c r="J3977" s="270" t="s">
        <v>3928</v>
      </c>
      <c r="K3977" s="270">
        <v>6614</v>
      </c>
      <c r="L3977" s="270">
        <v>81200</v>
      </c>
      <c r="M3977" s="270" t="s">
        <v>3943</v>
      </c>
      <c r="N3977" s="270" t="s">
        <v>3944</v>
      </c>
      <c r="O3977" s="270">
        <v>1772.61</v>
      </c>
      <c r="P3977" s="270" t="s">
        <v>3944</v>
      </c>
      <c r="Q3977" s="270" t="s">
        <v>3944</v>
      </c>
      <c r="R3977" s="270">
        <v>1772.61</v>
      </c>
      <c r="S3977" s="270">
        <v>26299.97</v>
      </c>
      <c r="T3977" s="270">
        <v>28072.58</v>
      </c>
      <c r="U3977" s="271" t="s">
        <v>3945</v>
      </c>
      <c r="V3977" s="267" t="s">
        <v>944</v>
      </c>
    </row>
    <row r="3978" spans="1:22" hidden="1" x14ac:dyDescent="0.25">
      <c r="A3978" s="266">
        <v>43665</v>
      </c>
      <c r="B3978" s="267">
        <v>2019</v>
      </c>
      <c r="C3978" s="267">
        <v>2020</v>
      </c>
      <c r="D3978" s="267">
        <v>1</v>
      </c>
      <c r="E3978" s="267">
        <v>1</v>
      </c>
      <c r="F3978" s="267" t="s">
        <v>944</v>
      </c>
      <c r="G3978" s="267" t="s">
        <v>3926</v>
      </c>
      <c r="H3978" s="267" t="s">
        <v>8529</v>
      </c>
      <c r="I3978" s="267" t="s">
        <v>4200</v>
      </c>
      <c r="J3978" s="267" t="s">
        <v>3928</v>
      </c>
      <c r="K3978" s="267">
        <v>6795</v>
      </c>
      <c r="L3978" s="267">
        <v>360200</v>
      </c>
      <c r="M3978" s="267" t="s">
        <v>3943</v>
      </c>
      <c r="N3978" s="267" t="s">
        <v>3944</v>
      </c>
      <c r="O3978" s="267">
        <v>3329.34</v>
      </c>
      <c r="P3978" s="267" t="s">
        <v>3944</v>
      </c>
      <c r="Q3978" s="267" t="s">
        <v>3944</v>
      </c>
      <c r="R3978" s="267">
        <v>3329.34</v>
      </c>
      <c r="S3978" s="267">
        <v>45920.91</v>
      </c>
      <c r="T3978" s="267">
        <v>49250.25</v>
      </c>
      <c r="U3978" s="268" t="s">
        <v>3945</v>
      </c>
      <c r="V3978" s="267" t="s">
        <v>944</v>
      </c>
    </row>
    <row r="3979" spans="1:22" hidden="1" x14ac:dyDescent="0.25">
      <c r="A3979" s="269">
        <v>43665</v>
      </c>
      <c r="B3979" s="270">
        <v>2019</v>
      </c>
      <c r="C3979" s="270">
        <v>2020</v>
      </c>
      <c r="D3979" s="270">
        <v>1</v>
      </c>
      <c r="E3979" s="270">
        <v>1</v>
      </c>
      <c r="F3979" s="270" t="s">
        <v>944</v>
      </c>
      <c r="G3979" s="270" t="s">
        <v>3926</v>
      </c>
      <c r="H3979" s="270" t="s">
        <v>8530</v>
      </c>
      <c r="I3979" s="270" t="s">
        <v>4232</v>
      </c>
      <c r="J3979" s="270" t="s">
        <v>3928</v>
      </c>
      <c r="K3979" s="270">
        <v>6483</v>
      </c>
      <c r="L3979" s="270">
        <v>130200</v>
      </c>
      <c r="M3979" s="270" t="s">
        <v>3935</v>
      </c>
      <c r="N3979" s="270" t="s">
        <v>3944</v>
      </c>
      <c r="O3979" s="270">
        <v>2565.5</v>
      </c>
      <c r="P3979" s="270" t="s">
        <v>3944</v>
      </c>
      <c r="Q3979" s="270" t="s">
        <v>3944</v>
      </c>
      <c r="R3979" s="270">
        <v>2565.5</v>
      </c>
      <c r="S3979" s="270">
        <v>36274.5</v>
      </c>
      <c r="T3979" s="270">
        <v>38840</v>
      </c>
      <c r="U3979" s="271" t="s">
        <v>3945</v>
      </c>
      <c r="V3979" s="267" t="s">
        <v>944</v>
      </c>
    </row>
    <row r="3980" spans="1:22" hidden="1" x14ac:dyDescent="0.25">
      <c r="A3980" s="266">
        <v>43666</v>
      </c>
      <c r="B3980" s="267">
        <v>2019</v>
      </c>
      <c r="C3980" s="267">
        <v>2020</v>
      </c>
      <c r="D3980" s="267">
        <v>1</v>
      </c>
      <c r="E3980" s="267">
        <v>1</v>
      </c>
      <c r="F3980" s="267" t="s">
        <v>944</v>
      </c>
      <c r="G3980" s="267" t="s">
        <v>3926</v>
      </c>
      <c r="H3980" s="267" t="s">
        <v>8531</v>
      </c>
      <c r="I3980" s="267" t="s">
        <v>3968</v>
      </c>
      <c r="J3980" s="267" t="s">
        <v>3928</v>
      </c>
      <c r="K3980" s="267">
        <v>6042</v>
      </c>
      <c r="L3980" s="267">
        <v>514300</v>
      </c>
      <c r="M3980" s="267" t="s">
        <v>3935</v>
      </c>
      <c r="N3980" s="267" t="s">
        <v>8532</v>
      </c>
      <c r="O3980" s="267">
        <v>0</v>
      </c>
      <c r="P3980" s="267" t="s">
        <v>3930</v>
      </c>
      <c r="Q3980" s="267" t="s">
        <v>3930</v>
      </c>
      <c r="R3980" s="267">
        <v>0</v>
      </c>
      <c r="S3980" s="267">
        <v>19000</v>
      </c>
      <c r="T3980" s="267">
        <v>19000</v>
      </c>
      <c r="U3980" s="268" t="s">
        <v>3937</v>
      </c>
      <c r="V3980" s="267" t="s">
        <v>944</v>
      </c>
    </row>
    <row r="3981" spans="1:22" hidden="1" x14ac:dyDescent="0.25">
      <c r="A3981" s="269">
        <v>43666</v>
      </c>
      <c r="B3981" s="270">
        <v>2019</v>
      </c>
      <c r="C3981" s="270">
        <v>2020</v>
      </c>
      <c r="D3981" s="270">
        <v>1</v>
      </c>
      <c r="E3981" s="270">
        <v>1</v>
      </c>
      <c r="F3981" s="270" t="s">
        <v>944</v>
      </c>
      <c r="G3981" s="270" t="s">
        <v>3926</v>
      </c>
      <c r="H3981" s="270" t="s">
        <v>8533</v>
      </c>
      <c r="I3981" s="270" t="s">
        <v>3947</v>
      </c>
      <c r="J3981" s="270" t="s">
        <v>3928</v>
      </c>
      <c r="K3981" s="270">
        <v>6035</v>
      </c>
      <c r="L3981" s="270">
        <v>468102</v>
      </c>
      <c r="M3981" s="270" t="s">
        <v>3943</v>
      </c>
      <c r="N3981" s="270" t="s">
        <v>4103</v>
      </c>
      <c r="O3981" s="270">
        <v>1551.94</v>
      </c>
      <c r="P3981" s="270" t="s">
        <v>3930</v>
      </c>
      <c r="Q3981" s="270" t="s">
        <v>3931</v>
      </c>
      <c r="R3981" s="270">
        <v>6551.94</v>
      </c>
      <c r="S3981" s="270">
        <v>24145.599999999999</v>
      </c>
      <c r="T3981" s="270">
        <v>30697.54</v>
      </c>
      <c r="U3981" s="271" t="s">
        <v>3932</v>
      </c>
      <c r="V3981" s="267" t="s">
        <v>944</v>
      </c>
    </row>
    <row r="3982" spans="1:22" hidden="1" x14ac:dyDescent="0.25">
      <c r="A3982" s="266">
        <v>43666</v>
      </c>
      <c r="B3982" s="267">
        <v>2019</v>
      </c>
      <c r="C3982" s="267">
        <v>2020</v>
      </c>
      <c r="D3982" s="267">
        <v>1</v>
      </c>
      <c r="E3982" s="267">
        <v>1</v>
      </c>
      <c r="F3982" s="267" t="s">
        <v>944</v>
      </c>
      <c r="G3982" s="267" t="s">
        <v>3926</v>
      </c>
      <c r="H3982" s="267" t="s">
        <v>8534</v>
      </c>
      <c r="I3982" s="267" t="s">
        <v>4005</v>
      </c>
      <c r="J3982" s="267" t="s">
        <v>3928</v>
      </c>
      <c r="K3982" s="267">
        <v>6118</v>
      </c>
      <c r="L3982" s="267">
        <v>511000</v>
      </c>
      <c r="M3982" s="267" t="s">
        <v>3935</v>
      </c>
      <c r="N3982" s="267" t="s">
        <v>4103</v>
      </c>
      <c r="O3982" s="267">
        <v>4459.78</v>
      </c>
      <c r="P3982" s="267" t="s">
        <v>3930</v>
      </c>
      <c r="Q3982" s="267" t="s">
        <v>3931</v>
      </c>
      <c r="R3982" s="267">
        <v>9459.7800000000007</v>
      </c>
      <c r="S3982" s="267">
        <v>24145.599999999999</v>
      </c>
      <c r="T3982" s="267">
        <v>33605.379999999997</v>
      </c>
      <c r="U3982" s="268" t="s">
        <v>3932</v>
      </c>
      <c r="V3982" s="267" t="s">
        <v>944</v>
      </c>
    </row>
    <row r="3983" spans="1:22" hidden="1" x14ac:dyDescent="0.25">
      <c r="A3983" s="269">
        <v>43666</v>
      </c>
      <c r="B3983" s="270">
        <v>2019</v>
      </c>
      <c r="C3983" s="270">
        <v>2020</v>
      </c>
      <c r="D3983" s="270">
        <v>1</v>
      </c>
      <c r="E3983" s="270">
        <v>1</v>
      </c>
      <c r="F3983" s="270" t="s">
        <v>944</v>
      </c>
      <c r="G3983" s="270" t="s">
        <v>3926</v>
      </c>
      <c r="H3983" s="270" t="s">
        <v>8535</v>
      </c>
      <c r="I3983" s="270" t="s">
        <v>4035</v>
      </c>
      <c r="J3983" s="270" t="s">
        <v>3928</v>
      </c>
      <c r="K3983" s="270">
        <v>6074</v>
      </c>
      <c r="L3983" s="270">
        <v>487100</v>
      </c>
      <c r="M3983" s="270" t="s">
        <v>3943</v>
      </c>
      <c r="N3983" s="270" t="s">
        <v>8536</v>
      </c>
      <c r="O3983" s="270">
        <v>1580.57</v>
      </c>
      <c r="P3983" s="270" t="s">
        <v>3930</v>
      </c>
      <c r="Q3983" s="270" t="s">
        <v>3931</v>
      </c>
      <c r="R3983" s="270">
        <v>6580.57</v>
      </c>
      <c r="S3983" s="270">
        <v>27804.2</v>
      </c>
      <c r="T3983" s="270">
        <v>34384.769999999997</v>
      </c>
      <c r="U3983" s="271" t="s">
        <v>3932</v>
      </c>
      <c r="V3983" s="267" t="s">
        <v>944</v>
      </c>
    </row>
    <row r="3984" spans="1:22" hidden="1" x14ac:dyDescent="0.25">
      <c r="A3984" s="266">
        <v>43667</v>
      </c>
      <c r="B3984" s="267">
        <v>2019</v>
      </c>
      <c r="C3984" s="267">
        <v>2020</v>
      </c>
      <c r="D3984" s="267">
        <v>1</v>
      </c>
      <c r="E3984" s="267">
        <v>1</v>
      </c>
      <c r="F3984" s="267" t="s">
        <v>944</v>
      </c>
      <c r="G3984" s="267" t="s">
        <v>3926</v>
      </c>
      <c r="H3984" s="267" t="s">
        <v>8537</v>
      </c>
      <c r="I3984" s="267" t="s">
        <v>4005</v>
      </c>
      <c r="J3984" s="267" t="s">
        <v>3928</v>
      </c>
      <c r="K3984" s="267">
        <v>6108</v>
      </c>
      <c r="L3984" s="267">
        <v>510400</v>
      </c>
      <c r="M3984" s="267">
        <v>-60</v>
      </c>
      <c r="N3984" s="267" t="s">
        <v>3983</v>
      </c>
      <c r="O3984" s="267">
        <v>3664.89</v>
      </c>
      <c r="P3984" s="267" t="s">
        <v>3930</v>
      </c>
      <c r="Q3984" s="267" t="s">
        <v>3931</v>
      </c>
      <c r="R3984" s="267">
        <v>8664.89</v>
      </c>
      <c r="S3984" s="267">
        <v>16504</v>
      </c>
      <c r="T3984" s="267">
        <v>25168.89</v>
      </c>
      <c r="U3984" s="268" t="s">
        <v>3932</v>
      </c>
      <c r="V3984" s="267" t="s">
        <v>944</v>
      </c>
    </row>
    <row r="3985" spans="1:22" hidden="1" x14ac:dyDescent="0.25">
      <c r="A3985" s="269">
        <v>43667</v>
      </c>
      <c r="B3985" s="270">
        <v>2019</v>
      </c>
      <c r="C3985" s="270">
        <v>2020</v>
      </c>
      <c r="D3985" s="270">
        <v>1</v>
      </c>
      <c r="E3985" s="270">
        <v>1</v>
      </c>
      <c r="F3985" s="270" t="s">
        <v>944</v>
      </c>
      <c r="G3985" s="270" t="s">
        <v>3926</v>
      </c>
      <c r="H3985" s="270" t="s">
        <v>8538</v>
      </c>
      <c r="I3985" s="270" t="s">
        <v>934</v>
      </c>
      <c r="J3985" s="270" t="s">
        <v>3928</v>
      </c>
      <c r="K3985" s="270">
        <v>6606</v>
      </c>
      <c r="L3985" s="270">
        <v>72900</v>
      </c>
      <c r="M3985" s="270" t="s">
        <v>3940</v>
      </c>
      <c r="N3985" s="270" t="s">
        <v>4103</v>
      </c>
      <c r="O3985" s="270">
        <v>5112.2700000000004</v>
      </c>
      <c r="P3985" s="270" t="s">
        <v>3930</v>
      </c>
      <c r="Q3985" s="270" t="s">
        <v>3931</v>
      </c>
      <c r="R3985" s="270">
        <v>10112.27</v>
      </c>
      <c r="S3985" s="270">
        <v>24145.599999999999</v>
      </c>
      <c r="T3985" s="270">
        <v>34257.870000000003</v>
      </c>
      <c r="U3985" s="271" t="s">
        <v>3932</v>
      </c>
      <c r="V3985" s="267" t="s">
        <v>944</v>
      </c>
    </row>
    <row r="3986" spans="1:22" hidden="1" x14ac:dyDescent="0.25">
      <c r="A3986" s="266">
        <v>43668</v>
      </c>
      <c r="B3986" s="267">
        <v>2019</v>
      </c>
      <c r="C3986" s="267">
        <v>2020</v>
      </c>
      <c r="D3986" s="267">
        <v>1</v>
      </c>
      <c r="E3986" s="267">
        <v>1</v>
      </c>
      <c r="F3986" s="267" t="s">
        <v>944</v>
      </c>
      <c r="G3986" s="267" t="s">
        <v>3926</v>
      </c>
      <c r="H3986" s="267" t="s">
        <v>8539</v>
      </c>
      <c r="I3986" s="267" t="s">
        <v>4203</v>
      </c>
      <c r="J3986" s="267" t="s">
        <v>3928</v>
      </c>
      <c r="K3986" s="267">
        <v>6071</v>
      </c>
      <c r="L3986" s="267">
        <v>538201</v>
      </c>
      <c r="M3986" s="267" t="s">
        <v>3943</v>
      </c>
      <c r="N3986" s="267" t="s">
        <v>4701</v>
      </c>
      <c r="O3986" s="267">
        <v>2285.08</v>
      </c>
      <c r="P3986" s="267" t="s">
        <v>3930</v>
      </c>
      <c r="Q3986" s="267" t="s">
        <v>3931</v>
      </c>
      <c r="R3986" s="267">
        <v>7285.08</v>
      </c>
      <c r="S3986" s="267">
        <v>34648</v>
      </c>
      <c r="T3986" s="267">
        <v>41933.08</v>
      </c>
      <c r="U3986" s="268" t="s">
        <v>3932</v>
      </c>
      <c r="V3986" s="267" t="s">
        <v>944</v>
      </c>
    </row>
    <row r="3987" spans="1:22" hidden="1" x14ac:dyDescent="0.25">
      <c r="A3987" s="269">
        <v>43668</v>
      </c>
      <c r="B3987" s="270">
        <v>2019</v>
      </c>
      <c r="C3987" s="270">
        <v>2020</v>
      </c>
      <c r="D3987" s="270">
        <v>1</v>
      </c>
      <c r="E3987" s="270">
        <v>1</v>
      </c>
      <c r="F3987" s="270" t="s">
        <v>944</v>
      </c>
      <c r="G3987" s="270" t="s">
        <v>3926</v>
      </c>
      <c r="H3987" s="270" t="s">
        <v>8540</v>
      </c>
      <c r="I3987" s="270" t="s">
        <v>4114</v>
      </c>
      <c r="J3987" s="270" t="s">
        <v>3928</v>
      </c>
      <c r="K3987" s="270">
        <v>6410</v>
      </c>
      <c r="L3987" s="270">
        <v>343102</v>
      </c>
      <c r="M3987" s="270" t="s">
        <v>3943</v>
      </c>
      <c r="N3987" s="270" t="s">
        <v>8541</v>
      </c>
      <c r="O3987" s="270">
        <v>4120</v>
      </c>
      <c r="P3987" s="270" t="s">
        <v>3930</v>
      </c>
      <c r="Q3987" s="270" t="s">
        <v>3930</v>
      </c>
      <c r="R3987" s="270">
        <v>4120</v>
      </c>
      <c r="S3987" s="270">
        <v>25299</v>
      </c>
      <c r="T3987" s="270">
        <v>29419</v>
      </c>
      <c r="U3987" s="271" t="s">
        <v>3937</v>
      </c>
      <c r="V3987" s="267" t="s">
        <v>944</v>
      </c>
    </row>
    <row r="3988" spans="1:22" hidden="1" x14ac:dyDescent="0.25">
      <c r="A3988" s="266">
        <v>43668</v>
      </c>
      <c r="B3988" s="267">
        <v>2019</v>
      </c>
      <c r="C3988" s="267">
        <v>2020</v>
      </c>
      <c r="D3988" s="267">
        <v>1</v>
      </c>
      <c r="E3988" s="267">
        <v>1</v>
      </c>
      <c r="F3988" s="267" t="s">
        <v>944</v>
      </c>
      <c r="G3988" s="267" t="s">
        <v>3926</v>
      </c>
      <c r="H3988" s="267" t="s">
        <v>8542</v>
      </c>
      <c r="I3988" s="267" t="s">
        <v>950</v>
      </c>
      <c r="J3988" s="267" t="s">
        <v>3928</v>
      </c>
      <c r="K3988" s="267">
        <v>6516</v>
      </c>
      <c r="L3988" s="267">
        <v>154900</v>
      </c>
      <c r="M3988" s="267" t="s">
        <v>3935</v>
      </c>
      <c r="N3988" s="267" t="s">
        <v>4103</v>
      </c>
      <c r="O3988" s="267">
        <v>1651.69</v>
      </c>
      <c r="P3988" s="267" t="s">
        <v>3930</v>
      </c>
      <c r="Q3988" s="267" t="s">
        <v>3931</v>
      </c>
      <c r="R3988" s="267">
        <v>6651.69</v>
      </c>
      <c r="S3988" s="267">
        <v>24145.599999999999</v>
      </c>
      <c r="T3988" s="267">
        <v>30797.29</v>
      </c>
      <c r="U3988" s="268" t="s">
        <v>3932</v>
      </c>
      <c r="V3988" s="267" t="s">
        <v>944</v>
      </c>
    </row>
    <row r="3989" spans="1:22" x14ac:dyDescent="0.25">
      <c r="A3989" s="269">
        <v>43668</v>
      </c>
      <c r="B3989" s="270">
        <v>2019</v>
      </c>
      <c r="C3989" s="270">
        <v>2020</v>
      </c>
      <c r="D3989" s="270">
        <v>1</v>
      </c>
      <c r="E3989" s="270">
        <v>1</v>
      </c>
      <c r="F3989" s="270" t="s">
        <v>944</v>
      </c>
      <c r="G3989" s="270" t="s">
        <v>3926</v>
      </c>
      <c r="H3989" s="270" t="s">
        <v>8543</v>
      </c>
      <c r="I3989" s="270" t="s">
        <v>934</v>
      </c>
      <c r="J3989" s="270" t="s">
        <v>3928</v>
      </c>
      <c r="K3989" s="270">
        <v>6610</v>
      </c>
      <c r="L3989" s="270">
        <v>73100</v>
      </c>
      <c r="M3989" s="270">
        <v>-60</v>
      </c>
      <c r="N3989" s="270" t="s">
        <v>3983</v>
      </c>
      <c r="O3989" s="270">
        <v>3134.79</v>
      </c>
      <c r="P3989" s="270" t="s">
        <v>3930</v>
      </c>
      <c r="Q3989" s="270" t="s">
        <v>3931</v>
      </c>
      <c r="R3989" s="270">
        <v>8134.79</v>
      </c>
      <c r="S3989" s="270">
        <v>16504</v>
      </c>
      <c r="T3989" s="270">
        <v>24638.79</v>
      </c>
      <c r="U3989" s="271" t="s">
        <v>3932</v>
      </c>
      <c r="V3989" s="276" t="s">
        <v>936</v>
      </c>
    </row>
    <row r="3990" spans="1:22" hidden="1" x14ac:dyDescent="0.25">
      <c r="A3990" s="266">
        <v>43668</v>
      </c>
      <c r="B3990" s="267">
        <v>2019</v>
      </c>
      <c r="C3990" s="267">
        <v>2020</v>
      </c>
      <c r="D3990" s="267">
        <v>1</v>
      </c>
      <c r="E3990" s="267">
        <v>1</v>
      </c>
      <c r="F3990" s="267" t="s">
        <v>944</v>
      </c>
      <c r="G3990" s="267" t="s">
        <v>3926</v>
      </c>
      <c r="H3990" s="267" t="s">
        <v>8544</v>
      </c>
      <c r="I3990" s="267" t="s">
        <v>4069</v>
      </c>
      <c r="J3990" s="267" t="s">
        <v>3928</v>
      </c>
      <c r="K3990" s="267">
        <v>6902</v>
      </c>
      <c r="L3990" s="267">
        <v>21400</v>
      </c>
      <c r="M3990" s="267">
        <v>-60</v>
      </c>
      <c r="N3990" s="267" t="s">
        <v>8545</v>
      </c>
      <c r="O3990" s="267">
        <v>0</v>
      </c>
      <c r="P3990" s="267" t="s">
        <v>3930</v>
      </c>
      <c r="Q3990" s="267" t="s">
        <v>3930</v>
      </c>
      <c r="R3990" s="267">
        <v>0</v>
      </c>
      <c r="S3990" s="267">
        <v>18250</v>
      </c>
      <c r="T3990" s="267">
        <v>18250</v>
      </c>
      <c r="U3990" s="268" t="s">
        <v>3937</v>
      </c>
      <c r="V3990" s="267" t="s">
        <v>944</v>
      </c>
    </row>
    <row r="3991" spans="1:22" hidden="1" x14ac:dyDescent="0.25">
      <c r="A3991" s="269">
        <v>43668</v>
      </c>
      <c r="B3991" s="270">
        <v>2019</v>
      </c>
      <c r="C3991" s="270">
        <v>2020</v>
      </c>
      <c r="D3991" s="270">
        <v>1</v>
      </c>
      <c r="E3991" s="270">
        <v>1</v>
      </c>
      <c r="F3991" s="270" t="s">
        <v>944</v>
      </c>
      <c r="G3991" s="270" t="s">
        <v>3926</v>
      </c>
      <c r="H3991" s="270" t="s">
        <v>8546</v>
      </c>
      <c r="I3991" s="270" t="s">
        <v>3968</v>
      </c>
      <c r="J3991" s="270" t="s">
        <v>3928</v>
      </c>
      <c r="K3991" s="270">
        <v>6042</v>
      </c>
      <c r="L3991" s="270">
        <v>514102</v>
      </c>
      <c r="M3991" s="270" t="s">
        <v>3935</v>
      </c>
      <c r="N3991" s="270" t="s">
        <v>3944</v>
      </c>
      <c r="O3991" s="270">
        <v>5174</v>
      </c>
      <c r="P3991" s="270" t="s">
        <v>3944</v>
      </c>
      <c r="Q3991" s="270" t="s">
        <v>3944</v>
      </c>
      <c r="R3991" s="270">
        <v>5174</v>
      </c>
      <c r="S3991" s="270">
        <v>39747</v>
      </c>
      <c r="T3991" s="270">
        <v>44921</v>
      </c>
      <c r="U3991" s="271" t="s">
        <v>3945</v>
      </c>
      <c r="V3991" s="267" t="s">
        <v>944</v>
      </c>
    </row>
    <row r="3992" spans="1:22" hidden="1" x14ac:dyDescent="0.25">
      <c r="A3992" s="266">
        <v>43668</v>
      </c>
      <c r="B3992" s="267">
        <v>2019</v>
      </c>
      <c r="C3992" s="267">
        <v>2020</v>
      </c>
      <c r="D3992" s="267">
        <v>1</v>
      </c>
      <c r="E3992" s="267">
        <v>1</v>
      </c>
      <c r="F3992" s="267" t="s">
        <v>944</v>
      </c>
      <c r="G3992" s="267" t="s">
        <v>3926</v>
      </c>
      <c r="H3992" s="267" t="s">
        <v>8547</v>
      </c>
      <c r="I3992" s="267" t="s">
        <v>2985</v>
      </c>
      <c r="J3992" s="267" t="s">
        <v>3928</v>
      </c>
      <c r="K3992" s="267">
        <v>6824</v>
      </c>
      <c r="L3992" s="267">
        <v>61600</v>
      </c>
      <c r="M3992" s="267" t="s">
        <v>3943</v>
      </c>
      <c r="N3992" s="267" t="s">
        <v>3944</v>
      </c>
      <c r="O3992" s="267">
        <v>4607</v>
      </c>
      <c r="P3992" s="267" t="s">
        <v>3944</v>
      </c>
      <c r="Q3992" s="267" t="s">
        <v>3944</v>
      </c>
      <c r="R3992" s="267">
        <v>4607</v>
      </c>
      <c r="S3992" s="267">
        <v>34706</v>
      </c>
      <c r="T3992" s="267">
        <v>39313</v>
      </c>
      <c r="U3992" s="268" t="s">
        <v>3945</v>
      </c>
      <c r="V3992" s="267" t="s">
        <v>944</v>
      </c>
    </row>
    <row r="3993" spans="1:22" hidden="1" x14ac:dyDescent="0.25">
      <c r="A3993" s="269">
        <v>43668</v>
      </c>
      <c r="B3993" s="270">
        <v>2019</v>
      </c>
      <c r="C3993" s="270">
        <v>2020</v>
      </c>
      <c r="D3993" s="270">
        <v>1</v>
      </c>
      <c r="E3993" s="270">
        <v>1</v>
      </c>
      <c r="F3993" s="270" t="s">
        <v>944</v>
      </c>
      <c r="G3993" s="270" t="s">
        <v>3926</v>
      </c>
      <c r="H3993" s="270" t="s">
        <v>8548</v>
      </c>
      <c r="I3993" s="270" t="s">
        <v>956</v>
      </c>
      <c r="J3993" s="270" t="s">
        <v>3928</v>
      </c>
      <c r="K3993" s="270">
        <v>6614</v>
      </c>
      <c r="L3993" s="270">
        <v>80800</v>
      </c>
      <c r="M3993" s="270" t="s">
        <v>3960</v>
      </c>
      <c r="N3993" s="270" t="s">
        <v>3944</v>
      </c>
      <c r="O3993" s="270">
        <v>2274</v>
      </c>
      <c r="P3993" s="270" t="s">
        <v>3944</v>
      </c>
      <c r="Q3993" s="270" t="s">
        <v>3944</v>
      </c>
      <c r="R3993" s="270">
        <v>2274</v>
      </c>
      <c r="S3993" s="270">
        <v>20484.75</v>
      </c>
      <c r="T3993" s="270">
        <v>22758.75</v>
      </c>
      <c r="U3993" s="271" t="s">
        <v>3945</v>
      </c>
      <c r="V3993" s="267" t="s">
        <v>944</v>
      </c>
    </row>
    <row r="3994" spans="1:22" x14ac:dyDescent="0.25">
      <c r="A3994" s="266">
        <v>43668</v>
      </c>
      <c r="B3994" s="267">
        <v>2019</v>
      </c>
      <c r="C3994" s="267">
        <v>2020</v>
      </c>
      <c r="D3994" s="267">
        <v>1</v>
      </c>
      <c r="E3994" s="267">
        <v>1</v>
      </c>
      <c r="F3994" s="267" t="s">
        <v>944</v>
      </c>
      <c r="G3994" s="267" t="s">
        <v>3926</v>
      </c>
      <c r="H3994" s="267" t="s">
        <v>8549</v>
      </c>
      <c r="I3994" s="267" t="s">
        <v>943</v>
      </c>
      <c r="J3994" s="267" t="s">
        <v>3928</v>
      </c>
      <c r="K3994" s="267">
        <v>6513</v>
      </c>
      <c r="L3994" s="267">
        <v>142400</v>
      </c>
      <c r="M3994" s="267">
        <v>-60</v>
      </c>
      <c r="N3994" s="267" t="s">
        <v>3944</v>
      </c>
      <c r="O3994" s="267">
        <v>2369</v>
      </c>
      <c r="P3994" s="267" t="s">
        <v>3944</v>
      </c>
      <c r="Q3994" s="267" t="s">
        <v>3944</v>
      </c>
      <c r="R3994" s="267">
        <v>2369</v>
      </c>
      <c r="S3994" s="267">
        <v>19061</v>
      </c>
      <c r="T3994" s="267">
        <v>21430</v>
      </c>
      <c r="U3994" s="268" t="s">
        <v>3945</v>
      </c>
      <c r="V3994" s="276" t="s">
        <v>936</v>
      </c>
    </row>
    <row r="3995" spans="1:22" hidden="1" x14ac:dyDescent="0.25">
      <c r="A3995" s="269">
        <v>43668</v>
      </c>
      <c r="B3995" s="270">
        <v>2019</v>
      </c>
      <c r="C3995" s="270">
        <v>2020</v>
      </c>
      <c r="D3995" s="270">
        <v>1</v>
      </c>
      <c r="E3995" s="270">
        <v>1</v>
      </c>
      <c r="F3995" s="270" t="s">
        <v>944</v>
      </c>
      <c r="G3995" s="270" t="s">
        <v>3926</v>
      </c>
      <c r="H3995" s="270" t="s">
        <v>8550</v>
      </c>
      <c r="I3995" s="270" t="s">
        <v>5122</v>
      </c>
      <c r="J3995" s="270" t="s">
        <v>3928</v>
      </c>
      <c r="K3995" s="270">
        <v>6019</v>
      </c>
      <c r="L3995" s="270">
        <v>464101</v>
      </c>
      <c r="M3995" s="270" t="s">
        <v>3943</v>
      </c>
      <c r="N3995" s="270" t="s">
        <v>3944</v>
      </c>
      <c r="O3995" s="270">
        <v>3338</v>
      </c>
      <c r="P3995" s="270" t="s">
        <v>3944</v>
      </c>
      <c r="Q3995" s="270" t="s">
        <v>3944</v>
      </c>
      <c r="R3995" s="270">
        <v>3338</v>
      </c>
      <c r="S3995" s="270">
        <v>45593.02</v>
      </c>
      <c r="T3995" s="270">
        <v>48931.02</v>
      </c>
      <c r="U3995" s="271" t="s">
        <v>3945</v>
      </c>
      <c r="V3995" s="267" t="s">
        <v>944</v>
      </c>
    </row>
    <row r="3996" spans="1:22" hidden="1" x14ac:dyDescent="0.25">
      <c r="A3996" s="266">
        <v>43668</v>
      </c>
      <c r="B3996" s="267">
        <v>2019</v>
      </c>
      <c r="C3996" s="267">
        <v>2020</v>
      </c>
      <c r="D3996" s="267">
        <v>1</v>
      </c>
      <c r="E3996" s="267">
        <v>1</v>
      </c>
      <c r="F3996" s="267" t="s">
        <v>944</v>
      </c>
      <c r="G3996" s="267" t="s">
        <v>3926</v>
      </c>
      <c r="H3996" s="267" t="s">
        <v>8551</v>
      </c>
      <c r="I3996" s="267" t="s">
        <v>4519</v>
      </c>
      <c r="J3996" s="267" t="s">
        <v>3928</v>
      </c>
      <c r="K3996" s="267">
        <v>6840</v>
      </c>
      <c r="L3996" s="267">
        <v>35300</v>
      </c>
      <c r="M3996" s="267" t="s">
        <v>3943</v>
      </c>
      <c r="N3996" s="267" t="s">
        <v>3944</v>
      </c>
      <c r="O3996" s="267">
        <v>2613</v>
      </c>
      <c r="P3996" s="267" t="s">
        <v>3944</v>
      </c>
      <c r="Q3996" s="267" t="s">
        <v>3944</v>
      </c>
      <c r="R3996" s="267">
        <v>2613</v>
      </c>
      <c r="S3996" s="267">
        <v>18562</v>
      </c>
      <c r="T3996" s="267">
        <v>21175</v>
      </c>
      <c r="U3996" s="268" t="s">
        <v>3945</v>
      </c>
      <c r="V3996" s="267" t="s">
        <v>944</v>
      </c>
    </row>
    <row r="3997" spans="1:22" hidden="1" x14ac:dyDescent="0.25">
      <c r="A3997" s="269">
        <v>43668</v>
      </c>
      <c r="B3997" s="270">
        <v>2019</v>
      </c>
      <c r="C3997" s="270">
        <v>2020</v>
      </c>
      <c r="D3997" s="270">
        <v>1</v>
      </c>
      <c r="E3997" s="270">
        <v>1</v>
      </c>
      <c r="F3997" s="270" t="s">
        <v>944</v>
      </c>
      <c r="G3997" s="270" t="s">
        <v>3926</v>
      </c>
      <c r="H3997" s="270" t="s">
        <v>8552</v>
      </c>
      <c r="I3997" s="270" t="s">
        <v>3008</v>
      </c>
      <c r="J3997" s="270" t="s">
        <v>3928</v>
      </c>
      <c r="K3997" s="270">
        <v>6460</v>
      </c>
      <c r="L3997" s="270">
        <v>151100</v>
      </c>
      <c r="M3997" s="270" t="s">
        <v>3960</v>
      </c>
      <c r="N3997" s="270" t="s">
        <v>3944</v>
      </c>
      <c r="O3997" s="270">
        <v>4718</v>
      </c>
      <c r="P3997" s="270" t="s">
        <v>3944</v>
      </c>
      <c r="Q3997" s="270" t="s">
        <v>3944</v>
      </c>
      <c r="R3997" s="270">
        <v>4718</v>
      </c>
      <c r="S3997" s="270">
        <v>43240.75</v>
      </c>
      <c r="T3997" s="270">
        <v>47958.75</v>
      </c>
      <c r="U3997" s="271" t="s">
        <v>3945</v>
      </c>
      <c r="V3997" s="267" t="s">
        <v>944</v>
      </c>
    </row>
    <row r="3998" spans="1:22" hidden="1" x14ac:dyDescent="0.25">
      <c r="A3998" s="266">
        <v>43668</v>
      </c>
      <c r="B3998" s="267">
        <v>2019</v>
      </c>
      <c r="C3998" s="267">
        <v>2020</v>
      </c>
      <c r="D3998" s="267">
        <v>1</v>
      </c>
      <c r="E3998" s="267">
        <v>1</v>
      </c>
      <c r="F3998" s="267" t="s">
        <v>944</v>
      </c>
      <c r="G3998" s="267" t="s">
        <v>3926</v>
      </c>
      <c r="H3998" s="267" t="s">
        <v>8553</v>
      </c>
      <c r="I3998" s="267" t="s">
        <v>4323</v>
      </c>
      <c r="J3998" s="267" t="s">
        <v>3928</v>
      </c>
      <c r="K3998" s="267">
        <v>6375</v>
      </c>
      <c r="L3998" s="267">
        <v>693600</v>
      </c>
      <c r="M3998" s="267" t="s">
        <v>3960</v>
      </c>
      <c r="N3998" s="267" t="s">
        <v>3944</v>
      </c>
      <c r="O3998" s="267">
        <v>4472</v>
      </c>
      <c r="P3998" s="267" t="s">
        <v>3944</v>
      </c>
      <c r="Q3998" s="267" t="s">
        <v>3944</v>
      </c>
      <c r="R3998" s="267">
        <v>4472</v>
      </c>
      <c r="S3998" s="267">
        <v>30617</v>
      </c>
      <c r="T3998" s="267">
        <v>35089</v>
      </c>
      <c r="U3998" s="268" t="s">
        <v>3945</v>
      </c>
      <c r="V3998" s="267" t="s">
        <v>944</v>
      </c>
    </row>
    <row r="3999" spans="1:22" hidden="1" x14ac:dyDescent="0.25">
      <c r="A3999" s="269">
        <v>43668</v>
      </c>
      <c r="B3999" s="270">
        <v>2019</v>
      </c>
      <c r="C3999" s="270">
        <v>2020</v>
      </c>
      <c r="D3999" s="270">
        <v>1</v>
      </c>
      <c r="E3999" s="270">
        <v>1</v>
      </c>
      <c r="F3999" s="270" t="s">
        <v>944</v>
      </c>
      <c r="G3999" s="270" t="s">
        <v>3926</v>
      </c>
      <c r="H3999" s="270" t="s">
        <v>8554</v>
      </c>
      <c r="I3999" s="270" t="s">
        <v>3975</v>
      </c>
      <c r="J3999" s="270" t="s">
        <v>3928</v>
      </c>
      <c r="K3999" s="270">
        <v>6479</v>
      </c>
      <c r="L3999" s="270">
        <v>430302</v>
      </c>
      <c r="M3999" s="270" t="s">
        <v>3960</v>
      </c>
      <c r="N3999" s="270" t="s">
        <v>3944</v>
      </c>
      <c r="O3999" s="270">
        <v>3536</v>
      </c>
      <c r="P3999" s="270" t="s">
        <v>3944</v>
      </c>
      <c r="Q3999" s="270" t="s">
        <v>3944</v>
      </c>
      <c r="R3999" s="270">
        <v>3536</v>
      </c>
      <c r="S3999" s="270">
        <v>23504</v>
      </c>
      <c r="T3999" s="270">
        <v>27040</v>
      </c>
      <c r="U3999" s="271" t="s">
        <v>3945</v>
      </c>
      <c r="V3999" s="267" t="s">
        <v>944</v>
      </c>
    </row>
    <row r="4000" spans="1:22" hidden="1" x14ac:dyDescent="0.25">
      <c r="A4000" s="266">
        <v>43668</v>
      </c>
      <c r="B4000" s="267">
        <v>2019</v>
      </c>
      <c r="C4000" s="267">
        <v>2020</v>
      </c>
      <c r="D4000" s="267">
        <v>1</v>
      </c>
      <c r="E4000" s="267">
        <v>1</v>
      </c>
      <c r="F4000" s="267" t="s">
        <v>944</v>
      </c>
      <c r="G4000" s="267" t="s">
        <v>3926</v>
      </c>
      <c r="H4000" s="267" t="s">
        <v>8555</v>
      </c>
      <c r="I4000" s="267" t="s">
        <v>3971</v>
      </c>
      <c r="J4000" s="267" t="s">
        <v>3928</v>
      </c>
      <c r="K4000" s="267">
        <v>6084</v>
      </c>
      <c r="L4000" s="267">
        <v>533101</v>
      </c>
      <c r="M4000" s="267" t="s">
        <v>3943</v>
      </c>
      <c r="N4000" s="267" t="s">
        <v>3944</v>
      </c>
      <c r="O4000" s="267">
        <v>2278.4699999999998</v>
      </c>
      <c r="P4000" s="267" t="s">
        <v>3944</v>
      </c>
      <c r="Q4000" s="267" t="s">
        <v>3944</v>
      </c>
      <c r="R4000" s="267">
        <v>2278.4699999999998</v>
      </c>
      <c r="S4000" s="267">
        <v>32083.13</v>
      </c>
      <c r="T4000" s="267">
        <v>34361.599999999999</v>
      </c>
      <c r="U4000" s="268" t="s">
        <v>3945</v>
      </c>
      <c r="V4000" s="267" t="s">
        <v>944</v>
      </c>
    </row>
    <row r="4001" spans="1:22" hidden="1" x14ac:dyDescent="0.25">
      <c r="A4001" s="269">
        <v>43668</v>
      </c>
      <c r="B4001" s="270">
        <v>2019</v>
      </c>
      <c r="C4001" s="270">
        <v>2020</v>
      </c>
      <c r="D4001" s="270">
        <v>1</v>
      </c>
      <c r="E4001" s="270">
        <v>1</v>
      </c>
      <c r="F4001" s="270" t="s">
        <v>944</v>
      </c>
      <c r="G4001" s="270" t="s">
        <v>3926</v>
      </c>
      <c r="H4001" s="270" t="s">
        <v>8556</v>
      </c>
      <c r="I4001" s="270" t="s">
        <v>4005</v>
      </c>
      <c r="J4001" s="270" t="s">
        <v>3928</v>
      </c>
      <c r="K4001" s="270">
        <v>6108</v>
      </c>
      <c r="L4001" s="270">
        <v>511400</v>
      </c>
      <c r="M4001" s="270" t="s">
        <v>3935</v>
      </c>
      <c r="N4001" s="270" t="s">
        <v>3944</v>
      </c>
      <c r="O4001" s="270">
        <v>813.4</v>
      </c>
      <c r="P4001" s="270" t="s">
        <v>3944</v>
      </c>
      <c r="Q4001" s="270" t="s">
        <v>3944</v>
      </c>
      <c r="R4001" s="270">
        <v>813.4</v>
      </c>
      <c r="S4001" s="270">
        <v>11231.07</v>
      </c>
      <c r="T4001" s="270">
        <v>12044.47</v>
      </c>
      <c r="U4001" s="271" t="s">
        <v>3945</v>
      </c>
      <c r="V4001" s="267" t="s">
        <v>944</v>
      </c>
    </row>
    <row r="4002" spans="1:22" hidden="1" x14ac:dyDescent="0.25">
      <c r="A4002" s="266">
        <v>43668</v>
      </c>
      <c r="B4002" s="267">
        <v>2019</v>
      </c>
      <c r="C4002" s="267">
        <v>2020</v>
      </c>
      <c r="D4002" s="267">
        <v>1</v>
      </c>
      <c r="E4002" s="267">
        <v>1</v>
      </c>
      <c r="F4002" s="267" t="s">
        <v>944</v>
      </c>
      <c r="G4002" s="267" t="s">
        <v>3926</v>
      </c>
      <c r="H4002" s="267" t="s">
        <v>8557</v>
      </c>
      <c r="I4002" s="267" t="s">
        <v>3008</v>
      </c>
      <c r="J4002" s="267" t="s">
        <v>3928</v>
      </c>
      <c r="K4002" s="267">
        <v>6460</v>
      </c>
      <c r="L4002" s="267">
        <v>150200</v>
      </c>
      <c r="M4002" s="267" t="s">
        <v>3935</v>
      </c>
      <c r="N4002" s="267" t="s">
        <v>3944</v>
      </c>
      <c r="O4002" s="267">
        <v>1343.3</v>
      </c>
      <c r="P4002" s="267" t="s">
        <v>3944</v>
      </c>
      <c r="Q4002" s="267" t="s">
        <v>3944</v>
      </c>
      <c r="R4002" s="267">
        <v>1343.3</v>
      </c>
      <c r="S4002" s="267">
        <v>22934.22</v>
      </c>
      <c r="T4002" s="267">
        <v>24277.52</v>
      </c>
      <c r="U4002" s="268" t="s">
        <v>3945</v>
      </c>
      <c r="V4002" s="267" t="s">
        <v>944</v>
      </c>
    </row>
    <row r="4003" spans="1:22" hidden="1" x14ac:dyDescent="0.25">
      <c r="A4003" s="269">
        <v>43668</v>
      </c>
      <c r="B4003" s="270">
        <v>2019</v>
      </c>
      <c r="C4003" s="270">
        <v>2020</v>
      </c>
      <c r="D4003" s="270">
        <v>1</v>
      </c>
      <c r="E4003" s="270">
        <v>1</v>
      </c>
      <c r="F4003" s="270" t="s">
        <v>944</v>
      </c>
      <c r="G4003" s="270" t="s">
        <v>3926</v>
      </c>
      <c r="H4003" s="270" t="s">
        <v>8558</v>
      </c>
      <c r="I4003" s="270" t="s">
        <v>3975</v>
      </c>
      <c r="J4003" s="270" t="s">
        <v>3928</v>
      </c>
      <c r="K4003" s="270">
        <v>6479</v>
      </c>
      <c r="L4003" s="270">
        <v>430500</v>
      </c>
      <c r="M4003" s="270" t="s">
        <v>3943</v>
      </c>
      <c r="N4003" s="270" t="s">
        <v>3944</v>
      </c>
      <c r="O4003" s="270">
        <v>3011.61</v>
      </c>
      <c r="P4003" s="270" t="s">
        <v>3944</v>
      </c>
      <c r="Q4003" s="270" t="s">
        <v>3944</v>
      </c>
      <c r="R4003" s="270">
        <v>3011.61</v>
      </c>
      <c r="S4003" s="270">
        <v>37037.370000000003</v>
      </c>
      <c r="T4003" s="270">
        <v>40048.980000000003</v>
      </c>
      <c r="U4003" s="271" t="s">
        <v>3945</v>
      </c>
      <c r="V4003" s="267" t="s">
        <v>944</v>
      </c>
    </row>
    <row r="4004" spans="1:22" hidden="1" x14ac:dyDescent="0.25">
      <c r="A4004" s="266">
        <v>43668</v>
      </c>
      <c r="B4004" s="267">
        <v>2019</v>
      </c>
      <c r="C4004" s="267">
        <v>2020</v>
      </c>
      <c r="D4004" s="267">
        <v>1</v>
      </c>
      <c r="E4004" s="267">
        <v>1</v>
      </c>
      <c r="F4004" s="267" t="s">
        <v>944</v>
      </c>
      <c r="G4004" s="267" t="s">
        <v>3926</v>
      </c>
      <c r="H4004" s="267" t="s">
        <v>8559</v>
      </c>
      <c r="I4004" s="267" t="s">
        <v>3008</v>
      </c>
      <c r="J4004" s="267" t="s">
        <v>3928</v>
      </c>
      <c r="K4004" s="267">
        <v>6460</v>
      </c>
      <c r="L4004" s="267">
        <v>151200</v>
      </c>
      <c r="M4004" s="267" t="s">
        <v>3935</v>
      </c>
      <c r="N4004" s="267" t="s">
        <v>3944</v>
      </c>
      <c r="O4004" s="267">
        <v>1646.51</v>
      </c>
      <c r="P4004" s="267" t="s">
        <v>3944</v>
      </c>
      <c r="Q4004" s="267" t="s">
        <v>3944</v>
      </c>
      <c r="R4004" s="267">
        <v>1646.51</v>
      </c>
      <c r="S4004" s="267">
        <v>27634.97</v>
      </c>
      <c r="T4004" s="267">
        <v>29281.48</v>
      </c>
      <c r="U4004" s="268" t="s">
        <v>3945</v>
      </c>
      <c r="V4004" s="267" t="s">
        <v>944</v>
      </c>
    </row>
    <row r="4005" spans="1:22" hidden="1" x14ac:dyDescent="0.25">
      <c r="A4005" s="269">
        <v>43668</v>
      </c>
      <c r="B4005" s="270">
        <v>2019</v>
      </c>
      <c r="C4005" s="270">
        <v>2020</v>
      </c>
      <c r="D4005" s="270">
        <v>1</v>
      </c>
      <c r="E4005" s="270">
        <v>1</v>
      </c>
      <c r="F4005" s="270" t="s">
        <v>944</v>
      </c>
      <c r="G4005" s="270" t="s">
        <v>3926</v>
      </c>
      <c r="H4005" s="270" t="s">
        <v>8560</v>
      </c>
      <c r="I4005" s="270" t="s">
        <v>956</v>
      </c>
      <c r="J4005" s="270" t="s">
        <v>3928</v>
      </c>
      <c r="K4005" s="270">
        <v>6614</v>
      </c>
      <c r="L4005" s="270">
        <v>80800</v>
      </c>
      <c r="M4005" s="270" t="s">
        <v>3960</v>
      </c>
      <c r="N4005" s="270" t="s">
        <v>3944</v>
      </c>
      <c r="O4005" s="270">
        <v>1380.02</v>
      </c>
      <c r="P4005" s="270" t="s">
        <v>3944</v>
      </c>
      <c r="Q4005" s="270" t="s">
        <v>3944</v>
      </c>
      <c r="R4005" s="270">
        <v>1380.02</v>
      </c>
      <c r="S4005" s="270">
        <v>21414.9</v>
      </c>
      <c r="T4005" s="270">
        <v>22794.92</v>
      </c>
      <c r="U4005" s="271" t="s">
        <v>3945</v>
      </c>
      <c r="V4005" s="267" t="s">
        <v>944</v>
      </c>
    </row>
    <row r="4006" spans="1:22" hidden="1" x14ac:dyDescent="0.25">
      <c r="A4006" s="266">
        <v>43668</v>
      </c>
      <c r="B4006" s="267">
        <v>2019</v>
      </c>
      <c r="C4006" s="267">
        <v>2020</v>
      </c>
      <c r="D4006" s="267">
        <v>1</v>
      </c>
      <c r="E4006" s="267">
        <v>1</v>
      </c>
      <c r="F4006" s="267" t="s">
        <v>944</v>
      </c>
      <c r="G4006" s="267" t="s">
        <v>3926</v>
      </c>
      <c r="H4006" s="267" t="s">
        <v>8561</v>
      </c>
      <c r="I4006" s="267" t="s">
        <v>4042</v>
      </c>
      <c r="J4006" s="267" t="s">
        <v>3928</v>
      </c>
      <c r="K4006" s="267">
        <v>6382</v>
      </c>
      <c r="L4006" s="267">
        <v>870501</v>
      </c>
      <c r="M4006" s="267" t="s">
        <v>3935</v>
      </c>
      <c r="N4006" s="267" t="s">
        <v>3944</v>
      </c>
      <c r="O4006" s="267">
        <v>2395.86</v>
      </c>
      <c r="P4006" s="267" t="s">
        <v>3944</v>
      </c>
      <c r="Q4006" s="267" t="s">
        <v>3944</v>
      </c>
      <c r="R4006" s="267">
        <v>2395.86</v>
      </c>
      <c r="S4006" s="267">
        <v>35502.85</v>
      </c>
      <c r="T4006" s="267">
        <v>37898.71</v>
      </c>
      <c r="U4006" s="268" t="s">
        <v>3945</v>
      </c>
      <c r="V4006" s="267" t="s">
        <v>944</v>
      </c>
    </row>
    <row r="4007" spans="1:22" hidden="1" x14ac:dyDescent="0.25">
      <c r="A4007" s="269">
        <v>43668</v>
      </c>
      <c r="B4007" s="270">
        <v>2019</v>
      </c>
      <c r="C4007" s="270">
        <v>2020</v>
      </c>
      <c r="D4007" s="270">
        <v>1</v>
      </c>
      <c r="E4007" s="270">
        <v>1</v>
      </c>
      <c r="F4007" s="270" t="s">
        <v>944</v>
      </c>
      <c r="G4007" s="270" t="s">
        <v>3926</v>
      </c>
      <c r="H4007" s="270" t="s">
        <v>8562</v>
      </c>
      <c r="I4007" s="270" t="s">
        <v>4042</v>
      </c>
      <c r="J4007" s="270" t="s">
        <v>3928</v>
      </c>
      <c r="K4007" s="270">
        <v>6382</v>
      </c>
      <c r="L4007" s="270">
        <v>870501</v>
      </c>
      <c r="M4007" s="270" t="s">
        <v>3935</v>
      </c>
      <c r="N4007" s="270" t="s">
        <v>3944</v>
      </c>
      <c r="O4007" s="270">
        <v>1776.15</v>
      </c>
      <c r="P4007" s="270" t="s">
        <v>3944</v>
      </c>
      <c r="Q4007" s="270" t="s">
        <v>3944</v>
      </c>
      <c r="R4007" s="270">
        <v>1776.15</v>
      </c>
      <c r="S4007" s="270">
        <v>27195.48</v>
      </c>
      <c r="T4007" s="270">
        <v>28971.63</v>
      </c>
      <c r="U4007" s="271" t="s">
        <v>3945</v>
      </c>
      <c r="V4007" s="267" t="s">
        <v>944</v>
      </c>
    </row>
    <row r="4008" spans="1:22" hidden="1" x14ac:dyDescent="0.25">
      <c r="A4008" s="266">
        <v>43668</v>
      </c>
      <c r="B4008" s="267">
        <v>2019</v>
      </c>
      <c r="C4008" s="267">
        <v>2020</v>
      </c>
      <c r="D4008" s="267">
        <v>1</v>
      </c>
      <c r="E4008" s="267">
        <v>1</v>
      </c>
      <c r="F4008" s="267" t="s">
        <v>944</v>
      </c>
      <c r="G4008" s="267" t="s">
        <v>3926</v>
      </c>
      <c r="H4008" s="267" t="s">
        <v>8563</v>
      </c>
      <c r="I4008" s="267" t="s">
        <v>4310</v>
      </c>
      <c r="J4008" s="267" t="s">
        <v>3928</v>
      </c>
      <c r="K4008" s="267">
        <v>6351</v>
      </c>
      <c r="L4008" s="267">
        <v>710100</v>
      </c>
      <c r="M4008" s="267" t="s">
        <v>3960</v>
      </c>
      <c r="N4008" s="267" t="s">
        <v>3944</v>
      </c>
      <c r="O4008" s="267">
        <v>4314.03</v>
      </c>
      <c r="P4008" s="267" t="s">
        <v>3944</v>
      </c>
      <c r="Q4008" s="267" t="s">
        <v>3944</v>
      </c>
      <c r="R4008" s="267">
        <v>4314.03</v>
      </c>
      <c r="S4008" s="267">
        <v>63257.72</v>
      </c>
      <c r="T4008" s="267">
        <v>67571.75</v>
      </c>
      <c r="U4008" s="268" t="s">
        <v>3945</v>
      </c>
      <c r="V4008" s="267" t="s">
        <v>944</v>
      </c>
    </row>
    <row r="4009" spans="1:22" hidden="1" x14ac:dyDescent="0.25">
      <c r="A4009" s="269">
        <v>43668</v>
      </c>
      <c r="B4009" s="270">
        <v>2019</v>
      </c>
      <c r="C4009" s="270">
        <v>2020</v>
      </c>
      <c r="D4009" s="270">
        <v>1</v>
      </c>
      <c r="E4009" s="270">
        <v>1</v>
      </c>
      <c r="F4009" s="270" t="s">
        <v>944</v>
      </c>
      <c r="G4009" s="270" t="s">
        <v>3926</v>
      </c>
      <c r="H4009" s="270" t="s">
        <v>8564</v>
      </c>
      <c r="I4009" s="270" t="s">
        <v>4269</v>
      </c>
      <c r="J4009" s="270" t="s">
        <v>3928</v>
      </c>
      <c r="K4009" s="270">
        <v>6117</v>
      </c>
      <c r="L4009" s="270">
        <v>497500</v>
      </c>
      <c r="M4009" s="270" t="s">
        <v>3960</v>
      </c>
      <c r="N4009" s="270" t="s">
        <v>3944</v>
      </c>
      <c r="O4009" s="270">
        <v>2788.66</v>
      </c>
      <c r="P4009" s="270" t="s">
        <v>3944</v>
      </c>
      <c r="Q4009" s="270" t="s">
        <v>3944</v>
      </c>
      <c r="R4009" s="270">
        <v>2788.66</v>
      </c>
      <c r="S4009" s="270">
        <v>39774.28</v>
      </c>
      <c r="T4009" s="270">
        <v>42562.94</v>
      </c>
      <c r="U4009" s="271" t="s">
        <v>3945</v>
      </c>
      <c r="V4009" s="267" t="s">
        <v>944</v>
      </c>
    </row>
    <row r="4010" spans="1:22" hidden="1" x14ac:dyDescent="0.25">
      <c r="A4010" s="266">
        <v>43668</v>
      </c>
      <c r="B4010" s="267">
        <v>2019</v>
      </c>
      <c r="C4010" s="267">
        <v>2020</v>
      </c>
      <c r="D4010" s="267">
        <v>1</v>
      </c>
      <c r="E4010" s="267">
        <v>1</v>
      </c>
      <c r="F4010" s="267" t="s">
        <v>944</v>
      </c>
      <c r="G4010" s="267" t="s">
        <v>3926</v>
      </c>
      <c r="H4010" s="267" t="s">
        <v>8565</v>
      </c>
      <c r="I4010" s="267" t="s">
        <v>4731</v>
      </c>
      <c r="J4010" s="267" t="s">
        <v>3928</v>
      </c>
      <c r="K4010" s="267">
        <v>6478</v>
      </c>
      <c r="L4010" s="267">
        <v>346101</v>
      </c>
      <c r="M4010" s="267" t="s">
        <v>3943</v>
      </c>
      <c r="N4010" s="267" t="s">
        <v>3944</v>
      </c>
      <c r="O4010" s="267">
        <v>2256.2800000000002</v>
      </c>
      <c r="P4010" s="267" t="s">
        <v>3944</v>
      </c>
      <c r="Q4010" s="267" t="s">
        <v>3944</v>
      </c>
      <c r="R4010" s="267">
        <v>2256.2800000000002</v>
      </c>
      <c r="S4010" s="267">
        <v>33030.269999999997</v>
      </c>
      <c r="T4010" s="267">
        <v>35286.550000000003</v>
      </c>
      <c r="U4010" s="268" t="s">
        <v>3945</v>
      </c>
      <c r="V4010" s="267" t="s">
        <v>944</v>
      </c>
    </row>
    <row r="4011" spans="1:22" hidden="1" x14ac:dyDescent="0.25">
      <c r="A4011" s="269">
        <v>43668</v>
      </c>
      <c r="B4011" s="270">
        <v>2019</v>
      </c>
      <c r="C4011" s="270">
        <v>2020</v>
      </c>
      <c r="D4011" s="270">
        <v>1</v>
      </c>
      <c r="E4011" s="270">
        <v>1</v>
      </c>
      <c r="F4011" s="270" t="s">
        <v>944</v>
      </c>
      <c r="G4011" s="270" t="s">
        <v>3926</v>
      </c>
      <c r="H4011" s="270" t="s">
        <v>8566</v>
      </c>
      <c r="I4011" s="270" t="s">
        <v>956</v>
      </c>
      <c r="J4011" s="270" t="s">
        <v>3928</v>
      </c>
      <c r="K4011" s="270">
        <v>6615</v>
      </c>
      <c r="L4011" s="270">
        <v>80400</v>
      </c>
      <c r="M4011" s="270" t="s">
        <v>3940</v>
      </c>
      <c r="N4011" s="270" t="s">
        <v>3944</v>
      </c>
      <c r="O4011" s="270">
        <v>1404.06</v>
      </c>
      <c r="P4011" s="270" t="s">
        <v>3944</v>
      </c>
      <c r="Q4011" s="270" t="s">
        <v>3944</v>
      </c>
      <c r="R4011" s="270">
        <v>1404.06</v>
      </c>
      <c r="S4011" s="270">
        <v>23941.39</v>
      </c>
      <c r="T4011" s="270">
        <v>25345.45</v>
      </c>
      <c r="U4011" s="271" t="s">
        <v>3945</v>
      </c>
      <c r="V4011" s="267" t="s">
        <v>944</v>
      </c>
    </row>
    <row r="4012" spans="1:22" hidden="1" x14ac:dyDescent="0.25">
      <c r="A4012" s="266">
        <v>43668</v>
      </c>
      <c r="B4012" s="267">
        <v>2019</v>
      </c>
      <c r="C4012" s="267">
        <v>2020</v>
      </c>
      <c r="D4012" s="267">
        <v>1</v>
      </c>
      <c r="E4012" s="267">
        <v>1</v>
      </c>
      <c r="F4012" s="267" t="s">
        <v>944</v>
      </c>
      <c r="G4012" s="267" t="s">
        <v>3926</v>
      </c>
      <c r="H4012" s="267" t="s">
        <v>8567</v>
      </c>
      <c r="I4012" s="267" t="s">
        <v>4029</v>
      </c>
      <c r="J4012" s="267" t="s">
        <v>3928</v>
      </c>
      <c r="K4012" s="267">
        <v>6850</v>
      </c>
      <c r="L4012" s="267">
        <v>43300</v>
      </c>
      <c r="M4012" s="267" t="s">
        <v>3935</v>
      </c>
      <c r="N4012" s="267" t="s">
        <v>3944</v>
      </c>
      <c r="O4012" s="267">
        <v>1819.48</v>
      </c>
      <c r="P4012" s="267" t="s">
        <v>3944</v>
      </c>
      <c r="Q4012" s="267" t="s">
        <v>3944</v>
      </c>
      <c r="R4012" s="267">
        <v>1819.48</v>
      </c>
      <c r="S4012" s="267">
        <v>26856.54</v>
      </c>
      <c r="T4012" s="267">
        <v>28676.02</v>
      </c>
      <c r="U4012" s="268" t="s">
        <v>3945</v>
      </c>
      <c r="V4012" s="267" t="s">
        <v>944</v>
      </c>
    </row>
    <row r="4013" spans="1:22" hidden="1" x14ac:dyDescent="0.25">
      <c r="A4013" s="269">
        <v>43668</v>
      </c>
      <c r="B4013" s="270">
        <v>2019</v>
      </c>
      <c r="C4013" s="270">
        <v>2020</v>
      </c>
      <c r="D4013" s="270">
        <v>1</v>
      </c>
      <c r="E4013" s="270">
        <v>1</v>
      </c>
      <c r="F4013" s="270" t="s">
        <v>944</v>
      </c>
      <c r="G4013" s="270" t="s">
        <v>3926</v>
      </c>
      <c r="H4013" s="270" t="s">
        <v>8568</v>
      </c>
      <c r="I4013" s="270" t="s">
        <v>4037</v>
      </c>
      <c r="J4013" s="270" t="s">
        <v>3928</v>
      </c>
      <c r="K4013" s="270">
        <v>6810</v>
      </c>
      <c r="L4013" s="270">
        <v>210701</v>
      </c>
      <c r="M4013" s="270">
        <v>-60</v>
      </c>
      <c r="N4013" s="270" t="s">
        <v>3944</v>
      </c>
      <c r="O4013" s="270">
        <v>1576.23</v>
      </c>
      <c r="P4013" s="270" t="s">
        <v>3944</v>
      </c>
      <c r="Q4013" s="270" t="s">
        <v>3944</v>
      </c>
      <c r="R4013" s="270">
        <v>1576.23</v>
      </c>
      <c r="S4013" s="270">
        <v>21680.720000000001</v>
      </c>
      <c r="T4013" s="270">
        <v>23256.95</v>
      </c>
      <c r="U4013" s="271" t="s">
        <v>3945</v>
      </c>
      <c r="V4013" s="267" t="s">
        <v>944</v>
      </c>
    </row>
    <row r="4014" spans="1:22" hidden="1" x14ac:dyDescent="0.25">
      <c r="A4014" s="266">
        <v>43668</v>
      </c>
      <c r="B4014" s="267">
        <v>2019</v>
      </c>
      <c r="C4014" s="267">
        <v>2020</v>
      </c>
      <c r="D4014" s="267">
        <v>1</v>
      </c>
      <c r="E4014" s="267">
        <v>1</v>
      </c>
      <c r="F4014" s="267" t="s">
        <v>944</v>
      </c>
      <c r="G4014" s="267" t="s">
        <v>3926</v>
      </c>
      <c r="H4014" s="267" t="s">
        <v>8569</v>
      </c>
      <c r="I4014" s="267" t="s">
        <v>4129</v>
      </c>
      <c r="J4014" s="267" t="s">
        <v>3928</v>
      </c>
      <c r="K4014" s="267">
        <v>6259</v>
      </c>
      <c r="L4014" s="267">
        <v>902500</v>
      </c>
      <c r="M4014" s="267" t="s">
        <v>3960</v>
      </c>
      <c r="N4014" s="267" t="s">
        <v>3944</v>
      </c>
      <c r="O4014" s="267">
        <v>2261.25</v>
      </c>
      <c r="P4014" s="267" t="s">
        <v>3944</v>
      </c>
      <c r="Q4014" s="267" t="s">
        <v>3944</v>
      </c>
      <c r="R4014" s="267">
        <v>2261.25</v>
      </c>
      <c r="S4014" s="267">
        <v>29745.43</v>
      </c>
      <c r="T4014" s="267">
        <v>32006.68</v>
      </c>
      <c r="U4014" s="268" t="s">
        <v>3945</v>
      </c>
      <c r="V4014" s="267" t="s">
        <v>944</v>
      </c>
    </row>
    <row r="4015" spans="1:22" hidden="1" x14ac:dyDescent="0.25">
      <c r="A4015" s="269">
        <v>43668</v>
      </c>
      <c r="B4015" s="270">
        <v>2019</v>
      </c>
      <c r="C4015" s="270">
        <v>2020</v>
      </c>
      <c r="D4015" s="270">
        <v>1</v>
      </c>
      <c r="E4015" s="270">
        <v>1</v>
      </c>
      <c r="F4015" s="270" t="s">
        <v>944</v>
      </c>
      <c r="G4015" s="270" t="s">
        <v>3926</v>
      </c>
      <c r="H4015" s="270" t="s">
        <v>8570</v>
      </c>
      <c r="I4015" s="270" t="s">
        <v>3993</v>
      </c>
      <c r="J4015" s="270" t="s">
        <v>3928</v>
      </c>
      <c r="K4015" s="270">
        <v>6415</v>
      </c>
      <c r="L4015" s="270">
        <v>714101</v>
      </c>
      <c r="M4015" s="270" t="s">
        <v>3940</v>
      </c>
      <c r="N4015" s="270" t="s">
        <v>3944</v>
      </c>
      <c r="O4015" s="270">
        <v>1721.79</v>
      </c>
      <c r="P4015" s="270" t="s">
        <v>3944</v>
      </c>
      <c r="Q4015" s="270" t="s">
        <v>3944</v>
      </c>
      <c r="R4015" s="270">
        <v>1721.79</v>
      </c>
      <c r="S4015" s="270">
        <v>25555.51</v>
      </c>
      <c r="T4015" s="270">
        <v>27277.3</v>
      </c>
      <c r="U4015" s="271" t="s">
        <v>3945</v>
      </c>
      <c r="V4015" s="267" t="s">
        <v>944</v>
      </c>
    </row>
    <row r="4016" spans="1:22" hidden="1" x14ac:dyDescent="0.25">
      <c r="A4016" s="266">
        <v>43668</v>
      </c>
      <c r="B4016" s="267">
        <v>2019</v>
      </c>
      <c r="C4016" s="267">
        <v>2020</v>
      </c>
      <c r="D4016" s="267">
        <v>1</v>
      </c>
      <c r="E4016" s="267">
        <v>1</v>
      </c>
      <c r="F4016" s="267" t="s">
        <v>944</v>
      </c>
      <c r="G4016" s="267" t="s">
        <v>3926</v>
      </c>
      <c r="H4016" s="267" t="s">
        <v>8571</v>
      </c>
      <c r="I4016" s="267" t="s">
        <v>934</v>
      </c>
      <c r="J4016" s="267" t="s">
        <v>3928</v>
      </c>
      <c r="K4016" s="267">
        <v>6606</v>
      </c>
      <c r="L4016" s="267">
        <v>72700</v>
      </c>
      <c r="M4016" s="267" t="s">
        <v>3935</v>
      </c>
      <c r="N4016" s="267" t="s">
        <v>3944</v>
      </c>
      <c r="O4016" s="267">
        <v>1591.98</v>
      </c>
      <c r="P4016" s="267" t="s">
        <v>3944</v>
      </c>
      <c r="Q4016" s="267" t="s">
        <v>3944</v>
      </c>
      <c r="R4016" s="267">
        <v>1591.98</v>
      </c>
      <c r="S4016" s="267">
        <v>26585.55</v>
      </c>
      <c r="T4016" s="267">
        <v>28177.53</v>
      </c>
      <c r="U4016" s="268" t="s">
        <v>3945</v>
      </c>
      <c r="V4016" s="267" t="s">
        <v>944</v>
      </c>
    </row>
    <row r="4017" spans="1:22" hidden="1" x14ac:dyDescent="0.25">
      <c r="A4017" s="269">
        <v>43668</v>
      </c>
      <c r="B4017" s="270">
        <v>2019</v>
      </c>
      <c r="C4017" s="270">
        <v>2020</v>
      </c>
      <c r="D4017" s="270">
        <v>1</v>
      </c>
      <c r="E4017" s="270">
        <v>1</v>
      </c>
      <c r="F4017" s="270" t="s">
        <v>944</v>
      </c>
      <c r="G4017" s="270" t="s">
        <v>3926</v>
      </c>
      <c r="H4017" s="270" t="s">
        <v>8572</v>
      </c>
      <c r="I4017" s="270" t="s">
        <v>3010</v>
      </c>
      <c r="J4017" s="270" t="s">
        <v>3928</v>
      </c>
      <c r="K4017" s="270">
        <v>6401</v>
      </c>
      <c r="L4017" s="270">
        <v>125100</v>
      </c>
      <c r="M4017" s="270" t="s">
        <v>3960</v>
      </c>
      <c r="N4017" s="270" t="s">
        <v>3944</v>
      </c>
      <c r="O4017" s="270">
        <v>1988.74</v>
      </c>
      <c r="P4017" s="270" t="s">
        <v>3944</v>
      </c>
      <c r="Q4017" s="270" t="s">
        <v>3944</v>
      </c>
      <c r="R4017" s="270">
        <v>1988.74</v>
      </c>
      <c r="S4017" s="270">
        <v>33529.629999999997</v>
      </c>
      <c r="T4017" s="270">
        <v>35518.370000000003</v>
      </c>
      <c r="U4017" s="271" t="s">
        <v>3945</v>
      </c>
      <c r="V4017" s="267" t="s">
        <v>944</v>
      </c>
    </row>
    <row r="4018" spans="1:22" hidden="1" x14ac:dyDescent="0.25">
      <c r="A4018" s="266">
        <v>43668</v>
      </c>
      <c r="B4018" s="267">
        <v>2019</v>
      </c>
      <c r="C4018" s="267">
        <v>2020</v>
      </c>
      <c r="D4018" s="267">
        <v>1</v>
      </c>
      <c r="E4018" s="267">
        <v>1</v>
      </c>
      <c r="F4018" s="267" t="s">
        <v>944</v>
      </c>
      <c r="G4018" s="267" t="s">
        <v>3926</v>
      </c>
      <c r="H4018" s="267" t="s">
        <v>8573</v>
      </c>
      <c r="I4018" s="267" t="s">
        <v>4019</v>
      </c>
      <c r="J4018" s="267" t="s">
        <v>3928</v>
      </c>
      <c r="K4018" s="267">
        <v>6708</v>
      </c>
      <c r="L4018" s="267">
        <v>352100</v>
      </c>
      <c r="M4018" s="267" t="s">
        <v>3940</v>
      </c>
      <c r="N4018" s="267" t="s">
        <v>3944</v>
      </c>
      <c r="O4018" s="267">
        <v>4001.1</v>
      </c>
      <c r="P4018" s="267" t="s">
        <v>3944</v>
      </c>
      <c r="Q4018" s="267" t="s">
        <v>3944</v>
      </c>
      <c r="R4018" s="267">
        <v>4001.1</v>
      </c>
      <c r="S4018" s="267">
        <v>55375.94</v>
      </c>
      <c r="T4018" s="267">
        <v>59377.04</v>
      </c>
      <c r="U4018" s="268" t="s">
        <v>3945</v>
      </c>
      <c r="V4018" s="267" t="s">
        <v>944</v>
      </c>
    </row>
    <row r="4019" spans="1:22" hidden="1" x14ac:dyDescent="0.25">
      <c r="A4019" s="269">
        <v>43668</v>
      </c>
      <c r="B4019" s="270">
        <v>2019</v>
      </c>
      <c r="C4019" s="270">
        <v>2020</v>
      </c>
      <c r="D4019" s="270">
        <v>1</v>
      </c>
      <c r="E4019" s="270">
        <v>1</v>
      </c>
      <c r="F4019" s="270" t="s">
        <v>944</v>
      </c>
      <c r="G4019" s="270" t="s">
        <v>3926</v>
      </c>
      <c r="H4019" s="270" t="s">
        <v>8574</v>
      </c>
      <c r="I4019" s="270" t="s">
        <v>3999</v>
      </c>
      <c r="J4019" s="270" t="s">
        <v>3928</v>
      </c>
      <c r="K4019" s="270">
        <v>6450</v>
      </c>
      <c r="L4019" s="270">
        <v>171700</v>
      </c>
      <c r="M4019" s="270" t="s">
        <v>3935</v>
      </c>
      <c r="N4019" s="270" t="s">
        <v>3944</v>
      </c>
      <c r="O4019" s="270">
        <v>2294.85</v>
      </c>
      <c r="P4019" s="270" t="s">
        <v>3944</v>
      </c>
      <c r="Q4019" s="270" t="s">
        <v>3944</v>
      </c>
      <c r="R4019" s="270">
        <v>2294.85</v>
      </c>
      <c r="S4019" s="270">
        <v>29313.65</v>
      </c>
      <c r="T4019" s="270">
        <v>31608.5</v>
      </c>
      <c r="U4019" s="271" t="s">
        <v>3945</v>
      </c>
      <c r="V4019" s="267" t="s">
        <v>944</v>
      </c>
    </row>
    <row r="4020" spans="1:22" hidden="1" x14ac:dyDescent="0.25">
      <c r="A4020" s="266">
        <v>43668</v>
      </c>
      <c r="B4020" s="267">
        <v>2019</v>
      </c>
      <c r="C4020" s="267">
        <v>2020</v>
      </c>
      <c r="D4020" s="267">
        <v>1</v>
      </c>
      <c r="E4020" s="267">
        <v>1</v>
      </c>
      <c r="F4020" s="267" t="s">
        <v>944</v>
      </c>
      <c r="G4020" s="267" t="s">
        <v>3926</v>
      </c>
      <c r="H4020" s="267" t="s">
        <v>8575</v>
      </c>
      <c r="I4020" s="267" t="s">
        <v>4200</v>
      </c>
      <c r="J4020" s="267" t="s">
        <v>3928</v>
      </c>
      <c r="K4020" s="267">
        <v>6779</v>
      </c>
      <c r="L4020" s="267">
        <v>360400</v>
      </c>
      <c r="M4020" s="267" t="s">
        <v>3940</v>
      </c>
      <c r="N4020" s="267" t="s">
        <v>3944</v>
      </c>
      <c r="O4020" s="267">
        <v>3386.78</v>
      </c>
      <c r="P4020" s="267" t="s">
        <v>3944</v>
      </c>
      <c r="Q4020" s="267" t="s">
        <v>3944</v>
      </c>
      <c r="R4020" s="267">
        <v>3386.78</v>
      </c>
      <c r="S4020" s="267">
        <v>47305.64</v>
      </c>
      <c r="T4020" s="267">
        <v>50692.42</v>
      </c>
      <c r="U4020" s="268" t="s">
        <v>3945</v>
      </c>
      <c r="V4020" s="267" t="s">
        <v>944</v>
      </c>
    </row>
    <row r="4021" spans="1:22" hidden="1" x14ac:dyDescent="0.25">
      <c r="A4021" s="269">
        <v>43668</v>
      </c>
      <c r="B4021" s="270">
        <v>2019</v>
      </c>
      <c r="C4021" s="270">
        <v>2020</v>
      </c>
      <c r="D4021" s="270">
        <v>1</v>
      </c>
      <c r="E4021" s="270">
        <v>1</v>
      </c>
      <c r="F4021" s="270" t="s">
        <v>944</v>
      </c>
      <c r="G4021" s="270" t="s">
        <v>3926</v>
      </c>
      <c r="H4021" s="270" t="s">
        <v>8576</v>
      </c>
      <c r="I4021" s="270" t="s">
        <v>4683</v>
      </c>
      <c r="J4021" s="270" t="s">
        <v>3928</v>
      </c>
      <c r="K4021" s="270">
        <v>6762</v>
      </c>
      <c r="L4021" s="270">
        <v>344100</v>
      </c>
      <c r="M4021" s="270" t="s">
        <v>3943</v>
      </c>
      <c r="N4021" s="270" t="s">
        <v>3944</v>
      </c>
      <c r="O4021" s="270">
        <v>1712.48</v>
      </c>
      <c r="P4021" s="270" t="s">
        <v>3944</v>
      </c>
      <c r="Q4021" s="270" t="s">
        <v>3944</v>
      </c>
      <c r="R4021" s="270">
        <v>1712.48</v>
      </c>
      <c r="S4021" s="270">
        <v>26435.77</v>
      </c>
      <c r="T4021" s="270">
        <v>28148.25</v>
      </c>
      <c r="U4021" s="271" t="s">
        <v>3945</v>
      </c>
      <c r="V4021" s="267" t="s">
        <v>944</v>
      </c>
    </row>
    <row r="4022" spans="1:22" hidden="1" x14ac:dyDescent="0.25">
      <c r="A4022" s="266">
        <v>43668</v>
      </c>
      <c r="B4022" s="267">
        <v>2019</v>
      </c>
      <c r="C4022" s="267">
        <v>2020</v>
      </c>
      <c r="D4022" s="267">
        <v>1</v>
      </c>
      <c r="E4022" s="267">
        <v>1</v>
      </c>
      <c r="F4022" s="267" t="s">
        <v>944</v>
      </c>
      <c r="G4022" s="267" t="s">
        <v>3926</v>
      </c>
      <c r="H4022" s="267" t="s">
        <v>8577</v>
      </c>
      <c r="I4022" s="267" t="s">
        <v>956</v>
      </c>
      <c r="J4022" s="267" t="s">
        <v>3928</v>
      </c>
      <c r="K4022" s="267">
        <v>6614</v>
      </c>
      <c r="L4022" s="267">
        <v>80100</v>
      </c>
      <c r="M4022" s="267" t="s">
        <v>3935</v>
      </c>
      <c r="N4022" s="267" t="s">
        <v>3944</v>
      </c>
      <c r="O4022" s="267">
        <v>1622.25</v>
      </c>
      <c r="P4022" s="267" t="s">
        <v>3944</v>
      </c>
      <c r="Q4022" s="267" t="s">
        <v>3944</v>
      </c>
      <c r="R4022" s="267">
        <v>1622.25</v>
      </c>
      <c r="S4022" s="267">
        <v>28621.439999999999</v>
      </c>
      <c r="T4022" s="267">
        <v>30243.69</v>
      </c>
      <c r="U4022" s="268" t="s">
        <v>3945</v>
      </c>
      <c r="V4022" s="267" t="s">
        <v>944</v>
      </c>
    </row>
    <row r="4023" spans="1:22" hidden="1" x14ac:dyDescent="0.25">
      <c r="A4023" s="269">
        <v>43668</v>
      </c>
      <c r="B4023" s="270">
        <v>2019</v>
      </c>
      <c r="C4023" s="270">
        <v>2020</v>
      </c>
      <c r="D4023" s="270">
        <v>1</v>
      </c>
      <c r="E4023" s="270">
        <v>1</v>
      </c>
      <c r="F4023" s="270" t="s">
        <v>944</v>
      </c>
      <c r="G4023" s="270" t="s">
        <v>3926</v>
      </c>
      <c r="H4023" s="270" t="s">
        <v>8578</v>
      </c>
      <c r="I4023" s="270" t="s">
        <v>956</v>
      </c>
      <c r="J4023" s="270" t="s">
        <v>3928</v>
      </c>
      <c r="K4023" s="270">
        <v>6614</v>
      </c>
      <c r="L4023" s="270">
        <v>80800</v>
      </c>
      <c r="M4023" s="270" t="s">
        <v>3960</v>
      </c>
      <c r="N4023" s="270" t="s">
        <v>3944</v>
      </c>
      <c r="O4023" s="270">
        <v>1292.27</v>
      </c>
      <c r="P4023" s="270" t="s">
        <v>3944</v>
      </c>
      <c r="Q4023" s="270" t="s">
        <v>3944</v>
      </c>
      <c r="R4023" s="270">
        <v>1292.27</v>
      </c>
      <c r="S4023" s="270">
        <v>21085.33</v>
      </c>
      <c r="T4023" s="270">
        <v>22377.599999999999</v>
      </c>
      <c r="U4023" s="271" t="s">
        <v>3945</v>
      </c>
      <c r="V4023" s="267" t="s">
        <v>944</v>
      </c>
    </row>
    <row r="4024" spans="1:22" hidden="1" x14ac:dyDescent="0.25">
      <c r="A4024" s="266">
        <v>43668</v>
      </c>
      <c r="B4024" s="267">
        <v>2019</v>
      </c>
      <c r="C4024" s="267">
        <v>2020</v>
      </c>
      <c r="D4024" s="267">
        <v>1</v>
      </c>
      <c r="E4024" s="267">
        <v>1</v>
      </c>
      <c r="F4024" s="267" t="s">
        <v>944</v>
      </c>
      <c r="G4024" s="267" t="s">
        <v>3926</v>
      </c>
      <c r="H4024" s="267" t="s">
        <v>8579</v>
      </c>
      <c r="I4024" s="267" t="s">
        <v>4269</v>
      </c>
      <c r="J4024" s="267" t="s">
        <v>3928</v>
      </c>
      <c r="K4024" s="267">
        <v>6117</v>
      </c>
      <c r="L4024" s="267">
        <v>497300</v>
      </c>
      <c r="M4024" s="267" t="s">
        <v>3943</v>
      </c>
      <c r="N4024" s="267" t="s">
        <v>3944</v>
      </c>
      <c r="O4024" s="267">
        <v>2092.02</v>
      </c>
      <c r="P4024" s="267" t="s">
        <v>3944</v>
      </c>
      <c r="Q4024" s="267" t="s">
        <v>3944</v>
      </c>
      <c r="R4024" s="267">
        <v>2092.02</v>
      </c>
      <c r="S4024" s="267">
        <v>32127.09</v>
      </c>
      <c r="T4024" s="267">
        <v>34219.11</v>
      </c>
      <c r="U4024" s="268" t="s">
        <v>3945</v>
      </c>
      <c r="V4024" s="267" t="s">
        <v>944</v>
      </c>
    </row>
    <row r="4025" spans="1:22" hidden="1" x14ac:dyDescent="0.25">
      <c r="A4025" s="269">
        <v>43668</v>
      </c>
      <c r="B4025" s="270">
        <v>2019</v>
      </c>
      <c r="C4025" s="270">
        <v>2020</v>
      </c>
      <c r="D4025" s="270">
        <v>1</v>
      </c>
      <c r="E4025" s="270">
        <v>1</v>
      </c>
      <c r="F4025" s="270" t="s">
        <v>944</v>
      </c>
      <c r="G4025" s="270" t="s">
        <v>3926</v>
      </c>
      <c r="H4025" s="270" t="s">
        <v>8580</v>
      </c>
      <c r="I4025" s="270" t="s">
        <v>934</v>
      </c>
      <c r="J4025" s="270" t="s">
        <v>3928</v>
      </c>
      <c r="K4025" s="270">
        <v>6606</v>
      </c>
      <c r="L4025" s="270">
        <v>72500</v>
      </c>
      <c r="M4025" s="270" t="s">
        <v>3940</v>
      </c>
      <c r="N4025" s="270" t="s">
        <v>3944</v>
      </c>
      <c r="O4025" s="270">
        <v>2731.4</v>
      </c>
      <c r="P4025" s="270" t="s">
        <v>3944</v>
      </c>
      <c r="Q4025" s="270" t="s">
        <v>3944</v>
      </c>
      <c r="R4025" s="270">
        <v>2731.4</v>
      </c>
      <c r="S4025" s="270">
        <v>40047.839999999997</v>
      </c>
      <c r="T4025" s="270">
        <v>42779.24</v>
      </c>
      <c r="U4025" s="271" t="s">
        <v>3945</v>
      </c>
      <c r="V4025" s="267" t="s">
        <v>944</v>
      </c>
    </row>
    <row r="4026" spans="1:22" hidden="1" x14ac:dyDescent="0.25">
      <c r="A4026" s="266">
        <v>43668</v>
      </c>
      <c r="B4026" s="267">
        <v>2019</v>
      </c>
      <c r="C4026" s="267">
        <v>2020</v>
      </c>
      <c r="D4026" s="267">
        <v>1</v>
      </c>
      <c r="E4026" s="267">
        <v>1</v>
      </c>
      <c r="F4026" s="267" t="s">
        <v>944</v>
      </c>
      <c r="G4026" s="267" t="s">
        <v>3926</v>
      </c>
      <c r="H4026" s="267" t="s">
        <v>8581</v>
      </c>
      <c r="I4026" s="267" t="s">
        <v>4019</v>
      </c>
      <c r="J4026" s="267" t="s">
        <v>3928</v>
      </c>
      <c r="K4026" s="267">
        <v>6706</v>
      </c>
      <c r="L4026" s="267">
        <v>351500</v>
      </c>
      <c r="M4026" s="267" t="s">
        <v>3940</v>
      </c>
      <c r="N4026" s="267" t="s">
        <v>3944</v>
      </c>
      <c r="O4026" s="267">
        <v>3054.31</v>
      </c>
      <c r="P4026" s="267" t="s">
        <v>3944</v>
      </c>
      <c r="Q4026" s="267" t="s">
        <v>3944</v>
      </c>
      <c r="R4026" s="267">
        <v>3054.31</v>
      </c>
      <c r="S4026" s="267">
        <v>47333.49</v>
      </c>
      <c r="T4026" s="267">
        <v>50387.8</v>
      </c>
      <c r="U4026" s="268" t="s">
        <v>3945</v>
      </c>
      <c r="V4026" s="267" t="s">
        <v>944</v>
      </c>
    </row>
    <row r="4027" spans="1:22" hidden="1" x14ac:dyDescent="0.25">
      <c r="A4027" s="269">
        <v>43668</v>
      </c>
      <c r="B4027" s="270">
        <v>2019</v>
      </c>
      <c r="C4027" s="270">
        <v>2020</v>
      </c>
      <c r="D4027" s="270">
        <v>1</v>
      </c>
      <c r="E4027" s="270">
        <v>1</v>
      </c>
      <c r="F4027" s="270" t="s">
        <v>944</v>
      </c>
      <c r="G4027" s="270" t="s">
        <v>3926</v>
      </c>
      <c r="H4027" s="270" t="s">
        <v>8582</v>
      </c>
      <c r="I4027" s="270" t="s">
        <v>4137</v>
      </c>
      <c r="J4027" s="270" t="s">
        <v>3928</v>
      </c>
      <c r="K4027" s="270">
        <v>6067</v>
      </c>
      <c r="L4027" s="270">
        <v>524200</v>
      </c>
      <c r="M4027" s="270" t="s">
        <v>3960</v>
      </c>
      <c r="N4027" s="270" t="s">
        <v>3944</v>
      </c>
      <c r="O4027" s="270">
        <v>1283.77</v>
      </c>
      <c r="P4027" s="270" t="s">
        <v>3944</v>
      </c>
      <c r="Q4027" s="270" t="s">
        <v>3944</v>
      </c>
      <c r="R4027" s="270">
        <v>1283.77</v>
      </c>
      <c r="S4027" s="270">
        <v>17576.599999999999</v>
      </c>
      <c r="T4027" s="270">
        <v>18860.37</v>
      </c>
      <c r="U4027" s="271" t="s">
        <v>3945</v>
      </c>
      <c r="V4027" s="267" t="s">
        <v>944</v>
      </c>
    </row>
    <row r="4028" spans="1:22" hidden="1" x14ac:dyDescent="0.25">
      <c r="A4028" s="266">
        <v>43668</v>
      </c>
      <c r="B4028" s="267">
        <v>2019</v>
      </c>
      <c r="C4028" s="267">
        <v>2020</v>
      </c>
      <c r="D4028" s="267">
        <v>1</v>
      </c>
      <c r="E4028" s="267">
        <v>1</v>
      </c>
      <c r="F4028" s="267" t="s">
        <v>944</v>
      </c>
      <c r="G4028" s="267" t="s">
        <v>3926</v>
      </c>
      <c r="H4028" s="267" t="s">
        <v>8583</v>
      </c>
      <c r="I4028" s="267" t="s">
        <v>3996</v>
      </c>
      <c r="J4028" s="267" t="s">
        <v>3928</v>
      </c>
      <c r="K4028" s="267">
        <v>6790</v>
      </c>
      <c r="L4028" s="267">
        <v>310100</v>
      </c>
      <c r="M4028" s="267" t="s">
        <v>3940</v>
      </c>
      <c r="N4028" s="267" t="s">
        <v>3944</v>
      </c>
      <c r="O4028" s="267">
        <v>2057.58</v>
      </c>
      <c r="P4028" s="267" t="s">
        <v>3944</v>
      </c>
      <c r="Q4028" s="267" t="s">
        <v>3944</v>
      </c>
      <c r="R4028" s="267">
        <v>2057.58</v>
      </c>
      <c r="S4028" s="267">
        <v>27594.799999999999</v>
      </c>
      <c r="T4028" s="267">
        <v>29652.38</v>
      </c>
      <c r="U4028" s="268" t="s">
        <v>3945</v>
      </c>
      <c r="V4028" s="267" t="s">
        <v>944</v>
      </c>
    </row>
    <row r="4029" spans="1:22" hidden="1" x14ac:dyDescent="0.25">
      <c r="A4029" s="269">
        <v>43668</v>
      </c>
      <c r="B4029" s="270">
        <v>2019</v>
      </c>
      <c r="C4029" s="270">
        <v>2020</v>
      </c>
      <c r="D4029" s="270">
        <v>1</v>
      </c>
      <c r="E4029" s="270">
        <v>1</v>
      </c>
      <c r="F4029" s="270" t="s">
        <v>944</v>
      </c>
      <c r="G4029" s="270" t="s">
        <v>3926</v>
      </c>
      <c r="H4029" s="270" t="s">
        <v>8584</v>
      </c>
      <c r="I4029" s="270" t="s">
        <v>2987</v>
      </c>
      <c r="J4029" s="270" t="s">
        <v>3928</v>
      </c>
      <c r="K4029" s="270">
        <v>6611</v>
      </c>
      <c r="L4029" s="270">
        <v>90500</v>
      </c>
      <c r="M4029" s="270" t="s">
        <v>3943</v>
      </c>
      <c r="N4029" s="270" t="s">
        <v>3944</v>
      </c>
      <c r="O4029" s="270">
        <v>954.45</v>
      </c>
      <c r="P4029" s="270" t="s">
        <v>3944</v>
      </c>
      <c r="Q4029" s="270" t="s">
        <v>3944</v>
      </c>
      <c r="R4029" s="270">
        <v>954.45</v>
      </c>
      <c r="S4029" s="270">
        <v>14739.55</v>
      </c>
      <c r="T4029" s="270">
        <v>15694</v>
      </c>
      <c r="U4029" s="271" t="s">
        <v>3945</v>
      </c>
      <c r="V4029" s="267" t="s">
        <v>944</v>
      </c>
    </row>
    <row r="4030" spans="1:22" hidden="1" x14ac:dyDescent="0.25">
      <c r="A4030" s="266">
        <v>43668</v>
      </c>
      <c r="B4030" s="267">
        <v>2019</v>
      </c>
      <c r="C4030" s="267">
        <v>2020</v>
      </c>
      <c r="D4030" s="267">
        <v>1</v>
      </c>
      <c r="E4030" s="267">
        <v>1</v>
      </c>
      <c r="F4030" s="267" t="s">
        <v>944</v>
      </c>
      <c r="G4030" s="267" t="s">
        <v>3926</v>
      </c>
      <c r="H4030" s="267" t="s">
        <v>8585</v>
      </c>
      <c r="I4030" s="267" t="s">
        <v>956</v>
      </c>
      <c r="J4030" s="267" t="s">
        <v>3928</v>
      </c>
      <c r="K4030" s="267">
        <v>6615</v>
      </c>
      <c r="L4030" s="267">
        <v>80700</v>
      </c>
      <c r="M4030" s="267" t="s">
        <v>3935</v>
      </c>
      <c r="N4030" s="267" t="s">
        <v>3944</v>
      </c>
      <c r="O4030" s="267">
        <v>1483.51</v>
      </c>
      <c r="P4030" s="267" t="s">
        <v>3944</v>
      </c>
      <c r="Q4030" s="267" t="s">
        <v>3944</v>
      </c>
      <c r="R4030" s="267">
        <v>1483.51</v>
      </c>
      <c r="S4030" s="267">
        <v>25600.82</v>
      </c>
      <c r="T4030" s="267">
        <v>27084.33</v>
      </c>
      <c r="U4030" s="268" t="s">
        <v>3945</v>
      </c>
      <c r="V4030" s="267" t="s">
        <v>944</v>
      </c>
    </row>
    <row r="4031" spans="1:22" hidden="1" x14ac:dyDescent="0.25">
      <c r="A4031" s="269">
        <v>43668</v>
      </c>
      <c r="B4031" s="270">
        <v>2019</v>
      </c>
      <c r="C4031" s="270">
        <v>2020</v>
      </c>
      <c r="D4031" s="270">
        <v>1</v>
      </c>
      <c r="E4031" s="270">
        <v>1</v>
      </c>
      <c r="F4031" s="270" t="s">
        <v>944</v>
      </c>
      <c r="G4031" s="270" t="s">
        <v>3926</v>
      </c>
      <c r="H4031" s="270" t="s">
        <v>8586</v>
      </c>
      <c r="I4031" s="270" t="s">
        <v>3964</v>
      </c>
      <c r="J4031" s="270" t="s">
        <v>3928</v>
      </c>
      <c r="K4031" s="270">
        <v>6033</v>
      </c>
      <c r="L4031" s="270">
        <v>520302</v>
      </c>
      <c r="M4031" s="270" t="s">
        <v>3940</v>
      </c>
      <c r="N4031" s="270" t="s">
        <v>3944</v>
      </c>
      <c r="O4031" s="270">
        <v>1170.54</v>
      </c>
      <c r="P4031" s="270" t="s">
        <v>3944</v>
      </c>
      <c r="Q4031" s="270" t="s">
        <v>3944</v>
      </c>
      <c r="R4031" s="270">
        <v>1170.54</v>
      </c>
      <c r="S4031" s="270">
        <v>15331.17</v>
      </c>
      <c r="T4031" s="270">
        <v>16501.71</v>
      </c>
      <c r="U4031" s="271" t="s">
        <v>3945</v>
      </c>
      <c r="V4031" s="267" t="s">
        <v>944</v>
      </c>
    </row>
    <row r="4032" spans="1:22" hidden="1" x14ac:dyDescent="0.25">
      <c r="A4032" s="266">
        <v>43668</v>
      </c>
      <c r="B4032" s="267">
        <v>2019</v>
      </c>
      <c r="C4032" s="267">
        <v>2020</v>
      </c>
      <c r="D4032" s="267">
        <v>1</v>
      </c>
      <c r="E4032" s="267">
        <v>1</v>
      </c>
      <c r="F4032" s="267" t="s">
        <v>944</v>
      </c>
      <c r="G4032" s="267" t="s">
        <v>3926</v>
      </c>
      <c r="H4032" s="267" t="s">
        <v>8587</v>
      </c>
      <c r="I4032" s="267" t="s">
        <v>4011</v>
      </c>
      <c r="J4032" s="267" t="s">
        <v>3928</v>
      </c>
      <c r="K4032" s="267">
        <v>6002</v>
      </c>
      <c r="L4032" s="267">
        <v>471400</v>
      </c>
      <c r="M4032" s="267" t="s">
        <v>3943</v>
      </c>
      <c r="N4032" s="267" t="s">
        <v>3944</v>
      </c>
      <c r="O4032" s="267">
        <v>1799.77</v>
      </c>
      <c r="P4032" s="267" t="s">
        <v>3944</v>
      </c>
      <c r="Q4032" s="267" t="s">
        <v>3944</v>
      </c>
      <c r="R4032" s="267">
        <v>1799.77</v>
      </c>
      <c r="S4032" s="267">
        <v>23866.59</v>
      </c>
      <c r="T4032" s="267">
        <v>25666.36</v>
      </c>
      <c r="U4032" s="268" t="s">
        <v>3945</v>
      </c>
      <c r="V4032" s="267" t="s">
        <v>944</v>
      </c>
    </row>
    <row r="4033" spans="1:22" hidden="1" x14ac:dyDescent="0.25">
      <c r="A4033" s="269">
        <v>43668</v>
      </c>
      <c r="B4033" s="270">
        <v>2019</v>
      </c>
      <c r="C4033" s="270">
        <v>2020</v>
      </c>
      <c r="D4033" s="270">
        <v>1</v>
      </c>
      <c r="E4033" s="270">
        <v>1</v>
      </c>
      <c r="F4033" s="270" t="s">
        <v>944</v>
      </c>
      <c r="G4033" s="270" t="s">
        <v>3926</v>
      </c>
      <c r="H4033" s="270" t="s">
        <v>8588</v>
      </c>
      <c r="I4033" s="270" t="s">
        <v>2985</v>
      </c>
      <c r="J4033" s="270" t="s">
        <v>3928</v>
      </c>
      <c r="K4033" s="270">
        <v>6824</v>
      </c>
      <c r="L4033" s="270">
        <v>61600</v>
      </c>
      <c r="M4033" s="270" t="s">
        <v>3943</v>
      </c>
      <c r="N4033" s="270" t="s">
        <v>3944</v>
      </c>
      <c r="O4033" s="270">
        <v>1201.6600000000001</v>
      </c>
      <c r="P4033" s="270" t="s">
        <v>3944</v>
      </c>
      <c r="Q4033" s="270" t="s">
        <v>3944</v>
      </c>
      <c r="R4033" s="270">
        <v>1201.6600000000001</v>
      </c>
      <c r="S4033" s="270">
        <v>20475.72</v>
      </c>
      <c r="T4033" s="270">
        <v>21677.38</v>
      </c>
      <c r="U4033" s="271" t="s">
        <v>3945</v>
      </c>
      <c r="V4033" s="267" t="s">
        <v>944</v>
      </c>
    </row>
    <row r="4034" spans="1:22" hidden="1" x14ac:dyDescent="0.25">
      <c r="A4034" s="266">
        <v>43668</v>
      </c>
      <c r="B4034" s="267">
        <v>2019</v>
      </c>
      <c r="C4034" s="267">
        <v>2020</v>
      </c>
      <c r="D4034" s="267">
        <v>1</v>
      </c>
      <c r="E4034" s="267">
        <v>1</v>
      </c>
      <c r="F4034" s="267" t="s">
        <v>944</v>
      </c>
      <c r="G4034" s="267" t="s">
        <v>3926</v>
      </c>
      <c r="H4034" s="267" t="s">
        <v>8589</v>
      </c>
      <c r="I4034" s="267" t="s">
        <v>4016</v>
      </c>
      <c r="J4034" s="267" t="s">
        <v>3928</v>
      </c>
      <c r="K4034" s="267">
        <v>6770</v>
      </c>
      <c r="L4034" s="267">
        <v>345300</v>
      </c>
      <c r="M4034" s="267" t="s">
        <v>3940</v>
      </c>
      <c r="N4034" s="267" t="s">
        <v>3944</v>
      </c>
      <c r="O4034" s="267">
        <v>1832.57</v>
      </c>
      <c r="P4034" s="267" t="s">
        <v>3944</v>
      </c>
      <c r="Q4034" s="267" t="s">
        <v>3944</v>
      </c>
      <c r="R4034" s="267">
        <v>1832.57</v>
      </c>
      <c r="S4034" s="267">
        <v>27895.14</v>
      </c>
      <c r="T4034" s="267">
        <v>29727.71</v>
      </c>
      <c r="U4034" s="268" t="s">
        <v>3945</v>
      </c>
      <c r="V4034" s="267" t="s">
        <v>944</v>
      </c>
    </row>
    <row r="4035" spans="1:22" hidden="1" x14ac:dyDescent="0.25">
      <c r="A4035" s="269">
        <v>43668</v>
      </c>
      <c r="B4035" s="270">
        <v>2019</v>
      </c>
      <c r="C4035" s="270">
        <v>2020</v>
      </c>
      <c r="D4035" s="270">
        <v>1</v>
      </c>
      <c r="E4035" s="270">
        <v>1</v>
      </c>
      <c r="F4035" s="270" t="s">
        <v>944</v>
      </c>
      <c r="G4035" s="270" t="s">
        <v>3926</v>
      </c>
      <c r="H4035" s="270" t="s">
        <v>8590</v>
      </c>
      <c r="I4035" s="270" t="s">
        <v>3996</v>
      </c>
      <c r="J4035" s="270" t="s">
        <v>3928</v>
      </c>
      <c r="K4035" s="270">
        <v>6790</v>
      </c>
      <c r="L4035" s="270">
        <v>310100</v>
      </c>
      <c r="M4035" s="270" t="s">
        <v>3940</v>
      </c>
      <c r="N4035" s="270" t="s">
        <v>3944</v>
      </c>
      <c r="O4035" s="270">
        <v>1493.45</v>
      </c>
      <c r="P4035" s="270" t="s">
        <v>3944</v>
      </c>
      <c r="Q4035" s="270" t="s">
        <v>3944</v>
      </c>
      <c r="R4035" s="270">
        <v>1493.45</v>
      </c>
      <c r="S4035" s="270">
        <v>18785.12</v>
      </c>
      <c r="T4035" s="270">
        <v>20278.57</v>
      </c>
      <c r="U4035" s="271" t="s">
        <v>3945</v>
      </c>
      <c r="V4035" s="267" t="s">
        <v>944</v>
      </c>
    </row>
    <row r="4036" spans="1:22" hidden="1" x14ac:dyDescent="0.25">
      <c r="A4036" s="266">
        <v>43668</v>
      </c>
      <c r="B4036" s="267">
        <v>2019</v>
      </c>
      <c r="C4036" s="267">
        <v>2020</v>
      </c>
      <c r="D4036" s="267">
        <v>1</v>
      </c>
      <c r="E4036" s="267">
        <v>1</v>
      </c>
      <c r="F4036" s="267" t="s">
        <v>944</v>
      </c>
      <c r="G4036" s="267" t="s">
        <v>3926</v>
      </c>
      <c r="H4036" s="267" t="s">
        <v>8591</v>
      </c>
      <c r="I4036" s="267" t="s">
        <v>4042</v>
      </c>
      <c r="J4036" s="267" t="s">
        <v>3928</v>
      </c>
      <c r="K4036" s="267">
        <v>6370</v>
      </c>
      <c r="L4036" s="267">
        <v>695202</v>
      </c>
      <c r="M4036" s="267" t="s">
        <v>3935</v>
      </c>
      <c r="N4036" s="267" t="s">
        <v>3944</v>
      </c>
      <c r="O4036" s="267">
        <v>457.1</v>
      </c>
      <c r="P4036" s="267" t="s">
        <v>3944</v>
      </c>
      <c r="Q4036" s="267" t="s">
        <v>3944</v>
      </c>
      <c r="R4036" s="267">
        <v>457.1</v>
      </c>
      <c r="S4036" s="267">
        <v>6901.3</v>
      </c>
      <c r="T4036" s="267">
        <v>7358.4</v>
      </c>
      <c r="U4036" s="268" t="s">
        <v>3945</v>
      </c>
      <c r="V4036" s="267" t="s">
        <v>944</v>
      </c>
    </row>
    <row r="4037" spans="1:22" hidden="1" x14ac:dyDescent="0.25">
      <c r="A4037" s="269">
        <v>43668</v>
      </c>
      <c r="B4037" s="270">
        <v>2019</v>
      </c>
      <c r="C4037" s="270">
        <v>2020</v>
      </c>
      <c r="D4037" s="270">
        <v>1</v>
      </c>
      <c r="E4037" s="270">
        <v>1</v>
      </c>
      <c r="F4037" s="270" t="s">
        <v>944</v>
      </c>
      <c r="G4037" s="270" t="s">
        <v>3926</v>
      </c>
      <c r="H4037" s="270" t="s">
        <v>8592</v>
      </c>
      <c r="I4037" s="270" t="s">
        <v>3009</v>
      </c>
      <c r="J4037" s="270" t="s">
        <v>3928</v>
      </c>
      <c r="K4037" s="270">
        <v>6484</v>
      </c>
      <c r="L4037" s="270">
        <v>110600</v>
      </c>
      <c r="M4037" s="270" t="s">
        <v>3943</v>
      </c>
      <c r="N4037" s="270" t="s">
        <v>3944</v>
      </c>
      <c r="O4037" s="270">
        <v>2985.68</v>
      </c>
      <c r="P4037" s="270" t="s">
        <v>3944</v>
      </c>
      <c r="Q4037" s="270" t="s">
        <v>3944</v>
      </c>
      <c r="R4037" s="270">
        <v>2985.68</v>
      </c>
      <c r="S4037" s="270">
        <v>35856.97</v>
      </c>
      <c r="T4037" s="270">
        <v>38842.65</v>
      </c>
      <c r="U4037" s="271" t="s">
        <v>3945</v>
      </c>
      <c r="V4037" s="267" t="s">
        <v>944</v>
      </c>
    </row>
    <row r="4038" spans="1:22" hidden="1" x14ac:dyDescent="0.25">
      <c r="A4038" s="266">
        <v>43668</v>
      </c>
      <c r="B4038" s="267">
        <v>2019</v>
      </c>
      <c r="C4038" s="267">
        <v>2020</v>
      </c>
      <c r="D4038" s="267">
        <v>1</v>
      </c>
      <c r="E4038" s="267">
        <v>1</v>
      </c>
      <c r="F4038" s="267" t="s">
        <v>944</v>
      </c>
      <c r="G4038" s="267" t="s">
        <v>3926</v>
      </c>
      <c r="H4038" s="267" t="s">
        <v>8593</v>
      </c>
      <c r="I4038" s="267" t="s">
        <v>4353</v>
      </c>
      <c r="J4038" s="267" t="s">
        <v>3928</v>
      </c>
      <c r="K4038" s="267">
        <v>6416</v>
      </c>
      <c r="L4038" s="267">
        <v>570300</v>
      </c>
      <c r="M4038" s="267" t="s">
        <v>3940</v>
      </c>
      <c r="N4038" s="267" t="s">
        <v>3944</v>
      </c>
      <c r="O4038" s="267">
        <v>1673.7</v>
      </c>
      <c r="P4038" s="267" t="s">
        <v>3944</v>
      </c>
      <c r="Q4038" s="267" t="s">
        <v>3944</v>
      </c>
      <c r="R4038" s="267">
        <v>1673.7</v>
      </c>
      <c r="S4038" s="267">
        <v>24801.040000000001</v>
      </c>
      <c r="T4038" s="267">
        <v>26474.74</v>
      </c>
      <c r="U4038" s="268" t="s">
        <v>3945</v>
      </c>
      <c r="V4038" s="267" t="s">
        <v>944</v>
      </c>
    </row>
    <row r="4039" spans="1:22" hidden="1" x14ac:dyDescent="0.25">
      <c r="A4039" s="269">
        <v>43668</v>
      </c>
      <c r="B4039" s="270">
        <v>2019</v>
      </c>
      <c r="C4039" s="270">
        <v>2020</v>
      </c>
      <c r="D4039" s="270">
        <v>1</v>
      </c>
      <c r="E4039" s="270">
        <v>1</v>
      </c>
      <c r="F4039" s="270" t="s">
        <v>944</v>
      </c>
      <c r="G4039" s="270" t="s">
        <v>3926</v>
      </c>
      <c r="H4039" s="270" t="s">
        <v>8594</v>
      </c>
      <c r="I4039" s="270" t="s">
        <v>4353</v>
      </c>
      <c r="J4039" s="270" t="s">
        <v>3928</v>
      </c>
      <c r="K4039" s="270">
        <v>6416</v>
      </c>
      <c r="L4039" s="270">
        <v>570300</v>
      </c>
      <c r="M4039" s="270" t="s">
        <v>3940</v>
      </c>
      <c r="N4039" s="270" t="s">
        <v>3944</v>
      </c>
      <c r="O4039" s="270">
        <v>1382.29</v>
      </c>
      <c r="P4039" s="270" t="s">
        <v>3944</v>
      </c>
      <c r="Q4039" s="270" t="s">
        <v>3944</v>
      </c>
      <c r="R4039" s="270">
        <v>1382.29</v>
      </c>
      <c r="S4039" s="270">
        <v>19818.060000000001</v>
      </c>
      <c r="T4039" s="270">
        <v>21200.35</v>
      </c>
      <c r="U4039" s="271" t="s">
        <v>3945</v>
      </c>
      <c r="V4039" s="267" t="s">
        <v>944</v>
      </c>
    </row>
    <row r="4040" spans="1:22" hidden="1" x14ac:dyDescent="0.25">
      <c r="A4040" s="266">
        <v>43668</v>
      </c>
      <c r="B4040" s="267">
        <v>2019</v>
      </c>
      <c r="C4040" s="267">
        <v>2020</v>
      </c>
      <c r="D4040" s="267">
        <v>1</v>
      </c>
      <c r="E4040" s="267">
        <v>1</v>
      </c>
      <c r="F4040" s="267" t="s">
        <v>944</v>
      </c>
      <c r="G4040" s="267" t="s">
        <v>3926</v>
      </c>
      <c r="H4040" s="267" t="s">
        <v>8595</v>
      </c>
      <c r="I4040" s="267" t="s">
        <v>4019</v>
      </c>
      <c r="J4040" s="267" t="s">
        <v>3928</v>
      </c>
      <c r="K4040" s="267">
        <v>6710</v>
      </c>
      <c r="L4040" s="267">
        <v>350900</v>
      </c>
      <c r="M4040" s="267" t="s">
        <v>3935</v>
      </c>
      <c r="N4040" s="267" t="s">
        <v>3944</v>
      </c>
      <c r="O4040" s="267">
        <v>2293.17</v>
      </c>
      <c r="P4040" s="267" t="s">
        <v>3944</v>
      </c>
      <c r="Q4040" s="267" t="s">
        <v>3944</v>
      </c>
      <c r="R4040" s="267">
        <v>2293.17</v>
      </c>
      <c r="S4040" s="267">
        <v>32271.200000000001</v>
      </c>
      <c r="T4040" s="267">
        <v>34564.370000000003</v>
      </c>
      <c r="U4040" s="268" t="s">
        <v>3945</v>
      </c>
      <c r="V4040" s="267" t="s">
        <v>944</v>
      </c>
    </row>
    <row r="4041" spans="1:22" hidden="1" x14ac:dyDescent="0.25">
      <c r="A4041" s="269">
        <v>43668</v>
      </c>
      <c r="B4041" s="270">
        <v>2019</v>
      </c>
      <c r="C4041" s="270">
        <v>2020</v>
      </c>
      <c r="D4041" s="270">
        <v>1</v>
      </c>
      <c r="E4041" s="270">
        <v>1</v>
      </c>
      <c r="F4041" s="270" t="s">
        <v>944</v>
      </c>
      <c r="G4041" s="270" t="s">
        <v>3926</v>
      </c>
      <c r="H4041" s="270" t="s">
        <v>8596</v>
      </c>
      <c r="I4041" s="270" t="s">
        <v>4424</v>
      </c>
      <c r="J4041" s="270" t="s">
        <v>3928</v>
      </c>
      <c r="K4041" s="270">
        <v>6417</v>
      </c>
      <c r="L4041" s="270">
        <v>620100</v>
      </c>
      <c r="M4041" s="270" t="s">
        <v>3935</v>
      </c>
      <c r="N4041" s="270" t="s">
        <v>3944</v>
      </c>
      <c r="O4041" s="270">
        <v>1364.06</v>
      </c>
      <c r="P4041" s="270" t="s">
        <v>3944</v>
      </c>
      <c r="Q4041" s="270" t="s">
        <v>3944</v>
      </c>
      <c r="R4041" s="270">
        <v>1364.06</v>
      </c>
      <c r="S4041" s="270">
        <v>19761.36</v>
      </c>
      <c r="T4041" s="270">
        <v>21125.42</v>
      </c>
      <c r="U4041" s="271" t="s">
        <v>3945</v>
      </c>
      <c r="V4041" s="267" t="s">
        <v>944</v>
      </c>
    </row>
    <row r="4042" spans="1:22" hidden="1" x14ac:dyDescent="0.25">
      <c r="A4042" s="266">
        <v>43668</v>
      </c>
      <c r="B4042" s="267">
        <v>2019</v>
      </c>
      <c r="C4042" s="267">
        <v>2020</v>
      </c>
      <c r="D4042" s="267">
        <v>1</v>
      </c>
      <c r="E4042" s="267">
        <v>1</v>
      </c>
      <c r="F4042" s="267" t="s">
        <v>944</v>
      </c>
      <c r="G4042" s="267" t="s">
        <v>3926</v>
      </c>
      <c r="H4042" s="267" t="s">
        <v>8597</v>
      </c>
      <c r="I4042" s="267" t="s">
        <v>4269</v>
      </c>
      <c r="J4042" s="267" t="s">
        <v>3928</v>
      </c>
      <c r="K4042" s="267">
        <v>6117</v>
      </c>
      <c r="L4042" s="267">
        <v>497300</v>
      </c>
      <c r="M4042" s="267" t="s">
        <v>3943</v>
      </c>
      <c r="N4042" s="267" t="s">
        <v>3944</v>
      </c>
      <c r="O4042" s="267">
        <v>2053.21</v>
      </c>
      <c r="P4042" s="267" t="s">
        <v>3944</v>
      </c>
      <c r="Q4042" s="267" t="s">
        <v>3944</v>
      </c>
      <c r="R4042" s="267">
        <v>2053.21</v>
      </c>
      <c r="S4042" s="267">
        <v>29511.46</v>
      </c>
      <c r="T4042" s="267">
        <v>31564.67</v>
      </c>
      <c r="U4042" s="268" t="s">
        <v>3945</v>
      </c>
      <c r="V4042" s="267" t="s">
        <v>944</v>
      </c>
    </row>
    <row r="4043" spans="1:22" hidden="1" x14ac:dyDescent="0.25">
      <c r="A4043" s="269">
        <v>43668</v>
      </c>
      <c r="B4043" s="270">
        <v>2019</v>
      </c>
      <c r="C4043" s="270">
        <v>2020</v>
      </c>
      <c r="D4043" s="270">
        <v>1</v>
      </c>
      <c r="E4043" s="270">
        <v>1</v>
      </c>
      <c r="F4043" s="270" t="s">
        <v>944</v>
      </c>
      <c r="G4043" s="270" t="s">
        <v>3926</v>
      </c>
      <c r="H4043" s="270" t="s">
        <v>8598</v>
      </c>
      <c r="I4043" s="270" t="s">
        <v>956</v>
      </c>
      <c r="J4043" s="270" t="s">
        <v>3928</v>
      </c>
      <c r="K4043" s="270">
        <v>6614</v>
      </c>
      <c r="L4043" s="270">
        <v>81100</v>
      </c>
      <c r="M4043" s="270" t="s">
        <v>3960</v>
      </c>
      <c r="N4043" s="270" t="s">
        <v>3944</v>
      </c>
      <c r="O4043" s="270">
        <v>962.96</v>
      </c>
      <c r="P4043" s="270" t="s">
        <v>3944</v>
      </c>
      <c r="Q4043" s="270" t="s">
        <v>3944</v>
      </c>
      <c r="R4043" s="270">
        <v>962.96</v>
      </c>
      <c r="S4043" s="270">
        <v>14602.91</v>
      </c>
      <c r="T4043" s="270">
        <v>15565.87</v>
      </c>
      <c r="U4043" s="271" t="s">
        <v>3945</v>
      </c>
      <c r="V4043" s="267" t="s">
        <v>944</v>
      </c>
    </row>
    <row r="4044" spans="1:22" hidden="1" x14ac:dyDescent="0.25">
      <c r="A4044" s="266">
        <v>43668</v>
      </c>
      <c r="B4044" s="267">
        <v>2019</v>
      </c>
      <c r="C4044" s="267">
        <v>2020</v>
      </c>
      <c r="D4044" s="267">
        <v>1</v>
      </c>
      <c r="E4044" s="267">
        <v>1</v>
      </c>
      <c r="F4044" s="267" t="s">
        <v>944</v>
      </c>
      <c r="G4044" s="267" t="s">
        <v>3926</v>
      </c>
      <c r="H4044" s="267" t="s">
        <v>8599</v>
      </c>
      <c r="I4044" s="267" t="s">
        <v>4244</v>
      </c>
      <c r="J4044" s="267" t="s">
        <v>3928</v>
      </c>
      <c r="K4044" s="267">
        <v>6250</v>
      </c>
      <c r="L4044" s="267">
        <v>881100</v>
      </c>
      <c r="M4044" s="267" t="s">
        <v>3935</v>
      </c>
      <c r="N4044" s="267" t="s">
        <v>3944</v>
      </c>
      <c r="O4044" s="267">
        <v>940.94</v>
      </c>
      <c r="P4044" s="267" t="s">
        <v>3944</v>
      </c>
      <c r="Q4044" s="267" t="s">
        <v>3944</v>
      </c>
      <c r="R4044" s="267">
        <v>940.94</v>
      </c>
      <c r="S4044" s="267">
        <v>16980.07</v>
      </c>
      <c r="T4044" s="267">
        <v>17921.009999999998</v>
      </c>
      <c r="U4044" s="268" t="s">
        <v>3945</v>
      </c>
      <c r="V4044" s="267" t="s">
        <v>944</v>
      </c>
    </row>
    <row r="4045" spans="1:22" hidden="1" x14ac:dyDescent="0.25">
      <c r="A4045" s="269">
        <v>43668</v>
      </c>
      <c r="B4045" s="270">
        <v>2019</v>
      </c>
      <c r="C4045" s="270">
        <v>2020</v>
      </c>
      <c r="D4045" s="270">
        <v>1</v>
      </c>
      <c r="E4045" s="270">
        <v>1</v>
      </c>
      <c r="F4045" s="270" t="s">
        <v>944</v>
      </c>
      <c r="G4045" s="270" t="s">
        <v>3926</v>
      </c>
      <c r="H4045" s="270" t="s">
        <v>8600</v>
      </c>
      <c r="I4045" s="270" t="s">
        <v>3012</v>
      </c>
      <c r="J4045" s="270" t="s">
        <v>3928</v>
      </c>
      <c r="K4045" s="270">
        <v>6477</v>
      </c>
      <c r="L4045" s="270">
        <v>157100</v>
      </c>
      <c r="M4045" s="270" t="s">
        <v>3940</v>
      </c>
      <c r="N4045" s="270" t="s">
        <v>3944</v>
      </c>
      <c r="O4045" s="270">
        <v>2351.86</v>
      </c>
      <c r="P4045" s="270" t="s">
        <v>3944</v>
      </c>
      <c r="Q4045" s="270" t="s">
        <v>3944</v>
      </c>
      <c r="R4045" s="270">
        <v>2351.86</v>
      </c>
      <c r="S4045" s="270">
        <v>42208.480000000003</v>
      </c>
      <c r="T4045" s="270">
        <v>44560.34</v>
      </c>
      <c r="U4045" s="271" t="s">
        <v>3945</v>
      </c>
      <c r="V4045" s="267" t="s">
        <v>944</v>
      </c>
    </row>
    <row r="4046" spans="1:22" hidden="1" x14ac:dyDescent="0.25">
      <c r="A4046" s="266">
        <v>43668</v>
      </c>
      <c r="B4046" s="267">
        <v>2019</v>
      </c>
      <c r="C4046" s="267">
        <v>2020</v>
      </c>
      <c r="D4046" s="267">
        <v>1</v>
      </c>
      <c r="E4046" s="267">
        <v>1</v>
      </c>
      <c r="F4046" s="267" t="s">
        <v>944</v>
      </c>
      <c r="G4046" s="267" t="s">
        <v>3926</v>
      </c>
      <c r="H4046" s="267" t="s">
        <v>8601</v>
      </c>
      <c r="I4046" s="267" t="s">
        <v>4244</v>
      </c>
      <c r="J4046" s="267" t="s">
        <v>3928</v>
      </c>
      <c r="K4046" s="267">
        <v>6268</v>
      </c>
      <c r="L4046" s="267">
        <v>881300</v>
      </c>
      <c r="M4046" s="267">
        <v>-60</v>
      </c>
      <c r="N4046" s="267" t="s">
        <v>3944</v>
      </c>
      <c r="O4046" s="267">
        <v>1478.54</v>
      </c>
      <c r="P4046" s="267" t="s">
        <v>3944</v>
      </c>
      <c r="Q4046" s="267" t="s">
        <v>3944</v>
      </c>
      <c r="R4046" s="267">
        <v>1478.54</v>
      </c>
      <c r="S4046" s="267">
        <v>19240.740000000002</v>
      </c>
      <c r="T4046" s="267">
        <v>20719.28</v>
      </c>
      <c r="U4046" s="268" t="s">
        <v>3945</v>
      </c>
      <c r="V4046" s="267" t="s">
        <v>944</v>
      </c>
    </row>
    <row r="4047" spans="1:22" hidden="1" x14ac:dyDescent="0.25">
      <c r="A4047" s="269">
        <v>43668</v>
      </c>
      <c r="B4047" s="270">
        <v>2019</v>
      </c>
      <c r="C4047" s="270">
        <v>2020</v>
      </c>
      <c r="D4047" s="270">
        <v>1</v>
      </c>
      <c r="E4047" s="270">
        <v>1</v>
      </c>
      <c r="F4047" s="270" t="s">
        <v>944</v>
      </c>
      <c r="G4047" s="270" t="s">
        <v>3926</v>
      </c>
      <c r="H4047" s="270" t="s">
        <v>8602</v>
      </c>
      <c r="I4047" s="270" t="s">
        <v>3025</v>
      </c>
      <c r="J4047" s="270" t="s">
        <v>3928</v>
      </c>
      <c r="K4047" s="270">
        <v>6473</v>
      </c>
      <c r="L4047" s="270">
        <v>167300</v>
      </c>
      <c r="M4047" s="270" t="s">
        <v>3943</v>
      </c>
      <c r="N4047" s="270" t="s">
        <v>3944</v>
      </c>
      <c r="O4047" s="270">
        <v>2120.1999999999998</v>
      </c>
      <c r="P4047" s="270" t="s">
        <v>3944</v>
      </c>
      <c r="Q4047" s="270" t="s">
        <v>3944</v>
      </c>
      <c r="R4047" s="270">
        <v>2120.1999999999998</v>
      </c>
      <c r="S4047" s="270">
        <v>34859.57</v>
      </c>
      <c r="T4047" s="270">
        <v>36979.769999999997</v>
      </c>
      <c r="U4047" s="271" t="s">
        <v>3945</v>
      </c>
      <c r="V4047" s="267" t="s">
        <v>944</v>
      </c>
    </row>
    <row r="4048" spans="1:22" hidden="1" x14ac:dyDescent="0.25">
      <c r="A4048" s="266">
        <v>43668</v>
      </c>
      <c r="B4048" s="267">
        <v>2019</v>
      </c>
      <c r="C4048" s="267">
        <v>2020</v>
      </c>
      <c r="D4048" s="267">
        <v>1</v>
      </c>
      <c r="E4048" s="267">
        <v>1</v>
      </c>
      <c r="F4048" s="267" t="s">
        <v>944</v>
      </c>
      <c r="G4048" s="267" t="s">
        <v>3926</v>
      </c>
      <c r="H4048" s="267" t="s">
        <v>8603</v>
      </c>
      <c r="I4048" s="267" t="s">
        <v>934</v>
      </c>
      <c r="J4048" s="267" t="s">
        <v>3928</v>
      </c>
      <c r="K4048" s="267">
        <v>6606</v>
      </c>
      <c r="L4048" s="267">
        <v>72900</v>
      </c>
      <c r="M4048" s="267" t="s">
        <v>3940</v>
      </c>
      <c r="N4048" s="267" t="s">
        <v>3944</v>
      </c>
      <c r="O4048" s="267">
        <v>1612.91</v>
      </c>
      <c r="P4048" s="267" t="s">
        <v>3944</v>
      </c>
      <c r="Q4048" s="267" t="s">
        <v>3944</v>
      </c>
      <c r="R4048" s="267">
        <v>1612.91</v>
      </c>
      <c r="S4048" s="267">
        <v>27956</v>
      </c>
      <c r="T4048" s="267">
        <v>29568.91</v>
      </c>
      <c r="U4048" s="268" t="s">
        <v>3945</v>
      </c>
      <c r="V4048" s="267" t="s">
        <v>944</v>
      </c>
    </row>
    <row r="4049" spans="1:22" hidden="1" x14ac:dyDescent="0.25">
      <c r="A4049" s="269">
        <v>43668</v>
      </c>
      <c r="B4049" s="270">
        <v>2019</v>
      </c>
      <c r="C4049" s="270">
        <v>2020</v>
      </c>
      <c r="D4049" s="270">
        <v>1</v>
      </c>
      <c r="E4049" s="270">
        <v>1</v>
      </c>
      <c r="F4049" s="270" t="s">
        <v>944</v>
      </c>
      <c r="G4049" s="270" t="s">
        <v>3926</v>
      </c>
      <c r="H4049" s="270" t="s">
        <v>8604</v>
      </c>
      <c r="I4049" s="270" t="s">
        <v>4129</v>
      </c>
      <c r="J4049" s="270" t="s">
        <v>3928</v>
      </c>
      <c r="K4049" s="270">
        <v>6259</v>
      </c>
      <c r="L4049" s="270">
        <v>902500</v>
      </c>
      <c r="M4049" s="270" t="s">
        <v>3960</v>
      </c>
      <c r="N4049" s="270" t="s">
        <v>3944</v>
      </c>
      <c r="O4049" s="270">
        <v>3807.37</v>
      </c>
      <c r="P4049" s="270" t="s">
        <v>3944</v>
      </c>
      <c r="Q4049" s="270" t="s">
        <v>3944</v>
      </c>
      <c r="R4049" s="270">
        <v>3807.37</v>
      </c>
      <c r="S4049" s="270">
        <v>56782.64</v>
      </c>
      <c r="T4049" s="270">
        <v>60590.01</v>
      </c>
      <c r="U4049" s="271" t="s">
        <v>3945</v>
      </c>
      <c r="V4049" s="267" t="s">
        <v>944</v>
      </c>
    </row>
    <row r="4050" spans="1:22" hidden="1" x14ac:dyDescent="0.25">
      <c r="A4050" s="266">
        <v>43669</v>
      </c>
      <c r="B4050" s="267">
        <v>2019</v>
      </c>
      <c r="C4050" s="267">
        <v>2020</v>
      </c>
      <c r="D4050" s="267">
        <v>1</v>
      </c>
      <c r="E4050" s="267">
        <v>1</v>
      </c>
      <c r="F4050" s="267" t="s">
        <v>944</v>
      </c>
      <c r="G4050" s="267" t="s">
        <v>3926</v>
      </c>
      <c r="H4050" s="267" t="s">
        <v>8605</v>
      </c>
      <c r="I4050" s="267" t="s">
        <v>4019</v>
      </c>
      <c r="J4050" s="267" t="s">
        <v>3928</v>
      </c>
      <c r="K4050" s="267">
        <v>6708</v>
      </c>
      <c r="L4050" s="267">
        <v>351601</v>
      </c>
      <c r="M4050" s="267">
        <v>-60</v>
      </c>
      <c r="N4050" s="267" t="s">
        <v>3986</v>
      </c>
      <c r="O4050" s="267">
        <v>1269.28</v>
      </c>
      <c r="P4050" s="267" t="s">
        <v>3930</v>
      </c>
      <c r="Q4050" s="267" t="s">
        <v>3931</v>
      </c>
      <c r="R4050" s="267">
        <v>6269.28</v>
      </c>
      <c r="S4050" s="267">
        <v>16196.8</v>
      </c>
      <c r="T4050" s="267">
        <v>22466.080000000002</v>
      </c>
      <c r="U4050" s="268" t="s">
        <v>3932</v>
      </c>
      <c r="V4050" s="267" t="s">
        <v>944</v>
      </c>
    </row>
    <row r="4051" spans="1:22" hidden="1" x14ac:dyDescent="0.25">
      <c r="A4051" s="269">
        <v>43669</v>
      </c>
      <c r="B4051" s="270">
        <v>2019</v>
      </c>
      <c r="C4051" s="270">
        <v>2020</v>
      </c>
      <c r="D4051" s="270">
        <v>1</v>
      </c>
      <c r="E4051" s="270">
        <v>1</v>
      </c>
      <c r="F4051" s="270" t="s">
        <v>944</v>
      </c>
      <c r="G4051" s="270" t="s">
        <v>3926</v>
      </c>
      <c r="H4051" s="270" t="s">
        <v>8606</v>
      </c>
      <c r="I4051" s="270" t="s">
        <v>953</v>
      </c>
      <c r="J4051" s="270" t="s">
        <v>3928</v>
      </c>
      <c r="K4051" s="270">
        <v>6517</v>
      </c>
      <c r="L4051" s="270">
        <v>165300</v>
      </c>
      <c r="M4051" s="270" t="s">
        <v>3943</v>
      </c>
      <c r="N4051" s="270" t="s">
        <v>8607</v>
      </c>
      <c r="O4051" s="270">
        <v>1824</v>
      </c>
      <c r="P4051" s="270" t="s">
        <v>3930</v>
      </c>
      <c r="Q4051" s="270" t="s">
        <v>3930</v>
      </c>
      <c r="R4051" s="270">
        <v>1824</v>
      </c>
      <c r="S4051" s="270">
        <v>17184</v>
      </c>
      <c r="T4051" s="270">
        <v>19008</v>
      </c>
      <c r="U4051" s="271" t="s">
        <v>3937</v>
      </c>
      <c r="V4051" s="267" t="s">
        <v>944</v>
      </c>
    </row>
    <row r="4052" spans="1:22" hidden="1" x14ac:dyDescent="0.25">
      <c r="A4052" s="266">
        <v>43669</v>
      </c>
      <c r="B4052" s="267">
        <v>2019</v>
      </c>
      <c r="C4052" s="267">
        <v>2020</v>
      </c>
      <c r="D4052" s="267">
        <v>1</v>
      </c>
      <c r="E4052" s="267">
        <v>1</v>
      </c>
      <c r="F4052" s="267" t="s">
        <v>944</v>
      </c>
      <c r="G4052" s="267" t="s">
        <v>3926</v>
      </c>
      <c r="H4052" s="267" t="s">
        <v>8608</v>
      </c>
      <c r="I4052" s="267" t="s">
        <v>4079</v>
      </c>
      <c r="J4052" s="267" t="s">
        <v>3928</v>
      </c>
      <c r="K4052" s="267">
        <v>6111</v>
      </c>
      <c r="L4052" s="267">
        <v>494400</v>
      </c>
      <c r="M4052" s="267" t="s">
        <v>3935</v>
      </c>
      <c r="N4052" s="267" t="s">
        <v>3931</v>
      </c>
      <c r="O4052" s="267">
        <v>0</v>
      </c>
      <c r="P4052" s="267" t="s">
        <v>3930</v>
      </c>
      <c r="Q4052" s="267" t="s">
        <v>3930</v>
      </c>
      <c r="R4052" s="267">
        <v>0</v>
      </c>
      <c r="S4052" s="267">
        <v>9004.4</v>
      </c>
      <c r="T4052" s="267">
        <v>9004.4</v>
      </c>
      <c r="U4052" s="268" t="s">
        <v>3937</v>
      </c>
      <c r="V4052" s="267" t="s">
        <v>944</v>
      </c>
    </row>
    <row r="4053" spans="1:22" hidden="1" x14ac:dyDescent="0.25">
      <c r="A4053" s="269">
        <v>43669</v>
      </c>
      <c r="B4053" s="270">
        <v>2019</v>
      </c>
      <c r="C4053" s="270">
        <v>2020</v>
      </c>
      <c r="D4053" s="270">
        <v>1</v>
      </c>
      <c r="E4053" s="270">
        <v>1</v>
      </c>
      <c r="F4053" s="270" t="s">
        <v>944</v>
      </c>
      <c r="G4053" s="270" t="s">
        <v>3926</v>
      </c>
      <c r="H4053" s="270" t="s">
        <v>8609</v>
      </c>
      <c r="I4053" s="270" t="s">
        <v>3966</v>
      </c>
      <c r="J4053" s="270" t="s">
        <v>3928</v>
      </c>
      <c r="K4053" s="270">
        <v>6010</v>
      </c>
      <c r="L4053" s="270">
        <v>405600</v>
      </c>
      <c r="M4053" s="270" t="s">
        <v>3940</v>
      </c>
      <c r="N4053" s="270" t="s">
        <v>8610</v>
      </c>
      <c r="O4053" s="270">
        <v>0</v>
      </c>
      <c r="P4053" s="270" t="s">
        <v>3930</v>
      </c>
      <c r="Q4053" s="270" t="s">
        <v>3930</v>
      </c>
      <c r="R4053" s="270">
        <v>0</v>
      </c>
      <c r="S4053" s="270">
        <v>9875</v>
      </c>
      <c r="T4053" s="270">
        <v>9875</v>
      </c>
      <c r="U4053" s="271" t="s">
        <v>3937</v>
      </c>
      <c r="V4053" s="267" t="s">
        <v>944</v>
      </c>
    </row>
    <row r="4054" spans="1:22" x14ac:dyDescent="0.25">
      <c r="A4054" s="266">
        <v>43669</v>
      </c>
      <c r="B4054" s="267">
        <v>2019</v>
      </c>
      <c r="C4054" s="267">
        <v>2020</v>
      </c>
      <c r="D4054" s="267">
        <v>1</v>
      </c>
      <c r="E4054" s="267">
        <v>1</v>
      </c>
      <c r="F4054" s="267" t="s">
        <v>944</v>
      </c>
      <c r="G4054" s="267" t="s">
        <v>3926</v>
      </c>
      <c r="H4054" s="267" t="s">
        <v>8611</v>
      </c>
      <c r="I4054" s="267" t="s">
        <v>943</v>
      </c>
      <c r="J4054" s="267" t="s">
        <v>3928</v>
      </c>
      <c r="K4054" s="267">
        <v>6511</v>
      </c>
      <c r="L4054" s="267">
        <v>141500</v>
      </c>
      <c r="M4054" s="267">
        <v>-60</v>
      </c>
      <c r="N4054" s="267" t="s">
        <v>4103</v>
      </c>
      <c r="O4054" s="267">
        <v>4350.6899999999996</v>
      </c>
      <c r="P4054" s="267" t="s">
        <v>3930</v>
      </c>
      <c r="Q4054" s="267" t="s">
        <v>3931</v>
      </c>
      <c r="R4054" s="267">
        <v>9350.69</v>
      </c>
      <c r="S4054" s="267">
        <v>24145.599999999999</v>
      </c>
      <c r="T4054" s="267">
        <v>33496.29</v>
      </c>
      <c r="U4054" s="268" t="s">
        <v>3932</v>
      </c>
      <c r="V4054" s="276" t="s">
        <v>936</v>
      </c>
    </row>
    <row r="4055" spans="1:22" hidden="1" x14ac:dyDescent="0.25">
      <c r="A4055" s="269">
        <v>43669</v>
      </c>
      <c r="B4055" s="270">
        <v>2019</v>
      </c>
      <c r="C4055" s="270">
        <v>2020</v>
      </c>
      <c r="D4055" s="270">
        <v>1</v>
      </c>
      <c r="E4055" s="270">
        <v>1</v>
      </c>
      <c r="F4055" s="270" t="s">
        <v>944</v>
      </c>
      <c r="G4055" s="270" t="s">
        <v>3926</v>
      </c>
      <c r="H4055" s="270" t="s">
        <v>8612</v>
      </c>
      <c r="I4055" s="270" t="s">
        <v>4011</v>
      </c>
      <c r="J4055" s="270" t="s">
        <v>3928</v>
      </c>
      <c r="K4055" s="270">
        <v>6002</v>
      </c>
      <c r="L4055" s="270">
        <v>471300</v>
      </c>
      <c r="M4055" s="270" t="s">
        <v>3935</v>
      </c>
      <c r="N4055" s="270" t="s">
        <v>4103</v>
      </c>
      <c r="O4055" s="270">
        <v>4320.2700000000004</v>
      </c>
      <c r="P4055" s="270" t="s">
        <v>3930</v>
      </c>
      <c r="Q4055" s="270" t="s">
        <v>3931</v>
      </c>
      <c r="R4055" s="270">
        <v>9320.27</v>
      </c>
      <c r="S4055" s="270">
        <v>24145.599999999999</v>
      </c>
      <c r="T4055" s="270">
        <v>33465.870000000003</v>
      </c>
      <c r="U4055" s="271" t="s">
        <v>3932</v>
      </c>
      <c r="V4055" s="267" t="s">
        <v>944</v>
      </c>
    </row>
    <row r="4056" spans="1:22" hidden="1" x14ac:dyDescent="0.25">
      <c r="A4056" s="266">
        <v>43669</v>
      </c>
      <c r="B4056" s="267">
        <v>2019</v>
      </c>
      <c r="C4056" s="267">
        <v>2020</v>
      </c>
      <c r="D4056" s="267">
        <v>1</v>
      </c>
      <c r="E4056" s="267">
        <v>1</v>
      </c>
      <c r="F4056" s="267" t="s">
        <v>944</v>
      </c>
      <c r="G4056" s="267" t="s">
        <v>3926</v>
      </c>
      <c r="H4056" s="267" t="s">
        <v>8613</v>
      </c>
      <c r="I4056" s="267" t="s">
        <v>3993</v>
      </c>
      <c r="J4056" s="267" t="s">
        <v>3928</v>
      </c>
      <c r="K4056" s="267">
        <v>6415</v>
      </c>
      <c r="L4056" s="267">
        <v>714103</v>
      </c>
      <c r="M4056" s="267" t="s">
        <v>3943</v>
      </c>
      <c r="N4056" s="267" t="s">
        <v>6084</v>
      </c>
      <c r="O4056" s="267">
        <v>0</v>
      </c>
      <c r="P4056" s="267" t="s">
        <v>3930</v>
      </c>
      <c r="Q4056" s="267" t="s">
        <v>3930</v>
      </c>
      <c r="R4056" s="267">
        <v>0</v>
      </c>
      <c r="S4056" s="267">
        <v>16300</v>
      </c>
      <c r="T4056" s="267">
        <v>16300</v>
      </c>
      <c r="U4056" s="268" t="s">
        <v>3937</v>
      </c>
      <c r="V4056" s="267" t="s">
        <v>944</v>
      </c>
    </row>
    <row r="4057" spans="1:22" hidden="1" x14ac:dyDescent="0.25">
      <c r="A4057" s="269">
        <v>43669</v>
      </c>
      <c r="B4057" s="270">
        <v>2019</v>
      </c>
      <c r="C4057" s="270">
        <v>2020</v>
      </c>
      <c r="D4057" s="270">
        <v>1</v>
      </c>
      <c r="E4057" s="270">
        <v>1</v>
      </c>
      <c r="F4057" s="270" t="s">
        <v>944</v>
      </c>
      <c r="G4057" s="270" t="s">
        <v>3926</v>
      </c>
      <c r="H4057" s="270" t="s">
        <v>8614</v>
      </c>
      <c r="I4057" s="270" t="s">
        <v>4387</v>
      </c>
      <c r="J4057" s="270" t="s">
        <v>3928</v>
      </c>
      <c r="K4057" s="270">
        <v>6751</v>
      </c>
      <c r="L4057" s="270">
        <v>342100</v>
      </c>
      <c r="M4057" s="270" t="s">
        <v>3960</v>
      </c>
      <c r="N4057" s="270" t="s">
        <v>3944</v>
      </c>
      <c r="O4057" s="270">
        <v>2841</v>
      </c>
      <c r="P4057" s="270" t="s">
        <v>3944</v>
      </c>
      <c r="Q4057" s="270" t="s">
        <v>3944</v>
      </c>
      <c r="R4057" s="270">
        <v>2841</v>
      </c>
      <c r="S4057" s="270">
        <v>41559</v>
      </c>
      <c r="T4057" s="270">
        <v>44400</v>
      </c>
      <c r="U4057" s="271" t="s">
        <v>3945</v>
      </c>
      <c r="V4057" s="267" t="s">
        <v>944</v>
      </c>
    </row>
    <row r="4058" spans="1:22" hidden="1" x14ac:dyDescent="0.25">
      <c r="A4058" s="266">
        <v>43669</v>
      </c>
      <c r="B4058" s="267">
        <v>2019</v>
      </c>
      <c r="C4058" s="267">
        <v>2020</v>
      </c>
      <c r="D4058" s="267">
        <v>1</v>
      </c>
      <c r="E4058" s="267">
        <v>1</v>
      </c>
      <c r="F4058" s="267" t="s">
        <v>944</v>
      </c>
      <c r="G4058" s="267" t="s">
        <v>3926</v>
      </c>
      <c r="H4058" s="267" t="s">
        <v>8615</v>
      </c>
      <c r="I4058" s="267" t="s">
        <v>6493</v>
      </c>
      <c r="J4058" s="267" t="s">
        <v>3928</v>
      </c>
      <c r="K4058" s="267">
        <v>6447</v>
      </c>
      <c r="L4058" s="267">
        <v>524100</v>
      </c>
      <c r="M4058" s="267" t="s">
        <v>3943</v>
      </c>
      <c r="N4058" s="267" t="s">
        <v>3944</v>
      </c>
      <c r="O4058" s="267">
        <v>4146</v>
      </c>
      <c r="P4058" s="267" t="s">
        <v>3944</v>
      </c>
      <c r="Q4058" s="267" t="s">
        <v>3944</v>
      </c>
      <c r="R4058" s="267">
        <v>4146</v>
      </c>
      <c r="S4058" s="267">
        <v>28717.5</v>
      </c>
      <c r="T4058" s="267">
        <v>32863.5</v>
      </c>
      <c r="U4058" s="268" t="s">
        <v>3945</v>
      </c>
      <c r="V4058" s="267" t="s">
        <v>944</v>
      </c>
    </row>
    <row r="4059" spans="1:22" hidden="1" x14ac:dyDescent="0.25">
      <c r="A4059" s="269">
        <v>43669</v>
      </c>
      <c r="B4059" s="270">
        <v>2019</v>
      </c>
      <c r="C4059" s="270">
        <v>2020</v>
      </c>
      <c r="D4059" s="270">
        <v>1</v>
      </c>
      <c r="E4059" s="270">
        <v>1</v>
      </c>
      <c r="F4059" s="270" t="s">
        <v>944</v>
      </c>
      <c r="G4059" s="270" t="s">
        <v>3926</v>
      </c>
      <c r="H4059" s="270" t="s">
        <v>8616</v>
      </c>
      <c r="I4059" s="270" t="s">
        <v>943</v>
      </c>
      <c r="J4059" s="270" t="s">
        <v>3928</v>
      </c>
      <c r="K4059" s="270">
        <v>6473</v>
      </c>
      <c r="L4059" s="270">
        <v>167201</v>
      </c>
      <c r="M4059" s="270" t="s">
        <v>3960</v>
      </c>
      <c r="N4059" s="270" t="s">
        <v>3944</v>
      </c>
      <c r="O4059" s="270">
        <v>4476</v>
      </c>
      <c r="P4059" s="270" t="s">
        <v>3944</v>
      </c>
      <c r="Q4059" s="270" t="s">
        <v>3944</v>
      </c>
      <c r="R4059" s="270">
        <v>4476</v>
      </c>
      <c r="S4059" s="270">
        <v>30925.25</v>
      </c>
      <c r="T4059" s="270">
        <v>35401.25</v>
      </c>
      <c r="U4059" s="271" t="s">
        <v>3945</v>
      </c>
      <c r="V4059" s="267" t="s">
        <v>944</v>
      </c>
    </row>
    <row r="4060" spans="1:22" hidden="1" x14ac:dyDescent="0.25">
      <c r="A4060" s="266">
        <v>43669</v>
      </c>
      <c r="B4060" s="267">
        <v>2019</v>
      </c>
      <c r="C4060" s="267">
        <v>2020</v>
      </c>
      <c r="D4060" s="267">
        <v>1</v>
      </c>
      <c r="E4060" s="267">
        <v>1</v>
      </c>
      <c r="F4060" s="267" t="s">
        <v>944</v>
      </c>
      <c r="G4060" s="267" t="s">
        <v>3926</v>
      </c>
      <c r="H4060" s="267" t="s">
        <v>8617</v>
      </c>
      <c r="I4060" s="267" t="s">
        <v>4323</v>
      </c>
      <c r="J4060" s="267" t="s">
        <v>3928</v>
      </c>
      <c r="K4060" s="267">
        <v>6385</v>
      </c>
      <c r="L4060" s="267">
        <v>693300</v>
      </c>
      <c r="M4060" s="267" t="s">
        <v>3935</v>
      </c>
      <c r="N4060" s="267" t="s">
        <v>3944</v>
      </c>
      <c r="O4060" s="267">
        <v>3740</v>
      </c>
      <c r="P4060" s="267" t="s">
        <v>3944</v>
      </c>
      <c r="Q4060" s="267" t="s">
        <v>3944</v>
      </c>
      <c r="R4060" s="267">
        <v>3740</v>
      </c>
      <c r="S4060" s="267">
        <v>26878.75</v>
      </c>
      <c r="T4060" s="267">
        <v>30618.75</v>
      </c>
      <c r="U4060" s="268" t="s">
        <v>3945</v>
      </c>
      <c r="V4060" s="267" t="s">
        <v>944</v>
      </c>
    </row>
    <row r="4061" spans="1:22" hidden="1" x14ac:dyDescent="0.25">
      <c r="A4061" s="269">
        <v>43669</v>
      </c>
      <c r="B4061" s="270">
        <v>2019</v>
      </c>
      <c r="C4061" s="270">
        <v>2020</v>
      </c>
      <c r="D4061" s="270">
        <v>1</v>
      </c>
      <c r="E4061" s="270">
        <v>1</v>
      </c>
      <c r="F4061" s="270" t="s">
        <v>944</v>
      </c>
      <c r="G4061" s="270" t="s">
        <v>3926</v>
      </c>
      <c r="H4061" s="270" t="s">
        <v>8618</v>
      </c>
      <c r="I4061" s="270" t="s">
        <v>2987</v>
      </c>
      <c r="J4061" s="270" t="s">
        <v>3928</v>
      </c>
      <c r="K4061" s="270">
        <v>6611</v>
      </c>
      <c r="L4061" s="270">
        <v>90500</v>
      </c>
      <c r="M4061" s="270" t="s">
        <v>3943</v>
      </c>
      <c r="N4061" s="270" t="s">
        <v>3944</v>
      </c>
      <c r="O4061" s="270">
        <v>1366</v>
      </c>
      <c r="P4061" s="270" t="s">
        <v>3944</v>
      </c>
      <c r="Q4061" s="270" t="s">
        <v>3944</v>
      </c>
      <c r="R4061" s="270">
        <v>1366</v>
      </c>
      <c r="S4061" s="270">
        <v>11549</v>
      </c>
      <c r="T4061" s="270">
        <v>12915</v>
      </c>
      <c r="U4061" s="271" t="s">
        <v>3945</v>
      </c>
      <c r="V4061" s="267" t="s">
        <v>944</v>
      </c>
    </row>
    <row r="4062" spans="1:22" hidden="1" x14ac:dyDescent="0.25">
      <c r="A4062" s="266">
        <v>43669</v>
      </c>
      <c r="B4062" s="267">
        <v>2019</v>
      </c>
      <c r="C4062" s="267">
        <v>2020</v>
      </c>
      <c r="D4062" s="267">
        <v>1</v>
      </c>
      <c r="E4062" s="267">
        <v>1</v>
      </c>
      <c r="F4062" s="267" t="s">
        <v>944</v>
      </c>
      <c r="G4062" s="267" t="s">
        <v>3997</v>
      </c>
      <c r="H4062" s="267" t="s">
        <v>8619</v>
      </c>
      <c r="I4062" s="267" t="s">
        <v>4069</v>
      </c>
      <c r="J4062" s="267" t="s">
        <v>3928</v>
      </c>
      <c r="K4062" s="267">
        <v>6902</v>
      </c>
      <c r="L4062" s="267">
        <v>22100</v>
      </c>
      <c r="M4062" s="267" t="s">
        <v>3940</v>
      </c>
      <c r="N4062" s="267" t="s">
        <v>3944</v>
      </c>
      <c r="O4062" s="267">
        <v>850.33</v>
      </c>
      <c r="P4062" s="267" t="s">
        <v>3944</v>
      </c>
      <c r="Q4062" s="267" t="s">
        <v>3944</v>
      </c>
      <c r="R4062" s="267">
        <v>850.33</v>
      </c>
      <c r="S4062" s="267">
        <v>14775.26</v>
      </c>
      <c r="T4062" s="267">
        <v>15625.59</v>
      </c>
      <c r="U4062" s="268" t="s">
        <v>3945</v>
      </c>
      <c r="V4062" s="267" t="s">
        <v>944</v>
      </c>
    </row>
    <row r="4063" spans="1:22" hidden="1" x14ac:dyDescent="0.25">
      <c r="A4063" s="269">
        <v>43669</v>
      </c>
      <c r="B4063" s="270">
        <v>2019</v>
      </c>
      <c r="C4063" s="270">
        <v>2020</v>
      </c>
      <c r="D4063" s="270">
        <v>1</v>
      </c>
      <c r="E4063" s="270">
        <v>1</v>
      </c>
      <c r="F4063" s="270" t="s">
        <v>944</v>
      </c>
      <c r="G4063" s="270" t="s">
        <v>3926</v>
      </c>
      <c r="H4063" s="270" t="s">
        <v>8620</v>
      </c>
      <c r="I4063" s="270" t="s">
        <v>3962</v>
      </c>
      <c r="J4063" s="270" t="s">
        <v>3928</v>
      </c>
      <c r="K4063" s="270">
        <v>6379</v>
      </c>
      <c r="L4063" s="270">
        <v>705102</v>
      </c>
      <c r="M4063" s="270" t="s">
        <v>3940</v>
      </c>
      <c r="N4063" s="270" t="s">
        <v>3944</v>
      </c>
      <c r="O4063" s="270">
        <v>3262</v>
      </c>
      <c r="P4063" s="270" t="s">
        <v>3944</v>
      </c>
      <c r="Q4063" s="270" t="s">
        <v>3944</v>
      </c>
      <c r="R4063" s="270">
        <v>3262</v>
      </c>
      <c r="S4063" s="270">
        <v>24206</v>
      </c>
      <c r="T4063" s="270">
        <v>27468</v>
      </c>
      <c r="U4063" s="271" t="s">
        <v>3945</v>
      </c>
      <c r="V4063" s="267" t="s">
        <v>944</v>
      </c>
    </row>
    <row r="4064" spans="1:22" hidden="1" x14ac:dyDescent="0.25">
      <c r="A4064" s="266">
        <v>43669</v>
      </c>
      <c r="B4064" s="267">
        <v>2019</v>
      </c>
      <c r="C4064" s="267">
        <v>2020</v>
      </c>
      <c r="D4064" s="267">
        <v>1</v>
      </c>
      <c r="E4064" s="267">
        <v>1</v>
      </c>
      <c r="F4064" s="267" t="s">
        <v>944</v>
      </c>
      <c r="G4064" s="267" t="s">
        <v>3926</v>
      </c>
      <c r="H4064" s="267" t="s">
        <v>8621</v>
      </c>
      <c r="I4064" s="267" t="s">
        <v>3025</v>
      </c>
      <c r="J4064" s="267" t="s">
        <v>3928</v>
      </c>
      <c r="K4064" s="267">
        <v>6473</v>
      </c>
      <c r="L4064" s="267">
        <v>167201</v>
      </c>
      <c r="M4064" s="267" t="s">
        <v>3960</v>
      </c>
      <c r="N4064" s="267" t="s">
        <v>3944</v>
      </c>
      <c r="O4064" s="267">
        <v>5612</v>
      </c>
      <c r="P4064" s="267" t="s">
        <v>3944</v>
      </c>
      <c r="Q4064" s="267" t="s">
        <v>3944</v>
      </c>
      <c r="R4064" s="267">
        <v>5612</v>
      </c>
      <c r="S4064" s="267">
        <v>47588</v>
      </c>
      <c r="T4064" s="267">
        <v>53200</v>
      </c>
      <c r="U4064" s="268" t="s">
        <v>3945</v>
      </c>
      <c r="V4064" s="267" t="s">
        <v>944</v>
      </c>
    </row>
    <row r="4065" spans="1:22" x14ac:dyDescent="0.25">
      <c r="A4065" s="269">
        <v>43669</v>
      </c>
      <c r="B4065" s="270">
        <v>2019</v>
      </c>
      <c r="C4065" s="270">
        <v>2020</v>
      </c>
      <c r="D4065" s="270">
        <v>1</v>
      </c>
      <c r="E4065" s="270">
        <v>1</v>
      </c>
      <c r="F4065" s="270" t="s">
        <v>944</v>
      </c>
      <c r="G4065" s="270" t="s">
        <v>3926</v>
      </c>
      <c r="H4065" s="270" t="s">
        <v>8622</v>
      </c>
      <c r="I4065" s="270" t="s">
        <v>934</v>
      </c>
      <c r="J4065" s="270" t="s">
        <v>3928</v>
      </c>
      <c r="K4065" s="270">
        <v>6605</v>
      </c>
      <c r="L4065" s="270">
        <v>70100</v>
      </c>
      <c r="M4065" s="270" t="s">
        <v>3960</v>
      </c>
      <c r="N4065" s="270" t="s">
        <v>3944</v>
      </c>
      <c r="O4065" s="270">
        <v>4025</v>
      </c>
      <c r="P4065" s="270" t="s">
        <v>3944</v>
      </c>
      <c r="Q4065" s="270" t="s">
        <v>3944</v>
      </c>
      <c r="R4065" s="270">
        <v>4025</v>
      </c>
      <c r="S4065" s="270">
        <v>50011</v>
      </c>
      <c r="T4065" s="270">
        <v>54036</v>
      </c>
      <c r="U4065" s="271" t="s">
        <v>3945</v>
      </c>
      <c r="V4065" s="276" t="s">
        <v>936</v>
      </c>
    </row>
    <row r="4066" spans="1:22" hidden="1" x14ac:dyDescent="0.25">
      <c r="A4066" s="266">
        <v>43669</v>
      </c>
      <c r="B4066" s="267">
        <v>2019</v>
      </c>
      <c r="C4066" s="267">
        <v>2020</v>
      </c>
      <c r="D4066" s="267">
        <v>1</v>
      </c>
      <c r="E4066" s="267">
        <v>1</v>
      </c>
      <c r="F4066" s="267" t="s">
        <v>944</v>
      </c>
      <c r="G4066" s="267" t="s">
        <v>3926</v>
      </c>
      <c r="H4066" s="267" t="s">
        <v>8623</v>
      </c>
      <c r="I4066" s="267" t="s">
        <v>4203</v>
      </c>
      <c r="J4066" s="267" t="s">
        <v>3928</v>
      </c>
      <c r="K4066" s="267">
        <v>6071</v>
      </c>
      <c r="L4066" s="267">
        <v>538201</v>
      </c>
      <c r="M4066" s="267" t="s">
        <v>3943</v>
      </c>
      <c r="N4066" s="267" t="s">
        <v>3944</v>
      </c>
      <c r="O4066" s="267">
        <v>6051</v>
      </c>
      <c r="P4066" s="267" t="s">
        <v>3944</v>
      </c>
      <c r="Q4066" s="267" t="s">
        <v>3944</v>
      </c>
      <c r="R4066" s="267">
        <v>6051</v>
      </c>
      <c r="S4066" s="267">
        <v>45745.8</v>
      </c>
      <c r="T4066" s="267">
        <v>51796.800000000003</v>
      </c>
      <c r="U4066" s="268" t="s">
        <v>3945</v>
      </c>
      <c r="V4066" s="267" t="s">
        <v>944</v>
      </c>
    </row>
    <row r="4067" spans="1:22" hidden="1" x14ac:dyDescent="0.25">
      <c r="A4067" s="269">
        <v>43669</v>
      </c>
      <c r="B4067" s="270">
        <v>2019</v>
      </c>
      <c r="C4067" s="270">
        <v>2020</v>
      </c>
      <c r="D4067" s="270">
        <v>1</v>
      </c>
      <c r="E4067" s="270">
        <v>1</v>
      </c>
      <c r="F4067" s="270" t="s">
        <v>944</v>
      </c>
      <c r="G4067" s="270" t="s">
        <v>3926</v>
      </c>
      <c r="H4067" s="270" t="s">
        <v>8624</v>
      </c>
      <c r="I4067" s="270" t="s">
        <v>3966</v>
      </c>
      <c r="J4067" s="270" t="s">
        <v>3928</v>
      </c>
      <c r="K4067" s="270">
        <v>6010</v>
      </c>
      <c r="L4067" s="270">
        <v>405401</v>
      </c>
      <c r="M4067" s="270" t="s">
        <v>3935</v>
      </c>
      <c r="N4067" s="270" t="s">
        <v>3944</v>
      </c>
      <c r="O4067" s="270">
        <v>4411</v>
      </c>
      <c r="P4067" s="270" t="s">
        <v>3944</v>
      </c>
      <c r="Q4067" s="270" t="s">
        <v>3944</v>
      </c>
      <c r="R4067" s="270">
        <v>4411</v>
      </c>
      <c r="S4067" s="270">
        <v>27507.13</v>
      </c>
      <c r="T4067" s="270">
        <v>31918.13</v>
      </c>
      <c r="U4067" s="271" t="s">
        <v>3945</v>
      </c>
      <c r="V4067" s="267" t="s">
        <v>944</v>
      </c>
    </row>
    <row r="4068" spans="1:22" hidden="1" x14ac:dyDescent="0.25">
      <c r="A4068" s="266">
        <v>43669</v>
      </c>
      <c r="B4068" s="267">
        <v>2019</v>
      </c>
      <c r="C4068" s="267">
        <v>2020</v>
      </c>
      <c r="D4068" s="267">
        <v>1</v>
      </c>
      <c r="E4068" s="267">
        <v>1</v>
      </c>
      <c r="F4068" s="267" t="s">
        <v>944</v>
      </c>
      <c r="G4068" s="267" t="s">
        <v>3926</v>
      </c>
      <c r="H4068" s="267" t="s">
        <v>8625</v>
      </c>
      <c r="I4068" s="267" t="s">
        <v>5659</v>
      </c>
      <c r="J4068" s="267" t="s">
        <v>3928</v>
      </c>
      <c r="K4068" s="267">
        <v>6419</v>
      </c>
      <c r="L4068" s="267">
        <v>640100</v>
      </c>
      <c r="M4068" s="267" t="s">
        <v>3943</v>
      </c>
      <c r="N4068" s="267" t="s">
        <v>3944</v>
      </c>
      <c r="O4068" s="267">
        <v>8629</v>
      </c>
      <c r="P4068" s="267" t="s">
        <v>3944</v>
      </c>
      <c r="Q4068" s="267" t="s">
        <v>3944</v>
      </c>
      <c r="R4068" s="267">
        <v>8629</v>
      </c>
      <c r="S4068" s="267">
        <v>63343.7</v>
      </c>
      <c r="T4068" s="267">
        <v>71972.7</v>
      </c>
      <c r="U4068" s="268" t="s">
        <v>3945</v>
      </c>
      <c r="V4068" s="267" t="s">
        <v>944</v>
      </c>
    </row>
    <row r="4069" spans="1:22" hidden="1" x14ac:dyDescent="0.25">
      <c r="A4069" s="269">
        <v>43669</v>
      </c>
      <c r="B4069" s="270">
        <v>2019</v>
      </c>
      <c r="C4069" s="270">
        <v>2020</v>
      </c>
      <c r="D4069" s="270">
        <v>1</v>
      </c>
      <c r="E4069" s="270">
        <v>1</v>
      </c>
      <c r="F4069" s="270" t="s">
        <v>944</v>
      </c>
      <c r="G4069" s="270" t="s">
        <v>3926</v>
      </c>
      <c r="H4069" s="270" t="s">
        <v>8626</v>
      </c>
      <c r="I4069" s="270" t="s">
        <v>5485</v>
      </c>
      <c r="J4069" s="270" t="s">
        <v>3928</v>
      </c>
      <c r="K4069" s="270">
        <v>6001</v>
      </c>
      <c r="L4069" s="270">
        <v>462102</v>
      </c>
      <c r="M4069" s="270" t="s">
        <v>3943</v>
      </c>
      <c r="N4069" s="270" t="s">
        <v>3944</v>
      </c>
      <c r="O4069" s="270">
        <v>3467</v>
      </c>
      <c r="P4069" s="270" t="s">
        <v>3944</v>
      </c>
      <c r="Q4069" s="270" t="s">
        <v>3944</v>
      </c>
      <c r="R4069" s="270">
        <v>3467</v>
      </c>
      <c r="S4069" s="270">
        <v>26107.040000000001</v>
      </c>
      <c r="T4069" s="270">
        <v>29574.04</v>
      </c>
      <c r="U4069" s="271" t="s">
        <v>3945</v>
      </c>
      <c r="V4069" s="267" t="s">
        <v>944</v>
      </c>
    </row>
    <row r="4070" spans="1:22" hidden="1" x14ac:dyDescent="0.25">
      <c r="A4070" s="266">
        <v>43669</v>
      </c>
      <c r="B4070" s="267">
        <v>2019</v>
      </c>
      <c r="C4070" s="267">
        <v>2020</v>
      </c>
      <c r="D4070" s="267">
        <v>1</v>
      </c>
      <c r="E4070" s="267">
        <v>1</v>
      </c>
      <c r="F4070" s="267" t="s">
        <v>944</v>
      </c>
      <c r="G4070" s="267" t="s">
        <v>3926</v>
      </c>
      <c r="H4070" s="267" t="s">
        <v>8627</v>
      </c>
      <c r="I4070" s="267" t="s">
        <v>3947</v>
      </c>
      <c r="J4070" s="267" t="s">
        <v>3928</v>
      </c>
      <c r="K4070" s="267">
        <v>6090</v>
      </c>
      <c r="L4070" s="267">
        <v>468101</v>
      </c>
      <c r="M4070" s="267" t="s">
        <v>3943</v>
      </c>
      <c r="N4070" s="267" t="s">
        <v>3944</v>
      </c>
      <c r="O4070" s="267">
        <v>2283</v>
      </c>
      <c r="P4070" s="267" t="s">
        <v>3944</v>
      </c>
      <c r="Q4070" s="267" t="s">
        <v>3944</v>
      </c>
      <c r="R4070" s="267">
        <v>2283</v>
      </c>
      <c r="S4070" s="267">
        <v>25164.99</v>
      </c>
      <c r="T4070" s="267">
        <v>27447.99</v>
      </c>
      <c r="U4070" s="268" t="s">
        <v>3945</v>
      </c>
      <c r="V4070" s="267" t="s">
        <v>944</v>
      </c>
    </row>
    <row r="4071" spans="1:22" hidden="1" x14ac:dyDescent="0.25">
      <c r="A4071" s="269">
        <v>43669</v>
      </c>
      <c r="B4071" s="270">
        <v>2019</v>
      </c>
      <c r="C4071" s="270">
        <v>2020</v>
      </c>
      <c r="D4071" s="270">
        <v>1</v>
      </c>
      <c r="E4071" s="270">
        <v>1</v>
      </c>
      <c r="F4071" s="270" t="s">
        <v>944</v>
      </c>
      <c r="G4071" s="270" t="s">
        <v>3926</v>
      </c>
      <c r="H4071" s="270" t="s">
        <v>8628</v>
      </c>
      <c r="I4071" s="270" t="s">
        <v>2985</v>
      </c>
      <c r="J4071" s="270" t="s">
        <v>3928</v>
      </c>
      <c r="K4071" s="270">
        <v>6824</v>
      </c>
      <c r="L4071" s="270">
        <v>61600</v>
      </c>
      <c r="M4071" s="270" t="s">
        <v>3943</v>
      </c>
      <c r="N4071" s="270" t="s">
        <v>3944</v>
      </c>
      <c r="O4071" s="270">
        <v>4747</v>
      </c>
      <c r="P4071" s="270" t="s">
        <v>3944</v>
      </c>
      <c r="Q4071" s="270" t="s">
        <v>3944</v>
      </c>
      <c r="R4071" s="270">
        <v>4747</v>
      </c>
      <c r="S4071" s="270">
        <v>31556</v>
      </c>
      <c r="T4071" s="270">
        <v>36303</v>
      </c>
      <c r="U4071" s="271" t="s">
        <v>3945</v>
      </c>
      <c r="V4071" s="267" t="s">
        <v>944</v>
      </c>
    </row>
    <row r="4072" spans="1:22" x14ac:dyDescent="0.25">
      <c r="A4072" s="266">
        <v>43669</v>
      </c>
      <c r="B4072" s="267">
        <v>2019</v>
      </c>
      <c r="C4072" s="267">
        <v>2020</v>
      </c>
      <c r="D4072" s="267">
        <v>1</v>
      </c>
      <c r="E4072" s="267">
        <v>1</v>
      </c>
      <c r="F4072" s="267" t="s">
        <v>944</v>
      </c>
      <c r="G4072" s="267" t="s">
        <v>3997</v>
      </c>
      <c r="H4072" s="267" t="s">
        <v>8629</v>
      </c>
      <c r="I4072" s="267" t="s">
        <v>4019</v>
      </c>
      <c r="J4072" s="267" t="s">
        <v>3928</v>
      </c>
      <c r="K4072" s="267">
        <v>6710</v>
      </c>
      <c r="L4072" s="267">
        <v>350100</v>
      </c>
      <c r="M4072" s="267">
        <v>-60</v>
      </c>
      <c r="N4072" s="267" t="s">
        <v>3944</v>
      </c>
      <c r="O4072" s="267">
        <v>2370.7600000000002</v>
      </c>
      <c r="P4072" s="267" t="s">
        <v>3944</v>
      </c>
      <c r="Q4072" s="267" t="s">
        <v>3944</v>
      </c>
      <c r="R4072" s="267">
        <v>2370.7600000000002</v>
      </c>
      <c r="S4072" s="267">
        <v>29922.11</v>
      </c>
      <c r="T4072" s="267">
        <v>32292.87</v>
      </c>
      <c r="U4072" s="268" t="s">
        <v>3945</v>
      </c>
      <c r="V4072" s="267" t="s">
        <v>936</v>
      </c>
    </row>
    <row r="4073" spans="1:22" hidden="1" x14ac:dyDescent="0.25">
      <c r="A4073" s="269">
        <v>43669</v>
      </c>
      <c r="B4073" s="270">
        <v>2019</v>
      </c>
      <c r="C4073" s="270">
        <v>2020</v>
      </c>
      <c r="D4073" s="270">
        <v>1</v>
      </c>
      <c r="E4073" s="270">
        <v>1</v>
      </c>
      <c r="F4073" s="270" t="s">
        <v>944</v>
      </c>
      <c r="G4073" s="270" t="s">
        <v>3926</v>
      </c>
      <c r="H4073" s="270" t="s">
        <v>8630</v>
      </c>
      <c r="I4073" s="270" t="s">
        <v>6362</v>
      </c>
      <c r="J4073" s="270" t="s">
        <v>3928</v>
      </c>
      <c r="K4073" s="270">
        <v>6026</v>
      </c>
      <c r="L4073" s="270">
        <v>470100</v>
      </c>
      <c r="M4073" s="270" t="s">
        <v>3943</v>
      </c>
      <c r="N4073" s="270" t="s">
        <v>3944</v>
      </c>
      <c r="O4073" s="270">
        <v>4202</v>
      </c>
      <c r="P4073" s="270" t="s">
        <v>3944</v>
      </c>
      <c r="Q4073" s="270" t="s">
        <v>3944</v>
      </c>
      <c r="R4073" s="270">
        <v>4202</v>
      </c>
      <c r="S4073" s="270">
        <v>30133</v>
      </c>
      <c r="T4073" s="270">
        <v>34335</v>
      </c>
      <c r="U4073" s="271" t="s">
        <v>3945</v>
      </c>
      <c r="V4073" s="267" t="s">
        <v>944</v>
      </c>
    </row>
    <row r="4074" spans="1:22" hidden="1" x14ac:dyDescent="0.25">
      <c r="A4074" s="266">
        <v>43669</v>
      </c>
      <c r="B4074" s="267">
        <v>2019</v>
      </c>
      <c r="C4074" s="267">
        <v>2020</v>
      </c>
      <c r="D4074" s="267">
        <v>1</v>
      </c>
      <c r="E4074" s="267">
        <v>1</v>
      </c>
      <c r="F4074" s="267" t="s">
        <v>944</v>
      </c>
      <c r="G4074" s="267" t="s">
        <v>3926</v>
      </c>
      <c r="H4074" s="267" t="s">
        <v>8631</v>
      </c>
      <c r="I4074" s="267" t="s">
        <v>4392</v>
      </c>
      <c r="J4074" s="267" t="s">
        <v>3928</v>
      </c>
      <c r="K4074" s="267">
        <v>6457</v>
      </c>
      <c r="L4074" s="267">
        <v>542100</v>
      </c>
      <c r="M4074" s="267" t="s">
        <v>3940</v>
      </c>
      <c r="N4074" s="267" t="s">
        <v>3944</v>
      </c>
      <c r="O4074" s="267">
        <v>1175.51</v>
      </c>
      <c r="P4074" s="267" t="s">
        <v>3944</v>
      </c>
      <c r="Q4074" s="267" t="s">
        <v>3944</v>
      </c>
      <c r="R4074" s="267">
        <v>1175.51</v>
      </c>
      <c r="S4074" s="267">
        <v>26621.54</v>
      </c>
      <c r="T4074" s="267">
        <v>27797.05</v>
      </c>
      <c r="U4074" s="268" t="s">
        <v>3945</v>
      </c>
      <c r="V4074" s="267" t="s">
        <v>944</v>
      </c>
    </row>
    <row r="4075" spans="1:22" hidden="1" x14ac:dyDescent="0.25">
      <c r="A4075" s="269">
        <v>43669</v>
      </c>
      <c r="B4075" s="270">
        <v>2019</v>
      </c>
      <c r="C4075" s="270">
        <v>2020</v>
      </c>
      <c r="D4075" s="270">
        <v>1</v>
      </c>
      <c r="E4075" s="270">
        <v>1</v>
      </c>
      <c r="F4075" s="270" t="s">
        <v>944</v>
      </c>
      <c r="G4075" s="270" t="s">
        <v>3926</v>
      </c>
      <c r="H4075" s="270" t="s">
        <v>8632</v>
      </c>
      <c r="I4075" s="270" t="s">
        <v>4353</v>
      </c>
      <c r="J4075" s="270" t="s">
        <v>3928</v>
      </c>
      <c r="K4075" s="270">
        <v>6416</v>
      </c>
      <c r="L4075" s="270">
        <v>570300</v>
      </c>
      <c r="M4075" s="270" t="s">
        <v>3940</v>
      </c>
      <c r="N4075" s="270" t="s">
        <v>3944</v>
      </c>
      <c r="O4075" s="270">
        <v>2551.8200000000002</v>
      </c>
      <c r="P4075" s="270" t="s">
        <v>3944</v>
      </c>
      <c r="Q4075" s="270" t="s">
        <v>3944</v>
      </c>
      <c r="R4075" s="270">
        <v>2551.8200000000002</v>
      </c>
      <c r="S4075" s="270">
        <v>35328.870000000003</v>
      </c>
      <c r="T4075" s="270">
        <v>37880.69</v>
      </c>
      <c r="U4075" s="271" t="s">
        <v>3945</v>
      </c>
      <c r="V4075" s="267" t="s">
        <v>944</v>
      </c>
    </row>
    <row r="4076" spans="1:22" hidden="1" x14ac:dyDescent="0.25">
      <c r="A4076" s="266">
        <v>43669</v>
      </c>
      <c r="B4076" s="267">
        <v>2019</v>
      </c>
      <c r="C4076" s="267">
        <v>2020</v>
      </c>
      <c r="D4076" s="267">
        <v>1</v>
      </c>
      <c r="E4076" s="267">
        <v>1</v>
      </c>
      <c r="F4076" s="267" t="s">
        <v>944</v>
      </c>
      <c r="G4076" s="267" t="s">
        <v>3926</v>
      </c>
      <c r="H4076" s="267" t="s">
        <v>8633</v>
      </c>
      <c r="I4076" s="267" t="s">
        <v>4005</v>
      </c>
      <c r="J4076" s="267" t="s">
        <v>3928</v>
      </c>
      <c r="K4076" s="267">
        <v>6118</v>
      </c>
      <c r="L4076" s="267">
        <v>510700</v>
      </c>
      <c r="M4076" s="267" t="s">
        <v>3940</v>
      </c>
      <c r="N4076" s="267" t="s">
        <v>3944</v>
      </c>
      <c r="O4076" s="267">
        <v>1303.0899999999999</v>
      </c>
      <c r="P4076" s="267" t="s">
        <v>3944</v>
      </c>
      <c r="Q4076" s="267" t="s">
        <v>3944</v>
      </c>
      <c r="R4076" s="267">
        <v>1303.0899999999999</v>
      </c>
      <c r="S4076" s="267">
        <v>26609.58</v>
      </c>
      <c r="T4076" s="267">
        <v>27912.67</v>
      </c>
      <c r="U4076" s="268" t="s">
        <v>3945</v>
      </c>
      <c r="V4076" s="267" t="s">
        <v>944</v>
      </c>
    </row>
    <row r="4077" spans="1:22" hidden="1" x14ac:dyDescent="0.25">
      <c r="A4077" s="269">
        <v>43669</v>
      </c>
      <c r="B4077" s="270">
        <v>2019</v>
      </c>
      <c r="C4077" s="270">
        <v>2020</v>
      </c>
      <c r="D4077" s="270">
        <v>1</v>
      </c>
      <c r="E4077" s="270">
        <v>1</v>
      </c>
      <c r="F4077" s="270" t="s">
        <v>944</v>
      </c>
      <c r="G4077" s="270" t="s">
        <v>3926</v>
      </c>
      <c r="H4077" s="270" t="s">
        <v>8634</v>
      </c>
      <c r="I4077" s="270" t="s">
        <v>3009</v>
      </c>
      <c r="J4077" s="270" t="s">
        <v>3928</v>
      </c>
      <c r="K4077" s="270">
        <v>6484</v>
      </c>
      <c r="L4077" s="270">
        <v>110400</v>
      </c>
      <c r="M4077" s="270" t="s">
        <v>3943</v>
      </c>
      <c r="N4077" s="270" t="s">
        <v>3944</v>
      </c>
      <c r="O4077" s="270">
        <v>1589.07</v>
      </c>
      <c r="P4077" s="270" t="s">
        <v>3944</v>
      </c>
      <c r="Q4077" s="270" t="s">
        <v>3944</v>
      </c>
      <c r="R4077" s="270">
        <v>1589.07</v>
      </c>
      <c r="S4077" s="270">
        <v>25348.35</v>
      </c>
      <c r="T4077" s="270">
        <v>26937.42</v>
      </c>
      <c r="U4077" s="271" t="s">
        <v>3945</v>
      </c>
      <c r="V4077" s="267" t="s">
        <v>944</v>
      </c>
    </row>
    <row r="4078" spans="1:22" hidden="1" x14ac:dyDescent="0.25">
      <c r="A4078" s="266">
        <v>43669</v>
      </c>
      <c r="B4078" s="267">
        <v>2019</v>
      </c>
      <c r="C4078" s="267">
        <v>2020</v>
      </c>
      <c r="D4078" s="267">
        <v>1</v>
      </c>
      <c r="E4078" s="267">
        <v>1</v>
      </c>
      <c r="F4078" s="267" t="s">
        <v>944</v>
      </c>
      <c r="G4078" s="267" t="s">
        <v>3926</v>
      </c>
      <c r="H4078" s="267" t="s">
        <v>8635</v>
      </c>
      <c r="I4078" s="267" t="s">
        <v>4016</v>
      </c>
      <c r="J4078" s="267" t="s">
        <v>3928</v>
      </c>
      <c r="K4078" s="267">
        <v>6770</v>
      </c>
      <c r="L4078" s="267">
        <v>345201</v>
      </c>
      <c r="M4078" s="267" t="s">
        <v>3935</v>
      </c>
      <c r="N4078" s="267" t="s">
        <v>3944</v>
      </c>
      <c r="O4078" s="267">
        <v>1329.83</v>
      </c>
      <c r="P4078" s="267" t="s">
        <v>3944</v>
      </c>
      <c r="Q4078" s="267" t="s">
        <v>3944</v>
      </c>
      <c r="R4078" s="267">
        <v>1329.83</v>
      </c>
      <c r="S4078" s="267">
        <v>24680.5</v>
      </c>
      <c r="T4078" s="267">
        <v>26010.33</v>
      </c>
      <c r="U4078" s="268" t="s">
        <v>3945</v>
      </c>
      <c r="V4078" s="267" t="s">
        <v>944</v>
      </c>
    </row>
    <row r="4079" spans="1:22" hidden="1" x14ac:dyDescent="0.25">
      <c r="A4079" s="269">
        <v>43669</v>
      </c>
      <c r="B4079" s="270">
        <v>2019</v>
      </c>
      <c r="C4079" s="270">
        <v>2020</v>
      </c>
      <c r="D4079" s="270">
        <v>1</v>
      </c>
      <c r="E4079" s="270">
        <v>1</v>
      </c>
      <c r="F4079" s="270" t="s">
        <v>944</v>
      </c>
      <c r="G4079" s="270" t="s">
        <v>3926</v>
      </c>
      <c r="H4079" s="270" t="s">
        <v>8636</v>
      </c>
      <c r="I4079" s="270" t="s">
        <v>4016</v>
      </c>
      <c r="J4079" s="270" t="s">
        <v>3928</v>
      </c>
      <c r="K4079" s="270">
        <v>6770</v>
      </c>
      <c r="L4079" s="270">
        <v>345201</v>
      </c>
      <c r="M4079" s="270" t="s">
        <v>3935</v>
      </c>
      <c r="N4079" s="270" t="s">
        <v>3944</v>
      </c>
      <c r="O4079" s="270">
        <v>2206.09</v>
      </c>
      <c r="P4079" s="270" t="s">
        <v>3944</v>
      </c>
      <c r="Q4079" s="270" t="s">
        <v>3944</v>
      </c>
      <c r="R4079" s="270">
        <v>2206.09</v>
      </c>
      <c r="S4079" s="270">
        <v>34333.9</v>
      </c>
      <c r="T4079" s="270">
        <v>36539.99</v>
      </c>
      <c r="U4079" s="271" t="s">
        <v>3945</v>
      </c>
      <c r="V4079" s="267" t="s">
        <v>944</v>
      </c>
    </row>
    <row r="4080" spans="1:22" hidden="1" x14ac:dyDescent="0.25">
      <c r="A4080" s="266">
        <v>43669</v>
      </c>
      <c r="B4080" s="267">
        <v>2019</v>
      </c>
      <c r="C4080" s="267">
        <v>2020</v>
      </c>
      <c r="D4080" s="267">
        <v>1</v>
      </c>
      <c r="E4080" s="267">
        <v>1</v>
      </c>
      <c r="F4080" s="267" t="s">
        <v>944</v>
      </c>
      <c r="G4080" s="267" t="s">
        <v>3926</v>
      </c>
      <c r="H4080" s="267" t="s">
        <v>8637</v>
      </c>
      <c r="I4080" s="267" t="s">
        <v>3996</v>
      </c>
      <c r="J4080" s="267" t="s">
        <v>3928</v>
      </c>
      <c r="K4080" s="267">
        <v>6790</v>
      </c>
      <c r="L4080" s="267">
        <v>310602</v>
      </c>
      <c r="M4080" s="267" t="s">
        <v>3935</v>
      </c>
      <c r="N4080" s="267" t="s">
        <v>3944</v>
      </c>
      <c r="O4080" s="267">
        <v>3474.31</v>
      </c>
      <c r="P4080" s="267" t="s">
        <v>3944</v>
      </c>
      <c r="Q4080" s="267" t="s">
        <v>3944</v>
      </c>
      <c r="R4080" s="267">
        <v>3474.31</v>
      </c>
      <c r="S4080" s="267">
        <v>50430.92</v>
      </c>
      <c r="T4080" s="267">
        <v>53905.23</v>
      </c>
      <c r="U4080" s="268" t="s">
        <v>3945</v>
      </c>
      <c r="V4080" s="267" t="s">
        <v>944</v>
      </c>
    </row>
    <row r="4081" spans="1:22" hidden="1" x14ac:dyDescent="0.25">
      <c r="A4081" s="269">
        <v>43669</v>
      </c>
      <c r="B4081" s="270">
        <v>2019</v>
      </c>
      <c r="C4081" s="270">
        <v>2020</v>
      </c>
      <c r="D4081" s="270">
        <v>1</v>
      </c>
      <c r="E4081" s="270">
        <v>1</v>
      </c>
      <c r="F4081" s="270" t="s">
        <v>944</v>
      </c>
      <c r="G4081" s="270" t="s">
        <v>3997</v>
      </c>
      <c r="H4081" s="270" t="s">
        <v>8638</v>
      </c>
      <c r="I4081" s="270" t="s">
        <v>4497</v>
      </c>
      <c r="J4081" s="270" t="s">
        <v>3928</v>
      </c>
      <c r="K4081" s="270">
        <v>6260</v>
      </c>
      <c r="L4081" s="270">
        <v>903200</v>
      </c>
      <c r="M4081" s="270" t="s">
        <v>3935</v>
      </c>
      <c r="N4081" s="270" t="s">
        <v>8639</v>
      </c>
      <c r="O4081" s="270"/>
      <c r="P4081" s="270" t="s">
        <v>3944</v>
      </c>
      <c r="Q4081" s="270" t="s">
        <v>8639</v>
      </c>
      <c r="R4081" s="270">
        <v>1500000</v>
      </c>
      <c r="S4081" s="270">
        <v>0</v>
      </c>
      <c r="T4081" s="270">
        <v>1500000</v>
      </c>
      <c r="U4081" s="271" t="s">
        <v>4099</v>
      </c>
      <c r="V4081" s="267" t="s">
        <v>944</v>
      </c>
    </row>
    <row r="4082" spans="1:22" hidden="1" x14ac:dyDescent="0.25">
      <c r="A4082" s="266">
        <v>43669</v>
      </c>
      <c r="B4082" s="267">
        <v>2019</v>
      </c>
      <c r="C4082" s="267">
        <v>2020</v>
      </c>
      <c r="D4082" s="267">
        <v>1</v>
      </c>
      <c r="E4082" s="267">
        <v>1</v>
      </c>
      <c r="F4082" s="267" t="s">
        <v>944</v>
      </c>
      <c r="G4082" s="267" t="s">
        <v>3926</v>
      </c>
      <c r="H4082" s="267" t="s">
        <v>8640</v>
      </c>
      <c r="I4082" s="267" t="s">
        <v>4269</v>
      </c>
      <c r="J4082" s="267" t="s">
        <v>3928</v>
      </c>
      <c r="K4082" s="267">
        <v>6110</v>
      </c>
      <c r="L4082" s="267">
        <v>496200</v>
      </c>
      <c r="M4082" s="267" t="s">
        <v>3935</v>
      </c>
      <c r="N4082" s="267" t="s">
        <v>3944</v>
      </c>
      <c r="O4082" s="267">
        <v>2584.16</v>
      </c>
      <c r="P4082" s="267" t="s">
        <v>3944</v>
      </c>
      <c r="Q4082" s="267" t="s">
        <v>3944</v>
      </c>
      <c r="R4082" s="267">
        <v>2584.16</v>
      </c>
      <c r="S4082" s="267">
        <v>36295.839999999997</v>
      </c>
      <c r="T4082" s="267">
        <v>38880</v>
      </c>
      <c r="U4082" s="268" t="s">
        <v>3945</v>
      </c>
      <c r="V4082" s="267" t="s">
        <v>944</v>
      </c>
    </row>
    <row r="4083" spans="1:22" hidden="1" x14ac:dyDescent="0.25">
      <c r="A4083" s="269">
        <v>43670</v>
      </c>
      <c r="B4083" s="270">
        <v>2019</v>
      </c>
      <c r="C4083" s="270">
        <v>2020</v>
      </c>
      <c r="D4083" s="270">
        <v>1</v>
      </c>
      <c r="E4083" s="270">
        <v>1</v>
      </c>
      <c r="F4083" s="270" t="s">
        <v>944</v>
      </c>
      <c r="G4083" s="270" t="s">
        <v>3926</v>
      </c>
      <c r="H4083" s="270" t="s">
        <v>8641</v>
      </c>
      <c r="I4083" s="270" t="s">
        <v>4516</v>
      </c>
      <c r="J4083" s="270" t="s">
        <v>3928</v>
      </c>
      <c r="K4083" s="270">
        <v>6371</v>
      </c>
      <c r="L4083" s="270">
        <v>650100</v>
      </c>
      <c r="M4083" s="270" t="s">
        <v>3960</v>
      </c>
      <c r="N4083" s="270" t="s">
        <v>8642</v>
      </c>
      <c r="O4083" s="270">
        <v>0</v>
      </c>
      <c r="P4083" s="270" t="s">
        <v>3930</v>
      </c>
      <c r="Q4083" s="270" t="s">
        <v>3930</v>
      </c>
      <c r="R4083" s="270">
        <v>0</v>
      </c>
      <c r="S4083" s="270">
        <v>13416.5</v>
      </c>
      <c r="T4083" s="270">
        <v>13416.5</v>
      </c>
      <c r="U4083" s="271" t="s">
        <v>3937</v>
      </c>
      <c r="V4083" s="267" t="s">
        <v>944</v>
      </c>
    </row>
    <row r="4084" spans="1:22" hidden="1" x14ac:dyDescent="0.25">
      <c r="A4084" s="266">
        <v>43670</v>
      </c>
      <c r="B4084" s="267">
        <v>2019</v>
      </c>
      <c r="C4084" s="267">
        <v>2020</v>
      </c>
      <c r="D4084" s="267">
        <v>1</v>
      </c>
      <c r="E4084" s="267">
        <v>1</v>
      </c>
      <c r="F4084" s="267" t="s">
        <v>944</v>
      </c>
      <c r="G4084" s="267" t="s">
        <v>3926</v>
      </c>
      <c r="H4084" s="267" t="s">
        <v>8643</v>
      </c>
      <c r="I4084" s="267" t="s">
        <v>4323</v>
      </c>
      <c r="J4084" s="267" t="s">
        <v>3928</v>
      </c>
      <c r="K4084" s="267">
        <v>6375</v>
      </c>
      <c r="L4084" s="267">
        <v>693600</v>
      </c>
      <c r="M4084" s="267" t="s">
        <v>3960</v>
      </c>
      <c r="N4084" s="267" t="s">
        <v>4534</v>
      </c>
      <c r="O4084" s="267">
        <v>0</v>
      </c>
      <c r="P4084" s="267" t="s">
        <v>3930</v>
      </c>
      <c r="Q4084" s="267" t="s">
        <v>3930</v>
      </c>
      <c r="R4084" s="267">
        <v>0</v>
      </c>
      <c r="S4084" s="267">
        <v>12850</v>
      </c>
      <c r="T4084" s="267">
        <v>12850</v>
      </c>
      <c r="U4084" s="268" t="s">
        <v>3937</v>
      </c>
      <c r="V4084" s="267" t="s">
        <v>944</v>
      </c>
    </row>
    <row r="4085" spans="1:22" hidden="1" x14ac:dyDescent="0.25">
      <c r="A4085" s="269">
        <v>43670</v>
      </c>
      <c r="B4085" s="270">
        <v>2019</v>
      </c>
      <c r="C4085" s="270">
        <v>2020</v>
      </c>
      <c r="D4085" s="270">
        <v>1</v>
      </c>
      <c r="E4085" s="270">
        <v>1</v>
      </c>
      <c r="F4085" s="270" t="s">
        <v>944</v>
      </c>
      <c r="G4085" s="270" t="s">
        <v>3926</v>
      </c>
      <c r="H4085" s="270" t="s">
        <v>8644</v>
      </c>
      <c r="I4085" s="270" t="s">
        <v>4200</v>
      </c>
      <c r="J4085" s="270" t="s">
        <v>3928</v>
      </c>
      <c r="K4085" s="270">
        <v>6779</v>
      </c>
      <c r="L4085" s="270">
        <v>360300</v>
      </c>
      <c r="M4085" s="270" t="s">
        <v>3935</v>
      </c>
      <c r="N4085" s="270" t="s">
        <v>5483</v>
      </c>
      <c r="O4085" s="270">
        <v>0</v>
      </c>
      <c r="P4085" s="270" t="s">
        <v>3930</v>
      </c>
      <c r="Q4085" s="270" t="s">
        <v>3930</v>
      </c>
      <c r="R4085" s="270">
        <v>0</v>
      </c>
      <c r="S4085" s="270">
        <v>18500</v>
      </c>
      <c r="T4085" s="270">
        <v>18500</v>
      </c>
      <c r="U4085" s="271" t="s">
        <v>3937</v>
      </c>
      <c r="V4085" s="267" t="s">
        <v>944</v>
      </c>
    </row>
    <row r="4086" spans="1:22" hidden="1" x14ac:dyDescent="0.25">
      <c r="A4086" s="266">
        <v>43670</v>
      </c>
      <c r="B4086" s="267">
        <v>2019</v>
      </c>
      <c r="C4086" s="267">
        <v>2020</v>
      </c>
      <c r="D4086" s="267">
        <v>1</v>
      </c>
      <c r="E4086" s="267">
        <v>1</v>
      </c>
      <c r="F4086" s="267" t="s">
        <v>944</v>
      </c>
      <c r="G4086" s="267" t="s">
        <v>3926</v>
      </c>
      <c r="H4086" s="267" t="s">
        <v>8645</v>
      </c>
      <c r="I4086" s="267" t="s">
        <v>4137</v>
      </c>
      <c r="J4086" s="267" t="s">
        <v>3928</v>
      </c>
      <c r="K4086" s="267">
        <v>6067</v>
      </c>
      <c r="L4086" s="267">
        <v>524200</v>
      </c>
      <c r="M4086" s="267" t="s">
        <v>3960</v>
      </c>
      <c r="N4086" s="267" t="s">
        <v>8646</v>
      </c>
      <c r="O4086" s="267">
        <v>3792</v>
      </c>
      <c r="P4086" s="267" t="s">
        <v>3930</v>
      </c>
      <c r="Q4086" s="267" t="s">
        <v>3930</v>
      </c>
      <c r="R4086" s="267">
        <v>3792</v>
      </c>
      <c r="S4086" s="267">
        <v>27944</v>
      </c>
      <c r="T4086" s="267">
        <v>31736</v>
      </c>
      <c r="U4086" s="268" t="s">
        <v>3937</v>
      </c>
      <c r="V4086" s="267" t="s">
        <v>944</v>
      </c>
    </row>
    <row r="4087" spans="1:22" hidden="1" x14ac:dyDescent="0.25">
      <c r="A4087" s="269">
        <v>43670</v>
      </c>
      <c r="B4087" s="270">
        <v>2019</v>
      </c>
      <c r="C4087" s="270">
        <v>2020</v>
      </c>
      <c r="D4087" s="270">
        <v>1</v>
      </c>
      <c r="E4087" s="270">
        <v>1</v>
      </c>
      <c r="F4087" s="270" t="s">
        <v>944</v>
      </c>
      <c r="G4087" s="270" t="s">
        <v>3926</v>
      </c>
      <c r="H4087" s="270" t="s">
        <v>8647</v>
      </c>
      <c r="I4087" s="270" t="s">
        <v>4019</v>
      </c>
      <c r="J4087" s="270" t="s">
        <v>3928</v>
      </c>
      <c r="K4087" s="270">
        <v>6704</v>
      </c>
      <c r="L4087" s="270">
        <v>352300</v>
      </c>
      <c r="M4087" s="270">
        <v>-60</v>
      </c>
      <c r="N4087" s="270" t="s">
        <v>8648</v>
      </c>
      <c r="O4087" s="270">
        <v>1599</v>
      </c>
      <c r="P4087" s="270" t="s">
        <v>3930</v>
      </c>
      <c r="Q4087" s="270" t="s">
        <v>3930</v>
      </c>
      <c r="R4087" s="270">
        <v>1599</v>
      </c>
      <c r="S4087" s="270">
        <v>12954</v>
      </c>
      <c r="T4087" s="270">
        <v>14553</v>
      </c>
      <c r="U4087" s="271" t="s">
        <v>3937</v>
      </c>
      <c r="V4087" s="267" t="s">
        <v>944</v>
      </c>
    </row>
    <row r="4088" spans="1:22" hidden="1" x14ac:dyDescent="0.25">
      <c r="A4088" s="266">
        <v>43670</v>
      </c>
      <c r="B4088" s="267">
        <v>2019</v>
      </c>
      <c r="C4088" s="267">
        <v>2020</v>
      </c>
      <c r="D4088" s="267">
        <v>1</v>
      </c>
      <c r="E4088" s="267">
        <v>1</v>
      </c>
      <c r="F4088" s="267" t="s">
        <v>944</v>
      </c>
      <c r="G4088" s="267" t="s">
        <v>3926</v>
      </c>
      <c r="H4088" s="267" t="s">
        <v>8649</v>
      </c>
      <c r="I4088" s="267" t="s">
        <v>3008</v>
      </c>
      <c r="J4088" s="267" t="s">
        <v>3928</v>
      </c>
      <c r="K4088" s="267">
        <v>6460</v>
      </c>
      <c r="L4088" s="267">
        <v>150500</v>
      </c>
      <c r="M4088" s="267" t="s">
        <v>3960</v>
      </c>
      <c r="N4088" s="267" t="s">
        <v>4103</v>
      </c>
      <c r="O4088" s="267">
        <v>1589.07</v>
      </c>
      <c r="P4088" s="267" t="s">
        <v>3930</v>
      </c>
      <c r="Q4088" s="267" t="s">
        <v>3931</v>
      </c>
      <c r="R4088" s="267">
        <v>6589.07</v>
      </c>
      <c r="S4088" s="267">
        <v>24145.599999999999</v>
      </c>
      <c r="T4088" s="267">
        <v>30734.67</v>
      </c>
      <c r="U4088" s="268" t="s">
        <v>3932</v>
      </c>
      <c r="V4088" s="267" t="s">
        <v>944</v>
      </c>
    </row>
    <row r="4089" spans="1:22" hidden="1" x14ac:dyDescent="0.25">
      <c r="A4089" s="269">
        <v>43670</v>
      </c>
      <c r="B4089" s="270">
        <v>2019</v>
      </c>
      <c r="C4089" s="270">
        <v>2020</v>
      </c>
      <c r="D4089" s="270">
        <v>1</v>
      </c>
      <c r="E4089" s="270">
        <v>1</v>
      </c>
      <c r="F4089" s="270" t="s">
        <v>944</v>
      </c>
      <c r="G4089" s="270" t="s">
        <v>3926</v>
      </c>
      <c r="H4089" s="270" t="s">
        <v>8650</v>
      </c>
      <c r="I4089" s="270" t="s">
        <v>4019</v>
      </c>
      <c r="J4089" s="270" t="s">
        <v>3928</v>
      </c>
      <c r="K4089" s="270">
        <v>6710</v>
      </c>
      <c r="L4089" s="270">
        <v>352300</v>
      </c>
      <c r="M4089" s="270">
        <v>-60</v>
      </c>
      <c r="N4089" s="270" t="s">
        <v>4103</v>
      </c>
      <c r="O4089" s="270">
        <v>1765.16</v>
      </c>
      <c r="P4089" s="270" t="s">
        <v>3930</v>
      </c>
      <c r="Q4089" s="270" t="s">
        <v>3931</v>
      </c>
      <c r="R4089" s="270">
        <v>6765.16</v>
      </c>
      <c r="S4089" s="270">
        <v>24145.599999999999</v>
      </c>
      <c r="T4089" s="270">
        <v>30910.76</v>
      </c>
      <c r="U4089" s="271" t="s">
        <v>3932</v>
      </c>
      <c r="V4089" s="267" t="s">
        <v>944</v>
      </c>
    </row>
    <row r="4090" spans="1:22" hidden="1" x14ac:dyDescent="0.25">
      <c r="A4090" s="266">
        <v>43670</v>
      </c>
      <c r="B4090" s="267">
        <v>2019</v>
      </c>
      <c r="C4090" s="267">
        <v>2020</v>
      </c>
      <c r="D4090" s="267">
        <v>1</v>
      </c>
      <c r="E4090" s="267">
        <v>1</v>
      </c>
      <c r="F4090" s="267" t="s">
        <v>944</v>
      </c>
      <c r="G4090" s="267" t="s">
        <v>3926</v>
      </c>
      <c r="H4090" s="267" t="s">
        <v>8651</v>
      </c>
      <c r="I4090" s="267" t="s">
        <v>3999</v>
      </c>
      <c r="J4090" s="267" t="s">
        <v>3928</v>
      </c>
      <c r="K4090" s="267">
        <v>6450</v>
      </c>
      <c r="L4090" s="267">
        <v>171200</v>
      </c>
      <c r="M4090" s="267" t="s">
        <v>3960</v>
      </c>
      <c r="N4090" s="267" t="s">
        <v>4103</v>
      </c>
      <c r="O4090" s="267">
        <v>1627.22</v>
      </c>
      <c r="P4090" s="267" t="s">
        <v>3930</v>
      </c>
      <c r="Q4090" s="267" t="s">
        <v>3931</v>
      </c>
      <c r="R4090" s="267">
        <v>6627.22</v>
      </c>
      <c r="S4090" s="267">
        <v>24145.599999999999</v>
      </c>
      <c r="T4090" s="267">
        <v>30772.82</v>
      </c>
      <c r="U4090" s="268" t="s">
        <v>3932</v>
      </c>
      <c r="V4090" s="267" t="s">
        <v>944</v>
      </c>
    </row>
    <row r="4091" spans="1:22" hidden="1" x14ac:dyDescent="0.25">
      <c r="A4091" s="269">
        <v>43670</v>
      </c>
      <c r="B4091" s="270">
        <v>2019</v>
      </c>
      <c r="C4091" s="270">
        <v>2020</v>
      </c>
      <c r="D4091" s="270">
        <v>1</v>
      </c>
      <c r="E4091" s="270">
        <v>1</v>
      </c>
      <c r="F4091" s="270" t="s">
        <v>944</v>
      </c>
      <c r="G4091" s="270" t="s">
        <v>3926</v>
      </c>
      <c r="H4091" s="270" t="s">
        <v>8652</v>
      </c>
      <c r="I4091" s="270" t="s">
        <v>4073</v>
      </c>
      <c r="J4091" s="270" t="s">
        <v>3928</v>
      </c>
      <c r="K4091" s="270">
        <v>6776</v>
      </c>
      <c r="L4091" s="270">
        <v>253200</v>
      </c>
      <c r="M4091" s="270" t="s">
        <v>3960</v>
      </c>
      <c r="N4091" s="270" t="s">
        <v>3944</v>
      </c>
      <c r="O4091" s="270">
        <v>8262</v>
      </c>
      <c r="P4091" s="270" t="s">
        <v>3944</v>
      </c>
      <c r="Q4091" s="270" t="s">
        <v>3944</v>
      </c>
      <c r="R4091" s="270">
        <v>8262</v>
      </c>
      <c r="S4091" s="270">
        <v>67661.2</v>
      </c>
      <c r="T4091" s="270">
        <v>75923.199999999997</v>
      </c>
      <c r="U4091" s="271" t="s">
        <v>3945</v>
      </c>
      <c r="V4091" s="267" t="s">
        <v>944</v>
      </c>
    </row>
    <row r="4092" spans="1:22" hidden="1" x14ac:dyDescent="0.25">
      <c r="A4092" s="266">
        <v>43670</v>
      </c>
      <c r="B4092" s="267">
        <v>2019</v>
      </c>
      <c r="C4092" s="267">
        <v>2020</v>
      </c>
      <c r="D4092" s="267">
        <v>1</v>
      </c>
      <c r="E4092" s="267">
        <v>1</v>
      </c>
      <c r="F4092" s="267" t="s">
        <v>944</v>
      </c>
      <c r="G4092" s="267" t="s">
        <v>3926</v>
      </c>
      <c r="H4092" s="267" t="s">
        <v>8653</v>
      </c>
      <c r="I4092" s="267" t="s">
        <v>2985</v>
      </c>
      <c r="J4092" s="267" t="s">
        <v>3928</v>
      </c>
      <c r="K4092" s="267">
        <v>6824</v>
      </c>
      <c r="L4092" s="267">
        <v>61500</v>
      </c>
      <c r="M4092" s="267" t="s">
        <v>3943</v>
      </c>
      <c r="N4092" s="267" t="s">
        <v>3944</v>
      </c>
      <c r="O4092" s="267">
        <v>2877</v>
      </c>
      <c r="P4092" s="267" t="s">
        <v>3944</v>
      </c>
      <c r="Q4092" s="267" t="s">
        <v>3944</v>
      </c>
      <c r="R4092" s="267">
        <v>2877</v>
      </c>
      <c r="S4092" s="267">
        <v>33462.99</v>
      </c>
      <c r="T4092" s="267">
        <v>36339.99</v>
      </c>
      <c r="U4092" s="268" t="s">
        <v>3945</v>
      </c>
      <c r="V4092" s="267" t="s">
        <v>944</v>
      </c>
    </row>
    <row r="4093" spans="1:22" hidden="1" x14ac:dyDescent="0.25">
      <c r="A4093" s="269">
        <v>43670</v>
      </c>
      <c r="B4093" s="270">
        <v>2019</v>
      </c>
      <c r="C4093" s="270">
        <v>2020</v>
      </c>
      <c r="D4093" s="270">
        <v>1</v>
      </c>
      <c r="E4093" s="270">
        <v>1</v>
      </c>
      <c r="F4093" s="270" t="s">
        <v>944</v>
      </c>
      <c r="G4093" s="270" t="s">
        <v>3926</v>
      </c>
      <c r="H4093" s="270" t="s">
        <v>8654</v>
      </c>
      <c r="I4093" s="270" t="s">
        <v>5147</v>
      </c>
      <c r="J4093" s="270" t="s">
        <v>3928</v>
      </c>
      <c r="K4093" s="270">
        <v>6468</v>
      </c>
      <c r="L4093" s="270">
        <v>100300</v>
      </c>
      <c r="M4093" s="270" t="s">
        <v>3943</v>
      </c>
      <c r="N4093" s="270" t="s">
        <v>3944</v>
      </c>
      <c r="O4093" s="270">
        <v>3069</v>
      </c>
      <c r="P4093" s="270" t="s">
        <v>3944</v>
      </c>
      <c r="Q4093" s="270" t="s">
        <v>3944</v>
      </c>
      <c r="R4093" s="270">
        <v>3069</v>
      </c>
      <c r="S4093" s="270">
        <v>22275</v>
      </c>
      <c r="T4093" s="270">
        <v>25344</v>
      </c>
      <c r="U4093" s="271" t="s">
        <v>3945</v>
      </c>
      <c r="V4093" s="267" t="s">
        <v>944</v>
      </c>
    </row>
    <row r="4094" spans="1:22" hidden="1" x14ac:dyDescent="0.25">
      <c r="A4094" s="266">
        <v>43670</v>
      </c>
      <c r="B4094" s="267">
        <v>2019</v>
      </c>
      <c r="C4094" s="267">
        <v>2020</v>
      </c>
      <c r="D4094" s="267">
        <v>1</v>
      </c>
      <c r="E4094" s="267">
        <v>1</v>
      </c>
      <c r="F4094" s="267" t="s">
        <v>944</v>
      </c>
      <c r="G4094" s="267" t="s">
        <v>3926</v>
      </c>
      <c r="H4094" s="267" t="s">
        <v>8655</v>
      </c>
      <c r="I4094" s="267" t="s">
        <v>4035</v>
      </c>
      <c r="J4094" s="267" t="s">
        <v>3928</v>
      </c>
      <c r="K4094" s="267">
        <v>6074</v>
      </c>
      <c r="L4094" s="267">
        <v>487100</v>
      </c>
      <c r="M4094" s="267" t="s">
        <v>3943</v>
      </c>
      <c r="N4094" s="267" t="s">
        <v>3944</v>
      </c>
      <c r="O4094" s="267">
        <v>3775</v>
      </c>
      <c r="P4094" s="267" t="s">
        <v>3944</v>
      </c>
      <c r="Q4094" s="267" t="s">
        <v>3944</v>
      </c>
      <c r="R4094" s="267">
        <v>3775</v>
      </c>
      <c r="S4094" s="267">
        <v>29167.5</v>
      </c>
      <c r="T4094" s="267">
        <v>32942.5</v>
      </c>
      <c r="U4094" s="268" t="s">
        <v>3945</v>
      </c>
      <c r="V4094" s="267" t="s">
        <v>944</v>
      </c>
    </row>
    <row r="4095" spans="1:22" hidden="1" x14ac:dyDescent="0.25">
      <c r="A4095" s="269">
        <v>43670</v>
      </c>
      <c r="B4095" s="270">
        <v>2019</v>
      </c>
      <c r="C4095" s="270">
        <v>2020</v>
      </c>
      <c r="D4095" s="270">
        <v>1</v>
      </c>
      <c r="E4095" s="270">
        <v>1</v>
      </c>
      <c r="F4095" s="270" t="s">
        <v>944</v>
      </c>
      <c r="G4095" s="270" t="s">
        <v>3926</v>
      </c>
      <c r="H4095" s="270" t="s">
        <v>8656</v>
      </c>
      <c r="I4095" s="270" t="s">
        <v>8657</v>
      </c>
      <c r="J4095" s="270" t="s">
        <v>3928</v>
      </c>
      <c r="K4095" s="270">
        <v>6264</v>
      </c>
      <c r="L4095" s="270">
        <v>825000</v>
      </c>
      <c r="M4095" s="270" t="s">
        <v>3935</v>
      </c>
      <c r="N4095" s="270" t="s">
        <v>3944</v>
      </c>
      <c r="O4095" s="270">
        <v>1136.31</v>
      </c>
      <c r="P4095" s="270" t="s">
        <v>3944</v>
      </c>
      <c r="Q4095" s="270" t="s">
        <v>3944</v>
      </c>
      <c r="R4095" s="270">
        <v>1136.31</v>
      </c>
      <c r="S4095" s="270">
        <v>18164.95</v>
      </c>
      <c r="T4095" s="270">
        <v>19301.259999999998</v>
      </c>
      <c r="U4095" s="271" t="s">
        <v>3945</v>
      </c>
      <c r="V4095" s="267" t="s">
        <v>944</v>
      </c>
    </row>
    <row r="4096" spans="1:22" hidden="1" x14ac:dyDescent="0.25">
      <c r="A4096" s="266">
        <v>43670</v>
      </c>
      <c r="B4096" s="267">
        <v>2019</v>
      </c>
      <c r="C4096" s="267">
        <v>2020</v>
      </c>
      <c r="D4096" s="267">
        <v>1</v>
      </c>
      <c r="E4096" s="267">
        <v>1</v>
      </c>
      <c r="F4096" s="267" t="s">
        <v>944</v>
      </c>
      <c r="G4096" s="267" t="s">
        <v>3926</v>
      </c>
      <c r="H4096" s="267" t="s">
        <v>8658</v>
      </c>
      <c r="I4096" s="267" t="s">
        <v>3010</v>
      </c>
      <c r="J4096" s="267" t="s">
        <v>3928</v>
      </c>
      <c r="K4096" s="267">
        <v>6401</v>
      </c>
      <c r="L4096" s="267">
        <v>125200</v>
      </c>
      <c r="M4096" s="267">
        <v>-60</v>
      </c>
      <c r="N4096" s="267" t="s">
        <v>3944</v>
      </c>
      <c r="O4096" s="267">
        <v>1445.96</v>
      </c>
      <c r="P4096" s="267" t="s">
        <v>3944</v>
      </c>
      <c r="Q4096" s="267" t="s">
        <v>3944</v>
      </c>
      <c r="R4096" s="267">
        <v>1445.96</v>
      </c>
      <c r="S4096" s="267">
        <v>20933.919999999998</v>
      </c>
      <c r="T4096" s="267">
        <v>22379.88</v>
      </c>
      <c r="U4096" s="268" t="s">
        <v>3945</v>
      </c>
      <c r="V4096" s="267" t="s">
        <v>944</v>
      </c>
    </row>
    <row r="4097" spans="1:22" hidden="1" x14ac:dyDescent="0.25">
      <c r="A4097" s="269">
        <v>43670</v>
      </c>
      <c r="B4097" s="270">
        <v>2019</v>
      </c>
      <c r="C4097" s="270">
        <v>2020</v>
      </c>
      <c r="D4097" s="270">
        <v>1</v>
      </c>
      <c r="E4097" s="270">
        <v>1</v>
      </c>
      <c r="F4097" s="270" t="s">
        <v>944</v>
      </c>
      <c r="G4097" s="270" t="s">
        <v>3926</v>
      </c>
      <c r="H4097" s="270" t="s">
        <v>8659</v>
      </c>
      <c r="I4097" s="270" t="s">
        <v>4037</v>
      </c>
      <c r="J4097" s="270" t="s">
        <v>3928</v>
      </c>
      <c r="K4097" s="270">
        <v>6810</v>
      </c>
      <c r="L4097" s="270">
        <v>210300</v>
      </c>
      <c r="M4097" s="270" t="s">
        <v>3940</v>
      </c>
      <c r="N4097" s="270" t="s">
        <v>3944</v>
      </c>
      <c r="O4097" s="270">
        <v>1888.36</v>
      </c>
      <c r="P4097" s="270" t="s">
        <v>3944</v>
      </c>
      <c r="Q4097" s="270" t="s">
        <v>3944</v>
      </c>
      <c r="R4097" s="270">
        <v>1888.36</v>
      </c>
      <c r="S4097" s="270">
        <v>26726.35</v>
      </c>
      <c r="T4097" s="270">
        <v>28614.71</v>
      </c>
      <c r="U4097" s="271" t="s">
        <v>3945</v>
      </c>
      <c r="V4097" s="267" t="s">
        <v>944</v>
      </c>
    </row>
    <row r="4098" spans="1:22" hidden="1" x14ac:dyDescent="0.25">
      <c r="A4098" s="266">
        <v>43671</v>
      </c>
      <c r="B4098" s="267">
        <v>2019</v>
      </c>
      <c r="C4098" s="267">
        <v>2020</v>
      </c>
      <c r="D4098" s="267">
        <v>1</v>
      </c>
      <c r="E4098" s="267">
        <v>1</v>
      </c>
      <c r="F4098" s="267" t="s">
        <v>944</v>
      </c>
      <c r="G4098" s="267" t="s">
        <v>3926</v>
      </c>
      <c r="H4098" s="267" t="s">
        <v>8660</v>
      </c>
      <c r="I4098" s="267" t="s">
        <v>4374</v>
      </c>
      <c r="J4098" s="267" t="s">
        <v>3928</v>
      </c>
      <c r="K4098" s="267">
        <v>6441</v>
      </c>
      <c r="L4098" s="267">
        <v>590100</v>
      </c>
      <c r="M4098" s="267" t="s">
        <v>3943</v>
      </c>
      <c r="N4098" s="267" t="s">
        <v>8661</v>
      </c>
      <c r="O4098" s="267">
        <v>0</v>
      </c>
      <c r="P4098" s="267" t="s">
        <v>3930</v>
      </c>
      <c r="Q4098" s="267" t="s">
        <v>3930</v>
      </c>
      <c r="R4098" s="267">
        <v>0</v>
      </c>
      <c r="S4098" s="267">
        <v>16227</v>
      </c>
      <c r="T4098" s="267">
        <v>16227</v>
      </c>
      <c r="U4098" s="268" t="s">
        <v>3937</v>
      </c>
      <c r="V4098" s="267" t="s">
        <v>944</v>
      </c>
    </row>
    <row r="4099" spans="1:22" x14ac:dyDescent="0.25">
      <c r="A4099" s="269">
        <v>43671</v>
      </c>
      <c r="B4099" s="270">
        <v>2019</v>
      </c>
      <c r="C4099" s="270">
        <v>2020</v>
      </c>
      <c r="D4099" s="270">
        <v>1</v>
      </c>
      <c r="E4099" s="270">
        <v>1</v>
      </c>
      <c r="F4099" s="270" t="s">
        <v>944</v>
      </c>
      <c r="G4099" s="270" t="s">
        <v>3926</v>
      </c>
      <c r="H4099" s="270" t="s">
        <v>8662</v>
      </c>
      <c r="I4099" s="270" t="s">
        <v>953</v>
      </c>
      <c r="J4099" s="270" t="s">
        <v>3928</v>
      </c>
      <c r="K4099" s="270">
        <v>6514</v>
      </c>
      <c r="L4099" s="270">
        <v>165500</v>
      </c>
      <c r="M4099" s="270">
        <v>-60</v>
      </c>
      <c r="N4099" s="270" t="s">
        <v>4103</v>
      </c>
      <c r="O4099" s="270">
        <v>1772.4</v>
      </c>
      <c r="P4099" s="270" t="s">
        <v>3930</v>
      </c>
      <c r="Q4099" s="270" t="s">
        <v>3931</v>
      </c>
      <c r="R4099" s="270">
        <v>6772.4</v>
      </c>
      <c r="S4099" s="270">
        <v>24145.599999999999</v>
      </c>
      <c r="T4099" s="270">
        <v>30918</v>
      </c>
      <c r="U4099" s="271" t="s">
        <v>3932</v>
      </c>
      <c r="V4099" s="276" t="s">
        <v>936</v>
      </c>
    </row>
    <row r="4100" spans="1:22" hidden="1" x14ac:dyDescent="0.25">
      <c r="A4100" s="266">
        <v>43671</v>
      </c>
      <c r="B4100" s="267">
        <v>2019</v>
      </c>
      <c r="C4100" s="267">
        <v>2020</v>
      </c>
      <c r="D4100" s="267">
        <v>1</v>
      </c>
      <c r="E4100" s="267">
        <v>1</v>
      </c>
      <c r="F4100" s="267" t="s">
        <v>944</v>
      </c>
      <c r="G4100" s="267" t="s">
        <v>3926</v>
      </c>
      <c r="H4100" s="267" t="s">
        <v>8663</v>
      </c>
      <c r="I4100" s="267" t="s">
        <v>943</v>
      </c>
      <c r="J4100" s="267" t="s">
        <v>3928</v>
      </c>
      <c r="K4100" s="267">
        <v>6515</v>
      </c>
      <c r="L4100" s="267">
        <v>141200</v>
      </c>
      <c r="M4100" s="267">
        <v>-60</v>
      </c>
      <c r="N4100" s="267" t="s">
        <v>8664</v>
      </c>
      <c r="O4100" s="267">
        <v>1819.27</v>
      </c>
      <c r="P4100" s="267" t="s">
        <v>3930</v>
      </c>
      <c r="Q4100" s="267" t="s">
        <v>3931</v>
      </c>
      <c r="R4100" s="267">
        <v>6819.27</v>
      </c>
      <c r="S4100" s="267">
        <v>30786.400000000001</v>
      </c>
      <c r="T4100" s="267">
        <v>37605.67</v>
      </c>
      <c r="U4100" s="268" t="s">
        <v>3932</v>
      </c>
      <c r="V4100" s="267" t="s">
        <v>944</v>
      </c>
    </row>
    <row r="4101" spans="1:22" hidden="1" x14ac:dyDescent="0.25">
      <c r="A4101" s="269">
        <v>43671</v>
      </c>
      <c r="B4101" s="270">
        <v>2019</v>
      </c>
      <c r="C4101" s="270">
        <v>2020</v>
      </c>
      <c r="D4101" s="270">
        <v>1</v>
      </c>
      <c r="E4101" s="270">
        <v>1</v>
      </c>
      <c r="F4101" s="270" t="s">
        <v>944</v>
      </c>
      <c r="G4101" s="270" t="s">
        <v>3997</v>
      </c>
      <c r="H4101" s="270" t="s">
        <v>8665</v>
      </c>
      <c r="I4101" s="270" t="s">
        <v>4019</v>
      </c>
      <c r="J4101" s="270" t="s">
        <v>3928</v>
      </c>
      <c r="K4101" s="270">
        <v>6705</v>
      </c>
      <c r="L4101" s="270">
        <v>352702</v>
      </c>
      <c r="M4101" s="270" t="s">
        <v>3940</v>
      </c>
      <c r="N4101" s="270" t="s">
        <v>3944</v>
      </c>
      <c r="O4101" s="270">
        <v>2105.92</v>
      </c>
      <c r="P4101" s="270" t="s">
        <v>3944</v>
      </c>
      <c r="Q4101" s="270" t="s">
        <v>3944</v>
      </c>
      <c r="R4101" s="270">
        <v>2105.92</v>
      </c>
      <c r="S4101" s="270">
        <v>32270.36</v>
      </c>
      <c r="T4101" s="270">
        <v>34376.28</v>
      </c>
      <c r="U4101" s="271" t="s">
        <v>3945</v>
      </c>
      <c r="V4101" s="267" t="s">
        <v>944</v>
      </c>
    </row>
    <row r="4102" spans="1:22" hidden="1" x14ac:dyDescent="0.25">
      <c r="A4102" s="266">
        <v>43671</v>
      </c>
      <c r="B4102" s="267">
        <v>2019</v>
      </c>
      <c r="C4102" s="267">
        <v>2020</v>
      </c>
      <c r="D4102" s="267">
        <v>1</v>
      </c>
      <c r="E4102" s="267">
        <v>1</v>
      </c>
      <c r="F4102" s="267" t="s">
        <v>944</v>
      </c>
      <c r="G4102" s="267" t="s">
        <v>3926</v>
      </c>
      <c r="H4102" s="267" t="s">
        <v>8666</v>
      </c>
      <c r="I4102" s="267" t="s">
        <v>4019</v>
      </c>
      <c r="J4102" s="267" t="s">
        <v>3928</v>
      </c>
      <c r="K4102" s="267">
        <v>6708</v>
      </c>
      <c r="L4102" s="267">
        <v>352100</v>
      </c>
      <c r="M4102" s="267" t="s">
        <v>3940</v>
      </c>
      <c r="N4102" s="267" t="s">
        <v>3944</v>
      </c>
      <c r="O4102" s="267">
        <v>4471.67</v>
      </c>
      <c r="P4102" s="267" t="s">
        <v>3944</v>
      </c>
      <c r="Q4102" s="267" t="s">
        <v>3944</v>
      </c>
      <c r="R4102" s="267">
        <v>4471.67</v>
      </c>
      <c r="S4102" s="267">
        <v>69274.13</v>
      </c>
      <c r="T4102" s="267">
        <v>73745.8</v>
      </c>
      <c r="U4102" s="268" t="s">
        <v>3945</v>
      </c>
      <c r="V4102" s="267" t="s">
        <v>944</v>
      </c>
    </row>
    <row r="4103" spans="1:22" hidden="1" x14ac:dyDescent="0.25">
      <c r="A4103" s="269">
        <v>43671</v>
      </c>
      <c r="B4103" s="270">
        <v>2019</v>
      </c>
      <c r="C4103" s="270">
        <v>2020</v>
      </c>
      <c r="D4103" s="270">
        <v>1</v>
      </c>
      <c r="E4103" s="270">
        <v>1</v>
      </c>
      <c r="F4103" s="270" t="s">
        <v>944</v>
      </c>
      <c r="G4103" s="270" t="s">
        <v>3926</v>
      </c>
      <c r="H4103" s="270" t="s">
        <v>8667</v>
      </c>
      <c r="I4103" s="270" t="s">
        <v>4947</v>
      </c>
      <c r="J4103" s="270" t="s">
        <v>3928</v>
      </c>
      <c r="K4103" s="270">
        <v>6787</v>
      </c>
      <c r="L4103" s="270">
        <v>349100</v>
      </c>
      <c r="M4103" s="270" t="s">
        <v>3935</v>
      </c>
      <c r="N4103" s="270" t="s">
        <v>3944</v>
      </c>
      <c r="O4103" s="270">
        <v>2239.69</v>
      </c>
      <c r="P4103" s="270" t="s">
        <v>3944</v>
      </c>
      <c r="Q4103" s="270" t="s">
        <v>3944</v>
      </c>
      <c r="R4103" s="270">
        <v>2239.69</v>
      </c>
      <c r="S4103" s="270">
        <v>31447.42</v>
      </c>
      <c r="T4103" s="270">
        <v>33687.11</v>
      </c>
      <c r="U4103" s="271" t="s">
        <v>3945</v>
      </c>
      <c r="V4103" s="267" t="s">
        <v>944</v>
      </c>
    </row>
    <row r="4104" spans="1:22" hidden="1" x14ac:dyDescent="0.25">
      <c r="A4104" s="266">
        <v>43671</v>
      </c>
      <c r="B4104" s="267">
        <v>2019</v>
      </c>
      <c r="C4104" s="267">
        <v>2020</v>
      </c>
      <c r="D4104" s="267">
        <v>1</v>
      </c>
      <c r="E4104" s="267">
        <v>1</v>
      </c>
      <c r="F4104" s="267" t="s">
        <v>944</v>
      </c>
      <c r="G4104" s="267" t="s">
        <v>3926</v>
      </c>
      <c r="H4104" s="267" t="s">
        <v>8668</v>
      </c>
      <c r="I4104" s="267" t="s">
        <v>4731</v>
      </c>
      <c r="J4104" s="267" t="s">
        <v>3928</v>
      </c>
      <c r="K4104" s="267">
        <v>6478</v>
      </c>
      <c r="L4104" s="267">
        <v>346102</v>
      </c>
      <c r="M4104" s="267" t="s">
        <v>3943</v>
      </c>
      <c r="N4104" s="267" t="s">
        <v>3944</v>
      </c>
      <c r="O4104" s="267">
        <v>2394.6</v>
      </c>
      <c r="P4104" s="267" t="s">
        <v>3944</v>
      </c>
      <c r="Q4104" s="267" t="s">
        <v>3944</v>
      </c>
      <c r="R4104" s="267">
        <v>2394.6</v>
      </c>
      <c r="S4104" s="267">
        <v>32924.089999999997</v>
      </c>
      <c r="T4104" s="267">
        <v>35318.69</v>
      </c>
      <c r="U4104" s="268" t="s">
        <v>3945</v>
      </c>
      <c r="V4104" s="267" t="s">
        <v>944</v>
      </c>
    </row>
    <row r="4105" spans="1:22" hidden="1" x14ac:dyDescent="0.25">
      <c r="A4105" s="269">
        <v>43671</v>
      </c>
      <c r="B4105" s="270">
        <v>2019</v>
      </c>
      <c r="C4105" s="270">
        <v>2020</v>
      </c>
      <c r="D4105" s="270">
        <v>1</v>
      </c>
      <c r="E4105" s="270">
        <v>1</v>
      </c>
      <c r="F4105" s="270" t="s">
        <v>944</v>
      </c>
      <c r="G4105" s="270" t="s">
        <v>3926</v>
      </c>
      <c r="H4105" s="270" t="s">
        <v>8669</v>
      </c>
      <c r="I4105" s="270" t="s">
        <v>4040</v>
      </c>
      <c r="J4105" s="270" t="s">
        <v>3928</v>
      </c>
      <c r="K4105" s="270">
        <v>6339</v>
      </c>
      <c r="L4105" s="270">
        <v>701100</v>
      </c>
      <c r="M4105" s="270" t="s">
        <v>3960</v>
      </c>
      <c r="N4105" s="270" t="s">
        <v>3944</v>
      </c>
      <c r="O4105" s="270">
        <v>1586.17</v>
      </c>
      <c r="P4105" s="270" t="s">
        <v>3944</v>
      </c>
      <c r="Q4105" s="270" t="s">
        <v>3944</v>
      </c>
      <c r="R4105" s="270">
        <v>1586.17</v>
      </c>
      <c r="S4105" s="270">
        <v>23200.22</v>
      </c>
      <c r="T4105" s="270">
        <v>24786.39</v>
      </c>
      <c r="U4105" s="271" t="s">
        <v>3945</v>
      </c>
      <c r="V4105" s="267" t="s">
        <v>944</v>
      </c>
    </row>
    <row r="4106" spans="1:22" hidden="1" x14ac:dyDescent="0.25">
      <c r="A4106" s="266">
        <v>43671</v>
      </c>
      <c r="B4106" s="267">
        <v>2019</v>
      </c>
      <c r="C4106" s="267">
        <v>2020</v>
      </c>
      <c r="D4106" s="267">
        <v>1</v>
      </c>
      <c r="E4106" s="267">
        <v>1</v>
      </c>
      <c r="F4106" s="267" t="s">
        <v>944</v>
      </c>
      <c r="G4106" s="267" t="s">
        <v>3926</v>
      </c>
      <c r="H4106" s="267" t="s">
        <v>8670</v>
      </c>
      <c r="I4106" s="267" t="s">
        <v>4005</v>
      </c>
      <c r="J4106" s="267" t="s">
        <v>3928</v>
      </c>
      <c r="K4106" s="267">
        <v>6108</v>
      </c>
      <c r="L4106" s="267">
        <v>510400</v>
      </c>
      <c r="M4106" s="267">
        <v>-60</v>
      </c>
      <c r="N4106" s="267" t="s">
        <v>3944</v>
      </c>
      <c r="O4106" s="267">
        <v>2388.16</v>
      </c>
      <c r="P4106" s="267" t="s">
        <v>3944</v>
      </c>
      <c r="Q4106" s="267" t="s">
        <v>3944</v>
      </c>
      <c r="R4106" s="267">
        <v>2388.16</v>
      </c>
      <c r="S4106" s="267">
        <v>35696.21</v>
      </c>
      <c r="T4106" s="267">
        <v>38084.370000000003</v>
      </c>
      <c r="U4106" s="268" t="s">
        <v>3945</v>
      </c>
      <c r="V4106" s="267" t="s">
        <v>944</v>
      </c>
    </row>
    <row r="4107" spans="1:22" hidden="1" x14ac:dyDescent="0.25">
      <c r="A4107" s="269">
        <v>43672</v>
      </c>
      <c r="B4107" s="270">
        <v>2019</v>
      </c>
      <c r="C4107" s="270">
        <v>2020</v>
      </c>
      <c r="D4107" s="270">
        <v>1</v>
      </c>
      <c r="E4107" s="270">
        <v>1</v>
      </c>
      <c r="F4107" s="270" t="s">
        <v>944</v>
      </c>
      <c r="G4107" s="270" t="s">
        <v>3926</v>
      </c>
      <c r="H4107" s="270" t="s">
        <v>8671</v>
      </c>
      <c r="I4107" s="270" t="s">
        <v>4126</v>
      </c>
      <c r="J4107" s="270" t="s">
        <v>3928</v>
      </c>
      <c r="K4107" s="270">
        <v>6880</v>
      </c>
      <c r="L4107" s="270">
        <v>50100</v>
      </c>
      <c r="M4107" s="270" t="s">
        <v>3943</v>
      </c>
      <c r="N4107" s="270" t="s">
        <v>8672</v>
      </c>
      <c r="O4107" s="270">
        <v>0</v>
      </c>
      <c r="P4107" s="270" t="s">
        <v>3930</v>
      </c>
      <c r="Q4107" s="270" t="s">
        <v>3930</v>
      </c>
      <c r="R4107" s="270">
        <v>0</v>
      </c>
      <c r="S4107" s="270">
        <v>20792</v>
      </c>
      <c r="T4107" s="270">
        <v>20792</v>
      </c>
      <c r="U4107" s="271" t="s">
        <v>3937</v>
      </c>
      <c r="V4107" s="267" t="s">
        <v>944</v>
      </c>
    </row>
    <row r="4108" spans="1:22" hidden="1" x14ac:dyDescent="0.25">
      <c r="A4108" s="266">
        <v>43672</v>
      </c>
      <c r="B4108" s="267">
        <v>2019</v>
      </c>
      <c r="C4108" s="267">
        <v>2020</v>
      </c>
      <c r="D4108" s="267">
        <v>1</v>
      </c>
      <c r="E4108" s="267">
        <v>1</v>
      </c>
      <c r="F4108" s="267" t="s">
        <v>944</v>
      </c>
      <c r="G4108" s="267" t="s">
        <v>3926</v>
      </c>
      <c r="H4108" s="267" t="s">
        <v>8673</v>
      </c>
      <c r="I4108" s="267" t="s">
        <v>956</v>
      </c>
      <c r="J4108" s="267" t="s">
        <v>3928</v>
      </c>
      <c r="K4108" s="267">
        <v>6614</v>
      </c>
      <c r="L4108" s="267">
        <v>81200</v>
      </c>
      <c r="M4108" s="267" t="s">
        <v>3943</v>
      </c>
      <c r="N4108" s="267" t="s">
        <v>8674</v>
      </c>
      <c r="O4108" s="267">
        <v>0</v>
      </c>
      <c r="P4108" s="267" t="s">
        <v>3930</v>
      </c>
      <c r="Q4108" s="267" t="s">
        <v>3930</v>
      </c>
      <c r="R4108" s="267">
        <v>0</v>
      </c>
      <c r="S4108" s="267">
        <v>8400</v>
      </c>
      <c r="T4108" s="267">
        <v>8400</v>
      </c>
      <c r="U4108" s="268" t="s">
        <v>3937</v>
      </c>
      <c r="V4108" s="267" t="s">
        <v>944</v>
      </c>
    </row>
    <row r="4109" spans="1:22" hidden="1" x14ac:dyDescent="0.25">
      <c r="A4109" s="269">
        <v>43672</v>
      </c>
      <c r="B4109" s="270">
        <v>2019</v>
      </c>
      <c r="C4109" s="270">
        <v>2020</v>
      </c>
      <c r="D4109" s="270">
        <v>1</v>
      </c>
      <c r="E4109" s="270">
        <v>1</v>
      </c>
      <c r="F4109" s="270" t="s">
        <v>944</v>
      </c>
      <c r="G4109" s="270" t="s">
        <v>3926</v>
      </c>
      <c r="H4109" s="270" t="s">
        <v>8675</v>
      </c>
      <c r="I4109" s="270" t="s">
        <v>950</v>
      </c>
      <c r="J4109" s="270" t="s">
        <v>3928</v>
      </c>
      <c r="K4109" s="270">
        <v>6516</v>
      </c>
      <c r="L4109" s="270">
        <v>154600</v>
      </c>
      <c r="M4109" s="270">
        <v>-60</v>
      </c>
      <c r="N4109" s="270" t="s">
        <v>4103</v>
      </c>
      <c r="O4109" s="270">
        <v>1921.96</v>
      </c>
      <c r="P4109" s="270" t="s">
        <v>3930</v>
      </c>
      <c r="Q4109" s="270" t="s">
        <v>3931</v>
      </c>
      <c r="R4109" s="270">
        <v>6921.96</v>
      </c>
      <c r="S4109" s="270">
        <v>24145.599999999999</v>
      </c>
      <c r="T4109" s="270">
        <v>31067.56</v>
      </c>
      <c r="U4109" s="271" t="s">
        <v>3932</v>
      </c>
      <c r="V4109" s="267" t="s">
        <v>944</v>
      </c>
    </row>
    <row r="4110" spans="1:22" hidden="1" x14ac:dyDescent="0.25">
      <c r="A4110" s="266">
        <v>43672</v>
      </c>
      <c r="B4110" s="267">
        <v>2019</v>
      </c>
      <c r="C4110" s="267">
        <v>2020</v>
      </c>
      <c r="D4110" s="267">
        <v>1</v>
      </c>
      <c r="E4110" s="267">
        <v>1</v>
      </c>
      <c r="F4110" s="267" t="s">
        <v>944</v>
      </c>
      <c r="G4110" s="267" t="s">
        <v>3926</v>
      </c>
      <c r="H4110" s="267" t="s">
        <v>8676</v>
      </c>
      <c r="I4110" s="267" t="s">
        <v>4037</v>
      </c>
      <c r="J4110" s="267" t="s">
        <v>3928</v>
      </c>
      <c r="K4110" s="267">
        <v>6811</v>
      </c>
      <c r="L4110" s="267">
        <v>211000</v>
      </c>
      <c r="M4110" s="267" t="s">
        <v>3960</v>
      </c>
      <c r="N4110" s="267" t="s">
        <v>8677</v>
      </c>
      <c r="O4110" s="267">
        <v>4289</v>
      </c>
      <c r="P4110" s="267" t="s">
        <v>3930</v>
      </c>
      <c r="Q4110" s="267" t="s">
        <v>3930</v>
      </c>
      <c r="R4110" s="267">
        <v>4289</v>
      </c>
      <c r="S4110" s="267">
        <v>20798.400000000001</v>
      </c>
      <c r="T4110" s="267">
        <v>25087.4</v>
      </c>
      <c r="U4110" s="268" t="s">
        <v>3937</v>
      </c>
      <c r="V4110" s="267" t="s">
        <v>944</v>
      </c>
    </row>
    <row r="4111" spans="1:22" hidden="1" x14ac:dyDescent="0.25">
      <c r="A4111" s="269">
        <v>43672</v>
      </c>
      <c r="B4111" s="270">
        <v>2019</v>
      </c>
      <c r="C4111" s="270">
        <v>2020</v>
      </c>
      <c r="D4111" s="270">
        <v>1</v>
      </c>
      <c r="E4111" s="270">
        <v>1</v>
      </c>
      <c r="F4111" s="270" t="s">
        <v>944</v>
      </c>
      <c r="G4111" s="270" t="s">
        <v>3926</v>
      </c>
      <c r="H4111" s="270" t="s">
        <v>8678</v>
      </c>
      <c r="I4111" s="270" t="s">
        <v>4490</v>
      </c>
      <c r="J4111" s="270" t="s">
        <v>3928</v>
      </c>
      <c r="K4111" s="270">
        <v>6442</v>
      </c>
      <c r="L4111" s="270">
        <v>630100</v>
      </c>
      <c r="M4111" s="270" t="s">
        <v>3960</v>
      </c>
      <c r="N4111" s="270" t="s">
        <v>8679</v>
      </c>
      <c r="O4111" s="270">
        <v>0</v>
      </c>
      <c r="P4111" s="270" t="s">
        <v>3930</v>
      </c>
      <c r="Q4111" s="270" t="s">
        <v>3930</v>
      </c>
      <c r="R4111" s="270">
        <v>0</v>
      </c>
      <c r="S4111" s="270">
        <v>12549.3</v>
      </c>
      <c r="T4111" s="270">
        <v>12549.3</v>
      </c>
      <c r="U4111" s="271" t="s">
        <v>3937</v>
      </c>
      <c r="V4111" s="267" t="s">
        <v>944</v>
      </c>
    </row>
    <row r="4112" spans="1:22" hidden="1" x14ac:dyDescent="0.25">
      <c r="A4112" s="266">
        <v>43672</v>
      </c>
      <c r="B4112" s="267">
        <v>2019</v>
      </c>
      <c r="C4112" s="267">
        <v>2020</v>
      </c>
      <c r="D4112" s="267">
        <v>1</v>
      </c>
      <c r="E4112" s="267">
        <v>1</v>
      </c>
      <c r="F4112" s="267" t="s">
        <v>944</v>
      </c>
      <c r="G4112" s="267" t="s">
        <v>3997</v>
      </c>
      <c r="H4112" s="267" t="s">
        <v>8680</v>
      </c>
      <c r="I4112" s="267" t="s">
        <v>3025</v>
      </c>
      <c r="J4112" s="267" t="s">
        <v>3928</v>
      </c>
      <c r="K4112" s="267">
        <v>6473</v>
      </c>
      <c r="L4112" s="267">
        <v>167100</v>
      </c>
      <c r="M4112" s="267" t="s">
        <v>3943</v>
      </c>
      <c r="N4112" s="267" t="s">
        <v>3944</v>
      </c>
      <c r="O4112" s="267">
        <v>1959.9</v>
      </c>
      <c r="P4112" s="267" t="s">
        <v>3944</v>
      </c>
      <c r="Q4112" s="267" t="s">
        <v>3944</v>
      </c>
      <c r="R4112" s="267">
        <v>1959.9</v>
      </c>
      <c r="S4112" s="267">
        <v>29291.25</v>
      </c>
      <c r="T4112" s="267">
        <v>31251.15</v>
      </c>
      <c r="U4112" s="268" t="s">
        <v>3945</v>
      </c>
      <c r="V4112" s="267" t="s">
        <v>944</v>
      </c>
    </row>
    <row r="4113" spans="1:22" hidden="1" x14ac:dyDescent="0.25">
      <c r="A4113" s="269">
        <v>43672</v>
      </c>
      <c r="B4113" s="270">
        <v>2019</v>
      </c>
      <c r="C4113" s="270">
        <v>2020</v>
      </c>
      <c r="D4113" s="270">
        <v>1</v>
      </c>
      <c r="E4113" s="270">
        <v>1</v>
      </c>
      <c r="F4113" s="270" t="s">
        <v>944</v>
      </c>
      <c r="G4113" s="270" t="s">
        <v>3926</v>
      </c>
      <c r="H4113" s="270" t="s">
        <v>8681</v>
      </c>
      <c r="I4113" s="270" t="s">
        <v>4114</v>
      </c>
      <c r="J4113" s="270" t="s">
        <v>3928</v>
      </c>
      <c r="K4113" s="270">
        <v>6410</v>
      </c>
      <c r="L4113" s="270">
        <v>343200</v>
      </c>
      <c r="M4113" s="270" t="s">
        <v>3943</v>
      </c>
      <c r="N4113" s="270" t="s">
        <v>3944</v>
      </c>
      <c r="O4113" s="270">
        <v>2555.7399999999998</v>
      </c>
      <c r="P4113" s="270" t="s">
        <v>3944</v>
      </c>
      <c r="Q4113" s="270" t="s">
        <v>3944</v>
      </c>
      <c r="R4113" s="270">
        <v>2555.7399999999998</v>
      </c>
      <c r="S4113" s="270">
        <v>34216.9</v>
      </c>
      <c r="T4113" s="270">
        <v>36772.639999999999</v>
      </c>
      <c r="U4113" s="271" t="s">
        <v>3945</v>
      </c>
      <c r="V4113" s="267" t="s">
        <v>944</v>
      </c>
    </row>
    <row r="4114" spans="1:22" hidden="1" x14ac:dyDescent="0.25">
      <c r="A4114" s="266">
        <v>43672</v>
      </c>
      <c r="B4114" s="267">
        <v>2019</v>
      </c>
      <c r="C4114" s="267">
        <v>2020</v>
      </c>
      <c r="D4114" s="267">
        <v>1</v>
      </c>
      <c r="E4114" s="267">
        <v>1</v>
      </c>
      <c r="F4114" s="267" t="s">
        <v>944</v>
      </c>
      <c r="G4114" s="267" t="s">
        <v>3926</v>
      </c>
      <c r="H4114" s="267" t="s">
        <v>8682</v>
      </c>
      <c r="I4114" s="267" t="s">
        <v>4037</v>
      </c>
      <c r="J4114" s="267" t="s">
        <v>3928</v>
      </c>
      <c r="K4114" s="267">
        <v>6811</v>
      </c>
      <c r="L4114" s="267">
        <v>211200</v>
      </c>
      <c r="M4114" s="267" t="s">
        <v>3960</v>
      </c>
      <c r="N4114" s="267" t="s">
        <v>3944</v>
      </c>
      <c r="O4114" s="267">
        <v>1173.24</v>
      </c>
      <c r="P4114" s="267" t="s">
        <v>3944</v>
      </c>
      <c r="Q4114" s="267" t="s">
        <v>3944</v>
      </c>
      <c r="R4114" s="267">
        <v>1173.24</v>
      </c>
      <c r="S4114" s="267">
        <v>15594.9</v>
      </c>
      <c r="T4114" s="267">
        <v>16768.14</v>
      </c>
      <c r="U4114" s="268" t="s">
        <v>3945</v>
      </c>
      <c r="V4114" s="267" t="s">
        <v>944</v>
      </c>
    </row>
    <row r="4115" spans="1:22" hidden="1" x14ac:dyDescent="0.25">
      <c r="A4115" s="269">
        <v>43672</v>
      </c>
      <c r="B4115" s="270">
        <v>2019</v>
      </c>
      <c r="C4115" s="270">
        <v>2020</v>
      </c>
      <c r="D4115" s="270">
        <v>1</v>
      </c>
      <c r="E4115" s="270">
        <v>1</v>
      </c>
      <c r="F4115" s="270" t="s">
        <v>944</v>
      </c>
      <c r="G4115" s="270" t="s">
        <v>3926</v>
      </c>
      <c r="H4115" s="270" t="s">
        <v>8683</v>
      </c>
      <c r="I4115" s="270" t="s">
        <v>4170</v>
      </c>
      <c r="J4115" s="270" t="s">
        <v>3928</v>
      </c>
      <c r="K4115" s="270">
        <v>6498</v>
      </c>
      <c r="L4115" s="270">
        <v>680100</v>
      </c>
      <c r="M4115" s="270" t="s">
        <v>3935</v>
      </c>
      <c r="N4115" s="270" t="s">
        <v>3944</v>
      </c>
      <c r="O4115" s="270">
        <v>1807.47</v>
      </c>
      <c r="P4115" s="270" t="s">
        <v>3944</v>
      </c>
      <c r="Q4115" s="270" t="s">
        <v>3944</v>
      </c>
      <c r="R4115" s="270">
        <v>1807.47</v>
      </c>
      <c r="S4115" s="270">
        <v>29416.62</v>
      </c>
      <c r="T4115" s="270">
        <v>31224.09</v>
      </c>
      <c r="U4115" s="271" t="s">
        <v>3945</v>
      </c>
      <c r="V4115" s="267" t="s">
        <v>944</v>
      </c>
    </row>
    <row r="4116" spans="1:22" hidden="1" x14ac:dyDescent="0.25">
      <c r="A4116" s="266">
        <v>43672</v>
      </c>
      <c r="B4116" s="267">
        <v>2019</v>
      </c>
      <c r="C4116" s="267">
        <v>2020</v>
      </c>
      <c r="D4116" s="267">
        <v>1</v>
      </c>
      <c r="E4116" s="267">
        <v>1</v>
      </c>
      <c r="F4116" s="267" t="s">
        <v>944</v>
      </c>
      <c r="G4116" s="267" t="s">
        <v>3926</v>
      </c>
      <c r="H4116" s="267" t="s">
        <v>8684</v>
      </c>
      <c r="I4116" s="267" t="s">
        <v>3012</v>
      </c>
      <c r="J4116" s="267" t="s">
        <v>3928</v>
      </c>
      <c r="K4116" s="267">
        <v>6477</v>
      </c>
      <c r="L4116" s="267">
        <v>157200</v>
      </c>
      <c r="M4116" s="267" t="s">
        <v>3943</v>
      </c>
      <c r="N4116" s="267" t="s">
        <v>3944</v>
      </c>
      <c r="O4116" s="267">
        <v>1824.06</v>
      </c>
      <c r="P4116" s="267" t="s">
        <v>3944</v>
      </c>
      <c r="Q4116" s="267" t="s">
        <v>3944</v>
      </c>
      <c r="R4116" s="267">
        <v>1824.06</v>
      </c>
      <c r="S4116" s="267">
        <v>21093.45</v>
      </c>
      <c r="T4116" s="267">
        <v>22917.51</v>
      </c>
      <c r="U4116" s="268" t="s">
        <v>3945</v>
      </c>
      <c r="V4116" s="267" t="s">
        <v>944</v>
      </c>
    </row>
    <row r="4117" spans="1:22" hidden="1" x14ac:dyDescent="0.25">
      <c r="A4117" s="269">
        <v>43672</v>
      </c>
      <c r="B4117" s="270">
        <v>2019</v>
      </c>
      <c r="C4117" s="270">
        <v>2020</v>
      </c>
      <c r="D4117" s="270">
        <v>1</v>
      </c>
      <c r="E4117" s="270">
        <v>1</v>
      </c>
      <c r="F4117" s="270" t="s">
        <v>944</v>
      </c>
      <c r="G4117" s="270" t="s">
        <v>3926</v>
      </c>
      <c r="H4117" s="270" t="s">
        <v>8685</v>
      </c>
      <c r="I4117" s="270" t="s">
        <v>4108</v>
      </c>
      <c r="J4117" s="270" t="s">
        <v>3928</v>
      </c>
      <c r="K4117" s="270">
        <v>6082</v>
      </c>
      <c r="L4117" s="270">
        <v>480900</v>
      </c>
      <c r="M4117" s="270" t="s">
        <v>3960</v>
      </c>
      <c r="N4117" s="270" t="s">
        <v>3944</v>
      </c>
      <c r="O4117" s="270">
        <v>837.87</v>
      </c>
      <c r="P4117" s="270" t="s">
        <v>3944</v>
      </c>
      <c r="Q4117" s="270" t="s">
        <v>3944</v>
      </c>
      <c r="R4117" s="270">
        <v>837.87</v>
      </c>
      <c r="S4117" s="270">
        <v>12700.55</v>
      </c>
      <c r="T4117" s="270">
        <v>13538.42</v>
      </c>
      <c r="U4117" s="271" t="s">
        <v>3945</v>
      </c>
      <c r="V4117" s="267" t="s">
        <v>944</v>
      </c>
    </row>
    <row r="4118" spans="1:22" hidden="1" x14ac:dyDescent="0.25">
      <c r="A4118" s="266">
        <v>43672</v>
      </c>
      <c r="B4118" s="267">
        <v>2019</v>
      </c>
      <c r="C4118" s="267">
        <v>2020</v>
      </c>
      <c r="D4118" s="267">
        <v>1</v>
      </c>
      <c r="E4118" s="267">
        <v>1</v>
      </c>
      <c r="F4118" s="267" t="s">
        <v>944</v>
      </c>
      <c r="G4118" s="267" t="s">
        <v>3926</v>
      </c>
      <c r="H4118" s="267" t="s">
        <v>8686</v>
      </c>
      <c r="I4118" s="267" t="s">
        <v>3966</v>
      </c>
      <c r="J4118" s="267" t="s">
        <v>3928</v>
      </c>
      <c r="K4118" s="267">
        <v>6010</v>
      </c>
      <c r="L4118" s="267">
        <v>405300</v>
      </c>
      <c r="M4118" s="267" t="s">
        <v>3940</v>
      </c>
      <c r="N4118" s="267" t="s">
        <v>3944</v>
      </c>
      <c r="O4118" s="267">
        <v>2055.1</v>
      </c>
      <c r="P4118" s="267" t="s">
        <v>3944</v>
      </c>
      <c r="Q4118" s="267" t="s">
        <v>3944</v>
      </c>
      <c r="R4118" s="267">
        <v>2055.1</v>
      </c>
      <c r="S4118" s="267">
        <v>27771.919999999998</v>
      </c>
      <c r="T4118" s="267">
        <v>29827.02</v>
      </c>
      <c r="U4118" s="268" t="s">
        <v>3945</v>
      </c>
      <c r="V4118" s="267" t="s">
        <v>944</v>
      </c>
    </row>
    <row r="4119" spans="1:22" hidden="1" x14ac:dyDescent="0.25">
      <c r="A4119" s="269">
        <v>43672</v>
      </c>
      <c r="B4119" s="270">
        <v>2019</v>
      </c>
      <c r="C4119" s="270">
        <v>2020</v>
      </c>
      <c r="D4119" s="270">
        <v>1</v>
      </c>
      <c r="E4119" s="270">
        <v>1</v>
      </c>
      <c r="F4119" s="270" t="s">
        <v>944</v>
      </c>
      <c r="G4119" s="270" t="s">
        <v>3926</v>
      </c>
      <c r="H4119" s="270" t="s">
        <v>8687</v>
      </c>
      <c r="I4119" s="270" t="s">
        <v>3954</v>
      </c>
      <c r="J4119" s="270" t="s">
        <v>3928</v>
      </c>
      <c r="K4119" s="270">
        <v>6333</v>
      </c>
      <c r="L4119" s="270">
        <v>716102</v>
      </c>
      <c r="M4119" s="270" t="s">
        <v>3943</v>
      </c>
      <c r="N4119" s="270" t="s">
        <v>3944</v>
      </c>
      <c r="O4119" s="270">
        <v>1640.7</v>
      </c>
      <c r="P4119" s="270" t="s">
        <v>3944</v>
      </c>
      <c r="Q4119" s="270" t="s">
        <v>3944</v>
      </c>
      <c r="R4119" s="270">
        <v>1640.7</v>
      </c>
      <c r="S4119" s="270">
        <v>25194.07</v>
      </c>
      <c r="T4119" s="270">
        <v>26834.77</v>
      </c>
      <c r="U4119" s="271" t="s">
        <v>3945</v>
      </c>
      <c r="V4119" s="267" t="s">
        <v>944</v>
      </c>
    </row>
    <row r="4120" spans="1:22" hidden="1" x14ac:dyDescent="0.25">
      <c r="A4120" s="266">
        <v>43672</v>
      </c>
      <c r="B4120" s="267">
        <v>2019</v>
      </c>
      <c r="C4120" s="267">
        <v>2020</v>
      </c>
      <c r="D4120" s="267">
        <v>1</v>
      </c>
      <c r="E4120" s="267">
        <v>1</v>
      </c>
      <c r="F4120" s="267" t="s">
        <v>944</v>
      </c>
      <c r="G4120" s="267" t="s">
        <v>3926</v>
      </c>
      <c r="H4120" s="267" t="s">
        <v>8688</v>
      </c>
      <c r="I4120" s="267" t="s">
        <v>4005</v>
      </c>
      <c r="J4120" s="267" t="s">
        <v>3928</v>
      </c>
      <c r="K4120" s="267">
        <v>6108</v>
      </c>
      <c r="L4120" s="267">
        <v>511200</v>
      </c>
      <c r="M4120" s="267">
        <v>-60</v>
      </c>
      <c r="N4120" s="267" t="s">
        <v>3944</v>
      </c>
      <c r="O4120" s="267">
        <v>1139.8499999999999</v>
      </c>
      <c r="P4120" s="267" t="s">
        <v>3944</v>
      </c>
      <c r="Q4120" s="267" t="s">
        <v>3944</v>
      </c>
      <c r="R4120" s="267">
        <v>1139.8499999999999</v>
      </c>
      <c r="S4120" s="267">
        <v>18945.150000000001</v>
      </c>
      <c r="T4120" s="267">
        <v>20085</v>
      </c>
      <c r="U4120" s="268" t="s">
        <v>3945</v>
      </c>
      <c r="V4120" s="267" t="s">
        <v>944</v>
      </c>
    </row>
    <row r="4121" spans="1:22" hidden="1" x14ac:dyDescent="0.25">
      <c r="A4121" s="269">
        <v>43672</v>
      </c>
      <c r="B4121" s="270">
        <v>2019</v>
      </c>
      <c r="C4121" s="270">
        <v>2020</v>
      </c>
      <c r="D4121" s="270">
        <v>1</v>
      </c>
      <c r="E4121" s="270">
        <v>1</v>
      </c>
      <c r="F4121" s="270" t="s">
        <v>944</v>
      </c>
      <c r="G4121" s="270" t="s">
        <v>3926</v>
      </c>
      <c r="H4121" s="270" t="s">
        <v>8689</v>
      </c>
      <c r="I4121" s="270" t="s">
        <v>3999</v>
      </c>
      <c r="J4121" s="270" t="s">
        <v>3928</v>
      </c>
      <c r="K4121" s="270">
        <v>6450</v>
      </c>
      <c r="L4121" s="270">
        <v>171100</v>
      </c>
      <c r="M4121" s="270" t="s">
        <v>3940</v>
      </c>
      <c r="N4121" s="270" t="s">
        <v>3944</v>
      </c>
      <c r="O4121" s="270">
        <v>3276.46</v>
      </c>
      <c r="P4121" s="270" t="s">
        <v>3944</v>
      </c>
      <c r="Q4121" s="270" t="s">
        <v>3944</v>
      </c>
      <c r="R4121" s="270">
        <v>3276.46</v>
      </c>
      <c r="S4121" s="270">
        <v>45773.78</v>
      </c>
      <c r="T4121" s="270">
        <v>49050.239999999998</v>
      </c>
      <c r="U4121" s="271" t="s">
        <v>3945</v>
      </c>
      <c r="V4121" s="267" t="s">
        <v>944</v>
      </c>
    </row>
    <row r="4122" spans="1:22" hidden="1" x14ac:dyDescent="0.25">
      <c r="A4122" s="266">
        <v>43672</v>
      </c>
      <c r="B4122" s="267">
        <v>2019</v>
      </c>
      <c r="C4122" s="267">
        <v>2020</v>
      </c>
      <c r="D4122" s="267">
        <v>1</v>
      </c>
      <c r="E4122" s="267">
        <v>1</v>
      </c>
      <c r="F4122" s="267" t="s">
        <v>944</v>
      </c>
      <c r="G4122" s="267" t="s">
        <v>3926</v>
      </c>
      <c r="H4122" s="267" t="s">
        <v>8690</v>
      </c>
      <c r="I4122" s="267" t="s">
        <v>4085</v>
      </c>
      <c r="J4122" s="267" t="s">
        <v>3928</v>
      </c>
      <c r="K4122" s="267">
        <v>6351</v>
      </c>
      <c r="L4122" s="267">
        <v>709100</v>
      </c>
      <c r="M4122" s="267" t="s">
        <v>3935</v>
      </c>
      <c r="N4122" s="267" t="s">
        <v>3944</v>
      </c>
      <c r="O4122" s="267">
        <v>891.8</v>
      </c>
      <c r="P4122" s="267" t="s">
        <v>3944</v>
      </c>
      <c r="Q4122" s="267" t="s">
        <v>3944</v>
      </c>
      <c r="R4122" s="267">
        <v>891.8</v>
      </c>
      <c r="S4122" s="267">
        <v>14766.62</v>
      </c>
      <c r="T4122" s="267">
        <v>15658.42</v>
      </c>
      <c r="U4122" s="268" t="s">
        <v>3945</v>
      </c>
      <c r="V4122" s="267" t="s">
        <v>944</v>
      </c>
    </row>
    <row r="4123" spans="1:22" hidden="1" x14ac:dyDescent="0.25">
      <c r="A4123" s="269">
        <v>43672</v>
      </c>
      <c r="B4123" s="270">
        <v>2019</v>
      </c>
      <c r="C4123" s="270">
        <v>2020</v>
      </c>
      <c r="D4123" s="270">
        <v>1</v>
      </c>
      <c r="E4123" s="270">
        <v>1</v>
      </c>
      <c r="F4123" s="270" t="s">
        <v>944</v>
      </c>
      <c r="G4123" s="270" t="s">
        <v>3926</v>
      </c>
      <c r="H4123" s="270" t="s">
        <v>8691</v>
      </c>
      <c r="I4123" s="270" t="s">
        <v>4035</v>
      </c>
      <c r="J4123" s="270" t="s">
        <v>3928</v>
      </c>
      <c r="K4123" s="270">
        <v>6074</v>
      </c>
      <c r="L4123" s="270">
        <v>487201</v>
      </c>
      <c r="M4123" s="270" t="s">
        <v>3943</v>
      </c>
      <c r="N4123" s="270" t="s">
        <v>3944</v>
      </c>
      <c r="O4123" s="270">
        <v>3513.72</v>
      </c>
      <c r="P4123" s="270" t="s">
        <v>3944</v>
      </c>
      <c r="Q4123" s="270" t="s">
        <v>3944</v>
      </c>
      <c r="R4123" s="270">
        <v>3513.72</v>
      </c>
      <c r="S4123" s="270">
        <v>44316.26</v>
      </c>
      <c r="T4123" s="270">
        <v>47829.98</v>
      </c>
      <c r="U4123" s="271" t="s">
        <v>3945</v>
      </c>
      <c r="V4123" s="267" t="s">
        <v>944</v>
      </c>
    </row>
    <row r="4124" spans="1:22" hidden="1" x14ac:dyDescent="0.25">
      <c r="A4124" s="266">
        <v>43672</v>
      </c>
      <c r="B4124" s="267">
        <v>2019</v>
      </c>
      <c r="C4124" s="267">
        <v>2020</v>
      </c>
      <c r="D4124" s="267">
        <v>1</v>
      </c>
      <c r="E4124" s="267">
        <v>1</v>
      </c>
      <c r="F4124" s="267" t="s">
        <v>944</v>
      </c>
      <c r="G4124" s="267" t="s">
        <v>3926</v>
      </c>
      <c r="H4124" s="267" t="s">
        <v>8692</v>
      </c>
      <c r="I4124" s="267" t="s">
        <v>953</v>
      </c>
      <c r="J4124" s="267" t="s">
        <v>3928</v>
      </c>
      <c r="K4124" s="267">
        <v>6518</v>
      </c>
      <c r="L4124" s="267">
        <v>166002</v>
      </c>
      <c r="M4124" s="267" t="s">
        <v>3960</v>
      </c>
      <c r="N4124" s="267" t="s">
        <v>3944</v>
      </c>
      <c r="O4124" s="267">
        <v>1214.92</v>
      </c>
      <c r="P4124" s="267" t="s">
        <v>3944</v>
      </c>
      <c r="Q4124" s="267" t="s">
        <v>3944</v>
      </c>
      <c r="R4124" s="267">
        <v>1214.92</v>
      </c>
      <c r="S4124" s="267">
        <v>15452.36</v>
      </c>
      <c r="T4124" s="267">
        <v>16667.28</v>
      </c>
      <c r="U4124" s="268" t="s">
        <v>3945</v>
      </c>
      <c r="V4124" s="267" t="s">
        <v>944</v>
      </c>
    </row>
    <row r="4125" spans="1:22" hidden="1" x14ac:dyDescent="0.25">
      <c r="A4125" s="269">
        <v>43672</v>
      </c>
      <c r="B4125" s="270">
        <v>2019</v>
      </c>
      <c r="C4125" s="270">
        <v>2020</v>
      </c>
      <c r="D4125" s="270">
        <v>1</v>
      </c>
      <c r="E4125" s="270">
        <v>1</v>
      </c>
      <c r="F4125" s="270" t="s">
        <v>944</v>
      </c>
      <c r="G4125" s="270" t="s">
        <v>3926</v>
      </c>
      <c r="H4125" s="270" t="s">
        <v>8693</v>
      </c>
      <c r="I4125" s="270" t="s">
        <v>950</v>
      </c>
      <c r="J4125" s="270" t="s">
        <v>3928</v>
      </c>
      <c r="K4125" s="270">
        <v>6516</v>
      </c>
      <c r="L4125" s="270">
        <v>361500</v>
      </c>
      <c r="M4125" s="270" t="s">
        <v>3940</v>
      </c>
      <c r="N4125" s="270" t="s">
        <v>3944</v>
      </c>
      <c r="O4125" s="270">
        <v>1259.93</v>
      </c>
      <c r="P4125" s="270" t="s">
        <v>3944</v>
      </c>
      <c r="Q4125" s="270" t="s">
        <v>3944</v>
      </c>
      <c r="R4125" s="270">
        <v>1259.93</v>
      </c>
      <c r="S4125" s="270">
        <v>21683.06</v>
      </c>
      <c r="T4125" s="270">
        <v>22942.99</v>
      </c>
      <c r="U4125" s="271" t="s">
        <v>3945</v>
      </c>
      <c r="V4125" s="267" t="s">
        <v>944</v>
      </c>
    </row>
    <row r="4126" spans="1:22" hidden="1" x14ac:dyDescent="0.25">
      <c r="A4126" s="266">
        <v>43672</v>
      </c>
      <c r="B4126" s="267">
        <v>2019</v>
      </c>
      <c r="C4126" s="267">
        <v>2020</v>
      </c>
      <c r="D4126" s="267">
        <v>1</v>
      </c>
      <c r="E4126" s="267">
        <v>1</v>
      </c>
      <c r="F4126" s="267" t="s">
        <v>944</v>
      </c>
      <c r="G4126" s="267" t="s">
        <v>3926</v>
      </c>
      <c r="H4126" s="267" t="s">
        <v>8694</v>
      </c>
      <c r="I4126" s="267" t="s">
        <v>3966</v>
      </c>
      <c r="J4126" s="267" t="s">
        <v>3928</v>
      </c>
      <c r="K4126" s="267">
        <v>6010</v>
      </c>
      <c r="L4126" s="267">
        <v>405600</v>
      </c>
      <c r="M4126" s="267" t="s">
        <v>3940</v>
      </c>
      <c r="N4126" s="267" t="s">
        <v>3944</v>
      </c>
      <c r="O4126" s="267">
        <v>1197.7</v>
      </c>
      <c r="P4126" s="267" t="s">
        <v>3944</v>
      </c>
      <c r="Q4126" s="267" t="s">
        <v>3944</v>
      </c>
      <c r="R4126" s="267">
        <v>1197.7</v>
      </c>
      <c r="S4126" s="267">
        <v>18260.04</v>
      </c>
      <c r="T4126" s="267">
        <v>19457.740000000002</v>
      </c>
      <c r="U4126" s="268" t="s">
        <v>3945</v>
      </c>
      <c r="V4126" s="267" t="s">
        <v>944</v>
      </c>
    </row>
    <row r="4127" spans="1:22" hidden="1" x14ac:dyDescent="0.25">
      <c r="A4127" s="269">
        <v>43672</v>
      </c>
      <c r="B4127" s="270">
        <v>2019</v>
      </c>
      <c r="C4127" s="270">
        <v>2020</v>
      </c>
      <c r="D4127" s="270">
        <v>1</v>
      </c>
      <c r="E4127" s="270">
        <v>1</v>
      </c>
      <c r="F4127" s="270" t="s">
        <v>944</v>
      </c>
      <c r="G4127" s="270" t="s">
        <v>3926</v>
      </c>
      <c r="H4127" s="270" t="s">
        <v>8695</v>
      </c>
      <c r="I4127" s="270" t="s">
        <v>4037</v>
      </c>
      <c r="J4127" s="270" t="s">
        <v>3928</v>
      </c>
      <c r="K4127" s="270">
        <v>6810</v>
      </c>
      <c r="L4127" s="270">
        <v>210702</v>
      </c>
      <c r="M4127" s="270" t="s">
        <v>3940</v>
      </c>
      <c r="N4127" s="270" t="s">
        <v>3944</v>
      </c>
      <c r="O4127" s="270">
        <v>565.99</v>
      </c>
      <c r="P4127" s="270" t="s">
        <v>3944</v>
      </c>
      <c r="Q4127" s="270" t="s">
        <v>3944</v>
      </c>
      <c r="R4127" s="270">
        <v>565.99</v>
      </c>
      <c r="S4127" s="270">
        <v>8646.83</v>
      </c>
      <c r="T4127" s="270">
        <v>9212.82</v>
      </c>
      <c r="U4127" s="271" t="s">
        <v>3945</v>
      </c>
      <c r="V4127" s="267" t="s">
        <v>944</v>
      </c>
    </row>
    <row r="4128" spans="1:22" hidden="1" x14ac:dyDescent="0.25">
      <c r="A4128" s="266">
        <v>43672</v>
      </c>
      <c r="B4128" s="267">
        <v>2019</v>
      </c>
      <c r="C4128" s="267">
        <v>2020</v>
      </c>
      <c r="D4128" s="267">
        <v>1</v>
      </c>
      <c r="E4128" s="267">
        <v>1</v>
      </c>
      <c r="F4128" s="267" t="s">
        <v>944</v>
      </c>
      <c r="G4128" s="267" t="s">
        <v>3926</v>
      </c>
      <c r="H4128" s="267" t="s">
        <v>8696</v>
      </c>
      <c r="I4128" s="267" t="s">
        <v>5183</v>
      </c>
      <c r="J4128" s="267" t="s">
        <v>3928</v>
      </c>
      <c r="K4128" s="267">
        <v>6255</v>
      </c>
      <c r="L4128" s="267">
        <v>900100</v>
      </c>
      <c r="M4128" s="267" t="s">
        <v>3935</v>
      </c>
      <c r="N4128" s="267" t="s">
        <v>3944</v>
      </c>
      <c r="O4128" s="267">
        <v>1706.88</v>
      </c>
      <c r="P4128" s="267" t="s">
        <v>3944</v>
      </c>
      <c r="Q4128" s="267" t="s">
        <v>3944</v>
      </c>
      <c r="R4128" s="267">
        <v>1706.88</v>
      </c>
      <c r="S4128" s="267">
        <v>25141.7</v>
      </c>
      <c r="T4128" s="267">
        <v>26848.58</v>
      </c>
      <c r="U4128" s="268" t="s">
        <v>3945</v>
      </c>
      <c r="V4128" s="267" t="s">
        <v>944</v>
      </c>
    </row>
    <row r="4129" spans="1:22" hidden="1" x14ac:dyDescent="0.25">
      <c r="A4129" s="269">
        <v>43672</v>
      </c>
      <c r="B4129" s="270">
        <v>2019</v>
      </c>
      <c r="C4129" s="270">
        <v>2020</v>
      </c>
      <c r="D4129" s="270">
        <v>1</v>
      </c>
      <c r="E4129" s="270">
        <v>1</v>
      </c>
      <c r="F4129" s="270" t="s">
        <v>944</v>
      </c>
      <c r="G4129" s="270" t="s">
        <v>3926</v>
      </c>
      <c r="H4129" s="270" t="s">
        <v>8697</v>
      </c>
      <c r="I4129" s="270" t="s">
        <v>3025</v>
      </c>
      <c r="J4129" s="270" t="s">
        <v>3928</v>
      </c>
      <c r="K4129" s="270">
        <v>6473</v>
      </c>
      <c r="L4129" s="270">
        <v>167202</v>
      </c>
      <c r="M4129" s="270" t="s">
        <v>3935</v>
      </c>
      <c r="N4129" s="270" t="s">
        <v>3944</v>
      </c>
      <c r="O4129" s="270">
        <v>1016.23</v>
      </c>
      <c r="P4129" s="270" t="s">
        <v>3944</v>
      </c>
      <c r="Q4129" s="270" t="s">
        <v>3944</v>
      </c>
      <c r="R4129" s="270">
        <v>1016.23</v>
      </c>
      <c r="S4129" s="270">
        <v>15915.61</v>
      </c>
      <c r="T4129" s="270">
        <v>16931.84</v>
      </c>
      <c r="U4129" s="271" t="s">
        <v>3945</v>
      </c>
      <c r="V4129" s="267" t="s">
        <v>944</v>
      </c>
    </row>
    <row r="4130" spans="1:22" hidden="1" x14ac:dyDescent="0.25">
      <c r="A4130" s="266">
        <v>43672</v>
      </c>
      <c r="B4130" s="267">
        <v>2019</v>
      </c>
      <c r="C4130" s="267">
        <v>2020</v>
      </c>
      <c r="D4130" s="267">
        <v>1</v>
      </c>
      <c r="E4130" s="267">
        <v>1</v>
      </c>
      <c r="F4130" s="267" t="s">
        <v>944</v>
      </c>
      <c r="G4130" s="267" t="s">
        <v>3926</v>
      </c>
      <c r="H4130" s="267" t="s">
        <v>8698</v>
      </c>
      <c r="I4130" s="267" t="s">
        <v>4037</v>
      </c>
      <c r="J4130" s="267" t="s">
        <v>3928</v>
      </c>
      <c r="K4130" s="267">
        <v>6810</v>
      </c>
      <c r="L4130" s="267">
        <v>210600</v>
      </c>
      <c r="M4130" s="267" t="s">
        <v>3940</v>
      </c>
      <c r="N4130" s="267" t="s">
        <v>3944</v>
      </c>
      <c r="O4130" s="267">
        <v>1553.62</v>
      </c>
      <c r="P4130" s="267" t="s">
        <v>3944</v>
      </c>
      <c r="Q4130" s="267" t="s">
        <v>3944</v>
      </c>
      <c r="R4130" s="267">
        <v>1553.62</v>
      </c>
      <c r="S4130" s="267">
        <v>22407.19</v>
      </c>
      <c r="T4130" s="267">
        <v>23960.81</v>
      </c>
      <c r="U4130" s="268" t="s">
        <v>3945</v>
      </c>
      <c r="V4130" s="267" t="s">
        <v>944</v>
      </c>
    </row>
    <row r="4131" spans="1:22" hidden="1" x14ac:dyDescent="0.25">
      <c r="A4131" s="269">
        <v>43673</v>
      </c>
      <c r="B4131" s="270">
        <v>2019</v>
      </c>
      <c r="C4131" s="270">
        <v>2020</v>
      </c>
      <c r="D4131" s="270">
        <v>1</v>
      </c>
      <c r="E4131" s="270">
        <v>1</v>
      </c>
      <c r="F4131" s="270" t="s">
        <v>944</v>
      </c>
      <c r="G4131" s="270" t="s">
        <v>3926</v>
      </c>
      <c r="H4131" s="270" t="s">
        <v>8699</v>
      </c>
      <c r="I4131" s="270" t="s">
        <v>4108</v>
      </c>
      <c r="J4131" s="270" t="s">
        <v>3928</v>
      </c>
      <c r="K4131" s="270">
        <v>6082</v>
      </c>
      <c r="L4131" s="270">
        <v>480500</v>
      </c>
      <c r="M4131" s="270" t="s">
        <v>3935</v>
      </c>
      <c r="N4131" s="270" t="s">
        <v>4103</v>
      </c>
      <c r="O4131" s="270">
        <v>1890.42</v>
      </c>
      <c r="P4131" s="270" t="s">
        <v>3930</v>
      </c>
      <c r="Q4131" s="270" t="s">
        <v>3931</v>
      </c>
      <c r="R4131" s="270">
        <v>6890.42</v>
      </c>
      <c r="S4131" s="270">
        <v>24145.599999999999</v>
      </c>
      <c r="T4131" s="270">
        <v>31036.02</v>
      </c>
      <c r="U4131" s="271" t="s">
        <v>3932</v>
      </c>
      <c r="V4131" s="267" t="s">
        <v>944</v>
      </c>
    </row>
    <row r="4132" spans="1:22" hidden="1" x14ac:dyDescent="0.25">
      <c r="A4132" s="266">
        <v>43674</v>
      </c>
      <c r="B4132" s="267">
        <v>2019</v>
      </c>
      <c r="C4132" s="267">
        <v>2020</v>
      </c>
      <c r="D4132" s="267">
        <v>1</v>
      </c>
      <c r="E4132" s="267">
        <v>1</v>
      </c>
      <c r="F4132" s="267" t="s">
        <v>944</v>
      </c>
      <c r="G4132" s="267" t="s">
        <v>3926</v>
      </c>
      <c r="H4132" s="267" t="s">
        <v>8700</v>
      </c>
      <c r="I4132" s="267" t="s">
        <v>4019</v>
      </c>
      <c r="J4132" s="267" t="s">
        <v>3928</v>
      </c>
      <c r="K4132" s="267">
        <v>6708</v>
      </c>
      <c r="L4132" s="267">
        <v>352000</v>
      </c>
      <c r="M4132" s="267" t="s">
        <v>3935</v>
      </c>
      <c r="N4132" s="267" t="s">
        <v>4103</v>
      </c>
      <c r="O4132" s="267">
        <v>2095.1</v>
      </c>
      <c r="P4132" s="267" t="s">
        <v>3930</v>
      </c>
      <c r="Q4132" s="267" t="s">
        <v>3931</v>
      </c>
      <c r="R4132" s="267">
        <v>7095.1</v>
      </c>
      <c r="S4132" s="267">
        <v>24145.599999999999</v>
      </c>
      <c r="T4132" s="267">
        <v>31240.7</v>
      </c>
      <c r="U4132" s="268" t="s">
        <v>3932</v>
      </c>
      <c r="V4132" s="267" t="s">
        <v>944</v>
      </c>
    </row>
    <row r="4133" spans="1:22" hidden="1" x14ac:dyDescent="0.25">
      <c r="A4133" s="269">
        <v>43674</v>
      </c>
      <c r="B4133" s="270">
        <v>2019</v>
      </c>
      <c r="C4133" s="270">
        <v>2020</v>
      </c>
      <c r="D4133" s="270">
        <v>1</v>
      </c>
      <c r="E4133" s="270">
        <v>1</v>
      </c>
      <c r="F4133" s="270" t="s">
        <v>944</v>
      </c>
      <c r="G4133" s="270" t="s">
        <v>3926</v>
      </c>
      <c r="H4133" s="270" t="s">
        <v>8701</v>
      </c>
      <c r="I4133" s="270" t="s">
        <v>934</v>
      </c>
      <c r="J4133" s="270" t="s">
        <v>3928</v>
      </c>
      <c r="K4133" s="270">
        <v>6606</v>
      </c>
      <c r="L4133" s="270">
        <v>72900</v>
      </c>
      <c r="M4133" s="270" t="s">
        <v>3940</v>
      </c>
      <c r="N4133" s="270" t="s">
        <v>4103</v>
      </c>
      <c r="O4133" s="270">
        <v>1824.87</v>
      </c>
      <c r="P4133" s="270" t="s">
        <v>3930</v>
      </c>
      <c r="Q4133" s="270" t="s">
        <v>3931</v>
      </c>
      <c r="R4133" s="270">
        <v>6824.87</v>
      </c>
      <c r="S4133" s="270">
        <v>24145.599999999999</v>
      </c>
      <c r="T4133" s="270">
        <v>30970.47</v>
      </c>
      <c r="U4133" s="271" t="s">
        <v>3932</v>
      </c>
      <c r="V4133" s="267" t="s">
        <v>944</v>
      </c>
    </row>
    <row r="4134" spans="1:22" hidden="1" x14ac:dyDescent="0.25">
      <c r="A4134" s="266">
        <v>43675</v>
      </c>
      <c r="B4134" s="267">
        <v>2019</v>
      </c>
      <c r="C4134" s="267">
        <v>2020</v>
      </c>
      <c r="D4134" s="267">
        <v>1</v>
      </c>
      <c r="E4134" s="267">
        <v>1</v>
      </c>
      <c r="F4134" s="267" t="s">
        <v>944</v>
      </c>
      <c r="G4134" s="267" t="s">
        <v>3926</v>
      </c>
      <c r="H4134" s="267" t="s">
        <v>8702</v>
      </c>
      <c r="I4134" s="267" t="s">
        <v>4042</v>
      </c>
      <c r="J4134" s="267" t="s">
        <v>3928</v>
      </c>
      <c r="K4134" s="267">
        <v>6370</v>
      </c>
      <c r="L4134" s="267">
        <v>695202</v>
      </c>
      <c r="M4134" s="267" t="s">
        <v>3935</v>
      </c>
      <c r="N4134" s="267" t="s">
        <v>8703</v>
      </c>
      <c r="O4134" s="267">
        <v>0</v>
      </c>
      <c r="P4134" s="267" t="s">
        <v>3930</v>
      </c>
      <c r="Q4134" s="267" t="s">
        <v>3930</v>
      </c>
      <c r="R4134" s="267">
        <v>0</v>
      </c>
      <c r="S4134" s="267">
        <v>11595</v>
      </c>
      <c r="T4134" s="267">
        <v>11595</v>
      </c>
      <c r="U4134" s="268" t="s">
        <v>3937</v>
      </c>
      <c r="V4134" s="267" t="s">
        <v>944</v>
      </c>
    </row>
    <row r="4135" spans="1:22" hidden="1" x14ac:dyDescent="0.25">
      <c r="A4135" s="269">
        <v>43675</v>
      </c>
      <c r="B4135" s="270">
        <v>2019</v>
      </c>
      <c r="C4135" s="270">
        <v>2020</v>
      </c>
      <c r="D4135" s="270">
        <v>1</v>
      </c>
      <c r="E4135" s="270">
        <v>1</v>
      </c>
      <c r="F4135" s="270" t="s">
        <v>944</v>
      </c>
      <c r="G4135" s="270" t="s">
        <v>3926</v>
      </c>
      <c r="H4135" s="270" t="s">
        <v>8704</v>
      </c>
      <c r="I4135" s="270" t="s">
        <v>943</v>
      </c>
      <c r="J4135" s="270" t="s">
        <v>3928</v>
      </c>
      <c r="K4135" s="270">
        <v>6513</v>
      </c>
      <c r="L4135" s="270">
        <v>142601</v>
      </c>
      <c r="M4135" s="270" t="s">
        <v>3940</v>
      </c>
      <c r="N4135" s="270" t="s">
        <v>8705</v>
      </c>
      <c r="O4135" s="270">
        <v>0</v>
      </c>
      <c r="P4135" s="270" t="s">
        <v>3930</v>
      </c>
      <c r="Q4135" s="270" t="s">
        <v>3930</v>
      </c>
      <c r="R4135" s="270">
        <v>0</v>
      </c>
      <c r="S4135" s="270">
        <v>3270</v>
      </c>
      <c r="T4135" s="270">
        <v>3270</v>
      </c>
      <c r="U4135" s="271" t="s">
        <v>3937</v>
      </c>
      <c r="V4135" s="267" t="s">
        <v>944</v>
      </c>
    </row>
    <row r="4136" spans="1:22" hidden="1" x14ac:dyDescent="0.25">
      <c r="A4136" s="266">
        <v>43675</v>
      </c>
      <c r="B4136" s="267">
        <v>2019</v>
      </c>
      <c r="C4136" s="267">
        <v>2020</v>
      </c>
      <c r="D4136" s="267">
        <v>1</v>
      </c>
      <c r="E4136" s="267">
        <v>1</v>
      </c>
      <c r="F4136" s="267" t="s">
        <v>944</v>
      </c>
      <c r="G4136" s="267" t="s">
        <v>3926</v>
      </c>
      <c r="H4136" s="267" t="s">
        <v>8706</v>
      </c>
      <c r="I4136" s="267" t="s">
        <v>3956</v>
      </c>
      <c r="J4136" s="267" t="s">
        <v>3928</v>
      </c>
      <c r="K4136" s="267">
        <v>6106</v>
      </c>
      <c r="L4136" s="267">
        <v>504100</v>
      </c>
      <c r="M4136" s="267">
        <v>-60</v>
      </c>
      <c r="N4136" s="267" t="s">
        <v>3983</v>
      </c>
      <c r="O4136" s="267">
        <v>3408.84</v>
      </c>
      <c r="P4136" s="267" t="s">
        <v>3930</v>
      </c>
      <c r="Q4136" s="267" t="s">
        <v>3931</v>
      </c>
      <c r="R4136" s="267">
        <v>8408.84</v>
      </c>
      <c r="S4136" s="267">
        <v>16504</v>
      </c>
      <c r="T4136" s="267">
        <v>24912.84</v>
      </c>
      <c r="U4136" s="268" t="s">
        <v>3932</v>
      </c>
      <c r="V4136" s="267" t="s">
        <v>944</v>
      </c>
    </row>
    <row r="4137" spans="1:22" hidden="1" x14ac:dyDescent="0.25">
      <c r="A4137" s="269">
        <v>43675</v>
      </c>
      <c r="B4137" s="270">
        <v>2019</v>
      </c>
      <c r="C4137" s="270">
        <v>2020</v>
      </c>
      <c r="D4137" s="270">
        <v>1</v>
      </c>
      <c r="E4137" s="270">
        <v>1</v>
      </c>
      <c r="F4137" s="270" t="s">
        <v>944</v>
      </c>
      <c r="G4137" s="270" t="s">
        <v>3926</v>
      </c>
      <c r="H4137" s="270" t="s">
        <v>8707</v>
      </c>
      <c r="I4137" s="270" t="s">
        <v>4111</v>
      </c>
      <c r="J4137" s="270" t="s">
        <v>3928</v>
      </c>
      <c r="K4137" s="270">
        <v>6095</v>
      </c>
      <c r="L4137" s="270">
        <v>473800</v>
      </c>
      <c r="M4137" s="270" t="s">
        <v>3935</v>
      </c>
      <c r="N4137" s="270" t="s">
        <v>8708</v>
      </c>
      <c r="O4137" s="270">
        <v>0</v>
      </c>
      <c r="P4137" s="270" t="s">
        <v>3930</v>
      </c>
      <c r="Q4137" s="270" t="s">
        <v>3930</v>
      </c>
      <c r="R4137" s="270">
        <v>0</v>
      </c>
      <c r="S4137" s="270">
        <v>11166.75</v>
      </c>
      <c r="T4137" s="270">
        <v>11166.75</v>
      </c>
      <c r="U4137" s="271" t="s">
        <v>3937</v>
      </c>
      <c r="V4137" s="267" t="s">
        <v>944</v>
      </c>
    </row>
    <row r="4138" spans="1:22" hidden="1" x14ac:dyDescent="0.25">
      <c r="A4138" s="266">
        <v>43675</v>
      </c>
      <c r="B4138" s="267">
        <v>2019</v>
      </c>
      <c r="C4138" s="267">
        <v>2020</v>
      </c>
      <c r="D4138" s="267">
        <v>1</v>
      </c>
      <c r="E4138" s="267">
        <v>1</v>
      </c>
      <c r="F4138" s="267" t="s">
        <v>944</v>
      </c>
      <c r="G4138" s="267" t="s">
        <v>3926</v>
      </c>
      <c r="H4138" s="267" t="s">
        <v>8709</v>
      </c>
      <c r="I4138" s="267" t="s">
        <v>956</v>
      </c>
      <c r="J4138" s="267" t="s">
        <v>3928</v>
      </c>
      <c r="K4138" s="267">
        <v>6615</v>
      </c>
      <c r="L4138" s="267">
        <v>80700</v>
      </c>
      <c r="M4138" s="267" t="s">
        <v>3935</v>
      </c>
      <c r="N4138" s="267" t="s">
        <v>7643</v>
      </c>
      <c r="O4138" s="267">
        <v>1602.97</v>
      </c>
      <c r="P4138" s="267" t="s">
        <v>3930</v>
      </c>
      <c r="Q4138" s="267" t="s">
        <v>3931</v>
      </c>
      <c r="R4138" s="267">
        <v>6602.97</v>
      </c>
      <c r="S4138" s="267">
        <v>29295.3</v>
      </c>
      <c r="T4138" s="267">
        <v>35898.269999999997</v>
      </c>
      <c r="U4138" s="268" t="s">
        <v>3932</v>
      </c>
      <c r="V4138" s="267" t="s">
        <v>944</v>
      </c>
    </row>
    <row r="4139" spans="1:22" hidden="1" x14ac:dyDescent="0.25">
      <c r="A4139" s="269">
        <v>43675</v>
      </c>
      <c r="B4139" s="270">
        <v>2019</v>
      </c>
      <c r="C4139" s="270">
        <v>2020</v>
      </c>
      <c r="D4139" s="270">
        <v>1</v>
      </c>
      <c r="E4139" s="270">
        <v>1</v>
      </c>
      <c r="F4139" s="270" t="s">
        <v>944</v>
      </c>
      <c r="G4139" s="270" t="s">
        <v>3926</v>
      </c>
      <c r="H4139" s="270" t="s">
        <v>8710</v>
      </c>
      <c r="I4139" s="270" t="s">
        <v>4108</v>
      </c>
      <c r="J4139" s="270" t="s">
        <v>3928</v>
      </c>
      <c r="K4139" s="270">
        <v>6082</v>
      </c>
      <c r="L4139" s="270">
        <v>480700</v>
      </c>
      <c r="M4139" s="270" t="s">
        <v>3940</v>
      </c>
      <c r="N4139" s="270" t="s">
        <v>4701</v>
      </c>
      <c r="O4139" s="270">
        <v>2216.0300000000002</v>
      </c>
      <c r="P4139" s="270" t="s">
        <v>3930</v>
      </c>
      <c r="Q4139" s="270" t="s">
        <v>3931</v>
      </c>
      <c r="R4139" s="270">
        <v>7216.03</v>
      </c>
      <c r="S4139" s="270">
        <v>34648</v>
      </c>
      <c r="T4139" s="270">
        <v>41864.03</v>
      </c>
      <c r="U4139" s="271" t="s">
        <v>3932</v>
      </c>
      <c r="V4139" s="267" t="s">
        <v>944</v>
      </c>
    </row>
    <row r="4140" spans="1:22" hidden="1" x14ac:dyDescent="0.25">
      <c r="A4140" s="266">
        <v>43675</v>
      </c>
      <c r="B4140" s="267">
        <v>2019</v>
      </c>
      <c r="C4140" s="267">
        <v>2020</v>
      </c>
      <c r="D4140" s="267">
        <v>1</v>
      </c>
      <c r="E4140" s="267">
        <v>1</v>
      </c>
      <c r="F4140" s="267" t="s">
        <v>944</v>
      </c>
      <c r="G4140" s="267" t="s">
        <v>3926</v>
      </c>
      <c r="H4140" s="267" t="s">
        <v>8711</v>
      </c>
      <c r="I4140" s="267" t="s">
        <v>4422</v>
      </c>
      <c r="J4140" s="267" t="s">
        <v>3928</v>
      </c>
      <c r="K4140" s="267">
        <v>6801</v>
      </c>
      <c r="L4140" s="267">
        <v>200301</v>
      </c>
      <c r="M4140" s="267" t="s">
        <v>3943</v>
      </c>
      <c r="N4140" s="267" t="s">
        <v>4103</v>
      </c>
      <c r="O4140" s="267">
        <v>1622.04</v>
      </c>
      <c r="P4140" s="267" t="s">
        <v>3930</v>
      </c>
      <c r="Q4140" s="267" t="s">
        <v>3931</v>
      </c>
      <c r="R4140" s="267">
        <v>6622.04</v>
      </c>
      <c r="S4140" s="267">
        <v>24145.599999999999</v>
      </c>
      <c r="T4140" s="267">
        <v>30767.64</v>
      </c>
      <c r="U4140" s="268" t="s">
        <v>3932</v>
      </c>
      <c r="V4140" s="267" t="s">
        <v>944</v>
      </c>
    </row>
    <row r="4141" spans="1:22" hidden="1" x14ac:dyDescent="0.25">
      <c r="A4141" s="269">
        <v>43675</v>
      </c>
      <c r="B4141" s="270">
        <v>2019</v>
      </c>
      <c r="C4141" s="270">
        <v>2020</v>
      </c>
      <c r="D4141" s="270">
        <v>1</v>
      </c>
      <c r="E4141" s="270">
        <v>1</v>
      </c>
      <c r="F4141" s="270" t="s">
        <v>944</v>
      </c>
      <c r="G4141" s="270" t="s">
        <v>3926</v>
      </c>
      <c r="H4141" s="270" t="s">
        <v>8712</v>
      </c>
      <c r="I4141" s="270" t="s">
        <v>5485</v>
      </c>
      <c r="J4141" s="270" t="s">
        <v>3928</v>
      </c>
      <c r="K4141" s="270">
        <v>6001</v>
      </c>
      <c r="L4141" s="270">
        <v>462201</v>
      </c>
      <c r="M4141" s="270" t="s">
        <v>3960</v>
      </c>
      <c r="N4141" s="270" t="s">
        <v>3944</v>
      </c>
      <c r="O4141" s="270">
        <v>2704</v>
      </c>
      <c r="P4141" s="270" t="s">
        <v>3944</v>
      </c>
      <c r="Q4141" s="270" t="s">
        <v>3944</v>
      </c>
      <c r="R4141" s="270">
        <v>2704</v>
      </c>
      <c r="S4141" s="270">
        <v>56372</v>
      </c>
      <c r="T4141" s="270">
        <v>59076</v>
      </c>
      <c r="U4141" s="271" t="s">
        <v>3945</v>
      </c>
      <c r="V4141" s="267" t="s">
        <v>944</v>
      </c>
    </row>
    <row r="4142" spans="1:22" hidden="1" x14ac:dyDescent="0.25">
      <c r="A4142" s="266">
        <v>43675</v>
      </c>
      <c r="B4142" s="267">
        <v>2019</v>
      </c>
      <c r="C4142" s="267">
        <v>2020</v>
      </c>
      <c r="D4142" s="267">
        <v>1</v>
      </c>
      <c r="E4142" s="267">
        <v>1</v>
      </c>
      <c r="F4142" s="267" t="s">
        <v>944</v>
      </c>
      <c r="G4142" s="267" t="s">
        <v>3926</v>
      </c>
      <c r="H4142" s="267" t="s">
        <v>8713</v>
      </c>
      <c r="I4142" s="267" t="s">
        <v>934</v>
      </c>
      <c r="J4142" s="267" t="s">
        <v>3928</v>
      </c>
      <c r="K4142" s="267">
        <v>6606</v>
      </c>
      <c r="L4142" s="267">
        <v>72500</v>
      </c>
      <c r="M4142" s="267" t="s">
        <v>3940</v>
      </c>
      <c r="N4142" s="267" t="s">
        <v>3944</v>
      </c>
      <c r="O4142" s="267">
        <v>2434</v>
      </c>
      <c r="P4142" s="267" t="s">
        <v>3944</v>
      </c>
      <c r="Q4142" s="267" t="s">
        <v>3944</v>
      </c>
      <c r="R4142" s="267">
        <v>2434</v>
      </c>
      <c r="S4142" s="267">
        <v>22647.24</v>
      </c>
      <c r="T4142" s="267">
        <v>25081.24</v>
      </c>
      <c r="U4142" s="268" t="s">
        <v>3945</v>
      </c>
      <c r="V4142" s="267" t="s">
        <v>944</v>
      </c>
    </row>
    <row r="4143" spans="1:22" hidden="1" x14ac:dyDescent="0.25">
      <c r="A4143" s="269">
        <v>43675</v>
      </c>
      <c r="B4143" s="270">
        <v>2019</v>
      </c>
      <c r="C4143" s="270">
        <v>2020</v>
      </c>
      <c r="D4143" s="270">
        <v>1</v>
      </c>
      <c r="E4143" s="270">
        <v>1</v>
      </c>
      <c r="F4143" s="270" t="s">
        <v>944</v>
      </c>
      <c r="G4143" s="270" t="s">
        <v>3926</v>
      </c>
      <c r="H4143" s="270" t="s">
        <v>8714</v>
      </c>
      <c r="I4143" s="270" t="s">
        <v>4014</v>
      </c>
      <c r="J4143" s="270" t="s">
        <v>3928</v>
      </c>
      <c r="K4143" s="270">
        <v>6420</v>
      </c>
      <c r="L4143" s="270">
        <v>715100</v>
      </c>
      <c r="M4143" s="270" t="s">
        <v>3943</v>
      </c>
      <c r="N4143" s="270" t="s">
        <v>3944</v>
      </c>
      <c r="O4143" s="270">
        <v>3386</v>
      </c>
      <c r="P4143" s="270" t="s">
        <v>3944</v>
      </c>
      <c r="Q4143" s="270" t="s">
        <v>3944</v>
      </c>
      <c r="R4143" s="270">
        <v>3386</v>
      </c>
      <c r="S4143" s="270">
        <v>38344</v>
      </c>
      <c r="T4143" s="270">
        <v>41730</v>
      </c>
      <c r="U4143" s="271" t="s">
        <v>3945</v>
      </c>
      <c r="V4143" s="267" t="s">
        <v>944</v>
      </c>
    </row>
    <row r="4144" spans="1:22" hidden="1" x14ac:dyDescent="0.25">
      <c r="A4144" s="266">
        <v>43675</v>
      </c>
      <c r="B4144" s="267">
        <v>2019</v>
      </c>
      <c r="C4144" s="267">
        <v>2020</v>
      </c>
      <c r="D4144" s="267">
        <v>1</v>
      </c>
      <c r="E4144" s="267">
        <v>1</v>
      </c>
      <c r="F4144" s="267" t="s">
        <v>944</v>
      </c>
      <c r="G4144" s="267" t="s">
        <v>3926</v>
      </c>
      <c r="H4144" s="267" t="s">
        <v>8715</v>
      </c>
      <c r="I4144" s="267" t="s">
        <v>3947</v>
      </c>
      <c r="J4144" s="267" t="s">
        <v>3928</v>
      </c>
      <c r="K4144" s="267">
        <v>6035</v>
      </c>
      <c r="L4144" s="267">
        <v>468101</v>
      </c>
      <c r="M4144" s="267" t="s">
        <v>3943</v>
      </c>
      <c r="N4144" s="267" t="s">
        <v>3944</v>
      </c>
      <c r="O4144" s="267">
        <v>2671</v>
      </c>
      <c r="P4144" s="267" t="s">
        <v>3944</v>
      </c>
      <c r="Q4144" s="267" t="s">
        <v>3944</v>
      </c>
      <c r="R4144" s="267">
        <v>2671</v>
      </c>
      <c r="S4144" s="267">
        <v>48637.64</v>
      </c>
      <c r="T4144" s="267">
        <v>51308.639999999999</v>
      </c>
      <c r="U4144" s="268" t="s">
        <v>3945</v>
      </c>
      <c r="V4144" s="267" t="s">
        <v>944</v>
      </c>
    </row>
    <row r="4145" spans="1:22" hidden="1" x14ac:dyDescent="0.25">
      <c r="A4145" s="269">
        <v>43675</v>
      </c>
      <c r="B4145" s="270">
        <v>2019</v>
      </c>
      <c r="C4145" s="270">
        <v>2020</v>
      </c>
      <c r="D4145" s="270">
        <v>1</v>
      </c>
      <c r="E4145" s="270">
        <v>1</v>
      </c>
      <c r="F4145" s="270" t="s">
        <v>944</v>
      </c>
      <c r="G4145" s="270" t="s">
        <v>3926</v>
      </c>
      <c r="H4145" s="270" t="s">
        <v>8716</v>
      </c>
      <c r="I4145" s="270" t="s">
        <v>3014</v>
      </c>
      <c r="J4145" s="270" t="s">
        <v>3928</v>
      </c>
      <c r="K4145" s="270">
        <v>6525</v>
      </c>
      <c r="L4145" s="270">
        <v>160100</v>
      </c>
      <c r="M4145" s="270" t="s">
        <v>3943</v>
      </c>
      <c r="N4145" s="270" t="s">
        <v>3944</v>
      </c>
      <c r="O4145" s="270">
        <v>6043</v>
      </c>
      <c r="P4145" s="270" t="s">
        <v>3944</v>
      </c>
      <c r="Q4145" s="270" t="s">
        <v>3944</v>
      </c>
      <c r="R4145" s="270">
        <v>6043</v>
      </c>
      <c r="S4145" s="270">
        <v>39248</v>
      </c>
      <c r="T4145" s="270">
        <v>45291</v>
      </c>
      <c r="U4145" s="271" t="s">
        <v>3945</v>
      </c>
      <c r="V4145" s="267" t="s">
        <v>944</v>
      </c>
    </row>
    <row r="4146" spans="1:22" hidden="1" x14ac:dyDescent="0.25">
      <c r="A4146" s="266">
        <v>43675</v>
      </c>
      <c r="B4146" s="267">
        <v>2019</v>
      </c>
      <c r="C4146" s="267">
        <v>2020</v>
      </c>
      <c r="D4146" s="267">
        <v>1</v>
      </c>
      <c r="E4146" s="267">
        <v>1</v>
      </c>
      <c r="F4146" s="267" t="s">
        <v>944</v>
      </c>
      <c r="G4146" s="267" t="s">
        <v>3926</v>
      </c>
      <c r="H4146" s="267" t="s">
        <v>8717</v>
      </c>
      <c r="I4146" s="267" t="s">
        <v>6209</v>
      </c>
      <c r="J4146" s="267" t="s">
        <v>3928</v>
      </c>
      <c r="K4146" s="267">
        <v>6403</v>
      </c>
      <c r="L4146" s="267">
        <v>341100</v>
      </c>
      <c r="M4146" s="267" t="s">
        <v>3935</v>
      </c>
      <c r="N4146" s="267" t="s">
        <v>3944</v>
      </c>
      <c r="O4146" s="267">
        <v>1369</v>
      </c>
      <c r="P4146" s="267" t="s">
        <v>3944</v>
      </c>
      <c r="Q4146" s="267" t="s">
        <v>3944</v>
      </c>
      <c r="R4146" s="267">
        <v>1369</v>
      </c>
      <c r="S4146" s="267">
        <v>15685</v>
      </c>
      <c r="T4146" s="267">
        <v>17054</v>
      </c>
      <c r="U4146" s="268" t="s">
        <v>3945</v>
      </c>
      <c r="V4146" s="267" t="s">
        <v>944</v>
      </c>
    </row>
    <row r="4147" spans="1:22" hidden="1" x14ac:dyDescent="0.25">
      <c r="A4147" s="269">
        <v>43675</v>
      </c>
      <c r="B4147" s="270">
        <v>2019</v>
      </c>
      <c r="C4147" s="270">
        <v>2020</v>
      </c>
      <c r="D4147" s="270">
        <v>1</v>
      </c>
      <c r="E4147" s="270">
        <v>1</v>
      </c>
      <c r="F4147" s="270" t="s">
        <v>944</v>
      </c>
      <c r="G4147" s="270" t="s">
        <v>3926</v>
      </c>
      <c r="H4147" s="270" t="s">
        <v>8718</v>
      </c>
      <c r="I4147" s="270" t="s">
        <v>3014</v>
      </c>
      <c r="J4147" s="270" t="s">
        <v>3928</v>
      </c>
      <c r="K4147" s="270">
        <v>6525</v>
      </c>
      <c r="L4147" s="270">
        <v>160200</v>
      </c>
      <c r="M4147" s="270" t="s">
        <v>3943</v>
      </c>
      <c r="N4147" s="270" t="s">
        <v>3944</v>
      </c>
      <c r="O4147" s="270">
        <v>3302</v>
      </c>
      <c r="P4147" s="270" t="s">
        <v>3944</v>
      </c>
      <c r="Q4147" s="270" t="s">
        <v>3944</v>
      </c>
      <c r="R4147" s="270">
        <v>3302</v>
      </c>
      <c r="S4147" s="270">
        <v>29792.38</v>
      </c>
      <c r="T4147" s="270">
        <v>33094.379999999997</v>
      </c>
      <c r="U4147" s="271" t="s">
        <v>3945</v>
      </c>
      <c r="V4147" s="267" t="s">
        <v>944</v>
      </c>
    </row>
    <row r="4148" spans="1:22" x14ac:dyDescent="0.25">
      <c r="A4148" s="266">
        <v>43675</v>
      </c>
      <c r="B4148" s="267">
        <v>2019</v>
      </c>
      <c r="C4148" s="267">
        <v>2020</v>
      </c>
      <c r="D4148" s="267">
        <v>1</v>
      </c>
      <c r="E4148" s="267">
        <v>1</v>
      </c>
      <c r="F4148" s="267" t="s">
        <v>944</v>
      </c>
      <c r="G4148" s="267" t="s">
        <v>3926</v>
      </c>
      <c r="H4148" s="267" t="s">
        <v>8719</v>
      </c>
      <c r="I4148" s="267" t="s">
        <v>943</v>
      </c>
      <c r="J4148" s="267" t="s">
        <v>3928</v>
      </c>
      <c r="K4148" s="267">
        <v>6511</v>
      </c>
      <c r="L4148" s="267">
        <v>140900</v>
      </c>
      <c r="M4148" s="267">
        <v>-60</v>
      </c>
      <c r="N4148" s="267" t="s">
        <v>3944</v>
      </c>
      <c r="O4148" s="267">
        <v>1203</v>
      </c>
      <c r="P4148" s="267" t="s">
        <v>3944</v>
      </c>
      <c r="Q4148" s="267" t="s">
        <v>3944</v>
      </c>
      <c r="R4148" s="267">
        <v>1203</v>
      </c>
      <c r="S4148" s="267">
        <v>10137</v>
      </c>
      <c r="T4148" s="267">
        <v>11340</v>
      </c>
      <c r="U4148" s="268" t="s">
        <v>3945</v>
      </c>
      <c r="V4148" s="276" t="s">
        <v>936</v>
      </c>
    </row>
    <row r="4149" spans="1:22" hidden="1" x14ac:dyDescent="0.25">
      <c r="A4149" s="269">
        <v>43675</v>
      </c>
      <c r="B4149" s="270">
        <v>2019</v>
      </c>
      <c r="C4149" s="270">
        <v>2020</v>
      </c>
      <c r="D4149" s="270">
        <v>1</v>
      </c>
      <c r="E4149" s="270">
        <v>1</v>
      </c>
      <c r="F4149" s="270" t="s">
        <v>944</v>
      </c>
      <c r="G4149" s="270" t="s">
        <v>3926</v>
      </c>
      <c r="H4149" s="270" t="s">
        <v>8720</v>
      </c>
      <c r="I4149" s="270" t="s">
        <v>3934</v>
      </c>
      <c r="J4149" s="270" t="s">
        <v>3928</v>
      </c>
      <c r="K4149" s="270">
        <v>6405</v>
      </c>
      <c r="L4149" s="270">
        <v>184200</v>
      </c>
      <c r="M4149" s="270" t="s">
        <v>3940</v>
      </c>
      <c r="N4149" s="270" t="s">
        <v>3944</v>
      </c>
      <c r="O4149" s="270">
        <v>3773.35</v>
      </c>
      <c r="P4149" s="270" t="s">
        <v>3944</v>
      </c>
      <c r="Q4149" s="270" t="s">
        <v>3944</v>
      </c>
      <c r="R4149" s="270">
        <v>3773.35</v>
      </c>
      <c r="S4149" s="270">
        <v>57188.1</v>
      </c>
      <c r="T4149" s="270">
        <v>60961.45</v>
      </c>
      <c r="U4149" s="271" t="s">
        <v>3945</v>
      </c>
      <c r="V4149" s="267" t="s">
        <v>944</v>
      </c>
    </row>
    <row r="4150" spans="1:22" hidden="1" x14ac:dyDescent="0.25">
      <c r="A4150" s="266">
        <v>43675</v>
      </c>
      <c r="B4150" s="267">
        <v>2019</v>
      </c>
      <c r="C4150" s="267">
        <v>2020</v>
      </c>
      <c r="D4150" s="267">
        <v>1</v>
      </c>
      <c r="E4150" s="267">
        <v>1</v>
      </c>
      <c r="F4150" s="267" t="s">
        <v>944</v>
      </c>
      <c r="G4150" s="267" t="s">
        <v>3926</v>
      </c>
      <c r="H4150" s="267" t="s">
        <v>8721</v>
      </c>
      <c r="I4150" s="267" t="s">
        <v>956</v>
      </c>
      <c r="J4150" s="267" t="s">
        <v>3928</v>
      </c>
      <c r="K4150" s="267">
        <v>6614</v>
      </c>
      <c r="L4150" s="267">
        <v>80800</v>
      </c>
      <c r="M4150" s="267" t="s">
        <v>3960</v>
      </c>
      <c r="N4150" s="267" t="s">
        <v>3944</v>
      </c>
      <c r="O4150" s="267">
        <v>1629.71</v>
      </c>
      <c r="P4150" s="267" t="s">
        <v>3944</v>
      </c>
      <c r="Q4150" s="267" t="s">
        <v>3944</v>
      </c>
      <c r="R4150" s="267">
        <v>1629.71</v>
      </c>
      <c r="S4150" s="267">
        <v>24943.69</v>
      </c>
      <c r="T4150" s="267">
        <v>26573.4</v>
      </c>
      <c r="U4150" s="268" t="s">
        <v>3945</v>
      </c>
      <c r="V4150" s="267" t="s">
        <v>944</v>
      </c>
    </row>
    <row r="4151" spans="1:22" hidden="1" x14ac:dyDescent="0.25">
      <c r="A4151" s="269">
        <v>43675</v>
      </c>
      <c r="B4151" s="270">
        <v>2019</v>
      </c>
      <c r="C4151" s="270">
        <v>2020</v>
      </c>
      <c r="D4151" s="270">
        <v>1</v>
      </c>
      <c r="E4151" s="270">
        <v>1</v>
      </c>
      <c r="F4151" s="270" t="s">
        <v>944</v>
      </c>
      <c r="G4151" s="270" t="s">
        <v>3926</v>
      </c>
      <c r="H4151" s="270" t="s">
        <v>8722</v>
      </c>
      <c r="I4151" s="270" t="s">
        <v>4232</v>
      </c>
      <c r="J4151" s="270" t="s">
        <v>3928</v>
      </c>
      <c r="K4151" s="270">
        <v>6483</v>
      </c>
      <c r="L4151" s="270">
        <v>130200</v>
      </c>
      <c r="M4151" s="270" t="s">
        <v>3935</v>
      </c>
      <c r="N4151" s="270" t="s">
        <v>3944</v>
      </c>
      <c r="O4151" s="270">
        <v>3698.91</v>
      </c>
      <c r="P4151" s="270" t="s">
        <v>3944</v>
      </c>
      <c r="Q4151" s="270" t="s">
        <v>3944</v>
      </c>
      <c r="R4151" s="270">
        <v>3698.91</v>
      </c>
      <c r="S4151" s="270">
        <v>49358.49</v>
      </c>
      <c r="T4151" s="270">
        <v>53057.4</v>
      </c>
      <c r="U4151" s="271" t="s">
        <v>3945</v>
      </c>
      <c r="V4151" s="267" t="s">
        <v>944</v>
      </c>
    </row>
    <row r="4152" spans="1:22" hidden="1" x14ac:dyDescent="0.25">
      <c r="A4152" s="266">
        <v>43675</v>
      </c>
      <c r="B4152" s="267">
        <v>2019</v>
      </c>
      <c r="C4152" s="267">
        <v>2020</v>
      </c>
      <c r="D4152" s="267">
        <v>1</v>
      </c>
      <c r="E4152" s="267">
        <v>1</v>
      </c>
      <c r="F4152" s="267" t="s">
        <v>944</v>
      </c>
      <c r="G4152" s="267" t="s">
        <v>3926</v>
      </c>
      <c r="H4152" s="267" t="s">
        <v>8723</v>
      </c>
      <c r="I4152" s="267" t="s">
        <v>3996</v>
      </c>
      <c r="J4152" s="267" t="s">
        <v>3928</v>
      </c>
      <c r="K4152" s="267">
        <v>6790</v>
      </c>
      <c r="L4152" s="267">
        <v>310200</v>
      </c>
      <c r="M4152" s="267">
        <v>-60</v>
      </c>
      <c r="N4152" s="267" t="s">
        <v>3944</v>
      </c>
      <c r="O4152" s="267">
        <v>1730.72</v>
      </c>
      <c r="P4152" s="267" t="s">
        <v>3944</v>
      </c>
      <c r="Q4152" s="267" t="s">
        <v>3944</v>
      </c>
      <c r="R4152" s="267">
        <v>1730.72</v>
      </c>
      <c r="S4152" s="267">
        <v>23292.45</v>
      </c>
      <c r="T4152" s="267">
        <v>25023.17</v>
      </c>
      <c r="U4152" s="268" t="s">
        <v>3945</v>
      </c>
      <c r="V4152" s="267" t="s">
        <v>944</v>
      </c>
    </row>
    <row r="4153" spans="1:22" hidden="1" x14ac:dyDescent="0.25">
      <c r="A4153" s="269">
        <v>43675</v>
      </c>
      <c r="B4153" s="270">
        <v>2019</v>
      </c>
      <c r="C4153" s="270">
        <v>2020</v>
      </c>
      <c r="D4153" s="270">
        <v>1</v>
      </c>
      <c r="E4153" s="270">
        <v>1</v>
      </c>
      <c r="F4153" s="270" t="s">
        <v>944</v>
      </c>
      <c r="G4153" s="270" t="s">
        <v>3926</v>
      </c>
      <c r="H4153" s="270" t="s">
        <v>8724</v>
      </c>
      <c r="I4153" s="270" t="s">
        <v>4330</v>
      </c>
      <c r="J4153" s="270" t="s">
        <v>3928</v>
      </c>
      <c r="K4153" s="270">
        <v>6413</v>
      </c>
      <c r="L4153" s="270">
        <v>610200</v>
      </c>
      <c r="M4153" s="270" t="s">
        <v>3940</v>
      </c>
      <c r="N4153" s="270" t="s">
        <v>3944</v>
      </c>
      <c r="O4153" s="270">
        <v>1941.63</v>
      </c>
      <c r="P4153" s="270" t="s">
        <v>3944</v>
      </c>
      <c r="Q4153" s="270" t="s">
        <v>3944</v>
      </c>
      <c r="R4153" s="270">
        <v>1941.63</v>
      </c>
      <c r="S4153" s="270">
        <v>34612.300000000003</v>
      </c>
      <c r="T4153" s="270">
        <v>36553.93</v>
      </c>
      <c r="U4153" s="271" t="s">
        <v>3945</v>
      </c>
      <c r="V4153" s="267" t="s">
        <v>944</v>
      </c>
    </row>
    <row r="4154" spans="1:22" hidden="1" x14ac:dyDescent="0.25">
      <c r="A4154" s="266">
        <v>43675</v>
      </c>
      <c r="B4154" s="267">
        <v>2019</v>
      </c>
      <c r="C4154" s="267">
        <v>2020</v>
      </c>
      <c r="D4154" s="267">
        <v>1</v>
      </c>
      <c r="E4154" s="267">
        <v>1</v>
      </c>
      <c r="F4154" s="267" t="s">
        <v>944</v>
      </c>
      <c r="G4154" s="267" t="s">
        <v>3926</v>
      </c>
      <c r="H4154" s="267" t="s">
        <v>8725</v>
      </c>
      <c r="I4154" s="267" t="s">
        <v>4037</v>
      </c>
      <c r="J4154" s="267" t="s">
        <v>3928</v>
      </c>
      <c r="K4154" s="267">
        <v>6810</v>
      </c>
      <c r="L4154" s="267">
        <v>210100</v>
      </c>
      <c r="M4154" s="267">
        <v>-60</v>
      </c>
      <c r="N4154" s="267" t="s">
        <v>3944</v>
      </c>
      <c r="O4154" s="267">
        <v>2961</v>
      </c>
      <c r="P4154" s="267" t="s">
        <v>3944</v>
      </c>
      <c r="Q4154" s="267" t="s">
        <v>3944</v>
      </c>
      <c r="R4154" s="267">
        <v>2961</v>
      </c>
      <c r="S4154" s="267">
        <v>38574.06</v>
      </c>
      <c r="T4154" s="267">
        <v>41535.06</v>
      </c>
      <c r="U4154" s="268" t="s">
        <v>3945</v>
      </c>
      <c r="V4154" s="267" t="s">
        <v>944</v>
      </c>
    </row>
    <row r="4155" spans="1:22" hidden="1" x14ac:dyDescent="0.25">
      <c r="A4155" s="269">
        <v>43675</v>
      </c>
      <c r="B4155" s="270">
        <v>2019</v>
      </c>
      <c r="C4155" s="270">
        <v>2020</v>
      </c>
      <c r="D4155" s="270">
        <v>1</v>
      </c>
      <c r="E4155" s="270">
        <v>1</v>
      </c>
      <c r="F4155" s="270" t="s">
        <v>944</v>
      </c>
      <c r="G4155" s="270" t="s">
        <v>3926</v>
      </c>
      <c r="H4155" s="270" t="s">
        <v>8726</v>
      </c>
      <c r="I4155" s="270" t="s">
        <v>3008</v>
      </c>
      <c r="J4155" s="270" t="s">
        <v>3928</v>
      </c>
      <c r="K4155" s="270">
        <v>6460</v>
      </c>
      <c r="L4155" s="270">
        <v>151100</v>
      </c>
      <c r="M4155" s="270" t="s">
        <v>3960</v>
      </c>
      <c r="N4155" s="270" t="s">
        <v>3944</v>
      </c>
      <c r="O4155" s="270">
        <v>689.99</v>
      </c>
      <c r="P4155" s="270" t="s">
        <v>3944</v>
      </c>
      <c r="Q4155" s="270" t="s">
        <v>3944</v>
      </c>
      <c r="R4155" s="270">
        <v>689.99</v>
      </c>
      <c r="S4155" s="270">
        <v>10522.08</v>
      </c>
      <c r="T4155" s="270">
        <v>11212.07</v>
      </c>
      <c r="U4155" s="271" t="s">
        <v>3945</v>
      </c>
      <c r="V4155" s="267" t="s">
        <v>944</v>
      </c>
    </row>
    <row r="4156" spans="1:22" hidden="1" x14ac:dyDescent="0.25">
      <c r="A4156" s="266">
        <v>43675</v>
      </c>
      <c r="B4156" s="267">
        <v>2019</v>
      </c>
      <c r="C4156" s="267">
        <v>2020</v>
      </c>
      <c r="D4156" s="267">
        <v>1</v>
      </c>
      <c r="E4156" s="267">
        <v>1</v>
      </c>
      <c r="F4156" s="267" t="s">
        <v>944</v>
      </c>
      <c r="G4156" s="267" t="s">
        <v>3926</v>
      </c>
      <c r="H4156" s="267" t="s">
        <v>8727</v>
      </c>
      <c r="I4156" s="267" t="s">
        <v>3014</v>
      </c>
      <c r="J4156" s="267" t="s">
        <v>3928</v>
      </c>
      <c r="K4156" s="267">
        <v>6525</v>
      </c>
      <c r="L4156" s="267">
        <v>160100</v>
      </c>
      <c r="M4156" s="267" t="s">
        <v>3943</v>
      </c>
      <c r="N4156" s="267" t="s">
        <v>3944</v>
      </c>
      <c r="O4156" s="267">
        <v>2670.85</v>
      </c>
      <c r="P4156" s="267" t="s">
        <v>3944</v>
      </c>
      <c r="Q4156" s="267" t="s">
        <v>3944</v>
      </c>
      <c r="R4156" s="267">
        <v>2670.85</v>
      </c>
      <c r="S4156" s="267">
        <v>34367.550000000003</v>
      </c>
      <c r="T4156" s="267">
        <v>37038.400000000001</v>
      </c>
      <c r="U4156" s="268" t="s">
        <v>3945</v>
      </c>
      <c r="V4156" s="267" t="s">
        <v>944</v>
      </c>
    </row>
    <row r="4157" spans="1:22" hidden="1" x14ac:dyDescent="0.25">
      <c r="A4157" s="269">
        <v>43675</v>
      </c>
      <c r="B4157" s="270">
        <v>2019</v>
      </c>
      <c r="C4157" s="270">
        <v>2020</v>
      </c>
      <c r="D4157" s="270">
        <v>1</v>
      </c>
      <c r="E4157" s="270">
        <v>1</v>
      </c>
      <c r="F4157" s="270" t="s">
        <v>944</v>
      </c>
      <c r="G4157" s="270" t="s">
        <v>3926</v>
      </c>
      <c r="H4157" s="270" t="s">
        <v>8728</v>
      </c>
      <c r="I4157" s="270" t="s">
        <v>3010</v>
      </c>
      <c r="J4157" s="270" t="s">
        <v>3928</v>
      </c>
      <c r="K4157" s="270">
        <v>6401</v>
      </c>
      <c r="L4157" s="270">
        <v>125400</v>
      </c>
      <c r="M4157" s="270">
        <v>-60</v>
      </c>
      <c r="N4157" s="270" t="s">
        <v>3944</v>
      </c>
      <c r="O4157" s="270">
        <v>1346.42</v>
      </c>
      <c r="P4157" s="270" t="s">
        <v>3944</v>
      </c>
      <c r="Q4157" s="270" t="s">
        <v>3944</v>
      </c>
      <c r="R4157" s="270">
        <v>1346.42</v>
      </c>
      <c r="S4157" s="270">
        <v>21412.31</v>
      </c>
      <c r="T4157" s="270">
        <v>22758.73</v>
      </c>
      <c r="U4157" s="271" t="s">
        <v>3945</v>
      </c>
      <c r="V4157" s="267" t="s">
        <v>944</v>
      </c>
    </row>
    <row r="4158" spans="1:22" hidden="1" x14ac:dyDescent="0.25">
      <c r="A4158" s="266">
        <v>43675</v>
      </c>
      <c r="B4158" s="267">
        <v>2019</v>
      </c>
      <c r="C4158" s="267">
        <v>2020</v>
      </c>
      <c r="D4158" s="267">
        <v>1</v>
      </c>
      <c r="E4158" s="267">
        <v>1</v>
      </c>
      <c r="F4158" s="267" t="s">
        <v>944</v>
      </c>
      <c r="G4158" s="267" t="s">
        <v>3926</v>
      </c>
      <c r="H4158" s="267" t="s">
        <v>8729</v>
      </c>
      <c r="I4158" s="267" t="s">
        <v>4016</v>
      </c>
      <c r="J4158" s="267" t="s">
        <v>3928</v>
      </c>
      <c r="K4158" s="267">
        <v>6770</v>
      </c>
      <c r="L4158" s="267">
        <v>345202</v>
      </c>
      <c r="M4158" s="267" t="s">
        <v>3960</v>
      </c>
      <c r="N4158" s="267" t="s">
        <v>3944</v>
      </c>
      <c r="O4158" s="267">
        <v>1631.6</v>
      </c>
      <c r="P4158" s="267" t="s">
        <v>3944</v>
      </c>
      <c r="Q4158" s="267" t="s">
        <v>3944</v>
      </c>
      <c r="R4158" s="267">
        <v>1631.6</v>
      </c>
      <c r="S4158" s="267">
        <v>24505.279999999999</v>
      </c>
      <c r="T4158" s="267">
        <v>26136.880000000001</v>
      </c>
      <c r="U4158" s="268" t="s">
        <v>3945</v>
      </c>
      <c r="V4158" s="267" t="s">
        <v>944</v>
      </c>
    </row>
    <row r="4159" spans="1:22" hidden="1" x14ac:dyDescent="0.25">
      <c r="A4159" s="269">
        <v>43675</v>
      </c>
      <c r="B4159" s="270">
        <v>2019</v>
      </c>
      <c r="C4159" s="270">
        <v>2020</v>
      </c>
      <c r="D4159" s="270">
        <v>1</v>
      </c>
      <c r="E4159" s="270">
        <v>1</v>
      </c>
      <c r="F4159" s="270" t="s">
        <v>944</v>
      </c>
      <c r="G4159" s="270" t="s">
        <v>3926</v>
      </c>
      <c r="H4159" s="270" t="s">
        <v>8730</v>
      </c>
      <c r="I4159" s="270" t="s">
        <v>4016</v>
      </c>
      <c r="J4159" s="270" t="s">
        <v>3928</v>
      </c>
      <c r="K4159" s="270">
        <v>6770</v>
      </c>
      <c r="L4159" s="270">
        <v>345400</v>
      </c>
      <c r="M4159" s="270" t="s">
        <v>3935</v>
      </c>
      <c r="N4159" s="270" t="s">
        <v>3944</v>
      </c>
      <c r="O4159" s="270">
        <v>400.68</v>
      </c>
      <c r="P4159" s="270" t="s">
        <v>3944</v>
      </c>
      <c r="Q4159" s="270" t="s">
        <v>3944</v>
      </c>
      <c r="R4159" s="270">
        <v>400.68</v>
      </c>
      <c r="S4159" s="270">
        <v>6320.96</v>
      </c>
      <c r="T4159" s="270">
        <v>6721.64</v>
      </c>
      <c r="U4159" s="271" t="s">
        <v>3945</v>
      </c>
      <c r="V4159" s="267" t="s">
        <v>944</v>
      </c>
    </row>
    <row r="4160" spans="1:22" hidden="1" x14ac:dyDescent="0.25">
      <c r="A4160" s="266">
        <v>43675</v>
      </c>
      <c r="B4160" s="267">
        <v>2019</v>
      </c>
      <c r="C4160" s="267">
        <v>2020</v>
      </c>
      <c r="D4160" s="267">
        <v>1</v>
      </c>
      <c r="E4160" s="267">
        <v>1</v>
      </c>
      <c r="F4160" s="267" t="s">
        <v>944</v>
      </c>
      <c r="G4160" s="267" t="s">
        <v>3926</v>
      </c>
      <c r="H4160" s="267" t="s">
        <v>8731</v>
      </c>
      <c r="I4160" s="267" t="s">
        <v>950</v>
      </c>
      <c r="J4160" s="267" t="s">
        <v>3928</v>
      </c>
      <c r="K4160" s="267">
        <v>6516</v>
      </c>
      <c r="L4160" s="267">
        <v>154200</v>
      </c>
      <c r="M4160" s="267" t="s">
        <v>3940</v>
      </c>
      <c r="N4160" s="267" t="s">
        <v>3944</v>
      </c>
      <c r="O4160" s="267">
        <v>1276.73</v>
      </c>
      <c r="P4160" s="267" t="s">
        <v>3944</v>
      </c>
      <c r="Q4160" s="267" t="s">
        <v>3944</v>
      </c>
      <c r="R4160" s="267">
        <v>1276.73</v>
      </c>
      <c r="S4160" s="267">
        <v>20840.830000000002</v>
      </c>
      <c r="T4160" s="267">
        <v>22117.56</v>
      </c>
      <c r="U4160" s="268" t="s">
        <v>3945</v>
      </c>
      <c r="V4160" s="267" t="s">
        <v>944</v>
      </c>
    </row>
    <row r="4161" spans="1:22" hidden="1" x14ac:dyDescent="0.25">
      <c r="A4161" s="269">
        <v>43675</v>
      </c>
      <c r="B4161" s="270">
        <v>2019</v>
      </c>
      <c r="C4161" s="270">
        <v>2020</v>
      </c>
      <c r="D4161" s="270">
        <v>1</v>
      </c>
      <c r="E4161" s="270">
        <v>1</v>
      </c>
      <c r="F4161" s="270" t="s">
        <v>944</v>
      </c>
      <c r="G4161" s="270" t="s">
        <v>3926</v>
      </c>
      <c r="H4161" s="270" t="s">
        <v>8732</v>
      </c>
      <c r="I4161" s="270" t="s">
        <v>4269</v>
      </c>
      <c r="J4161" s="270" t="s">
        <v>3928</v>
      </c>
      <c r="K4161" s="270">
        <v>6119</v>
      </c>
      <c r="L4161" s="270">
        <v>497000</v>
      </c>
      <c r="M4161" s="270" t="s">
        <v>3943</v>
      </c>
      <c r="N4161" s="270" t="s">
        <v>3944</v>
      </c>
      <c r="O4161" s="270">
        <v>2007.6</v>
      </c>
      <c r="P4161" s="270" t="s">
        <v>3944</v>
      </c>
      <c r="Q4161" s="270" t="s">
        <v>3944</v>
      </c>
      <c r="R4161" s="270">
        <v>2007.6</v>
      </c>
      <c r="S4161" s="270">
        <v>30499.82</v>
      </c>
      <c r="T4161" s="270">
        <v>32507.42</v>
      </c>
      <c r="U4161" s="271" t="s">
        <v>3945</v>
      </c>
      <c r="V4161" s="267" t="s">
        <v>944</v>
      </c>
    </row>
    <row r="4162" spans="1:22" hidden="1" x14ac:dyDescent="0.25">
      <c r="A4162" s="266">
        <v>43675</v>
      </c>
      <c r="B4162" s="267">
        <v>2019</v>
      </c>
      <c r="C4162" s="267">
        <v>2020</v>
      </c>
      <c r="D4162" s="267">
        <v>1</v>
      </c>
      <c r="E4162" s="267">
        <v>1</v>
      </c>
      <c r="F4162" s="267" t="s">
        <v>944</v>
      </c>
      <c r="G4162" s="267" t="s">
        <v>3926</v>
      </c>
      <c r="H4162" s="267" t="s">
        <v>8733</v>
      </c>
      <c r="I4162" s="267" t="s">
        <v>4016</v>
      </c>
      <c r="J4162" s="267" t="s">
        <v>3928</v>
      </c>
      <c r="K4162" s="267">
        <v>6770</v>
      </c>
      <c r="L4162" s="267">
        <v>345202</v>
      </c>
      <c r="M4162" s="267" t="s">
        <v>3960</v>
      </c>
      <c r="N4162" s="267" t="s">
        <v>3944</v>
      </c>
      <c r="O4162" s="267">
        <v>2517.38</v>
      </c>
      <c r="P4162" s="267" t="s">
        <v>3944</v>
      </c>
      <c r="Q4162" s="267" t="s">
        <v>3944</v>
      </c>
      <c r="R4162" s="267">
        <v>2517.38</v>
      </c>
      <c r="S4162" s="267">
        <v>40917.46</v>
      </c>
      <c r="T4162" s="267">
        <v>43434.84</v>
      </c>
      <c r="U4162" s="268" t="s">
        <v>3945</v>
      </c>
      <c r="V4162" s="267" t="s">
        <v>944</v>
      </c>
    </row>
    <row r="4163" spans="1:22" hidden="1" x14ac:dyDescent="0.25">
      <c r="A4163" s="269">
        <v>43675</v>
      </c>
      <c r="B4163" s="270">
        <v>2019</v>
      </c>
      <c r="C4163" s="270">
        <v>2020</v>
      </c>
      <c r="D4163" s="270">
        <v>1</v>
      </c>
      <c r="E4163" s="270">
        <v>1</v>
      </c>
      <c r="F4163" s="270" t="s">
        <v>944</v>
      </c>
      <c r="G4163" s="270" t="s">
        <v>3926</v>
      </c>
      <c r="H4163" s="270" t="s">
        <v>8734</v>
      </c>
      <c r="I4163" s="270" t="s">
        <v>4293</v>
      </c>
      <c r="J4163" s="270" t="s">
        <v>3928</v>
      </c>
      <c r="K4163" s="270">
        <v>6412</v>
      </c>
      <c r="L4163" s="270">
        <v>600100</v>
      </c>
      <c r="M4163" s="270" t="s">
        <v>3960</v>
      </c>
      <c r="N4163" s="270" t="s">
        <v>3944</v>
      </c>
      <c r="O4163" s="270">
        <v>2589.5500000000002</v>
      </c>
      <c r="P4163" s="270" t="s">
        <v>3944</v>
      </c>
      <c r="Q4163" s="270" t="s">
        <v>3944</v>
      </c>
      <c r="R4163" s="270">
        <v>2589.5500000000002</v>
      </c>
      <c r="S4163" s="270">
        <v>42754.29</v>
      </c>
      <c r="T4163" s="270">
        <v>45343.839999999997</v>
      </c>
      <c r="U4163" s="271" t="s">
        <v>3945</v>
      </c>
      <c r="V4163" s="267" t="s">
        <v>944</v>
      </c>
    </row>
    <row r="4164" spans="1:22" hidden="1" x14ac:dyDescent="0.25">
      <c r="A4164" s="266">
        <v>43675</v>
      </c>
      <c r="B4164" s="267">
        <v>2019</v>
      </c>
      <c r="C4164" s="267">
        <v>2020</v>
      </c>
      <c r="D4164" s="267">
        <v>1</v>
      </c>
      <c r="E4164" s="267">
        <v>1</v>
      </c>
      <c r="F4164" s="267" t="s">
        <v>944</v>
      </c>
      <c r="G4164" s="267" t="s">
        <v>3926</v>
      </c>
      <c r="H4164" s="267" t="s">
        <v>8735</v>
      </c>
      <c r="I4164" s="267" t="s">
        <v>4200</v>
      </c>
      <c r="J4164" s="267" t="s">
        <v>3928</v>
      </c>
      <c r="K4164" s="267">
        <v>6795</v>
      </c>
      <c r="L4164" s="267">
        <v>360100</v>
      </c>
      <c r="M4164" s="267" t="s">
        <v>3935</v>
      </c>
      <c r="N4164" s="267" t="s">
        <v>3944</v>
      </c>
      <c r="O4164" s="267">
        <v>1705.62</v>
      </c>
      <c r="P4164" s="267" t="s">
        <v>3944</v>
      </c>
      <c r="Q4164" s="267" t="s">
        <v>3944</v>
      </c>
      <c r="R4164" s="267">
        <v>1705.62</v>
      </c>
      <c r="S4164" s="267">
        <v>22980.19</v>
      </c>
      <c r="T4164" s="267">
        <v>24685.81</v>
      </c>
      <c r="U4164" s="268" t="s">
        <v>3945</v>
      </c>
      <c r="V4164" s="267" t="s">
        <v>944</v>
      </c>
    </row>
    <row r="4165" spans="1:22" hidden="1" x14ac:dyDescent="0.25">
      <c r="A4165" s="269">
        <v>43675</v>
      </c>
      <c r="B4165" s="270">
        <v>2019</v>
      </c>
      <c r="C4165" s="270">
        <v>2020</v>
      </c>
      <c r="D4165" s="270">
        <v>1</v>
      </c>
      <c r="E4165" s="270">
        <v>1</v>
      </c>
      <c r="F4165" s="270" t="s">
        <v>944</v>
      </c>
      <c r="G4165" s="270" t="s">
        <v>3926</v>
      </c>
      <c r="H4165" s="270" t="s">
        <v>8736</v>
      </c>
      <c r="I4165" s="270" t="s">
        <v>953</v>
      </c>
      <c r="J4165" s="270" t="s">
        <v>3928</v>
      </c>
      <c r="K4165" s="270">
        <v>6518</v>
      </c>
      <c r="L4165" s="270">
        <v>165900</v>
      </c>
      <c r="M4165" s="270" t="s">
        <v>3943</v>
      </c>
      <c r="N4165" s="270" t="s">
        <v>3944</v>
      </c>
      <c r="O4165" s="270">
        <v>1897.46</v>
      </c>
      <c r="P4165" s="270" t="s">
        <v>3944</v>
      </c>
      <c r="Q4165" s="270" t="s">
        <v>3944</v>
      </c>
      <c r="R4165" s="270">
        <v>1897.46</v>
      </c>
      <c r="S4165" s="270">
        <v>34562.230000000003</v>
      </c>
      <c r="T4165" s="270">
        <v>36459.69</v>
      </c>
      <c r="U4165" s="271" t="s">
        <v>3945</v>
      </c>
      <c r="V4165" s="267" t="s">
        <v>944</v>
      </c>
    </row>
    <row r="4166" spans="1:22" hidden="1" x14ac:dyDescent="0.25">
      <c r="A4166" s="266">
        <v>43676</v>
      </c>
      <c r="B4166" s="267">
        <v>2019</v>
      </c>
      <c r="C4166" s="267">
        <v>2020</v>
      </c>
      <c r="D4166" s="267">
        <v>1</v>
      </c>
      <c r="E4166" s="267">
        <v>1</v>
      </c>
      <c r="F4166" s="267" t="s">
        <v>944</v>
      </c>
      <c r="G4166" s="267" t="s">
        <v>3926</v>
      </c>
      <c r="H4166" s="267" t="s">
        <v>8737</v>
      </c>
      <c r="I4166" s="267" t="s">
        <v>4011</v>
      </c>
      <c r="J4166" s="267" t="s">
        <v>3928</v>
      </c>
      <c r="K4166" s="267">
        <v>6002</v>
      </c>
      <c r="L4166" s="267">
        <v>471400</v>
      </c>
      <c r="M4166" s="267" t="s">
        <v>3943</v>
      </c>
      <c r="N4166" s="267" t="s">
        <v>8738</v>
      </c>
      <c r="O4166" s="267">
        <v>0</v>
      </c>
      <c r="P4166" s="267" t="s">
        <v>3930</v>
      </c>
      <c r="Q4166" s="267" t="s">
        <v>3930</v>
      </c>
      <c r="R4166" s="267">
        <v>0</v>
      </c>
      <c r="S4166" s="267">
        <v>8029.55</v>
      </c>
      <c r="T4166" s="267">
        <v>8029.55</v>
      </c>
      <c r="U4166" s="268" t="s">
        <v>3937</v>
      </c>
      <c r="V4166" s="267" t="s">
        <v>944</v>
      </c>
    </row>
    <row r="4167" spans="1:22" hidden="1" x14ac:dyDescent="0.25">
      <c r="A4167" s="269">
        <v>43676</v>
      </c>
      <c r="B4167" s="270">
        <v>2019</v>
      </c>
      <c r="C4167" s="270">
        <v>2020</v>
      </c>
      <c r="D4167" s="270">
        <v>1</v>
      </c>
      <c r="E4167" s="270">
        <v>1</v>
      </c>
      <c r="F4167" s="270" t="s">
        <v>944</v>
      </c>
      <c r="G4167" s="270" t="s">
        <v>3926</v>
      </c>
      <c r="H4167" s="270" t="s">
        <v>8739</v>
      </c>
      <c r="I4167" s="270" t="s">
        <v>4306</v>
      </c>
      <c r="J4167" s="270" t="s">
        <v>3928</v>
      </c>
      <c r="K4167" s="270">
        <v>6716</v>
      </c>
      <c r="L4167" s="270">
        <v>361200</v>
      </c>
      <c r="M4167" s="270" t="s">
        <v>3960</v>
      </c>
      <c r="N4167" s="270" t="s">
        <v>8740</v>
      </c>
      <c r="O4167" s="270">
        <v>2022</v>
      </c>
      <c r="P4167" s="270" t="s">
        <v>3930</v>
      </c>
      <c r="Q4167" s="270" t="s">
        <v>3930</v>
      </c>
      <c r="R4167" s="270">
        <v>2022</v>
      </c>
      <c r="S4167" s="270">
        <v>15317</v>
      </c>
      <c r="T4167" s="270">
        <v>17339</v>
      </c>
      <c r="U4167" s="271" t="s">
        <v>3937</v>
      </c>
      <c r="V4167" s="267" t="s">
        <v>944</v>
      </c>
    </row>
    <row r="4168" spans="1:22" hidden="1" x14ac:dyDescent="0.25">
      <c r="A4168" s="266">
        <v>43676</v>
      </c>
      <c r="B4168" s="267">
        <v>2019</v>
      </c>
      <c r="C4168" s="267">
        <v>2020</v>
      </c>
      <c r="D4168" s="267">
        <v>1</v>
      </c>
      <c r="E4168" s="267">
        <v>1</v>
      </c>
      <c r="F4168" s="267" t="s">
        <v>944</v>
      </c>
      <c r="G4168" s="267" t="s">
        <v>3926</v>
      </c>
      <c r="H4168" s="267" t="s">
        <v>8741</v>
      </c>
      <c r="I4168" s="267" t="s">
        <v>4318</v>
      </c>
      <c r="J4168" s="267" t="s">
        <v>3928</v>
      </c>
      <c r="K4168" s="267">
        <v>6278</v>
      </c>
      <c r="L4168" s="267">
        <v>830100</v>
      </c>
      <c r="M4168" s="267" t="s">
        <v>3935</v>
      </c>
      <c r="N4168" s="267" t="s">
        <v>5313</v>
      </c>
      <c r="O4168" s="267">
        <v>3833</v>
      </c>
      <c r="P4168" s="267" t="s">
        <v>3930</v>
      </c>
      <c r="Q4168" s="267" t="s">
        <v>3930</v>
      </c>
      <c r="R4168" s="267">
        <v>3833</v>
      </c>
      <c r="S4168" s="267">
        <v>40000</v>
      </c>
      <c r="T4168" s="267">
        <v>43833</v>
      </c>
      <c r="U4168" s="268" t="s">
        <v>3937</v>
      </c>
      <c r="V4168" s="267" t="s">
        <v>944</v>
      </c>
    </row>
    <row r="4169" spans="1:22" x14ac:dyDescent="0.25">
      <c r="A4169" s="269">
        <v>43676</v>
      </c>
      <c r="B4169" s="270">
        <v>2019</v>
      </c>
      <c r="C4169" s="270">
        <v>2020</v>
      </c>
      <c r="D4169" s="270">
        <v>1</v>
      </c>
      <c r="E4169" s="270">
        <v>1</v>
      </c>
      <c r="F4169" s="270" t="s">
        <v>944</v>
      </c>
      <c r="G4169" s="270" t="s">
        <v>3926</v>
      </c>
      <c r="H4169" s="270" t="s">
        <v>8742</v>
      </c>
      <c r="I4169" s="270" t="s">
        <v>943</v>
      </c>
      <c r="J4169" s="270" t="s">
        <v>3928</v>
      </c>
      <c r="K4169" s="270">
        <v>6511</v>
      </c>
      <c r="L4169" s="270">
        <v>141600</v>
      </c>
      <c r="M4169" s="270">
        <v>-60</v>
      </c>
      <c r="N4169" s="270" t="s">
        <v>4103</v>
      </c>
      <c r="O4169" s="270">
        <v>5061.0600000000004</v>
      </c>
      <c r="P4169" s="270" t="s">
        <v>3930</v>
      </c>
      <c r="Q4169" s="270" t="s">
        <v>3931</v>
      </c>
      <c r="R4169" s="270">
        <v>10061.06</v>
      </c>
      <c r="S4169" s="270">
        <v>24145.599999999999</v>
      </c>
      <c r="T4169" s="270">
        <v>34206.660000000003</v>
      </c>
      <c r="U4169" s="271" t="s">
        <v>3932</v>
      </c>
      <c r="V4169" s="276" t="s">
        <v>936</v>
      </c>
    </row>
    <row r="4170" spans="1:22" hidden="1" x14ac:dyDescent="0.25">
      <c r="A4170" s="266">
        <v>43676</v>
      </c>
      <c r="B4170" s="267">
        <v>2019</v>
      </c>
      <c r="C4170" s="267">
        <v>2020</v>
      </c>
      <c r="D4170" s="267">
        <v>1</v>
      </c>
      <c r="E4170" s="267">
        <v>1</v>
      </c>
      <c r="F4170" s="267" t="s">
        <v>944</v>
      </c>
      <c r="G4170" s="267" t="s">
        <v>3926</v>
      </c>
      <c r="H4170" s="267" t="s">
        <v>8743</v>
      </c>
      <c r="I4170" s="267" t="s">
        <v>934</v>
      </c>
      <c r="J4170" s="267" t="s">
        <v>3928</v>
      </c>
      <c r="K4170" s="267">
        <v>6606</v>
      </c>
      <c r="L4170" s="267">
        <v>72400</v>
      </c>
      <c r="M4170" s="267" t="s">
        <v>3940</v>
      </c>
      <c r="N4170" s="267" t="s">
        <v>4053</v>
      </c>
      <c r="O4170" s="267">
        <v>3082.37</v>
      </c>
      <c r="P4170" s="267" t="s">
        <v>3930</v>
      </c>
      <c r="Q4170" s="267" t="s">
        <v>3931</v>
      </c>
      <c r="R4170" s="267">
        <v>8082.37</v>
      </c>
      <c r="S4170" s="267">
        <v>18603.2</v>
      </c>
      <c r="T4170" s="267">
        <v>26685.57</v>
      </c>
      <c r="U4170" s="268" t="s">
        <v>3932</v>
      </c>
      <c r="V4170" s="267" t="s">
        <v>944</v>
      </c>
    </row>
    <row r="4171" spans="1:22" hidden="1" x14ac:dyDescent="0.25">
      <c r="A4171" s="269">
        <v>43676</v>
      </c>
      <c r="B4171" s="270">
        <v>2019</v>
      </c>
      <c r="C4171" s="270">
        <v>2020</v>
      </c>
      <c r="D4171" s="270">
        <v>1</v>
      </c>
      <c r="E4171" s="270">
        <v>1</v>
      </c>
      <c r="F4171" s="270" t="s">
        <v>944</v>
      </c>
      <c r="G4171" s="270" t="s">
        <v>3926</v>
      </c>
      <c r="H4171" s="270" t="s">
        <v>8744</v>
      </c>
      <c r="I4171" s="270" t="s">
        <v>3014</v>
      </c>
      <c r="J4171" s="270" t="s">
        <v>3928</v>
      </c>
      <c r="K4171" s="270">
        <v>6525</v>
      </c>
      <c r="L4171" s="270">
        <v>160100</v>
      </c>
      <c r="M4171" s="270" t="s">
        <v>3943</v>
      </c>
      <c r="N4171" s="270" t="s">
        <v>8745</v>
      </c>
      <c r="O4171" s="270">
        <v>0</v>
      </c>
      <c r="P4171" s="270" t="s">
        <v>3930</v>
      </c>
      <c r="Q4171" s="270" t="s">
        <v>3930</v>
      </c>
      <c r="R4171" s="270">
        <v>0</v>
      </c>
      <c r="S4171" s="270">
        <v>5450</v>
      </c>
      <c r="T4171" s="270">
        <v>5450</v>
      </c>
      <c r="U4171" s="271" t="s">
        <v>3937</v>
      </c>
      <c r="V4171" s="267" t="s">
        <v>944</v>
      </c>
    </row>
    <row r="4172" spans="1:22" hidden="1" x14ac:dyDescent="0.25">
      <c r="A4172" s="266">
        <v>43676</v>
      </c>
      <c r="B4172" s="267">
        <v>2019</v>
      </c>
      <c r="C4172" s="267">
        <v>2020</v>
      </c>
      <c r="D4172" s="267">
        <v>1</v>
      </c>
      <c r="E4172" s="267">
        <v>1</v>
      </c>
      <c r="F4172" s="267" t="s">
        <v>944</v>
      </c>
      <c r="G4172" s="267" t="s">
        <v>3926</v>
      </c>
      <c r="H4172" s="267" t="s">
        <v>8746</v>
      </c>
      <c r="I4172" s="267" t="s">
        <v>956</v>
      </c>
      <c r="J4172" s="267" t="s">
        <v>3928</v>
      </c>
      <c r="K4172" s="267">
        <v>6614</v>
      </c>
      <c r="L4172" s="267">
        <v>81200</v>
      </c>
      <c r="M4172" s="267" t="s">
        <v>3943</v>
      </c>
      <c r="N4172" s="267" t="s">
        <v>3944</v>
      </c>
      <c r="O4172" s="267">
        <v>2474</v>
      </c>
      <c r="P4172" s="267" t="s">
        <v>3944</v>
      </c>
      <c r="Q4172" s="267" t="s">
        <v>3944</v>
      </c>
      <c r="R4172" s="267">
        <v>2474</v>
      </c>
      <c r="S4172" s="267">
        <v>20773</v>
      </c>
      <c r="T4172" s="267">
        <v>23247</v>
      </c>
      <c r="U4172" s="268" t="s">
        <v>3945</v>
      </c>
      <c r="V4172" s="267" t="s">
        <v>944</v>
      </c>
    </row>
    <row r="4173" spans="1:22" hidden="1" x14ac:dyDescent="0.25">
      <c r="A4173" s="269">
        <v>43676</v>
      </c>
      <c r="B4173" s="270">
        <v>2019</v>
      </c>
      <c r="C4173" s="270">
        <v>2020</v>
      </c>
      <c r="D4173" s="270">
        <v>1</v>
      </c>
      <c r="E4173" s="270">
        <v>1</v>
      </c>
      <c r="F4173" s="270" t="s">
        <v>944</v>
      </c>
      <c r="G4173" s="270" t="s">
        <v>3926</v>
      </c>
      <c r="H4173" s="270" t="s">
        <v>8747</v>
      </c>
      <c r="I4173" s="270" t="s">
        <v>956</v>
      </c>
      <c r="J4173" s="270" t="s">
        <v>3928</v>
      </c>
      <c r="K4173" s="270">
        <v>6615</v>
      </c>
      <c r="L4173" s="270">
        <v>80500</v>
      </c>
      <c r="M4173" s="270" t="s">
        <v>3960</v>
      </c>
      <c r="N4173" s="270" t="s">
        <v>3944</v>
      </c>
      <c r="O4173" s="270">
        <v>2153</v>
      </c>
      <c r="P4173" s="270" t="s">
        <v>3944</v>
      </c>
      <c r="Q4173" s="270" t="s">
        <v>3944</v>
      </c>
      <c r="R4173" s="270">
        <v>2153</v>
      </c>
      <c r="S4173" s="270">
        <v>16495</v>
      </c>
      <c r="T4173" s="270">
        <v>18648</v>
      </c>
      <c r="U4173" s="271" t="s">
        <v>3945</v>
      </c>
      <c r="V4173" s="267" t="s">
        <v>944</v>
      </c>
    </row>
    <row r="4174" spans="1:22" hidden="1" x14ac:dyDescent="0.25">
      <c r="A4174" s="266">
        <v>43676</v>
      </c>
      <c r="B4174" s="267">
        <v>2019</v>
      </c>
      <c r="C4174" s="267">
        <v>2020</v>
      </c>
      <c r="D4174" s="267">
        <v>1</v>
      </c>
      <c r="E4174" s="267">
        <v>1</v>
      </c>
      <c r="F4174" s="267" t="s">
        <v>944</v>
      </c>
      <c r="G4174" s="267" t="s">
        <v>3997</v>
      </c>
      <c r="H4174" s="267" t="s">
        <v>8748</v>
      </c>
      <c r="I4174" s="267" t="s">
        <v>4213</v>
      </c>
      <c r="J4174" s="267" t="s">
        <v>3928</v>
      </c>
      <c r="K4174" s="267">
        <v>6051</v>
      </c>
      <c r="L4174" s="267">
        <v>415400</v>
      </c>
      <c r="M4174" s="267">
        <v>-60</v>
      </c>
      <c r="N4174" s="267" t="s">
        <v>3944</v>
      </c>
      <c r="O4174" s="267">
        <v>1129.07</v>
      </c>
      <c r="P4174" s="267" t="s">
        <v>3944</v>
      </c>
      <c r="Q4174" s="267" t="s">
        <v>3944</v>
      </c>
      <c r="R4174" s="267">
        <v>1129.07</v>
      </c>
      <c r="S4174" s="267">
        <v>19705.03</v>
      </c>
      <c r="T4174" s="267">
        <v>20834.099999999999</v>
      </c>
      <c r="U4174" s="268" t="s">
        <v>3945</v>
      </c>
      <c r="V4174" s="267" t="s">
        <v>944</v>
      </c>
    </row>
    <row r="4175" spans="1:22" hidden="1" x14ac:dyDescent="0.25">
      <c r="A4175" s="269">
        <v>43676</v>
      </c>
      <c r="B4175" s="270">
        <v>2019</v>
      </c>
      <c r="C4175" s="270">
        <v>2020</v>
      </c>
      <c r="D4175" s="270">
        <v>1</v>
      </c>
      <c r="E4175" s="270">
        <v>1</v>
      </c>
      <c r="F4175" s="270" t="s">
        <v>944</v>
      </c>
      <c r="G4175" s="270" t="s">
        <v>3926</v>
      </c>
      <c r="H4175" s="270" t="s">
        <v>8749</v>
      </c>
      <c r="I4175" s="270" t="s">
        <v>3012</v>
      </c>
      <c r="J4175" s="270" t="s">
        <v>3928</v>
      </c>
      <c r="K4175" s="270">
        <v>6477</v>
      </c>
      <c r="L4175" s="270">
        <v>157200</v>
      </c>
      <c r="M4175" s="270" t="s">
        <v>3943</v>
      </c>
      <c r="N4175" s="270" t="s">
        <v>3944</v>
      </c>
      <c r="O4175" s="270">
        <v>2570</v>
      </c>
      <c r="P4175" s="270" t="s">
        <v>3944</v>
      </c>
      <c r="Q4175" s="270" t="s">
        <v>3944</v>
      </c>
      <c r="R4175" s="270">
        <v>2570</v>
      </c>
      <c r="S4175" s="270">
        <v>28630</v>
      </c>
      <c r="T4175" s="270">
        <v>31200</v>
      </c>
      <c r="U4175" s="271" t="s">
        <v>3945</v>
      </c>
      <c r="V4175" s="267" t="s">
        <v>944</v>
      </c>
    </row>
    <row r="4176" spans="1:22" hidden="1" x14ac:dyDescent="0.25">
      <c r="A4176" s="266">
        <v>43676</v>
      </c>
      <c r="B4176" s="267">
        <v>2019</v>
      </c>
      <c r="C4176" s="267">
        <v>2020</v>
      </c>
      <c r="D4176" s="267">
        <v>1</v>
      </c>
      <c r="E4176" s="267">
        <v>1</v>
      </c>
      <c r="F4176" s="267" t="s">
        <v>944</v>
      </c>
      <c r="G4176" s="267" t="s">
        <v>3926</v>
      </c>
      <c r="H4176" s="267" t="s">
        <v>8750</v>
      </c>
      <c r="I4176" s="267" t="s">
        <v>4065</v>
      </c>
      <c r="J4176" s="267" t="s">
        <v>3928</v>
      </c>
      <c r="K4176" s="267">
        <v>6480</v>
      </c>
      <c r="L4176" s="267">
        <v>560100</v>
      </c>
      <c r="M4176" s="267" t="s">
        <v>3943</v>
      </c>
      <c r="N4176" s="267" t="s">
        <v>3944</v>
      </c>
      <c r="O4176" s="267">
        <v>1753.75</v>
      </c>
      <c r="P4176" s="267" t="s">
        <v>3944</v>
      </c>
      <c r="Q4176" s="267" t="s">
        <v>3944</v>
      </c>
      <c r="R4176" s="267">
        <v>1753.75</v>
      </c>
      <c r="S4176" s="267">
        <v>25462.25</v>
      </c>
      <c r="T4176" s="267">
        <v>27216</v>
      </c>
      <c r="U4176" s="268" t="s">
        <v>3945</v>
      </c>
      <c r="V4176" s="267" t="s">
        <v>944</v>
      </c>
    </row>
    <row r="4177" spans="1:22" hidden="1" x14ac:dyDescent="0.25">
      <c r="A4177" s="269">
        <v>43676</v>
      </c>
      <c r="B4177" s="270">
        <v>2019</v>
      </c>
      <c r="C4177" s="270">
        <v>2020</v>
      </c>
      <c r="D4177" s="270">
        <v>1</v>
      </c>
      <c r="E4177" s="270">
        <v>1</v>
      </c>
      <c r="F4177" s="270" t="s">
        <v>944</v>
      </c>
      <c r="G4177" s="270" t="s">
        <v>3926</v>
      </c>
      <c r="H4177" s="270" t="s">
        <v>8751</v>
      </c>
      <c r="I4177" s="270" t="s">
        <v>5127</v>
      </c>
      <c r="J4177" s="270" t="s">
        <v>3928</v>
      </c>
      <c r="K4177" s="270">
        <v>6759</v>
      </c>
      <c r="L4177" s="270">
        <v>300100</v>
      </c>
      <c r="M4177" s="270" t="s">
        <v>3960</v>
      </c>
      <c r="N4177" s="270" t="s">
        <v>3944</v>
      </c>
      <c r="O4177" s="270">
        <v>1003.8</v>
      </c>
      <c r="P4177" s="270" t="s">
        <v>3944</v>
      </c>
      <c r="Q4177" s="270" t="s">
        <v>3944</v>
      </c>
      <c r="R4177" s="270">
        <v>1003.8</v>
      </c>
      <c r="S4177" s="270">
        <v>22079.99</v>
      </c>
      <c r="T4177" s="270">
        <v>23083.79</v>
      </c>
      <c r="U4177" s="271" t="s">
        <v>3945</v>
      </c>
      <c r="V4177" s="267" t="s">
        <v>944</v>
      </c>
    </row>
    <row r="4178" spans="1:22" hidden="1" x14ac:dyDescent="0.25">
      <c r="A4178" s="266">
        <v>43676</v>
      </c>
      <c r="B4178" s="267">
        <v>2019</v>
      </c>
      <c r="C4178" s="267">
        <v>2020</v>
      </c>
      <c r="D4178" s="267">
        <v>1</v>
      </c>
      <c r="E4178" s="267">
        <v>1</v>
      </c>
      <c r="F4178" s="267" t="s">
        <v>944</v>
      </c>
      <c r="G4178" s="267" t="s">
        <v>3926</v>
      </c>
      <c r="H4178" s="267" t="s">
        <v>8752</v>
      </c>
      <c r="I4178" s="267" t="s">
        <v>3962</v>
      </c>
      <c r="J4178" s="267" t="s">
        <v>3928</v>
      </c>
      <c r="K4178" s="267">
        <v>6355</v>
      </c>
      <c r="L4178" s="267">
        <v>702100</v>
      </c>
      <c r="M4178" s="267" t="s">
        <v>3960</v>
      </c>
      <c r="N4178" s="267" t="s">
        <v>3944</v>
      </c>
      <c r="O4178" s="267">
        <v>2421.34</v>
      </c>
      <c r="P4178" s="267" t="s">
        <v>3944</v>
      </c>
      <c r="Q4178" s="267" t="s">
        <v>3944</v>
      </c>
      <c r="R4178" s="267">
        <v>2421.34</v>
      </c>
      <c r="S4178" s="267">
        <v>38408.99</v>
      </c>
      <c r="T4178" s="267">
        <v>40830.33</v>
      </c>
      <c r="U4178" s="268" t="s">
        <v>3945</v>
      </c>
      <c r="V4178" s="267" t="s">
        <v>944</v>
      </c>
    </row>
    <row r="4179" spans="1:22" hidden="1" x14ac:dyDescent="0.25">
      <c r="A4179" s="269">
        <v>43676</v>
      </c>
      <c r="B4179" s="270">
        <v>2019</v>
      </c>
      <c r="C4179" s="270">
        <v>2020</v>
      </c>
      <c r="D4179" s="270">
        <v>1</v>
      </c>
      <c r="E4179" s="270">
        <v>1</v>
      </c>
      <c r="F4179" s="270" t="s">
        <v>944</v>
      </c>
      <c r="G4179" s="270" t="s">
        <v>3926</v>
      </c>
      <c r="H4179" s="270" t="s">
        <v>8753</v>
      </c>
      <c r="I4179" s="270" t="s">
        <v>4137</v>
      </c>
      <c r="J4179" s="270" t="s">
        <v>3928</v>
      </c>
      <c r="K4179" s="270">
        <v>6067</v>
      </c>
      <c r="L4179" s="270">
        <v>524200</v>
      </c>
      <c r="M4179" s="270" t="s">
        <v>3960</v>
      </c>
      <c r="N4179" s="270" t="s">
        <v>3944</v>
      </c>
      <c r="O4179" s="270">
        <v>1569.58</v>
      </c>
      <c r="P4179" s="270" t="s">
        <v>3944</v>
      </c>
      <c r="Q4179" s="270" t="s">
        <v>3944</v>
      </c>
      <c r="R4179" s="270">
        <v>1569.58</v>
      </c>
      <c r="S4179" s="270">
        <v>31910.51</v>
      </c>
      <c r="T4179" s="270">
        <v>33480.089999999997</v>
      </c>
      <c r="U4179" s="271" t="s">
        <v>3945</v>
      </c>
      <c r="V4179" s="267" t="s">
        <v>944</v>
      </c>
    </row>
    <row r="4180" spans="1:22" hidden="1" x14ac:dyDescent="0.25">
      <c r="A4180" s="266">
        <v>43676</v>
      </c>
      <c r="B4180" s="267">
        <v>2019</v>
      </c>
      <c r="C4180" s="267">
        <v>2020</v>
      </c>
      <c r="D4180" s="267">
        <v>1</v>
      </c>
      <c r="E4180" s="267">
        <v>1</v>
      </c>
      <c r="F4180" s="267" t="s">
        <v>944</v>
      </c>
      <c r="G4180" s="267" t="s">
        <v>3926</v>
      </c>
      <c r="H4180" s="267" t="s">
        <v>8754</v>
      </c>
      <c r="I4180" s="267" t="s">
        <v>4197</v>
      </c>
      <c r="J4180" s="267" t="s">
        <v>3928</v>
      </c>
      <c r="K4180" s="267">
        <v>6812</v>
      </c>
      <c r="L4180" s="267">
        <v>220200</v>
      </c>
      <c r="M4180" s="267" t="s">
        <v>3943</v>
      </c>
      <c r="N4180" s="267" t="s">
        <v>3944</v>
      </c>
      <c r="O4180" s="267">
        <v>1270.08</v>
      </c>
      <c r="P4180" s="267" t="s">
        <v>3944</v>
      </c>
      <c r="Q4180" s="267" t="s">
        <v>3944</v>
      </c>
      <c r="R4180" s="267">
        <v>1270.08</v>
      </c>
      <c r="S4180" s="267">
        <v>24304.12</v>
      </c>
      <c r="T4180" s="267">
        <v>25574.2</v>
      </c>
      <c r="U4180" s="268" t="s">
        <v>3945</v>
      </c>
      <c r="V4180" s="267" t="s">
        <v>944</v>
      </c>
    </row>
    <row r="4181" spans="1:22" hidden="1" x14ac:dyDescent="0.25">
      <c r="A4181" s="269">
        <v>43676</v>
      </c>
      <c r="B4181" s="270">
        <v>2019</v>
      </c>
      <c r="C4181" s="270">
        <v>2020</v>
      </c>
      <c r="D4181" s="270">
        <v>1</v>
      </c>
      <c r="E4181" s="270">
        <v>1</v>
      </c>
      <c r="F4181" s="270" t="s">
        <v>944</v>
      </c>
      <c r="G4181" s="270" t="s">
        <v>3926</v>
      </c>
      <c r="H4181" s="270" t="s">
        <v>8755</v>
      </c>
      <c r="I4181" s="270" t="s">
        <v>4085</v>
      </c>
      <c r="J4181" s="270" t="s">
        <v>3928</v>
      </c>
      <c r="K4181" s="270">
        <v>6351</v>
      </c>
      <c r="L4181" s="270">
        <v>709100</v>
      </c>
      <c r="M4181" s="270" t="s">
        <v>3935</v>
      </c>
      <c r="N4181" s="270" t="s">
        <v>3944</v>
      </c>
      <c r="O4181" s="270">
        <v>1796.27</v>
      </c>
      <c r="P4181" s="270" t="s">
        <v>3944</v>
      </c>
      <c r="Q4181" s="270" t="s">
        <v>3944</v>
      </c>
      <c r="R4181" s="270">
        <v>1796.27</v>
      </c>
      <c r="S4181" s="270">
        <v>22754.73</v>
      </c>
      <c r="T4181" s="270">
        <v>24551</v>
      </c>
      <c r="U4181" s="271" t="s">
        <v>3945</v>
      </c>
      <c r="V4181" s="267" t="s">
        <v>944</v>
      </c>
    </row>
    <row r="4182" spans="1:22" hidden="1" x14ac:dyDescent="0.25">
      <c r="A4182" s="266">
        <v>43676</v>
      </c>
      <c r="B4182" s="267">
        <v>2019</v>
      </c>
      <c r="C4182" s="267">
        <v>2020</v>
      </c>
      <c r="D4182" s="267">
        <v>1</v>
      </c>
      <c r="E4182" s="267">
        <v>1</v>
      </c>
      <c r="F4182" s="267" t="s">
        <v>944</v>
      </c>
      <c r="G4182" s="267" t="s">
        <v>3926</v>
      </c>
      <c r="H4182" s="267" t="s">
        <v>8756</v>
      </c>
      <c r="I4182" s="267" t="s">
        <v>2987</v>
      </c>
      <c r="J4182" s="267" t="s">
        <v>3928</v>
      </c>
      <c r="K4182" s="267">
        <v>6611</v>
      </c>
      <c r="L4182" s="267">
        <v>90400</v>
      </c>
      <c r="M4182" s="267" t="s">
        <v>3943</v>
      </c>
      <c r="N4182" s="267" t="s">
        <v>3944</v>
      </c>
      <c r="O4182" s="267">
        <v>3964.8</v>
      </c>
      <c r="P4182" s="267" t="s">
        <v>3944</v>
      </c>
      <c r="Q4182" s="267" t="s">
        <v>3944</v>
      </c>
      <c r="R4182" s="267">
        <v>3964.8</v>
      </c>
      <c r="S4182" s="267">
        <v>66688.800000000003</v>
      </c>
      <c r="T4182" s="267">
        <v>70653.600000000006</v>
      </c>
      <c r="U4182" s="268" t="s">
        <v>3945</v>
      </c>
      <c r="V4182" s="267" t="s">
        <v>944</v>
      </c>
    </row>
    <row r="4183" spans="1:22" hidden="1" x14ac:dyDescent="0.25">
      <c r="A4183" s="269">
        <v>43676</v>
      </c>
      <c r="B4183" s="270">
        <v>2019</v>
      </c>
      <c r="C4183" s="270">
        <v>2020</v>
      </c>
      <c r="D4183" s="270">
        <v>1</v>
      </c>
      <c r="E4183" s="270">
        <v>1</v>
      </c>
      <c r="F4183" s="270" t="s">
        <v>944</v>
      </c>
      <c r="G4183" s="270" t="s">
        <v>3926</v>
      </c>
      <c r="H4183" s="270" t="s">
        <v>8757</v>
      </c>
      <c r="I4183" s="270" t="s">
        <v>4147</v>
      </c>
      <c r="J4183" s="270" t="s">
        <v>3928</v>
      </c>
      <c r="K4183" s="270">
        <v>6109</v>
      </c>
      <c r="L4183" s="270">
        <v>492300</v>
      </c>
      <c r="M4183" s="270" t="s">
        <v>3940</v>
      </c>
      <c r="N4183" s="270" t="s">
        <v>3944</v>
      </c>
      <c r="O4183" s="270">
        <v>1589.07</v>
      </c>
      <c r="P4183" s="270" t="s">
        <v>3944</v>
      </c>
      <c r="Q4183" s="270" t="s">
        <v>3944</v>
      </c>
      <c r="R4183" s="270">
        <v>1589.07</v>
      </c>
      <c r="S4183" s="270">
        <v>23616.41</v>
      </c>
      <c r="T4183" s="270">
        <v>25205.48</v>
      </c>
      <c r="U4183" s="271" t="s">
        <v>3945</v>
      </c>
      <c r="V4183" s="267" t="s">
        <v>944</v>
      </c>
    </row>
    <row r="4184" spans="1:22" hidden="1" x14ac:dyDescent="0.25">
      <c r="A4184" s="266">
        <v>43676</v>
      </c>
      <c r="B4184" s="267">
        <v>2019</v>
      </c>
      <c r="C4184" s="267">
        <v>2020</v>
      </c>
      <c r="D4184" s="267">
        <v>1</v>
      </c>
      <c r="E4184" s="267">
        <v>1</v>
      </c>
      <c r="F4184" s="267" t="s">
        <v>944</v>
      </c>
      <c r="G4184" s="267" t="s">
        <v>3926</v>
      </c>
      <c r="H4184" s="267" t="s">
        <v>8758</v>
      </c>
      <c r="I4184" s="267" t="s">
        <v>3968</v>
      </c>
      <c r="J4184" s="267" t="s">
        <v>3928</v>
      </c>
      <c r="K4184" s="267">
        <v>6040</v>
      </c>
      <c r="L4184" s="267">
        <v>514500</v>
      </c>
      <c r="M4184" s="267" t="s">
        <v>3935</v>
      </c>
      <c r="N4184" s="267" t="s">
        <v>3944</v>
      </c>
      <c r="O4184" s="267">
        <v>613.69000000000005</v>
      </c>
      <c r="P4184" s="267" t="s">
        <v>3944</v>
      </c>
      <c r="Q4184" s="267" t="s">
        <v>3944</v>
      </c>
      <c r="R4184" s="267">
        <v>613.69000000000005</v>
      </c>
      <c r="S4184" s="267">
        <v>7847.35</v>
      </c>
      <c r="T4184" s="267">
        <v>8461.0400000000009</v>
      </c>
      <c r="U4184" s="268" t="s">
        <v>3945</v>
      </c>
      <c r="V4184" s="267" t="s">
        <v>944</v>
      </c>
    </row>
    <row r="4185" spans="1:22" x14ac:dyDescent="0.25">
      <c r="A4185" s="269">
        <v>43676</v>
      </c>
      <c r="B4185" s="270">
        <v>2019</v>
      </c>
      <c r="C4185" s="270">
        <v>2020</v>
      </c>
      <c r="D4185" s="270">
        <v>1</v>
      </c>
      <c r="E4185" s="270">
        <v>1</v>
      </c>
      <c r="F4185" s="270" t="s">
        <v>944</v>
      </c>
      <c r="G4185" s="270" t="s">
        <v>3926</v>
      </c>
      <c r="H4185" s="270" t="s">
        <v>8759</v>
      </c>
      <c r="I4185" s="270" t="s">
        <v>943</v>
      </c>
      <c r="J4185" s="270" t="s">
        <v>3928</v>
      </c>
      <c r="K4185" s="270">
        <v>6511</v>
      </c>
      <c r="L4185" s="270">
        <v>140900</v>
      </c>
      <c r="M4185" s="270">
        <v>-60</v>
      </c>
      <c r="N4185" s="270" t="s">
        <v>3944</v>
      </c>
      <c r="O4185" s="270">
        <v>2231.9899999999998</v>
      </c>
      <c r="P4185" s="270" t="s">
        <v>3944</v>
      </c>
      <c r="Q4185" s="270" t="s">
        <v>3944</v>
      </c>
      <c r="R4185" s="270">
        <v>2231.9899999999998</v>
      </c>
      <c r="S4185" s="270">
        <v>25665.16</v>
      </c>
      <c r="T4185" s="270">
        <v>27897.15</v>
      </c>
      <c r="U4185" s="271" t="s">
        <v>3945</v>
      </c>
      <c r="V4185" s="276" t="s">
        <v>936</v>
      </c>
    </row>
    <row r="4186" spans="1:22" hidden="1" x14ac:dyDescent="0.25">
      <c r="A4186" s="266">
        <v>43676</v>
      </c>
      <c r="B4186" s="267">
        <v>2019</v>
      </c>
      <c r="C4186" s="267">
        <v>2020</v>
      </c>
      <c r="D4186" s="267">
        <v>1</v>
      </c>
      <c r="E4186" s="267">
        <v>1</v>
      </c>
      <c r="F4186" s="267" t="s">
        <v>944</v>
      </c>
      <c r="G4186" s="267" t="s">
        <v>3926</v>
      </c>
      <c r="H4186" s="267" t="s">
        <v>8760</v>
      </c>
      <c r="I4186" s="267" t="s">
        <v>3008</v>
      </c>
      <c r="J4186" s="267" t="s">
        <v>3928</v>
      </c>
      <c r="K4186" s="267">
        <v>6460</v>
      </c>
      <c r="L4186" s="267">
        <v>151100</v>
      </c>
      <c r="M4186" s="267" t="s">
        <v>3960</v>
      </c>
      <c r="N4186" s="267" t="s">
        <v>3944</v>
      </c>
      <c r="O4186" s="267">
        <v>1220.73</v>
      </c>
      <c r="P4186" s="267" t="s">
        <v>3944</v>
      </c>
      <c r="Q4186" s="267" t="s">
        <v>3944</v>
      </c>
      <c r="R4186" s="267">
        <v>1220.73</v>
      </c>
      <c r="S4186" s="267">
        <v>21118.51</v>
      </c>
      <c r="T4186" s="267">
        <v>22339.24</v>
      </c>
      <c r="U4186" s="268" t="s">
        <v>3945</v>
      </c>
      <c r="V4186" s="267" t="s">
        <v>944</v>
      </c>
    </row>
    <row r="4187" spans="1:22" hidden="1" x14ac:dyDescent="0.25">
      <c r="A4187" s="269">
        <v>43676</v>
      </c>
      <c r="B4187" s="270">
        <v>2019</v>
      </c>
      <c r="C4187" s="270">
        <v>2020</v>
      </c>
      <c r="D4187" s="270">
        <v>1</v>
      </c>
      <c r="E4187" s="270">
        <v>1</v>
      </c>
      <c r="F4187" s="270" t="s">
        <v>944</v>
      </c>
      <c r="G4187" s="270" t="s">
        <v>3926</v>
      </c>
      <c r="H4187" s="270" t="s">
        <v>8761</v>
      </c>
      <c r="I4187" s="270" t="s">
        <v>4306</v>
      </c>
      <c r="J4187" s="270" t="s">
        <v>3928</v>
      </c>
      <c r="K4187" s="270">
        <v>6716</v>
      </c>
      <c r="L4187" s="270">
        <v>361300</v>
      </c>
      <c r="M4187" s="270" t="s">
        <v>3960</v>
      </c>
      <c r="N4187" s="270" t="s">
        <v>3944</v>
      </c>
      <c r="O4187" s="270">
        <v>1667.89</v>
      </c>
      <c r="P4187" s="270" t="s">
        <v>3944</v>
      </c>
      <c r="Q4187" s="270" t="s">
        <v>3944</v>
      </c>
      <c r="R4187" s="270">
        <v>1667.89</v>
      </c>
      <c r="S4187" s="270">
        <v>22503.73</v>
      </c>
      <c r="T4187" s="270">
        <v>24171.62</v>
      </c>
      <c r="U4187" s="271" t="s">
        <v>3945</v>
      </c>
      <c r="V4187" s="267" t="s">
        <v>944</v>
      </c>
    </row>
    <row r="4188" spans="1:22" hidden="1" x14ac:dyDescent="0.25">
      <c r="A4188" s="266">
        <v>43676</v>
      </c>
      <c r="B4188" s="267">
        <v>2019</v>
      </c>
      <c r="C4188" s="267">
        <v>2020</v>
      </c>
      <c r="D4188" s="267">
        <v>1</v>
      </c>
      <c r="E4188" s="267">
        <v>1</v>
      </c>
      <c r="F4188" s="267" t="s">
        <v>944</v>
      </c>
      <c r="G4188" s="267" t="s">
        <v>3926</v>
      </c>
      <c r="H4188" s="267" t="s">
        <v>8762</v>
      </c>
      <c r="I4188" s="267" t="s">
        <v>3966</v>
      </c>
      <c r="J4188" s="267" t="s">
        <v>3928</v>
      </c>
      <c r="K4188" s="267">
        <v>6010</v>
      </c>
      <c r="L4188" s="267">
        <v>405300</v>
      </c>
      <c r="M4188" s="267" t="s">
        <v>3940</v>
      </c>
      <c r="N4188" s="267" t="s">
        <v>3944</v>
      </c>
      <c r="O4188" s="267">
        <v>797.23</v>
      </c>
      <c r="P4188" s="267" t="s">
        <v>3944</v>
      </c>
      <c r="Q4188" s="267" t="s">
        <v>3944</v>
      </c>
      <c r="R4188" s="267">
        <v>797.23</v>
      </c>
      <c r="S4188" s="267">
        <v>10763.66</v>
      </c>
      <c r="T4188" s="267">
        <v>11560.89</v>
      </c>
      <c r="U4188" s="268" t="s">
        <v>3945</v>
      </c>
      <c r="V4188" s="267" t="s">
        <v>944</v>
      </c>
    </row>
    <row r="4189" spans="1:22" hidden="1" x14ac:dyDescent="0.25">
      <c r="A4189" s="269">
        <v>43676</v>
      </c>
      <c r="B4189" s="270">
        <v>2019</v>
      </c>
      <c r="C4189" s="270">
        <v>2020</v>
      </c>
      <c r="D4189" s="270">
        <v>1</v>
      </c>
      <c r="E4189" s="270">
        <v>1</v>
      </c>
      <c r="F4189" s="270" t="s">
        <v>944</v>
      </c>
      <c r="G4189" s="270" t="s">
        <v>3926</v>
      </c>
      <c r="H4189" s="270" t="s">
        <v>8763</v>
      </c>
      <c r="I4189" s="270" t="s">
        <v>4042</v>
      </c>
      <c r="J4189" s="270" t="s">
        <v>3928</v>
      </c>
      <c r="K4189" s="270">
        <v>6382</v>
      </c>
      <c r="L4189" s="270">
        <v>870501</v>
      </c>
      <c r="M4189" s="270" t="s">
        <v>3935</v>
      </c>
      <c r="N4189" s="270" t="s">
        <v>3944</v>
      </c>
      <c r="O4189" s="270">
        <v>2574.6</v>
      </c>
      <c r="P4189" s="270" t="s">
        <v>3944</v>
      </c>
      <c r="Q4189" s="270" t="s">
        <v>3944</v>
      </c>
      <c r="R4189" s="270">
        <v>2574.6</v>
      </c>
      <c r="S4189" s="270">
        <v>40326.870000000003</v>
      </c>
      <c r="T4189" s="270">
        <v>42901.47</v>
      </c>
      <c r="U4189" s="271" t="s">
        <v>3945</v>
      </c>
      <c r="V4189" s="267" t="s">
        <v>944</v>
      </c>
    </row>
    <row r="4190" spans="1:22" hidden="1" x14ac:dyDescent="0.25">
      <c r="A4190" s="266">
        <v>43676</v>
      </c>
      <c r="B4190" s="267">
        <v>2019</v>
      </c>
      <c r="C4190" s="267">
        <v>2020</v>
      </c>
      <c r="D4190" s="267">
        <v>1</v>
      </c>
      <c r="E4190" s="267">
        <v>1</v>
      </c>
      <c r="F4190" s="267" t="s">
        <v>944</v>
      </c>
      <c r="G4190" s="267" t="s">
        <v>3926</v>
      </c>
      <c r="H4190" s="267" t="s">
        <v>8764</v>
      </c>
      <c r="I4190" s="267" t="s">
        <v>956</v>
      </c>
      <c r="J4190" s="267" t="s">
        <v>3928</v>
      </c>
      <c r="K4190" s="267">
        <v>6614</v>
      </c>
      <c r="L4190" s="267">
        <v>81200</v>
      </c>
      <c r="M4190" s="267" t="s">
        <v>3943</v>
      </c>
      <c r="N4190" s="267" t="s">
        <v>3944</v>
      </c>
      <c r="O4190" s="267">
        <v>2901.89</v>
      </c>
      <c r="P4190" s="267" t="s">
        <v>3944</v>
      </c>
      <c r="Q4190" s="267" t="s">
        <v>3944</v>
      </c>
      <c r="R4190" s="267">
        <v>2901.89</v>
      </c>
      <c r="S4190" s="267">
        <v>43273.65</v>
      </c>
      <c r="T4190" s="267">
        <v>46175.54</v>
      </c>
      <c r="U4190" s="268" t="s">
        <v>3945</v>
      </c>
      <c r="V4190" s="267" t="s">
        <v>944</v>
      </c>
    </row>
    <row r="4191" spans="1:22" hidden="1" x14ac:dyDescent="0.25">
      <c r="A4191" s="269">
        <v>43676</v>
      </c>
      <c r="B4191" s="270">
        <v>2019</v>
      </c>
      <c r="C4191" s="270">
        <v>2020</v>
      </c>
      <c r="D4191" s="270">
        <v>1</v>
      </c>
      <c r="E4191" s="270">
        <v>1</v>
      </c>
      <c r="F4191" s="270" t="s">
        <v>944</v>
      </c>
      <c r="G4191" s="270" t="s">
        <v>3926</v>
      </c>
      <c r="H4191" s="270" t="s">
        <v>8765</v>
      </c>
      <c r="I4191" s="270" t="s">
        <v>4042</v>
      </c>
      <c r="J4191" s="270" t="s">
        <v>3928</v>
      </c>
      <c r="K4191" s="270">
        <v>6382</v>
      </c>
      <c r="L4191" s="270">
        <v>870501</v>
      </c>
      <c r="M4191" s="270" t="s">
        <v>3935</v>
      </c>
      <c r="N4191" s="270" t="s">
        <v>3944</v>
      </c>
      <c r="O4191" s="270">
        <v>1816.78</v>
      </c>
      <c r="P4191" s="270" t="s">
        <v>3944</v>
      </c>
      <c r="Q4191" s="270" t="s">
        <v>3944</v>
      </c>
      <c r="R4191" s="270">
        <v>1816.78</v>
      </c>
      <c r="S4191" s="270">
        <v>28288</v>
      </c>
      <c r="T4191" s="270">
        <v>30104.78</v>
      </c>
      <c r="U4191" s="271" t="s">
        <v>3945</v>
      </c>
      <c r="V4191" s="267" t="s">
        <v>944</v>
      </c>
    </row>
    <row r="4192" spans="1:22" hidden="1" x14ac:dyDescent="0.25">
      <c r="A4192" s="266">
        <v>43676</v>
      </c>
      <c r="B4192" s="267">
        <v>2019</v>
      </c>
      <c r="C4192" s="267">
        <v>2020</v>
      </c>
      <c r="D4192" s="267">
        <v>1</v>
      </c>
      <c r="E4192" s="267">
        <v>1</v>
      </c>
      <c r="F4192" s="267" t="s">
        <v>944</v>
      </c>
      <c r="G4192" s="267" t="s">
        <v>3926</v>
      </c>
      <c r="H4192" s="267" t="s">
        <v>8766</v>
      </c>
      <c r="I4192" s="267" t="s">
        <v>3008</v>
      </c>
      <c r="J4192" s="267" t="s">
        <v>3928</v>
      </c>
      <c r="K4192" s="267">
        <v>6460</v>
      </c>
      <c r="L4192" s="267">
        <v>151100</v>
      </c>
      <c r="M4192" s="267" t="s">
        <v>3960</v>
      </c>
      <c r="N4192" s="267" t="s">
        <v>3944</v>
      </c>
      <c r="O4192" s="267">
        <v>946.96</v>
      </c>
      <c r="P4192" s="267" t="s">
        <v>3944</v>
      </c>
      <c r="Q4192" s="267" t="s">
        <v>3944</v>
      </c>
      <c r="R4192" s="267">
        <v>946.96</v>
      </c>
      <c r="S4192" s="267">
        <v>13724.82</v>
      </c>
      <c r="T4192" s="267">
        <v>14671.78</v>
      </c>
      <c r="U4192" s="268" t="s">
        <v>3945</v>
      </c>
      <c r="V4192" s="267" t="s">
        <v>944</v>
      </c>
    </row>
    <row r="4193" spans="1:22" hidden="1" x14ac:dyDescent="0.25">
      <c r="A4193" s="269">
        <v>43676</v>
      </c>
      <c r="B4193" s="270">
        <v>2019</v>
      </c>
      <c r="C4193" s="270">
        <v>2020</v>
      </c>
      <c r="D4193" s="270">
        <v>1</v>
      </c>
      <c r="E4193" s="270">
        <v>1</v>
      </c>
      <c r="F4193" s="270" t="s">
        <v>944</v>
      </c>
      <c r="G4193" s="270" t="s">
        <v>3926</v>
      </c>
      <c r="H4193" s="270" t="s">
        <v>8767</v>
      </c>
      <c r="I4193" s="270" t="s">
        <v>4269</v>
      </c>
      <c r="J4193" s="270" t="s">
        <v>3928</v>
      </c>
      <c r="K4193" s="270">
        <v>6117</v>
      </c>
      <c r="L4193" s="270">
        <v>497200</v>
      </c>
      <c r="M4193" s="270" t="s">
        <v>3943</v>
      </c>
      <c r="N4193" s="270" t="s">
        <v>3944</v>
      </c>
      <c r="O4193" s="270">
        <v>2348.15</v>
      </c>
      <c r="P4193" s="270" t="s">
        <v>3944</v>
      </c>
      <c r="Q4193" s="270" t="s">
        <v>3944</v>
      </c>
      <c r="R4193" s="270">
        <v>2348.15</v>
      </c>
      <c r="S4193" s="270">
        <v>33796.5</v>
      </c>
      <c r="T4193" s="270">
        <v>36144.65</v>
      </c>
      <c r="U4193" s="271" t="s">
        <v>3945</v>
      </c>
      <c r="V4193" s="267" t="s">
        <v>944</v>
      </c>
    </row>
    <row r="4194" spans="1:22" hidden="1" x14ac:dyDescent="0.25">
      <c r="A4194" s="266">
        <v>43676</v>
      </c>
      <c r="B4194" s="267">
        <v>2019</v>
      </c>
      <c r="C4194" s="267">
        <v>2020</v>
      </c>
      <c r="D4194" s="267">
        <v>1</v>
      </c>
      <c r="E4194" s="267">
        <v>1</v>
      </c>
      <c r="F4194" s="267" t="s">
        <v>944</v>
      </c>
      <c r="G4194" s="267" t="s">
        <v>3926</v>
      </c>
      <c r="H4194" s="267" t="s">
        <v>8768</v>
      </c>
      <c r="I4194" s="267" t="s">
        <v>4005</v>
      </c>
      <c r="J4194" s="267" t="s">
        <v>3928</v>
      </c>
      <c r="K4194" s="267">
        <v>6108</v>
      </c>
      <c r="L4194" s="267">
        <v>511400</v>
      </c>
      <c r="M4194" s="267" t="s">
        <v>3935</v>
      </c>
      <c r="N4194" s="267" t="s">
        <v>3944</v>
      </c>
      <c r="O4194" s="267">
        <v>3134.99</v>
      </c>
      <c r="P4194" s="267" t="s">
        <v>3944</v>
      </c>
      <c r="Q4194" s="267" t="s">
        <v>3944</v>
      </c>
      <c r="R4194" s="267">
        <v>3134.99</v>
      </c>
      <c r="S4194" s="267">
        <v>44116.68</v>
      </c>
      <c r="T4194" s="267">
        <v>47251.67</v>
      </c>
      <c r="U4194" s="268" t="s">
        <v>3945</v>
      </c>
      <c r="V4194" s="267" t="s">
        <v>944</v>
      </c>
    </row>
    <row r="4195" spans="1:22" hidden="1" x14ac:dyDescent="0.25">
      <c r="A4195" s="269">
        <v>43676</v>
      </c>
      <c r="B4195" s="270">
        <v>2019</v>
      </c>
      <c r="C4195" s="270">
        <v>2020</v>
      </c>
      <c r="D4195" s="270">
        <v>1</v>
      </c>
      <c r="E4195" s="270">
        <v>1</v>
      </c>
      <c r="F4195" s="270" t="s">
        <v>944</v>
      </c>
      <c r="G4195" s="270" t="s">
        <v>3926</v>
      </c>
      <c r="H4195" s="270" t="s">
        <v>8769</v>
      </c>
      <c r="I4195" s="270" t="s">
        <v>3012</v>
      </c>
      <c r="J4195" s="270" t="s">
        <v>3928</v>
      </c>
      <c r="K4195" s="270">
        <v>6477</v>
      </c>
      <c r="L4195" s="270">
        <v>157300</v>
      </c>
      <c r="M4195" s="270" t="s">
        <v>3943</v>
      </c>
      <c r="N4195" s="270" t="s">
        <v>3944</v>
      </c>
      <c r="O4195" s="270">
        <v>1958.64</v>
      </c>
      <c r="P4195" s="270" t="s">
        <v>3944</v>
      </c>
      <c r="Q4195" s="270" t="s">
        <v>3944</v>
      </c>
      <c r="R4195" s="270">
        <v>1958.64</v>
      </c>
      <c r="S4195" s="270">
        <v>31694.9</v>
      </c>
      <c r="T4195" s="270">
        <v>33653.54</v>
      </c>
      <c r="U4195" s="271" t="s">
        <v>3945</v>
      </c>
      <c r="V4195" s="267" t="s">
        <v>944</v>
      </c>
    </row>
    <row r="4196" spans="1:22" hidden="1" x14ac:dyDescent="0.25">
      <c r="A4196" s="266">
        <v>43676</v>
      </c>
      <c r="B4196" s="267">
        <v>2019</v>
      </c>
      <c r="C4196" s="267">
        <v>2020</v>
      </c>
      <c r="D4196" s="267">
        <v>1</v>
      </c>
      <c r="E4196" s="267">
        <v>1</v>
      </c>
      <c r="F4196" s="267" t="s">
        <v>944</v>
      </c>
      <c r="G4196" s="267" t="s">
        <v>3926</v>
      </c>
      <c r="H4196" s="267" t="s">
        <v>8770</v>
      </c>
      <c r="I4196" s="267" t="s">
        <v>3008</v>
      </c>
      <c r="J4196" s="267" t="s">
        <v>3928</v>
      </c>
      <c r="K4196" s="267">
        <v>6460</v>
      </c>
      <c r="L4196" s="267">
        <v>150900</v>
      </c>
      <c r="M4196" s="267" t="s">
        <v>3943</v>
      </c>
      <c r="N4196" s="267" t="s">
        <v>3944</v>
      </c>
      <c r="O4196" s="267">
        <v>1369.87</v>
      </c>
      <c r="P4196" s="267" t="s">
        <v>3944</v>
      </c>
      <c r="Q4196" s="267" t="s">
        <v>3944</v>
      </c>
      <c r="R4196" s="267">
        <v>1369.87</v>
      </c>
      <c r="S4196" s="267">
        <v>22551.46</v>
      </c>
      <c r="T4196" s="267">
        <v>23921.33</v>
      </c>
      <c r="U4196" s="268" t="s">
        <v>3945</v>
      </c>
      <c r="V4196" s="267" t="s">
        <v>944</v>
      </c>
    </row>
    <row r="4197" spans="1:22" hidden="1" x14ac:dyDescent="0.25">
      <c r="A4197" s="269">
        <v>43676</v>
      </c>
      <c r="B4197" s="270">
        <v>2019</v>
      </c>
      <c r="C4197" s="270">
        <v>2020</v>
      </c>
      <c r="D4197" s="270">
        <v>1</v>
      </c>
      <c r="E4197" s="270">
        <v>1</v>
      </c>
      <c r="F4197" s="270" t="s">
        <v>944</v>
      </c>
      <c r="G4197" s="270" t="s">
        <v>3926</v>
      </c>
      <c r="H4197" s="270" t="s">
        <v>8771</v>
      </c>
      <c r="I4197" s="270" t="s">
        <v>3008</v>
      </c>
      <c r="J4197" s="270" t="s">
        <v>3928</v>
      </c>
      <c r="K4197" s="270">
        <v>6460</v>
      </c>
      <c r="L4197" s="270">
        <v>151100</v>
      </c>
      <c r="M4197" s="270" t="s">
        <v>3960</v>
      </c>
      <c r="N4197" s="270" t="s">
        <v>3944</v>
      </c>
      <c r="O4197" s="270">
        <v>3212.37</v>
      </c>
      <c r="P4197" s="270" t="s">
        <v>3944</v>
      </c>
      <c r="Q4197" s="270" t="s">
        <v>3944</v>
      </c>
      <c r="R4197" s="270">
        <v>3212.37</v>
      </c>
      <c r="S4197" s="270">
        <v>48187.44</v>
      </c>
      <c r="T4197" s="270">
        <v>51399.81</v>
      </c>
      <c r="U4197" s="271" t="s">
        <v>3945</v>
      </c>
      <c r="V4197" s="267" t="s">
        <v>944</v>
      </c>
    </row>
    <row r="4198" spans="1:22" hidden="1" x14ac:dyDescent="0.25">
      <c r="A4198" s="266">
        <v>43676</v>
      </c>
      <c r="B4198" s="267">
        <v>2019</v>
      </c>
      <c r="C4198" s="267">
        <v>2020</v>
      </c>
      <c r="D4198" s="267">
        <v>1</v>
      </c>
      <c r="E4198" s="267">
        <v>1</v>
      </c>
      <c r="F4198" s="267" t="s">
        <v>944</v>
      </c>
      <c r="G4198" s="267" t="s">
        <v>3926</v>
      </c>
      <c r="H4198" s="267" t="s">
        <v>8772</v>
      </c>
      <c r="I4198" s="267" t="s">
        <v>4042</v>
      </c>
      <c r="J4198" s="267" t="s">
        <v>3928</v>
      </c>
      <c r="K4198" s="267">
        <v>6382</v>
      </c>
      <c r="L4198" s="267">
        <v>870501</v>
      </c>
      <c r="M4198" s="267" t="s">
        <v>3935</v>
      </c>
      <c r="N4198" s="267" t="s">
        <v>3944</v>
      </c>
      <c r="O4198" s="267">
        <v>1750</v>
      </c>
      <c r="P4198" s="267" t="s">
        <v>3944</v>
      </c>
      <c r="Q4198" s="267" t="s">
        <v>3944</v>
      </c>
      <c r="R4198" s="267">
        <v>1750</v>
      </c>
      <c r="S4198" s="267">
        <v>26488.57</v>
      </c>
      <c r="T4198" s="267">
        <v>28238.57</v>
      </c>
      <c r="U4198" s="268" t="s">
        <v>3945</v>
      </c>
      <c r="V4198" s="267" t="s">
        <v>944</v>
      </c>
    </row>
    <row r="4199" spans="1:22" hidden="1" x14ac:dyDescent="0.25">
      <c r="A4199" s="269">
        <v>43676</v>
      </c>
      <c r="B4199" s="270">
        <v>2019</v>
      </c>
      <c r="C4199" s="270">
        <v>2020</v>
      </c>
      <c r="D4199" s="270">
        <v>1</v>
      </c>
      <c r="E4199" s="270">
        <v>1</v>
      </c>
      <c r="F4199" s="270" t="s">
        <v>944</v>
      </c>
      <c r="G4199" s="270" t="s">
        <v>3926</v>
      </c>
      <c r="H4199" s="270" t="s">
        <v>8773</v>
      </c>
      <c r="I4199" s="270" t="s">
        <v>934</v>
      </c>
      <c r="J4199" s="270" t="s">
        <v>3928</v>
      </c>
      <c r="K4199" s="270">
        <v>6606</v>
      </c>
      <c r="L4199" s="270">
        <v>72300</v>
      </c>
      <c r="M4199" s="270" t="s">
        <v>3940</v>
      </c>
      <c r="N4199" s="270" t="s">
        <v>3944</v>
      </c>
      <c r="O4199" s="270">
        <v>1565.62</v>
      </c>
      <c r="P4199" s="270" t="s">
        <v>3944</v>
      </c>
      <c r="Q4199" s="270" t="s">
        <v>3944</v>
      </c>
      <c r="R4199" s="270">
        <v>1565.62</v>
      </c>
      <c r="S4199" s="270">
        <v>27804.98</v>
      </c>
      <c r="T4199" s="270">
        <v>29370.6</v>
      </c>
      <c r="U4199" s="271" t="s">
        <v>3945</v>
      </c>
      <c r="V4199" s="267" t="s">
        <v>944</v>
      </c>
    </row>
    <row r="4200" spans="1:22" hidden="1" x14ac:dyDescent="0.25">
      <c r="A4200" s="266">
        <v>43676</v>
      </c>
      <c r="B4200" s="267">
        <v>2019</v>
      </c>
      <c r="C4200" s="267">
        <v>2020</v>
      </c>
      <c r="D4200" s="267">
        <v>1</v>
      </c>
      <c r="E4200" s="267">
        <v>1</v>
      </c>
      <c r="F4200" s="267" t="s">
        <v>944</v>
      </c>
      <c r="G4200" s="267" t="s">
        <v>3926</v>
      </c>
      <c r="H4200" s="267" t="s">
        <v>8774</v>
      </c>
      <c r="I4200" s="267" t="s">
        <v>4042</v>
      </c>
      <c r="J4200" s="267" t="s">
        <v>3928</v>
      </c>
      <c r="K4200" s="267">
        <v>6382</v>
      </c>
      <c r="L4200" s="267">
        <v>870501</v>
      </c>
      <c r="M4200" s="267" t="s">
        <v>3935</v>
      </c>
      <c r="N4200" s="267" t="s">
        <v>3944</v>
      </c>
      <c r="O4200" s="267">
        <v>2056.9499999999998</v>
      </c>
      <c r="P4200" s="267" t="s">
        <v>3944</v>
      </c>
      <c r="Q4200" s="267" t="s">
        <v>3944</v>
      </c>
      <c r="R4200" s="267">
        <v>2056.9499999999998</v>
      </c>
      <c r="S4200" s="267">
        <v>30630.3</v>
      </c>
      <c r="T4200" s="267">
        <v>32687.25</v>
      </c>
      <c r="U4200" s="268" t="s">
        <v>3945</v>
      </c>
      <c r="V4200" s="267" t="s">
        <v>944</v>
      </c>
    </row>
    <row r="4201" spans="1:22" hidden="1" x14ac:dyDescent="0.25">
      <c r="A4201" s="269">
        <v>43676</v>
      </c>
      <c r="B4201" s="270">
        <v>2019</v>
      </c>
      <c r="C4201" s="270">
        <v>2020</v>
      </c>
      <c r="D4201" s="270">
        <v>1</v>
      </c>
      <c r="E4201" s="270">
        <v>1</v>
      </c>
      <c r="F4201" s="270" t="s">
        <v>944</v>
      </c>
      <c r="G4201" s="270" t="s">
        <v>3926</v>
      </c>
      <c r="H4201" s="270" t="s">
        <v>8775</v>
      </c>
      <c r="I4201" s="270" t="s">
        <v>4244</v>
      </c>
      <c r="J4201" s="270" t="s">
        <v>3928</v>
      </c>
      <c r="K4201" s="270">
        <v>6250</v>
      </c>
      <c r="L4201" s="270">
        <v>881100</v>
      </c>
      <c r="M4201" s="270" t="s">
        <v>3935</v>
      </c>
      <c r="N4201" s="270" t="s">
        <v>3944</v>
      </c>
      <c r="O4201" s="270">
        <v>2022.34</v>
      </c>
      <c r="P4201" s="270" t="s">
        <v>3944</v>
      </c>
      <c r="Q4201" s="270" t="s">
        <v>3944</v>
      </c>
      <c r="R4201" s="270">
        <v>2022.34</v>
      </c>
      <c r="S4201" s="270">
        <v>29123.17</v>
      </c>
      <c r="T4201" s="270">
        <v>31145.51</v>
      </c>
      <c r="U4201" s="271" t="s">
        <v>3945</v>
      </c>
      <c r="V4201" s="267" t="s">
        <v>944</v>
      </c>
    </row>
    <row r="4202" spans="1:22" hidden="1" x14ac:dyDescent="0.25">
      <c r="A4202" s="266">
        <v>43676</v>
      </c>
      <c r="B4202" s="267">
        <v>2019</v>
      </c>
      <c r="C4202" s="267">
        <v>2020</v>
      </c>
      <c r="D4202" s="267">
        <v>1</v>
      </c>
      <c r="E4202" s="267">
        <v>1</v>
      </c>
      <c r="F4202" s="267" t="s">
        <v>944</v>
      </c>
      <c r="G4202" s="267" t="s">
        <v>3926</v>
      </c>
      <c r="H4202" s="267" t="s">
        <v>8776</v>
      </c>
      <c r="I4202" s="267" t="s">
        <v>3014</v>
      </c>
      <c r="J4202" s="267" t="s">
        <v>3928</v>
      </c>
      <c r="K4202" s="267">
        <v>6525</v>
      </c>
      <c r="L4202" s="267">
        <v>160200</v>
      </c>
      <c r="M4202" s="267" t="s">
        <v>3943</v>
      </c>
      <c r="N4202" s="267" t="s">
        <v>8777</v>
      </c>
      <c r="O4202" s="267"/>
      <c r="P4202" s="267" t="s">
        <v>3944</v>
      </c>
      <c r="Q4202" s="267" t="s">
        <v>3930</v>
      </c>
      <c r="R4202" s="267">
        <v>0</v>
      </c>
      <c r="S4202" s="267">
        <v>429223.26</v>
      </c>
      <c r="T4202" s="267">
        <v>429223.26</v>
      </c>
      <c r="U4202" s="268" t="s">
        <v>4099</v>
      </c>
      <c r="V4202" s="267" t="s">
        <v>944</v>
      </c>
    </row>
    <row r="4203" spans="1:22" hidden="1" x14ac:dyDescent="0.25">
      <c r="A4203" s="269">
        <v>43676</v>
      </c>
      <c r="B4203" s="270">
        <v>2019</v>
      </c>
      <c r="C4203" s="270">
        <v>2020</v>
      </c>
      <c r="D4203" s="270">
        <v>1</v>
      </c>
      <c r="E4203" s="270">
        <v>1</v>
      </c>
      <c r="F4203" s="270" t="s">
        <v>944</v>
      </c>
      <c r="G4203" s="270" t="s">
        <v>3926</v>
      </c>
      <c r="H4203" s="270" t="s">
        <v>8778</v>
      </c>
      <c r="I4203" s="270" t="s">
        <v>4008</v>
      </c>
      <c r="J4203" s="270" t="s">
        <v>3928</v>
      </c>
      <c r="K4203" s="270">
        <v>6320</v>
      </c>
      <c r="L4203" s="270">
        <v>690400</v>
      </c>
      <c r="M4203" s="270">
        <v>-60</v>
      </c>
      <c r="N4203" s="270" t="s">
        <v>3944</v>
      </c>
      <c r="O4203" s="270">
        <v>2907.07</v>
      </c>
      <c r="P4203" s="270" t="s">
        <v>3944</v>
      </c>
      <c r="Q4203" s="270" t="s">
        <v>3944</v>
      </c>
      <c r="R4203" s="270">
        <v>2907.07</v>
      </c>
      <c r="S4203" s="270">
        <v>48392.93</v>
      </c>
      <c r="T4203" s="270">
        <v>51300</v>
      </c>
      <c r="U4203" s="271" t="s">
        <v>3945</v>
      </c>
      <c r="V4203" s="267" t="s">
        <v>944</v>
      </c>
    </row>
    <row r="4204" spans="1:22" hidden="1" x14ac:dyDescent="0.25">
      <c r="A4204" s="266">
        <v>43676</v>
      </c>
      <c r="B4204" s="267">
        <v>2019</v>
      </c>
      <c r="C4204" s="267">
        <v>2020</v>
      </c>
      <c r="D4204" s="267">
        <v>1</v>
      </c>
      <c r="E4204" s="267">
        <v>1</v>
      </c>
      <c r="F4204" s="267" t="s">
        <v>944</v>
      </c>
      <c r="G4204" s="267" t="s">
        <v>3926</v>
      </c>
      <c r="H4204" s="267" t="s">
        <v>8779</v>
      </c>
      <c r="I4204" s="267" t="s">
        <v>3962</v>
      </c>
      <c r="J4204" s="267" t="s">
        <v>3928</v>
      </c>
      <c r="K4204" s="267">
        <v>6355</v>
      </c>
      <c r="L4204" s="267">
        <v>702100</v>
      </c>
      <c r="M4204" s="267" t="s">
        <v>3960</v>
      </c>
      <c r="N4204" s="267" t="s">
        <v>3944</v>
      </c>
      <c r="O4204" s="267">
        <v>1281.07</v>
      </c>
      <c r="P4204" s="267" t="s">
        <v>3944</v>
      </c>
      <c r="Q4204" s="267" t="s">
        <v>3944</v>
      </c>
      <c r="R4204" s="267">
        <v>1281.07</v>
      </c>
      <c r="S4204" s="267">
        <v>18377.8</v>
      </c>
      <c r="T4204" s="267">
        <v>19658.87</v>
      </c>
      <c r="U4204" s="268" t="s">
        <v>3945</v>
      </c>
      <c r="V4204" s="267" t="s">
        <v>944</v>
      </c>
    </row>
    <row r="4205" spans="1:22" hidden="1" x14ac:dyDescent="0.25">
      <c r="A4205" s="269">
        <v>43676</v>
      </c>
      <c r="B4205" s="270">
        <v>2019</v>
      </c>
      <c r="C4205" s="270">
        <v>2020</v>
      </c>
      <c r="D4205" s="270">
        <v>1</v>
      </c>
      <c r="E4205" s="270">
        <v>1</v>
      </c>
      <c r="F4205" s="270" t="s">
        <v>944</v>
      </c>
      <c r="G4205" s="270" t="s">
        <v>3926</v>
      </c>
      <c r="H4205" s="270" t="s">
        <v>8780</v>
      </c>
      <c r="I4205" s="270" t="s">
        <v>6209</v>
      </c>
      <c r="J4205" s="270" t="s">
        <v>3928</v>
      </c>
      <c r="K4205" s="270">
        <v>6403</v>
      </c>
      <c r="L4205" s="270">
        <v>341100</v>
      </c>
      <c r="M4205" s="270" t="s">
        <v>3935</v>
      </c>
      <c r="N4205" s="270" t="s">
        <v>3944</v>
      </c>
      <c r="O4205" s="270">
        <v>1946.84</v>
      </c>
      <c r="P4205" s="270" t="s">
        <v>3944</v>
      </c>
      <c r="Q4205" s="270" t="s">
        <v>3944</v>
      </c>
      <c r="R4205" s="270">
        <v>1946.84</v>
      </c>
      <c r="S4205" s="270">
        <v>27228.35</v>
      </c>
      <c r="T4205" s="270">
        <v>29175.19</v>
      </c>
      <c r="U4205" s="271" t="s">
        <v>3945</v>
      </c>
      <c r="V4205" s="267" t="s">
        <v>944</v>
      </c>
    </row>
    <row r="4206" spans="1:22" hidden="1" x14ac:dyDescent="0.25">
      <c r="A4206" s="266">
        <v>43677</v>
      </c>
      <c r="B4206" s="267">
        <v>2019</v>
      </c>
      <c r="C4206" s="267">
        <v>2020</v>
      </c>
      <c r="D4206" s="267">
        <v>1</v>
      </c>
      <c r="E4206" s="267">
        <v>1</v>
      </c>
      <c r="F4206" s="267" t="s">
        <v>944</v>
      </c>
      <c r="G4206" s="267" t="s">
        <v>3926</v>
      </c>
      <c r="H4206" s="267" t="s">
        <v>8781</v>
      </c>
      <c r="I4206" s="267" t="s">
        <v>2985</v>
      </c>
      <c r="J4206" s="267" t="s">
        <v>3928</v>
      </c>
      <c r="K4206" s="267">
        <v>6825</v>
      </c>
      <c r="L4206" s="267">
        <v>60100</v>
      </c>
      <c r="M4206" s="267" t="s">
        <v>3943</v>
      </c>
      <c r="N4206" s="267" t="s">
        <v>8782</v>
      </c>
      <c r="O4206" s="267">
        <v>0</v>
      </c>
      <c r="P4206" s="267" t="s">
        <v>3930</v>
      </c>
      <c r="Q4206" s="267" t="s">
        <v>3930</v>
      </c>
      <c r="R4206" s="267">
        <v>0</v>
      </c>
      <c r="S4206" s="267">
        <v>23500</v>
      </c>
      <c r="T4206" s="267">
        <v>23500</v>
      </c>
      <c r="U4206" s="268" t="s">
        <v>3937</v>
      </c>
      <c r="V4206" s="267" t="s">
        <v>944</v>
      </c>
    </row>
    <row r="4207" spans="1:22" hidden="1" x14ac:dyDescent="0.25">
      <c r="A4207" s="269">
        <v>43677</v>
      </c>
      <c r="B4207" s="270">
        <v>2019</v>
      </c>
      <c r="C4207" s="270">
        <v>2020</v>
      </c>
      <c r="D4207" s="270">
        <v>1</v>
      </c>
      <c r="E4207" s="270">
        <v>1</v>
      </c>
      <c r="F4207" s="270" t="s">
        <v>944</v>
      </c>
      <c r="G4207" s="270" t="s">
        <v>3926</v>
      </c>
      <c r="H4207" s="270" t="s">
        <v>8783</v>
      </c>
      <c r="I4207" s="270" t="s">
        <v>3949</v>
      </c>
      <c r="J4207" s="270" t="s">
        <v>3928</v>
      </c>
      <c r="K4207" s="270">
        <v>6437</v>
      </c>
      <c r="L4207" s="270">
        <v>190100</v>
      </c>
      <c r="M4207" s="270" t="s">
        <v>3960</v>
      </c>
      <c r="N4207" s="270" t="s">
        <v>8784</v>
      </c>
      <c r="O4207" s="270">
        <v>7203</v>
      </c>
      <c r="P4207" s="270" t="s">
        <v>3930</v>
      </c>
      <c r="Q4207" s="270" t="s">
        <v>3930</v>
      </c>
      <c r="R4207" s="270">
        <v>7203</v>
      </c>
      <c r="S4207" s="270">
        <v>42729</v>
      </c>
      <c r="T4207" s="270">
        <v>49932</v>
      </c>
      <c r="U4207" s="271" t="s">
        <v>3937</v>
      </c>
      <c r="V4207" s="267" t="s">
        <v>944</v>
      </c>
    </row>
    <row r="4208" spans="1:22" hidden="1" x14ac:dyDescent="0.25">
      <c r="A4208" s="266">
        <v>43677</v>
      </c>
      <c r="B4208" s="267">
        <v>2019</v>
      </c>
      <c r="C4208" s="267">
        <v>2020</v>
      </c>
      <c r="D4208" s="267">
        <v>1</v>
      </c>
      <c r="E4208" s="267">
        <v>1</v>
      </c>
      <c r="F4208" s="267" t="s">
        <v>944</v>
      </c>
      <c r="G4208" s="267" t="s">
        <v>3926</v>
      </c>
      <c r="H4208" s="267" t="s">
        <v>8785</v>
      </c>
      <c r="I4208" s="267" t="s">
        <v>4108</v>
      </c>
      <c r="J4208" s="267" t="s">
        <v>3928</v>
      </c>
      <c r="K4208" s="267">
        <v>6082</v>
      </c>
      <c r="L4208" s="267">
        <v>481100</v>
      </c>
      <c r="M4208" s="267" t="s">
        <v>3935</v>
      </c>
      <c r="N4208" s="267" t="s">
        <v>4103</v>
      </c>
      <c r="O4208" s="267">
        <v>1837.12</v>
      </c>
      <c r="P4208" s="267" t="s">
        <v>3930</v>
      </c>
      <c r="Q4208" s="267" t="s">
        <v>3931</v>
      </c>
      <c r="R4208" s="267">
        <v>6837.12</v>
      </c>
      <c r="S4208" s="267">
        <v>24145.599999999999</v>
      </c>
      <c r="T4208" s="267">
        <v>30982.720000000001</v>
      </c>
      <c r="U4208" s="268" t="s">
        <v>3932</v>
      </c>
      <c r="V4208" s="267" t="s">
        <v>944</v>
      </c>
    </row>
    <row r="4209" spans="1:22" hidden="1" x14ac:dyDescent="0.25">
      <c r="A4209" s="269">
        <v>43677</v>
      </c>
      <c r="B4209" s="270">
        <v>2019</v>
      </c>
      <c r="C4209" s="270">
        <v>2020</v>
      </c>
      <c r="D4209" s="270">
        <v>1</v>
      </c>
      <c r="E4209" s="270">
        <v>1</v>
      </c>
      <c r="F4209" s="270" t="s">
        <v>944</v>
      </c>
      <c r="G4209" s="270" t="s">
        <v>3926</v>
      </c>
      <c r="H4209" s="270" t="s">
        <v>8786</v>
      </c>
      <c r="I4209" s="270" t="s">
        <v>943</v>
      </c>
      <c r="J4209" s="270" t="s">
        <v>3928</v>
      </c>
      <c r="K4209" s="270">
        <v>6511</v>
      </c>
      <c r="L4209" s="270">
        <v>141400</v>
      </c>
      <c r="M4209" s="270">
        <v>-60</v>
      </c>
      <c r="N4209" s="270" t="s">
        <v>8787</v>
      </c>
      <c r="O4209" s="270">
        <v>1843</v>
      </c>
      <c r="P4209" s="270" t="s">
        <v>3930</v>
      </c>
      <c r="Q4209" s="270" t="s">
        <v>3930</v>
      </c>
      <c r="R4209" s="270">
        <v>1843</v>
      </c>
      <c r="S4209" s="270">
        <v>13356</v>
      </c>
      <c r="T4209" s="270">
        <v>15199</v>
      </c>
      <c r="U4209" s="271" t="s">
        <v>3937</v>
      </c>
      <c r="V4209" s="267" t="s">
        <v>944</v>
      </c>
    </row>
    <row r="4210" spans="1:22" hidden="1" x14ac:dyDescent="0.25">
      <c r="A4210" s="266">
        <v>43677</v>
      </c>
      <c r="B4210" s="267">
        <v>2019</v>
      </c>
      <c r="C4210" s="267">
        <v>2020</v>
      </c>
      <c r="D4210" s="267">
        <v>1</v>
      </c>
      <c r="E4210" s="267">
        <v>1</v>
      </c>
      <c r="F4210" s="267" t="s">
        <v>944</v>
      </c>
      <c r="G4210" s="267" t="s">
        <v>3926</v>
      </c>
      <c r="H4210" s="267" t="s">
        <v>8788</v>
      </c>
      <c r="I4210" s="267" t="s">
        <v>3934</v>
      </c>
      <c r="J4210" s="267" t="s">
        <v>3928</v>
      </c>
      <c r="K4210" s="267">
        <v>6405</v>
      </c>
      <c r="L4210" s="267">
        <v>184700</v>
      </c>
      <c r="M4210" s="267" t="s">
        <v>3935</v>
      </c>
      <c r="N4210" s="267" t="s">
        <v>8789</v>
      </c>
      <c r="O4210" s="267">
        <v>3685</v>
      </c>
      <c r="P4210" s="267" t="s">
        <v>3930</v>
      </c>
      <c r="Q4210" s="267" t="s">
        <v>3930</v>
      </c>
      <c r="R4210" s="267">
        <v>3685</v>
      </c>
      <c r="S4210" s="267">
        <v>21626</v>
      </c>
      <c r="T4210" s="267">
        <v>25311</v>
      </c>
      <c r="U4210" s="268" t="s">
        <v>3937</v>
      </c>
      <c r="V4210" s="267" t="s">
        <v>944</v>
      </c>
    </row>
    <row r="4211" spans="1:22" hidden="1" x14ac:dyDescent="0.25">
      <c r="A4211" s="269">
        <v>43677</v>
      </c>
      <c r="B4211" s="270">
        <v>2019</v>
      </c>
      <c r="C4211" s="270">
        <v>2020</v>
      </c>
      <c r="D4211" s="270">
        <v>1</v>
      </c>
      <c r="E4211" s="270">
        <v>1</v>
      </c>
      <c r="F4211" s="270" t="s">
        <v>944</v>
      </c>
      <c r="G4211" s="270" t="s">
        <v>3926</v>
      </c>
      <c r="H4211" s="270" t="s">
        <v>8790</v>
      </c>
      <c r="I4211" s="270" t="s">
        <v>3964</v>
      </c>
      <c r="J4211" s="270" t="s">
        <v>3928</v>
      </c>
      <c r="K4211" s="270">
        <v>6033</v>
      </c>
      <c r="L4211" s="270">
        <v>520202</v>
      </c>
      <c r="M4211" s="270" t="s">
        <v>3943</v>
      </c>
      <c r="N4211" s="270" t="s">
        <v>8791</v>
      </c>
      <c r="O4211" s="270">
        <v>3461</v>
      </c>
      <c r="P4211" s="270" t="s">
        <v>3930</v>
      </c>
      <c r="Q4211" s="270" t="s">
        <v>3930</v>
      </c>
      <c r="R4211" s="270">
        <v>3461</v>
      </c>
      <c r="S4211" s="270">
        <v>30512.6</v>
      </c>
      <c r="T4211" s="270">
        <v>33973.599999999999</v>
      </c>
      <c r="U4211" s="271" t="s">
        <v>3937</v>
      </c>
      <c r="V4211" s="267" t="s">
        <v>944</v>
      </c>
    </row>
    <row r="4212" spans="1:22" hidden="1" x14ac:dyDescent="0.25">
      <c r="A4212" s="266">
        <v>43677</v>
      </c>
      <c r="B4212" s="267">
        <v>2019</v>
      </c>
      <c r="C4212" s="267">
        <v>2020</v>
      </c>
      <c r="D4212" s="267">
        <v>1</v>
      </c>
      <c r="E4212" s="267">
        <v>1</v>
      </c>
      <c r="F4212" s="267" t="s">
        <v>944</v>
      </c>
      <c r="G4212" s="267" t="s">
        <v>3926</v>
      </c>
      <c r="H4212" s="267" t="s">
        <v>8792</v>
      </c>
      <c r="I4212" s="267" t="s">
        <v>3934</v>
      </c>
      <c r="J4212" s="267" t="s">
        <v>3928</v>
      </c>
      <c r="K4212" s="267">
        <v>6405</v>
      </c>
      <c r="L4212" s="267">
        <v>184200</v>
      </c>
      <c r="M4212" s="267" t="s">
        <v>3940</v>
      </c>
      <c r="N4212" s="267" t="s">
        <v>8793</v>
      </c>
      <c r="O4212" s="267">
        <v>0</v>
      </c>
      <c r="P4212" s="267" t="s">
        <v>3930</v>
      </c>
      <c r="Q4212" s="267" t="s">
        <v>3930</v>
      </c>
      <c r="R4212" s="267">
        <v>0</v>
      </c>
      <c r="S4212" s="267">
        <v>31477</v>
      </c>
      <c r="T4212" s="267">
        <v>31477</v>
      </c>
      <c r="U4212" s="268" t="s">
        <v>3937</v>
      </c>
      <c r="V4212" s="267" t="s">
        <v>944</v>
      </c>
    </row>
    <row r="4213" spans="1:22" hidden="1" x14ac:dyDescent="0.25">
      <c r="A4213" s="269">
        <v>43677</v>
      </c>
      <c r="B4213" s="270">
        <v>2019</v>
      </c>
      <c r="C4213" s="270">
        <v>2020</v>
      </c>
      <c r="D4213" s="270">
        <v>1</v>
      </c>
      <c r="E4213" s="270">
        <v>1</v>
      </c>
      <c r="F4213" s="270" t="s">
        <v>944</v>
      </c>
      <c r="G4213" s="270" t="s">
        <v>3926</v>
      </c>
      <c r="H4213" s="270" t="s">
        <v>8794</v>
      </c>
      <c r="I4213" s="270" t="s">
        <v>3956</v>
      </c>
      <c r="J4213" s="270" t="s">
        <v>3928</v>
      </c>
      <c r="K4213" s="270">
        <v>6106</v>
      </c>
      <c r="L4213" s="270">
        <v>504800</v>
      </c>
      <c r="M4213" s="270" t="s">
        <v>3940</v>
      </c>
      <c r="N4213" s="270" t="s">
        <v>4701</v>
      </c>
      <c r="O4213" s="270">
        <v>2647.61</v>
      </c>
      <c r="P4213" s="270" t="s">
        <v>3930</v>
      </c>
      <c r="Q4213" s="270" t="s">
        <v>3931</v>
      </c>
      <c r="R4213" s="270">
        <v>7647.61</v>
      </c>
      <c r="S4213" s="270">
        <v>34648</v>
      </c>
      <c r="T4213" s="270">
        <v>42295.61</v>
      </c>
      <c r="U4213" s="271" t="s">
        <v>3932</v>
      </c>
      <c r="V4213" s="267" t="s">
        <v>944</v>
      </c>
    </row>
    <row r="4214" spans="1:22" hidden="1" x14ac:dyDescent="0.25">
      <c r="A4214" s="266">
        <v>43677</v>
      </c>
      <c r="B4214" s="267">
        <v>2019</v>
      </c>
      <c r="C4214" s="267">
        <v>2020</v>
      </c>
      <c r="D4214" s="267">
        <v>1</v>
      </c>
      <c r="E4214" s="267">
        <v>1</v>
      </c>
      <c r="F4214" s="267" t="s">
        <v>944</v>
      </c>
      <c r="G4214" s="267" t="s">
        <v>3926</v>
      </c>
      <c r="H4214" s="267" t="s">
        <v>8795</v>
      </c>
      <c r="I4214" s="267" t="s">
        <v>5485</v>
      </c>
      <c r="J4214" s="267" t="s">
        <v>3928</v>
      </c>
      <c r="K4214" s="267">
        <v>6001</v>
      </c>
      <c r="L4214" s="267">
        <v>462102</v>
      </c>
      <c r="M4214" s="267" t="s">
        <v>3943</v>
      </c>
      <c r="N4214" s="267" t="s">
        <v>3944</v>
      </c>
      <c r="O4214" s="267">
        <v>6777</v>
      </c>
      <c r="P4214" s="267" t="s">
        <v>3944</v>
      </c>
      <c r="Q4214" s="267" t="s">
        <v>3944</v>
      </c>
      <c r="R4214" s="267">
        <v>6777</v>
      </c>
      <c r="S4214" s="267">
        <v>56913</v>
      </c>
      <c r="T4214" s="267">
        <v>63690</v>
      </c>
      <c r="U4214" s="268" t="s">
        <v>3945</v>
      </c>
      <c r="V4214" s="267" t="s">
        <v>944</v>
      </c>
    </row>
    <row r="4215" spans="1:22" hidden="1" x14ac:dyDescent="0.25">
      <c r="A4215" s="269">
        <v>43677</v>
      </c>
      <c r="B4215" s="270">
        <v>2019</v>
      </c>
      <c r="C4215" s="270">
        <v>2020</v>
      </c>
      <c r="D4215" s="270">
        <v>1</v>
      </c>
      <c r="E4215" s="270">
        <v>1</v>
      </c>
      <c r="F4215" s="270" t="s">
        <v>944</v>
      </c>
      <c r="G4215" s="270" t="s">
        <v>3926</v>
      </c>
      <c r="H4215" s="270" t="s">
        <v>8796</v>
      </c>
      <c r="I4215" s="270" t="s">
        <v>4137</v>
      </c>
      <c r="J4215" s="270" t="s">
        <v>3928</v>
      </c>
      <c r="K4215" s="270">
        <v>6067</v>
      </c>
      <c r="L4215" s="270">
        <v>490302</v>
      </c>
      <c r="M4215" s="270" t="s">
        <v>3960</v>
      </c>
      <c r="N4215" s="270" t="s">
        <v>3944</v>
      </c>
      <c r="O4215" s="270">
        <v>3785</v>
      </c>
      <c r="P4215" s="270" t="s">
        <v>3944</v>
      </c>
      <c r="Q4215" s="270" t="s">
        <v>3944</v>
      </c>
      <c r="R4215" s="270">
        <v>3785</v>
      </c>
      <c r="S4215" s="270">
        <v>30095</v>
      </c>
      <c r="T4215" s="270">
        <v>33880</v>
      </c>
      <c r="U4215" s="271" t="s">
        <v>3945</v>
      </c>
      <c r="V4215" s="267" t="s">
        <v>944</v>
      </c>
    </row>
    <row r="4216" spans="1:22" hidden="1" x14ac:dyDescent="0.25">
      <c r="A4216" s="266">
        <v>43677</v>
      </c>
      <c r="B4216" s="267">
        <v>2019</v>
      </c>
      <c r="C4216" s="267">
        <v>2020</v>
      </c>
      <c r="D4216" s="267">
        <v>1</v>
      </c>
      <c r="E4216" s="267">
        <v>1</v>
      </c>
      <c r="F4216" s="267" t="s">
        <v>944</v>
      </c>
      <c r="G4216" s="267" t="s">
        <v>3926</v>
      </c>
      <c r="H4216" s="267" t="s">
        <v>8797</v>
      </c>
      <c r="I4216" s="267" t="s">
        <v>3010</v>
      </c>
      <c r="J4216" s="267" t="s">
        <v>3928</v>
      </c>
      <c r="K4216" s="267">
        <v>6401</v>
      </c>
      <c r="L4216" s="267">
        <v>125400</v>
      </c>
      <c r="M4216" s="267">
        <v>-60</v>
      </c>
      <c r="N4216" s="267" t="s">
        <v>3944</v>
      </c>
      <c r="O4216" s="267">
        <v>1745</v>
      </c>
      <c r="P4216" s="267" t="s">
        <v>3944</v>
      </c>
      <c r="Q4216" s="267" t="s">
        <v>3944</v>
      </c>
      <c r="R4216" s="267">
        <v>1745</v>
      </c>
      <c r="S4216" s="267">
        <v>21593</v>
      </c>
      <c r="T4216" s="267">
        <v>23338</v>
      </c>
      <c r="U4216" s="268" t="s">
        <v>3945</v>
      </c>
      <c r="V4216" s="267" t="s">
        <v>944</v>
      </c>
    </row>
    <row r="4217" spans="1:22" hidden="1" x14ac:dyDescent="0.25">
      <c r="A4217" s="269">
        <v>43677</v>
      </c>
      <c r="B4217" s="270">
        <v>2019</v>
      </c>
      <c r="C4217" s="270">
        <v>2020</v>
      </c>
      <c r="D4217" s="270">
        <v>1</v>
      </c>
      <c r="E4217" s="270">
        <v>1</v>
      </c>
      <c r="F4217" s="270" t="s">
        <v>944</v>
      </c>
      <c r="G4217" s="270" t="s">
        <v>3926</v>
      </c>
      <c r="H4217" s="270" t="s">
        <v>8798</v>
      </c>
      <c r="I4217" s="270" t="s">
        <v>4069</v>
      </c>
      <c r="J4217" s="270" t="s">
        <v>3928</v>
      </c>
      <c r="K4217" s="270">
        <v>6903</v>
      </c>
      <c r="L4217" s="270">
        <v>20300</v>
      </c>
      <c r="M4217" s="270" t="s">
        <v>3943</v>
      </c>
      <c r="N4217" s="270" t="s">
        <v>3944</v>
      </c>
      <c r="O4217" s="270">
        <v>5689</v>
      </c>
      <c r="P4217" s="270" t="s">
        <v>3944</v>
      </c>
      <c r="Q4217" s="270" t="s">
        <v>3944</v>
      </c>
      <c r="R4217" s="270">
        <v>5689</v>
      </c>
      <c r="S4217" s="270">
        <v>35383</v>
      </c>
      <c r="T4217" s="270">
        <v>41072</v>
      </c>
      <c r="U4217" s="271" t="s">
        <v>3945</v>
      </c>
      <c r="V4217" s="267" t="s">
        <v>944</v>
      </c>
    </row>
    <row r="4218" spans="1:22" hidden="1" x14ac:dyDescent="0.25">
      <c r="A4218" s="266">
        <v>43677</v>
      </c>
      <c r="B4218" s="267">
        <v>2019</v>
      </c>
      <c r="C4218" s="267">
        <v>2020</v>
      </c>
      <c r="D4218" s="267">
        <v>1</v>
      </c>
      <c r="E4218" s="267">
        <v>1</v>
      </c>
      <c r="F4218" s="267" t="s">
        <v>944</v>
      </c>
      <c r="G4218" s="267" t="s">
        <v>3926</v>
      </c>
      <c r="H4218" s="267" t="s">
        <v>8799</v>
      </c>
      <c r="I4218" s="267" t="s">
        <v>4046</v>
      </c>
      <c r="J4218" s="267" t="s">
        <v>3928</v>
      </c>
      <c r="K4218" s="267">
        <v>6281</v>
      </c>
      <c r="L4218" s="267">
        <v>901100</v>
      </c>
      <c r="M4218" s="267" t="s">
        <v>3960</v>
      </c>
      <c r="N4218" s="267" t="s">
        <v>3944</v>
      </c>
      <c r="O4218" s="267">
        <v>1163.72</v>
      </c>
      <c r="P4218" s="267" t="s">
        <v>3944</v>
      </c>
      <c r="Q4218" s="267" t="s">
        <v>3944</v>
      </c>
      <c r="R4218" s="267">
        <v>1163.72</v>
      </c>
      <c r="S4218" s="267">
        <v>12049.28</v>
      </c>
      <c r="T4218" s="267">
        <v>13213</v>
      </c>
      <c r="U4218" s="268" t="s">
        <v>3945</v>
      </c>
      <c r="V4218" s="267" t="s">
        <v>944</v>
      </c>
    </row>
    <row r="4219" spans="1:22" hidden="1" x14ac:dyDescent="0.25">
      <c r="A4219" s="269">
        <v>43677</v>
      </c>
      <c r="B4219" s="270">
        <v>2019</v>
      </c>
      <c r="C4219" s="270">
        <v>2020</v>
      </c>
      <c r="D4219" s="270">
        <v>1</v>
      </c>
      <c r="E4219" s="270">
        <v>1</v>
      </c>
      <c r="F4219" s="270" t="s">
        <v>944</v>
      </c>
      <c r="G4219" s="270" t="s">
        <v>3926</v>
      </c>
      <c r="H4219" s="270" t="s">
        <v>8800</v>
      </c>
      <c r="I4219" s="270" t="s">
        <v>4232</v>
      </c>
      <c r="J4219" s="270" t="s">
        <v>3928</v>
      </c>
      <c r="K4219" s="270">
        <v>6483</v>
      </c>
      <c r="L4219" s="270">
        <v>130200</v>
      </c>
      <c r="M4219" s="270" t="s">
        <v>3935</v>
      </c>
      <c r="N4219" s="270" t="s">
        <v>3944</v>
      </c>
      <c r="O4219" s="270">
        <v>1574.34</v>
      </c>
      <c r="P4219" s="270" t="s">
        <v>3944</v>
      </c>
      <c r="Q4219" s="270" t="s">
        <v>3944</v>
      </c>
      <c r="R4219" s="270">
        <v>1574.34</v>
      </c>
      <c r="S4219" s="270">
        <v>22553.89</v>
      </c>
      <c r="T4219" s="270">
        <v>24128.23</v>
      </c>
      <c r="U4219" s="271" t="s">
        <v>3945</v>
      </c>
      <c r="V4219" s="267" t="s">
        <v>944</v>
      </c>
    </row>
    <row r="4220" spans="1:22" hidden="1" x14ac:dyDescent="0.25">
      <c r="A4220" s="266">
        <v>43677</v>
      </c>
      <c r="B4220" s="267">
        <v>2019</v>
      </c>
      <c r="C4220" s="267">
        <v>2020</v>
      </c>
      <c r="D4220" s="267">
        <v>1</v>
      </c>
      <c r="E4220" s="267">
        <v>1</v>
      </c>
      <c r="F4220" s="267" t="s">
        <v>944</v>
      </c>
      <c r="G4220" s="267" t="s">
        <v>3926</v>
      </c>
      <c r="H4220" s="267" t="s">
        <v>8801</v>
      </c>
      <c r="I4220" s="267" t="s">
        <v>4019</v>
      </c>
      <c r="J4220" s="267" t="s">
        <v>3928</v>
      </c>
      <c r="K4220" s="267">
        <v>6708</v>
      </c>
      <c r="L4220" s="267">
        <v>352000</v>
      </c>
      <c r="M4220" s="267" t="s">
        <v>3935</v>
      </c>
      <c r="N4220" s="267" t="s">
        <v>3944</v>
      </c>
      <c r="O4220" s="267">
        <v>2396.0300000000002</v>
      </c>
      <c r="P4220" s="267" t="s">
        <v>3944</v>
      </c>
      <c r="Q4220" s="267" t="s">
        <v>3944</v>
      </c>
      <c r="R4220" s="267">
        <v>2396.0300000000002</v>
      </c>
      <c r="S4220" s="267">
        <v>34666.61</v>
      </c>
      <c r="T4220" s="267">
        <v>37062.639999999999</v>
      </c>
      <c r="U4220" s="268" t="s">
        <v>3945</v>
      </c>
      <c r="V4220" s="267" t="s">
        <v>944</v>
      </c>
    </row>
    <row r="4221" spans="1:22" hidden="1" x14ac:dyDescent="0.25">
      <c r="A4221" s="269">
        <v>43677</v>
      </c>
      <c r="B4221" s="270">
        <v>2019</v>
      </c>
      <c r="C4221" s="270">
        <v>2020</v>
      </c>
      <c r="D4221" s="270">
        <v>1</v>
      </c>
      <c r="E4221" s="270">
        <v>1</v>
      </c>
      <c r="F4221" s="270" t="s">
        <v>944</v>
      </c>
      <c r="G4221" s="270" t="s">
        <v>3926</v>
      </c>
      <c r="H4221" s="270" t="s">
        <v>8802</v>
      </c>
      <c r="I4221" s="270" t="s">
        <v>4244</v>
      </c>
      <c r="J4221" s="270" t="s">
        <v>3928</v>
      </c>
      <c r="K4221" s="270">
        <v>6268</v>
      </c>
      <c r="L4221" s="270">
        <v>881100</v>
      </c>
      <c r="M4221" s="270" t="s">
        <v>3935</v>
      </c>
      <c r="N4221" s="270" t="s">
        <v>3944</v>
      </c>
      <c r="O4221" s="270">
        <v>3330.57</v>
      </c>
      <c r="P4221" s="270" t="s">
        <v>3944</v>
      </c>
      <c r="Q4221" s="270" t="s">
        <v>3944</v>
      </c>
      <c r="R4221" s="270">
        <v>3330.57</v>
      </c>
      <c r="S4221" s="270">
        <v>44037.17</v>
      </c>
      <c r="T4221" s="270">
        <v>47367.74</v>
      </c>
      <c r="U4221" s="271" t="s">
        <v>3945</v>
      </c>
      <c r="V4221" s="267" t="s">
        <v>944</v>
      </c>
    </row>
    <row r="4222" spans="1:22" hidden="1" x14ac:dyDescent="0.25">
      <c r="A4222" s="266">
        <v>43677</v>
      </c>
      <c r="B4222" s="267">
        <v>2019</v>
      </c>
      <c r="C4222" s="267">
        <v>2020</v>
      </c>
      <c r="D4222" s="267">
        <v>1</v>
      </c>
      <c r="E4222" s="267">
        <v>1</v>
      </c>
      <c r="F4222" s="267" t="s">
        <v>944</v>
      </c>
      <c r="G4222" s="267" t="s">
        <v>3926</v>
      </c>
      <c r="H4222" s="267" t="s">
        <v>8803</v>
      </c>
      <c r="I4222" s="267" t="s">
        <v>3012</v>
      </c>
      <c r="J4222" s="267" t="s">
        <v>3928</v>
      </c>
      <c r="K4222" s="267">
        <v>6477</v>
      </c>
      <c r="L4222" s="267">
        <v>157300</v>
      </c>
      <c r="M4222" s="267" t="s">
        <v>3943</v>
      </c>
      <c r="N4222" s="267" t="s">
        <v>3944</v>
      </c>
      <c r="O4222" s="267">
        <v>2183.27</v>
      </c>
      <c r="P4222" s="267" t="s">
        <v>3944</v>
      </c>
      <c r="Q4222" s="267" t="s">
        <v>3944</v>
      </c>
      <c r="R4222" s="267">
        <v>2183.27</v>
      </c>
      <c r="S4222" s="267">
        <v>36977.53</v>
      </c>
      <c r="T4222" s="267">
        <v>39160.800000000003</v>
      </c>
      <c r="U4222" s="268" t="s">
        <v>3945</v>
      </c>
      <c r="V4222" s="267" t="s">
        <v>944</v>
      </c>
    </row>
    <row r="4223" spans="1:22" hidden="1" x14ac:dyDescent="0.25">
      <c r="A4223" s="269">
        <v>43677</v>
      </c>
      <c r="B4223" s="270">
        <v>2019</v>
      </c>
      <c r="C4223" s="270">
        <v>2020</v>
      </c>
      <c r="D4223" s="270">
        <v>1</v>
      </c>
      <c r="E4223" s="270">
        <v>1</v>
      </c>
      <c r="F4223" s="270" t="s">
        <v>944</v>
      </c>
      <c r="G4223" s="270" t="s">
        <v>3926</v>
      </c>
      <c r="H4223" s="270" t="s">
        <v>8804</v>
      </c>
      <c r="I4223" s="270" t="s">
        <v>4085</v>
      </c>
      <c r="J4223" s="270" t="s">
        <v>3928</v>
      </c>
      <c r="K4223" s="270">
        <v>6351</v>
      </c>
      <c r="L4223" s="270">
        <v>709200</v>
      </c>
      <c r="M4223" s="270" t="s">
        <v>3940</v>
      </c>
      <c r="N4223" s="270" t="s">
        <v>3944</v>
      </c>
      <c r="O4223" s="270">
        <v>2838.22</v>
      </c>
      <c r="P4223" s="270" t="s">
        <v>3944</v>
      </c>
      <c r="Q4223" s="270" t="s">
        <v>3944</v>
      </c>
      <c r="R4223" s="270">
        <v>2838.22</v>
      </c>
      <c r="S4223" s="270">
        <v>42387.91</v>
      </c>
      <c r="T4223" s="270">
        <v>45226.13</v>
      </c>
      <c r="U4223" s="271" t="s">
        <v>3945</v>
      </c>
      <c r="V4223" s="267" t="s">
        <v>944</v>
      </c>
    </row>
    <row r="4224" spans="1:22" hidden="1" x14ac:dyDescent="0.25">
      <c r="A4224" s="266">
        <v>43677</v>
      </c>
      <c r="B4224" s="267">
        <v>2019</v>
      </c>
      <c r="C4224" s="267">
        <v>2020</v>
      </c>
      <c r="D4224" s="267">
        <v>1</v>
      </c>
      <c r="E4224" s="267">
        <v>1</v>
      </c>
      <c r="F4224" s="267" t="s">
        <v>944</v>
      </c>
      <c r="G4224" s="267" t="s">
        <v>3926</v>
      </c>
      <c r="H4224" s="267" t="s">
        <v>8805</v>
      </c>
      <c r="I4224" s="267" t="s">
        <v>956</v>
      </c>
      <c r="J4224" s="267" t="s">
        <v>3928</v>
      </c>
      <c r="K4224" s="267">
        <v>6614</v>
      </c>
      <c r="L4224" s="267">
        <v>81200</v>
      </c>
      <c r="M4224" s="267" t="s">
        <v>3943</v>
      </c>
      <c r="N4224" s="267" t="s">
        <v>3944</v>
      </c>
      <c r="O4224" s="267">
        <v>2412.83</v>
      </c>
      <c r="P4224" s="267" t="s">
        <v>3944</v>
      </c>
      <c r="Q4224" s="267" t="s">
        <v>3944</v>
      </c>
      <c r="R4224" s="267">
        <v>2412.83</v>
      </c>
      <c r="S4224" s="267">
        <v>36157.81</v>
      </c>
      <c r="T4224" s="267">
        <v>38570.639999999999</v>
      </c>
      <c r="U4224" s="268" t="s">
        <v>3945</v>
      </c>
      <c r="V4224" s="267" t="s">
        <v>944</v>
      </c>
    </row>
    <row r="4225" spans="1:22" hidden="1" x14ac:dyDescent="0.25">
      <c r="A4225" s="269">
        <v>43677</v>
      </c>
      <c r="B4225" s="270">
        <v>2019</v>
      </c>
      <c r="C4225" s="270">
        <v>2020</v>
      </c>
      <c r="D4225" s="270">
        <v>1</v>
      </c>
      <c r="E4225" s="270">
        <v>1</v>
      </c>
      <c r="F4225" s="270" t="s">
        <v>944</v>
      </c>
      <c r="G4225" s="270" t="s">
        <v>3926</v>
      </c>
      <c r="H4225" s="270" t="s">
        <v>8806</v>
      </c>
      <c r="I4225" s="270" t="s">
        <v>3975</v>
      </c>
      <c r="J4225" s="270" t="s">
        <v>3928</v>
      </c>
      <c r="K4225" s="270">
        <v>6479</v>
      </c>
      <c r="L4225" s="270">
        <v>430400</v>
      </c>
      <c r="M4225" s="270" t="s">
        <v>3960</v>
      </c>
      <c r="N4225" s="270" t="s">
        <v>3944</v>
      </c>
      <c r="O4225" s="270">
        <v>1244.5999999999999</v>
      </c>
      <c r="P4225" s="270" t="s">
        <v>3944</v>
      </c>
      <c r="Q4225" s="270" t="s">
        <v>3944</v>
      </c>
      <c r="R4225" s="270">
        <v>1244.5999999999999</v>
      </c>
      <c r="S4225" s="270">
        <v>19408.73</v>
      </c>
      <c r="T4225" s="270">
        <v>20653.330000000002</v>
      </c>
      <c r="U4225" s="271" t="s">
        <v>3945</v>
      </c>
      <c r="V4225" s="267" t="s">
        <v>944</v>
      </c>
    </row>
    <row r="4226" spans="1:22" hidden="1" x14ac:dyDescent="0.25">
      <c r="A4226" s="266">
        <v>43677</v>
      </c>
      <c r="B4226" s="267">
        <v>2019</v>
      </c>
      <c r="C4226" s="267">
        <v>2020</v>
      </c>
      <c r="D4226" s="267">
        <v>1</v>
      </c>
      <c r="E4226" s="267">
        <v>1</v>
      </c>
      <c r="F4226" s="267" t="s">
        <v>944</v>
      </c>
      <c r="G4226" s="267" t="s">
        <v>3926</v>
      </c>
      <c r="H4226" s="267" t="s">
        <v>8807</v>
      </c>
      <c r="I4226" s="267" t="s">
        <v>4005</v>
      </c>
      <c r="J4226" s="267" t="s">
        <v>3928</v>
      </c>
      <c r="K4226" s="267">
        <v>6108</v>
      </c>
      <c r="L4226" s="267">
        <v>511400</v>
      </c>
      <c r="M4226" s="267" t="s">
        <v>3935</v>
      </c>
      <c r="N4226" s="267" t="s">
        <v>3944</v>
      </c>
      <c r="O4226" s="267">
        <v>1636.78</v>
      </c>
      <c r="P4226" s="267" t="s">
        <v>3944</v>
      </c>
      <c r="Q4226" s="267" t="s">
        <v>3944</v>
      </c>
      <c r="R4226" s="267">
        <v>1636.78</v>
      </c>
      <c r="S4226" s="267">
        <v>24379.59</v>
      </c>
      <c r="T4226" s="267">
        <v>26016.37</v>
      </c>
      <c r="U4226" s="268" t="s">
        <v>3945</v>
      </c>
      <c r="V4226" s="267" t="s">
        <v>944</v>
      </c>
    </row>
    <row r="4227" spans="1:22" hidden="1" x14ac:dyDescent="0.25">
      <c r="A4227" s="269">
        <v>43677</v>
      </c>
      <c r="B4227" s="270">
        <v>2019</v>
      </c>
      <c r="C4227" s="270">
        <v>2020</v>
      </c>
      <c r="D4227" s="270">
        <v>1</v>
      </c>
      <c r="E4227" s="270">
        <v>1</v>
      </c>
      <c r="F4227" s="270" t="s">
        <v>944</v>
      </c>
      <c r="G4227" s="270" t="s">
        <v>3926</v>
      </c>
      <c r="H4227" s="270" t="s">
        <v>8808</v>
      </c>
      <c r="I4227" s="270" t="s">
        <v>4011</v>
      </c>
      <c r="J4227" s="270" t="s">
        <v>3928</v>
      </c>
      <c r="K4227" s="270">
        <v>6002</v>
      </c>
      <c r="L4227" s="270">
        <v>471100</v>
      </c>
      <c r="M4227" s="270" t="s">
        <v>3935</v>
      </c>
      <c r="N4227" s="270" t="s">
        <v>3944</v>
      </c>
      <c r="O4227" s="270">
        <v>1331.89</v>
      </c>
      <c r="P4227" s="270" t="s">
        <v>3944</v>
      </c>
      <c r="Q4227" s="270" t="s">
        <v>3944</v>
      </c>
      <c r="R4227" s="270">
        <v>1331.89</v>
      </c>
      <c r="S4227" s="270">
        <v>19412.48</v>
      </c>
      <c r="T4227" s="270">
        <v>20744.37</v>
      </c>
      <c r="U4227" s="271" t="s">
        <v>3945</v>
      </c>
      <c r="V4227" s="267" t="s">
        <v>944</v>
      </c>
    </row>
    <row r="4228" spans="1:22" hidden="1" x14ac:dyDescent="0.25">
      <c r="A4228" s="266">
        <v>43678</v>
      </c>
      <c r="B4228" s="267">
        <v>2019</v>
      </c>
      <c r="C4228" s="267">
        <v>2020</v>
      </c>
      <c r="D4228" s="267">
        <v>1</v>
      </c>
      <c r="E4228" s="267">
        <v>1</v>
      </c>
      <c r="F4228" s="267" t="s">
        <v>944</v>
      </c>
      <c r="G4228" s="267" t="s">
        <v>3926</v>
      </c>
      <c r="H4228" s="267" t="s">
        <v>8809</v>
      </c>
      <c r="I4228" s="267" t="s">
        <v>950</v>
      </c>
      <c r="J4228" s="267" t="s">
        <v>3928</v>
      </c>
      <c r="K4228" s="267">
        <v>6516</v>
      </c>
      <c r="L4228" s="267">
        <v>154700</v>
      </c>
      <c r="M4228" s="267" t="s">
        <v>3960</v>
      </c>
      <c r="N4228" s="267" t="s">
        <v>8810</v>
      </c>
      <c r="O4228" s="267">
        <v>0</v>
      </c>
      <c r="P4228" s="267" t="s">
        <v>3930</v>
      </c>
      <c r="Q4228" s="267" t="s">
        <v>3930</v>
      </c>
      <c r="R4228" s="267">
        <v>0</v>
      </c>
      <c r="S4228" s="267">
        <v>5875</v>
      </c>
      <c r="T4228" s="267">
        <v>5875</v>
      </c>
      <c r="U4228" s="268" t="s">
        <v>3937</v>
      </c>
      <c r="V4228" s="267" t="s">
        <v>944</v>
      </c>
    </row>
    <row r="4229" spans="1:22" hidden="1" x14ac:dyDescent="0.25">
      <c r="A4229" s="269">
        <v>43678</v>
      </c>
      <c r="B4229" s="270">
        <v>2019</v>
      </c>
      <c r="C4229" s="270">
        <v>2020</v>
      </c>
      <c r="D4229" s="270">
        <v>1</v>
      </c>
      <c r="E4229" s="270">
        <v>1</v>
      </c>
      <c r="F4229" s="270" t="s">
        <v>944</v>
      </c>
      <c r="G4229" s="270" t="s">
        <v>3926</v>
      </c>
      <c r="H4229" s="270" t="s">
        <v>8811</v>
      </c>
      <c r="I4229" s="270" t="s">
        <v>4424</v>
      </c>
      <c r="J4229" s="270" t="s">
        <v>3928</v>
      </c>
      <c r="K4229" s="270">
        <v>6417</v>
      </c>
      <c r="L4229" s="270">
        <v>620100</v>
      </c>
      <c r="M4229" s="270" t="s">
        <v>3935</v>
      </c>
      <c r="N4229" s="270" t="s">
        <v>8812</v>
      </c>
      <c r="O4229" s="270">
        <v>0</v>
      </c>
      <c r="P4229" s="270" t="s">
        <v>3930</v>
      </c>
      <c r="Q4229" s="270" t="s">
        <v>3930</v>
      </c>
      <c r="R4229" s="270">
        <v>0</v>
      </c>
      <c r="S4229" s="270">
        <v>14875</v>
      </c>
      <c r="T4229" s="270">
        <v>14875</v>
      </c>
      <c r="U4229" s="271" t="s">
        <v>3937</v>
      </c>
      <c r="V4229" s="267" t="s">
        <v>944</v>
      </c>
    </row>
    <row r="4230" spans="1:22" hidden="1" x14ac:dyDescent="0.25">
      <c r="A4230" s="266">
        <v>43678</v>
      </c>
      <c r="B4230" s="267">
        <v>2019</v>
      </c>
      <c r="C4230" s="267">
        <v>2020</v>
      </c>
      <c r="D4230" s="267">
        <v>1</v>
      </c>
      <c r="E4230" s="267">
        <v>1</v>
      </c>
      <c r="F4230" s="267" t="s">
        <v>944</v>
      </c>
      <c r="G4230" s="267" t="s">
        <v>3926</v>
      </c>
      <c r="H4230" s="267" t="s">
        <v>8813</v>
      </c>
      <c r="I4230" s="267" t="s">
        <v>4621</v>
      </c>
      <c r="J4230" s="267" t="s">
        <v>3928</v>
      </c>
      <c r="K4230" s="267">
        <v>6443</v>
      </c>
      <c r="L4230" s="267">
        <v>194201</v>
      </c>
      <c r="M4230" s="267" t="s">
        <v>3943</v>
      </c>
      <c r="N4230" s="267" t="s">
        <v>8814</v>
      </c>
      <c r="O4230" s="267">
        <v>0</v>
      </c>
      <c r="P4230" s="267" t="s">
        <v>3930</v>
      </c>
      <c r="Q4230" s="267" t="s">
        <v>3930</v>
      </c>
      <c r="R4230" s="267">
        <v>0</v>
      </c>
      <c r="S4230" s="267">
        <v>6180</v>
      </c>
      <c r="T4230" s="267">
        <v>6180</v>
      </c>
      <c r="U4230" s="268" t="s">
        <v>3937</v>
      </c>
      <c r="V4230" s="267" t="s">
        <v>944</v>
      </c>
    </row>
    <row r="4231" spans="1:22" hidden="1" x14ac:dyDescent="0.25">
      <c r="A4231" s="269">
        <v>43678</v>
      </c>
      <c r="B4231" s="270">
        <v>2019</v>
      </c>
      <c r="C4231" s="270">
        <v>2020</v>
      </c>
      <c r="D4231" s="270">
        <v>1</v>
      </c>
      <c r="E4231" s="270">
        <v>1</v>
      </c>
      <c r="F4231" s="270" t="s">
        <v>944</v>
      </c>
      <c r="G4231" s="270" t="s">
        <v>3926</v>
      </c>
      <c r="H4231" s="270" t="s">
        <v>8815</v>
      </c>
      <c r="I4231" s="270" t="s">
        <v>4019</v>
      </c>
      <c r="J4231" s="270" t="s">
        <v>3928</v>
      </c>
      <c r="K4231" s="270">
        <v>6708</v>
      </c>
      <c r="L4231" s="270">
        <v>351602</v>
      </c>
      <c r="M4231" s="270" t="s">
        <v>3940</v>
      </c>
      <c r="N4231" s="270" t="s">
        <v>3929</v>
      </c>
      <c r="O4231" s="270">
        <v>5889.24</v>
      </c>
      <c r="P4231" s="270" t="s">
        <v>3930</v>
      </c>
      <c r="Q4231" s="270" t="s">
        <v>3931</v>
      </c>
      <c r="R4231" s="270">
        <v>10889.24</v>
      </c>
      <c r="S4231" s="270">
        <v>34744</v>
      </c>
      <c r="T4231" s="270">
        <v>45633.24</v>
      </c>
      <c r="U4231" s="271" t="s">
        <v>3932</v>
      </c>
      <c r="V4231" s="267" t="s">
        <v>944</v>
      </c>
    </row>
    <row r="4232" spans="1:22" hidden="1" x14ac:dyDescent="0.25">
      <c r="A4232" s="266">
        <v>43678</v>
      </c>
      <c r="B4232" s="267">
        <v>2019</v>
      </c>
      <c r="C4232" s="267">
        <v>2020</v>
      </c>
      <c r="D4232" s="267">
        <v>1</v>
      </c>
      <c r="E4232" s="267">
        <v>1</v>
      </c>
      <c r="F4232" s="267" t="s">
        <v>944</v>
      </c>
      <c r="G4232" s="267" t="s">
        <v>3926</v>
      </c>
      <c r="H4232" s="267" t="s">
        <v>8816</v>
      </c>
      <c r="I4232" s="267" t="s">
        <v>4019</v>
      </c>
      <c r="J4232" s="267" t="s">
        <v>3928</v>
      </c>
      <c r="K4232" s="267">
        <v>6704</v>
      </c>
      <c r="L4232" s="267">
        <v>352400</v>
      </c>
      <c r="M4232" s="267">
        <v>-60</v>
      </c>
      <c r="N4232" s="267" t="s">
        <v>4103</v>
      </c>
      <c r="O4232" s="267">
        <v>1516.69</v>
      </c>
      <c r="P4232" s="267" t="s">
        <v>3930</v>
      </c>
      <c r="Q4232" s="267" t="s">
        <v>3931</v>
      </c>
      <c r="R4232" s="267">
        <v>6516.69</v>
      </c>
      <c r="S4232" s="267">
        <v>24145.599999999999</v>
      </c>
      <c r="T4232" s="267">
        <v>30662.29</v>
      </c>
      <c r="U4232" s="268" t="s">
        <v>3932</v>
      </c>
      <c r="V4232" s="267" t="s">
        <v>944</v>
      </c>
    </row>
    <row r="4233" spans="1:22" hidden="1" x14ac:dyDescent="0.25">
      <c r="A4233" s="269">
        <v>43678</v>
      </c>
      <c r="B4233" s="270">
        <v>2019</v>
      </c>
      <c r="C4233" s="270">
        <v>2020</v>
      </c>
      <c r="D4233" s="270">
        <v>1</v>
      </c>
      <c r="E4233" s="270">
        <v>1</v>
      </c>
      <c r="F4233" s="270" t="s">
        <v>944</v>
      </c>
      <c r="G4233" s="270" t="s">
        <v>3926</v>
      </c>
      <c r="H4233" s="270" t="s">
        <v>8817</v>
      </c>
      <c r="I4233" s="270" t="s">
        <v>4392</v>
      </c>
      <c r="J4233" s="270" t="s">
        <v>3928</v>
      </c>
      <c r="K4233" s="270">
        <v>6457</v>
      </c>
      <c r="L4233" s="270">
        <v>680200</v>
      </c>
      <c r="M4233" s="270" t="s">
        <v>3935</v>
      </c>
      <c r="N4233" s="270" t="s">
        <v>8818</v>
      </c>
      <c r="O4233" s="270">
        <v>1644.86</v>
      </c>
      <c r="P4233" s="270" t="s">
        <v>3930</v>
      </c>
      <c r="Q4233" s="270" t="s">
        <v>3931</v>
      </c>
      <c r="R4233" s="270">
        <v>6644.86</v>
      </c>
      <c r="S4233" s="270">
        <v>24145.8</v>
      </c>
      <c r="T4233" s="270">
        <v>30790.66</v>
      </c>
      <c r="U4233" s="271" t="s">
        <v>3932</v>
      </c>
      <c r="V4233" s="267" t="s">
        <v>944</v>
      </c>
    </row>
    <row r="4234" spans="1:22" hidden="1" x14ac:dyDescent="0.25">
      <c r="A4234" s="266">
        <v>43678</v>
      </c>
      <c r="B4234" s="267">
        <v>2019</v>
      </c>
      <c r="C4234" s="267">
        <v>2020</v>
      </c>
      <c r="D4234" s="267">
        <v>1</v>
      </c>
      <c r="E4234" s="267">
        <v>1</v>
      </c>
      <c r="F4234" s="267" t="s">
        <v>944</v>
      </c>
      <c r="G4234" s="267" t="s">
        <v>3926</v>
      </c>
      <c r="H4234" s="267" t="s">
        <v>8819</v>
      </c>
      <c r="I4234" s="267" t="s">
        <v>3954</v>
      </c>
      <c r="J4234" s="267" t="s">
        <v>3928</v>
      </c>
      <c r="K4234" s="267">
        <v>6357</v>
      </c>
      <c r="L4234" s="267">
        <v>870704</v>
      </c>
      <c r="M4234" s="267" t="s">
        <v>3935</v>
      </c>
      <c r="N4234" s="267" t="s">
        <v>3944</v>
      </c>
      <c r="O4234" s="267">
        <v>1840</v>
      </c>
      <c r="P4234" s="267" t="s">
        <v>3944</v>
      </c>
      <c r="Q4234" s="267" t="s">
        <v>3944</v>
      </c>
      <c r="R4234" s="267">
        <v>1840</v>
      </c>
      <c r="S4234" s="267">
        <v>16950</v>
      </c>
      <c r="T4234" s="267">
        <v>18790</v>
      </c>
      <c r="U4234" s="268" t="s">
        <v>3945</v>
      </c>
      <c r="V4234" s="267" t="s">
        <v>944</v>
      </c>
    </row>
    <row r="4235" spans="1:22" hidden="1" x14ac:dyDescent="0.25">
      <c r="A4235" s="269">
        <v>43678</v>
      </c>
      <c r="B4235" s="270">
        <v>2019</v>
      </c>
      <c r="C4235" s="270">
        <v>2020</v>
      </c>
      <c r="D4235" s="270">
        <v>1</v>
      </c>
      <c r="E4235" s="270">
        <v>1</v>
      </c>
      <c r="F4235" s="270" t="s">
        <v>944</v>
      </c>
      <c r="G4235" s="270" t="s">
        <v>3926</v>
      </c>
      <c r="H4235" s="270" t="s">
        <v>8820</v>
      </c>
      <c r="I4235" s="270" t="s">
        <v>5127</v>
      </c>
      <c r="J4235" s="270" t="s">
        <v>3928</v>
      </c>
      <c r="K4235" s="270">
        <v>6759</v>
      </c>
      <c r="L4235" s="270">
        <v>300500</v>
      </c>
      <c r="M4235" s="270" t="s">
        <v>3935</v>
      </c>
      <c r="N4235" s="270" t="s">
        <v>3944</v>
      </c>
      <c r="O4235" s="270">
        <v>5889</v>
      </c>
      <c r="P4235" s="270" t="s">
        <v>3944</v>
      </c>
      <c r="Q4235" s="270" t="s">
        <v>3944</v>
      </c>
      <c r="R4235" s="270">
        <v>5889</v>
      </c>
      <c r="S4235" s="270">
        <v>64832.79</v>
      </c>
      <c r="T4235" s="270">
        <v>70721.789999999994</v>
      </c>
      <c r="U4235" s="271" t="s">
        <v>3945</v>
      </c>
      <c r="V4235" s="267" t="s">
        <v>944</v>
      </c>
    </row>
    <row r="4236" spans="1:22" hidden="1" x14ac:dyDescent="0.25">
      <c r="A4236" s="266">
        <v>43678</v>
      </c>
      <c r="B4236" s="267">
        <v>2019</v>
      </c>
      <c r="C4236" s="267">
        <v>2020</v>
      </c>
      <c r="D4236" s="267">
        <v>1</v>
      </c>
      <c r="E4236" s="267">
        <v>1</v>
      </c>
      <c r="F4236" s="267" t="s">
        <v>944</v>
      </c>
      <c r="G4236" s="267" t="s">
        <v>3926</v>
      </c>
      <c r="H4236" s="267" t="s">
        <v>8821</v>
      </c>
      <c r="I4236" s="267" t="s">
        <v>3934</v>
      </c>
      <c r="J4236" s="267" t="s">
        <v>3928</v>
      </c>
      <c r="K4236" s="267">
        <v>6405</v>
      </c>
      <c r="L4236" s="267">
        <v>184200</v>
      </c>
      <c r="M4236" s="267" t="s">
        <v>3940</v>
      </c>
      <c r="N4236" s="267" t="s">
        <v>3944</v>
      </c>
      <c r="O4236" s="267">
        <v>4738</v>
      </c>
      <c r="P4236" s="267" t="s">
        <v>3944</v>
      </c>
      <c r="Q4236" s="267" t="s">
        <v>3944</v>
      </c>
      <c r="R4236" s="267">
        <v>4738</v>
      </c>
      <c r="S4236" s="267">
        <v>32052</v>
      </c>
      <c r="T4236" s="267">
        <v>36790</v>
      </c>
      <c r="U4236" s="268" t="s">
        <v>3945</v>
      </c>
      <c r="V4236" s="267" t="s">
        <v>944</v>
      </c>
    </row>
    <row r="4237" spans="1:22" hidden="1" x14ac:dyDescent="0.25">
      <c r="A4237" s="269">
        <v>43678</v>
      </c>
      <c r="B4237" s="270">
        <v>2019</v>
      </c>
      <c r="C4237" s="270">
        <v>2020</v>
      </c>
      <c r="D4237" s="270">
        <v>1</v>
      </c>
      <c r="E4237" s="270">
        <v>1</v>
      </c>
      <c r="F4237" s="270" t="s">
        <v>944</v>
      </c>
      <c r="G4237" s="270" t="s">
        <v>3926</v>
      </c>
      <c r="H4237" s="270" t="s">
        <v>8822</v>
      </c>
      <c r="I4237" s="270" t="s">
        <v>6052</v>
      </c>
      <c r="J4237" s="270" t="s">
        <v>3928</v>
      </c>
      <c r="K4237" s="270">
        <v>6068</v>
      </c>
      <c r="L4237" s="270">
        <v>261100</v>
      </c>
      <c r="M4237" s="270" t="s">
        <v>3935</v>
      </c>
      <c r="N4237" s="270" t="s">
        <v>3944</v>
      </c>
      <c r="O4237" s="270">
        <v>8629</v>
      </c>
      <c r="P4237" s="270" t="s">
        <v>3944</v>
      </c>
      <c r="Q4237" s="270" t="s">
        <v>3944</v>
      </c>
      <c r="R4237" s="270">
        <v>8629</v>
      </c>
      <c r="S4237" s="270">
        <v>169485</v>
      </c>
      <c r="T4237" s="270">
        <v>178114</v>
      </c>
      <c r="U4237" s="271" t="s">
        <v>3945</v>
      </c>
      <c r="V4237" s="267" t="s">
        <v>944</v>
      </c>
    </row>
    <row r="4238" spans="1:22" hidden="1" x14ac:dyDescent="0.25">
      <c r="A4238" s="266">
        <v>43678</v>
      </c>
      <c r="B4238" s="267">
        <v>2019</v>
      </c>
      <c r="C4238" s="267">
        <v>2020</v>
      </c>
      <c r="D4238" s="267">
        <v>1</v>
      </c>
      <c r="E4238" s="267">
        <v>1</v>
      </c>
      <c r="F4238" s="267" t="s">
        <v>944</v>
      </c>
      <c r="G4238" s="267" t="s">
        <v>3997</v>
      </c>
      <c r="H4238" s="267" t="s">
        <v>8823</v>
      </c>
      <c r="I4238" s="267" t="s">
        <v>3009</v>
      </c>
      <c r="J4238" s="267" t="s">
        <v>3928</v>
      </c>
      <c r="K4238" s="267">
        <v>6484</v>
      </c>
      <c r="L4238" s="267">
        <v>110100</v>
      </c>
      <c r="M4238" s="267" t="s">
        <v>3940</v>
      </c>
      <c r="N4238" s="267" t="s">
        <v>3944</v>
      </c>
      <c r="O4238" s="267">
        <v>1262.6300000000001</v>
      </c>
      <c r="P4238" s="267" t="s">
        <v>3944</v>
      </c>
      <c r="Q4238" s="267" t="s">
        <v>3944</v>
      </c>
      <c r="R4238" s="267">
        <v>1262.6300000000001</v>
      </c>
      <c r="S4238" s="267">
        <v>16446.37</v>
      </c>
      <c r="T4238" s="267">
        <v>17709</v>
      </c>
      <c r="U4238" s="268" t="s">
        <v>3945</v>
      </c>
      <c r="V4238" s="267" t="s">
        <v>944</v>
      </c>
    </row>
    <row r="4239" spans="1:22" hidden="1" x14ac:dyDescent="0.25">
      <c r="A4239" s="269">
        <v>43678</v>
      </c>
      <c r="B4239" s="270">
        <v>2019</v>
      </c>
      <c r="C4239" s="270">
        <v>2020</v>
      </c>
      <c r="D4239" s="270">
        <v>1</v>
      </c>
      <c r="E4239" s="270">
        <v>1</v>
      </c>
      <c r="F4239" s="270" t="s">
        <v>944</v>
      </c>
      <c r="G4239" s="270" t="s">
        <v>3926</v>
      </c>
      <c r="H4239" s="270" t="s">
        <v>8824</v>
      </c>
      <c r="I4239" s="270" t="s">
        <v>4159</v>
      </c>
      <c r="J4239" s="270" t="s">
        <v>3928</v>
      </c>
      <c r="K4239" s="270">
        <v>6088</v>
      </c>
      <c r="L4239" s="270">
        <v>484100</v>
      </c>
      <c r="M4239" s="270" t="s">
        <v>3935</v>
      </c>
      <c r="N4239" s="270" t="s">
        <v>3944</v>
      </c>
      <c r="O4239" s="270">
        <v>8626</v>
      </c>
      <c r="P4239" s="270" t="s">
        <v>3944</v>
      </c>
      <c r="Q4239" s="270" t="s">
        <v>3944</v>
      </c>
      <c r="R4239" s="270">
        <v>8626</v>
      </c>
      <c r="S4239" s="270">
        <v>79860.2</v>
      </c>
      <c r="T4239" s="270">
        <v>88486.2</v>
      </c>
      <c r="U4239" s="271" t="s">
        <v>3945</v>
      </c>
      <c r="V4239" s="267" t="s">
        <v>944</v>
      </c>
    </row>
    <row r="4240" spans="1:22" hidden="1" x14ac:dyDescent="0.25">
      <c r="A4240" s="266">
        <v>43678</v>
      </c>
      <c r="B4240" s="267">
        <v>2019</v>
      </c>
      <c r="C4240" s="267">
        <v>2020</v>
      </c>
      <c r="D4240" s="267">
        <v>1</v>
      </c>
      <c r="E4240" s="267">
        <v>1</v>
      </c>
      <c r="F4240" s="267" t="s">
        <v>944</v>
      </c>
      <c r="G4240" s="267" t="s">
        <v>3926</v>
      </c>
      <c r="H4240" s="267" t="s">
        <v>8825</v>
      </c>
      <c r="I4240" s="267" t="s">
        <v>4905</v>
      </c>
      <c r="J4240" s="267" t="s">
        <v>3928</v>
      </c>
      <c r="K4240" s="267">
        <v>6247</v>
      </c>
      <c r="L4240" s="267">
        <v>820000</v>
      </c>
      <c r="M4240" s="267" t="s">
        <v>3935</v>
      </c>
      <c r="N4240" s="267" t="s">
        <v>3944</v>
      </c>
      <c r="O4240" s="267">
        <v>2384</v>
      </c>
      <c r="P4240" s="267" t="s">
        <v>3944</v>
      </c>
      <c r="Q4240" s="267" t="s">
        <v>3944</v>
      </c>
      <c r="R4240" s="267">
        <v>2384</v>
      </c>
      <c r="S4240" s="267">
        <v>25802.25</v>
      </c>
      <c r="T4240" s="267">
        <v>28186.25</v>
      </c>
      <c r="U4240" s="268" t="s">
        <v>3945</v>
      </c>
      <c r="V4240" s="267" t="s">
        <v>944</v>
      </c>
    </row>
    <row r="4241" spans="1:22" hidden="1" x14ac:dyDescent="0.25">
      <c r="A4241" s="269">
        <v>43678</v>
      </c>
      <c r="B4241" s="270">
        <v>2019</v>
      </c>
      <c r="C4241" s="270">
        <v>2020</v>
      </c>
      <c r="D4241" s="270">
        <v>1</v>
      </c>
      <c r="E4241" s="270">
        <v>1</v>
      </c>
      <c r="F4241" s="270" t="s">
        <v>944</v>
      </c>
      <c r="G4241" s="270" t="s">
        <v>3926</v>
      </c>
      <c r="H4241" s="270" t="s">
        <v>8826</v>
      </c>
      <c r="I4241" s="270" t="s">
        <v>3934</v>
      </c>
      <c r="J4241" s="270" t="s">
        <v>3928</v>
      </c>
      <c r="K4241" s="270">
        <v>6405</v>
      </c>
      <c r="L4241" s="270">
        <v>184100</v>
      </c>
      <c r="M4241" s="270" t="s">
        <v>3940</v>
      </c>
      <c r="N4241" s="270" t="s">
        <v>3944</v>
      </c>
      <c r="O4241" s="270">
        <v>2427</v>
      </c>
      <c r="P4241" s="270" t="s">
        <v>3944</v>
      </c>
      <c r="Q4241" s="270" t="s">
        <v>3944</v>
      </c>
      <c r="R4241" s="270">
        <v>2427</v>
      </c>
      <c r="S4241" s="270">
        <v>18834</v>
      </c>
      <c r="T4241" s="270">
        <v>21261</v>
      </c>
      <c r="U4241" s="271" t="s">
        <v>3945</v>
      </c>
      <c r="V4241" s="267" t="s">
        <v>944</v>
      </c>
    </row>
    <row r="4242" spans="1:22" hidden="1" x14ac:dyDescent="0.25">
      <c r="A4242" s="266">
        <v>43678</v>
      </c>
      <c r="B4242" s="267">
        <v>2019</v>
      </c>
      <c r="C4242" s="267">
        <v>2020</v>
      </c>
      <c r="D4242" s="267">
        <v>1</v>
      </c>
      <c r="E4242" s="267">
        <v>1</v>
      </c>
      <c r="F4242" s="267" t="s">
        <v>944</v>
      </c>
      <c r="G4242" s="267" t="s">
        <v>3997</v>
      </c>
      <c r="H4242" s="267" t="s">
        <v>8827</v>
      </c>
      <c r="I4242" s="267" t="s">
        <v>4392</v>
      </c>
      <c r="J4242" s="267" t="s">
        <v>3928</v>
      </c>
      <c r="K4242" s="267">
        <v>6457</v>
      </c>
      <c r="L4242" s="267">
        <v>541200</v>
      </c>
      <c r="M4242" s="267" t="s">
        <v>3935</v>
      </c>
      <c r="N4242" s="267" t="s">
        <v>3944</v>
      </c>
      <c r="O4242" s="267">
        <v>1322.16</v>
      </c>
      <c r="P4242" s="267" t="s">
        <v>3944</v>
      </c>
      <c r="Q4242" s="267" t="s">
        <v>3944</v>
      </c>
      <c r="R4242" s="267">
        <v>1322.16</v>
      </c>
      <c r="S4242" s="267">
        <v>19511.939999999999</v>
      </c>
      <c r="T4242" s="267">
        <v>20834.099999999999</v>
      </c>
      <c r="U4242" s="268" t="s">
        <v>3945</v>
      </c>
      <c r="V4242" s="267" t="s">
        <v>944</v>
      </c>
    </row>
    <row r="4243" spans="1:22" hidden="1" x14ac:dyDescent="0.25">
      <c r="A4243" s="269">
        <v>43678</v>
      </c>
      <c r="B4243" s="270">
        <v>2019</v>
      </c>
      <c r="C4243" s="270">
        <v>2020</v>
      </c>
      <c r="D4243" s="270">
        <v>1</v>
      </c>
      <c r="E4243" s="270">
        <v>1</v>
      </c>
      <c r="F4243" s="270" t="s">
        <v>944</v>
      </c>
      <c r="G4243" s="270" t="s">
        <v>3926</v>
      </c>
      <c r="H4243" s="270" t="s">
        <v>8828</v>
      </c>
      <c r="I4243" s="270" t="s">
        <v>4392</v>
      </c>
      <c r="J4243" s="270" t="s">
        <v>3928</v>
      </c>
      <c r="K4243" s="270">
        <v>6457</v>
      </c>
      <c r="L4243" s="270">
        <v>541500</v>
      </c>
      <c r="M4243" s="270" t="s">
        <v>3940</v>
      </c>
      <c r="N4243" s="270" t="s">
        <v>3944</v>
      </c>
      <c r="O4243" s="270">
        <v>1817</v>
      </c>
      <c r="P4243" s="270" t="s">
        <v>3944</v>
      </c>
      <c r="Q4243" s="270" t="s">
        <v>3944</v>
      </c>
      <c r="R4243" s="270">
        <v>1817</v>
      </c>
      <c r="S4243" s="270">
        <v>23487</v>
      </c>
      <c r="T4243" s="270">
        <v>25304</v>
      </c>
      <c r="U4243" s="271" t="s">
        <v>3945</v>
      </c>
      <c r="V4243" s="267" t="s">
        <v>944</v>
      </c>
    </row>
    <row r="4244" spans="1:22" hidden="1" x14ac:dyDescent="0.25">
      <c r="A4244" s="266">
        <v>43678</v>
      </c>
      <c r="B4244" s="267">
        <v>2019</v>
      </c>
      <c r="C4244" s="267">
        <v>2020</v>
      </c>
      <c r="D4244" s="267">
        <v>1</v>
      </c>
      <c r="E4244" s="267">
        <v>1</v>
      </c>
      <c r="F4244" s="267" t="s">
        <v>944</v>
      </c>
      <c r="G4244" s="267" t="s">
        <v>3926</v>
      </c>
      <c r="H4244" s="267" t="s">
        <v>8829</v>
      </c>
      <c r="I4244" s="267" t="s">
        <v>4108</v>
      </c>
      <c r="J4244" s="267" t="s">
        <v>3928</v>
      </c>
      <c r="K4244" s="267">
        <v>6082</v>
      </c>
      <c r="L4244" s="267">
        <v>480400</v>
      </c>
      <c r="M4244" s="267" t="s">
        <v>3935</v>
      </c>
      <c r="N4244" s="267" t="s">
        <v>3944</v>
      </c>
      <c r="O4244" s="267">
        <v>3439</v>
      </c>
      <c r="P4244" s="267" t="s">
        <v>3944</v>
      </c>
      <c r="Q4244" s="267" t="s">
        <v>3944</v>
      </c>
      <c r="R4244" s="267">
        <v>3439</v>
      </c>
      <c r="S4244" s="267">
        <v>54123.5</v>
      </c>
      <c r="T4244" s="267">
        <v>57562.5</v>
      </c>
      <c r="U4244" s="268" t="s">
        <v>3945</v>
      </c>
      <c r="V4244" s="267" t="s">
        <v>944</v>
      </c>
    </row>
    <row r="4245" spans="1:22" hidden="1" x14ac:dyDescent="0.25">
      <c r="A4245" s="269">
        <v>43678</v>
      </c>
      <c r="B4245" s="270">
        <v>2019</v>
      </c>
      <c r="C4245" s="270">
        <v>2020</v>
      </c>
      <c r="D4245" s="270">
        <v>1</v>
      </c>
      <c r="E4245" s="270">
        <v>1</v>
      </c>
      <c r="F4245" s="270" t="s">
        <v>944</v>
      </c>
      <c r="G4245" s="270" t="s">
        <v>3997</v>
      </c>
      <c r="H4245" s="270" t="s">
        <v>8830</v>
      </c>
      <c r="I4245" s="270" t="s">
        <v>3025</v>
      </c>
      <c r="J4245" s="270" t="s">
        <v>3928</v>
      </c>
      <c r="K4245" s="270">
        <v>6473</v>
      </c>
      <c r="L4245" s="270">
        <v>167100</v>
      </c>
      <c r="M4245" s="270" t="s">
        <v>3943</v>
      </c>
      <c r="N4245" s="270" t="s">
        <v>3944</v>
      </c>
      <c r="O4245" s="270">
        <v>1741.5</v>
      </c>
      <c r="P4245" s="270" t="s">
        <v>3944</v>
      </c>
      <c r="Q4245" s="270" t="s">
        <v>3944</v>
      </c>
      <c r="R4245" s="270">
        <v>1741.5</v>
      </c>
      <c r="S4245" s="270">
        <v>30551.37</v>
      </c>
      <c r="T4245" s="270">
        <v>32292.87</v>
      </c>
      <c r="U4245" s="271" t="s">
        <v>3945</v>
      </c>
      <c r="V4245" s="267" t="s">
        <v>944</v>
      </c>
    </row>
    <row r="4246" spans="1:22" hidden="1" x14ac:dyDescent="0.25">
      <c r="A4246" s="266">
        <v>43678</v>
      </c>
      <c r="B4246" s="267">
        <v>2019</v>
      </c>
      <c r="C4246" s="267">
        <v>2020</v>
      </c>
      <c r="D4246" s="267">
        <v>1</v>
      </c>
      <c r="E4246" s="267">
        <v>1</v>
      </c>
      <c r="F4246" s="267" t="s">
        <v>944</v>
      </c>
      <c r="G4246" s="267" t="s">
        <v>3926</v>
      </c>
      <c r="H4246" s="267" t="s">
        <v>8831</v>
      </c>
      <c r="I4246" s="267" t="s">
        <v>2987</v>
      </c>
      <c r="J4246" s="267" t="s">
        <v>3928</v>
      </c>
      <c r="K4246" s="267">
        <v>6611</v>
      </c>
      <c r="L4246" s="267">
        <v>90300</v>
      </c>
      <c r="M4246" s="267" t="s">
        <v>3943</v>
      </c>
      <c r="N4246" s="267" t="s">
        <v>3944</v>
      </c>
      <c r="O4246" s="267">
        <v>3123</v>
      </c>
      <c r="P4246" s="267" t="s">
        <v>3944</v>
      </c>
      <c r="Q4246" s="267" t="s">
        <v>3944</v>
      </c>
      <c r="R4246" s="267">
        <v>3123</v>
      </c>
      <c r="S4246" s="267">
        <v>26397</v>
      </c>
      <c r="T4246" s="267">
        <v>29520</v>
      </c>
      <c r="U4246" s="268" t="s">
        <v>3945</v>
      </c>
      <c r="V4246" s="267" t="s">
        <v>944</v>
      </c>
    </row>
    <row r="4247" spans="1:22" hidden="1" x14ac:dyDescent="0.25">
      <c r="A4247" s="269">
        <v>43678</v>
      </c>
      <c r="B4247" s="270">
        <v>2019</v>
      </c>
      <c r="C4247" s="270">
        <v>2020</v>
      </c>
      <c r="D4247" s="270">
        <v>1</v>
      </c>
      <c r="E4247" s="270">
        <v>1</v>
      </c>
      <c r="F4247" s="270" t="s">
        <v>944</v>
      </c>
      <c r="G4247" s="270" t="s">
        <v>3926</v>
      </c>
      <c r="H4247" s="270" t="s">
        <v>8832</v>
      </c>
      <c r="I4247" s="270" t="s">
        <v>4011</v>
      </c>
      <c r="J4247" s="270" t="s">
        <v>3928</v>
      </c>
      <c r="K4247" s="270">
        <v>6002</v>
      </c>
      <c r="L4247" s="270">
        <v>471400</v>
      </c>
      <c r="M4247" s="270" t="s">
        <v>3943</v>
      </c>
      <c r="N4247" s="270" t="s">
        <v>3944</v>
      </c>
      <c r="O4247" s="270">
        <v>1271.76</v>
      </c>
      <c r="P4247" s="270" t="s">
        <v>3944</v>
      </c>
      <c r="Q4247" s="270" t="s">
        <v>3944</v>
      </c>
      <c r="R4247" s="270">
        <v>1271.76</v>
      </c>
      <c r="S4247" s="270">
        <v>18200.03</v>
      </c>
      <c r="T4247" s="270">
        <v>19471.79</v>
      </c>
      <c r="U4247" s="271" t="s">
        <v>3945</v>
      </c>
      <c r="V4247" s="267" t="s">
        <v>944</v>
      </c>
    </row>
    <row r="4248" spans="1:22" hidden="1" x14ac:dyDescent="0.25">
      <c r="A4248" s="266">
        <v>43678</v>
      </c>
      <c r="B4248" s="267">
        <v>2019</v>
      </c>
      <c r="C4248" s="267">
        <v>2020</v>
      </c>
      <c r="D4248" s="267">
        <v>1</v>
      </c>
      <c r="E4248" s="267">
        <v>1</v>
      </c>
      <c r="F4248" s="267" t="s">
        <v>944</v>
      </c>
      <c r="G4248" s="267" t="s">
        <v>3926</v>
      </c>
      <c r="H4248" s="267" t="s">
        <v>8833</v>
      </c>
      <c r="I4248" s="267" t="s">
        <v>4392</v>
      </c>
      <c r="J4248" s="267" t="s">
        <v>3928</v>
      </c>
      <c r="K4248" s="267">
        <v>6457</v>
      </c>
      <c r="L4248" s="267">
        <v>542200</v>
      </c>
      <c r="M4248" s="267" t="s">
        <v>3960</v>
      </c>
      <c r="N4248" s="267" t="s">
        <v>3944</v>
      </c>
      <c r="O4248" s="267">
        <v>3784.34</v>
      </c>
      <c r="P4248" s="267" t="s">
        <v>3944</v>
      </c>
      <c r="Q4248" s="267" t="s">
        <v>3944</v>
      </c>
      <c r="R4248" s="267">
        <v>3784.34</v>
      </c>
      <c r="S4248" s="267">
        <v>50792.99</v>
      </c>
      <c r="T4248" s="267">
        <v>54577.33</v>
      </c>
      <c r="U4248" s="268" t="s">
        <v>3945</v>
      </c>
      <c r="V4248" s="267" t="s">
        <v>944</v>
      </c>
    </row>
    <row r="4249" spans="1:22" hidden="1" x14ac:dyDescent="0.25">
      <c r="A4249" s="269">
        <v>43678</v>
      </c>
      <c r="B4249" s="270">
        <v>2019</v>
      </c>
      <c r="C4249" s="270">
        <v>2020</v>
      </c>
      <c r="D4249" s="270">
        <v>1</v>
      </c>
      <c r="E4249" s="270">
        <v>1</v>
      </c>
      <c r="F4249" s="270" t="s">
        <v>944</v>
      </c>
      <c r="G4249" s="270" t="s">
        <v>3926</v>
      </c>
      <c r="H4249" s="270" t="s">
        <v>8834</v>
      </c>
      <c r="I4249" s="270" t="s">
        <v>3008</v>
      </c>
      <c r="J4249" s="270" t="s">
        <v>3928</v>
      </c>
      <c r="K4249" s="270">
        <v>6460</v>
      </c>
      <c r="L4249" s="270">
        <v>151100</v>
      </c>
      <c r="M4249" s="270" t="s">
        <v>3960</v>
      </c>
      <c r="N4249" s="270" t="s">
        <v>3944</v>
      </c>
      <c r="O4249" s="270">
        <v>1483.72</v>
      </c>
      <c r="P4249" s="270" t="s">
        <v>3944</v>
      </c>
      <c r="Q4249" s="270" t="s">
        <v>3944</v>
      </c>
      <c r="R4249" s="270">
        <v>1483.72</v>
      </c>
      <c r="S4249" s="270">
        <v>25089.68</v>
      </c>
      <c r="T4249" s="270">
        <v>26573.4</v>
      </c>
      <c r="U4249" s="271" t="s">
        <v>3945</v>
      </c>
      <c r="V4249" s="267" t="s">
        <v>944</v>
      </c>
    </row>
    <row r="4250" spans="1:22" hidden="1" x14ac:dyDescent="0.25">
      <c r="A4250" s="266">
        <v>43678</v>
      </c>
      <c r="B4250" s="267">
        <v>2019</v>
      </c>
      <c r="C4250" s="267">
        <v>2020</v>
      </c>
      <c r="D4250" s="267">
        <v>1</v>
      </c>
      <c r="E4250" s="267">
        <v>1</v>
      </c>
      <c r="F4250" s="267" t="s">
        <v>944</v>
      </c>
      <c r="G4250" s="267" t="s">
        <v>3926</v>
      </c>
      <c r="H4250" s="267" t="s">
        <v>8835</v>
      </c>
      <c r="I4250" s="267" t="s">
        <v>2987</v>
      </c>
      <c r="J4250" s="267" t="s">
        <v>3928</v>
      </c>
      <c r="K4250" s="267">
        <v>6611</v>
      </c>
      <c r="L4250" s="267">
        <v>90200</v>
      </c>
      <c r="M4250" s="267" t="s">
        <v>3943</v>
      </c>
      <c r="N4250" s="267" t="s">
        <v>3944</v>
      </c>
      <c r="O4250" s="267">
        <v>2215.61</v>
      </c>
      <c r="P4250" s="267" t="s">
        <v>3944</v>
      </c>
      <c r="Q4250" s="267" t="s">
        <v>3944</v>
      </c>
      <c r="R4250" s="267">
        <v>2215.61</v>
      </c>
      <c r="S4250" s="267">
        <v>34324.39</v>
      </c>
      <c r="T4250" s="267">
        <v>36540</v>
      </c>
      <c r="U4250" s="268" t="s">
        <v>3945</v>
      </c>
      <c r="V4250" s="267" t="s">
        <v>944</v>
      </c>
    </row>
    <row r="4251" spans="1:22" hidden="1" x14ac:dyDescent="0.25">
      <c r="A4251" s="269">
        <v>43678</v>
      </c>
      <c r="B4251" s="270">
        <v>2019</v>
      </c>
      <c r="C4251" s="270">
        <v>2020</v>
      </c>
      <c r="D4251" s="270">
        <v>1</v>
      </c>
      <c r="E4251" s="270">
        <v>1</v>
      </c>
      <c r="F4251" s="270" t="s">
        <v>944</v>
      </c>
      <c r="G4251" s="270" t="s">
        <v>3926</v>
      </c>
      <c r="H4251" s="270" t="s">
        <v>8836</v>
      </c>
      <c r="I4251" s="270" t="s">
        <v>4019</v>
      </c>
      <c r="J4251" s="270" t="s">
        <v>3928</v>
      </c>
      <c r="K4251" s="270">
        <v>6708</v>
      </c>
      <c r="L4251" s="270">
        <v>351900</v>
      </c>
      <c r="M4251" s="270" t="s">
        <v>3935</v>
      </c>
      <c r="N4251" s="270" t="s">
        <v>3944</v>
      </c>
      <c r="O4251" s="270">
        <v>971.85</v>
      </c>
      <c r="P4251" s="270" t="s">
        <v>3944</v>
      </c>
      <c r="Q4251" s="270" t="s">
        <v>3944</v>
      </c>
      <c r="R4251" s="270">
        <v>971.85</v>
      </c>
      <c r="S4251" s="270">
        <v>18718.95</v>
      </c>
      <c r="T4251" s="270">
        <v>19690.8</v>
      </c>
      <c r="U4251" s="271" t="s">
        <v>3945</v>
      </c>
      <c r="V4251" s="267" t="s">
        <v>944</v>
      </c>
    </row>
    <row r="4252" spans="1:22" hidden="1" x14ac:dyDescent="0.25">
      <c r="A4252" s="266">
        <v>43678</v>
      </c>
      <c r="B4252" s="267">
        <v>2019</v>
      </c>
      <c r="C4252" s="267">
        <v>2020</v>
      </c>
      <c r="D4252" s="267">
        <v>1</v>
      </c>
      <c r="E4252" s="267">
        <v>1</v>
      </c>
      <c r="F4252" s="267" t="s">
        <v>944</v>
      </c>
      <c r="G4252" s="267" t="s">
        <v>3926</v>
      </c>
      <c r="H4252" s="267" t="s">
        <v>8837</v>
      </c>
      <c r="I4252" s="267" t="s">
        <v>2987</v>
      </c>
      <c r="J4252" s="267" t="s">
        <v>3928</v>
      </c>
      <c r="K4252" s="267">
        <v>6611</v>
      </c>
      <c r="L4252" s="267">
        <v>90700</v>
      </c>
      <c r="M4252" s="267" t="s">
        <v>3943</v>
      </c>
      <c r="N4252" s="267" t="s">
        <v>3944</v>
      </c>
      <c r="O4252" s="267">
        <v>2297.33</v>
      </c>
      <c r="P4252" s="267" t="s">
        <v>3944</v>
      </c>
      <c r="Q4252" s="267" t="s">
        <v>3944</v>
      </c>
      <c r="R4252" s="267">
        <v>2297.33</v>
      </c>
      <c r="S4252" s="267">
        <v>46062.67</v>
      </c>
      <c r="T4252" s="267">
        <v>48360</v>
      </c>
      <c r="U4252" s="268" t="s">
        <v>3945</v>
      </c>
      <c r="V4252" s="267" t="s">
        <v>944</v>
      </c>
    </row>
    <row r="4253" spans="1:22" hidden="1" x14ac:dyDescent="0.25">
      <c r="A4253" s="269">
        <v>43678</v>
      </c>
      <c r="B4253" s="270">
        <v>2019</v>
      </c>
      <c r="C4253" s="270">
        <v>2020</v>
      </c>
      <c r="D4253" s="270">
        <v>1</v>
      </c>
      <c r="E4253" s="270">
        <v>1</v>
      </c>
      <c r="F4253" s="270" t="s">
        <v>944</v>
      </c>
      <c r="G4253" s="270" t="s">
        <v>3926</v>
      </c>
      <c r="H4253" s="270" t="s">
        <v>8838</v>
      </c>
      <c r="I4253" s="270" t="s">
        <v>3939</v>
      </c>
      <c r="J4253" s="270" t="s">
        <v>3928</v>
      </c>
      <c r="K4253" s="270">
        <v>6512</v>
      </c>
      <c r="L4253" s="270">
        <v>180300</v>
      </c>
      <c r="M4253" s="270">
        <v>-60</v>
      </c>
      <c r="N4253" s="270" t="s">
        <v>3944</v>
      </c>
      <c r="O4253" s="270">
        <v>2009.67</v>
      </c>
      <c r="P4253" s="270" t="s">
        <v>3944</v>
      </c>
      <c r="Q4253" s="270" t="s">
        <v>3944</v>
      </c>
      <c r="R4253" s="270">
        <v>2009.67</v>
      </c>
      <c r="S4253" s="270">
        <v>44371.68</v>
      </c>
      <c r="T4253" s="270">
        <v>46381.35</v>
      </c>
      <c r="U4253" s="271" t="s">
        <v>3945</v>
      </c>
      <c r="V4253" s="267" t="s">
        <v>944</v>
      </c>
    </row>
    <row r="4254" spans="1:22" hidden="1" x14ac:dyDescent="0.25">
      <c r="A4254" s="266">
        <v>43678</v>
      </c>
      <c r="B4254" s="267">
        <v>2019</v>
      </c>
      <c r="C4254" s="267">
        <v>2020</v>
      </c>
      <c r="D4254" s="267">
        <v>1</v>
      </c>
      <c r="E4254" s="267">
        <v>1</v>
      </c>
      <c r="F4254" s="267" t="s">
        <v>944</v>
      </c>
      <c r="G4254" s="267" t="s">
        <v>3926</v>
      </c>
      <c r="H4254" s="267" t="s">
        <v>8839</v>
      </c>
      <c r="I4254" s="267" t="s">
        <v>3962</v>
      </c>
      <c r="J4254" s="267" t="s">
        <v>3928</v>
      </c>
      <c r="K4254" s="267">
        <v>6378</v>
      </c>
      <c r="L4254" s="267">
        <v>705400</v>
      </c>
      <c r="M4254" s="267" t="s">
        <v>3943</v>
      </c>
      <c r="N4254" s="267" t="s">
        <v>3944</v>
      </c>
      <c r="O4254" s="267">
        <v>2236.7800000000002</v>
      </c>
      <c r="P4254" s="267" t="s">
        <v>3944</v>
      </c>
      <c r="Q4254" s="267" t="s">
        <v>3944</v>
      </c>
      <c r="R4254" s="267">
        <v>2236.7800000000002</v>
      </c>
      <c r="S4254" s="267">
        <v>37010.36</v>
      </c>
      <c r="T4254" s="267">
        <v>39247.14</v>
      </c>
      <c r="U4254" s="268" t="s">
        <v>3945</v>
      </c>
      <c r="V4254" s="267" t="s">
        <v>944</v>
      </c>
    </row>
    <row r="4255" spans="1:22" hidden="1" x14ac:dyDescent="0.25">
      <c r="A4255" s="269">
        <v>43678</v>
      </c>
      <c r="B4255" s="270">
        <v>2019</v>
      </c>
      <c r="C4255" s="270">
        <v>2020</v>
      </c>
      <c r="D4255" s="270">
        <v>1</v>
      </c>
      <c r="E4255" s="270">
        <v>1</v>
      </c>
      <c r="F4255" s="270" t="s">
        <v>944</v>
      </c>
      <c r="G4255" s="270" t="s">
        <v>3926</v>
      </c>
      <c r="H4255" s="270" t="s">
        <v>8840</v>
      </c>
      <c r="I4255" s="270" t="s">
        <v>3996</v>
      </c>
      <c r="J4255" s="270" t="s">
        <v>3928</v>
      </c>
      <c r="K4255" s="270">
        <v>6790</v>
      </c>
      <c r="L4255" s="270">
        <v>310602</v>
      </c>
      <c r="M4255" s="270" t="s">
        <v>3935</v>
      </c>
      <c r="N4255" s="270" t="s">
        <v>3944</v>
      </c>
      <c r="O4255" s="270">
        <v>717.4</v>
      </c>
      <c r="P4255" s="270" t="s">
        <v>3944</v>
      </c>
      <c r="Q4255" s="270" t="s">
        <v>3944</v>
      </c>
      <c r="R4255" s="270">
        <v>717.4</v>
      </c>
      <c r="S4255" s="270">
        <v>13388</v>
      </c>
      <c r="T4255" s="270">
        <v>14105.4</v>
      </c>
      <c r="U4255" s="271" t="s">
        <v>3945</v>
      </c>
      <c r="V4255" s="267" t="s">
        <v>944</v>
      </c>
    </row>
    <row r="4256" spans="1:22" hidden="1" x14ac:dyDescent="0.25">
      <c r="A4256" s="266">
        <v>43678</v>
      </c>
      <c r="B4256" s="267">
        <v>2019</v>
      </c>
      <c r="C4256" s="267">
        <v>2020</v>
      </c>
      <c r="D4256" s="267">
        <v>1</v>
      </c>
      <c r="E4256" s="267">
        <v>1</v>
      </c>
      <c r="F4256" s="267" t="s">
        <v>944</v>
      </c>
      <c r="G4256" s="267" t="s">
        <v>3926</v>
      </c>
      <c r="H4256" s="267" t="s">
        <v>8841</v>
      </c>
      <c r="I4256" s="267" t="s">
        <v>3949</v>
      </c>
      <c r="J4256" s="267" t="s">
        <v>3928</v>
      </c>
      <c r="K4256" s="267">
        <v>6437</v>
      </c>
      <c r="L4256" s="267">
        <v>190303</v>
      </c>
      <c r="M4256" s="267" t="s">
        <v>3943</v>
      </c>
      <c r="N4256" s="267" t="s">
        <v>3944</v>
      </c>
      <c r="O4256" s="267">
        <v>3713.43</v>
      </c>
      <c r="P4256" s="267" t="s">
        <v>3944</v>
      </c>
      <c r="Q4256" s="267" t="s">
        <v>3944</v>
      </c>
      <c r="R4256" s="267">
        <v>3713.43</v>
      </c>
      <c r="S4256" s="267">
        <v>66846.570000000007</v>
      </c>
      <c r="T4256" s="267">
        <v>70560</v>
      </c>
      <c r="U4256" s="268" t="s">
        <v>3945</v>
      </c>
      <c r="V4256" s="267" t="s">
        <v>944</v>
      </c>
    </row>
    <row r="4257" spans="1:22" hidden="1" x14ac:dyDescent="0.25">
      <c r="A4257" s="269">
        <v>43678</v>
      </c>
      <c r="B4257" s="270">
        <v>2019</v>
      </c>
      <c r="C4257" s="270">
        <v>2020</v>
      </c>
      <c r="D4257" s="270">
        <v>1</v>
      </c>
      <c r="E4257" s="270">
        <v>1</v>
      </c>
      <c r="F4257" s="270" t="s">
        <v>944</v>
      </c>
      <c r="G4257" s="270" t="s">
        <v>3926</v>
      </c>
      <c r="H4257" s="270" t="s">
        <v>8842</v>
      </c>
      <c r="I4257" s="270" t="s">
        <v>953</v>
      </c>
      <c r="J4257" s="270" t="s">
        <v>3928</v>
      </c>
      <c r="K4257" s="270">
        <v>6518</v>
      </c>
      <c r="L4257" s="270">
        <v>165900</v>
      </c>
      <c r="M4257" s="270" t="s">
        <v>3943</v>
      </c>
      <c r="N4257" s="270" t="s">
        <v>3944</v>
      </c>
      <c r="O4257" s="270">
        <v>2991.7</v>
      </c>
      <c r="P4257" s="270" t="s">
        <v>3944</v>
      </c>
      <c r="Q4257" s="270" t="s">
        <v>3944</v>
      </c>
      <c r="R4257" s="270">
        <v>2991.7</v>
      </c>
      <c r="S4257" s="270">
        <v>45687.34</v>
      </c>
      <c r="T4257" s="270">
        <v>48679.040000000001</v>
      </c>
      <c r="U4257" s="271" t="s">
        <v>3945</v>
      </c>
      <c r="V4257" s="267" t="s">
        <v>944</v>
      </c>
    </row>
    <row r="4258" spans="1:22" hidden="1" x14ac:dyDescent="0.25">
      <c r="A4258" s="266">
        <v>43678</v>
      </c>
      <c r="B4258" s="267">
        <v>2019</v>
      </c>
      <c r="C4258" s="267">
        <v>2020</v>
      </c>
      <c r="D4258" s="267">
        <v>1</v>
      </c>
      <c r="E4258" s="267">
        <v>1</v>
      </c>
      <c r="F4258" s="267" t="s">
        <v>944</v>
      </c>
      <c r="G4258" s="267" t="s">
        <v>3926</v>
      </c>
      <c r="H4258" s="267" t="s">
        <v>8843</v>
      </c>
      <c r="I4258" s="267" t="s">
        <v>4392</v>
      </c>
      <c r="J4258" s="267" t="s">
        <v>3928</v>
      </c>
      <c r="K4258" s="267">
        <v>6457</v>
      </c>
      <c r="L4258" s="267">
        <v>542200</v>
      </c>
      <c r="M4258" s="267" t="s">
        <v>3960</v>
      </c>
      <c r="N4258" s="267" t="s">
        <v>3944</v>
      </c>
      <c r="O4258" s="267">
        <v>1580.78</v>
      </c>
      <c r="P4258" s="267" t="s">
        <v>3944</v>
      </c>
      <c r="Q4258" s="267" t="s">
        <v>3944</v>
      </c>
      <c r="R4258" s="267">
        <v>1580.78</v>
      </c>
      <c r="S4258" s="267">
        <v>28458.62</v>
      </c>
      <c r="T4258" s="267">
        <v>30039.4</v>
      </c>
      <c r="U4258" s="268" t="s">
        <v>3945</v>
      </c>
      <c r="V4258" s="267" t="s">
        <v>944</v>
      </c>
    </row>
    <row r="4259" spans="1:22" hidden="1" x14ac:dyDescent="0.25">
      <c r="A4259" s="269">
        <v>43678</v>
      </c>
      <c r="B4259" s="270">
        <v>2019</v>
      </c>
      <c r="C4259" s="270">
        <v>2020</v>
      </c>
      <c r="D4259" s="270">
        <v>1</v>
      </c>
      <c r="E4259" s="270">
        <v>1</v>
      </c>
      <c r="F4259" s="270" t="s">
        <v>944</v>
      </c>
      <c r="G4259" s="270" t="s">
        <v>3926</v>
      </c>
      <c r="H4259" s="270" t="s">
        <v>8844</v>
      </c>
      <c r="I4259" s="270" t="s">
        <v>4244</v>
      </c>
      <c r="J4259" s="270" t="s">
        <v>3928</v>
      </c>
      <c r="K4259" s="270">
        <v>6250</v>
      </c>
      <c r="L4259" s="270">
        <v>881500</v>
      </c>
      <c r="M4259" s="270" t="s">
        <v>3940</v>
      </c>
      <c r="N4259" s="270" t="s">
        <v>3944</v>
      </c>
      <c r="O4259" s="270">
        <v>2227.65</v>
      </c>
      <c r="P4259" s="270" t="s">
        <v>3944</v>
      </c>
      <c r="Q4259" s="270" t="s">
        <v>3944</v>
      </c>
      <c r="R4259" s="270">
        <v>2227.65</v>
      </c>
      <c r="S4259" s="270">
        <v>29998.2</v>
      </c>
      <c r="T4259" s="270">
        <v>32225.85</v>
      </c>
      <c r="U4259" s="271" t="s">
        <v>3945</v>
      </c>
      <c r="V4259" s="267" t="s">
        <v>944</v>
      </c>
    </row>
    <row r="4260" spans="1:22" hidden="1" x14ac:dyDescent="0.25">
      <c r="A4260" s="266">
        <v>43678</v>
      </c>
      <c r="B4260" s="267">
        <v>2019</v>
      </c>
      <c r="C4260" s="267">
        <v>2020</v>
      </c>
      <c r="D4260" s="267">
        <v>1</v>
      </c>
      <c r="E4260" s="267">
        <v>1</v>
      </c>
      <c r="F4260" s="267" t="s">
        <v>944</v>
      </c>
      <c r="G4260" s="267" t="s">
        <v>3926</v>
      </c>
      <c r="H4260" s="267" t="s">
        <v>8845</v>
      </c>
      <c r="I4260" s="267" t="s">
        <v>5410</v>
      </c>
      <c r="J4260" s="267" t="s">
        <v>3928</v>
      </c>
      <c r="K4260" s="267">
        <v>6712</v>
      </c>
      <c r="L4260" s="267">
        <v>347200</v>
      </c>
      <c r="M4260" s="267" t="s">
        <v>3960</v>
      </c>
      <c r="N4260" s="267" t="s">
        <v>3944</v>
      </c>
      <c r="O4260" s="267">
        <v>4497.99</v>
      </c>
      <c r="P4260" s="267" t="s">
        <v>3944</v>
      </c>
      <c r="Q4260" s="267" t="s">
        <v>3944</v>
      </c>
      <c r="R4260" s="267">
        <v>4497.99</v>
      </c>
      <c r="S4260" s="267">
        <v>69989.710000000006</v>
      </c>
      <c r="T4260" s="267">
        <v>74487.7</v>
      </c>
      <c r="U4260" s="268" t="s">
        <v>3945</v>
      </c>
      <c r="V4260" s="267" t="s">
        <v>944</v>
      </c>
    </row>
    <row r="4261" spans="1:22" hidden="1" x14ac:dyDescent="0.25">
      <c r="A4261" s="269">
        <v>43678</v>
      </c>
      <c r="B4261" s="270">
        <v>2019</v>
      </c>
      <c r="C4261" s="270">
        <v>2020</v>
      </c>
      <c r="D4261" s="270">
        <v>1</v>
      </c>
      <c r="E4261" s="270">
        <v>1</v>
      </c>
      <c r="F4261" s="270" t="s">
        <v>944</v>
      </c>
      <c r="G4261" s="270" t="s">
        <v>3926</v>
      </c>
      <c r="H4261" s="270" t="s">
        <v>8846</v>
      </c>
      <c r="I4261" s="270" t="s">
        <v>4269</v>
      </c>
      <c r="J4261" s="270" t="s">
        <v>3928</v>
      </c>
      <c r="K4261" s="270">
        <v>6117</v>
      </c>
      <c r="L4261" s="270">
        <v>497500</v>
      </c>
      <c r="M4261" s="270" t="s">
        <v>3960</v>
      </c>
      <c r="N4261" s="270" t="s">
        <v>3944</v>
      </c>
      <c r="O4261" s="270">
        <v>1420.65</v>
      </c>
      <c r="P4261" s="270" t="s">
        <v>3944</v>
      </c>
      <c r="Q4261" s="270" t="s">
        <v>3944</v>
      </c>
      <c r="R4261" s="270">
        <v>1420.65</v>
      </c>
      <c r="S4261" s="270">
        <v>20625.05</v>
      </c>
      <c r="T4261" s="270">
        <v>22045.7</v>
      </c>
      <c r="U4261" s="271" t="s">
        <v>3945</v>
      </c>
      <c r="V4261" s="267" t="s">
        <v>944</v>
      </c>
    </row>
    <row r="4262" spans="1:22" hidden="1" x14ac:dyDescent="0.25">
      <c r="A4262" s="266">
        <v>43678</v>
      </c>
      <c r="B4262" s="267">
        <v>2019</v>
      </c>
      <c r="C4262" s="267">
        <v>2020</v>
      </c>
      <c r="D4262" s="267">
        <v>1</v>
      </c>
      <c r="E4262" s="267">
        <v>1</v>
      </c>
      <c r="F4262" s="267" t="s">
        <v>944</v>
      </c>
      <c r="G4262" s="267" t="s">
        <v>3926</v>
      </c>
      <c r="H4262" s="267" t="s">
        <v>8847</v>
      </c>
      <c r="I4262" s="267" t="s">
        <v>4011</v>
      </c>
      <c r="J4262" s="267" t="s">
        <v>3928</v>
      </c>
      <c r="K4262" s="267">
        <v>6002</v>
      </c>
      <c r="L4262" s="267">
        <v>471500</v>
      </c>
      <c r="M4262" s="267" t="s">
        <v>3935</v>
      </c>
      <c r="N4262" s="267" t="s">
        <v>3944</v>
      </c>
      <c r="O4262" s="267">
        <v>1855.98</v>
      </c>
      <c r="P4262" s="267" t="s">
        <v>3944</v>
      </c>
      <c r="Q4262" s="267" t="s">
        <v>3944</v>
      </c>
      <c r="R4262" s="267">
        <v>1855.98</v>
      </c>
      <c r="S4262" s="267">
        <v>29413.02</v>
      </c>
      <c r="T4262" s="267">
        <v>31269</v>
      </c>
      <c r="U4262" s="268" t="s">
        <v>3945</v>
      </c>
      <c r="V4262" s="267" t="s">
        <v>944</v>
      </c>
    </row>
    <row r="4263" spans="1:22" hidden="1" x14ac:dyDescent="0.25">
      <c r="A4263" s="269">
        <v>43678</v>
      </c>
      <c r="B4263" s="270">
        <v>2019</v>
      </c>
      <c r="C4263" s="270">
        <v>2020</v>
      </c>
      <c r="D4263" s="270">
        <v>1</v>
      </c>
      <c r="E4263" s="270">
        <v>1</v>
      </c>
      <c r="F4263" s="270" t="s">
        <v>944</v>
      </c>
      <c r="G4263" s="270" t="s">
        <v>3926</v>
      </c>
      <c r="H4263" s="270" t="s">
        <v>8848</v>
      </c>
      <c r="I4263" s="270" t="s">
        <v>934</v>
      </c>
      <c r="J4263" s="270" t="s">
        <v>3928</v>
      </c>
      <c r="K4263" s="270">
        <v>6606</v>
      </c>
      <c r="L4263" s="270">
        <v>72400</v>
      </c>
      <c r="M4263" s="270" t="s">
        <v>3940</v>
      </c>
      <c r="N4263" s="270" t="s">
        <v>3944</v>
      </c>
      <c r="O4263" s="270">
        <v>1648.99</v>
      </c>
      <c r="P4263" s="270" t="s">
        <v>3944</v>
      </c>
      <c r="Q4263" s="270" t="s">
        <v>3944</v>
      </c>
      <c r="R4263" s="270">
        <v>1648.99</v>
      </c>
      <c r="S4263" s="270">
        <v>40201.230000000003</v>
      </c>
      <c r="T4263" s="270">
        <v>41850.22</v>
      </c>
      <c r="U4263" s="271" t="s">
        <v>3945</v>
      </c>
      <c r="V4263" s="267" t="s">
        <v>944</v>
      </c>
    </row>
    <row r="4264" spans="1:22" hidden="1" x14ac:dyDescent="0.25">
      <c r="A4264" s="266">
        <v>43678</v>
      </c>
      <c r="B4264" s="267">
        <v>2019</v>
      </c>
      <c r="C4264" s="267">
        <v>2020</v>
      </c>
      <c r="D4264" s="267">
        <v>1</v>
      </c>
      <c r="E4264" s="267">
        <v>1</v>
      </c>
      <c r="F4264" s="267" t="s">
        <v>944</v>
      </c>
      <c r="G4264" s="267" t="s">
        <v>3926</v>
      </c>
      <c r="H4264" s="267" t="s">
        <v>8849</v>
      </c>
      <c r="I4264" s="267" t="s">
        <v>4290</v>
      </c>
      <c r="J4264" s="267" t="s">
        <v>3928</v>
      </c>
      <c r="K4264" s="267">
        <v>6798</v>
      </c>
      <c r="L4264" s="267">
        <v>362102</v>
      </c>
      <c r="M4264" s="267" t="s">
        <v>3960</v>
      </c>
      <c r="N4264" s="267" t="s">
        <v>3944</v>
      </c>
      <c r="O4264" s="267">
        <v>2210.4299999999998</v>
      </c>
      <c r="P4264" s="267" t="s">
        <v>3944</v>
      </c>
      <c r="Q4264" s="267" t="s">
        <v>3944</v>
      </c>
      <c r="R4264" s="267">
        <v>2210.4299999999998</v>
      </c>
      <c r="S4264" s="267">
        <v>43692.37</v>
      </c>
      <c r="T4264" s="267">
        <v>45902.8</v>
      </c>
      <c r="U4264" s="268" t="s">
        <v>3945</v>
      </c>
      <c r="V4264" s="267" t="s">
        <v>944</v>
      </c>
    </row>
    <row r="4265" spans="1:22" hidden="1" x14ac:dyDescent="0.25">
      <c r="A4265" s="269">
        <v>43678</v>
      </c>
      <c r="B4265" s="270">
        <v>2019</v>
      </c>
      <c r="C4265" s="270">
        <v>2020</v>
      </c>
      <c r="D4265" s="270">
        <v>1</v>
      </c>
      <c r="E4265" s="270">
        <v>1</v>
      </c>
      <c r="F4265" s="270" t="s">
        <v>944</v>
      </c>
      <c r="G4265" s="270" t="s">
        <v>3926</v>
      </c>
      <c r="H4265" s="270" t="s">
        <v>8850</v>
      </c>
      <c r="I4265" s="270" t="s">
        <v>956</v>
      </c>
      <c r="J4265" s="270" t="s">
        <v>3928</v>
      </c>
      <c r="K4265" s="270">
        <v>6614</v>
      </c>
      <c r="L4265" s="270">
        <v>80800</v>
      </c>
      <c r="M4265" s="270" t="s">
        <v>3960</v>
      </c>
      <c r="N4265" s="270" t="s">
        <v>3944</v>
      </c>
      <c r="O4265" s="270">
        <v>1232.1400000000001</v>
      </c>
      <c r="P4265" s="270" t="s">
        <v>3944</v>
      </c>
      <c r="Q4265" s="270" t="s">
        <v>3944</v>
      </c>
      <c r="R4265" s="270">
        <v>1232.1400000000001</v>
      </c>
      <c r="S4265" s="270">
        <v>15435.14</v>
      </c>
      <c r="T4265" s="270">
        <v>16667.28</v>
      </c>
      <c r="U4265" s="271" t="s">
        <v>3945</v>
      </c>
      <c r="V4265" s="267" t="s">
        <v>944</v>
      </c>
    </row>
    <row r="4266" spans="1:22" hidden="1" x14ac:dyDescent="0.25">
      <c r="A4266" s="266">
        <v>43678</v>
      </c>
      <c r="B4266" s="267">
        <v>2019</v>
      </c>
      <c r="C4266" s="267">
        <v>2020</v>
      </c>
      <c r="D4266" s="267">
        <v>1</v>
      </c>
      <c r="E4266" s="267">
        <v>1</v>
      </c>
      <c r="F4266" s="267" t="s">
        <v>944</v>
      </c>
      <c r="G4266" s="267" t="s">
        <v>3926</v>
      </c>
      <c r="H4266" s="267" t="s">
        <v>8851</v>
      </c>
      <c r="I4266" s="267" t="s">
        <v>3025</v>
      </c>
      <c r="J4266" s="267" t="s">
        <v>3928</v>
      </c>
      <c r="K4266" s="267">
        <v>6473</v>
      </c>
      <c r="L4266" s="267">
        <v>167201</v>
      </c>
      <c r="M4266" s="267" t="s">
        <v>3960</v>
      </c>
      <c r="N4266" s="267" t="s">
        <v>3944</v>
      </c>
      <c r="O4266" s="267">
        <v>1803.31</v>
      </c>
      <c r="P4266" s="267" t="s">
        <v>3944</v>
      </c>
      <c r="Q4266" s="267" t="s">
        <v>3944</v>
      </c>
      <c r="R4266" s="267">
        <v>1803.31</v>
      </c>
      <c r="S4266" s="267">
        <v>28682.34</v>
      </c>
      <c r="T4266" s="267">
        <v>30485.65</v>
      </c>
      <c r="U4266" s="268" t="s">
        <v>3945</v>
      </c>
      <c r="V4266" s="267" t="s">
        <v>944</v>
      </c>
    </row>
    <row r="4267" spans="1:22" hidden="1" x14ac:dyDescent="0.25">
      <c r="A4267" s="269">
        <v>43678</v>
      </c>
      <c r="B4267" s="270">
        <v>2019</v>
      </c>
      <c r="C4267" s="270">
        <v>2020</v>
      </c>
      <c r="D4267" s="270">
        <v>1</v>
      </c>
      <c r="E4267" s="270">
        <v>1</v>
      </c>
      <c r="F4267" s="270" t="s">
        <v>944</v>
      </c>
      <c r="G4267" s="270" t="s">
        <v>3926</v>
      </c>
      <c r="H4267" s="270" t="s">
        <v>8852</v>
      </c>
      <c r="I4267" s="270" t="s">
        <v>3975</v>
      </c>
      <c r="J4267" s="270" t="s">
        <v>3928</v>
      </c>
      <c r="K4267" s="270">
        <v>6489</v>
      </c>
      <c r="L4267" s="270">
        <v>430602</v>
      </c>
      <c r="M4267" s="270" t="s">
        <v>3960</v>
      </c>
      <c r="N4267" s="270" t="s">
        <v>3944</v>
      </c>
      <c r="O4267" s="270">
        <v>1281.7</v>
      </c>
      <c r="P4267" s="270" t="s">
        <v>3944</v>
      </c>
      <c r="Q4267" s="270" t="s">
        <v>3944</v>
      </c>
      <c r="R4267" s="270">
        <v>1281.7</v>
      </c>
      <c r="S4267" s="270">
        <v>20493.669999999998</v>
      </c>
      <c r="T4267" s="270">
        <v>21775.37</v>
      </c>
      <c r="U4267" s="271" t="s">
        <v>3945</v>
      </c>
      <c r="V4267" s="267" t="s">
        <v>944</v>
      </c>
    </row>
    <row r="4268" spans="1:22" hidden="1" x14ac:dyDescent="0.25">
      <c r="A4268" s="266">
        <v>43678</v>
      </c>
      <c r="B4268" s="267">
        <v>2019</v>
      </c>
      <c r="C4268" s="267">
        <v>2020</v>
      </c>
      <c r="D4268" s="267">
        <v>1</v>
      </c>
      <c r="E4268" s="267">
        <v>1</v>
      </c>
      <c r="F4268" s="267" t="s">
        <v>944</v>
      </c>
      <c r="G4268" s="267" t="s">
        <v>3926</v>
      </c>
      <c r="H4268" s="267" t="s">
        <v>8853</v>
      </c>
      <c r="I4268" s="267" t="s">
        <v>4005</v>
      </c>
      <c r="J4268" s="267" t="s">
        <v>3928</v>
      </c>
      <c r="K4268" s="267">
        <v>6118</v>
      </c>
      <c r="L4268" s="267">
        <v>510700</v>
      </c>
      <c r="M4268" s="267" t="s">
        <v>3940</v>
      </c>
      <c r="N4268" s="267" t="s">
        <v>3944</v>
      </c>
      <c r="O4268" s="267">
        <v>788.52</v>
      </c>
      <c r="P4268" s="267" t="s">
        <v>3944</v>
      </c>
      <c r="Q4268" s="267" t="s">
        <v>3944</v>
      </c>
      <c r="R4268" s="267">
        <v>788.52</v>
      </c>
      <c r="S4268" s="267">
        <v>15270.6</v>
      </c>
      <c r="T4268" s="267">
        <v>16059.12</v>
      </c>
      <c r="U4268" s="268" t="s">
        <v>3945</v>
      </c>
      <c r="V4268" s="267" t="s">
        <v>944</v>
      </c>
    </row>
    <row r="4269" spans="1:22" hidden="1" x14ac:dyDescent="0.25">
      <c r="A4269" s="269">
        <v>43678</v>
      </c>
      <c r="B4269" s="270">
        <v>2019</v>
      </c>
      <c r="C4269" s="270">
        <v>2020</v>
      </c>
      <c r="D4269" s="270">
        <v>1</v>
      </c>
      <c r="E4269" s="270">
        <v>1</v>
      </c>
      <c r="F4269" s="270" t="s">
        <v>944</v>
      </c>
      <c r="G4269" s="270" t="s">
        <v>3926</v>
      </c>
      <c r="H4269" s="270" t="s">
        <v>8854</v>
      </c>
      <c r="I4269" s="270" t="s">
        <v>2987</v>
      </c>
      <c r="J4269" s="270" t="s">
        <v>3928</v>
      </c>
      <c r="K4269" s="270">
        <v>6611</v>
      </c>
      <c r="L4269" s="270">
        <v>90100</v>
      </c>
      <c r="M4269" s="270" t="s">
        <v>3943</v>
      </c>
      <c r="N4269" s="270" t="s">
        <v>3944</v>
      </c>
      <c r="O4269" s="270">
        <v>1120.98</v>
      </c>
      <c r="P4269" s="270" t="s">
        <v>3944</v>
      </c>
      <c r="Q4269" s="270" t="s">
        <v>3944</v>
      </c>
      <c r="R4269" s="270">
        <v>1120.98</v>
      </c>
      <c r="S4269" s="270">
        <v>30260.05</v>
      </c>
      <c r="T4269" s="270">
        <v>31381.03</v>
      </c>
      <c r="U4269" s="271" t="s">
        <v>3945</v>
      </c>
      <c r="V4269" s="267" t="s">
        <v>944</v>
      </c>
    </row>
    <row r="4270" spans="1:22" hidden="1" x14ac:dyDescent="0.25">
      <c r="A4270" s="266">
        <v>43678</v>
      </c>
      <c r="B4270" s="267">
        <v>2019</v>
      </c>
      <c r="C4270" s="267">
        <v>2020</v>
      </c>
      <c r="D4270" s="267">
        <v>1</v>
      </c>
      <c r="E4270" s="267">
        <v>1</v>
      </c>
      <c r="F4270" s="267" t="s">
        <v>944</v>
      </c>
      <c r="G4270" s="267" t="s">
        <v>3926</v>
      </c>
      <c r="H4270" s="267" t="s">
        <v>8855</v>
      </c>
      <c r="I4270" s="267" t="s">
        <v>4213</v>
      </c>
      <c r="J4270" s="267" t="s">
        <v>3928</v>
      </c>
      <c r="K4270" s="267">
        <v>6051</v>
      </c>
      <c r="L4270" s="267">
        <v>415400</v>
      </c>
      <c r="M4270" s="267">
        <v>-60</v>
      </c>
      <c r="N4270" s="267" t="s">
        <v>3944</v>
      </c>
      <c r="O4270" s="267">
        <v>1016.05</v>
      </c>
      <c r="P4270" s="267" t="s">
        <v>3944</v>
      </c>
      <c r="Q4270" s="267" t="s">
        <v>3944</v>
      </c>
      <c r="R4270" s="267">
        <v>1016.05</v>
      </c>
      <c r="S4270" s="267">
        <v>14359.37</v>
      </c>
      <c r="T4270" s="267">
        <v>15375.42</v>
      </c>
      <c r="U4270" s="268" t="s">
        <v>3945</v>
      </c>
      <c r="V4270" s="267" t="s">
        <v>944</v>
      </c>
    </row>
    <row r="4271" spans="1:22" hidden="1" x14ac:dyDescent="0.25">
      <c r="A4271" s="269">
        <v>43678</v>
      </c>
      <c r="B4271" s="270">
        <v>2019</v>
      </c>
      <c r="C4271" s="270">
        <v>2020</v>
      </c>
      <c r="D4271" s="270">
        <v>1</v>
      </c>
      <c r="E4271" s="270">
        <v>1</v>
      </c>
      <c r="F4271" s="270" t="s">
        <v>944</v>
      </c>
      <c r="G4271" s="270" t="s">
        <v>3926</v>
      </c>
      <c r="H4271" s="270" t="s">
        <v>8856</v>
      </c>
      <c r="I4271" s="270" t="s">
        <v>3008</v>
      </c>
      <c r="J4271" s="270" t="s">
        <v>3928</v>
      </c>
      <c r="K4271" s="270">
        <v>6460</v>
      </c>
      <c r="L4271" s="270">
        <v>150900</v>
      </c>
      <c r="M4271" s="270" t="s">
        <v>3943</v>
      </c>
      <c r="N4271" s="270" t="s">
        <v>3944</v>
      </c>
      <c r="O4271" s="270">
        <v>2785.76</v>
      </c>
      <c r="P4271" s="270" t="s">
        <v>3944</v>
      </c>
      <c r="Q4271" s="270" t="s">
        <v>3944</v>
      </c>
      <c r="R4271" s="270">
        <v>2785.76</v>
      </c>
      <c r="S4271" s="270">
        <v>49612.63</v>
      </c>
      <c r="T4271" s="270">
        <v>52398.39</v>
      </c>
      <c r="U4271" s="271" t="s">
        <v>3945</v>
      </c>
      <c r="V4271" s="267" t="s">
        <v>944</v>
      </c>
    </row>
    <row r="4272" spans="1:22" hidden="1" x14ac:dyDescent="0.25">
      <c r="A4272" s="266">
        <v>43678</v>
      </c>
      <c r="B4272" s="267">
        <v>2019</v>
      </c>
      <c r="C4272" s="267">
        <v>2020</v>
      </c>
      <c r="D4272" s="267">
        <v>1</v>
      </c>
      <c r="E4272" s="267">
        <v>1</v>
      </c>
      <c r="F4272" s="267" t="s">
        <v>944</v>
      </c>
      <c r="G4272" s="267" t="s">
        <v>3926</v>
      </c>
      <c r="H4272" s="267" t="s">
        <v>8857</v>
      </c>
      <c r="I4272" s="267" t="s">
        <v>5410</v>
      </c>
      <c r="J4272" s="267" t="s">
        <v>3928</v>
      </c>
      <c r="K4272" s="267">
        <v>6712</v>
      </c>
      <c r="L4272" s="267">
        <v>347100</v>
      </c>
      <c r="M4272" s="267" t="s">
        <v>3960</v>
      </c>
      <c r="N4272" s="267" t="s">
        <v>3944</v>
      </c>
      <c r="O4272" s="267">
        <v>2688.49</v>
      </c>
      <c r="P4272" s="267" t="s">
        <v>3944</v>
      </c>
      <c r="Q4272" s="267" t="s">
        <v>3944</v>
      </c>
      <c r="R4272" s="267">
        <v>2688.49</v>
      </c>
      <c r="S4272" s="267">
        <v>40699.35</v>
      </c>
      <c r="T4272" s="267">
        <v>43387.839999999997</v>
      </c>
      <c r="U4272" s="268" t="s">
        <v>3945</v>
      </c>
      <c r="V4272" s="267" t="s">
        <v>944</v>
      </c>
    </row>
    <row r="4273" spans="1:22" hidden="1" x14ac:dyDescent="0.25">
      <c r="A4273" s="269">
        <v>43678</v>
      </c>
      <c r="B4273" s="270">
        <v>2019</v>
      </c>
      <c r="C4273" s="270">
        <v>2020</v>
      </c>
      <c r="D4273" s="270">
        <v>1</v>
      </c>
      <c r="E4273" s="270">
        <v>1</v>
      </c>
      <c r="F4273" s="270" t="s">
        <v>944</v>
      </c>
      <c r="G4273" s="270" t="s">
        <v>3926</v>
      </c>
      <c r="H4273" s="270" t="s">
        <v>8858</v>
      </c>
      <c r="I4273" s="270" t="s">
        <v>4392</v>
      </c>
      <c r="J4273" s="270" t="s">
        <v>3928</v>
      </c>
      <c r="K4273" s="270">
        <v>6457</v>
      </c>
      <c r="L4273" s="270">
        <v>680200</v>
      </c>
      <c r="M4273" s="270" t="s">
        <v>3935</v>
      </c>
      <c r="N4273" s="270" t="s">
        <v>3944</v>
      </c>
      <c r="O4273" s="270">
        <v>1483.93</v>
      </c>
      <c r="P4273" s="270" t="s">
        <v>3944</v>
      </c>
      <c r="Q4273" s="270" t="s">
        <v>3944</v>
      </c>
      <c r="R4273" s="270">
        <v>1483.93</v>
      </c>
      <c r="S4273" s="270">
        <v>17266.759999999998</v>
      </c>
      <c r="T4273" s="270">
        <v>18750.689999999999</v>
      </c>
      <c r="U4273" s="271" t="s">
        <v>3945</v>
      </c>
      <c r="V4273" s="267" t="s">
        <v>944</v>
      </c>
    </row>
    <row r="4274" spans="1:22" hidden="1" x14ac:dyDescent="0.25">
      <c r="A4274" s="266">
        <v>43678</v>
      </c>
      <c r="B4274" s="267">
        <v>2019</v>
      </c>
      <c r="C4274" s="267">
        <v>2020</v>
      </c>
      <c r="D4274" s="267">
        <v>1</v>
      </c>
      <c r="E4274" s="267">
        <v>1</v>
      </c>
      <c r="F4274" s="267" t="s">
        <v>944</v>
      </c>
      <c r="G4274" s="267" t="s">
        <v>3926</v>
      </c>
      <c r="H4274" s="267" t="s">
        <v>8859</v>
      </c>
      <c r="I4274" s="267" t="s">
        <v>3025</v>
      </c>
      <c r="J4274" s="267" t="s">
        <v>3928</v>
      </c>
      <c r="K4274" s="267">
        <v>6473</v>
      </c>
      <c r="L4274" s="267">
        <v>167300</v>
      </c>
      <c r="M4274" s="267" t="s">
        <v>3943</v>
      </c>
      <c r="N4274" s="267" t="s">
        <v>3944</v>
      </c>
      <c r="O4274" s="267">
        <v>2145.71</v>
      </c>
      <c r="P4274" s="267" t="s">
        <v>3944</v>
      </c>
      <c r="Q4274" s="267" t="s">
        <v>3944</v>
      </c>
      <c r="R4274" s="267">
        <v>2145.71</v>
      </c>
      <c r="S4274" s="267">
        <v>28330.18</v>
      </c>
      <c r="T4274" s="267">
        <v>30475.89</v>
      </c>
      <c r="U4274" s="268" t="s">
        <v>3945</v>
      </c>
      <c r="V4274" s="267" t="s">
        <v>944</v>
      </c>
    </row>
    <row r="4275" spans="1:22" hidden="1" x14ac:dyDescent="0.25">
      <c r="A4275" s="269">
        <v>43678</v>
      </c>
      <c r="B4275" s="270">
        <v>2019</v>
      </c>
      <c r="C4275" s="270">
        <v>2020</v>
      </c>
      <c r="D4275" s="270">
        <v>1</v>
      </c>
      <c r="E4275" s="270">
        <v>1</v>
      </c>
      <c r="F4275" s="270" t="s">
        <v>944</v>
      </c>
      <c r="G4275" s="270" t="s">
        <v>3926</v>
      </c>
      <c r="H4275" s="270" t="s">
        <v>8860</v>
      </c>
      <c r="I4275" s="270" t="s">
        <v>956</v>
      </c>
      <c r="J4275" s="270" t="s">
        <v>3928</v>
      </c>
      <c r="K4275" s="270">
        <v>6614</v>
      </c>
      <c r="L4275" s="270">
        <v>80900</v>
      </c>
      <c r="M4275" s="270" t="s">
        <v>3960</v>
      </c>
      <c r="N4275" s="270" t="s">
        <v>3944</v>
      </c>
      <c r="O4275" s="270">
        <v>1875.9</v>
      </c>
      <c r="P4275" s="270" t="s">
        <v>3944</v>
      </c>
      <c r="Q4275" s="270" t="s">
        <v>3944</v>
      </c>
      <c r="R4275" s="270">
        <v>1875.9</v>
      </c>
      <c r="S4275" s="270">
        <v>31458.66</v>
      </c>
      <c r="T4275" s="270">
        <v>33334.559999999998</v>
      </c>
      <c r="U4275" s="271" t="s">
        <v>3945</v>
      </c>
      <c r="V4275" s="267" t="s">
        <v>944</v>
      </c>
    </row>
    <row r="4276" spans="1:22" hidden="1" x14ac:dyDescent="0.25">
      <c r="A4276" s="266">
        <v>43678</v>
      </c>
      <c r="B4276" s="267">
        <v>2019</v>
      </c>
      <c r="C4276" s="267">
        <v>2020</v>
      </c>
      <c r="D4276" s="267">
        <v>1</v>
      </c>
      <c r="E4276" s="267">
        <v>1</v>
      </c>
      <c r="F4276" s="267" t="s">
        <v>944</v>
      </c>
      <c r="G4276" s="267" t="s">
        <v>3926</v>
      </c>
      <c r="H4276" s="267" t="s">
        <v>8861</v>
      </c>
      <c r="I4276" s="267" t="s">
        <v>4042</v>
      </c>
      <c r="J4276" s="267" t="s">
        <v>3928</v>
      </c>
      <c r="K4276" s="267">
        <v>6382</v>
      </c>
      <c r="L4276" s="267">
        <v>870501</v>
      </c>
      <c r="M4276" s="267" t="s">
        <v>3935</v>
      </c>
      <c r="N4276" s="267" t="s">
        <v>3944</v>
      </c>
      <c r="O4276" s="267">
        <v>1606.29</v>
      </c>
      <c r="P4276" s="267" t="s">
        <v>3944</v>
      </c>
      <c r="Q4276" s="267" t="s">
        <v>3944</v>
      </c>
      <c r="R4276" s="267">
        <v>1606.29</v>
      </c>
      <c r="S4276" s="267">
        <v>24567.87</v>
      </c>
      <c r="T4276" s="267">
        <v>26174.16</v>
      </c>
      <c r="U4276" s="268" t="s">
        <v>3945</v>
      </c>
      <c r="V4276" s="267" t="s">
        <v>944</v>
      </c>
    </row>
    <row r="4277" spans="1:22" hidden="1" x14ac:dyDescent="0.25">
      <c r="A4277" s="269">
        <v>43678</v>
      </c>
      <c r="B4277" s="270">
        <v>2019</v>
      </c>
      <c r="C4277" s="270">
        <v>2020</v>
      </c>
      <c r="D4277" s="270">
        <v>1</v>
      </c>
      <c r="E4277" s="270">
        <v>1</v>
      </c>
      <c r="F4277" s="270" t="s">
        <v>944</v>
      </c>
      <c r="G4277" s="270" t="s">
        <v>3926</v>
      </c>
      <c r="H4277" s="270" t="s">
        <v>8862</v>
      </c>
      <c r="I4277" s="270" t="s">
        <v>956</v>
      </c>
      <c r="J4277" s="270" t="s">
        <v>3928</v>
      </c>
      <c r="K4277" s="270">
        <v>6614</v>
      </c>
      <c r="L4277" s="270">
        <v>80900</v>
      </c>
      <c r="M4277" s="270" t="s">
        <v>3960</v>
      </c>
      <c r="N4277" s="270" t="s">
        <v>3944</v>
      </c>
      <c r="O4277" s="270">
        <v>1712.69</v>
      </c>
      <c r="P4277" s="270" t="s">
        <v>3944</v>
      </c>
      <c r="Q4277" s="270" t="s">
        <v>3944</v>
      </c>
      <c r="R4277" s="270">
        <v>1712.69</v>
      </c>
      <c r="S4277" s="270">
        <v>26608.67</v>
      </c>
      <c r="T4277" s="270">
        <v>28321.360000000001</v>
      </c>
      <c r="U4277" s="271" t="s">
        <v>3945</v>
      </c>
      <c r="V4277" s="267" t="s">
        <v>944</v>
      </c>
    </row>
    <row r="4278" spans="1:22" hidden="1" x14ac:dyDescent="0.25">
      <c r="A4278" s="266">
        <v>43678</v>
      </c>
      <c r="B4278" s="267">
        <v>2019</v>
      </c>
      <c r="C4278" s="267">
        <v>2020</v>
      </c>
      <c r="D4278" s="267">
        <v>1</v>
      </c>
      <c r="E4278" s="267">
        <v>1</v>
      </c>
      <c r="F4278" s="267" t="s">
        <v>944</v>
      </c>
      <c r="G4278" s="267" t="s">
        <v>3926</v>
      </c>
      <c r="H4278" s="267" t="s">
        <v>8863</v>
      </c>
      <c r="I4278" s="267" t="s">
        <v>4079</v>
      </c>
      <c r="J4278" s="267" t="s">
        <v>3928</v>
      </c>
      <c r="K4278" s="267">
        <v>6111</v>
      </c>
      <c r="L4278" s="267">
        <v>494201</v>
      </c>
      <c r="M4278" s="267" t="s">
        <v>3935</v>
      </c>
      <c r="N4278" s="267" t="s">
        <v>3944</v>
      </c>
      <c r="O4278" s="267">
        <v>3324.55</v>
      </c>
      <c r="P4278" s="267" t="s">
        <v>3944</v>
      </c>
      <c r="Q4278" s="267" t="s">
        <v>3944</v>
      </c>
      <c r="R4278" s="267">
        <v>3324.55</v>
      </c>
      <c r="S4278" s="267">
        <v>45635.6</v>
      </c>
      <c r="T4278" s="267">
        <v>48960.15</v>
      </c>
      <c r="U4278" s="268" t="s">
        <v>3945</v>
      </c>
      <c r="V4278" s="267" t="s">
        <v>944</v>
      </c>
    </row>
    <row r="4279" spans="1:22" hidden="1" x14ac:dyDescent="0.25">
      <c r="A4279" s="269">
        <v>43678</v>
      </c>
      <c r="B4279" s="270">
        <v>2019</v>
      </c>
      <c r="C4279" s="270">
        <v>2020</v>
      </c>
      <c r="D4279" s="270">
        <v>1</v>
      </c>
      <c r="E4279" s="270">
        <v>1</v>
      </c>
      <c r="F4279" s="270" t="s">
        <v>944</v>
      </c>
      <c r="G4279" s="270" t="s">
        <v>3926</v>
      </c>
      <c r="H4279" s="270" t="s">
        <v>8864</v>
      </c>
      <c r="I4279" s="270" t="s">
        <v>4005</v>
      </c>
      <c r="J4279" s="270" t="s">
        <v>3928</v>
      </c>
      <c r="K4279" s="270">
        <v>6108</v>
      </c>
      <c r="L4279" s="270">
        <v>510400</v>
      </c>
      <c r="M4279" s="270">
        <v>-60</v>
      </c>
      <c r="N4279" s="270" t="s">
        <v>3944</v>
      </c>
      <c r="O4279" s="270">
        <v>691.88</v>
      </c>
      <c r="P4279" s="270" t="s">
        <v>3944</v>
      </c>
      <c r="Q4279" s="270" t="s">
        <v>3944</v>
      </c>
      <c r="R4279" s="270">
        <v>691.88</v>
      </c>
      <c r="S4279" s="270">
        <v>9331.74</v>
      </c>
      <c r="T4279" s="270">
        <v>10023.620000000001</v>
      </c>
      <c r="U4279" s="271" t="s">
        <v>3945</v>
      </c>
      <c r="V4279" s="267" t="s">
        <v>944</v>
      </c>
    </row>
    <row r="4280" spans="1:22" hidden="1" x14ac:dyDescent="0.25">
      <c r="A4280" s="266">
        <v>43678</v>
      </c>
      <c r="B4280" s="267">
        <v>2019</v>
      </c>
      <c r="C4280" s="267">
        <v>2020</v>
      </c>
      <c r="D4280" s="267">
        <v>1</v>
      </c>
      <c r="E4280" s="267">
        <v>1</v>
      </c>
      <c r="F4280" s="267" t="s">
        <v>944</v>
      </c>
      <c r="G4280" s="267" t="s">
        <v>3926</v>
      </c>
      <c r="H4280" s="267" t="s">
        <v>8865</v>
      </c>
      <c r="I4280" s="267" t="s">
        <v>4213</v>
      </c>
      <c r="J4280" s="267" t="s">
        <v>3928</v>
      </c>
      <c r="K4280" s="267">
        <v>6051</v>
      </c>
      <c r="L4280" s="267">
        <v>415400</v>
      </c>
      <c r="M4280" s="267">
        <v>-60</v>
      </c>
      <c r="N4280" s="267" t="s">
        <v>3944</v>
      </c>
      <c r="O4280" s="267">
        <v>2298.17</v>
      </c>
      <c r="P4280" s="267" t="s">
        <v>3944</v>
      </c>
      <c r="Q4280" s="267" t="s">
        <v>3944</v>
      </c>
      <c r="R4280" s="267">
        <v>2298.17</v>
      </c>
      <c r="S4280" s="267">
        <v>39370.03</v>
      </c>
      <c r="T4280" s="267">
        <v>41668.199999999997</v>
      </c>
      <c r="U4280" s="268" t="s">
        <v>3945</v>
      </c>
      <c r="V4280" s="267" t="s">
        <v>944</v>
      </c>
    </row>
    <row r="4281" spans="1:22" hidden="1" x14ac:dyDescent="0.25">
      <c r="A4281" s="269">
        <v>43678</v>
      </c>
      <c r="B4281" s="270">
        <v>2019</v>
      </c>
      <c r="C4281" s="270">
        <v>2020</v>
      </c>
      <c r="D4281" s="270">
        <v>1</v>
      </c>
      <c r="E4281" s="270">
        <v>1</v>
      </c>
      <c r="F4281" s="270" t="s">
        <v>944</v>
      </c>
      <c r="G4281" s="270" t="s">
        <v>3926</v>
      </c>
      <c r="H4281" s="270" t="s">
        <v>8866</v>
      </c>
      <c r="I4281" s="270" t="s">
        <v>3012</v>
      </c>
      <c r="J4281" s="270" t="s">
        <v>3928</v>
      </c>
      <c r="K4281" s="270">
        <v>6477</v>
      </c>
      <c r="L4281" s="270">
        <v>157300</v>
      </c>
      <c r="M4281" s="270" t="s">
        <v>3943</v>
      </c>
      <c r="N4281" s="270" t="s">
        <v>3944</v>
      </c>
      <c r="O4281" s="270">
        <v>2451.23</v>
      </c>
      <c r="P4281" s="270" t="s">
        <v>3944</v>
      </c>
      <c r="Q4281" s="270" t="s">
        <v>3944</v>
      </c>
      <c r="R4281" s="270">
        <v>2451.23</v>
      </c>
      <c r="S4281" s="270">
        <v>39878.370000000003</v>
      </c>
      <c r="T4281" s="270">
        <v>42329.599999999999</v>
      </c>
      <c r="U4281" s="271" t="s">
        <v>3945</v>
      </c>
      <c r="V4281" s="267" t="s">
        <v>944</v>
      </c>
    </row>
    <row r="4282" spans="1:22" hidden="1" x14ac:dyDescent="0.25">
      <c r="A4282" s="266">
        <v>43678</v>
      </c>
      <c r="B4282" s="267">
        <v>2019</v>
      </c>
      <c r="C4282" s="267">
        <v>2020</v>
      </c>
      <c r="D4282" s="267">
        <v>1</v>
      </c>
      <c r="E4282" s="267">
        <v>1</v>
      </c>
      <c r="F4282" s="267" t="s">
        <v>944</v>
      </c>
      <c r="G4282" s="267" t="s">
        <v>3926</v>
      </c>
      <c r="H4282" s="267" t="s">
        <v>8867</v>
      </c>
      <c r="I4282" s="267" t="s">
        <v>4435</v>
      </c>
      <c r="J4282" s="267" t="s">
        <v>3928</v>
      </c>
      <c r="K4282" s="267">
        <v>6249</v>
      </c>
      <c r="L4282" s="267">
        <v>870100</v>
      </c>
      <c r="M4282" s="267" t="s">
        <v>3960</v>
      </c>
      <c r="N4282" s="267" t="s">
        <v>3944</v>
      </c>
      <c r="O4282" s="267">
        <v>1410.29</v>
      </c>
      <c r="P4282" s="267" t="s">
        <v>3944</v>
      </c>
      <c r="Q4282" s="267" t="s">
        <v>3944</v>
      </c>
      <c r="R4282" s="267">
        <v>1410.29</v>
      </c>
      <c r="S4282" s="267">
        <v>20102.189999999999</v>
      </c>
      <c r="T4282" s="267">
        <v>21512.48</v>
      </c>
      <c r="U4282" s="268" t="s">
        <v>3945</v>
      </c>
      <c r="V4282" s="267" t="s">
        <v>944</v>
      </c>
    </row>
    <row r="4283" spans="1:22" hidden="1" x14ac:dyDescent="0.25">
      <c r="A4283" s="269">
        <v>43678</v>
      </c>
      <c r="B4283" s="270">
        <v>2019</v>
      </c>
      <c r="C4283" s="270">
        <v>2020</v>
      </c>
      <c r="D4283" s="270">
        <v>1</v>
      </c>
      <c r="E4283" s="270">
        <v>1</v>
      </c>
      <c r="F4283" s="270" t="s">
        <v>944</v>
      </c>
      <c r="G4283" s="270" t="s">
        <v>3926</v>
      </c>
      <c r="H4283" s="270" t="s">
        <v>8868</v>
      </c>
      <c r="I4283" s="270" t="s">
        <v>3934</v>
      </c>
      <c r="J4283" s="270" t="s">
        <v>3928</v>
      </c>
      <c r="K4283" s="270">
        <v>6405</v>
      </c>
      <c r="L4283" s="270">
        <v>184200</v>
      </c>
      <c r="M4283" s="270" t="s">
        <v>3940</v>
      </c>
      <c r="N4283" s="270" t="s">
        <v>3944</v>
      </c>
      <c r="O4283" s="270">
        <v>1328.99</v>
      </c>
      <c r="P4283" s="270" t="s">
        <v>3944</v>
      </c>
      <c r="Q4283" s="270" t="s">
        <v>3944</v>
      </c>
      <c r="R4283" s="270">
        <v>1328.99</v>
      </c>
      <c r="S4283" s="270">
        <v>18769.43</v>
      </c>
      <c r="T4283" s="270">
        <v>20098.419999999998</v>
      </c>
      <c r="U4283" s="271" t="s">
        <v>3945</v>
      </c>
      <c r="V4283" s="267" t="s">
        <v>944</v>
      </c>
    </row>
    <row r="4284" spans="1:22" hidden="1" x14ac:dyDescent="0.25">
      <c r="A4284" s="266">
        <v>43678</v>
      </c>
      <c r="B4284" s="267">
        <v>2019</v>
      </c>
      <c r="C4284" s="267">
        <v>2020</v>
      </c>
      <c r="D4284" s="267">
        <v>1</v>
      </c>
      <c r="E4284" s="267">
        <v>1</v>
      </c>
      <c r="F4284" s="267" t="s">
        <v>944</v>
      </c>
      <c r="G4284" s="267" t="s">
        <v>3926</v>
      </c>
      <c r="H4284" s="267" t="s">
        <v>8869</v>
      </c>
      <c r="I4284" s="267" t="s">
        <v>3999</v>
      </c>
      <c r="J4284" s="267" t="s">
        <v>3928</v>
      </c>
      <c r="K4284" s="267">
        <v>6450</v>
      </c>
      <c r="L4284" s="267">
        <v>171000</v>
      </c>
      <c r="M4284" s="267">
        <v>-60</v>
      </c>
      <c r="N4284" s="267" t="s">
        <v>3944</v>
      </c>
      <c r="O4284" s="267">
        <v>1781.75</v>
      </c>
      <c r="P4284" s="267" t="s">
        <v>3944</v>
      </c>
      <c r="Q4284" s="267" t="s">
        <v>3944</v>
      </c>
      <c r="R4284" s="267">
        <v>1781.75</v>
      </c>
      <c r="S4284" s="267">
        <v>25290.959999999999</v>
      </c>
      <c r="T4284" s="267">
        <v>27072.71</v>
      </c>
      <c r="U4284" s="268" t="s">
        <v>3945</v>
      </c>
      <c r="V4284" s="267" t="s">
        <v>944</v>
      </c>
    </row>
    <row r="4285" spans="1:22" hidden="1" x14ac:dyDescent="0.25">
      <c r="A4285" s="269">
        <v>43678</v>
      </c>
      <c r="B4285" s="270">
        <v>2019</v>
      </c>
      <c r="C4285" s="270">
        <v>2020</v>
      </c>
      <c r="D4285" s="270">
        <v>1</v>
      </c>
      <c r="E4285" s="270">
        <v>1</v>
      </c>
      <c r="F4285" s="270" t="s">
        <v>944</v>
      </c>
      <c r="G4285" s="270" t="s">
        <v>3926</v>
      </c>
      <c r="H4285" s="270" t="s">
        <v>8870</v>
      </c>
      <c r="I4285" s="270" t="s">
        <v>956</v>
      </c>
      <c r="J4285" s="270" t="s">
        <v>3928</v>
      </c>
      <c r="K4285" s="270">
        <v>6614</v>
      </c>
      <c r="L4285" s="270">
        <v>80800</v>
      </c>
      <c r="M4285" s="270" t="s">
        <v>3960</v>
      </c>
      <c r="N4285" s="270" t="s">
        <v>3944</v>
      </c>
      <c r="O4285" s="270">
        <v>1982.09</v>
      </c>
      <c r="P4285" s="270" t="s">
        <v>3944</v>
      </c>
      <c r="Q4285" s="270" t="s">
        <v>3944</v>
      </c>
      <c r="R4285" s="270">
        <v>1982.09</v>
      </c>
      <c r="S4285" s="270">
        <v>31584.31</v>
      </c>
      <c r="T4285" s="270">
        <v>33566.400000000001</v>
      </c>
      <c r="U4285" s="271" t="s">
        <v>3945</v>
      </c>
      <c r="V4285" s="267" t="s">
        <v>944</v>
      </c>
    </row>
    <row r="4286" spans="1:22" hidden="1" x14ac:dyDescent="0.25">
      <c r="A4286" s="266">
        <v>43678</v>
      </c>
      <c r="B4286" s="267">
        <v>2019</v>
      </c>
      <c r="C4286" s="267">
        <v>2020</v>
      </c>
      <c r="D4286" s="267">
        <v>1</v>
      </c>
      <c r="E4286" s="267">
        <v>1</v>
      </c>
      <c r="F4286" s="267" t="s">
        <v>944</v>
      </c>
      <c r="G4286" s="267" t="s">
        <v>3926</v>
      </c>
      <c r="H4286" s="267" t="s">
        <v>8871</v>
      </c>
      <c r="I4286" s="267" t="s">
        <v>4330</v>
      </c>
      <c r="J4286" s="267" t="s">
        <v>3928</v>
      </c>
      <c r="K4286" s="267">
        <v>6413</v>
      </c>
      <c r="L4286" s="267">
        <v>610300</v>
      </c>
      <c r="M4286" s="267" t="s">
        <v>3960</v>
      </c>
      <c r="N4286" s="267" t="s">
        <v>3944</v>
      </c>
      <c r="O4286" s="267">
        <v>1506.93</v>
      </c>
      <c r="P4286" s="267" t="s">
        <v>3944</v>
      </c>
      <c r="Q4286" s="267" t="s">
        <v>3944</v>
      </c>
      <c r="R4286" s="267">
        <v>1506.93</v>
      </c>
      <c r="S4286" s="267">
        <v>23021.97</v>
      </c>
      <c r="T4286" s="267">
        <v>24528.9</v>
      </c>
      <c r="U4286" s="268" t="s">
        <v>3945</v>
      </c>
      <c r="V4286" s="267" t="s">
        <v>944</v>
      </c>
    </row>
    <row r="4287" spans="1:22" hidden="1" x14ac:dyDescent="0.25">
      <c r="A4287" s="269">
        <v>43678</v>
      </c>
      <c r="B4287" s="270">
        <v>2019</v>
      </c>
      <c r="C4287" s="270">
        <v>2020</v>
      </c>
      <c r="D4287" s="270">
        <v>1</v>
      </c>
      <c r="E4287" s="270">
        <v>1</v>
      </c>
      <c r="F4287" s="270" t="s">
        <v>944</v>
      </c>
      <c r="G4287" s="270" t="s">
        <v>3926</v>
      </c>
      <c r="H4287" s="270" t="s">
        <v>8872</v>
      </c>
      <c r="I4287" s="270" t="s">
        <v>4019</v>
      </c>
      <c r="J4287" s="270" t="s">
        <v>3928</v>
      </c>
      <c r="K4287" s="270">
        <v>6705</v>
      </c>
      <c r="L4287" s="270">
        <v>351300</v>
      </c>
      <c r="M4287" s="270">
        <v>-60</v>
      </c>
      <c r="N4287" s="270" t="s">
        <v>3944</v>
      </c>
      <c r="O4287" s="270">
        <v>1873.2</v>
      </c>
      <c r="P4287" s="270" t="s">
        <v>3944</v>
      </c>
      <c r="Q4287" s="270" t="s">
        <v>3944</v>
      </c>
      <c r="R4287" s="270">
        <v>1873.2</v>
      </c>
      <c r="S4287" s="270">
        <v>27903.69</v>
      </c>
      <c r="T4287" s="270">
        <v>29776.89</v>
      </c>
      <c r="U4287" s="271" t="s">
        <v>3945</v>
      </c>
      <c r="V4287" s="267" t="s">
        <v>944</v>
      </c>
    </row>
    <row r="4288" spans="1:22" hidden="1" x14ac:dyDescent="0.25">
      <c r="A4288" s="266">
        <v>43678</v>
      </c>
      <c r="B4288" s="267">
        <v>2019</v>
      </c>
      <c r="C4288" s="267">
        <v>2020</v>
      </c>
      <c r="D4288" s="267">
        <v>1</v>
      </c>
      <c r="E4288" s="267">
        <v>1</v>
      </c>
      <c r="F4288" s="267" t="s">
        <v>944</v>
      </c>
      <c r="G4288" s="267" t="s">
        <v>3926</v>
      </c>
      <c r="H4288" s="267" t="s">
        <v>8873</v>
      </c>
      <c r="I4288" s="267" t="s">
        <v>3975</v>
      </c>
      <c r="J4288" s="267" t="s">
        <v>3928</v>
      </c>
      <c r="K4288" s="267">
        <v>6489</v>
      </c>
      <c r="L4288" s="267">
        <v>430203</v>
      </c>
      <c r="M4288" s="267" t="s">
        <v>3935</v>
      </c>
      <c r="N4288" s="267" t="s">
        <v>3944</v>
      </c>
      <c r="O4288" s="267">
        <v>2729.55</v>
      </c>
      <c r="P4288" s="267" t="s">
        <v>3944</v>
      </c>
      <c r="Q4288" s="267" t="s">
        <v>3944</v>
      </c>
      <c r="R4288" s="267">
        <v>2729.55</v>
      </c>
      <c r="S4288" s="267">
        <v>45012.45</v>
      </c>
      <c r="T4288" s="267">
        <v>47742</v>
      </c>
      <c r="U4288" s="268" t="s">
        <v>3945</v>
      </c>
      <c r="V4288" s="267" t="s">
        <v>944</v>
      </c>
    </row>
    <row r="4289" spans="1:22" hidden="1" x14ac:dyDescent="0.25">
      <c r="A4289" s="269">
        <v>43678</v>
      </c>
      <c r="B4289" s="270">
        <v>2019</v>
      </c>
      <c r="C4289" s="270">
        <v>2020</v>
      </c>
      <c r="D4289" s="270">
        <v>1</v>
      </c>
      <c r="E4289" s="270">
        <v>1</v>
      </c>
      <c r="F4289" s="270" t="s">
        <v>944</v>
      </c>
      <c r="G4289" s="270" t="s">
        <v>3926</v>
      </c>
      <c r="H4289" s="270" t="s">
        <v>8874</v>
      </c>
      <c r="I4289" s="270" t="s">
        <v>4461</v>
      </c>
      <c r="J4289" s="270" t="s">
        <v>3928</v>
      </c>
      <c r="K4289" s="270">
        <v>6807</v>
      </c>
      <c r="L4289" s="270">
        <v>10202</v>
      </c>
      <c r="M4289" s="270" t="s">
        <v>3943</v>
      </c>
      <c r="N4289" s="270" t="s">
        <v>3944</v>
      </c>
      <c r="O4289" s="270">
        <v>5030.59</v>
      </c>
      <c r="P4289" s="270" t="s">
        <v>3944</v>
      </c>
      <c r="Q4289" s="270" t="s">
        <v>3944</v>
      </c>
      <c r="R4289" s="270">
        <v>5030.59</v>
      </c>
      <c r="S4289" s="270">
        <v>68574.41</v>
      </c>
      <c r="T4289" s="270">
        <v>73605</v>
      </c>
      <c r="U4289" s="271" t="s">
        <v>3945</v>
      </c>
      <c r="V4289" s="267" t="s">
        <v>944</v>
      </c>
    </row>
    <row r="4290" spans="1:22" hidden="1" x14ac:dyDescent="0.25">
      <c r="A4290" s="266">
        <v>43678</v>
      </c>
      <c r="B4290" s="267">
        <v>2019</v>
      </c>
      <c r="C4290" s="267">
        <v>2020</v>
      </c>
      <c r="D4290" s="267">
        <v>1</v>
      </c>
      <c r="E4290" s="267">
        <v>1</v>
      </c>
      <c r="F4290" s="267" t="s">
        <v>944</v>
      </c>
      <c r="G4290" s="267" t="s">
        <v>3926</v>
      </c>
      <c r="H4290" s="267" t="s">
        <v>8875</v>
      </c>
      <c r="I4290" s="267" t="s">
        <v>4073</v>
      </c>
      <c r="J4290" s="267" t="s">
        <v>3928</v>
      </c>
      <c r="K4290" s="267">
        <v>6776</v>
      </c>
      <c r="L4290" s="267">
        <v>253100</v>
      </c>
      <c r="M4290" s="267" t="s">
        <v>3940</v>
      </c>
      <c r="N4290" s="267" t="s">
        <v>3944</v>
      </c>
      <c r="O4290" s="267">
        <v>2114.81</v>
      </c>
      <c r="P4290" s="267" t="s">
        <v>3944</v>
      </c>
      <c r="Q4290" s="267" t="s">
        <v>3944</v>
      </c>
      <c r="R4290" s="267">
        <v>2114.81</v>
      </c>
      <c r="S4290" s="267">
        <v>31414.42</v>
      </c>
      <c r="T4290" s="267">
        <v>33529.230000000003</v>
      </c>
      <c r="U4290" s="268" t="s">
        <v>3945</v>
      </c>
      <c r="V4290" s="267" t="s">
        <v>944</v>
      </c>
    </row>
    <row r="4291" spans="1:22" hidden="1" x14ac:dyDescent="0.25">
      <c r="A4291" s="269">
        <v>43678</v>
      </c>
      <c r="B4291" s="270">
        <v>2019</v>
      </c>
      <c r="C4291" s="270">
        <v>2020</v>
      </c>
      <c r="D4291" s="270">
        <v>1</v>
      </c>
      <c r="E4291" s="270">
        <v>1</v>
      </c>
      <c r="F4291" s="270" t="s">
        <v>944</v>
      </c>
      <c r="G4291" s="270" t="s">
        <v>3926</v>
      </c>
      <c r="H4291" s="270" t="s">
        <v>8876</v>
      </c>
      <c r="I4291" s="270" t="s">
        <v>4323</v>
      </c>
      <c r="J4291" s="270" t="s">
        <v>3928</v>
      </c>
      <c r="K4291" s="270">
        <v>6385</v>
      </c>
      <c r="L4291" s="270">
        <v>693400</v>
      </c>
      <c r="M4291" s="270" t="s">
        <v>3940</v>
      </c>
      <c r="N4291" s="270" t="s">
        <v>3944</v>
      </c>
      <c r="O4291" s="270">
        <v>2301.67</v>
      </c>
      <c r="P4291" s="270" t="s">
        <v>3944</v>
      </c>
      <c r="Q4291" s="270" t="s">
        <v>3944</v>
      </c>
      <c r="R4291" s="270">
        <v>2301.67</v>
      </c>
      <c r="S4291" s="270">
        <v>34018.46</v>
      </c>
      <c r="T4291" s="270">
        <v>36320.129999999997</v>
      </c>
      <c r="U4291" s="271" t="s">
        <v>3945</v>
      </c>
      <c r="V4291" s="267" t="s">
        <v>944</v>
      </c>
    </row>
    <row r="4292" spans="1:22" hidden="1" x14ac:dyDescent="0.25">
      <c r="A4292" s="266">
        <v>43679</v>
      </c>
      <c r="B4292" s="267">
        <v>2019</v>
      </c>
      <c r="C4292" s="267">
        <v>2020</v>
      </c>
      <c r="D4292" s="267">
        <v>1</v>
      </c>
      <c r="E4292" s="267">
        <v>1</v>
      </c>
      <c r="F4292" s="267" t="s">
        <v>944</v>
      </c>
      <c r="G4292" s="267" t="s">
        <v>3926</v>
      </c>
      <c r="H4292" s="267" t="s">
        <v>8877</v>
      </c>
      <c r="I4292" s="267" t="s">
        <v>4124</v>
      </c>
      <c r="J4292" s="267" t="s">
        <v>3928</v>
      </c>
      <c r="K4292" s="267">
        <v>6470</v>
      </c>
      <c r="L4292" s="267">
        <v>230100</v>
      </c>
      <c r="M4292" s="267" t="s">
        <v>3943</v>
      </c>
      <c r="N4292" s="267" t="s">
        <v>5313</v>
      </c>
      <c r="O4292" s="267">
        <v>0</v>
      </c>
      <c r="P4292" s="267" t="s">
        <v>3930</v>
      </c>
      <c r="Q4292" s="267" t="s">
        <v>3930</v>
      </c>
      <c r="R4292" s="267">
        <v>0</v>
      </c>
      <c r="S4292" s="267">
        <v>40000</v>
      </c>
      <c r="T4292" s="267">
        <v>40000</v>
      </c>
      <c r="U4292" s="268" t="s">
        <v>3937</v>
      </c>
      <c r="V4292" s="267" t="s">
        <v>944</v>
      </c>
    </row>
    <row r="4293" spans="1:22" hidden="1" x14ac:dyDescent="0.25">
      <c r="A4293" s="269">
        <v>43679</v>
      </c>
      <c r="B4293" s="270">
        <v>2019</v>
      </c>
      <c r="C4293" s="270">
        <v>2020</v>
      </c>
      <c r="D4293" s="270">
        <v>1</v>
      </c>
      <c r="E4293" s="270">
        <v>1</v>
      </c>
      <c r="F4293" s="270" t="s">
        <v>944</v>
      </c>
      <c r="G4293" s="270" t="s">
        <v>3926</v>
      </c>
      <c r="H4293" s="270" t="s">
        <v>8878</v>
      </c>
      <c r="I4293" s="270" t="s">
        <v>4042</v>
      </c>
      <c r="J4293" s="270" t="s">
        <v>3928</v>
      </c>
      <c r="K4293" s="270">
        <v>6382</v>
      </c>
      <c r="L4293" s="270">
        <v>695201</v>
      </c>
      <c r="M4293" s="270" t="s">
        <v>3935</v>
      </c>
      <c r="N4293" s="270" t="s">
        <v>5840</v>
      </c>
      <c r="O4293" s="270">
        <v>4379</v>
      </c>
      <c r="P4293" s="270" t="s">
        <v>3930</v>
      </c>
      <c r="Q4293" s="270" t="s">
        <v>3930</v>
      </c>
      <c r="R4293" s="270">
        <v>4379</v>
      </c>
      <c r="S4293" s="270">
        <v>36661</v>
      </c>
      <c r="T4293" s="270">
        <v>41040</v>
      </c>
      <c r="U4293" s="271" t="s">
        <v>3937</v>
      </c>
      <c r="V4293" s="267" t="s">
        <v>944</v>
      </c>
    </row>
    <row r="4294" spans="1:22" hidden="1" x14ac:dyDescent="0.25">
      <c r="A4294" s="266">
        <v>43679</v>
      </c>
      <c r="B4294" s="267">
        <v>2019</v>
      </c>
      <c r="C4294" s="267">
        <v>2020</v>
      </c>
      <c r="D4294" s="267">
        <v>1</v>
      </c>
      <c r="E4294" s="267">
        <v>1</v>
      </c>
      <c r="F4294" s="267" t="s">
        <v>944</v>
      </c>
      <c r="G4294" s="267" t="s">
        <v>3926</v>
      </c>
      <c r="H4294" s="267" t="s">
        <v>8879</v>
      </c>
      <c r="I4294" s="267" t="s">
        <v>4556</v>
      </c>
      <c r="J4294" s="267" t="s">
        <v>3928</v>
      </c>
      <c r="K4294" s="267">
        <v>6029</v>
      </c>
      <c r="L4294" s="267">
        <v>535200</v>
      </c>
      <c r="M4294" s="267" t="s">
        <v>3960</v>
      </c>
      <c r="N4294" s="267" t="s">
        <v>8880</v>
      </c>
      <c r="O4294" s="267">
        <v>0</v>
      </c>
      <c r="P4294" s="267" t="s">
        <v>3930</v>
      </c>
      <c r="Q4294" s="267" t="s">
        <v>3930</v>
      </c>
      <c r="R4294" s="267">
        <v>0</v>
      </c>
      <c r="S4294" s="267">
        <v>30350</v>
      </c>
      <c r="T4294" s="267">
        <v>30350</v>
      </c>
      <c r="U4294" s="268" t="s">
        <v>3937</v>
      </c>
      <c r="V4294" s="267" t="s">
        <v>944</v>
      </c>
    </row>
    <row r="4295" spans="1:22" hidden="1" x14ac:dyDescent="0.25">
      <c r="A4295" s="269">
        <v>43679</v>
      </c>
      <c r="B4295" s="270">
        <v>2019</v>
      </c>
      <c r="C4295" s="270">
        <v>2020</v>
      </c>
      <c r="D4295" s="270">
        <v>1</v>
      </c>
      <c r="E4295" s="270">
        <v>1</v>
      </c>
      <c r="F4295" s="270" t="s">
        <v>944</v>
      </c>
      <c r="G4295" s="270" t="s">
        <v>3926</v>
      </c>
      <c r="H4295" s="270" t="s">
        <v>8881</v>
      </c>
      <c r="I4295" s="270" t="s">
        <v>4232</v>
      </c>
      <c r="J4295" s="270" t="s">
        <v>3928</v>
      </c>
      <c r="K4295" s="270">
        <v>6483</v>
      </c>
      <c r="L4295" s="270">
        <v>130102</v>
      </c>
      <c r="M4295" s="270" t="s">
        <v>3935</v>
      </c>
      <c r="N4295" s="270" t="s">
        <v>4701</v>
      </c>
      <c r="O4295" s="270">
        <v>5905.26</v>
      </c>
      <c r="P4295" s="270" t="s">
        <v>3930</v>
      </c>
      <c r="Q4295" s="270" t="s">
        <v>3931</v>
      </c>
      <c r="R4295" s="270">
        <v>10905.26</v>
      </c>
      <c r="S4295" s="270">
        <v>34648</v>
      </c>
      <c r="T4295" s="270">
        <v>45553.26</v>
      </c>
      <c r="U4295" s="271" t="s">
        <v>3932</v>
      </c>
      <c r="V4295" s="267" t="s">
        <v>944</v>
      </c>
    </row>
    <row r="4296" spans="1:22" x14ac:dyDescent="0.25">
      <c r="A4296" s="266">
        <v>43679</v>
      </c>
      <c r="B4296" s="267">
        <v>2019</v>
      </c>
      <c r="C4296" s="267">
        <v>2020</v>
      </c>
      <c r="D4296" s="267">
        <v>1</v>
      </c>
      <c r="E4296" s="267">
        <v>1</v>
      </c>
      <c r="F4296" s="267" t="s">
        <v>944</v>
      </c>
      <c r="G4296" s="267" t="s">
        <v>3926</v>
      </c>
      <c r="H4296" s="267" t="s">
        <v>8882</v>
      </c>
      <c r="I4296" s="267" t="s">
        <v>934</v>
      </c>
      <c r="J4296" s="267" t="s">
        <v>3928</v>
      </c>
      <c r="K4296" s="267">
        <v>6610</v>
      </c>
      <c r="L4296" s="267">
        <v>73300</v>
      </c>
      <c r="M4296" s="267">
        <v>-60</v>
      </c>
      <c r="N4296" s="267" t="s">
        <v>8883</v>
      </c>
      <c r="O4296" s="267">
        <v>3861.7</v>
      </c>
      <c r="P4296" s="267" t="s">
        <v>3930</v>
      </c>
      <c r="Q4296" s="267" t="s">
        <v>3931</v>
      </c>
      <c r="R4296" s="267">
        <v>8861.7000000000007</v>
      </c>
      <c r="S4296" s="267">
        <v>22881</v>
      </c>
      <c r="T4296" s="267">
        <v>31742.7</v>
      </c>
      <c r="U4296" s="268" t="s">
        <v>3932</v>
      </c>
      <c r="V4296" s="276" t="s">
        <v>936</v>
      </c>
    </row>
    <row r="4297" spans="1:22" x14ac:dyDescent="0.25">
      <c r="A4297" s="269">
        <v>43679</v>
      </c>
      <c r="B4297" s="270">
        <v>2019</v>
      </c>
      <c r="C4297" s="270">
        <v>2020</v>
      </c>
      <c r="D4297" s="270">
        <v>1</v>
      </c>
      <c r="E4297" s="270">
        <v>1</v>
      </c>
      <c r="F4297" s="270" t="s">
        <v>944</v>
      </c>
      <c r="G4297" s="270" t="s">
        <v>3926</v>
      </c>
      <c r="H4297" s="270" t="s">
        <v>8884</v>
      </c>
      <c r="I4297" s="270" t="s">
        <v>943</v>
      </c>
      <c r="J4297" s="270" t="s">
        <v>3928</v>
      </c>
      <c r="K4297" s="270">
        <v>6511</v>
      </c>
      <c r="L4297" s="270">
        <v>141500</v>
      </c>
      <c r="M4297" s="270">
        <v>-60</v>
      </c>
      <c r="N4297" s="270" t="s">
        <v>3983</v>
      </c>
      <c r="O4297" s="270">
        <v>1441.62</v>
      </c>
      <c r="P4297" s="270" t="s">
        <v>3930</v>
      </c>
      <c r="Q4297" s="270" t="s">
        <v>3931</v>
      </c>
      <c r="R4297" s="270">
        <v>6441.62</v>
      </c>
      <c r="S4297" s="270">
        <v>16504</v>
      </c>
      <c r="T4297" s="270">
        <v>22945.62</v>
      </c>
      <c r="U4297" s="271" t="s">
        <v>3932</v>
      </c>
      <c r="V4297" s="276" t="s">
        <v>936</v>
      </c>
    </row>
    <row r="4298" spans="1:22" hidden="1" x14ac:dyDescent="0.25">
      <c r="A4298" s="266">
        <v>43679</v>
      </c>
      <c r="B4298" s="267">
        <v>2019</v>
      </c>
      <c r="C4298" s="267">
        <v>2020</v>
      </c>
      <c r="D4298" s="267">
        <v>1</v>
      </c>
      <c r="E4298" s="267">
        <v>1</v>
      </c>
      <c r="F4298" s="267" t="s">
        <v>944</v>
      </c>
      <c r="G4298" s="267" t="s">
        <v>3926</v>
      </c>
      <c r="H4298" s="267" t="s">
        <v>8885</v>
      </c>
      <c r="I4298" s="267" t="s">
        <v>4037</v>
      </c>
      <c r="J4298" s="267" t="s">
        <v>3928</v>
      </c>
      <c r="K4298" s="267">
        <v>6811</v>
      </c>
      <c r="L4298" s="267">
        <v>210900</v>
      </c>
      <c r="M4298" s="267" t="s">
        <v>3943</v>
      </c>
      <c r="N4298" s="267" t="s">
        <v>3944</v>
      </c>
      <c r="O4298" s="267">
        <v>5107</v>
      </c>
      <c r="P4298" s="267" t="s">
        <v>3944</v>
      </c>
      <c r="Q4298" s="267" t="s">
        <v>3944</v>
      </c>
      <c r="R4298" s="267">
        <v>5107</v>
      </c>
      <c r="S4298" s="267">
        <v>46545</v>
      </c>
      <c r="T4298" s="267">
        <v>51652</v>
      </c>
      <c r="U4298" s="268" t="s">
        <v>3945</v>
      </c>
      <c r="V4298" s="267" t="s">
        <v>944</v>
      </c>
    </row>
    <row r="4299" spans="1:22" hidden="1" x14ac:dyDescent="0.25">
      <c r="A4299" s="269">
        <v>43679</v>
      </c>
      <c r="B4299" s="270">
        <v>2019</v>
      </c>
      <c r="C4299" s="270">
        <v>2020</v>
      </c>
      <c r="D4299" s="270">
        <v>1</v>
      </c>
      <c r="E4299" s="270">
        <v>1</v>
      </c>
      <c r="F4299" s="270" t="s">
        <v>944</v>
      </c>
      <c r="G4299" s="270" t="s">
        <v>3926</v>
      </c>
      <c r="H4299" s="270" t="s">
        <v>8886</v>
      </c>
      <c r="I4299" s="270" t="s">
        <v>3008</v>
      </c>
      <c r="J4299" s="270" t="s">
        <v>3928</v>
      </c>
      <c r="K4299" s="270">
        <v>6460</v>
      </c>
      <c r="L4299" s="270">
        <v>150900</v>
      </c>
      <c r="M4299" s="270" t="s">
        <v>3943</v>
      </c>
      <c r="N4299" s="270" t="s">
        <v>3944</v>
      </c>
      <c r="O4299" s="270">
        <v>1788</v>
      </c>
      <c r="P4299" s="270" t="s">
        <v>3944</v>
      </c>
      <c r="Q4299" s="270" t="s">
        <v>3944</v>
      </c>
      <c r="R4299" s="270">
        <v>1788</v>
      </c>
      <c r="S4299" s="270">
        <v>19025.78</v>
      </c>
      <c r="T4299" s="270">
        <v>20813.78</v>
      </c>
      <c r="U4299" s="271" t="s">
        <v>3945</v>
      </c>
      <c r="V4299" s="267" t="s">
        <v>944</v>
      </c>
    </row>
    <row r="4300" spans="1:22" hidden="1" x14ac:dyDescent="0.25">
      <c r="A4300" s="266">
        <v>43679</v>
      </c>
      <c r="B4300" s="267">
        <v>2019</v>
      </c>
      <c r="C4300" s="267">
        <v>2020</v>
      </c>
      <c r="D4300" s="267">
        <v>1</v>
      </c>
      <c r="E4300" s="267">
        <v>1</v>
      </c>
      <c r="F4300" s="267" t="s">
        <v>944</v>
      </c>
      <c r="G4300" s="267" t="s">
        <v>3926</v>
      </c>
      <c r="H4300" s="267" t="s">
        <v>8887</v>
      </c>
      <c r="I4300" s="267" t="s">
        <v>4126</v>
      </c>
      <c r="J4300" s="267" t="s">
        <v>3928</v>
      </c>
      <c r="K4300" s="267">
        <v>6880</v>
      </c>
      <c r="L4300" s="267">
        <v>50500</v>
      </c>
      <c r="M4300" s="267" t="s">
        <v>3943</v>
      </c>
      <c r="N4300" s="267" t="s">
        <v>3944</v>
      </c>
      <c r="O4300" s="267">
        <v>5111</v>
      </c>
      <c r="P4300" s="267" t="s">
        <v>3944</v>
      </c>
      <c r="Q4300" s="267" t="s">
        <v>3944</v>
      </c>
      <c r="R4300" s="267">
        <v>5111</v>
      </c>
      <c r="S4300" s="267">
        <v>63127.360000000001</v>
      </c>
      <c r="T4300" s="267">
        <v>68238.36</v>
      </c>
      <c r="U4300" s="268" t="s">
        <v>3945</v>
      </c>
      <c r="V4300" s="267" t="s">
        <v>944</v>
      </c>
    </row>
    <row r="4301" spans="1:22" hidden="1" x14ac:dyDescent="0.25">
      <c r="A4301" s="269">
        <v>43679</v>
      </c>
      <c r="B4301" s="270">
        <v>2019</v>
      </c>
      <c r="C4301" s="270">
        <v>2020</v>
      </c>
      <c r="D4301" s="270">
        <v>1</v>
      </c>
      <c r="E4301" s="270">
        <v>1</v>
      </c>
      <c r="F4301" s="270" t="s">
        <v>944</v>
      </c>
      <c r="G4301" s="270" t="s">
        <v>3926</v>
      </c>
      <c r="H4301" s="270" t="s">
        <v>8888</v>
      </c>
      <c r="I4301" s="270" t="s">
        <v>4244</v>
      </c>
      <c r="J4301" s="270" t="s">
        <v>3928</v>
      </c>
      <c r="K4301" s="270">
        <v>6250</v>
      </c>
      <c r="L4301" s="270">
        <v>881500</v>
      </c>
      <c r="M4301" s="270" t="s">
        <v>3940</v>
      </c>
      <c r="N4301" s="270" t="s">
        <v>3944</v>
      </c>
      <c r="O4301" s="270">
        <v>2303.35</v>
      </c>
      <c r="P4301" s="270" t="s">
        <v>3944</v>
      </c>
      <c r="Q4301" s="270" t="s">
        <v>3944</v>
      </c>
      <c r="R4301" s="270">
        <v>2303.35</v>
      </c>
      <c r="S4301" s="270">
        <v>33667.980000000003</v>
      </c>
      <c r="T4301" s="270">
        <v>35971.33</v>
      </c>
      <c r="U4301" s="271" t="s">
        <v>3945</v>
      </c>
      <c r="V4301" s="267" t="s">
        <v>944</v>
      </c>
    </row>
    <row r="4302" spans="1:22" hidden="1" x14ac:dyDescent="0.25">
      <c r="A4302" s="266">
        <v>43679</v>
      </c>
      <c r="B4302" s="267">
        <v>2019</v>
      </c>
      <c r="C4302" s="267">
        <v>2020</v>
      </c>
      <c r="D4302" s="267">
        <v>1</v>
      </c>
      <c r="E4302" s="267">
        <v>1</v>
      </c>
      <c r="F4302" s="267" t="s">
        <v>944</v>
      </c>
      <c r="G4302" s="267" t="s">
        <v>3926</v>
      </c>
      <c r="H4302" s="267" t="s">
        <v>8889</v>
      </c>
      <c r="I4302" s="267" t="s">
        <v>4323</v>
      </c>
      <c r="J4302" s="267" t="s">
        <v>3928</v>
      </c>
      <c r="K4302" s="267">
        <v>6385</v>
      </c>
      <c r="L4302" s="267">
        <v>693700</v>
      </c>
      <c r="M4302" s="267" t="s">
        <v>3943</v>
      </c>
      <c r="N4302" s="267" t="s">
        <v>3944</v>
      </c>
      <c r="O4302" s="267">
        <v>2138.2600000000002</v>
      </c>
      <c r="P4302" s="267" t="s">
        <v>3944</v>
      </c>
      <c r="Q4302" s="267" t="s">
        <v>3944</v>
      </c>
      <c r="R4302" s="267">
        <v>2138.2600000000002</v>
      </c>
      <c r="S4302" s="267">
        <v>40892.699999999997</v>
      </c>
      <c r="T4302" s="267">
        <v>43030.96</v>
      </c>
      <c r="U4302" s="268" t="s">
        <v>3945</v>
      </c>
      <c r="V4302" s="267" t="s">
        <v>944</v>
      </c>
    </row>
    <row r="4303" spans="1:22" hidden="1" x14ac:dyDescent="0.25">
      <c r="A4303" s="269">
        <v>43679</v>
      </c>
      <c r="B4303" s="270">
        <v>2019</v>
      </c>
      <c r="C4303" s="270">
        <v>2020</v>
      </c>
      <c r="D4303" s="270">
        <v>1</v>
      </c>
      <c r="E4303" s="270">
        <v>1</v>
      </c>
      <c r="F4303" s="270" t="s">
        <v>944</v>
      </c>
      <c r="G4303" s="270" t="s">
        <v>3926</v>
      </c>
      <c r="H4303" s="270" t="s">
        <v>8890</v>
      </c>
      <c r="I4303" s="270" t="s">
        <v>3975</v>
      </c>
      <c r="J4303" s="270" t="s">
        <v>3928</v>
      </c>
      <c r="K4303" s="270">
        <v>6479</v>
      </c>
      <c r="L4303" s="270">
        <v>430400</v>
      </c>
      <c r="M4303" s="270" t="s">
        <v>3960</v>
      </c>
      <c r="N4303" s="270" t="s">
        <v>3944</v>
      </c>
      <c r="O4303" s="270">
        <v>2410.77</v>
      </c>
      <c r="P4303" s="270" t="s">
        <v>3944</v>
      </c>
      <c r="Q4303" s="270" t="s">
        <v>3944</v>
      </c>
      <c r="R4303" s="270">
        <v>2410.77</v>
      </c>
      <c r="S4303" s="270">
        <v>35265.11</v>
      </c>
      <c r="T4303" s="270">
        <v>37675.879999999997</v>
      </c>
      <c r="U4303" s="271" t="s">
        <v>3945</v>
      </c>
      <c r="V4303" s="267" t="s">
        <v>944</v>
      </c>
    </row>
    <row r="4304" spans="1:22" hidden="1" x14ac:dyDescent="0.25">
      <c r="A4304" s="266">
        <v>43679</v>
      </c>
      <c r="B4304" s="267">
        <v>2019</v>
      </c>
      <c r="C4304" s="267">
        <v>2020</v>
      </c>
      <c r="D4304" s="267">
        <v>1</v>
      </c>
      <c r="E4304" s="267">
        <v>1</v>
      </c>
      <c r="F4304" s="267" t="s">
        <v>944</v>
      </c>
      <c r="G4304" s="267" t="s">
        <v>3926</v>
      </c>
      <c r="H4304" s="267" t="s">
        <v>8891</v>
      </c>
      <c r="I4304" s="267" t="s">
        <v>3971</v>
      </c>
      <c r="J4304" s="267" t="s">
        <v>3928</v>
      </c>
      <c r="K4304" s="267">
        <v>6084</v>
      </c>
      <c r="L4304" s="267">
        <v>533101</v>
      </c>
      <c r="M4304" s="267" t="s">
        <v>3943</v>
      </c>
      <c r="N4304" s="267" t="s">
        <v>3944</v>
      </c>
      <c r="O4304" s="267">
        <v>1605.66</v>
      </c>
      <c r="P4304" s="267" t="s">
        <v>3944</v>
      </c>
      <c r="Q4304" s="267" t="s">
        <v>3944</v>
      </c>
      <c r="R4304" s="267">
        <v>1605.66</v>
      </c>
      <c r="S4304" s="267">
        <v>25243.75</v>
      </c>
      <c r="T4304" s="267">
        <v>26849.41</v>
      </c>
      <c r="U4304" s="268" t="s">
        <v>3945</v>
      </c>
      <c r="V4304" s="267" t="s">
        <v>944</v>
      </c>
    </row>
    <row r="4305" spans="1:22" hidden="1" x14ac:dyDescent="0.25">
      <c r="A4305" s="269">
        <v>43679</v>
      </c>
      <c r="B4305" s="270">
        <v>2019</v>
      </c>
      <c r="C4305" s="270">
        <v>2020</v>
      </c>
      <c r="D4305" s="270">
        <v>1</v>
      </c>
      <c r="E4305" s="270">
        <v>1</v>
      </c>
      <c r="F4305" s="270" t="s">
        <v>944</v>
      </c>
      <c r="G4305" s="270" t="s">
        <v>3926</v>
      </c>
      <c r="H4305" s="270" t="s">
        <v>8892</v>
      </c>
      <c r="I4305" s="270" t="s">
        <v>4079</v>
      </c>
      <c r="J4305" s="270" t="s">
        <v>3928</v>
      </c>
      <c r="K4305" s="270">
        <v>6111</v>
      </c>
      <c r="L4305" s="270">
        <v>494300</v>
      </c>
      <c r="M4305" s="270" t="s">
        <v>3935</v>
      </c>
      <c r="N4305" s="270" t="s">
        <v>3944</v>
      </c>
      <c r="O4305" s="270">
        <v>1064.98</v>
      </c>
      <c r="P4305" s="270" t="s">
        <v>3944</v>
      </c>
      <c r="Q4305" s="270" t="s">
        <v>3944</v>
      </c>
      <c r="R4305" s="270">
        <v>1064.98</v>
      </c>
      <c r="S4305" s="270">
        <v>21853.22</v>
      </c>
      <c r="T4305" s="270">
        <v>22918.2</v>
      </c>
      <c r="U4305" s="271" t="s">
        <v>3945</v>
      </c>
      <c r="V4305" s="267" t="s">
        <v>944</v>
      </c>
    </row>
    <row r="4306" spans="1:22" hidden="1" x14ac:dyDescent="0.25">
      <c r="A4306" s="266">
        <v>43679</v>
      </c>
      <c r="B4306" s="267">
        <v>2019</v>
      </c>
      <c r="C4306" s="267">
        <v>2020</v>
      </c>
      <c r="D4306" s="267">
        <v>1</v>
      </c>
      <c r="E4306" s="267">
        <v>32</v>
      </c>
      <c r="F4306" s="267" t="s">
        <v>944</v>
      </c>
      <c r="G4306" s="267" t="s">
        <v>3926</v>
      </c>
      <c r="H4306" s="267" t="s">
        <v>8893</v>
      </c>
      <c r="I4306" s="267" t="s">
        <v>4019</v>
      </c>
      <c r="J4306" s="267" t="s">
        <v>3928</v>
      </c>
      <c r="K4306" s="267">
        <v>6701</v>
      </c>
      <c r="L4306" s="267">
        <v>165801</v>
      </c>
      <c r="M4306" s="267" t="s">
        <v>3935</v>
      </c>
      <c r="N4306" s="267" t="s">
        <v>8894</v>
      </c>
      <c r="O4306" s="267"/>
      <c r="P4306" s="267" t="s">
        <v>3944</v>
      </c>
      <c r="Q4306" s="267" t="s">
        <v>3930</v>
      </c>
      <c r="R4306" s="267">
        <v>0</v>
      </c>
      <c r="S4306" s="267">
        <v>67500</v>
      </c>
      <c r="T4306" s="267">
        <v>67500</v>
      </c>
      <c r="U4306" s="268" t="s">
        <v>5605</v>
      </c>
      <c r="V4306" s="267" t="s">
        <v>944</v>
      </c>
    </row>
    <row r="4307" spans="1:22" hidden="1" x14ac:dyDescent="0.25">
      <c r="A4307" s="269">
        <v>43680</v>
      </c>
      <c r="B4307" s="270">
        <v>2019</v>
      </c>
      <c r="C4307" s="270">
        <v>2020</v>
      </c>
      <c r="D4307" s="270">
        <v>1</v>
      </c>
      <c r="E4307" s="270">
        <v>1</v>
      </c>
      <c r="F4307" s="270" t="s">
        <v>944</v>
      </c>
      <c r="G4307" s="270" t="s">
        <v>3926</v>
      </c>
      <c r="H4307" s="270" t="s">
        <v>8895</v>
      </c>
      <c r="I4307" s="270" t="s">
        <v>934</v>
      </c>
      <c r="J4307" s="270" t="s">
        <v>3928</v>
      </c>
      <c r="K4307" s="270">
        <v>6606</v>
      </c>
      <c r="L4307" s="270">
        <v>72900</v>
      </c>
      <c r="M4307" s="270" t="s">
        <v>3940</v>
      </c>
      <c r="N4307" s="270" t="s">
        <v>4103</v>
      </c>
      <c r="O4307" s="270">
        <v>4463.7299999999996</v>
      </c>
      <c r="P4307" s="270" t="s">
        <v>3930</v>
      </c>
      <c r="Q4307" s="270" t="s">
        <v>3931</v>
      </c>
      <c r="R4307" s="270">
        <v>9463.73</v>
      </c>
      <c r="S4307" s="270">
        <v>24145.599999999999</v>
      </c>
      <c r="T4307" s="270">
        <v>33609.33</v>
      </c>
      <c r="U4307" s="271" t="s">
        <v>3932</v>
      </c>
      <c r="V4307" s="267" t="s">
        <v>944</v>
      </c>
    </row>
    <row r="4308" spans="1:22" hidden="1" x14ac:dyDescent="0.25">
      <c r="A4308" s="266">
        <v>43682</v>
      </c>
      <c r="B4308" s="267">
        <v>2019</v>
      </c>
      <c r="C4308" s="267">
        <v>2020</v>
      </c>
      <c r="D4308" s="267">
        <v>1</v>
      </c>
      <c r="E4308" s="267">
        <v>1</v>
      </c>
      <c r="F4308" s="267" t="s">
        <v>944</v>
      </c>
      <c r="G4308" s="267" t="s">
        <v>3926</v>
      </c>
      <c r="H4308" s="267" t="s">
        <v>8896</v>
      </c>
      <c r="I4308" s="267" t="s">
        <v>943</v>
      </c>
      <c r="J4308" s="267" t="s">
        <v>3928</v>
      </c>
      <c r="K4308" s="267">
        <v>6513</v>
      </c>
      <c r="L4308" s="267">
        <v>142604</v>
      </c>
      <c r="M4308" s="267" t="s">
        <v>3935</v>
      </c>
      <c r="N4308" s="267" t="s">
        <v>4103</v>
      </c>
      <c r="O4308" s="267">
        <v>4377.05</v>
      </c>
      <c r="P4308" s="267" t="s">
        <v>3930</v>
      </c>
      <c r="Q4308" s="267" t="s">
        <v>3931</v>
      </c>
      <c r="R4308" s="267">
        <v>9377.0499999999993</v>
      </c>
      <c r="S4308" s="267">
        <v>24145.599999999999</v>
      </c>
      <c r="T4308" s="267">
        <v>33522.65</v>
      </c>
      <c r="U4308" s="268" t="s">
        <v>3932</v>
      </c>
      <c r="V4308" s="267" t="s">
        <v>944</v>
      </c>
    </row>
    <row r="4309" spans="1:22" hidden="1" x14ac:dyDescent="0.25">
      <c r="A4309" s="269">
        <v>43682</v>
      </c>
      <c r="B4309" s="270">
        <v>2019</v>
      </c>
      <c r="C4309" s="270">
        <v>2020</v>
      </c>
      <c r="D4309" s="270">
        <v>1</v>
      </c>
      <c r="E4309" s="270">
        <v>1</v>
      </c>
      <c r="F4309" s="270" t="s">
        <v>944</v>
      </c>
      <c r="G4309" s="270" t="s">
        <v>3926</v>
      </c>
      <c r="H4309" s="270" t="s">
        <v>8897</v>
      </c>
      <c r="I4309" s="270" t="s">
        <v>4392</v>
      </c>
      <c r="J4309" s="270" t="s">
        <v>3928</v>
      </c>
      <c r="K4309" s="270">
        <v>6457</v>
      </c>
      <c r="L4309" s="270">
        <v>542000</v>
      </c>
      <c r="M4309" s="270" t="s">
        <v>3935</v>
      </c>
      <c r="N4309" s="270" t="s">
        <v>4495</v>
      </c>
      <c r="O4309" s="270">
        <v>2186.38</v>
      </c>
      <c r="P4309" s="270" t="s">
        <v>3930</v>
      </c>
      <c r="Q4309" s="270" t="s">
        <v>3931</v>
      </c>
      <c r="R4309" s="270">
        <v>7186.38</v>
      </c>
      <c r="S4309" s="270">
        <v>33976</v>
      </c>
      <c r="T4309" s="270">
        <v>41162.379999999997</v>
      </c>
      <c r="U4309" s="271" t="s">
        <v>3932</v>
      </c>
      <c r="V4309" s="267" t="s">
        <v>944</v>
      </c>
    </row>
    <row r="4310" spans="1:22" hidden="1" x14ac:dyDescent="0.25">
      <c r="A4310" s="266">
        <v>43682</v>
      </c>
      <c r="B4310" s="267">
        <v>2019</v>
      </c>
      <c r="C4310" s="267">
        <v>2020</v>
      </c>
      <c r="D4310" s="267">
        <v>1</v>
      </c>
      <c r="E4310" s="267">
        <v>1</v>
      </c>
      <c r="F4310" s="267" t="s">
        <v>944</v>
      </c>
      <c r="G4310" s="267" t="s">
        <v>3926</v>
      </c>
      <c r="H4310" s="267" t="s">
        <v>8898</v>
      </c>
      <c r="I4310" s="267" t="s">
        <v>3014</v>
      </c>
      <c r="J4310" s="267" t="s">
        <v>3928</v>
      </c>
      <c r="K4310" s="267">
        <v>6525</v>
      </c>
      <c r="L4310" s="267">
        <v>160100</v>
      </c>
      <c r="M4310" s="267" t="s">
        <v>3943</v>
      </c>
      <c r="N4310" s="267" t="s">
        <v>3944</v>
      </c>
      <c r="O4310" s="267">
        <v>5132</v>
      </c>
      <c r="P4310" s="267" t="s">
        <v>3944</v>
      </c>
      <c r="Q4310" s="267" t="s">
        <v>3944</v>
      </c>
      <c r="R4310" s="267">
        <v>5132</v>
      </c>
      <c r="S4310" s="267">
        <v>74068</v>
      </c>
      <c r="T4310" s="267">
        <v>79200</v>
      </c>
      <c r="U4310" s="268" t="s">
        <v>3945</v>
      </c>
      <c r="V4310" s="267" t="s">
        <v>944</v>
      </c>
    </row>
    <row r="4311" spans="1:22" hidden="1" x14ac:dyDescent="0.25">
      <c r="A4311" s="269">
        <v>43682</v>
      </c>
      <c r="B4311" s="270">
        <v>2019</v>
      </c>
      <c r="C4311" s="270">
        <v>2020</v>
      </c>
      <c r="D4311" s="270">
        <v>1</v>
      </c>
      <c r="E4311" s="270">
        <v>1</v>
      </c>
      <c r="F4311" s="270" t="s">
        <v>944</v>
      </c>
      <c r="G4311" s="270" t="s">
        <v>3926</v>
      </c>
      <c r="H4311" s="270" t="s">
        <v>8899</v>
      </c>
      <c r="I4311" s="270" t="s">
        <v>4269</v>
      </c>
      <c r="J4311" s="270" t="s">
        <v>3928</v>
      </c>
      <c r="K4311" s="270">
        <v>6110</v>
      </c>
      <c r="L4311" s="270">
        <v>496800</v>
      </c>
      <c r="M4311" s="270" t="s">
        <v>3935</v>
      </c>
      <c r="N4311" s="270" t="s">
        <v>3944</v>
      </c>
      <c r="O4311" s="270">
        <v>2164</v>
      </c>
      <c r="P4311" s="270" t="s">
        <v>3944</v>
      </c>
      <c r="Q4311" s="270" t="s">
        <v>3944</v>
      </c>
      <c r="R4311" s="270">
        <v>2164</v>
      </c>
      <c r="S4311" s="270">
        <v>15476</v>
      </c>
      <c r="T4311" s="270">
        <v>17640</v>
      </c>
      <c r="U4311" s="271" t="s">
        <v>3945</v>
      </c>
      <c r="V4311" s="267" t="s">
        <v>944</v>
      </c>
    </row>
    <row r="4312" spans="1:22" hidden="1" x14ac:dyDescent="0.25">
      <c r="A4312" s="266">
        <v>43682</v>
      </c>
      <c r="B4312" s="267">
        <v>2019</v>
      </c>
      <c r="C4312" s="267">
        <v>2020</v>
      </c>
      <c r="D4312" s="267">
        <v>1</v>
      </c>
      <c r="E4312" s="267">
        <v>1</v>
      </c>
      <c r="F4312" s="267" t="s">
        <v>944</v>
      </c>
      <c r="G4312" s="267" t="s">
        <v>3926</v>
      </c>
      <c r="H4312" s="267" t="s">
        <v>8900</v>
      </c>
      <c r="I4312" s="267" t="s">
        <v>3009</v>
      </c>
      <c r="J4312" s="267" t="s">
        <v>3928</v>
      </c>
      <c r="K4312" s="267">
        <v>6484</v>
      </c>
      <c r="L4312" s="267">
        <v>110600</v>
      </c>
      <c r="M4312" s="267" t="s">
        <v>3943</v>
      </c>
      <c r="N4312" s="267" t="s">
        <v>3944</v>
      </c>
      <c r="O4312" s="267">
        <v>4057</v>
      </c>
      <c r="P4312" s="267" t="s">
        <v>3944</v>
      </c>
      <c r="Q4312" s="267" t="s">
        <v>3944</v>
      </c>
      <c r="R4312" s="267">
        <v>4057</v>
      </c>
      <c r="S4312" s="267">
        <v>25679</v>
      </c>
      <c r="T4312" s="267">
        <v>29736</v>
      </c>
      <c r="U4312" s="268" t="s">
        <v>3945</v>
      </c>
      <c r="V4312" s="267" t="s">
        <v>944</v>
      </c>
    </row>
    <row r="4313" spans="1:22" hidden="1" x14ac:dyDescent="0.25">
      <c r="A4313" s="269">
        <v>43682</v>
      </c>
      <c r="B4313" s="270">
        <v>2019</v>
      </c>
      <c r="C4313" s="270">
        <v>2020</v>
      </c>
      <c r="D4313" s="270">
        <v>1</v>
      </c>
      <c r="E4313" s="270">
        <v>1</v>
      </c>
      <c r="F4313" s="270" t="s">
        <v>944</v>
      </c>
      <c r="G4313" s="270" t="s">
        <v>3997</v>
      </c>
      <c r="H4313" s="270" t="s">
        <v>8901</v>
      </c>
      <c r="I4313" s="270" t="s">
        <v>3012</v>
      </c>
      <c r="J4313" s="270" t="s">
        <v>3928</v>
      </c>
      <c r="K4313" s="270">
        <v>6477</v>
      </c>
      <c r="L4313" s="270">
        <v>157400</v>
      </c>
      <c r="M4313" s="270" t="s">
        <v>3943</v>
      </c>
      <c r="N4313" s="270" t="s">
        <v>3944</v>
      </c>
      <c r="O4313" s="270">
        <v>1901.62</v>
      </c>
      <c r="P4313" s="270" t="s">
        <v>3944</v>
      </c>
      <c r="Q4313" s="270" t="s">
        <v>3944</v>
      </c>
      <c r="R4313" s="270">
        <v>1901.62</v>
      </c>
      <c r="S4313" s="270">
        <v>32474.66</v>
      </c>
      <c r="T4313" s="270">
        <v>34376.28</v>
      </c>
      <c r="U4313" s="271" t="s">
        <v>3945</v>
      </c>
      <c r="V4313" s="267" t="s">
        <v>944</v>
      </c>
    </row>
    <row r="4314" spans="1:22" hidden="1" x14ac:dyDescent="0.25">
      <c r="A4314" s="266">
        <v>43682</v>
      </c>
      <c r="B4314" s="267">
        <v>2019</v>
      </c>
      <c r="C4314" s="267">
        <v>2020</v>
      </c>
      <c r="D4314" s="267">
        <v>1</v>
      </c>
      <c r="E4314" s="267">
        <v>1</v>
      </c>
      <c r="F4314" s="267" t="s">
        <v>944</v>
      </c>
      <c r="G4314" s="267" t="s">
        <v>3926</v>
      </c>
      <c r="H4314" s="267" t="s">
        <v>8902</v>
      </c>
      <c r="I4314" s="267" t="s">
        <v>4016</v>
      </c>
      <c r="J4314" s="267" t="s">
        <v>3928</v>
      </c>
      <c r="K4314" s="267">
        <v>6770</v>
      </c>
      <c r="L4314" s="267">
        <v>345201</v>
      </c>
      <c r="M4314" s="267" t="s">
        <v>3935</v>
      </c>
      <c r="N4314" s="267" t="s">
        <v>3944</v>
      </c>
      <c r="O4314" s="267">
        <v>4057</v>
      </c>
      <c r="P4314" s="267" t="s">
        <v>3944</v>
      </c>
      <c r="Q4314" s="267" t="s">
        <v>3944</v>
      </c>
      <c r="R4314" s="267">
        <v>4057</v>
      </c>
      <c r="S4314" s="267">
        <v>51383</v>
      </c>
      <c r="T4314" s="267">
        <v>55440</v>
      </c>
      <c r="U4314" s="268" t="s">
        <v>3945</v>
      </c>
      <c r="V4314" s="267" t="s">
        <v>944</v>
      </c>
    </row>
    <row r="4315" spans="1:22" hidden="1" x14ac:dyDescent="0.25">
      <c r="A4315" s="269">
        <v>43682</v>
      </c>
      <c r="B4315" s="270">
        <v>2019</v>
      </c>
      <c r="C4315" s="270">
        <v>2020</v>
      </c>
      <c r="D4315" s="270">
        <v>1</v>
      </c>
      <c r="E4315" s="270">
        <v>1</v>
      </c>
      <c r="F4315" s="270" t="s">
        <v>944</v>
      </c>
      <c r="G4315" s="270" t="s">
        <v>3926</v>
      </c>
      <c r="H4315" s="270" t="s">
        <v>8903</v>
      </c>
      <c r="I4315" s="270" t="s">
        <v>4124</v>
      </c>
      <c r="J4315" s="270" t="s">
        <v>3928</v>
      </c>
      <c r="K4315" s="270">
        <v>6470</v>
      </c>
      <c r="L4315" s="270">
        <v>230200</v>
      </c>
      <c r="M4315" s="270" t="s">
        <v>3943</v>
      </c>
      <c r="N4315" s="270" t="s">
        <v>3944</v>
      </c>
      <c r="O4315" s="270">
        <v>4462</v>
      </c>
      <c r="P4315" s="270" t="s">
        <v>3944</v>
      </c>
      <c r="Q4315" s="270" t="s">
        <v>3944</v>
      </c>
      <c r="R4315" s="270">
        <v>4462</v>
      </c>
      <c r="S4315" s="270">
        <v>51602</v>
      </c>
      <c r="T4315" s="270">
        <v>56064</v>
      </c>
      <c r="U4315" s="271" t="s">
        <v>3945</v>
      </c>
      <c r="V4315" s="267" t="s">
        <v>944</v>
      </c>
    </row>
    <row r="4316" spans="1:22" hidden="1" x14ac:dyDescent="0.25">
      <c r="A4316" s="266">
        <v>43682</v>
      </c>
      <c r="B4316" s="267">
        <v>2019</v>
      </c>
      <c r="C4316" s="267">
        <v>2020</v>
      </c>
      <c r="D4316" s="267">
        <v>1</v>
      </c>
      <c r="E4316" s="267">
        <v>1</v>
      </c>
      <c r="F4316" s="267" t="s">
        <v>944</v>
      </c>
      <c r="G4316" s="267" t="s">
        <v>3926</v>
      </c>
      <c r="H4316" s="267" t="s">
        <v>8904</v>
      </c>
      <c r="I4316" s="267" t="s">
        <v>4037</v>
      </c>
      <c r="J4316" s="267" t="s">
        <v>3928</v>
      </c>
      <c r="K4316" s="267">
        <v>6811</v>
      </c>
      <c r="L4316" s="267">
        <v>211000</v>
      </c>
      <c r="M4316" s="267" t="s">
        <v>3960</v>
      </c>
      <c r="N4316" s="267" t="s">
        <v>3944</v>
      </c>
      <c r="O4316" s="267">
        <v>1061.45</v>
      </c>
      <c r="P4316" s="267" t="s">
        <v>3944</v>
      </c>
      <c r="Q4316" s="267" t="s">
        <v>3944</v>
      </c>
      <c r="R4316" s="267">
        <v>1061.45</v>
      </c>
      <c r="S4316" s="267">
        <v>18609.080000000002</v>
      </c>
      <c r="T4316" s="267">
        <v>19670.53</v>
      </c>
      <c r="U4316" s="268" t="s">
        <v>3945</v>
      </c>
      <c r="V4316" s="267" t="s">
        <v>944</v>
      </c>
    </row>
    <row r="4317" spans="1:22" hidden="1" x14ac:dyDescent="0.25">
      <c r="A4317" s="269">
        <v>43682</v>
      </c>
      <c r="B4317" s="270">
        <v>2019</v>
      </c>
      <c r="C4317" s="270">
        <v>2020</v>
      </c>
      <c r="D4317" s="270">
        <v>1</v>
      </c>
      <c r="E4317" s="270">
        <v>1</v>
      </c>
      <c r="F4317" s="270" t="s">
        <v>944</v>
      </c>
      <c r="G4317" s="270" t="s">
        <v>3926</v>
      </c>
      <c r="H4317" s="270" t="s">
        <v>8905</v>
      </c>
      <c r="I4317" s="270" t="s">
        <v>4003</v>
      </c>
      <c r="J4317" s="270" t="s">
        <v>3928</v>
      </c>
      <c r="K4317" s="270">
        <v>6374</v>
      </c>
      <c r="L4317" s="270">
        <v>907100</v>
      </c>
      <c r="M4317" s="270" t="s">
        <v>3935</v>
      </c>
      <c r="N4317" s="270" t="s">
        <v>3944</v>
      </c>
      <c r="O4317" s="270">
        <v>1367.77</v>
      </c>
      <c r="P4317" s="270" t="s">
        <v>3944</v>
      </c>
      <c r="Q4317" s="270" t="s">
        <v>3944</v>
      </c>
      <c r="R4317" s="270">
        <v>1367.77</v>
      </c>
      <c r="S4317" s="270">
        <v>17699.09</v>
      </c>
      <c r="T4317" s="270">
        <v>19066.86</v>
      </c>
      <c r="U4317" s="271" t="s">
        <v>3945</v>
      </c>
      <c r="V4317" s="267" t="s">
        <v>944</v>
      </c>
    </row>
    <row r="4318" spans="1:22" hidden="1" x14ac:dyDescent="0.25">
      <c r="A4318" s="266">
        <v>43682</v>
      </c>
      <c r="B4318" s="267">
        <v>2019</v>
      </c>
      <c r="C4318" s="267">
        <v>2020</v>
      </c>
      <c r="D4318" s="267">
        <v>1</v>
      </c>
      <c r="E4318" s="267">
        <v>1</v>
      </c>
      <c r="F4318" s="267" t="s">
        <v>944</v>
      </c>
      <c r="G4318" s="267" t="s">
        <v>3926</v>
      </c>
      <c r="H4318" s="267" t="s">
        <v>8906</v>
      </c>
      <c r="I4318" s="267" t="s">
        <v>3996</v>
      </c>
      <c r="J4318" s="267" t="s">
        <v>3928</v>
      </c>
      <c r="K4318" s="267">
        <v>6790</v>
      </c>
      <c r="L4318" s="267">
        <v>310400</v>
      </c>
      <c r="M4318" s="267" t="s">
        <v>3935</v>
      </c>
      <c r="N4318" s="267" t="s">
        <v>3944</v>
      </c>
      <c r="O4318" s="267">
        <v>2778.69</v>
      </c>
      <c r="P4318" s="267" t="s">
        <v>3944</v>
      </c>
      <c r="Q4318" s="267" t="s">
        <v>3944</v>
      </c>
      <c r="R4318" s="267">
        <v>2778.69</v>
      </c>
      <c r="S4318" s="267">
        <v>36249.81</v>
      </c>
      <c r="T4318" s="267">
        <v>39028.5</v>
      </c>
      <c r="U4318" s="268" t="s">
        <v>3945</v>
      </c>
      <c r="V4318" s="267" t="s">
        <v>944</v>
      </c>
    </row>
    <row r="4319" spans="1:22" hidden="1" x14ac:dyDescent="0.25">
      <c r="A4319" s="269">
        <v>43682</v>
      </c>
      <c r="B4319" s="270">
        <v>2019</v>
      </c>
      <c r="C4319" s="270">
        <v>2020</v>
      </c>
      <c r="D4319" s="270">
        <v>1</v>
      </c>
      <c r="E4319" s="270">
        <v>1</v>
      </c>
      <c r="F4319" s="270" t="s">
        <v>944</v>
      </c>
      <c r="G4319" s="270" t="s">
        <v>3926</v>
      </c>
      <c r="H4319" s="270" t="s">
        <v>8907</v>
      </c>
      <c r="I4319" s="270" t="s">
        <v>3934</v>
      </c>
      <c r="J4319" s="270" t="s">
        <v>3928</v>
      </c>
      <c r="K4319" s="270">
        <v>6405</v>
      </c>
      <c r="L4319" s="270">
        <v>184400</v>
      </c>
      <c r="M4319" s="270" t="s">
        <v>3935</v>
      </c>
      <c r="N4319" s="270" t="s">
        <v>3944</v>
      </c>
      <c r="O4319" s="270">
        <v>1825.71</v>
      </c>
      <c r="P4319" s="270" t="s">
        <v>3944</v>
      </c>
      <c r="Q4319" s="270" t="s">
        <v>3944</v>
      </c>
      <c r="R4319" s="270">
        <v>1825.71</v>
      </c>
      <c r="S4319" s="270">
        <v>25349.63</v>
      </c>
      <c r="T4319" s="270">
        <v>27175.34</v>
      </c>
      <c r="U4319" s="271" t="s">
        <v>3945</v>
      </c>
      <c r="V4319" s="267" t="s">
        <v>944</v>
      </c>
    </row>
    <row r="4320" spans="1:22" hidden="1" x14ac:dyDescent="0.25">
      <c r="A4320" s="266">
        <v>43682</v>
      </c>
      <c r="B4320" s="267">
        <v>2019</v>
      </c>
      <c r="C4320" s="267">
        <v>2020</v>
      </c>
      <c r="D4320" s="267">
        <v>1</v>
      </c>
      <c r="E4320" s="267">
        <v>1</v>
      </c>
      <c r="F4320" s="267" t="s">
        <v>944</v>
      </c>
      <c r="G4320" s="267" t="s">
        <v>3926</v>
      </c>
      <c r="H4320" s="267" t="s">
        <v>8908</v>
      </c>
      <c r="I4320" s="267" t="s">
        <v>3008</v>
      </c>
      <c r="J4320" s="267" t="s">
        <v>3928</v>
      </c>
      <c r="K4320" s="267">
        <v>6460</v>
      </c>
      <c r="L4320" s="267">
        <v>150200</v>
      </c>
      <c r="M4320" s="267" t="s">
        <v>3935</v>
      </c>
      <c r="N4320" s="267" t="s">
        <v>3944</v>
      </c>
      <c r="O4320" s="267">
        <v>915.46</v>
      </c>
      <c r="P4320" s="267" t="s">
        <v>3944</v>
      </c>
      <c r="Q4320" s="267" t="s">
        <v>3944</v>
      </c>
      <c r="R4320" s="267">
        <v>915.46</v>
      </c>
      <c r="S4320" s="267">
        <v>13548.08</v>
      </c>
      <c r="T4320" s="267">
        <v>14463.54</v>
      </c>
      <c r="U4320" s="268" t="s">
        <v>3945</v>
      </c>
      <c r="V4320" s="267" t="s">
        <v>944</v>
      </c>
    </row>
    <row r="4321" spans="1:22" x14ac:dyDescent="0.25">
      <c r="A4321" s="269">
        <v>43682</v>
      </c>
      <c r="B4321" s="270">
        <v>2019</v>
      </c>
      <c r="C4321" s="270">
        <v>2020</v>
      </c>
      <c r="D4321" s="270">
        <v>1</v>
      </c>
      <c r="E4321" s="270">
        <v>1</v>
      </c>
      <c r="F4321" s="270" t="s">
        <v>944</v>
      </c>
      <c r="G4321" s="270" t="s">
        <v>3926</v>
      </c>
      <c r="H4321" s="270" t="s">
        <v>8909</v>
      </c>
      <c r="I4321" s="270" t="s">
        <v>943</v>
      </c>
      <c r="J4321" s="270" t="s">
        <v>3928</v>
      </c>
      <c r="K4321" s="270">
        <v>6519</v>
      </c>
      <c r="L4321" s="270">
        <v>140400</v>
      </c>
      <c r="M4321" s="270">
        <v>-60</v>
      </c>
      <c r="N4321" s="270" t="s">
        <v>3944</v>
      </c>
      <c r="O4321" s="270">
        <v>1109.99</v>
      </c>
      <c r="P4321" s="270" t="s">
        <v>3944</v>
      </c>
      <c r="Q4321" s="270" t="s">
        <v>3944</v>
      </c>
      <c r="R4321" s="270">
        <v>1109.99</v>
      </c>
      <c r="S4321" s="270">
        <v>18470.41</v>
      </c>
      <c r="T4321" s="270">
        <v>19580.400000000001</v>
      </c>
      <c r="U4321" s="271" t="s">
        <v>3945</v>
      </c>
      <c r="V4321" s="276" t="s">
        <v>936</v>
      </c>
    </row>
    <row r="4322" spans="1:22" hidden="1" x14ac:dyDescent="0.25">
      <c r="A4322" s="266">
        <v>43682</v>
      </c>
      <c r="B4322" s="267">
        <v>2019</v>
      </c>
      <c r="C4322" s="267">
        <v>2020</v>
      </c>
      <c r="D4322" s="267">
        <v>1</v>
      </c>
      <c r="E4322" s="267">
        <v>1</v>
      </c>
      <c r="F4322" s="267" t="s">
        <v>944</v>
      </c>
      <c r="G4322" s="267" t="s">
        <v>3926</v>
      </c>
      <c r="H4322" s="267" t="s">
        <v>8910</v>
      </c>
      <c r="I4322" s="267" t="s">
        <v>4108</v>
      </c>
      <c r="J4322" s="267" t="s">
        <v>3928</v>
      </c>
      <c r="K4322" s="267">
        <v>6082</v>
      </c>
      <c r="L4322" s="267">
        <v>480500</v>
      </c>
      <c r="M4322" s="267" t="s">
        <v>3935</v>
      </c>
      <c r="N4322" s="267" t="s">
        <v>3944</v>
      </c>
      <c r="O4322" s="267">
        <v>1494.5</v>
      </c>
      <c r="P4322" s="267" t="s">
        <v>3944</v>
      </c>
      <c r="Q4322" s="267" t="s">
        <v>3944</v>
      </c>
      <c r="R4322" s="267">
        <v>1494.5</v>
      </c>
      <c r="S4322" s="267">
        <v>22135.05</v>
      </c>
      <c r="T4322" s="267">
        <v>23629.55</v>
      </c>
      <c r="U4322" s="268" t="s">
        <v>3945</v>
      </c>
      <c r="V4322" s="267" t="s">
        <v>944</v>
      </c>
    </row>
    <row r="4323" spans="1:22" hidden="1" x14ac:dyDescent="0.25">
      <c r="A4323" s="269">
        <v>43682</v>
      </c>
      <c r="B4323" s="270">
        <v>2019</v>
      </c>
      <c r="C4323" s="270">
        <v>2020</v>
      </c>
      <c r="D4323" s="270">
        <v>1</v>
      </c>
      <c r="E4323" s="270">
        <v>1</v>
      </c>
      <c r="F4323" s="270" t="s">
        <v>944</v>
      </c>
      <c r="G4323" s="270" t="s">
        <v>3926</v>
      </c>
      <c r="H4323" s="270" t="s">
        <v>8911</v>
      </c>
      <c r="I4323" s="270" t="s">
        <v>4016</v>
      </c>
      <c r="J4323" s="270" t="s">
        <v>3928</v>
      </c>
      <c r="K4323" s="270">
        <v>6770</v>
      </c>
      <c r="L4323" s="270">
        <v>345201</v>
      </c>
      <c r="M4323" s="270" t="s">
        <v>3935</v>
      </c>
      <c r="N4323" s="270" t="s">
        <v>3944</v>
      </c>
      <c r="O4323" s="270">
        <v>1707.3</v>
      </c>
      <c r="P4323" s="270" t="s">
        <v>3944</v>
      </c>
      <c r="Q4323" s="270" t="s">
        <v>3944</v>
      </c>
      <c r="R4323" s="270">
        <v>1707.3</v>
      </c>
      <c r="S4323" s="270">
        <v>24806.85</v>
      </c>
      <c r="T4323" s="270">
        <v>26514.15</v>
      </c>
      <c r="U4323" s="271" t="s">
        <v>3945</v>
      </c>
      <c r="V4323" s="267" t="s">
        <v>944</v>
      </c>
    </row>
    <row r="4324" spans="1:22" hidden="1" x14ac:dyDescent="0.25">
      <c r="A4324" s="266">
        <v>43682</v>
      </c>
      <c r="B4324" s="267">
        <v>2019</v>
      </c>
      <c r="C4324" s="267">
        <v>2020</v>
      </c>
      <c r="D4324" s="267">
        <v>1</v>
      </c>
      <c r="E4324" s="267">
        <v>1</v>
      </c>
      <c r="F4324" s="267" t="s">
        <v>944</v>
      </c>
      <c r="G4324" s="267" t="s">
        <v>3926</v>
      </c>
      <c r="H4324" s="267" t="s">
        <v>8912</v>
      </c>
      <c r="I4324" s="267" t="s">
        <v>3996</v>
      </c>
      <c r="J4324" s="267" t="s">
        <v>3928</v>
      </c>
      <c r="K4324" s="267">
        <v>6790</v>
      </c>
      <c r="L4324" s="267">
        <v>310200</v>
      </c>
      <c r="M4324" s="267">
        <v>-60</v>
      </c>
      <c r="N4324" s="267" t="s">
        <v>3944</v>
      </c>
      <c r="O4324" s="267">
        <v>713.86</v>
      </c>
      <c r="P4324" s="267" t="s">
        <v>3944</v>
      </c>
      <c r="Q4324" s="267" t="s">
        <v>3944</v>
      </c>
      <c r="R4324" s="267">
        <v>713.86</v>
      </c>
      <c r="S4324" s="267">
        <v>9547.6</v>
      </c>
      <c r="T4324" s="267">
        <v>10261.459999999999</v>
      </c>
      <c r="U4324" s="268" t="s">
        <v>3945</v>
      </c>
      <c r="V4324" s="267" t="s">
        <v>944</v>
      </c>
    </row>
    <row r="4325" spans="1:22" hidden="1" x14ac:dyDescent="0.25">
      <c r="A4325" s="269">
        <v>43682</v>
      </c>
      <c r="B4325" s="270">
        <v>2019</v>
      </c>
      <c r="C4325" s="270">
        <v>2020</v>
      </c>
      <c r="D4325" s="270">
        <v>1</v>
      </c>
      <c r="E4325" s="270">
        <v>1</v>
      </c>
      <c r="F4325" s="270" t="s">
        <v>944</v>
      </c>
      <c r="G4325" s="270" t="s">
        <v>3926</v>
      </c>
      <c r="H4325" s="270" t="s">
        <v>8913</v>
      </c>
      <c r="I4325" s="270" t="s">
        <v>4353</v>
      </c>
      <c r="J4325" s="270" t="s">
        <v>3928</v>
      </c>
      <c r="K4325" s="270">
        <v>6416</v>
      </c>
      <c r="L4325" s="270">
        <v>570300</v>
      </c>
      <c r="M4325" s="270" t="s">
        <v>3940</v>
      </c>
      <c r="N4325" s="270" t="s">
        <v>3944</v>
      </c>
      <c r="O4325" s="270">
        <v>1332.73</v>
      </c>
      <c r="P4325" s="270" t="s">
        <v>3944</v>
      </c>
      <c r="Q4325" s="270" t="s">
        <v>3944</v>
      </c>
      <c r="R4325" s="270">
        <v>1332.73</v>
      </c>
      <c r="S4325" s="270">
        <v>19157.16</v>
      </c>
      <c r="T4325" s="270">
        <v>20489.89</v>
      </c>
      <c r="U4325" s="271" t="s">
        <v>3945</v>
      </c>
      <c r="V4325" s="267" t="s">
        <v>944</v>
      </c>
    </row>
    <row r="4326" spans="1:22" hidden="1" x14ac:dyDescent="0.25">
      <c r="A4326" s="266">
        <v>43682</v>
      </c>
      <c r="B4326" s="267">
        <v>2019</v>
      </c>
      <c r="C4326" s="267">
        <v>2020</v>
      </c>
      <c r="D4326" s="267">
        <v>1</v>
      </c>
      <c r="E4326" s="267">
        <v>1</v>
      </c>
      <c r="F4326" s="267" t="s">
        <v>944</v>
      </c>
      <c r="G4326" s="267" t="s">
        <v>3926</v>
      </c>
      <c r="H4326" s="267" t="s">
        <v>8914</v>
      </c>
      <c r="I4326" s="267" t="s">
        <v>4019</v>
      </c>
      <c r="J4326" s="267" t="s">
        <v>3928</v>
      </c>
      <c r="K4326" s="267">
        <v>6708</v>
      </c>
      <c r="L4326" s="267">
        <v>351601</v>
      </c>
      <c r="M4326" s="267">
        <v>-60</v>
      </c>
      <c r="N4326" s="267" t="s">
        <v>3944</v>
      </c>
      <c r="O4326" s="267">
        <v>1574.13</v>
      </c>
      <c r="P4326" s="267" t="s">
        <v>3944</v>
      </c>
      <c r="Q4326" s="267" t="s">
        <v>3944</v>
      </c>
      <c r="R4326" s="267">
        <v>1574.13</v>
      </c>
      <c r="S4326" s="267">
        <v>21371.78</v>
      </c>
      <c r="T4326" s="267">
        <v>22945.91</v>
      </c>
      <c r="U4326" s="268" t="s">
        <v>3945</v>
      </c>
      <c r="V4326" s="267" t="s">
        <v>944</v>
      </c>
    </row>
    <row r="4327" spans="1:22" hidden="1" x14ac:dyDescent="0.25">
      <c r="A4327" s="269">
        <v>43682</v>
      </c>
      <c r="B4327" s="270">
        <v>2019</v>
      </c>
      <c r="C4327" s="270">
        <v>2020</v>
      </c>
      <c r="D4327" s="270">
        <v>1</v>
      </c>
      <c r="E4327" s="270">
        <v>1</v>
      </c>
      <c r="F4327" s="270" t="s">
        <v>944</v>
      </c>
      <c r="G4327" s="270" t="s">
        <v>3926</v>
      </c>
      <c r="H4327" s="270" t="s">
        <v>8915</v>
      </c>
      <c r="I4327" s="270" t="s">
        <v>4035</v>
      </c>
      <c r="J4327" s="270" t="s">
        <v>3928</v>
      </c>
      <c r="K4327" s="270">
        <v>6074</v>
      </c>
      <c r="L4327" s="270">
        <v>487100</v>
      </c>
      <c r="M4327" s="270" t="s">
        <v>3943</v>
      </c>
      <c r="N4327" s="270" t="s">
        <v>3944</v>
      </c>
      <c r="O4327" s="270">
        <v>1702.09</v>
      </c>
      <c r="P4327" s="270" t="s">
        <v>3944</v>
      </c>
      <c r="Q4327" s="270" t="s">
        <v>3944</v>
      </c>
      <c r="R4327" s="270">
        <v>1702.09</v>
      </c>
      <c r="S4327" s="270">
        <v>23164.639999999999</v>
      </c>
      <c r="T4327" s="270">
        <v>24866.73</v>
      </c>
      <c r="U4327" s="271" t="s">
        <v>3945</v>
      </c>
      <c r="V4327" s="267" t="s">
        <v>944</v>
      </c>
    </row>
    <row r="4328" spans="1:22" hidden="1" x14ac:dyDescent="0.25">
      <c r="A4328" s="266">
        <v>43682</v>
      </c>
      <c r="B4328" s="267">
        <v>2019</v>
      </c>
      <c r="C4328" s="267">
        <v>2020</v>
      </c>
      <c r="D4328" s="267">
        <v>1</v>
      </c>
      <c r="E4328" s="267">
        <v>1</v>
      </c>
      <c r="F4328" s="267" t="s">
        <v>944</v>
      </c>
      <c r="G4328" s="267" t="s">
        <v>3926</v>
      </c>
      <c r="H4328" s="267" t="s">
        <v>8916</v>
      </c>
      <c r="I4328" s="267" t="s">
        <v>4248</v>
      </c>
      <c r="J4328" s="267" t="s">
        <v>3928</v>
      </c>
      <c r="K4328" s="267">
        <v>6076</v>
      </c>
      <c r="L4328" s="267">
        <v>890201</v>
      </c>
      <c r="M4328" s="267" t="s">
        <v>3960</v>
      </c>
      <c r="N4328" s="267" t="s">
        <v>3944</v>
      </c>
      <c r="O4328" s="267">
        <v>1110.83</v>
      </c>
      <c r="P4328" s="267" t="s">
        <v>3944</v>
      </c>
      <c r="Q4328" s="267" t="s">
        <v>3944</v>
      </c>
      <c r="R4328" s="267">
        <v>1110.83</v>
      </c>
      <c r="S4328" s="267">
        <v>19294.36</v>
      </c>
      <c r="T4328" s="267">
        <v>20405.189999999999</v>
      </c>
      <c r="U4328" s="268" t="s">
        <v>3945</v>
      </c>
      <c r="V4328" s="267" t="s">
        <v>944</v>
      </c>
    </row>
    <row r="4329" spans="1:22" hidden="1" x14ac:dyDescent="0.25">
      <c r="A4329" s="269">
        <v>43682</v>
      </c>
      <c r="B4329" s="270">
        <v>2019</v>
      </c>
      <c r="C4329" s="270">
        <v>2020</v>
      </c>
      <c r="D4329" s="270">
        <v>1</v>
      </c>
      <c r="E4329" s="270">
        <v>1</v>
      </c>
      <c r="F4329" s="270" t="s">
        <v>944</v>
      </c>
      <c r="G4329" s="270" t="s">
        <v>3926</v>
      </c>
      <c r="H4329" s="270" t="s">
        <v>8917</v>
      </c>
      <c r="I4329" s="270" t="s">
        <v>5485</v>
      </c>
      <c r="J4329" s="270" t="s">
        <v>3928</v>
      </c>
      <c r="K4329" s="270">
        <v>6001</v>
      </c>
      <c r="L4329" s="270">
        <v>462102</v>
      </c>
      <c r="M4329" s="270" t="s">
        <v>3943</v>
      </c>
      <c r="N4329" s="270" t="s">
        <v>3944</v>
      </c>
      <c r="O4329" s="270">
        <v>1643.81</v>
      </c>
      <c r="P4329" s="270" t="s">
        <v>3944</v>
      </c>
      <c r="Q4329" s="270" t="s">
        <v>3944</v>
      </c>
      <c r="R4329" s="270">
        <v>1643.81</v>
      </c>
      <c r="S4329" s="270">
        <v>21445.06</v>
      </c>
      <c r="T4329" s="270">
        <v>23088.87</v>
      </c>
      <c r="U4329" s="271" t="s">
        <v>3945</v>
      </c>
      <c r="V4329" s="267" t="s">
        <v>944</v>
      </c>
    </row>
    <row r="4330" spans="1:22" hidden="1" x14ac:dyDescent="0.25">
      <c r="A4330" s="266">
        <v>43682</v>
      </c>
      <c r="B4330" s="267">
        <v>2019</v>
      </c>
      <c r="C4330" s="267">
        <v>2020</v>
      </c>
      <c r="D4330" s="267">
        <v>1</v>
      </c>
      <c r="E4330" s="267">
        <v>1</v>
      </c>
      <c r="F4330" s="267" t="s">
        <v>944</v>
      </c>
      <c r="G4330" s="267" t="s">
        <v>3926</v>
      </c>
      <c r="H4330" s="267" t="s">
        <v>8918</v>
      </c>
      <c r="I4330" s="267" t="s">
        <v>5183</v>
      </c>
      <c r="J4330" s="267" t="s">
        <v>3928</v>
      </c>
      <c r="K4330" s="267">
        <v>6277</v>
      </c>
      <c r="L4330" s="267">
        <v>900100</v>
      </c>
      <c r="M4330" s="267" t="s">
        <v>3935</v>
      </c>
      <c r="N4330" s="267" t="s">
        <v>3944</v>
      </c>
      <c r="O4330" s="267">
        <v>2042.43</v>
      </c>
      <c r="P4330" s="267" t="s">
        <v>3944</v>
      </c>
      <c r="Q4330" s="267" t="s">
        <v>3944</v>
      </c>
      <c r="R4330" s="267">
        <v>2042.43</v>
      </c>
      <c r="S4330" s="267">
        <v>30431.08</v>
      </c>
      <c r="T4330" s="267">
        <v>32473.51</v>
      </c>
      <c r="U4330" s="268" t="s">
        <v>3945</v>
      </c>
      <c r="V4330" s="267" t="s">
        <v>944</v>
      </c>
    </row>
    <row r="4331" spans="1:22" hidden="1" x14ac:dyDescent="0.25">
      <c r="A4331" s="269">
        <v>43682</v>
      </c>
      <c r="B4331" s="270">
        <v>2019</v>
      </c>
      <c r="C4331" s="270">
        <v>2020</v>
      </c>
      <c r="D4331" s="270">
        <v>1</v>
      </c>
      <c r="E4331" s="270">
        <v>1</v>
      </c>
      <c r="F4331" s="270" t="s">
        <v>944</v>
      </c>
      <c r="G4331" s="270" t="s">
        <v>3926</v>
      </c>
      <c r="H4331" s="270" t="s">
        <v>8919</v>
      </c>
      <c r="I4331" s="270" t="s">
        <v>4392</v>
      </c>
      <c r="J4331" s="270" t="s">
        <v>3928</v>
      </c>
      <c r="K4331" s="270">
        <v>6457</v>
      </c>
      <c r="L4331" s="270">
        <v>541200</v>
      </c>
      <c r="M4331" s="270" t="s">
        <v>3935</v>
      </c>
      <c r="N4331" s="270" t="s">
        <v>3944</v>
      </c>
      <c r="O4331" s="270">
        <v>1246.25</v>
      </c>
      <c r="P4331" s="270" t="s">
        <v>3944</v>
      </c>
      <c r="Q4331" s="270" t="s">
        <v>3944</v>
      </c>
      <c r="R4331" s="270">
        <v>1246.25</v>
      </c>
      <c r="S4331" s="270">
        <v>17840.93</v>
      </c>
      <c r="T4331" s="270">
        <v>19087.18</v>
      </c>
      <c r="U4331" s="271" t="s">
        <v>3945</v>
      </c>
      <c r="V4331" s="267" t="s">
        <v>944</v>
      </c>
    </row>
    <row r="4332" spans="1:22" hidden="1" x14ac:dyDescent="0.25">
      <c r="A4332" s="266">
        <v>43682</v>
      </c>
      <c r="B4332" s="267">
        <v>2019</v>
      </c>
      <c r="C4332" s="267">
        <v>2020</v>
      </c>
      <c r="D4332" s="267">
        <v>1</v>
      </c>
      <c r="E4332" s="267">
        <v>1</v>
      </c>
      <c r="F4332" s="267" t="s">
        <v>944</v>
      </c>
      <c r="G4332" s="267" t="s">
        <v>3926</v>
      </c>
      <c r="H4332" s="267" t="s">
        <v>8920</v>
      </c>
      <c r="I4332" s="267" t="s">
        <v>2987</v>
      </c>
      <c r="J4332" s="267" t="s">
        <v>3928</v>
      </c>
      <c r="K4332" s="267">
        <v>6611</v>
      </c>
      <c r="L4332" s="267">
        <v>90400</v>
      </c>
      <c r="M4332" s="267" t="s">
        <v>3943</v>
      </c>
      <c r="N4332" s="267" t="s">
        <v>3944</v>
      </c>
      <c r="O4332" s="267">
        <v>2091.39</v>
      </c>
      <c r="P4332" s="267" t="s">
        <v>3944</v>
      </c>
      <c r="Q4332" s="267" t="s">
        <v>3944</v>
      </c>
      <c r="R4332" s="267">
        <v>2091.39</v>
      </c>
      <c r="S4332" s="267">
        <v>27043.9</v>
      </c>
      <c r="T4332" s="267">
        <v>29135.29</v>
      </c>
      <c r="U4332" s="268" t="s">
        <v>3945</v>
      </c>
      <c r="V4332" s="267" t="s">
        <v>944</v>
      </c>
    </row>
    <row r="4333" spans="1:22" hidden="1" x14ac:dyDescent="0.25">
      <c r="A4333" s="269">
        <v>43682</v>
      </c>
      <c r="B4333" s="270">
        <v>2019</v>
      </c>
      <c r="C4333" s="270">
        <v>2020</v>
      </c>
      <c r="D4333" s="270">
        <v>1</v>
      </c>
      <c r="E4333" s="270">
        <v>1</v>
      </c>
      <c r="F4333" s="270" t="s">
        <v>944</v>
      </c>
      <c r="G4333" s="270" t="s">
        <v>3926</v>
      </c>
      <c r="H4333" s="270" t="s">
        <v>8921</v>
      </c>
      <c r="I4333" s="270" t="s">
        <v>4014</v>
      </c>
      <c r="J4333" s="270" t="s">
        <v>3928</v>
      </c>
      <c r="K4333" s="270">
        <v>6420</v>
      </c>
      <c r="L4333" s="270">
        <v>715100</v>
      </c>
      <c r="M4333" s="270" t="s">
        <v>3943</v>
      </c>
      <c r="N4333" s="270" t="s">
        <v>3944</v>
      </c>
      <c r="O4333" s="270">
        <v>2376.75</v>
      </c>
      <c r="P4333" s="270" t="s">
        <v>3944</v>
      </c>
      <c r="Q4333" s="270" t="s">
        <v>3944</v>
      </c>
      <c r="R4333" s="270">
        <v>2376.75</v>
      </c>
      <c r="S4333" s="270">
        <v>29905.200000000001</v>
      </c>
      <c r="T4333" s="270">
        <v>32281.95</v>
      </c>
      <c r="U4333" s="271" t="s">
        <v>3945</v>
      </c>
      <c r="V4333" s="267" t="s">
        <v>944</v>
      </c>
    </row>
    <row r="4334" spans="1:22" hidden="1" x14ac:dyDescent="0.25">
      <c r="A4334" s="266">
        <v>43682</v>
      </c>
      <c r="B4334" s="267">
        <v>2019</v>
      </c>
      <c r="C4334" s="267">
        <v>2020</v>
      </c>
      <c r="D4334" s="267">
        <v>1</v>
      </c>
      <c r="E4334" s="267">
        <v>1</v>
      </c>
      <c r="F4334" s="267" t="s">
        <v>944</v>
      </c>
      <c r="G4334" s="267" t="s">
        <v>3926</v>
      </c>
      <c r="H4334" s="267" t="s">
        <v>8922</v>
      </c>
      <c r="I4334" s="267" t="s">
        <v>3956</v>
      </c>
      <c r="J4334" s="267" t="s">
        <v>3928</v>
      </c>
      <c r="K4334" s="267">
        <v>6114</v>
      </c>
      <c r="L4334" s="267">
        <v>502400</v>
      </c>
      <c r="M4334" s="267">
        <v>-60</v>
      </c>
      <c r="N4334" s="267" t="s">
        <v>3944</v>
      </c>
      <c r="O4334" s="267">
        <v>1130.92</v>
      </c>
      <c r="P4334" s="267" t="s">
        <v>3944</v>
      </c>
      <c r="Q4334" s="267" t="s">
        <v>3944</v>
      </c>
      <c r="R4334" s="267">
        <v>1130.92</v>
      </c>
      <c r="S4334" s="267">
        <v>13630.52</v>
      </c>
      <c r="T4334" s="267">
        <v>14761.44</v>
      </c>
      <c r="U4334" s="268" t="s">
        <v>3945</v>
      </c>
      <c r="V4334" s="267" t="s">
        <v>944</v>
      </c>
    </row>
    <row r="4335" spans="1:22" x14ac:dyDescent="0.25">
      <c r="A4335" s="269">
        <v>43682</v>
      </c>
      <c r="B4335" s="270">
        <v>2019</v>
      </c>
      <c r="C4335" s="270">
        <v>2020</v>
      </c>
      <c r="D4335" s="270">
        <v>1</v>
      </c>
      <c r="E4335" s="270">
        <v>1</v>
      </c>
      <c r="F4335" s="270" t="s">
        <v>944</v>
      </c>
      <c r="G4335" s="270" t="s">
        <v>3926</v>
      </c>
      <c r="H4335" s="270" t="s">
        <v>8923</v>
      </c>
      <c r="I4335" s="270" t="s">
        <v>934</v>
      </c>
      <c r="J4335" s="270" t="s">
        <v>3928</v>
      </c>
      <c r="K4335" s="270">
        <v>6605</v>
      </c>
      <c r="L4335" s="270">
        <v>70100</v>
      </c>
      <c r="M4335" s="270" t="s">
        <v>3960</v>
      </c>
      <c r="N4335" s="270" t="s">
        <v>3944</v>
      </c>
      <c r="O4335" s="270">
        <v>2951.45</v>
      </c>
      <c r="P4335" s="270" t="s">
        <v>3944</v>
      </c>
      <c r="Q4335" s="270" t="s">
        <v>3944</v>
      </c>
      <c r="R4335" s="270">
        <v>2951.45</v>
      </c>
      <c r="S4335" s="270">
        <v>41624.43</v>
      </c>
      <c r="T4335" s="270">
        <v>44575.88</v>
      </c>
      <c r="U4335" s="271" t="s">
        <v>3945</v>
      </c>
      <c r="V4335" s="276" t="s">
        <v>936</v>
      </c>
    </row>
    <row r="4336" spans="1:22" hidden="1" x14ac:dyDescent="0.25">
      <c r="A4336" s="266">
        <v>43682</v>
      </c>
      <c r="B4336" s="267">
        <v>2019</v>
      </c>
      <c r="C4336" s="267">
        <v>2020</v>
      </c>
      <c r="D4336" s="267">
        <v>1</v>
      </c>
      <c r="E4336" s="267">
        <v>1</v>
      </c>
      <c r="F4336" s="267" t="s">
        <v>944</v>
      </c>
      <c r="G4336" s="267" t="s">
        <v>3926</v>
      </c>
      <c r="H4336" s="267" t="s">
        <v>8924</v>
      </c>
      <c r="I4336" s="267" t="s">
        <v>3939</v>
      </c>
      <c r="J4336" s="267" t="s">
        <v>3928</v>
      </c>
      <c r="K4336" s="267">
        <v>6512</v>
      </c>
      <c r="L4336" s="267">
        <v>180300</v>
      </c>
      <c r="M4336" s="267">
        <v>-60</v>
      </c>
      <c r="N4336" s="267" t="s">
        <v>3944</v>
      </c>
      <c r="O4336" s="267">
        <v>1385.41</v>
      </c>
      <c r="P4336" s="267" t="s">
        <v>3944</v>
      </c>
      <c r="Q4336" s="267" t="s">
        <v>3944</v>
      </c>
      <c r="R4336" s="267">
        <v>1385.41</v>
      </c>
      <c r="S4336" s="267">
        <v>17519.310000000001</v>
      </c>
      <c r="T4336" s="267">
        <v>18904.72</v>
      </c>
      <c r="U4336" s="268" t="s">
        <v>3945</v>
      </c>
      <c r="V4336" s="267" t="s">
        <v>944</v>
      </c>
    </row>
    <row r="4337" spans="1:22" hidden="1" x14ac:dyDescent="0.25">
      <c r="A4337" s="269">
        <v>43682</v>
      </c>
      <c r="B4337" s="270">
        <v>2019</v>
      </c>
      <c r="C4337" s="270">
        <v>2020</v>
      </c>
      <c r="D4337" s="270">
        <v>1</v>
      </c>
      <c r="E4337" s="270">
        <v>1</v>
      </c>
      <c r="F4337" s="270" t="s">
        <v>944</v>
      </c>
      <c r="G4337" s="270" t="s">
        <v>3926</v>
      </c>
      <c r="H4337" s="270" t="s">
        <v>8925</v>
      </c>
      <c r="I4337" s="270" t="s">
        <v>3964</v>
      </c>
      <c r="J4337" s="270" t="s">
        <v>3928</v>
      </c>
      <c r="K4337" s="270">
        <v>6033</v>
      </c>
      <c r="L4337" s="270">
        <v>520202</v>
      </c>
      <c r="M4337" s="270" t="s">
        <v>3943</v>
      </c>
      <c r="N4337" s="270" t="s">
        <v>3944</v>
      </c>
      <c r="O4337" s="270">
        <v>2833.85</v>
      </c>
      <c r="P4337" s="270" t="s">
        <v>3944</v>
      </c>
      <c r="Q4337" s="270" t="s">
        <v>3944</v>
      </c>
      <c r="R4337" s="270">
        <v>2833.85</v>
      </c>
      <c r="S4337" s="270">
        <v>34643.269999999997</v>
      </c>
      <c r="T4337" s="270">
        <v>37477.120000000003</v>
      </c>
      <c r="U4337" s="271" t="s">
        <v>3945</v>
      </c>
      <c r="V4337" s="267" t="s">
        <v>944</v>
      </c>
    </row>
    <row r="4338" spans="1:22" hidden="1" x14ac:dyDescent="0.25">
      <c r="A4338" s="266">
        <v>43682</v>
      </c>
      <c r="B4338" s="267">
        <v>2019</v>
      </c>
      <c r="C4338" s="267">
        <v>2020</v>
      </c>
      <c r="D4338" s="267">
        <v>1</v>
      </c>
      <c r="E4338" s="267">
        <v>1</v>
      </c>
      <c r="F4338" s="267" t="s">
        <v>944</v>
      </c>
      <c r="G4338" s="267" t="s">
        <v>3926</v>
      </c>
      <c r="H4338" s="267" t="s">
        <v>8926</v>
      </c>
      <c r="I4338" s="267" t="s">
        <v>934</v>
      </c>
      <c r="J4338" s="267" t="s">
        <v>3928</v>
      </c>
      <c r="K4338" s="267">
        <v>6606</v>
      </c>
      <c r="L4338" s="267">
        <v>72900</v>
      </c>
      <c r="M4338" s="267" t="s">
        <v>3940</v>
      </c>
      <c r="N4338" s="267" t="s">
        <v>3944</v>
      </c>
      <c r="O4338" s="267">
        <v>1082.83</v>
      </c>
      <c r="P4338" s="267" t="s">
        <v>3944</v>
      </c>
      <c r="Q4338" s="267" t="s">
        <v>3944</v>
      </c>
      <c r="R4338" s="267">
        <v>1082.83</v>
      </c>
      <c r="S4338" s="267">
        <v>14342.58</v>
      </c>
      <c r="T4338" s="267">
        <v>15425.41</v>
      </c>
      <c r="U4338" s="268" t="s">
        <v>3945</v>
      </c>
      <c r="V4338" s="267" t="s">
        <v>944</v>
      </c>
    </row>
    <row r="4339" spans="1:22" hidden="1" x14ac:dyDescent="0.25">
      <c r="A4339" s="269">
        <v>43682</v>
      </c>
      <c r="B4339" s="270">
        <v>2019</v>
      </c>
      <c r="C4339" s="270">
        <v>2020</v>
      </c>
      <c r="D4339" s="270">
        <v>1</v>
      </c>
      <c r="E4339" s="270">
        <v>1</v>
      </c>
      <c r="F4339" s="270" t="s">
        <v>944</v>
      </c>
      <c r="G4339" s="270" t="s">
        <v>3926</v>
      </c>
      <c r="H4339" s="270" t="s">
        <v>8927</v>
      </c>
      <c r="I4339" s="270" t="s">
        <v>934</v>
      </c>
      <c r="J4339" s="270" t="s">
        <v>3928</v>
      </c>
      <c r="K4339" s="270">
        <v>6606</v>
      </c>
      <c r="L4339" s="270">
        <v>72700</v>
      </c>
      <c r="M4339" s="270" t="s">
        <v>3935</v>
      </c>
      <c r="N4339" s="270" t="s">
        <v>3944</v>
      </c>
      <c r="O4339" s="270">
        <v>1024.73</v>
      </c>
      <c r="P4339" s="270" t="s">
        <v>3944</v>
      </c>
      <c r="Q4339" s="270" t="s">
        <v>3944</v>
      </c>
      <c r="R4339" s="270">
        <v>1024.73</v>
      </c>
      <c r="S4339" s="270">
        <v>15907.11</v>
      </c>
      <c r="T4339" s="270">
        <v>16931.84</v>
      </c>
      <c r="U4339" s="271" t="s">
        <v>3945</v>
      </c>
      <c r="V4339" s="267" t="s">
        <v>944</v>
      </c>
    </row>
    <row r="4340" spans="1:22" hidden="1" x14ac:dyDescent="0.25">
      <c r="A4340" s="266">
        <v>43682</v>
      </c>
      <c r="B4340" s="267">
        <v>2019</v>
      </c>
      <c r="C4340" s="267">
        <v>2020</v>
      </c>
      <c r="D4340" s="267">
        <v>1</v>
      </c>
      <c r="E4340" s="267">
        <v>1</v>
      </c>
      <c r="F4340" s="267" t="s">
        <v>944</v>
      </c>
      <c r="G4340" s="267" t="s">
        <v>3926</v>
      </c>
      <c r="H4340" s="267" t="s">
        <v>8928</v>
      </c>
      <c r="I4340" s="267" t="s">
        <v>4073</v>
      </c>
      <c r="J4340" s="267" t="s">
        <v>3928</v>
      </c>
      <c r="K4340" s="267">
        <v>6776</v>
      </c>
      <c r="L4340" s="267">
        <v>253400</v>
      </c>
      <c r="M4340" s="267" t="s">
        <v>3943</v>
      </c>
      <c r="N4340" s="267" t="s">
        <v>3944</v>
      </c>
      <c r="O4340" s="267">
        <v>1851.64</v>
      </c>
      <c r="P4340" s="267" t="s">
        <v>3944</v>
      </c>
      <c r="Q4340" s="267" t="s">
        <v>3944</v>
      </c>
      <c r="R4340" s="267">
        <v>1851.64</v>
      </c>
      <c r="S4340" s="267">
        <v>30953.8</v>
      </c>
      <c r="T4340" s="267">
        <v>32805.440000000002</v>
      </c>
      <c r="U4340" s="268" t="s">
        <v>3945</v>
      </c>
      <c r="V4340" s="267" t="s">
        <v>944</v>
      </c>
    </row>
    <row r="4341" spans="1:22" hidden="1" x14ac:dyDescent="0.25">
      <c r="A4341" s="269">
        <v>43682</v>
      </c>
      <c r="B4341" s="270">
        <v>2019</v>
      </c>
      <c r="C4341" s="270">
        <v>2020</v>
      </c>
      <c r="D4341" s="270">
        <v>1</v>
      </c>
      <c r="E4341" s="270">
        <v>1</v>
      </c>
      <c r="F4341" s="270" t="s">
        <v>944</v>
      </c>
      <c r="G4341" s="270" t="s">
        <v>3926</v>
      </c>
      <c r="H4341" s="270" t="s">
        <v>8929</v>
      </c>
      <c r="I4341" s="270" t="s">
        <v>6426</v>
      </c>
      <c r="J4341" s="270" t="s">
        <v>3928</v>
      </c>
      <c r="K4341" s="270">
        <v>6422</v>
      </c>
      <c r="L4341" s="270">
        <v>585100</v>
      </c>
      <c r="M4341" s="270" t="s">
        <v>3943</v>
      </c>
      <c r="N4341" s="270" t="s">
        <v>3944</v>
      </c>
      <c r="O4341" s="270">
        <v>2000.32</v>
      </c>
      <c r="P4341" s="270" t="s">
        <v>3944</v>
      </c>
      <c r="Q4341" s="270" t="s">
        <v>3944</v>
      </c>
      <c r="R4341" s="270">
        <v>2000.32</v>
      </c>
      <c r="S4341" s="270">
        <v>29250.83</v>
      </c>
      <c r="T4341" s="270">
        <v>31251.15</v>
      </c>
      <c r="U4341" s="271" t="s">
        <v>3945</v>
      </c>
      <c r="V4341" s="267" t="s">
        <v>944</v>
      </c>
    </row>
    <row r="4342" spans="1:22" hidden="1" x14ac:dyDescent="0.25">
      <c r="A4342" s="266">
        <v>43682</v>
      </c>
      <c r="B4342" s="267">
        <v>2019</v>
      </c>
      <c r="C4342" s="267">
        <v>2020</v>
      </c>
      <c r="D4342" s="267">
        <v>1</v>
      </c>
      <c r="E4342" s="267">
        <v>1</v>
      </c>
      <c r="F4342" s="267" t="s">
        <v>944</v>
      </c>
      <c r="G4342" s="267" t="s">
        <v>3926</v>
      </c>
      <c r="H4342" s="267" t="s">
        <v>8930</v>
      </c>
      <c r="I4342" s="267" t="s">
        <v>4172</v>
      </c>
      <c r="J4342" s="267" t="s">
        <v>3928</v>
      </c>
      <c r="K4342" s="267">
        <v>6786</v>
      </c>
      <c r="L4342" s="267">
        <v>425500</v>
      </c>
      <c r="M4342" s="267" t="s">
        <v>3940</v>
      </c>
      <c r="N4342" s="267" t="s">
        <v>3944</v>
      </c>
      <c r="O4342" s="267">
        <v>1765.58</v>
      </c>
      <c r="P4342" s="267" t="s">
        <v>3944</v>
      </c>
      <c r="Q4342" s="267" t="s">
        <v>3944</v>
      </c>
      <c r="R4342" s="267">
        <v>1765.58</v>
      </c>
      <c r="S4342" s="267">
        <v>21151.93</v>
      </c>
      <c r="T4342" s="267">
        <v>22917.51</v>
      </c>
      <c r="U4342" s="268" t="s">
        <v>3945</v>
      </c>
      <c r="V4342" s="267" t="s">
        <v>944</v>
      </c>
    </row>
    <row r="4343" spans="1:22" hidden="1" x14ac:dyDescent="0.25">
      <c r="A4343" s="269">
        <v>43682</v>
      </c>
      <c r="B4343" s="270">
        <v>2019</v>
      </c>
      <c r="C4343" s="270">
        <v>2020</v>
      </c>
      <c r="D4343" s="270">
        <v>1</v>
      </c>
      <c r="E4343" s="270">
        <v>1</v>
      </c>
      <c r="F4343" s="270" t="s">
        <v>944</v>
      </c>
      <c r="G4343" s="270" t="s">
        <v>3926</v>
      </c>
      <c r="H4343" s="270" t="s">
        <v>8931</v>
      </c>
      <c r="I4343" s="270" t="s">
        <v>4037</v>
      </c>
      <c r="J4343" s="270" t="s">
        <v>3928</v>
      </c>
      <c r="K4343" s="270">
        <v>6810</v>
      </c>
      <c r="L4343" s="270">
        <v>210200</v>
      </c>
      <c r="M4343" s="270">
        <v>-60</v>
      </c>
      <c r="N4343" s="270" t="s">
        <v>3944</v>
      </c>
      <c r="O4343" s="270">
        <v>1068.73</v>
      </c>
      <c r="P4343" s="270" t="s">
        <v>3944</v>
      </c>
      <c r="Q4343" s="270" t="s">
        <v>3944</v>
      </c>
      <c r="R4343" s="270">
        <v>1068.73</v>
      </c>
      <c r="S4343" s="270">
        <v>11630.15</v>
      </c>
      <c r="T4343" s="270">
        <v>12698.88</v>
      </c>
      <c r="U4343" s="271" t="s">
        <v>3945</v>
      </c>
      <c r="V4343" s="267" t="s">
        <v>944</v>
      </c>
    </row>
    <row r="4344" spans="1:22" hidden="1" x14ac:dyDescent="0.25">
      <c r="A4344" s="266">
        <v>43682</v>
      </c>
      <c r="B4344" s="267">
        <v>2019</v>
      </c>
      <c r="C4344" s="267">
        <v>2020</v>
      </c>
      <c r="D4344" s="267">
        <v>1</v>
      </c>
      <c r="E4344" s="267">
        <v>1</v>
      </c>
      <c r="F4344" s="267" t="s">
        <v>944</v>
      </c>
      <c r="G4344" s="267" t="s">
        <v>3926</v>
      </c>
      <c r="H4344" s="267" t="s">
        <v>8932</v>
      </c>
      <c r="I4344" s="267" t="s">
        <v>4003</v>
      </c>
      <c r="J4344" s="267" t="s">
        <v>3928</v>
      </c>
      <c r="K4344" s="267">
        <v>6374</v>
      </c>
      <c r="L4344" s="267">
        <v>907100</v>
      </c>
      <c r="M4344" s="267" t="s">
        <v>3935</v>
      </c>
      <c r="N4344" s="267" t="s">
        <v>3944</v>
      </c>
      <c r="O4344" s="267">
        <v>1014.79</v>
      </c>
      <c r="P4344" s="267" t="s">
        <v>3944</v>
      </c>
      <c r="Q4344" s="267" t="s">
        <v>3944</v>
      </c>
      <c r="R4344" s="267">
        <v>1014.79</v>
      </c>
      <c r="S4344" s="267">
        <v>13251.77</v>
      </c>
      <c r="T4344" s="267">
        <v>14266.56</v>
      </c>
      <c r="U4344" s="268" t="s">
        <v>3945</v>
      </c>
      <c r="V4344" s="267" t="s">
        <v>944</v>
      </c>
    </row>
    <row r="4345" spans="1:22" hidden="1" x14ac:dyDescent="0.25">
      <c r="A4345" s="269">
        <v>43682</v>
      </c>
      <c r="B4345" s="270">
        <v>2019</v>
      </c>
      <c r="C4345" s="270">
        <v>2020</v>
      </c>
      <c r="D4345" s="270">
        <v>1</v>
      </c>
      <c r="E4345" s="270">
        <v>1</v>
      </c>
      <c r="F4345" s="270" t="s">
        <v>944</v>
      </c>
      <c r="G4345" s="270" t="s">
        <v>3926</v>
      </c>
      <c r="H4345" s="270" t="s">
        <v>8933</v>
      </c>
      <c r="I4345" s="270" t="s">
        <v>4621</v>
      </c>
      <c r="J4345" s="270" t="s">
        <v>3928</v>
      </c>
      <c r="K4345" s="270">
        <v>6443</v>
      </c>
      <c r="L4345" s="270">
        <v>194201</v>
      </c>
      <c r="M4345" s="270" t="s">
        <v>3943</v>
      </c>
      <c r="N4345" s="270" t="s">
        <v>3944</v>
      </c>
      <c r="O4345" s="270">
        <v>1812.65</v>
      </c>
      <c r="P4345" s="270" t="s">
        <v>3944</v>
      </c>
      <c r="Q4345" s="270" t="s">
        <v>3944</v>
      </c>
      <c r="R4345" s="270">
        <v>1812.65</v>
      </c>
      <c r="S4345" s="270">
        <v>32171.599999999999</v>
      </c>
      <c r="T4345" s="270">
        <v>33984.25</v>
      </c>
      <c r="U4345" s="271" t="s">
        <v>3945</v>
      </c>
      <c r="V4345" s="267" t="s">
        <v>944</v>
      </c>
    </row>
    <row r="4346" spans="1:22" hidden="1" x14ac:dyDescent="0.25">
      <c r="A4346" s="266">
        <v>43682</v>
      </c>
      <c r="B4346" s="267">
        <v>2019</v>
      </c>
      <c r="C4346" s="267">
        <v>2020</v>
      </c>
      <c r="D4346" s="267">
        <v>1</v>
      </c>
      <c r="E4346" s="267">
        <v>1</v>
      </c>
      <c r="F4346" s="267" t="s">
        <v>944</v>
      </c>
      <c r="G4346" s="267" t="s">
        <v>3926</v>
      </c>
      <c r="H4346" s="267" t="s">
        <v>8934</v>
      </c>
      <c r="I4346" s="267" t="s">
        <v>4016</v>
      </c>
      <c r="J4346" s="267" t="s">
        <v>3928</v>
      </c>
      <c r="K4346" s="267">
        <v>6770</v>
      </c>
      <c r="L4346" s="267">
        <v>345400</v>
      </c>
      <c r="M4346" s="267" t="s">
        <v>3935</v>
      </c>
      <c r="N4346" s="267" t="s">
        <v>3944</v>
      </c>
      <c r="O4346" s="267">
        <v>798.07</v>
      </c>
      <c r="P4346" s="267" t="s">
        <v>3944</v>
      </c>
      <c r="Q4346" s="267" t="s">
        <v>3944</v>
      </c>
      <c r="R4346" s="267">
        <v>798.07</v>
      </c>
      <c r="S4346" s="267">
        <v>11416.96</v>
      </c>
      <c r="T4346" s="267">
        <v>12215.03</v>
      </c>
      <c r="U4346" s="268" t="s">
        <v>3945</v>
      </c>
      <c r="V4346" s="267" t="s">
        <v>944</v>
      </c>
    </row>
    <row r="4347" spans="1:22" hidden="1" x14ac:dyDescent="0.25">
      <c r="A4347" s="269">
        <v>43683</v>
      </c>
      <c r="B4347" s="270">
        <v>2019</v>
      </c>
      <c r="C4347" s="270">
        <v>2020</v>
      </c>
      <c r="D4347" s="270">
        <v>1</v>
      </c>
      <c r="E4347" s="270">
        <v>1</v>
      </c>
      <c r="F4347" s="270" t="s">
        <v>944</v>
      </c>
      <c r="G4347" s="270" t="s">
        <v>3926</v>
      </c>
      <c r="H4347" s="270" t="s">
        <v>8935</v>
      </c>
      <c r="I4347" s="270" t="s">
        <v>950</v>
      </c>
      <c r="J4347" s="270" t="s">
        <v>3928</v>
      </c>
      <c r="K4347" s="270">
        <v>6516</v>
      </c>
      <c r="L4347" s="270">
        <v>154200</v>
      </c>
      <c r="M4347" s="270" t="s">
        <v>3940</v>
      </c>
      <c r="N4347" s="270" t="s">
        <v>6901</v>
      </c>
      <c r="O4347" s="270">
        <v>0</v>
      </c>
      <c r="P4347" s="270" t="s">
        <v>3930</v>
      </c>
      <c r="Q4347" s="270" t="s">
        <v>3930</v>
      </c>
      <c r="R4347" s="270">
        <v>0</v>
      </c>
      <c r="S4347" s="270">
        <v>7500</v>
      </c>
      <c r="T4347" s="270">
        <v>7500</v>
      </c>
      <c r="U4347" s="271" t="s">
        <v>3937</v>
      </c>
      <c r="V4347" s="267" t="s">
        <v>944</v>
      </c>
    </row>
    <row r="4348" spans="1:22" hidden="1" x14ac:dyDescent="0.25">
      <c r="A4348" s="266">
        <v>43683</v>
      </c>
      <c r="B4348" s="267">
        <v>2019</v>
      </c>
      <c r="C4348" s="267">
        <v>2020</v>
      </c>
      <c r="D4348" s="267">
        <v>1</v>
      </c>
      <c r="E4348" s="267">
        <v>1</v>
      </c>
      <c r="F4348" s="267" t="s">
        <v>944</v>
      </c>
      <c r="G4348" s="267" t="s">
        <v>3926</v>
      </c>
      <c r="H4348" s="267" t="s">
        <v>8936</v>
      </c>
      <c r="I4348" s="267" t="s">
        <v>3934</v>
      </c>
      <c r="J4348" s="267" t="s">
        <v>3928</v>
      </c>
      <c r="K4348" s="267">
        <v>6405</v>
      </c>
      <c r="L4348" s="267">
        <v>184200</v>
      </c>
      <c r="M4348" s="267" t="s">
        <v>3940</v>
      </c>
      <c r="N4348" s="267" t="s">
        <v>8937</v>
      </c>
      <c r="O4348" s="267">
        <v>0</v>
      </c>
      <c r="P4348" s="267" t="s">
        <v>3930</v>
      </c>
      <c r="Q4348" s="267" t="s">
        <v>3930</v>
      </c>
      <c r="R4348" s="267">
        <v>0</v>
      </c>
      <c r="S4348" s="267">
        <v>4062</v>
      </c>
      <c r="T4348" s="267">
        <v>4062</v>
      </c>
      <c r="U4348" s="268" t="s">
        <v>3937</v>
      </c>
      <c r="V4348" s="267" t="s">
        <v>944</v>
      </c>
    </row>
    <row r="4349" spans="1:22" hidden="1" x14ac:dyDescent="0.25">
      <c r="A4349" s="269">
        <v>43683</v>
      </c>
      <c r="B4349" s="270">
        <v>2019</v>
      </c>
      <c r="C4349" s="270">
        <v>2020</v>
      </c>
      <c r="D4349" s="270">
        <v>1</v>
      </c>
      <c r="E4349" s="270">
        <v>1</v>
      </c>
      <c r="F4349" s="270" t="s">
        <v>944</v>
      </c>
      <c r="G4349" s="270" t="s">
        <v>3926</v>
      </c>
      <c r="H4349" s="270" t="s">
        <v>8938</v>
      </c>
      <c r="I4349" s="270" t="s">
        <v>4392</v>
      </c>
      <c r="J4349" s="270" t="s">
        <v>3928</v>
      </c>
      <c r="K4349" s="270">
        <v>6457</v>
      </c>
      <c r="L4349" s="270">
        <v>542100</v>
      </c>
      <c r="M4349" s="270" t="s">
        <v>3940</v>
      </c>
      <c r="N4349" s="270" t="s">
        <v>4701</v>
      </c>
      <c r="O4349" s="270">
        <v>2278.0500000000002</v>
      </c>
      <c r="P4349" s="270" t="s">
        <v>3930</v>
      </c>
      <c r="Q4349" s="270" t="s">
        <v>3931</v>
      </c>
      <c r="R4349" s="270">
        <v>7278.05</v>
      </c>
      <c r="S4349" s="270">
        <v>34648</v>
      </c>
      <c r="T4349" s="270">
        <v>41926.050000000003</v>
      </c>
      <c r="U4349" s="271" t="s">
        <v>3932</v>
      </c>
      <c r="V4349" s="267" t="s">
        <v>944</v>
      </c>
    </row>
    <row r="4350" spans="1:22" hidden="1" x14ac:dyDescent="0.25">
      <c r="A4350" s="266">
        <v>43683</v>
      </c>
      <c r="B4350" s="267">
        <v>2019</v>
      </c>
      <c r="C4350" s="267">
        <v>2020</v>
      </c>
      <c r="D4350" s="267">
        <v>1</v>
      </c>
      <c r="E4350" s="267">
        <v>1</v>
      </c>
      <c r="F4350" s="267" t="s">
        <v>944</v>
      </c>
      <c r="G4350" s="267" t="s">
        <v>3926</v>
      </c>
      <c r="H4350" s="267" t="s">
        <v>8939</v>
      </c>
      <c r="I4350" s="267" t="s">
        <v>3012</v>
      </c>
      <c r="J4350" s="267" t="s">
        <v>3928</v>
      </c>
      <c r="K4350" s="267">
        <v>6477</v>
      </c>
      <c r="L4350" s="267">
        <v>157400</v>
      </c>
      <c r="M4350" s="267" t="s">
        <v>3943</v>
      </c>
      <c r="N4350" s="267" t="s">
        <v>3944</v>
      </c>
      <c r="O4350" s="267">
        <v>5357</v>
      </c>
      <c r="P4350" s="267" t="s">
        <v>3944</v>
      </c>
      <c r="Q4350" s="267" t="s">
        <v>3944</v>
      </c>
      <c r="R4350" s="267">
        <v>5357</v>
      </c>
      <c r="S4350" s="267">
        <v>37154</v>
      </c>
      <c r="T4350" s="267">
        <v>42511</v>
      </c>
      <c r="U4350" s="268" t="s">
        <v>3945</v>
      </c>
      <c r="V4350" s="267" t="s">
        <v>944</v>
      </c>
    </row>
    <row r="4351" spans="1:22" hidden="1" x14ac:dyDescent="0.25">
      <c r="A4351" s="269">
        <v>43683</v>
      </c>
      <c r="B4351" s="270">
        <v>2019</v>
      </c>
      <c r="C4351" s="270">
        <v>2020</v>
      </c>
      <c r="D4351" s="270">
        <v>1</v>
      </c>
      <c r="E4351" s="270">
        <v>1</v>
      </c>
      <c r="F4351" s="270" t="s">
        <v>944</v>
      </c>
      <c r="G4351" s="270" t="s">
        <v>3926</v>
      </c>
      <c r="H4351" s="270" t="s">
        <v>8940</v>
      </c>
      <c r="I4351" s="270" t="s">
        <v>3008</v>
      </c>
      <c r="J4351" s="270" t="s">
        <v>3928</v>
      </c>
      <c r="K4351" s="270">
        <v>6460</v>
      </c>
      <c r="L4351" s="270">
        <v>151200</v>
      </c>
      <c r="M4351" s="270" t="s">
        <v>3935</v>
      </c>
      <c r="N4351" s="270" t="s">
        <v>3944</v>
      </c>
      <c r="O4351" s="270">
        <v>3225</v>
      </c>
      <c r="P4351" s="270" t="s">
        <v>3944</v>
      </c>
      <c r="Q4351" s="270" t="s">
        <v>3944</v>
      </c>
      <c r="R4351" s="270">
        <v>3225</v>
      </c>
      <c r="S4351" s="270">
        <v>24749.52</v>
      </c>
      <c r="T4351" s="270">
        <v>27974.52</v>
      </c>
      <c r="U4351" s="271" t="s">
        <v>3945</v>
      </c>
      <c r="V4351" s="267" t="s">
        <v>944</v>
      </c>
    </row>
    <row r="4352" spans="1:22" hidden="1" x14ac:dyDescent="0.25">
      <c r="A4352" s="266">
        <v>43683</v>
      </c>
      <c r="B4352" s="267">
        <v>2019</v>
      </c>
      <c r="C4352" s="267">
        <v>2020</v>
      </c>
      <c r="D4352" s="267">
        <v>1</v>
      </c>
      <c r="E4352" s="267">
        <v>1</v>
      </c>
      <c r="F4352" s="267" t="s">
        <v>944</v>
      </c>
      <c r="G4352" s="267" t="s">
        <v>3926</v>
      </c>
      <c r="H4352" s="267" t="s">
        <v>8941</v>
      </c>
      <c r="I4352" s="267" t="s">
        <v>953</v>
      </c>
      <c r="J4352" s="267" t="s">
        <v>3928</v>
      </c>
      <c r="K4352" s="267">
        <v>6518</v>
      </c>
      <c r="L4352" s="267">
        <v>165900</v>
      </c>
      <c r="M4352" s="267" t="s">
        <v>3943</v>
      </c>
      <c r="N4352" s="267" t="s">
        <v>3944</v>
      </c>
      <c r="O4352" s="267">
        <v>6863</v>
      </c>
      <c r="P4352" s="267" t="s">
        <v>3944</v>
      </c>
      <c r="Q4352" s="267" t="s">
        <v>3944</v>
      </c>
      <c r="R4352" s="267">
        <v>6863</v>
      </c>
      <c r="S4352" s="267">
        <v>45698.85</v>
      </c>
      <c r="T4352" s="267">
        <v>52561.85</v>
      </c>
      <c r="U4352" s="268" t="s">
        <v>3945</v>
      </c>
      <c r="V4352" s="267" t="s">
        <v>944</v>
      </c>
    </row>
    <row r="4353" spans="1:22" hidden="1" x14ac:dyDescent="0.25">
      <c r="A4353" s="269">
        <v>43683</v>
      </c>
      <c r="B4353" s="270">
        <v>2019</v>
      </c>
      <c r="C4353" s="270">
        <v>2020</v>
      </c>
      <c r="D4353" s="270">
        <v>1</v>
      </c>
      <c r="E4353" s="270">
        <v>1</v>
      </c>
      <c r="F4353" s="270" t="s">
        <v>944</v>
      </c>
      <c r="G4353" s="270" t="s">
        <v>3926</v>
      </c>
      <c r="H4353" s="270" t="s">
        <v>8942</v>
      </c>
      <c r="I4353" s="270" t="s">
        <v>4147</v>
      </c>
      <c r="J4353" s="270" t="s">
        <v>3928</v>
      </c>
      <c r="K4353" s="270">
        <v>6109</v>
      </c>
      <c r="L4353" s="270">
        <v>492600</v>
      </c>
      <c r="M4353" s="270" t="s">
        <v>3960</v>
      </c>
      <c r="N4353" s="270" t="s">
        <v>3944</v>
      </c>
      <c r="O4353" s="270">
        <v>2460</v>
      </c>
      <c r="P4353" s="270" t="s">
        <v>3944</v>
      </c>
      <c r="Q4353" s="270" t="s">
        <v>3944</v>
      </c>
      <c r="R4353" s="270">
        <v>2460</v>
      </c>
      <c r="S4353" s="270">
        <v>24060</v>
      </c>
      <c r="T4353" s="270">
        <v>26520</v>
      </c>
      <c r="U4353" s="271" t="s">
        <v>3945</v>
      </c>
      <c r="V4353" s="267" t="s">
        <v>944</v>
      </c>
    </row>
    <row r="4354" spans="1:22" hidden="1" x14ac:dyDescent="0.25">
      <c r="A4354" s="266">
        <v>43683</v>
      </c>
      <c r="B4354" s="267">
        <v>2019</v>
      </c>
      <c r="C4354" s="267">
        <v>2020</v>
      </c>
      <c r="D4354" s="267">
        <v>1</v>
      </c>
      <c r="E4354" s="267">
        <v>1</v>
      </c>
      <c r="F4354" s="267" t="s">
        <v>944</v>
      </c>
      <c r="G4354" s="267" t="s">
        <v>3926</v>
      </c>
      <c r="H4354" s="267" t="s">
        <v>8943</v>
      </c>
      <c r="I4354" s="267" t="s">
        <v>4019</v>
      </c>
      <c r="J4354" s="267" t="s">
        <v>3928</v>
      </c>
      <c r="K4354" s="267">
        <v>6705</v>
      </c>
      <c r="L4354" s="267">
        <v>352702</v>
      </c>
      <c r="M4354" s="267" t="s">
        <v>3940</v>
      </c>
      <c r="N4354" s="267" t="s">
        <v>3944</v>
      </c>
      <c r="O4354" s="267">
        <v>4129</v>
      </c>
      <c r="P4354" s="267" t="s">
        <v>3944</v>
      </c>
      <c r="Q4354" s="267" t="s">
        <v>3944</v>
      </c>
      <c r="R4354" s="267">
        <v>4129</v>
      </c>
      <c r="S4354" s="267">
        <v>42052</v>
      </c>
      <c r="T4354" s="267">
        <v>46181</v>
      </c>
      <c r="U4354" s="268" t="s">
        <v>3945</v>
      </c>
      <c r="V4354" s="267" t="s">
        <v>944</v>
      </c>
    </row>
    <row r="4355" spans="1:22" hidden="1" x14ac:dyDescent="0.25">
      <c r="A4355" s="269">
        <v>43683</v>
      </c>
      <c r="B4355" s="270">
        <v>2019</v>
      </c>
      <c r="C4355" s="270">
        <v>2020</v>
      </c>
      <c r="D4355" s="270">
        <v>1</v>
      </c>
      <c r="E4355" s="270">
        <v>1</v>
      </c>
      <c r="F4355" s="270" t="s">
        <v>944</v>
      </c>
      <c r="G4355" s="270" t="s">
        <v>3926</v>
      </c>
      <c r="H4355" s="270" t="s">
        <v>8944</v>
      </c>
      <c r="I4355" s="270" t="s">
        <v>4269</v>
      </c>
      <c r="J4355" s="270" t="s">
        <v>3928</v>
      </c>
      <c r="K4355" s="270">
        <v>6110</v>
      </c>
      <c r="L4355" s="270">
        <v>496800</v>
      </c>
      <c r="M4355" s="270" t="s">
        <v>3935</v>
      </c>
      <c r="N4355" s="270" t="s">
        <v>3944</v>
      </c>
      <c r="O4355" s="270">
        <v>1543</v>
      </c>
      <c r="P4355" s="270" t="s">
        <v>3944</v>
      </c>
      <c r="Q4355" s="270" t="s">
        <v>3944</v>
      </c>
      <c r="R4355" s="270">
        <v>1543</v>
      </c>
      <c r="S4355" s="270">
        <v>20637.18</v>
      </c>
      <c r="T4355" s="270">
        <v>22180.18</v>
      </c>
      <c r="U4355" s="271" t="s">
        <v>3945</v>
      </c>
      <c r="V4355" s="267" t="s">
        <v>944</v>
      </c>
    </row>
    <row r="4356" spans="1:22" hidden="1" x14ac:dyDescent="0.25">
      <c r="A4356" s="266">
        <v>43683</v>
      </c>
      <c r="B4356" s="267">
        <v>2019</v>
      </c>
      <c r="C4356" s="267">
        <v>2020</v>
      </c>
      <c r="D4356" s="267">
        <v>1</v>
      </c>
      <c r="E4356" s="267">
        <v>1</v>
      </c>
      <c r="F4356" s="267" t="s">
        <v>944</v>
      </c>
      <c r="G4356" s="267" t="s">
        <v>3926</v>
      </c>
      <c r="H4356" s="267" t="s">
        <v>8945</v>
      </c>
      <c r="I4356" s="267" t="s">
        <v>950</v>
      </c>
      <c r="J4356" s="267" t="s">
        <v>3928</v>
      </c>
      <c r="K4356" s="267">
        <v>6516</v>
      </c>
      <c r="L4356" s="267">
        <v>154700</v>
      </c>
      <c r="M4356" s="267" t="s">
        <v>3960</v>
      </c>
      <c r="N4356" s="267" t="s">
        <v>3944</v>
      </c>
      <c r="O4356" s="267">
        <v>3599</v>
      </c>
      <c r="P4356" s="267" t="s">
        <v>3944</v>
      </c>
      <c r="Q4356" s="267" t="s">
        <v>3944</v>
      </c>
      <c r="R4356" s="267">
        <v>3599</v>
      </c>
      <c r="S4356" s="267">
        <v>32413.5</v>
      </c>
      <c r="T4356" s="267">
        <v>36012.5</v>
      </c>
      <c r="U4356" s="268" t="s">
        <v>3945</v>
      </c>
      <c r="V4356" s="267" t="s">
        <v>944</v>
      </c>
    </row>
    <row r="4357" spans="1:22" hidden="1" x14ac:dyDescent="0.25">
      <c r="A4357" s="269">
        <v>43683</v>
      </c>
      <c r="B4357" s="270">
        <v>2019</v>
      </c>
      <c r="C4357" s="270">
        <v>2020</v>
      </c>
      <c r="D4357" s="270">
        <v>1</v>
      </c>
      <c r="E4357" s="270">
        <v>1</v>
      </c>
      <c r="F4357" s="270" t="s">
        <v>944</v>
      </c>
      <c r="G4357" s="270" t="s">
        <v>3926</v>
      </c>
      <c r="H4357" s="270" t="s">
        <v>8946</v>
      </c>
      <c r="I4357" s="270" t="s">
        <v>3971</v>
      </c>
      <c r="J4357" s="270" t="s">
        <v>3928</v>
      </c>
      <c r="K4357" s="270">
        <v>6084</v>
      </c>
      <c r="L4357" s="270">
        <v>533101</v>
      </c>
      <c r="M4357" s="270" t="s">
        <v>3943</v>
      </c>
      <c r="N4357" s="270" t="s">
        <v>3944</v>
      </c>
      <c r="O4357" s="270">
        <v>1900</v>
      </c>
      <c r="P4357" s="270" t="s">
        <v>3944</v>
      </c>
      <c r="Q4357" s="270" t="s">
        <v>3944</v>
      </c>
      <c r="R4357" s="270">
        <v>1900</v>
      </c>
      <c r="S4357" s="270">
        <v>11595</v>
      </c>
      <c r="T4357" s="270">
        <v>13495</v>
      </c>
      <c r="U4357" s="271" t="s">
        <v>3945</v>
      </c>
      <c r="V4357" s="267" t="s">
        <v>944</v>
      </c>
    </row>
    <row r="4358" spans="1:22" hidden="1" x14ac:dyDescent="0.25">
      <c r="A4358" s="266">
        <v>43683</v>
      </c>
      <c r="B4358" s="267">
        <v>2019</v>
      </c>
      <c r="C4358" s="267">
        <v>2020</v>
      </c>
      <c r="D4358" s="267">
        <v>1</v>
      </c>
      <c r="E4358" s="267">
        <v>1</v>
      </c>
      <c r="F4358" s="267" t="s">
        <v>944</v>
      </c>
      <c r="G4358" s="267" t="s">
        <v>3926</v>
      </c>
      <c r="H4358" s="267" t="s">
        <v>8947</v>
      </c>
      <c r="I4358" s="267" t="s">
        <v>4037</v>
      </c>
      <c r="J4358" s="267" t="s">
        <v>3928</v>
      </c>
      <c r="K4358" s="267">
        <v>6810</v>
      </c>
      <c r="L4358" s="267">
        <v>210701</v>
      </c>
      <c r="M4358" s="267">
        <v>-60</v>
      </c>
      <c r="N4358" s="267" t="s">
        <v>3944</v>
      </c>
      <c r="O4358" s="267">
        <v>2675</v>
      </c>
      <c r="P4358" s="267" t="s">
        <v>3944</v>
      </c>
      <c r="Q4358" s="267" t="s">
        <v>3944</v>
      </c>
      <c r="R4358" s="267">
        <v>2675</v>
      </c>
      <c r="S4358" s="267">
        <v>24115.75</v>
      </c>
      <c r="T4358" s="267">
        <v>26790.75</v>
      </c>
      <c r="U4358" s="268" t="s">
        <v>3945</v>
      </c>
      <c r="V4358" s="267" t="s">
        <v>944</v>
      </c>
    </row>
    <row r="4359" spans="1:22" hidden="1" x14ac:dyDescent="0.25">
      <c r="A4359" s="269">
        <v>43683</v>
      </c>
      <c r="B4359" s="270">
        <v>2019</v>
      </c>
      <c r="C4359" s="270">
        <v>2020</v>
      </c>
      <c r="D4359" s="270">
        <v>1</v>
      </c>
      <c r="E4359" s="270">
        <v>1</v>
      </c>
      <c r="F4359" s="270" t="s">
        <v>944</v>
      </c>
      <c r="G4359" s="270" t="s">
        <v>3926</v>
      </c>
      <c r="H4359" s="270" t="s">
        <v>8948</v>
      </c>
      <c r="I4359" s="270" t="s">
        <v>3012</v>
      </c>
      <c r="J4359" s="270" t="s">
        <v>3928</v>
      </c>
      <c r="K4359" s="270">
        <v>6477</v>
      </c>
      <c r="L4359" s="270">
        <v>157100</v>
      </c>
      <c r="M4359" s="270" t="s">
        <v>3940</v>
      </c>
      <c r="N4359" s="270" t="s">
        <v>3944</v>
      </c>
      <c r="O4359" s="270">
        <v>4278</v>
      </c>
      <c r="P4359" s="270" t="s">
        <v>3944</v>
      </c>
      <c r="Q4359" s="270" t="s">
        <v>3944</v>
      </c>
      <c r="R4359" s="270">
        <v>4278</v>
      </c>
      <c r="S4359" s="270">
        <v>30904</v>
      </c>
      <c r="T4359" s="270">
        <v>35182</v>
      </c>
      <c r="U4359" s="271" t="s">
        <v>3945</v>
      </c>
      <c r="V4359" s="267" t="s">
        <v>944</v>
      </c>
    </row>
    <row r="4360" spans="1:22" hidden="1" x14ac:dyDescent="0.25">
      <c r="A4360" s="266">
        <v>43683</v>
      </c>
      <c r="B4360" s="267">
        <v>2019</v>
      </c>
      <c r="C4360" s="267">
        <v>2020</v>
      </c>
      <c r="D4360" s="267">
        <v>1</v>
      </c>
      <c r="E4360" s="267">
        <v>1</v>
      </c>
      <c r="F4360" s="267" t="s">
        <v>944</v>
      </c>
      <c r="G4360" s="267" t="s">
        <v>3926</v>
      </c>
      <c r="H4360" s="267" t="s">
        <v>8949</v>
      </c>
      <c r="I4360" s="267" t="s">
        <v>3975</v>
      </c>
      <c r="J4360" s="267" t="s">
        <v>3928</v>
      </c>
      <c r="K4360" s="267">
        <v>6489</v>
      </c>
      <c r="L4360" s="267">
        <v>430602</v>
      </c>
      <c r="M4360" s="267" t="s">
        <v>3960</v>
      </c>
      <c r="N4360" s="267" t="s">
        <v>3944</v>
      </c>
      <c r="O4360" s="267">
        <v>1601.71</v>
      </c>
      <c r="P4360" s="267" t="s">
        <v>3944</v>
      </c>
      <c r="Q4360" s="267" t="s">
        <v>3944</v>
      </c>
      <c r="R4360" s="267">
        <v>1601.71</v>
      </c>
      <c r="S4360" s="267">
        <v>23415.15</v>
      </c>
      <c r="T4360" s="267">
        <v>25016.86</v>
      </c>
      <c r="U4360" s="268" t="s">
        <v>3945</v>
      </c>
      <c r="V4360" s="267" t="s">
        <v>944</v>
      </c>
    </row>
    <row r="4361" spans="1:22" hidden="1" x14ac:dyDescent="0.25">
      <c r="A4361" s="269">
        <v>43683</v>
      </c>
      <c r="B4361" s="270">
        <v>2019</v>
      </c>
      <c r="C4361" s="270">
        <v>2020</v>
      </c>
      <c r="D4361" s="270">
        <v>1</v>
      </c>
      <c r="E4361" s="270">
        <v>1</v>
      </c>
      <c r="F4361" s="270" t="s">
        <v>944</v>
      </c>
      <c r="G4361" s="270" t="s">
        <v>3926</v>
      </c>
      <c r="H4361" s="270" t="s">
        <v>8950</v>
      </c>
      <c r="I4361" s="270" t="s">
        <v>953</v>
      </c>
      <c r="J4361" s="270" t="s">
        <v>3928</v>
      </c>
      <c r="K4361" s="270">
        <v>6517</v>
      </c>
      <c r="L4361" s="270">
        <v>165400</v>
      </c>
      <c r="M4361" s="270" t="s">
        <v>3935</v>
      </c>
      <c r="N4361" s="270" t="s">
        <v>3944</v>
      </c>
      <c r="O4361" s="270">
        <v>750.37</v>
      </c>
      <c r="P4361" s="270" t="s">
        <v>3944</v>
      </c>
      <c r="Q4361" s="270" t="s">
        <v>3944</v>
      </c>
      <c r="R4361" s="270">
        <v>750.37</v>
      </c>
      <c r="S4361" s="270">
        <v>18155.63</v>
      </c>
      <c r="T4361" s="270">
        <v>18906</v>
      </c>
      <c r="U4361" s="271" t="s">
        <v>3945</v>
      </c>
      <c r="V4361" s="267" t="s">
        <v>944</v>
      </c>
    </row>
    <row r="4362" spans="1:22" hidden="1" x14ac:dyDescent="0.25">
      <c r="A4362" s="266">
        <v>43683</v>
      </c>
      <c r="B4362" s="267">
        <v>2019</v>
      </c>
      <c r="C4362" s="267">
        <v>2020</v>
      </c>
      <c r="D4362" s="267">
        <v>1</v>
      </c>
      <c r="E4362" s="267">
        <v>1</v>
      </c>
      <c r="F4362" s="267" t="s">
        <v>944</v>
      </c>
      <c r="G4362" s="267" t="s">
        <v>3926</v>
      </c>
      <c r="H4362" s="267" t="s">
        <v>8951</v>
      </c>
      <c r="I4362" s="267" t="s">
        <v>956</v>
      </c>
      <c r="J4362" s="267" t="s">
        <v>3928</v>
      </c>
      <c r="K4362" s="267">
        <v>6614</v>
      </c>
      <c r="L4362" s="267">
        <v>81100</v>
      </c>
      <c r="M4362" s="267" t="s">
        <v>3960</v>
      </c>
      <c r="N4362" s="267" t="s">
        <v>3944</v>
      </c>
      <c r="O4362" s="267">
        <v>1379.81</v>
      </c>
      <c r="P4362" s="267" t="s">
        <v>3944</v>
      </c>
      <c r="Q4362" s="267" t="s">
        <v>3944</v>
      </c>
      <c r="R4362" s="267">
        <v>1379.81</v>
      </c>
      <c r="S4362" s="267">
        <v>16329.19</v>
      </c>
      <c r="T4362" s="267">
        <v>17709</v>
      </c>
      <c r="U4362" s="268" t="s">
        <v>3945</v>
      </c>
      <c r="V4362" s="267" t="s">
        <v>944</v>
      </c>
    </row>
    <row r="4363" spans="1:22" hidden="1" x14ac:dyDescent="0.25">
      <c r="A4363" s="269">
        <v>43683</v>
      </c>
      <c r="B4363" s="270">
        <v>2019</v>
      </c>
      <c r="C4363" s="270">
        <v>2020</v>
      </c>
      <c r="D4363" s="270">
        <v>1</v>
      </c>
      <c r="E4363" s="270">
        <v>1</v>
      </c>
      <c r="F4363" s="270" t="s">
        <v>944</v>
      </c>
      <c r="G4363" s="270" t="s">
        <v>3926</v>
      </c>
      <c r="H4363" s="270" t="s">
        <v>8952</v>
      </c>
      <c r="I4363" s="270" t="s">
        <v>4035</v>
      </c>
      <c r="J4363" s="270" t="s">
        <v>3928</v>
      </c>
      <c r="K4363" s="270">
        <v>6074</v>
      </c>
      <c r="L4363" s="270">
        <v>487201</v>
      </c>
      <c r="M4363" s="270" t="s">
        <v>3943</v>
      </c>
      <c r="N4363" s="270" t="s">
        <v>3944</v>
      </c>
      <c r="O4363" s="270">
        <v>1451.98</v>
      </c>
      <c r="P4363" s="270" t="s">
        <v>3944</v>
      </c>
      <c r="Q4363" s="270" t="s">
        <v>3944</v>
      </c>
      <c r="R4363" s="270">
        <v>1451.98</v>
      </c>
      <c r="S4363" s="270">
        <v>11547.02</v>
      </c>
      <c r="T4363" s="270">
        <v>12999</v>
      </c>
      <c r="U4363" s="271" t="s">
        <v>3945</v>
      </c>
      <c r="V4363" s="267" t="s">
        <v>944</v>
      </c>
    </row>
    <row r="4364" spans="1:22" hidden="1" x14ac:dyDescent="0.25">
      <c r="A4364" s="266">
        <v>43683</v>
      </c>
      <c r="B4364" s="267">
        <v>2019</v>
      </c>
      <c r="C4364" s="267">
        <v>2020</v>
      </c>
      <c r="D4364" s="267">
        <v>1</v>
      </c>
      <c r="E4364" s="267">
        <v>1</v>
      </c>
      <c r="F4364" s="267" t="s">
        <v>944</v>
      </c>
      <c r="G4364" s="267" t="s">
        <v>3926</v>
      </c>
      <c r="H4364" s="267" t="s">
        <v>8953</v>
      </c>
      <c r="I4364" s="267" t="s">
        <v>4019</v>
      </c>
      <c r="J4364" s="267" t="s">
        <v>3928</v>
      </c>
      <c r="K4364" s="267">
        <v>6708</v>
      </c>
      <c r="L4364" s="267">
        <v>351900</v>
      </c>
      <c r="M4364" s="267" t="s">
        <v>3935</v>
      </c>
      <c r="N4364" s="267" t="s">
        <v>3944</v>
      </c>
      <c r="O4364" s="267">
        <v>1978.55</v>
      </c>
      <c r="P4364" s="267" t="s">
        <v>3944</v>
      </c>
      <c r="Q4364" s="267" t="s">
        <v>3944</v>
      </c>
      <c r="R4364" s="267">
        <v>1978.55</v>
      </c>
      <c r="S4364" s="267">
        <v>14641.45</v>
      </c>
      <c r="T4364" s="267">
        <v>16620</v>
      </c>
      <c r="U4364" s="268" t="s">
        <v>3945</v>
      </c>
      <c r="V4364" s="267" t="s">
        <v>944</v>
      </c>
    </row>
    <row r="4365" spans="1:22" hidden="1" x14ac:dyDescent="0.25">
      <c r="A4365" s="269">
        <v>43683</v>
      </c>
      <c r="B4365" s="270">
        <v>2019</v>
      </c>
      <c r="C4365" s="270">
        <v>2020</v>
      </c>
      <c r="D4365" s="270">
        <v>1</v>
      </c>
      <c r="E4365" s="270">
        <v>1</v>
      </c>
      <c r="F4365" s="270" t="s">
        <v>944</v>
      </c>
      <c r="G4365" s="270" t="s">
        <v>3926</v>
      </c>
      <c r="H4365" s="270" t="s">
        <v>8954</v>
      </c>
      <c r="I4365" s="270" t="s">
        <v>4269</v>
      </c>
      <c r="J4365" s="270" t="s">
        <v>3928</v>
      </c>
      <c r="K4365" s="270">
        <v>6117</v>
      </c>
      <c r="L4365" s="270">
        <v>497300</v>
      </c>
      <c r="M4365" s="270" t="s">
        <v>3943</v>
      </c>
      <c r="N4365" s="270" t="s">
        <v>3944</v>
      </c>
      <c r="O4365" s="270">
        <v>1582.42</v>
      </c>
      <c r="P4365" s="270" t="s">
        <v>3944</v>
      </c>
      <c r="Q4365" s="270" t="s">
        <v>3944</v>
      </c>
      <c r="R4365" s="270">
        <v>1582.42</v>
      </c>
      <c r="S4365" s="270">
        <v>21061.58</v>
      </c>
      <c r="T4365" s="270">
        <v>22644</v>
      </c>
      <c r="U4365" s="271" t="s">
        <v>3945</v>
      </c>
      <c r="V4365" s="267" t="s">
        <v>944</v>
      </c>
    </row>
    <row r="4366" spans="1:22" hidden="1" x14ac:dyDescent="0.25">
      <c r="A4366" s="266">
        <v>43683</v>
      </c>
      <c r="B4366" s="267">
        <v>2019</v>
      </c>
      <c r="C4366" s="267">
        <v>2020</v>
      </c>
      <c r="D4366" s="267">
        <v>1</v>
      </c>
      <c r="E4366" s="267">
        <v>1</v>
      </c>
      <c r="F4366" s="267" t="s">
        <v>944</v>
      </c>
      <c r="G4366" s="267" t="s">
        <v>3926</v>
      </c>
      <c r="H4366" s="267" t="s">
        <v>8955</v>
      </c>
      <c r="I4366" s="267" t="s">
        <v>3971</v>
      </c>
      <c r="J4366" s="267" t="s">
        <v>3928</v>
      </c>
      <c r="K4366" s="267">
        <v>6084</v>
      </c>
      <c r="L4366" s="267">
        <v>533101</v>
      </c>
      <c r="M4366" s="267" t="s">
        <v>3943</v>
      </c>
      <c r="N4366" s="267" t="s">
        <v>3944</v>
      </c>
      <c r="O4366" s="267">
        <v>4528.6899999999996</v>
      </c>
      <c r="P4366" s="267" t="s">
        <v>3944</v>
      </c>
      <c r="Q4366" s="267" t="s">
        <v>3944</v>
      </c>
      <c r="R4366" s="267">
        <v>4528.6899999999996</v>
      </c>
      <c r="S4366" s="267">
        <v>77641.31</v>
      </c>
      <c r="T4366" s="267">
        <v>82170</v>
      </c>
      <c r="U4366" s="268" t="s">
        <v>3945</v>
      </c>
      <c r="V4366" s="267" t="s">
        <v>944</v>
      </c>
    </row>
    <row r="4367" spans="1:22" hidden="1" x14ac:dyDescent="0.25">
      <c r="A4367" s="269">
        <v>43683</v>
      </c>
      <c r="B4367" s="270">
        <v>2019</v>
      </c>
      <c r="C4367" s="270">
        <v>2020</v>
      </c>
      <c r="D4367" s="270">
        <v>1</v>
      </c>
      <c r="E4367" s="270">
        <v>1</v>
      </c>
      <c r="F4367" s="270" t="s">
        <v>944</v>
      </c>
      <c r="G4367" s="270" t="s">
        <v>3926</v>
      </c>
      <c r="H4367" s="270" t="s">
        <v>8956</v>
      </c>
      <c r="I4367" s="270" t="s">
        <v>4111</v>
      </c>
      <c r="J4367" s="270" t="s">
        <v>3928</v>
      </c>
      <c r="K4367" s="270">
        <v>6095</v>
      </c>
      <c r="L4367" s="270">
        <v>473601</v>
      </c>
      <c r="M4367" s="270" t="s">
        <v>3943</v>
      </c>
      <c r="N4367" s="270" t="s">
        <v>3944</v>
      </c>
      <c r="O4367" s="270">
        <v>2663.4</v>
      </c>
      <c r="P4367" s="270" t="s">
        <v>3944</v>
      </c>
      <c r="Q4367" s="270" t="s">
        <v>3944</v>
      </c>
      <c r="R4367" s="270">
        <v>2663.4</v>
      </c>
      <c r="S4367" s="270">
        <v>23039.599999999999</v>
      </c>
      <c r="T4367" s="270">
        <v>25703</v>
      </c>
      <c r="U4367" s="271" t="s">
        <v>3945</v>
      </c>
      <c r="V4367" s="267" t="s">
        <v>944</v>
      </c>
    </row>
    <row r="4368" spans="1:22" hidden="1" x14ac:dyDescent="0.25">
      <c r="A4368" s="266">
        <v>43683</v>
      </c>
      <c r="B4368" s="267">
        <v>2019</v>
      </c>
      <c r="C4368" s="267">
        <v>2020</v>
      </c>
      <c r="D4368" s="267">
        <v>1</v>
      </c>
      <c r="E4368" s="267">
        <v>1</v>
      </c>
      <c r="F4368" s="267" t="s">
        <v>944</v>
      </c>
      <c r="G4368" s="267" t="s">
        <v>3926</v>
      </c>
      <c r="H4368" s="267" t="s">
        <v>8957</v>
      </c>
      <c r="I4368" s="267" t="s">
        <v>4306</v>
      </c>
      <c r="J4368" s="267" t="s">
        <v>3928</v>
      </c>
      <c r="K4368" s="267">
        <v>6716</v>
      </c>
      <c r="L4368" s="267">
        <v>361300</v>
      </c>
      <c r="M4368" s="267" t="s">
        <v>3960</v>
      </c>
      <c r="N4368" s="267" t="s">
        <v>3944</v>
      </c>
      <c r="O4368" s="267">
        <v>2889.85</v>
      </c>
      <c r="P4368" s="267" t="s">
        <v>3944</v>
      </c>
      <c r="Q4368" s="267" t="s">
        <v>3944</v>
      </c>
      <c r="R4368" s="267">
        <v>2889.85</v>
      </c>
      <c r="S4368" s="267">
        <v>47264.800000000003</v>
      </c>
      <c r="T4368" s="267">
        <v>50154.65</v>
      </c>
      <c r="U4368" s="268" t="s">
        <v>3945</v>
      </c>
      <c r="V4368" s="267" t="s">
        <v>944</v>
      </c>
    </row>
    <row r="4369" spans="1:22" hidden="1" x14ac:dyDescent="0.25">
      <c r="A4369" s="269">
        <v>43683</v>
      </c>
      <c r="B4369" s="270">
        <v>2019</v>
      </c>
      <c r="C4369" s="270">
        <v>2020</v>
      </c>
      <c r="D4369" s="270">
        <v>1</v>
      </c>
      <c r="E4369" s="270">
        <v>1</v>
      </c>
      <c r="F4369" s="270" t="s">
        <v>944</v>
      </c>
      <c r="G4369" s="270" t="s">
        <v>3926</v>
      </c>
      <c r="H4369" s="270" t="s">
        <v>8958</v>
      </c>
      <c r="I4369" s="270" t="s">
        <v>3971</v>
      </c>
      <c r="J4369" s="270" t="s">
        <v>3928</v>
      </c>
      <c r="K4369" s="270">
        <v>6084</v>
      </c>
      <c r="L4369" s="270">
        <v>533101</v>
      </c>
      <c r="M4369" s="270" t="s">
        <v>3943</v>
      </c>
      <c r="N4369" s="270" t="s">
        <v>3944</v>
      </c>
      <c r="O4369" s="270">
        <v>2225.79</v>
      </c>
      <c r="P4369" s="270" t="s">
        <v>3944</v>
      </c>
      <c r="Q4369" s="270" t="s">
        <v>3944</v>
      </c>
      <c r="R4369" s="270">
        <v>2225.79</v>
      </c>
      <c r="S4369" s="270">
        <v>16624.21</v>
      </c>
      <c r="T4369" s="270">
        <v>18850</v>
      </c>
      <c r="U4369" s="271" t="s">
        <v>3945</v>
      </c>
      <c r="V4369" s="267" t="s">
        <v>944</v>
      </c>
    </row>
    <row r="4370" spans="1:22" hidden="1" x14ac:dyDescent="0.25">
      <c r="A4370" s="266">
        <v>43683</v>
      </c>
      <c r="B4370" s="267">
        <v>2019</v>
      </c>
      <c r="C4370" s="267">
        <v>2020</v>
      </c>
      <c r="D4370" s="267">
        <v>1</v>
      </c>
      <c r="E4370" s="267">
        <v>1</v>
      </c>
      <c r="F4370" s="267" t="s">
        <v>944</v>
      </c>
      <c r="G4370" s="267" t="s">
        <v>3926</v>
      </c>
      <c r="H4370" s="267" t="s">
        <v>8959</v>
      </c>
      <c r="I4370" s="267" t="s">
        <v>3966</v>
      </c>
      <c r="J4370" s="267" t="s">
        <v>3928</v>
      </c>
      <c r="K4370" s="267">
        <v>6010</v>
      </c>
      <c r="L4370" s="267">
        <v>406001</v>
      </c>
      <c r="M4370" s="267">
        <v>-60</v>
      </c>
      <c r="N4370" s="267" t="s">
        <v>3944</v>
      </c>
      <c r="O4370" s="267">
        <v>1203.51</v>
      </c>
      <c r="P4370" s="267" t="s">
        <v>3944</v>
      </c>
      <c r="Q4370" s="267" t="s">
        <v>3944</v>
      </c>
      <c r="R4370" s="267">
        <v>1203.51</v>
      </c>
      <c r="S4370" s="267">
        <v>11002.49</v>
      </c>
      <c r="T4370" s="267">
        <v>12206</v>
      </c>
      <c r="U4370" s="268" t="s">
        <v>3945</v>
      </c>
      <c r="V4370" s="267" t="s">
        <v>944</v>
      </c>
    </row>
    <row r="4371" spans="1:22" hidden="1" x14ac:dyDescent="0.25">
      <c r="A4371" s="269">
        <v>43683</v>
      </c>
      <c r="B4371" s="270">
        <v>2019</v>
      </c>
      <c r="C4371" s="270">
        <v>2020</v>
      </c>
      <c r="D4371" s="270">
        <v>1</v>
      </c>
      <c r="E4371" s="270">
        <v>1</v>
      </c>
      <c r="F4371" s="270" t="s">
        <v>944</v>
      </c>
      <c r="G4371" s="270" t="s">
        <v>3926</v>
      </c>
      <c r="H4371" s="270" t="s">
        <v>8960</v>
      </c>
      <c r="I4371" s="270" t="s">
        <v>3009</v>
      </c>
      <c r="J4371" s="270" t="s">
        <v>3928</v>
      </c>
      <c r="K4371" s="270">
        <v>6484</v>
      </c>
      <c r="L4371" s="270">
        <v>110202</v>
      </c>
      <c r="M4371" s="270" t="s">
        <v>3935</v>
      </c>
      <c r="N4371" s="270" t="s">
        <v>3944</v>
      </c>
      <c r="O4371" s="270">
        <v>1996.61</v>
      </c>
      <c r="P4371" s="270" t="s">
        <v>3944</v>
      </c>
      <c r="Q4371" s="270" t="s">
        <v>3944</v>
      </c>
      <c r="R4371" s="270">
        <v>1996.61</v>
      </c>
      <c r="S4371" s="270">
        <v>29001.439999999999</v>
      </c>
      <c r="T4371" s="270">
        <v>30998.05</v>
      </c>
      <c r="U4371" s="271" t="s">
        <v>3945</v>
      </c>
      <c r="V4371" s="267" t="s">
        <v>944</v>
      </c>
    </row>
    <row r="4372" spans="1:22" hidden="1" x14ac:dyDescent="0.25">
      <c r="A4372" s="266">
        <v>43683</v>
      </c>
      <c r="B4372" s="267">
        <v>2019</v>
      </c>
      <c r="C4372" s="267">
        <v>2020</v>
      </c>
      <c r="D4372" s="267">
        <v>1</v>
      </c>
      <c r="E4372" s="267">
        <v>1</v>
      </c>
      <c r="F4372" s="267" t="s">
        <v>944</v>
      </c>
      <c r="G4372" s="267" t="s">
        <v>3926</v>
      </c>
      <c r="H4372" s="267" t="s">
        <v>8961</v>
      </c>
      <c r="I4372" s="267" t="s">
        <v>4235</v>
      </c>
      <c r="J4372" s="267" t="s">
        <v>3928</v>
      </c>
      <c r="K4372" s="267">
        <v>6066</v>
      </c>
      <c r="L4372" s="267">
        <v>530500</v>
      </c>
      <c r="M4372" s="267" t="s">
        <v>3935</v>
      </c>
      <c r="N4372" s="267" t="s">
        <v>3944</v>
      </c>
      <c r="O4372" s="267">
        <v>1381.07</v>
      </c>
      <c r="P4372" s="267" t="s">
        <v>3944</v>
      </c>
      <c r="Q4372" s="267" t="s">
        <v>3944</v>
      </c>
      <c r="R4372" s="267">
        <v>1381.07</v>
      </c>
      <c r="S4372" s="267">
        <v>27084.13</v>
      </c>
      <c r="T4372" s="267">
        <v>28465.200000000001</v>
      </c>
      <c r="U4372" s="268" t="s">
        <v>3945</v>
      </c>
      <c r="V4372" s="267" t="s">
        <v>944</v>
      </c>
    </row>
    <row r="4373" spans="1:22" hidden="1" x14ac:dyDescent="0.25">
      <c r="A4373" s="269">
        <v>43683</v>
      </c>
      <c r="B4373" s="270">
        <v>2019</v>
      </c>
      <c r="C4373" s="270">
        <v>2020</v>
      </c>
      <c r="D4373" s="270">
        <v>1</v>
      </c>
      <c r="E4373" s="270">
        <v>1</v>
      </c>
      <c r="F4373" s="270" t="s">
        <v>944</v>
      </c>
      <c r="G4373" s="270" t="s">
        <v>3926</v>
      </c>
      <c r="H4373" s="270" t="s">
        <v>8962</v>
      </c>
      <c r="I4373" s="270" t="s">
        <v>6426</v>
      </c>
      <c r="J4373" s="270" t="s">
        <v>3928</v>
      </c>
      <c r="K4373" s="270">
        <v>6422</v>
      </c>
      <c r="L4373" s="270">
        <v>585100</v>
      </c>
      <c r="M4373" s="270" t="s">
        <v>3943</v>
      </c>
      <c r="N4373" s="270" t="s">
        <v>3944</v>
      </c>
      <c r="O4373" s="270">
        <v>2055.1</v>
      </c>
      <c r="P4373" s="270" t="s">
        <v>3944</v>
      </c>
      <c r="Q4373" s="270" t="s">
        <v>3944</v>
      </c>
      <c r="R4373" s="270">
        <v>2055.1</v>
      </c>
      <c r="S4373" s="270">
        <v>27783.9</v>
      </c>
      <c r="T4373" s="270">
        <v>29839</v>
      </c>
      <c r="U4373" s="271" t="s">
        <v>3945</v>
      </c>
      <c r="V4373" s="267" t="s">
        <v>944</v>
      </c>
    </row>
    <row r="4374" spans="1:22" hidden="1" x14ac:dyDescent="0.25">
      <c r="A4374" s="266">
        <v>43683</v>
      </c>
      <c r="B4374" s="267">
        <v>2019</v>
      </c>
      <c r="C4374" s="267">
        <v>2020</v>
      </c>
      <c r="D4374" s="267">
        <v>1</v>
      </c>
      <c r="E4374" s="267">
        <v>1</v>
      </c>
      <c r="F4374" s="267" t="s">
        <v>944</v>
      </c>
      <c r="G4374" s="267" t="s">
        <v>3926</v>
      </c>
      <c r="H4374" s="267" t="s">
        <v>8963</v>
      </c>
      <c r="I4374" s="267" t="s">
        <v>3956</v>
      </c>
      <c r="J4374" s="267" t="s">
        <v>3928</v>
      </c>
      <c r="K4374" s="267">
        <v>6106</v>
      </c>
      <c r="L4374" s="267">
        <v>504800</v>
      </c>
      <c r="M4374" s="267" t="s">
        <v>3940</v>
      </c>
      <c r="N4374" s="267" t="s">
        <v>3944</v>
      </c>
      <c r="O4374" s="267">
        <v>1873.41</v>
      </c>
      <c r="P4374" s="267" t="s">
        <v>3944</v>
      </c>
      <c r="Q4374" s="267" t="s">
        <v>3944</v>
      </c>
      <c r="R4374" s="267">
        <v>1873.41</v>
      </c>
      <c r="S4374" s="267">
        <v>35299.99</v>
      </c>
      <c r="T4374" s="267">
        <v>37173.4</v>
      </c>
      <c r="U4374" s="268" t="s">
        <v>3945</v>
      </c>
      <c r="V4374" s="267" t="s">
        <v>944</v>
      </c>
    </row>
    <row r="4375" spans="1:22" hidden="1" x14ac:dyDescent="0.25">
      <c r="A4375" s="269">
        <v>43683</v>
      </c>
      <c r="B4375" s="270">
        <v>2019</v>
      </c>
      <c r="C4375" s="270">
        <v>2020</v>
      </c>
      <c r="D4375" s="270">
        <v>1</v>
      </c>
      <c r="E4375" s="270">
        <v>1</v>
      </c>
      <c r="F4375" s="270" t="s">
        <v>944</v>
      </c>
      <c r="G4375" s="270" t="s">
        <v>3926</v>
      </c>
      <c r="H4375" s="270" t="s">
        <v>8964</v>
      </c>
      <c r="I4375" s="270" t="s">
        <v>4621</v>
      </c>
      <c r="J4375" s="270" t="s">
        <v>3928</v>
      </c>
      <c r="K4375" s="270">
        <v>6443</v>
      </c>
      <c r="L4375" s="270">
        <v>194201</v>
      </c>
      <c r="M4375" s="270" t="s">
        <v>3943</v>
      </c>
      <c r="N4375" s="270" t="s">
        <v>8965</v>
      </c>
      <c r="O4375" s="270">
        <v>0</v>
      </c>
      <c r="P4375" s="270" t="s">
        <v>3944</v>
      </c>
      <c r="Q4375" s="270" t="s">
        <v>8966</v>
      </c>
      <c r="R4375" s="270">
        <v>145249.31</v>
      </c>
      <c r="S4375" s="270">
        <v>96832.87</v>
      </c>
      <c r="T4375" s="270">
        <v>242082.18</v>
      </c>
      <c r="U4375" s="271" t="s">
        <v>5304</v>
      </c>
      <c r="V4375" s="267" t="s">
        <v>944</v>
      </c>
    </row>
    <row r="4376" spans="1:22" hidden="1" x14ac:dyDescent="0.25">
      <c r="A4376" s="266">
        <v>43683</v>
      </c>
      <c r="B4376" s="267">
        <v>2019</v>
      </c>
      <c r="C4376" s="267">
        <v>2020</v>
      </c>
      <c r="D4376" s="267">
        <v>1</v>
      </c>
      <c r="E4376" s="267">
        <v>1</v>
      </c>
      <c r="F4376" s="267" t="s">
        <v>944</v>
      </c>
      <c r="G4376" s="267" t="s">
        <v>3926</v>
      </c>
      <c r="H4376" s="267" t="s">
        <v>8967</v>
      </c>
      <c r="I4376" s="267" t="s">
        <v>3996</v>
      </c>
      <c r="J4376" s="267" t="s">
        <v>3928</v>
      </c>
      <c r="K4376" s="267">
        <v>6790</v>
      </c>
      <c r="L4376" s="267">
        <v>310400</v>
      </c>
      <c r="M4376" s="267" t="s">
        <v>3935</v>
      </c>
      <c r="N4376" s="267" t="s">
        <v>3944</v>
      </c>
      <c r="O4376" s="267">
        <v>1217.83</v>
      </c>
      <c r="P4376" s="267" t="s">
        <v>3944</v>
      </c>
      <c r="Q4376" s="267" t="s">
        <v>3944</v>
      </c>
      <c r="R4376" s="267">
        <v>1217.83</v>
      </c>
      <c r="S4376" s="267">
        <v>15721.17</v>
      </c>
      <c r="T4376" s="267">
        <v>16939</v>
      </c>
      <c r="U4376" s="268" t="s">
        <v>3945</v>
      </c>
      <c r="V4376" s="267" t="s">
        <v>944</v>
      </c>
    </row>
    <row r="4377" spans="1:22" hidden="1" x14ac:dyDescent="0.25">
      <c r="A4377" s="269">
        <v>43684</v>
      </c>
      <c r="B4377" s="270">
        <v>2019</v>
      </c>
      <c r="C4377" s="270">
        <v>2020</v>
      </c>
      <c r="D4377" s="270">
        <v>1</v>
      </c>
      <c r="E4377" s="270">
        <v>1</v>
      </c>
      <c r="F4377" s="270" t="s">
        <v>944</v>
      </c>
      <c r="G4377" s="270" t="s">
        <v>3926</v>
      </c>
      <c r="H4377" s="270" t="s">
        <v>8968</v>
      </c>
      <c r="I4377" s="270" t="s">
        <v>6209</v>
      </c>
      <c r="J4377" s="270" t="s">
        <v>3928</v>
      </c>
      <c r="K4377" s="270">
        <v>6403</v>
      </c>
      <c r="L4377" s="270">
        <v>341100</v>
      </c>
      <c r="M4377" s="270" t="s">
        <v>3935</v>
      </c>
      <c r="N4377" s="270" t="s">
        <v>5725</v>
      </c>
      <c r="O4377" s="270">
        <v>0</v>
      </c>
      <c r="P4377" s="270" t="s">
        <v>3930</v>
      </c>
      <c r="Q4377" s="270" t="s">
        <v>3930</v>
      </c>
      <c r="R4377" s="270">
        <v>0</v>
      </c>
      <c r="S4377" s="270">
        <v>8600</v>
      </c>
      <c r="T4377" s="270">
        <v>8600</v>
      </c>
      <c r="U4377" s="271" t="s">
        <v>3937</v>
      </c>
      <c r="V4377" s="267" t="s">
        <v>944</v>
      </c>
    </row>
    <row r="4378" spans="1:22" hidden="1" x14ac:dyDescent="0.25">
      <c r="A4378" s="266">
        <v>43684</v>
      </c>
      <c r="B4378" s="267">
        <v>2019</v>
      </c>
      <c r="C4378" s="267">
        <v>2020</v>
      </c>
      <c r="D4378" s="267">
        <v>1</v>
      </c>
      <c r="E4378" s="267">
        <v>1</v>
      </c>
      <c r="F4378" s="267" t="s">
        <v>944</v>
      </c>
      <c r="G4378" s="267" t="s">
        <v>3926</v>
      </c>
      <c r="H4378" s="267" t="s">
        <v>8969</v>
      </c>
      <c r="I4378" s="267" t="s">
        <v>4035</v>
      </c>
      <c r="J4378" s="267" t="s">
        <v>3928</v>
      </c>
      <c r="K4378" s="267">
        <v>6074</v>
      </c>
      <c r="L4378" s="267">
        <v>487100</v>
      </c>
      <c r="M4378" s="267" t="s">
        <v>3943</v>
      </c>
      <c r="N4378" s="267" t="s">
        <v>7937</v>
      </c>
      <c r="O4378" s="267">
        <v>0</v>
      </c>
      <c r="P4378" s="267" t="s">
        <v>3930</v>
      </c>
      <c r="Q4378" s="267" t="s">
        <v>3930</v>
      </c>
      <c r="R4378" s="267">
        <v>0</v>
      </c>
      <c r="S4378" s="267">
        <v>8100</v>
      </c>
      <c r="T4378" s="267">
        <v>8100</v>
      </c>
      <c r="U4378" s="268" t="s">
        <v>3937</v>
      </c>
      <c r="V4378" s="267" t="s">
        <v>944</v>
      </c>
    </row>
    <row r="4379" spans="1:22" hidden="1" x14ac:dyDescent="0.25">
      <c r="A4379" s="269">
        <v>43684</v>
      </c>
      <c r="B4379" s="270">
        <v>2019</v>
      </c>
      <c r="C4379" s="270">
        <v>2020</v>
      </c>
      <c r="D4379" s="270">
        <v>1</v>
      </c>
      <c r="E4379" s="270">
        <v>1</v>
      </c>
      <c r="F4379" s="270" t="s">
        <v>944</v>
      </c>
      <c r="G4379" s="270" t="s">
        <v>3926</v>
      </c>
      <c r="H4379" s="270" t="s">
        <v>8970</v>
      </c>
      <c r="I4379" s="270" t="s">
        <v>4147</v>
      </c>
      <c r="J4379" s="270" t="s">
        <v>3928</v>
      </c>
      <c r="K4379" s="270">
        <v>6109</v>
      </c>
      <c r="L4379" s="270">
        <v>492400</v>
      </c>
      <c r="M4379" s="270" t="s">
        <v>3935</v>
      </c>
      <c r="N4379" s="270" t="s">
        <v>6901</v>
      </c>
      <c r="O4379" s="270">
        <v>0</v>
      </c>
      <c r="P4379" s="270" t="s">
        <v>3930</v>
      </c>
      <c r="Q4379" s="270" t="s">
        <v>3930</v>
      </c>
      <c r="R4379" s="270">
        <v>0</v>
      </c>
      <c r="S4379" s="270">
        <v>7500</v>
      </c>
      <c r="T4379" s="270">
        <v>7500</v>
      </c>
      <c r="U4379" s="271" t="s">
        <v>3937</v>
      </c>
      <c r="V4379" s="267" t="s">
        <v>944</v>
      </c>
    </row>
    <row r="4380" spans="1:22" hidden="1" x14ac:dyDescent="0.25">
      <c r="A4380" s="266">
        <v>43684</v>
      </c>
      <c r="B4380" s="267">
        <v>2019</v>
      </c>
      <c r="C4380" s="267">
        <v>2020</v>
      </c>
      <c r="D4380" s="267">
        <v>1</v>
      </c>
      <c r="E4380" s="267">
        <v>1</v>
      </c>
      <c r="F4380" s="267" t="s">
        <v>944</v>
      </c>
      <c r="G4380" s="267" t="s">
        <v>3926</v>
      </c>
      <c r="H4380" s="267" t="s">
        <v>8971</v>
      </c>
      <c r="I4380" s="267" t="s">
        <v>4005</v>
      </c>
      <c r="J4380" s="267" t="s">
        <v>3928</v>
      </c>
      <c r="K4380" s="267">
        <v>6118</v>
      </c>
      <c r="L4380" s="267">
        <v>510900</v>
      </c>
      <c r="M4380" s="267" t="s">
        <v>3960</v>
      </c>
      <c r="N4380" s="267" t="s">
        <v>5483</v>
      </c>
      <c r="O4380" s="267">
        <v>0</v>
      </c>
      <c r="P4380" s="267" t="s">
        <v>3930</v>
      </c>
      <c r="Q4380" s="267" t="s">
        <v>3930</v>
      </c>
      <c r="R4380" s="267">
        <v>0</v>
      </c>
      <c r="S4380" s="267">
        <v>14516</v>
      </c>
      <c r="T4380" s="267">
        <v>14516</v>
      </c>
      <c r="U4380" s="268" t="s">
        <v>3937</v>
      </c>
      <c r="V4380" s="267" t="s">
        <v>944</v>
      </c>
    </row>
    <row r="4381" spans="1:22" hidden="1" x14ac:dyDescent="0.25">
      <c r="A4381" s="269">
        <v>43684</v>
      </c>
      <c r="B4381" s="270">
        <v>2019</v>
      </c>
      <c r="C4381" s="270">
        <v>2020</v>
      </c>
      <c r="D4381" s="270">
        <v>1</v>
      </c>
      <c r="E4381" s="270">
        <v>1</v>
      </c>
      <c r="F4381" s="270" t="s">
        <v>944</v>
      </c>
      <c r="G4381" s="270" t="s">
        <v>3926</v>
      </c>
      <c r="H4381" s="270" t="s">
        <v>8972</v>
      </c>
      <c r="I4381" s="270" t="s">
        <v>6209</v>
      </c>
      <c r="J4381" s="270" t="s">
        <v>3928</v>
      </c>
      <c r="K4381" s="270">
        <v>6403</v>
      </c>
      <c r="L4381" s="270">
        <v>341100</v>
      </c>
      <c r="M4381" s="270" t="s">
        <v>3935</v>
      </c>
      <c r="N4381" s="270" t="s">
        <v>4103</v>
      </c>
      <c r="O4381" s="270">
        <v>1679.09</v>
      </c>
      <c r="P4381" s="270" t="s">
        <v>3930</v>
      </c>
      <c r="Q4381" s="270" t="s">
        <v>3931</v>
      </c>
      <c r="R4381" s="270">
        <v>6679.09</v>
      </c>
      <c r="S4381" s="270">
        <v>24145.599999999999</v>
      </c>
      <c r="T4381" s="270">
        <v>30824.69</v>
      </c>
      <c r="U4381" s="271" t="s">
        <v>3932</v>
      </c>
      <c r="V4381" s="267" t="s">
        <v>944</v>
      </c>
    </row>
    <row r="4382" spans="1:22" hidden="1" x14ac:dyDescent="0.25">
      <c r="A4382" s="266">
        <v>43684</v>
      </c>
      <c r="B4382" s="267">
        <v>2019</v>
      </c>
      <c r="C4382" s="267">
        <v>2020</v>
      </c>
      <c r="D4382" s="267">
        <v>1</v>
      </c>
      <c r="E4382" s="267">
        <v>1</v>
      </c>
      <c r="F4382" s="267" t="s">
        <v>944</v>
      </c>
      <c r="G4382" s="267" t="s">
        <v>3926</v>
      </c>
      <c r="H4382" s="267" t="s">
        <v>8973</v>
      </c>
      <c r="I4382" s="267" t="s">
        <v>4269</v>
      </c>
      <c r="J4382" s="267" t="s">
        <v>3928</v>
      </c>
      <c r="K4382" s="267">
        <v>6107</v>
      </c>
      <c r="L4382" s="267">
        <v>496300</v>
      </c>
      <c r="M4382" s="267" t="s">
        <v>3960</v>
      </c>
      <c r="N4382" s="267" t="s">
        <v>8974</v>
      </c>
      <c r="O4382" s="267">
        <v>0</v>
      </c>
      <c r="P4382" s="267" t="s">
        <v>3930</v>
      </c>
      <c r="Q4382" s="267" t="s">
        <v>3930</v>
      </c>
      <c r="R4382" s="267">
        <v>0</v>
      </c>
      <c r="S4382" s="267">
        <v>16655.669999999998</v>
      </c>
      <c r="T4382" s="267">
        <v>16655.669999999998</v>
      </c>
      <c r="U4382" s="268" t="s">
        <v>3937</v>
      </c>
      <c r="V4382" s="267" t="s">
        <v>944</v>
      </c>
    </row>
    <row r="4383" spans="1:22" hidden="1" x14ac:dyDescent="0.25">
      <c r="A4383" s="269">
        <v>43684</v>
      </c>
      <c r="B4383" s="270">
        <v>2019</v>
      </c>
      <c r="C4383" s="270">
        <v>2020</v>
      </c>
      <c r="D4383" s="270">
        <v>1</v>
      </c>
      <c r="E4383" s="270">
        <v>1</v>
      </c>
      <c r="F4383" s="270" t="s">
        <v>944</v>
      </c>
      <c r="G4383" s="270" t="s">
        <v>3926</v>
      </c>
      <c r="H4383" s="270" t="s">
        <v>8975</v>
      </c>
      <c r="I4383" s="270" t="s">
        <v>3008</v>
      </c>
      <c r="J4383" s="270" t="s">
        <v>3928</v>
      </c>
      <c r="K4383" s="270">
        <v>6460</v>
      </c>
      <c r="L4383" s="270">
        <v>150900</v>
      </c>
      <c r="M4383" s="270" t="s">
        <v>3943</v>
      </c>
      <c r="N4383" s="270" t="s">
        <v>3944</v>
      </c>
      <c r="O4383" s="270">
        <v>1892</v>
      </c>
      <c r="P4383" s="270" t="s">
        <v>3944</v>
      </c>
      <c r="Q4383" s="270" t="s">
        <v>3944</v>
      </c>
      <c r="R4383" s="270">
        <v>1892</v>
      </c>
      <c r="S4383" s="270">
        <v>30108</v>
      </c>
      <c r="T4383" s="270">
        <v>32000</v>
      </c>
      <c r="U4383" s="271" t="s">
        <v>3945</v>
      </c>
      <c r="V4383" s="267" t="s">
        <v>944</v>
      </c>
    </row>
    <row r="4384" spans="1:22" hidden="1" x14ac:dyDescent="0.25">
      <c r="A4384" s="266">
        <v>43684</v>
      </c>
      <c r="B4384" s="267">
        <v>2019</v>
      </c>
      <c r="C4384" s="267">
        <v>2020</v>
      </c>
      <c r="D4384" s="267">
        <v>1</v>
      </c>
      <c r="E4384" s="267">
        <v>1</v>
      </c>
      <c r="F4384" s="267" t="s">
        <v>944</v>
      </c>
      <c r="G4384" s="267" t="s">
        <v>3926</v>
      </c>
      <c r="H4384" s="267" t="s">
        <v>8976</v>
      </c>
      <c r="I4384" s="267" t="s">
        <v>4239</v>
      </c>
      <c r="J4384" s="267" t="s">
        <v>3928</v>
      </c>
      <c r="K4384" s="267">
        <v>6032</v>
      </c>
      <c r="L4384" s="267">
        <v>460202</v>
      </c>
      <c r="M4384" s="267" t="s">
        <v>3960</v>
      </c>
      <c r="N4384" s="267" t="s">
        <v>3944</v>
      </c>
      <c r="O4384" s="267">
        <v>3719</v>
      </c>
      <c r="P4384" s="267" t="s">
        <v>3944</v>
      </c>
      <c r="Q4384" s="267" t="s">
        <v>3944</v>
      </c>
      <c r="R4384" s="267">
        <v>3719</v>
      </c>
      <c r="S4384" s="267">
        <v>31802.78</v>
      </c>
      <c r="T4384" s="267">
        <v>35521.78</v>
      </c>
      <c r="U4384" s="268" t="s">
        <v>3945</v>
      </c>
      <c r="V4384" s="267" t="s">
        <v>944</v>
      </c>
    </row>
    <row r="4385" spans="1:22" hidden="1" x14ac:dyDescent="0.25">
      <c r="A4385" s="269">
        <v>43684</v>
      </c>
      <c r="B4385" s="270">
        <v>2019</v>
      </c>
      <c r="C4385" s="270">
        <v>2020</v>
      </c>
      <c r="D4385" s="270">
        <v>1</v>
      </c>
      <c r="E4385" s="270">
        <v>1</v>
      </c>
      <c r="F4385" s="270" t="s">
        <v>944</v>
      </c>
      <c r="G4385" s="270" t="s">
        <v>3926</v>
      </c>
      <c r="H4385" s="270" t="s">
        <v>8977</v>
      </c>
      <c r="I4385" s="270" t="s">
        <v>4621</v>
      </c>
      <c r="J4385" s="270" t="s">
        <v>3928</v>
      </c>
      <c r="K4385" s="270">
        <v>6443</v>
      </c>
      <c r="L4385" s="270">
        <v>194201</v>
      </c>
      <c r="M4385" s="270" t="s">
        <v>3943</v>
      </c>
      <c r="N4385" s="270" t="s">
        <v>3944</v>
      </c>
      <c r="O4385" s="270">
        <v>2156</v>
      </c>
      <c r="P4385" s="270" t="s">
        <v>3944</v>
      </c>
      <c r="Q4385" s="270" t="s">
        <v>3944</v>
      </c>
      <c r="R4385" s="270">
        <v>2156</v>
      </c>
      <c r="S4385" s="270">
        <v>32905.199999999997</v>
      </c>
      <c r="T4385" s="270">
        <v>35061.199999999997</v>
      </c>
      <c r="U4385" s="271" t="s">
        <v>3945</v>
      </c>
      <c r="V4385" s="267" t="s">
        <v>944</v>
      </c>
    </row>
    <row r="4386" spans="1:22" hidden="1" x14ac:dyDescent="0.25">
      <c r="A4386" s="266">
        <v>43684</v>
      </c>
      <c r="B4386" s="267">
        <v>2019</v>
      </c>
      <c r="C4386" s="267">
        <v>2020</v>
      </c>
      <c r="D4386" s="267">
        <v>1</v>
      </c>
      <c r="E4386" s="267">
        <v>1</v>
      </c>
      <c r="F4386" s="267" t="s">
        <v>944</v>
      </c>
      <c r="G4386" s="267" t="s">
        <v>3926</v>
      </c>
      <c r="H4386" s="267" t="s">
        <v>8978</v>
      </c>
      <c r="I4386" s="267" t="s">
        <v>2981</v>
      </c>
      <c r="J4386" s="267" t="s">
        <v>3928</v>
      </c>
      <c r="K4386" s="267">
        <v>6612</v>
      </c>
      <c r="L4386" s="267">
        <v>105100</v>
      </c>
      <c r="M4386" s="267" t="s">
        <v>3943</v>
      </c>
      <c r="N4386" s="267" t="s">
        <v>3944</v>
      </c>
      <c r="O4386" s="267">
        <v>3697</v>
      </c>
      <c r="P4386" s="267" t="s">
        <v>3944</v>
      </c>
      <c r="Q4386" s="267" t="s">
        <v>3944</v>
      </c>
      <c r="R4386" s="267">
        <v>3697</v>
      </c>
      <c r="S4386" s="267">
        <v>60735</v>
      </c>
      <c r="T4386" s="267">
        <v>64432</v>
      </c>
      <c r="U4386" s="268" t="s">
        <v>3945</v>
      </c>
      <c r="V4386" s="267" t="s">
        <v>944</v>
      </c>
    </row>
    <row r="4387" spans="1:22" hidden="1" x14ac:dyDescent="0.25">
      <c r="A4387" s="269">
        <v>43684</v>
      </c>
      <c r="B4387" s="270">
        <v>2019</v>
      </c>
      <c r="C4387" s="270">
        <v>2020</v>
      </c>
      <c r="D4387" s="270">
        <v>1</v>
      </c>
      <c r="E4387" s="270">
        <v>1</v>
      </c>
      <c r="F4387" s="270" t="s">
        <v>944</v>
      </c>
      <c r="G4387" s="270" t="s">
        <v>3926</v>
      </c>
      <c r="H4387" s="270" t="s">
        <v>8979</v>
      </c>
      <c r="I4387" s="270" t="s">
        <v>4079</v>
      </c>
      <c r="J4387" s="270" t="s">
        <v>3928</v>
      </c>
      <c r="K4387" s="270">
        <v>6111</v>
      </c>
      <c r="L4387" s="270">
        <v>494201</v>
      </c>
      <c r="M4387" s="270" t="s">
        <v>3935</v>
      </c>
      <c r="N4387" s="270" t="s">
        <v>3944</v>
      </c>
      <c r="O4387" s="270">
        <v>2504</v>
      </c>
      <c r="P4387" s="270" t="s">
        <v>3944</v>
      </c>
      <c r="Q4387" s="270" t="s">
        <v>3944</v>
      </c>
      <c r="R4387" s="270">
        <v>2504</v>
      </c>
      <c r="S4387" s="270">
        <v>27896</v>
      </c>
      <c r="T4387" s="270">
        <v>30400</v>
      </c>
      <c r="U4387" s="271" t="s">
        <v>3945</v>
      </c>
      <c r="V4387" s="267" t="s">
        <v>944</v>
      </c>
    </row>
    <row r="4388" spans="1:22" hidden="1" x14ac:dyDescent="0.25">
      <c r="A4388" s="266">
        <v>43684</v>
      </c>
      <c r="B4388" s="267">
        <v>2019</v>
      </c>
      <c r="C4388" s="267">
        <v>2020</v>
      </c>
      <c r="D4388" s="267">
        <v>1</v>
      </c>
      <c r="E4388" s="267">
        <v>1</v>
      </c>
      <c r="F4388" s="267" t="s">
        <v>944</v>
      </c>
      <c r="G4388" s="267" t="s">
        <v>3926</v>
      </c>
      <c r="H4388" s="267" t="s">
        <v>8980</v>
      </c>
      <c r="I4388" s="267" t="s">
        <v>4239</v>
      </c>
      <c r="J4388" s="267" t="s">
        <v>3928</v>
      </c>
      <c r="K4388" s="267">
        <v>6085</v>
      </c>
      <c r="L4388" s="267">
        <v>460302</v>
      </c>
      <c r="M4388" s="267" t="s">
        <v>3960</v>
      </c>
      <c r="N4388" s="267" t="s">
        <v>3944</v>
      </c>
      <c r="O4388" s="267">
        <v>4465</v>
      </c>
      <c r="P4388" s="267" t="s">
        <v>3944</v>
      </c>
      <c r="Q4388" s="267" t="s">
        <v>3944</v>
      </c>
      <c r="R4388" s="267">
        <v>4465</v>
      </c>
      <c r="S4388" s="267">
        <v>66263</v>
      </c>
      <c r="T4388" s="267">
        <v>70728</v>
      </c>
      <c r="U4388" s="268" t="s">
        <v>3945</v>
      </c>
      <c r="V4388" s="267" t="s">
        <v>944</v>
      </c>
    </row>
    <row r="4389" spans="1:22" hidden="1" x14ac:dyDescent="0.25">
      <c r="A4389" s="269">
        <v>43684</v>
      </c>
      <c r="B4389" s="270">
        <v>2019</v>
      </c>
      <c r="C4389" s="270">
        <v>2020</v>
      </c>
      <c r="D4389" s="270">
        <v>1</v>
      </c>
      <c r="E4389" s="270">
        <v>1</v>
      </c>
      <c r="F4389" s="270" t="s">
        <v>944</v>
      </c>
      <c r="G4389" s="270" t="s">
        <v>3997</v>
      </c>
      <c r="H4389" s="270" t="s">
        <v>8981</v>
      </c>
      <c r="I4389" s="270" t="s">
        <v>943</v>
      </c>
      <c r="J4389" s="270" t="s">
        <v>3928</v>
      </c>
      <c r="K4389" s="270">
        <v>6511</v>
      </c>
      <c r="L4389" s="270">
        <v>141400</v>
      </c>
      <c r="M4389" s="270">
        <v>-60</v>
      </c>
      <c r="N4389" s="270" t="s">
        <v>3944</v>
      </c>
      <c r="O4389" s="270">
        <v>982.24</v>
      </c>
      <c r="P4389" s="270" t="s">
        <v>3944</v>
      </c>
      <c r="Q4389" s="270" t="s">
        <v>3944</v>
      </c>
      <c r="R4389" s="270">
        <v>982.24</v>
      </c>
      <c r="S4389" s="270">
        <v>16726.759999999998</v>
      </c>
      <c r="T4389" s="270">
        <v>17709</v>
      </c>
      <c r="U4389" s="271" t="s">
        <v>3945</v>
      </c>
      <c r="V4389" s="267" t="s">
        <v>944</v>
      </c>
    </row>
    <row r="4390" spans="1:22" hidden="1" x14ac:dyDescent="0.25">
      <c r="A4390" s="266">
        <v>43684</v>
      </c>
      <c r="B4390" s="267">
        <v>2019</v>
      </c>
      <c r="C4390" s="267">
        <v>2020</v>
      </c>
      <c r="D4390" s="267">
        <v>1</v>
      </c>
      <c r="E4390" s="267">
        <v>1</v>
      </c>
      <c r="F4390" s="267" t="s">
        <v>944</v>
      </c>
      <c r="G4390" s="267" t="s">
        <v>3926</v>
      </c>
      <c r="H4390" s="267" t="s">
        <v>8982</v>
      </c>
      <c r="I4390" s="267" t="s">
        <v>3009</v>
      </c>
      <c r="J4390" s="267" t="s">
        <v>3928</v>
      </c>
      <c r="K4390" s="267">
        <v>6484</v>
      </c>
      <c r="L4390" s="267">
        <v>110600</v>
      </c>
      <c r="M4390" s="267" t="s">
        <v>3943</v>
      </c>
      <c r="N4390" s="267" t="s">
        <v>3944</v>
      </c>
      <c r="O4390" s="267">
        <v>1861</v>
      </c>
      <c r="P4390" s="267" t="s">
        <v>3944</v>
      </c>
      <c r="Q4390" s="267" t="s">
        <v>3944</v>
      </c>
      <c r="R4390" s="267">
        <v>1861</v>
      </c>
      <c r="S4390" s="267">
        <v>23872</v>
      </c>
      <c r="T4390" s="267">
        <v>25733</v>
      </c>
      <c r="U4390" s="268" t="s">
        <v>3945</v>
      </c>
      <c r="V4390" s="267" t="s">
        <v>944</v>
      </c>
    </row>
    <row r="4391" spans="1:22" hidden="1" x14ac:dyDescent="0.25">
      <c r="A4391" s="269">
        <v>43684</v>
      </c>
      <c r="B4391" s="270">
        <v>2019</v>
      </c>
      <c r="C4391" s="270">
        <v>2020</v>
      </c>
      <c r="D4391" s="270">
        <v>1</v>
      </c>
      <c r="E4391" s="270">
        <v>1</v>
      </c>
      <c r="F4391" s="270" t="s">
        <v>944</v>
      </c>
      <c r="G4391" s="270" t="s">
        <v>3926</v>
      </c>
      <c r="H4391" s="270" t="s">
        <v>8983</v>
      </c>
      <c r="I4391" s="270" t="s">
        <v>3934</v>
      </c>
      <c r="J4391" s="270" t="s">
        <v>3928</v>
      </c>
      <c r="K4391" s="270">
        <v>6405</v>
      </c>
      <c r="L4391" s="270">
        <v>184500</v>
      </c>
      <c r="M4391" s="270" t="s">
        <v>3935</v>
      </c>
      <c r="N4391" s="270" t="s">
        <v>3944</v>
      </c>
      <c r="O4391" s="270">
        <v>2187</v>
      </c>
      <c r="P4391" s="270" t="s">
        <v>3944</v>
      </c>
      <c r="Q4391" s="270" t="s">
        <v>3944</v>
      </c>
      <c r="R4391" s="270">
        <v>2187</v>
      </c>
      <c r="S4391" s="270">
        <v>20944</v>
      </c>
      <c r="T4391" s="270">
        <v>23131</v>
      </c>
      <c r="U4391" s="271" t="s">
        <v>3945</v>
      </c>
      <c r="V4391" s="267" t="s">
        <v>944</v>
      </c>
    </row>
    <row r="4392" spans="1:22" hidden="1" x14ac:dyDescent="0.25">
      <c r="A4392" s="266">
        <v>43684</v>
      </c>
      <c r="B4392" s="267">
        <v>2019</v>
      </c>
      <c r="C4392" s="267">
        <v>2020</v>
      </c>
      <c r="D4392" s="267">
        <v>1</v>
      </c>
      <c r="E4392" s="267">
        <v>1</v>
      </c>
      <c r="F4392" s="267" t="s">
        <v>944</v>
      </c>
      <c r="G4392" s="267" t="s">
        <v>3926</v>
      </c>
      <c r="H4392" s="267" t="s">
        <v>8984</v>
      </c>
      <c r="I4392" s="267" t="s">
        <v>4069</v>
      </c>
      <c r="J4392" s="267" t="s">
        <v>3928</v>
      </c>
      <c r="K4392" s="267">
        <v>6905</v>
      </c>
      <c r="L4392" s="267">
        <v>21300</v>
      </c>
      <c r="M4392" s="267" t="s">
        <v>3943</v>
      </c>
      <c r="N4392" s="267" t="s">
        <v>3944</v>
      </c>
      <c r="O4392" s="267">
        <v>881</v>
      </c>
      <c r="P4392" s="267" t="s">
        <v>3944</v>
      </c>
      <c r="Q4392" s="267" t="s">
        <v>3944</v>
      </c>
      <c r="R4392" s="267">
        <v>881</v>
      </c>
      <c r="S4392" s="267">
        <v>10789.75</v>
      </c>
      <c r="T4392" s="267">
        <v>11670.75</v>
      </c>
      <c r="U4392" s="268" t="s">
        <v>3945</v>
      </c>
      <c r="V4392" s="267" t="s">
        <v>944</v>
      </c>
    </row>
    <row r="4393" spans="1:22" hidden="1" x14ac:dyDescent="0.25">
      <c r="A4393" s="269">
        <v>43684</v>
      </c>
      <c r="B4393" s="270">
        <v>2019</v>
      </c>
      <c r="C4393" s="270">
        <v>2020</v>
      </c>
      <c r="D4393" s="270">
        <v>1</v>
      </c>
      <c r="E4393" s="270">
        <v>1</v>
      </c>
      <c r="F4393" s="270" t="s">
        <v>944</v>
      </c>
      <c r="G4393" s="270" t="s">
        <v>3926</v>
      </c>
      <c r="H4393" s="270" t="s">
        <v>8985</v>
      </c>
      <c r="I4393" s="270" t="s">
        <v>956</v>
      </c>
      <c r="J4393" s="270" t="s">
        <v>3928</v>
      </c>
      <c r="K4393" s="270">
        <v>6614</v>
      </c>
      <c r="L4393" s="270">
        <v>80800</v>
      </c>
      <c r="M4393" s="270" t="s">
        <v>3960</v>
      </c>
      <c r="N4393" s="270" t="s">
        <v>3944</v>
      </c>
      <c r="O4393" s="270">
        <v>1890</v>
      </c>
      <c r="P4393" s="270" t="s">
        <v>3944</v>
      </c>
      <c r="Q4393" s="270" t="s">
        <v>3944</v>
      </c>
      <c r="R4393" s="270">
        <v>1890</v>
      </c>
      <c r="S4393" s="270">
        <v>22439.52</v>
      </c>
      <c r="T4393" s="270">
        <v>24329.52</v>
      </c>
      <c r="U4393" s="271" t="s">
        <v>3945</v>
      </c>
      <c r="V4393" s="267" t="s">
        <v>944</v>
      </c>
    </row>
    <row r="4394" spans="1:22" x14ac:dyDescent="0.25">
      <c r="A4394" s="266">
        <v>43684</v>
      </c>
      <c r="B4394" s="267">
        <v>2019</v>
      </c>
      <c r="C4394" s="267">
        <v>2020</v>
      </c>
      <c r="D4394" s="267">
        <v>1</v>
      </c>
      <c r="E4394" s="267">
        <v>1</v>
      </c>
      <c r="F4394" s="267" t="s">
        <v>944</v>
      </c>
      <c r="G4394" s="267" t="s">
        <v>3926</v>
      </c>
      <c r="H4394" s="267" t="s">
        <v>8986</v>
      </c>
      <c r="I4394" s="267" t="s">
        <v>943</v>
      </c>
      <c r="J4394" s="267" t="s">
        <v>3928</v>
      </c>
      <c r="K4394" s="267">
        <v>6519</v>
      </c>
      <c r="L4394" s="267">
        <v>140500</v>
      </c>
      <c r="M4394" s="267">
        <v>-60</v>
      </c>
      <c r="N4394" s="267" t="s">
        <v>3944</v>
      </c>
      <c r="O4394" s="267">
        <v>2161.88</v>
      </c>
      <c r="P4394" s="267" t="s">
        <v>3944</v>
      </c>
      <c r="Q4394" s="267" t="s">
        <v>3944</v>
      </c>
      <c r="R4394" s="267">
        <v>2161.88</v>
      </c>
      <c r="S4394" s="267">
        <v>29585.32</v>
      </c>
      <c r="T4394" s="267">
        <v>31747.200000000001</v>
      </c>
      <c r="U4394" s="268" t="s">
        <v>3945</v>
      </c>
      <c r="V4394" s="276" t="s">
        <v>936</v>
      </c>
    </row>
    <row r="4395" spans="1:22" hidden="1" x14ac:dyDescent="0.25">
      <c r="A4395" s="269">
        <v>43684</v>
      </c>
      <c r="B4395" s="270">
        <v>2019</v>
      </c>
      <c r="C4395" s="270">
        <v>2020</v>
      </c>
      <c r="D4395" s="270">
        <v>1</v>
      </c>
      <c r="E4395" s="270">
        <v>1</v>
      </c>
      <c r="F4395" s="270" t="s">
        <v>944</v>
      </c>
      <c r="G4395" s="270" t="s">
        <v>3926</v>
      </c>
      <c r="H4395" s="270" t="s">
        <v>8987</v>
      </c>
      <c r="I4395" s="270" t="s">
        <v>956</v>
      </c>
      <c r="J4395" s="270" t="s">
        <v>3928</v>
      </c>
      <c r="K4395" s="270">
        <v>6614</v>
      </c>
      <c r="L4395" s="270">
        <v>80800</v>
      </c>
      <c r="M4395" s="270" t="s">
        <v>3960</v>
      </c>
      <c r="N4395" s="270" t="s">
        <v>3944</v>
      </c>
      <c r="O4395" s="270">
        <v>1393.91</v>
      </c>
      <c r="P4395" s="270" t="s">
        <v>3944</v>
      </c>
      <c r="Q4395" s="270" t="s">
        <v>3944</v>
      </c>
      <c r="R4395" s="270">
        <v>1393.91</v>
      </c>
      <c r="S4395" s="270">
        <v>19770.89</v>
      </c>
      <c r="T4395" s="270">
        <v>21164.799999999999</v>
      </c>
      <c r="U4395" s="271" t="s">
        <v>3945</v>
      </c>
      <c r="V4395" s="267" t="s">
        <v>944</v>
      </c>
    </row>
    <row r="4396" spans="1:22" hidden="1" x14ac:dyDescent="0.25">
      <c r="A4396" s="266">
        <v>43684</v>
      </c>
      <c r="B4396" s="267">
        <v>2019</v>
      </c>
      <c r="C4396" s="267">
        <v>2020</v>
      </c>
      <c r="D4396" s="267">
        <v>1</v>
      </c>
      <c r="E4396" s="267">
        <v>1</v>
      </c>
      <c r="F4396" s="267" t="s">
        <v>944</v>
      </c>
      <c r="G4396" s="267" t="s">
        <v>3926</v>
      </c>
      <c r="H4396" s="267" t="s">
        <v>8988</v>
      </c>
      <c r="I4396" s="267" t="s">
        <v>3996</v>
      </c>
      <c r="J4396" s="267" t="s">
        <v>3928</v>
      </c>
      <c r="K4396" s="267">
        <v>6790</v>
      </c>
      <c r="L4396" s="267">
        <v>310602</v>
      </c>
      <c r="M4396" s="267" t="s">
        <v>3935</v>
      </c>
      <c r="N4396" s="267" t="s">
        <v>3944</v>
      </c>
      <c r="O4396" s="267">
        <v>1911.56</v>
      </c>
      <c r="P4396" s="267" t="s">
        <v>3944</v>
      </c>
      <c r="Q4396" s="267" t="s">
        <v>3944</v>
      </c>
      <c r="R4396" s="267">
        <v>1911.56</v>
      </c>
      <c r="S4396" s="267">
        <v>26159.19</v>
      </c>
      <c r="T4396" s="267">
        <v>28070.75</v>
      </c>
      <c r="U4396" s="268" t="s">
        <v>3945</v>
      </c>
      <c r="V4396" s="267" t="s">
        <v>944</v>
      </c>
    </row>
    <row r="4397" spans="1:22" hidden="1" x14ac:dyDescent="0.25">
      <c r="A4397" s="269">
        <v>43684</v>
      </c>
      <c r="B4397" s="270">
        <v>2019</v>
      </c>
      <c r="C4397" s="270">
        <v>2020</v>
      </c>
      <c r="D4397" s="270">
        <v>1</v>
      </c>
      <c r="E4397" s="270">
        <v>1</v>
      </c>
      <c r="F4397" s="270" t="s">
        <v>944</v>
      </c>
      <c r="G4397" s="270" t="s">
        <v>3926</v>
      </c>
      <c r="H4397" s="270" t="s">
        <v>8989</v>
      </c>
      <c r="I4397" s="270" t="s">
        <v>4042</v>
      </c>
      <c r="J4397" s="270" t="s">
        <v>3928</v>
      </c>
      <c r="K4397" s="270">
        <v>6370</v>
      </c>
      <c r="L4397" s="270">
        <v>695201</v>
      </c>
      <c r="M4397" s="270" t="s">
        <v>3935</v>
      </c>
      <c r="N4397" s="270" t="s">
        <v>3944</v>
      </c>
      <c r="O4397" s="270">
        <v>2010.93</v>
      </c>
      <c r="P4397" s="270" t="s">
        <v>3944</v>
      </c>
      <c r="Q4397" s="270" t="s">
        <v>3944</v>
      </c>
      <c r="R4397" s="270">
        <v>2010.93</v>
      </c>
      <c r="S4397" s="270">
        <v>30884.77</v>
      </c>
      <c r="T4397" s="270">
        <v>32895.699999999997</v>
      </c>
      <c r="U4397" s="271" t="s">
        <v>3945</v>
      </c>
      <c r="V4397" s="267" t="s">
        <v>944</v>
      </c>
    </row>
    <row r="4398" spans="1:22" hidden="1" x14ac:dyDescent="0.25">
      <c r="A4398" s="266">
        <v>43684</v>
      </c>
      <c r="B4398" s="267">
        <v>2019</v>
      </c>
      <c r="C4398" s="267">
        <v>2020</v>
      </c>
      <c r="D4398" s="267">
        <v>1</v>
      </c>
      <c r="E4398" s="267">
        <v>1</v>
      </c>
      <c r="F4398" s="267" t="s">
        <v>944</v>
      </c>
      <c r="G4398" s="267" t="s">
        <v>3926</v>
      </c>
      <c r="H4398" s="267" t="s">
        <v>8990</v>
      </c>
      <c r="I4398" s="267" t="s">
        <v>4353</v>
      </c>
      <c r="J4398" s="267" t="s">
        <v>3928</v>
      </c>
      <c r="K4398" s="267">
        <v>6416</v>
      </c>
      <c r="L4398" s="267">
        <v>570300</v>
      </c>
      <c r="M4398" s="267" t="s">
        <v>3940</v>
      </c>
      <c r="N4398" s="267" t="s">
        <v>3944</v>
      </c>
      <c r="O4398" s="267">
        <v>745.61</v>
      </c>
      <c r="P4398" s="267" t="s">
        <v>3944</v>
      </c>
      <c r="Q4398" s="267" t="s">
        <v>3944</v>
      </c>
      <c r="R4398" s="267">
        <v>745.61</v>
      </c>
      <c r="S4398" s="267">
        <v>10623.08</v>
      </c>
      <c r="T4398" s="267">
        <v>11368.69</v>
      </c>
      <c r="U4398" s="268" t="s">
        <v>3945</v>
      </c>
      <c r="V4398" s="267" t="s">
        <v>944</v>
      </c>
    </row>
    <row r="4399" spans="1:22" hidden="1" x14ac:dyDescent="0.25">
      <c r="A4399" s="269">
        <v>43684</v>
      </c>
      <c r="B4399" s="270">
        <v>2019</v>
      </c>
      <c r="C4399" s="270">
        <v>2020</v>
      </c>
      <c r="D4399" s="270">
        <v>1</v>
      </c>
      <c r="E4399" s="270">
        <v>1</v>
      </c>
      <c r="F4399" s="270" t="s">
        <v>944</v>
      </c>
      <c r="G4399" s="270" t="s">
        <v>3926</v>
      </c>
      <c r="H4399" s="270" t="s">
        <v>8991</v>
      </c>
      <c r="I4399" s="270" t="s">
        <v>4042</v>
      </c>
      <c r="J4399" s="270" t="s">
        <v>3928</v>
      </c>
      <c r="K4399" s="270">
        <v>6382</v>
      </c>
      <c r="L4399" s="270">
        <v>870501</v>
      </c>
      <c r="M4399" s="270" t="s">
        <v>3935</v>
      </c>
      <c r="N4399" s="270" t="s">
        <v>3944</v>
      </c>
      <c r="O4399" s="270">
        <v>1730.51</v>
      </c>
      <c r="P4399" s="270" t="s">
        <v>3944</v>
      </c>
      <c r="Q4399" s="270" t="s">
        <v>3944</v>
      </c>
      <c r="R4399" s="270">
        <v>1730.51</v>
      </c>
      <c r="S4399" s="270">
        <v>26845.65</v>
      </c>
      <c r="T4399" s="270">
        <v>28576.16</v>
      </c>
      <c r="U4399" s="271" t="s">
        <v>3945</v>
      </c>
      <c r="V4399" s="267" t="s">
        <v>944</v>
      </c>
    </row>
    <row r="4400" spans="1:22" hidden="1" x14ac:dyDescent="0.25">
      <c r="A4400" s="266">
        <v>43684</v>
      </c>
      <c r="B4400" s="267">
        <v>2019</v>
      </c>
      <c r="C4400" s="267">
        <v>2020</v>
      </c>
      <c r="D4400" s="267">
        <v>1</v>
      </c>
      <c r="E4400" s="267">
        <v>1</v>
      </c>
      <c r="F4400" s="267" t="s">
        <v>944</v>
      </c>
      <c r="G4400" s="267" t="s">
        <v>3926</v>
      </c>
      <c r="H4400" s="267" t="s">
        <v>8992</v>
      </c>
      <c r="I4400" s="267" t="s">
        <v>956</v>
      </c>
      <c r="J4400" s="267" t="s">
        <v>3928</v>
      </c>
      <c r="K4400" s="267">
        <v>6614</v>
      </c>
      <c r="L4400" s="267">
        <v>81100</v>
      </c>
      <c r="M4400" s="267" t="s">
        <v>3960</v>
      </c>
      <c r="N4400" s="267" t="s">
        <v>3944</v>
      </c>
      <c r="O4400" s="267">
        <v>1544.69</v>
      </c>
      <c r="P4400" s="267" t="s">
        <v>3944</v>
      </c>
      <c r="Q4400" s="267" t="s">
        <v>3944</v>
      </c>
      <c r="R4400" s="267">
        <v>1544.69</v>
      </c>
      <c r="S4400" s="267">
        <v>25073.97</v>
      </c>
      <c r="T4400" s="267">
        <v>26618.66</v>
      </c>
      <c r="U4400" s="268" t="s">
        <v>3945</v>
      </c>
      <c r="V4400" s="267" t="s">
        <v>944</v>
      </c>
    </row>
    <row r="4401" spans="1:22" hidden="1" x14ac:dyDescent="0.25">
      <c r="A4401" s="269">
        <v>43684</v>
      </c>
      <c r="B4401" s="270">
        <v>2019</v>
      </c>
      <c r="C4401" s="270">
        <v>2020</v>
      </c>
      <c r="D4401" s="270">
        <v>1</v>
      </c>
      <c r="E4401" s="270">
        <v>1</v>
      </c>
      <c r="F4401" s="270" t="s">
        <v>944</v>
      </c>
      <c r="G4401" s="270" t="s">
        <v>3926</v>
      </c>
      <c r="H4401" s="270" t="s">
        <v>8993</v>
      </c>
      <c r="I4401" s="270" t="s">
        <v>3990</v>
      </c>
      <c r="J4401" s="270" t="s">
        <v>3928</v>
      </c>
      <c r="K4401" s="270">
        <v>6804</v>
      </c>
      <c r="L4401" s="270">
        <v>205300</v>
      </c>
      <c r="M4401" s="270" t="s">
        <v>3960</v>
      </c>
      <c r="N4401" s="270" t="s">
        <v>3944</v>
      </c>
      <c r="O4401" s="270">
        <v>5191.34</v>
      </c>
      <c r="P4401" s="270" t="s">
        <v>3944</v>
      </c>
      <c r="Q4401" s="270" t="s">
        <v>3944</v>
      </c>
      <c r="R4401" s="270">
        <v>5191.34</v>
      </c>
      <c r="S4401" s="270">
        <v>71246.17</v>
      </c>
      <c r="T4401" s="270">
        <v>76437.509999999995</v>
      </c>
      <c r="U4401" s="271" t="s">
        <v>3945</v>
      </c>
      <c r="V4401" s="267" t="s">
        <v>944</v>
      </c>
    </row>
    <row r="4402" spans="1:22" hidden="1" x14ac:dyDescent="0.25">
      <c r="A4402" s="266">
        <v>43684</v>
      </c>
      <c r="B4402" s="267">
        <v>2019</v>
      </c>
      <c r="C4402" s="267">
        <v>2020</v>
      </c>
      <c r="D4402" s="267">
        <v>1</v>
      </c>
      <c r="E4402" s="267">
        <v>1</v>
      </c>
      <c r="F4402" s="267" t="s">
        <v>944</v>
      </c>
      <c r="G4402" s="267" t="s">
        <v>3926</v>
      </c>
      <c r="H4402" s="267" t="s">
        <v>8994</v>
      </c>
      <c r="I4402" s="267" t="s">
        <v>4621</v>
      </c>
      <c r="J4402" s="267" t="s">
        <v>3928</v>
      </c>
      <c r="K4402" s="267">
        <v>6443</v>
      </c>
      <c r="L4402" s="267">
        <v>194202</v>
      </c>
      <c r="M4402" s="267" t="s">
        <v>3943</v>
      </c>
      <c r="N4402" s="267" t="s">
        <v>3944</v>
      </c>
      <c r="O4402" s="267">
        <v>1066.8399999999999</v>
      </c>
      <c r="P4402" s="267" t="s">
        <v>3944</v>
      </c>
      <c r="Q4402" s="267" t="s">
        <v>3944</v>
      </c>
      <c r="R4402" s="267">
        <v>1066.8399999999999</v>
      </c>
      <c r="S4402" s="267">
        <v>13201.16</v>
      </c>
      <c r="T4402" s="267">
        <v>14268</v>
      </c>
      <c r="U4402" s="268" t="s">
        <v>3945</v>
      </c>
      <c r="V4402" s="267" t="s">
        <v>944</v>
      </c>
    </row>
    <row r="4403" spans="1:22" hidden="1" x14ac:dyDescent="0.25">
      <c r="A4403" s="269">
        <v>43684</v>
      </c>
      <c r="B4403" s="270">
        <v>2019</v>
      </c>
      <c r="C4403" s="270">
        <v>2020</v>
      </c>
      <c r="D4403" s="270">
        <v>1</v>
      </c>
      <c r="E4403" s="270">
        <v>1</v>
      </c>
      <c r="F4403" s="270" t="s">
        <v>944</v>
      </c>
      <c r="G4403" s="270" t="s">
        <v>3926</v>
      </c>
      <c r="H4403" s="270" t="s">
        <v>8995</v>
      </c>
      <c r="I4403" s="270" t="s">
        <v>2985</v>
      </c>
      <c r="J4403" s="270" t="s">
        <v>3928</v>
      </c>
      <c r="K4403" s="270">
        <v>6824</v>
      </c>
      <c r="L4403" s="270">
        <v>61600</v>
      </c>
      <c r="M4403" s="270" t="s">
        <v>3943</v>
      </c>
      <c r="N4403" s="270" t="s">
        <v>3944</v>
      </c>
      <c r="O4403" s="270">
        <v>807</v>
      </c>
      <c r="P4403" s="270" t="s">
        <v>3944</v>
      </c>
      <c r="Q4403" s="270" t="s">
        <v>3944</v>
      </c>
      <c r="R4403" s="270">
        <v>807</v>
      </c>
      <c r="S4403" s="270">
        <v>13179</v>
      </c>
      <c r="T4403" s="270">
        <v>13986</v>
      </c>
      <c r="U4403" s="271" t="s">
        <v>3945</v>
      </c>
      <c r="V4403" s="267" t="s">
        <v>944</v>
      </c>
    </row>
    <row r="4404" spans="1:22" hidden="1" x14ac:dyDescent="0.25">
      <c r="A4404" s="266">
        <v>43684</v>
      </c>
      <c r="B4404" s="267">
        <v>2019</v>
      </c>
      <c r="C4404" s="267">
        <v>2020</v>
      </c>
      <c r="D4404" s="267">
        <v>1</v>
      </c>
      <c r="E4404" s="267">
        <v>1</v>
      </c>
      <c r="F4404" s="267" t="s">
        <v>944</v>
      </c>
      <c r="G4404" s="267" t="s">
        <v>3926</v>
      </c>
      <c r="H4404" s="267" t="s">
        <v>8996</v>
      </c>
      <c r="I4404" s="267" t="s">
        <v>3966</v>
      </c>
      <c r="J4404" s="267" t="s">
        <v>3928</v>
      </c>
      <c r="K4404" s="267">
        <v>6010</v>
      </c>
      <c r="L4404" s="267">
        <v>405800</v>
      </c>
      <c r="M4404" s="267" t="s">
        <v>3935</v>
      </c>
      <c r="N4404" s="267" t="s">
        <v>3944</v>
      </c>
      <c r="O4404" s="267">
        <v>581.53</v>
      </c>
      <c r="P4404" s="267" t="s">
        <v>3944</v>
      </c>
      <c r="Q4404" s="267" t="s">
        <v>3944</v>
      </c>
      <c r="R4404" s="267">
        <v>581.53</v>
      </c>
      <c r="S4404" s="267">
        <v>8710.9699999999993</v>
      </c>
      <c r="T4404" s="267">
        <v>9292.5</v>
      </c>
      <c r="U4404" s="268" t="s">
        <v>3945</v>
      </c>
      <c r="V4404" s="267" t="s">
        <v>944</v>
      </c>
    </row>
    <row r="4405" spans="1:22" hidden="1" x14ac:dyDescent="0.25">
      <c r="A4405" s="269">
        <v>43684</v>
      </c>
      <c r="B4405" s="270">
        <v>2019</v>
      </c>
      <c r="C4405" s="270">
        <v>2020</v>
      </c>
      <c r="D4405" s="270">
        <v>1</v>
      </c>
      <c r="E4405" s="270">
        <v>1</v>
      </c>
      <c r="F4405" s="270" t="s">
        <v>944</v>
      </c>
      <c r="G4405" s="270" t="s">
        <v>3926</v>
      </c>
      <c r="H4405" s="270" t="s">
        <v>8997</v>
      </c>
      <c r="I4405" s="270" t="s">
        <v>3999</v>
      </c>
      <c r="J4405" s="270" t="s">
        <v>3928</v>
      </c>
      <c r="K4405" s="270">
        <v>6450</v>
      </c>
      <c r="L4405" s="270">
        <v>171300</v>
      </c>
      <c r="M4405" s="270" t="s">
        <v>3935</v>
      </c>
      <c r="N4405" s="270" t="s">
        <v>3944</v>
      </c>
      <c r="O4405" s="270">
        <v>2239.27</v>
      </c>
      <c r="P4405" s="270" t="s">
        <v>3944</v>
      </c>
      <c r="Q4405" s="270" t="s">
        <v>3944</v>
      </c>
      <c r="R4405" s="270">
        <v>2239.27</v>
      </c>
      <c r="S4405" s="270">
        <v>34799.129999999997</v>
      </c>
      <c r="T4405" s="270">
        <v>37038.400000000001</v>
      </c>
      <c r="U4405" s="271" t="s">
        <v>3945</v>
      </c>
      <c r="V4405" s="267" t="s">
        <v>944</v>
      </c>
    </row>
    <row r="4406" spans="1:22" hidden="1" x14ac:dyDescent="0.25">
      <c r="A4406" s="266">
        <v>43684</v>
      </c>
      <c r="B4406" s="267">
        <v>2019</v>
      </c>
      <c r="C4406" s="267">
        <v>2020</v>
      </c>
      <c r="D4406" s="267">
        <v>1</v>
      </c>
      <c r="E4406" s="267">
        <v>1</v>
      </c>
      <c r="F4406" s="267" t="s">
        <v>944</v>
      </c>
      <c r="G4406" s="267" t="s">
        <v>3926</v>
      </c>
      <c r="H4406" s="267" t="s">
        <v>8998</v>
      </c>
      <c r="I4406" s="267" t="s">
        <v>956</v>
      </c>
      <c r="J4406" s="267" t="s">
        <v>3928</v>
      </c>
      <c r="K4406" s="267">
        <v>6614</v>
      </c>
      <c r="L4406" s="267">
        <v>80800</v>
      </c>
      <c r="M4406" s="267" t="s">
        <v>3960</v>
      </c>
      <c r="N4406" s="267" t="s">
        <v>3944</v>
      </c>
      <c r="O4406" s="267">
        <v>863.17</v>
      </c>
      <c r="P4406" s="267" t="s">
        <v>3944</v>
      </c>
      <c r="Q4406" s="267" t="s">
        <v>3944</v>
      </c>
      <c r="R4406" s="267">
        <v>863.17</v>
      </c>
      <c r="S4406" s="267">
        <v>13952.19</v>
      </c>
      <c r="T4406" s="267">
        <v>14815.36</v>
      </c>
      <c r="U4406" s="268" t="s">
        <v>3945</v>
      </c>
      <c r="V4406" s="267" t="s">
        <v>944</v>
      </c>
    </row>
    <row r="4407" spans="1:22" hidden="1" x14ac:dyDescent="0.25">
      <c r="A4407" s="269">
        <v>43684</v>
      </c>
      <c r="B4407" s="270">
        <v>2019</v>
      </c>
      <c r="C4407" s="270">
        <v>2020</v>
      </c>
      <c r="D4407" s="270">
        <v>1</v>
      </c>
      <c r="E4407" s="270">
        <v>1</v>
      </c>
      <c r="F4407" s="270" t="s">
        <v>944</v>
      </c>
      <c r="G4407" s="270" t="s">
        <v>3926</v>
      </c>
      <c r="H4407" s="270" t="s">
        <v>8999</v>
      </c>
      <c r="I4407" s="270" t="s">
        <v>4085</v>
      </c>
      <c r="J4407" s="270" t="s">
        <v>3928</v>
      </c>
      <c r="K4407" s="270">
        <v>6351</v>
      </c>
      <c r="L4407" s="270">
        <v>709100</v>
      </c>
      <c r="M4407" s="270" t="s">
        <v>3935</v>
      </c>
      <c r="N4407" s="270" t="s">
        <v>3944</v>
      </c>
      <c r="O4407" s="270">
        <v>1512.95</v>
      </c>
      <c r="P4407" s="270" t="s">
        <v>3944</v>
      </c>
      <c r="Q4407" s="270" t="s">
        <v>3944</v>
      </c>
      <c r="R4407" s="270">
        <v>1512.95</v>
      </c>
      <c r="S4407" s="270">
        <v>23178.18</v>
      </c>
      <c r="T4407" s="270">
        <v>24691.13</v>
      </c>
      <c r="U4407" s="271" t="s">
        <v>3945</v>
      </c>
      <c r="V4407" s="267" t="s">
        <v>944</v>
      </c>
    </row>
    <row r="4408" spans="1:22" hidden="1" x14ac:dyDescent="0.25">
      <c r="A4408" s="266">
        <v>43684</v>
      </c>
      <c r="B4408" s="267">
        <v>2019</v>
      </c>
      <c r="C4408" s="267">
        <v>2020</v>
      </c>
      <c r="D4408" s="267">
        <v>1</v>
      </c>
      <c r="E4408" s="267">
        <v>1</v>
      </c>
      <c r="F4408" s="267" t="s">
        <v>944</v>
      </c>
      <c r="G4408" s="267" t="s">
        <v>3926</v>
      </c>
      <c r="H4408" s="267" t="s">
        <v>9000</v>
      </c>
      <c r="I4408" s="267" t="s">
        <v>4301</v>
      </c>
      <c r="J4408" s="267" t="s">
        <v>3928</v>
      </c>
      <c r="K4408" s="267">
        <v>6359</v>
      </c>
      <c r="L4408" s="267">
        <v>707100</v>
      </c>
      <c r="M4408" s="267" t="s">
        <v>3935</v>
      </c>
      <c r="N4408" s="267" t="s">
        <v>3944</v>
      </c>
      <c r="O4408" s="267">
        <v>1724.91</v>
      </c>
      <c r="P4408" s="267" t="s">
        <v>3944</v>
      </c>
      <c r="Q4408" s="267" t="s">
        <v>3944</v>
      </c>
      <c r="R4408" s="267">
        <v>1724.91</v>
      </c>
      <c r="S4408" s="267">
        <v>25016.93</v>
      </c>
      <c r="T4408" s="267">
        <v>26741.84</v>
      </c>
      <c r="U4408" s="268" t="s">
        <v>3945</v>
      </c>
      <c r="V4408" s="267" t="s">
        <v>944</v>
      </c>
    </row>
    <row r="4409" spans="1:22" hidden="1" x14ac:dyDescent="0.25">
      <c r="A4409" s="269">
        <v>43684</v>
      </c>
      <c r="B4409" s="270">
        <v>2019</v>
      </c>
      <c r="C4409" s="270">
        <v>2020</v>
      </c>
      <c r="D4409" s="270">
        <v>1</v>
      </c>
      <c r="E4409" s="270">
        <v>1</v>
      </c>
      <c r="F4409" s="270" t="s">
        <v>944</v>
      </c>
      <c r="G4409" s="270" t="s">
        <v>3926</v>
      </c>
      <c r="H4409" s="270" t="s">
        <v>9001</v>
      </c>
      <c r="I4409" s="270" t="s">
        <v>3993</v>
      </c>
      <c r="J4409" s="270" t="s">
        <v>3928</v>
      </c>
      <c r="K4409" s="270">
        <v>6415</v>
      </c>
      <c r="L4409" s="270">
        <v>714101</v>
      </c>
      <c r="M4409" s="270" t="s">
        <v>3940</v>
      </c>
      <c r="N4409" s="270" t="s">
        <v>3944</v>
      </c>
      <c r="O4409" s="270">
        <v>821.91</v>
      </c>
      <c r="P4409" s="270" t="s">
        <v>3944</v>
      </c>
      <c r="Q4409" s="270" t="s">
        <v>3944</v>
      </c>
      <c r="R4409" s="270">
        <v>821.91</v>
      </c>
      <c r="S4409" s="270">
        <v>9153.09</v>
      </c>
      <c r="T4409" s="270">
        <v>9975</v>
      </c>
      <c r="U4409" s="271" t="s">
        <v>3945</v>
      </c>
      <c r="V4409" s="267" t="s">
        <v>944</v>
      </c>
    </row>
    <row r="4410" spans="1:22" hidden="1" x14ac:dyDescent="0.25">
      <c r="A4410" s="266">
        <v>43684</v>
      </c>
      <c r="B4410" s="267">
        <v>2019</v>
      </c>
      <c r="C4410" s="267">
        <v>2020</v>
      </c>
      <c r="D4410" s="267">
        <v>1</v>
      </c>
      <c r="E4410" s="267">
        <v>1</v>
      </c>
      <c r="F4410" s="267" t="s">
        <v>944</v>
      </c>
      <c r="G4410" s="267" t="s">
        <v>3926</v>
      </c>
      <c r="H4410" s="267" t="s">
        <v>9002</v>
      </c>
      <c r="I4410" s="267" t="s">
        <v>4111</v>
      </c>
      <c r="J4410" s="267" t="s">
        <v>3928</v>
      </c>
      <c r="K4410" s="267">
        <v>6095</v>
      </c>
      <c r="L4410" s="267">
        <v>473100</v>
      </c>
      <c r="M4410" s="267" t="s">
        <v>3960</v>
      </c>
      <c r="N4410" s="267" t="s">
        <v>3944</v>
      </c>
      <c r="O4410" s="267">
        <v>1214.71</v>
      </c>
      <c r="P4410" s="267" t="s">
        <v>3944</v>
      </c>
      <c r="Q4410" s="267" t="s">
        <v>3944</v>
      </c>
      <c r="R4410" s="267">
        <v>1214.71</v>
      </c>
      <c r="S4410" s="267">
        <v>13789.29</v>
      </c>
      <c r="T4410" s="267">
        <v>15004</v>
      </c>
      <c r="U4410" s="268" t="s">
        <v>3945</v>
      </c>
      <c r="V4410" s="267" t="s">
        <v>944</v>
      </c>
    </row>
    <row r="4411" spans="1:22" hidden="1" x14ac:dyDescent="0.25">
      <c r="A4411" s="269">
        <v>43684</v>
      </c>
      <c r="B4411" s="270">
        <v>2019</v>
      </c>
      <c r="C4411" s="270">
        <v>2020</v>
      </c>
      <c r="D4411" s="270">
        <v>1</v>
      </c>
      <c r="E4411" s="270">
        <v>1</v>
      </c>
      <c r="F4411" s="270" t="s">
        <v>944</v>
      </c>
      <c r="G4411" s="270" t="s">
        <v>3926</v>
      </c>
      <c r="H4411" s="270" t="s">
        <v>9003</v>
      </c>
      <c r="I4411" s="270" t="s">
        <v>3968</v>
      </c>
      <c r="J4411" s="270" t="s">
        <v>3928</v>
      </c>
      <c r="K4411" s="270">
        <v>6042</v>
      </c>
      <c r="L4411" s="270">
        <v>514200</v>
      </c>
      <c r="M4411" s="270" t="s">
        <v>3940</v>
      </c>
      <c r="N4411" s="270" t="s">
        <v>3944</v>
      </c>
      <c r="O4411" s="270">
        <v>1215.1300000000001</v>
      </c>
      <c r="P4411" s="270" t="s">
        <v>3944</v>
      </c>
      <c r="Q4411" s="270" t="s">
        <v>3944</v>
      </c>
      <c r="R4411" s="270">
        <v>1215.1300000000001</v>
      </c>
      <c r="S4411" s="270">
        <v>16573.28</v>
      </c>
      <c r="T4411" s="270">
        <v>17788.41</v>
      </c>
      <c r="U4411" s="271" t="s">
        <v>3945</v>
      </c>
      <c r="V4411" s="267" t="s">
        <v>944</v>
      </c>
    </row>
    <row r="4412" spans="1:22" hidden="1" x14ac:dyDescent="0.25">
      <c r="A4412" s="266">
        <v>43684</v>
      </c>
      <c r="B4412" s="267">
        <v>2019</v>
      </c>
      <c r="C4412" s="267">
        <v>2020</v>
      </c>
      <c r="D4412" s="267">
        <v>1</v>
      </c>
      <c r="E4412" s="267">
        <v>1</v>
      </c>
      <c r="F4412" s="267" t="s">
        <v>944</v>
      </c>
      <c r="G4412" s="267" t="s">
        <v>3926</v>
      </c>
      <c r="H4412" s="267" t="s">
        <v>9004</v>
      </c>
      <c r="I4412" s="267" t="s">
        <v>4008</v>
      </c>
      <c r="J4412" s="267" t="s">
        <v>3928</v>
      </c>
      <c r="K4412" s="267">
        <v>6320</v>
      </c>
      <c r="L4412" s="267">
        <v>690300</v>
      </c>
      <c r="M4412" s="267">
        <v>-60</v>
      </c>
      <c r="N4412" s="267" t="s">
        <v>3944</v>
      </c>
      <c r="O4412" s="267">
        <v>1003.59</v>
      </c>
      <c r="P4412" s="267" t="s">
        <v>3944</v>
      </c>
      <c r="Q4412" s="267" t="s">
        <v>3944</v>
      </c>
      <c r="R4412" s="267">
        <v>1003.59</v>
      </c>
      <c r="S4412" s="267">
        <v>10254.41</v>
      </c>
      <c r="T4412" s="267">
        <v>11258</v>
      </c>
      <c r="U4412" s="268" t="s">
        <v>3945</v>
      </c>
      <c r="V4412" s="267" t="s">
        <v>944</v>
      </c>
    </row>
    <row r="4413" spans="1:22" hidden="1" x14ac:dyDescent="0.25">
      <c r="A4413" s="269">
        <v>43684</v>
      </c>
      <c r="B4413" s="270">
        <v>2019</v>
      </c>
      <c r="C4413" s="270">
        <v>2020</v>
      </c>
      <c r="D4413" s="270">
        <v>1</v>
      </c>
      <c r="E4413" s="270">
        <v>1</v>
      </c>
      <c r="F4413" s="270" t="s">
        <v>944</v>
      </c>
      <c r="G4413" s="270" t="s">
        <v>3926</v>
      </c>
      <c r="H4413" s="270" t="s">
        <v>9005</v>
      </c>
      <c r="I4413" s="270" t="s">
        <v>956</v>
      </c>
      <c r="J4413" s="270" t="s">
        <v>3928</v>
      </c>
      <c r="K4413" s="270">
        <v>6614</v>
      </c>
      <c r="L4413" s="270">
        <v>80800</v>
      </c>
      <c r="M4413" s="270" t="s">
        <v>3960</v>
      </c>
      <c r="N4413" s="270" t="s">
        <v>3944</v>
      </c>
      <c r="O4413" s="270">
        <v>2046.17</v>
      </c>
      <c r="P4413" s="270" t="s">
        <v>3944</v>
      </c>
      <c r="Q4413" s="270" t="s">
        <v>3944</v>
      </c>
      <c r="R4413" s="270">
        <v>2046.17</v>
      </c>
      <c r="S4413" s="270">
        <v>31500.14</v>
      </c>
      <c r="T4413" s="270">
        <v>33546.31</v>
      </c>
      <c r="U4413" s="271" t="s">
        <v>3945</v>
      </c>
      <c r="V4413" s="267" t="s">
        <v>944</v>
      </c>
    </row>
    <row r="4414" spans="1:22" hidden="1" x14ac:dyDescent="0.25">
      <c r="A4414" s="266">
        <v>43684</v>
      </c>
      <c r="B4414" s="267">
        <v>2019</v>
      </c>
      <c r="C4414" s="267">
        <v>2020</v>
      </c>
      <c r="D4414" s="267">
        <v>1</v>
      </c>
      <c r="E4414" s="267">
        <v>1</v>
      </c>
      <c r="F4414" s="267" t="s">
        <v>944</v>
      </c>
      <c r="G4414" s="267" t="s">
        <v>3926</v>
      </c>
      <c r="H4414" s="267" t="s">
        <v>9006</v>
      </c>
      <c r="I4414" s="267" t="s">
        <v>4011</v>
      </c>
      <c r="J4414" s="267" t="s">
        <v>3928</v>
      </c>
      <c r="K4414" s="267">
        <v>6002</v>
      </c>
      <c r="L4414" s="267">
        <v>471100</v>
      </c>
      <c r="M4414" s="267" t="s">
        <v>3935</v>
      </c>
      <c r="N4414" s="267" t="s">
        <v>3944</v>
      </c>
      <c r="O4414" s="267">
        <v>1663.94</v>
      </c>
      <c r="P4414" s="267" t="s">
        <v>3944</v>
      </c>
      <c r="Q4414" s="267" t="s">
        <v>3944</v>
      </c>
      <c r="R4414" s="267">
        <v>1663.94</v>
      </c>
      <c r="S4414" s="267">
        <v>25218.799999999999</v>
      </c>
      <c r="T4414" s="267">
        <v>26882.74</v>
      </c>
      <c r="U4414" s="268" t="s">
        <v>3945</v>
      </c>
      <c r="V4414" s="267" t="s">
        <v>944</v>
      </c>
    </row>
    <row r="4415" spans="1:22" hidden="1" x14ac:dyDescent="0.25">
      <c r="A4415" s="269">
        <v>43684</v>
      </c>
      <c r="B4415" s="270">
        <v>2019</v>
      </c>
      <c r="C4415" s="270">
        <v>2020</v>
      </c>
      <c r="D4415" s="270">
        <v>1</v>
      </c>
      <c r="E4415" s="270">
        <v>1</v>
      </c>
      <c r="F4415" s="270" t="s">
        <v>944</v>
      </c>
      <c r="G4415" s="270" t="s">
        <v>3926</v>
      </c>
      <c r="H4415" s="270" t="s">
        <v>9007</v>
      </c>
      <c r="I4415" s="270" t="s">
        <v>943</v>
      </c>
      <c r="J4415" s="270" t="s">
        <v>3928</v>
      </c>
      <c r="K4415" s="270">
        <v>6512</v>
      </c>
      <c r="L4415" s="270">
        <v>142800</v>
      </c>
      <c r="M4415" s="270" t="s">
        <v>3940</v>
      </c>
      <c r="N4415" s="270" t="s">
        <v>3944</v>
      </c>
      <c r="O4415" s="270">
        <v>1314.88</v>
      </c>
      <c r="P4415" s="270" t="s">
        <v>3944</v>
      </c>
      <c r="Q4415" s="270" t="s">
        <v>3944</v>
      </c>
      <c r="R4415" s="270">
        <v>1314.88</v>
      </c>
      <c r="S4415" s="270">
        <v>19910.05</v>
      </c>
      <c r="T4415" s="270">
        <v>21224.93</v>
      </c>
      <c r="U4415" s="271" t="s">
        <v>3945</v>
      </c>
      <c r="V4415" s="267" t="s">
        <v>944</v>
      </c>
    </row>
    <row r="4416" spans="1:22" hidden="1" x14ac:dyDescent="0.25">
      <c r="A4416" s="266">
        <v>43684</v>
      </c>
      <c r="B4416" s="267">
        <v>2019</v>
      </c>
      <c r="C4416" s="267">
        <v>2020</v>
      </c>
      <c r="D4416" s="267">
        <v>1</v>
      </c>
      <c r="E4416" s="267">
        <v>1</v>
      </c>
      <c r="F4416" s="267" t="s">
        <v>944</v>
      </c>
      <c r="G4416" s="267" t="s">
        <v>3926</v>
      </c>
      <c r="H4416" s="267" t="s">
        <v>9008</v>
      </c>
      <c r="I4416" s="267" t="s">
        <v>3010</v>
      </c>
      <c r="J4416" s="267" t="s">
        <v>3928</v>
      </c>
      <c r="K4416" s="267">
        <v>6401</v>
      </c>
      <c r="L4416" s="267">
        <v>125400</v>
      </c>
      <c r="M4416" s="267">
        <v>-60</v>
      </c>
      <c r="N4416" s="267" t="s">
        <v>3944</v>
      </c>
      <c r="O4416" s="267">
        <v>2025.42</v>
      </c>
      <c r="P4416" s="267" t="s">
        <v>3944</v>
      </c>
      <c r="Q4416" s="267" t="s">
        <v>3944</v>
      </c>
      <c r="R4416" s="267">
        <v>2025.42</v>
      </c>
      <c r="S4416" s="267">
        <v>27605.3</v>
      </c>
      <c r="T4416" s="267">
        <v>29630.720000000001</v>
      </c>
      <c r="U4416" s="268" t="s">
        <v>3945</v>
      </c>
      <c r="V4416" s="267" t="s">
        <v>944</v>
      </c>
    </row>
    <row r="4417" spans="1:22" hidden="1" x14ac:dyDescent="0.25">
      <c r="A4417" s="269">
        <v>43684</v>
      </c>
      <c r="B4417" s="270">
        <v>2019</v>
      </c>
      <c r="C4417" s="270">
        <v>2020</v>
      </c>
      <c r="D4417" s="270">
        <v>1</v>
      </c>
      <c r="E4417" s="270">
        <v>1</v>
      </c>
      <c r="F4417" s="270" t="s">
        <v>944</v>
      </c>
      <c r="G4417" s="270" t="s">
        <v>3926</v>
      </c>
      <c r="H4417" s="270" t="s">
        <v>9009</v>
      </c>
      <c r="I4417" s="270" t="s">
        <v>4353</v>
      </c>
      <c r="J4417" s="270" t="s">
        <v>3928</v>
      </c>
      <c r="K4417" s="270">
        <v>6416</v>
      </c>
      <c r="L4417" s="270">
        <v>570300</v>
      </c>
      <c r="M4417" s="270" t="s">
        <v>3940</v>
      </c>
      <c r="N4417" s="270" t="s">
        <v>3944</v>
      </c>
      <c r="O4417" s="270">
        <v>2581.25</v>
      </c>
      <c r="P4417" s="270" t="s">
        <v>3944</v>
      </c>
      <c r="Q4417" s="270" t="s">
        <v>3944</v>
      </c>
      <c r="R4417" s="270">
        <v>2581.25</v>
      </c>
      <c r="S4417" s="270">
        <v>35613.26</v>
      </c>
      <c r="T4417" s="270">
        <v>38194.51</v>
      </c>
      <c r="U4417" s="271" t="s">
        <v>3945</v>
      </c>
      <c r="V4417" s="267" t="s">
        <v>944</v>
      </c>
    </row>
    <row r="4418" spans="1:22" hidden="1" x14ac:dyDescent="0.25">
      <c r="A4418" s="266">
        <v>43684</v>
      </c>
      <c r="B4418" s="267">
        <v>2019</v>
      </c>
      <c r="C4418" s="267">
        <v>2020</v>
      </c>
      <c r="D4418" s="267">
        <v>1</v>
      </c>
      <c r="E4418" s="267">
        <v>1</v>
      </c>
      <c r="F4418" s="267" t="s">
        <v>944</v>
      </c>
      <c r="G4418" s="267" t="s">
        <v>3926</v>
      </c>
      <c r="H4418" s="267" t="s">
        <v>9010</v>
      </c>
      <c r="I4418" s="267" t="s">
        <v>4029</v>
      </c>
      <c r="J4418" s="267" t="s">
        <v>3928</v>
      </c>
      <c r="K4418" s="267">
        <v>6851</v>
      </c>
      <c r="L4418" s="267">
        <v>42600</v>
      </c>
      <c r="M4418" s="267" t="s">
        <v>3943</v>
      </c>
      <c r="N4418" s="267" t="s">
        <v>3944</v>
      </c>
      <c r="O4418" s="267">
        <v>4065.18</v>
      </c>
      <c r="P4418" s="267" t="s">
        <v>3944</v>
      </c>
      <c r="Q4418" s="267" t="s">
        <v>3944</v>
      </c>
      <c r="R4418" s="267">
        <v>4065.18</v>
      </c>
      <c r="S4418" s="267">
        <v>61720.95</v>
      </c>
      <c r="T4418" s="267">
        <v>65786.13</v>
      </c>
      <c r="U4418" s="268" t="s">
        <v>3945</v>
      </c>
      <c r="V4418" s="267" t="s">
        <v>944</v>
      </c>
    </row>
    <row r="4419" spans="1:22" hidden="1" x14ac:dyDescent="0.25">
      <c r="A4419" s="269">
        <v>43684</v>
      </c>
      <c r="B4419" s="270">
        <v>2019</v>
      </c>
      <c r="C4419" s="270">
        <v>2020</v>
      </c>
      <c r="D4419" s="270">
        <v>1</v>
      </c>
      <c r="E4419" s="270">
        <v>1</v>
      </c>
      <c r="F4419" s="270" t="s">
        <v>944</v>
      </c>
      <c r="G4419" s="270" t="s">
        <v>3926</v>
      </c>
      <c r="H4419" s="270" t="s">
        <v>9011</v>
      </c>
      <c r="I4419" s="270" t="s">
        <v>4042</v>
      </c>
      <c r="J4419" s="270" t="s">
        <v>3928</v>
      </c>
      <c r="K4419" s="270">
        <v>6382</v>
      </c>
      <c r="L4419" s="270">
        <v>870501</v>
      </c>
      <c r="M4419" s="270" t="s">
        <v>3935</v>
      </c>
      <c r="N4419" s="270" t="s">
        <v>3944</v>
      </c>
      <c r="O4419" s="270">
        <v>928.52</v>
      </c>
      <c r="P4419" s="270" t="s">
        <v>3944</v>
      </c>
      <c r="Q4419" s="270" t="s">
        <v>3944</v>
      </c>
      <c r="R4419" s="270">
        <v>928.52</v>
      </c>
      <c r="S4419" s="270">
        <v>14188.07</v>
      </c>
      <c r="T4419" s="270">
        <v>15116.59</v>
      </c>
      <c r="U4419" s="271" t="s">
        <v>3945</v>
      </c>
      <c r="V4419" s="267" t="s">
        <v>944</v>
      </c>
    </row>
    <row r="4420" spans="1:22" hidden="1" x14ac:dyDescent="0.25">
      <c r="A4420" s="266">
        <v>43684</v>
      </c>
      <c r="B4420" s="267">
        <v>2019</v>
      </c>
      <c r="C4420" s="267">
        <v>2020</v>
      </c>
      <c r="D4420" s="267">
        <v>1</v>
      </c>
      <c r="E4420" s="267">
        <v>1</v>
      </c>
      <c r="F4420" s="267" t="s">
        <v>944</v>
      </c>
      <c r="G4420" s="267" t="s">
        <v>3926</v>
      </c>
      <c r="H4420" s="267" t="s">
        <v>9012</v>
      </c>
      <c r="I4420" s="267" t="s">
        <v>4200</v>
      </c>
      <c r="J4420" s="267" t="s">
        <v>3928</v>
      </c>
      <c r="K4420" s="267">
        <v>6795</v>
      </c>
      <c r="L4420" s="267">
        <v>360200</v>
      </c>
      <c r="M4420" s="267" t="s">
        <v>3943</v>
      </c>
      <c r="N4420" s="267" t="s">
        <v>3944</v>
      </c>
      <c r="O4420" s="267">
        <v>2331.56</v>
      </c>
      <c r="P4420" s="267" t="s">
        <v>3944</v>
      </c>
      <c r="Q4420" s="267" t="s">
        <v>3944</v>
      </c>
      <c r="R4420" s="267">
        <v>2331.56</v>
      </c>
      <c r="S4420" s="267">
        <v>30907.040000000001</v>
      </c>
      <c r="T4420" s="267">
        <v>33238.6</v>
      </c>
      <c r="U4420" s="268" t="s">
        <v>3945</v>
      </c>
      <c r="V4420" s="267" t="s">
        <v>944</v>
      </c>
    </row>
    <row r="4421" spans="1:22" hidden="1" x14ac:dyDescent="0.25">
      <c r="A4421" s="269">
        <v>43684</v>
      </c>
      <c r="B4421" s="270">
        <v>2019</v>
      </c>
      <c r="C4421" s="270">
        <v>2020</v>
      </c>
      <c r="D4421" s="270">
        <v>1</v>
      </c>
      <c r="E4421" s="270">
        <v>1</v>
      </c>
      <c r="F4421" s="270" t="s">
        <v>944</v>
      </c>
      <c r="G4421" s="270" t="s">
        <v>3926</v>
      </c>
      <c r="H4421" s="270" t="s">
        <v>9013</v>
      </c>
      <c r="I4421" s="270" t="s">
        <v>4137</v>
      </c>
      <c r="J4421" s="270" t="s">
        <v>3928</v>
      </c>
      <c r="K4421" s="270">
        <v>6067</v>
      </c>
      <c r="L4421" s="270">
        <v>490302</v>
      </c>
      <c r="M4421" s="270" t="s">
        <v>3960</v>
      </c>
      <c r="N4421" s="270" t="s">
        <v>3944</v>
      </c>
      <c r="O4421" s="270">
        <v>2125.8000000000002</v>
      </c>
      <c r="P4421" s="270" t="s">
        <v>3944</v>
      </c>
      <c r="Q4421" s="270" t="s">
        <v>3944</v>
      </c>
      <c r="R4421" s="270">
        <v>2125.8000000000002</v>
      </c>
      <c r="S4421" s="270">
        <v>33952.97</v>
      </c>
      <c r="T4421" s="270">
        <v>36078.769999999997</v>
      </c>
      <c r="U4421" s="271" t="s">
        <v>3945</v>
      </c>
      <c r="V4421" s="267" t="s">
        <v>944</v>
      </c>
    </row>
    <row r="4422" spans="1:22" hidden="1" x14ac:dyDescent="0.25">
      <c r="A4422" s="266">
        <v>43684</v>
      </c>
      <c r="B4422" s="267">
        <v>2019</v>
      </c>
      <c r="C4422" s="267">
        <v>2020</v>
      </c>
      <c r="D4422" s="267">
        <v>1</v>
      </c>
      <c r="E4422" s="267">
        <v>1</v>
      </c>
      <c r="F4422" s="267" t="s">
        <v>944</v>
      </c>
      <c r="G4422" s="267" t="s">
        <v>3926</v>
      </c>
      <c r="H4422" s="267" t="s">
        <v>9014</v>
      </c>
      <c r="I4422" s="267" t="s">
        <v>956</v>
      </c>
      <c r="J4422" s="267" t="s">
        <v>3928</v>
      </c>
      <c r="K4422" s="267">
        <v>6614</v>
      </c>
      <c r="L4422" s="267">
        <v>81000</v>
      </c>
      <c r="M4422" s="267" t="s">
        <v>3940</v>
      </c>
      <c r="N4422" s="267" t="s">
        <v>3944</v>
      </c>
      <c r="O4422" s="267">
        <v>1356.99</v>
      </c>
      <c r="P4422" s="267" t="s">
        <v>3944</v>
      </c>
      <c r="Q4422" s="267" t="s">
        <v>3944</v>
      </c>
      <c r="R4422" s="267">
        <v>1356.99</v>
      </c>
      <c r="S4422" s="267">
        <v>22111.11</v>
      </c>
      <c r="T4422" s="267">
        <v>23468.1</v>
      </c>
      <c r="U4422" s="268" t="s">
        <v>3945</v>
      </c>
      <c r="V4422" s="267" t="s">
        <v>944</v>
      </c>
    </row>
    <row r="4423" spans="1:22" hidden="1" x14ac:dyDescent="0.25">
      <c r="A4423" s="269">
        <v>43684</v>
      </c>
      <c r="B4423" s="270">
        <v>2019</v>
      </c>
      <c r="C4423" s="270">
        <v>2020</v>
      </c>
      <c r="D4423" s="270">
        <v>1</v>
      </c>
      <c r="E4423" s="270">
        <v>1</v>
      </c>
      <c r="F4423" s="270" t="s">
        <v>944</v>
      </c>
      <c r="G4423" s="270" t="s">
        <v>3926</v>
      </c>
      <c r="H4423" s="270" t="s">
        <v>9015</v>
      </c>
      <c r="I4423" s="270" t="s">
        <v>4129</v>
      </c>
      <c r="J4423" s="270" t="s">
        <v>3928</v>
      </c>
      <c r="K4423" s="270">
        <v>6259</v>
      </c>
      <c r="L4423" s="270">
        <v>902500</v>
      </c>
      <c r="M4423" s="270" t="s">
        <v>3960</v>
      </c>
      <c r="N4423" s="270" t="s">
        <v>3944</v>
      </c>
      <c r="O4423" s="270">
        <v>2337.37</v>
      </c>
      <c r="P4423" s="270" t="s">
        <v>3944</v>
      </c>
      <c r="Q4423" s="270" t="s">
        <v>3944</v>
      </c>
      <c r="R4423" s="270">
        <v>2337.37</v>
      </c>
      <c r="S4423" s="270">
        <v>33957.040000000001</v>
      </c>
      <c r="T4423" s="270">
        <v>36294.410000000003</v>
      </c>
      <c r="U4423" s="271" t="s">
        <v>3945</v>
      </c>
      <c r="V4423" s="267" t="s">
        <v>944</v>
      </c>
    </row>
    <row r="4424" spans="1:22" hidden="1" x14ac:dyDescent="0.25">
      <c r="A4424" s="266">
        <v>43684</v>
      </c>
      <c r="B4424" s="267">
        <v>2019</v>
      </c>
      <c r="C4424" s="267">
        <v>2020</v>
      </c>
      <c r="D4424" s="267">
        <v>1</v>
      </c>
      <c r="E4424" s="267">
        <v>1</v>
      </c>
      <c r="F4424" s="267" t="s">
        <v>944</v>
      </c>
      <c r="G4424" s="267" t="s">
        <v>3926</v>
      </c>
      <c r="H4424" s="267" t="s">
        <v>9016</v>
      </c>
      <c r="I4424" s="267" t="s">
        <v>3008</v>
      </c>
      <c r="J4424" s="267" t="s">
        <v>3928</v>
      </c>
      <c r="K4424" s="267">
        <v>6461</v>
      </c>
      <c r="L4424" s="267">
        <v>150600</v>
      </c>
      <c r="M4424" s="267" t="s">
        <v>3960</v>
      </c>
      <c r="N4424" s="267" t="s">
        <v>3944</v>
      </c>
      <c r="O4424" s="267">
        <v>1561.91</v>
      </c>
      <c r="P4424" s="267" t="s">
        <v>3944</v>
      </c>
      <c r="Q4424" s="267" t="s">
        <v>3944</v>
      </c>
      <c r="R4424" s="267">
        <v>1561.91</v>
      </c>
      <c r="S4424" s="267">
        <v>22397.32</v>
      </c>
      <c r="T4424" s="267">
        <v>23959.23</v>
      </c>
      <c r="U4424" s="268" t="s">
        <v>3945</v>
      </c>
      <c r="V4424" s="267" t="s">
        <v>944</v>
      </c>
    </row>
    <row r="4425" spans="1:22" hidden="1" x14ac:dyDescent="0.25">
      <c r="A4425" s="269">
        <v>43684</v>
      </c>
      <c r="B4425" s="270">
        <v>2019</v>
      </c>
      <c r="C4425" s="270">
        <v>2020</v>
      </c>
      <c r="D4425" s="270">
        <v>1</v>
      </c>
      <c r="E4425" s="270">
        <v>1</v>
      </c>
      <c r="F4425" s="270" t="s">
        <v>944</v>
      </c>
      <c r="G4425" s="270" t="s">
        <v>3926</v>
      </c>
      <c r="H4425" s="270" t="s">
        <v>9017</v>
      </c>
      <c r="I4425" s="270" t="s">
        <v>4108</v>
      </c>
      <c r="J4425" s="270" t="s">
        <v>3928</v>
      </c>
      <c r="K4425" s="270">
        <v>6082</v>
      </c>
      <c r="L4425" s="270">
        <v>481200</v>
      </c>
      <c r="M4425" s="270" t="s">
        <v>3960</v>
      </c>
      <c r="N4425" s="270" t="s">
        <v>3944</v>
      </c>
      <c r="O4425" s="270">
        <v>3698.28</v>
      </c>
      <c r="P4425" s="270" t="s">
        <v>3944</v>
      </c>
      <c r="Q4425" s="270" t="s">
        <v>3944</v>
      </c>
      <c r="R4425" s="270">
        <v>3698.28</v>
      </c>
      <c r="S4425" s="270">
        <v>55563.16</v>
      </c>
      <c r="T4425" s="270">
        <v>59261.440000000002</v>
      </c>
      <c r="U4425" s="271" t="s">
        <v>3945</v>
      </c>
      <c r="V4425" s="267" t="s">
        <v>944</v>
      </c>
    </row>
    <row r="4426" spans="1:22" hidden="1" x14ac:dyDescent="0.25">
      <c r="A4426" s="266">
        <v>43684</v>
      </c>
      <c r="B4426" s="267">
        <v>2019</v>
      </c>
      <c r="C4426" s="267">
        <v>2020</v>
      </c>
      <c r="D4426" s="267">
        <v>1</v>
      </c>
      <c r="E4426" s="267">
        <v>1</v>
      </c>
      <c r="F4426" s="267" t="s">
        <v>944</v>
      </c>
      <c r="G4426" s="267" t="s">
        <v>3926</v>
      </c>
      <c r="H4426" s="267" t="s">
        <v>9018</v>
      </c>
      <c r="I4426" s="267" t="s">
        <v>3025</v>
      </c>
      <c r="J4426" s="267" t="s">
        <v>3928</v>
      </c>
      <c r="K4426" s="267">
        <v>6473</v>
      </c>
      <c r="L4426" s="267">
        <v>167202</v>
      </c>
      <c r="M4426" s="267" t="s">
        <v>3935</v>
      </c>
      <c r="N4426" s="267" t="s">
        <v>3944</v>
      </c>
      <c r="O4426" s="267">
        <v>1801.66</v>
      </c>
      <c r="P4426" s="267" t="s">
        <v>3944</v>
      </c>
      <c r="Q4426" s="267" t="s">
        <v>3944</v>
      </c>
      <c r="R4426" s="267">
        <v>1801.66</v>
      </c>
      <c r="S4426" s="267">
        <v>12710.34</v>
      </c>
      <c r="T4426" s="267">
        <v>14512</v>
      </c>
      <c r="U4426" s="268" t="s">
        <v>3945</v>
      </c>
      <c r="V4426" s="267" t="s">
        <v>944</v>
      </c>
    </row>
    <row r="4427" spans="1:22" hidden="1" x14ac:dyDescent="0.25">
      <c r="A4427" s="269">
        <v>43684</v>
      </c>
      <c r="B4427" s="270">
        <v>2019</v>
      </c>
      <c r="C4427" s="270">
        <v>2020</v>
      </c>
      <c r="D4427" s="270">
        <v>1</v>
      </c>
      <c r="E4427" s="270">
        <v>1</v>
      </c>
      <c r="F4427" s="270" t="s">
        <v>944</v>
      </c>
      <c r="G4427" s="270" t="s">
        <v>3926</v>
      </c>
      <c r="H4427" s="270" t="s">
        <v>9019</v>
      </c>
      <c r="I4427" s="270" t="s">
        <v>3999</v>
      </c>
      <c r="J4427" s="270" t="s">
        <v>3928</v>
      </c>
      <c r="K4427" s="270">
        <v>6450</v>
      </c>
      <c r="L4427" s="270">
        <v>171200</v>
      </c>
      <c r="M4427" s="270" t="s">
        <v>3960</v>
      </c>
      <c r="N4427" s="270" t="s">
        <v>3944</v>
      </c>
      <c r="O4427" s="270">
        <v>1954.51</v>
      </c>
      <c r="P4427" s="270" t="s">
        <v>3944</v>
      </c>
      <c r="Q4427" s="270" t="s">
        <v>3944</v>
      </c>
      <c r="R4427" s="270">
        <v>1954.51</v>
      </c>
      <c r="S4427" s="270">
        <v>28432.61</v>
      </c>
      <c r="T4427" s="270">
        <v>30387.119999999999</v>
      </c>
      <c r="U4427" s="271" t="s">
        <v>3945</v>
      </c>
      <c r="V4427" s="267" t="s">
        <v>944</v>
      </c>
    </row>
    <row r="4428" spans="1:22" hidden="1" x14ac:dyDescent="0.25">
      <c r="A4428" s="266">
        <v>43684</v>
      </c>
      <c r="B4428" s="267">
        <v>2019</v>
      </c>
      <c r="C4428" s="267">
        <v>2020</v>
      </c>
      <c r="D4428" s="267">
        <v>1</v>
      </c>
      <c r="E4428" s="267">
        <v>1</v>
      </c>
      <c r="F4428" s="267" t="s">
        <v>944</v>
      </c>
      <c r="G4428" s="267" t="s">
        <v>3926</v>
      </c>
      <c r="H4428" s="267" t="s">
        <v>9020</v>
      </c>
      <c r="I4428" s="267" t="s">
        <v>3025</v>
      </c>
      <c r="J4428" s="267" t="s">
        <v>3928</v>
      </c>
      <c r="K4428" s="267">
        <v>6473</v>
      </c>
      <c r="L4428" s="267">
        <v>167300</v>
      </c>
      <c r="M4428" s="267" t="s">
        <v>3943</v>
      </c>
      <c r="N4428" s="267" t="s">
        <v>3944</v>
      </c>
      <c r="O4428" s="267">
        <v>2213.75</v>
      </c>
      <c r="P4428" s="267" t="s">
        <v>3944</v>
      </c>
      <c r="Q4428" s="267" t="s">
        <v>3944</v>
      </c>
      <c r="R4428" s="267">
        <v>2213.75</v>
      </c>
      <c r="S4428" s="267">
        <v>33390.07</v>
      </c>
      <c r="T4428" s="267">
        <v>35603.82</v>
      </c>
      <c r="U4428" s="268" t="s">
        <v>3945</v>
      </c>
      <c r="V4428" s="267" t="s">
        <v>944</v>
      </c>
    </row>
    <row r="4429" spans="1:22" hidden="1" x14ac:dyDescent="0.25">
      <c r="A4429" s="269">
        <v>43684</v>
      </c>
      <c r="B4429" s="270">
        <v>2019</v>
      </c>
      <c r="C4429" s="270">
        <v>2020</v>
      </c>
      <c r="D4429" s="270">
        <v>1</v>
      </c>
      <c r="E4429" s="270">
        <v>1</v>
      </c>
      <c r="F4429" s="270" t="s">
        <v>944</v>
      </c>
      <c r="G4429" s="270" t="s">
        <v>3926</v>
      </c>
      <c r="H4429" s="270" t="s">
        <v>9021</v>
      </c>
      <c r="I4429" s="270" t="s">
        <v>3008</v>
      </c>
      <c r="J4429" s="270" t="s">
        <v>3928</v>
      </c>
      <c r="K4429" s="270">
        <v>6460</v>
      </c>
      <c r="L4429" s="270">
        <v>150400</v>
      </c>
      <c r="M4429" s="270" t="s">
        <v>3940</v>
      </c>
      <c r="N4429" s="270" t="s">
        <v>3944</v>
      </c>
      <c r="O4429" s="270">
        <v>1466.92</v>
      </c>
      <c r="P4429" s="270" t="s">
        <v>3944</v>
      </c>
      <c r="Q4429" s="270" t="s">
        <v>3944</v>
      </c>
      <c r="R4429" s="270">
        <v>1466.92</v>
      </c>
      <c r="S4429" s="270">
        <v>25106.48</v>
      </c>
      <c r="T4429" s="270">
        <v>26573.4</v>
      </c>
      <c r="U4429" s="271" t="s">
        <v>3945</v>
      </c>
      <c r="V4429" s="267" t="s">
        <v>944</v>
      </c>
    </row>
    <row r="4430" spans="1:22" hidden="1" x14ac:dyDescent="0.25">
      <c r="A4430" s="266">
        <v>43684</v>
      </c>
      <c r="B4430" s="267">
        <v>2019</v>
      </c>
      <c r="C4430" s="267">
        <v>2020</v>
      </c>
      <c r="D4430" s="267">
        <v>1</v>
      </c>
      <c r="E4430" s="267">
        <v>1</v>
      </c>
      <c r="F4430" s="267" t="s">
        <v>944</v>
      </c>
      <c r="G4430" s="267" t="s">
        <v>3926</v>
      </c>
      <c r="H4430" s="267" t="s">
        <v>9022</v>
      </c>
      <c r="I4430" s="267" t="s">
        <v>4387</v>
      </c>
      <c r="J4430" s="267" t="s">
        <v>3928</v>
      </c>
      <c r="K4430" s="267">
        <v>6751</v>
      </c>
      <c r="L4430" s="267">
        <v>342100</v>
      </c>
      <c r="M4430" s="267" t="s">
        <v>3960</v>
      </c>
      <c r="N4430" s="267" t="s">
        <v>3944</v>
      </c>
      <c r="O4430" s="267">
        <v>754.71</v>
      </c>
      <c r="P4430" s="267" t="s">
        <v>3944</v>
      </c>
      <c r="Q4430" s="267" t="s">
        <v>3944</v>
      </c>
      <c r="R4430" s="267">
        <v>754.71</v>
      </c>
      <c r="S4430" s="267">
        <v>11597.69</v>
      </c>
      <c r="T4430" s="267">
        <v>12352.4</v>
      </c>
      <c r="U4430" s="268" t="s">
        <v>3945</v>
      </c>
      <c r="V4430" s="267" t="s">
        <v>944</v>
      </c>
    </row>
    <row r="4431" spans="1:22" hidden="1" x14ac:dyDescent="0.25">
      <c r="A4431" s="269">
        <v>43684</v>
      </c>
      <c r="B4431" s="270">
        <v>2019</v>
      </c>
      <c r="C4431" s="270">
        <v>2020</v>
      </c>
      <c r="D4431" s="270">
        <v>1</v>
      </c>
      <c r="E4431" s="270">
        <v>1</v>
      </c>
      <c r="F4431" s="270" t="s">
        <v>944</v>
      </c>
      <c r="G4431" s="270" t="s">
        <v>3926</v>
      </c>
      <c r="H4431" s="270" t="s">
        <v>9023</v>
      </c>
      <c r="I4431" s="270" t="s">
        <v>4392</v>
      </c>
      <c r="J4431" s="270" t="s">
        <v>3928</v>
      </c>
      <c r="K4431" s="270">
        <v>6457</v>
      </c>
      <c r="L4431" s="270">
        <v>680200</v>
      </c>
      <c r="M4431" s="270" t="s">
        <v>3935</v>
      </c>
      <c r="N4431" s="270" t="s">
        <v>3944</v>
      </c>
      <c r="O4431" s="270">
        <v>1830.47</v>
      </c>
      <c r="P4431" s="270" t="s">
        <v>3944</v>
      </c>
      <c r="Q4431" s="270" t="s">
        <v>3944</v>
      </c>
      <c r="R4431" s="270">
        <v>1830.47</v>
      </c>
      <c r="S4431" s="270">
        <v>29532.83</v>
      </c>
      <c r="T4431" s="270">
        <v>31363.3</v>
      </c>
      <c r="U4431" s="271" t="s">
        <v>3945</v>
      </c>
      <c r="V4431" s="267" t="s">
        <v>944</v>
      </c>
    </row>
    <row r="4432" spans="1:22" hidden="1" x14ac:dyDescent="0.25">
      <c r="A4432" s="266">
        <v>43684</v>
      </c>
      <c r="B4432" s="267">
        <v>2019</v>
      </c>
      <c r="C4432" s="267">
        <v>2020</v>
      </c>
      <c r="D4432" s="267">
        <v>1</v>
      </c>
      <c r="E4432" s="267">
        <v>1</v>
      </c>
      <c r="F4432" s="267" t="s">
        <v>944</v>
      </c>
      <c r="G4432" s="267" t="s">
        <v>3926</v>
      </c>
      <c r="H4432" s="267" t="s">
        <v>9024</v>
      </c>
      <c r="I4432" s="267" t="s">
        <v>3990</v>
      </c>
      <c r="J4432" s="267" t="s">
        <v>3928</v>
      </c>
      <c r="K4432" s="267">
        <v>6804</v>
      </c>
      <c r="L4432" s="267">
        <v>205300</v>
      </c>
      <c r="M4432" s="267" t="s">
        <v>3960</v>
      </c>
      <c r="N4432" s="267" t="s">
        <v>3944</v>
      </c>
      <c r="O4432" s="267">
        <v>2224.11</v>
      </c>
      <c r="P4432" s="267" t="s">
        <v>3944</v>
      </c>
      <c r="Q4432" s="267" t="s">
        <v>3944</v>
      </c>
      <c r="R4432" s="267">
        <v>2224.11</v>
      </c>
      <c r="S4432" s="267">
        <v>27258.26</v>
      </c>
      <c r="T4432" s="267">
        <v>29482.37</v>
      </c>
      <c r="U4432" s="268" t="s">
        <v>3945</v>
      </c>
      <c r="V4432" s="267" t="s">
        <v>944</v>
      </c>
    </row>
    <row r="4433" spans="1:22" hidden="1" x14ac:dyDescent="0.25">
      <c r="A4433" s="269">
        <v>43684</v>
      </c>
      <c r="B4433" s="270">
        <v>2019</v>
      </c>
      <c r="C4433" s="270">
        <v>2020</v>
      </c>
      <c r="D4433" s="270">
        <v>1</v>
      </c>
      <c r="E4433" s="270">
        <v>1</v>
      </c>
      <c r="F4433" s="270" t="s">
        <v>944</v>
      </c>
      <c r="G4433" s="270" t="s">
        <v>3926</v>
      </c>
      <c r="H4433" s="270" t="s">
        <v>9025</v>
      </c>
      <c r="I4433" s="270" t="s">
        <v>4085</v>
      </c>
      <c r="J4433" s="270" t="s">
        <v>3928</v>
      </c>
      <c r="K4433" s="270">
        <v>6351</v>
      </c>
      <c r="L4433" s="270">
        <v>709200</v>
      </c>
      <c r="M4433" s="270" t="s">
        <v>3940</v>
      </c>
      <c r="N4433" s="270" t="s">
        <v>9026</v>
      </c>
      <c r="O4433" s="270"/>
      <c r="P4433" s="270" t="s">
        <v>3944</v>
      </c>
      <c r="Q4433" s="270" t="s">
        <v>3930</v>
      </c>
      <c r="R4433" s="270">
        <v>0</v>
      </c>
      <c r="S4433" s="270">
        <v>152481.35</v>
      </c>
      <c r="T4433" s="270">
        <v>152481.35</v>
      </c>
      <c r="U4433" s="271" t="s">
        <v>4099</v>
      </c>
      <c r="V4433" s="267" t="s">
        <v>944</v>
      </c>
    </row>
    <row r="4434" spans="1:22" hidden="1" x14ac:dyDescent="0.25">
      <c r="A4434" s="266">
        <v>43684</v>
      </c>
      <c r="B4434" s="267">
        <v>2019</v>
      </c>
      <c r="C4434" s="267">
        <v>2020</v>
      </c>
      <c r="D4434" s="267">
        <v>1</v>
      </c>
      <c r="E4434" s="267">
        <v>1</v>
      </c>
      <c r="F4434" s="267" t="s">
        <v>944</v>
      </c>
      <c r="G4434" s="267" t="s">
        <v>3926</v>
      </c>
      <c r="H4434" s="267" t="s">
        <v>9027</v>
      </c>
      <c r="I4434" s="267" t="s">
        <v>3971</v>
      </c>
      <c r="J4434" s="267" t="s">
        <v>3928</v>
      </c>
      <c r="K4434" s="267">
        <v>6084</v>
      </c>
      <c r="L4434" s="267">
        <v>533101</v>
      </c>
      <c r="M4434" s="267" t="s">
        <v>3943</v>
      </c>
      <c r="N4434" s="267" t="s">
        <v>3944</v>
      </c>
      <c r="O4434" s="267">
        <v>1115.3800000000001</v>
      </c>
      <c r="P4434" s="267" t="s">
        <v>3944</v>
      </c>
      <c r="Q4434" s="267" t="s">
        <v>3944</v>
      </c>
      <c r="R4434" s="267">
        <v>1115.3800000000001</v>
      </c>
      <c r="S4434" s="267">
        <v>11812.62</v>
      </c>
      <c r="T4434" s="267">
        <v>12928</v>
      </c>
      <c r="U4434" s="268" t="s">
        <v>3945</v>
      </c>
      <c r="V4434" s="267" t="s">
        <v>944</v>
      </c>
    </row>
    <row r="4435" spans="1:22" hidden="1" x14ac:dyDescent="0.25">
      <c r="A4435" s="269">
        <v>43684</v>
      </c>
      <c r="B4435" s="270">
        <v>2019</v>
      </c>
      <c r="C4435" s="270">
        <v>2020</v>
      </c>
      <c r="D4435" s="270">
        <v>1</v>
      </c>
      <c r="E4435" s="270">
        <v>1</v>
      </c>
      <c r="F4435" s="270" t="s">
        <v>944</v>
      </c>
      <c r="G4435" s="270" t="s">
        <v>3926</v>
      </c>
      <c r="H4435" s="270" t="s">
        <v>9028</v>
      </c>
      <c r="I4435" s="270" t="s">
        <v>4269</v>
      </c>
      <c r="J4435" s="270" t="s">
        <v>3928</v>
      </c>
      <c r="K4435" s="270">
        <v>6117</v>
      </c>
      <c r="L4435" s="270">
        <v>497300</v>
      </c>
      <c r="M4435" s="270" t="s">
        <v>3943</v>
      </c>
      <c r="N4435" s="270" t="s">
        <v>3944</v>
      </c>
      <c r="O4435" s="270">
        <v>3076.29</v>
      </c>
      <c r="P4435" s="270" t="s">
        <v>3944</v>
      </c>
      <c r="Q4435" s="270" t="s">
        <v>3944</v>
      </c>
      <c r="R4435" s="270">
        <v>3076.29</v>
      </c>
      <c r="S4435" s="270">
        <v>43628.65</v>
      </c>
      <c r="T4435" s="270">
        <v>46704.94</v>
      </c>
      <c r="U4435" s="271" t="s">
        <v>3945</v>
      </c>
      <c r="V4435" s="267" t="s">
        <v>944</v>
      </c>
    </row>
    <row r="4436" spans="1:22" hidden="1" x14ac:dyDescent="0.25">
      <c r="A4436" s="266">
        <v>43684</v>
      </c>
      <c r="B4436" s="267">
        <v>2019</v>
      </c>
      <c r="C4436" s="267">
        <v>2020</v>
      </c>
      <c r="D4436" s="267">
        <v>1</v>
      </c>
      <c r="E4436" s="267">
        <v>1</v>
      </c>
      <c r="F4436" s="267" t="s">
        <v>944</v>
      </c>
      <c r="G4436" s="267" t="s">
        <v>3926</v>
      </c>
      <c r="H4436" s="267" t="s">
        <v>9029</v>
      </c>
      <c r="I4436" s="267" t="s">
        <v>4037</v>
      </c>
      <c r="J4436" s="267" t="s">
        <v>3928</v>
      </c>
      <c r="K4436" s="267">
        <v>6810</v>
      </c>
      <c r="L4436" s="267">
        <v>210300</v>
      </c>
      <c r="M4436" s="267" t="s">
        <v>3940</v>
      </c>
      <c r="N4436" s="267" t="s">
        <v>3944</v>
      </c>
      <c r="O4436" s="267">
        <v>2432.75</v>
      </c>
      <c r="P4436" s="267" t="s">
        <v>3944</v>
      </c>
      <c r="Q4436" s="267" t="s">
        <v>3944</v>
      </c>
      <c r="R4436" s="267">
        <v>2432.75</v>
      </c>
      <c r="S4436" s="267">
        <v>35699.47</v>
      </c>
      <c r="T4436" s="267">
        <v>38132.22</v>
      </c>
      <c r="U4436" s="268" t="s">
        <v>3945</v>
      </c>
      <c r="V4436" s="267" t="s">
        <v>944</v>
      </c>
    </row>
    <row r="4437" spans="1:22" hidden="1" x14ac:dyDescent="0.25">
      <c r="A4437" s="269">
        <v>43684</v>
      </c>
      <c r="B4437" s="270">
        <v>2019</v>
      </c>
      <c r="C4437" s="270">
        <v>2020</v>
      </c>
      <c r="D4437" s="270">
        <v>1</v>
      </c>
      <c r="E4437" s="270">
        <v>1</v>
      </c>
      <c r="F4437" s="270" t="s">
        <v>944</v>
      </c>
      <c r="G4437" s="270" t="s">
        <v>3926</v>
      </c>
      <c r="H4437" s="270" t="s">
        <v>9030</v>
      </c>
      <c r="I4437" s="270" t="s">
        <v>5183</v>
      </c>
      <c r="J4437" s="270" t="s">
        <v>3928</v>
      </c>
      <c r="K4437" s="270">
        <v>6277</v>
      </c>
      <c r="L4437" s="270">
        <v>900100</v>
      </c>
      <c r="M4437" s="270" t="s">
        <v>3935</v>
      </c>
      <c r="N4437" s="270" t="s">
        <v>3944</v>
      </c>
      <c r="O4437" s="270">
        <v>1565.41</v>
      </c>
      <c r="P4437" s="270" t="s">
        <v>3944</v>
      </c>
      <c r="Q4437" s="270" t="s">
        <v>3944</v>
      </c>
      <c r="R4437" s="270">
        <v>1565.41</v>
      </c>
      <c r="S4437" s="270">
        <v>21217.91</v>
      </c>
      <c r="T4437" s="270">
        <v>22783.32</v>
      </c>
      <c r="U4437" s="271" t="s">
        <v>3945</v>
      </c>
      <c r="V4437" s="267" t="s">
        <v>944</v>
      </c>
    </row>
    <row r="4438" spans="1:22" hidden="1" x14ac:dyDescent="0.25">
      <c r="A4438" s="266">
        <v>43684</v>
      </c>
      <c r="B4438" s="267">
        <v>2019</v>
      </c>
      <c r="C4438" s="267">
        <v>2020</v>
      </c>
      <c r="D4438" s="267">
        <v>1</v>
      </c>
      <c r="E4438" s="267">
        <v>1</v>
      </c>
      <c r="F4438" s="267" t="s">
        <v>944</v>
      </c>
      <c r="G4438" s="267" t="s">
        <v>3926</v>
      </c>
      <c r="H4438" s="267" t="s">
        <v>9031</v>
      </c>
      <c r="I4438" s="267" t="s">
        <v>3949</v>
      </c>
      <c r="J4438" s="267" t="s">
        <v>3928</v>
      </c>
      <c r="K4438" s="267">
        <v>6437</v>
      </c>
      <c r="L4438" s="267">
        <v>190301</v>
      </c>
      <c r="M4438" s="267" t="s">
        <v>3943</v>
      </c>
      <c r="N4438" s="267" t="s">
        <v>3944</v>
      </c>
      <c r="O4438" s="267">
        <v>3212.16</v>
      </c>
      <c r="P4438" s="267" t="s">
        <v>3944</v>
      </c>
      <c r="Q4438" s="267" t="s">
        <v>3944</v>
      </c>
      <c r="R4438" s="267">
        <v>3212.16</v>
      </c>
      <c r="S4438" s="267">
        <v>55014.52</v>
      </c>
      <c r="T4438" s="267">
        <v>58226.68</v>
      </c>
      <c r="U4438" s="268" t="s">
        <v>3945</v>
      </c>
      <c r="V4438" s="267" t="s">
        <v>944</v>
      </c>
    </row>
    <row r="4439" spans="1:22" hidden="1" x14ac:dyDescent="0.25">
      <c r="A4439" s="269">
        <v>43684</v>
      </c>
      <c r="B4439" s="270">
        <v>2019</v>
      </c>
      <c r="C4439" s="270">
        <v>2020</v>
      </c>
      <c r="D4439" s="270">
        <v>1</v>
      </c>
      <c r="E4439" s="270">
        <v>1</v>
      </c>
      <c r="F4439" s="270" t="s">
        <v>944</v>
      </c>
      <c r="G4439" s="270" t="s">
        <v>3926</v>
      </c>
      <c r="H4439" s="270" t="s">
        <v>9032</v>
      </c>
      <c r="I4439" s="270" t="s">
        <v>4147</v>
      </c>
      <c r="J4439" s="270" t="s">
        <v>3928</v>
      </c>
      <c r="K4439" s="270">
        <v>6109</v>
      </c>
      <c r="L4439" s="270">
        <v>492300</v>
      </c>
      <c r="M4439" s="270" t="s">
        <v>3940</v>
      </c>
      <c r="N4439" s="270" t="s">
        <v>3944</v>
      </c>
      <c r="O4439" s="270">
        <v>2486.6799999999998</v>
      </c>
      <c r="P4439" s="270" t="s">
        <v>3944</v>
      </c>
      <c r="Q4439" s="270" t="s">
        <v>3944</v>
      </c>
      <c r="R4439" s="270">
        <v>2486.6799999999998</v>
      </c>
      <c r="S4439" s="270">
        <v>31932.21</v>
      </c>
      <c r="T4439" s="270">
        <v>34418.89</v>
      </c>
      <c r="U4439" s="271" t="s">
        <v>3945</v>
      </c>
      <c r="V4439" s="267" t="s">
        <v>944</v>
      </c>
    </row>
    <row r="4440" spans="1:22" hidden="1" x14ac:dyDescent="0.25">
      <c r="A4440" s="266">
        <v>43684</v>
      </c>
      <c r="B4440" s="267">
        <v>2019</v>
      </c>
      <c r="C4440" s="267">
        <v>2020</v>
      </c>
      <c r="D4440" s="267">
        <v>1</v>
      </c>
      <c r="E4440" s="267">
        <v>1</v>
      </c>
      <c r="F4440" s="267" t="s">
        <v>944</v>
      </c>
      <c r="G4440" s="267" t="s">
        <v>3926</v>
      </c>
      <c r="H4440" s="267" t="s">
        <v>9033</v>
      </c>
      <c r="I4440" s="267" t="s">
        <v>4019</v>
      </c>
      <c r="J4440" s="267" t="s">
        <v>3928</v>
      </c>
      <c r="K4440" s="267">
        <v>6708</v>
      </c>
      <c r="L4440" s="267">
        <v>351900</v>
      </c>
      <c r="M4440" s="267" t="s">
        <v>3935</v>
      </c>
      <c r="N4440" s="267" t="s">
        <v>3944</v>
      </c>
      <c r="O4440" s="267">
        <v>1791.06</v>
      </c>
      <c r="P4440" s="267" t="s">
        <v>3944</v>
      </c>
      <c r="Q4440" s="267" t="s">
        <v>3944</v>
      </c>
      <c r="R4440" s="267">
        <v>1791.06</v>
      </c>
      <c r="S4440" s="267">
        <v>21126.45</v>
      </c>
      <c r="T4440" s="267">
        <v>22917.51</v>
      </c>
      <c r="U4440" s="268" t="s">
        <v>3945</v>
      </c>
      <c r="V4440" s="267" t="s">
        <v>944</v>
      </c>
    </row>
    <row r="4441" spans="1:22" hidden="1" x14ac:dyDescent="0.25">
      <c r="A4441" s="269">
        <v>43685</v>
      </c>
      <c r="B4441" s="270">
        <v>2019</v>
      </c>
      <c r="C4441" s="270">
        <v>2020</v>
      </c>
      <c r="D4441" s="270">
        <v>1</v>
      </c>
      <c r="E4441" s="270">
        <v>1</v>
      </c>
      <c r="F4441" s="270" t="s">
        <v>944</v>
      </c>
      <c r="G4441" s="270" t="s">
        <v>3926</v>
      </c>
      <c r="H4441" s="270" t="s">
        <v>9034</v>
      </c>
      <c r="I4441" s="270" t="s">
        <v>3975</v>
      </c>
      <c r="J4441" s="270" t="s">
        <v>3928</v>
      </c>
      <c r="K4441" s="270">
        <v>6108</v>
      </c>
      <c r="L4441" s="270">
        <v>510400</v>
      </c>
      <c r="M4441" s="270">
        <v>-60</v>
      </c>
      <c r="N4441" s="270" t="s">
        <v>9035</v>
      </c>
      <c r="O4441" s="270">
        <v>0</v>
      </c>
      <c r="P4441" s="270" t="s">
        <v>3930</v>
      </c>
      <c r="Q4441" s="270" t="s">
        <v>3930</v>
      </c>
      <c r="R4441" s="270">
        <v>0</v>
      </c>
      <c r="S4441" s="270">
        <v>8915.44</v>
      </c>
      <c r="T4441" s="270">
        <v>8915.44</v>
      </c>
      <c r="U4441" s="271" t="s">
        <v>3937</v>
      </c>
      <c r="V4441" s="267" t="s">
        <v>944</v>
      </c>
    </row>
    <row r="4442" spans="1:22" hidden="1" x14ac:dyDescent="0.25">
      <c r="A4442" s="266">
        <v>43685</v>
      </c>
      <c r="B4442" s="267">
        <v>2019</v>
      </c>
      <c r="C4442" s="267">
        <v>2020</v>
      </c>
      <c r="D4442" s="267">
        <v>1</v>
      </c>
      <c r="E4442" s="267">
        <v>1</v>
      </c>
      <c r="F4442" s="267" t="s">
        <v>944</v>
      </c>
      <c r="G4442" s="267" t="s">
        <v>3926</v>
      </c>
      <c r="H4442" s="267" t="s">
        <v>9036</v>
      </c>
      <c r="I4442" s="267" t="s">
        <v>3949</v>
      </c>
      <c r="J4442" s="267" t="s">
        <v>3928</v>
      </c>
      <c r="K4442" s="267">
        <v>6437</v>
      </c>
      <c r="L4442" s="267">
        <v>190100</v>
      </c>
      <c r="M4442" s="267" t="s">
        <v>3960</v>
      </c>
      <c r="N4442" s="267" t="s">
        <v>9037</v>
      </c>
      <c r="O4442" s="267">
        <v>0</v>
      </c>
      <c r="P4442" s="267" t="s">
        <v>3930</v>
      </c>
      <c r="Q4442" s="267" t="s">
        <v>3930</v>
      </c>
      <c r="R4442" s="267">
        <v>0</v>
      </c>
      <c r="S4442" s="267">
        <v>22952</v>
      </c>
      <c r="T4442" s="267">
        <v>22952</v>
      </c>
      <c r="U4442" s="268" t="s">
        <v>3937</v>
      </c>
      <c r="V4442" s="267" t="s">
        <v>944</v>
      </c>
    </row>
    <row r="4443" spans="1:22" hidden="1" x14ac:dyDescent="0.25">
      <c r="A4443" s="269">
        <v>43685</v>
      </c>
      <c r="B4443" s="270">
        <v>2019</v>
      </c>
      <c r="C4443" s="270">
        <v>2020</v>
      </c>
      <c r="D4443" s="270">
        <v>1</v>
      </c>
      <c r="E4443" s="270">
        <v>1</v>
      </c>
      <c r="F4443" s="270" t="s">
        <v>944</v>
      </c>
      <c r="G4443" s="270" t="s">
        <v>3926</v>
      </c>
      <c r="H4443" s="270" t="s">
        <v>9038</v>
      </c>
      <c r="I4443" s="270" t="s">
        <v>950</v>
      </c>
      <c r="J4443" s="270" t="s">
        <v>3928</v>
      </c>
      <c r="K4443" s="270">
        <v>6516</v>
      </c>
      <c r="L4443" s="270">
        <v>154200</v>
      </c>
      <c r="M4443" s="270" t="s">
        <v>3940</v>
      </c>
      <c r="N4443" s="270" t="s">
        <v>7129</v>
      </c>
      <c r="O4443" s="270">
        <v>4554.8100000000004</v>
      </c>
      <c r="P4443" s="270" t="s">
        <v>3930</v>
      </c>
      <c r="Q4443" s="270" t="s">
        <v>3931</v>
      </c>
      <c r="R4443" s="270">
        <v>9554.81</v>
      </c>
      <c r="S4443" s="270">
        <v>22400</v>
      </c>
      <c r="T4443" s="270">
        <v>31954.81</v>
      </c>
      <c r="U4443" s="271" t="s">
        <v>3932</v>
      </c>
      <c r="V4443" s="267" t="s">
        <v>944</v>
      </c>
    </row>
    <row r="4444" spans="1:22" hidden="1" x14ac:dyDescent="0.25">
      <c r="A4444" s="266">
        <v>43685</v>
      </c>
      <c r="B4444" s="267">
        <v>2019</v>
      </c>
      <c r="C4444" s="267">
        <v>2020</v>
      </c>
      <c r="D4444" s="267">
        <v>1</v>
      </c>
      <c r="E4444" s="267">
        <v>1</v>
      </c>
      <c r="F4444" s="267" t="s">
        <v>944</v>
      </c>
      <c r="G4444" s="267" t="s">
        <v>3926</v>
      </c>
      <c r="H4444" s="267" t="s">
        <v>9039</v>
      </c>
      <c r="I4444" s="267" t="s">
        <v>934</v>
      </c>
      <c r="J4444" s="267" t="s">
        <v>3928</v>
      </c>
      <c r="K4444" s="267">
        <v>6606</v>
      </c>
      <c r="L4444" s="267">
        <v>72400</v>
      </c>
      <c r="M4444" s="267" t="s">
        <v>3940</v>
      </c>
      <c r="N4444" s="267" t="s">
        <v>4103</v>
      </c>
      <c r="O4444" s="267">
        <v>1754.17</v>
      </c>
      <c r="P4444" s="267" t="s">
        <v>3930</v>
      </c>
      <c r="Q4444" s="267" t="s">
        <v>3931</v>
      </c>
      <c r="R4444" s="267">
        <v>6754.17</v>
      </c>
      <c r="S4444" s="267">
        <v>24145.599999999999</v>
      </c>
      <c r="T4444" s="267">
        <v>30899.77</v>
      </c>
      <c r="U4444" s="268" t="s">
        <v>3932</v>
      </c>
      <c r="V4444" s="267" t="s">
        <v>944</v>
      </c>
    </row>
    <row r="4445" spans="1:22" hidden="1" x14ac:dyDescent="0.25">
      <c r="A4445" s="269">
        <v>43685</v>
      </c>
      <c r="B4445" s="270">
        <v>2019</v>
      </c>
      <c r="C4445" s="270">
        <v>2020</v>
      </c>
      <c r="D4445" s="270">
        <v>1</v>
      </c>
      <c r="E4445" s="270">
        <v>1</v>
      </c>
      <c r="F4445" s="270" t="s">
        <v>944</v>
      </c>
      <c r="G4445" s="270" t="s">
        <v>3926</v>
      </c>
      <c r="H4445" s="270" t="s">
        <v>9040</v>
      </c>
      <c r="I4445" s="270" t="s">
        <v>2987</v>
      </c>
      <c r="J4445" s="270" t="s">
        <v>3928</v>
      </c>
      <c r="K4445" s="270">
        <v>6611</v>
      </c>
      <c r="L4445" s="270">
        <v>90200</v>
      </c>
      <c r="M4445" s="270" t="s">
        <v>3943</v>
      </c>
      <c r="N4445" s="270" t="s">
        <v>9041</v>
      </c>
      <c r="O4445" s="270">
        <v>3811</v>
      </c>
      <c r="P4445" s="270" t="s">
        <v>3930</v>
      </c>
      <c r="Q4445" s="270" t="s">
        <v>3930</v>
      </c>
      <c r="R4445" s="270">
        <v>3811</v>
      </c>
      <c r="S4445" s="270">
        <v>23806</v>
      </c>
      <c r="T4445" s="270">
        <v>27617</v>
      </c>
      <c r="U4445" s="271" t="s">
        <v>3937</v>
      </c>
      <c r="V4445" s="267" t="s">
        <v>944</v>
      </c>
    </row>
    <row r="4446" spans="1:22" hidden="1" x14ac:dyDescent="0.25">
      <c r="A4446" s="266">
        <v>43685</v>
      </c>
      <c r="B4446" s="267">
        <v>2019</v>
      </c>
      <c r="C4446" s="267">
        <v>2020</v>
      </c>
      <c r="D4446" s="267">
        <v>1</v>
      </c>
      <c r="E4446" s="267">
        <v>1</v>
      </c>
      <c r="F4446" s="267" t="s">
        <v>944</v>
      </c>
      <c r="G4446" s="267" t="s">
        <v>3926</v>
      </c>
      <c r="H4446" s="267" t="s">
        <v>9042</v>
      </c>
      <c r="I4446" s="267" t="s">
        <v>4019</v>
      </c>
      <c r="J4446" s="267" t="s">
        <v>3928</v>
      </c>
      <c r="K4446" s="267">
        <v>6708</v>
      </c>
      <c r="L4446" s="267">
        <v>351900</v>
      </c>
      <c r="M4446" s="267" t="s">
        <v>3935</v>
      </c>
      <c r="N4446" s="267" t="s">
        <v>4103</v>
      </c>
      <c r="O4446" s="267">
        <v>4825.8900000000003</v>
      </c>
      <c r="P4446" s="267" t="s">
        <v>3930</v>
      </c>
      <c r="Q4446" s="267" t="s">
        <v>3931</v>
      </c>
      <c r="R4446" s="267">
        <v>9825.89</v>
      </c>
      <c r="S4446" s="267">
        <v>24145.599999999999</v>
      </c>
      <c r="T4446" s="267">
        <v>33971.49</v>
      </c>
      <c r="U4446" s="268" t="s">
        <v>3932</v>
      </c>
      <c r="V4446" s="267" t="s">
        <v>944</v>
      </c>
    </row>
    <row r="4447" spans="1:22" hidden="1" x14ac:dyDescent="0.25">
      <c r="A4447" s="269">
        <v>43685</v>
      </c>
      <c r="B4447" s="270">
        <v>2019</v>
      </c>
      <c r="C4447" s="270">
        <v>2020</v>
      </c>
      <c r="D4447" s="270">
        <v>1</v>
      </c>
      <c r="E4447" s="270">
        <v>1</v>
      </c>
      <c r="F4447" s="270" t="s">
        <v>944</v>
      </c>
      <c r="G4447" s="270" t="s">
        <v>3926</v>
      </c>
      <c r="H4447" s="270" t="s">
        <v>9043</v>
      </c>
      <c r="I4447" s="270" t="s">
        <v>4947</v>
      </c>
      <c r="J4447" s="270" t="s">
        <v>3928</v>
      </c>
      <c r="K4447" s="270">
        <v>6787</v>
      </c>
      <c r="L4447" s="270">
        <v>349100</v>
      </c>
      <c r="M4447" s="270" t="s">
        <v>3935</v>
      </c>
      <c r="N4447" s="270" t="s">
        <v>3944</v>
      </c>
      <c r="O4447" s="270">
        <v>1433</v>
      </c>
      <c r="P4447" s="270" t="s">
        <v>3944</v>
      </c>
      <c r="Q4447" s="270" t="s">
        <v>3944</v>
      </c>
      <c r="R4447" s="270">
        <v>1433</v>
      </c>
      <c r="S4447" s="270">
        <v>19733.43</v>
      </c>
      <c r="T4447" s="270">
        <v>21166.43</v>
      </c>
      <c r="U4447" s="271" t="s">
        <v>3945</v>
      </c>
      <c r="V4447" s="267" t="s">
        <v>944</v>
      </c>
    </row>
    <row r="4448" spans="1:22" hidden="1" x14ac:dyDescent="0.25">
      <c r="A4448" s="266">
        <v>43685</v>
      </c>
      <c r="B4448" s="267">
        <v>2019</v>
      </c>
      <c r="C4448" s="267">
        <v>2020</v>
      </c>
      <c r="D4448" s="267">
        <v>1</v>
      </c>
      <c r="E4448" s="267">
        <v>1</v>
      </c>
      <c r="F4448" s="267" t="s">
        <v>944</v>
      </c>
      <c r="G4448" s="267" t="s">
        <v>3926</v>
      </c>
      <c r="H4448" s="267" t="s">
        <v>9044</v>
      </c>
      <c r="I4448" s="267" t="s">
        <v>3962</v>
      </c>
      <c r="J4448" s="267" t="s">
        <v>3928</v>
      </c>
      <c r="K4448" s="267">
        <v>6378</v>
      </c>
      <c r="L4448" s="267">
        <v>705200</v>
      </c>
      <c r="M4448" s="267" t="s">
        <v>3960</v>
      </c>
      <c r="N4448" s="267" t="s">
        <v>3944</v>
      </c>
      <c r="O4448" s="267">
        <v>3486</v>
      </c>
      <c r="P4448" s="267" t="s">
        <v>3944</v>
      </c>
      <c r="Q4448" s="267" t="s">
        <v>3944</v>
      </c>
      <c r="R4448" s="267">
        <v>3486</v>
      </c>
      <c r="S4448" s="267">
        <v>28493.21</v>
      </c>
      <c r="T4448" s="267">
        <v>31979.21</v>
      </c>
      <c r="U4448" s="268" t="s">
        <v>3945</v>
      </c>
      <c r="V4448" s="267" t="s">
        <v>944</v>
      </c>
    </row>
    <row r="4449" spans="1:22" hidden="1" x14ac:dyDescent="0.25">
      <c r="A4449" s="269">
        <v>43685</v>
      </c>
      <c r="B4449" s="270">
        <v>2019</v>
      </c>
      <c r="C4449" s="270">
        <v>2020</v>
      </c>
      <c r="D4449" s="270">
        <v>1</v>
      </c>
      <c r="E4449" s="270">
        <v>1</v>
      </c>
      <c r="F4449" s="270" t="s">
        <v>944</v>
      </c>
      <c r="G4449" s="270" t="s">
        <v>3926</v>
      </c>
      <c r="H4449" s="270" t="s">
        <v>9045</v>
      </c>
      <c r="I4449" s="270" t="s">
        <v>5485</v>
      </c>
      <c r="J4449" s="270" t="s">
        <v>3928</v>
      </c>
      <c r="K4449" s="270">
        <v>6001</v>
      </c>
      <c r="L4449" s="270">
        <v>462102</v>
      </c>
      <c r="M4449" s="270" t="s">
        <v>3943</v>
      </c>
      <c r="N4449" s="270" t="s">
        <v>3944</v>
      </c>
      <c r="O4449" s="270">
        <v>6042</v>
      </c>
      <c r="P4449" s="270" t="s">
        <v>3944</v>
      </c>
      <c r="Q4449" s="270" t="s">
        <v>3944</v>
      </c>
      <c r="R4449" s="270">
        <v>6042</v>
      </c>
      <c r="S4449" s="270">
        <v>74038</v>
      </c>
      <c r="T4449" s="270">
        <v>80080</v>
      </c>
      <c r="U4449" s="271" t="s">
        <v>3945</v>
      </c>
      <c r="V4449" s="267" t="s">
        <v>944</v>
      </c>
    </row>
    <row r="4450" spans="1:22" hidden="1" x14ac:dyDescent="0.25">
      <c r="A4450" s="266">
        <v>43685</v>
      </c>
      <c r="B4450" s="267">
        <v>2019</v>
      </c>
      <c r="C4450" s="267">
        <v>2020</v>
      </c>
      <c r="D4450" s="267">
        <v>1</v>
      </c>
      <c r="E4450" s="267">
        <v>1</v>
      </c>
      <c r="F4450" s="267" t="s">
        <v>944</v>
      </c>
      <c r="G4450" s="267" t="s">
        <v>3926</v>
      </c>
      <c r="H4450" s="267" t="s">
        <v>9046</v>
      </c>
      <c r="I4450" s="267" t="s">
        <v>6814</v>
      </c>
      <c r="J4450" s="267" t="s">
        <v>3928</v>
      </c>
      <c r="K4450" s="267">
        <v>6031</v>
      </c>
      <c r="L4450" s="267">
        <v>425600</v>
      </c>
      <c r="M4450" s="267" t="s">
        <v>3935</v>
      </c>
      <c r="N4450" s="267" t="s">
        <v>3944</v>
      </c>
      <c r="O4450" s="267">
        <v>6655</v>
      </c>
      <c r="P4450" s="267" t="s">
        <v>3944</v>
      </c>
      <c r="Q4450" s="267" t="s">
        <v>3944</v>
      </c>
      <c r="R4450" s="267">
        <v>6655</v>
      </c>
      <c r="S4450" s="267">
        <v>48752</v>
      </c>
      <c r="T4450" s="267">
        <v>55407</v>
      </c>
      <c r="U4450" s="268" t="s">
        <v>3945</v>
      </c>
      <c r="V4450" s="267" t="s">
        <v>944</v>
      </c>
    </row>
    <row r="4451" spans="1:22" hidden="1" x14ac:dyDescent="0.25">
      <c r="A4451" s="269">
        <v>43685</v>
      </c>
      <c r="B4451" s="270">
        <v>2019</v>
      </c>
      <c r="C4451" s="270">
        <v>2020</v>
      </c>
      <c r="D4451" s="270">
        <v>1</v>
      </c>
      <c r="E4451" s="270">
        <v>1</v>
      </c>
      <c r="F4451" s="270" t="s">
        <v>944</v>
      </c>
      <c r="G4451" s="270" t="s">
        <v>3926</v>
      </c>
      <c r="H4451" s="270" t="s">
        <v>9047</v>
      </c>
      <c r="I4451" s="270" t="s">
        <v>3012</v>
      </c>
      <c r="J4451" s="270" t="s">
        <v>3928</v>
      </c>
      <c r="K4451" s="270">
        <v>6477</v>
      </c>
      <c r="L4451" s="270">
        <v>157300</v>
      </c>
      <c r="M4451" s="270" t="s">
        <v>3943</v>
      </c>
      <c r="N4451" s="270" t="s">
        <v>3944</v>
      </c>
      <c r="O4451" s="270">
        <v>3849</v>
      </c>
      <c r="P4451" s="270" t="s">
        <v>3944</v>
      </c>
      <c r="Q4451" s="270" t="s">
        <v>3944</v>
      </c>
      <c r="R4451" s="270">
        <v>3849</v>
      </c>
      <c r="S4451" s="270">
        <v>28031</v>
      </c>
      <c r="T4451" s="270">
        <v>31880</v>
      </c>
      <c r="U4451" s="271" t="s">
        <v>3945</v>
      </c>
      <c r="V4451" s="267" t="s">
        <v>944</v>
      </c>
    </row>
    <row r="4452" spans="1:22" hidden="1" x14ac:dyDescent="0.25">
      <c r="A4452" s="266">
        <v>43685</v>
      </c>
      <c r="B4452" s="267">
        <v>2019</v>
      </c>
      <c r="C4452" s="267">
        <v>2020</v>
      </c>
      <c r="D4452" s="267">
        <v>1</v>
      </c>
      <c r="E4452" s="267">
        <v>1</v>
      </c>
      <c r="F4452" s="267" t="s">
        <v>944</v>
      </c>
      <c r="G4452" s="267" t="s">
        <v>3926</v>
      </c>
      <c r="H4452" s="267" t="s">
        <v>9048</v>
      </c>
      <c r="I4452" s="267" t="s">
        <v>4461</v>
      </c>
      <c r="J4452" s="267" t="s">
        <v>3928</v>
      </c>
      <c r="K4452" s="267">
        <v>6870</v>
      </c>
      <c r="L4452" s="267">
        <v>11000</v>
      </c>
      <c r="M4452" s="267" t="s">
        <v>3943</v>
      </c>
      <c r="N4452" s="267" t="s">
        <v>3944</v>
      </c>
      <c r="O4452" s="267">
        <v>7047</v>
      </c>
      <c r="P4452" s="267" t="s">
        <v>3944</v>
      </c>
      <c r="Q4452" s="267" t="s">
        <v>3944</v>
      </c>
      <c r="R4452" s="267">
        <v>7047</v>
      </c>
      <c r="S4452" s="267">
        <v>59881</v>
      </c>
      <c r="T4452" s="267">
        <v>66928</v>
      </c>
      <c r="U4452" s="268" t="s">
        <v>3945</v>
      </c>
      <c r="V4452" s="267" t="s">
        <v>944</v>
      </c>
    </row>
    <row r="4453" spans="1:22" hidden="1" x14ac:dyDescent="0.25">
      <c r="A4453" s="269">
        <v>43685</v>
      </c>
      <c r="B4453" s="270">
        <v>2019</v>
      </c>
      <c r="C4453" s="270">
        <v>2020</v>
      </c>
      <c r="D4453" s="270">
        <v>1</v>
      </c>
      <c r="E4453" s="270">
        <v>1</v>
      </c>
      <c r="F4453" s="270" t="s">
        <v>944</v>
      </c>
      <c r="G4453" s="270" t="s">
        <v>3926</v>
      </c>
      <c r="H4453" s="270" t="s">
        <v>9049</v>
      </c>
      <c r="I4453" s="270" t="s">
        <v>4005</v>
      </c>
      <c r="J4453" s="270" t="s">
        <v>3928</v>
      </c>
      <c r="K4453" s="270">
        <v>6108</v>
      </c>
      <c r="L4453" s="270">
        <v>511400</v>
      </c>
      <c r="M4453" s="270" t="s">
        <v>3935</v>
      </c>
      <c r="N4453" s="270" t="s">
        <v>3944</v>
      </c>
      <c r="O4453" s="270">
        <v>2496</v>
      </c>
      <c r="P4453" s="270" t="s">
        <v>3944</v>
      </c>
      <c r="Q4453" s="270" t="s">
        <v>3944</v>
      </c>
      <c r="R4453" s="270">
        <v>2496</v>
      </c>
      <c r="S4453" s="270">
        <v>14004</v>
      </c>
      <c r="T4453" s="270">
        <v>16500</v>
      </c>
      <c r="U4453" s="271" t="s">
        <v>3945</v>
      </c>
      <c r="V4453" s="267" t="s">
        <v>944</v>
      </c>
    </row>
    <row r="4454" spans="1:22" hidden="1" x14ac:dyDescent="0.25">
      <c r="A4454" s="266">
        <v>43685</v>
      </c>
      <c r="B4454" s="267">
        <v>2019</v>
      </c>
      <c r="C4454" s="267">
        <v>2020</v>
      </c>
      <c r="D4454" s="267">
        <v>1</v>
      </c>
      <c r="E4454" s="267">
        <v>1</v>
      </c>
      <c r="F4454" s="267" t="s">
        <v>944</v>
      </c>
      <c r="G4454" s="267" t="s">
        <v>3926</v>
      </c>
      <c r="H4454" s="267" t="s">
        <v>9050</v>
      </c>
      <c r="I4454" s="267" t="s">
        <v>3954</v>
      </c>
      <c r="J4454" s="267" t="s">
        <v>3928</v>
      </c>
      <c r="K4454" s="267">
        <v>6357</v>
      </c>
      <c r="L4454" s="267">
        <v>870703</v>
      </c>
      <c r="M4454" s="267" t="s">
        <v>3935</v>
      </c>
      <c r="N4454" s="267" t="s">
        <v>3944</v>
      </c>
      <c r="O4454" s="267">
        <v>3546</v>
      </c>
      <c r="P4454" s="267" t="s">
        <v>3944</v>
      </c>
      <c r="Q4454" s="267" t="s">
        <v>3944</v>
      </c>
      <c r="R4454" s="267">
        <v>3546</v>
      </c>
      <c r="S4454" s="267">
        <v>19610.25</v>
      </c>
      <c r="T4454" s="267">
        <v>23156.25</v>
      </c>
      <c r="U4454" s="268" t="s">
        <v>3945</v>
      </c>
      <c r="V4454" s="267" t="s">
        <v>944</v>
      </c>
    </row>
    <row r="4455" spans="1:22" hidden="1" x14ac:dyDescent="0.25">
      <c r="A4455" s="269">
        <v>43685</v>
      </c>
      <c r="B4455" s="270">
        <v>2019</v>
      </c>
      <c r="C4455" s="270">
        <v>2020</v>
      </c>
      <c r="D4455" s="270">
        <v>1</v>
      </c>
      <c r="E4455" s="270">
        <v>1</v>
      </c>
      <c r="F4455" s="270" t="s">
        <v>944</v>
      </c>
      <c r="G4455" s="270" t="s">
        <v>3926</v>
      </c>
      <c r="H4455" s="270" t="s">
        <v>9051</v>
      </c>
      <c r="I4455" s="270" t="s">
        <v>4126</v>
      </c>
      <c r="J4455" s="270" t="s">
        <v>3928</v>
      </c>
      <c r="K4455" s="270">
        <v>6880</v>
      </c>
      <c r="L4455" s="270">
        <v>50600</v>
      </c>
      <c r="M4455" s="270" t="s">
        <v>3943</v>
      </c>
      <c r="N4455" s="270" t="s">
        <v>3944</v>
      </c>
      <c r="O4455" s="270">
        <v>2363</v>
      </c>
      <c r="P4455" s="270" t="s">
        <v>3944</v>
      </c>
      <c r="Q4455" s="270" t="s">
        <v>3944</v>
      </c>
      <c r="R4455" s="270">
        <v>2363</v>
      </c>
      <c r="S4455" s="270">
        <v>37287</v>
      </c>
      <c r="T4455" s="270">
        <v>39650</v>
      </c>
      <c r="U4455" s="271" t="s">
        <v>3945</v>
      </c>
      <c r="V4455" s="267" t="s">
        <v>944</v>
      </c>
    </row>
    <row r="4456" spans="1:22" hidden="1" x14ac:dyDescent="0.25">
      <c r="A4456" s="266">
        <v>43685</v>
      </c>
      <c r="B4456" s="267">
        <v>2019</v>
      </c>
      <c r="C4456" s="267">
        <v>2020</v>
      </c>
      <c r="D4456" s="267">
        <v>1</v>
      </c>
      <c r="E4456" s="267">
        <v>1</v>
      </c>
      <c r="F4456" s="267" t="s">
        <v>944</v>
      </c>
      <c r="G4456" s="267" t="s">
        <v>3926</v>
      </c>
      <c r="H4456" s="267" t="s">
        <v>9052</v>
      </c>
      <c r="I4456" s="267" t="s">
        <v>4993</v>
      </c>
      <c r="J4456" s="267" t="s">
        <v>3928</v>
      </c>
      <c r="K4456" s="267">
        <v>6237</v>
      </c>
      <c r="L4456" s="267">
        <v>860100</v>
      </c>
      <c r="M4456" s="267" t="s">
        <v>3943</v>
      </c>
      <c r="N4456" s="267" t="s">
        <v>3944</v>
      </c>
      <c r="O4456" s="267">
        <v>6600</v>
      </c>
      <c r="P4456" s="267" t="s">
        <v>3944</v>
      </c>
      <c r="Q4456" s="267" t="s">
        <v>3944</v>
      </c>
      <c r="R4456" s="267">
        <v>6600</v>
      </c>
      <c r="S4456" s="267">
        <v>39190</v>
      </c>
      <c r="T4456" s="267">
        <v>45790</v>
      </c>
      <c r="U4456" s="268" t="s">
        <v>3945</v>
      </c>
      <c r="V4456" s="267" t="s">
        <v>944</v>
      </c>
    </row>
    <row r="4457" spans="1:22" hidden="1" x14ac:dyDescent="0.25">
      <c r="A4457" s="269">
        <v>43685</v>
      </c>
      <c r="B4457" s="270">
        <v>2019</v>
      </c>
      <c r="C4457" s="270">
        <v>2020</v>
      </c>
      <c r="D4457" s="270">
        <v>1</v>
      </c>
      <c r="E4457" s="270">
        <v>1</v>
      </c>
      <c r="F4457" s="270" t="s">
        <v>944</v>
      </c>
      <c r="G4457" s="270" t="s">
        <v>3926</v>
      </c>
      <c r="H4457" s="270" t="s">
        <v>9053</v>
      </c>
      <c r="I4457" s="270" t="s">
        <v>2985</v>
      </c>
      <c r="J4457" s="270" t="s">
        <v>3928</v>
      </c>
      <c r="K4457" s="270">
        <v>6824</v>
      </c>
      <c r="L4457" s="270">
        <v>60900</v>
      </c>
      <c r="M4457" s="270" t="s">
        <v>3943</v>
      </c>
      <c r="N4457" s="270" t="s">
        <v>3944</v>
      </c>
      <c r="O4457" s="270">
        <v>3253</v>
      </c>
      <c r="P4457" s="270" t="s">
        <v>3944</v>
      </c>
      <c r="Q4457" s="270" t="s">
        <v>3944</v>
      </c>
      <c r="R4457" s="270">
        <v>3253</v>
      </c>
      <c r="S4457" s="270">
        <v>28027</v>
      </c>
      <c r="T4457" s="270">
        <v>31280</v>
      </c>
      <c r="U4457" s="271" t="s">
        <v>3945</v>
      </c>
      <c r="V4457" s="267" t="s">
        <v>944</v>
      </c>
    </row>
    <row r="4458" spans="1:22" hidden="1" x14ac:dyDescent="0.25">
      <c r="A4458" s="266">
        <v>43685</v>
      </c>
      <c r="B4458" s="267">
        <v>2019</v>
      </c>
      <c r="C4458" s="267">
        <v>2020</v>
      </c>
      <c r="D4458" s="267">
        <v>1</v>
      </c>
      <c r="E4458" s="267">
        <v>1</v>
      </c>
      <c r="F4458" s="267" t="s">
        <v>944</v>
      </c>
      <c r="G4458" s="267" t="s">
        <v>3926</v>
      </c>
      <c r="H4458" s="267" t="s">
        <v>9054</v>
      </c>
      <c r="I4458" s="267" t="s">
        <v>5401</v>
      </c>
      <c r="J4458" s="267" t="s">
        <v>3928</v>
      </c>
      <c r="K4458" s="267">
        <v>6820</v>
      </c>
      <c r="L4458" s="267">
        <v>30300</v>
      </c>
      <c r="M4458" s="267" t="s">
        <v>3943</v>
      </c>
      <c r="N4458" s="267" t="s">
        <v>3944</v>
      </c>
      <c r="O4458" s="267">
        <v>3955</v>
      </c>
      <c r="P4458" s="267" t="s">
        <v>3944</v>
      </c>
      <c r="Q4458" s="267" t="s">
        <v>3944</v>
      </c>
      <c r="R4458" s="267">
        <v>3955</v>
      </c>
      <c r="S4458" s="267">
        <v>28153.8</v>
      </c>
      <c r="T4458" s="267">
        <v>32108.799999999999</v>
      </c>
      <c r="U4458" s="268" t="s">
        <v>3945</v>
      </c>
      <c r="V4458" s="267" t="s">
        <v>944</v>
      </c>
    </row>
    <row r="4459" spans="1:22" hidden="1" x14ac:dyDescent="0.25">
      <c r="A4459" s="269">
        <v>43685</v>
      </c>
      <c r="B4459" s="270">
        <v>2019</v>
      </c>
      <c r="C4459" s="270">
        <v>2020</v>
      </c>
      <c r="D4459" s="270">
        <v>1</v>
      </c>
      <c r="E4459" s="270">
        <v>1</v>
      </c>
      <c r="F4459" s="270" t="s">
        <v>944</v>
      </c>
      <c r="G4459" s="270" t="s">
        <v>3926</v>
      </c>
      <c r="H4459" s="270" t="s">
        <v>9055</v>
      </c>
      <c r="I4459" s="270" t="s">
        <v>4301</v>
      </c>
      <c r="J4459" s="270" t="s">
        <v>3928</v>
      </c>
      <c r="K4459" s="270">
        <v>6357</v>
      </c>
      <c r="L4459" s="270">
        <v>870701</v>
      </c>
      <c r="M4459" s="270" t="s">
        <v>3960</v>
      </c>
      <c r="N4459" s="270" t="s">
        <v>3944</v>
      </c>
      <c r="O4459" s="270">
        <v>5374</v>
      </c>
      <c r="P4459" s="270" t="s">
        <v>3944</v>
      </c>
      <c r="Q4459" s="270" t="s">
        <v>3944</v>
      </c>
      <c r="R4459" s="270">
        <v>5374</v>
      </c>
      <c r="S4459" s="270">
        <v>28205</v>
      </c>
      <c r="T4459" s="270">
        <v>33579</v>
      </c>
      <c r="U4459" s="271" t="s">
        <v>3945</v>
      </c>
      <c r="V4459" s="267" t="s">
        <v>944</v>
      </c>
    </row>
    <row r="4460" spans="1:22" hidden="1" x14ac:dyDescent="0.25">
      <c r="A4460" s="266">
        <v>43685</v>
      </c>
      <c r="B4460" s="267">
        <v>2019</v>
      </c>
      <c r="C4460" s="267">
        <v>2020</v>
      </c>
      <c r="D4460" s="267">
        <v>1</v>
      </c>
      <c r="E4460" s="267">
        <v>1</v>
      </c>
      <c r="F4460" s="267" t="s">
        <v>944</v>
      </c>
      <c r="G4460" s="267" t="s">
        <v>3926</v>
      </c>
      <c r="H4460" s="267" t="s">
        <v>9056</v>
      </c>
      <c r="I4460" s="267" t="s">
        <v>943</v>
      </c>
      <c r="J4460" s="267" t="s">
        <v>3928</v>
      </c>
      <c r="K4460" s="267">
        <v>6511</v>
      </c>
      <c r="L4460" s="267">
        <v>141900</v>
      </c>
      <c r="M4460" s="267" t="s">
        <v>3935</v>
      </c>
      <c r="N4460" s="267" t="s">
        <v>3944</v>
      </c>
      <c r="O4460" s="267">
        <v>2256</v>
      </c>
      <c r="P4460" s="267" t="s">
        <v>3944</v>
      </c>
      <c r="Q4460" s="267" t="s">
        <v>3944</v>
      </c>
      <c r="R4460" s="267">
        <v>2256</v>
      </c>
      <c r="S4460" s="267">
        <v>12792</v>
      </c>
      <c r="T4460" s="267">
        <v>15048</v>
      </c>
      <c r="U4460" s="268" t="s">
        <v>3945</v>
      </c>
      <c r="V4460" s="267" t="s">
        <v>944</v>
      </c>
    </row>
    <row r="4461" spans="1:22" hidden="1" x14ac:dyDescent="0.25">
      <c r="A4461" s="269">
        <v>43685</v>
      </c>
      <c r="B4461" s="270">
        <v>2019</v>
      </c>
      <c r="C4461" s="270">
        <v>2020</v>
      </c>
      <c r="D4461" s="270">
        <v>1</v>
      </c>
      <c r="E4461" s="270">
        <v>1</v>
      </c>
      <c r="F4461" s="270" t="s">
        <v>944</v>
      </c>
      <c r="G4461" s="270" t="s">
        <v>3997</v>
      </c>
      <c r="H4461" s="270" t="s">
        <v>9057</v>
      </c>
      <c r="I4461" s="270" t="s">
        <v>934</v>
      </c>
      <c r="J4461" s="270" t="s">
        <v>3928</v>
      </c>
      <c r="K4461" s="270">
        <v>6604</v>
      </c>
      <c r="L4461" s="270">
        <v>72100</v>
      </c>
      <c r="M4461" s="270" t="s">
        <v>3940</v>
      </c>
      <c r="N4461" s="270" t="s">
        <v>3944</v>
      </c>
      <c r="O4461" s="270">
        <v>967.72</v>
      </c>
      <c r="P4461" s="270" t="s">
        <v>3944</v>
      </c>
      <c r="Q4461" s="270" t="s">
        <v>3944</v>
      </c>
      <c r="R4461" s="270">
        <v>967.72</v>
      </c>
      <c r="S4461" s="270">
        <v>13616.15</v>
      </c>
      <c r="T4461" s="270">
        <v>14583.87</v>
      </c>
      <c r="U4461" s="271" t="s">
        <v>3945</v>
      </c>
      <c r="V4461" s="267" t="s">
        <v>944</v>
      </c>
    </row>
    <row r="4462" spans="1:22" hidden="1" x14ac:dyDescent="0.25">
      <c r="A4462" s="266">
        <v>43685</v>
      </c>
      <c r="B4462" s="267">
        <v>2019</v>
      </c>
      <c r="C4462" s="267">
        <v>2020</v>
      </c>
      <c r="D4462" s="267">
        <v>1</v>
      </c>
      <c r="E4462" s="267">
        <v>1</v>
      </c>
      <c r="F4462" s="267" t="s">
        <v>944</v>
      </c>
      <c r="G4462" s="267" t="s">
        <v>3926</v>
      </c>
      <c r="H4462" s="267" t="s">
        <v>9058</v>
      </c>
      <c r="I4462" s="267" t="s">
        <v>4548</v>
      </c>
      <c r="J4462" s="267" t="s">
        <v>3928</v>
      </c>
      <c r="K4462" s="267">
        <v>6037</v>
      </c>
      <c r="L4462" s="267">
        <v>400200</v>
      </c>
      <c r="M4462" s="267" t="s">
        <v>3943</v>
      </c>
      <c r="N4462" s="267" t="s">
        <v>3944</v>
      </c>
      <c r="O4462" s="267">
        <v>1186.29</v>
      </c>
      <c r="P4462" s="267" t="s">
        <v>3944</v>
      </c>
      <c r="Q4462" s="267" t="s">
        <v>3944</v>
      </c>
      <c r="R4462" s="267">
        <v>1186.29</v>
      </c>
      <c r="S4462" s="267">
        <v>15747.96</v>
      </c>
      <c r="T4462" s="267">
        <v>16934.25</v>
      </c>
      <c r="U4462" s="268" t="s">
        <v>3945</v>
      </c>
      <c r="V4462" s="267" t="s">
        <v>944</v>
      </c>
    </row>
    <row r="4463" spans="1:22" hidden="1" x14ac:dyDescent="0.25">
      <c r="A4463" s="269">
        <v>43685</v>
      </c>
      <c r="B4463" s="270">
        <v>2019</v>
      </c>
      <c r="C4463" s="270">
        <v>2020</v>
      </c>
      <c r="D4463" s="270">
        <v>1</v>
      </c>
      <c r="E4463" s="270">
        <v>1</v>
      </c>
      <c r="F4463" s="270" t="s">
        <v>944</v>
      </c>
      <c r="G4463" s="270" t="s">
        <v>3926</v>
      </c>
      <c r="H4463" s="270" t="s">
        <v>9059</v>
      </c>
      <c r="I4463" s="270" t="s">
        <v>6268</v>
      </c>
      <c r="J4463" s="270" t="s">
        <v>3928</v>
      </c>
      <c r="K4463" s="270">
        <v>6371</v>
      </c>
      <c r="L4463" s="270">
        <v>660101</v>
      </c>
      <c r="M4463" s="270" t="s">
        <v>3960</v>
      </c>
      <c r="N4463" s="270" t="s">
        <v>3944</v>
      </c>
      <c r="O4463" s="270">
        <v>2463.86</v>
      </c>
      <c r="P4463" s="270" t="s">
        <v>3944</v>
      </c>
      <c r="Q4463" s="270" t="s">
        <v>3944</v>
      </c>
      <c r="R4463" s="270">
        <v>2463.86</v>
      </c>
      <c r="S4463" s="270">
        <v>38372.050000000003</v>
      </c>
      <c r="T4463" s="270">
        <v>40835.910000000003</v>
      </c>
      <c r="U4463" s="271" t="s">
        <v>3945</v>
      </c>
      <c r="V4463" s="267" t="s">
        <v>944</v>
      </c>
    </row>
    <row r="4464" spans="1:22" x14ac:dyDescent="0.25">
      <c r="A4464" s="266">
        <v>43685</v>
      </c>
      <c r="B4464" s="267">
        <v>2019</v>
      </c>
      <c r="C4464" s="267">
        <v>2020</v>
      </c>
      <c r="D4464" s="267">
        <v>1</v>
      </c>
      <c r="E4464" s="267">
        <v>1</v>
      </c>
      <c r="F4464" s="267" t="s">
        <v>944</v>
      </c>
      <c r="G4464" s="267" t="s">
        <v>3926</v>
      </c>
      <c r="H4464" s="267" t="s">
        <v>9060</v>
      </c>
      <c r="I4464" s="267" t="s">
        <v>943</v>
      </c>
      <c r="J4464" s="267" t="s">
        <v>3928</v>
      </c>
      <c r="K4464" s="267">
        <v>6519</v>
      </c>
      <c r="L4464" s="267">
        <v>140400</v>
      </c>
      <c r="M4464" s="267">
        <v>-60</v>
      </c>
      <c r="N4464" s="267" t="s">
        <v>3944</v>
      </c>
      <c r="O4464" s="267">
        <v>1416.52</v>
      </c>
      <c r="P4464" s="267" t="s">
        <v>3944</v>
      </c>
      <c r="Q4464" s="267" t="s">
        <v>3944</v>
      </c>
      <c r="R4464" s="267">
        <v>1416.52</v>
      </c>
      <c r="S4464" s="267">
        <v>22057.19</v>
      </c>
      <c r="T4464" s="267">
        <v>23473.71</v>
      </c>
      <c r="U4464" s="268" t="s">
        <v>3945</v>
      </c>
      <c r="V4464" s="276" t="s">
        <v>936</v>
      </c>
    </row>
    <row r="4465" spans="1:22" hidden="1" x14ac:dyDescent="0.25">
      <c r="A4465" s="269">
        <v>43685</v>
      </c>
      <c r="B4465" s="270">
        <v>2019</v>
      </c>
      <c r="C4465" s="270">
        <v>2020</v>
      </c>
      <c r="D4465" s="270">
        <v>1</v>
      </c>
      <c r="E4465" s="270">
        <v>1</v>
      </c>
      <c r="F4465" s="270" t="s">
        <v>944</v>
      </c>
      <c r="G4465" s="270" t="s">
        <v>3926</v>
      </c>
      <c r="H4465" s="270" t="s">
        <v>9061</v>
      </c>
      <c r="I4465" s="270" t="s">
        <v>4244</v>
      </c>
      <c r="J4465" s="270" t="s">
        <v>3928</v>
      </c>
      <c r="K4465" s="270">
        <v>6250</v>
      </c>
      <c r="L4465" s="270">
        <v>881100</v>
      </c>
      <c r="M4465" s="270" t="s">
        <v>3935</v>
      </c>
      <c r="N4465" s="270" t="s">
        <v>3944</v>
      </c>
      <c r="O4465" s="270">
        <v>2635.19</v>
      </c>
      <c r="P4465" s="270" t="s">
        <v>3944</v>
      </c>
      <c r="Q4465" s="270" t="s">
        <v>3944</v>
      </c>
      <c r="R4465" s="270">
        <v>2635.19</v>
      </c>
      <c r="S4465" s="270">
        <v>35549.19</v>
      </c>
      <c r="T4465" s="270">
        <v>38184.379999999997</v>
      </c>
      <c r="U4465" s="271" t="s">
        <v>3945</v>
      </c>
      <c r="V4465" s="267" t="s">
        <v>944</v>
      </c>
    </row>
    <row r="4466" spans="1:22" hidden="1" x14ac:dyDescent="0.25">
      <c r="A4466" s="266">
        <v>43685</v>
      </c>
      <c r="B4466" s="267">
        <v>2019</v>
      </c>
      <c r="C4466" s="267">
        <v>2020</v>
      </c>
      <c r="D4466" s="267">
        <v>1</v>
      </c>
      <c r="E4466" s="267">
        <v>1</v>
      </c>
      <c r="F4466" s="267" t="s">
        <v>944</v>
      </c>
      <c r="G4466" s="267" t="s">
        <v>3926</v>
      </c>
      <c r="H4466" s="267" t="s">
        <v>9062</v>
      </c>
      <c r="I4466" s="267" t="s">
        <v>4042</v>
      </c>
      <c r="J4466" s="267" t="s">
        <v>3928</v>
      </c>
      <c r="K4466" s="267">
        <v>6382</v>
      </c>
      <c r="L4466" s="267">
        <v>870501</v>
      </c>
      <c r="M4466" s="267" t="s">
        <v>3935</v>
      </c>
      <c r="N4466" s="267" t="s">
        <v>3944</v>
      </c>
      <c r="O4466" s="267">
        <v>2170</v>
      </c>
      <c r="P4466" s="267" t="s">
        <v>3944</v>
      </c>
      <c r="Q4466" s="267" t="s">
        <v>3944</v>
      </c>
      <c r="R4466" s="267">
        <v>2170</v>
      </c>
      <c r="S4466" s="267">
        <v>34983.29</v>
      </c>
      <c r="T4466" s="267">
        <v>37153.29</v>
      </c>
      <c r="U4466" s="268" t="s">
        <v>3945</v>
      </c>
      <c r="V4466" s="267" t="s">
        <v>944</v>
      </c>
    </row>
    <row r="4467" spans="1:22" hidden="1" x14ac:dyDescent="0.25">
      <c r="A4467" s="269">
        <v>43685</v>
      </c>
      <c r="B4467" s="270">
        <v>2019</v>
      </c>
      <c r="C4467" s="270">
        <v>2020</v>
      </c>
      <c r="D4467" s="270">
        <v>1</v>
      </c>
      <c r="E4467" s="270">
        <v>1</v>
      </c>
      <c r="F4467" s="270" t="s">
        <v>944</v>
      </c>
      <c r="G4467" s="270" t="s">
        <v>3926</v>
      </c>
      <c r="H4467" s="270" t="s">
        <v>9063</v>
      </c>
      <c r="I4467" s="270" t="s">
        <v>3008</v>
      </c>
      <c r="J4467" s="270" t="s">
        <v>3928</v>
      </c>
      <c r="K4467" s="270">
        <v>6461</v>
      </c>
      <c r="L4467" s="270">
        <v>150800</v>
      </c>
      <c r="M4467" s="270" t="s">
        <v>3960</v>
      </c>
      <c r="N4467" s="270" t="s">
        <v>3944</v>
      </c>
      <c r="O4467" s="270">
        <v>2588.5</v>
      </c>
      <c r="P4467" s="270" t="s">
        <v>3944</v>
      </c>
      <c r="Q4467" s="270" t="s">
        <v>3944</v>
      </c>
      <c r="R4467" s="270">
        <v>2588.5</v>
      </c>
      <c r="S4467" s="270">
        <v>42160.35</v>
      </c>
      <c r="T4467" s="270">
        <v>44748.85</v>
      </c>
      <c r="U4467" s="271" t="s">
        <v>3945</v>
      </c>
      <c r="V4467" s="267" t="s">
        <v>944</v>
      </c>
    </row>
    <row r="4468" spans="1:22" hidden="1" x14ac:dyDescent="0.25">
      <c r="A4468" s="266">
        <v>43685</v>
      </c>
      <c r="B4468" s="267">
        <v>2019</v>
      </c>
      <c r="C4468" s="267">
        <v>2020</v>
      </c>
      <c r="D4468" s="267">
        <v>1</v>
      </c>
      <c r="E4468" s="267">
        <v>1</v>
      </c>
      <c r="F4468" s="267" t="s">
        <v>944</v>
      </c>
      <c r="G4468" s="267" t="s">
        <v>3926</v>
      </c>
      <c r="H4468" s="267" t="s">
        <v>9064</v>
      </c>
      <c r="I4468" s="267" t="s">
        <v>3009</v>
      </c>
      <c r="J4468" s="267" t="s">
        <v>3928</v>
      </c>
      <c r="K4468" s="267">
        <v>6484</v>
      </c>
      <c r="L4468" s="267">
        <v>110600</v>
      </c>
      <c r="M4468" s="267" t="s">
        <v>3943</v>
      </c>
      <c r="N4468" s="267" t="s">
        <v>3944</v>
      </c>
      <c r="O4468" s="267">
        <v>842.45</v>
      </c>
      <c r="P4468" s="267" t="s">
        <v>3944</v>
      </c>
      <c r="Q4468" s="267" t="s">
        <v>3944</v>
      </c>
      <c r="R4468" s="267">
        <v>842.45</v>
      </c>
      <c r="S4468" s="267">
        <v>11495.13</v>
      </c>
      <c r="T4468" s="267">
        <v>12337.58</v>
      </c>
      <c r="U4468" s="268" t="s">
        <v>3945</v>
      </c>
      <c r="V4468" s="267" t="s">
        <v>944</v>
      </c>
    </row>
    <row r="4469" spans="1:22" hidden="1" x14ac:dyDescent="0.25">
      <c r="A4469" s="269">
        <v>43685</v>
      </c>
      <c r="B4469" s="270">
        <v>2019</v>
      </c>
      <c r="C4469" s="270">
        <v>2020</v>
      </c>
      <c r="D4469" s="270">
        <v>1</v>
      </c>
      <c r="E4469" s="270">
        <v>1</v>
      </c>
      <c r="F4469" s="270" t="s">
        <v>944</v>
      </c>
      <c r="G4469" s="270" t="s">
        <v>3926</v>
      </c>
      <c r="H4469" s="270" t="s">
        <v>9065</v>
      </c>
      <c r="I4469" s="270" t="s">
        <v>3009</v>
      </c>
      <c r="J4469" s="270" t="s">
        <v>3928</v>
      </c>
      <c r="K4469" s="270">
        <v>6484</v>
      </c>
      <c r="L4469" s="270">
        <v>110400</v>
      </c>
      <c r="M4469" s="270" t="s">
        <v>3943</v>
      </c>
      <c r="N4469" s="270" t="s">
        <v>3944</v>
      </c>
      <c r="O4469" s="270">
        <v>2419.27</v>
      </c>
      <c r="P4469" s="270" t="s">
        <v>3944</v>
      </c>
      <c r="Q4469" s="270" t="s">
        <v>3944</v>
      </c>
      <c r="R4469" s="270">
        <v>2419.27</v>
      </c>
      <c r="S4469" s="270">
        <v>38122.870000000003</v>
      </c>
      <c r="T4469" s="270">
        <v>40542.14</v>
      </c>
      <c r="U4469" s="271" t="s">
        <v>3945</v>
      </c>
      <c r="V4469" s="267" t="s">
        <v>944</v>
      </c>
    </row>
    <row r="4470" spans="1:22" hidden="1" x14ac:dyDescent="0.25">
      <c r="A4470" s="266">
        <v>43685</v>
      </c>
      <c r="B4470" s="267">
        <v>2019</v>
      </c>
      <c r="C4470" s="267">
        <v>2020</v>
      </c>
      <c r="D4470" s="267">
        <v>1</v>
      </c>
      <c r="E4470" s="267">
        <v>1</v>
      </c>
      <c r="F4470" s="267" t="s">
        <v>944</v>
      </c>
      <c r="G4470" s="267" t="s">
        <v>3926</v>
      </c>
      <c r="H4470" s="267" t="s">
        <v>9066</v>
      </c>
      <c r="I4470" s="267" t="s">
        <v>4029</v>
      </c>
      <c r="J4470" s="267" t="s">
        <v>3928</v>
      </c>
      <c r="K4470" s="267">
        <v>6850</v>
      </c>
      <c r="L4470" s="267">
        <v>43800</v>
      </c>
      <c r="M4470" s="267" t="s">
        <v>3935</v>
      </c>
      <c r="N4470" s="267" t="s">
        <v>3944</v>
      </c>
      <c r="O4470" s="267">
        <v>821.49</v>
      </c>
      <c r="P4470" s="267" t="s">
        <v>3944</v>
      </c>
      <c r="Q4470" s="267" t="s">
        <v>3944</v>
      </c>
      <c r="R4470" s="267">
        <v>821.49</v>
      </c>
      <c r="S4470" s="267">
        <v>10082.76</v>
      </c>
      <c r="T4470" s="267">
        <v>10904.25</v>
      </c>
      <c r="U4470" s="268" t="s">
        <v>3945</v>
      </c>
      <c r="V4470" s="267" t="s">
        <v>944</v>
      </c>
    </row>
    <row r="4471" spans="1:22" hidden="1" x14ac:dyDescent="0.25">
      <c r="A4471" s="269">
        <v>43685</v>
      </c>
      <c r="B4471" s="270">
        <v>2019</v>
      </c>
      <c r="C4471" s="270">
        <v>2020</v>
      </c>
      <c r="D4471" s="270">
        <v>1</v>
      </c>
      <c r="E4471" s="270">
        <v>1</v>
      </c>
      <c r="F4471" s="270" t="s">
        <v>944</v>
      </c>
      <c r="G4471" s="270" t="s">
        <v>3926</v>
      </c>
      <c r="H4471" s="270" t="s">
        <v>9067</v>
      </c>
      <c r="I4471" s="270" t="s">
        <v>2987</v>
      </c>
      <c r="J4471" s="270" t="s">
        <v>3928</v>
      </c>
      <c r="K4471" s="270">
        <v>6611</v>
      </c>
      <c r="L4471" s="270">
        <v>90500</v>
      </c>
      <c r="M4471" s="270" t="s">
        <v>3943</v>
      </c>
      <c r="N4471" s="270" t="s">
        <v>3944</v>
      </c>
      <c r="O4471" s="270">
        <v>1912.82</v>
      </c>
      <c r="P4471" s="270" t="s">
        <v>3944</v>
      </c>
      <c r="Q4471" s="270" t="s">
        <v>3944</v>
      </c>
      <c r="R4471" s="270">
        <v>1912.82</v>
      </c>
      <c r="S4471" s="270">
        <v>29573.51</v>
      </c>
      <c r="T4471" s="270">
        <v>31486.33</v>
      </c>
      <c r="U4471" s="271" t="s">
        <v>3945</v>
      </c>
      <c r="V4471" s="267" t="s">
        <v>944</v>
      </c>
    </row>
    <row r="4472" spans="1:22" hidden="1" x14ac:dyDescent="0.25">
      <c r="A4472" s="266">
        <v>43685</v>
      </c>
      <c r="B4472" s="267">
        <v>2019</v>
      </c>
      <c r="C4472" s="267">
        <v>2020</v>
      </c>
      <c r="D4472" s="267">
        <v>1</v>
      </c>
      <c r="E4472" s="267">
        <v>1</v>
      </c>
      <c r="F4472" s="267" t="s">
        <v>944</v>
      </c>
      <c r="G4472" s="267" t="s">
        <v>3926</v>
      </c>
      <c r="H4472" s="267" t="s">
        <v>9068</v>
      </c>
      <c r="I4472" s="267" t="s">
        <v>4003</v>
      </c>
      <c r="J4472" s="267" t="s">
        <v>3928</v>
      </c>
      <c r="K4472" s="267">
        <v>6374</v>
      </c>
      <c r="L4472" s="267">
        <v>907300</v>
      </c>
      <c r="M4472" s="267" t="s">
        <v>3935</v>
      </c>
      <c r="N4472" s="267" t="s">
        <v>3944</v>
      </c>
      <c r="O4472" s="267">
        <v>1861.58</v>
      </c>
      <c r="P4472" s="267" t="s">
        <v>3944</v>
      </c>
      <c r="Q4472" s="267" t="s">
        <v>3944</v>
      </c>
      <c r="R4472" s="267">
        <v>1861.58</v>
      </c>
      <c r="S4472" s="267">
        <v>23367.94</v>
      </c>
      <c r="T4472" s="267">
        <v>25229.52</v>
      </c>
      <c r="U4472" s="268" t="s">
        <v>3945</v>
      </c>
      <c r="V4472" s="267" t="s">
        <v>944</v>
      </c>
    </row>
    <row r="4473" spans="1:22" hidden="1" x14ac:dyDescent="0.25">
      <c r="A4473" s="269">
        <v>43685</v>
      </c>
      <c r="B4473" s="270">
        <v>2019</v>
      </c>
      <c r="C4473" s="270">
        <v>2020</v>
      </c>
      <c r="D4473" s="270">
        <v>1</v>
      </c>
      <c r="E4473" s="270">
        <v>1</v>
      </c>
      <c r="F4473" s="270" t="s">
        <v>944</v>
      </c>
      <c r="G4473" s="270" t="s">
        <v>3926</v>
      </c>
      <c r="H4473" s="270" t="s">
        <v>9069</v>
      </c>
      <c r="I4473" s="270" t="s">
        <v>4016</v>
      </c>
      <c r="J4473" s="270" t="s">
        <v>3928</v>
      </c>
      <c r="K4473" s="270">
        <v>6770</v>
      </c>
      <c r="L4473" s="270">
        <v>345201</v>
      </c>
      <c r="M4473" s="270" t="s">
        <v>3935</v>
      </c>
      <c r="N4473" s="270" t="s">
        <v>3944</v>
      </c>
      <c r="O4473" s="270">
        <v>1764.95</v>
      </c>
      <c r="P4473" s="270" t="s">
        <v>3944</v>
      </c>
      <c r="Q4473" s="270" t="s">
        <v>3944</v>
      </c>
      <c r="R4473" s="270">
        <v>1764.95</v>
      </c>
      <c r="S4473" s="270">
        <v>14369.05</v>
      </c>
      <c r="T4473" s="270">
        <v>16134</v>
      </c>
      <c r="U4473" s="271" t="s">
        <v>3945</v>
      </c>
      <c r="V4473" s="267" t="s">
        <v>944</v>
      </c>
    </row>
    <row r="4474" spans="1:22" hidden="1" x14ac:dyDescent="0.25">
      <c r="A4474" s="266">
        <v>43685</v>
      </c>
      <c r="B4474" s="267">
        <v>2019</v>
      </c>
      <c r="C4474" s="267">
        <v>2020</v>
      </c>
      <c r="D4474" s="267">
        <v>1</v>
      </c>
      <c r="E4474" s="267">
        <v>1</v>
      </c>
      <c r="F4474" s="267" t="s">
        <v>944</v>
      </c>
      <c r="G4474" s="267" t="s">
        <v>3926</v>
      </c>
      <c r="H4474" s="267" t="s">
        <v>9070</v>
      </c>
      <c r="I4474" s="267" t="s">
        <v>4037</v>
      </c>
      <c r="J4474" s="267" t="s">
        <v>3928</v>
      </c>
      <c r="K4474" s="267">
        <v>6810</v>
      </c>
      <c r="L4474" s="267">
        <v>210200</v>
      </c>
      <c r="M4474" s="267">
        <v>-60</v>
      </c>
      <c r="N4474" s="267" t="s">
        <v>3944</v>
      </c>
      <c r="O4474" s="267">
        <v>809.27</v>
      </c>
      <c r="P4474" s="267" t="s">
        <v>3944</v>
      </c>
      <c r="Q4474" s="267" t="s">
        <v>3944</v>
      </c>
      <c r="R4474" s="267">
        <v>809.27</v>
      </c>
      <c r="S4474" s="267">
        <v>8030.73</v>
      </c>
      <c r="T4474" s="267">
        <v>8840</v>
      </c>
      <c r="U4474" s="268" t="s">
        <v>3945</v>
      </c>
      <c r="V4474" s="267" t="s">
        <v>944</v>
      </c>
    </row>
    <row r="4475" spans="1:22" hidden="1" x14ac:dyDescent="0.25">
      <c r="A4475" s="269">
        <v>43685</v>
      </c>
      <c r="B4475" s="270">
        <v>2019</v>
      </c>
      <c r="C4475" s="270">
        <v>2020</v>
      </c>
      <c r="D4475" s="270">
        <v>1</v>
      </c>
      <c r="E4475" s="270">
        <v>1</v>
      </c>
      <c r="F4475" s="270" t="s">
        <v>944</v>
      </c>
      <c r="G4475" s="270" t="s">
        <v>3926</v>
      </c>
      <c r="H4475" s="270" t="s">
        <v>9071</v>
      </c>
      <c r="I4475" s="270" t="s">
        <v>3947</v>
      </c>
      <c r="J4475" s="270" t="s">
        <v>3928</v>
      </c>
      <c r="K4475" s="270">
        <v>6060</v>
      </c>
      <c r="L4475" s="270">
        <v>468101</v>
      </c>
      <c r="M4475" s="270" t="s">
        <v>3943</v>
      </c>
      <c r="N4475" s="270" t="s">
        <v>3944</v>
      </c>
      <c r="O4475" s="270">
        <v>3723.37</v>
      </c>
      <c r="P4475" s="270" t="s">
        <v>3944</v>
      </c>
      <c r="Q4475" s="270" t="s">
        <v>3944</v>
      </c>
      <c r="R4475" s="270">
        <v>3723.37</v>
      </c>
      <c r="S4475" s="270">
        <v>30308.63</v>
      </c>
      <c r="T4475" s="270">
        <v>34032</v>
      </c>
      <c r="U4475" s="271" t="s">
        <v>3945</v>
      </c>
      <c r="V4475" s="267" t="s">
        <v>944</v>
      </c>
    </row>
    <row r="4476" spans="1:22" hidden="1" x14ac:dyDescent="0.25">
      <c r="A4476" s="266">
        <v>43685</v>
      </c>
      <c r="B4476" s="267">
        <v>2019</v>
      </c>
      <c r="C4476" s="267">
        <v>2020</v>
      </c>
      <c r="D4476" s="267">
        <v>1</v>
      </c>
      <c r="E4476" s="267">
        <v>1</v>
      </c>
      <c r="F4476" s="267" t="s">
        <v>944</v>
      </c>
      <c r="G4476" s="267" t="s">
        <v>3926</v>
      </c>
      <c r="H4476" s="267" t="s">
        <v>9072</v>
      </c>
      <c r="I4476" s="267" t="s">
        <v>4250</v>
      </c>
      <c r="J4476" s="267" t="s">
        <v>3928</v>
      </c>
      <c r="K4476" s="267">
        <v>6241</v>
      </c>
      <c r="L4476" s="267">
        <v>904400</v>
      </c>
      <c r="M4476" s="267" t="s">
        <v>3940</v>
      </c>
      <c r="N4476" s="267" t="s">
        <v>3944</v>
      </c>
      <c r="O4476" s="267">
        <v>2239.86</v>
      </c>
      <c r="P4476" s="267" t="s">
        <v>3944</v>
      </c>
      <c r="Q4476" s="267" t="s">
        <v>3944</v>
      </c>
      <c r="R4476" s="267">
        <v>2239.86</v>
      </c>
      <c r="S4476" s="267">
        <v>30283.89</v>
      </c>
      <c r="T4476" s="267">
        <v>32523.75</v>
      </c>
      <c r="U4476" s="268" t="s">
        <v>3945</v>
      </c>
      <c r="V4476" s="267" t="s">
        <v>944</v>
      </c>
    </row>
    <row r="4477" spans="1:22" hidden="1" x14ac:dyDescent="0.25">
      <c r="A4477" s="269">
        <v>43685</v>
      </c>
      <c r="B4477" s="270">
        <v>2019</v>
      </c>
      <c r="C4477" s="270">
        <v>2020</v>
      </c>
      <c r="D4477" s="270">
        <v>1</v>
      </c>
      <c r="E4477" s="270">
        <v>1</v>
      </c>
      <c r="F4477" s="270" t="s">
        <v>944</v>
      </c>
      <c r="G4477" s="270" t="s">
        <v>3926</v>
      </c>
      <c r="H4477" s="270" t="s">
        <v>9073</v>
      </c>
      <c r="I4477" s="270" t="s">
        <v>956</v>
      </c>
      <c r="J4477" s="270" t="s">
        <v>3928</v>
      </c>
      <c r="K4477" s="270">
        <v>6614</v>
      </c>
      <c r="L4477" s="270">
        <v>80800</v>
      </c>
      <c r="M4477" s="270" t="s">
        <v>3960</v>
      </c>
      <c r="N4477" s="270" t="s">
        <v>3944</v>
      </c>
      <c r="O4477" s="270">
        <v>1963.64</v>
      </c>
      <c r="P4477" s="270" t="s">
        <v>3944</v>
      </c>
      <c r="Q4477" s="270" t="s">
        <v>3944</v>
      </c>
      <c r="R4477" s="270">
        <v>1963.64</v>
      </c>
      <c r="S4477" s="270">
        <v>32962.35</v>
      </c>
      <c r="T4477" s="270">
        <v>34925.99</v>
      </c>
      <c r="U4477" s="271" t="s">
        <v>3945</v>
      </c>
      <c r="V4477" s="267" t="s">
        <v>944</v>
      </c>
    </row>
    <row r="4478" spans="1:22" hidden="1" x14ac:dyDescent="0.25">
      <c r="A4478" s="266">
        <v>43685</v>
      </c>
      <c r="B4478" s="267">
        <v>2019</v>
      </c>
      <c r="C4478" s="267">
        <v>2020</v>
      </c>
      <c r="D4478" s="267">
        <v>1</v>
      </c>
      <c r="E4478" s="267">
        <v>1</v>
      </c>
      <c r="F4478" s="267" t="s">
        <v>944</v>
      </c>
      <c r="G4478" s="267" t="s">
        <v>3926</v>
      </c>
      <c r="H4478" s="267" t="s">
        <v>9074</v>
      </c>
      <c r="I4478" s="267" t="s">
        <v>4035</v>
      </c>
      <c r="J4478" s="267" t="s">
        <v>3928</v>
      </c>
      <c r="K4478" s="267">
        <v>6074</v>
      </c>
      <c r="L4478" s="267">
        <v>487202</v>
      </c>
      <c r="M4478" s="267" t="s">
        <v>3943</v>
      </c>
      <c r="N4478" s="267" t="s">
        <v>3944</v>
      </c>
      <c r="O4478" s="267">
        <v>2469.46</v>
      </c>
      <c r="P4478" s="267" t="s">
        <v>3944</v>
      </c>
      <c r="Q4478" s="267" t="s">
        <v>3944</v>
      </c>
      <c r="R4478" s="267">
        <v>2469.46</v>
      </c>
      <c r="S4478" s="267">
        <v>35206.559999999998</v>
      </c>
      <c r="T4478" s="267">
        <v>37676.019999999997</v>
      </c>
      <c r="U4478" s="268" t="s">
        <v>3945</v>
      </c>
      <c r="V4478" s="267" t="s">
        <v>944</v>
      </c>
    </row>
    <row r="4479" spans="1:22" hidden="1" x14ac:dyDescent="0.25">
      <c r="A4479" s="269">
        <v>43685</v>
      </c>
      <c r="B4479" s="270">
        <v>2019</v>
      </c>
      <c r="C4479" s="270">
        <v>2020</v>
      </c>
      <c r="D4479" s="270">
        <v>1</v>
      </c>
      <c r="E4479" s="270">
        <v>1</v>
      </c>
      <c r="F4479" s="270" t="s">
        <v>944</v>
      </c>
      <c r="G4479" s="270" t="s">
        <v>3926</v>
      </c>
      <c r="H4479" s="270" t="s">
        <v>9075</v>
      </c>
      <c r="I4479" s="270" t="s">
        <v>4947</v>
      </c>
      <c r="J4479" s="270" t="s">
        <v>3928</v>
      </c>
      <c r="K4479" s="270">
        <v>6787</v>
      </c>
      <c r="L4479" s="270">
        <v>349100</v>
      </c>
      <c r="M4479" s="270" t="s">
        <v>3935</v>
      </c>
      <c r="N4479" s="270" t="s">
        <v>3944</v>
      </c>
      <c r="O4479" s="270">
        <v>1940.82</v>
      </c>
      <c r="P4479" s="270" t="s">
        <v>3944</v>
      </c>
      <c r="Q4479" s="270" t="s">
        <v>3944</v>
      </c>
      <c r="R4479" s="270">
        <v>1940.82</v>
      </c>
      <c r="S4479" s="270">
        <v>29557.8</v>
      </c>
      <c r="T4479" s="270">
        <v>31498.62</v>
      </c>
      <c r="U4479" s="271" t="s">
        <v>3945</v>
      </c>
      <c r="V4479" s="267" t="s">
        <v>944</v>
      </c>
    </row>
    <row r="4480" spans="1:22" hidden="1" x14ac:dyDescent="0.25">
      <c r="A4480" s="266">
        <v>43685</v>
      </c>
      <c r="B4480" s="267">
        <v>2019</v>
      </c>
      <c r="C4480" s="267">
        <v>2020</v>
      </c>
      <c r="D4480" s="267">
        <v>1</v>
      </c>
      <c r="E4480" s="267">
        <v>1</v>
      </c>
      <c r="F4480" s="267" t="s">
        <v>944</v>
      </c>
      <c r="G4480" s="267" t="s">
        <v>3926</v>
      </c>
      <c r="H4480" s="267" t="s">
        <v>9076</v>
      </c>
      <c r="I4480" s="267" t="s">
        <v>4546</v>
      </c>
      <c r="J4480" s="267" t="s">
        <v>3928</v>
      </c>
      <c r="K4480" s="267">
        <v>6235</v>
      </c>
      <c r="L4480" s="267">
        <v>815000</v>
      </c>
      <c r="M4480" s="267" t="s">
        <v>3935</v>
      </c>
      <c r="N4480" s="267" t="s">
        <v>3944</v>
      </c>
      <c r="O4480" s="267">
        <v>1706.46</v>
      </c>
      <c r="P4480" s="267" t="s">
        <v>3944</v>
      </c>
      <c r="Q4480" s="267" t="s">
        <v>3944</v>
      </c>
      <c r="R4480" s="267">
        <v>1706.46</v>
      </c>
      <c r="S4480" s="267">
        <v>34320.080000000002</v>
      </c>
      <c r="T4480" s="267">
        <v>36026.54</v>
      </c>
      <c r="U4480" s="268" t="s">
        <v>3945</v>
      </c>
      <c r="V4480" s="267" t="s">
        <v>944</v>
      </c>
    </row>
    <row r="4481" spans="1:22" hidden="1" x14ac:dyDescent="0.25">
      <c r="A4481" s="269">
        <v>43685</v>
      </c>
      <c r="B4481" s="270">
        <v>2019</v>
      </c>
      <c r="C4481" s="270">
        <v>2020</v>
      </c>
      <c r="D4481" s="270">
        <v>1</v>
      </c>
      <c r="E4481" s="270">
        <v>1</v>
      </c>
      <c r="F4481" s="270" t="s">
        <v>944</v>
      </c>
      <c r="G4481" s="270" t="s">
        <v>3926</v>
      </c>
      <c r="H4481" s="270" t="s">
        <v>9077</v>
      </c>
      <c r="I4481" s="270" t="s">
        <v>3009</v>
      </c>
      <c r="J4481" s="270" t="s">
        <v>3928</v>
      </c>
      <c r="K4481" s="270">
        <v>6484</v>
      </c>
      <c r="L4481" s="270">
        <v>110202</v>
      </c>
      <c r="M4481" s="270" t="s">
        <v>3935</v>
      </c>
      <c r="N4481" s="270" t="s">
        <v>3944</v>
      </c>
      <c r="O4481" s="270">
        <v>2253.58</v>
      </c>
      <c r="P4481" s="270" t="s">
        <v>3944</v>
      </c>
      <c r="Q4481" s="270" t="s">
        <v>3944</v>
      </c>
      <c r="R4481" s="270">
        <v>2253.58</v>
      </c>
      <c r="S4481" s="270">
        <v>33638.54</v>
      </c>
      <c r="T4481" s="270">
        <v>35892.120000000003</v>
      </c>
      <c r="U4481" s="271" t="s">
        <v>3945</v>
      </c>
      <c r="V4481" s="267" t="s">
        <v>944</v>
      </c>
    </row>
    <row r="4482" spans="1:22" hidden="1" x14ac:dyDescent="0.25">
      <c r="A4482" s="266">
        <v>43685</v>
      </c>
      <c r="B4482" s="267">
        <v>2019</v>
      </c>
      <c r="C4482" s="267">
        <v>2020</v>
      </c>
      <c r="D4482" s="267">
        <v>1</v>
      </c>
      <c r="E4482" s="267">
        <v>1</v>
      </c>
      <c r="F4482" s="267" t="s">
        <v>944</v>
      </c>
      <c r="G4482" s="267" t="s">
        <v>3926</v>
      </c>
      <c r="H4482" s="267" t="s">
        <v>9078</v>
      </c>
      <c r="I4482" s="267" t="s">
        <v>3956</v>
      </c>
      <c r="J4482" s="267" t="s">
        <v>3928</v>
      </c>
      <c r="K4482" s="267">
        <v>6118</v>
      </c>
      <c r="L4482" s="267">
        <v>510900</v>
      </c>
      <c r="M4482" s="267" t="s">
        <v>3960</v>
      </c>
      <c r="N4482" s="267" t="s">
        <v>3944</v>
      </c>
      <c r="O4482" s="267">
        <v>1742.76</v>
      </c>
      <c r="P4482" s="267" t="s">
        <v>3944</v>
      </c>
      <c r="Q4482" s="267" t="s">
        <v>3944</v>
      </c>
      <c r="R4482" s="267">
        <v>1742.76</v>
      </c>
      <c r="S4482" s="267">
        <v>28775.24</v>
      </c>
      <c r="T4482" s="267">
        <v>30518</v>
      </c>
      <c r="U4482" s="268" t="s">
        <v>3945</v>
      </c>
      <c r="V4482" s="267" t="s">
        <v>944</v>
      </c>
    </row>
    <row r="4483" spans="1:22" hidden="1" x14ac:dyDescent="0.25">
      <c r="A4483" s="269">
        <v>43685</v>
      </c>
      <c r="B4483" s="270">
        <v>2019</v>
      </c>
      <c r="C4483" s="270">
        <v>2020</v>
      </c>
      <c r="D4483" s="270">
        <v>1</v>
      </c>
      <c r="E4483" s="270">
        <v>1</v>
      </c>
      <c r="F4483" s="270" t="s">
        <v>944</v>
      </c>
      <c r="G4483" s="270" t="s">
        <v>3926</v>
      </c>
      <c r="H4483" s="270" t="s">
        <v>9079</v>
      </c>
      <c r="I4483" s="270" t="s">
        <v>3993</v>
      </c>
      <c r="J4483" s="270" t="s">
        <v>3928</v>
      </c>
      <c r="K4483" s="270">
        <v>6415</v>
      </c>
      <c r="L4483" s="270">
        <v>714103</v>
      </c>
      <c r="M4483" s="270" t="s">
        <v>3943</v>
      </c>
      <c r="N4483" s="270" t="s">
        <v>3944</v>
      </c>
      <c r="O4483" s="270">
        <v>2203.39</v>
      </c>
      <c r="P4483" s="270" t="s">
        <v>3944</v>
      </c>
      <c r="Q4483" s="270" t="s">
        <v>3944</v>
      </c>
      <c r="R4483" s="270">
        <v>2203.39</v>
      </c>
      <c r="S4483" s="270">
        <v>41957.61</v>
      </c>
      <c r="T4483" s="270">
        <v>44161</v>
      </c>
      <c r="U4483" s="271" t="s">
        <v>3945</v>
      </c>
      <c r="V4483" s="267" t="s">
        <v>944</v>
      </c>
    </row>
    <row r="4484" spans="1:22" hidden="1" x14ac:dyDescent="0.25">
      <c r="A4484" s="266">
        <v>43685</v>
      </c>
      <c r="B4484" s="267">
        <v>2019</v>
      </c>
      <c r="C4484" s="267">
        <v>2020</v>
      </c>
      <c r="D4484" s="267">
        <v>1</v>
      </c>
      <c r="E4484" s="267">
        <v>1</v>
      </c>
      <c r="F4484" s="267" t="s">
        <v>944</v>
      </c>
      <c r="G4484" s="267" t="s">
        <v>3926</v>
      </c>
      <c r="H4484" s="267" t="s">
        <v>9080</v>
      </c>
      <c r="I4484" s="267" t="s">
        <v>3939</v>
      </c>
      <c r="J4484" s="267" t="s">
        <v>3928</v>
      </c>
      <c r="K4484" s="267">
        <v>6512</v>
      </c>
      <c r="L4484" s="267">
        <v>180400</v>
      </c>
      <c r="M4484" s="267" t="s">
        <v>3935</v>
      </c>
      <c r="N4484" s="267" t="s">
        <v>3944</v>
      </c>
      <c r="O4484" s="267">
        <v>1728.44</v>
      </c>
      <c r="P4484" s="267" t="s">
        <v>3944</v>
      </c>
      <c r="Q4484" s="267" t="s">
        <v>3944</v>
      </c>
      <c r="R4484" s="267">
        <v>1728.44</v>
      </c>
      <c r="S4484" s="267">
        <v>26243.56</v>
      </c>
      <c r="T4484" s="267">
        <v>27972</v>
      </c>
      <c r="U4484" s="268" t="s">
        <v>3945</v>
      </c>
      <c r="V4484" s="267" t="s">
        <v>944</v>
      </c>
    </row>
    <row r="4485" spans="1:22" hidden="1" x14ac:dyDescent="0.25">
      <c r="A4485" s="269">
        <v>43685</v>
      </c>
      <c r="B4485" s="270">
        <v>2019</v>
      </c>
      <c r="C4485" s="270">
        <v>2020</v>
      </c>
      <c r="D4485" s="270">
        <v>1</v>
      </c>
      <c r="E4485" s="270">
        <v>1</v>
      </c>
      <c r="F4485" s="270" t="s">
        <v>944</v>
      </c>
      <c r="G4485" s="270" t="s">
        <v>3926</v>
      </c>
      <c r="H4485" s="270" t="s">
        <v>9081</v>
      </c>
      <c r="I4485" s="270" t="s">
        <v>3939</v>
      </c>
      <c r="J4485" s="270" t="s">
        <v>3928</v>
      </c>
      <c r="K4485" s="270">
        <v>6512</v>
      </c>
      <c r="L4485" s="270">
        <v>180100</v>
      </c>
      <c r="M4485" s="270" t="s">
        <v>3940</v>
      </c>
      <c r="N4485" s="270" t="s">
        <v>3944</v>
      </c>
      <c r="O4485" s="270">
        <v>1390.38</v>
      </c>
      <c r="P4485" s="270" t="s">
        <v>3944</v>
      </c>
      <c r="Q4485" s="270" t="s">
        <v>3944</v>
      </c>
      <c r="R4485" s="270">
        <v>1390.38</v>
      </c>
      <c r="S4485" s="270">
        <v>23351.43</v>
      </c>
      <c r="T4485" s="270">
        <v>24741.81</v>
      </c>
      <c r="U4485" s="271" t="s">
        <v>3945</v>
      </c>
      <c r="V4485" s="267" t="s">
        <v>944</v>
      </c>
    </row>
    <row r="4486" spans="1:22" hidden="1" x14ac:dyDescent="0.25">
      <c r="A4486" s="266">
        <v>43685</v>
      </c>
      <c r="B4486" s="267">
        <v>2019</v>
      </c>
      <c r="C4486" s="267">
        <v>2020</v>
      </c>
      <c r="D4486" s="267">
        <v>1</v>
      </c>
      <c r="E4486" s="267">
        <v>1</v>
      </c>
      <c r="F4486" s="267" t="s">
        <v>944</v>
      </c>
      <c r="G4486" s="267" t="s">
        <v>3926</v>
      </c>
      <c r="H4486" s="267" t="s">
        <v>9082</v>
      </c>
      <c r="I4486" s="267" t="s">
        <v>3985</v>
      </c>
      <c r="J4486" s="267" t="s">
        <v>3928</v>
      </c>
      <c r="K4486" s="267">
        <v>6226</v>
      </c>
      <c r="L4486" s="267">
        <v>800300</v>
      </c>
      <c r="M4486" s="267">
        <v>-60</v>
      </c>
      <c r="N4486" s="267" t="s">
        <v>3944</v>
      </c>
      <c r="O4486" s="267">
        <v>1884.82</v>
      </c>
      <c r="P4486" s="267" t="s">
        <v>3944</v>
      </c>
      <c r="Q4486" s="267" t="s">
        <v>3944</v>
      </c>
      <c r="R4486" s="267">
        <v>1884.82</v>
      </c>
      <c r="S4486" s="267">
        <v>22287.43</v>
      </c>
      <c r="T4486" s="267">
        <v>24172.25</v>
      </c>
      <c r="U4486" s="268" t="s">
        <v>3945</v>
      </c>
      <c r="V4486" s="267" t="s">
        <v>944</v>
      </c>
    </row>
    <row r="4487" spans="1:22" hidden="1" x14ac:dyDescent="0.25">
      <c r="A4487" s="269">
        <v>43685</v>
      </c>
      <c r="B4487" s="270">
        <v>2019</v>
      </c>
      <c r="C4487" s="270">
        <v>2020</v>
      </c>
      <c r="D4487" s="270">
        <v>1</v>
      </c>
      <c r="E4487" s="270">
        <v>1</v>
      </c>
      <c r="F4487" s="270" t="s">
        <v>944</v>
      </c>
      <c r="G4487" s="270" t="s">
        <v>3926</v>
      </c>
      <c r="H4487" s="270" t="s">
        <v>9083</v>
      </c>
      <c r="I4487" s="270" t="s">
        <v>950</v>
      </c>
      <c r="J4487" s="270" t="s">
        <v>3928</v>
      </c>
      <c r="K4487" s="270">
        <v>6516</v>
      </c>
      <c r="L4487" s="270">
        <v>154800</v>
      </c>
      <c r="M4487" s="270" t="s">
        <v>3960</v>
      </c>
      <c r="N4487" s="270" t="s">
        <v>3944</v>
      </c>
      <c r="O4487" s="270">
        <v>1505.07</v>
      </c>
      <c r="P4487" s="270" t="s">
        <v>3944</v>
      </c>
      <c r="Q4487" s="270" t="s">
        <v>3944</v>
      </c>
      <c r="R4487" s="270">
        <v>1505.07</v>
      </c>
      <c r="S4487" s="270">
        <v>23043.06</v>
      </c>
      <c r="T4487" s="270">
        <v>24548.13</v>
      </c>
      <c r="U4487" s="271" t="s">
        <v>3945</v>
      </c>
      <c r="V4487" s="267" t="s">
        <v>944</v>
      </c>
    </row>
    <row r="4488" spans="1:22" hidden="1" x14ac:dyDescent="0.25">
      <c r="A4488" s="266">
        <v>43685</v>
      </c>
      <c r="B4488" s="267">
        <v>2019</v>
      </c>
      <c r="C4488" s="267">
        <v>2020</v>
      </c>
      <c r="D4488" s="267">
        <v>1</v>
      </c>
      <c r="E4488" s="267">
        <v>1</v>
      </c>
      <c r="F4488" s="267" t="s">
        <v>944</v>
      </c>
      <c r="G4488" s="267" t="s">
        <v>3926</v>
      </c>
      <c r="H4488" s="267" t="s">
        <v>9084</v>
      </c>
      <c r="I4488" s="267" t="s">
        <v>4323</v>
      </c>
      <c r="J4488" s="267" t="s">
        <v>3928</v>
      </c>
      <c r="K4488" s="267">
        <v>6385</v>
      </c>
      <c r="L4488" s="267">
        <v>693400</v>
      </c>
      <c r="M4488" s="267" t="s">
        <v>3940</v>
      </c>
      <c r="N4488" s="267" t="s">
        <v>3944</v>
      </c>
      <c r="O4488" s="267">
        <v>2362.64</v>
      </c>
      <c r="P4488" s="267" t="s">
        <v>3944</v>
      </c>
      <c r="Q4488" s="267" t="s">
        <v>3944</v>
      </c>
      <c r="R4488" s="267">
        <v>2362.64</v>
      </c>
      <c r="S4488" s="267">
        <v>37250.92</v>
      </c>
      <c r="T4488" s="267">
        <v>39613.56</v>
      </c>
      <c r="U4488" s="268" t="s">
        <v>3945</v>
      </c>
      <c r="V4488" s="267" t="s">
        <v>944</v>
      </c>
    </row>
    <row r="4489" spans="1:22" hidden="1" x14ac:dyDescent="0.25">
      <c r="A4489" s="269">
        <v>43685</v>
      </c>
      <c r="B4489" s="270">
        <v>2019</v>
      </c>
      <c r="C4489" s="270">
        <v>2020</v>
      </c>
      <c r="D4489" s="270">
        <v>1</v>
      </c>
      <c r="E4489" s="270">
        <v>1</v>
      </c>
      <c r="F4489" s="270" t="s">
        <v>944</v>
      </c>
      <c r="G4489" s="270" t="s">
        <v>3926</v>
      </c>
      <c r="H4489" s="270" t="s">
        <v>9085</v>
      </c>
      <c r="I4489" s="270" t="s">
        <v>3956</v>
      </c>
      <c r="J4489" s="270" t="s">
        <v>3928</v>
      </c>
      <c r="K4489" s="270">
        <v>6114</v>
      </c>
      <c r="L4489" s="270">
        <v>504800</v>
      </c>
      <c r="M4489" s="270" t="s">
        <v>3940</v>
      </c>
      <c r="N4489" s="270" t="s">
        <v>3944</v>
      </c>
      <c r="O4489" s="270">
        <v>917.32</v>
      </c>
      <c r="P4489" s="270" t="s">
        <v>3944</v>
      </c>
      <c r="Q4489" s="270" t="s">
        <v>3944</v>
      </c>
      <c r="R4489" s="270">
        <v>917.32</v>
      </c>
      <c r="S4489" s="270">
        <v>13649.24</v>
      </c>
      <c r="T4489" s="270">
        <v>14566.56</v>
      </c>
      <c r="U4489" s="271" t="s">
        <v>3945</v>
      </c>
      <c r="V4489" s="267" t="s">
        <v>944</v>
      </c>
    </row>
    <row r="4490" spans="1:22" hidden="1" x14ac:dyDescent="0.25">
      <c r="A4490" s="266">
        <v>43685</v>
      </c>
      <c r="B4490" s="267">
        <v>2019</v>
      </c>
      <c r="C4490" s="267">
        <v>2020</v>
      </c>
      <c r="D4490" s="267">
        <v>1</v>
      </c>
      <c r="E4490" s="267">
        <v>1</v>
      </c>
      <c r="F4490" s="267" t="s">
        <v>944</v>
      </c>
      <c r="G4490" s="267" t="s">
        <v>3926</v>
      </c>
      <c r="H4490" s="267" t="s">
        <v>9086</v>
      </c>
      <c r="I4490" s="267" t="s">
        <v>3971</v>
      </c>
      <c r="J4490" s="267" t="s">
        <v>3928</v>
      </c>
      <c r="K4490" s="267">
        <v>6084</v>
      </c>
      <c r="L4490" s="267">
        <v>533101</v>
      </c>
      <c r="M4490" s="267" t="s">
        <v>3943</v>
      </c>
      <c r="N4490" s="267" t="s">
        <v>3944</v>
      </c>
      <c r="O4490" s="267">
        <v>1405.32</v>
      </c>
      <c r="P4490" s="267" t="s">
        <v>3944</v>
      </c>
      <c r="Q4490" s="267" t="s">
        <v>3944</v>
      </c>
      <c r="R4490" s="267">
        <v>1405.32</v>
      </c>
      <c r="S4490" s="267">
        <v>14603.68</v>
      </c>
      <c r="T4490" s="267">
        <v>16009</v>
      </c>
      <c r="U4490" s="268" t="s">
        <v>3945</v>
      </c>
      <c r="V4490" s="267" t="s">
        <v>944</v>
      </c>
    </row>
    <row r="4491" spans="1:22" hidden="1" x14ac:dyDescent="0.25">
      <c r="A4491" s="269">
        <v>43685</v>
      </c>
      <c r="B4491" s="270">
        <v>2019</v>
      </c>
      <c r="C4491" s="270">
        <v>2020</v>
      </c>
      <c r="D4491" s="270">
        <v>1</v>
      </c>
      <c r="E4491" s="270">
        <v>1</v>
      </c>
      <c r="F4491" s="270" t="s">
        <v>944</v>
      </c>
      <c r="G4491" s="270" t="s">
        <v>3926</v>
      </c>
      <c r="H4491" s="270" t="s">
        <v>9087</v>
      </c>
      <c r="I4491" s="270" t="s">
        <v>4029</v>
      </c>
      <c r="J4491" s="270" t="s">
        <v>3928</v>
      </c>
      <c r="K4491" s="270">
        <v>6851</v>
      </c>
      <c r="L4491" s="270">
        <v>42700</v>
      </c>
      <c r="M4491" s="270" t="s">
        <v>3960</v>
      </c>
      <c r="N4491" s="270" t="s">
        <v>3944</v>
      </c>
      <c r="O4491" s="270">
        <v>2050.7199999999998</v>
      </c>
      <c r="P4491" s="270" t="s">
        <v>3944</v>
      </c>
      <c r="Q4491" s="270" t="s">
        <v>3944</v>
      </c>
      <c r="R4491" s="270">
        <v>2050.7199999999998</v>
      </c>
      <c r="S4491" s="270">
        <v>27589.41</v>
      </c>
      <c r="T4491" s="270">
        <v>29640.13</v>
      </c>
      <c r="U4491" s="271" t="s">
        <v>3945</v>
      </c>
      <c r="V4491" s="267" t="s">
        <v>944</v>
      </c>
    </row>
    <row r="4492" spans="1:22" hidden="1" x14ac:dyDescent="0.25">
      <c r="A4492" s="266">
        <v>43686</v>
      </c>
      <c r="B4492" s="267">
        <v>2019</v>
      </c>
      <c r="C4492" s="267">
        <v>2020</v>
      </c>
      <c r="D4492" s="267">
        <v>1</v>
      </c>
      <c r="E4492" s="267">
        <v>1</v>
      </c>
      <c r="F4492" s="267" t="s">
        <v>944</v>
      </c>
      <c r="G4492" s="267" t="s">
        <v>3926</v>
      </c>
      <c r="H4492" s="267" t="s">
        <v>9088</v>
      </c>
      <c r="I4492" s="267" t="s">
        <v>4019</v>
      </c>
      <c r="J4492" s="267" t="s">
        <v>3928</v>
      </c>
      <c r="K4492" s="267">
        <v>6708</v>
      </c>
      <c r="L4492" s="267">
        <v>352000</v>
      </c>
      <c r="M4492" s="267" t="s">
        <v>3935</v>
      </c>
      <c r="N4492" s="267" t="s">
        <v>4701</v>
      </c>
      <c r="O4492" s="267">
        <v>2421.5500000000002</v>
      </c>
      <c r="P4492" s="267" t="s">
        <v>3930</v>
      </c>
      <c r="Q4492" s="267" t="s">
        <v>3931</v>
      </c>
      <c r="R4492" s="267">
        <v>7421.55</v>
      </c>
      <c r="S4492" s="267">
        <v>34648</v>
      </c>
      <c r="T4492" s="267">
        <v>42069.55</v>
      </c>
      <c r="U4492" s="268" t="s">
        <v>3932</v>
      </c>
      <c r="V4492" s="267" t="s">
        <v>944</v>
      </c>
    </row>
    <row r="4493" spans="1:22" hidden="1" x14ac:dyDescent="0.25">
      <c r="A4493" s="269">
        <v>43686</v>
      </c>
      <c r="B4493" s="270">
        <v>2019</v>
      </c>
      <c r="C4493" s="270">
        <v>2020</v>
      </c>
      <c r="D4493" s="270">
        <v>1</v>
      </c>
      <c r="E4493" s="270">
        <v>1</v>
      </c>
      <c r="F4493" s="270" t="s">
        <v>944</v>
      </c>
      <c r="G4493" s="270" t="s">
        <v>3926</v>
      </c>
      <c r="H4493" s="270" t="s">
        <v>9089</v>
      </c>
      <c r="I4493" s="270" t="s">
        <v>4552</v>
      </c>
      <c r="J4493" s="270" t="s">
        <v>3928</v>
      </c>
      <c r="K4493" s="270">
        <v>6423</v>
      </c>
      <c r="L4493" s="270">
        <v>595102</v>
      </c>
      <c r="M4493" s="270" t="s">
        <v>3960</v>
      </c>
      <c r="N4493" s="270" t="s">
        <v>6084</v>
      </c>
      <c r="O4493" s="270">
        <v>2162</v>
      </c>
      <c r="P4493" s="270" t="s">
        <v>3930</v>
      </c>
      <c r="Q4493" s="270" t="s">
        <v>3930</v>
      </c>
      <c r="R4493" s="270">
        <v>2162</v>
      </c>
      <c r="S4493" s="270">
        <v>24994.95</v>
      </c>
      <c r="T4493" s="270">
        <v>27156.95</v>
      </c>
      <c r="U4493" s="271" t="s">
        <v>3937</v>
      </c>
      <c r="V4493" s="267" t="s">
        <v>944</v>
      </c>
    </row>
    <row r="4494" spans="1:22" hidden="1" x14ac:dyDescent="0.25">
      <c r="A4494" s="266">
        <v>43686</v>
      </c>
      <c r="B4494" s="267">
        <v>2019</v>
      </c>
      <c r="C4494" s="267">
        <v>2020</v>
      </c>
      <c r="D4494" s="267">
        <v>1</v>
      </c>
      <c r="E4494" s="267">
        <v>1</v>
      </c>
      <c r="F4494" s="267" t="s">
        <v>944</v>
      </c>
      <c r="G4494" s="267" t="s">
        <v>3926</v>
      </c>
      <c r="H4494" s="267" t="s">
        <v>9090</v>
      </c>
      <c r="I4494" s="267" t="s">
        <v>956</v>
      </c>
      <c r="J4494" s="267" t="s">
        <v>3928</v>
      </c>
      <c r="K4494" s="267">
        <v>6615</v>
      </c>
      <c r="L4494" s="267">
        <v>80500</v>
      </c>
      <c r="M4494" s="267" t="s">
        <v>3960</v>
      </c>
      <c r="N4494" s="267" t="s">
        <v>3944</v>
      </c>
      <c r="O4494" s="267">
        <v>3319</v>
      </c>
      <c r="P4494" s="267" t="s">
        <v>3944</v>
      </c>
      <c r="Q4494" s="267" t="s">
        <v>3944</v>
      </c>
      <c r="R4494" s="267">
        <v>3319</v>
      </c>
      <c r="S4494" s="267">
        <v>26301.8</v>
      </c>
      <c r="T4494" s="267">
        <v>29620.799999999999</v>
      </c>
      <c r="U4494" s="268" t="s">
        <v>3945</v>
      </c>
      <c r="V4494" s="267" t="s">
        <v>944</v>
      </c>
    </row>
    <row r="4495" spans="1:22" hidden="1" x14ac:dyDescent="0.25">
      <c r="A4495" s="269">
        <v>43686</v>
      </c>
      <c r="B4495" s="270">
        <v>2019</v>
      </c>
      <c r="C4495" s="270">
        <v>2020</v>
      </c>
      <c r="D4495" s="270">
        <v>1</v>
      </c>
      <c r="E4495" s="270">
        <v>1</v>
      </c>
      <c r="F4495" s="270" t="s">
        <v>944</v>
      </c>
      <c r="G4495" s="270" t="s">
        <v>3926</v>
      </c>
      <c r="H4495" s="270" t="s">
        <v>9091</v>
      </c>
      <c r="I4495" s="270" t="s">
        <v>3025</v>
      </c>
      <c r="J4495" s="270" t="s">
        <v>3928</v>
      </c>
      <c r="K4495" s="270">
        <v>6473</v>
      </c>
      <c r="L4495" s="270">
        <v>167100</v>
      </c>
      <c r="M4495" s="270" t="s">
        <v>3943</v>
      </c>
      <c r="N4495" s="270" t="s">
        <v>3944</v>
      </c>
      <c r="O4495" s="270">
        <v>2012</v>
      </c>
      <c r="P4495" s="270" t="s">
        <v>3944</v>
      </c>
      <c r="Q4495" s="270" t="s">
        <v>3944</v>
      </c>
      <c r="R4495" s="270">
        <v>2012</v>
      </c>
      <c r="S4495" s="270">
        <v>15706.75</v>
      </c>
      <c r="T4495" s="270">
        <v>17718.75</v>
      </c>
      <c r="U4495" s="271" t="s">
        <v>3945</v>
      </c>
      <c r="V4495" s="267" t="s">
        <v>944</v>
      </c>
    </row>
    <row r="4496" spans="1:22" hidden="1" x14ac:dyDescent="0.25">
      <c r="A4496" s="266">
        <v>43686</v>
      </c>
      <c r="B4496" s="267">
        <v>2019</v>
      </c>
      <c r="C4496" s="267">
        <v>2020</v>
      </c>
      <c r="D4496" s="267">
        <v>1</v>
      </c>
      <c r="E4496" s="267">
        <v>1</v>
      </c>
      <c r="F4496" s="267" t="s">
        <v>944</v>
      </c>
      <c r="G4496" s="267" t="s">
        <v>3926</v>
      </c>
      <c r="H4496" s="267" t="s">
        <v>9092</v>
      </c>
      <c r="I4496" s="267" t="s">
        <v>4288</v>
      </c>
      <c r="J4496" s="267" t="s">
        <v>3928</v>
      </c>
      <c r="K4496" s="267">
        <v>6883</v>
      </c>
      <c r="L4496" s="267">
        <v>55100</v>
      </c>
      <c r="M4496" s="267" t="s">
        <v>3943</v>
      </c>
      <c r="N4496" s="267" t="s">
        <v>3944</v>
      </c>
      <c r="O4496" s="267">
        <v>3847</v>
      </c>
      <c r="P4496" s="267" t="s">
        <v>3944</v>
      </c>
      <c r="Q4496" s="267" t="s">
        <v>3944</v>
      </c>
      <c r="R4496" s="267">
        <v>3847</v>
      </c>
      <c r="S4496" s="267">
        <v>45148</v>
      </c>
      <c r="T4496" s="267">
        <v>48995</v>
      </c>
      <c r="U4496" s="268" t="s">
        <v>3945</v>
      </c>
      <c r="V4496" s="267" t="s">
        <v>944</v>
      </c>
    </row>
    <row r="4497" spans="1:22" x14ac:dyDescent="0.25">
      <c r="A4497" s="269">
        <v>43686</v>
      </c>
      <c r="B4497" s="270">
        <v>2019</v>
      </c>
      <c r="C4497" s="270">
        <v>2020</v>
      </c>
      <c r="D4497" s="270">
        <v>1</v>
      </c>
      <c r="E4497" s="270">
        <v>1</v>
      </c>
      <c r="F4497" s="270" t="s">
        <v>944</v>
      </c>
      <c r="G4497" s="270" t="s">
        <v>3926</v>
      </c>
      <c r="H4497" s="270" t="s">
        <v>9093</v>
      </c>
      <c r="I4497" s="270" t="s">
        <v>3010</v>
      </c>
      <c r="J4497" s="270" t="s">
        <v>3928</v>
      </c>
      <c r="K4497" s="270">
        <v>6401</v>
      </c>
      <c r="L4497" s="270">
        <v>125300</v>
      </c>
      <c r="M4497" s="270" t="s">
        <v>3940</v>
      </c>
      <c r="N4497" s="270" t="s">
        <v>3944</v>
      </c>
      <c r="O4497" s="270">
        <v>1588.44</v>
      </c>
      <c r="P4497" s="270" t="s">
        <v>3944</v>
      </c>
      <c r="Q4497" s="270" t="s">
        <v>3944</v>
      </c>
      <c r="R4497" s="270">
        <v>1588.44</v>
      </c>
      <c r="S4497" s="270">
        <v>25181.83</v>
      </c>
      <c r="T4497" s="270">
        <v>26770.27</v>
      </c>
      <c r="U4497" s="271" t="s">
        <v>3945</v>
      </c>
      <c r="V4497" s="276" t="s">
        <v>936</v>
      </c>
    </row>
    <row r="4498" spans="1:22" hidden="1" x14ac:dyDescent="0.25">
      <c r="A4498" s="266">
        <v>43686</v>
      </c>
      <c r="B4498" s="267">
        <v>2019</v>
      </c>
      <c r="C4498" s="267">
        <v>2020</v>
      </c>
      <c r="D4498" s="267">
        <v>1</v>
      </c>
      <c r="E4498" s="267">
        <v>1</v>
      </c>
      <c r="F4498" s="267" t="s">
        <v>944</v>
      </c>
      <c r="G4498" s="267" t="s">
        <v>3926</v>
      </c>
      <c r="H4498" s="267" t="s">
        <v>9094</v>
      </c>
      <c r="I4498" s="267" t="s">
        <v>4168</v>
      </c>
      <c r="J4498" s="267" t="s">
        <v>3928</v>
      </c>
      <c r="K4498" s="267">
        <v>6475</v>
      </c>
      <c r="L4498" s="267">
        <v>670200</v>
      </c>
      <c r="M4498" s="267" t="s">
        <v>3935</v>
      </c>
      <c r="N4498" s="267" t="s">
        <v>3944</v>
      </c>
      <c r="O4498" s="267">
        <v>971.04</v>
      </c>
      <c r="P4498" s="267" t="s">
        <v>3944</v>
      </c>
      <c r="Q4498" s="267" t="s">
        <v>3944</v>
      </c>
      <c r="R4498" s="267">
        <v>971.04</v>
      </c>
      <c r="S4498" s="267">
        <v>14654.55</v>
      </c>
      <c r="T4498" s="267">
        <v>15625.59</v>
      </c>
      <c r="U4498" s="268" t="s">
        <v>3945</v>
      </c>
      <c r="V4498" s="267" t="s">
        <v>944</v>
      </c>
    </row>
    <row r="4499" spans="1:22" hidden="1" x14ac:dyDescent="0.25">
      <c r="A4499" s="269">
        <v>43686</v>
      </c>
      <c r="B4499" s="270">
        <v>2019</v>
      </c>
      <c r="C4499" s="270">
        <v>2020</v>
      </c>
      <c r="D4499" s="270">
        <v>1</v>
      </c>
      <c r="E4499" s="270">
        <v>1</v>
      </c>
      <c r="F4499" s="270" t="s">
        <v>944</v>
      </c>
      <c r="G4499" s="270" t="s">
        <v>3926</v>
      </c>
      <c r="H4499" s="270" t="s">
        <v>9095</v>
      </c>
      <c r="I4499" s="270" t="s">
        <v>4008</v>
      </c>
      <c r="J4499" s="270" t="s">
        <v>3928</v>
      </c>
      <c r="K4499" s="270">
        <v>6320</v>
      </c>
      <c r="L4499" s="270">
        <v>690300</v>
      </c>
      <c r="M4499" s="270">
        <v>-60</v>
      </c>
      <c r="N4499" s="270" t="s">
        <v>3944</v>
      </c>
      <c r="O4499" s="270">
        <v>922.92</v>
      </c>
      <c r="P4499" s="270" t="s">
        <v>3944</v>
      </c>
      <c r="Q4499" s="270" t="s">
        <v>3944</v>
      </c>
      <c r="R4499" s="270">
        <v>922.92</v>
      </c>
      <c r="S4499" s="270">
        <v>10717.72</v>
      </c>
      <c r="T4499" s="270">
        <v>11640.64</v>
      </c>
      <c r="U4499" s="271" t="s">
        <v>3945</v>
      </c>
      <c r="V4499" s="267" t="s">
        <v>944</v>
      </c>
    </row>
    <row r="4500" spans="1:22" hidden="1" x14ac:dyDescent="0.25">
      <c r="A4500" s="266">
        <v>43686</v>
      </c>
      <c r="B4500" s="267">
        <v>2019</v>
      </c>
      <c r="C4500" s="267">
        <v>2020</v>
      </c>
      <c r="D4500" s="267">
        <v>1</v>
      </c>
      <c r="E4500" s="267">
        <v>1</v>
      </c>
      <c r="F4500" s="267" t="s">
        <v>944</v>
      </c>
      <c r="G4500" s="267" t="s">
        <v>3926</v>
      </c>
      <c r="H4500" s="267" t="s">
        <v>9096</v>
      </c>
      <c r="I4500" s="267" t="s">
        <v>3956</v>
      </c>
      <c r="J4500" s="267" t="s">
        <v>3928</v>
      </c>
      <c r="K4500" s="267">
        <v>6106</v>
      </c>
      <c r="L4500" s="267">
        <v>524700</v>
      </c>
      <c r="M4500" s="267" t="s">
        <v>3935</v>
      </c>
      <c r="N4500" s="267" t="s">
        <v>3944</v>
      </c>
      <c r="O4500" s="267">
        <v>1086.33</v>
      </c>
      <c r="P4500" s="267" t="s">
        <v>3944</v>
      </c>
      <c r="Q4500" s="267" t="s">
        <v>3944</v>
      </c>
      <c r="R4500" s="267">
        <v>1086.33</v>
      </c>
      <c r="S4500" s="267">
        <v>14989.72</v>
      </c>
      <c r="T4500" s="267">
        <v>16076.05</v>
      </c>
      <c r="U4500" s="268" t="s">
        <v>3945</v>
      </c>
      <c r="V4500" s="267" t="s">
        <v>944</v>
      </c>
    </row>
    <row r="4501" spans="1:22" hidden="1" x14ac:dyDescent="0.25">
      <c r="A4501" s="269">
        <v>43686</v>
      </c>
      <c r="B4501" s="270">
        <v>2019</v>
      </c>
      <c r="C4501" s="270">
        <v>2020</v>
      </c>
      <c r="D4501" s="270">
        <v>1</v>
      </c>
      <c r="E4501" s="270">
        <v>1</v>
      </c>
      <c r="F4501" s="270" t="s">
        <v>944</v>
      </c>
      <c r="G4501" s="270" t="s">
        <v>3926</v>
      </c>
      <c r="H4501" s="270" t="s">
        <v>9097</v>
      </c>
      <c r="I4501" s="270" t="s">
        <v>3996</v>
      </c>
      <c r="J4501" s="270" t="s">
        <v>3928</v>
      </c>
      <c r="K4501" s="270">
        <v>6790</v>
      </c>
      <c r="L4501" s="270">
        <v>310100</v>
      </c>
      <c r="M4501" s="270" t="s">
        <v>3940</v>
      </c>
      <c r="N4501" s="270" t="s">
        <v>3944</v>
      </c>
      <c r="O4501" s="270">
        <v>1636.78</v>
      </c>
      <c r="P4501" s="270" t="s">
        <v>3944</v>
      </c>
      <c r="Q4501" s="270" t="s">
        <v>3944</v>
      </c>
      <c r="R4501" s="270">
        <v>1636.78</v>
      </c>
      <c r="S4501" s="270">
        <v>24339.5</v>
      </c>
      <c r="T4501" s="270">
        <v>25976.28</v>
      </c>
      <c r="U4501" s="271" t="s">
        <v>3945</v>
      </c>
      <c r="V4501" s="267" t="s">
        <v>944</v>
      </c>
    </row>
    <row r="4502" spans="1:22" hidden="1" x14ac:dyDescent="0.25">
      <c r="A4502" s="266">
        <v>43686</v>
      </c>
      <c r="B4502" s="267">
        <v>2019</v>
      </c>
      <c r="C4502" s="267">
        <v>2020</v>
      </c>
      <c r="D4502" s="267">
        <v>1</v>
      </c>
      <c r="E4502" s="267">
        <v>1</v>
      </c>
      <c r="F4502" s="267" t="s">
        <v>944</v>
      </c>
      <c r="G4502" s="267" t="s">
        <v>3926</v>
      </c>
      <c r="H4502" s="267" t="s">
        <v>9098</v>
      </c>
      <c r="I4502" s="267" t="s">
        <v>4119</v>
      </c>
      <c r="J4502" s="267" t="s">
        <v>3928</v>
      </c>
      <c r="K4502" s="267">
        <v>6078</v>
      </c>
      <c r="L4502" s="267">
        <v>477101</v>
      </c>
      <c r="M4502" s="267" t="s">
        <v>3943</v>
      </c>
      <c r="N4502" s="267" t="s">
        <v>3944</v>
      </c>
      <c r="O4502" s="267">
        <v>2273.67</v>
      </c>
      <c r="P4502" s="267" t="s">
        <v>3944</v>
      </c>
      <c r="Q4502" s="267" t="s">
        <v>3944</v>
      </c>
      <c r="R4502" s="267">
        <v>2273.67</v>
      </c>
      <c r="S4502" s="267">
        <v>28382.33</v>
      </c>
      <c r="T4502" s="267">
        <v>30656</v>
      </c>
      <c r="U4502" s="268" t="s">
        <v>3945</v>
      </c>
      <c r="V4502" s="267" t="s">
        <v>944</v>
      </c>
    </row>
    <row r="4503" spans="1:22" hidden="1" x14ac:dyDescent="0.25">
      <c r="A4503" s="269">
        <v>43686</v>
      </c>
      <c r="B4503" s="270">
        <v>2019</v>
      </c>
      <c r="C4503" s="270">
        <v>2020</v>
      </c>
      <c r="D4503" s="270">
        <v>1</v>
      </c>
      <c r="E4503" s="270">
        <v>1</v>
      </c>
      <c r="F4503" s="270" t="s">
        <v>944</v>
      </c>
      <c r="G4503" s="270" t="s">
        <v>3926</v>
      </c>
      <c r="H4503" s="270" t="s">
        <v>9099</v>
      </c>
      <c r="I4503" s="270" t="s">
        <v>4008</v>
      </c>
      <c r="J4503" s="270" t="s">
        <v>3928</v>
      </c>
      <c r="K4503" s="270">
        <v>6320</v>
      </c>
      <c r="L4503" s="270">
        <v>690300</v>
      </c>
      <c r="M4503" s="270">
        <v>-60</v>
      </c>
      <c r="N4503" s="270" t="s">
        <v>3944</v>
      </c>
      <c r="O4503" s="270">
        <v>792.47</v>
      </c>
      <c r="P4503" s="270" t="s">
        <v>3944</v>
      </c>
      <c r="Q4503" s="270" t="s">
        <v>3944</v>
      </c>
      <c r="R4503" s="270">
        <v>792.47</v>
      </c>
      <c r="S4503" s="270">
        <v>16124.13</v>
      </c>
      <c r="T4503" s="270">
        <v>16916.599999999999</v>
      </c>
      <c r="U4503" s="271" t="s">
        <v>3945</v>
      </c>
      <c r="V4503" s="267" t="s">
        <v>944</v>
      </c>
    </row>
    <row r="4504" spans="1:22" hidden="1" x14ac:dyDescent="0.25">
      <c r="A4504" s="266">
        <v>43686</v>
      </c>
      <c r="B4504" s="267">
        <v>2019</v>
      </c>
      <c r="C4504" s="267">
        <v>2020</v>
      </c>
      <c r="D4504" s="267">
        <v>1</v>
      </c>
      <c r="E4504" s="267">
        <v>1</v>
      </c>
      <c r="F4504" s="267" t="s">
        <v>944</v>
      </c>
      <c r="G4504" s="267" t="s">
        <v>3926</v>
      </c>
      <c r="H4504" s="267" t="s">
        <v>9100</v>
      </c>
      <c r="I4504" s="267" t="s">
        <v>4037</v>
      </c>
      <c r="J4504" s="267" t="s">
        <v>3928</v>
      </c>
      <c r="K4504" s="267">
        <v>6810</v>
      </c>
      <c r="L4504" s="267">
        <v>210701</v>
      </c>
      <c r="M4504" s="267">
        <v>-60</v>
      </c>
      <c r="N4504" s="267" t="s">
        <v>3944</v>
      </c>
      <c r="O4504" s="267">
        <v>2782.01</v>
      </c>
      <c r="P4504" s="267" t="s">
        <v>3944</v>
      </c>
      <c r="Q4504" s="267" t="s">
        <v>3944</v>
      </c>
      <c r="R4504" s="267">
        <v>2782.01</v>
      </c>
      <c r="S4504" s="267">
        <v>41486.83</v>
      </c>
      <c r="T4504" s="267">
        <v>44268.84</v>
      </c>
      <c r="U4504" s="268" t="s">
        <v>3945</v>
      </c>
      <c r="V4504" s="267" t="s">
        <v>944</v>
      </c>
    </row>
    <row r="4505" spans="1:22" hidden="1" x14ac:dyDescent="0.25">
      <c r="A4505" s="269">
        <v>43686</v>
      </c>
      <c r="B4505" s="270">
        <v>2019</v>
      </c>
      <c r="C4505" s="270">
        <v>2020</v>
      </c>
      <c r="D4505" s="270">
        <v>1</v>
      </c>
      <c r="E4505" s="270">
        <v>1</v>
      </c>
      <c r="F4505" s="270" t="s">
        <v>944</v>
      </c>
      <c r="G4505" s="270" t="s">
        <v>3926</v>
      </c>
      <c r="H4505" s="270" t="s">
        <v>9101</v>
      </c>
      <c r="I4505" s="270" t="s">
        <v>4111</v>
      </c>
      <c r="J4505" s="270" t="s">
        <v>3928</v>
      </c>
      <c r="K4505" s="270">
        <v>6095</v>
      </c>
      <c r="L4505" s="270">
        <v>473400</v>
      </c>
      <c r="M4505" s="270" t="s">
        <v>3935</v>
      </c>
      <c r="N4505" s="270" t="s">
        <v>3944</v>
      </c>
      <c r="O4505" s="270">
        <v>1510.04</v>
      </c>
      <c r="P4505" s="270" t="s">
        <v>3944</v>
      </c>
      <c r="Q4505" s="270" t="s">
        <v>3944</v>
      </c>
      <c r="R4505" s="270">
        <v>1510.04</v>
      </c>
      <c r="S4505" s="270">
        <v>22829.48</v>
      </c>
      <c r="T4505" s="270">
        <v>24339.52</v>
      </c>
      <c r="U4505" s="271" t="s">
        <v>3945</v>
      </c>
      <c r="V4505" s="267" t="s">
        <v>944</v>
      </c>
    </row>
    <row r="4506" spans="1:22" hidden="1" x14ac:dyDescent="0.25">
      <c r="A4506" s="266">
        <v>43686</v>
      </c>
      <c r="B4506" s="267">
        <v>2019</v>
      </c>
      <c r="C4506" s="267">
        <v>2020</v>
      </c>
      <c r="D4506" s="267">
        <v>1</v>
      </c>
      <c r="E4506" s="267">
        <v>1</v>
      </c>
      <c r="F4506" s="267" t="s">
        <v>944</v>
      </c>
      <c r="G4506" s="267" t="s">
        <v>3926</v>
      </c>
      <c r="H4506" s="267" t="s">
        <v>9102</v>
      </c>
      <c r="I4506" s="267" t="s">
        <v>4042</v>
      </c>
      <c r="J4506" s="267" t="s">
        <v>3928</v>
      </c>
      <c r="K4506" s="267">
        <v>6370</v>
      </c>
      <c r="L4506" s="267">
        <v>695202</v>
      </c>
      <c r="M4506" s="267" t="s">
        <v>3935</v>
      </c>
      <c r="N4506" s="267" t="s">
        <v>3944</v>
      </c>
      <c r="O4506" s="267">
        <v>2544.54</v>
      </c>
      <c r="P4506" s="267" t="s">
        <v>3944</v>
      </c>
      <c r="Q4506" s="267" t="s">
        <v>3944</v>
      </c>
      <c r="R4506" s="267">
        <v>2544.54</v>
      </c>
      <c r="S4506" s="267">
        <v>44548.56</v>
      </c>
      <c r="T4506" s="267">
        <v>47093.1</v>
      </c>
      <c r="U4506" s="268" t="s">
        <v>3945</v>
      </c>
      <c r="V4506" s="267" t="s">
        <v>944</v>
      </c>
    </row>
    <row r="4507" spans="1:22" hidden="1" x14ac:dyDescent="0.25">
      <c r="A4507" s="269">
        <v>43686</v>
      </c>
      <c r="B4507" s="270">
        <v>2019</v>
      </c>
      <c r="C4507" s="270">
        <v>2020</v>
      </c>
      <c r="D4507" s="270">
        <v>1</v>
      </c>
      <c r="E4507" s="270">
        <v>1</v>
      </c>
      <c r="F4507" s="270" t="s">
        <v>944</v>
      </c>
      <c r="G4507" s="270" t="s">
        <v>3926</v>
      </c>
      <c r="H4507" s="270" t="s">
        <v>9103</v>
      </c>
      <c r="I4507" s="270" t="s">
        <v>956</v>
      </c>
      <c r="J4507" s="270" t="s">
        <v>3928</v>
      </c>
      <c r="K4507" s="270">
        <v>6614</v>
      </c>
      <c r="L4507" s="270">
        <v>80900</v>
      </c>
      <c r="M4507" s="270" t="s">
        <v>3960</v>
      </c>
      <c r="N4507" s="270" t="s">
        <v>3944</v>
      </c>
      <c r="O4507" s="270">
        <v>1410.5</v>
      </c>
      <c r="P4507" s="270" t="s">
        <v>3944</v>
      </c>
      <c r="Q4507" s="270" t="s">
        <v>3944</v>
      </c>
      <c r="R4507" s="270">
        <v>1410.5</v>
      </c>
      <c r="S4507" s="270">
        <v>20967.099999999999</v>
      </c>
      <c r="T4507" s="270">
        <v>22377.599999999999</v>
      </c>
      <c r="U4507" s="271" t="s">
        <v>3945</v>
      </c>
      <c r="V4507" s="267" t="s">
        <v>944</v>
      </c>
    </row>
    <row r="4508" spans="1:22" hidden="1" x14ac:dyDescent="0.25">
      <c r="A4508" s="266">
        <v>43686</v>
      </c>
      <c r="B4508" s="267">
        <v>2019</v>
      </c>
      <c r="C4508" s="267">
        <v>2020</v>
      </c>
      <c r="D4508" s="267">
        <v>1</v>
      </c>
      <c r="E4508" s="267">
        <v>1</v>
      </c>
      <c r="F4508" s="267" t="s">
        <v>944</v>
      </c>
      <c r="G4508" s="267" t="s">
        <v>3926</v>
      </c>
      <c r="H4508" s="267" t="s">
        <v>9104</v>
      </c>
      <c r="I4508" s="267" t="s">
        <v>4011</v>
      </c>
      <c r="J4508" s="267" t="s">
        <v>3928</v>
      </c>
      <c r="K4508" s="267">
        <v>6002</v>
      </c>
      <c r="L4508" s="267">
        <v>471300</v>
      </c>
      <c r="M4508" s="267" t="s">
        <v>3935</v>
      </c>
      <c r="N4508" s="267" t="s">
        <v>3944</v>
      </c>
      <c r="O4508" s="267">
        <v>2287.36</v>
      </c>
      <c r="P4508" s="267" t="s">
        <v>3944</v>
      </c>
      <c r="Q4508" s="267" t="s">
        <v>3944</v>
      </c>
      <c r="R4508" s="267">
        <v>2287.36</v>
      </c>
      <c r="S4508" s="267">
        <v>29610.48</v>
      </c>
      <c r="T4508" s="267">
        <v>31897.84</v>
      </c>
      <c r="U4508" s="268" t="s">
        <v>3945</v>
      </c>
      <c r="V4508" s="267" t="s">
        <v>944</v>
      </c>
    </row>
    <row r="4509" spans="1:22" hidden="1" x14ac:dyDescent="0.25">
      <c r="A4509" s="269">
        <v>43686</v>
      </c>
      <c r="B4509" s="270">
        <v>2019</v>
      </c>
      <c r="C4509" s="270">
        <v>2020</v>
      </c>
      <c r="D4509" s="270">
        <v>1</v>
      </c>
      <c r="E4509" s="270">
        <v>1</v>
      </c>
      <c r="F4509" s="270" t="s">
        <v>944</v>
      </c>
      <c r="G4509" s="270" t="s">
        <v>3926</v>
      </c>
      <c r="H4509" s="270" t="s">
        <v>9105</v>
      </c>
      <c r="I4509" s="270" t="s">
        <v>4124</v>
      </c>
      <c r="J4509" s="270" t="s">
        <v>3928</v>
      </c>
      <c r="K4509" s="270">
        <v>6482</v>
      </c>
      <c r="L4509" s="270">
        <v>230100</v>
      </c>
      <c r="M4509" s="270" t="s">
        <v>3943</v>
      </c>
      <c r="N4509" s="270" t="s">
        <v>3944</v>
      </c>
      <c r="O4509" s="270">
        <v>2076.66</v>
      </c>
      <c r="P4509" s="270" t="s">
        <v>3944</v>
      </c>
      <c r="Q4509" s="270" t="s">
        <v>3944</v>
      </c>
      <c r="R4509" s="270">
        <v>2076.66</v>
      </c>
      <c r="S4509" s="270">
        <v>28439.84</v>
      </c>
      <c r="T4509" s="270">
        <v>30516.5</v>
      </c>
      <c r="U4509" s="271" t="s">
        <v>3945</v>
      </c>
      <c r="V4509" s="267" t="s">
        <v>944</v>
      </c>
    </row>
    <row r="4510" spans="1:22" hidden="1" x14ac:dyDescent="0.25">
      <c r="A4510" s="266">
        <v>43686</v>
      </c>
      <c r="B4510" s="267">
        <v>2019</v>
      </c>
      <c r="C4510" s="267">
        <v>2020</v>
      </c>
      <c r="D4510" s="267">
        <v>1</v>
      </c>
      <c r="E4510" s="267">
        <v>1</v>
      </c>
      <c r="F4510" s="267" t="s">
        <v>944</v>
      </c>
      <c r="G4510" s="267" t="s">
        <v>3926</v>
      </c>
      <c r="H4510" s="267" t="s">
        <v>9106</v>
      </c>
      <c r="I4510" s="267" t="s">
        <v>3010</v>
      </c>
      <c r="J4510" s="267" t="s">
        <v>3928</v>
      </c>
      <c r="K4510" s="267">
        <v>6401</v>
      </c>
      <c r="L4510" s="267">
        <v>125100</v>
      </c>
      <c r="M4510" s="267" t="s">
        <v>3960</v>
      </c>
      <c r="N4510" s="267" t="s">
        <v>3944</v>
      </c>
      <c r="O4510" s="267">
        <v>1852.06</v>
      </c>
      <c r="P4510" s="267" t="s">
        <v>3944</v>
      </c>
      <c r="Q4510" s="267" t="s">
        <v>3944</v>
      </c>
      <c r="R4510" s="267">
        <v>1852.06</v>
      </c>
      <c r="S4510" s="267">
        <v>32077.759999999998</v>
      </c>
      <c r="T4510" s="267">
        <v>33929.82</v>
      </c>
      <c r="U4510" s="268" t="s">
        <v>3945</v>
      </c>
      <c r="V4510" s="267" t="s">
        <v>944</v>
      </c>
    </row>
    <row r="4511" spans="1:22" x14ac:dyDescent="0.25">
      <c r="A4511" s="269">
        <v>43686</v>
      </c>
      <c r="B4511" s="270">
        <v>2019</v>
      </c>
      <c r="C4511" s="270">
        <v>2020</v>
      </c>
      <c r="D4511" s="270">
        <v>1</v>
      </c>
      <c r="E4511" s="270">
        <v>1</v>
      </c>
      <c r="F4511" s="270" t="s">
        <v>944</v>
      </c>
      <c r="G4511" s="270" t="s">
        <v>3926</v>
      </c>
      <c r="H4511" s="270" t="s">
        <v>9107</v>
      </c>
      <c r="I4511" s="270" t="s">
        <v>934</v>
      </c>
      <c r="J4511" s="270" t="s">
        <v>3928</v>
      </c>
      <c r="K4511" s="270">
        <v>6605</v>
      </c>
      <c r="L4511" s="270">
        <v>70200</v>
      </c>
      <c r="M4511" s="270">
        <v>-60</v>
      </c>
      <c r="N4511" s="270" t="s">
        <v>3944</v>
      </c>
      <c r="O4511" s="270">
        <v>1025.78</v>
      </c>
      <c r="P4511" s="270" t="s">
        <v>3944</v>
      </c>
      <c r="Q4511" s="270" t="s">
        <v>3944</v>
      </c>
      <c r="R4511" s="270">
        <v>1025.78</v>
      </c>
      <c r="S4511" s="270">
        <v>15716.88</v>
      </c>
      <c r="T4511" s="270">
        <v>16742.66</v>
      </c>
      <c r="U4511" s="271" t="s">
        <v>3945</v>
      </c>
      <c r="V4511" s="276" t="s">
        <v>936</v>
      </c>
    </row>
    <row r="4512" spans="1:22" hidden="1" x14ac:dyDescent="0.25">
      <c r="A4512" s="266">
        <v>43686</v>
      </c>
      <c r="B4512" s="267">
        <v>2019</v>
      </c>
      <c r="C4512" s="267">
        <v>2020</v>
      </c>
      <c r="D4512" s="267">
        <v>1</v>
      </c>
      <c r="E4512" s="267">
        <v>1</v>
      </c>
      <c r="F4512" s="267" t="s">
        <v>944</v>
      </c>
      <c r="G4512" s="267" t="s">
        <v>3926</v>
      </c>
      <c r="H4512" s="267" t="s">
        <v>9108</v>
      </c>
      <c r="I4512" s="267" t="s">
        <v>4042</v>
      </c>
      <c r="J4512" s="267" t="s">
        <v>3928</v>
      </c>
      <c r="K4512" s="267">
        <v>6415</v>
      </c>
      <c r="L4512" s="267">
        <v>714101</v>
      </c>
      <c r="M4512" s="267" t="s">
        <v>3940</v>
      </c>
      <c r="N4512" s="267" t="s">
        <v>3944</v>
      </c>
      <c r="O4512" s="267">
        <v>2608.1999999999998</v>
      </c>
      <c r="P4512" s="267" t="s">
        <v>3944</v>
      </c>
      <c r="Q4512" s="267" t="s">
        <v>3944</v>
      </c>
      <c r="R4512" s="267">
        <v>2608.1999999999998</v>
      </c>
      <c r="S4512" s="267">
        <v>44990.79</v>
      </c>
      <c r="T4512" s="267">
        <v>47598.99</v>
      </c>
      <c r="U4512" s="268" t="s">
        <v>3945</v>
      </c>
      <c r="V4512" s="267" t="s">
        <v>944</v>
      </c>
    </row>
    <row r="4513" spans="1:22" hidden="1" x14ac:dyDescent="0.25">
      <c r="A4513" s="269">
        <v>43686</v>
      </c>
      <c r="B4513" s="270">
        <v>2019</v>
      </c>
      <c r="C4513" s="270">
        <v>2020</v>
      </c>
      <c r="D4513" s="270">
        <v>1</v>
      </c>
      <c r="E4513" s="270">
        <v>1</v>
      </c>
      <c r="F4513" s="270" t="s">
        <v>944</v>
      </c>
      <c r="G4513" s="270" t="s">
        <v>3926</v>
      </c>
      <c r="H4513" s="270" t="s">
        <v>9109</v>
      </c>
      <c r="I4513" s="270" t="s">
        <v>934</v>
      </c>
      <c r="J4513" s="270" t="s">
        <v>3928</v>
      </c>
      <c r="K4513" s="270">
        <v>6606</v>
      </c>
      <c r="L4513" s="270">
        <v>72300</v>
      </c>
      <c r="M4513" s="270" t="s">
        <v>3940</v>
      </c>
      <c r="N4513" s="270" t="s">
        <v>3944</v>
      </c>
      <c r="O4513" s="270">
        <v>2343.7800000000002</v>
      </c>
      <c r="P4513" s="270" t="s">
        <v>3944</v>
      </c>
      <c r="Q4513" s="270" t="s">
        <v>3944</v>
      </c>
      <c r="R4513" s="270">
        <v>2343.7800000000002</v>
      </c>
      <c r="S4513" s="270">
        <v>37453.839999999997</v>
      </c>
      <c r="T4513" s="270">
        <v>39797.620000000003</v>
      </c>
      <c r="U4513" s="271" t="s">
        <v>3945</v>
      </c>
      <c r="V4513" s="267" t="s">
        <v>944</v>
      </c>
    </row>
    <row r="4514" spans="1:22" hidden="1" x14ac:dyDescent="0.25">
      <c r="A4514" s="266">
        <v>43686</v>
      </c>
      <c r="B4514" s="267">
        <v>2019</v>
      </c>
      <c r="C4514" s="267">
        <v>2020</v>
      </c>
      <c r="D4514" s="267">
        <v>1</v>
      </c>
      <c r="E4514" s="267">
        <v>1</v>
      </c>
      <c r="F4514" s="267" t="s">
        <v>944</v>
      </c>
      <c r="G4514" s="267" t="s">
        <v>3926</v>
      </c>
      <c r="H4514" s="267" t="s">
        <v>9110</v>
      </c>
      <c r="I4514" s="267" t="s">
        <v>4042</v>
      </c>
      <c r="J4514" s="267" t="s">
        <v>3928</v>
      </c>
      <c r="K4514" s="267">
        <v>6382</v>
      </c>
      <c r="L4514" s="267">
        <v>870501</v>
      </c>
      <c r="M4514" s="267" t="s">
        <v>3935</v>
      </c>
      <c r="N4514" s="267" t="s">
        <v>3944</v>
      </c>
      <c r="O4514" s="267">
        <v>1794.8</v>
      </c>
      <c r="P4514" s="267" t="s">
        <v>3944</v>
      </c>
      <c r="Q4514" s="267" t="s">
        <v>3944</v>
      </c>
      <c r="R4514" s="267">
        <v>1794.8</v>
      </c>
      <c r="S4514" s="267">
        <v>28203.33</v>
      </c>
      <c r="T4514" s="267">
        <v>29998.13</v>
      </c>
      <c r="U4514" s="268" t="s">
        <v>3945</v>
      </c>
      <c r="V4514" s="267" t="s">
        <v>944</v>
      </c>
    </row>
    <row r="4515" spans="1:22" hidden="1" x14ac:dyDescent="0.25">
      <c r="A4515" s="269">
        <v>43686</v>
      </c>
      <c r="B4515" s="270">
        <v>2019</v>
      </c>
      <c r="C4515" s="270">
        <v>2020</v>
      </c>
      <c r="D4515" s="270">
        <v>1</v>
      </c>
      <c r="E4515" s="270">
        <v>1</v>
      </c>
      <c r="F4515" s="270" t="s">
        <v>944</v>
      </c>
      <c r="G4515" s="270" t="s">
        <v>3926</v>
      </c>
      <c r="H4515" s="270" t="s">
        <v>9111</v>
      </c>
      <c r="I4515" s="270" t="s">
        <v>3008</v>
      </c>
      <c r="J4515" s="270" t="s">
        <v>3928</v>
      </c>
      <c r="K4515" s="270">
        <v>6460</v>
      </c>
      <c r="L4515" s="270">
        <v>150900</v>
      </c>
      <c r="M4515" s="270" t="s">
        <v>3943</v>
      </c>
      <c r="N4515" s="270" t="s">
        <v>3944</v>
      </c>
      <c r="O4515" s="270">
        <v>2806.48</v>
      </c>
      <c r="P4515" s="270" t="s">
        <v>3944</v>
      </c>
      <c r="Q4515" s="270" t="s">
        <v>3944</v>
      </c>
      <c r="R4515" s="270">
        <v>2806.48</v>
      </c>
      <c r="S4515" s="270">
        <v>43673.46</v>
      </c>
      <c r="T4515" s="270">
        <v>46479.94</v>
      </c>
      <c r="U4515" s="271" t="s">
        <v>3945</v>
      </c>
      <c r="V4515" s="267" t="s">
        <v>944</v>
      </c>
    </row>
    <row r="4516" spans="1:22" hidden="1" x14ac:dyDescent="0.25">
      <c r="A4516" s="266">
        <v>43686</v>
      </c>
      <c r="B4516" s="267">
        <v>2019</v>
      </c>
      <c r="C4516" s="267">
        <v>2020</v>
      </c>
      <c r="D4516" s="267">
        <v>1</v>
      </c>
      <c r="E4516" s="267">
        <v>1</v>
      </c>
      <c r="F4516" s="267" t="s">
        <v>944</v>
      </c>
      <c r="G4516" s="267" t="s">
        <v>3926</v>
      </c>
      <c r="H4516" s="267" t="s">
        <v>9112</v>
      </c>
      <c r="I4516" s="267" t="s">
        <v>3949</v>
      </c>
      <c r="J4516" s="267" t="s">
        <v>3928</v>
      </c>
      <c r="K4516" s="267">
        <v>6437</v>
      </c>
      <c r="L4516" s="267">
        <v>190200</v>
      </c>
      <c r="M4516" s="267" t="s">
        <v>3943</v>
      </c>
      <c r="N4516" s="267" t="s">
        <v>3944</v>
      </c>
      <c r="O4516" s="267">
        <v>1656.9</v>
      </c>
      <c r="P4516" s="267" t="s">
        <v>3944</v>
      </c>
      <c r="Q4516" s="267" t="s">
        <v>3944</v>
      </c>
      <c r="R4516" s="267">
        <v>1656.9</v>
      </c>
      <c r="S4516" s="267">
        <v>22733.06</v>
      </c>
      <c r="T4516" s="267">
        <v>24389.96</v>
      </c>
      <c r="U4516" s="268" t="s">
        <v>3945</v>
      </c>
      <c r="V4516" s="267" t="s">
        <v>944</v>
      </c>
    </row>
    <row r="4517" spans="1:22" hidden="1" x14ac:dyDescent="0.25">
      <c r="A4517" s="269">
        <v>43686</v>
      </c>
      <c r="B4517" s="270">
        <v>2019</v>
      </c>
      <c r="C4517" s="270">
        <v>2020</v>
      </c>
      <c r="D4517" s="270">
        <v>1</v>
      </c>
      <c r="E4517" s="270">
        <v>1</v>
      </c>
      <c r="F4517" s="270" t="s">
        <v>944</v>
      </c>
      <c r="G4517" s="270" t="s">
        <v>3926</v>
      </c>
      <c r="H4517" s="270" t="s">
        <v>9113</v>
      </c>
      <c r="I4517" s="270" t="s">
        <v>4254</v>
      </c>
      <c r="J4517" s="270" t="s">
        <v>3928</v>
      </c>
      <c r="K4517" s="270">
        <v>6076</v>
      </c>
      <c r="L4517" s="270">
        <v>890201</v>
      </c>
      <c r="M4517" s="270" t="s">
        <v>3960</v>
      </c>
      <c r="N4517" s="270" t="s">
        <v>3944</v>
      </c>
      <c r="O4517" s="270">
        <v>2574.81</v>
      </c>
      <c r="P4517" s="270" t="s">
        <v>3944</v>
      </c>
      <c r="Q4517" s="270" t="s">
        <v>3944</v>
      </c>
      <c r="R4517" s="270">
        <v>2574.81</v>
      </c>
      <c r="S4517" s="270">
        <v>40216.300000000003</v>
      </c>
      <c r="T4517" s="270">
        <v>42791.11</v>
      </c>
      <c r="U4517" s="271" t="s">
        <v>3945</v>
      </c>
      <c r="V4517" s="267" t="s">
        <v>944</v>
      </c>
    </row>
    <row r="4518" spans="1:22" hidden="1" x14ac:dyDescent="0.25">
      <c r="A4518" s="266">
        <v>43686</v>
      </c>
      <c r="B4518" s="267">
        <v>2019</v>
      </c>
      <c r="C4518" s="267">
        <v>2020</v>
      </c>
      <c r="D4518" s="267">
        <v>1</v>
      </c>
      <c r="E4518" s="267">
        <v>1</v>
      </c>
      <c r="F4518" s="267" t="s">
        <v>944</v>
      </c>
      <c r="G4518" s="267" t="s">
        <v>3926</v>
      </c>
      <c r="H4518" s="267" t="s">
        <v>9114</v>
      </c>
      <c r="I4518" s="267" t="s">
        <v>4019</v>
      </c>
      <c r="J4518" s="267" t="s">
        <v>3928</v>
      </c>
      <c r="K4518" s="267">
        <v>6708</v>
      </c>
      <c r="L4518" s="267">
        <v>352000</v>
      </c>
      <c r="M4518" s="267" t="s">
        <v>3935</v>
      </c>
      <c r="N4518" s="267" t="s">
        <v>3944</v>
      </c>
      <c r="O4518" s="267">
        <v>1909.29</v>
      </c>
      <c r="P4518" s="267" t="s">
        <v>3944</v>
      </c>
      <c r="Q4518" s="267" t="s">
        <v>3944</v>
      </c>
      <c r="R4518" s="267">
        <v>1909.29</v>
      </c>
      <c r="S4518" s="267">
        <v>26796.15</v>
      </c>
      <c r="T4518" s="267">
        <v>28705.439999999999</v>
      </c>
      <c r="U4518" s="268" t="s">
        <v>3945</v>
      </c>
      <c r="V4518" s="267" t="s">
        <v>944</v>
      </c>
    </row>
    <row r="4519" spans="1:22" hidden="1" x14ac:dyDescent="0.25">
      <c r="A4519" s="269">
        <v>43687</v>
      </c>
      <c r="B4519" s="270">
        <v>2019</v>
      </c>
      <c r="C4519" s="270">
        <v>2020</v>
      </c>
      <c r="D4519" s="270">
        <v>1</v>
      </c>
      <c r="E4519" s="270">
        <v>1</v>
      </c>
      <c r="F4519" s="270" t="s">
        <v>944</v>
      </c>
      <c r="G4519" s="270" t="s">
        <v>3926</v>
      </c>
      <c r="H4519" s="270" t="s">
        <v>9115</v>
      </c>
      <c r="I4519" s="270" t="s">
        <v>4055</v>
      </c>
      <c r="J4519" s="270" t="s">
        <v>3928</v>
      </c>
      <c r="K4519" s="270">
        <v>6070</v>
      </c>
      <c r="L4519" s="270">
        <v>466102</v>
      </c>
      <c r="M4519" s="270" t="s">
        <v>3943</v>
      </c>
      <c r="N4519" s="270" t="s">
        <v>9116</v>
      </c>
      <c r="O4519" s="270">
        <v>0</v>
      </c>
      <c r="P4519" s="270" t="s">
        <v>3930</v>
      </c>
      <c r="Q4519" s="270" t="s">
        <v>3930</v>
      </c>
      <c r="R4519" s="270">
        <v>0</v>
      </c>
      <c r="S4519" s="270">
        <v>10795</v>
      </c>
      <c r="T4519" s="270">
        <v>10795</v>
      </c>
      <c r="U4519" s="271" t="s">
        <v>3937</v>
      </c>
      <c r="V4519" s="267" t="s">
        <v>944</v>
      </c>
    </row>
    <row r="4520" spans="1:22" hidden="1" x14ac:dyDescent="0.25">
      <c r="A4520" s="266">
        <v>43687</v>
      </c>
      <c r="B4520" s="267">
        <v>2019</v>
      </c>
      <c r="C4520" s="267">
        <v>2020</v>
      </c>
      <c r="D4520" s="267">
        <v>1</v>
      </c>
      <c r="E4520" s="267">
        <v>1</v>
      </c>
      <c r="F4520" s="267" t="s">
        <v>944</v>
      </c>
      <c r="G4520" s="267" t="s">
        <v>3926</v>
      </c>
      <c r="H4520" s="267" t="s">
        <v>9117</v>
      </c>
      <c r="I4520" s="267" t="s">
        <v>3934</v>
      </c>
      <c r="J4520" s="267" t="s">
        <v>3928</v>
      </c>
      <c r="K4520" s="267">
        <v>6405</v>
      </c>
      <c r="L4520" s="267">
        <v>184700</v>
      </c>
      <c r="M4520" s="267" t="s">
        <v>3935</v>
      </c>
      <c r="N4520" s="267" t="s">
        <v>9118</v>
      </c>
      <c r="O4520" s="267">
        <v>0</v>
      </c>
      <c r="P4520" s="267" t="s">
        <v>3930</v>
      </c>
      <c r="Q4520" s="267" t="s">
        <v>3930</v>
      </c>
      <c r="R4520" s="267">
        <v>0</v>
      </c>
      <c r="S4520" s="267">
        <v>4361.45</v>
      </c>
      <c r="T4520" s="267">
        <v>4361.45</v>
      </c>
      <c r="U4520" s="268" t="s">
        <v>3937</v>
      </c>
      <c r="V4520" s="267" t="s">
        <v>944</v>
      </c>
    </row>
    <row r="4521" spans="1:22" hidden="1" x14ac:dyDescent="0.25">
      <c r="A4521" s="269">
        <v>43687</v>
      </c>
      <c r="B4521" s="270">
        <v>2019</v>
      </c>
      <c r="C4521" s="270">
        <v>2020</v>
      </c>
      <c r="D4521" s="270">
        <v>1</v>
      </c>
      <c r="E4521" s="270">
        <v>1</v>
      </c>
      <c r="F4521" s="270" t="s">
        <v>944</v>
      </c>
      <c r="G4521" s="270" t="s">
        <v>3926</v>
      </c>
      <c r="H4521" s="270" t="s">
        <v>9119</v>
      </c>
      <c r="I4521" s="270" t="s">
        <v>4330</v>
      </c>
      <c r="J4521" s="270" t="s">
        <v>3928</v>
      </c>
      <c r="K4521" s="270">
        <v>6413</v>
      </c>
      <c r="L4521" s="270">
        <v>610400</v>
      </c>
      <c r="M4521" s="270" t="s">
        <v>3960</v>
      </c>
      <c r="N4521" s="270" t="s">
        <v>4701</v>
      </c>
      <c r="O4521" s="270">
        <v>2408.6999999999998</v>
      </c>
      <c r="P4521" s="270" t="s">
        <v>3930</v>
      </c>
      <c r="Q4521" s="270" t="s">
        <v>3931</v>
      </c>
      <c r="R4521" s="270">
        <v>7408.7</v>
      </c>
      <c r="S4521" s="270">
        <v>34648</v>
      </c>
      <c r="T4521" s="270">
        <v>42056.7</v>
      </c>
      <c r="U4521" s="271" t="s">
        <v>3932</v>
      </c>
      <c r="V4521" s="267" t="s">
        <v>944</v>
      </c>
    </row>
    <row r="4522" spans="1:22" hidden="1" x14ac:dyDescent="0.25">
      <c r="A4522" s="266">
        <v>43687</v>
      </c>
      <c r="B4522" s="267">
        <v>2019</v>
      </c>
      <c r="C4522" s="267">
        <v>2020</v>
      </c>
      <c r="D4522" s="267">
        <v>1</v>
      </c>
      <c r="E4522" s="267">
        <v>1</v>
      </c>
      <c r="F4522" s="267" t="s">
        <v>944</v>
      </c>
      <c r="G4522" s="267" t="s">
        <v>3926</v>
      </c>
      <c r="H4522" s="267" t="s">
        <v>9120</v>
      </c>
      <c r="I4522" s="267" t="s">
        <v>4065</v>
      </c>
      <c r="J4522" s="267" t="s">
        <v>3928</v>
      </c>
      <c r="K4522" s="267">
        <v>6480</v>
      </c>
      <c r="L4522" s="267">
        <v>560100</v>
      </c>
      <c r="M4522" s="267" t="s">
        <v>3943</v>
      </c>
      <c r="N4522" s="267" t="s">
        <v>4701</v>
      </c>
      <c r="O4522" s="267">
        <v>2138.0500000000002</v>
      </c>
      <c r="P4522" s="267" t="s">
        <v>3930</v>
      </c>
      <c r="Q4522" s="267" t="s">
        <v>3931</v>
      </c>
      <c r="R4522" s="267">
        <v>7138.05</v>
      </c>
      <c r="S4522" s="267">
        <v>34648</v>
      </c>
      <c r="T4522" s="267">
        <v>41786.050000000003</v>
      </c>
      <c r="U4522" s="268" t="s">
        <v>3932</v>
      </c>
      <c r="V4522" s="267" t="s">
        <v>944</v>
      </c>
    </row>
    <row r="4523" spans="1:22" hidden="1" x14ac:dyDescent="0.25">
      <c r="A4523" s="269">
        <v>43687</v>
      </c>
      <c r="B4523" s="270">
        <v>2019</v>
      </c>
      <c r="C4523" s="270">
        <v>2020</v>
      </c>
      <c r="D4523" s="270">
        <v>1</v>
      </c>
      <c r="E4523" s="270">
        <v>1</v>
      </c>
      <c r="F4523" s="270" t="s">
        <v>944</v>
      </c>
      <c r="G4523" s="270" t="s">
        <v>3926</v>
      </c>
      <c r="H4523" s="270" t="s">
        <v>9121</v>
      </c>
      <c r="I4523" s="270" t="s">
        <v>4147</v>
      </c>
      <c r="J4523" s="270" t="s">
        <v>3928</v>
      </c>
      <c r="K4523" s="270">
        <v>6109</v>
      </c>
      <c r="L4523" s="270">
        <v>492200</v>
      </c>
      <c r="M4523" s="270" t="s">
        <v>3960</v>
      </c>
      <c r="N4523" s="270" t="s">
        <v>3983</v>
      </c>
      <c r="O4523" s="270">
        <v>3263.85</v>
      </c>
      <c r="P4523" s="270" t="s">
        <v>3930</v>
      </c>
      <c r="Q4523" s="270" t="s">
        <v>3931</v>
      </c>
      <c r="R4523" s="270">
        <v>8263.85</v>
      </c>
      <c r="S4523" s="270">
        <v>16504</v>
      </c>
      <c r="T4523" s="270">
        <v>24767.85</v>
      </c>
      <c r="U4523" s="271" t="s">
        <v>3932</v>
      </c>
      <c r="V4523" s="267" t="s">
        <v>944</v>
      </c>
    </row>
    <row r="4524" spans="1:22" hidden="1" x14ac:dyDescent="0.25">
      <c r="A4524" s="266">
        <v>43688</v>
      </c>
      <c r="B4524" s="267">
        <v>2019</v>
      </c>
      <c r="C4524" s="267">
        <v>2020</v>
      </c>
      <c r="D4524" s="267">
        <v>1</v>
      </c>
      <c r="E4524" s="267">
        <v>1</v>
      </c>
      <c r="F4524" s="267" t="s">
        <v>944</v>
      </c>
      <c r="G4524" s="267" t="s">
        <v>3926</v>
      </c>
      <c r="H4524" s="267" t="s">
        <v>9122</v>
      </c>
      <c r="I4524" s="267" t="s">
        <v>950</v>
      </c>
      <c r="J4524" s="267" t="s">
        <v>3928</v>
      </c>
      <c r="K4524" s="267">
        <v>6516</v>
      </c>
      <c r="L4524" s="267">
        <v>154100</v>
      </c>
      <c r="M4524" s="267" t="s">
        <v>3940</v>
      </c>
      <c r="N4524" s="267" t="s">
        <v>3983</v>
      </c>
      <c r="O4524" s="267">
        <v>1444.1</v>
      </c>
      <c r="P4524" s="267" t="s">
        <v>3930</v>
      </c>
      <c r="Q4524" s="267" t="s">
        <v>3931</v>
      </c>
      <c r="R4524" s="267">
        <v>6444.1</v>
      </c>
      <c r="S4524" s="267">
        <v>16504</v>
      </c>
      <c r="T4524" s="267">
        <v>22948.1</v>
      </c>
      <c r="U4524" s="268" t="s">
        <v>3932</v>
      </c>
      <c r="V4524" s="267" t="s">
        <v>944</v>
      </c>
    </row>
    <row r="4525" spans="1:22" hidden="1" x14ac:dyDescent="0.25">
      <c r="A4525" s="269">
        <v>43689</v>
      </c>
      <c r="B4525" s="270">
        <v>2019</v>
      </c>
      <c r="C4525" s="270">
        <v>2020</v>
      </c>
      <c r="D4525" s="270">
        <v>1</v>
      </c>
      <c r="E4525" s="270">
        <v>1</v>
      </c>
      <c r="F4525" s="270" t="s">
        <v>944</v>
      </c>
      <c r="G4525" s="270" t="s">
        <v>3926</v>
      </c>
      <c r="H4525" s="270" t="s">
        <v>9123</v>
      </c>
      <c r="I4525" s="270" t="s">
        <v>4019</v>
      </c>
      <c r="J4525" s="270" t="s">
        <v>3928</v>
      </c>
      <c r="K4525" s="270">
        <v>6708</v>
      </c>
      <c r="L4525" s="270">
        <v>351602</v>
      </c>
      <c r="M4525" s="270" t="s">
        <v>3940</v>
      </c>
      <c r="N4525" s="270" t="s">
        <v>9124</v>
      </c>
      <c r="O4525" s="270">
        <v>0</v>
      </c>
      <c r="P4525" s="270" t="s">
        <v>3930</v>
      </c>
      <c r="Q4525" s="270" t="s">
        <v>3930</v>
      </c>
      <c r="R4525" s="270">
        <v>0</v>
      </c>
      <c r="S4525" s="270">
        <v>5600</v>
      </c>
      <c r="T4525" s="270">
        <v>5600</v>
      </c>
      <c r="U4525" s="271" t="s">
        <v>3937</v>
      </c>
      <c r="V4525" s="267" t="s">
        <v>944</v>
      </c>
    </row>
    <row r="4526" spans="1:22" hidden="1" x14ac:dyDescent="0.25">
      <c r="A4526" s="266">
        <v>43689</v>
      </c>
      <c r="B4526" s="267">
        <v>2019</v>
      </c>
      <c r="C4526" s="267">
        <v>2020</v>
      </c>
      <c r="D4526" s="267">
        <v>1</v>
      </c>
      <c r="E4526" s="267">
        <v>1</v>
      </c>
      <c r="F4526" s="267" t="s">
        <v>944</v>
      </c>
      <c r="G4526" s="267" t="s">
        <v>3926</v>
      </c>
      <c r="H4526" s="267" t="s">
        <v>9125</v>
      </c>
      <c r="I4526" s="267" t="s">
        <v>4665</v>
      </c>
      <c r="J4526" s="267" t="s">
        <v>3928</v>
      </c>
      <c r="K4526" s="267">
        <v>6013</v>
      </c>
      <c r="L4526" s="267">
        <v>410102</v>
      </c>
      <c r="M4526" s="267" t="s">
        <v>3943</v>
      </c>
      <c r="N4526" s="267" t="s">
        <v>9126</v>
      </c>
      <c r="O4526" s="267">
        <v>0</v>
      </c>
      <c r="P4526" s="267" t="s">
        <v>3930</v>
      </c>
      <c r="Q4526" s="267" t="s">
        <v>3930</v>
      </c>
      <c r="R4526" s="267">
        <v>0</v>
      </c>
      <c r="S4526" s="267">
        <v>16500</v>
      </c>
      <c r="T4526" s="267">
        <v>16500</v>
      </c>
      <c r="U4526" s="268" t="s">
        <v>3937</v>
      </c>
      <c r="V4526" s="267" t="s">
        <v>944</v>
      </c>
    </row>
    <row r="4527" spans="1:22" x14ac:dyDescent="0.25">
      <c r="A4527" s="269">
        <v>43689</v>
      </c>
      <c r="B4527" s="270">
        <v>2019</v>
      </c>
      <c r="C4527" s="270">
        <v>2020</v>
      </c>
      <c r="D4527" s="270">
        <v>1</v>
      </c>
      <c r="E4527" s="270">
        <v>1</v>
      </c>
      <c r="F4527" s="270" t="s">
        <v>944</v>
      </c>
      <c r="G4527" s="270" t="s">
        <v>3926</v>
      </c>
      <c r="H4527" s="270" t="s">
        <v>9127</v>
      </c>
      <c r="I4527" s="270" t="s">
        <v>934</v>
      </c>
      <c r="J4527" s="270" t="s">
        <v>3928</v>
      </c>
      <c r="K4527" s="270">
        <v>6605</v>
      </c>
      <c r="L4527" s="270">
        <v>70100</v>
      </c>
      <c r="M4527" s="270" t="s">
        <v>3960</v>
      </c>
      <c r="N4527" s="270" t="s">
        <v>9128</v>
      </c>
      <c r="O4527" s="270">
        <v>0</v>
      </c>
      <c r="P4527" s="270" t="s">
        <v>3930</v>
      </c>
      <c r="Q4527" s="270" t="s">
        <v>3930</v>
      </c>
      <c r="R4527" s="270">
        <v>0</v>
      </c>
      <c r="S4527" s="270">
        <v>24639</v>
      </c>
      <c r="T4527" s="270">
        <v>24639</v>
      </c>
      <c r="U4527" s="271" t="s">
        <v>3937</v>
      </c>
      <c r="V4527" s="276" t="s">
        <v>936</v>
      </c>
    </row>
    <row r="4528" spans="1:22" hidden="1" x14ac:dyDescent="0.25">
      <c r="A4528" s="266">
        <v>43689</v>
      </c>
      <c r="B4528" s="267">
        <v>2019</v>
      </c>
      <c r="C4528" s="267">
        <v>2020</v>
      </c>
      <c r="D4528" s="267">
        <v>1</v>
      </c>
      <c r="E4528" s="267">
        <v>1</v>
      </c>
      <c r="F4528" s="267" t="s">
        <v>944</v>
      </c>
      <c r="G4528" s="267" t="s">
        <v>3926</v>
      </c>
      <c r="H4528" s="267" t="s">
        <v>9129</v>
      </c>
      <c r="I4528" s="267" t="s">
        <v>4029</v>
      </c>
      <c r="J4528" s="267" t="s">
        <v>3928</v>
      </c>
      <c r="K4528" s="267">
        <v>6850</v>
      </c>
      <c r="L4528" s="267">
        <v>43300</v>
      </c>
      <c r="M4528" s="267" t="s">
        <v>3935</v>
      </c>
      <c r="N4528" s="267" t="s">
        <v>5685</v>
      </c>
      <c r="O4528" s="267">
        <v>0</v>
      </c>
      <c r="P4528" s="267" t="s">
        <v>3930</v>
      </c>
      <c r="Q4528" s="267" t="s">
        <v>3930</v>
      </c>
      <c r="R4528" s="267">
        <v>0</v>
      </c>
      <c r="S4528" s="267">
        <v>7000</v>
      </c>
      <c r="T4528" s="267">
        <v>7000</v>
      </c>
      <c r="U4528" s="268" t="s">
        <v>3937</v>
      </c>
      <c r="V4528" s="267" t="s">
        <v>944</v>
      </c>
    </row>
    <row r="4529" spans="1:22" hidden="1" x14ac:dyDescent="0.25">
      <c r="A4529" s="269">
        <v>43689</v>
      </c>
      <c r="B4529" s="270">
        <v>2019</v>
      </c>
      <c r="C4529" s="270">
        <v>2020</v>
      </c>
      <c r="D4529" s="270">
        <v>1</v>
      </c>
      <c r="E4529" s="270">
        <v>1</v>
      </c>
      <c r="F4529" s="270" t="s">
        <v>944</v>
      </c>
      <c r="G4529" s="270" t="s">
        <v>3926</v>
      </c>
      <c r="H4529" s="270" t="s">
        <v>9130</v>
      </c>
      <c r="I4529" s="270" t="s">
        <v>956</v>
      </c>
      <c r="J4529" s="270" t="s">
        <v>3928</v>
      </c>
      <c r="K4529" s="270">
        <v>6614</v>
      </c>
      <c r="L4529" s="270">
        <v>80100</v>
      </c>
      <c r="M4529" s="270" t="s">
        <v>3935</v>
      </c>
      <c r="N4529" s="270" t="s">
        <v>4523</v>
      </c>
      <c r="O4529" s="270">
        <v>2867.44</v>
      </c>
      <c r="P4529" s="270" t="s">
        <v>3930</v>
      </c>
      <c r="Q4529" s="270" t="s">
        <v>3931</v>
      </c>
      <c r="R4529" s="270">
        <v>7867.44</v>
      </c>
      <c r="S4529" s="270">
        <v>25412.799999999999</v>
      </c>
      <c r="T4529" s="270">
        <v>33280.239999999998</v>
      </c>
      <c r="U4529" s="271" t="s">
        <v>3932</v>
      </c>
      <c r="V4529" s="267" t="s">
        <v>944</v>
      </c>
    </row>
    <row r="4530" spans="1:22" hidden="1" x14ac:dyDescent="0.25">
      <c r="A4530" s="266">
        <v>43689</v>
      </c>
      <c r="B4530" s="267">
        <v>2019</v>
      </c>
      <c r="C4530" s="267">
        <v>2020</v>
      </c>
      <c r="D4530" s="267">
        <v>1</v>
      </c>
      <c r="E4530" s="267">
        <v>1</v>
      </c>
      <c r="F4530" s="267" t="s">
        <v>944</v>
      </c>
      <c r="G4530" s="267" t="s">
        <v>3997</v>
      </c>
      <c r="H4530" s="267" t="s">
        <v>9131</v>
      </c>
      <c r="I4530" s="267" t="s">
        <v>4029</v>
      </c>
      <c r="J4530" s="267" t="s">
        <v>3928</v>
      </c>
      <c r="K4530" s="267">
        <v>6851</v>
      </c>
      <c r="L4530" s="267">
        <v>42500</v>
      </c>
      <c r="M4530" s="267" t="s">
        <v>3943</v>
      </c>
      <c r="N4530" s="267" t="s">
        <v>4498</v>
      </c>
      <c r="O4530" s="267">
        <v>1192.83</v>
      </c>
      <c r="P4530" s="267" t="s">
        <v>3930</v>
      </c>
      <c r="Q4530" s="267" t="s">
        <v>3931</v>
      </c>
      <c r="R4530" s="267">
        <v>6192.83</v>
      </c>
      <c r="S4530" s="267">
        <v>21752</v>
      </c>
      <c r="T4530" s="267">
        <v>27944.83</v>
      </c>
      <c r="U4530" s="268" t="s">
        <v>3932</v>
      </c>
      <c r="V4530" s="267" t="s">
        <v>944</v>
      </c>
    </row>
    <row r="4531" spans="1:22" hidden="1" x14ac:dyDescent="0.25">
      <c r="A4531" s="269">
        <v>43689</v>
      </c>
      <c r="B4531" s="270">
        <v>2019</v>
      </c>
      <c r="C4531" s="270">
        <v>2020</v>
      </c>
      <c r="D4531" s="270">
        <v>1</v>
      </c>
      <c r="E4531" s="270">
        <v>1</v>
      </c>
      <c r="F4531" s="270" t="s">
        <v>944</v>
      </c>
      <c r="G4531" s="270" t="s">
        <v>3926</v>
      </c>
      <c r="H4531" s="270" t="s">
        <v>9132</v>
      </c>
      <c r="I4531" s="270" t="s">
        <v>4016</v>
      </c>
      <c r="J4531" s="270" t="s">
        <v>3928</v>
      </c>
      <c r="K4531" s="270">
        <v>6770</v>
      </c>
      <c r="L4531" s="270">
        <v>345202</v>
      </c>
      <c r="M4531" s="270" t="s">
        <v>3960</v>
      </c>
      <c r="N4531" s="270" t="s">
        <v>9133</v>
      </c>
      <c r="O4531" s="270">
        <v>0</v>
      </c>
      <c r="P4531" s="270" t="s">
        <v>3930</v>
      </c>
      <c r="Q4531" s="270" t="s">
        <v>3930</v>
      </c>
      <c r="R4531" s="270">
        <v>0</v>
      </c>
      <c r="S4531" s="270">
        <v>12936</v>
      </c>
      <c r="T4531" s="270">
        <v>12936</v>
      </c>
      <c r="U4531" s="271" t="s">
        <v>3937</v>
      </c>
      <c r="V4531" s="267" t="s">
        <v>944</v>
      </c>
    </row>
    <row r="4532" spans="1:22" hidden="1" x14ac:dyDescent="0.25">
      <c r="A4532" s="266">
        <v>43689</v>
      </c>
      <c r="B4532" s="267">
        <v>2019</v>
      </c>
      <c r="C4532" s="267">
        <v>2020</v>
      </c>
      <c r="D4532" s="267">
        <v>1</v>
      </c>
      <c r="E4532" s="267">
        <v>1</v>
      </c>
      <c r="F4532" s="267" t="s">
        <v>944</v>
      </c>
      <c r="G4532" s="267" t="s">
        <v>3926</v>
      </c>
      <c r="H4532" s="267" t="s">
        <v>9134</v>
      </c>
      <c r="I4532" s="267" t="s">
        <v>4731</v>
      </c>
      <c r="J4532" s="267" t="s">
        <v>3928</v>
      </c>
      <c r="K4532" s="267">
        <v>6478</v>
      </c>
      <c r="L4532" s="267">
        <v>346102</v>
      </c>
      <c r="M4532" s="267" t="s">
        <v>3943</v>
      </c>
      <c r="N4532" s="267" t="s">
        <v>4103</v>
      </c>
      <c r="O4532" s="267">
        <v>3971</v>
      </c>
      <c r="P4532" s="267" t="s">
        <v>3930</v>
      </c>
      <c r="Q4532" s="267" t="s">
        <v>3931</v>
      </c>
      <c r="R4532" s="267">
        <v>8971</v>
      </c>
      <c r="S4532" s="267">
        <v>24145.599999999999</v>
      </c>
      <c r="T4532" s="267">
        <v>33116.6</v>
      </c>
      <c r="U4532" s="268" t="s">
        <v>3932</v>
      </c>
      <c r="V4532" s="267" t="s">
        <v>944</v>
      </c>
    </row>
    <row r="4533" spans="1:22" hidden="1" x14ac:dyDescent="0.25">
      <c r="A4533" s="269">
        <v>43689</v>
      </c>
      <c r="B4533" s="270">
        <v>2019</v>
      </c>
      <c r="C4533" s="270">
        <v>2020</v>
      </c>
      <c r="D4533" s="270">
        <v>1</v>
      </c>
      <c r="E4533" s="270">
        <v>1</v>
      </c>
      <c r="F4533" s="270" t="s">
        <v>944</v>
      </c>
      <c r="G4533" s="270" t="s">
        <v>3926</v>
      </c>
      <c r="H4533" s="270" t="s">
        <v>9135</v>
      </c>
      <c r="I4533" s="270" t="s">
        <v>3934</v>
      </c>
      <c r="J4533" s="270" t="s">
        <v>3928</v>
      </c>
      <c r="K4533" s="270">
        <v>6405</v>
      </c>
      <c r="L4533" s="270">
        <v>184300</v>
      </c>
      <c r="M4533" s="270" t="s">
        <v>3960</v>
      </c>
      <c r="N4533" s="270" t="s">
        <v>3944</v>
      </c>
      <c r="O4533" s="270">
        <v>3644</v>
      </c>
      <c r="P4533" s="270" t="s">
        <v>3944</v>
      </c>
      <c r="Q4533" s="270" t="s">
        <v>3944</v>
      </c>
      <c r="R4533" s="270">
        <v>3644</v>
      </c>
      <c r="S4533" s="270">
        <v>23742</v>
      </c>
      <c r="T4533" s="270">
        <v>27386</v>
      </c>
      <c r="U4533" s="271" t="s">
        <v>3945</v>
      </c>
      <c r="V4533" s="267" t="s">
        <v>944</v>
      </c>
    </row>
    <row r="4534" spans="1:22" hidden="1" x14ac:dyDescent="0.25">
      <c r="A4534" s="266">
        <v>43689</v>
      </c>
      <c r="B4534" s="267">
        <v>2019</v>
      </c>
      <c r="C4534" s="267">
        <v>2020</v>
      </c>
      <c r="D4534" s="267">
        <v>1</v>
      </c>
      <c r="E4534" s="267">
        <v>1</v>
      </c>
      <c r="F4534" s="267" t="s">
        <v>944</v>
      </c>
      <c r="G4534" s="267" t="s">
        <v>3926</v>
      </c>
      <c r="H4534" s="267" t="s">
        <v>9136</v>
      </c>
      <c r="I4534" s="267" t="s">
        <v>4353</v>
      </c>
      <c r="J4534" s="267" t="s">
        <v>3928</v>
      </c>
      <c r="K4534" s="267">
        <v>6416</v>
      </c>
      <c r="L4534" s="267">
        <v>570300</v>
      </c>
      <c r="M4534" s="267" t="s">
        <v>3940</v>
      </c>
      <c r="N4534" s="267" t="s">
        <v>3944</v>
      </c>
      <c r="O4534" s="267">
        <v>4346</v>
      </c>
      <c r="P4534" s="267" t="s">
        <v>3944</v>
      </c>
      <c r="Q4534" s="267" t="s">
        <v>3944</v>
      </c>
      <c r="R4534" s="267">
        <v>4346</v>
      </c>
      <c r="S4534" s="267">
        <v>61917</v>
      </c>
      <c r="T4534" s="267">
        <v>66263</v>
      </c>
      <c r="U4534" s="268" t="s">
        <v>3945</v>
      </c>
      <c r="V4534" s="267" t="s">
        <v>944</v>
      </c>
    </row>
    <row r="4535" spans="1:22" hidden="1" x14ac:dyDescent="0.25">
      <c r="A4535" s="269">
        <v>43689</v>
      </c>
      <c r="B4535" s="270">
        <v>2019</v>
      </c>
      <c r="C4535" s="270">
        <v>2020</v>
      </c>
      <c r="D4535" s="270">
        <v>1</v>
      </c>
      <c r="E4535" s="270">
        <v>1</v>
      </c>
      <c r="F4535" s="270" t="s">
        <v>944</v>
      </c>
      <c r="G4535" s="270" t="s">
        <v>3926</v>
      </c>
      <c r="H4535" s="270" t="s">
        <v>9137</v>
      </c>
      <c r="I4535" s="270" t="s">
        <v>4040</v>
      </c>
      <c r="J4535" s="270" t="s">
        <v>3928</v>
      </c>
      <c r="K4535" s="270">
        <v>6339</v>
      </c>
      <c r="L4535" s="270">
        <v>701100</v>
      </c>
      <c r="M4535" s="270" t="s">
        <v>3960</v>
      </c>
      <c r="N4535" s="270" t="s">
        <v>3944</v>
      </c>
      <c r="O4535" s="270">
        <v>2352</v>
      </c>
      <c r="P4535" s="270" t="s">
        <v>3944</v>
      </c>
      <c r="Q4535" s="270" t="s">
        <v>3944</v>
      </c>
      <c r="R4535" s="270">
        <v>2352</v>
      </c>
      <c r="S4535" s="270">
        <v>20989.5</v>
      </c>
      <c r="T4535" s="270">
        <v>23341.5</v>
      </c>
      <c r="U4535" s="271" t="s">
        <v>3945</v>
      </c>
      <c r="V4535" s="267" t="s">
        <v>944</v>
      </c>
    </row>
    <row r="4536" spans="1:22" hidden="1" x14ac:dyDescent="0.25">
      <c r="A4536" s="266">
        <v>43689</v>
      </c>
      <c r="B4536" s="267">
        <v>2019</v>
      </c>
      <c r="C4536" s="267">
        <v>2020</v>
      </c>
      <c r="D4536" s="267">
        <v>1</v>
      </c>
      <c r="E4536" s="267">
        <v>1</v>
      </c>
      <c r="F4536" s="267" t="s">
        <v>944</v>
      </c>
      <c r="G4536" s="267" t="s">
        <v>3997</v>
      </c>
      <c r="H4536" s="267" t="s">
        <v>9138</v>
      </c>
      <c r="I4536" s="267" t="s">
        <v>4108</v>
      </c>
      <c r="J4536" s="267" t="s">
        <v>3928</v>
      </c>
      <c r="K4536" s="267">
        <v>6082</v>
      </c>
      <c r="L4536" s="267">
        <v>480300</v>
      </c>
      <c r="M4536" s="267" t="s">
        <v>3940</v>
      </c>
      <c r="N4536" s="267" t="s">
        <v>3944</v>
      </c>
      <c r="O4536" s="267">
        <v>2333</v>
      </c>
      <c r="P4536" s="267" t="s">
        <v>3944</v>
      </c>
      <c r="Q4536" s="267" t="s">
        <v>3944</v>
      </c>
      <c r="R4536" s="267">
        <v>2333</v>
      </c>
      <c r="S4536" s="267">
        <v>40376.92</v>
      </c>
      <c r="T4536" s="267">
        <v>42709.919999999998</v>
      </c>
      <c r="U4536" s="268" t="s">
        <v>3945</v>
      </c>
      <c r="V4536" s="267" t="s">
        <v>944</v>
      </c>
    </row>
    <row r="4537" spans="1:22" hidden="1" x14ac:dyDescent="0.25">
      <c r="A4537" s="269">
        <v>43689</v>
      </c>
      <c r="B4537" s="270">
        <v>2019</v>
      </c>
      <c r="C4537" s="270">
        <v>2020</v>
      </c>
      <c r="D4537" s="270">
        <v>1</v>
      </c>
      <c r="E4537" s="270">
        <v>1</v>
      </c>
      <c r="F4537" s="270" t="s">
        <v>944</v>
      </c>
      <c r="G4537" s="270" t="s">
        <v>3926</v>
      </c>
      <c r="H4537" s="270" t="s">
        <v>9139</v>
      </c>
      <c r="I4537" s="270" t="s">
        <v>3008</v>
      </c>
      <c r="J4537" s="270" t="s">
        <v>3928</v>
      </c>
      <c r="K4537" s="270">
        <v>6460</v>
      </c>
      <c r="L4537" s="270">
        <v>150100</v>
      </c>
      <c r="M4537" s="270" t="s">
        <v>3960</v>
      </c>
      <c r="N4537" s="270" t="s">
        <v>3944</v>
      </c>
      <c r="O4537" s="270">
        <v>1795</v>
      </c>
      <c r="P4537" s="270" t="s">
        <v>3944</v>
      </c>
      <c r="Q4537" s="270" t="s">
        <v>3944</v>
      </c>
      <c r="R4537" s="270">
        <v>1795</v>
      </c>
      <c r="S4537" s="270">
        <v>10773.5</v>
      </c>
      <c r="T4537" s="270">
        <v>12568.5</v>
      </c>
      <c r="U4537" s="271" t="s">
        <v>3945</v>
      </c>
      <c r="V4537" s="267" t="s">
        <v>944</v>
      </c>
    </row>
    <row r="4538" spans="1:22" hidden="1" x14ac:dyDescent="0.25">
      <c r="A4538" s="266">
        <v>43689</v>
      </c>
      <c r="B4538" s="267">
        <v>2019</v>
      </c>
      <c r="C4538" s="267">
        <v>2020</v>
      </c>
      <c r="D4538" s="267">
        <v>1</v>
      </c>
      <c r="E4538" s="267">
        <v>1</v>
      </c>
      <c r="F4538" s="267" t="s">
        <v>944</v>
      </c>
      <c r="G4538" s="267" t="s">
        <v>3926</v>
      </c>
      <c r="H4538" s="267" t="s">
        <v>9140</v>
      </c>
      <c r="I4538" s="267" t="s">
        <v>3012</v>
      </c>
      <c r="J4538" s="267" t="s">
        <v>3928</v>
      </c>
      <c r="K4538" s="267">
        <v>6477</v>
      </c>
      <c r="L4538" s="267">
        <v>157200</v>
      </c>
      <c r="M4538" s="267" t="s">
        <v>3943</v>
      </c>
      <c r="N4538" s="267" t="s">
        <v>3944</v>
      </c>
      <c r="O4538" s="267">
        <v>2596.62</v>
      </c>
      <c r="P4538" s="267" t="s">
        <v>3944</v>
      </c>
      <c r="Q4538" s="267" t="s">
        <v>3944</v>
      </c>
      <c r="R4538" s="267">
        <v>2596.62</v>
      </c>
      <c r="S4538" s="267">
        <v>48244.14</v>
      </c>
      <c r="T4538" s="267">
        <v>50840.76</v>
      </c>
      <c r="U4538" s="268" t="s">
        <v>3945</v>
      </c>
      <c r="V4538" s="267" t="s">
        <v>944</v>
      </c>
    </row>
    <row r="4539" spans="1:22" hidden="1" x14ac:dyDescent="0.25">
      <c r="A4539" s="269">
        <v>43689</v>
      </c>
      <c r="B4539" s="270">
        <v>2019</v>
      </c>
      <c r="C4539" s="270">
        <v>2020</v>
      </c>
      <c r="D4539" s="270">
        <v>1</v>
      </c>
      <c r="E4539" s="270">
        <v>1</v>
      </c>
      <c r="F4539" s="270" t="s">
        <v>944</v>
      </c>
      <c r="G4539" s="270" t="s">
        <v>3926</v>
      </c>
      <c r="H4539" s="270" t="s">
        <v>9141</v>
      </c>
      <c r="I4539" s="270" t="s">
        <v>3996</v>
      </c>
      <c r="J4539" s="270" t="s">
        <v>3928</v>
      </c>
      <c r="K4539" s="270">
        <v>6790</v>
      </c>
      <c r="L4539" s="270">
        <v>310700</v>
      </c>
      <c r="M4539" s="270" t="s">
        <v>3940</v>
      </c>
      <c r="N4539" s="270" t="s">
        <v>3944</v>
      </c>
      <c r="O4539" s="270">
        <v>1885.45</v>
      </c>
      <c r="P4539" s="270" t="s">
        <v>3944</v>
      </c>
      <c r="Q4539" s="270" t="s">
        <v>3944</v>
      </c>
      <c r="R4539" s="270">
        <v>1885.45</v>
      </c>
      <c r="S4539" s="270">
        <v>23036.15</v>
      </c>
      <c r="T4539" s="270">
        <v>24921.599999999999</v>
      </c>
      <c r="U4539" s="271" t="s">
        <v>3945</v>
      </c>
      <c r="V4539" s="267" t="s">
        <v>944</v>
      </c>
    </row>
    <row r="4540" spans="1:22" hidden="1" x14ac:dyDescent="0.25">
      <c r="A4540" s="266">
        <v>43689</v>
      </c>
      <c r="B4540" s="267">
        <v>2019</v>
      </c>
      <c r="C4540" s="267">
        <v>2020</v>
      </c>
      <c r="D4540" s="267">
        <v>1</v>
      </c>
      <c r="E4540" s="267">
        <v>1</v>
      </c>
      <c r="F4540" s="267" t="s">
        <v>944</v>
      </c>
      <c r="G4540" s="267" t="s">
        <v>3926</v>
      </c>
      <c r="H4540" s="267" t="s">
        <v>9142</v>
      </c>
      <c r="I4540" s="267" t="s">
        <v>4011</v>
      </c>
      <c r="J4540" s="267" t="s">
        <v>3928</v>
      </c>
      <c r="K4540" s="267">
        <v>6002</v>
      </c>
      <c r="L4540" s="267">
        <v>471500</v>
      </c>
      <c r="M4540" s="267" t="s">
        <v>3935</v>
      </c>
      <c r="N4540" s="267" t="s">
        <v>3944</v>
      </c>
      <c r="O4540" s="267">
        <v>1474.17</v>
      </c>
      <c r="P4540" s="267" t="s">
        <v>3944</v>
      </c>
      <c r="Q4540" s="267" t="s">
        <v>3944</v>
      </c>
      <c r="R4540" s="267">
        <v>1474.17</v>
      </c>
      <c r="S4540" s="267">
        <v>24328.83</v>
      </c>
      <c r="T4540" s="267">
        <v>25803</v>
      </c>
      <c r="U4540" s="268" t="s">
        <v>3945</v>
      </c>
      <c r="V4540" s="267" t="s">
        <v>944</v>
      </c>
    </row>
    <row r="4541" spans="1:22" hidden="1" x14ac:dyDescent="0.25">
      <c r="A4541" s="269">
        <v>43690</v>
      </c>
      <c r="B4541" s="270">
        <v>2019</v>
      </c>
      <c r="C4541" s="270">
        <v>2020</v>
      </c>
      <c r="D4541" s="270">
        <v>1</v>
      </c>
      <c r="E4541" s="270">
        <v>1</v>
      </c>
      <c r="F4541" s="270" t="s">
        <v>944</v>
      </c>
      <c r="G4541" s="270" t="s">
        <v>3926</v>
      </c>
      <c r="H4541" s="270" t="s">
        <v>9143</v>
      </c>
      <c r="I4541" s="270" t="s">
        <v>4126</v>
      </c>
      <c r="J4541" s="270" t="s">
        <v>3928</v>
      </c>
      <c r="K4541" s="270">
        <v>6880</v>
      </c>
      <c r="L4541" s="270">
        <v>42600</v>
      </c>
      <c r="M4541" s="270" t="s">
        <v>3943</v>
      </c>
      <c r="N4541" s="270" t="s">
        <v>4464</v>
      </c>
      <c r="O4541" s="270">
        <v>0</v>
      </c>
      <c r="P4541" s="270" t="s">
        <v>3930</v>
      </c>
      <c r="Q4541" s="270" t="s">
        <v>3930</v>
      </c>
      <c r="R4541" s="270">
        <v>0</v>
      </c>
      <c r="S4541" s="270">
        <v>8500</v>
      </c>
      <c r="T4541" s="270">
        <v>8500</v>
      </c>
      <c r="U4541" s="271" t="s">
        <v>3937</v>
      </c>
      <c r="V4541" s="267" t="s">
        <v>944</v>
      </c>
    </row>
    <row r="4542" spans="1:22" hidden="1" x14ac:dyDescent="0.25">
      <c r="A4542" s="266">
        <v>43690</v>
      </c>
      <c r="B4542" s="267">
        <v>2019</v>
      </c>
      <c r="C4542" s="267">
        <v>2020</v>
      </c>
      <c r="D4542" s="267">
        <v>1</v>
      </c>
      <c r="E4542" s="267">
        <v>1</v>
      </c>
      <c r="F4542" s="267" t="s">
        <v>944</v>
      </c>
      <c r="G4542" s="267" t="s">
        <v>3926</v>
      </c>
      <c r="H4542" s="267" t="s">
        <v>9144</v>
      </c>
      <c r="I4542" s="267" t="s">
        <v>953</v>
      </c>
      <c r="J4542" s="267" t="s">
        <v>3928</v>
      </c>
      <c r="K4542" s="267">
        <v>6518</v>
      </c>
      <c r="L4542" s="267">
        <v>165900</v>
      </c>
      <c r="M4542" s="267" t="s">
        <v>3943</v>
      </c>
      <c r="N4542" s="267" t="s">
        <v>9145</v>
      </c>
      <c r="O4542" s="267">
        <v>0</v>
      </c>
      <c r="P4542" s="267" t="s">
        <v>3930</v>
      </c>
      <c r="Q4542" s="267" t="s">
        <v>3930</v>
      </c>
      <c r="R4542" s="267">
        <v>0</v>
      </c>
      <c r="S4542" s="267">
        <v>6985</v>
      </c>
      <c r="T4542" s="267">
        <v>6985</v>
      </c>
      <c r="U4542" s="268" t="s">
        <v>3937</v>
      </c>
      <c r="V4542" s="267" t="s">
        <v>944</v>
      </c>
    </row>
    <row r="4543" spans="1:22" hidden="1" x14ac:dyDescent="0.25">
      <c r="A4543" s="269">
        <v>43690</v>
      </c>
      <c r="B4543" s="270">
        <v>2019</v>
      </c>
      <c r="C4543" s="270">
        <v>2020</v>
      </c>
      <c r="D4543" s="270">
        <v>1</v>
      </c>
      <c r="E4543" s="270">
        <v>1</v>
      </c>
      <c r="F4543" s="270" t="s">
        <v>944</v>
      </c>
      <c r="G4543" s="270" t="s">
        <v>3997</v>
      </c>
      <c r="H4543" s="270" t="s">
        <v>9146</v>
      </c>
      <c r="I4543" s="270" t="s">
        <v>4019</v>
      </c>
      <c r="J4543" s="270" t="s">
        <v>3928</v>
      </c>
      <c r="K4543" s="270">
        <v>6706</v>
      </c>
      <c r="L4543" s="270">
        <v>351500</v>
      </c>
      <c r="M4543" s="270" t="s">
        <v>3940</v>
      </c>
      <c r="N4543" s="270" t="s">
        <v>9147</v>
      </c>
      <c r="O4543" s="270">
        <v>876.21</v>
      </c>
      <c r="P4543" s="270" t="s">
        <v>3930</v>
      </c>
      <c r="Q4543" s="270" t="s">
        <v>3931</v>
      </c>
      <c r="R4543" s="270">
        <v>5876.21</v>
      </c>
      <c r="S4543" s="270">
        <v>12480</v>
      </c>
      <c r="T4543" s="270">
        <v>18356.21</v>
      </c>
      <c r="U4543" s="271" t="s">
        <v>3932</v>
      </c>
      <c r="V4543" s="267" t="s">
        <v>944</v>
      </c>
    </row>
    <row r="4544" spans="1:22" hidden="1" x14ac:dyDescent="0.25">
      <c r="A4544" s="266">
        <v>43690</v>
      </c>
      <c r="B4544" s="267">
        <v>2019</v>
      </c>
      <c r="C4544" s="267">
        <v>2020</v>
      </c>
      <c r="D4544" s="267">
        <v>1</v>
      </c>
      <c r="E4544" s="267">
        <v>1</v>
      </c>
      <c r="F4544" s="267" t="s">
        <v>944</v>
      </c>
      <c r="G4544" s="267" t="s">
        <v>3926</v>
      </c>
      <c r="H4544" s="267" t="s">
        <v>9148</v>
      </c>
      <c r="I4544" s="267" t="s">
        <v>4552</v>
      </c>
      <c r="J4544" s="267" t="s">
        <v>3928</v>
      </c>
      <c r="K4544" s="267">
        <v>6423</v>
      </c>
      <c r="L4544" s="267">
        <v>595101</v>
      </c>
      <c r="M4544" s="267" t="s">
        <v>3943</v>
      </c>
      <c r="N4544" s="267" t="s">
        <v>9149</v>
      </c>
      <c r="O4544" s="267">
        <v>5667.53</v>
      </c>
      <c r="P4544" s="267" t="s">
        <v>3930</v>
      </c>
      <c r="Q4544" s="267" t="s">
        <v>3931</v>
      </c>
      <c r="R4544" s="267">
        <v>10667.53</v>
      </c>
      <c r="S4544" s="267">
        <v>32364</v>
      </c>
      <c r="T4544" s="267">
        <v>43031.53</v>
      </c>
      <c r="U4544" s="268" t="s">
        <v>3932</v>
      </c>
      <c r="V4544" s="267" t="s">
        <v>944</v>
      </c>
    </row>
    <row r="4545" spans="1:22" hidden="1" x14ac:dyDescent="0.25">
      <c r="A4545" s="269">
        <v>43690</v>
      </c>
      <c r="B4545" s="270">
        <v>2019</v>
      </c>
      <c r="C4545" s="270">
        <v>2020</v>
      </c>
      <c r="D4545" s="270">
        <v>1</v>
      </c>
      <c r="E4545" s="270">
        <v>1</v>
      </c>
      <c r="F4545" s="270" t="s">
        <v>944</v>
      </c>
      <c r="G4545" s="270" t="s">
        <v>3926</v>
      </c>
      <c r="H4545" s="270" t="s">
        <v>9150</v>
      </c>
      <c r="I4545" s="270" t="s">
        <v>4079</v>
      </c>
      <c r="J4545" s="270" t="s">
        <v>3928</v>
      </c>
      <c r="K4545" s="270">
        <v>6111</v>
      </c>
      <c r="L4545" s="270">
        <v>494100</v>
      </c>
      <c r="M4545" s="270" t="s">
        <v>3935</v>
      </c>
      <c r="N4545" s="270" t="s">
        <v>4361</v>
      </c>
      <c r="O4545" s="270">
        <v>1108.52</v>
      </c>
      <c r="P4545" s="270" t="s">
        <v>3930</v>
      </c>
      <c r="Q4545" s="270" t="s">
        <v>3931</v>
      </c>
      <c r="R4545" s="270">
        <v>6108.52</v>
      </c>
      <c r="S4545" s="270">
        <v>19627.2</v>
      </c>
      <c r="T4545" s="270">
        <v>25735.72</v>
      </c>
      <c r="U4545" s="271" t="s">
        <v>3932</v>
      </c>
      <c r="V4545" s="267" t="s">
        <v>944</v>
      </c>
    </row>
    <row r="4546" spans="1:22" hidden="1" x14ac:dyDescent="0.25">
      <c r="A4546" s="266">
        <v>43690</v>
      </c>
      <c r="B4546" s="267">
        <v>2019</v>
      </c>
      <c r="C4546" s="267">
        <v>2020</v>
      </c>
      <c r="D4546" s="267">
        <v>1</v>
      </c>
      <c r="E4546" s="267">
        <v>1</v>
      </c>
      <c r="F4546" s="267" t="s">
        <v>944</v>
      </c>
      <c r="G4546" s="267" t="s">
        <v>3926</v>
      </c>
      <c r="H4546" s="267" t="s">
        <v>9151</v>
      </c>
      <c r="I4546" s="267" t="s">
        <v>4035</v>
      </c>
      <c r="J4546" s="267" t="s">
        <v>3928</v>
      </c>
      <c r="K4546" s="267">
        <v>6074</v>
      </c>
      <c r="L4546" s="267">
        <v>487201</v>
      </c>
      <c r="M4546" s="267" t="s">
        <v>3943</v>
      </c>
      <c r="N4546" s="267" t="s">
        <v>3944</v>
      </c>
      <c r="O4546" s="267">
        <v>1907.64</v>
      </c>
      <c r="P4546" s="267" t="s">
        <v>3944</v>
      </c>
      <c r="Q4546" s="267" t="s">
        <v>3944</v>
      </c>
      <c r="R4546" s="267">
        <v>1907.64</v>
      </c>
      <c r="S4546" s="267">
        <v>29296.560000000001</v>
      </c>
      <c r="T4546" s="267">
        <v>31204.2</v>
      </c>
      <c r="U4546" s="268" t="s">
        <v>3945</v>
      </c>
      <c r="V4546" s="267" t="s">
        <v>944</v>
      </c>
    </row>
    <row r="4547" spans="1:22" hidden="1" x14ac:dyDescent="0.25">
      <c r="A4547" s="269">
        <v>43690</v>
      </c>
      <c r="B4547" s="270">
        <v>2019</v>
      </c>
      <c r="C4547" s="270">
        <v>2020</v>
      </c>
      <c r="D4547" s="270">
        <v>1</v>
      </c>
      <c r="E4547" s="270">
        <v>1</v>
      </c>
      <c r="F4547" s="270" t="s">
        <v>944</v>
      </c>
      <c r="G4547" s="270" t="s">
        <v>3926</v>
      </c>
      <c r="H4547" s="270" t="s">
        <v>9152</v>
      </c>
      <c r="I4547" s="270" t="s">
        <v>4035</v>
      </c>
      <c r="J4547" s="270" t="s">
        <v>3928</v>
      </c>
      <c r="K4547" s="270">
        <v>6074</v>
      </c>
      <c r="L4547" s="270">
        <v>487100</v>
      </c>
      <c r="M4547" s="270" t="s">
        <v>3943</v>
      </c>
      <c r="N4547" s="270" t="s">
        <v>3944</v>
      </c>
      <c r="O4547" s="270">
        <v>1616.65</v>
      </c>
      <c r="P4547" s="270" t="s">
        <v>3944</v>
      </c>
      <c r="Q4547" s="270" t="s">
        <v>3944</v>
      </c>
      <c r="R4547" s="270">
        <v>1616.65</v>
      </c>
      <c r="S4547" s="270">
        <v>23215.78</v>
      </c>
      <c r="T4547" s="270">
        <v>24832.43</v>
      </c>
      <c r="U4547" s="271" t="s">
        <v>3945</v>
      </c>
      <c r="V4547" s="267" t="s">
        <v>944</v>
      </c>
    </row>
    <row r="4548" spans="1:22" hidden="1" x14ac:dyDescent="0.25">
      <c r="A4548" s="266">
        <v>43690</v>
      </c>
      <c r="B4548" s="267">
        <v>2019</v>
      </c>
      <c r="C4548" s="267">
        <v>2020</v>
      </c>
      <c r="D4548" s="267">
        <v>1</v>
      </c>
      <c r="E4548" s="267">
        <v>1</v>
      </c>
      <c r="F4548" s="267" t="s">
        <v>944</v>
      </c>
      <c r="G4548" s="267" t="s">
        <v>3926</v>
      </c>
      <c r="H4548" s="267" t="s">
        <v>9153</v>
      </c>
      <c r="I4548" s="267" t="s">
        <v>956</v>
      </c>
      <c r="J4548" s="267" t="s">
        <v>3928</v>
      </c>
      <c r="K4548" s="267">
        <v>6615</v>
      </c>
      <c r="L4548" s="267">
        <v>80200</v>
      </c>
      <c r="M4548" s="267" t="s">
        <v>3935</v>
      </c>
      <c r="N4548" s="267" t="s">
        <v>3944</v>
      </c>
      <c r="O4548" s="267">
        <v>2075.0100000000002</v>
      </c>
      <c r="P4548" s="267" t="s">
        <v>3944</v>
      </c>
      <c r="Q4548" s="267" t="s">
        <v>3944</v>
      </c>
      <c r="R4548" s="267">
        <v>2075.0100000000002</v>
      </c>
      <c r="S4548" s="267">
        <v>33972.949999999997</v>
      </c>
      <c r="T4548" s="267">
        <v>36047.96</v>
      </c>
      <c r="U4548" s="268" t="s">
        <v>3945</v>
      </c>
      <c r="V4548" s="267" t="s">
        <v>944</v>
      </c>
    </row>
    <row r="4549" spans="1:22" hidden="1" x14ac:dyDescent="0.25">
      <c r="A4549" s="269">
        <v>43690</v>
      </c>
      <c r="B4549" s="270">
        <v>2019</v>
      </c>
      <c r="C4549" s="270">
        <v>2020</v>
      </c>
      <c r="D4549" s="270">
        <v>1</v>
      </c>
      <c r="E4549" s="270">
        <v>1</v>
      </c>
      <c r="F4549" s="270" t="s">
        <v>944</v>
      </c>
      <c r="G4549" s="270" t="s">
        <v>3926</v>
      </c>
      <c r="H4549" s="270" t="s">
        <v>9154</v>
      </c>
      <c r="I4549" s="270" t="s">
        <v>956</v>
      </c>
      <c r="J4549" s="270" t="s">
        <v>3928</v>
      </c>
      <c r="K4549" s="270">
        <v>6615</v>
      </c>
      <c r="L4549" s="270">
        <v>80600</v>
      </c>
      <c r="M4549" s="270" t="s">
        <v>3935</v>
      </c>
      <c r="N4549" s="270" t="s">
        <v>3944</v>
      </c>
      <c r="O4549" s="270">
        <v>1847.9</v>
      </c>
      <c r="P4549" s="270" t="s">
        <v>3944</v>
      </c>
      <c r="Q4549" s="270" t="s">
        <v>3944</v>
      </c>
      <c r="R4549" s="270">
        <v>1847.9</v>
      </c>
      <c r="S4549" s="270">
        <v>30891.3</v>
      </c>
      <c r="T4549" s="270">
        <v>32739.200000000001</v>
      </c>
      <c r="U4549" s="271" t="s">
        <v>3945</v>
      </c>
      <c r="V4549" s="267" t="s">
        <v>944</v>
      </c>
    </row>
    <row r="4550" spans="1:22" hidden="1" x14ac:dyDescent="0.25">
      <c r="A4550" s="266">
        <v>43690</v>
      </c>
      <c r="B4550" s="267">
        <v>2019</v>
      </c>
      <c r="C4550" s="267">
        <v>2020</v>
      </c>
      <c r="D4550" s="267">
        <v>1</v>
      </c>
      <c r="E4550" s="267">
        <v>1</v>
      </c>
      <c r="F4550" s="267" t="s">
        <v>944</v>
      </c>
      <c r="G4550" s="267" t="s">
        <v>3926</v>
      </c>
      <c r="H4550" s="267" t="s">
        <v>9155</v>
      </c>
      <c r="I4550" s="267" t="s">
        <v>4392</v>
      </c>
      <c r="J4550" s="267" t="s">
        <v>3928</v>
      </c>
      <c r="K4550" s="267">
        <v>6457</v>
      </c>
      <c r="L4550" s="267">
        <v>541200</v>
      </c>
      <c r="M4550" s="267" t="s">
        <v>3935</v>
      </c>
      <c r="N4550" s="267" t="s">
        <v>3944</v>
      </c>
      <c r="O4550" s="267">
        <v>2676.87</v>
      </c>
      <c r="P4550" s="267" t="s">
        <v>3944</v>
      </c>
      <c r="Q4550" s="267" t="s">
        <v>3944</v>
      </c>
      <c r="R4550" s="267">
        <v>2676.87</v>
      </c>
      <c r="S4550" s="267">
        <v>38360.879999999997</v>
      </c>
      <c r="T4550" s="267">
        <v>41037.75</v>
      </c>
      <c r="U4550" s="268" t="s">
        <v>3945</v>
      </c>
      <c r="V4550" s="267" t="s">
        <v>944</v>
      </c>
    </row>
    <row r="4551" spans="1:22" hidden="1" x14ac:dyDescent="0.25">
      <c r="A4551" s="269">
        <v>43690</v>
      </c>
      <c r="B4551" s="270">
        <v>2019</v>
      </c>
      <c r="C4551" s="270">
        <v>2020</v>
      </c>
      <c r="D4551" s="270">
        <v>1</v>
      </c>
      <c r="E4551" s="270">
        <v>41</v>
      </c>
      <c r="F4551" s="270" t="s">
        <v>944</v>
      </c>
      <c r="G4551" s="270" t="s">
        <v>3997</v>
      </c>
      <c r="H4551" s="270" t="s">
        <v>9156</v>
      </c>
      <c r="I4551" s="270" t="s">
        <v>3999</v>
      </c>
      <c r="J4551" s="270" t="s">
        <v>3928</v>
      </c>
      <c r="K4551" s="270">
        <v>6450</v>
      </c>
      <c r="L4551" s="270">
        <v>171200</v>
      </c>
      <c r="M4551" s="270" t="s">
        <v>3960</v>
      </c>
      <c r="N4551" s="270" t="s">
        <v>9157</v>
      </c>
      <c r="O4551" s="270"/>
      <c r="P4551" s="270" t="s">
        <v>3944</v>
      </c>
      <c r="Q4551" s="270" t="s">
        <v>3930</v>
      </c>
      <c r="R4551" s="270">
        <v>0</v>
      </c>
      <c r="S4551" s="270">
        <v>229350</v>
      </c>
      <c r="T4551" s="270">
        <v>229350</v>
      </c>
      <c r="U4551" s="271" t="s">
        <v>5027</v>
      </c>
      <c r="V4551" s="267" t="s">
        <v>944</v>
      </c>
    </row>
    <row r="4552" spans="1:22" hidden="1" x14ac:dyDescent="0.25">
      <c r="A4552" s="266">
        <v>43691</v>
      </c>
      <c r="B4552" s="267">
        <v>2019</v>
      </c>
      <c r="C4552" s="267">
        <v>2020</v>
      </c>
      <c r="D4552" s="267">
        <v>1</v>
      </c>
      <c r="E4552" s="267">
        <v>1</v>
      </c>
      <c r="F4552" s="267" t="s">
        <v>944</v>
      </c>
      <c r="G4552" s="267" t="s">
        <v>3926</v>
      </c>
      <c r="H4552" s="267" t="s">
        <v>9158</v>
      </c>
      <c r="I4552" s="267" t="s">
        <v>4170</v>
      </c>
      <c r="J4552" s="267" t="s">
        <v>3928</v>
      </c>
      <c r="K4552" s="267">
        <v>6498</v>
      </c>
      <c r="L4552" s="267">
        <v>680100</v>
      </c>
      <c r="M4552" s="267" t="s">
        <v>3935</v>
      </c>
      <c r="N4552" s="267" t="s">
        <v>9159</v>
      </c>
      <c r="O4552" s="267">
        <v>0</v>
      </c>
      <c r="P4552" s="267" t="s">
        <v>3930</v>
      </c>
      <c r="Q4552" s="267" t="s">
        <v>3930</v>
      </c>
      <c r="R4552" s="267">
        <v>0</v>
      </c>
      <c r="S4552" s="267">
        <v>12950</v>
      </c>
      <c r="T4552" s="267">
        <v>12950</v>
      </c>
      <c r="U4552" s="268" t="s">
        <v>3937</v>
      </c>
      <c r="V4552" s="267" t="s">
        <v>944</v>
      </c>
    </row>
    <row r="4553" spans="1:22" hidden="1" x14ac:dyDescent="0.25">
      <c r="A4553" s="269">
        <v>43691</v>
      </c>
      <c r="B4553" s="270">
        <v>2019</v>
      </c>
      <c r="C4553" s="270">
        <v>2020</v>
      </c>
      <c r="D4553" s="270">
        <v>1</v>
      </c>
      <c r="E4553" s="270">
        <v>1</v>
      </c>
      <c r="F4553" s="270" t="s">
        <v>944</v>
      </c>
      <c r="G4553" s="270" t="s">
        <v>3926</v>
      </c>
      <c r="H4553" s="270" t="s">
        <v>9160</v>
      </c>
      <c r="I4553" s="270" t="s">
        <v>953</v>
      </c>
      <c r="J4553" s="270" t="s">
        <v>3928</v>
      </c>
      <c r="K4553" s="270">
        <v>6517</v>
      </c>
      <c r="L4553" s="270">
        <v>165100</v>
      </c>
      <c r="M4553" s="270" t="s">
        <v>3935</v>
      </c>
      <c r="N4553" s="270" t="s">
        <v>9161</v>
      </c>
      <c r="O4553" s="270">
        <v>0</v>
      </c>
      <c r="P4553" s="270" t="s">
        <v>3930</v>
      </c>
      <c r="Q4553" s="270" t="s">
        <v>3930</v>
      </c>
      <c r="R4553" s="270">
        <v>0</v>
      </c>
      <c r="S4553" s="270">
        <v>10265</v>
      </c>
      <c r="T4553" s="270">
        <v>10265</v>
      </c>
      <c r="U4553" s="271" t="s">
        <v>3937</v>
      </c>
      <c r="V4553" s="267" t="s">
        <v>944</v>
      </c>
    </row>
    <row r="4554" spans="1:22" hidden="1" x14ac:dyDescent="0.25">
      <c r="A4554" s="266">
        <v>43691</v>
      </c>
      <c r="B4554" s="267">
        <v>2019</v>
      </c>
      <c r="C4554" s="267">
        <v>2020</v>
      </c>
      <c r="D4554" s="267">
        <v>1</v>
      </c>
      <c r="E4554" s="267">
        <v>1</v>
      </c>
      <c r="F4554" s="267" t="s">
        <v>944</v>
      </c>
      <c r="G4554" s="267" t="s">
        <v>3926</v>
      </c>
      <c r="H4554" s="267" t="s">
        <v>9162</v>
      </c>
      <c r="I4554" s="267" t="s">
        <v>4073</v>
      </c>
      <c r="J4554" s="267" t="s">
        <v>3928</v>
      </c>
      <c r="K4554" s="267">
        <v>6776</v>
      </c>
      <c r="L4554" s="267">
        <v>253200</v>
      </c>
      <c r="M4554" s="267" t="s">
        <v>3960</v>
      </c>
      <c r="N4554" s="267" t="s">
        <v>9163</v>
      </c>
      <c r="O4554" s="267">
        <v>0</v>
      </c>
      <c r="P4554" s="267" t="s">
        <v>3930</v>
      </c>
      <c r="Q4554" s="267" t="s">
        <v>3930</v>
      </c>
      <c r="R4554" s="267">
        <v>0</v>
      </c>
      <c r="S4554" s="267">
        <v>10475.48</v>
      </c>
      <c r="T4554" s="267">
        <v>10475.48</v>
      </c>
      <c r="U4554" s="268" t="s">
        <v>3937</v>
      </c>
      <c r="V4554" s="267" t="s">
        <v>944</v>
      </c>
    </row>
    <row r="4555" spans="1:22" hidden="1" x14ac:dyDescent="0.25">
      <c r="A4555" s="269">
        <v>43691</v>
      </c>
      <c r="B4555" s="270">
        <v>2019</v>
      </c>
      <c r="C4555" s="270">
        <v>2020</v>
      </c>
      <c r="D4555" s="270">
        <v>1</v>
      </c>
      <c r="E4555" s="270">
        <v>1</v>
      </c>
      <c r="F4555" s="270" t="s">
        <v>944</v>
      </c>
      <c r="G4555" s="270" t="s">
        <v>3926</v>
      </c>
      <c r="H4555" s="270" t="s">
        <v>9164</v>
      </c>
      <c r="I4555" s="270" t="s">
        <v>950</v>
      </c>
      <c r="J4555" s="270" t="s">
        <v>3928</v>
      </c>
      <c r="K4555" s="270">
        <v>6516</v>
      </c>
      <c r="L4555" s="270">
        <v>154700</v>
      </c>
      <c r="M4555" s="270" t="s">
        <v>3960</v>
      </c>
      <c r="N4555" s="270" t="s">
        <v>3929</v>
      </c>
      <c r="O4555" s="270">
        <v>2096.7800000000002</v>
      </c>
      <c r="P4555" s="270" t="s">
        <v>3930</v>
      </c>
      <c r="Q4555" s="270" t="s">
        <v>3931</v>
      </c>
      <c r="R4555" s="270">
        <v>7096.78</v>
      </c>
      <c r="S4555" s="270">
        <v>34744</v>
      </c>
      <c r="T4555" s="270">
        <v>41840.78</v>
      </c>
      <c r="U4555" s="271" t="s">
        <v>3932</v>
      </c>
      <c r="V4555" s="267" t="s">
        <v>944</v>
      </c>
    </row>
    <row r="4556" spans="1:22" hidden="1" x14ac:dyDescent="0.25">
      <c r="A4556" s="266">
        <v>43691</v>
      </c>
      <c r="B4556" s="267">
        <v>2019</v>
      </c>
      <c r="C4556" s="267">
        <v>2020</v>
      </c>
      <c r="D4556" s="267">
        <v>1</v>
      </c>
      <c r="E4556" s="267">
        <v>1</v>
      </c>
      <c r="F4556" s="267" t="s">
        <v>944</v>
      </c>
      <c r="G4556" s="267" t="s">
        <v>3926</v>
      </c>
      <c r="H4556" s="267" t="s">
        <v>9165</v>
      </c>
      <c r="I4556" s="267" t="s">
        <v>4306</v>
      </c>
      <c r="J4556" s="267" t="s">
        <v>3928</v>
      </c>
      <c r="K4556" s="267">
        <v>6716</v>
      </c>
      <c r="L4556" s="267">
        <v>361100</v>
      </c>
      <c r="M4556" s="267" t="s">
        <v>3960</v>
      </c>
      <c r="N4556" s="267" t="s">
        <v>4701</v>
      </c>
      <c r="O4556" s="267">
        <v>2301.88</v>
      </c>
      <c r="P4556" s="267" t="s">
        <v>3930</v>
      </c>
      <c r="Q4556" s="267" t="s">
        <v>3931</v>
      </c>
      <c r="R4556" s="267">
        <v>7301.88</v>
      </c>
      <c r="S4556" s="267">
        <v>34648</v>
      </c>
      <c r="T4556" s="267">
        <v>41949.88</v>
      </c>
      <c r="U4556" s="268" t="s">
        <v>3932</v>
      </c>
      <c r="V4556" s="267" t="s">
        <v>944</v>
      </c>
    </row>
    <row r="4557" spans="1:22" hidden="1" x14ac:dyDescent="0.25">
      <c r="A4557" s="269">
        <v>43691</v>
      </c>
      <c r="B4557" s="270">
        <v>2019</v>
      </c>
      <c r="C4557" s="270">
        <v>2020</v>
      </c>
      <c r="D4557" s="270">
        <v>1</v>
      </c>
      <c r="E4557" s="270">
        <v>1</v>
      </c>
      <c r="F4557" s="270" t="s">
        <v>944</v>
      </c>
      <c r="G4557" s="270" t="s">
        <v>3926</v>
      </c>
      <c r="H4557" s="270" t="s">
        <v>9166</v>
      </c>
      <c r="I4557" s="270" t="s">
        <v>4042</v>
      </c>
      <c r="J4557" s="270" t="s">
        <v>3928</v>
      </c>
      <c r="K4557" s="270">
        <v>6382</v>
      </c>
      <c r="L4557" s="270">
        <v>870502</v>
      </c>
      <c r="M4557" s="270" t="s">
        <v>3940</v>
      </c>
      <c r="N4557" s="270" t="s">
        <v>3944</v>
      </c>
      <c r="O4557" s="270">
        <v>2287.1799999999998</v>
      </c>
      <c r="P4557" s="270" t="s">
        <v>3944</v>
      </c>
      <c r="Q4557" s="270" t="s">
        <v>3944</v>
      </c>
      <c r="R4557" s="270">
        <v>2287.1799999999998</v>
      </c>
      <c r="S4557" s="270">
        <v>37607.47</v>
      </c>
      <c r="T4557" s="270">
        <v>39894.65</v>
      </c>
      <c r="U4557" s="271" t="s">
        <v>3945</v>
      </c>
      <c r="V4557" s="267" t="s">
        <v>944</v>
      </c>
    </row>
    <row r="4558" spans="1:22" hidden="1" x14ac:dyDescent="0.25">
      <c r="A4558" s="266">
        <v>43691</v>
      </c>
      <c r="B4558" s="267">
        <v>2019</v>
      </c>
      <c r="C4558" s="267">
        <v>2020</v>
      </c>
      <c r="D4558" s="267">
        <v>1</v>
      </c>
      <c r="E4558" s="267">
        <v>1</v>
      </c>
      <c r="F4558" s="267" t="s">
        <v>944</v>
      </c>
      <c r="G4558" s="267" t="s">
        <v>3926</v>
      </c>
      <c r="H4558" s="267" t="s">
        <v>9167</v>
      </c>
      <c r="I4558" s="267" t="s">
        <v>4159</v>
      </c>
      <c r="J4558" s="267" t="s">
        <v>3928</v>
      </c>
      <c r="K4558" s="267">
        <v>6016</v>
      </c>
      <c r="L4558" s="267">
        <v>484200</v>
      </c>
      <c r="M4558" s="267" t="s">
        <v>3935</v>
      </c>
      <c r="N4558" s="267" t="s">
        <v>3944</v>
      </c>
      <c r="O4558" s="267">
        <v>4476.01</v>
      </c>
      <c r="P4558" s="267" t="s">
        <v>3944</v>
      </c>
      <c r="Q4558" s="267" t="s">
        <v>3944</v>
      </c>
      <c r="R4558" s="267">
        <v>4476.01</v>
      </c>
      <c r="S4558" s="267">
        <v>60489.87</v>
      </c>
      <c r="T4558" s="267">
        <v>64965.88</v>
      </c>
      <c r="U4558" s="268" t="s">
        <v>3945</v>
      </c>
      <c r="V4558" s="267" t="s">
        <v>944</v>
      </c>
    </row>
    <row r="4559" spans="1:22" hidden="1" x14ac:dyDescent="0.25">
      <c r="A4559" s="269">
        <v>43692</v>
      </c>
      <c r="B4559" s="270">
        <v>2019</v>
      </c>
      <c r="C4559" s="270">
        <v>2020</v>
      </c>
      <c r="D4559" s="270">
        <v>1</v>
      </c>
      <c r="E4559" s="270">
        <v>1</v>
      </c>
      <c r="F4559" s="270" t="s">
        <v>944</v>
      </c>
      <c r="G4559" s="270" t="s">
        <v>3926</v>
      </c>
      <c r="H4559" s="270" t="s">
        <v>9168</v>
      </c>
      <c r="I4559" s="270" t="s">
        <v>4269</v>
      </c>
      <c r="J4559" s="270" t="s">
        <v>3928</v>
      </c>
      <c r="K4559" s="270">
        <v>6117</v>
      </c>
      <c r="L4559" s="270">
        <v>497500</v>
      </c>
      <c r="M4559" s="270" t="s">
        <v>3960</v>
      </c>
      <c r="N4559" s="270" t="s">
        <v>9169</v>
      </c>
      <c r="O4559" s="270">
        <v>5112</v>
      </c>
      <c r="P4559" s="270" t="s">
        <v>3930</v>
      </c>
      <c r="Q4559" s="270" t="s">
        <v>3930</v>
      </c>
      <c r="R4559" s="270">
        <v>5112</v>
      </c>
      <c r="S4559" s="270">
        <v>37537</v>
      </c>
      <c r="T4559" s="270">
        <v>42649</v>
      </c>
      <c r="U4559" s="271" t="s">
        <v>3937</v>
      </c>
      <c r="V4559" s="267" t="s">
        <v>944</v>
      </c>
    </row>
    <row r="4560" spans="1:22" hidden="1" x14ac:dyDescent="0.25">
      <c r="A4560" s="266">
        <v>43692</v>
      </c>
      <c r="B4560" s="267">
        <v>2019</v>
      </c>
      <c r="C4560" s="267">
        <v>2020</v>
      </c>
      <c r="D4560" s="267">
        <v>1</v>
      </c>
      <c r="E4560" s="267">
        <v>1</v>
      </c>
      <c r="F4560" s="267" t="s">
        <v>944</v>
      </c>
      <c r="G4560" s="267" t="s">
        <v>3926</v>
      </c>
      <c r="H4560" s="267" t="s">
        <v>9170</v>
      </c>
      <c r="I4560" s="267" t="s">
        <v>3011</v>
      </c>
      <c r="J4560" s="267" t="s">
        <v>3928</v>
      </c>
      <c r="K4560" s="267">
        <v>6418</v>
      </c>
      <c r="L4560" s="267">
        <v>120100</v>
      </c>
      <c r="M4560" s="267" t="s">
        <v>3940</v>
      </c>
      <c r="N4560" s="267" t="s">
        <v>9171</v>
      </c>
      <c r="O4560" s="267">
        <v>0</v>
      </c>
      <c r="P4560" s="267" t="s">
        <v>3930</v>
      </c>
      <c r="Q4560" s="267" t="s">
        <v>3930</v>
      </c>
      <c r="R4560" s="267">
        <v>0</v>
      </c>
      <c r="S4560" s="267">
        <v>6295</v>
      </c>
      <c r="T4560" s="267">
        <v>6295</v>
      </c>
      <c r="U4560" s="268" t="s">
        <v>3937</v>
      </c>
      <c r="V4560" s="267" t="s">
        <v>944</v>
      </c>
    </row>
    <row r="4561" spans="1:22" hidden="1" x14ac:dyDescent="0.25">
      <c r="A4561" s="269">
        <v>43692</v>
      </c>
      <c r="B4561" s="270">
        <v>2019</v>
      </c>
      <c r="C4561" s="270">
        <v>2020</v>
      </c>
      <c r="D4561" s="270">
        <v>1</v>
      </c>
      <c r="E4561" s="270">
        <v>1</v>
      </c>
      <c r="F4561" s="270" t="s">
        <v>944</v>
      </c>
      <c r="G4561" s="270" t="s">
        <v>3926</v>
      </c>
      <c r="H4561" s="270" t="s">
        <v>9172</v>
      </c>
      <c r="I4561" s="270" t="s">
        <v>5156</v>
      </c>
      <c r="J4561" s="270" t="s">
        <v>3928</v>
      </c>
      <c r="K4561" s="270">
        <v>6360</v>
      </c>
      <c r="L4561" s="270">
        <v>696500</v>
      </c>
      <c r="M4561" s="270" t="s">
        <v>3940</v>
      </c>
      <c r="N4561" s="270" t="s">
        <v>9173</v>
      </c>
      <c r="O4561" s="270">
        <v>0</v>
      </c>
      <c r="P4561" s="270" t="s">
        <v>3930</v>
      </c>
      <c r="Q4561" s="270" t="s">
        <v>3930</v>
      </c>
      <c r="R4561" s="270">
        <v>0</v>
      </c>
      <c r="S4561" s="270">
        <v>9997.36</v>
      </c>
      <c r="T4561" s="270">
        <v>9997.36</v>
      </c>
      <c r="U4561" s="271" t="s">
        <v>3937</v>
      </c>
      <c r="V4561" s="267" t="s">
        <v>944</v>
      </c>
    </row>
    <row r="4562" spans="1:22" hidden="1" x14ac:dyDescent="0.25">
      <c r="A4562" s="266">
        <v>43692</v>
      </c>
      <c r="B4562" s="267">
        <v>2019</v>
      </c>
      <c r="C4562" s="267">
        <v>2020</v>
      </c>
      <c r="D4562" s="267">
        <v>1</v>
      </c>
      <c r="E4562" s="267">
        <v>1</v>
      </c>
      <c r="F4562" s="267" t="s">
        <v>944</v>
      </c>
      <c r="G4562" s="267" t="s">
        <v>3926</v>
      </c>
      <c r="H4562" s="267" t="s">
        <v>9174</v>
      </c>
      <c r="I4562" s="267" t="s">
        <v>4111</v>
      </c>
      <c r="J4562" s="267" t="s">
        <v>3928</v>
      </c>
      <c r="K4562" s="267">
        <v>6095</v>
      </c>
      <c r="L4562" s="267">
        <v>473700</v>
      </c>
      <c r="M4562" s="267" t="s">
        <v>3935</v>
      </c>
      <c r="N4562" s="267" t="s">
        <v>9175</v>
      </c>
      <c r="O4562" s="267">
        <v>0</v>
      </c>
      <c r="P4562" s="267" t="s">
        <v>3930</v>
      </c>
      <c r="Q4562" s="267" t="s">
        <v>3930</v>
      </c>
      <c r="R4562" s="267">
        <v>0</v>
      </c>
      <c r="S4562" s="267">
        <v>5700</v>
      </c>
      <c r="T4562" s="267">
        <v>5700</v>
      </c>
      <c r="U4562" s="268" t="s">
        <v>3937</v>
      </c>
      <c r="V4562" s="267" t="s">
        <v>944</v>
      </c>
    </row>
    <row r="4563" spans="1:22" hidden="1" x14ac:dyDescent="0.25">
      <c r="A4563" s="269">
        <v>43692</v>
      </c>
      <c r="B4563" s="270">
        <v>2019</v>
      </c>
      <c r="C4563" s="270">
        <v>2020</v>
      </c>
      <c r="D4563" s="270">
        <v>1</v>
      </c>
      <c r="E4563" s="270">
        <v>1</v>
      </c>
      <c r="F4563" s="270" t="s">
        <v>944</v>
      </c>
      <c r="G4563" s="270" t="s">
        <v>3926</v>
      </c>
      <c r="H4563" s="270" t="s">
        <v>9176</v>
      </c>
      <c r="I4563" s="270" t="s">
        <v>3968</v>
      </c>
      <c r="J4563" s="270" t="s">
        <v>3928</v>
      </c>
      <c r="K4563" s="270">
        <v>6042</v>
      </c>
      <c r="L4563" s="270">
        <v>514500</v>
      </c>
      <c r="M4563" s="270" t="s">
        <v>3935</v>
      </c>
      <c r="N4563" s="270" t="s">
        <v>9177</v>
      </c>
      <c r="O4563" s="270">
        <v>0</v>
      </c>
      <c r="P4563" s="270" t="s">
        <v>3930</v>
      </c>
      <c r="Q4563" s="270" t="s">
        <v>3930</v>
      </c>
      <c r="R4563" s="270">
        <v>0</v>
      </c>
      <c r="S4563" s="270">
        <v>9929</v>
      </c>
      <c r="T4563" s="270">
        <v>9929</v>
      </c>
      <c r="U4563" s="271" t="s">
        <v>3937</v>
      </c>
      <c r="V4563" s="267" t="s">
        <v>944</v>
      </c>
    </row>
    <row r="4564" spans="1:22" hidden="1" x14ac:dyDescent="0.25">
      <c r="A4564" s="266">
        <v>43692</v>
      </c>
      <c r="B4564" s="267">
        <v>2019</v>
      </c>
      <c r="C4564" s="267">
        <v>2020</v>
      </c>
      <c r="D4564" s="267">
        <v>1</v>
      </c>
      <c r="E4564" s="267">
        <v>1</v>
      </c>
      <c r="F4564" s="267" t="s">
        <v>944</v>
      </c>
      <c r="G4564" s="267" t="s">
        <v>3926</v>
      </c>
      <c r="H4564" s="267" t="s">
        <v>9178</v>
      </c>
      <c r="I4564" s="267" t="s">
        <v>2987</v>
      </c>
      <c r="J4564" s="267" t="s">
        <v>3928</v>
      </c>
      <c r="K4564" s="267">
        <v>6611</v>
      </c>
      <c r="L4564" s="267">
        <v>90500</v>
      </c>
      <c r="M4564" s="267" t="s">
        <v>3943</v>
      </c>
      <c r="N4564" s="267" t="s">
        <v>9179</v>
      </c>
      <c r="O4564" s="267">
        <v>0</v>
      </c>
      <c r="P4564" s="267" t="s">
        <v>3930</v>
      </c>
      <c r="Q4564" s="267" t="s">
        <v>3930</v>
      </c>
      <c r="R4564" s="267">
        <v>0</v>
      </c>
      <c r="S4564" s="267">
        <v>10588.12</v>
      </c>
      <c r="T4564" s="267">
        <v>10588.12</v>
      </c>
      <c r="U4564" s="268" t="s">
        <v>3937</v>
      </c>
      <c r="V4564" s="267" t="s">
        <v>944</v>
      </c>
    </row>
    <row r="4565" spans="1:22" hidden="1" x14ac:dyDescent="0.25">
      <c r="A4565" s="269">
        <v>43692</v>
      </c>
      <c r="B4565" s="270">
        <v>2019</v>
      </c>
      <c r="C4565" s="270">
        <v>2020</v>
      </c>
      <c r="D4565" s="270">
        <v>1</v>
      </c>
      <c r="E4565" s="270">
        <v>1</v>
      </c>
      <c r="F4565" s="270" t="s">
        <v>944</v>
      </c>
      <c r="G4565" s="270" t="s">
        <v>3926</v>
      </c>
      <c r="H4565" s="270" t="s">
        <v>9180</v>
      </c>
      <c r="I4565" s="270" t="s">
        <v>4269</v>
      </c>
      <c r="J4565" s="270" t="s">
        <v>3928</v>
      </c>
      <c r="K4565" s="270">
        <v>6117</v>
      </c>
      <c r="L4565" s="270">
        <v>497500</v>
      </c>
      <c r="M4565" s="270" t="s">
        <v>3960</v>
      </c>
      <c r="N4565" s="270" t="s">
        <v>4975</v>
      </c>
      <c r="O4565" s="270">
        <v>0</v>
      </c>
      <c r="P4565" s="270" t="s">
        <v>3930</v>
      </c>
      <c r="Q4565" s="270" t="s">
        <v>3930</v>
      </c>
      <c r="R4565" s="270">
        <v>0</v>
      </c>
      <c r="S4565" s="270">
        <v>12177.08</v>
      </c>
      <c r="T4565" s="270">
        <v>12177.08</v>
      </c>
      <c r="U4565" s="271" t="s">
        <v>3937</v>
      </c>
      <c r="V4565" s="267" t="s">
        <v>944</v>
      </c>
    </row>
    <row r="4566" spans="1:22" hidden="1" x14ac:dyDescent="0.25">
      <c r="A4566" s="266">
        <v>43692</v>
      </c>
      <c r="B4566" s="267">
        <v>2019</v>
      </c>
      <c r="C4566" s="267">
        <v>2020</v>
      </c>
      <c r="D4566" s="267">
        <v>1</v>
      </c>
      <c r="E4566" s="267">
        <v>1</v>
      </c>
      <c r="F4566" s="267" t="s">
        <v>944</v>
      </c>
      <c r="G4566" s="267" t="s">
        <v>3997</v>
      </c>
      <c r="H4566" s="267" t="s">
        <v>9181</v>
      </c>
      <c r="I4566" s="267" t="s">
        <v>934</v>
      </c>
      <c r="J4566" s="267" t="s">
        <v>3928</v>
      </c>
      <c r="K4566" s="267">
        <v>6610</v>
      </c>
      <c r="L4566" s="267">
        <v>73000</v>
      </c>
      <c r="M4566" s="267" t="s">
        <v>3960</v>
      </c>
      <c r="N4566" s="267" t="s">
        <v>4523</v>
      </c>
      <c r="O4566" s="267">
        <v>4450.83</v>
      </c>
      <c r="P4566" s="267" t="s">
        <v>3930</v>
      </c>
      <c r="Q4566" s="267" t="s">
        <v>3931</v>
      </c>
      <c r="R4566" s="267">
        <v>9450.83</v>
      </c>
      <c r="S4566" s="267">
        <v>25412.799999999999</v>
      </c>
      <c r="T4566" s="267">
        <v>34863.629999999997</v>
      </c>
      <c r="U4566" s="268" t="s">
        <v>3932</v>
      </c>
      <c r="V4566" s="267" t="s">
        <v>944</v>
      </c>
    </row>
    <row r="4567" spans="1:22" hidden="1" x14ac:dyDescent="0.25">
      <c r="A4567" s="269">
        <v>43692</v>
      </c>
      <c r="B4567" s="270">
        <v>2019</v>
      </c>
      <c r="C4567" s="270">
        <v>2020</v>
      </c>
      <c r="D4567" s="270">
        <v>1</v>
      </c>
      <c r="E4567" s="270">
        <v>1</v>
      </c>
      <c r="F4567" s="270" t="s">
        <v>944</v>
      </c>
      <c r="G4567" s="270" t="s">
        <v>3926</v>
      </c>
      <c r="H4567" s="270" t="s">
        <v>9182</v>
      </c>
      <c r="I4567" s="270" t="s">
        <v>4005</v>
      </c>
      <c r="J4567" s="270" t="s">
        <v>3928</v>
      </c>
      <c r="K4567" s="270">
        <v>6118</v>
      </c>
      <c r="L4567" s="270">
        <v>510900</v>
      </c>
      <c r="M4567" s="270" t="s">
        <v>3960</v>
      </c>
      <c r="N4567" s="270" t="s">
        <v>4701</v>
      </c>
      <c r="O4567" s="270">
        <v>2292.5700000000002</v>
      </c>
      <c r="P4567" s="270" t="s">
        <v>3930</v>
      </c>
      <c r="Q4567" s="270" t="s">
        <v>3931</v>
      </c>
      <c r="R4567" s="270">
        <v>7292.57</v>
      </c>
      <c r="S4567" s="270">
        <v>34648</v>
      </c>
      <c r="T4567" s="270">
        <v>41940.57</v>
      </c>
      <c r="U4567" s="271" t="s">
        <v>3932</v>
      </c>
      <c r="V4567" s="267" t="s">
        <v>944</v>
      </c>
    </row>
    <row r="4568" spans="1:22" hidden="1" x14ac:dyDescent="0.25">
      <c r="A4568" s="266">
        <v>43692</v>
      </c>
      <c r="B4568" s="267">
        <v>2019</v>
      </c>
      <c r="C4568" s="267">
        <v>2020</v>
      </c>
      <c r="D4568" s="267">
        <v>1</v>
      </c>
      <c r="E4568" s="267">
        <v>1</v>
      </c>
      <c r="F4568" s="267" t="s">
        <v>944</v>
      </c>
      <c r="G4568" s="267" t="s">
        <v>3926</v>
      </c>
      <c r="H4568" s="267" t="s">
        <v>9183</v>
      </c>
      <c r="I4568" s="267" t="s">
        <v>4019</v>
      </c>
      <c r="J4568" s="267" t="s">
        <v>3928</v>
      </c>
      <c r="K4568" s="267">
        <v>6706</v>
      </c>
      <c r="L4568" s="267">
        <v>352800</v>
      </c>
      <c r="M4568" s="267" t="s">
        <v>3940</v>
      </c>
      <c r="N4568" s="267" t="s">
        <v>9184</v>
      </c>
      <c r="O4568" s="267">
        <v>0</v>
      </c>
      <c r="P4568" s="267" t="s">
        <v>3930</v>
      </c>
      <c r="Q4568" s="267" t="s">
        <v>3930</v>
      </c>
      <c r="R4568" s="267">
        <v>0</v>
      </c>
      <c r="S4568" s="267">
        <v>5960</v>
      </c>
      <c r="T4568" s="267">
        <v>5960</v>
      </c>
      <c r="U4568" s="268" t="s">
        <v>3937</v>
      </c>
      <c r="V4568" s="267" t="s">
        <v>944</v>
      </c>
    </row>
    <row r="4569" spans="1:22" hidden="1" x14ac:dyDescent="0.25">
      <c r="A4569" s="269">
        <v>43692</v>
      </c>
      <c r="B4569" s="270">
        <v>2019</v>
      </c>
      <c r="C4569" s="270">
        <v>2020</v>
      </c>
      <c r="D4569" s="270">
        <v>1</v>
      </c>
      <c r="E4569" s="270">
        <v>1</v>
      </c>
      <c r="F4569" s="270" t="s">
        <v>944</v>
      </c>
      <c r="G4569" s="270" t="s">
        <v>3926</v>
      </c>
      <c r="H4569" s="270" t="s">
        <v>9185</v>
      </c>
      <c r="I4569" s="270" t="s">
        <v>3966</v>
      </c>
      <c r="J4569" s="270" t="s">
        <v>3928</v>
      </c>
      <c r="K4569" s="270">
        <v>6010</v>
      </c>
      <c r="L4569" s="270">
        <v>405200</v>
      </c>
      <c r="M4569" s="270" t="s">
        <v>3940</v>
      </c>
      <c r="N4569" s="270" t="s">
        <v>3983</v>
      </c>
      <c r="O4569" s="270">
        <v>3184.92</v>
      </c>
      <c r="P4569" s="270" t="s">
        <v>3930</v>
      </c>
      <c r="Q4569" s="270" t="s">
        <v>3931</v>
      </c>
      <c r="R4569" s="270">
        <v>8184.92</v>
      </c>
      <c r="S4569" s="270">
        <v>16504</v>
      </c>
      <c r="T4569" s="270">
        <v>24688.92</v>
      </c>
      <c r="U4569" s="271" t="s">
        <v>3932</v>
      </c>
      <c r="V4569" s="267" t="s">
        <v>944</v>
      </c>
    </row>
    <row r="4570" spans="1:22" hidden="1" x14ac:dyDescent="0.25">
      <c r="A4570" s="266">
        <v>43692</v>
      </c>
      <c r="B4570" s="267">
        <v>2019</v>
      </c>
      <c r="C4570" s="267">
        <v>2020</v>
      </c>
      <c r="D4570" s="267">
        <v>1</v>
      </c>
      <c r="E4570" s="267">
        <v>1</v>
      </c>
      <c r="F4570" s="267" t="s">
        <v>944</v>
      </c>
      <c r="G4570" s="267" t="s">
        <v>3926</v>
      </c>
      <c r="H4570" s="267" t="s">
        <v>9186</v>
      </c>
      <c r="I4570" s="267" t="s">
        <v>953</v>
      </c>
      <c r="J4570" s="267" t="s">
        <v>3928</v>
      </c>
      <c r="K4570" s="267">
        <v>6514</v>
      </c>
      <c r="L4570" s="267">
        <v>165600</v>
      </c>
      <c r="M4570" s="267" t="s">
        <v>3940</v>
      </c>
      <c r="N4570" s="267" t="s">
        <v>9187</v>
      </c>
      <c r="O4570" s="267">
        <v>1786.16</v>
      </c>
      <c r="P4570" s="267" t="s">
        <v>3930</v>
      </c>
      <c r="Q4570" s="267" t="s">
        <v>3931</v>
      </c>
      <c r="R4570" s="267">
        <v>6786.16</v>
      </c>
      <c r="S4570" s="267">
        <v>19499</v>
      </c>
      <c r="T4570" s="267">
        <v>26285.16</v>
      </c>
      <c r="U4570" s="268" t="s">
        <v>3932</v>
      </c>
      <c r="V4570" s="267" t="s">
        <v>944</v>
      </c>
    </row>
    <row r="4571" spans="1:22" hidden="1" x14ac:dyDescent="0.25">
      <c r="A4571" s="269">
        <v>43692</v>
      </c>
      <c r="B4571" s="270">
        <v>2019</v>
      </c>
      <c r="C4571" s="270">
        <v>2020</v>
      </c>
      <c r="D4571" s="270">
        <v>1</v>
      </c>
      <c r="E4571" s="270">
        <v>1</v>
      </c>
      <c r="F4571" s="270" t="s">
        <v>944</v>
      </c>
      <c r="G4571" s="270" t="s">
        <v>3926</v>
      </c>
      <c r="H4571" s="270" t="s">
        <v>9188</v>
      </c>
      <c r="I4571" s="270" t="s">
        <v>4042</v>
      </c>
      <c r="J4571" s="270" t="s">
        <v>3928</v>
      </c>
      <c r="K4571" s="270">
        <v>6382</v>
      </c>
      <c r="L4571" s="270">
        <v>870501</v>
      </c>
      <c r="M4571" s="270" t="s">
        <v>3935</v>
      </c>
      <c r="N4571" s="270" t="s">
        <v>3944</v>
      </c>
      <c r="O4571" s="270">
        <v>1700.23</v>
      </c>
      <c r="P4571" s="270" t="s">
        <v>3944</v>
      </c>
      <c r="Q4571" s="270" t="s">
        <v>3944</v>
      </c>
      <c r="R4571" s="270">
        <v>1700.23</v>
      </c>
      <c r="S4571" s="270">
        <v>25594.82</v>
      </c>
      <c r="T4571" s="270">
        <v>27295.05</v>
      </c>
      <c r="U4571" s="271" t="s">
        <v>3945</v>
      </c>
      <c r="V4571" s="267" t="s">
        <v>944</v>
      </c>
    </row>
    <row r="4572" spans="1:22" hidden="1" x14ac:dyDescent="0.25">
      <c r="A4572" s="266">
        <v>43692</v>
      </c>
      <c r="B4572" s="267">
        <v>2019</v>
      </c>
      <c r="C4572" s="267">
        <v>2020</v>
      </c>
      <c r="D4572" s="267">
        <v>1</v>
      </c>
      <c r="E4572" s="267">
        <v>1</v>
      </c>
      <c r="F4572" s="267" t="s">
        <v>944</v>
      </c>
      <c r="G4572" s="267" t="s">
        <v>3926</v>
      </c>
      <c r="H4572" s="267" t="s">
        <v>9189</v>
      </c>
      <c r="I4572" s="267" t="s">
        <v>4200</v>
      </c>
      <c r="J4572" s="267" t="s">
        <v>3928</v>
      </c>
      <c r="K4572" s="267">
        <v>6779</v>
      </c>
      <c r="L4572" s="267">
        <v>360300</v>
      </c>
      <c r="M4572" s="267" t="s">
        <v>3935</v>
      </c>
      <c r="N4572" s="267" t="s">
        <v>3944</v>
      </c>
      <c r="O4572" s="267">
        <v>1629.5</v>
      </c>
      <c r="P4572" s="267" t="s">
        <v>3944</v>
      </c>
      <c r="Q4572" s="267" t="s">
        <v>3944</v>
      </c>
      <c r="R4572" s="267">
        <v>1629.5</v>
      </c>
      <c r="S4572" s="267">
        <v>20739.52</v>
      </c>
      <c r="T4572" s="267">
        <v>22369.02</v>
      </c>
      <c r="U4572" s="268" t="s">
        <v>3945</v>
      </c>
      <c r="V4572" s="267" t="s">
        <v>944</v>
      </c>
    </row>
    <row r="4573" spans="1:22" hidden="1" x14ac:dyDescent="0.25">
      <c r="A4573" s="269">
        <v>43692</v>
      </c>
      <c r="B4573" s="270">
        <v>2019</v>
      </c>
      <c r="C4573" s="270">
        <v>2020</v>
      </c>
      <c r="D4573" s="270">
        <v>1</v>
      </c>
      <c r="E4573" s="270">
        <v>1</v>
      </c>
      <c r="F4573" s="270" t="s">
        <v>944</v>
      </c>
      <c r="G4573" s="270" t="s">
        <v>3926</v>
      </c>
      <c r="H4573" s="270" t="s">
        <v>9190</v>
      </c>
      <c r="I4573" s="270" t="s">
        <v>3009</v>
      </c>
      <c r="J4573" s="270" t="s">
        <v>3928</v>
      </c>
      <c r="K4573" s="270">
        <v>6484</v>
      </c>
      <c r="L4573" s="270">
        <v>110500</v>
      </c>
      <c r="M4573" s="270" t="s">
        <v>3943</v>
      </c>
      <c r="N4573" s="270" t="s">
        <v>3944</v>
      </c>
      <c r="O4573" s="270">
        <v>3710.95</v>
      </c>
      <c r="P4573" s="270" t="s">
        <v>3944</v>
      </c>
      <c r="Q4573" s="270" t="s">
        <v>3944</v>
      </c>
      <c r="R4573" s="270">
        <v>3710.95</v>
      </c>
      <c r="S4573" s="270">
        <v>55263.57</v>
      </c>
      <c r="T4573" s="270">
        <v>58974.52</v>
      </c>
      <c r="U4573" s="271" t="s">
        <v>3945</v>
      </c>
      <c r="V4573" s="267" t="s">
        <v>944</v>
      </c>
    </row>
    <row r="4574" spans="1:22" hidden="1" x14ac:dyDescent="0.25">
      <c r="A4574" s="266">
        <v>43692</v>
      </c>
      <c r="B4574" s="267">
        <v>2019</v>
      </c>
      <c r="C4574" s="267">
        <v>2020</v>
      </c>
      <c r="D4574" s="267">
        <v>1</v>
      </c>
      <c r="E4574" s="267">
        <v>1</v>
      </c>
      <c r="F4574" s="267" t="s">
        <v>944</v>
      </c>
      <c r="G4574" s="267" t="s">
        <v>3926</v>
      </c>
      <c r="H4574" s="267" t="s">
        <v>9191</v>
      </c>
      <c r="I4574" s="267" t="s">
        <v>3954</v>
      </c>
      <c r="J4574" s="267" t="s">
        <v>3928</v>
      </c>
      <c r="K4574" s="267">
        <v>6333</v>
      </c>
      <c r="L4574" s="267">
        <v>716102</v>
      </c>
      <c r="M4574" s="267" t="s">
        <v>3943</v>
      </c>
      <c r="N4574" s="267" t="s">
        <v>3944</v>
      </c>
      <c r="O4574" s="267">
        <v>1349.53</v>
      </c>
      <c r="P4574" s="267" t="s">
        <v>3944</v>
      </c>
      <c r="Q4574" s="267" t="s">
        <v>3944</v>
      </c>
      <c r="R4574" s="267">
        <v>1349.53</v>
      </c>
      <c r="S4574" s="267">
        <v>22640.400000000001</v>
      </c>
      <c r="T4574" s="267">
        <v>23989.93</v>
      </c>
      <c r="U4574" s="268" t="s">
        <v>3945</v>
      </c>
      <c r="V4574" s="267" t="s">
        <v>944</v>
      </c>
    </row>
    <row r="4575" spans="1:22" hidden="1" x14ac:dyDescent="0.25">
      <c r="A4575" s="269">
        <v>43692</v>
      </c>
      <c r="B4575" s="270">
        <v>2019</v>
      </c>
      <c r="C4575" s="270">
        <v>2020</v>
      </c>
      <c r="D4575" s="270">
        <v>1</v>
      </c>
      <c r="E4575" s="270">
        <v>1</v>
      </c>
      <c r="F4575" s="270" t="s">
        <v>944</v>
      </c>
      <c r="G4575" s="270" t="s">
        <v>3926</v>
      </c>
      <c r="H4575" s="270" t="s">
        <v>9192</v>
      </c>
      <c r="I4575" s="270" t="s">
        <v>3954</v>
      </c>
      <c r="J4575" s="270" t="s">
        <v>3928</v>
      </c>
      <c r="K4575" s="270">
        <v>6357</v>
      </c>
      <c r="L4575" s="270">
        <v>870704</v>
      </c>
      <c r="M4575" s="270" t="s">
        <v>3935</v>
      </c>
      <c r="N4575" s="270" t="s">
        <v>3944</v>
      </c>
      <c r="O4575" s="270">
        <v>1178.8399999999999</v>
      </c>
      <c r="P4575" s="270" t="s">
        <v>3944</v>
      </c>
      <c r="Q4575" s="270" t="s">
        <v>3944</v>
      </c>
      <c r="R4575" s="270">
        <v>1178.8399999999999</v>
      </c>
      <c r="S4575" s="270">
        <v>15174.86</v>
      </c>
      <c r="T4575" s="270">
        <v>16353.7</v>
      </c>
      <c r="U4575" s="271" t="s">
        <v>3945</v>
      </c>
      <c r="V4575" s="267" t="s">
        <v>944</v>
      </c>
    </row>
    <row r="4576" spans="1:22" hidden="1" x14ac:dyDescent="0.25">
      <c r="A4576" s="266">
        <v>43692</v>
      </c>
      <c r="B4576" s="267">
        <v>2019</v>
      </c>
      <c r="C4576" s="267">
        <v>2020</v>
      </c>
      <c r="D4576" s="267">
        <v>1</v>
      </c>
      <c r="E4576" s="267">
        <v>1</v>
      </c>
      <c r="F4576" s="267" t="s">
        <v>944</v>
      </c>
      <c r="G4576" s="267" t="s">
        <v>3926</v>
      </c>
      <c r="H4576" s="267" t="s">
        <v>9193</v>
      </c>
      <c r="I4576" s="267" t="s">
        <v>4947</v>
      </c>
      <c r="J4576" s="267" t="s">
        <v>3928</v>
      </c>
      <c r="K4576" s="267">
        <v>6787</v>
      </c>
      <c r="L4576" s="267">
        <v>349100</v>
      </c>
      <c r="M4576" s="267" t="s">
        <v>3935</v>
      </c>
      <c r="N4576" s="267" t="s">
        <v>3944</v>
      </c>
      <c r="O4576" s="267">
        <v>2428.41</v>
      </c>
      <c r="P4576" s="267" t="s">
        <v>3944</v>
      </c>
      <c r="Q4576" s="267" t="s">
        <v>3944</v>
      </c>
      <c r="R4576" s="267">
        <v>2428.41</v>
      </c>
      <c r="S4576" s="267">
        <v>37953.760000000002</v>
      </c>
      <c r="T4576" s="267">
        <v>40382.17</v>
      </c>
      <c r="U4576" s="268" t="s">
        <v>3945</v>
      </c>
      <c r="V4576" s="267" t="s">
        <v>944</v>
      </c>
    </row>
    <row r="4577" spans="1:22" hidden="1" x14ac:dyDescent="0.25">
      <c r="A4577" s="269">
        <v>43692</v>
      </c>
      <c r="B4577" s="270">
        <v>2019</v>
      </c>
      <c r="C4577" s="270">
        <v>2020</v>
      </c>
      <c r="D4577" s="270">
        <v>1</v>
      </c>
      <c r="E4577" s="270">
        <v>1</v>
      </c>
      <c r="F4577" s="270" t="s">
        <v>944</v>
      </c>
      <c r="G4577" s="270" t="s">
        <v>3926</v>
      </c>
      <c r="H4577" s="270" t="s">
        <v>9194</v>
      </c>
      <c r="I4577" s="270" t="s">
        <v>4235</v>
      </c>
      <c r="J4577" s="270" t="s">
        <v>3928</v>
      </c>
      <c r="K4577" s="270">
        <v>6066</v>
      </c>
      <c r="L4577" s="270">
        <v>530500</v>
      </c>
      <c r="M4577" s="270" t="s">
        <v>3935</v>
      </c>
      <c r="N4577" s="270" t="s">
        <v>3944</v>
      </c>
      <c r="O4577" s="270">
        <v>1525.83</v>
      </c>
      <c r="P4577" s="270" t="s">
        <v>3944</v>
      </c>
      <c r="Q4577" s="270" t="s">
        <v>3944</v>
      </c>
      <c r="R4577" s="270">
        <v>1525.83</v>
      </c>
      <c r="S4577" s="270">
        <v>21324.43</v>
      </c>
      <c r="T4577" s="270">
        <v>22850.26</v>
      </c>
      <c r="U4577" s="271" t="s">
        <v>3945</v>
      </c>
      <c r="V4577" s="267" t="s">
        <v>944</v>
      </c>
    </row>
    <row r="4578" spans="1:22" hidden="1" x14ac:dyDescent="0.25">
      <c r="A4578" s="266">
        <v>43692</v>
      </c>
      <c r="B4578" s="267">
        <v>2019</v>
      </c>
      <c r="C4578" s="267">
        <v>2020</v>
      </c>
      <c r="D4578" s="267">
        <v>1</v>
      </c>
      <c r="E4578" s="267">
        <v>1</v>
      </c>
      <c r="F4578" s="267" t="s">
        <v>944</v>
      </c>
      <c r="G4578" s="267" t="s">
        <v>3926</v>
      </c>
      <c r="H4578" s="267" t="s">
        <v>9195</v>
      </c>
      <c r="I4578" s="267" t="s">
        <v>4839</v>
      </c>
      <c r="J4578" s="267" t="s">
        <v>3928</v>
      </c>
      <c r="K4578" s="267">
        <v>6524</v>
      </c>
      <c r="L4578" s="267">
        <v>161100</v>
      </c>
      <c r="M4578" s="267" t="s">
        <v>3943</v>
      </c>
      <c r="N4578" s="267" t="s">
        <v>3944</v>
      </c>
      <c r="O4578" s="267">
        <v>2007.6</v>
      </c>
      <c r="P4578" s="267" t="s">
        <v>3944</v>
      </c>
      <c r="Q4578" s="267" t="s">
        <v>3944</v>
      </c>
      <c r="R4578" s="267">
        <v>2007.6</v>
      </c>
      <c r="S4578" s="267">
        <v>30572.05</v>
      </c>
      <c r="T4578" s="267">
        <v>32579.65</v>
      </c>
      <c r="U4578" s="268" t="s">
        <v>3945</v>
      </c>
      <c r="V4578" s="267" t="s">
        <v>944</v>
      </c>
    </row>
    <row r="4579" spans="1:22" hidden="1" x14ac:dyDescent="0.25">
      <c r="A4579" s="269">
        <v>43692</v>
      </c>
      <c r="B4579" s="270">
        <v>2019</v>
      </c>
      <c r="C4579" s="270">
        <v>2020</v>
      </c>
      <c r="D4579" s="270">
        <v>1</v>
      </c>
      <c r="E4579" s="270">
        <v>1</v>
      </c>
      <c r="F4579" s="270" t="s">
        <v>944</v>
      </c>
      <c r="G4579" s="270" t="s">
        <v>3926</v>
      </c>
      <c r="H4579" s="270" t="s">
        <v>9196</v>
      </c>
      <c r="I4579" s="270" t="s">
        <v>4353</v>
      </c>
      <c r="J4579" s="270" t="s">
        <v>3928</v>
      </c>
      <c r="K4579" s="270">
        <v>6416</v>
      </c>
      <c r="L4579" s="270">
        <v>570300</v>
      </c>
      <c r="M4579" s="270" t="s">
        <v>3940</v>
      </c>
      <c r="N4579" s="270" t="s">
        <v>3944</v>
      </c>
      <c r="O4579" s="270">
        <v>1651.3</v>
      </c>
      <c r="P4579" s="270" t="s">
        <v>3944</v>
      </c>
      <c r="Q4579" s="270" t="s">
        <v>3944</v>
      </c>
      <c r="R4579" s="270">
        <v>1651.3</v>
      </c>
      <c r="S4579" s="270">
        <v>22194.14</v>
      </c>
      <c r="T4579" s="270">
        <v>23845.439999999999</v>
      </c>
      <c r="U4579" s="271" t="s">
        <v>3945</v>
      </c>
      <c r="V4579" s="267" t="s">
        <v>944</v>
      </c>
    </row>
    <row r="4580" spans="1:22" hidden="1" x14ac:dyDescent="0.25">
      <c r="A4580" s="266">
        <v>43693</v>
      </c>
      <c r="B4580" s="267">
        <v>2019</v>
      </c>
      <c r="C4580" s="267">
        <v>2020</v>
      </c>
      <c r="D4580" s="267">
        <v>1</v>
      </c>
      <c r="E4580" s="267">
        <v>1</v>
      </c>
      <c r="F4580" s="267" t="s">
        <v>944</v>
      </c>
      <c r="G4580" s="267" t="s">
        <v>3926</v>
      </c>
      <c r="H4580" s="267" t="s">
        <v>9197</v>
      </c>
      <c r="I4580" s="267" t="s">
        <v>5156</v>
      </c>
      <c r="J4580" s="267" t="s">
        <v>3928</v>
      </c>
      <c r="K4580" s="267">
        <v>6360</v>
      </c>
      <c r="L4580" s="267">
        <v>696400</v>
      </c>
      <c r="M4580" s="267">
        <v>-60</v>
      </c>
      <c r="N4580" s="267" t="s">
        <v>6472</v>
      </c>
      <c r="O4580" s="267">
        <v>0</v>
      </c>
      <c r="P4580" s="267" t="s">
        <v>3930</v>
      </c>
      <c r="Q4580" s="267" t="s">
        <v>3930</v>
      </c>
      <c r="R4580" s="267">
        <v>0</v>
      </c>
      <c r="S4580" s="267">
        <v>6800</v>
      </c>
      <c r="T4580" s="267">
        <v>6800</v>
      </c>
      <c r="U4580" s="268" t="s">
        <v>3937</v>
      </c>
      <c r="V4580" s="267" t="s">
        <v>944</v>
      </c>
    </row>
    <row r="4581" spans="1:22" x14ac:dyDescent="0.25">
      <c r="A4581" s="269">
        <v>43693</v>
      </c>
      <c r="B4581" s="270">
        <v>2019</v>
      </c>
      <c r="C4581" s="270">
        <v>2020</v>
      </c>
      <c r="D4581" s="270">
        <v>1</v>
      </c>
      <c r="E4581" s="270">
        <v>1</v>
      </c>
      <c r="F4581" s="270" t="s">
        <v>944</v>
      </c>
      <c r="G4581" s="270" t="s">
        <v>3926</v>
      </c>
      <c r="H4581" s="270" t="s">
        <v>9198</v>
      </c>
      <c r="I4581" s="270" t="s">
        <v>934</v>
      </c>
      <c r="J4581" s="270" t="s">
        <v>3928</v>
      </c>
      <c r="K4581" s="270">
        <v>6606</v>
      </c>
      <c r="L4581" s="270">
        <v>72200</v>
      </c>
      <c r="M4581" s="270">
        <v>-60</v>
      </c>
      <c r="N4581" s="270" t="s">
        <v>4103</v>
      </c>
      <c r="O4581" s="270">
        <v>4512.78</v>
      </c>
      <c r="P4581" s="270" t="s">
        <v>3930</v>
      </c>
      <c r="Q4581" s="270" t="s">
        <v>3931</v>
      </c>
      <c r="R4581" s="270">
        <v>9512.7800000000007</v>
      </c>
      <c r="S4581" s="270">
        <v>24145.599999999999</v>
      </c>
      <c r="T4581" s="270">
        <v>33658.379999999997</v>
      </c>
      <c r="U4581" s="271" t="s">
        <v>3932</v>
      </c>
      <c r="V4581" s="276" t="s">
        <v>936</v>
      </c>
    </row>
    <row r="4582" spans="1:22" hidden="1" x14ac:dyDescent="0.25">
      <c r="A4582" s="266">
        <v>43693</v>
      </c>
      <c r="B4582" s="267">
        <v>2019</v>
      </c>
      <c r="C4582" s="267">
        <v>2020</v>
      </c>
      <c r="D4582" s="267">
        <v>1</v>
      </c>
      <c r="E4582" s="267">
        <v>1</v>
      </c>
      <c r="F4582" s="267" t="s">
        <v>944</v>
      </c>
      <c r="G4582" s="267" t="s">
        <v>3926</v>
      </c>
      <c r="H4582" s="267" t="s">
        <v>9199</v>
      </c>
      <c r="I4582" s="267" t="s">
        <v>4005</v>
      </c>
      <c r="J4582" s="267" t="s">
        <v>3928</v>
      </c>
      <c r="K4582" s="267">
        <v>6108</v>
      </c>
      <c r="L4582" s="267">
        <v>510300</v>
      </c>
      <c r="M4582" s="267" t="s">
        <v>3940</v>
      </c>
      <c r="N4582" s="267" t="s">
        <v>3983</v>
      </c>
      <c r="O4582" s="267">
        <v>1261.3699999999999</v>
      </c>
      <c r="P4582" s="267" t="s">
        <v>3930</v>
      </c>
      <c r="Q4582" s="267" t="s">
        <v>3931</v>
      </c>
      <c r="R4582" s="267">
        <v>6261.37</v>
      </c>
      <c r="S4582" s="267">
        <v>16504</v>
      </c>
      <c r="T4582" s="267">
        <v>22765.37</v>
      </c>
      <c r="U4582" s="268" t="s">
        <v>3932</v>
      </c>
      <c r="V4582" s="267" t="s">
        <v>944</v>
      </c>
    </row>
    <row r="4583" spans="1:22" x14ac:dyDescent="0.25">
      <c r="A4583" s="269">
        <v>43693</v>
      </c>
      <c r="B4583" s="270">
        <v>2019</v>
      </c>
      <c r="C4583" s="270">
        <v>2020</v>
      </c>
      <c r="D4583" s="270">
        <v>1</v>
      </c>
      <c r="E4583" s="270">
        <v>1</v>
      </c>
      <c r="F4583" s="270" t="s">
        <v>944</v>
      </c>
      <c r="G4583" s="270" t="s">
        <v>3926</v>
      </c>
      <c r="H4583" s="270" t="s">
        <v>9200</v>
      </c>
      <c r="I4583" s="270" t="s">
        <v>934</v>
      </c>
      <c r="J4583" s="270" t="s">
        <v>3928</v>
      </c>
      <c r="K4583" s="270">
        <v>6605</v>
      </c>
      <c r="L4583" s="270">
        <v>70100</v>
      </c>
      <c r="M4583" s="270" t="s">
        <v>3960</v>
      </c>
      <c r="N4583" s="270" t="s">
        <v>3944</v>
      </c>
      <c r="O4583" s="270">
        <v>1818.67</v>
      </c>
      <c r="P4583" s="270" t="s">
        <v>3944</v>
      </c>
      <c r="Q4583" s="270" t="s">
        <v>3944</v>
      </c>
      <c r="R4583" s="270">
        <v>1818.67</v>
      </c>
      <c r="S4583" s="270">
        <v>27551.93</v>
      </c>
      <c r="T4583" s="270">
        <v>29370.6</v>
      </c>
      <c r="U4583" s="271" t="s">
        <v>3945</v>
      </c>
      <c r="V4583" s="276" t="s">
        <v>936</v>
      </c>
    </row>
    <row r="4584" spans="1:22" hidden="1" x14ac:dyDescent="0.25">
      <c r="A4584" s="266">
        <v>43693</v>
      </c>
      <c r="B4584" s="267">
        <v>2019</v>
      </c>
      <c r="C4584" s="267">
        <v>2020</v>
      </c>
      <c r="D4584" s="267">
        <v>1</v>
      </c>
      <c r="E4584" s="267">
        <v>1</v>
      </c>
      <c r="F4584" s="267" t="s">
        <v>944</v>
      </c>
      <c r="G4584" s="267" t="s">
        <v>3926</v>
      </c>
      <c r="H4584" s="267" t="s">
        <v>9201</v>
      </c>
      <c r="I4584" s="267" t="s">
        <v>3975</v>
      </c>
      <c r="J4584" s="267" t="s">
        <v>3928</v>
      </c>
      <c r="K4584" s="267">
        <v>6479</v>
      </c>
      <c r="L4584" s="267">
        <v>430500</v>
      </c>
      <c r="M4584" s="267" t="s">
        <v>3943</v>
      </c>
      <c r="N4584" s="267" t="s">
        <v>3944</v>
      </c>
      <c r="O4584" s="267">
        <v>2065.67</v>
      </c>
      <c r="P4584" s="267" t="s">
        <v>3944</v>
      </c>
      <c r="Q4584" s="267" t="s">
        <v>3944</v>
      </c>
      <c r="R4584" s="267">
        <v>2065.67</v>
      </c>
      <c r="S4584" s="267">
        <v>26117.84</v>
      </c>
      <c r="T4584" s="267">
        <v>28183.51</v>
      </c>
      <c r="U4584" s="268" t="s">
        <v>3945</v>
      </c>
      <c r="V4584" s="267" t="s">
        <v>944</v>
      </c>
    </row>
    <row r="4585" spans="1:22" hidden="1" x14ac:dyDescent="0.25">
      <c r="A4585" s="269">
        <v>43693</v>
      </c>
      <c r="B4585" s="270">
        <v>2019</v>
      </c>
      <c r="C4585" s="270">
        <v>2020</v>
      </c>
      <c r="D4585" s="270">
        <v>1</v>
      </c>
      <c r="E4585" s="270">
        <v>1</v>
      </c>
      <c r="F4585" s="270" t="s">
        <v>944</v>
      </c>
      <c r="G4585" s="270" t="s">
        <v>3926</v>
      </c>
      <c r="H4585" s="270" t="s">
        <v>9202</v>
      </c>
      <c r="I4585" s="270" t="s">
        <v>3012</v>
      </c>
      <c r="J4585" s="270" t="s">
        <v>3928</v>
      </c>
      <c r="K4585" s="270">
        <v>6477</v>
      </c>
      <c r="L4585" s="270">
        <v>157300</v>
      </c>
      <c r="M4585" s="270" t="s">
        <v>3943</v>
      </c>
      <c r="N4585" s="270" t="s">
        <v>3944</v>
      </c>
      <c r="O4585" s="270">
        <v>2221.84</v>
      </c>
      <c r="P4585" s="270" t="s">
        <v>3944</v>
      </c>
      <c r="Q4585" s="270" t="s">
        <v>3944</v>
      </c>
      <c r="R4585" s="270">
        <v>2221.84</v>
      </c>
      <c r="S4585" s="270">
        <v>28670.57</v>
      </c>
      <c r="T4585" s="270">
        <v>30892.41</v>
      </c>
      <c r="U4585" s="271" t="s">
        <v>3945</v>
      </c>
      <c r="V4585" s="267" t="s">
        <v>944</v>
      </c>
    </row>
    <row r="4586" spans="1:22" hidden="1" x14ac:dyDescent="0.25">
      <c r="A4586" s="266">
        <v>43693</v>
      </c>
      <c r="B4586" s="267">
        <v>2019</v>
      </c>
      <c r="C4586" s="267">
        <v>2020</v>
      </c>
      <c r="D4586" s="267">
        <v>1</v>
      </c>
      <c r="E4586" s="267">
        <v>1</v>
      </c>
      <c r="F4586" s="267" t="s">
        <v>944</v>
      </c>
      <c r="G4586" s="267" t="s">
        <v>3926</v>
      </c>
      <c r="H4586" s="267" t="s">
        <v>9203</v>
      </c>
      <c r="I4586" s="267" t="s">
        <v>3975</v>
      </c>
      <c r="J4586" s="267" t="s">
        <v>3928</v>
      </c>
      <c r="K4586" s="267">
        <v>6489</v>
      </c>
      <c r="L4586" s="267">
        <v>430601</v>
      </c>
      <c r="M4586" s="267" t="s">
        <v>3940</v>
      </c>
      <c r="N4586" s="267" t="s">
        <v>3944</v>
      </c>
      <c r="O4586" s="267">
        <v>2838.01</v>
      </c>
      <c r="P4586" s="267" t="s">
        <v>3944</v>
      </c>
      <c r="Q4586" s="267" t="s">
        <v>3944</v>
      </c>
      <c r="R4586" s="267">
        <v>2838.01</v>
      </c>
      <c r="S4586" s="267">
        <v>39129.14</v>
      </c>
      <c r="T4586" s="267">
        <v>41967.15</v>
      </c>
      <c r="U4586" s="268" t="s">
        <v>3945</v>
      </c>
      <c r="V4586" s="267" t="s">
        <v>944</v>
      </c>
    </row>
    <row r="4587" spans="1:22" hidden="1" x14ac:dyDescent="0.25">
      <c r="A4587" s="269">
        <v>43693</v>
      </c>
      <c r="B4587" s="270">
        <v>2019</v>
      </c>
      <c r="C4587" s="270">
        <v>2020</v>
      </c>
      <c r="D4587" s="270">
        <v>1</v>
      </c>
      <c r="E4587" s="270">
        <v>1</v>
      </c>
      <c r="F4587" s="270" t="s">
        <v>944</v>
      </c>
      <c r="G4587" s="270" t="s">
        <v>3926</v>
      </c>
      <c r="H4587" s="270" t="s">
        <v>9204</v>
      </c>
      <c r="I4587" s="270" t="s">
        <v>3008</v>
      </c>
      <c r="J4587" s="270" t="s">
        <v>3928</v>
      </c>
      <c r="K4587" s="270">
        <v>6460</v>
      </c>
      <c r="L4587" s="270">
        <v>150900</v>
      </c>
      <c r="M4587" s="270" t="s">
        <v>3943</v>
      </c>
      <c r="N4587" s="270" t="s">
        <v>3944</v>
      </c>
      <c r="O4587" s="270">
        <v>1147.51</v>
      </c>
      <c r="P4587" s="270" t="s">
        <v>3944</v>
      </c>
      <c r="Q4587" s="270" t="s">
        <v>3944</v>
      </c>
      <c r="R4587" s="270">
        <v>1147.51</v>
      </c>
      <c r="S4587" s="270">
        <v>18844.53</v>
      </c>
      <c r="T4587" s="270">
        <v>19992.04</v>
      </c>
      <c r="U4587" s="271" t="s">
        <v>3945</v>
      </c>
      <c r="V4587" s="267" t="s">
        <v>944</v>
      </c>
    </row>
    <row r="4588" spans="1:22" x14ac:dyDescent="0.25">
      <c r="A4588" s="266">
        <v>43693</v>
      </c>
      <c r="B4588" s="267">
        <v>2019</v>
      </c>
      <c r="C4588" s="267">
        <v>2020</v>
      </c>
      <c r="D4588" s="267">
        <v>1</v>
      </c>
      <c r="E4588" s="267">
        <v>1</v>
      </c>
      <c r="F4588" s="267" t="s">
        <v>944</v>
      </c>
      <c r="G4588" s="267" t="s">
        <v>3926</v>
      </c>
      <c r="H4588" s="267" t="s">
        <v>9205</v>
      </c>
      <c r="I4588" s="267" t="s">
        <v>943</v>
      </c>
      <c r="J4588" s="267" t="s">
        <v>3928</v>
      </c>
      <c r="K4588" s="267">
        <v>6513</v>
      </c>
      <c r="L4588" s="267">
        <v>142300</v>
      </c>
      <c r="M4588" s="267">
        <v>-60</v>
      </c>
      <c r="N4588" s="267" t="s">
        <v>3944</v>
      </c>
      <c r="O4588" s="267">
        <v>866.71</v>
      </c>
      <c r="P4588" s="267" t="s">
        <v>3944</v>
      </c>
      <c r="Q4588" s="267" t="s">
        <v>3944</v>
      </c>
      <c r="R4588" s="267">
        <v>866.71</v>
      </c>
      <c r="S4588" s="267">
        <v>13851.21</v>
      </c>
      <c r="T4588" s="267">
        <v>14717.92</v>
      </c>
      <c r="U4588" s="268" t="s">
        <v>3945</v>
      </c>
      <c r="V4588" s="276" t="s">
        <v>936</v>
      </c>
    </row>
    <row r="4589" spans="1:22" hidden="1" x14ac:dyDescent="0.25">
      <c r="A4589" s="269">
        <v>43693</v>
      </c>
      <c r="B4589" s="270">
        <v>2019</v>
      </c>
      <c r="C4589" s="270">
        <v>2020</v>
      </c>
      <c r="D4589" s="270">
        <v>1</v>
      </c>
      <c r="E4589" s="270">
        <v>1</v>
      </c>
      <c r="F4589" s="270" t="s">
        <v>944</v>
      </c>
      <c r="G4589" s="270" t="s">
        <v>3926</v>
      </c>
      <c r="H4589" s="270" t="s">
        <v>9206</v>
      </c>
      <c r="I4589" s="270" t="s">
        <v>3008</v>
      </c>
      <c r="J4589" s="270" t="s">
        <v>3928</v>
      </c>
      <c r="K4589" s="270">
        <v>6460</v>
      </c>
      <c r="L4589" s="270">
        <v>150900</v>
      </c>
      <c r="M4589" s="270" t="s">
        <v>3943</v>
      </c>
      <c r="N4589" s="270" t="s">
        <v>3944</v>
      </c>
      <c r="O4589" s="270">
        <v>1732.99</v>
      </c>
      <c r="P4589" s="270" t="s">
        <v>3944</v>
      </c>
      <c r="Q4589" s="270" t="s">
        <v>3944</v>
      </c>
      <c r="R4589" s="270">
        <v>1732.99</v>
      </c>
      <c r="S4589" s="270">
        <v>27320.36</v>
      </c>
      <c r="T4589" s="270">
        <v>29053.35</v>
      </c>
      <c r="U4589" s="271" t="s">
        <v>3945</v>
      </c>
      <c r="V4589" s="267" t="s">
        <v>944</v>
      </c>
    </row>
    <row r="4590" spans="1:22" hidden="1" x14ac:dyDescent="0.25">
      <c r="A4590" s="266">
        <v>43693</v>
      </c>
      <c r="B4590" s="267">
        <v>2019</v>
      </c>
      <c r="C4590" s="267">
        <v>2020</v>
      </c>
      <c r="D4590" s="267">
        <v>1</v>
      </c>
      <c r="E4590" s="267">
        <v>1</v>
      </c>
      <c r="F4590" s="267" t="s">
        <v>944</v>
      </c>
      <c r="G4590" s="267" t="s">
        <v>3926</v>
      </c>
      <c r="H4590" s="267" t="s">
        <v>9207</v>
      </c>
      <c r="I4590" s="267" t="s">
        <v>3996</v>
      </c>
      <c r="J4590" s="267" t="s">
        <v>3928</v>
      </c>
      <c r="K4590" s="267">
        <v>6790</v>
      </c>
      <c r="L4590" s="267">
        <v>310801</v>
      </c>
      <c r="M4590" s="267" t="s">
        <v>3940</v>
      </c>
      <c r="N4590" s="267" t="s">
        <v>3944</v>
      </c>
      <c r="O4590" s="267">
        <v>846.58</v>
      </c>
      <c r="P4590" s="267" t="s">
        <v>3944</v>
      </c>
      <c r="Q4590" s="267" t="s">
        <v>3944</v>
      </c>
      <c r="R4590" s="267">
        <v>846.58</v>
      </c>
      <c r="S4590" s="267">
        <v>10884.4</v>
      </c>
      <c r="T4590" s="267">
        <v>11730.98</v>
      </c>
      <c r="U4590" s="268" t="s">
        <v>3945</v>
      </c>
      <c r="V4590" s="267" t="s">
        <v>944</v>
      </c>
    </row>
    <row r="4591" spans="1:22" hidden="1" x14ac:dyDescent="0.25">
      <c r="A4591" s="269">
        <v>43693</v>
      </c>
      <c r="B4591" s="270">
        <v>2019</v>
      </c>
      <c r="C4591" s="270">
        <v>2020</v>
      </c>
      <c r="D4591" s="270">
        <v>1</v>
      </c>
      <c r="E4591" s="270">
        <v>1</v>
      </c>
      <c r="F4591" s="270" t="s">
        <v>944</v>
      </c>
      <c r="G4591" s="270" t="s">
        <v>3926</v>
      </c>
      <c r="H4591" s="270" t="s">
        <v>9208</v>
      </c>
      <c r="I4591" s="270" t="s">
        <v>3962</v>
      </c>
      <c r="J4591" s="270" t="s">
        <v>3928</v>
      </c>
      <c r="K4591" s="270">
        <v>6355</v>
      </c>
      <c r="L4591" s="270">
        <v>705300</v>
      </c>
      <c r="M4591" s="270" t="s">
        <v>3960</v>
      </c>
      <c r="N4591" s="270" t="s">
        <v>3944</v>
      </c>
      <c r="O4591" s="270">
        <v>1934.38</v>
      </c>
      <c r="P4591" s="270" t="s">
        <v>3944</v>
      </c>
      <c r="Q4591" s="270" t="s">
        <v>3944</v>
      </c>
      <c r="R4591" s="270">
        <v>1934.38</v>
      </c>
      <c r="S4591" s="270">
        <v>32715.31</v>
      </c>
      <c r="T4591" s="270">
        <v>34649.69</v>
      </c>
      <c r="U4591" s="271" t="s">
        <v>3945</v>
      </c>
      <c r="V4591" s="267" t="s">
        <v>944</v>
      </c>
    </row>
    <row r="4592" spans="1:22" hidden="1" x14ac:dyDescent="0.25">
      <c r="A4592" s="266">
        <v>43693</v>
      </c>
      <c r="B4592" s="267">
        <v>2019</v>
      </c>
      <c r="C4592" s="267">
        <v>2020</v>
      </c>
      <c r="D4592" s="267">
        <v>1</v>
      </c>
      <c r="E4592" s="267">
        <v>1</v>
      </c>
      <c r="F4592" s="267" t="s">
        <v>944</v>
      </c>
      <c r="G4592" s="267" t="s">
        <v>3926</v>
      </c>
      <c r="H4592" s="267" t="s">
        <v>9209</v>
      </c>
      <c r="I4592" s="267" t="s">
        <v>4111</v>
      </c>
      <c r="J4592" s="267" t="s">
        <v>3928</v>
      </c>
      <c r="K4592" s="267">
        <v>6095</v>
      </c>
      <c r="L4592" s="267">
        <v>473800</v>
      </c>
      <c r="M4592" s="267" t="s">
        <v>3935</v>
      </c>
      <c r="N4592" s="267" t="s">
        <v>3944</v>
      </c>
      <c r="O4592" s="267">
        <v>2514.89</v>
      </c>
      <c r="P4592" s="267" t="s">
        <v>3944</v>
      </c>
      <c r="Q4592" s="267" t="s">
        <v>3944</v>
      </c>
      <c r="R4592" s="267">
        <v>2514.89</v>
      </c>
      <c r="S4592" s="267">
        <v>33328.910000000003</v>
      </c>
      <c r="T4592" s="267">
        <v>35843.800000000003</v>
      </c>
      <c r="U4592" s="268" t="s">
        <v>3945</v>
      </c>
      <c r="V4592" s="267" t="s">
        <v>944</v>
      </c>
    </row>
    <row r="4593" spans="1:22" hidden="1" x14ac:dyDescent="0.25">
      <c r="A4593" s="269">
        <v>43693</v>
      </c>
      <c r="B4593" s="270">
        <v>2019</v>
      </c>
      <c r="C4593" s="270">
        <v>2020</v>
      </c>
      <c r="D4593" s="270">
        <v>1</v>
      </c>
      <c r="E4593" s="270">
        <v>1</v>
      </c>
      <c r="F4593" s="270" t="s">
        <v>944</v>
      </c>
      <c r="G4593" s="270" t="s">
        <v>3926</v>
      </c>
      <c r="H4593" s="270" t="s">
        <v>9210</v>
      </c>
      <c r="I4593" s="270" t="s">
        <v>3996</v>
      </c>
      <c r="J4593" s="270" t="s">
        <v>3928</v>
      </c>
      <c r="K4593" s="270">
        <v>6790</v>
      </c>
      <c r="L4593" s="270">
        <v>310200</v>
      </c>
      <c r="M4593" s="270">
        <v>-60</v>
      </c>
      <c r="N4593" s="270" t="s">
        <v>3944</v>
      </c>
      <c r="O4593" s="270">
        <v>1079.51</v>
      </c>
      <c r="P4593" s="270" t="s">
        <v>3944</v>
      </c>
      <c r="Q4593" s="270" t="s">
        <v>3944</v>
      </c>
      <c r="R4593" s="270">
        <v>1079.51</v>
      </c>
      <c r="S4593" s="270">
        <v>14664.56</v>
      </c>
      <c r="T4593" s="270">
        <v>15744.07</v>
      </c>
      <c r="U4593" s="271" t="s">
        <v>3945</v>
      </c>
      <c r="V4593" s="267" t="s">
        <v>944</v>
      </c>
    </row>
    <row r="4594" spans="1:22" hidden="1" x14ac:dyDescent="0.25">
      <c r="A4594" s="266">
        <v>43693</v>
      </c>
      <c r="B4594" s="267">
        <v>2019</v>
      </c>
      <c r="C4594" s="267">
        <v>2020</v>
      </c>
      <c r="D4594" s="267">
        <v>1</v>
      </c>
      <c r="E4594" s="267">
        <v>1</v>
      </c>
      <c r="F4594" s="267" t="s">
        <v>944</v>
      </c>
      <c r="G4594" s="267" t="s">
        <v>3926</v>
      </c>
      <c r="H4594" s="267" t="s">
        <v>9211</v>
      </c>
      <c r="I4594" s="267" t="s">
        <v>3008</v>
      </c>
      <c r="J4594" s="267" t="s">
        <v>3928</v>
      </c>
      <c r="K4594" s="267">
        <v>6460</v>
      </c>
      <c r="L4594" s="267">
        <v>150900</v>
      </c>
      <c r="M4594" s="267" t="s">
        <v>3943</v>
      </c>
      <c r="N4594" s="267" t="s">
        <v>3944</v>
      </c>
      <c r="O4594" s="267">
        <v>883.09</v>
      </c>
      <c r="P4594" s="267" t="s">
        <v>3944</v>
      </c>
      <c r="Q4594" s="267" t="s">
        <v>3944</v>
      </c>
      <c r="R4594" s="267">
        <v>883.09</v>
      </c>
      <c r="S4594" s="267">
        <v>17101.740000000002</v>
      </c>
      <c r="T4594" s="267">
        <v>17984.830000000002</v>
      </c>
      <c r="U4594" s="268" t="s">
        <v>3945</v>
      </c>
      <c r="V4594" s="267" t="s">
        <v>944</v>
      </c>
    </row>
    <row r="4595" spans="1:22" hidden="1" x14ac:dyDescent="0.25">
      <c r="A4595" s="269">
        <v>43693</v>
      </c>
      <c r="B4595" s="270">
        <v>2019</v>
      </c>
      <c r="C4595" s="270">
        <v>2020</v>
      </c>
      <c r="D4595" s="270">
        <v>1</v>
      </c>
      <c r="E4595" s="270">
        <v>1</v>
      </c>
      <c r="F4595" s="270" t="s">
        <v>944</v>
      </c>
      <c r="G4595" s="270" t="s">
        <v>3926</v>
      </c>
      <c r="H4595" s="270" t="s">
        <v>9212</v>
      </c>
      <c r="I4595" s="270" t="s">
        <v>4306</v>
      </c>
      <c r="J4595" s="270" t="s">
        <v>3928</v>
      </c>
      <c r="K4595" s="270">
        <v>6716</v>
      </c>
      <c r="L4595" s="270">
        <v>361100</v>
      </c>
      <c r="M4595" s="270" t="s">
        <v>3960</v>
      </c>
      <c r="N4595" s="270" t="s">
        <v>3944</v>
      </c>
      <c r="O4595" s="270">
        <v>3090.61</v>
      </c>
      <c r="P4595" s="270" t="s">
        <v>3944</v>
      </c>
      <c r="Q4595" s="270" t="s">
        <v>3944</v>
      </c>
      <c r="R4595" s="270">
        <v>3090.61</v>
      </c>
      <c r="S4595" s="270">
        <v>42611.59</v>
      </c>
      <c r="T4595" s="270">
        <v>45702.2</v>
      </c>
      <c r="U4595" s="271" t="s">
        <v>3945</v>
      </c>
      <c r="V4595" s="267" t="s">
        <v>944</v>
      </c>
    </row>
    <row r="4596" spans="1:22" hidden="1" x14ac:dyDescent="0.25">
      <c r="A4596" s="266">
        <v>43693</v>
      </c>
      <c r="B4596" s="267">
        <v>2019</v>
      </c>
      <c r="C4596" s="267">
        <v>2020</v>
      </c>
      <c r="D4596" s="267">
        <v>1</v>
      </c>
      <c r="E4596" s="267">
        <v>1</v>
      </c>
      <c r="F4596" s="267" t="s">
        <v>944</v>
      </c>
      <c r="G4596" s="267" t="s">
        <v>3926</v>
      </c>
      <c r="H4596" s="267" t="s">
        <v>9213</v>
      </c>
      <c r="I4596" s="267" t="s">
        <v>3025</v>
      </c>
      <c r="J4596" s="267" t="s">
        <v>3928</v>
      </c>
      <c r="K4596" s="267">
        <v>6473</v>
      </c>
      <c r="L4596" s="267">
        <v>167202</v>
      </c>
      <c r="M4596" s="267" t="s">
        <v>3935</v>
      </c>
      <c r="N4596" s="267" t="s">
        <v>3944</v>
      </c>
      <c r="O4596" s="267">
        <v>1797.71</v>
      </c>
      <c r="P4596" s="267" t="s">
        <v>3944</v>
      </c>
      <c r="Q4596" s="267" t="s">
        <v>3944</v>
      </c>
      <c r="R4596" s="267">
        <v>1797.71</v>
      </c>
      <c r="S4596" s="267">
        <v>29328.33</v>
      </c>
      <c r="T4596" s="267">
        <v>31126.04</v>
      </c>
      <c r="U4596" s="268" t="s">
        <v>3945</v>
      </c>
      <c r="V4596" s="267" t="s">
        <v>944</v>
      </c>
    </row>
    <row r="4597" spans="1:22" hidden="1" x14ac:dyDescent="0.25">
      <c r="A4597" s="269">
        <v>43693</v>
      </c>
      <c r="B4597" s="270">
        <v>2019</v>
      </c>
      <c r="C4597" s="270">
        <v>2020</v>
      </c>
      <c r="D4597" s="270">
        <v>1</v>
      </c>
      <c r="E4597" s="270">
        <v>1</v>
      </c>
      <c r="F4597" s="270" t="s">
        <v>944</v>
      </c>
      <c r="G4597" s="270" t="s">
        <v>3926</v>
      </c>
      <c r="H4597" s="270" t="s">
        <v>9214</v>
      </c>
      <c r="I4597" s="270" t="s">
        <v>4011</v>
      </c>
      <c r="J4597" s="270" t="s">
        <v>3928</v>
      </c>
      <c r="K4597" s="270">
        <v>6002</v>
      </c>
      <c r="L4597" s="270">
        <v>471400</v>
      </c>
      <c r="M4597" s="270" t="s">
        <v>3943</v>
      </c>
      <c r="N4597" s="270" t="s">
        <v>3944</v>
      </c>
      <c r="O4597" s="270">
        <v>1640.1</v>
      </c>
      <c r="P4597" s="270" t="s">
        <v>3944</v>
      </c>
      <c r="Q4597" s="270" t="s">
        <v>3944</v>
      </c>
      <c r="R4597" s="270">
        <v>1640.1</v>
      </c>
      <c r="S4597" s="270">
        <v>23706.080000000002</v>
      </c>
      <c r="T4597" s="270">
        <v>25346.18</v>
      </c>
      <c r="U4597" s="271" t="s">
        <v>3945</v>
      </c>
      <c r="V4597" s="267" t="s">
        <v>944</v>
      </c>
    </row>
    <row r="4598" spans="1:22" hidden="1" x14ac:dyDescent="0.25">
      <c r="A4598" s="266">
        <v>43693</v>
      </c>
      <c r="B4598" s="267">
        <v>2019</v>
      </c>
      <c r="C4598" s="267">
        <v>2020</v>
      </c>
      <c r="D4598" s="267">
        <v>1</v>
      </c>
      <c r="E4598" s="267">
        <v>1</v>
      </c>
      <c r="F4598" s="267" t="s">
        <v>944</v>
      </c>
      <c r="G4598" s="267" t="s">
        <v>3926</v>
      </c>
      <c r="H4598" s="267" t="s">
        <v>9215</v>
      </c>
      <c r="I4598" s="267" t="s">
        <v>943</v>
      </c>
      <c r="J4598" s="267" t="s">
        <v>3928</v>
      </c>
      <c r="K4598" s="267">
        <v>6511</v>
      </c>
      <c r="L4598" s="267">
        <v>141400</v>
      </c>
      <c r="M4598" s="267">
        <v>-60</v>
      </c>
      <c r="N4598" s="267" t="s">
        <v>3944</v>
      </c>
      <c r="O4598" s="267">
        <v>1498.42</v>
      </c>
      <c r="P4598" s="267" t="s">
        <v>3944</v>
      </c>
      <c r="Q4598" s="267" t="s">
        <v>3944</v>
      </c>
      <c r="R4598" s="267">
        <v>1498.42</v>
      </c>
      <c r="S4598" s="267">
        <v>23350.91</v>
      </c>
      <c r="T4598" s="267">
        <v>24849.33</v>
      </c>
      <c r="U4598" s="268" t="s">
        <v>3945</v>
      </c>
      <c r="V4598" s="267" t="s">
        <v>944</v>
      </c>
    </row>
    <row r="4599" spans="1:22" hidden="1" x14ac:dyDescent="0.25">
      <c r="A4599" s="269">
        <v>43693</v>
      </c>
      <c r="B4599" s="270">
        <v>2019</v>
      </c>
      <c r="C4599" s="270">
        <v>2020</v>
      </c>
      <c r="D4599" s="270">
        <v>1</v>
      </c>
      <c r="E4599" s="270">
        <v>1</v>
      </c>
      <c r="F4599" s="270" t="s">
        <v>944</v>
      </c>
      <c r="G4599" s="270" t="s">
        <v>3926</v>
      </c>
      <c r="H4599" s="270" t="s">
        <v>9216</v>
      </c>
      <c r="I4599" s="270" t="s">
        <v>3008</v>
      </c>
      <c r="J4599" s="270" t="s">
        <v>3928</v>
      </c>
      <c r="K4599" s="270">
        <v>6460</v>
      </c>
      <c r="L4599" s="270">
        <v>150500</v>
      </c>
      <c r="M4599" s="270" t="s">
        <v>3960</v>
      </c>
      <c r="N4599" s="270" t="s">
        <v>3944</v>
      </c>
      <c r="O4599" s="270">
        <v>1454.88</v>
      </c>
      <c r="P4599" s="270" t="s">
        <v>3944</v>
      </c>
      <c r="Q4599" s="270" t="s">
        <v>3944</v>
      </c>
      <c r="R4599" s="270">
        <v>1454.88</v>
      </c>
      <c r="S4599" s="270">
        <v>24598.91</v>
      </c>
      <c r="T4599" s="270">
        <v>26053.79</v>
      </c>
      <c r="U4599" s="271" t="s">
        <v>3945</v>
      </c>
      <c r="V4599" s="267" t="s">
        <v>944</v>
      </c>
    </row>
    <row r="4600" spans="1:22" hidden="1" x14ac:dyDescent="0.25">
      <c r="A4600" s="266">
        <v>43693</v>
      </c>
      <c r="B4600" s="267">
        <v>2019</v>
      </c>
      <c r="C4600" s="267">
        <v>2020</v>
      </c>
      <c r="D4600" s="267">
        <v>1</v>
      </c>
      <c r="E4600" s="267">
        <v>1</v>
      </c>
      <c r="F4600" s="267" t="s">
        <v>944</v>
      </c>
      <c r="G4600" s="267" t="s">
        <v>3926</v>
      </c>
      <c r="H4600" s="267" t="s">
        <v>9217</v>
      </c>
      <c r="I4600" s="267" t="s">
        <v>956</v>
      </c>
      <c r="J4600" s="267" t="s">
        <v>3928</v>
      </c>
      <c r="K4600" s="267">
        <v>6614</v>
      </c>
      <c r="L4600" s="267">
        <v>80900</v>
      </c>
      <c r="M4600" s="267" t="s">
        <v>3960</v>
      </c>
      <c r="N4600" s="267" t="s">
        <v>3944</v>
      </c>
      <c r="O4600" s="267">
        <v>1543.85</v>
      </c>
      <c r="P4600" s="267" t="s">
        <v>3944</v>
      </c>
      <c r="Q4600" s="267" t="s">
        <v>3944</v>
      </c>
      <c r="R4600" s="267">
        <v>1543.85</v>
      </c>
      <c r="S4600" s="267">
        <v>25242.29</v>
      </c>
      <c r="T4600" s="267">
        <v>26786.14</v>
      </c>
      <c r="U4600" s="268" t="s">
        <v>3945</v>
      </c>
      <c r="V4600" s="267" t="s">
        <v>944</v>
      </c>
    </row>
    <row r="4601" spans="1:22" hidden="1" x14ac:dyDescent="0.25">
      <c r="A4601" s="269">
        <v>43693</v>
      </c>
      <c r="B4601" s="270">
        <v>2019</v>
      </c>
      <c r="C4601" s="270">
        <v>2020</v>
      </c>
      <c r="D4601" s="270">
        <v>1</v>
      </c>
      <c r="E4601" s="270">
        <v>1</v>
      </c>
      <c r="F4601" s="270" t="s">
        <v>944</v>
      </c>
      <c r="G4601" s="270" t="s">
        <v>3926</v>
      </c>
      <c r="H4601" s="270" t="s">
        <v>9218</v>
      </c>
      <c r="I4601" s="270" t="s">
        <v>3996</v>
      </c>
      <c r="J4601" s="270" t="s">
        <v>3928</v>
      </c>
      <c r="K4601" s="270">
        <v>6790</v>
      </c>
      <c r="L4601" s="270">
        <v>310801</v>
      </c>
      <c r="M4601" s="270" t="s">
        <v>3940</v>
      </c>
      <c r="N4601" s="270" t="s">
        <v>3944</v>
      </c>
      <c r="O4601" s="270">
        <v>1117.45</v>
      </c>
      <c r="P4601" s="270" t="s">
        <v>3944</v>
      </c>
      <c r="Q4601" s="270" t="s">
        <v>3944</v>
      </c>
      <c r="R4601" s="270">
        <v>1117.45</v>
      </c>
      <c r="S4601" s="270">
        <v>15212.37</v>
      </c>
      <c r="T4601" s="270">
        <v>16329.82</v>
      </c>
      <c r="U4601" s="271" t="s">
        <v>3945</v>
      </c>
      <c r="V4601" s="267" t="s">
        <v>944</v>
      </c>
    </row>
    <row r="4602" spans="1:22" hidden="1" x14ac:dyDescent="0.25">
      <c r="A4602" s="266">
        <v>43693</v>
      </c>
      <c r="B4602" s="267">
        <v>2019</v>
      </c>
      <c r="C4602" s="267">
        <v>2020</v>
      </c>
      <c r="D4602" s="267">
        <v>1</v>
      </c>
      <c r="E4602" s="267">
        <v>1</v>
      </c>
      <c r="F4602" s="267" t="s">
        <v>944</v>
      </c>
      <c r="G4602" s="267" t="s">
        <v>3926</v>
      </c>
      <c r="H4602" s="267" t="s">
        <v>9219</v>
      </c>
      <c r="I4602" s="267" t="s">
        <v>4037</v>
      </c>
      <c r="J4602" s="267" t="s">
        <v>3928</v>
      </c>
      <c r="K4602" s="267">
        <v>6811</v>
      </c>
      <c r="L4602" s="267">
        <v>211300</v>
      </c>
      <c r="M4602" s="267" t="s">
        <v>3943</v>
      </c>
      <c r="N4602" s="267" t="s">
        <v>3944</v>
      </c>
      <c r="O4602" s="267">
        <v>951.34</v>
      </c>
      <c r="P4602" s="267" t="s">
        <v>3944</v>
      </c>
      <c r="Q4602" s="267" t="s">
        <v>3944</v>
      </c>
      <c r="R4602" s="267">
        <v>951.34</v>
      </c>
      <c r="S4602" s="267">
        <v>13164.23</v>
      </c>
      <c r="T4602" s="267">
        <v>14115.57</v>
      </c>
      <c r="U4602" s="268" t="s">
        <v>3945</v>
      </c>
      <c r="V4602" s="267" t="s">
        <v>944</v>
      </c>
    </row>
    <row r="4603" spans="1:22" hidden="1" x14ac:dyDescent="0.25">
      <c r="A4603" s="269">
        <v>43693</v>
      </c>
      <c r="B4603" s="270">
        <v>2019</v>
      </c>
      <c r="C4603" s="270">
        <v>2020</v>
      </c>
      <c r="D4603" s="270">
        <v>1</v>
      </c>
      <c r="E4603" s="270">
        <v>1</v>
      </c>
      <c r="F4603" s="270" t="s">
        <v>944</v>
      </c>
      <c r="G4603" s="270" t="s">
        <v>3926</v>
      </c>
      <c r="H4603" s="270" t="s">
        <v>9220</v>
      </c>
      <c r="I4603" s="270" t="s">
        <v>934</v>
      </c>
      <c r="J4603" s="270" t="s">
        <v>3928</v>
      </c>
      <c r="K4603" s="270">
        <v>6606</v>
      </c>
      <c r="L4603" s="270">
        <v>72500</v>
      </c>
      <c r="M4603" s="270" t="s">
        <v>3940</v>
      </c>
      <c r="N4603" s="270" t="s">
        <v>3944</v>
      </c>
      <c r="O4603" s="270">
        <v>2676.45</v>
      </c>
      <c r="P4603" s="270" t="s">
        <v>3944</v>
      </c>
      <c r="Q4603" s="270" t="s">
        <v>3944</v>
      </c>
      <c r="R4603" s="270">
        <v>2676.45</v>
      </c>
      <c r="S4603" s="270">
        <v>41697.449999999997</v>
      </c>
      <c r="T4603" s="270">
        <v>44373.9</v>
      </c>
      <c r="U4603" s="271" t="s">
        <v>3945</v>
      </c>
      <c r="V4603" s="267" t="s">
        <v>944</v>
      </c>
    </row>
    <row r="4604" spans="1:22" hidden="1" x14ac:dyDescent="0.25">
      <c r="A4604" s="266">
        <v>43693</v>
      </c>
      <c r="B4604" s="267">
        <v>2019</v>
      </c>
      <c r="C4604" s="267">
        <v>2020</v>
      </c>
      <c r="D4604" s="267">
        <v>1</v>
      </c>
      <c r="E4604" s="267">
        <v>1</v>
      </c>
      <c r="F4604" s="267" t="s">
        <v>944</v>
      </c>
      <c r="G4604" s="267" t="s">
        <v>3926</v>
      </c>
      <c r="H4604" s="267" t="s">
        <v>9221</v>
      </c>
      <c r="I4604" s="267" t="s">
        <v>4424</v>
      </c>
      <c r="J4604" s="267" t="s">
        <v>3928</v>
      </c>
      <c r="K4604" s="267">
        <v>6417</v>
      </c>
      <c r="L4604" s="267">
        <v>620100</v>
      </c>
      <c r="M4604" s="267" t="s">
        <v>3935</v>
      </c>
      <c r="N4604" s="267" t="s">
        <v>3944</v>
      </c>
      <c r="O4604" s="267">
        <v>1114.75</v>
      </c>
      <c r="P4604" s="267" t="s">
        <v>3944</v>
      </c>
      <c r="Q4604" s="267" t="s">
        <v>3944</v>
      </c>
      <c r="R4604" s="267">
        <v>1114.75</v>
      </c>
      <c r="S4604" s="267">
        <v>16357.13</v>
      </c>
      <c r="T4604" s="267">
        <v>17471.88</v>
      </c>
      <c r="U4604" s="268" t="s">
        <v>3945</v>
      </c>
      <c r="V4604" s="267" t="s">
        <v>944</v>
      </c>
    </row>
    <row r="4605" spans="1:22" hidden="1" x14ac:dyDescent="0.25">
      <c r="A4605" s="269">
        <v>43693</v>
      </c>
      <c r="B4605" s="270">
        <v>2019</v>
      </c>
      <c r="C4605" s="270">
        <v>2020</v>
      </c>
      <c r="D4605" s="270">
        <v>1</v>
      </c>
      <c r="E4605" s="270">
        <v>1</v>
      </c>
      <c r="F4605" s="270" t="s">
        <v>944</v>
      </c>
      <c r="G4605" s="270" t="s">
        <v>3926</v>
      </c>
      <c r="H4605" s="270" t="s">
        <v>9222</v>
      </c>
      <c r="I4605" s="270" t="s">
        <v>6209</v>
      </c>
      <c r="J4605" s="270" t="s">
        <v>3928</v>
      </c>
      <c r="K4605" s="270">
        <v>6403</v>
      </c>
      <c r="L4605" s="270">
        <v>341100</v>
      </c>
      <c r="M4605" s="270" t="s">
        <v>3935</v>
      </c>
      <c r="N4605" s="270" t="s">
        <v>3944</v>
      </c>
      <c r="O4605" s="270">
        <v>1855.56</v>
      </c>
      <c r="P4605" s="270" t="s">
        <v>3944</v>
      </c>
      <c r="Q4605" s="270" t="s">
        <v>3944</v>
      </c>
      <c r="R4605" s="270">
        <v>1855.56</v>
      </c>
      <c r="S4605" s="270">
        <v>25622.37</v>
      </c>
      <c r="T4605" s="270">
        <v>27477.93</v>
      </c>
      <c r="U4605" s="271" t="s">
        <v>3945</v>
      </c>
      <c r="V4605" s="267" t="s">
        <v>944</v>
      </c>
    </row>
    <row r="4606" spans="1:22" hidden="1" x14ac:dyDescent="0.25">
      <c r="A4606" s="266">
        <v>43693</v>
      </c>
      <c r="B4606" s="267">
        <v>2019</v>
      </c>
      <c r="C4606" s="267">
        <v>2020</v>
      </c>
      <c r="D4606" s="267">
        <v>1</v>
      </c>
      <c r="E4606" s="267">
        <v>1</v>
      </c>
      <c r="F4606" s="267" t="s">
        <v>944</v>
      </c>
      <c r="G4606" s="267" t="s">
        <v>3926</v>
      </c>
      <c r="H4606" s="267" t="s">
        <v>9223</v>
      </c>
      <c r="I4606" s="267" t="s">
        <v>4035</v>
      </c>
      <c r="J4606" s="267" t="s">
        <v>3928</v>
      </c>
      <c r="K4606" s="267">
        <v>6074</v>
      </c>
      <c r="L4606" s="267">
        <v>487202</v>
      </c>
      <c r="M4606" s="267" t="s">
        <v>3943</v>
      </c>
      <c r="N4606" s="267" t="s">
        <v>3944</v>
      </c>
      <c r="O4606" s="267">
        <v>1511.51</v>
      </c>
      <c r="P4606" s="267" t="s">
        <v>3944</v>
      </c>
      <c r="Q4606" s="267" t="s">
        <v>3944</v>
      </c>
      <c r="R4606" s="267">
        <v>1511.51</v>
      </c>
      <c r="S4606" s="267">
        <v>22052.99</v>
      </c>
      <c r="T4606" s="267">
        <v>23564.5</v>
      </c>
      <c r="U4606" s="268" t="s">
        <v>3945</v>
      </c>
      <c r="V4606" s="267" t="s">
        <v>944</v>
      </c>
    </row>
    <row r="4607" spans="1:22" hidden="1" x14ac:dyDescent="0.25">
      <c r="A4607" s="269">
        <v>43693</v>
      </c>
      <c r="B4607" s="270">
        <v>2019</v>
      </c>
      <c r="C4607" s="270">
        <v>2020</v>
      </c>
      <c r="D4607" s="270">
        <v>1</v>
      </c>
      <c r="E4607" s="270">
        <v>1</v>
      </c>
      <c r="F4607" s="270" t="s">
        <v>944</v>
      </c>
      <c r="G4607" s="270" t="s">
        <v>3926</v>
      </c>
      <c r="H4607" s="270" t="s">
        <v>9224</v>
      </c>
      <c r="I4607" s="270" t="s">
        <v>4301</v>
      </c>
      <c r="J4607" s="270" t="s">
        <v>3928</v>
      </c>
      <c r="K4607" s="270">
        <v>6359</v>
      </c>
      <c r="L4607" s="270">
        <v>707100</v>
      </c>
      <c r="M4607" s="270" t="s">
        <v>3935</v>
      </c>
      <c r="N4607" s="270" t="s">
        <v>3944</v>
      </c>
      <c r="O4607" s="270">
        <v>1245.83</v>
      </c>
      <c r="P4607" s="270" t="s">
        <v>3944</v>
      </c>
      <c r="Q4607" s="270" t="s">
        <v>3944</v>
      </c>
      <c r="R4607" s="270">
        <v>1245.83</v>
      </c>
      <c r="S4607" s="270">
        <v>17389.05</v>
      </c>
      <c r="T4607" s="270">
        <v>18634.88</v>
      </c>
      <c r="U4607" s="271" t="s">
        <v>3945</v>
      </c>
      <c r="V4607" s="267" t="s">
        <v>944</v>
      </c>
    </row>
    <row r="4608" spans="1:22" hidden="1" x14ac:dyDescent="0.25">
      <c r="A4608" s="266">
        <v>43693</v>
      </c>
      <c r="B4608" s="267">
        <v>2019</v>
      </c>
      <c r="C4608" s="267">
        <v>2020</v>
      </c>
      <c r="D4608" s="267">
        <v>1</v>
      </c>
      <c r="E4608" s="267">
        <v>1</v>
      </c>
      <c r="F4608" s="267" t="s">
        <v>944</v>
      </c>
      <c r="G4608" s="267" t="s">
        <v>3926</v>
      </c>
      <c r="H4608" s="267" t="s">
        <v>9225</v>
      </c>
      <c r="I4608" s="267" t="s">
        <v>943</v>
      </c>
      <c r="J4608" s="267" t="s">
        <v>3928</v>
      </c>
      <c r="K4608" s="267">
        <v>6511</v>
      </c>
      <c r="L4608" s="267">
        <v>141800</v>
      </c>
      <c r="M4608" s="267" t="s">
        <v>3940</v>
      </c>
      <c r="N4608" s="267" t="s">
        <v>3944</v>
      </c>
      <c r="O4608" s="267">
        <v>2129.75</v>
      </c>
      <c r="P4608" s="267" t="s">
        <v>3944</v>
      </c>
      <c r="Q4608" s="267" t="s">
        <v>3944</v>
      </c>
      <c r="R4608" s="267">
        <v>2129.75</v>
      </c>
      <c r="S4608" s="267">
        <v>36223.97</v>
      </c>
      <c r="T4608" s="267">
        <v>38353.72</v>
      </c>
      <c r="U4608" s="268" t="s">
        <v>3945</v>
      </c>
      <c r="V4608" s="267" t="s">
        <v>944</v>
      </c>
    </row>
    <row r="4609" spans="1:22" hidden="1" x14ac:dyDescent="0.25">
      <c r="A4609" s="269">
        <v>43693</v>
      </c>
      <c r="B4609" s="270">
        <v>2019</v>
      </c>
      <c r="C4609" s="270">
        <v>2020</v>
      </c>
      <c r="D4609" s="270">
        <v>1</v>
      </c>
      <c r="E4609" s="270">
        <v>1</v>
      </c>
      <c r="F4609" s="270" t="s">
        <v>944</v>
      </c>
      <c r="G4609" s="270" t="s">
        <v>3926</v>
      </c>
      <c r="H4609" s="270" t="s">
        <v>9226</v>
      </c>
      <c r="I4609" s="270" t="s">
        <v>4200</v>
      </c>
      <c r="J4609" s="270" t="s">
        <v>3928</v>
      </c>
      <c r="K4609" s="270">
        <v>6779</v>
      </c>
      <c r="L4609" s="270">
        <v>360400</v>
      </c>
      <c r="M4609" s="270" t="s">
        <v>3940</v>
      </c>
      <c r="N4609" s="270" t="s">
        <v>3944</v>
      </c>
      <c r="O4609" s="270">
        <v>1801.24</v>
      </c>
      <c r="P4609" s="270" t="s">
        <v>3944</v>
      </c>
      <c r="Q4609" s="270" t="s">
        <v>3944</v>
      </c>
      <c r="R4609" s="270">
        <v>1801.24</v>
      </c>
      <c r="S4609" s="270">
        <v>25719.32</v>
      </c>
      <c r="T4609" s="270">
        <v>27520.560000000001</v>
      </c>
      <c r="U4609" s="271" t="s">
        <v>3945</v>
      </c>
      <c r="V4609" s="267" t="s">
        <v>944</v>
      </c>
    </row>
    <row r="4610" spans="1:22" x14ac:dyDescent="0.25">
      <c r="A4610" s="266">
        <v>43693</v>
      </c>
      <c r="B4610" s="267">
        <v>2019</v>
      </c>
      <c r="C4610" s="267">
        <v>2020</v>
      </c>
      <c r="D4610" s="267">
        <v>1</v>
      </c>
      <c r="E4610" s="267">
        <v>1</v>
      </c>
      <c r="F4610" s="267" t="s">
        <v>944</v>
      </c>
      <c r="G4610" s="267" t="s">
        <v>3926</v>
      </c>
      <c r="H4610" s="267" t="s">
        <v>9227</v>
      </c>
      <c r="I4610" s="267" t="s">
        <v>934</v>
      </c>
      <c r="J4610" s="267" t="s">
        <v>3928</v>
      </c>
      <c r="K4610" s="267">
        <v>6605</v>
      </c>
      <c r="L4610" s="267">
        <v>70200</v>
      </c>
      <c r="M4610" s="267">
        <v>-60</v>
      </c>
      <c r="N4610" s="267" t="s">
        <v>3944</v>
      </c>
      <c r="O4610" s="267">
        <v>1852.66</v>
      </c>
      <c r="P4610" s="267" t="s">
        <v>3944</v>
      </c>
      <c r="Q4610" s="267" t="s">
        <v>3944</v>
      </c>
      <c r="R4610" s="267">
        <v>1852.66</v>
      </c>
      <c r="S4610" s="267">
        <v>28916.54</v>
      </c>
      <c r="T4610" s="267">
        <v>30769.200000000001</v>
      </c>
      <c r="U4610" s="268" t="s">
        <v>3945</v>
      </c>
      <c r="V4610" s="276" t="s">
        <v>936</v>
      </c>
    </row>
    <row r="4611" spans="1:22" hidden="1" x14ac:dyDescent="0.25">
      <c r="A4611" s="269">
        <v>43693</v>
      </c>
      <c r="B4611" s="270">
        <v>2019</v>
      </c>
      <c r="C4611" s="270">
        <v>2020</v>
      </c>
      <c r="D4611" s="270">
        <v>1</v>
      </c>
      <c r="E4611" s="270">
        <v>1</v>
      </c>
      <c r="F4611" s="270" t="s">
        <v>944</v>
      </c>
      <c r="G4611" s="270" t="s">
        <v>3926</v>
      </c>
      <c r="H4611" s="270" t="s">
        <v>9228</v>
      </c>
      <c r="I4611" s="270" t="s">
        <v>3949</v>
      </c>
      <c r="J4611" s="270" t="s">
        <v>3928</v>
      </c>
      <c r="K4611" s="270">
        <v>6437</v>
      </c>
      <c r="L4611" s="270">
        <v>190303</v>
      </c>
      <c r="M4611" s="270" t="s">
        <v>3943</v>
      </c>
      <c r="N4611" s="270" t="s">
        <v>3944</v>
      </c>
      <c r="O4611" s="270">
        <v>1828.82</v>
      </c>
      <c r="P4611" s="270" t="s">
        <v>3944</v>
      </c>
      <c r="Q4611" s="270" t="s">
        <v>3944</v>
      </c>
      <c r="R4611" s="270">
        <v>1828.82</v>
      </c>
      <c r="S4611" s="270">
        <v>29262.07</v>
      </c>
      <c r="T4611" s="270">
        <v>31090.89</v>
      </c>
      <c r="U4611" s="271" t="s">
        <v>3945</v>
      </c>
      <c r="V4611" s="267" t="s">
        <v>944</v>
      </c>
    </row>
    <row r="4612" spans="1:22" hidden="1" x14ac:dyDescent="0.25">
      <c r="A4612" s="266">
        <v>43693</v>
      </c>
      <c r="B4612" s="267">
        <v>2019</v>
      </c>
      <c r="C4612" s="267">
        <v>2020</v>
      </c>
      <c r="D4612" s="267">
        <v>1</v>
      </c>
      <c r="E4612" s="267">
        <v>1</v>
      </c>
      <c r="F4612" s="267" t="s">
        <v>944</v>
      </c>
      <c r="G4612" s="267" t="s">
        <v>3926</v>
      </c>
      <c r="H4612" s="267" t="s">
        <v>9229</v>
      </c>
      <c r="I4612" s="267" t="s">
        <v>3008</v>
      </c>
      <c r="J4612" s="267" t="s">
        <v>3928</v>
      </c>
      <c r="K4612" s="267">
        <v>6460</v>
      </c>
      <c r="L4612" s="267">
        <v>150800</v>
      </c>
      <c r="M4612" s="267" t="s">
        <v>3960</v>
      </c>
      <c r="N4612" s="267" t="s">
        <v>3944</v>
      </c>
      <c r="O4612" s="267">
        <v>2777.25</v>
      </c>
      <c r="P4612" s="267" t="s">
        <v>3944</v>
      </c>
      <c r="Q4612" s="267" t="s">
        <v>3944</v>
      </c>
      <c r="R4612" s="267">
        <v>2777.25</v>
      </c>
      <c r="S4612" s="267">
        <v>39772.25</v>
      </c>
      <c r="T4612" s="267">
        <v>42549.5</v>
      </c>
      <c r="U4612" s="268" t="s">
        <v>3945</v>
      </c>
      <c r="V4612" s="267" t="s">
        <v>944</v>
      </c>
    </row>
    <row r="4613" spans="1:22" hidden="1" x14ac:dyDescent="0.25">
      <c r="A4613" s="269">
        <v>43693</v>
      </c>
      <c r="B4613" s="270">
        <v>2019</v>
      </c>
      <c r="C4613" s="270">
        <v>2020</v>
      </c>
      <c r="D4613" s="270">
        <v>1</v>
      </c>
      <c r="E4613" s="270">
        <v>1</v>
      </c>
      <c r="F4613" s="270" t="s">
        <v>944</v>
      </c>
      <c r="G4613" s="270" t="s">
        <v>3926</v>
      </c>
      <c r="H4613" s="270" t="s">
        <v>9230</v>
      </c>
      <c r="I4613" s="270" t="s">
        <v>4490</v>
      </c>
      <c r="J4613" s="270" t="s">
        <v>3928</v>
      </c>
      <c r="K4613" s="270">
        <v>6442</v>
      </c>
      <c r="L4613" s="270">
        <v>630100</v>
      </c>
      <c r="M4613" s="270" t="s">
        <v>3960</v>
      </c>
      <c r="N4613" s="270" t="s">
        <v>3944</v>
      </c>
      <c r="O4613" s="270">
        <v>2777.67</v>
      </c>
      <c r="P4613" s="270" t="s">
        <v>3944</v>
      </c>
      <c r="Q4613" s="270" t="s">
        <v>3944</v>
      </c>
      <c r="R4613" s="270">
        <v>2777.67</v>
      </c>
      <c r="S4613" s="270">
        <v>45274</v>
      </c>
      <c r="T4613" s="270">
        <v>48051.67</v>
      </c>
      <c r="U4613" s="271" t="s">
        <v>3945</v>
      </c>
      <c r="V4613" s="267" t="s">
        <v>944</v>
      </c>
    </row>
    <row r="4614" spans="1:22" hidden="1" x14ac:dyDescent="0.25">
      <c r="A4614" s="266">
        <v>43693</v>
      </c>
      <c r="B4614" s="267">
        <v>2019</v>
      </c>
      <c r="C4614" s="267">
        <v>2020</v>
      </c>
      <c r="D4614" s="267">
        <v>1</v>
      </c>
      <c r="E4614" s="267">
        <v>1</v>
      </c>
      <c r="F4614" s="267" t="s">
        <v>944</v>
      </c>
      <c r="G4614" s="267" t="s">
        <v>3926</v>
      </c>
      <c r="H4614" s="267" t="s">
        <v>9231</v>
      </c>
      <c r="I4614" s="267" t="s">
        <v>4293</v>
      </c>
      <c r="J4614" s="267" t="s">
        <v>3928</v>
      </c>
      <c r="K4614" s="267">
        <v>6412</v>
      </c>
      <c r="L4614" s="267">
        <v>600100</v>
      </c>
      <c r="M4614" s="267" t="s">
        <v>3960</v>
      </c>
      <c r="N4614" s="267" t="s">
        <v>3944</v>
      </c>
      <c r="O4614" s="267">
        <v>2707.36</v>
      </c>
      <c r="P4614" s="267" t="s">
        <v>3944</v>
      </c>
      <c r="Q4614" s="267" t="s">
        <v>3944</v>
      </c>
      <c r="R4614" s="267">
        <v>2707.36</v>
      </c>
      <c r="S4614" s="267">
        <v>39198.01</v>
      </c>
      <c r="T4614" s="267">
        <v>41905.370000000003</v>
      </c>
      <c r="U4614" s="268" t="s">
        <v>3945</v>
      </c>
      <c r="V4614" s="267" t="s">
        <v>944</v>
      </c>
    </row>
    <row r="4615" spans="1:22" hidden="1" x14ac:dyDescent="0.25">
      <c r="A4615" s="269">
        <v>43693</v>
      </c>
      <c r="B4615" s="270">
        <v>2019</v>
      </c>
      <c r="C4615" s="270">
        <v>2020</v>
      </c>
      <c r="D4615" s="270">
        <v>1</v>
      </c>
      <c r="E4615" s="270">
        <v>1</v>
      </c>
      <c r="F4615" s="270" t="s">
        <v>944</v>
      </c>
      <c r="G4615" s="270" t="s">
        <v>3926</v>
      </c>
      <c r="H4615" s="270" t="s">
        <v>9232</v>
      </c>
      <c r="I4615" s="270" t="s">
        <v>3966</v>
      </c>
      <c r="J4615" s="270" t="s">
        <v>3928</v>
      </c>
      <c r="K4615" s="270">
        <v>6010</v>
      </c>
      <c r="L4615" s="270">
        <v>405100</v>
      </c>
      <c r="M4615" s="270" t="s">
        <v>3935</v>
      </c>
      <c r="N4615" s="270" t="s">
        <v>9233</v>
      </c>
      <c r="O4615" s="270">
        <v>0</v>
      </c>
      <c r="P4615" s="270" t="s">
        <v>3944</v>
      </c>
      <c r="Q4615" s="270" t="s">
        <v>9233</v>
      </c>
      <c r="R4615" s="270">
        <v>224311</v>
      </c>
      <c r="S4615" s="270">
        <v>0</v>
      </c>
      <c r="T4615" s="270">
        <v>224311</v>
      </c>
      <c r="U4615" s="271" t="s">
        <v>5737</v>
      </c>
      <c r="V4615" s="267" t="s">
        <v>944</v>
      </c>
    </row>
    <row r="4616" spans="1:22" hidden="1" x14ac:dyDescent="0.25">
      <c r="A4616" s="266">
        <v>43693</v>
      </c>
      <c r="B4616" s="267">
        <v>2019</v>
      </c>
      <c r="C4616" s="267">
        <v>2020</v>
      </c>
      <c r="D4616" s="267">
        <v>1</v>
      </c>
      <c r="E4616" s="267">
        <v>1</v>
      </c>
      <c r="F4616" s="267" t="s">
        <v>944</v>
      </c>
      <c r="G4616" s="267" t="s">
        <v>3926</v>
      </c>
      <c r="H4616" s="267" t="s">
        <v>9234</v>
      </c>
      <c r="I4616" s="267" t="s">
        <v>3966</v>
      </c>
      <c r="J4616" s="267" t="s">
        <v>3928</v>
      </c>
      <c r="K4616" s="267">
        <v>6010</v>
      </c>
      <c r="L4616" s="267">
        <v>406001</v>
      </c>
      <c r="M4616" s="267">
        <v>-60</v>
      </c>
      <c r="N4616" s="267" t="s">
        <v>3944</v>
      </c>
      <c r="O4616" s="267">
        <v>2656.75</v>
      </c>
      <c r="P4616" s="267" t="s">
        <v>3944</v>
      </c>
      <c r="Q4616" s="267" t="s">
        <v>3944</v>
      </c>
      <c r="R4616" s="267">
        <v>2656.75</v>
      </c>
      <c r="S4616" s="267">
        <v>37887.85</v>
      </c>
      <c r="T4616" s="267">
        <v>40544.6</v>
      </c>
      <c r="U4616" s="268" t="s">
        <v>3945</v>
      </c>
      <c r="V4616" s="267" t="s">
        <v>944</v>
      </c>
    </row>
    <row r="4617" spans="1:22" hidden="1" x14ac:dyDescent="0.25">
      <c r="A4617" s="269">
        <v>43693</v>
      </c>
      <c r="B4617" s="270">
        <v>2019</v>
      </c>
      <c r="C4617" s="270">
        <v>2020</v>
      </c>
      <c r="D4617" s="270">
        <v>1</v>
      </c>
      <c r="E4617" s="270">
        <v>1</v>
      </c>
      <c r="F4617" s="270" t="s">
        <v>944</v>
      </c>
      <c r="G4617" s="270" t="s">
        <v>3926</v>
      </c>
      <c r="H4617" s="270" t="s">
        <v>9235</v>
      </c>
      <c r="I4617" s="270" t="s">
        <v>3956</v>
      </c>
      <c r="J4617" s="270" t="s">
        <v>3928</v>
      </c>
      <c r="K4617" s="270">
        <v>6112</v>
      </c>
      <c r="L4617" s="270">
        <v>503900</v>
      </c>
      <c r="M4617" s="270">
        <v>-60</v>
      </c>
      <c r="N4617" s="270" t="s">
        <v>3944</v>
      </c>
      <c r="O4617" s="270">
        <v>1217.6199999999999</v>
      </c>
      <c r="P4617" s="270" t="s">
        <v>3944</v>
      </c>
      <c r="Q4617" s="270" t="s">
        <v>3944</v>
      </c>
      <c r="R4617" s="270">
        <v>1217.6199999999999</v>
      </c>
      <c r="S4617" s="270">
        <v>18057.400000000001</v>
      </c>
      <c r="T4617" s="270">
        <v>19275.02</v>
      </c>
      <c r="U4617" s="271" t="s">
        <v>3945</v>
      </c>
      <c r="V4617" s="267" t="s">
        <v>944</v>
      </c>
    </row>
    <row r="4618" spans="1:22" hidden="1" x14ac:dyDescent="0.25">
      <c r="A4618" s="266">
        <v>43693</v>
      </c>
      <c r="B4618" s="267">
        <v>2019</v>
      </c>
      <c r="C4618" s="267">
        <v>2020</v>
      </c>
      <c r="D4618" s="267">
        <v>1</v>
      </c>
      <c r="E4618" s="267">
        <v>1</v>
      </c>
      <c r="F4618" s="267" t="s">
        <v>944</v>
      </c>
      <c r="G4618" s="267" t="s">
        <v>3926</v>
      </c>
      <c r="H4618" s="267" t="s">
        <v>9236</v>
      </c>
      <c r="I4618" s="267" t="s">
        <v>3934</v>
      </c>
      <c r="J4618" s="267" t="s">
        <v>3928</v>
      </c>
      <c r="K4618" s="267">
        <v>6405</v>
      </c>
      <c r="L4618" s="267">
        <v>184700</v>
      </c>
      <c r="M4618" s="267" t="s">
        <v>3935</v>
      </c>
      <c r="N4618" s="267" t="s">
        <v>3944</v>
      </c>
      <c r="O4618" s="267">
        <v>1573.53</v>
      </c>
      <c r="P4618" s="267" t="s">
        <v>3944</v>
      </c>
      <c r="Q4618" s="267" t="s">
        <v>3944</v>
      </c>
      <c r="R4618" s="267">
        <v>1573.53</v>
      </c>
      <c r="S4618" s="267">
        <v>26803.040000000001</v>
      </c>
      <c r="T4618" s="267">
        <v>28376.57</v>
      </c>
      <c r="U4618" s="268" t="s">
        <v>3945</v>
      </c>
      <c r="V4618" s="267" t="s">
        <v>944</v>
      </c>
    </row>
    <row r="4619" spans="1:22" hidden="1" x14ac:dyDescent="0.25">
      <c r="A4619" s="269">
        <v>43693</v>
      </c>
      <c r="B4619" s="270">
        <v>2019</v>
      </c>
      <c r="C4619" s="270">
        <v>2020</v>
      </c>
      <c r="D4619" s="270">
        <v>1</v>
      </c>
      <c r="E4619" s="270">
        <v>1</v>
      </c>
      <c r="F4619" s="270" t="s">
        <v>944</v>
      </c>
      <c r="G4619" s="270" t="s">
        <v>3926</v>
      </c>
      <c r="H4619" s="270" t="s">
        <v>9237</v>
      </c>
      <c r="I4619" s="270" t="s">
        <v>3009</v>
      </c>
      <c r="J4619" s="270" t="s">
        <v>3928</v>
      </c>
      <c r="K4619" s="270">
        <v>6484</v>
      </c>
      <c r="L4619" s="270">
        <v>110500</v>
      </c>
      <c r="M4619" s="270" t="s">
        <v>3943</v>
      </c>
      <c r="N4619" s="270" t="s">
        <v>3944</v>
      </c>
      <c r="O4619" s="270">
        <v>1439.13</v>
      </c>
      <c r="P4619" s="270" t="s">
        <v>3944</v>
      </c>
      <c r="Q4619" s="270" t="s">
        <v>3944</v>
      </c>
      <c r="R4619" s="270">
        <v>1439.13</v>
      </c>
      <c r="S4619" s="270">
        <v>20277.740000000002</v>
      </c>
      <c r="T4619" s="270">
        <v>21716.87</v>
      </c>
      <c r="U4619" s="271" t="s">
        <v>3945</v>
      </c>
      <c r="V4619" s="267" t="s">
        <v>944</v>
      </c>
    </row>
    <row r="4620" spans="1:22" hidden="1" x14ac:dyDescent="0.25">
      <c r="A4620" s="266">
        <v>43694</v>
      </c>
      <c r="B4620" s="267">
        <v>2019</v>
      </c>
      <c r="C4620" s="267">
        <v>2020</v>
      </c>
      <c r="D4620" s="267">
        <v>1</v>
      </c>
      <c r="E4620" s="267">
        <v>1</v>
      </c>
      <c r="F4620" s="267" t="s">
        <v>944</v>
      </c>
      <c r="G4620" s="267" t="s">
        <v>3926</v>
      </c>
      <c r="H4620" s="267" t="s">
        <v>9238</v>
      </c>
      <c r="I4620" s="267" t="s">
        <v>3008</v>
      </c>
      <c r="J4620" s="267" t="s">
        <v>3928</v>
      </c>
      <c r="K4620" s="267">
        <v>6460</v>
      </c>
      <c r="L4620" s="267">
        <v>150100</v>
      </c>
      <c r="M4620" s="267" t="s">
        <v>3960</v>
      </c>
      <c r="N4620" s="267" t="s">
        <v>3944</v>
      </c>
      <c r="O4620" s="267">
        <v>2351</v>
      </c>
      <c r="P4620" s="267" t="s">
        <v>3944</v>
      </c>
      <c r="Q4620" s="267" t="s">
        <v>3944</v>
      </c>
      <c r="R4620" s="267">
        <v>2351</v>
      </c>
      <c r="S4620" s="267">
        <v>25999</v>
      </c>
      <c r="T4620" s="267">
        <v>28350</v>
      </c>
      <c r="U4620" s="268" t="s">
        <v>3945</v>
      </c>
      <c r="V4620" s="267" t="s">
        <v>944</v>
      </c>
    </row>
    <row r="4621" spans="1:22" hidden="1" x14ac:dyDescent="0.25">
      <c r="A4621" s="269">
        <v>43694</v>
      </c>
      <c r="B4621" s="270">
        <v>2019</v>
      </c>
      <c r="C4621" s="270">
        <v>2020</v>
      </c>
      <c r="D4621" s="270">
        <v>1</v>
      </c>
      <c r="E4621" s="270">
        <v>1</v>
      </c>
      <c r="F4621" s="270" t="s">
        <v>944</v>
      </c>
      <c r="G4621" s="270" t="s">
        <v>3997</v>
      </c>
      <c r="H4621" s="270" t="s">
        <v>9239</v>
      </c>
      <c r="I4621" s="270" t="s">
        <v>3008</v>
      </c>
      <c r="J4621" s="270" t="s">
        <v>3928</v>
      </c>
      <c r="K4621" s="270">
        <v>6460</v>
      </c>
      <c r="L4621" s="270">
        <v>150500</v>
      </c>
      <c r="M4621" s="270" t="s">
        <v>3960</v>
      </c>
      <c r="N4621" s="270" t="s">
        <v>3944</v>
      </c>
      <c r="O4621" s="270">
        <v>2215.19</v>
      </c>
      <c r="P4621" s="270" t="s">
        <v>3944</v>
      </c>
      <c r="Q4621" s="270" t="s">
        <v>3944</v>
      </c>
      <c r="R4621" s="270">
        <v>2215.19</v>
      </c>
      <c r="S4621" s="270">
        <v>31119.37</v>
      </c>
      <c r="T4621" s="270">
        <v>33334.559999999998</v>
      </c>
      <c r="U4621" s="271" t="s">
        <v>3945</v>
      </c>
      <c r="V4621" s="267" t="s">
        <v>944</v>
      </c>
    </row>
    <row r="4622" spans="1:22" hidden="1" x14ac:dyDescent="0.25">
      <c r="A4622" s="266">
        <v>43694</v>
      </c>
      <c r="B4622" s="267">
        <v>2019</v>
      </c>
      <c r="C4622" s="267">
        <v>2020</v>
      </c>
      <c r="D4622" s="267">
        <v>1</v>
      </c>
      <c r="E4622" s="267">
        <v>1</v>
      </c>
      <c r="F4622" s="267" t="s">
        <v>944</v>
      </c>
      <c r="G4622" s="267" t="s">
        <v>3926</v>
      </c>
      <c r="H4622" s="267" t="s">
        <v>9240</v>
      </c>
      <c r="I4622" s="267" t="s">
        <v>3008</v>
      </c>
      <c r="J4622" s="267" t="s">
        <v>3928</v>
      </c>
      <c r="K4622" s="267">
        <v>6460</v>
      </c>
      <c r="L4622" s="267">
        <v>150400</v>
      </c>
      <c r="M4622" s="267" t="s">
        <v>3940</v>
      </c>
      <c r="N4622" s="267" t="s">
        <v>3944</v>
      </c>
      <c r="O4622" s="267">
        <v>1815.56</v>
      </c>
      <c r="P4622" s="267" t="s">
        <v>3944</v>
      </c>
      <c r="Q4622" s="267" t="s">
        <v>3944</v>
      </c>
      <c r="R4622" s="267">
        <v>1815.56</v>
      </c>
      <c r="S4622" s="267">
        <v>22523.96</v>
      </c>
      <c r="T4622" s="267">
        <v>24339.52</v>
      </c>
      <c r="U4622" s="268" t="s">
        <v>3945</v>
      </c>
      <c r="V4622" s="267" t="s">
        <v>944</v>
      </c>
    </row>
    <row r="4623" spans="1:22" hidden="1" x14ac:dyDescent="0.25">
      <c r="A4623" s="269">
        <v>43694</v>
      </c>
      <c r="B4623" s="270">
        <v>2019</v>
      </c>
      <c r="C4623" s="270">
        <v>2020</v>
      </c>
      <c r="D4623" s="270">
        <v>1</v>
      </c>
      <c r="E4623" s="270">
        <v>1</v>
      </c>
      <c r="F4623" s="270" t="s">
        <v>944</v>
      </c>
      <c r="G4623" s="270" t="s">
        <v>3926</v>
      </c>
      <c r="H4623" s="270" t="s">
        <v>9241</v>
      </c>
      <c r="I4623" s="270" t="s">
        <v>950</v>
      </c>
      <c r="J4623" s="270" t="s">
        <v>3928</v>
      </c>
      <c r="K4623" s="270">
        <v>6516</v>
      </c>
      <c r="L4623" s="270">
        <v>154800</v>
      </c>
      <c r="M4623" s="270" t="s">
        <v>3960</v>
      </c>
      <c r="N4623" s="270" t="s">
        <v>3944</v>
      </c>
      <c r="O4623" s="270">
        <v>941.78</v>
      </c>
      <c r="P4623" s="270" t="s">
        <v>3944</v>
      </c>
      <c r="Q4623" s="270" t="s">
        <v>3944</v>
      </c>
      <c r="R4623" s="270">
        <v>941.78</v>
      </c>
      <c r="S4623" s="270">
        <v>13873.58</v>
      </c>
      <c r="T4623" s="270">
        <v>14815.36</v>
      </c>
      <c r="U4623" s="271" t="s">
        <v>3945</v>
      </c>
      <c r="V4623" s="267" t="s">
        <v>944</v>
      </c>
    </row>
    <row r="4624" spans="1:22" hidden="1" x14ac:dyDescent="0.25">
      <c r="A4624" s="266">
        <v>43694</v>
      </c>
      <c r="B4624" s="267">
        <v>2019</v>
      </c>
      <c r="C4624" s="267">
        <v>2020</v>
      </c>
      <c r="D4624" s="267">
        <v>1</v>
      </c>
      <c r="E4624" s="267">
        <v>1</v>
      </c>
      <c r="F4624" s="267" t="s">
        <v>944</v>
      </c>
      <c r="G4624" s="267" t="s">
        <v>3926</v>
      </c>
      <c r="H4624" s="267" t="s">
        <v>9242</v>
      </c>
      <c r="I4624" s="267" t="s">
        <v>956</v>
      </c>
      <c r="J4624" s="267" t="s">
        <v>3928</v>
      </c>
      <c r="K4624" s="267">
        <v>6614</v>
      </c>
      <c r="L4624" s="267">
        <v>80800</v>
      </c>
      <c r="M4624" s="267" t="s">
        <v>3960</v>
      </c>
      <c r="N4624" s="267" t="s">
        <v>3944</v>
      </c>
      <c r="O4624" s="267">
        <v>1074.33</v>
      </c>
      <c r="P4624" s="267" t="s">
        <v>3944</v>
      </c>
      <c r="Q4624" s="267" t="s">
        <v>3944</v>
      </c>
      <c r="R4624" s="267">
        <v>1074.33</v>
      </c>
      <c r="S4624" s="267">
        <v>13741.03</v>
      </c>
      <c r="T4624" s="267">
        <v>14815.36</v>
      </c>
      <c r="U4624" s="268" t="s">
        <v>3945</v>
      </c>
      <c r="V4624" s="267" t="s">
        <v>944</v>
      </c>
    </row>
    <row r="4625" spans="1:22" hidden="1" x14ac:dyDescent="0.25">
      <c r="A4625" s="269">
        <v>43694</v>
      </c>
      <c r="B4625" s="270">
        <v>2019</v>
      </c>
      <c r="C4625" s="270">
        <v>2020</v>
      </c>
      <c r="D4625" s="270">
        <v>1</v>
      </c>
      <c r="E4625" s="270">
        <v>1</v>
      </c>
      <c r="F4625" s="270" t="s">
        <v>944</v>
      </c>
      <c r="G4625" s="270" t="s">
        <v>3926</v>
      </c>
      <c r="H4625" s="270" t="s">
        <v>9243</v>
      </c>
      <c r="I4625" s="270" t="s">
        <v>4069</v>
      </c>
      <c r="J4625" s="270" t="s">
        <v>3928</v>
      </c>
      <c r="K4625" s="270">
        <v>6902</v>
      </c>
      <c r="L4625" s="270">
        <v>21801</v>
      </c>
      <c r="M4625" s="270" t="s">
        <v>3960</v>
      </c>
      <c r="N4625" s="270" t="s">
        <v>3944</v>
      </c>
      <c r="O4625" s="270">
        <v>827.51</v>
      </c>
      <c r="P4625" s="270" t="s">
        <v>3944</v>
      </c>
      <c r="Q4625" s="270" t="s">
        <v>3944</v>
      </c>
      <c r="R4625" s="270">
        <v>827.51</v>
      </c>
      <c r="S4625" s="270">
        <v>9754.89</v>
      </c>
      <c r="T4625" s="270">
        <v>10582.4</v>
      </c>
      <c r="U4625" s="271" t="s">
        <v>3945</v>
      </c>
      <c r="V4625" s="267" t="s">
        <v>944</v>
      </c>
    </row>
    <row r="4626" spans="1:22" x14ac:dyDescent="0.25">
      <c r="A4626" s="266">
        <v>43694</v>
      </c>
      <c r="B4626" s="267">
        <v>2019</v>
      </c>
      <c r="C4626" s="267">
        <v>2020</v>
      </c>
      <c r="D4626" s="267">
        <v>1</v>
      </c>
      <c r="E4626" s="267">
        <v>1</v>
      </c>
      <c r="F4626" s="267" t="s">
        <v>944</v>
      </c>
      <c r="G4626" s="267" t="s">
        <v>3926</v>
      </c>
      <c r="H4626" s="267" t="s">
        <v>9244</v>
      </c>
      <c r="I4626" s="267" t="s">
        <v>943</v>
      </c>
      <c r="J4626" s="267" t="s">
        <v>3928</v>
      </c>
      <c r="K4626" s="267">
        <v>6516</v>
      </c>
      <c r="L4626" s="267">
        <v>155100</v>
      </c>
      <c r="M4626" s="267">
        <v>-60</v>
      </c>
      <c r="N4626" s="267" t="s">
        <v>3944</v>
      </c>
      <c r="O4626" s="267">
        <v>759.68</v>
      </c>
      <c r="P4626" s="267" t="s">
        <v>3944</v>
      </c>
      <c r="Q4626" s="267" t="s">
        <v>3944</v>
      </c>
      <c r="R4626" s="267">
        <v>759.68</v>
      </c>
      <c r="S4626" s="267">
        <v>8764.48</v>
      </c>
      <c r="T4626" s="267">
        <v>9524.16</v>
      </c>
      <c r="U4626" s="268" t="s">
        <v>3945</v>
      </c>
      <c r="V4626" s="276" t="s">
        <v>936</v>
      </c>
    </row>
    <row r="4627" spans="1:22" hidden="1" x14ac:dyDescent="0.25">
      <c r="A4627" s="269">
        <v>43694</v>
      </c>
      <c r="B4627" s="270">
        <v>2019</v>
      </c>
      <c r="C4627" s="270">
        <v>2020</v>
      </c>
      <c r="D4627" s="270">
        <v>1</v>
      </c>
      <c r="E4627" s="270">
        <v>1</v>
      </c>
      <c r="F4627" s="270" t="s">
        <v>944</v>
      </c>
      <c r="G4627" s="270" t="s">
        <v>3926</v>
      </c>
      <c r="H4627" s="270" t="s">
        <v>9245</v>
      </c>
      <c r="I4627" s="270" t="s">
        <v>3012</v>
      </c>
      <c r="J4627" s="270" t="s">
        <v>3928</v>
      </c>
      <c r="K4627" s="270">
        <v>6477</v>
      </c>
      <c r="L4627" s="270">
        <v>157200</v>
      </c>
      <c r="M4627" s="270" t="s">
        <v>3943</v>
      </c>
      <c r="N4627" s="270" t="s">
        <v>3944</v>
      </c>
      <c r="O4627" s="270">
        <v>1880.06</v>
      </c>
      <c r="P4627" s="270" t="s">
        <v>3944</v>
      </c>
      <c r="Q4627" s="270" t="s">
        <v>3944</v>
      </c>
      <c r="R4627" s="270">
        <v>1880.06</v>
      </c>
      <c r="S4627" s="270">
        <v>27750.66</v>
      </c>
      <c r="T4627" s="270">
        <v>29630.720000000001</v>
      </c>
      <c r="U4627" s="271" t="s">
        <v>3945</v>
      </c>
      <c r="V4627" s="267" t="s">
        <v>944</v>
      </c>
    </row>
    <row r="4628" spans="1:22" hidden="1" x14ac:dyDescent="0.25">
      <c r="A4628" s="266">
        <v>43694</v>
      </c>
      <c r="B4628" s="267">
        <v>2019</v>
      </c>
      <c r="C4628" s="267">
        <v>2020</v>
      </c>
      <c r="D4628" s="267">
        <v>1</v>
      </c>
      <c r="E4628" s="267">
        <v>1</v>
      </c>
      <c r="F4628" s="267" t="s">
        <v>944</v>
      </c>
      <c r="G4628" s="267" t="s">
        <v>3926</v>
      </c>
      <c r="H4628" s="267" t="s">
        <v>9246</v>
      </c>
      <c r="I4628" s="267" t="s">
        <v>3010</v>
      </c>
      <c r="J4628" s="267" t="s">
        <v>3928</v>
      </c>
      <c r="K4628" s="267">
        <v>6401</v>
      </c>
      <c r="L4628" s="267">
        <v>125100</v>
      </c>
      <c r="M4628" s="267" t="s">
        <v>3960</v>
      </c>
      <c r="N4628" s="267" t="s">
        <v>3944</v>
      </c>
      <c r="O4628" s="267">
        <v>1904.95</v>
      </c>
      <c r="P4628" s="267" t="s">
        <v>3944</v>
      </c>
      <c r="Q4628" s="267" t="s">
        <v>3944</v>
      </c>
      <c r="R4628" s="267">
        <v>1904.95</v>
      </c>
      <c r="S4628" s="267">
        <v>25609.29</v>
      </c>
      <c r="T4628" s="267">
        <v>27514.240000000002</v>
      </c>
      <c r="U4628" s="268" t="s">
        <v>3945</v>
      </c>
      <c r="V4628" s="267" t="s">
        <v>944</v>
      </c>
    </row>
    <row r="4629" spans="1:22" hidden="1" x14ac:dyDescent="0.25">
      <c r="A4629" s="269">
        <v>43694</v>
      </c>
      <c r="B4629" s="270">
        <v>2019</v>
      </c>
      <c r="C4629" s="270">
        <v>2020</v>
      </c>
      <c r="D4629" s="270">
        <v>1</v>
      </c>
      <c r="E4629" s="270">
        <v>1</v>
      </c>
      <c r="F4629" s="270" t="s">
        <v>944</v>
      </c>
      <c r="G4629" s="270" t="s">
        <v>3926</v>
      </c>
      <c r="H4629" s="270" t="s">
        <v>9247</v>
      </c>
      <c r="I4629" s="270" t="s">
        <v>3025</v>
      </c>
      <c r="J4629" s="270" t="s">
        <v>3928</v>
      </c>
      <c r="K4629" s="270">
        <v>6473</v>
      </c>
      <c r="L4629" s="270">
        <v>167300</v>
      </c>
      <c r="M4629" s="270" t="s">
        <v>3943</v>
      </c>
      <c r="N4629" s="270" t="s">
        <v>3944</v>
      </c>
      <c r="O4629" s="270">
        <v>1481.62</v>
      </c>
      <c r="P4629" s="270" t="s">
        <v>3944</v>
      </c>
      <c r="Q4629" s="270" t="s">
        <v>3944</v>
      </c>
      <c r="R4629" s="270">
        <v>1481.62</v>
      </c>
      <c r="S4629" s="270">
        <v>20741.419999999998</v>
      </c>
      <c r="T4629" s="270">
        <v>22223.040000000001</v>
      </c>
      <c r="U4629" s="271" t="s">
        <v>3945</v>
      </c>
      <c r="V4629" s="267" t="s">
        <v>944</v>
      </c>
    </row>
    <row r="4630" spans="1:22" hidden="1" x14ac:dyDescent="0.25">
      <c r="A4630" s="266">
        <v>43694</v>
      </c>
      <c r="B4630" s="267">
        <v>2019</v>
      </c>
      <c r="C4630" s="267">
        <v>2020</v>
      </c>
      <c r="D4630" s="267">
        <v>1</v>
      </c>
      <c r="E4630" s="267">
        <v>1</v>
      </c>
      <c r="F4630" s="267" t="s">
        <v>944</v>
      </c>
      <c r="G4630" s="267" t="s">
        <v>3926</v>
      </c>
      <c r="H4630" s="267" t="s">
        <v>9248</v>
      </c>
      <c r="I4630" s="267" t="s">
        <v>934</v>
      </c>
      <c r="J4630" s="267" t="s">
        <v>3928</v>
      </c>
      <c r="K4630" s="267">
        <v>6604</v>
      </c>
      <c r="L4630" s="267">
        <v>72100</v>
      </c>
      <c r="M4630" s="267" t="s">
        <v>3940</v>
      </c>
      <c r="N4630" s="267" t="s">
        <v>3944</v>
      </c>
      <c r="O4630" s="267">
        <v>1294.3699999999999</v>
      </c>
      <c r="P4630" s="267" t="s">
        <v>3944</v>
      </c>
      <c r="Q4630" s="267" t="s">
        <v>3944</v>
      </c>
      <c r="R4630" s="267">
        <v>1294.3699999999999</v>
      </c>
      <c r="S4630" s="267">
        <v>14579.23</v>
      </c>
      <c r="T4630" s="267">
        <v>15873.6</v>
      </c>
      <c r="U4630" s="268" t="s">
        <v>3945</v>
      </c>
      <c r="V4630" s="267" t="s">
        <v>944</v>
      </c>
    </row>
    <row r="4631" spans="1:22" hidden="1" x14ac:dyDescent="0.25">
      <c r="A4631" s="269">
        <v>43694</v>
      </c>
      <c r="B4631" s="270">
        <v>2019</v>
      </c>
      <c r="C4631" s="270">
        <v>2020</v>
      </c>
      <c r="D4631" s="270">
        <v>1</v>
      </c>
      <c r="E4631" s="270">
        <v>1</v>
      </c>
      <c r="F4631" s="270" t="s">
        <v>944</v>
      </c>
      <c r="G4631" s="270" t="s">
        <v>3926</v>
      </c>
      <c r="H4631" s="270" t="s">
        <v>9249</v>
      </c>
      <c r="I4631" s="270" t="s">
        <v>3011</v>
      </c>
      <c r="J4631" s="270" t="s">
        <v>3928</v>
      </c>
      <c r="K4631" s="270">
        <v>6418</v>
      </c>
      <c r="L4631" s="270">
        <v>120100</v>
      </c>
      <c r="M4631" s="270" t="s">
        <v>3940</v>
      </c>
      <c r="N4631" s="270" t="s">
        <v>3944</v>
      </c>
      <c r="O4631" s="270">
        <v>1900.15</v>
      </c>
      <c r="P4631" s="270" t="s">
        <v>3944</v>
      </c>
      <c r="Q4631" s="270" t="s">
        <v>3944</v>
      </c>
      <c r="R4631" s="270">
        <v>1900.15</v>
      </c>
      <c r="S4631" s="270">
        <v>25614.09</v>
      </c>
      <c r="T4631" s="270">
        <v>27514.240000000002</v>
      </c>
      <c r="U4631" s="271" t="s">
        <v>3945</v>
      </c>
      <c r="V4631" s="267" t="s">
        <v>944</v>
      </c>
    </row>
    <row r="4632" spans="1:22" hidden="1" x14ac:dyDescent="0.25">
      <c r="A4632" s="266">
        <v>43694</v>
      </c>
      <c r="B4632" s="267">
        <v>2019</v>
      </c>
      <c r="C4632" s="267">
        <v>2020</v>
      </c>
      <c r="D4632" s="267">
        <v>1</v>
      </c>
      <c r="E4632" s="267">
        <v>1</v>
      </c>
      <c r="F4632" s="267" t="s">
        <v>944</v>
      </c>
      <c r="G4632" s="267" t="s">
        <v>3926</v>
      </c>
      <c r="H4632" s="267" t="s">
        <v>9250</v>
      </c>
      <c r="I4632" s="267" t="s">
        <v>3990</v>
      </c>
      <c r="J4632" s="267" t="s">
        <v>3928</v>
      </c>
      <c r="K4632" s="267">
        <v>6804</v>
      </c>
      <c r="L4632" s="267">
        <v>205100</v>
      </c>
      <c r="M4632" s="267" t="s">
        <v>3943</v>
      </c>
      <c r="N4632" s="267" t="s">
        <v>3944</v>
      </c>
      <c r="O4632" s="267">
        <v>2277</v>
      </c>
      <c r="P4632" s="267" t="s">
        <v>3944</v>
      </c>
      <c r="Q4632" s="267" t="s">
        <v>3944</v>
      </c>
      <c r="R4632" s="267">
        <v>2277</v>
      </c>
      <c r="S4632" s="267">
        <v>35224.379999999997</v>
      </c>
      <c r="T4632" s="267">
        <v>37501.379999999997</v>
      </c>
      <c r="U4632" s="268" t="s">
        <v>3945</v>
      </c>
      <c r="V4632" s="267" t="s">
        <v>944</v>
      </c>
    </row>
    <row r="4633" spans="1:22" hidden="1" x14ac:dyDescent="0.25">
      <c r="A4633" s="269">
        <v>43694</v>
      </c>
      <c r="B4633" s="270">
        <v>2019</v>
      </c>
      <c r="C4633" s="270">
        <v>2020</v>
      </c>
      <c r="D4633" s="270">
        <v>1</v>
      </c>
      <c r="E4633" s="270">
        <v>1</v>
      </c>
      <c r="F4633" s="270" t="s">
        <v>944</v>
      </c>
      <c r="G4633" s="270" t="s">
        <v>3926</v>
      </c>
      <c r="H4633" s="270" t="s">
        <v>9251</v>
      </c>
      <c r="I4633" s="270" t="s">
        <v>3025</v>
      </c>
      <c r="J4633" s="270" t="s">
        <v>3928</v>
      </c>
      <c r="K4633" s="270">
        <v>6473</v>
      </c>
      <c r="L4633" s="270">
        <v>167201</v>
      </c>
      <c r="M4633" s="270" t="s">
        <v>3960</v>
      </c>
      <c r="N4633" s="270" t="s">
        <v>3944</v>
      </c>
      <c r="O4633" s="270">
        <v>1917.16</v>
      </c>
      <c r="P4633" s="270" t="s">
        <v>3944</v>
      </c>
      <c r="Q4633" s="270" t="s">
        <v>3944</v>
      </c>
      <c r="R4633" s="270">
        <v>1917.16</v>
      </c>
      <c r="S4633" s="270">
        <v>29830.04</v>
      </c>
      <c r="T4633" s="270">
        <v>31747.200000000001</v>
      </c>
      <c r="U4633" s="271" t="s">
        <v>3945</v>
      </c>
      <c r="V4633" s="267" t="s">
        <v>944</v>
      </c>
    </row>
    <row r="4634" spans="1:22" hidden="1" x14ac:dyDescent="0.25">
      <c r="A4634" s="266">
        <v>43694</v>
      </c>
      <c r="B4634" s="267">
        <v>2019</v>
      </c>
      <c r="C4634" s="267">
        <v>2020</v>
      </c>
      <c r="D4634" s="267">
        <v>1</v>
      </c>
      <c r="E4634" s="267">
        <v>1</v>
      </c>
      <c r="F4634" s="267" t="s">
        <v>944</v>
      </c>
      <c r="G4634" s="267" t="s">
        <v>3926</v>
      </c>
      <c r="H4634" s="267" t="s">
        <v>9252</v>
      </c>
      <c r="I4634" s="267" t="s">
        <v>950</v>
      </c>
      <c r="J4634" s="267" t="s">
        <v>3928</v>
      </c>
      <c r="K4634" s="267">
        <v>6516</v>
      </c>
      <c r="L4634" s="267">
        <v>154200</v>
      </c>
      <c r="M4634" s="267" t="s">
        <v>3940</v>
      </c>
      <c r="N4634" s="267" t="s">
        <v>3944</v>
      </c>
      <c r="O4634" s="267">
        <v>1128.6500000000001</v>
      </c>
      <c r="P4634" s="267" t="s">
        <v>3944</v>
      </c>
      <c r="Q4634" s="267" t="s">
        <v>3944</v>
      </c>
      <c r="R4634" s="267">
        <v>1128.6500000000001</v>
      </c>
      <c r="S4634" s="267">
        <v>15803.19</v>
      </c>
      <c r="T4634" s="267">
        <v>16931.84</v>
      </c>
      <c r="U4634" s="268" t="s">
        <v>3945</v>
      </c>
      <c r="V4634" s="267" t="s">
        <v>944</v>
      </c>
    </row>
    <row r="4635" spans="1:22" hidden="1" x14ac:dyDescent="0.25">
      <c r="A4635" s="269">
        <v>43694</v>
      </c>
      <c r="B4635" s="270">
        <v>2019</v>
      </c>
      <c r="C4635" s="270">
        <v>2020</v>
      </c>
      <c r="D4635" s="270">
        <v>1</v>
      </c>
      <c r="E4635" s="270">
        <v>1</v>
      </c>
      <c r="F4635" s="270" t="s">
        <v>944</v>
      </c>
      <c r="G4635" s="270" t="s">
        <v>3926</v>
      </c>
      <c r="H4635" s="270" t="s">
        <v>9253</v>
      </c>
      <c r="I4635" s="270" t="s">
        <v>2987</v>
      </c>
      <c r="J4635" s="270" t="s">
        <v>3928</v>
      </c>
      <c r="K4635" s="270">
        <v>6611</v>
      </c>
      <c r="L4635" s="270">
        <v>90700</v>
      </c>
      <c r="M4635" s="270" t="s">
        <v>3943</v>
      </c>
      <c r="N4635" s="270" t="s">
        <v>3944</v>
      </c>
      <c r="O4635" s="270">
        <v>1403.85</v>
      </c>
      <c r="P4635" s="270" t="s">
        <v>3944</v>
      </c>
      <c r="Q4635" s="270" t="s">
        <v>3944</v>
      </c>
      <c r="R4635" s="270">
        <v>1403.85</v>
      </c>
      <c r="S4635" s="270">
        <v>19760.95</v>
      </c>
      <c r="T4635" s="270">
        <v>21164.799999999999</v>
      </c>
      <c r="U4635" s="271" t="s">
        <v>3945</v>
      </c>
      <c r="V4635" s="267" t="s">
        <v>944</v>
      </c>
    </row>
    <row r="4636" spans="1:22" hidden="1" x14ac:dyDescent="0.25">
      <c r="A4636" s="266">
        <v>43695</v>
      </c>
      <c r="B4636" s="267">
        <v>2019</v>
      </c>
      <c r="C4636" s="267">
        <v>2020</v>
      </c>
      <c r="D4636" s="267">
        <v>1</v>
      </c>
      <c r="E4636" s="267">
        <v>1</v>
      </c>
      <c r="F4636" s="267" t="s">
        <v>944</v>
      </c>
      <c r="G4636" s="267" t="s">
        <v>3926</v>
      </c>
      <c r="H4636" s="267" t="s">
        <v>9254</v>
      </c>
      <c r="I4636" s="267" t="s">
        <v>3971</v>
      </c>
      <c r="J4636" s="267" t="s">
        <v>3928</v>
      </c>
      <c r="K4636" s="267">
        <v>6084</v>
      </c>
      <c r="L4636" s="267">
        <v>533101</v>
      </c>
      <c r="M4636" s="267" t="s">
        <v>3943</v>
      </c>
      <c r="N4636" s="267" t="s">
        <v>9255</v>
      </c>
      <c r="O4636" s="267">
        <v>0</v>
      </c>
      <c r="P4636" s="267" t="s">
        <v>3930</v>
      </c>
      <c r="Q4636" s="267" t="s">
        <v>3930</v>
      </c>
      <c r="R4636" s="267">
        <v>0</v>
      </c>
      <c r="S4636" s="267">
        <v>12400</v>
      </c>
      <c r="T4636" s="267">
        <v>12400</v>
      </c>
      <c r="U4636" s="268" t="s">
        <v>3937</v>
      </c>
      <c r="V4636" s="267" t="s">
        <v>944</v>
      </c>
    </row>
    <row r="4637" spans="1:22" hidden="1" x14ac:dyDescent="0.25">
      <c r="A4637" s="269">
        <v>43696</v>
      </c>
      <c r="B4637" s="270">
        <v>2019</v>
      </c>
      <c r="C4637" s="270">
        <v>2020</v>
      </c>
      <c r="D4637" s="270">
        <v>1</v>
      </c>
      <c r="E4637" s="270">
        <v>1</v>
      </c>
      <c r="F4637" s="270" t="s">
        <v>944</v>
      </c>
      <c r="G4637" s="270" t="s">
        <v>3926</v>
      </c>
      <c r="H4637" s="270" t="s">
        <v>9256</v>
      </c>
      <c r="I4637" s="270" t="s">
        <v>5401</v>
      </c>
      <c r="J4637" s="270" t="s">
        <v>3928</v>
      </c>
      <c r="K4637" s="270">
        <v>6820</v>
      </c>
      <c r="L4637" s="270">
        <v>30200</v>
      </c>
      <c r="M4637" s="270" t="s">
        <v>3943</v>
      </c>
      <c r="N4637" s="270" t="s">
        <v>5313</v>
      </c>
      <c r="O4637" s="270">
        <v>0</v>
      </c>
      <c r="P4637" s="270" t="s">
        <v>3930</v>
      </c>
      <c r="Q4637" s="270" t="s">
        <v>3930</v>
      </c>
      <c r="R4637" s="270">
        <v>0</v>
      </c>
      <c r="S4637" s="270">
        <v>68600</v>
      </c>
      <c r="T4637" s="270">
        <v>68600</v>
      </c>
      <c r="U4637" s="271" t="s">
        <v>3937</v>
      </c>
      <c r="V4637" s="267" t="s">
        <v>944</v>
      </c>
    </row>
    <row r="4638" spans="1:22" hidden="1" x14ac:dyDescent="0.25">
      <c r="A4638" s="266">
        <v>43696</v>
      </c>
      <c r="B4638" s="267">
        <v>2019</v>
      </c>
      <c r="C4638" s="267">
        <v>2020</v>
      </c>
      <c r="D4638" s="267">
        <v>1</v>
      </c>
      <c r="E4638" s="267">
        <v>1</v>
      </c>
      <c r="F4638" s="267" t="s">
        <v>944</v>
      </c>
      <c r="G4638" s="267" t="s">
        <v>3926</v>
      </c>
      <c r="H4638" s="267" t="s">
        <v>9257</v>
      </c>
      <c r="I4638" s="267" t="s">
        <v>4019</v>
      </c>
      <c r="J4638" s="267" t="s">
        <v>3928</v>
      </c>
      <c r="K4638" s="267">
        <v>6701</v>
      </c>
      <c r="L4638" s="267">
        <v>165801</v>
      </c>
      <c r="M4638" s="267" t="s">
        <v>3935</v>
      </c>
      <c r="N4638" s="267" t="s">
        <v>9258</v>
      </c>
      <c r="O4638" s="267">
        <v>1499.36</v>
      </c>
      <c r="P4638" s="267" t="s">
        <v>3930</v>
      </c>
      <c r="Q4638" s="267" t="s">
        <v>3931</v>
      </c>
      <c r="R4638" s="267">
        <v>6499.36</v>
      </c>
      <c r="S4638" s="267">
        <v>19077</v>
      </c>
      <c r="T4638" s="267">
        <v>25576.36</v>
      </c>
      <c r="U4638" s="268" t="s">
        <v>3932</v>
      </c>
      <c r="V4638" s="267" t="s">
        <v>944</v>
      </c>
    </row>
    <row r="4639" spans="1:22" hidden="1" x14ac:dyDescent="0.25">
      <c r="A4639" s="269">
        <v>43696</v>
      </c>
      <c r="B4639" s="270">
        <v>2019</v>
      </c>
      <c r="C4639" s="270">
        <v>2020</v>
      </c>
      <c r="D4639" s="270">
        <v>1</v>
      </c>
      <c r="E4639" s="270">
        <v>1</v>
      </c>
      <c r="F4639" s="270" t="s">
        <v>944</v>
      </c>
      <c r="G4639" s="270" t="s">
        <v>3926</v>
      </c>
      <c r="H4639" s="270" t="s">
        <v>9259</v>
      </c>
      <c r="I4639" s="270" t="s">
        <v>3962</v>
      </c>
      <c r="J4639" s="270" t="s">
        <v>3928</v>
      </c>
      <c r="K4639" s="270">
        <v>6379</v>
      </c>
      <c r="L4639" s="270">
        <v>705101</v>
      </c>
      <c r="M4639" s="270" t="s">
        <v>3935</v>
      </c>
      <c r="N4639" s="270" t="s">
        <v>3944</v>
      </c>
      <c r="O4639" s="270">
        <v>2761</v>
      </c>
      <c r="P4639" s="270" t="s">
        <v>3944</v>
      </c>
      <c r="Q4639" s="270" t="s">
        <v>3944</v>
      </c>
      <c r="R4639" s="270">
        <v>2761</v>
      </c>
      <c r="S4639" s="270">
        <v>18254.89</v>
      </c>
      <c r="T4639" s="270">
        <v>21015.89</v>
      </c>
      <c r="U4639" s="271" t="s">
        <v>3945</v>
      </c>
      <c r="V4639" s="267" t="s">
        <v>944</v>
      </c>
    </row>
    <row r="4640" spans="1:22" hidden="1" x14ac:dyDescent="0.25">
      <c r="A4640" s="266">
        <v>43696</v>
      </c>
      <c r="B4640" s="267">
        <v>2019</v>
      </c>
      <c r="C4640" s="267">
        <v>2020</v>
      </c>
      <c r="D4640" s="267">
        <v>1</v>
      </c>
      <c r="E4640" s="267">
        <v>1</v>
      </c>
      <c r="F4640" s="267" t="s">
        <v>944</v>
      </c>
      <c r="G4640" s="267" t="s">
        <v>3926</v>
      </c>
      <c r="H4640" s="267" t="s">
        <v>9260</v>
      </c>
      <c r="I4640" s="267" t="s">
        <v>4947</v>
      </c>
      <c r="J4640" s="267" t="s">
        <v>3928</v>
      </c>
      <c r="K4640" s="267">
        <v>6787</v>
      </c>
      <c r="L4640" s="267">
        <v>349100</v>
      </c>
      <c r="M4640" s="267" t="s">
        <v>3935</v>
      </c>
      <c r="N4640" s="267" t="s">
        <v>3944</v>
      </c>
      <c r="O4640" s="267">
        <v>4468</v>
      </c>
      <c r="P4640" s="267" t="s">
        <v>3944</v>
      </c>
      <c r="Q4640" s="267" t="s">
        <v>3944</v>
      </c>
      <c r="R4640" s="267">
        <v>4468</v>
      </c>
      <c r="S4640" s="267">
        <v>26055.5</v>
      </c>
      <c r="T4640" s="267">
        <v>30523.5</v>
      </c>
      <c r="U4640" s="268" t="s">
        <v>3945</v>
      </c>
      <c r="V4640" s="267" t="s">
        <v>944</v>
      </c>
    </row>
    <row r="4641" spans="1:22" hidden="1" x14ac:dyDescent="0.25">
      <c r="A4641" s="269">
        <v>43696</v>
      </c>
      <c r="B4641" s="270">
        <v>2019</v>
      </c>
      <c r="C4641" s="270">
        <v>2020</v>
      </c>
      <c r="D4641" s="270">
        <v>1</v>
      </c>
      <c r="E4641" s="270">
        <v>1</v>
      </c>
      <c r="F4641" s="270" t="s">
        <v>944</v>
      </c>
      <c r="G4641" s="270" t="s">
        <v>3926</v>
      </c>
      <c r="H4641" s="270" t="s">
        <v>9261</v>
      </c>
      <c r="I4641" s="270" t="s">
        <v>4055</v>
      </c>
      <c r="J4641" s="270" t="s">
        <v>3928</v>
      </c>
      <c r="K4641" s="270">
        <v>6070</v>
      </c>
      <c r="L4641" s="270">
        <v>466300</v>
      </c>
      <c r="M4641" s="270" t="s">
        <v>3943</v>
      </c>
      <c r="N4641" s="270" t="s">
        <v>3944</v>
      </c>
      <c r="O4641" s="270">
        <v>1687</v>
      </c>
      <c r="P4641" s="270" t="s">
        <v>3944</v>
      </c>
      <c r="Q4641" s="270" t="s">
        <v>3944</v>
      </c>
      <c r="R4641" s="270">
        <v>1687</v>
      </c>
      <c r="S4641" s="270">
        <v>9983.75</v>
      </c>
      <c r="T4641" s="270">
        <v>11670.75</v>
      </c>
      <c r="U4641" s="271" t="s">
        <v>3945</v>
      </c>
      <c r="V4641" s="267" t="s">
        <v>944</v>
      </c>
    </row>
    <row r="4642" spans="1:22" hidden="1" x14ac:dyDescent="0.25">
      <c r="A4642" s="266">
        <v>43696</v>
      </c>
      <c r="B4642" s="267">
        <v>2019</v>
      </c>
      <c r="C4642" s="267">
        <v>2020</v>
      </c>
      <c r="D4642" s="267">
        <v>1</v>
      </c>
      <c r="E4642" s="267">
        <v>1</v>
      </c>
      <c r="F4642" s="267" t="s">
        <v>944</v>
      </c>
      <c r="G4642" s="267" t="s">
        <v>3926</v>
      </c>
      <c r="H4642" s="267" t="s">
        <v>9262</v>
      </c>
      <c r="I4642" s="267" t="s">
        <v>3934</v>
      </c>
      <c r="J4642" s="267" t="s">
        <v>3928</v>
      </c>
      <c r="K4642" s="267">
        <v>6405</v>
      </c>
      <c r="L4642" s="267">
        <v>184100</v>
      </c>
      <c r="M4642" s="267" t="s">
        <v>3940</v>
      </c>
      <c r="N4642" s="267" t="s">
        <v>3944</v>
      </c>
      <c r="O4642" s="267">
        <v>2701</v>
      </c>
      <c r="P4642" s="267" t="s">
        <v>3944</v>
      </c>
      <c r="Q4642" s="267" t="s">
        <v>3944</v>
      </c>
      <c r="R4642" s="267">
        <v>2701</v>
      </c>
      <c r="S4642" s="267">
        <v>23890</v>
      </c>
      <c r="T4642" s="267">
        <v>26591</v>
      </c>
      <c r="U4642" s="268" t="s">
        <v>3945</v>
      </c>
      <c r="V4642" s="267" t="s">
        <v>944</v>
      </c>
    </row>
    <row r="4643" spans="1:22" hidden="1" x14ac:dyDescent="0.25">
      <c r="A4643" s="269">
        <v>43696</v>
      </c>
      <c r="B4643" s="270">
        <v>2019</v>
      </c>
      <c r="C4643" s="270">
        <v>2020</v>
      </c>
      <c r="D4643" s="270">
        <v>1</v>
      </c>
      <c r="E4643" s="270">
        <v>1</v>
      </c>
      <c r="F4643" s="270" t="s">
        <v>944</v>
      </c>
      <c r="G4643" s="270" t="s">
        <v>3926</v>
      </c>
      <c r="H4643" s="270" t="s">
        <v>9263</v>
      </c>
      <c r="I4643" s="270" t="s">
        <v>3975</v>
      </c>
      <c r="J4643" s="270" t="s">
        <v>3928</v>
      </c>
      <c r="K4643" s="270">
        <v>6489</v>
      </c>
      <c r="L4643" s="270">
        <v>430301</v>
      </c>
      <c r="M4643" s="270" t="s">
        <v>3943</v>
      </c>
      <c r="N4643" s="270" t="s">
        <v>3944</v>
      </c>
      <c r="O4643" s="270">
        <v>1712</v>
      </c>
      <c r="P4643" s="270" t="s">
        <v>3944</v>
      </c>
      <c r="Q4643" s="270" t="s">
        <v>3944</v>
      </c>
      <c r="R4643" s="270">
        <v>1712</v>
      </c>
      <c r="S4643" s="270">
        <v>13202.2</v>
      </c>
      <c r="T4643" s="270">
        <v>14914.2</v>
      </c>
      <c r="U4643" s="271" t="s">
        <v>3945</v>
      </c>
      <c r="V4643" s="267" t="s">
        <v>944</v>
      </c>
    </row>
    <row r="4644" spans="1:22" hidden="1" x14ac:dyDescent="0.25">
      <c r="A4644" s="266">
        <v>43696</v>
      </c>
      <c r="B4644" s="267">
        <v>2019</v>
      </c>
      <c r="C4644" s="267">
        <v>2020</v>
      </c>
      <c r="D4644" s="267">
        <v>1</v>
      </c>
      <c r="E4644" s="267">
        <v>1</v>
      </c>
      <c r="F4644" s="267" t="s">
        <v>944</v>
      </c>
      <c r="G4644" s="267" t="s">
        <v>3926</v>
      </c>
      <c r="H4644" s="267" t="s">
        <v>9264</v>
      </c>
      <c r="I4644" s="267" t="s">
        <v>3949</v>
      </c>
      <c r="J4644" s="267" t="s">
        <v>3928</v>
      </c>
      <c r="K4644" s="267">
        <v>6437</v>
      </c>
      <c r="L4644" s="267">
        <v>190100</v>
      </c>
      <c r="M4644" s="267" t="s">
        <v>3960</v>
      </c>
      <c r="N4644" s="267" t="s">
        <v>3944</v>
      </c>
      <c r="O4644" s="267">
        <v>5744</v>
      </c>
      <c r="P4644" s="267" t="s">
        <v>3944</v>
      </c>
      <c r="Q4644" s="267" t="s">
        <v>3944</v>
      </c>
      <c r="R4644" s="267">
        <v>5744</v>
      </c>
      <c r="S4644" s="267">
        <v>35285.5</v>
      </c>
      <c r="T4644" s="267">
        <v>41029.5</v>
      </c>
      <c r="U4644" s="268" t="s">
        <v>3945</v>
      </c>
      <c r="V4644" s="267" t="s">
        <v>944</v>
      </c>
    </row>
    <row r="4645" spans="1:22" hidden="1" x14ac:dyDescent="0.25">
      <c r="A4645" s="269">
        <v>43696</v>
      </c>
      <c r="B4645" s="270">
        <v>2019</v>
      </c>
      <c r="C4645" s="270">
        <v>2020</v>
      </c>
      <c r="D4645" s="270">
        <v>1</v>
      </c>
      <c r="E4645" s="270">
        <v>1</v>
      </c>
      <c r="F4645" s="270" t="s">
        <v>944</v>
      </c>
      <c r="G4645" s="270" t="s">
        <v>3926</v>
      </c>
      <c r="H4645" s="270" t="s">
        <v>9265</v>
      </c>
      <c r="I4645" s="270" t="s">
        <v>4695</v>
      </c>
      <c r="J4645" s="270" t="s">
        <v>3928</v>
      </c>
      <c r="K4645" s="270">
        <v>6234</v>
      </c>
      <c r="L4645" s="270">
        <v>905100</v>
      </c>
      <c r="M4645" s="270" t="s">
        <v>3935</v>
      </c>
      <c r="N4645" s="270" t="s">
        <v>3944</v>
      </c>
      <c r="O4645" s="270">
        <v>3545</v>
      </c>
      <c r="P4645" s="270" t="s">
        <v>3944</v>
      </c>
      <c r="Q4645" s="270" t="s">
        <v>3944</v>
      </c>
      <c r="R4645" s="270">
        <v>3545</v>
      </c>
      <c r="S4645" s="270">
        <v>31467.25</v>
      </c>
      <c r="T4645" s="270">
        <v>35012.25</v>
      </c>
      <c r="U4645" s="271" t="s">
        <v>3945</v>
      </c>
      <c r="V4645" s="267" t="s">
        <v>944</v>
      </c>
    </row>
    <row r="4646" spans="1:22" hidden="1" x14ac:dyDescent="0.25">
      <c r="A4646" s="266">
        <v>43696</v>
      </c>
      <c r="B4646" s="267">
        <v>2019</v>
      </c>
      <c r="C4646" s="267">
        <v>2020</v>
      </c>
      <c r="D4646" s="267">
        <v>1</v>
      </c>
      <c r="E4646" s="267">
        <v>1</v>
      </c>
      <c r="F4646" s="267" t="s">
        <v>944</v>
      </c>
      <c r="G4646" s="267" t="s">
        <v>3926</v>
      </c>
      <c r="H4646" s="267" t="s">
        <v>9266</v>
      </c>
      <c r="I4646" s="267" t="s">
        <v>4040</v>
      </c>
      <c r="J4646" s="267" t="s">
        <v>3928</v>
      </c>
      <c r="K4646" s="267">
        <v>6339</v>
      </c>
      <c r="L4646" s="267">
        <v>701100</v>
      </c>
      <c r="M4646" s="267" t="s">
        <v>3960</v>
      </c>
      <c r="N4646" s="267" t="s">
        <v>3944</v>
      </c>
      <c r="O4646" s="267">
        <v>4155</v>
      </c>
      <c r="P4646" s="267" t="s">
        <v>3944</v>
      </c>
      <c r="Q4646" s="267" t="s">
        <v>3944</v>
      </c>
      <c r="R4646" s="267">
        <v>4155</v>
      </c>
      <c r="S4646" s="267">
        <v>42443</v>
      </c>
      <c r="T4646" s="267">
        <v>46598</v>
      </c>
      <c r="U4646" s="268" t="s">
        <v>3945</v>
      </c>
      <c r="V4646" s="267" t="s">
        <v>944</v>
      </c>
    </row>
    <row r="4647" spans="1:22" hidden="1" x14ac:dyDescent="0.25">
      <c r="A4647" s="269">
        <v>43696</v>
      </c>
      <c r="B4647" s="270">
        <v>2019</v>
      </c>
      <c r="C4647" s="270">
        <v>2020</v>
      </c>
      <c r="D4647" s="270">
        <v>1</v>
      </c>
      <c r="E4647" s="270">
        <v>1</v>
      </c>
      <c r="F4647" s="270" t="s">
        <v>944</v>
      </c>
      <c r="G4647" s="270" t="s">
        <v>3926</v>
      </c>
      <c r="H4647" s="270" t="s">
        <v>9267</v>
      </c>
      <c r="I4647" s="270" t="s">
        <v>3954</v>
      </c>
      <c r="J4647" s="270" t="s">
        <v>3928</v>
      </c>
      <c r="K4647" s="270">
        <v>6333</v>
      </c>
      <c r="L4647" s="270">
        <v>716102</v>
      </c>
      <c r="M4647" s="270" t="s">
        <v>3943</v>
      </c>
      <c r="N4647" s="270" t="s">
        <v>3944</v>
      </c>
      <c r="O4647" s="270">
        <v>5003</v>
      </c>
      <c r="P4647" s="270" t="s">
        <v>3944</v>
      </c>
      <c r="Q4647" s="270" t="s">
        <v>3944</v>
      </c>
      <c r="R4647" s="270">
        <v>5003</v>
      </c>
      <c r="S4647" s="270">
        <v>57597</v>
      </c>
      <c r="T4647" s="270">
        <v>62600</v>
      </c>
      <c r="U4647" s="271" t="s">
        <v>3945</v>
      </c>
      <c r="V4647" s="267" t="s">
        <v>944</v>
      </c>
    </row>
    <row r="4648" spans="1:22" x14ac:dyDescent="0.25">
      <c r="A4648" s="266">
        <v>43696</v>
      </c>
      <c r="B4648" s="267">
        <v>2019</v>
      </c>
      <c r="C4648" s="267">
        <v>2020</v>
      </c>
      <c r="D4648" s="267">
        <v>1</v>
      </c>
      <c r="E4648" s="267">
        <v>1</v>
      </c>
      <c r="F4648" s="267" t="s">
        <v>944</v>
      </c>
      <c r="G4648" s="267" t="s">
        <v>3926</v>
      </c>
      <c r="H4648" s="267" t="s">
        <v>9268</v>
      </c>
      <c r="I4648" s="267" t="s">
        <v>950</v>
      </c>
      <c r="J4648" s="267" t="s">
        <v>3928</v>
      </c>
      <c r="K4648" s="267">
        <v>6516</v>
      </c>
      <c r="L4648" s="267">
        <v>154500</v>
      </c>
      <c r="M4648" s="267">
        <v>-60</v>
      </c>
      <c r="N4648" s="267" t="s">
        <v>3944</v>
      </c>
      <c r="O4648" s="267">
        <v>889.74</v>
      </c>
      <c r="P4648" s="267" t="s">
        <v>3944</v>
      </c>
      <c r="Q4648" s="267" t="s">
        <v>3944</v>
      </c>
      <c r="R4648" s="267">
        <v>889.74</v>
      </c>
      <c r="S4648" s="267">
        <v>14884.7</v>
      </c>
      <c r="T4648" s="267">
        <v>15774.44</v>
      </c>
      <c r="U4648" s="268" t="s">
        <v>3945</v>
      </c>
      <c r="V4648" s="276" t="s">
        <v>936</v>
      </c>
    </row>
    <row r="4649" spans="1:22" hidden="1" x14ac:dyDescent="0.25">
      <c r="A4649" s="269">
        <v>43696</v>
      </c>
      <c r="B4649" s="270">
        <v>2019</v>
      </c>
      <c r="C4649" s="270">
        <v>2020</v>
      </c>
      <c r="D4649" s="270">
        <v>1</v>
      </c>
      <c r="E4649" s="270">
        <v>1</v>
      </c>
      <c r="F4649" s="270" t="s">
        <v>944</v>
      </c>
      <c r="G4649" s="270" t="s">
        <v>3926</v>
      </c>
      <c r="H4649" s="270" t="s">
        <v>9269</v>
      </c>
      <c r="I4649" s="270" t="s">
        <v>2987</v>
      </c>
      <c r="J4649" s="270" t="s">
        <v>3928</v>
      </c>
      <c r="K4649" s="270">
        <v>6611</v>
      </c>
      <c r="L4649" s="270">
        <v>90400</v>
      </c>
      <c r="M4649" s="270" t="s">
        <v>3943</v>
      </c>
      <c r="N4649" s="270" t="s">
        <v>3944</v>
      </c>
      <c r="O4649" s="270">
        <v>3987.62</v>
      </c>
      <c r="P4649" s="270" t="s">
        <v>3944</v>
      </c>
      <c r="Q4649" s="270" t="s">
        <v>3944</v>
      </c>
      <c r="R4649" s="270">
        <v>3987.62</v>
      </c>
      <c r="S4649" s="270">
        <v>68851.350000000006</v>
      </c>
      <c r="T4649" s="270">
        <v>72838.97</v>
      </c>
      <c r="U4649" s="271" t="s">
        <v>3945</v>
      </c>
      <c r="V4649" s="267" t="s">
        <v>944</v>
      </c>
    </row>
    <row r="4650" spans="1:22" hidden="1" x14ac:dyDescent="0.25">
      <c r="A4650" s="266">
        <v>43696</v>
      </c>
      <c r="B4650" s="267">
        <v>2019</v>
      </c>
      <c r="C4650" s="267">
        <v>2020</v>
      </c>
      <c r="D4650" s="267">
        <v>1</v>
      </c>
      <c r="E4650" s="267">
        <v>1</v>
      </c>
      <c r="F4650" s="267" t="s">
        <v>944</v>
      </c>
      <c r="G4650" s="267" t="s">
        <v>3926</v>
      </c>
      <c r="H4650" s="267" t="s">
        <v>9270</v>
      </c>
      <c r="I4650" s="267" t="s">
        <v>956</v>
      </c>
      <c r="J4650" s="267" t="s">
        <v>3928</v>
      </c>
      <c r="K4650" s="267">
        <v>6614</v>
      </c>
      <c r="L4650" s="267">
        <v>81200</v>
      </c>
      <c r="M4650" s="267" t="s">
        <v>3943</v>
      </c>
      <c r="N4650" s="267" t="s">
        <v>3944</v>
      </c>
      <c r="O4650" s="267">
        <v>1258.29</v>
      </c>
      <c r="P4650" s="267" t="s">
        <v>3944</v>
      </c>
      <c r="Q4650" s="267" t="s">
        <v>3944</v>
      </c>
      <c r="R4650" s="267">
        <v>1258.29</v>
      </c>
      <c r="S4650" s="267">
        <v>16731.79</v>
      </c>
      <c r="T4650" s="267">
        <v>17990.080000000002</v>
      </c>
      <c r="U4650" s="268" t="s">
        <v>3945</v>
      </c>
      <c r="V4650" s="267" t="s">
        <v>944</v>
      </c>
    </row>
    <row r="4651" spans="1:22" hidden="1" x14ac:dyDescent="0.25">
      <c r="A4651" s="269">
        <v>43696</v>
      </c>
      <c r="B4651" s="270">
        <v>2019</v>
      </c>
      <c r="C4651" s="270">
        <v>2020</v>
      </c>
      <c r="D4651" s="270">
        <v>1</v>
      </c>
      <c r="E4651" s="270">
        <v>1</v>
      </c>
      <c r="F4651" s="270" t="s">
        <v>944</v>
      </c>
      <c r="G4651" s="270" t="s">
        <v>3926</v>
      </c>
      <c r="H4651" s="270" t="s">
        <v>9271</v>
      </c>
      <c r="I4651" s="270" t="s">
        <v>4213</v>
      </c>
      <c r="J4651" s="270" t="s">
        <v>3928</v>
      </c>
      <c r="K4651" s="270">
        <v>6051</v>
      </c>
      <c r="L4651" s="270">
        <v>415400</v>
      </c>
      <c r="M4651" s="270">
        <v>-60</v>
      </c>
      <c r="N4651" s="270" t="s">
        <v>3944</v>
      </c>
      <c r="O4651" s="270">
        <v>837.27</v>
      </c>
      <c r="P4651" s="270" t="s">
        <v>3944</v>
      </c>
      <c r="Q4651" s="270" t="s">
        <v>3944</v>
      </c>
      <c r="R4651" s="270">
        <v>837.27</v>
      </c>
      <c r="S4651" s="270">
        <v>14526.02</v>
      </c>
      <c r="T4651" s="270">
        <v>15363.29</v>
      </c>
      <c r="U4651" s="271" t="s">
        <v>3945</v>
      </c>
      <c r="V4651" s="267" t="s">
        <v>944</v>
      </c>
    </row>
    <row r="4652" spans="1:22" hidden="1" x14ac:dyDescent="0.25">
      <c r="A4652" s="266">
        <v>43696</v>
      </c>
      <c r="B4652" s="267">
        <v>2019</v>
      </c>
      <c r="C4652" s="267">
        <v>2020</v>
      </c>
      <c r="D4652" s="267">
        <v>1</v>
      </c>
      <c r="E4652" s="267">
        <v>1</v>
      </c>
      <c r="F4652" s="267" t="s">
        <v>944</v>
      </c>
      <c r="G4652" s="267" t="s">
        <v>3926</v>
      </c>
      <c r="H4652" s="267" t="s">
        <v>9272</v>
      </c>
      <c r="I4652" s="267" t="s">
        <v>3008</v>
      </c>
      <c r="J4652" s="267" t="s">
        <v>3928</v>
      </c>
      <c r="K4652" s="267">
        <v>6460</v>
      </c>
      <c r="L4652" s="267">
        <v>150100</v>
      </c>
      <c r="M4652" s="267" t="s">
        <v>3960</v>
      </c>
      <c r="N4652" s="267" t="s">
        <v>3944</v>
      </c>
      <c r="O4652" s="267">
        <v>1573.11</v>
      </c>
      <c r="P4652" s="267" t="s">
        <v>3944</v>
      </c>
      <c r="Q4652" s="267" t="s">
        <v>3944</v>
      </c>
      <c r="R4652" s="267">
        <v>1573.11</v>
      </c>
      <c r="S4652" s="267">
        <v>27742.67</v>
      </c>
      <c r="T4652" s="267">
        <v>29315.78</v>
      </c>
      <c r="U4652" s="268" t="s">
        <v>3945</v>
      </c>
      <c r="V4652" s="267" t="s">
        <v>944</v>
      </c>
    </row>
    <row r="4653" spans="1:22" hidden="1" x14ac:dyDescent="0.25">
      <c r="A4653" s="269">
        <v>43696</v>
      </c>
      <c r="B4653" s="270">
        <v>2019</v>
      </c>
      <c r="C4653" s="270">
        <v>2020</v>
      </c>
      <c r="D4653" s="270">
        <v>1</v>
      </c>
      <c r="E4653" s="270">
        <v>1</v>
      </c>
      <c r="F4653" s="270" t="s">
        <v>944</v>
      </c>
      <c r="G4653" s="270" t="s">
        <v>3926</v>
      </c>
      <c r="H4653" s="270" t="s">
        <v>9273</v>
      </c>
      <c r="I4653" s="270" t="s">
        <v>953</v>
      </c>
      <c r="J4653" s="270" t="s">
        <v>3928</v>
      </c>
      <c r="K4653" s="270">
        <v>6517</v>
      </c>
      <c r="L4653" s="270">
        <v>165300</v>
      </c>
      <c r="M4653" s="270" t="s">
        <v>3943</v>
      </c>
      <c r="N4653" s="270" t="s">
        <v>3944</v>
      </c>
      <c r="O4653" s="270">
        <v>700.81</v>
      </c>
      <c r="P4653" s="270" t="s">
        <v>3944</v>
      </c>
      <c r="Q4653" s="270" t="s">
        <v>3944</v>
      </c>
      <c r="R4653" s="270">
        <v>700.81</v>
      </c>
      <c r="S4653" s="270">
        <v>11886.59</v>
      </c>
      <c r="T4653" s="270">
        <v>12587.4</v>
      </c>
      <c r="U4653" s="271" t="s">
        <v>3945</v>
      </c>
      <c r="V4653" s="267" t="s">
        <v>944</v>
      </c>
    </row>
    <row r="4654" spans="1:22" hidden="1" x14ac:dyDescent="0.25">
      <c r="A4654" s="266">
        <v>43696</v>
      </c>
      <c r="B4654" s="267">
        <v>2019</v>
      </c>
      <c r="C4654" s="267">
        <v>2020</v>
      </c>
      <c r="D4654" s="267">
        <v>1</v>
      </c>
      <c r="E4654" s="267">
        <v>1</v>
      </c>
      <c r="F4654" s="267" t="s">
        <v>944</v>
      </c>
      <c r="G4654" s="267" t="s">
        <v>3926</v>
      </c>
      <c r="H4654" s="267" t="s">
        <v>9274</v>
      </c>
      <c r="I4654" s="267" t="s">
        <v>4114</v>
      </c>
      <c r="J4654" s="267" t="s">
        <v>3928</v>
      </c>
      <c r="K4654" s="267">
        <v>6410</v>
      </c>
      <c r="L4654" s="267">
        <v>343300</v>
      </c>
      <c r="M4654" s="267" t="s">
        <v>3943</v>
      </c>
      <c r="N4654" s="267" t="s">
        <v>3944</v>
      </c>
      <c r="O4654" s="267">
        <v>1828.4</v>
      </c>
      <c r="P4654" s="267" t="s">
        <v>3944</v>
      </c>
      <c r="Q4654" s="267" t="s">
        <v>3944</v>
      </c>
      <c r="R4654" s="267">
        <v>1828.4</v>
      </c>
      <c r="S4654" s="267">
        <v>26385.439999999999</v>
      </c>
      <c r="T4654" s="267">
        <v>28213.84</v>
      </c>
      <c r="U4654" s="268" t="s">
        <v>3945</v>
      </c>
      <c r="V4654" s="267" t="s">
        <v>944</v>
      </c>
    </row>
    <row r="4655" spans="1:22" hidden="1" x14ac:dyDescent="0.25">
      <c r="A4655" s="269">
        <v>43696</v>
      </c>
      <c r="B4655" s="270">
        <v>2019</v>
      </c>
      <c r="C4655" s="270">
        <v>2020</v>
      </c>
      <c r="D4655" s="270">
        <v>1</v>
      </c>
      <c r="E4655" s="270">
        <v>1</v>
      </c>
      <c r="F4655" s="270" t="s">
        <v>944</v>
      </c>
      <c r="G4655" s="270" t="s">
        <v>3926</v>
      </c>
      <c r="H4655" s="270" t="s">
        <v>9275</v>
      </c>
      <c r="I4655" s="270" t="s">
        <v>3975</v>
      </c>
      <c r="J4655" s="270" t="s">
        <v>3928</v>
      </c>
      <c r="K4655" s="270">
        <v>6489</v>
      </c>
      <c r="L4655" s="270">
        <v>430500</v>
      </c>
      <c r="M4655" s="270" t="s">
        <v>3943</v>
      </c>
      <c r="N4655" s="270" t="s">
        <v>3944</v>
      </c>
      <c r="O4655" s="270">
        <v>1418.17</v>
      </c>
      <c r="P4655" s="270" t="s">
        <v>3944</v>
      </c>
      <c r="Q4655" s="270" t="s">
        <v>3944</v>
      </c>
      <c r="R4655" s="270">
        <v>1418.17</v>
      </c>
      <c r="S4655" s="270">
        <v>20959.43</v>
      </c>
      <c r="T4655" s="270">
        <v>22377.599999999999</v>
      </c>
      <c r="U4655" s="271" t="s">
        <v>3945</v>
      </c>
      <c r="V4655" s="267" t="s">
        <v>944</v>
      </c>
    </row>
    <row r="4656" spans="1:22" hidden="1" x14ac:dyDescent="0.25">
      <c r="A4656" s="266">
        <v>43696</v>
      </c>
      <c r="B4656" s="267">
        <v>2019</v>
      </c>
      <c r="C4656" s="267">
        <v>2020</v>
      </c>
      <c r="D4656" s="267">
        <v>1</v>
      </c>
      <c r="E4656" s="267">
        <v>1</v>
      </c>
      <c r="F4656" s="267" t="s">
        <v>944</v>
      </c>
      <c r="G4656" s="267" t="s">
        <v>3926</v>
      </c>
      <c r="H4656" s="267" t="s">
        <v>9276</v>
      </c>
      <c r="I4656" s="267" t="s">
        <v>4016</v>
      </c>
      <c r="J4656" s="267" t="s">
        <v>3928</v>
      </c>
      <c r="K4656" s="267">
        <v>6770</v>
      </c>
      <c r="L4656" s="267">
        <v>345100</v>
      </c>
      <c r="M4656" s="267" t="s">
        <v>3940</v>
      </c>
      <c r="N4656" s="267" t="s">
        <v>3944</v>
      </c>
      <c r="O4656" s="267">
        <v>1630.76</v>
      </c>
      <c r="P4656" s="267" t="s">
        <v>3944</v>
      </c>
      <c r="Q4656" s="267" t="s">
        <v>3944</v>
      </c>
      <c r="R4656" s="267">
        <v>1630.76</v>
      </c>
      <c r="S4656" s="267">
        <v>23261.8</v>
      </c>
      <c r="T4656" s="267">
        <v>24892.560000000001</v>
      </c>
      <c r="U4656" s="268" t="s">
        <v>3945</v>
      </c>
      <c r="V4656" s="267" t="s">
        <v>944</v>
      </c>
    </row>
    <row r="4657" spans="1:22" hidden="1" x14ac:dyDescent="0.25">
      <c r="A4657" s="269">
        <v>43696</v>
      </c>
      <c r="B4657" s="270">
        <v>2019</v>
      </c>
      <c r="C4657" s="270">
        <v>2020</v>
      </c>
      <c r="D4657" s="270">
        <v>1</v>
      </c>
      <c r="E4657" s="270">
        <v>1</v>
      </c>
      <c r="F4657" s="270" t="s">
        <v>944</v>
      </c>
      <c r="G4657" s="270" t="s">
        <v>3926</v>
      </c>
      <c r="H4657" s="270" t="s">
        <v>9277</v>
      </c>
      <c r="I4657" s="270" t="s">
        <v>3009</v>
      </c>
      <c r="J4657" s="270" t="s">
        <v>3928</v>
      </c>
      <c r="K4657" s="270">
        <v>6484</v>
      </c>
      <c r="L4657" s="270">
        <v>110500</v>
      </c>
      <c r="M4657" s="270" t="s">
        <v>3943</v>
      </c>
      <c r="N4657" s="270" t="s">
        <v>3944</v>
      </c>
      <c r="O4657" s="270">
        <v>1720.36</v>
      </c>
      <c r="P4657" s="270" t="s">
        <v>3944</v>
      </c>
      <c r="Q4657" s="270" t="s">
        <v>3944</v>
      </c>
      <c r="R4657" s="270">
        <v>1720.36</v>
      </c>
      <c r="S4657" s="270">
        <v>26120.14</v>
      </c>
      <c r="T4657" s="270">
        <v>27840.5</v>
      </c>
      <c r="U4657" s="271" t="s">
        <v>3945</v>
      </c>
      <c r="V4657" s="267" t="s">
        <v>944</v>
      </c>
    </row>
    <row r="4658" spans="1:22" hidden="1" x14ac:dyDescent="0.25">
      <c r="A4658" s="266">
        <v>43696</v>
      </c>
      <c r="B4658" s="267">
        <v>2019</v>
      </c>
      <c r="C4658" s="267">
        <v>2020</v>
      </c>
      <c r="D4658" s="267">
        <v>1</v>
      </c>
      <c r="E4658" s="267">
        <v>1</v>
      </c>
      <c r="F4658" s="267" t="s">
        <v>944</v>
      </c>
      <c r="G4658" s="267" t="s">
        <v>3926</v>
      </c>
      <c r="H4658" s="267" t="s">
        <v>9278</v>
      </c>
      <c r="I4658" s="267" t="s">
        <v>4016</v>
      </c>
      <c r="J4658" s="267" t="s">
        <v>3928</v>
      </c>
      <c r="K4658" s="267">
        <v>6770</v>
      </c>
      <c r="L4658" s="267">
        <v>345100</v>
      </c>
      <c r="M4658" s="267" t="s">
        <v>3940</v>
      </c>
      <c r="N4658" s="267" t="s">
        <v>3944</v>
      </c>
      <c r="O4658" s="267">
        <v>1757.28</v>
      </c>
      <c r="P4658" s="267" t="s">
        <v>3944</v>
      </c>
      <c r="Q4658" s="267" t="s">
        <v>3944</v>
      </c>
      <c r="R4658" s="267">
        <v>1757.28</v>
      </c>
      <c r="S4658" s="267">
        <v>24499.7</v>
      </c>
      <c r="T4658" s="267">
        <v>26256.98</v>
      </c>
      <c r="U4658" s="268" t="s">
        <v>3945</v>
      </c>
      <c r="V4658" s="267" t="s">
        <v>944</v>
      </c>
    </row>
    <row r="4659" spans="1:22" hidden="1" x14ac:dyDescent="0.25">
      <c r="A4659" s="269">
        <v>43696</v>
      </c>
      <c r="B4659" s="270">
        <v>2019</v>
      </c>
      <c r="C4659" s="270">
        <v>2020</v>
      </c>
      <c r="D4659" s="270">
        <v>1</v>
      </c>
      <c r="E4659" s="270">
        <v>1</v>
      </c>
      <c r="F4659" s="270" t="s">
        <v>944</v>
      </c>
      <c r="G4659" s="270" t="s">
        <v>3926</v>
      </c>
      <c r="H4659" s="270" t="s">
        <v>9279</v>
      </c>
      <c r="I4659" s="270" t="s">
        <v>4124</v>
      </c>
      <c r="J4659" s="270" t="s">
        <v>3928</v>
      </c>
      <c r="K4659" s="270">
        <v>6470</v>
      </c>
      <c r="L4659" s="270">
        <v>230300</v>
      </c>
      <c r="M4659" s="270" t="s">
        <v>3943</v>
      </c>
      <c r="N4659" s="270" t="s">
        <v>3944</v>
      </c>
      <c r="O4659" s="270">
        <v>2308.9499999999998</v>
      </c>
      <c r="P4659" s="270" t="s">
        <v>3944</v>
      </c>
      <c r="Q4659" s="270" t="s">
        <v>3944</v>
      </c>
      <c r="R4659" s="270">
        <v>2308.9499999999998</v>
      </c>
      <c r="S4659" s="270">
        <v>36234.15</v>
      </c>
      <c r="T4659" s="270">
        <v>38543.1</v>
      </c>
      <c r="U4659" s="271" t="s">
        <v>3945</v>
      </c>
      <c r="V4659" s="267" t="s">
        <v>944</v>
      </c>
    </row>
    <row r="4660" spans="1:22" hidden="1" x14ac:dyDescent="0.25">
      <c r="A4660" s="266">
        <v>43696</v>
      </c>
      <c r="B4660" s="267">
        <v>2019</v>
      </c>
      <c r="C4660" s="267">
        <v>2020</v>
      </c>
      <c r="D4660" s="267">
        <v>1</v>
      </c>
      <c r="E4660" s="267">
        <v>1</v>
      </c>
      <c r="F4660" s="267" t="s">
        <v>944</v>
      </c>
      <c r="G4660" s="267" t="s">
        <v>3926</v>
      </c>
      <c r="H4660" s="267" t="s">
        <v>9280</v>
      </c>
      <c r="I4660" s="267" t="s">
        <v>4019</v>
      </c>
      <c r="J4660" s="267" t="s">
        <v>3928</v>
      </c>
      <c r="K4660" s="267">
        <v>6706</v>
      </c>
      <c r="L4660" s="267">
        <v>352800</v>
      </c>
      <c r="M4660" s="267" t="s">
        <v>3940</v>
      </c>
      <c r="N4660" s="267" t="s">
        <v>3944</v>
      </c>
      <c r="O4660" s="267">
        <v>1920.49</v>
      </c>
      <c r="P4660" s="267" t="s">
        <v>3944</v>
      </c>
      <c r="Q4660" s="267" t="s">
        <v>3944</v>
      </c>
      <c r="R4660" s="267">
        <v>1920.49</v>
      </c>
      <c r="S4660" s="267">
        <v>26106.99</v>
      </c>
      <c r="T4660" s="267">
        <v>28027.48</v>
      </c>
      <c r="U4660" s="268" t="s">
        <v>3945</v>
      </c>
      <c r="V4660" s="267" t="s">
        <v>944</v>
      </c>
    </row>
    <row r="4661" spans="1:22" hidden="1" x14ac:dyDescent="0.25">
      <c r="A4661" s="269">
        <v>43696</v>
      </c>
      <c r="B4661" s="270">
        <v>2019</v>
      </c>
      <c r="C4661" s="270">
        <v>2020</v>
      </c>
      <c r="D4661" s="270">
        <v>1</v>
      </c>
      <c r="E4661" s="270">
        <v>1</v>
      </c>
      <c r="F4661" s="270" t="s">
        <v>944</v>
      </c>
      <c r="G4661" s="270" t="s">
        <v>3926</v>
      </c>
      <c r="H4661" s="270" t="s">
        <v>9281</v>
      </c>
      <c r="I4661" s="270" t="s">
        <v>4323</v>
      </c>
      <c r="J4661" s="270" t="s">
        <v>3928</v>
      </c>
      <c r="K4661" s="270">
        <v>6357</v>
      </c>
      <c r="L4661" s="270">
        <v>870704</v>
      </c>
      <c r="M4661" s="270" t="s">
        <v>3935</v>
      </c>
      <c r="N4661" s="270" t="s">
        <v>3944</v>
      </c>
      <c r="O4661" s="270">
        <v>3107.83</v>
      </c>
      <c r="P4661" s="270" t="s">
        <v>3944</v>
      </c>
      <c r="Q4661" s="270" t="s">
        <v>3944</v>
      </c>
      <c r="R4661" s="270">
        <v>3107.83</v>
      </c>
      <c r="S4661" s="270">
        <v>45032.03</v>
      </c>
      <c r="T4661" s="270">
        <v>48139.86</v>
      </c>
      <c r="U4661" s="271" t="s">
        <v>3945</v>
      </c>
      <c r="V4661" s="267" t="s">
        <v>944</v>
      </c>
    </row>
    <row r="4662" spans="1:22" hidden="1" x14ac:dyDescent="0.25">
      <c r="A4662" s="266">
        <v>43696</v>
      </c>
      <c r="B4662" s="267">
        <v>2019</v>
      </c>
      <c r="C4662" s="267">
        <v>2020</v>
      </c>
      <c r="D4662" s="267">
        <v>1</v>
      </c>
      <c r="E4662" s="267">
        <v>1</v>
      </c>
      <c r="F4662" s="267" t="s">
        <v>944</v>
      </c>
      <c r="G4662" s="267" t="s">
        <v>3926</v>
      </c>
      <c r="H4662" s="267" t="s">
        <v>9282</v>
      </c>
      <c r="I4662" s="267" t="s">
        <v>4306</v>
      </c>
      <c r="J4662" s="267" t="s">
        <v>3928</v>
      </c>
      <c r="K4662" s="267">
        <v>6716</v>
      </c>
      <c r="L4662" s="267">
        <v>361100</v>
      </c>
      <c r="M4662" s="267" t="s">
        <v>3960</v>
      </c>
      <c r="N4662" s="267" t="s">
        <v>3944</v>
      </c>
      <c r="O4662" s="267">
        <v>3260.67</v>
      </c>
      <c r="P4662" s="267" t="s">
        <v>3944</v>
      </c>
      <c r="Q4662" s="267" t="s">
        <v>3944</v>
      </c>
      <c r="R4662" s="267">
        <v>3260.67</v>
      </c>
      <c r="S4662" s="267">
        <v>42836.27</v>
      </c>
      <c r="T4662" s="267">
        <v>46096.94</v>
      </c>
      <c r="U4662" s="268" t="s">
        <v>3945</v>
      </c>
      <c r="V4662" s="267" t="s">
        <v>944</v>
      </c>
    </row>
    <row r="4663" spans="1:22" hidden="1" x14ac:dyDescent="0.25">
      <c r="A4663" s="269">
        <v>43696</v>
      </c>
      <c r="B4663" s="270">
        <v>2019</v>
      </c>
      <c r="C4663" s="270">
        <v>2020</v>
      </c>
      <c r="D4663" s="270">
        <v>1</v>
      </c>
      <c r="E4663" s="270">
        <v>1</v>
      </c>
      <c r="F4663" s="270" t="s">
        <v>944</v>
      </c>
      <c r="G4663" s="270" t="s">
        <v>3926</v>
      </c>
      <c r="H4663" s="270" t="s">
        <v>9283</v>
      </c>
      <c r="I4663" s="270" t="s">
        <v>4301</v>
      </c>
      <c r="J4663" s="270" t="s">
        <v>3928</v>
      </c>
      <c r="K4663" s="270">
        <v>6359</v>
      </c>
      <c r="L4663" s="270">
        <v>707100</v>
      </c>
      <c r="M4663" s="270" t="s">
        <v>3935</v>
      </c>
      <c r="N4663" s="270" t="s">
        <v>3944</v>
      </c>
      <c r="O4663" s="270">
        <v>3162.99</v>
      </c>
      <c r="P4663" s="270" t="s">
        <v>3944</v>
      </c>
      <c r="Q4663" s="270" t="s">
        <v>3944</v>
      </c>
      <c r="R4663" s="270">
        <v>3162.99</v>
      </c>
      <c r="S4663" s="270">
        <v>46871.360000000001</v>
      </c>
      <c r="T4663" s="270">
        <v>50034.35</v>
      </c>
      <c r="U4663" s="271" t="s">
        <v>3945</v>
      </c>
      <c r="V4663" s="267" t="s">
        <v>944</v>
      </c>
    </row>
    <row r="4664" spans="1:22" hidden="1" x14ac:dyDescent="0.25">
      <c r="A4664" s="266">
        <v>43696</v>
      </c>
      <c r="B4664" s="267">
        <v>2019</v>
      </c>
      <c r="C4664" s="267">
        <v>2020</v>
      </c>
      <c r="D4664" s="267">
        <v>1</v>
      </c>
      <c r="E4664" s="267">
        <v>1</v>
      </c>
      <c r="F4664" s="267" t="s">
        <v>944</v>
      </c>
      <c r="G4664" s="267" t="s">
        <v>3926</v>
      </c>
      <c r="H4664" s="267" t="s">
        <v>9284</v>
      </c>
      <c r="I4664" s="267" t="s">
        <v>956</v>
      </c>
      <c r="J4664" s="267" t="s">
        <v>3928</v>
      </c>
      <c r="K4664" s="267">
        <v>6614</v>
      </c>
      <c r="L4664" s="267">
        <v>80900</v>
      </c>
      <c r="M4664" s="267" t="s">
        <v>3960</v>
      </c>
      <c r="N4664" s="267" t="s">
        <v>3944</v>
      </c>
      <c r="O4664" s="267">
        <v>1341.45</v>
      </c>
      <c r="P4664" s="267" t="s">
        <v>3944</v>
      </c>
      <c r="Q4664" s="267" t="s">
        <v>3944</v>
      </c>
      <c r="R4664" s="267">
        <v>1341.45</v>
      </c>
      <c r="S4664" s="267">
        <v>20991.119999999999</v>
      </c>
      <c r="T4664" s="267">
        <v>22332.57</v>
      </c>
      <c r="U4664" s="268" t="s">
        <v>3945</v>
      </c>
      <c r="V4664" s="267" t="s">
        <v>944</v>
      </c>
    </row>
    <row r="4665" spans="1:22" hidden="1" x14ac:dyDescent="0.25">
      <c r="A4665" s="269">
        <v>43696</v>
      </c>
      <c r="B4665" s="270">
        <v>2019</v>
      </c>
      <c r="C4665" s="270">
        <v>2020</v>
      </c>
      <c r="D4665" s="270">
        <v>1</v>
      </c>
      <c r="E4665" s="270">
        <v>1</v>
      </c>
      <c r="F4665" s="270" t="s">
        <v>944</v>
      </c>
      <c r="G4665" s="270" t="s">
        <v>3926</v>
      </c>
      <c r="H4665" s="270" t="s">
        <v>9285</v>
      </c>
      <c r="I4665" s="270" t="s">
        <v>4244</v>
      </c>
      <c r="J4665" s="270" t="s">
        <v>3928</v>
      </c>
      <c r="K4665" s="270">
        <v>6268</v>
      </c>
      <c r="L4665" s="270">
        <v>881300</v>
      </c>
      <c r="M4665" s="270">
        <v>-60</v>
      </c>
      <c r="N4665" s="270" t="s">
        <v>3944</v>
      </c>
      <c r="O4665" s="270">
        <v>1702.72</v>
      </c>
      <c r="P4665" s="270" t="s">
        <v>3944</v>
      </c>
      <c r="Q4665" s="270" t="s">
        <v>3944</v>
      </c>
      <c r="R4665" s="270">
        <v>1702.72</v>
      </c>
      <c r="S4665" s="270">
        <v>22808.29</v>
      </c>
      <c r="T4665" s="270">
        <v>24511.01</v>
      </c>
      <c r="U4665" s="271" t="s">
        <v>3945</v>
      </c>
      <c r="V4665" s="267" t="s">
        <v>944</v>
      </c>
    </row>
    <row r="4666" spans="1:22" hidden="1" x14ac:dyDescent="0.25">
      <c r="A4666" s="266">
        <v>43696</v>
      </c>
      <c r="B4666" s="267">
        <v>2019</v>
      </c>
      <c r="C4666" s="267">
        <v>2020</v>
      </c>
      <c r="D4666" s="267">
        <v>1</v>
      </c>
      <c r="E4666" s="267">
        <v>1</v>
      </c>
      <c r="F4666" s="267" t="s">
        <v>944</v>
      </c>
      <c r="G4666" s="267" t="s">
        <v>3926</v>
      </c>
      <c r="H4666" s="267" t="s">
        <v>9286</v>
      </c>
      <c r="I4666" s="267" t="s">
        <v>953</v>
      </c>
      <c r="J4666" s="267" t="s">
        <v>3928</v>
      </c>
      <c r="K4666" s="267">
        <v>6518</v>
      </c>
      <c r="L4666" s="267">
        <v>165900</v>
      </c>
      <c r="M4666" s="267" t="s">
        <v>3943</v>
      </c>
      <c r="N4666" s="267" t="s">
        <v>3944</v>
      </c>
      <c r="O4666" s="267">
        <v>2730.39</v>
      </c>
      <c r="P4666" s="267" t="s">
        <v>3944</v>
      </c>
      <c r="Q4666" s="267" t="s">
        <v>3944</v>
      </c>
      <c r="R4666" s="267">
        <v>2730.39</v>
      </c>
      <c r="S4666" s="267">
        <v>33729.300000000003</v>
      </c>
      <c r="T4666" s="267">
        <v>36459.69</v>
      </c>
      <c r="U4666" s="268" t="s">
        <v>3945</v>
      </c>
      <c r="V4666" s="267" t="s">
        <v>944</v>
      </c>
    </row>
    <row r="4667" spans="1:22" hidden="1" x14ac:dyDescent="0.25">
      <c r="A4667" s="269">
        <v>43696</v>
      </c>
      <c r="B4667" s="270">
        <v>2019</v>
      </c>
      <c r="C4667" s="270">
        <v>2020</v>
      </c>
      <c r="D4667" s="270">
        <v>1</v>
      </c>
      <c r="E4667" s="270">
        <v>1</v>
      </c>
      <c r="F4667" s="270" t="s">
        <v>944</v>
      </c>
      <c r="G4667" s="270" t="s">
        <v>3926</v>
      </c>
      <c r="H4667" s="270" t="s">
        <v>9287</v>
      </c>
      <c r="I4667" s="270" t="s">
        <v>943</v>
      </c>
      <c r="J4667" s="270" t="s">
        <v>3928</v>
      </c>
      <c r="K4667" s="270">
        <v>6512</v>
      </c>
      <c r="L4667" s="270">
        <v>142800</v>
      </c>
      <c r="M4667" s="270" t="s">
        <v>3940</v>
      </c>
      <c r="N4667" s="270" t="s">
        <v>3944</v>
      </c>
      <c r="O4667" s="270">
        <v>1568.74</v>
      </c>
      <c r="P4667" s="270" t="s">
        <v>3944</v>
      </c>
      <c r="Q4667" s="270" t="s">
        <v>3944</v>
      </c>
      <c r="R4667" s="270">
        <v>1568.74</v>
      </c>
      <c r="S4667" s="270">
        <v>25178.22</v>
      </c>
      <c r="T4667" s="270">
        <v>26746.959999999999</v>
      </c>
      <c r="U4667" s="271" t="s">
        <v>3945</v>
      </c>
      <c r="V4667" s="267" t="s">
        <v>944</v>
      </c>
    </row>
    <row r="4668" spans="1:22" hidden="1" x14ac:dyDescent="0.25">
      <c r="A4668" s="266">
        <v>43696</v>
      </c>
      <c r="B4668" s="267">
        <v>2019</v>
      </c>
      <c r="C4668" s="267">
        <v>2020</v>
      </c>
      <c r="D4668" s="267">
        <v>1</v>
      </c>
      <c r="E4668" s="267">
        <v>1</v>
      </c>
      <c r="F4668" s="267" t="s">
        <v>944</v>
      </c>
      <c r="G4668" s="267" t="s">
        <v>3926</v>
      </c>
      <c r="H4668" s="267" t="s">
        <v>9288</v>
      </c>
      <c r="I4668" s="267" t="s">
        <v>3012</v>
      </c>
      <c r="J4668" s="267" t="s">
        <v>3928</v>
      </c>
      <c r="K4668" s="267">
        <v>6477</v>
      </c>
      <c r="L4668" s="267">
        <v>157200</v>
      </c>
      <c r="M4668" s="267" t="s">
        <v>3943</v>
      </c>
      <c r="N4668" s="267" t="s">
        <v>3944</v>
      </c>
      <c r="O4668" s="267">
        <v>1997.03</v>
      </c>
      <c r="P4668" s="267" t="s">
        <v>3944</v>
      </c>
      <c r="Q4668" s="267" t="s">
        <v>3944</v>
      </c>
      <c r="R4668" s="267">
        <v>1997.03</v>
      </c>
      <c r="S4668" s="267">
        <v>31851.14</v>
      </c>
      <c r="T4668" s="267">
        <v>33848.17</v>
      </c>
      <c r="U4668" s="268" t="s">
        <v>3945</v>
      </c>
      <c r="V4668" s="267" t="s">
        <v>944</v>
      </c>
    </row>
    <row r="4669" spans="1:22" hidden="1" x14ac:dyDescent="0.25">
      <c r="A4669" s="269">
        <v>43696</v>
      </c>
      <c r="B4669" s="270">
        <v>2019</v>
      </c>
      <c r="C4669" s="270">
        <v>2020</v>
      </c>
      <c r="D4669" s="270">
        <v>1</v>
      </c>
      <c r="E4669" s="270">
        <v>1</v>
      </c>
      <c r="F4669" s="270" t="s">
        <v>944</v>
      </c>
      <c r="G4669" s="270" t="s">
        <v>3926</v>
      </c>
      <c r="H4669" s="270" t="s">
        <v>9289</v>
      </c>
      <c r="I4669" s="270" t="s">
        <v>2985</v>
      </c>
      <c r="J4669" s="270" t="s">
        <v>3928</v>
      </c>
      <c r="K4669" s="270">
        <v>6824</v>
      </c>
      <c r="L4669" s="270">
        <v>60700</v>
      </c>
      <c r="M4669" s="270" t="s">
        <v>3943</v>
      </c>
      <c r="N4669" s="270" t="s">
        <v>3944</v>
      </c>
      <c r="O4669" s="270">
        <v>2092.41</v>
      </c>
      <c r="P4669" s="270" t="s">
        <v>3944</v>
      </c>
      <c r="Q4669" s="270" t="s">
        <v>3944</v>
      </c>
      <c r="R4669" s="270">
        <v>2092.41</v>
      </c>
      <c r="S4669" s="270">
        <v>36038.54</v>
      </c>
      <c r="T4669" s="270">
        <v>38130.949999999997</v>
      </c>
      <c r="U4669" s="271" t="s">
        <v>3945</v>
      </c>
      <c r="V4669" s="267" t="s">
        <v>944</v>
      </c>
    </row>
    <row r="4670" spans="1:22" hidden="1" x14ac:dyDescent="0.25">
      <c r="A4670" s="266">
        <v>43696</v>
      </c>
      <c r="B4670" s="267">
        <v>2019</v>
      </c>
      <c r="C4670" s="267">
        <v>2020</v>
      </c>
      <c r="D4670" s="267">
        <v>1</v>
      </c>
      <c r="E4670" s="267">
        <v>1</v>
      </c>
      <c r="F4670" s="267" t="s">
        <v>944</v>
      </c>
      <c r="G4670" s="267" t="s">
        <v>3926</v>
      </c>
      <c r="H4670" s="267" t="s">
        <v>9290</v>
      </c>
      <c r="I4670" s="267" t="s">
        <v>4108</v>
      </c>
      <c r="J4670" s="267" t="s">
        <v>3928</v>
      </c>
      <c r="K4670" s="267">
        <v>6082</v>
      </c>
      <c r="L4670" s="267">
        <v>480400</v>
      </c>
      <c r="M4670" s="267" t="s">
        <v>3935</v>
      </c>
      <c r="N4670" s="267" t="s">
        <v>3944</v>
      </c>
      <c r="O4670" s="267">
        <v>2633.09</v>
      </c>
      <c r="P4670" s="267" t="s">
        <v>3944</v>
      </c>
      <c r="Q4670" s="267" t="s">
        <v>3944</v>
      </c>
      <c r="R4670" s="267">
        <v>2633.09</v>
      </c>
      <c r="S4670" s="267">
        <v>48162.43</v>
      </c>
      <c r="T4670" s="267">
        <v>50795.519999999997</v>
      </c>
      <c r="U4670" s="268" t="s">
        <v>3945</v>
      </c>
      <c r="V4670" s="267" t="s">
        <v>944</v>
      </c>
    </row>
    <row r="4671" spans="1:22" hidden="1" x14ac:dyDescent="0.25">
      <c r="A4671" s="269">
        <v>43696</v>
      </c>
      <c r="B4671" s="270">
        <v>2019</v>
      </c>
      <c r="C4671" s="270">
        <v>2020</v>
      </c>
      <c r="D4671" s="270">
        <v>1</v>
      </c>
      <c r="E4671" s="270">
        <v>1</v>
      </c>
      <c r="F4671" s="270" t="s">
        <v>944</v>
      </c>
      <c r="G4671" s="270" t="s">
        <v>3926</v>
      </c>
      <c r="H4671" s="270" t="s">
        <v>9291</v>
      </c>
      <c r="I4671" s="270" t="s">
        <v>3939</v>
      </c>
      <c r="J4671" s="270" t="s">
        <v>3928</v>
      </c>
      <c r="K4671" s="270">
        <v>6512</v>
      </c>
      <c r="L4671" s="270">
        <v>180400</v>
      </c>
      <c r="M4671" s="270" t="s">
        <v>3935</v>
      </c>
      <c r="N4671" s="270" t="s">
        <v>3944</v>
      </c>
      <c r="O4671" s="270">
        <v>1924.44</v>
      </c>
      <c r="P4671" s="270" t="s">
        <v>3944</v>
      </c>
      <c r="Q4671" s="270" t="s">
        <v>3944</v>
      </c>
      <c r="R4671" s="270">
        <v>1924.44</v>
      </c>
      <c r="S4671" s="270">
        <v>26932.01</v>
      </c>
      <c r="T4671" s="270">
        <v>28856.45</v>
      </c>
      <c r="U4671" s="271" t="s">
        <v>3945</v>
      </c>
      <c r="V4671" s="267" t="s">
        <v>944</v>
      </c>
    </row>
    <row r="4672" spans="1:22" hidden="1" x14ac:dyDescent="0.25">
      <c r="A4672" s="266">
        <v>43696</v>
      </c>
      <c r="B4672" s="267">
        <v>2019</v>
      </c>
      <c r="C4672" s="267">
        <v>2020</v>
      </c>
      <c r="D4672" s="267">
        <v>1</v>
      </c>
      <c r="E4672" s="267">
        <v>1</v>
      </c>
      <c r="F4672" s="267" t="s">
        <v>944</v>
      </c>
      <c r="G4672" s="267" t="s">
        <v>3926</v>
      </c>
      <c r="H4672" s="267" t="s">
        <v>9292</v>
      </c>
      <c r="I4672" s="267" t="s">
        <v>3949</v>
      </c>
      <c r="J4672" s="267" t="s">
        <v>3928</v>
      </c>
      <c r="K4672" s="267">
        <v>6437</v>
      </c>
      <c r="L4672" s="267">
        <v>190303</v>
      </c>
      <c r="M4672" s="267" t="s">
        <v>3943</v>
      </c>
      <c r="N4672" s="267" t="s">
        <v>3944</v>
      </c>
      <c r="O4672" s="267">
        <v>1264.27</v>
      </c>
      <c r="P4672" s="267" t="s">
        <v>3944</v>
      </c>
      <c r="Q4672" s="267" t="s">
        <v>3944</v>
      </c>
      <c r="R4672" s="267">
        <v>1264.27</v>
      </c>
      <c r="S4672" s="267">
        <v>18165.21</v>
      </c>
      <c r="T4672" s="267">
        <v>19429.48</v>
      </c>
      <c r="U4672" s="268" t="s">
        <v>3945</v>
      </c>
      <c r="V4672" s="267" t="s">
        <v>944</v>
      </c>
    </row>
    <row r="4673" spans="1:22" hidden="1" x14ac:dyDescent="0.25">
      <c r="A4673" s="269">
        <v>43696</v>
      </c>
      <c r="B4673" s="270">
        <v>2019</v>
      </c>
      <c r="C4673" s="270">
        <v>2020</v>
      </c>
      <c r="D4673" s="270">
        <v>1</v>
      </c>
      <c r="E4673" s="270">
        <v>1</v>
      </c>
      <c r="F4673" s="270" t="s">
        <v>944</v>
      </c>
      <c r="G4673" s="270" t="s">
        <v>3926</v>
      </c>
      <c r="H4673" s="270" t="s">
        <v>9293</v>
      </c>
      <c r="I4673" s="270" t="s">
        <v>3011</v>
      </c>
      <c r="J4673" s="270" t="s">
        <v>3928</v>
      </c>
      <c r="K4673" s="270">
        <v>6418</v>
      </c>
      <c r="L4673" s="270">
        <v>120100</v>
      </c>
      <c r="M4673" s="270" t="s">
        <v>3940</v>
      </c>
      <c r="N4673" s="270" t="s">
        <v>3944</v>
      </c>
      <c r="O4673" s="270">
        <v>1767.64</v>
      </c>
      <c r="P4673" s="270" t="s">
        <v>3944</v>
      </c>
      <c r="Q4673" s="270" t="s">
        <v>3944</v>
      </c>
      <c r="R4673" s="270">
        <v>1767.64</v>
      </c>
      <c r="S4673" s="270">
        <v>29979.56</v>
      </c>
      <c r="T4673" s="270">
        <v>31747.200000000001</v>
      </c>
      <c r="U4673" s="271" t="s">
        <v>3945</v>
      </c>
      <c r="V4673" s="267" t="s">
        <v>944</v>
      </c>
    </row>
    <row r="4674" spans="1:22" hidden="1" x14ac:dyDescent="0.25">
      <c r="A4674" s="266">
        <v>43696</v>
      </c>
      <c r="B4674" s="267">
        <v>2019</v>
      </c>
      <c r="C4674" s="267">
        <v>2020</v>
      </c>
      <c r="D4674" s="267">
        <v>1</v>
      </c>
      <c r="E4674" s="267">
        <v>1</v>
      </c>
      <c r="F4674" s="267" t="s">
        <v>944</v>
      </c>
      <c r="G4674" s="267" t="s">
        <v>3926</v>
      </c>
      <c r="H4674" s="267" t="s">
        <v>9294</v>
      </c>
      <c r="I4674" s="267" t="s">
        <v>4392</v>
      </c>
      <c r="J4674" s="267" t="s">
        <v>3928</v>
      </c>
      <c r="K4674" s="267">
        <v>6457</v>
      </c>
      <c r="L4674" s="267">
        <v>680200</v>
      </c>
      <c r="M4674" s="267" t="s">
        <v>3935</v>
      </c>
      <c r="N4674" s="267" t="s">
        <v>3944</v>
      </c>
      <c r="O4674" s="267">
        <v>1972.15</v>
      </c>
      <c r="P4674" s="267" t="s">
        <v>3944</v>
      </c>
      <c r="Q4674" s="267" t="s">
        <v>3944</v>
      </c>
      <c r="R4674" s="267">
        <v>1972.15</v>
      </c>
      <c r="S4674" s="267">
        <v>25112.18</v>
      </c>
      <c r="T4674" s="267">
        <v>27084.33</v>
      </c>
      <c r="U4674" s="268" t="s">
        <v>3945</v>
      </c>
      <c r="V4674" s="267" t="s">
        <v>944</v>
      </c>
    </row>
    <row r="4675" spans="1:22" hidden="1" x14ac:dyDescent="0.25">
      <c r="A4675" s="269">
        <v>43696</v>
      </c>
      <c r="B4675" s="270">
        <v>2019</v>
      </c>
      <c r="C4675" s="270">
        <v>2020</v>
      </c>
      <c r="D4675" s="270">
        <v>1</v>
      </c>
      <c r="E4675" s="270">
        <v>1</v>
      </c>
      <c r="F4675" s="270" t="s">
        <v>944</v>
      </c>
      <c r="G4675" s="270" t="s">
        <v>3926</v>
      </c>
      <c r="H4675" s="270" t="s">
        <v>9295</v>
      </c>
      <c r="I4675" s="270" t="s">
        <v>4019</v>
      </c>
      <c r="J4675" s="270" t="s">
        <v>3928</v>
      </c>
      <c r="K4675" s="270">
        <v>6708</v>
      </c>
      <c r="L4675" s="270">
        <v>351601</v>
      </c>
      <c r="M4675" s="270">
        <v>-60</v>
      </c>
      <c r="N4675" s="270" t="s">
        <v>3944</v>
      </c>
      <c r="O4675" s="270">
        <v>1871.56</v>
      </c>
      <c r="P4675" s="270" t="s">
        <v>3944</v>
      </c>
      <c r="Q4675" s="270" t="s">
        <v>3944</v>
      </c>
      <c r="R4675" s="270">
        <v>1871.56</v>
      </c>
      <c r="S4675" s="270">
        <v>25962.97</v>
      </c>
      <c r="T4675" s="270">
        <v>27834.53</v>
      </c>
      <c r="U4675" s="271" t="s">
        <v>3945</v>
      </c>
      <c r="V4675" s="267" t="s">
        <v>944</v>
      </c>
    </row>
    <row r="4676" spans="1:22" hidden="1" x14ac:dyDescent="0.25">
      <c r="A4676" s="266">
        <v>43696</v>
      </c>
      <c r="B4676" s="267">
        <v>2019</v>
      </c>
      <c r="C4676" s="267">
        <v>2020</v>
      </c>
      <c r="D4676" s="267">
        <v>1</v>
      </c>
      <c r="E4676" s="267">
        <v>1</v>
      </c>
      <c r="F4676" s="267" t="s">
        <v>944</v>
      </c>
      <c r="G4676" s="267" t="s">
        <v>3926</v>
      </c>
      <c r="H4676" s="267" t="s">
        <v>9296</v>
      </c>
      <c r="I4676" s="267" t="s">
        <v>4014</v>
      </c>
      <c r="J4676" s="267" t="s">
        <v>3928</v>
      </c>
      <c r="K4676" s="267">
        <v>6420</v>
      </c>
      <c r="L4676" s="267">
        <v>715100</v>
      </c>
      <c r="M4676" s="267" t="s">
        <v>3943</v>
      </c>
      <c r="N4676" s="267" t="s">
        <v>3944</v>
      </c>
      <c r="O4676" s="267">
        <v>1605.24</v>
      </c>
      <c r="P4676" s="267" t="s">
        <v>3944</v>
      </c>
      <c r="Q4676" s="267" t="s">
        <v>3944</v>
      </c>
      <c r="R4676" s="267">
        <v>1605.24</v>
      </c>
      <c r="S4676" s="267">
        <v>21891.8</v>
      </c>
      <c r="T4676" s="267">
        <v>23497.040000000001</v>
      </c>
      <c r="U4676" s="268" t="s">
        <v>3945</v>
      </c>
      <c r="V4676" s="267" t="s">
        <v>944</v>
      </c>
    </row>
    <row r="4677" spans="1:22" hidden="1" x14ac:dyDescent="0.25">
      <c r="A4677" s="269">
        <v>43696</v>
      </c>
      <c r="B4677" s="270">
        <v>2019</v>
      </c>
      <c r="C4677" s="270">
        <v>2020</v>
      </c>
      <c r="D4677" s="270">
        <v>1</v>
      </c>
      <c r="E4677" s="270">
        <v>1</v>
      </c>
      <c r="F4677" s="270" t="s">
        <v>944</v>
      </c>
      <c r="G4677" s="270" t="s">
        <v>3926</v>
      </c>
      <c r="H4677" s="270" t="s">
        <v>9297</v>
      </c>
      <c r="I4677" s="270" t="s">
        <v>3012</v>
      </c>
      <c r="J4677" s="270" t="s">
        <v>3928</v>
      </c>
      <c r="K4677" s="270">
        <v>6477</v>
      </c>
      <c r="L4677" s="270">
        <v>157300</v>
      </c>
      <c r="M4677" s="270" t="s">
        <v>3943</v>
      </c>
      <c r="N4677" s="270" t="s">
        <v>3944</v>
      </c>
      <c r="O4677" s="270">
        <v>2382.77</v>
      </c>
      <c r="P4677" s="270" t="s">
        <v>3944</v>
      </c>
      <c r="Q4677" s="270" t="s">
        <v>3944</v>
      </c>
      <c r="R4677" s="270">
        <v>2382.77</v>
      </c>
      <c r="S4677" s="270">
        <v>42063.31</v>
      </c>
      <c r="T4677" s="270">
        <v>44446.080000000002</v>
      </c>
      <c r="U4677" s="271" t="s">
        <v>3945</v>
      </c>
      <c r="V4677" s="267" t="s">
        <v>944</v>
      </c>
    </row>
    <row r="4678" spans="1:22" hidden="1" x14ac:dyDescent="0.25">
      <c r="A4678" s="266">
        <v>43696</v>
      </c>
      <c r="B4678" s="267">
        <v>2019</v>
      </c>
      <c r="C4678" s="267">
        <v>2020</v>
      </c>
      <c r="D4678" s="267">
        <v>1</v>
      </c>
      <c r="E4678" s="267">
        <v>1</v>
      </c>
      <c r="F4678" s="267" t="s">
        <v>944</v>
      </c>
      <c r="G4678" s="267" t="s">
        <v>3926</v>
      </c>
      <c r="H4678" s="267" t="s">
        <v>9298</v>
      </c>
      <c r="I4678" s="267" t="s">
        <v>956</v>
      </c>
      <c r="J4678" s="267" t="s">
        <v>3928</v>
      </c>
      <c r="K4678" s="267">
        <v>6614</v>
      </c>
      <c r="L4678" s="267">
        <v>81100</v>
      </c>
      <c r="M4678" s="267" t="s">
        <v>3960</v>
      </c>
      <c r="N4678" s="267" t="s">
        <v>3944</v>
      </c>
      <c r="O4678" s="267">
        <v>1501.33</v>
      </c>
      <c r="P4678" s="267" t="s">
        <v>3944</v>
      </c>
      <c r="Q4678" s="267" t="s">
        <v>3944</v>
      </c>
      <c r="R4678" s="267">
        <v>1501.33</v>
      </c>
      <c r="S4678" s="267">
        <v>24577.34</v>
      </c>
      <c r="T4678" s="267">
        <v>26078.67</v>
      </c>
      <c r="U4678" s="268" t="s">
        <v>3945</v>
      </c>
      <c r="V4678" s="267" t="s">
        <v>944</v>
      </c>
    </row>
    <row r="4679" spans="1:22" hidden="1" x14ac:dyDescent="0.25">
      <c r="A4679" s="269">
        <v>43696</v>
      </c>
      <c r="B4679" s="270">
        <v>2019</v>
      </c>
      <c r="C4679" s="270">
        <v>2020</v>
      </c>
      <c r="D4679" s="270">
        <v>1</v>
      </c>
      <c r="E4679" s="270">
        <v>1</v>
      </c>
      <c r="F4679" s="270" t="s">
        <v>944</v>
      </c>
      <c r="G4679" s="270" t="s">
        <v>3926</v>
      </c>
      <c r="H4679" s="270" t="s">
        <v>9299</v>
      </c>
      <c r="I4679" s="270" t="s">
        <v>4213</v>
      </c>
      <c r="J4679" s="270" t="s">
        <v>3928</v>
      </c>
      <c r="K4679" s="270">
        <v>6051</v>
      </c>
      <c r="L4679" s="270">
        <v>416300</v>
      </c>
      <c r="M4679" s="270">
        <v>-60</v>
      </c>
      <c r="N4679" s="270" t="s">
        <v>3944</v>
      </c>
      <c r="O4679" s="270">
        <v>1304.52</v>
      </c>
      <c r="P4679" s="270" t="s">
        <v>3944</v>
      </c>
      <c r="Q4679" s="270" t="s">
        <v>3944</v>
      </c>
      <c r="R4679" s="270">
        <v>1304.52</v>
      </c>
      <c r="S4679" s="270">
        <v>15627.32</v>
      </c>
      <c r="T4679" s="270">
        <v>16931.84</v>
      </c>
      <c r="U4679" s="271" t="s">
        <v>3945</v>
      </c>
      <c r="V4679" s="267" t="s">
        <v>944</v>
      </c>
    </row>
    <row r="4680" spans="1:22" hidden="1" x14ac:dyDescent="0.25">
      <c r="A4680" s="266">
        <v>43696</v>
      </c>
      <c r="B4680" s="267">
        <v>2019</v>
      </c>
      <c r="C4680" s="267">
        <v>2020</v>
      </c>
      <c r="D4680" s="267">
        <v>1</v>
      </c>
      <c r="E4680" s="267">
        <v>1</v>
      </c>
      <c r="F4680" s="267" t="s">
        <v>944</v>
      </c>
      <c r="G4680" s="267" t="s">
        <v>3926</v>
      </c>
      <c r="H4680" s="267" t="s">
        <v>9300</v>
      </c>
      <c r="I4680" s="267" t="s">
        <v>4213</v>
      </c>
      <c r="J4680" s="267" t="s">
        <v>3928</v>
      </c>
      <c r="K4680" s="267">
        <v>6053</v>
      </c>
      <c r="L4680" s="267">
        <v>416700</v>
      </c>
      <c r="M4680" s="267">
        <v>-60</v>
      </c>
      <c r="N4680" s="267" t="s">
        <v>3944</v>
      </c>
      <c r="O4680" s="267">
        <v>1239</v>
      </c>
      <c r="P4680" s="267" t="s">
        <v>3944</v>
      </c>
      <c r="Q4680" s="267" t="s">
        <v>3944</v>
      </c>
      <c r="R4680" s="267">
        <v>1239</v>
      </c>
      <c r="S4680" s="267">
        <v>18034.11</v>
      </c>
      <c r="T4680" s="267">
        <v>19273.11</v>
      </c>
      <c r="U4680" s="268" t="s">
        <v>3945</v>
      </c>
      <c r="V4680" s="267" t="s">
        <v>944</v>
      </c>
    </row>
    <row r="4681" spans="1:22" hidden="1" x14ac:dyDescent="0.25">
      <c r="A4681" s="269">
        <v>43696</v>
      </c>
      <c r="B4681" s="270">
        <v>2019</v>
      </c>
      <c r="C4681" s="270">
        <v>2020</v>
      </c>
      <c r="D4681" s="270">
        <v>1</v>
      </c>
      <c r="E4681" s="270">
        <v>1</v>
      </c>
      <c r="F4681" s="270" t="s">
        <v>944</v>
      </c>
      <c r="G4681" s="270" t="s">
        <v>3926</v>
      </c>
      <c r="H4681" s="270" t="s">
        <v>9301</v>
      </c>
      <c r="I4681" s="270" t="s">
        <v>3025</v>
      </c>
      <c r="J4681" s="270" t="s">
        <v>3928</v>
      </c>
      <c r="K4681" s="270">
        <v>6473</v>
      </c>
      <c r="L4681" s="270">
        <v>167202</v>
      </c>
      <c r="M4681" s="270" t="s">
        <v>3935</v>
      </c>
      <c r="N4681" s="270" t="s">
        <v>3944</v>
      </c>
      <c r="O4681" s="270">
        <v>1778.63</v>
      </c>
      <c r="P4681" s="270" t="s">
        <v>3944</v>
      </c>
      <c r="Q4681" s="270" t="s">
        <v>3944</v>
      </c>
      <c r="R4681" s="270">
        <v>1778.63</v>
      </c>
      <c r="S4681" s="270">
        <v>20444.41</v>
      </c>
      <c r="T4681" s="270">
        <v>22223.040000000001</v>
      </c>
      <c r="U4681" s="271" t="s">
        <v>3945</v>
      </c>
      <c r="V4681" s="267" t="s">
        <v>944</v>
      </c>
    </row>
    <row r="4682" spans="1:22" hidden="1" x14ac:dyDescent="0.25">
      <c r="A4682" s="266">
        <v>43696</v>
      </c>
      <c r="B4682" s="267">
        <v>2019</v>
      </c>
      <c r="C4682" s="267">
        <v>2020</v>
      </c>
      <c r="D4682" s="267">
        <v>1</v>
      </c>
      <c r="E4682" s="267">
        <v>1</v>
      </c>
      <c r="F4682" s="267" t="s">
        <v>944</v>
      </c>
      <c r="G4682" s="267" t="s">
        <v>3926</v>
      </c>
      <c r="H4682" s="267" t="s">
        <v>9302</v>
      </c>
      <c r="I4682" s="267" t="s">
        <v>4947</v>
      </c>
      <c r="J4682" s="267" t="s">
        <v>3928</v>
      </c>
      <c r="K4682" s="267">
        <v>6787</v>
      </c>
      <c r="L4682" s="267">
        <v>349100</v>
      </c>
      <c r="M4682" s="267" t="s">
        <v>3935</v>
      </c>
      <c r="N4682" s="267" t="s">
        <v>3944</v>
      </c>
      <c r="O4682" s="267">
        <v>1701.88</v>
      </c>
      <c r="P4682" s="267" t="s">
        <v>3944</v>
      </c>
      <c r="Q4682" s="267" t="s">
        <v>3944</v>
      </c>
      <c r="R4682" s="267">
        <v>1701.88</v>
      </c>
      <c r="S4682" s="267">
        <v>22474.41</v>
      </c>
      <c r="T4682" s="267">
        <v>24176.29</v>
      </c>
      <c r="U4682" s="268" t="s">
        <v>3945</v>
      </c>
      <c r="V4682" s="267" t="s">
        <v>944</v>
      </c>
    </row>
    <row r="4683" spans="1:22" hidden="1" x14ac:dyDescent="0.25">
      <c r="A4683" s="269">
        <v>43696</v>
      </c>
      <c r="B4683" s="270">
        <v>2019</v>
      </c>
      <c r="C4683" s="270">
        <v>2020</v>
      </c>
      <c r="D4683" s="270">
        <v>1</v>
      </c>
      <c r="E4683" s="270">
        <v>1</v>
      </c>
      <c r="F4683" s="270" t="s">
        <v>944</v>
      </c>
      <c r="G4683" s="270" t="s">
        <v>3926</v>
      </c>
      <c r="H4683" s="270" t="s">
        <v>9303</v>
      </c>
      <c r="I4683" s="270" t="s">
        <v>3008</v>
      </c>
      <c r="J4683" s="270" t="s">
        <v>3928</v>
      </c>
      <c r="K4683" s="270">
        <v>6460</v>
      </c>
      <c r="L4683" s="270">
        <v>150900</v>
      </c>
      <c r="M4683" s="270" t="s">
        <v>3943</v>
      </c>
      <c r="N4683" s="270" t="s">
        <v>3944</v>
      </c>
      <c r="O4683" s="270">
        <v>1582.21</v>
      </c>
      <c r="P4683" s="270" t="s">
        <v>3944</v>
      </c>
      <c r="Q4683" s="270" t="s">
        <v>3944</v>
      </c>
      <c r="R4683" s="270">
        <v>1582.21</v>
      </c>
      <c r="S4683" s="270">
        <v>25426.53</v>
      </c>
      <c r="T4683" s="270">
        <v>27008.74</v>
      </c>
      <c r="U4683" s="271" t="s">
        <v>3945</v>
      </c>
      <c r="V4683" s="267" t="s">
        <v>944</v>
      </c>
    </row>
    <row r="4684" spans="1:22" hidden="1" x14ac:dyDescent="0.25">
      <c r="A4684" s="266">
        <v>43696</v>
      </c>
      <c r="B4684" s="267">
        <v>2019</v>
      </c>
      <c r="C4684" s="267">
        <v>2020</v>
      </c>
      <c r="D4684" s="267">
        <v>1</v>
      </c>
      <c r="E4684" s="267">
        <v>1</v>
      </c>
      <c r="F4684" s="267" t="s">
        <v>944</v>
      </c>
      <c r="G4684" s="267" t="s">
        <v>3926</v>
      </c>
      <c r="H4684" s="267" t="s">
        <v>9304</v>
      </c>
      <c r="I4684" s="267" t="s">
        <v>4019</v>
      </c>
      <c r="J4684" s="267" t="s">
        <v>3928</v>
      </c>
      <c r="K4684" s="267">
        <v>6704</v>
      </c>
      <c r="L4684" s="267">
        <v>351000</v>
      </c>
      <c r="M4684" s="267" t="s">
        <v>3940</v>
      </c>
      <c r="N4684" s="267" t="s">
        <v>3944</v>
      </c>
      <c r="O4684" s="267">
        <v>3017</v>
      </c>
      <c r="P4684" s="267" t="s">
        <v>3944</v>
      </c>
      <c r="Q4684" s="267" t="s">
        <v>3944</v>
      </c>
      <c r="R4684" s="267">
        <v>3017</v>
      </c>
      <c r="S4684" s="267">
        <v>40287.699999999997</v>
      </c>
      <c r="T4684" s="267">
        <v>43304.7</v>
      </c>
      <c r="U4684" s="268" t="s">
        <v>3945</v>
      </c>
      <c r="V4684" s="267" t="s">
        <v>944</v>
      </c>
    </row>
    <row r="4685" spans="1:22" hidden="1" x14ac:dyDescent="0.25">
      <c r="A4685" s="269">
        <v>43696</v>
      </c>
      <c r="B4685" s="270">
        <v>2019</v>
      </c>
      <c r="C4685" s="270">
        <v>2020</v>
      </c>
      <c r="D4685" s="270">
        <v>1</v>
      </c>
      <c r="E4685" s="270">
        <v>1</v>
      </c>
      <c r="F4685" s="270" t="s">
        <v>944</v>
      </c>
      <c r="G4685" s="270" t="s">
        <v>3926</v>
      </c>
      <c r="H4685" s="270" t="s">
        <v>9305</v>
      </c>
      <c r="I4685" s="270" t="s">
        <v>5147</v>
      </c>
      <c r="J4685" s="270" t="s">
        <v>3928</v>
      </c>
      <c r="K4685" s="270">
        <v>6468</v>
      </c>
      <c r="L4685" s="270">
        <v>100300</v>
      </c>
      <c r="M4685" s="270" t="s">
        <v>3943</v>
      </c>
      <c r="N4685" s="270" t="s">
        <v>3944</v>
      </c>
      <c r="O4685" s="270">
        <v>3481.14</v>
      </c>
      <c r="P4685" s="270" t="s">
        <v>3944</v>
      </c>
      <c r="Q4685" s="270" t="s">
        <v>3944</v>
      </c>
      <c r="R4685" s="270">
        <v>3481.14</v>
      </c>
      <c r="S4685" s="270">
        <v>58955.02</v>
      </c>
      <c r="T4685" s="270">
        <v>62436.160000000003</v>
      </c>
      <c r="U4685" s="271" t="s">
        <v>3945</v>
      </c>
      <c r="V4685" s="267" t="s">
        <v>944</v>
      </c>
    </row>
    <row r="4686" spans="1:22" hidden="1" x14ac:dyDescent="0.25">
      <c r="A4686" s="266">
        <v>43696</v>
      </c>
      <c r="B4686" s="267">
        <v>2019</v>
      </c>
      <c r="C4686" s="267">
        <v>2020</v>
      </c>
      <c r="D4686" s="267">
        <v>1</v>
      </c>
      <c r="E4686" s="267">
        <v>1</v>
      </c>
      <c r="F4686" s="267" t="s">
        <v>944</v>
      </c>
      <c r="G4686" s="267" t="s">
        <v>3926</v>
      </c>
      <c r="H4686" s="267" t="s">
        <v>9306</v>
      </c>
      <c r="I4686" s="267" t="s">
        <v>4232</v>
      </c>
      <c r="J4686" s="267" t="s">
        <v>3928</v>
      </c>
      <c r="K4686" s="267">
        <v>6483</v>
      </c>
      <c r="L4686" s="267">
        <v>130200</v>
      </c>
      <c r="M4686" s="267" t="s">
        <v>3935</v>
      </c>
      <c r="N4686" s="267" t="s">
        <v>3944</v>
      </c>
      <c r="O4686" s="267">
        <v>2027.1</v>
      </c>
      <c r="P4686" s="267" t="s">
        <v>3944</v>
      </c>
      <c r="Q4686" s="267" t="s">
        <v>3944</v>
      </c>
      <c r="R4686" s="267">
        <v>2027.1</v>
      </c>
      <c r="S4686" s="267">
        <v>29720.1</v>
      </c>
      <c r="T4686" s="267">
        <v>31747.200000000001</v>
      </c>
      <c r="U4686" s="268" t="s">
        <v>3945</v>
      </c>
      <c r="V4686" s="267" t="s">
        <v>944</v>
      </c>
    </row>
    <row r="4687" spans="1:22" hidden="1" x14ac:dyDescent="0.25">
      <c r="A4687" s="269">
        <v>43697</v>
      </c>
      <c r="B4687" s="270">
        <v>2019</v>
      </c>
      <c r="C4687" s="270">
        <v>2020</v>
      </c>
      <c r="D4687" s="270">
        <v>1</v>
      </c>
      <c r="E4687" s="270">
        <v>1</v>
      </c>
      <c r="F4687" s="270" t="s">
        <v>944</v>
      </c>
      <c r="G4687" s="270" t="s">
        <v>3926</v>
      </c>
      <c r="H4687" s="270" t="s">
        <v>9307</v>
      </c>
      <c r="I4687" s="270" t="s">
        <v>3025</v>
      </c>
      <c r="J4687" s="270" t="s">
        <v>3928</v>
      </c>
      <c r="K4687" s="270">
        <v>6473</v>
      </c>
      <c r="L4687" s="270">
        <v>167202</v>
      </c>
      <c r="M4687" s="270" t="s">
        <v>3935</v>
      </c>
      <c r="N4687" s="270" t="s">
        <v>9308</v>
      </c>
      <c r="O4687" s="270">
        <v>0</v>
      </c>
      <c r="P4687" s="270" t="s">
        <v>3930</v>
      </c>
      <c r="Q4687" s="270" t="s">
        <v>3930</v>
      </c>
      <c r="R4687" s="270">
        <v>0</v>
      </c>
      <c r="S4687" s="270">
        <v>6659.3</v>
      </c>
      <c r="T4687" s="270">
        <v>6659.3</v>
      </c>
      <c r="U4687" s="271" t="s">
        <v>3937</v>
      </c>
      <c r="V4687" s="267" t="s">
        <v>944</v>
      </c>
    </row>
    <row r="4688" spans="1:22" hidden="1" x14ac:dyDescent="0.25">
      <c r="A4688" s="266">
        <v>43697</v>
      </c>
      <c r="B4688" s="267">
        <v>2019</v>
      </c>
      <c r="C4688" s="267">
        <v>2020</v>
      </c>
      <c r="D4688" s="267">
        <v>1</v>
      </c>
      <c r="E4688" s="267">
        <v>1</v>
      </c>
      <c r="F4688" s="267" t="s">
        <v>944</v>
      </c>
      <c r="G4688" s="267" t="s">
        <v>3926</v>
      </c>
      <c r="H4688" s="267" t="s">
        <v>9309</v>
      </c>
      <c r="I4688" s="267" t="s">
        <v>934</v>
      </c>
      <c r="J4688" s="267" t="s">
        <v>3928</v>
      </c>
      <c r="K4688" s="267">
        <v>6606</v>
      </c>
      <c r="L4688" s="267">
        <v>72600</v>
      </c>
      <c r="M4688" s="267" t="s">
        <v>3940</v>
      </c>
      <c r="N4688" s="267" t="s">
        <v>8532</v>
      </c>
      <c r="O4688" s="267">
        <v>0</v>
      </c>
      <c r="P4688" s="267" t="s">
        <v>3930</v>
      </c>
      <c r="Q4688" s="267" t="s">
        <v>3930</v>
      </c>
      <c r="R4688" s="267">
        <v>0</v>
      </c>
      <c r="S4688" s="267">
        <v>19000</v>
      </c>
      <c r="T4688" s="267">
        <v>19000</v>
      </c>
      <c r="U4688" s="268" t="s">
        <v>3937</v>
      </c>
      <c r="V4688" s="267" t="s">
        <v>944</v>
      </c>
    </row>
    <row r="4689" spans="1:22" hidden="1" x14ac:dyDescent="0.25">
      <c r="A4689" s="269">
        <v>43697</v>
      </c>
      <c r="B4689" s="270">
        <v>2019</v>
      </c>
      <c r="C4689" s="270">
        <v>2020</v>
      </c>
      <c r="D4689" s="270">
        <v>1</v>
      </c>
      <c r="E4689" s="270">
        <v>1</v>
      </c>
      <c r="F4689" s="270" t="s">
        <v>944</v>
      </c>
      <c r="G4689" s="270" t="s">
        <v>3926</v>
      </c>
      <c r="H4689" s="270" t="s">
        <v>9310</v>
      </c>
      <c r="I4689" s="270" t="s">
        <v>4042</v>
      </c>
      <c r="J4689" s="270" t="s">
        <v>3928</v>
      </c>
      <c r="K4689" s="270">
        <v>6382</v>
      </c>
      <c r="L4689" s="270">
        <v>870501</v>
      </c>
      <c r="M4689" s="270" t="s">
        <v>3935</v>
      </c>
      <c r="N4689" s="270" t="s">
        <v>4701</v>
      </c>
      <c r="O4689" s="270">
        <v>2312.0700000000002</v>
      </c>
      <c r="P4689" s="270" t="s">
        <v>3930</v>
      </c>
      <c r="Q4689" s="270" t="s">
        <v>3931</v>
      </c>
      <c r="R4689" s="270">
        <v>7312.07</v>
      </c>
      <c r="S4689" s="270">
        <v>34648</v>
      </c>
      <c r="T4689" s="270">
        <v>41960.07</v>
      </c>
      <c r="U4689" s="271" t="s">
        <v>3932</v>
      </c>
      <c r="V4689" s="267" t="s">
        <v>944</v>
      </c>
    </row>
    <row r="4690" spans="1:22" hidden="1" x14ac:dyDescent="0.25">
      <c r="A4690" s="266">
        <v>43697</v>
      </c>
      <c r="B4690" s="267">
        <v>2019</v>
      </c>
      <c r="C4690" s="267">
        <v>2020</v>
      </c>
      <c r="D4690" s="267">
        <v>1</v>
      </c>
      <c r="E4690" s="267">
        <v>1</v>
      </c>
      <c r="F4690" s="267" t="s">
        <v>944</v>
      </c>
      <c r="G4690" s="267" t="s">
        <v>3926</v>
      </c>
      <c r="H4690" s="267" t="s">
        <v>9311</v>
      </c>
      <c r="I4690" s="267" t="s">
        <v>3966</v>
      </c>
      <c r="J4690" s="267" t="s">
        <v>3928</v>
      </c>
      <c r="K4690" s="267">
        <v>6010</v>
      </c>
      <c r="L4690" s="267">
        <v>406002</v>
      </c>
      <c r="M4690" s="267" t="s">
        <v>3935</v>
      </c>
      <c r="N4690" s="267" t="s">
        <v>4103</v>
      </c>
      <c r="O4690" s="267">
        <v>3950.19</v>
      </c>
      <c r="P4690" s="267" t="s">
        <v>3930</v>
      </c>
      <c r="Q4690" s="267" t="s">
        <v>3931</v>
      </c>
      <c r="R4690" s="267">
        <v>8950.19</v>
      </c>
      <c r="S4690" s="267">
        <v>24145.599999999999</v>
      </c>
      <c r="T4690" s="267">
        <v>33095.79</v>
      </c>
      <c r="U4690" s="268" t="s">
        <v>3932</v>
      </c>
      <c r="V4690" s="267" t="s">
        <v>944</v>
      </c>
    </row>
    <row r="4691" spans="1:22" hidden="1" x14ac:dyDescent="0.25">
      <c r="A4691" s="269">
        <v>43697</v>
      </c>
      <c r="B4691" s="270">
        <v>2019</v>
      </c>
      <c r="C4691" s="270">
        <v>2020</v>
      </c>
      <c r="D4691" s="270">
        <v>1</v>
      </c>
      <c r="E4691" s="270">
        <v>1</v>
      </c>
      <c r="F4691" s="270" t="s">
        <v>944</v>
      </c>
      <c r="G4691" s="270" t="s">
        <v>3926</v>
      </c>
      <c r="H4691" s="270" t="s">
        <v>9312</v>
      </c>
      <c r="I4691" s="270" t="s">
        <v>3026</v>
      </c>
      <c r="J4691" s="270" t="s">
        <v>3928</v>
      </c>
      <c r="K4691" s="270">
        <v>6471</v>
      </c>
      <c r="L4691" s="270">
        <v>186100</v>
      </c>
      <c r="M4691" s="270" t="s">
        <v>3935</v>
      </c>
      <c r="N4691" s="270" t="s">
        <v>3944</v>
      </c>
      <c r="O4691" s="270">
        <v>5285</v>
      </c>
      <c r="P4691" s="270" t="s">
        <v>3944</v>
      </c>
      <c r="Q4691" s="270" t="s">
        <v>3944</v>
      </c>
      <c r="R4691" s="270">
        <v>5285</v>
      </c>
      <c r="S4691" s="270">
        <v>40513</v>
      </c>
      <c r="T4691" s="270">
        <v>45798</v>
      </c>
      <c r="U4691" s="271" t="s">
        <v>3945</v>
      </c>
      <c r="V4691" s="267" t="s">
        <v>944</v>
      </c>
    </row>
    <row r="4692" spans="1:22" hidden="1" x14ac:dyDescent="0.25">
      <c r="A4692" s="266">
        <v>43697</v>
      </c>
      <c r="B4692" s="267">
        <v>2019</v>
      </c>
      <c r="C4692" s="267">
        <v>2020</v>
      </c>
      <c r="D4692" s="267">
        <v>1</v>
      </c>
      <c r="E4692" s="267">
        <v>1</v>
      </c>
      <c r="F4692" s="267" t="s">
        <v>944</v>
      </c>
      <c r="G4692" s="267" t="s">
        <v>3926</v>
      </c>
      <c r="H4692" s="267" t="s">
        <v>9313</v>
      </c>
      <c r="I4692" s="267" t="s">
        <v>4042</v>
      </c>
      <c r="J4692" s="267" t="s">
        <v>3928</v>
      </c>
      <c r="K4692" s="267">
        <v>6382</v>
      </c>
      <c r="L4692" s="267">
        <v>870502</v>
      </c>
      <c r="M4692" s="267" t="s">
        <v>3940</v>
      </c>
      <c r="N4692" s="267" t="s">
        <v>3944</v>
      </c>
      <c r="O4692" s="267">
        <v>2019.22</v>
      </c>
      <c r="P4692" s="267" t="s">
        <v>3944</v>
      </c>
      <c r="Q4692" s="267" t="s">
        <v>3944</v>
      </c>
      <c r="R4692" s="267">
        <v>2019.22</v>
      </c>
      <c r="S4692" s="267">
        <v>17759.78</v>
      </c>
      <c r="T4692" s="267">
        <v>19779</v>
      </c>
      <c r="U4692" s="268" t="s">
        <v>3945</v>
      </c>
      <c r="V4692" s="267" t="s">
        <v>944</v>
      </c>
    </row>
    <row r="4693" spans="1:22" hidden="1" x14ac:dyDescent="0.25">
      <c r="A4693" s="269">
        <v>43697</v>
      </c>
      <c r="B4693" s="270">
        <v>2019</v>
      </c>
      <c r="C4693" s="270">
        <v>2020</v>
      </c>
      <c r="D4693" s="270">
        <v>1</v>
      </c>
      <c r="E4693" s="270">
        <v>1</v>
      </c>
      <c r="F4693" s="270" t="s">
        <v>944</v>
      </c>
      <c r="G4693" s="270" t="s">
        <v>3926</v>
      </c>
      <c r="H4693" s="270" t="s">
        <v>9314</v>
      </c>
      <c r="I4693" s="270" t="s">
        <v>4353</v>
      </c>
      <c r="J4693" s="270" t="s">
        <v>3928</v>
      </c>
      <c r="K4693" s="270">
        <v>6416</v>
      </c>
      <c r="L4693" s="270">
        <v>570100</v>
      </c>
      <c r="M4693" s="270" t="s">
        <v>3960</v>
      </c>
      <c r="N4693" s="270" t="s">
        <v>3944</v>
      </c>
      <c r="O4693" s="270">
        <v>2195.48</v>
      </c>
      <c r="P4693" s="270" t="s">
        <v>3944</v>
      </c>
      <c r="Q4693" s="270" t="s">
        <v>3944</v>
      </c>
      <c r="R4693" s="270">
        <v>2195.48</v>
      </c>
      <c r="S4693" s="270">
        <v>20592.52</v>
      </c>
      <c r="T4693" s="270">
        <v>22788</v>
      </c>
      <c r="U4693" s="271" t="s">
        <v>3945</v>
      </c>
      <c r="V4693" s="267" t="s">
        <v>944</v>
      </c>
    </row>
    <row r="4694" spans="1:22" hidden="1" x14ac:dyDescent="0.25">
      <c r="A4694" s="266">
        <v>43697</v>
      </c>
      <c r="B4694" s="267">
        <v>2019</v>
      </c>
      <c r="C4694" s="267">
        <v>2020</v>
      </c>
      <c r="D4694" s="267">
        <v>1</v>
      </c>
      <c r="E4694" s="267">
        <v>1</v>
      </c>
      <c r="F4694" s="267" t="s">
        <v>944</v>
      </c>
      <c r="G4694" s="267" t="s">
        <v>3926</v>
      </c>
      <c r="H4694" s="267" t="s">
        <v>9315</v>
      </c>
      <c r="I4694" s="267" t="s">
        <v>3026</v>
      </c>
      <c r="J4694" s="267" t="s">
        <v>3928</v>
      </c>
      <c r="K4694" s="267">
        <v>6471</v>
      </c>
      <c r="L4694" s="267">
        <v>186100</v>
      </c>
      <c r="M4694" s="267" t="s">
        <v>3935</v>
      </c>
      <c r="N4694" s="267" t="s">
        <v>3944</v>
      </c>
      <c r="O4694" s="267">
        <v>851.76</v>
      </c>
      <c r="P4694" s="267" t="s">
        <v>3944</v>
      </c>
      <c r="Q4694" s="267" t="s">
        <v>3944</v>
      </c>
      <c r="R4694" s="267">
        <v>851.76</v>
      </c>
      <c r="S4694" s="267">
        <v>9821.24</v>
      </c>
      <c r="T4694" s="267">
        <v>10673</v>
      </c>
      <c r="U4694" s="268" t="s">
        <v>3945</v>
      </c>
      <c r="V4694" s="267" t="s">
        <v>944</v>
      </c>
    </row>
    <row r="4695" spans="1:22" hidden="1" x14ac:dyDescent="0.25">
      <c r="A4695" s="269">
        <v>43697</v>
      </c>
      <c r="B4695" s="270">
        <v>2019</v>
      </c>
      <c r="C4695" s="270">
        <v>2020</v>
      </c>
      <c r="D4695" s="270">
        <v>1</v>
      </c>
      <c r="E4695" s="270">
        <v>1</v>
      </c>
      <c r="F4695" s="270" t="s">
        <v>944</v>
      </c>
      <c r="G4695" s="270" t="s">
        <v>3926</v>
      </c>
      <c r="H4695" s="270" t="s">
        <v>9316</v>
      </c>
      <c r="I4695" s="270" t="s">
        <v>4306</v>
      </c>
      <c r="J4695" s="270" t="s">
        <v>3928</v>
      </c>
      <c r="K4695" s="270">
        <v>6716</v>
      </c>
      <c r="L4695" s="270">
        <v>361200</v>
      </c>
      <c r="M4695" s="270" t="s">
        <v>3960</v>
      </c>
      <c r="N4695" s="270" t="s">
        <v>3944</v>
      </c>
      <c r="O4695" s="270">
        <v>4258.45</v>
      </c>
      <c r="P4695" s="270" t="s">
        <v>3944</v>
      </c>
      <c r="Q4695" s="270" t="s">
        <v>3944</v>
      </c>
      <c r="R4695" s="270">
        <v>4258.45</v>
      </c>
      <c r="S4695" s="270">
        <v>51665.83</v>
      </c>
      <c r="T4695" s="270">
        <v>55924.28</v>
      </c>
      <c r="U4695" s="271" t="s">
        <v>3945</v>
      </c>
      <c r="V4695" s="267" t="s">
        <v>944</v>
      </c>
    </row>
    <row r="4696" spans="1:22" hidden="1" x14ac:dyDescent="0.25">
      <c r="A4696" s="266">
        <v>43697</v>
      </c>
      <c r="B4696" s="267">
        <v>2019</v>
      </c>
      <c r="C4696" s="267">
        <v>2020</v>
      </c>
      <c r="D4696" s="267">
        <v>1</v>
      </c>
      <c r="E4696" s="267">
        <v>1</v>
      </c>
      <c r="F4696" s="267" t="s">
        <v>944</v>
      </c>
      <c r="G4696" s="267" t="s">
        <v>3926</v>
      </c>
      <c r="H4696" s="267" t="s">
        <v>9317</v>
      </c>
      <c r="I4696" s="267" t="s">
        <v>3949</v>
      </c>
      <c r="J4696" s="267" t="s">
        <v>3928</v>
      </c>
      <c r="K4696" s="267">
        <v>6437</v>
      </c>
      <c r="L4696" s="267">
        <v>190303</v>
      </c>
      <c r="M4696" s="267" t="s">
        <v>3943</v>
      </c>
      <c r="N4696" s="267" t="s">
        <v>3944</v>
      </c>
      <c r="O4696" s="267">
        <v>2603.86</v>
      </c>
      <c r="P4696" s="267" t="s">
        <v>3944</v>
      </c>
      <c r="Q4696" s="267" t="s">
        <v>3944</v>
      </c>
      <c r="R4696" s="267">
        <v>2603.86</v>
      </c>
      <c r="S4696" s="267">
        <v>20620.14</v>
      </c>
      <c r="T4696" s="267">
        <v>23224</v>
      </c>
      <c r="U4696" s="268" t="s">
        <v>3945</v>
      </c>
      <c r="V4696" s="267" t="s">
        <v>944</v>
      </c>
    </row>
    <row r="4697" spans="1:22" hidden="1" x14ac:dyDescent="0.25">
      <c r="A4697" s="269">
        <v>43697</v>
      </c>
      <c r="B4697" s="270">
        <v>2019</v>
      </c>
      <c r="C4697" s="270">
        <v>2020</v>
      </c>
      <c r="D4697" s="270">
        <v>1</v>
      </c>
      <c r="E4697" s="270">
        <v>1</v>
      </c>
      <c r="F4697" s="270" t="s">
        <v>944</v>
      </c>
      <c r="G4697" s="270" t="s">
        <v>3926</v>
      </c>
      <c r="H4697" s="270" t="s">
        <v>9318</v>
      </c>
      <c r="I4697" s="270" t="s">
        <v>2987</v>
      </c>
      <c r="J4697" s="270" t="s">
        <v>3928</v>
      </c>
      <c r="K4697" s="270">
        <v>6611</v>
      </c>
      <c r="L4697" s="270">
        <v>90300</v>
      </c>
      <c r="M4697" s="270" t="s">
        <v>3943</v>
      </c>
      <c r="N4697" s="270" t="s">
        <v>3944</v>
      </c>
      <c r="O4697" s="270">
        <v>1802.08</v>
      </c>
      <c r="P4697" s="270" t="s">
        <v>3944</v>
      </c>
      <c r="Q4697" s="270" t="s">
        <v>3944</v>
      </c>
      <c r="R4697" s="270">
        <v>1802.08</v>
      </c>
      <c r="S4697" s="270">
        <v>12464.92</v>
      </c>
      <c r="T4697" s="270">
        <v>14267</v>
      </c>
      <c r="U4697" s="271" t="s">
        <v>3945</v>
      </c>
      <c r="V4697" s="267" t="s">
        <v>944</v>
      </c>
    </row>
    <row r="4698" spans="1:22" hidden="1" x14ac:dyDescent="0.25">
      <c r="A4698" s="266">
        <v>43697</v>
      </c>
      <c r="B4698" s="267">
        <v>2019</v>
      </c>
      <c r="C4698" s="267">
        <v>2020</v>
      </c>
      <c r="D4698" s="267">
        <v>1</v>
      </c>
      <c r="E4698" s="267">
        <v>1</v>
      </c>
      <c r="F4698" s="267" t="s">
        <v>944</v>
      </c>
      <c r="G4698" s="267" t="s">
        <v>3926</v>
      </c>
      <c r="H4698" s="267" t="s">
        <v>9319</v>
      </c>
      <c r="I4698" s="267" t="s">
        <v>3025</v>
      </c>
      <c r="J4698" s="267" t="s">
        <v>3928</v>
      </c>
      <c r="K4698" s="267">
        <v>6473</v>
      </c>
      <c r="L4698" s="267">
        <v>167300</v>
      </c>
      <c r="M4698" s="267" t="s">
        <v>3943</v>
      </c>
      <c r="N4698" s="267" t="s">
        <v>3944</v>
      </c>
      <c r="O4698" s="267">
        <v>1882.76</v>
      </c>
      <c r="P4698" s="267" t="s">
        <v>3944</v>
      </c>
      <c r="Q4698" s="267" t="s">
        <v>3944</v>
      </c>
      <c r="R4698" s="267">
        <v>1882.76</v>
      </c>
      <c r="S4698" s="267">
        <v>16904.240000000002</v>
      </c>
      <c r="T4698" s="267">
        <v>18787</v>
      </c>
      <c r="U4698" s="268" t="s">
        <v>3945</v>
      </c>
      <c r="V4698" s="267" t="s">
        <v>944</v>
      </c>
    </row>
    <row r="4699" spans="1:22" hidden="1" x14ac:dyDescent="0.25">
      <c r="A4699" s="269">
        <v>43697</v>
      </c>
      <c r="B4699" s="270">
        <v>2019</v>
      </c>
      <c r="C4699" s="270">
        <v>2020</v>
      </c>
      <c r="D4699" s="270">
        <v>1</v>
      </c>
      <c r="E4699" s="270">
        <v>1</v>
      </c>
      <c r="F4699" s="270" t="s">
        <v>944</v>
      </c>
      <c r="G4699" s="270" t="s">
        <v>3926</v>
      </c>
      <c r="H4699" s="270" t="s">
        <v>9320</v>
      </c>
      <c r="I4699" s="270" t="s">
        <v>3975</v>
      </c>
      <c r="J4699" s="270" t="s">
        <v>3928</v>
      </c>
      <c r="K4699" s="270">
        <v>6479</v>
      </c>
      <c r="L4699" s="270">
        <v>430400</v>
      </c>
      <c r="M4699" s="270" t="s">
        <v>3960</v>
      </c>
      <c r="N4699" s="270" t="s">
        <v>3944</v>
      </c>
      <c r="O4699" s="270">
        <v>1770.76</v>
      </c>
      <c r="P4699" s="270" t="s">
        <v>3944</v>
      </c>
      <c r="Q4699" s="270" t="s">
        <v>3944</v>
      </c>
      <c r="R4699" s="270">
        <v>1770.76</v>
      </c>
      <c r="S4699" s="270">
        <v>22184.09</v>
      </c>
      <c r="T4699" s="270">
        <v>23954.85</v>
      </c>
      <c r="U4699" s="271" t="s">
        <v>3945</v>
      </c>
      <c r="V4699" s="267" t="s">
        <v>944</v>
      </c>
    </row>
    <row r="4700" spans="1:22" hidden="1" x14ac:dyDescent="0.25">
      <c r="A4700" s="266">
        <v>43697</v>
      </c>
      <c r="B4700" s="267">
        <v>2019</v>
      </c>
      <c r="C4700" s="267">
        <v>2020</v>
      </c>
      <c r="D4700" s="267">
        <v>1</v>
      </c>
      <c r="E4700" s="267">
        <v>1</v>
      </c>
      <c r="F4700" s="267" t="s">
        <v>944</v>
      </c>
      <c r="G4700" s="267" t="s">
        <v>3926</v>
      </c>
      <c r="H4700" s="267" t="s">
        <v>9321</v>
      </c>
      <c r="I4700" s="267" t="s">
        <v>4323</v>
      </c>
      <c r="J4700" s="267" t="s">
        <v>3928</v>
      </c>
      <c r="K4700" s="267">
        <v>6375</v>
      </c>
      <c r="L4700" s="267">
        <v>693600</v>
      </c>
      <c r="M4700" s="267" t="s">
        <v>3960</v>
      </c>
      <c r="N4700" s="267" t="s">
        <v>3944</v>
      </c>
      <c r="O4700" s="267">
        <v>1430.21</v>
      </c>
      <c r="P4700" s="267" t="s">
        <v>3944</v>
      </c>
      <c r="Q4700" s="267" t="s">
        <v>3944</v>
      </c>
      <c r="R4700" s="267">
        <v>1430.21</v>
      </c>
      <c r="S4700" s="267">
        <v>19949.16</v>
      </c>
      <c r="T4700" s="267">
        <v>21379.37</v>
      </c>
      <c r="U4700" s="268" t="s">
        <v>3945</v>
      </c>
      <c r="V4700" s="267" t="s">
        <v>944</v>
      </c>
    </row>
    <row r="4701" spans="1:22" hidden="1" x14ac:dyDescent="0.25">
      <c r="A4701" s="269">
        <v>43697</v>
      </c>
      <c r="B4701" s="270">
        <v>2019</v>
      </c>
      <c r="C4701" s="270">
        <v>2020</v>
      </c>
      <c r="D4701" s="270">
        <v>1</v>
      </c>
      <c r="E4701" s="270">
        <v>1</v>
      </c>
      <c r="F4701" s="270" t="s">
        <v>944</v>
      </c>
      <c r="G4701" s="270" t="s">
        <v>3926</v>
      </c>
      <c r="H4701" s="270" t="s">
        <v>9322</v>
      </c>
      <c r="I4701" s="270" t="s">
        <v>3939</v>
      </c>
      <c r="J4701" s="270" t="s">
        <v>3928</v>
      </c>
      <c r="K4701" s="270">
        <v>6512</v>
      </c>
      <c r="L4701" s="270">
        <v>180601</v>
      </c>
      <c r="M4701" s="270" t="s">
        <v>3940</v>
      </c>
      <c r="N4701" s="270" t="s">
        <v>3944</v>
      </c>
      <c r="O4701" s="270">
        <v>1587.01</v>
      </c>
      <c r="P4701" s="270" t="s">
        <v>3944</v>
      </c>
      <c r="Q4701" s="270" t="s">
        <v>3944</v>
      </c>
      <c r="R4701" s="270">
        <v>1587.01</v>
      </c>
      <c r="S4701" s="270">
        <v>14153.99</v>
      </c>
      <c r="T4701" s="270">
        <v>15741</v>
      </c>
      <c r="U4701" s="271" t="s">
        <v>3945</v>
      </c>
      <c r="V4701" s="267" t="s">
        <v>944</v>
      </c>
    </row>
    <row r="4702" spans="1:22" hidden="1" x14ac:dyDescent="0.25">
      <c r="A4702" s="266">
        <v>43697</v>
      </c>
      <c r="B4702" s="267">
        <v>2019</v>
      </c>
      <c r="C4702" s="267">
        <v>2020</v>
      </c>
      <c r="D4702" s="267">
        <v>1</v>
      </c>
      <c r="E4702" s="267">
        <v>1</v>
      </c>
      <c r="F4702" s="267" t="s">
        <v>944</v>
      </c>
      <c r="G4702" s="267" t="s">
        <v>3926</v>
      </c>
      <c r="H4702" s="267" t="s">
        <v>9323</v>
      </c>
      <c r="I4702" s="267" t="s">
        <v>953</v>
      </c>
      <c r="J4702" s="267" t="s">
        <v>3928</v>
      </c>
      <c r="K4702" s="267">
        <v>6518</v>
      </c>
      <c r="L4702" s="267">
        <v>166002</v>
      </c>
      <c r="M4702" s="267" t="s">
        <v>3960</v>
      </c>
      <c r="N4702" s="267" t="s">
        <v>3944</v>
      </c>
      <c r="O4702" s="267">
        <v>2524.1999999999998</v>
      </c>
      <c r="P4702" s="267" t="s">
        <v>3944</v>
      </c>
      <c r="Q4702" s="267" t="s">
        <v>3944</v>
      </c>
      <c r="R4702" s="267">
        <v>2524.1999999999998</v>
      </c>
      <c r="S4702" s="267">
        <v>40863.64</v>
      </c>
      <c r="T4702" s="267">
        <v>43387.839999999997</v>
      </c>
      <c r="U4702" s="268" t="s">
        <v>3945</v>
      </c>
      <c r="V4702" s="267" t="s">
        <v>944</v>
      </c>
    </row>
    <row r="4703" spans="1:22" hidden="1" x14ac:dyDescent="0.25">
      <c r="A4703" s="269">
        <v>43697</v>
      </c>
      <c r="B4703" s="270">
        <v>2019</v>
      </c>
      <c r="C4703" s="270">
        <v>2020</v>
      </c>
      <c r="D4703" s="270">
        <v>1</v>
      </c>
      <c r="E4703" s="270">
        <v>1</v>
      </c>
      <c r="F4703" s="270" t="s">
        <v>944</v>
      </c>
      <c r="G4703" s="270" t="s">
        <v>3926</v>
      </c>
      <c r="H4703" s="270" t="s">
        <v>9324</v>
      </c>
      <c r="I4703" s="270" t="s">
        <v>4839</v>
      </c>
      <c r="J4703" s="270" t="s">
        <v>3928</v>
      </c>
      <c r="K4703" s="270">
        <v>6524</v>
      </c>
      <c r="L4703" s="270">
        <v>161100</v>
      </c>
      <c r="M4703" s="270" t="s">
        <v>3943</v>
      </c>
      <c r="N4703" s="270" t="s">
        <v>3944</v>
      </c>
      <c r="O4703" s="270">
        <v>2107.77</v>
      </c>
      <c r="P4703" s="270" t="s">
        <v>3944</v>
      </c>
      <c r="Q4703" s="270" t="s">
        <v>3944</v>
      </c>
      <c r="R4703" s="270">
        <v>2107.77</v>
      </c>
      <c r="S4703" s="270">
        <v>19452.23</v>
      </c>
      <c r="T4703" s="270">
        <v>21560</v>
      </c>
      <c r="U4703" s="271" t="s">
        <v>3945</v>
      </c>
      <c r="V4703" s="267" t="s">
        <v>944</v>
      </c>
    </row>
    <row r="4704" spans="1:22" hidden="1" x14ac:dyDescent="0.25">
      <c r="A4704" s="266">
        <v>43697</v>
      </c>
      <c r="B4704" s="267">
        <v>2019</v>
      </c>
      <c r="C4704" s="267">
        <v>2020</v>
      </c>
      <c r="D4704" s="267">
        <v>1</v>
      </c>
      <c r="E4704" s="267">
        <v>1</v>
      </c>
      <c r="F4704" s="267" t="s">
        <v>944</v>
      </c>
      <c r="G4704" s="267" t="s">
        <v>3926</v>
      </c>
      <c r="H4704" s="267" t="s">
        <v>9325</v>
      </c>
      <c r="I4704" s="267" t="s">
        <v>4069</v>
      </c>
      <c r="J4704" s="267" t="s">
        <v>3928</v>
      </c>
      <c r="K4704" s="267">
        <v>6906</v>
      </c>
      <c r="L4704" s="267">
        <v>21100</v>
      </c>
      <c r="M4704" s="267" t="s">
        <v>3943</v>
      </c>
      <c r="N4704" s="267" t="s">
        <v>9326</v>
      </c>
      <c r="O4704" s="267"/>
      <c r="P4704" s="267" t="s">
        <v>3944</v>
      </c>
      <c r="Q4704" s="267" t="s">
        <v>3930</v>
      </c>
      <c r="R4704" s="267">
        <v>0</v>
      </c>
      <c r="S4704" s="267">
        <v>176538.36</v>
      </c>
      <c r="T4704" s="267">
        <v>176538.36</v>
      </c>
      <c r="U4704" s="268" t="s">
        <v>4099</v>
      </c>
      <c r="V4704" s="267" t="s">
        <v>944</v>
      </c>
    </row>
    <row r="4705" spans="1:22" hidden="1" x14ac:dyDescent="0.25">
      <c r="A4705" s="269">
        <v>43697</v>
      </c>
      <c r="B4705" s="270">
        <v>2019</v>
      </c>
      <c r="C4705" s="270">
        <v>2020</v>
      </c>
      <c r="D4705" s="270">
        <v>1</v>
      </c>
      <c r="E4705" s="270">
        <v>1</v>
      </c>
      <c r="F4705" s="270" t="s">
        <v>944</v>
      </c>
      <c r="G4705" s="270" t="s">
        <v>3926</v>
      </c>
      <c r="H4705" s="270" t="s">
        <v>9327</v>
      </c>
      <c r="I4705" s="270" t="s">
        <v>4069</v>
      </c>
      <c r="J4705" s="270" t="s">
        <v>3928</v>
      </c>
      <c r="K4705" s="270">
        <v>6906</v>
      </c>
      <c r="L4705" s="270">
        <v>21100</v>
      </c>
      <c r="M4705" s="270" t="s">
        <v>3943</v>
      </c>
      <c r="N4705" s="270" t="s">
        <v>9326</v>
      </c>
      <c r="O4705" s="270"/>
      <c r="P4705" s="270" t="s">
        <v>3944</v>
      </c>
      <c r="Q4705" s="270" t="s">
        <v>3930</v>
      </c>
      <c r="R4705" s="270">
        <v>0</v>
      </c>
      <c r="S4705" s="270">
        <v>176577.69</v>
      </c>
      <c r="T4705" s="270">
        <v>176577.69</v>
      </c>
      <c r="U4705" s="271" t="s">
        <v>4099</v>
      </c>
      <c r="V4705" s="267" t="s">
        <v>944</v>
      </c>
    </row>
    <row r="4706" spans="1:22" x14ac:dyDescent="0.25">
      <c r="A4706" s="266">
        <v>43697</v>
      </c>
      <c r="B4706" s="267">
        <v>2019</v>
      </c>
      <c r="C4706" s="267">
        <v>2020</v>
      </c>
      <c r="D4706" s="267">
        <v>1</v>
      </c>
      <c r="E4706" s="267">
        <v>1</v>
      </c>
      <c r="F4706" s="267" t="s">
        <v>944</v>
      </c>
      <c r="G4706" s="267" t="s">
        <v>3926</v>
      </c>
      <c r="H4706" s="267" t="s">
        <v>9328</v>
      </c>
      <c r="I4706" s="267" t="s">
        <v>3010</v>
      </c>
      <c r="J4706" s="267" t="s">
        <v>3928</v>
      </c>
      <c r="K4706" s="267">
        <v>6401</v>
      </c>
      <c r="L4706" s="267">
        <v>125300</v>
      </c>
      <c r="M4706" s="267" t="s">
        <v>3940</v>
      </c>
      <c r="N4706" s="267" t="s">
        <v>3944</v>
      </c>
      <c r="O4706" s="267">
        <v>1469.62</v>
      </c>
      <c r="P4706" s="267" t="s">
        <v>3944</v>
      </c>
      <c r="Q4706" s="267" t="s">
        <v>3944</v>
      </c>
      <c r="R4706" s="267">
        <v>1469.62</v>
      </c>
      <c r="S4706" s="267">
        <v>14587.38</v>
      </c>
      <c r="T4706" s="267">
        <v>16057</v>
      </c>
      <c r="U4706" s="268" t="s">
        <v>3945</v>
      </c>
      <c r="V4706" s="276" t="s">
        <v>936</v>
      </c>
    </row>
    <row r="4707" spans="1:22" hidden="1" x14ac:dyDescent="0.25">
      <c r="A4707" s="269">
        <v>43698</v>
      </c>
      <c r="B4707" s="270">
        <v>2019</v>
      </c>
      <c r="C4707" s="270">
        <v>2020</v>
      </c>
      <c r="D4707" s="270">
        <v>1</v>
      </c>
      <c r="E4707" s="270">
        <v>1</v>
      </c>
      <c r="F4707" s="270" t="s">
        <v>944</v>
      </c>
      <c r="G4707" s="270" t="s">
        <v>3926</v>
      </c>
      <c r="H4707" s="270" t="s">
        <v>9329</v>
      </c>
      <c r="I4707" s="270" t="s">
        <v>953</v>
      </c>
      <c r="J4707" s="270" t="s">
        <v>3928</v>
      </c>
      <c r="K4707" s="270">
        <v>6514</v>
      </c>
      <c r="L4707" s="270">
        <v>165700</v>
      </c>
      <c r="M4707" s="270" t="s">
        <v>3935</v>
      </c>
      <c r="N4707" s="270" t="s">
        <v>9330</v>
      </c>
      <c r="O4707" s="270">
        <v>0</v>
      </c>
      <c r="P4707" s="270" t="s">
        <v>3930</v>
      </c>
      <c r="Q4707" s="270" t="s">
        <v>3930</v>
      </c>
      <c r="R4707" s="270">
        <v>0</v>
      </c>
      <c r="S4707" s="270">
        <v>9830</v>
      </c>
      <c r="T4707" s="270">
        <v>9830</v>
      </c>
      <c r="U4707" s="271" t="s">
        <v>3937</v>
      </c>
      <c r="V4707" s="267" t="s">
        <v>944</v>
      </c>
    </row>
    <row r="4708" spans="1:22" hidden="1" x14ac:dyDescent="0.25">
      <c r="A4708" s="266">
        <v>43698</v>
      </c>
      <c r="B4708" s="267">
        <v>2019</v>
      </c>
      <c r="C4708" s="267">
        <v>2020</v>
      </c>
      <c r="D4708" s="267">
        <v>1</v>
      </c>
      <c r="E4708" s="267">
        <v>1</v>
      </c>
      <c r="F4708" s="267" t="s">
        <v>944</v>
      </c>
      <c r="G4708" s="267" t="s">
        <v>3926</v>
      </c>
      <c r="H4708" s="267" t="s">
        <v>9331</v>
      </c>
      <c r="I4708" s="267" t="s">
        <v>4019</v>
      </c>
      <c r="J4708" s="267" t="s">
        <v>3928</v>
      </c>
      <c r="K4708" s="267">
        <v>6706</v>
      </c>
      <c r="L4708" s="267">
        <v>351400</v>
      </c>
      <c r="M4708" s="267">
        <v>-60</v>
      </c>
      <c r="N4708" s="267" t="s">
        <v>3983</v>
      </c>
      <c r="O4708" s="267">
        <v>1402.84</v>
      </c>
      <c r="P4708" s="267" t="s">
        <v>3930</v>
      </c>
      <c r="Q4708" s="267" t="s">
        <v>3931</v>
      </c>
      <c r="R4708" s="267">
        <v>6402.84</v>
      </c>
      <c r="S4708" s="267">
        <v>16504</v>
      </c>
      <c r="T4708" s="267">
        <v>22906.84</v>
      </c>
      <c r="U4708" s="268" t="s">
        <v>3932</v>
      </c>
      <c r="V4708" s="267" t="s">
        <v>944</v>
      </c>
    </row>
    <row r="4709" spans="1:22" hidden="1" x14ac:dyDescent="0.25">
      <c r="A4709" s="269">
        <v>43698</v>
      </c>
      <c r="B4709" s="270">
        <v>2019</v>
      </c>
      <c r="C4709" s="270">
        <v>2020</v>
      </c>
      <c r="D4709" s="270">
        <v>1</v>
      </c>
      <c r="E4709" s="270">
        <v>1</v>
      </c>
      <c r="F4709" s="270" t="s">
        <v>944</v>
      </c>
      <c r="G4709" s="270" t="s">
        <v>3926</v>
      </c>
      <c r="H4709" s="270" t="s">
        <v>9332</v>
      </c>
      <c r="I4709" s="270" t="s">
        <v>3968</v>
      </c>
      <c r="J4709" s="270" t="s">
        <v>3928</v>
      </c>
      <c r="K4709" s="270">
        <v>6042</v>
      </c>
      <c r="L4709" s="270">
        <v>514400</v>
      </c>
      <c r="M4709" s="270" t="s">
        <v>3940</v>
      </c>
      <c r="N4709" s="270" t="s">
        <v>9333</v>
      </c>
      <c r="O4709" s="270">
        <v>0</v>
      </c>
      <c r="P4709" s="270" t="s">
        <v>3930</v>
      </c>
      <c r="Q4709" s="270" t="s">
        <v>3930</v>
      </c>
      <c r="R4709" s="270">
        <v>0</v>
      </c>
      <c r="S4709" s="270">
        <v>13400</v>
      </c>
      <c r="T4709" s="270">
        <v>13400</v>
      </c>
      <c r="U4709" s="271" t="s">
        <v>3937</v>
      </c>
      <c r="V4709" s="267" t="s">
        <v>944</v>
      </c>
    </row>
    <row r="4710" spans="1:22" x14ac:dyDescent="0.25">
      <c r="A4710" s="266">
        <v>43698</v>
      </c>
      <c r="B4710" s="267">
        <v>2019</v>
      </c>
      <c r="C4710" s="267">
        <v>2020</v>
      </c>
      <c r="D4710" s="267">
        <v>1</v>
      </c>
      <c r="E4710" s="267">
        <v>1</v>
      </c>
      <c r="F4710" s="267" t="s">
        <v>944</v>
      </c>
      <c r="G4710" s="267" t="s">
        <v>3926</v>
      </c>
      <c r="H4710" s="267" t="s">
        <v>9334</v>
      </c>
      <c r="I4710" s="267" t="s">
        <v>943</v>
      </c>
      <c r="J4710" s="267" t="s">
        <v>3928</v>
      </c>
      <c r="K4710" s="267">
        <v>6511</v>
      </c>
      <c r="L4710" s="267">
        <v>141500</v>
      </c>
      <c r="M4710" s="267">
        <v>-60</v>
      </c>
      <c r="N4710" s="267" t="s">
        <v>4103</v>
      </c>
      <c r="O4710" s="267">
        <v>1991.64</v>
      </c>
      <c r="P4710" s="267" t="s">
        <v>3930</v>
      </c>
      <c r="Q4710" s="267" t="s">
        <v>3931</v>
      </c>
      <c r="R4710" s="267">
        <v>6991.64</v>
      </c>
      <c r="S4710" s="267">
        <v>24145.599999999999</v>
      </c>
      <c r="T4710" s="267">
        <v>31137.24</v>
      </c>
      <c r="U4710" s="268" t="s">
        <v>3932</v>
      </c>
      <c r="V4710" s="276" t="s">
        <v>936</v>
      </c>
    </row>
    <row r="4711" spans="1:22" hidden="1" x14ac:dyDescent="0.25">
      <c r="A4711" s="269">
        <v>43698</v>
      </c>
      <c r="B4711" s="270">
        <v>2019</v>
      </c>
      <c r="C4711" s="270">
        <v>2020</v>
      </c>
      <c r="D4711" s="270">
        <v>1</v>
      </c>
      <c r="E4711" s="270">
        <v>1</v>
      </c>
      <c r="F4711" s="270" t="s">
        <v>944</v>
      </c>
      <c r="G4711" s="270" t="s">
        <v>3926</v>
      </c>
      <c r="H4711" s="270" t="s">
        <v>9335</v>
      </c>
      <c r="I4711" s="270" t="s">
        <v>4040</v>
      </c>
      <c r="J4711" s="270" t="s">
        <v>3928</v>
      </c>
      <c r="K4711" s="270">
        <v>6335</v>
      </c>
      <c r="L4711" s="270">
        <v>701200</v>
      </c>
      <c r="M4711" s="270" t="s">
        <v>3960</v>
      </c>
      <c r="N4711" s="270" t="s">
        <v>9336</v>
      </c>
      <c r="O4711" s="270">
        <v>0</v>
      </c>
      <c r="P4711" s="270" t="s">
        <v>3930</v>
      </c>
      <c r="Q4711" s="270" t="s">
        <v>3930</v>
      </c>
      <c r="R4711" s="270">
        <v>0</v>
      </c>
      <c r="S4711" s="270">
        <v>12907</v>
      </c>
      <c r="T4711" s="270">
        <v>12907</v>
      </c>
      <c r="U4711" s="271" t="s">
        <v>3937</v>
      </c>
      <c r="V4711" s="267" t="s">
        <v>944</v>
      </c>
    </row>
    <row r="4712" spans="1:22" hidden="1" x14ac:dyDescent="0.25">
      <c r="A4712" s="266">
        <v>43698</v>
      </c>
      <c r="B4712" s="267">
        <v>2019</v>
      </c>
      <c r="C4712" s="267">
        <v>2020</v>
      </c>
      <c r="D4712" s="267">
        <v>1</v>
      </c>
      <c r="E4712" s="267">
        <v>1</v>
      </c>
      <c r="F4712" s="267" t="s">
        <v>944</v>
      </c>
      <c r="G4712" s="267" t="s">
        <v>3926</v>
      </c>
      <c r="H4712" s="267" t="s">
        <v>9337</v>
      </c>
      <c r="I4712" s="267" t="s">
        <v>953</v>
      </c>
      <c r="J4712" s="267" t="s">
        <v>3928</v>
      </c>
      <c r="K4712" s="267">
        <v>6517</v>
      </c>
      <c r="L4712" s="267">
        <v>165400</v>
      </c>
      <c r="M4712" s="267" t="s">
        <v>3935</v>
      </c>
      <c r="N4712" s="267" t="s">
        <v>3944</v>
      </c>
      <c r="O4712" s="267">
        <v>1086</v>
      </c>
      <c r="P4712" s="267" t="s">
        <v>3944</v>
      </c>
      <c r="Q4712" s="267" t="s">
        <v>3944</v>
      </c>
      <c r="R4712" s="267">
        <v>1086</v>
      </c>
      <c r="S4712" s="267">
        <v>17793.39</v>
      </c>
      <c r="T4712" s="267">
        <v>18879.39</v>
      </c>
      <c r="U4712" s="268" t="s">
        <v>3945</v>
      </c>
      <c r="V4712" s="267" t="s">
        <v>944</v>
      </c>
    </row>
    <row r="4713" spans="1:22" hidden="1" x14ac:dyDescent="0.25">
      <c r="A4713" s="269">
        <v>43698</v>
      </c>
      <c r="B4713" s="270">
        <v>2019</v>
      </c>
      <c r="C4713" s="270">
        <v>2020</v>
      </c>
      <c r="D4713" s="270">
        <v>1</v>
      </c>
      <c r="E4713" s="270">
        <v>1</v>
      </c>
      <c r="F4713" s="270" t="s">
        <v>944</v>
      </c>
      <c r="G4713" s="270" t="s">
        <v>3926</v>
      </c>
      <c r="H4713" s="270" t="s">
        <v>9338</v>
      </c>
      <c r="I4713" s="270" t="s">
        <v>4137</v>
      </c>
      <c r="J4713" s="270" t="s">
        <v>3928</v>
      </c>
      <c r="K4713" s="270">
        <v>6067</v>
      </c>
      <c r="L4713" s="270">
        <v>490100</v>
      </c>
      <c r="M4713" s="270" t="s">
        <v>3935</v>
      </c>
      <c r="N4713" s="270" t="s">
        <v>3944</v>
      </c>
      <c r="O4713" s="270">
        <v>2873</v>
      </c>
      <c r="P4713" s="270" t="s">
        <v>3944</v>
      </c>
      <c r="Q4713" s="270" t="s">
        <v>3944</v>
      </c>
      <c r="R4713" s="270">
        <v>2873</v>
      </c>
      <c r="S4713" s="270">
        <v>17427</v>
      </c>
      <c r="T4713" s="270">
        <v>20300</v>
      </c>
      <c r="U4713" s="271" t="s">
        <v>3945</v>
      </c>
      <c r="V4713" s="267" t="s">
        <v>944</v>
      </c>
    </row>
    <row r="4714" spans="1:22" hidden="1" x14ac:dyDescent="0.25">
      <c r="A4714" s="266">
        <v>43698</v>
      </c>
      <c r="B4714" s="267">
        <v>2019</v>
      </c>
      <c r="C4714" s="267">
        <v>2020</v>
      </c>
      <c r="D4714" s="267">
        <v>1</v>
      </c>
      <c r="E4714" s="267">
        <v>1</v>
      </c>
      <c r="F4714" s="267" t="s">
        <v>944</v>
      </c>
      <c r="G4714" s="267" t="s">
        <v>3926</v>
      </c>
      <c r="H4714" s="267" t="s">
        <v>9339</v>
      </c>
      <c r="I4714" s="267" t="s">
        <v>4159</v>
      </c>
      <c r="J4714" s="267" t="s">
        <v>3928</v>
      </c>
      <c r="K4714" s="267">
        <v>6088</v>
      </c>
      <c r="L4714" s="267">
        <v>484100</v>
      </c>
      <c r="M4714" s="267" t="s">
        <v>3935</v>
      </c>
      <c r="N4714" s="267" t="s">
        <v>3944</v>
      </c>
      <c r="O4714" s="267">
        <v>2840</v>
      </c>
      <c r="P4714" s="267" t="s">
        <v>3944</v>
      </c>
      <c r="Q4714" s="267" t="s">
        <v>3944</v>
      </c>
      <c r="R4714" s="267">
        <v>2840</v>
      </c>
      <c r="S4714" s="267">
        <v>20312.5</v>
      </c>
      <c r="T4714" s="267">
        <v>23152.5</v>
      </c>
      <c r="U4714" s="268" t="s">
        <v>3945</v>
      </c>
      <c r="V4714" s="267" t="s">
        <v>944</v>
      </c>
    </row>
    <row r="4715" spans="1:22" hidden="1" x14ac:dyDescent="0.25">
      <c r="A4715" s="269">
        <v>43698</v>
      </c>
      <c r="B4715" s="270">
        <v>2019</v>
      </c>
      <c r="C4715" s="270">
        <v>2020</v>
      </c>
      <c r="D4715" s="270">
        <v>1</v>
      </c>
      <c r="E4715" s="270">
        <v>1</v>
      </c>
      <c r="F4715" s="270" t="s">
        <v>944</v>
      </c>
      <c r="G4715" s="270" t="s">
        <v>3926</v>
      </c>
      <c r="H4715" s="270" t="s">
        <v>9340</v>
      </c>
      <c r="I4715" s="270" t="s">
        <v>2981</v>
      </c>
      <c r="J4715" s="270" t="s">
        <v>3928</v>
      </c>
      <c r="K4715" s="270">
        <v>6612</v>
      </c>
      <c r="L4715" s="270">
        <v>105100</v>
      </c>
      <c r="M4715" s="270" t="s">
        <v>3943</v>
      </c>
      <c r="N4715" s="270" t="s">
        <v>3944</v>
      </c>
      <c r="O4715" s="270">
        <v>4914</v>
      </c>
      <c r="P4715" s="270" t="s">
        <v>3944</v>
      </c>
      <c r="Q4715" s="270" t="s">
        <v>3944</v>
      </c>
      <c r="R4715" s="270">
        <v>4914</v>
      </c>
      <c r="S4715" s="270">
        <v>16371</v>
      </c>
      <c r="T4715" s="270">
        <v>21285</v>
      </c>
      <c r="U4715" s="271" t="s">
        <v>3945</v>
      </c>
      <c r="V4715" s="267" t="s">
        <v>944</v>
      </c>
    </row>
    <row r="4716" spans="1:22" x14ac:dyDescent="0.25">
      <c r="A4716" s="266">
        <v>43698</v>
      </c>
      <c r="B4716" s="267">
        <v>2019</v>
      </c>
      <c r="C4716" s="267">
        <v>2020</v>
      </c>
      <c r="D4716" s="267">
        <v>1</v>
      </c>
      <c r="E4716" s="267">
        <v>1</v>
      </c>
      <c r="F4716" s="267" t="s">
        <v>944</v>
      </c>
      <c r="G4716" s="267" t="s">
        <v>3926</v>
      </c>
      <c r="H4716" s="267" t="s">
        <v>9341</v>
      </c>
      <c r="I4716" s="267" t="s">
        <v>934</v>
      </c>
      <c r="J4716" s="267" t="s">
        <v>3928</v>
      </c>
      <c r="K4716" s="267">
        <v>6606</v>
      </c>
      <c r="L4716" s="267">
        <v>72200</v>
      </c>
      <c r="M4716" s="267">
        <v>-60</v>
      </c>
      <c r="N4716" s="267" t="s">
        <v>3944</v>
      </c>
      <c r="O4716" s="267">
        <v>675.71</v>
      </c>
      <c r="P4716" s="267" t="s">
        <v>3944</v>
      </c>
      <c r="Q4716" s="267" t="s">
        <v>3944</v>
      </c>
      <c r="R4716" s="267">
        <v>675.71</v>
      </c>
      <c r="S4716" s="267">
        <v>8353.2099999999991</v>
      </c>
      <c r="T4716" s="267">
        <v>9028.92</v>
      </c>
      <c r="U4716" s="268" t="s">
        <v>3945</v>
      </c>
      <c r="V4716" s="276" t="s">
        <v>936</v>
      </c>
    </row>
    <row r="4717" spans="1:22" hidden="1" x14ac:dyDescent="0.25">
      <c r="A4717" s="269">
        <v>43698</v>
      </c>
      <c r="B4717" s="270">
        <v>2019</v>
      </c>
      <c r="C4717" s="270">
        <v>2020</v>
      </c>
      <c r="D4717" s="270">
        <v>1</v>
      </c>
      <c r="E4717" s="270">
        <v>1</v>
      </c>
      <c r="F4717" s="270" t="s">
        <v>944</v>
      </c>
      <c r="G4717" s="270" t="s">
        <v>3926</v>
      </c>
      <c r="H4717" s="270" t="s">
        <v>9342</v>
      </c>
      <c r="I4717" s="270" t="s">
        <v>3010</v>
      </c>
      <c r="J4717" s="270" t="s">
        <v>3928</v>
      </c>
      <c r="K4717" s="270">
        <v>6401</v>
      </c>
      <c r="L4717" s="270">
        <v>125200</v>
      </c>
      <c r="M4717" s="270">
        <v>-60</v>
      </c>
      <c r="N4717" s="270" t="s">
        <v>3944</v>
      </c>
      <c r="O4717" s="270">
        <v>1499.89</v>
      </c>
      <c r="P4717" s="270" t="s">
        <v>3944</v>
      </c>
      <c r="Q4717" s="270" t="s">
        <v>3944</v>
      </c>
      <c r="R4717" s="270">
        <v>1499.89</v>
      </c>
      <c r="S4717" s="270">
        <v>18530.77</v>
      </c>
      <c r="T4717" s="270">
        <v>20030.66</v>
      </c>
      <c r="U4717" s="271" t="s">
        <v>3945</v>
      </c>
      <c r="V4717" s="267" t="s">
        <v>944</v>
      </c>
    </row>
    <row r="4718" spans="1:22" hidden="1" x14ac:dyDescent="0.25">
      <c r="A4718" s="266">
        <v>43698</v>
      </c>
      <c r="B4718" s="267">
        <v>2019</v>
      </c>
      <c r="C4718" s="267">
        <v>2020</v>
      </c>
      <c r="D4718" s="267">
        <v>1</v>
      </c>
      <c r="E4718" s="267">
        <v>1</v>
      </c>
      <c r="F4718" s="267" t="s">
        <v>944</v>
      </c>
      <c r="G4718" s="267" t="s">
        <v>3926</v>
      </c>
      <c r="H4718" s="267" t="s">
        <v>9343</v>
      </c>
      <c r="I4718" s="267" t="s">
        <v>4069</v>
      </c>
      <c r="J4718" s="267" t="s">
        <v>3928</v>
      </c>
      <c r="K4718" s="267">
        <v>6902</v>
      </c>
      <c r="L4718" s="267">
        <v>21900</v>
      </c>
      <c r="M4718" s="267" t="s">
        <v>3940</v>
      </c>
      <c r="N4718" s="267" t="s">
        <v>3944</v>
      </c>
      <c r="O4718" s="267">
        <v>2178.5100000000002</v>
      </c>
      <c r="P4718" s="267" t="s">
        <v>3944</v>
      </c>
      <c r="Q4718" s="267" t="s">
        <v>3944</v>
      </c>
      <c r="R4718" s="267">
        <v>2178.5100000000002</v>
      </c>
      <c r="S4718" s="267">
        <v>26877.05</v>
      </c>
      <c r="T4718" s="267">
        <v>29055.56</v>
      </c>
      <c r="U4718" s="268" t="s">
        <v>3945</v>
      </c>
      <c r="V4718" s="267" t="s">
        <v>944</v>
      </c>
    </row>
    <row r="4719" spans="1:22" hidden="1" x14ac:dyDescent="0.25">
      <c r="A4719" s="269">
        <v>43698</v>
      </c>
      <c r="B4719" s="270">
        <v>2019</v>
      </c>
      <c r="C4719" s="270">
        <v>2020</v>
      </c>
      <c r="D4719" s="270">
        <v>1</v>
      </c>
      <c r="E4719" s="270">
        <v>1</v>
      </c>
      <c r="F4719" s="270" t="s">
        <v>944</v>
      </c>
      <c r="G4719" s="270" t="s">
        <v>3926</v>
      </c>
      <c r="H4719" s="270" t="s">
        <v>9344</v>
      </c>
      <c r="I4719" s="270" t="s">
        <v>4323</v>
      </c>
      <c r="J4719" s="270" t="s">
        <v>3928</v>
      </c>
      <c r="K4719" s="270">
        <v>6375</v>
      </c>
      <c r="L4719" s="270">
        <v>693600</v>
      </c>
      <c r="M4719" s="270" t="s">
        <v>3960</v>
      </c>
      <c r="N4719" s="270" t="s">
        <v>3944</v>
      </c>
      <c r="O4719" s="270">
        <v>1020.81</v>
      </c>
      <c r="P4719" s="270" t="s">
        <v>3944</v>
      </c>
      <c r="Q4719" s="270" t="s">
        <v>3944</v>
      </c>
      <c r="R4719" s="270">
        <v>1020.81</v>
      </c>
      <c r="S4719" s="270">
        <v>10517</v>
      </c>
      <c r="T4719" s="270">
        <v>11537.81</v>
      </c>
      <c r="U4719" s="271" t="s">
        <v>3945</v>
      </c>
      <c r="V4719" s="267" t="s">
        <v>944</v>
      </c>
    </row>
    <row r="4720" spans="1:22" hidden="1" x14ac:dyDescent="0.25">
      <c r="A4720" s="266">
        <v>43698</v>
      </c>
      <c r="B4720" s="267">
        <v>2019</v>
      </c>
      <c r="C4720" s="267">
        <v>2020</v>
      </c>
      <c r="D4720" s="267">
        <v>1</v>
      </c>
      <c r="E4720" s="267">
        <v>1</v>
      </c>
      <c r="F4720" s="267" t="s">
        <v>944</v>
      </c>
      <c r="G4720" s="267" t="s">
        <v>3926</v>
      </c>
      <c r="H4720" s="267" t="s">
        <v>9345</v>
      </c>
      <c r="I4720" s="267" t="s">
        <v>4111</v>
      </c>
      <c r="J4720" s="267" t="s">
        <v>3928</v>
      </c>
      <c r="K4720" s="267">
        <v>6095</v>
      </c>
      <c r="L4720" s="267">
        <v>473700</v>
      </c>
      <c r="M4720" s="267" t="s">
        <v>3935</v>
      </c>
      <c r="N4720" s="267" t="s">
        <v>3944</v>
      </c>
      <c r="O4720" s="267">
        <v>1103.3399999999999</v>
      </c>
      <c r="P4720" s="267" t="s">
        <v>3944</v>
      </c>
      <c r="Q4720" s="267" t="s">
        <v>3944</v>
      </c>
      <c r="R4720" s="267">
        <v>1103.3399999999999</v>
      </c>
      <c r="S4720" s="267">
        <v>13605</v>
      </c>
      <c r="T4720" s="267">
        <v>14708.34</v>
      </c>
      <c r="U4720" s="268" t="s">
        <v>3945</v>
      </c>
      <c r="V4720" s="267" t="s">
        <v>944</v>
      </c>
    </row>
    <row r="4721" spans="1:22" hidden="1" x14ac:dyDescent="0.25">
      <c r="A4721" s="269">
        <v>43698</v>
      </c>
      <c r="B4721" s="270">
        <v>2019</v>
      </c>
      <c r="C4721" s="270">
        <v>2020</v>
      </c>
      <c r="D4721" s="270">
        <v>1</v>
      </c>
      <c r="E4721" s="270">
        <v>1</v>
      </c>
      <c r="F4721" s="270" t="s">
        <v>944</v>
      </c>
      <c r="G4721" s="270" t="s">
        <v>3926</v>
      </c>
      <c r="H4721" s="270" t="s">
        <v>9346</v>
      </c>
      <c r="I4721" s="270" t="s">
        <v>7934</v>
      </c>
      <c r="J4721" s="270" t="s">
        <v>3928</v>
      </c>
      <c r="K4721" s="270">
        <v>6098</v>
      </c>
      <c r="L4721" s="270">
        <v>320100</v>
      </c>
      <c r="M4721" s="270" t="s">
        <v>3940</v>
      </c>
      <c r="N4721" s="270" t="s">
        <v>3944</v>
      </c>
      <c r="O4721" s="270">
        <v>2000.53</v>
      </c>
      <c r="P4721" s="270" t="s">
        <v>3944</v>
      </c>
      <c r="Q4721" s="270" t="s">
        <v>3944</v>
      </c>
      <c r="R4721" s="270">
        <v>2000.53</v>
      </c>
      <c r="S4721" s="270">
        <v>21683</v>
      </c>
      <c r="T4721" s="270">
        <v>23683.53</v>
      </c>
      <c r="U4721" s="271" t="s">
        <v>3945</v>
      </c>
      <c r="V4721" s="267" t="s">
        <v>944</v>
      </c>
    </row>
    <row r="4722" spans="1:22" hidden="1" x14ac:dyDescent="0.25">
      <c r="A4722" s="266">
        <v>43698</v>
      </c>
      <c r="B4722" s="267">
        <v>2019</v>
      </c>
      <c r="C4722" s="267">
        <v>2020</v>
      </c>
      <c r="D4722" s="267">
        <v>1</v>
      </c>
      <c r="E4722" s="267">
        <v>1</v>
      </c>
      <c r="F4722" s="267" t="s">
        <v>944</v>
      </c>
      <c r="G4722" s="267" t="s">
        <v>3926</v>
      </c>
      <c r="H4722" s="267" t="s">
        <v>9347</v>
      </c>
      <c r="I4722" s="267" t="s">
        <v>4200</v>
      </c>
      <c r="J4722" s="267" t="s">
        <v>3928</v>
      </c>
      <c r="K4722" s="267">
        <v>6779</v>
      </c>
      <c r="L4722" s="267">
        <v>360400</v>
      </c>
      <c r="M4722" s="267" t="s">
        <v>3940</v>
      </c>
      <c r="N4722" s="267" t="s">
        <v>3944</v>
      </c>
      <c r="O4722" s="267">
        <v>1195.6400000000001</v>
      </c>
      <c r="P4722" s="267" t="s">
        <v>3944</v>
      </c>
      <c r="Q4722" s="267" t="s">
        <v>3944</v>
      </c>
      <c r="R4722" s="267">
        <v>1195.6400000000001</v>
      </c>
      <c r="S4722" s="267">
        <v>14996.25</v>
      </c>
      <c r="T4722" s="267">
        <v>16191.89</v>
      </c>
      <c r="U4722" s="268" t="s">
        <v>3945</v>
      </c>
      <c r="V4722" s="267" t="s">
        <v>944</v>
      </c>
    </row>
    <row r="4723" spans="1:22" hidden="1" x14ac:dyDescent="0.25">
      <c r="A4723" s="269">
        <v>43698</v>
      </c>
      <c r="B4723" s="270">
        <v>2019</v>
      </c>
      <c r="C4723" s="270">
        <v>2020</v>
      </c>
      <c r="D4723" s="270">
        <v>1</v>
      </c>
      <c r="E4723" s="270">
        <v>1</v>
      </c>
      <c r="F4723" s="270" t="s">
        <v>944</v>
      </c>
      <c r="G4723" s="270" t="s">
        <v>3926</v>
      </c>
      <c r="H4723" s="270" t="s">
        <v>9348</v>
      </c>
      <c r="I4723" s="270" t="s">
        <v>4213</v>
      </c>
      <c r="J4723" s="270" t="s">
        <v>3928</v>
      </c>
      <c r="K4723" s="270">
        <v>6053</v>
      </c>
      <c r="L4723" s="270">
        <v>417500</v>
      </c>
      <c r="M4723" s="270" t="s">
        <v>3940</v>
      </c>
      <c r="N4723" s="270" t="s">
        <v>3944</v>
      </c>
      <c r="O4723" s="270">
        <v>979.55</v>
      </c>
      <c r="P4723" s="270" t="s">
        <v>3944</v>
      </c>
      <c r="Q4723" s="270" t="s">
        <v>3944</v>
      </c>
      <c r="R4723" s="270">
        <v>979.55</v>
      </c>
      <c r="S4723" s="270">
        <v>11759.83</v>
      </c>
      <c r="T4723" s="270">
        <v>12739.38</v>
      </c>
      <c r="U4723" s="271" t="s">
        <v>3945</v>
      </c>
      <c r="V4723" s="267" t="s">
        <v>944</v>
      </c>
    </row>
    <row r="4724" spans="1:22" hidden="1" x14ac:dyDescent="0.25">
      <c r="A4724" s="266">
        <v>43698</v>
      </c>
      <c r="B4724" s="267">
        <v>2019</v>
      </c>
      <c r="C4724" s="267">
        <v>2020</v>
      </c>
      <c r="D4724" s="267">
        <v>1</v>
      </c>
      <c r="E4724" s="267">
        <v>1</v>
      </c>
      <c r="F4724" s="267" t="s">
        <v>944</v>
      </c>
      <c r="G4724" s="267" t="s">
        <v>3926</v>
      </c>
      <c r="H4724" s="267" t="s">
        <v>9349</v>
      </c>
      <c r="I4724" s="267" t="s">
        <v>3999</v>
      </c>
      <c r="J4724" s="267" t="s">
        <v>3928</v>
      </c>
      <c r="K4724" s="267">
        <v>6451</v>
      </c>
      <c r="L4724" s="267">
        <v>170800</v>
      </c>
      <c r="M4724" s="267" t="s">
        <v>3940</v>
      </c>
      <c r="N4724" s="267" t="s">
        <v>3944</v>
      </c>
      <c r="O4724" s="267">
        <v>1846.25</v>
      </c>
      <c r="P4724" s="267" t="s">
        <v>3944</v>
      </c>
      <c r="Q4724" s="267" t="s">
        <v>3944</v>
      </c>
      <c r="R4724" s="267">
        <v>1846.25</v>
      </c>
      <c r="S4724" s="267">
        <v>24042.55</v>
      </c>
      <c r="T4724" s="267">
        <v>25888.799999999999</v>
      </c>
      <c r="U4724" s="268" t="s">
        <v>3945</v>
      </c>
      <c r="V4724" s="267" t="s">
        <v>944</v>
      </c>
    </row>
    <row r="4725" spans="1:22" hidden="1" x14ac:dyDescent="0.25">
      <c r="A4725" s="269">
        <v>43698</v>
      </c>
      <c r="B4725" s="270">
        <v>2019</v>
      </c>
      <c r="C4725" s="270">
        <v>2020</v>
      </c>
      <c r="D4725" s="270">
        <v>1</v>
      </c>
      <c r="E4725" s="270">
        <v>1</v>
      </c>
      <c r="F4725" s="270" t="s">
        <v>944</v>
      </c>
      <c r="G4725" s="270" t="s">
        <v>3926</v>
      </c>
      <c r="H4725" s="270" t="s">
        <v>9350</v>
      </c>
      <c r="I4725" s="270" t="s">
        <v>3939</v>
      </c>
      <c r="J4725" s="270" t="s">
        <v>3928</v>
      </c>
      <c r="K4725" s="270">
        <v>6512</v>
      </c>
      <c r="L4725" s="270">
        <v>180601</v>
      </c>
      <c r="M4725" s="270" t="s">
        <v>3940</v>
      </c>
      <c r="N4725" s="270" t="s">
        <v>3944</v>
      </c>
      <c r="O4725" s="270">
        <v>1143.5899999999999</v>
      </c>
      <c r="P4725" s="270" t="s">
        <v>3944</v>
      </c>
      <c r="Q4725" s="270" t="s">
        <v>3944</v>
      </c>
      <c r="R4725" s="270">
        <v>1143.5899999999999</v>
      </c>
      <c r="S4725" s="270">
        <v>11594</v>
      </c>
      <c r="T4725" s="270">
        <v>12737.59</v>
      </c>
      <c r="U4725" s="271" t="s">
        <v>3945</v>
      </c>
      <c r="V4725" s="267" t="s">
        <v>944</v>
      </c>
    </row>
    <row r="4726" spans="1:22" hidden="1" x14ac:dyDescent="0.25">
      <c r="A4726" s="266">
        <v>43698</v>
      </c>
      <c r="B4726" s="267">
        <v>2019</v>
      </c>
      <c r="C4726" s="267">
        <v>2020</v>
      </c>
      <c r="D4726" s="267">
        <v>1</v>
      </c>
      <c r="E4726" s="267">
        <v>1</v>
      </c>
      <c r="F4726" s="267" t="s">
        <v>944</v>
      </c>
      <c r="G4726" s="267" t="s">
        <v>3926</v>
      </c>
      <c r="H4726" s="267" t="s">
        <v>9351</v>
      </c>
      <c r="I4726" s="267" t="s">
        <v>3985</v>
      </c>
      <c r="J4726" s="267" t="s">
        <v>3928</v>
      </c>
      <c r="K4726" s="267">
        <v>6280</v>
      </c>
      <c r="L4726" s="267">
        <v>800500</v>
      </c>
      <c r="M4726" s="267" t="s">
        <v>3940</v>
      </c>
      <c r="N4726" s="267" t="s">
        <v>3944</v>
      </c>
      <c r="O4726" s="267">
        <v>681.1</v>
      </c>
      <c r="P4726" s="267" t="s">
        <v>3944</v>
      </c>
      <c r="Q4726" s="267" t="s">
        <v>3944</v>
      </c>
      <c r="R4726" s="267">
        <v>681.1</v>
      </c>
      <c r="S4726" s="267">
        <v>8535.9</v>
      </c>
      <c r="T4726" s="267">
        <v>9217</v>
      </c>
      <c r="U4726" s="268" t="s">
        <v>3945</v>
      </c>
      <c r="V4726" s="267" t="s">
        <v>944</v>
      </c>
    </row>
    <row r="4727" spans="1:22" hidden="1" x14ac:dyDescent="0.25">
      <c r="A4727" s="269">
        <v>43698</v>
      </c>
      <c r="B4727" s="270">
        <v>2019</v>
      </c>
      <c r="C4727" s="270">
        <v>2020</v>
      </c>
      <c r="D4727" s="270">
        <v>1</v>
      </c>
      <c r="E4727" s="270">
        <v>1</v>
      </c>
      <c r="F4727" s="270" t="s">
        <v>944</v>
      </c>
      <c r="G4727" s="270" t="s">
        <v>3926</v>
      </c>
      <c r="H4727" s="270" t="s">
        <v>9352</v>
      </c>
      <c r="I4727" s="270" t="s">
        <v>4213</v>
      </c>
      <c r="J4727" s="270" t="s">
        <v>3928</v>
      </c>
      <c r="K4727" s="270">
        <v>6051</v>
      </c>
      <c r="L4727" s="270">
        <v>415700</v>
      </c>
      <c r="M4727" s="270">
        <v>-60</v>
      </c>
      <c r="N4727" s="270" t="s">
        <v>3944</v>
      </c>
      <c r="O4727" s="270">
        <v>1547.6</v>
      </c>
      <c r="P4727" s="270" t="s">
        <v>3944</v>
      </c>
      <c r="Q4727" s="270" t="s">
        <v>3944</v>
      </c>
      <c r="R4727" s="270">
        <v>1547.6</v>
      </c>
      <c r="S4727" s="270">
        <v>17500.72</v>
      </c>
      <c r="T4727" s="270">
        <v>19048.32</v>
      </c>
      <c r="U4727" s="271" t="s">
        <v>3945</v>
      </c>
      <c r="V4727" s="267" t="s">
        <v>944</v>
      </c>
    </row>
    <row r="4728" spans="1:22" hidden="1" x14ac:dyDescent="0.25">
      <c r="A4728" s="266">
        <v>43698</v>
      </c>
      <c r="B4728" s="267">
        <v>2019</v>
      </c>
      <c r="C4728" s="267">
        <v>2020</v>
      </c>
      <c r="D4728" s="267">
        <v>1</v>
      </c>
      <c r="E4728" s="267">
        <v>1</v>
      </c>
      <c r="F4728" s="267" t="s">
        <v>944</v>
      </c>
      <c r="G4728" s="267" t="s">
        <v>3926</v>
      </c>
      <c r="H4728" s="267" t="s">
        <v>9353</v>
      </c>
      <c r="I4728" s="267" t="s">
        <v>4042</v>
      </c>
      <c r="J4728" s="267" t="s">
        <v>3928</v>
      </c>
      <c r="K4728" s="267">
        <v>6370</v>
      </c>
      <c r="L4728" s="267">
        <v>695202</v>
      </c>
      <c r="M4728" s="267" t="s">
        <v>3935</v>
      </c>
      <c r="N4728" s="267" t="s">
        <v>3944</v>
      </c>
      <c r="O4728" s="267">
        <v>1335.43</v>
      </c>
      <c r="P4728" s="267" t="s">
        <v>3944</v>
      </c>
      <c r="Q4728" s="267" t="s">
        <v>3944</v>
      </c>
      <c r="R4728" s="267">
        <v>1335.43</v>
      </c>
      <c r="S4728" s="267">
        <v>12309.57</v>
      </c>
      <c r="T4728" s="267">
        <v>13645</v>
      </c>
      <c r="U4728" s="268" t="s">
        <v>3945</v>
      </c>
      <c r="V4728" s="267" t="s">
        <v>944</v>
      </c>
    </row>
    <row r="4729" spans="1:22" hidden="1" x14ac:dyDescent="0.25">
      <c r="A4729" s="269">
        <v>43698</v>
      </c>
      <c r="B4729" s="270">
        <v>2019</v>
      </c>
      <c r="C4729" s="270">
        <v>2020</v>
      </c>
      <c r="D4729" s="270">
        <v>1</v>
      </c>
      <c r="E4729" s="270">
        <v>1</v>
      </c>
      <c r="F4729" s="270" t="s">
        <v>944</v>
      </c>
      <c r="G4729" s="270" t="s">
        <v>3926</v>
      </c>
      <c r="H4729" s="270" t="s">
        <v>9354</v>
      </c>
      <c r="I4729" s="270" t="s">
        <v>4040</v>
      </c>
      <c r="J4729" s="270" t="s">
        <v>3928</v>
      </c>
      <c r="K4729" s="270">
        <v>6339</v>
      </c>
      <c r="L4729" s="270">
        <v>701100</v>
      </c>
      <c r="M4729" s="270" t="s">
        <v>3960</v>
      </c>
      <c r="N4729" s="270" t="s">
        <v>3944</v>
      </c>
      <c r="O4729" s="270">
        <v>1577.03</v>
      </c>
      <c r="P4729" s="270" t="s">
        <v>3944</v>
      </c>
      <c r="Q4729" s="270" t="s">
        <v>3944</v>
      </c>
      <c r="R4729" s="270">
        <v>1577.03</v>
      </c>
      <c r="S4729" s="270">
        <v>12165.97</v>
      </c>
      <c r="T4729" s="270">
        <v>13743</v>
      </c>
      <c r="U4729" s="271" t="s">
        <v>3945</v>
      </c>
      <c r="V4729" s="267" t="s">
        <v>944</v>
      </c>
    </row>
    <row r="4730" spans="1:22" hidden="1" x14ac:dyDescent="0.25">
      <c r="A4730" s="266">
        <v>43698</v>
      </c>
      <c r="B4730" s="267">
        <v>2019</v>
      </c>
      <c r="C4730" s="267">
        <v>2020</v>
      </c>
      <c r="D4730" s="267">
        <v>1</v>
      </c>
      <c r="E4730" s="267">
        <v>1</v>
      </c>
      <c r="F4730" s="267" t="s">
        <v>944</v>
      </c>
      <c r="G4730" s="267" t="s">
        <v>3926</v>
      </c>
      <c r="H4730" s="267" t="s">
        <v>9355</v>
      </c>
      <c r="I4730" s="267" t="s">
        <v>953</v>
      </c>
      <c r="J4730" s="267" t="s">
        <v>3928</v>
      </c>
      <c r="K4730" s="267">
        <v>6518</v>
      </c>
      <c r="L4730" s="267">
        <v>165900</v>
      </c>
      <c r="M4730" s="267" t="s">
        <v>3943</v>
      </c>
      <c r="N4730" s="267" t="s">
        <v>3944</v>
      </c>
      <c r="O4730" s="267">
        <v>2579.9899999999998</v>
      </c>
      <c r="P4730" s="267" t="s">
        <v>3944</v>
      </c>
      <c r="Q4730" s="267" t="s">
        <v>3944</v>
      </c>
      <c r="R4730" s="267">
        <v>2579.9899999999998</v>
      </c>
      <c r="S4730" s="267">
        <v>42924.33</v>
      </c>
      <c r="T4730" s="267">
        <v>45504.32</v>
      </c>
      <c r="U4730" s="268" t="s">
        <v>3945</v>
      </c>
      <c r="V4730" s="267" t="s">
        <v>944</v>
      </c>
    </row>
    <row r="4731" spans="1:22" hidden="1" x14ac:dyDescent="0.25">
      <c r="A4731" s="269">
        <v>43698</v>
      </c>
      <c r="B4731" s="270">
        <v>2019</v>
      </c>
      <c r="C4731" s="270">
        <v>2020</v>
      </c>
      <c r="D4731" s="270">
        <v>1</v>
      </c>
      <c r="E4731" s="270">
        <v>1</v>
      </c>
      <c r="F4731" s="270" t="s">
        <v>944</v>
      </c>
      <c r="G4731" s="270" t="s">
        <v>3926</v>
      </c>
      <c r="H4731" s="270" t="s">
        <v>9356</v>
      </c>
      <c r="I4731" s="270" t="s">
        <v>956</v>
      </c>
      <c r="J4731" s="270" t="s">
        <v>3928</v>
      </c>
      <c r="K4731" s="270">
        <v>6614</v>
      </c>
      <c r="L4731" s="270">
        <v>81200</v>
      </c>
      <c r="M4731" s="270" t="s">
        <v>3943</v>
      </c>
      <c r="N4731" s="270" t="s">
        <v>3944</v>
      </c>
      <c r="O4731" s="270">
        <v>1058.1199999999999</v>
      </c>
      <c r="P4731" s="270" t="s">
        <v>3944</v>
      </c>
      <c r="Q4731" s="270" t="s">
        <v>3944</v>
      </c>
      <c r="R4731" s="270">
        <v>1058.1199999999999</v>
      </c>
      <c r="S4731" s="270">
        <v>16650.88</v>
      </c>
      <c r="T4731" s="270">
        <v>17709</v>
      </c>
      <c r="U4731" s="271" t="s">
        <v>3945</v>
      </c>
      <c r="V4731" s="267" t="s">
        <v>944</v>
      </c>
    </row>
    <row r="4732" spans="1:22" hidden="1" x14ac:dyDescent="0.25">
      <c r="A4732" s="266">
        <v>43698</v>
      </c>
      <c r="B4732" s="267">
        <v>2019</v>
      </c>
      <c r="C4732" s="267">
        <v>2020</v>
      </c>
      <c r="D4732" s="267">
        <v>1</v>
      </c>
      <c r="E4732" s="267">
        <v>1</v>
      </c>
      <c r="F4732" s="267" t="s">
        <v>944</v>
      </c>
      <c r="G4732" s="267" t="s">
        <v>3926</v>
      </c>
      <c r="H4732" s="267" t="s">
        <v>9357</v>
      </c>
      <c r="I4732" s="267" t="s">
        <v>3934</v>
      </c>
      <c r="J4732" s="267" t="s">
        <v>3928</v>
      </c>
      <c r="K4732" s="267">
        <v>6405</v>
      </c>
      <c r="L4732" s="267">
        <v>184300</v>
      </c>
      <c r="M4732" s="267" t="s">
        <v>3960</v>
      </c>
      <c r="N4732" s="267" t="s">
        <v>3944</v>
      </c>
      <c r="O4732" s="267">
        <v>1505.28</v>
      </c>
      <c r="P4732" s="267" t="s">
        <v>3944</v>
      </c>
      <c r="Q4732" s="267" t="s">
        <v>3944</v>
      </c>
      <c r="R4732" s="267">
        <v>1505.28</v>
      </c>
      <c r="S4732" s="267">
        <v>25847.95</v>
      </c>
      <c r="T4732" s="267">
        <v>27353.23</v>
      </c>
      <c r="U4732" s="268" t="s">
        <v>3945</v>
      </c>
      <c r="V4732" s="267" t="s">
        <v>944</v>
      </c>
    </row>
    <row r="4733" spans="1:22" hidden="1" x14ac:dyDescent="0.25">
      <c r="A4733" s="269">
        <v>43698</v>
      </c>
      <c r="B4733" s="270">
        <v>2019</v>
      </c>
      <c r="C4733" s="270">
        <v>2020</v>
      </c>
      <c r="D4733" s="270">
        <v>1</v>
      </c>
      <c r="E4733" s="270">
        <v>1</v>
      </c>
      <c r="F4733" s="270" t="s">
        <v>944</v>
      </c>
      <c r="G4733" s="270" t="s">
        <v>3926</v>
      </c>
      <c r="H4733" s="270" t="s">
        <v>9358</v>
      </c>
      <c r="I4733" s="270" t="s">
        <v>4011</v>
      </c>
      <c r="J4733" s="270" t="s">
        <v>3928</v>
      </c>
      <c r="K4733" s="270">
        <v>6002</v>
      </c>
      <c r="L4733" s="270">
        <v>471400</v>
      </c>
      <c r="M4733" s="270" t="s">
        <v>3943</v>
      </c>
      <c r="N4733" s="270" t="s">
        <v>3944</v>
      </c>
      <c r="O4733" s="270">
        <v>1126.1600000000001</v>
      </c>
      <c r="P4733" s="270" t="s">
        <v>3944</v>
      </c>
      <c r="Q4733" s="270" t="s">
        <v>3944</v>
      </c>
      <c r="R4733" s="270">
        <v>1126.1600000000001</v>
      </c>
      <c r="S4733" s="270">
        <v>17922.16</v>
      </c>
      <c r="T4733" s="270">
        <v>19048.32</v>
      </c>
      <c r="U4733" s="271" t="s">
        <v>3945</v>
      </c>
      <c r="V4733" s="267" t="s">
        <v>944</v>
      </c>
    </row>
    <row r="4734" spans="1:22" hidden="1" x14ac:dyDescent="0.25">
      <c r="A4734" s="266">
        <v>43698</v>
      </c>
      <c r="B4734" s="267">
        <v>2019</v>
      </c>
      <c r="C4734" s="267">
        <v>2020</v>
      </c>
      <c r="D4734" s="267">
        <v>1</v>
      </c>
      <c r="E4734" s="267">
        <v>1</v>
      </c>
      <c r="F4734" s="267" t="s">
        <v>944</v>
      </c>
      <c r="G4734" s="267" t="s">
        <v>3926</v>
      </c>
      <c r="H4734" s="267" t="s">
        <v>9359</v>
      </c>
      <c r="I4734" s="267" t="s">
        <v>4079</v>
      </c>
      <c r="J4734" s="267" t="s">
        <v>3928</v>
      </c>
      <c r="K4734" s="267">
        <v>6111</v>
      </c>
      <c r="L4734" s="267">
        <v>494201</v>
      </c>
      <c r="M4734" s="267" t="s">
        <v>3935</v>
      </c>
      <c r="N4734" s="267" t="s">
        <v>3944</v>
      </c>
      <c r="O4734" s="267">
        <v>2319.73</v>
      </c>
      <c r="P4734" s="267" t="s">
        <v>3944</v>
      </c>
      <c r="Q4734" s="267" t="s">
        <v>3944</v>
      </c>
      <c r="R4734" s="267">
        <v>2319.73</v>
      </c>
      <c r="S4734" s="267">
        <v>28252.37</v>
      </c>
      <c r="T4734" s="267">
        <v>30572.1</v>
      </c>
      <c r="U4734" s="268" t="s">
        <v>3945</v>
      </c>
      <c r="V4734" s="267" t="s">
        <v>944</v>
      </c>
    </row>
    <row r="4735" spans="1:22" x14ac:dyDescent="0.25">
      <c r="A4735" s="269">
        <v>43699</v>
      </c>
      <c r="B4735" s="270">
        <v>2019</v>
      </c>
      <c r="C4735" s="270">
        <v>2020</v>
      </c>
      <c r="D4735" s="270">
        <v>1</v>
      </c>
      <c r="E4735" s="270">
        <v>1</v>
      </c>
      <c r="F4735" s="270" t="s">
        <v>944</v>
      </c>
      <c r="G4735" s="270" t="s">
        <v>3926</v>
      </c>
      <c r="H4735" s="270" t="s">
        <v>9360</v>
      </c>
      <c r="I4735" s="270" t="s">
        <v>4213</v>
      </c>
      <c r="J4735" s="270" t="s">
        <v>3928</v>
      </c>
      <c r="K4735" s="270">
        <v>6050</v>
      </c>
      <c r="L4735" s="270">
        <v>417100</v>
      </c>
      <c r="M4735" s="270">
        <v>-60</v>
      </c>
      <c r="N4735" s="270" t="s">
        <v>8223</v>
      </c>
      <c r="O4735" s="270">
        <v>1063.51</v>
      </c>
      <c r="P4735" s="270" t="s">
        <v>3930</v>
      </c>
      <c r="Q4735" s="270" t="s">
        <v>3931</v>
      </c>
      <c r="R4735" s="270">
        <v>6063.51</v>
      </c>
      <c r="S4735" s="270">
        <v>12702.4</v>
      </c>
      <c r="T4735" s="270">
        <v>18765.91</v>
      </c>
      <c r="U4735" s="271" t="s">
        <v>3932</v>
      </c>
      <c r="V4735" s="267" t="s">
        <v>936</v>
      </c>
    </row>
    <row r="4736" spans="1:22" hidden="1" x14ac:dyDescent="0.25">
      <c r="A4736" s="266">
        <v>43699</v>
      </c>
      <c r="B4736" s="267">
        <v>2019</v>
      </c>
      <c r="C4736" s="267">
        <v>2020</v>
      </c>
      <c r="D4736" s="267">
        <v>1</v>
      </c>
      <c r="E4736" s="267">
        <v>1</v>
      </c>
      <c r="F4736" s="267" t="s">
        <v>944</v>
      </c>
      <c r="G4736" s="267" t="s">
        <v>3926</v>
      </c>
      <c r="H4736" s="267" t="s">
        <v>9361</v>
      </c>
      <c r="I4736" s="267" t="s">
        <v>4392</v>
      </c>
      <c r="J4736" s="267" t="s">
        <v>3928</v>
      </c>
      <c r="K4736" s="267">
        <v>6457</v>
      </c>
      <c r="L4736" s="267">
        <v>542100</v>
      </c>
      <c r="M4736" s="267" t="s">
        <v>3940</v>
      </c>
      <c r="N4736" s="267" t="s">
        <v>4701</v>
      </c>
      <c r="O4736" s="267">
        <v>2695.74</v>
      </c>
      <c r="P4736" s="267" t="s">
        <v>3930</v>
      </c>
      <c r="Q4736" s="267" t="s">
        <v>3931</v>
      </c>
      <c r="R4736" s="267">
        <v>7695.74</v>
      </c>
      <c r="S4736" s="267">
        <v>34648</v>
      </c>
      <c r="T4736" s="267">
        <v>42343.74</v>
      </c>
      <c r="U4736" s="268" t="s">
        <v>3932</v>
      </c>
      <c r="V4736" s="267" t="s">
        <v>944</v>
      </c>
    </row>
    <row r="4737" spans="1:22" hidden="1" x14ac:dyDescent="0.25">
      <c r="A4737" s="269">
        <v>43699</v>
      </c>
      <c r="B4737" s="270">
        <v>2019</v>
      </c>
      <c r="C4737" s="270">
        <v>2020</v>
      </c>
      <c r="D4737" s="270">
        <v>1</v>
      </c>
      <c r="E4737" s="270">
        <v>1</v>
      </c>
      <c r="F4737" s="270" t="s">
        <v>944</v>
      </c>
      <c r="G4737" s="270" t="s">
        <v>3926</v>
      </c>
      <c r="H4737" s="270" t="s">
        <v>9362</v>
      </c>
      <c r="I4737" s="270" t="s">
        <v>4392</v>
      </c>
      <c r="J4737" s="270" t="s">
        <v>3928</v>
      </c>
      <c r="K4737" s="270">
        <v>6457</v>
      </c>
      <c r="L4737" s="270">
        <v>542100</v>
      </c>
      <c r="M4737" s="270" t="s">
        <v>3940</v>
      </c>
      <c r="N4737" s="270" t="s">
        <v>9363</v>
      </c>
      <c r="O4737" s="270">
        <v>0</v>
      </c>
      <c r="P4737" s="270" t="s">
        <v>3930</v>
      </c>
      <c r="Q4737" s="270" t="s">
        <v>3930</v>
      </c>
      <c r="R4737" s="270">
        <v>0</v>
      </c>
      <c r="S4737" s="270">
        <v>10953</v>
      </c>
      <c r="T4737" s="270">
        <v>10953</v>
      </c>
      <c r="U4737" s="271" t="s">
        <v>3937</v>
      </c>
      <c r="V4737" s="267" t="s">
        <v>944</v>
      </c>
    </row>
    <row r="4738" spans="1:22" hidden="1" x14ac:dyDescent="0.25">
      <c r="A4738" s="266">
        <v>43699</v>
      </c>
      <c r="B4738" s="267">
        <v>2019</v>
      </c>
      <c r="C4738" s="267">
        <v>2020</v>
      </c>
      <c r="D4738" s="267">
        <v>1</v>
      </c>
      <c r="E4738" s="267">
        <v>1</v>
      </c>
      <c r="F4738" s="267" t="s">
        <v>944</v>
      </c>
      <c r="G4738" s="267" t="s">
        <v>3926</v>
      </c>
      <c r="H4738" s="267" t="s">
        <v>9364</v>
      </c>
      <c r="I4738" s="267" t="s">
        <v>950</v>
      </c>
      <c r="J4738" s="267" t="s">
        <v>3928</v>
      </c>
      <c r="K4738" s="267">
        <v>6516</v>
      </c>
      <c r="L4738" s="267">
        <v>154200</v>
      </c>
      <c r="M4738" s="267" t="s">
        <v>3940</v>
      </c>
      <c r="N4738" s="267" t="s">
        <v>4701</v>
      </c>
      <c r="O4738" s="267">
        <v>5697.81</v>
      </c>
      <c r="P4738" s="267" t="s">
        <v>3930</v>
      </c>
      <c r="Q4738" s="267" t="s">
        <v>3931</v>
      </c>
      <c r="R4738" s="267">
        <v>10697.81</v>
      </c>
      <c r="S4738" s="267">
        <v>34648</v>
      </c>
      <c r="T4738" s="267">
        <v>45345.81</v>
      </c>
      <c r="U4738" s="268" t="s">
        <v>3932</v>
      </c>
      <c r="V4738" s="267" t="s">
        <v>944</v>
      </c>
    </row>
    <row r="4739" spans="1:22" hidden="1" x14ac:dyDescent="0.25">
      <c r="A4739" s="269">
        <v>43699</v>
      </c>
      <c r="B4739" s="270">
        <v>2019</v>
      </c>
      <c r="C4739" s="270">
        <v>2020</v>
      </c>
      <c r="D4739" s="270">
        <v>1</v>
      </c>
      <c r="E4739" s="270">
        <v>1</v>
      </c>
      <c r="F4739" s="270" t="s">
        <v>944</v>
      </c>
      <c r="G4739" s="270" t="s">
        <v>3926</v>
      </c>
      <c r="H4739" s="270" t="s">
        <v>9365</v>
      </c>
      <c r="I4739" s="270" t="s">
        <v>4323</v>
      </c>
      <c r="J4739" s="270" t="s">
        <v>3928</v>
      </c>
      <c r="K4739" s="270">
        <v>6385</v>
      </c>
      <c r="L4739" s="270">
        <v>693500</v>
      </c>
      <c r="M4739" s="270" t="s">
        <v>3943</v>
      </c>
      <c r="N4739" s="270" t="s">
        <v>3944</v>
      </c>
      <c r="O4739" s="270">
        <v>5702</v>
      </c>
      <c r="P4739" s="270" t="s">
        <v>3944</v>
      </c>
      <c r="Q4739" s="270" t="s">
        <v>3944</v>
      </c>
      <c r="R4739" s="270">
        <v>5702</v>
      </c>
      <c r="S4739" s="270">
        <v>69048.399999999994</v>
      </c>
      <c r="T4739" s="270">
        <v>74750.399999999994</v>
      </c>
      <c r="U4739" s="271" t="s">
        <v>3945</v>
      </c>
      <c r="V4739" s="267" t="s">
        <v>944</v>
      </c>
    </row>
    <row r="4740" spans="1:22" hidden="1" x14ac:dyDescent="0.25">
      <c r="A4740" s="266">
        <v>43699</v>
      </c>
      <c r="B4740" s="267">
        <v>2019</v>
      </c>
      <c r="C4740" s="267">
        <v>2020</v>
      </c>
      <c r="D4740" s="267">
        <v>1</v>
      </c>
      <c r="E4740" s="267">
        <v>1</v>
      </c>
      <c r="F4740" s="267" t="s">
        <v>944</v>
      </c>
      <c r="G4740" s="267" t="s">
        <v>3926</v>
      </c>
      <c r="H4740" s="267" t="s">
        <v>9366</v>
      </c>
      <c r="I4740" s="267" t="s">
        <v>5010</v>
      </c>
      <c r="J4740" s="267" t="s">
        <v>3928</v>
      </c>
      <c r="K4740" s="267">
        <v>6365</v>
      </c>
      <c r="L4740" s="267">
        <v>700100</v>
      </c>
      <c r="M4740" s="267" t="s">
        <v>3935</v>
      </c>
      <c r="N4740" s="267" t="s">
        <v>3944</v>
      </c>
      <c r="O4740" s="267">
        <v>1491.18</v>
      </c>
      <c r="P4740" s="267" t="s">
        <v>3944</v>
      </c>
      <c r="Q4740" s="267" t="s">
        <v>3944</v>
      </c>
      <c r="R4740" s="267">
        <v>1491.18</v>
      </c>
      <c r="S4740" s="267">
        <v>15062.82</v>
      </c>
      <c r="T4740" s="267">
        <v>16554</v>
      </c>
      <c r="U4740" s="268" t="s">
        <v>3945</v>
      </c>
      <c r="V4740" s="267" t="s">
        <v>944</v>
      </c>
    </row>
    <row r="4741" spans="1:22" hidden="1" x14ac:dyDescent="0.25">
      <c r="A4741" s="269">
        <v>43699</v>
      </c>
      <c r="B4741" s="270">
        <v>2019</v>
      </c>
      <c r="C4741" s="270">
        <v>2020</v>
      </c>
      <c r="D4741" s="270">
        <v>1</v>
      </c>
      <c r="E4741" s="270">
        <v>1</v>
      </c>
      <c r="F4741" s="270" t="s">
        <v>944</v>
      </c>
      <c r="G4741" s="270" t="s">
        <v>3926</v>
      </c>
      <c r="H4741" s="270" t="s">
        <v>9367</v>
      </c>
      <c r="I4741" s="270" t="s">
        <v>3025</v>
      </c>
      <c r="J4741" s="270" t="s">
        <v>3928</v>
      </c>
      <c r="K4741" s="270">
        <v>6473</v>
      </c>
      <c r="L4741" s="270">
        <v>167100</v>
      </c>
      <c r="M4741" s="270" t="s">
        <v>3943</v>
      </c>
      <c r="N4741" s="270" t="s">
        <v>3944</v>
      </c>
      <c r="O4741" s="270">
        <v>1392.44</v>
      </c>
      <c r="P4741" s="270" t="s">
        <v>3944</v>
      </c>
      <c r="Q4741" s="270" t="s">
        <v>3944</v>
      </c>
      <c r="R4741" s="270">
        <v>1392.44</v>
      </c>
      <c r="S4741" s="270">
        <v>13085</v>
      </c>
      <c r="T4741" s="270">
        <v>14477.44</v>
      </c>
      <c r="U4741" s="271" t="s">
        <v>3945</v>
      </c>
      <c r="V4741" s="267" t="s">
        <v>944</v>
      </c>
    </row>
    <row r="4742" spans="1:22" hidden="1" x14ac:dyDescent="0.25">
      <c r="A4742" s="266">
        <v>43699</v>
      </c>
      <c r="B4742" s="267">
        <v>2019</v>
      </c>
      <c r="C4742" s="267">
        <v>2020</v>
      </c>
      <c r="D4742" s="267">
        <v>1</v>
      </c>
      <c r="E4742" s="267">
        <v>1</v>
      </c>
      <c r="F4742" s="267" t="s">
        <v>944</v>
      </c>
      <c r="G4742" s="267" t="s">
        <v>3926</v>
      </c>
      <c r="H4742" s="267" t="s">
        <v>9368</v>
      </c>
      <c r="I4742" s="267" t="s">
        <v>4197</v>
      </c>
      <c r="J4742" s="267" t="s">
        <v>3928</v>
      </c>
      <c r="K4742" s="267">
        <v>6812</v>
      </c>
      <c r="L4742" s="267">
        <v>220300</v>
      </c>
      <c r="M4742" s="267" t="s">
        <v>3943</v>
      </c>
      <c r="N4742" s="267" t="s">
        <v>3944</v>
      </c>
      <c r="O4742" s="267">
        <v>1934.17</v>
      </c>
      <c r="P4742" s="267" t="s">
        <v>3944</v>
      </c>
      <c r="Q4742" s="267" t="s">
        <v>3944</v>
      </c>
      <c r="R4742" s="267">
        <v>1934.17</v>
      </c>
      <c r="S4742" s="267">
        <v>19495</v>
      </c>
      <c r="T4742" s="267">
        <v>21429.17</v>
      </c>
      <c r="U4742" s="268" t="s">
        <v>3945</v>
      </c>
      <c r="V4742" s="267" t="s">
        <v>944</v>
      </c>
    </row>
    <row r="4743" spans="1:22" hidden="1" x14ac:dyDescent="0.25">
      <c r="A4743" s="269">
        <v>43699</v>
      </c>
      <c r="B4743" s="270">
        <v>2019</v>
      </c>
      <c r="C4743" s="270">
        <v>2020</v>
      </c>
      <c r="D4743" s="270">
        <v>1</v>
      </c>
      <c r="E4743" s="270">
        <v>1</v>
      </c>
      <c r="F4743" s="270" t="s">
        <v>944</v>
      </c>
      <c r="G4743" s="270" t="s">
        <v>3926</v>
      </c>
      <c r="H4743" s="270" t="s">
        <v>9369</v>
      </c>
      <c r="I4743" s="270" t="s">
        <v>4016</v>
      </c>
      <c r="J4743" s="270" t="s">
        <v>3928</v>
      </c>
      <c r="K4743" s="270">
        <v>6770</v>
      </c>
      <c r="L4743" s="270">
        <v>345201</v>
      </c>
      <c r="M4743" s="270" t="s">
        <v>3935</v>
      </c>
      <c r="N4743" s="270" t="s">
        <v>3944</v>
      </c>
      <c r="O4743" s="270">
        <v>1848.74</v>
      </c>
      <c r="P4743" s="270" t="s">
        <v>3944</v>
      </c>
      <c r="Q4743" s="270" t="s">
        <v>3944</v>
      </c>
      <c r="R4743" s="270">
        <v>1848.74</v>
      </c>
      <c r="S4743" s="270">
        <v>18537</v>
      </c>
      <c r="T4743" s="270">
        <v>20385.740000000002</v>
      </c>
      <c r="U4743" s="271" t="s">
        <v>3945</v>
      </c>
      <c r="V4743" s="267" t="s">
        <v>944</v>
      </c>
    </row>
    <row r="4744" spans="1:22" hidden="1" x14ac:dyDescent="0.25">
      <c r="A4744" s="266">
        <v>43700</v>
      </c>
      <c r="B4744" s="267">
        <v>2019</v>
      </c>
      <c r="C4744" s="267">
        <v>2020</v>
      </c>
      <c r="D4744" s="267">
        <v>1</v>
      </c>
      <c r="E4744" s="267">
        <v>1</v>
      </c>
      <c r="F4744" s="267" t="s">
        <v>944</v>
      </c>
      <c r="G4744" s="267" t="s">
        <v>3926</v>
      </c>
      <c r="H4744" s="267" t="s">
        <v>9370</v>
      </c>
      <c r="I4744" s="267" t="s">
        <v>4269</v>
      </c>
      <c r="J4744" s="267" t="s">
        <v>3928</v>
      </c>
      <c r="K4744" s="267">
        <v>6107</v>
      </c>
      <c r="L4744" s="267">
        <v>497400</v>
      </c>
      <c r="M4744" s="267" t="s">
        <v>3943</v>
      </c>
      <c r="N4744" s="267" t="s">
        <v>4103</v>
      </c>
      <c r="O4744" s="267">
        <v>1966.34</v>
      </c>
      <c r="P4744" s="267" t="s">
        <v>3930</v>
      </c>
      <c r="Q4744" s="267" t="s">
        <v>3931</v>
      </c>
      <c r="R4744" s="267">
        <v>6966.34</v>
      </c>
      <c r="S4744" s="267">
        <v>24145.599999999999</v>
      </c>
      <c r="T4744" s="267">
        <v>31111.94</v>
      </c>
      <c r="U4744" s="268" t="s">
        <v>3932</v>
      </c>
      <c r="V4744" s="267" t="s">
        <v>944</v>
      </c>
    </row>
    <row r="4745" spans="1:22" hidden="1" x14ac:dyDescent="0.25">
      <c r="A4745" s="269">
        <v>43700</v>
      </c>
      <c r="B4745" s="270">
        <v>2019</v>
      </c>
      <c r="C4745" s="270">
        <v>2020</v>
      </c>
      <c r="D4745" s="270">
        <v>1</v>
      </c>
      <c r="E4745" s="270">
        <v>1</v>
      </c>
      <c r="F4745" s="270" t="s">
        <v>944</v>
      </c>
      <c r="G4745" s="270" t="s">
        <v>3926</v>
      </c>
      <c r="H4745" s="270" t="s">
        <v>9371</v>
      </c>
      <c r="I4745" s="270" t="s">
        <v>4407</v>
      </c>
      <c r="J4745" s="270" t="s">
        <v>3928</v>
      </c>
      <c r="K4745" s="270">
        <v>6238</v>
      </c>
      <c r="L4745" s="270">
        <v>850200</v>
      </c>
      <c r="M4745" s="270" t="s">
        <v>3960</v>
      </c>
      <c r="N4745" s="270" t="s">
        <v>9372</v>
      </c>
      <c r="O4745" s="270">
        <v>0</v>
      </c>
      <c r="P4745" s="270" t="s">
        <v>3930</v>
      </c>
      <c r="Q4745" s="270" t="s">
        <v>3930</v>
      </c>
      <c r="R4745" s="270">
        <v>0</v>
      </c>
      <c r="S4745" s="270">
        <v>7379</v>
      </c>
      <c r="T4745" s="270">
        <v>7379</v>
      </c>
      <c r="U4745" s="271" t="s">
        <v>3937</v>
      </c>
      <c r="V4745" s="267" t="s">
        <v>944</v>
      </c>
    </row>
    <row r="4746" spans="1:22" hidden="1" x14ac:dyDescent="0.25">
      <c r="A4746" s="266">
        <v>43700</v>
      </c>
      <c r="B4746" s="267">
        <v>2019</v>
      </c>
      <c r="C4746" s="267">
        <v>2020</v>
      </c>
      <c r="D4746" s="267">
        <v>1</v>
      </c>
      <c r="E4746" s="267">
        <v>1</v>
      </c>
      <c r="F4746" s="267" t="s">
        <v>944</v>
      </c>
      <c r="G4746" s="267" t="s">
        <v>3926</v>
      </c>
      <c r="H4746" s="267" t="s">
        <v>9373</v>
      </c>
      <c r="I4746" s="267" t="s">
        <v>943</v>
      </c>
      <c r="J4746" s="267" t="s">
        <v>3928</v>
      </c>
      <c r="K4746" s="267">
        <v>6515</v>
      </c>
      <c r="L4746" s="267">
        <v>141100</v>
      </c>
      <c r="M4746" s="267" t="s">
        <v>3960</v>
      </c>
      <c r="N4746" s="267" t="s">
        <v>3983</v>
      </c>
      <c r="O4746" s="267">
        <v>1166.8</v>
      </c>
      <c r="P4746" s="267" t="s">
        <v>3930</v>
      </c>
      <c r="Q4746" s="267" t="s">
        <v>3931</v>
      </c>
      <c r="R4746" s="267">
        <v>6166.8</v>
      </c>
      <c r="S4746" s="267">
        <v>16504</v>
      </c>
      <c r="T4746" s="267">
        <v>22670.799999999999</v>
      </c>
      <c r="U4746" s="268" t="s">
        <v>3932</v>
      </c>
      <c r="V4746" s="267" t="s">
        <v>944</v>
      </c>
    </row>
    <row r="4747" spans="1:22" hidden="1" x14ac:dyDescent="0.25">
      <c r="A4747" s="269">
        <v>43700</v>
      </c>
      <c r="B4747" s="270">
        <v>2019</v>
      </c>
      <c r="C4747" s="270">
        <v>2020</v>
      </c>
      <c r="D4747" s="270">
        <v>1</v>
      </c>
      <c r="E4747" s="270">
        <v>1</v>
      </c>
      <c r="F4747" s="270" t="s">
        <v>944</v>
      </c>
      <c r="G4747" s="270" t="s">
        <v>3926</v>
      </c>
      <c r="H4747" s="270" t="s">
        <v>9374</v>
      </c>
      <c r="I4747" s="270" t="s">
        <v>3985</v>
      </c>
      <c r="J4747" s="270" t="s">
        <v>3928</v>
      </c>
      <c r="K4747" s="270">
        <v>6226</v>
      </c>
      <c r="L4747" s="270">
        <v>800500</v>
      </c>
      <c r="M4747" s="270" t="s">
        <v>3940</v>
      </c>
      <c r="N4747" s="270" t="s">
        <v>4103</v>
      </c>
      <c r="O4747" s="270">
        <v>1960.74</v>
      </c>
      <c r="P4747" s="270" t="s">
        <v>3930</v>
      </c>
      <c r="Q4747" s="270" t="s">
        <v>3931</v>
      </c>
      <c r="R4747" s="270">
        <v>6960.74</v>
      </c>
      <c r="S4747" s="270">
        <v>24145.599999999999</v>
      </c>
      <c r="T4747" s="270">
        <v>31106.34</v>
      </c>
      <c r="U4747" s="271" t="s">
        <v>3932</v>
      </c>
      <c r="V4747" s="267" t="s">
        <v>944</v>
      </c>
    </row>
    <row r="4748" spans="1:22" hidden="1" x14ac:dyDescent="0.25">
      <c r="A4748" s="266">
        <v>43700</v>
      </c>
      <c r="B4748" s="267">
        <v>2019</v>
      </c>
      <c r="C4748" s="267">
        <v>2020</v>
      </c>
      <c r="D4748" s="267">
        <v>1</v>
      </c>
      <c r="E4748" s="267">
        <v>1</v>
      </c>
      <c r="F4748" s="267" t="s">
        <v>944</v>
      </c>
      <c r="G4748" s="267" t="s">
        <v>3997</v>
      </c>
      <c r="H4748" s="267" t="s">
        <v>9375</v>
      </c>
      <c r="I4748" s="267" t="s">
        <v>3999</v>
      </c>
      <c r="J4748" s="267" t="s">
        <v>3928</v>
      </c>
      <c r="K4748" s="267">
        <v>6450</v>
      </c>
      <c r="L4748" s="267">
        <v>171200</v>
      </c>
      <c r="M4748" s="267" t="s">
        <v>3960</v>
      </c>
      <c r="N4748" s="267" t="s">
        <v>3944</v>
      </c>
      <c r="O4748" s="267">
        <v>2654</v>
      </c>
      <c r="P4748" s="267" t="s">
        <v>3944</v>
      </c>
      <c r="Q4748" s="267" t="s">
        <v>3944</v>
      </c>
      <c r="R4748" s="267">
        <v>2654</v>
      </c>
      <c r="S4748" s="267">
        <v>25696</v>
      </c>
      <c r="T4748" s="267">
        <v>28350</v>
      </c>
      <c r="U4748" s="268" t="s">
        <v>3945</v>
      </c>
      <c r="V4748" s="267" t="s">
        <v>944</v>
      </c>
    </row>
    <row r="4749" spans="1:22" hidden="1" x14ac:dyDescent="0.25">
      <c r="A4749" s="269">
        <v>43700</v>
      </c>
      <c r="B4749" s="270">
        <v>2019</v>
      </c>
      <c r="C4749" s="270">
        <v>2020</v>
      </c>
      <c r="D4749" s="270">
        <v>1</v>
      </c>
      <c r="E4749" s="270">
        <v>1</v>
      </c>
      <c r="F4749" s="270" t="s">
        <v>944</v>
      </c>
      <c r="G4749" s="270" t="s">
        <v>3926</v>
      </c>
      <c r="H4749" s="270" t="s">
        <v>9376</v>
      </c>
      <c r="I4749" s="270" t="s">
        <v>7169</v>
      </c>
      <c r="J4749" s="270" t="s">
        <v>3928</v>
      </c>
      <c r="K4749" s="270">
        <v>6069</v>
      </c>
      <c r="L4749" s="270">
        <v>262100</v>
      </c>
      <c r="M4749" s="270" t="s">
        <v>3935</v>
      </c>
      <c r="N4749" s="270" t="s">
        <v>3944</v>
      </c>
      <c r="O4749" s="270">
        <v>3516</v>
      </c>
      <c r="P4749" s="270" t="s">
        <v>3944</v>
      </c>
      <c r="Q4749" s="270" t="s">
        <v>3944</v>
      </c>
      <c r="R4749" s="270">
        <v>3516</v>
      </c>
      <c r="S4749" s="270">
        <v>19284</v>
      </c>
      <c r="T4749" s="270">
        <v>22800</v>
      </c>
      <c r="U4749" s="271" t="s">
        <v>3945</v>
      </c>
      <c r="V4749" s="267" t="s">
        <v>944</v>
      </c>
    </row>
    <row r="4750" spans="1:22" hidden="1" x14ac:dyDescent="0.25">
      <c r="A4750" s="266">
        <v>43700</v>
      </c>
      <c r="B4750" s="267">
        <v>2019</v>
      </c>
      <c r="C4750" s="267">
        <v>2020</v>
      </c>
      <c r="D4750" s="267">
        <v>1</v>
      </c>
      <c r="E4750" s="267">
        <v>1</v>
      </c>
      <c r="F4750" s="267" t="s">
        <v>944</v>
      </c>
      <c r="G4750" s="267" t="s">
        <v>3926</v>
      </c>
      <c r="H4750" s="267" t="s">
        <v>9377</v>
      </c>
      <c r="I4750" s="267" t="s">
        <v>5127</v>
      </c>
      <c r="J4750" s="267" t="s">
        <v>3928</v>
      </c>
      <c r="K4750" s="267">
        <v>6759</v>
      </c>
      <c r="L4750" s="267">
        <v>300500</v>
      </c>
      <c r="M4750" s="267" t="s">
        <v>3935</v>
      </c>
      <c r="N4750" s="267" t="s">
        <v>3944</v>
      </c>
      <c r="O4750" s="267">
        <v>4205</v>
      </c>
      <c r="P4750" s="267" t="s">
        <v>3944</v>
      </c>
      <c r="Q4750" s="267" t="s">
        <v>3944</v>
      </c>
      <c r="R4750" s="267">
        <v>4205</v>
      </c>
      <c r="S4750" s="267">
        <v>29640</v>
      </c>
      <c r="T4750" s="267">
        <v>33845</v>
      </c>
      <c r="U4750" s="268" t="s">
        <v>3945</v>
      </c>
      <c r="V4750" s="267" t="s">
        <v>944</v>
      </c>
    </row>
    <row r="4751" spans="1:22" hidden="1" x14ac:dyDescent="0.25">
      <c r="A4751" s="269">
        <v>43700</v>
      </c>
      <c r="B4751" s="270">
        <v>2019</v>
      </c>
      <c r="C4751" s="270">
        <v>2020</v>
      </c>
      <c r="D4751" s="270">
        <v>1</v>
      </c>
      <c r="E4751" s="270">
        <v>1</v>
      </c>
      <c r="F4751" s="270" t="s">
        <v>944</v>
      </c>
      <c r="G4751" s="270" t="s">
        <v>3926</v>
      </c>
      <c r="H4751" s="270" t="s">
        <v>9378</v>
      </c>
      <c r="I4751" s="270" t="s">
        <v>4040</v>
      </c>
      <c r="J4751" s="270" t="s">
        <v>3928</v>
      </c>
      <c r="K4751" s="270">
        <v>6335</v>
      </c>
      <c r="L4751" s="270">
        <v>701200</v>
      </c>
      <c r="M4751" s="270" t="s">
        <v>3960</v>
      </c>
      <c r="N4751" s="270" t="s">
        <v>3944</v>
      </c>
      <c r="O4751" s="270">
        <v>3187</v>
      </c>
      <c r="P4751" s="270" t="s">
        <v>3944</v>
      </c>
      <c r="Q4751" s="270" t="s">
        <v>3944</v>
      </c>
      <c r="R4751" s="270">
        <v>3187</v>
      </c>
      <c r="S4751" s="270">
        <v>23126</v>
      </c>
      <c r="T4751" s="270">
        <v>26313</v>
      </c>
      <c r="U4751" s="271" t="s">
        <v>3945</v>
      </c>
      <c r="V4751" s="267" t="s">
        <v>944</v>
      </c>
    </row>
    <row r="4752" spans="1:22" hidden="1" x14ac:dyDescent="0.25">
      <c r="A4752" s="266">
        <v>43700</v>
      </c>
      <c r="B4752" s="267">
        <v>2019</v>
      </c>
      <c r="C4752" s="267">
        <v>2020</v>
      </c>
      <c r="D4752" s="267">
        <v>1</v>
      </c>
      <c r="E4752" s="267">
        <v>1</v>
      </c>
      <c r="F4752" s="267" t="s">
        <v>944</v>
      </c>
      <c r="G4752" s="267" t="s">
        <v>3926</v>
      </c>
      <c r="H4752" s="267" t="s">
        <v>9379</v>
      </c>
      <c r="I4752" s="267" t="s">
        <v>3993</v>
      </c>
      <c r="J4752" s="267" t="s">
        <v>3928</v>
      </c>
      <c r="K4752" s="267">
        <v>6415</v>
      </c>
      <c r="L4752" s="267">
        <v>714103</v>
      </c>
      <c r="M4752" s="267" t="s">
        <v>3943</v>
      </c>
      <c r="N4752" s="267" t="s">
        <v>3944</v>
      </c>
      <c r="O4752" s="267">
        <v>3690</v>
      </c>
      <c r="P4752" s="267" t="s">
        <v>3944</v>
      </c>
      <c r="Q4752" s="267" t="s">
        <v>3944</v>
      </c>
      <c r="R4752" s="267">
        <v>3690</v>
      </c>
      <c r="S4752" s="267">
        <v>37782</v>
      </c>
      <c r="T4752" s="267">
        <v>41472</v>
      </c>
      <c r="U4752" s="268" t="s">
        <v>3945</v>
      </c>
      <c r="V4752" s="267" t="s">
        <v>944</v>
      </c>
    </row>
    <row r="4753" spans="1:22" hidden="1" x14ac:dyDescent="0.25">
      <c r="A4753" s="269">
        <v>43700</v>
      </c>
      <c r="B4753" s="270">
        <v>2019</v>
      </c>
      <c r="C4753" s="270">
        <v>2020</v>
      </c>
      <c r="D4753" s="270">
        <v>1</v>
      </c>
      <c r="E4753" s="270">
        <v>1</v>
      </c>
      <c r="F4753" s="270" t="s">
        <v>944</v>
      </c>
      <c r="G4753" s="270" t="s">
        <v>3926</v>
      </c>
      <c r="H4753" s="270" t="s">
        <v>9380</v>
      </c>
      <c r="I4753" s="270" t="s">
        <v>4392</v>
      </c>
      <c r="J4753" s="270" t="s">
        <v>3928</v>
      </c>
      <c r="K4753" s="270">
        <v>6457</v>
      </c>
      <c r="L4753" s="270">
        <v>680200</v>
      </c>
      <c r="M4753" s="270" t="s">
        <v>3935</v>
      </c>
      <c r="N4753" s="270" t="s">
        <v>3944</v>
      </c>
      <c r="O4753" s="270">
        <v>4990</v>
      </c>
      <c r="P4753" s="270" t="s">
        <v>3944</v>
      </c>
      <c r="Q4753" s="270" t="s">
        <v>3944</v>
      </c>
      <c r="R4753" s="270">
        <v>4990</v>
      </c>
      <c r="S4753" s="270">
        <v>34446.199999999997</v>
      </c>
      <c r="T4753" s="270">
        <v>39436.199999999997</v>
      </c>
      <c r="U4753" s="271" t="s">
        <v>3945</v>
      </c>
      <c r="V4753" s="267" t="s">
        <v>944</v>
      </c>
    </row>
    <row r="4754" spans="1:22" hidden="1" x14ac:dyDescent="0.25">
      <c r="A4754" s="266">
        <v>43700</v>
      </c>
      <c r="B4754" s="267">
        <v>2019</v>
      </c>
      <c r="C4754" s="267">
        <v>2020</v>
      </c>
      <c r="D4754" s="267">
        <v>1</v>
      </c>
      <c r="E4754" s="267">
        <v>1</v>
      </c>
      <c r="F4754" s="267" t="s">
        <v>944</v>
      </c>
      <c r="G4754" s="267" t="s">
        <v>3926</v>
      </c>
      <c r="H4754" s="267" t="s">
        <v>9381</v>
      </c>
      <c r="I4754" s="267" t="s">
        <v>4124</v>
      </c>
      <c r="J4754" s="267" t="s">
        <v>3928</v>
      </c>
      <c r="K4754" s="267">
        <v>6470</v>
      </c>
      <c r="L4754" s="267">
        <v>230400</v>
      </c>
      <c r="M4754" s="267" t="s">
        <v>3943</v>
      </c>
      <c r="N4754" s="267" t="s">
        <v>3944</v>
      </c>
      <c r="O4754" s="267">
        <v>8160</v>
      </c>
      <c r="P4754" s="267" t="s">
        <v>3944</v>
      </c>
      <c r="Q4754" s="267" t="s">
        <v>3944</v>
      </c>
      <c r="R4754" s="267">
        <v>8160</v>
      </c>
      <c r="S4754" s="267">
        <v>67450</v>
      </c>
      <c r="T4754" s="267">
        <v>75610</v>
      </c>
      <c r="U4754" s="268" t="s">
        <v>3945</v>
      </c>
      <c r="V4754" s="267" t="s">
        <v>944</v>
      </c>
    </row>
    <row r="4755" spans="1:22" hidden="1" x14ac:dyDescent="0.25">
      <c r="A4755" s="269">
        <v>43700</v>
      </c>
      <c r="B4755" s="270">
        <v>2019</v>
      </c>
      <c r="C4755" s="270">
        <v>2020</v>
      </c>
      <c r="D4755" s="270">
        <v>1</v>
      </c>
      <c r="E4755" s="270">
        <v>1</v>
      </c>
      <c r="F4755" s="270" t="s">
        <v>944</v>
      </c>
      <c r="G4755" s="270" t="s">
        <v>3926</v>
      </c>
      <c r="H4755" s="270" t="s">
        <v>9382</v>
      </c>
      <c r="I4755" s="270" t="s">
        <v>4548</v>
      </c>
      <c r="J4755" s="270" t="s">
        <v>3928</v>
      </c>
      <c r="K4755" s="270">
        <v>6037</v>
      </c>
      <c r="L4755" s="270">
        <v>400200</v>
      </c>
      <c r="M4755" s="270" t="s">
        <v>3943</v>
      </c>
      <c r="N4755" s="270" t="s">
        <v>3944</v>
      </c>
      <c r="O4755" s="270">
        <v>3187</v>
      </c>
      <c r="P4755" s="270" t="s">
        <v>3944</v>
      </c>
      <c r="Q4755" s="270" t="s">
        <v>3944</v>
      </c>
      <c r="R4755" s="270">
        <v>3187</v>
      </c>
      <c r="S4755" s="270">
        <v>24008</v>
      </c>
      <c r="T4755" s="270">
        <v>27195</v>
      </c>
      <c r="U4755" s="271" t="s">
        <v>3945</v>
      </c>
      <c r="V4755" s="267" t="s">
        <v>944</v>
      </c>
    </row>
    <row r="4756" spans="1:22" hidden="1" x14ac:dyDescent="0.25">
      <c r="A4756" s="266">
        <v>43700</v>
      </c>
      <c r="B4756" s="267">
        <v>2019</v>
      </c>
      <c r="C4756" s="267">
        <v>2020</v>
      </c>
      <c r="D4756" s="267">
        <v>1</v>
      </c>
      <c r="E4756" s="267">
        <v>1</v>
      </c>
      <c r="F4756" s="267" t="s">
        <v>944</v>
      </c>
      <c r="G4756" s="267" t="s">
        <v>3926</v>
      </c>
      <c r="H4756" s="267" t="s">
        <v>9383</v>
      </c>
      <c r="I4756" s="267" t="s">
        <v>4621</v>
      </c>
      <c r="J4756" s="267" t="s">
        <v>3928</v>
      </c>
      <c r="K4756" s="267">
        <v>6443</v>
      </c>
      <c r="L4756" s="267">
        <v>194100</v>
      </c>
      <c r="M4756" s="267" t="s">
        <v>3935</v>
      </c>
      <c r="N4756" s="267" t="s">
        <v>3944</v>
      </c>
      <c r="O4756" s="267">
        <v>2405</v>
      </c>
      <c r="P4756" s="267" t="s">
        <v>3944</v>
      </c>
      <c r="Q4756" s="267" t="s">
        <v>3944</v>
      </c>
      <c r="R4756" s="267">
        <v>2405</v>
      </c>
      <c r="S4756" s="267">
        <v>20395</v>
      </c>
      <c r="T4756" s="267">
        <v>22800</v>
      </c>
      <c r="U4756" s="268" t="s">
        <v>3945</v>
      </c>
      <c r="V4756" s="267" t="s">
        <v>944</v>
      </c>
    </row>
    <row r="4757" spans="1:22" hidden="1" x14ac:dyDescent="0.25">
      <c r="A4757" s="269">
        <v>43700</v>
      </c>
      <c r="B4757" s="270">
        <v>2019</v>
      </c>
      <c r="C4757" s="270">
        <v>2020</v>
      </c>
      <c r="D4757" s="270">
        <v>1</v>
      </c>
      <c r="E4757" s="270">
        <v>1</v>
      </c>
      <c r="F4757" s="270" t="s">
        <v>944</v>
      </c>
      <c r="G4757" s="270" t="s">
        <v>3926</v>
      </c>
      <c r="H4757" s="270" t="s">
        <v>9384</v>
      </c>
      <c r="I4757" s="270" t="s">
        <v>3008</v>
      </c>
      <c r="J4757" s="270" t="s">
        <v>3928</v>
      </c>
      <c r="K4757" s="270">
        <v>6460</v>
      </c>
      <c r="L4757" s="270">
        <v>151100</v>
      </c>
      <c r="M4757" s="270" t="s">
        <v>3960</v>
      </c>
      <c r="N4757" s="270" t="s">
        <v>3944</v>
      </c>
      <c r="O4757" s="270">
        <v>2371</v>
      </c>
      <c r="P4757" s="270" t="s">
        <v>3944</v>
      </c>
      <c r="Q4757" s="270" t="s">
        <v>3944</v>
      </c>
      <c r="R4757" s="270">
        <v>2371</v>
      </c>
      <c r="S4757" s="270">
        <v>16683</v>
      </c>
      <c r="T4757" s="270">
        <v>19054</v>
      </c>
      <c r="U4757" s="271" t="s">
        <v>3945</v>
      </c>
      <c r="V4757" s="267" t="s">
        <v>944</v>
      </c>
    </row>
    <row r="4758" spans="1:22" hidden="1" x14ac:dyDescent="0.25">
      <c r="A4758" s="266">
        <v>43700</v>
      </c>
      <c r="B4758" s="267">
        <v>2019</v>
      </c>
      <c r="C4758" s="267">
        <v>2020</v>
      </c>
      <c r="D4758" s="267">
        <v>1</v>
      </c>
      <c r="E4758" s="267">
        <v>1</v>
      </c>
      <c r="F4758" s="267" t="s">
        <v>944</v>
      </c>
      <c r="G4758" s="267" t="s">
        <v>3926</v>
      </c>
      <c r="H4758" s="267" t="s">
        <v>9385</v>
      </c>
      <c r="I4758" s="267" t="s">
        <v>3012</v>
      </c>
      <c r="J4758" s="267" t="s">
        <v>3928</v>
      </c>
      <c r="K4758" s="267">
        <v>6477</v>
      </c>
      <c r="L4758" s="267">
        <v>157400</v>
      </c>
      <c r="M4758" s="267" t="s">
        <v>3943</v>
      </c>
      <c r="N4758" s="267" t="s">
        <v>3944</v>
      </c>
      <c r="O4758" s="267">
        <v>1072</v>
      </c>
      <c r="P4758" s="267" t="s">
        <v>3944</v>
      </c>
      <c r="Q4758" s="267" t="s">
        <v>3944</v>
      </c>
      <c r="R4758" s="267">
        <v>1072</v>
      </c>
      <c r="S4758" s="267">
        <v>10598.75</v>
      </c>
      <c r="T4758" s="267">
        <v>11670.75</v>
      </c>
      <c r="U4758" s="268" t="s">
        <v>3945</v>
      </c>
      <c r="V4758" s="267" t="s">
        <v>944</v>
      </c>
    </row>
    <row r="4759" spans="1:22" hidden="1" x14ac:dyDescent="0.25">
      <c r="A4759" s="269">
        <v>43700</v>
      </c>
      <c r="B4759" s="270">
        <v>2019</v>
      </c>
      <c r="C4759" s="270">
        <v>2020</v>
      </c>
      <c r="D4759" s="270">
        <v>1</v>
      </c>
      <c r="E4759" s="270">
        <v>1</v>
      </c>
      <c r="F4759" s="270" t="s">
        <v>944</v>
      </c>
      <c r="G4759" s="270" t="s">
        <v>3926</v>
      </c>
      <c r="H4759" s="270" t="s">
        <v>9386</v>
      </c>
      <c r="I4759" s="270" t="s">
        <v>4269</v>
      </c>
      <c r="J4759" s="270" t="s">
        <v>3928</v>
      </c>
      <c r="K4759" s="270">
        <v>6117</v>
      </c>
      <c r="L4759" s="270">
        <v>497200</v>
      </c>
      <c r="M4759" s="270" t="s">
        <v>3943</v>
      </c>
      <c r="N4759" s="270" t="s">
        <v>3944</v>
      </c>
      <c r="O4759" s="270">
        <v>3185</v>
      </c>
      <c r="P4759" s="270" t="s">
        <v>3944</v>
      </c>
      <c r="Q4759" s="270" t="s">
        <v>3944</v>
      </c>
      <c r="R4759" s="270">
        <v>3185</v>
      </c>
      <c r="S4759" s="270">
        <v>45236.25</v>
      </c>
      <c r="T4759" s="270">
        <v>48421.25</v>
      </c>
      <c r="U4759" s="271" t="s">
        <v>3945</v>
      </c>
      <c r="V4759" s="267" t="s">
        <v>944</v>
      </c>
    </row>
    <row r="4760" spans="1:22" hidden="1" x14ac:dyDescent="0.25">
      <c r="A4760" s="266">
        <v>43700</v>
      </c>
      <c r="B4760" s="267">
        <v>2019</v>
      </c>
      <c r="C4760" s="267">
        <v>2020</v>
      </c>
      <c r="D4760" s="267">
        <v>1</v>
      </c>
      <c r="E4760" s="267">
        <v>1</v>
      </c>
      <c r="F4760" s="267" t="s">
        <v>944</v>
      </c>
      <c r="G4760" s="267" t="s">
        <v>3997</v>
      </c>
      <c r="H4760" s="267" t="s">
        <v>9387</v>
      </c>
      <c r="I4760" s="267" t="s">
        <v>4213</v>
      </c>
      <c r="J4760" s="267" t="s">
        <v>3928</v>
      </c>
      <c r="K4760" s="267">
        <v>6051</v>
      </c>
      <c r="L4760" s="267">
        <v>415600</v>
      </c>
      <c r="M4760" s="267">
        <v>-60</v>
      </c>
      <c r="N4760" s="267" t="s">
        <v>3944</v>
      </c>
      <c r="O4760" s="267">
        <v>2756.08</v>
      </c>
      <c r="P4760" s="267" t="s">
        <v>3944</v>
      </c>
      <c r="Q4760" s="267" t="s">
        <v>3944</v>
      </c>
      <c r="R4760" s="267">
        <v>2756.08</v>
      </c>
      <c r="S4760" s="267">
        <v>42037.25</v>
      </c>
      <c r="T4760" s="267">
        <v>44793.33</v>
      </c>
      <c r="U4760" s="268" t="s">
        <v>3945</v>
      </c>
      <c r="V4760" s="267" t="s">
        <v>944</v>
      </c>
    </row>
    <row r="4761" spans="1:22" hidden="1" x14ac:dyDescent="0.25">
      <c r="A4761" s="269">
        <v>43700</v>
      </c>
      <c r="B4761" s="270">
        <v>2019</v>
      </c>
      <c r="C4761" s="270">
        <v>2020</v>
      </c>
      <c r="D4761" s="270">
        <v>1</v>
      </c>
      <c r="E4761" s="270">
        <v>1</v>
      </c>
      <c r="F4761" s="270" t="s">
        <v>944</v>
      </c>
      <c r="G4761" s="270" t="s">
        <v>3926</v>
      </c>
      <c r="H4761" s="270" t="s">
        <v>9388</v>
      </c>
      <c r="I4761" s="270" t="s">
        <v>3939</v>
      </c>
      <c r="J4761" s="270" t="s">
        <v>3928</v>
      </c>
      <c r="K4761" s="270">
        <v>6513</v>
      </c>
      <c r="L4761" s="270">
        <v>180602</v>
      </c>
      <c r="M4761" s="270" t="s">
        <v>3935</v>
      </c>
      <c r="N4761" s="270" t="s">
        <v>3944</v>
      </c>
      <c r="O4761" s="270">
        <v>2076.0300000000002</v>
      </c>
      <c r="P4761" s="270" t="s">
        <v>3944</v>
      </c>
      <c r="Q4761" s="270" t="s">
        <v>3944</v>
      </c>
      <c r="R4761" s="270">
        <v>2076.0300000000002</v>
      </c>
      <c r="S4761" s="270">
        <v>36020.61</v>
      </c>
      <c r="T4761" s="270">
        <v>38096.639999999999</v>
      </c>
      <c r="U4761" s="271" t="s">
        <v>3945</v>
      </c>
      <c r="V4761" s="267" t="s">
        <v>944</v>
      </c>
    </row>
    <row r="4762" spans="1:22" x14ac:dyDescent="0.25">
      <c r="A4762" s="266">
        <v>43700</v>
      </c>
      <c r="B4762" s="267">
        <v>2019</v>
      </c>
      <c r="C4762" s="267">
        <v>2020</v>
      </c>
      <c r="D4762" s="267">
        <v>1</v>
      </c>
      <c r="E4762" s="267">
        <v>1</v>
      </c>
      <c r="F4762" s="267" t="s">
        <v>944</v>
      </c>
      <c r="G4762" s="267" t="s">
        <v>3926</v>
      </c>
      <c r="H4762" s="267" t="s">
        <v>9389</v>
      </c>
      <c r="I4762" s="267" t="s">
        <v>934</v>
      </c>
      <c r="J4762" s="267" t="s">
        <v>3928</v>
      </c>
      <c r="K4762" s="267">
        <v>6606</v>
      </c>
      <c r="L4762" s="267">
        <v>72000</v>
      </c>
      <c r="M4762" s="267" t="s">
        <v>3940</v>
      </c>
      <c r="N4762" s="267" t="s">
        <v>3944</v>
      </c>
      <c r="O4762" s="267">
        <v>233.1</v>
      </c>
      <c r="P4762" s="267" t="s">
        <v>3944</v>
      </c>
      <c r="Q4762" s="267" t="s">
        <v>3944</v>
      </c>
      <c r="R4762" s="267">
        <v>233.1</v>
      </c>
      <c r="S4762" s="267">
        <v>27613.78</v>
      </c>
      <c r="T4762" s="267">
        <v>27846.880000000001</v>
      </c>
      <c r="U4762" s="268" t="s">
        <v>3945</v>
      </c>
      <c r="V4762" s="276" t="s">
        <v>936</v>
      </c>
    </row>
    <row r="4763" spans="1:22" hidden="1" x14ac:dyDescent="0.25">
      <c r="A4763" s="269">
        <v>43700</v>
      </c>
      <c r="B4763" s="270">
        <v>2019</v>
      </c>
      <c r="C4763" s="270">
        <v>2020</v>
      </c>
      <c r="D4763" s="270">
        <v>1</v>
      </c>
      <c r="E4763" s="270">
        <v>1</v>
      </c>
      <c r="F4763" s="270" t="s">
        <v>944</v>
      </c>
      <c r="G4763" s="270" t="s">
        <v>3926</v>
      </c>
      <c r="H4763" s="270" t="s">
        <v>9390</v>
      </c>
      <c r="I4763" s="270" t="s">
        <v>4111</v>
      </c>
      <c r="J4763" s="270" t="s">
        <v>3928</v>
      </c>
      <c r="K4763" s="270">
        <v>6095</v>
      </c>
      <c r="L4763" s="270">
        <v>473100</v>
      </c>
      <c r="M4763" s="270" t="s">
        <v>3960</v>
      </c>
      <c r="N4763" s="270" t="s">
        <v>3944</v>
      </c>
      <c r="O4763" s="270">
        <v>2220.79</v>
      </c>
      <c r="P4763" s="270" t="s">
        <v>3944</v>
      </c>
      <c r="Q4763" s="270" t="s">
        <v>3944</v>
      </c>
      <c r="R4763" s="270">
        <v>2220.79</v>
      </c>
      <c r="S4763" s="270">
        <v>37803.56</v>
      </c>
      <c r="T4763" s="270">
        <v>40024.35</v>
      </c>
      <c r="U4763" s="271" t="s">
        <v>3945</v>
      </c>
      <c r="V4763" s="267" t="s">
        <v>944</v>
      </c>
    </row>
    <row r="4764" spans="1:22" hidden="1" x14ac:dyDescent="0.25">
      <c r="A4764" s="266">
        <v>43700</v>
      </c>
      <c r="B4764" s="267">
        <v>2019</v>
      </c>
      <c r="C4764" s="267">
        <v>2020</v>
      </c>
      <c r="D4764" s="267">
        <v>1</v>
      </c>
      <c r="E4764" s="267">
        <v>1</v>
      </c>
      <c r="F4764" s="267" t="s">
        <v>944</v>
      </c>
      <c r="G4764" s="267" t="s">
        <v>3926</v>
      </c>
      <c r="H4764" s="267" t="s">
        <v>9391</v>
      </c>
      <c r="I4764" s="267" t="s">
        <v>950</v>
      </c>
      <c r="J4764" s="267" t="s">
        <v>3928</v>
      </c>
      <c r="K4764" s="267">
        <v>6516</v>
      </c>
      <c r="L4764" s="267">
        <v>154100</v>
      </c>
      <c r="M4764" s="267" t="s">
        <v>3940</v>
      </c>
      <c r="N4764" s="267" t="s">
        <v>3944</v>
      </c>
      <c r="O4764" s="267">
        <v>1533.7</v>
      </c>
      <c r="P4764" s="267" t="s">
        <v>3944</v>
      </c>
      <c r="Q4764" s="267" t="s">
        <v>3944</v>
      </c>
      <c r="R4764" s="267">
        <v>1533.7</v>
      </c>
      <c r="S4764" s="267">
        <v>25635.439999999999</v>
      </c>
      <c r="T4764" s="267">
        <v>27169.14</v>
      </c>
      <c r="U4764" s="268" t="s">
        <v>3945</v>
      </c>
      <c r="V4764" s="267" t="s">
        <v>944</v>
      </c>
    </row>
    <row r="4765" spans="1:22" hidden="1" x14ac:dyDescent="0.25">
      <c r="A4765" s="269">
        <v>43700</v>
      </c>
      <c r="B4765" s="270">
        <v>2019</v>
      </c>
      <c r="C4765" s="270">
        <v>2020</v>
      </c>
      <c r="D4765" s="270">
        <v>1</v>
      </c>
      <c r="E4765" s="270">
        <v>1</v>
      </c>
      <c r="F4765" s="270" t="s">
        <v>944</v>
      </c>
      <c r="G4765" s="270" t="s">
        <v>3926</v>
      </c>
      <c r="H4765" s="270" t="s">
        <v>9392</v>
      </c>
      <c r="I4765" s="270" t="s">
        <v>943</v>
      </c>
      <c r="J4765" s="270" t="s">
        <v>3928</v>
      </c>
      <c r="K4765" s="270">
        <v>6511</v>
      </c>
      <c r="L4765" s="270">
        <v>141400</v>
      </c>
      <c r="M4765" s="270">
        <v>-60</v>
      </c>
      <c r="N4765" s="270" t="s">
        <v>3944</v>
      </c>
      <c r="O4765" s="270">
        <v>1531.22</v>
      </c>
      <c r="P4765" s="270" t="s">
        <v>3944</v>
      </c>
      <c r="Q4765" s="270" t="s">
        <v>3944</v>
      </c>
      <c r="R4765" s="270">
        <v>1531.22</v>
      </c>
      <c r="S4765" s="270">
        <v>24337.7</v>
      </c>
      <c r="T4765" s="270">
        <v>25868.92</v>
      </c>
      <c r="U4765" s="271" t="s">
        <v>3945</v>
      </c>
      <c r="V4765" s="267" t="s">
        <v>944</v>
      </c>
    </row>
    <row r="4766" spans="1:22" hidden="1" x14ac:dyDescent="0.25">
      <c r="A4766" s="266">
        <v>43700</v>
      </c>
      <c r="B4766" s="267">
        <v>2019</v>
      </c>
      <c r="C4766" s="267">
        <v>2020</v>
      </c>
      <c r="D4766" s="267">
        <v>1</v>
      </c>
      <c r="E4766" s="267">
        <v>1</v>
      </c>
      <c r="F4766" s="267" t="s">
        <v>944</v>
      </c>
      <c r="G4766" s="267" t="s">
        <v>3926</v>
      </c>
      <c r="H4766" s="267" t="s">
        <v>9393</v>
      </c>
      <c r="I4766" s="267" t="s">
        <v>3956</v>
      </c>
      <c r="J4766" s="267" t="s">
        <v>3928</v>
      </c>
      <c r="K4766" s="267">
        <v>6112</v>
      </c>
      <c r="L4766" s="267">
        <v>501500</v>
      </c>
      <c r="M4766" s="267">
        <v>-60</v>
      </c>
      <c r="N4766" s="267" t="s">
        <v>3944</v>
      </c>
      <c r="O4766" s="267">
        <v>1325.28</v>
      </c>
      <c r="P4766" s="267" t="s">
        <v>3944</v>
      </c>
      <c r="Q4766" s="267" t="s">
        <v>3944</v>
      </c>
      <c r="R4766" s="267">
        <v>1325.28</v>
      </c>
      <c r="S4766" s="267">
        <v>21496.47</v>
      </c>
      <c r="T4766" s="267">
        <v>22821.75</v>
      </c>
      <c r="U4766" s="268" t="s">
        <v>3945</v>
      </c>
      <c r="V4766" s="267" t="s">
        <v>944</v>
      </c>
    </row>
    <row r="4767" spans="1:22" hidden="1" x14ac:dyDescent="0.25">
      <c r="A4767" s="269">
        <v>43700</v>
      </c>
      <c r="B4767" s="270">
        <v>2019</v>
      </c>
      <c r="C4767" s="270">
        <v>2020</v>
      </c>
      <c r="D4767" s="270">
        <v>1</v>
      </c>
      <c r="E4767" s="270">
        <v>1</v>
      </c>
      <c r="F4767" s="270" t="s">
        <v>944</v>
      </c>
      <c r="G4767" s="270" t="s">
        <v>3926</v>
      </c>
      <c r="H4767" s="270" t="s">
        <v>9394</v>
      </c>
      <c r="I4767" s="270" t="s">
        <v>3956</v>
      </c>
      <c r="J4767" s="270" t="s">
        <v>3928</v>
      </c>
      <c r="K4767" s="270">
        <v>6112</v>
      </c>
      <c r="L4767" s="270">
        <v>504000</v>
      </c>
      <c r="M4767" s="270" t="s">
        <v>3940</v>
      </c>
      <c r="N4767" s="270" t="s">
        <v>3944</v>
      </c>
      <c r="O4767" s="270">
        <v>2158.38</v>
      </c>
      <c r="P4767" s="270" t="s">
        <v>3944</v>
      </c>
      <c r="Q4767" s="270" t="s">
        <v>3944</v>
      </c>
      <c r="R4767" s="270">
        <v>2158.38</v>
      </c>
      <c r="S4767" s="270">
        <v>35862.85</v>
      </c>
      <c r="T4767" s="270">
        <v>38021.230000000003</v>
      </c>
      <c r="U4767" s="271" t="s">
        <v>3945</v>
      </c>
      <c r="V4767" s="267" t="s">
        <v>944</v>
      </c>
    </row>
    <row r="4768" spans="1:22" hidden="1" x14ac:dyDescent="0.25">
      <c r="A4768" s="266">
        <v>43700</v>
      </c>
      <c r="B4768" s="267">
        <v>2019</v>
      </c>
      <c r="C4768" s="267">
        <v>2020</v>
      </c>
      <c r="D4768" s="267">
        <v>1</v>
      </c>
      <c r="E4768" s="267">
        <v>1</v>
      </c>
      <c r="F4768" s="267" t="s">
        <v>944</v>
      </c>
      <c r="G4768" s="267" t="s">
        <v>3926</v>
      </c>
      <c r="H4768" s="267" t="s">
        <v>9395</v>
      </c>
      <c r="I4768" s="267" t="s">
        <v>4301</v>
      </c>
      <c r="J4768" s="267" t="s">
        <v>3928</v>
      </c>
      <c r="K4768" s="267">
        <v>6359</v>
      </c>
      <c r="L4768" s="267">
        <v>707100</v>
      </c>
      <c r="M4768" s="267" t="s">
        <v>3935</v>
      </c>
      <c r="N4768" s="267" t="s">
        <v>3944</v>
      </c>
      <c r="O4768" s="267">
        <v>3184.37</v>
      </c>
      <c r="P4768" s="267" t="s">
        <v>3944</v>
      </c>
      <c r="Q4768" s="267" t="s">
        <v>3944</v>
      </c>
      <c r="R4768" s="267">
        <v>3184.37</v>
      </c>
      <c r="S4768" s="267">
        <v>42325.43</v>
      </c>
      <c r="T4768" s="267">
        <v>45509.8</v>
      </c>
      <c r="U4768" s="268" t="s">
        <v>3945</v>
      </c>
      <c r="V4768" s="267" t="s">
        <v>944</v>
      </c>
    </row>
    <row r="4769" spans="1:22" hidden="1" x14ac:dyDescent="0.25">
      <c r="A4769" s="269">
        <v>43700</v>
      </c>
      <c r="B4769" s="270">
        <v>2019</v>
      </c>
      <c r="C4769" s="270">
        <v>2020</v>
      </c>
      <c r="D4769" s="270">
        <v>1</v>
      </c>
      <c r="E4769" s="270">
        <v>1</v>
      </c>
      <c r="F4769" s="270" t="s">
        <v>944</v>
      </c>
      <c r="G4769" s="270" t="s">
        <v>3926</v>
      </c>
      <c r="H4769" s="270" t="s">
        <v>9396</v>
      </c>
      <c r="I4769" s="270" t="s">
        <v>3996</v>
      </c>
      <c r="J4769" s="270" t="s">
        <v>3928</v>
      </c>
      <c r="K4769" s="270">
        <v>6790</v>
      </c>
      <c r="L4769" s="270">
        <v>310700</v>
      </c>
      <c r="M4769" s="270" t="s">
        <v>3940</v>
      </c>
      <c r="N4769" s="270" t="s">
        <v>3944</v>
      </c>
      <c r="O4769" s="270">
        <v>2608.1999999999998</v>
      </c>
      <c r="P4769" s="270" t="s">
        <v>3944</v>
      </c>
      <c r="Q4769" s="270" t="s">
        <v>3944</v>
      </c>
      <c r="R4769" s="270">
        <v>2608.1999999999998</v>
      </c>
      <c r="S4769" s="270">
        <v>35491.050000000003</v>
      </c>
      <c r="T4769" s="270">
        <v>38099.25</v>
      </c>
      <c r="U4769" s="271" t="s">
        <v>3945</v>
      </c>
      <c r="V4769" s="267" t="s">
        <v>944</v>
      </c>
    </row>
    <row r="4770" spans="1:22" hidden="1" x14ac:dyDescent="0.25">
      <c r="A4770" s="266">
        <v>43700</v>
      </c>
      <c r="B4770" s="267">
        <v>2019</v>
      </c>
      <c r="C4770" s="267">
        <v>2020</v>
      </c>
      <c r="D4770" s="267">
        <v>1</v>
      </c>
      <c r="E4770" s="267">
        <v>1</v>
      </c>
      <c r="F4770" s="267" t="s">
        <v>944</v>
      </c>
      <c r="G4770" s="267" t="s">
        <v>3926</v>
      </c>
      <c r="H4770" s="267" t="s">
        <v>9397</v>
      </c>
      <c r="I4770" s="267" t="s">
        <v>950</v>
      </c>
      <c r="J4770" s="267" t="s">
        <v>3928</v>
      </c>
      <c r="K4770" s="267">
        <v>6516</v>
      </c>
      <c r="L4770" s="267">
        <v>154600</v>
      </c>
      <c r="M4770" s="267">
        <v>-60</v>
      </c>
      <c r="N4770" s="267" t="s">
        <v>3944</v>
      </c>
      <c r="O4770" s="267">
        <v>3422.65</v>
      </c>
      <c r="P4770" s="267" t="s">
        <v>3944</v>
      </c>
      <c r="Q4770" s="267" t="s">
        <v>3944</v>
      </c>
      <c r="R4770" s="267">
        <v>3422.65</v>
      </c>
      <c r="S4770" s="267">
        <v>56615.22</v>
      </c>
      <c r="T4770" s="267">
        <v>60037.87</v>
      </c>
      <c r="U4770" s="268" t="s">
        <v>3945</v>
      </c>
      <c r="V4770" s="267" t="s">
        <v>944</v>
      </c>
    </row>
    <row r="4771" spans="1:22" hidden="1" x14ac:dyDescent="0.25">
      <c r="A4771" s="269">
        <v>43700</v>
      </c>
      <c r="B4771" s="270">
        <v>2019</v>
      </c>
      <c r="C4771" s="270">
        <v>2020</v>
      </c>
      <c r="D4771" s="270">
        <v>1</v>
      </c>
      <c r="E4771" s="270">
        <v>1</v>
      </c>
      <c r="F4771" s="270" t="s">
        <v>944</v>
      </c>
      <c r="G4771" s="270" t="s">
        <v>3926</v>
      </c>
      <c r="H4771" s="270" t="s">
        <v>9398</v>
      </c>
      <c r="I4771" s="270" t="s">
        <v>4040</v>
      </c>
      <c r="J4771" s="270" t="s">
        <v>3928</v>
      </c>
      <c r="K4771" s="270">
        <v>6339</v>
      </c>
      <c r="L4771" s="270">
        <v>701100</v>
      </c>
      <c r="M4771" s="270" t="s">
        <v>3960</v>
      </c>
      <c r="N4771" s="270" t="s">
        <v>3944</v>
      </c>
      <c r="O4771" s="270">
        <v>1881.92</v>
      </c>
      <c r="P4771" s="270" t="s">
        <v>3944</v>
      </c>
      <c r="Q4771" s="270" t="s">
        <v>3944</v>
      </c>
      <c r="R4771" s="270">
        <v>1881.92</v>
      </c>
      <c r="S4771" s="270">
        <v>28142.19</v>
      </c>
      <c r="T4771" s="270">
        <v>30024.11</v>
      </c>
      <c r="U4771" s="271" t="s">
        <v>3945</v>
      </c>
      <c r="V4771" s="267" t="s">
        <v>944</v>
      </c>
    </row>
    <row r="4772" spans="1:22" hidden="1" x14ac:dyDescent="0.25">
      <c r="A4772" s="266">
        <v>43700</v>
      </c>
      <c r="B4772" s="267">
        <v>2019</v>
      </c>
      <c r="C4772" s="267">
        <v>2020</v>
      </c>
      <c r="D4772" s="267">
        <v>1</v>
      </c>
      <c r="E4772" s="267">
        <v>1</v>
      </c>
      <c r="F4772" s="267" t="s">
        <v>944</v>
      </c>
      <c r="G4772" s="267" t="s">
        <v>3926</v>
      </c>
      <c r="H4772" s="267" t="s">
        <v>9399</v>
      </c>
      <c r="I4772" s="267" t="s">
        <v>3985</v>
      </c>
      <c r="J4772" s="267" t="s">
        <v>3928</v>
      </c>
      <c r="K4772" s="267">
        <v>6226</v>
      </c>
      <c r="L4772" s="267">
        <v>800700</v>
      </c>
      <c r="M4772" s="267">
        <v>-60</v>
      </c>
      <c r="N4772" s="267" t="s">
        <v>3944</v>
      </c>
      <c r="O4772" s="267">
        <v>2182.85</v>
      </c>
      <c r="P4772" s="267" t="s">
        <v>3944</v>
      </c>
      <c r="Q4772" s="267" t="s">
        <v>3944</v>
      </c>
      <c r="R4772" s="267">
        <v>2182.85</v>
      </c>
      <c r="S4772" s="267">
        <v>32179.53</v>
      </c>
      <c r="T4772" s="267">
        <v>34362.379999999997</v>
      </c>
      <c r="U4772" s="268" t="s">
        <v>3945</v>
      </c>
      <c r="V4772" s="267" t="s">
        <v>944</v>
      </c>
    </row>
    <row r="4773" spans="1:22" hidden="1" x14ac:dyDescent="0.25">
      <c r="A4773" s="269">
        <v>43700</v>
      </c>
      <c r="B4773" s="270">
        <v>2019</v>
      </c>
      <c r="C4773" s="270">
        <v>2020</v>
      </c>
      <c r="D4773" s="270">
        <v>1</v>
      </c>
      <c r="E4773" s="270">
        <v>1</v>
      </c>
      <c r="F4773" s="270" t="s">
        <v>944</v>
      </c>
      <c r="G4773" s="270" t="s">
        <v>3926</v>
      </c>
      <c r="H4773" s="270" t="s">
        <v>9400</v>
      </c>
      <c r="I4773" s="270" t="s">
        <v>3939</v>
      </c>
      <c r="J4773" s="270" t="s">
        <v>3928</v>
      </c>
      <c r="K4773" s="270">
        <v>6512</v>
      </c>
      <c r="L4773" s="270">
        <v>180400</v>
      </c>
      <c r="M4773" s="270" t="s">
        <v>3935</v>
      </c>
      <c r="N4773" s="270" t="s">
        <v>3944</v>
      </c>
      <c r="O4773" s="270">
        <v>1369.45</v>
      </c>
      <c r="P4773" s="270" t="s">
        <v>3944</v>
      </c>
      <c r="Q4773" s="270" t="s">
        <v>3944</v>
      </c>
      <c r="R4773" s="270">
        <v>1369.45</v>
      </c>
      <c r="S4773" s="270">
        <v>21490.46</v>
      </c>
      <c r="T4773" s="270">
        <v>22859.91</v>
      </c>
      <c r="U4773" s="271" t="s">
        <v>3945</v>
      </c>
      <c r="V4773" s="267" t="s">
        <v>944</v>
      </c>
    </row>
    <row r="4774" spans="1:22" hidden="1" x14ac:dyDescent="0.25">
      <c r="A4774" s="266">
        <v>43700</v>
      </c>
      <c r="B4774" s="267">
        <v>2019</v>
      </c>
      <c r="C4774" s="267">
        <v>2020</v>
      </c>
      <c r="D4774" s="267">
        <v>1</v>
      </c>
      <c r="E4774" s="267">
        <v>1</v>
      </c>
      <c r="F4774" s="267" t="s">
        <v>944</v>
      </c>
      <c r="G4774" s="267" t="s">
        <v>3926</v>
      </c>
      <c r="H4774" s="267" t="s">
        <v>9401</v>
      </c>
      <c r="I4774" s="267" t="s">
        <v>3011</v>
      </c>
      <c r="J4774" s="267" t="s">
        <v>3928</v>
      </c>
      <c r="K4774" s="267">
        <v>6418</v>
      </c>
      <c r="L4774" s="267">
        <v>120100</v>
      </c>
      <c r="M4774" s="267" t="s">
        <v>3940</v>
      </c>
      <c r="N4774" s="267" t="s">
        <v>3944</v>
      </c>
      <c r="O4774" s="267">
        <v>1762.67</v>
      </c>
      <c r="P4774" s="267" t="s">
        <v>3944</v>
      </c>
      <c r="Q4774" s="267" t="s">
        <v>3944</v>
      </c>
      <c r="R4774" s="267">
        <v>1762.67</v>
      </c>
      <c r="S4774" s="267">
        <v>26720.38</v>
      </c>
      <c r="T4774" s="267">
        <v>28483.05</v>
      </c>
      <c r="U4774" s="268" t="s">
        <v>3945</v>
      </c>
      <c r="V4774" s="267" t="s">
        <v>944</v>
      </c>
    </row>
    <row r="4775" spans="1:22" hidden="1" x14ac:dyDescent="0.25">
      <c r="A4775" s="269">
        <v>43700</v>
      </c>
      <c r="B4775" s="270">
        <v>2019</v>
      </c>
      <c r="C4775" s="270">
        <v>2020</v>
      </c>
      <c r="D4775" s="270">
        <v>1</v>
      </c>
      <c r="E4775" s="270">
        <v>1</v>
      </c>
      <c r="F4775" s="270" t="s">
        <v>944</v>
      </c>
      <c r="G4775" s="270" t="s">
        <v>3926</v>
      </c>
      <c r="H4775" s="270" t="s">
        <v>9402</v>
      </c>
      <c r="I4775" s="270" t="s">
        <v>4014</v>
      </c>
      <c r="J4775" s="270" t="s">
        <v>3928</v>
      </c>
      <c r="K4775" s="270">
        <v>6420</v>
      </c>
      <c r="L4775" s="270">
        <v>715100</v>
      </c>
      <c r="M4775" s="270" t="s">
        <v>3943</v>
      </c>
      <c r="N4775" s="270" t="s">
        <v>3944</v>
      </c>
      <c r="O4775" s="270">
        <v>2826.18</v>
      </c>
      <c r="P4775" s="270" t="s">
        <v>3944</v>
      </c>
      <c r="Q4775" s="270" t="s">
        <v>3944</v>
      </c>
      <c r="R4775" s="270">
        <v>2826.18</v>
      </c>
      <c r="S4775" s="270">
        <v>41511.370000000003</v>
      </c>
      <c r="T4775" s="270">
        <v>44337.55</v>
      </c>
      <c r="U4775" s="271" t="s">
        <v>3945</v>
      </c>
      <c r="V4775" s="267" t="s">
        <v>944</v>
      </c>
    </row>
    <row r="4776" spans="1:22" hidden="1" x14ac:dyDescent="0.25">
      <c r="A4776" s="266">
        <v>43701</v>
      </c>
      <c r="B4776" s="267">
        <v>2019</v>
      </c>
      <c r="C4776" s="267">
        <v>2020</v>
      </c>
      <c r="D4776" s="267">
        <v>1</v>
      </c>
      <c r="E4776" s="267">
        <v>1</v>
      </c>
      <c r="F4776" s="267" t="s">
        <v>944</v>
      </c>
      <c r="G4776" s="267" t="s">
        <v>3926</v>
      </c>
      <c r="H4776" s="267" t="s">
        <v>9403</v>
      </c>
      <c r="I4776" s="267" t="s">
        <v>4011</v>
      </c>
      <c r="J4776" s="267" t="s">
        <v>3928</v>
      </c>
      <c r="K4776" s="267">
        <v>6002</v>
      </c>
      <c r="L4776" s="267">
        <v>471500</v>
      </c>
      <c r="M4776" s="267" t="s">
        <v>3935</v>
      </c>
      <c r="N4776" s="267" t="s">
        <v>4493</v>
      </c>
      <c r="O4776" s="267">
        <v>1507.56</v>
      </c>
      <c r="P4776" s="267" t="s">
        <v>3930</v>
      </c>
      <c r="Q4776" s="267" t="s">
        <v>3931</v>
      </c>
      <c r="R4776" s="267">
        <v>6507.56</v>
      </c>
      <c r="S4776" s="267">
        <v>27900.400000000001</v>
      </c>
      <c r="T4776" s="267">
        <v>34407.96</v>
      </c>
      <c r="U4776" s="268" t="s">
        <v>3932</v>
      </c>
      <c r="V4776" s="267" t="s">
        <v>944</v>
      </c>
    </row>
    <row r="4777" spans="1:22" hidden="1" x14ac:dyDescent="0.25">
      <c r="A4777" s="269">
        <v>43701</v>
      </c>
      <c r="B4777" s="270">
        <v>2019</v>
      </c>
      <c r="C4777" s="270">
        <v>2020</v>
      </c>
      <c r="D4777" s="270">
        <v>1</v>
      </c>
      <c r="E4777" s="270">
        <v>1</v>
      </c>
      <c r="F4777" s="270" t="s">
        <v>944</v>
      </c>
      <c r="G4777" s="270" t="s">
        <v>3997</v>
      </c>
      <c r="H4777" s="270" t="s">
        <v>9404</v>
      </c>
      <c r="I4777" s="270" t="s">
        <v>3025</v>
      </c>
      <c r="J4777" s="270" t="s">
        <v>3928</v>
      </c>
      <c r="K4777" s="270">
        <v>6473</v>
      </c>
      <c r="L4777" s="270">
        <v>167300</v>
      </c>
      <c r="M4777" s="270" t="s">
        <v>3943</v>
      </c>
      <c r="N4777" s="270" t="s">
        <v>3944</v>
      </c>
      <c r="O4777" s="270">
        <v>1748.99</v>
      </c>
      <c r="P4777" s="270" t="s">
        <v>3944</v>
      </c>
      <c r="Q4777" s="270" t="s">
        <v>3944</v>
      </c>
      <c r="R4777" s="270">
        <v>1748.99</v>
      </c>
      <c r="S4777" s="270">
        <v>23251.93</v>
      </c>
      <c r="T4777" s="270">
        <v>25000.92</v>
      </c>
      <c r="U4777" s="271" t="s">
        <v>3945</v>
      </c>
      <c r="V4777" s="267" t="s">
        <v>944</v>
      </c>
    </row>
    <row r="4778" spans="1:22" hidden="1" x14ac:dyDescent="0.25">
      <c r="A4778" s="266">
        <v>43701</v>
      </c>
      <c r="B4778" s="267">
        <v>2019</v>
      </c>
      <c r="C4778" s="267">
        <v>2020</v>
      </c>
      <c r="D4778" s="267">
        <v>1</v>
      </c>
      <c r="E4778" s="267">
        <v>1</v>
      </c>
      <c r="F4778" s="267" t="s">
        <v>944</v>
      </c>
      <c r="G4778" s="267" t="s">
        <v>3926</v>
      </c>
      <c r="H4778" s="267" t="s">
        <v>9405</v>
      </c>
      <c r="I4778" s="267" t="s">
        <v>4392</v>
      </c>
      <c r="J4778" s="267" t="s">
        <v>3928</v>
      </c>
      <c r="K4778" s="267">
        <v>6457</v>
      </c>
      <c r="L4778" s="267">
        <v>541402</v>
      </c>
      <c r="M4778" s="267" t="s">
        <v>3935</v>
      </c>
      <c r="N4778" s="267" t="s">
        <v>3944</v>
      </c>
      <c r="O4778" s="267">
        <v>3539</v>
      </c>
      <c r="P4778" s="267" t="s">
        <v>3944</v>
      </c>
      <c r="Q4778" s="267" t="s">
        <v>3944</v>
      </c>
      <c r="R4778" s="267">
        <v>3539</v>
      </c>
      <c r="S4778" s="267">
        <v>33946</v>
      </c>
      <c r="T4778" s="267">
        <v>37485</v>
      </c>
      <c r="U4778" s="268" t="s">
        <v>3945</v>
      </c>
      <c r="V4778" s="267" t="s">
        <v>944</v>
      </c>
    </row>
    <row r="4779" spans="1:22" hidden="1" x14ac:dyDescent="0.25">
      <c r="A4779" s="269">
        <v>43701</v>
      </c>
      <c r="B4779" s="270">
        <v>2019</v>
      </c>
      <c r="C4779" s="270">
        <v>2020</v>
      </c>
      <c r="D4779" s="270">
        <v>1</v>
      </c>
      <c r="E4779" s="270">
        <v>1</v>
      </c>
      <c r="F4779" s="270" t="s">
        <v>944</v>
      </c>
      <c r="G4779" s="270" t="s">
        <v>3997</v>
      </c>
      <c r="H4779" s="270" t="s">
        <v>9406</v>
      </c>
      <c r="I4779" s="270" t="s">
        <v>3011</v>
      </c>
      <c r="J4779" s="270" t="s">
        <v>3928</v>
      </c>
      <c r="K4779" s="270">
        <v>6418</v>
      </c>
      <c r="L4779" s="270">
        <v>120100</v>
      </c>
      <c r="M4779" s="270" t="s">
        <v>3940</v>
      </c>
      <c r="N4779" s="270" t="s">
        <v>3944</v>
      </c>
      <c r="O4779" s="270">
        <v>1842.51</v>
      </c>
      <c r="P4779" s="270" t="s">
        <v>3944</v>
      </c>
      <c r="Q4779" s="270" t="s">
        <v>3944</v>
      </c>
      <c r="R4779" s="270">
        <v>1842.51</v>
      </c>
      <c r="S4779" s="270">
        <v>29408.639999999999</v>
      </c>
      <c r="T4779" s="270">
        <v>31251.15</v>
      </c>
      <c r="U4779" s="271" t="s">
        <v>3945</v>
      </c>
      <c r="V4779" s="267" t="s">
        <v>944</v>
      </c>
    </row>
    <row r="4780" spans="1:22" hidden="1" x14ac:dyDescent="0.25">
      <c r="A4780" s="266">
        <v>43701</v>
      </c>
      <c r="B4780" s="267">
        <v>2019</v>
      </c>
      <c r="C4780" s="267">
        <v>2020</v>
      </c>
      <c r="D4780" s="267">
        <v>1</v>
      </c>
      <c r="E4780" s="267">
        <v>1</v>
      </c>
      <c r="F4780" s="267" t="s">
        <v>944</v>
      </c>
      <c r="G4780" s="267" t="s">
        <v>3926</v>
      </c>
      <c r="H4780" s="267" t="s">
        <v>9407</v>
      </c>
      <c r="I4780" s="267" t="s">
        <v>4235</v>
      </c>
      <c r="J4780" s="267" t="s">
        <v>3928</v>
      </c>
      <c r="K4780" s="267">
        <v>6066</v>
      </c>
      <c r="L4780" s="267">
        <v>530400</v>
      </c>
      <c r="M4780" s="267" t="s">
        <v>3940</v>
      </c>
      <c r="N4780" s="267" t="s">
        <v>3944</v>
      </c>
      <c r="O4780" s="267">
        <v>1529.33</v>
      </c>
      <c r="P4780" s="267" t="s">
        <v>3944</v>
      </c>
      <c r="Q4780" s="267" t="s">
        <v>3944</v>
      </c>
      <c r="R4780" s="267">
        <v>1529.33</v>
      </c>
      <c r="S4780" s="267">
        <v>21751.95</v>
      </c>
      <c r="T4780" s="267">
        <v>23281.279999999999</v>
      </c>
      <c r="U4780" s="268" t="s">
        <v>3945</v>
      </c>
      <c r="V4780" s="267" t="s">
        <v>944</v>
      </c>
    </row>
    <row r="4781" spans="1:22" hidden="1" x14ac:dyDescent="0.25">
      <c r="A4781" s="269">
        <v>43701</v>
      </c>
      <c r="B4781" s="270">
        <v>2019</v>
      </c>
      <c r="C4781" s="270">
        <v>2020</v>
      </c>
      <c r="D4781" s="270">
        <v>1</v>
      </c>
      <c r="E4781" s="270">
        <v>1</v>
      </c>
      <c r="F4781" s="270" t="s">
        <v>944</v>
      </c>
      <c r="G4781" s="270" t="s">
        <v>3926</v>
      </c>
      <c r="H4781" s="270" t="s">
        <v>9408</v>
      </c>
      <c r="I4781" s="270" t="s">
        <v>953</v>
      </c>
      <c r="J4781" s="270" t="s">
        <v>3928</v>
      </c>
      <c r="K4781" s="270">
        <v>6517</v>
      </c>
      <c r="L4781" s="270">
        <v>165300</v>
      </c>
      <c r="M4781" s="270" t="s">
        <v>3943</v>
      </c>
      <c r="N4781" s="270" t="s">
        <v>3944</v>
      </c>
      <c r="O4781" s="270">
        <v>1315.09</v>
      </c>
      <c r="P4781" s="270" t="s">
        <v>3944</v>
      </c>
      <c r="Q4781" s="270" t="s">
        <v>3944</v>
      </c>
      <c r="R4781" s="270">
        <v>1315.09</v>
      </c>
      <c r="S4781" s="270">
        <v>18791.47</v>
      </c>
      <c r="T4781" s="270">
        <v>20106.560000000001</v>
      </c>
      <c r="U4781" s="271" t="s">
        <v>3945</v>
      </c>
      <c r="V4781" s="267" t="s">
        <v>944</v>
      </c>
    </row>
    <row r="4782" spans="1:22" hidden="1" x14ac:dyDescent="0.25">
      <c r="A4782" s="266">
        <v>43701</v>
      </c>
      <c r="B4782" s="267">
        <v>2019</v>
      </c>
      <c r="C4782" s="267">
        <v>2020</v>
      </c>
      <c r="D4782" s="267">
        <v>1</v>
      </c>
      <c r="E4782" s="267">
        <v>1</v>
      </c>
      <c r="F4782" s="267" t="s">
        <v>944</v>
      </c>
      <c r="G4782" s="267" t="s">
        <v>3926</v>
      </c>
      <c r="H4782" s="267" t="s">
        <v>9409</v>
      </c>
      <c r="I4782" s="267" t="s">
        <v>4213</v>
      </c>
      <c r="J4782" s="267" t="s">
        <v>3928</v>
      </c>
      <c r="K4782" s="267">
        <v>6053</v>
      </c>
      <c r="L4782" s="267">
        <v>416700</v>
      </c>
      <c r="M4782" s="267">
        <v>-60</v>
      </c>
      <c r="N4782" s="267" t="s">
        <v>3944</v>
      </c>
      <c r="O4782" s="267">
        <v>1818.67</v>
      </c>
      <c r="P4782" s="267" t="s">
        <v>3944</v>
      </c>
      <c r="Q4782" s="267" t="s">
        <v>3944</v>
      </c>
      <c r="R4782" s="267">
        <v>1818.67</v>
      </c>
      <c r="S4782" s="267">
        <v>29521.08</v>
      </c>
      <c r="T4782" s="267">
        <v>31339.75</v>
      </c>
      <c r="U4782" s="268" t="s">
        <v>3945</v>
      </c>
      <c r="V4782" s="267" t="s">
        <v>944</v>
      </c>
    </row>
    <row r="4783" spans="1:22" hidden="1" x14ac:dyDescent="0.25">
      <c r="A4783" s="269">
        <v>43701</v>
      </c>
      <c r="B4783" s="270">
        <v>2019</v>
      </c>
      <c r="C4783" s="270">
        <v>2020</v>
      </c>
      <c r="D4783" s="270">
        <v>1</v>
      </c>
      <c r="E4783" s="270">
        <v>1</v>
      </c>
      <c r="F4783" s="270" t="s">
        <v>944</v>
      </c>
      <c r="G4783" s="270" t="s">
        <v>3926</v>
      </c>
      <c r="H4783" s="270" t="s">
        <v>9410</v>
      </c>
      <c r="I4783" s="270" t="s">
        <v>3956</v>
      </c>
      <c r="J4783" s="270" t="s">
        <v>3928</v>
      </c>
      <c r="K4783" s="270">
        <v>6114</v>
      </c>
      <c r="L4783" s="270">
        <v>504800</v>
      </c>
      <c r="M4783" s="270" t="s">
        <v>3940</v>
      </c>
      <c r="N4783" s="270" t="s">
        <v>3944</v>
      </c>
      <c r="O4783" s="270">
        <v>827.51</v>
      </c>
      <c r="P4783" s="270" t="s">
        <v>3944</v>
      </c>
      <c r="Q4783" s="270" t="s">
        <v>3944</v>
      </c>
      <c r="R4783" s="270">
        <v>827.51</v>
      </c>
      <c r="S4783" s="270">
        <v>10813.13</v>
      </c>
      <c r="T4783" s="270">
        <v>11640.64</v>
      </c>
      <c r="U4783" s="271" t="s">
        <v>3945</v>
      </c>
      <c r="V4783" s="267" t="s">
        <v>944</v>
      </c>
    </row>
    <row r="4784" spans="1:22" hidden="1" x14ac:dyDescent="0.25">
      <c r="A4784" s="266">
        <v>43702</v>
      </c>
      <c r="B4784" s="267">
        <v>2019</v>
      </c>
      <c r="C4784" s="267">
        <v>2020</v>
      </c>
      <c r="D4784" s="267">
        <v>1</v>
      </c>
      <c r="E4784" s="267">
        <v>1</v>
      </c>
      <c r="F4784" s="267" t="s">
        <v>944</v>
      </c>
      <c r="G4784" s="267" t="s">
        <v>3926</v>
      </c>
      <c r="H4784" s="267" t="s">
        <v>9411</v>
      </c>
      <c r="I4784" s="267" t="s">
        <v>6135</v>
      </c>
      <c r="J4784" s="267" t="s">
        <v>3928</v>
      </c>
      <c r="K4784" s="267">
        <v>6492</v>
      </c>
      <c r="L4784" s="267">
        <v>175300</v>
      </c>
      <c r="M4784" s="267" t="s">
        <v>3935</v>
      </c>
      <c r="N4784" s="267" t="s">
        <v>9412</v>
      </c>
      <c r="O4784" s="267">
        <v>0</v>
      </c>
      <c r="P4784" s="267" t="s">
        <v>3930</v>
      </c>
      <c r="Q4784" s="267" t="s">
        <v>3930</v>
      </c>
      <c r="R4784" s="267">
        <v>0</v>
      </c>
      <c r="S4784" s="267">
        <v>9082.2900000000009</v>
      </c>
      <c r="T4784" s="267">
        <v>9082.2900000000009</v>
      </c>
      <c r="U4784" s="268" t="s">
        <v>3937</v>
      </c>
      <c r="V4784" s="267" t="s">
        <v>944</v>
      </c>
    </row>
    <row r="4785" spans="1:22" hidden="1" x14ac:dyDescent="0.25">
      <c r="A4785" s="269">
        <v>43702</v>
      </c>
      <c r="B4785" s="270">
        <v>2019</v>
      </c>
      <c r="C4785" s="270">
        <v>2020</v>
      </c>
      <c r="D4785" s="270">
        <v>1</v>
      </c>
      <c r="E4785" s="270">
        <v>1</v>
      </c>
      <c r="F4785" s="270" t="s">
        <v>944</v>
      </c>
      <c r="G4785" s="270" t="s">
        <v>3926</v>
      </c>
      <c r="H4785" s="270" t="s">
        <v>9413</v>
      </c>
      <c r="I4785" s="270" t="s">
        <v>3964</v>
      </c>
      <c r="J4785" s="270" t="s">
        <v>3928</v>
      </c>
      <c r="K4785" s="270">
        <v>6073</v>
      </c>
      <c r="L4785" s="270">
        <v>520202</v>
      </c>
      <c r="M4785" s="270" t="s">
        <v>3943</v>
      </c>
      <c r="N4785" s="270" t="s">
        <v>3944</v>
      </c>
      <c r="O4785" s="270">
        <v>3742</v>
      </c>
      <c r="P4785" s="270" t="s">
        <v>3944</v>
      </c>
      <c r="Q4785" s="270" t="s">
        <v>3944</v>
      </c>
      <c r="R4785" s="270">
        <v>3742</v>
      </c>
      <c r="S4785" s="270">
        <v>21704</v>
      </c>
      <c r="T4785" s="270">
        <v>25446</v>
      </c>
      <c r="U4785" s="271" t="s">
        <v>3945</v>
      </c>
      <c r="V4785" s="267" t="s">
        <v>944</v>
      </c>
    </row>
    <row r="4786" spans="1:22" hidden="1" x14ac:dyDescent="0.25">
      <c r="A4786" s="266">
        <v>43702</v>
      </c>
      <c r="B4786" s="267">
        <v>2019</v>
      </c>
      <c r="C4786" s="267">
        <v>2020</v>
      </c>
      <c r="D4786" s="267">
        <v>1</v>
      </c>
      <c r="E4786" s="267">
        <v>1</v>
      </c>
      <c r="F4786" s="267" t="s">
        <v>944</v>
      </c>
      <c r="G4786" s="267" t="s">
        <v>3926</v>
      </c>
      <c r="H4786" s="267" t="s">
        <v>9414</v>
      </c>
      <c r="I4786" s="267" t="s">
        <v>4008</v>
      </c>
      <c r="J4786" s="267" t="s">
        <v>3928</v>
      </c>
      <c r="K4786" s="267">
        <v>6320</v>
      </c>
      <c r="L4786" s="267">
        <v>690800</v>
      </c>
      <c r="M4786" s="267">
        <v>-60</v>
      </c>
      <c r="N4786" s="267" t="s">
        <v>3944</v>
      </c>
      <c r="O4786" s="267">
        <v>866.29</v>
      </c>
      <c r="P4786" s="267" t="s">
        <v>3944</v>
      </c>
      <c r="Q4786" s="267" t="s">
        <v>3944</v>
      </c>
      <c r="R4786" s="267">
        <v>866.29</v>
      </c>
      <c r="S4786" s="267">
        <v>13207.97</v>
      </c>
      <c r="T4786" s="267">
        <v>14074.26</v>
      </c>
      <c r="U4786" s="268" t="s">
        <v>3945</v>
      </c>
      <c r="V4786" s="267" t="s">
        <v>944</v>
      </c>
    </row>
    <row r="4787" spans="1:22" hidden="1" x14ac:dyDescent="0.25">
      <c r="A4787" s="269">
        <v>43702</v>
      </c>
      <c r="B4787" s="270">
        <v>2019</v>
      </c>
      <c r="C4787" s="270">
        <v>2020</v>
      </c>
      <c r="D4787" s="270">
        <v>1</v>
      </c>
      <c r="E4787" s="270">
        <v>1</v>
      </c>
      <c r="F4787" s="270" t="s">
        <v>944</v>
      </c>
      <c r="G4787" s="270" t="s">
        <v>3926</v>
      </c>
      <c r="H4787" s="270" t="s">
        <v>9415</v>
      </c>
      <c r="I4787" s="270" t="s">
        <v>4124</v>
      </c>
      <c r="J4787" s="270" t="s">
        <v>3928</v>
      </c>
      <c r="K4787" s="270">
        <v>6482</v>
      </c>
      <c r="L4787" s="270">
        <v>230502</v>
      </c>
      <c r="M4787" s="270" t="s">
        <v>3943</v>
      </c>
      <c r="N4787" s="270" t="s">
        <v>3944</v>
      </c>
      <c r="O4787" s="270">
        <v>1028.69</v>
      </c>
      <c r="P4787" s="270" t="s">
        <v>3944</v>
      </c>
      <c r="Q4787" s="270" t="s">
        <v>3944</v>
      </c>
      <c r="R4787" s="270">
        <v>1028.69</v>
      </c>
      <c r="S4787" s="270">
        <v>14641.67</v>
      </c>
      <c r="T4787" s="270">
        <v>15670.36</v>
      </c>
      <c r="U4787" s="271" t="s">
        <v>3945</v>
      </c>
      <c r="V4787" s="267" t="s">
        <v>944</v>
      </c>
    </row>
    <row r="4788" spans="1:22" hidden="1" x14ac:dyDescent="0.25">
      <c r="A4788" s="266">
        <v>43702</v>
      </c>
      <c r="B4788" s="267">
        <v>2019</v>
      </c>
      <c r="C4788" s="267">
        <v>2020</v>
      </c>
      <c r="D4788" s="267">
        <v>1</v>
      </c>
      <c r="E4788" s="267">
        <v>1</v>
      </c>
      <c r="F4788" s="267" t="s">
        <v>944</v>
      </c>
      <c r="G4788" s="267" t="s">
        <v>3926</v>
      </c>
      <c r="H4788" s="267" t="s">
        <v>9416</v>
      </c>
      <c r="I4788" s="267" t="s">
        <v>3996</v>
      </c>
      <c r="J4788" s="267" t="s">
        <v>3928</v>
      </c>
      <c r="K4788" s="267">
        <v>6790</v>
      </c>
      <c r="L4788" s="267">
        <v>310602</v>
      </c>
      <c r="M4788" s="267" t="s">
        <v>3935</v>
      </c>
      <c r="N4788" s="267" t="s">
        <v>3944</v>
      </c>
      <c r="O4788" s="267">
        <v>1865.75</v>
      </c>
      <c r="P4788" s="267" t="s">
        <v>3944</v>
      </c>
      <c r="Q4788" s="267" t="s">
        <v>3944</v>
      </c>
      <c r="R4788" s="267">
        <v>1865.75</v>
      </c>
      <c r="S4788" s="267">
        <v>20599.080000000002</v>
      </c>
      <c r="T4788" s="267">
        <v>22464.83</v>
      </c>
      <c r="U4788" s="268" t="s">
        <v>3945</v>
      </c>
      <c r="V4788" s="267" t="s">
        <v>944</v>
      </c>
    </row>
    <row r="4789" spans="1:22" hidden="1" x14ac:dyDescent="0.25">
      <c r="A4789" s="269">
        <v>43702</v>
      </c>
      <c r="B4789" s="270">
        <v>2019</v>
      </c>
      <c r="C4789" s="270">
        <v>2020</v>
      </c>
      <c r="D4789" s="270">
        <v>1</v>
      </c>
      <c r="E4789" s="270">
        <v>1</v>
      </c>
      <c r="F4789" s="270" t="s">
        <v>944</v>
      </c>
      <c r="G4789" s="270" t="s">
        <v>3926</v>
      </c>
      <c r="H4789" s="270" t="s">
        <v>9417</v>
      </c>
      <c r="I4789" s="270" t="s">
        <v>956</v>
      </c>
      <c r="J4789" s="270" t="s">
        <v>3928</v>
      </c>
      <c r="K4789" s="270">
        <v>6614</v>
      </c>
      <c r="L4789" s="270">
        <v>81100</v>
      </c>
      <c r="M4789" s="270" t="s">
        <v>3960</v>
      </c>
      <c r="N4789" s="270" t="s">
        <v>3944</v>
      </c>
      <c r="O4789" s="270">
        <v>2551.8200000000002</v>
      </c>
      <c r="P4789" s="270" t="s">
        <v>3944</v>
      </c>
      <c r="Q4789" s="270" t="s">
        <v>3944</v>
      </c>
      <c r="R4789" s="270">
        <v>2551.8200000000002</v>
      </c>
      <c r="S4789" s="270">
        <v>40617.83</v>
      </c>
      <c r="T4789" s="270">
        <v>43169.65</v>
      </c>
      <c r="U4789" s="271" t="s">
        <v>3945</v>
      </c>
      <c r="V4789" s="267" t="s">
        <v>944</v>
      </c>
    </row>
    <row r="4790" spans="1:22" hidden="1" x14ac:dyDescent="0.25">
      <c r="A4790" s="266">
        <v>43702</v>
      </c>
      <c r="B4790" s="267">
        <v>2019</v>
      </c>
      <c r="C4790" s="267">
        <v>2020</v>
      </c>
      <c r="D4790" s="267">
        <v>1</v>
      </c>
      <c r="E4790" s="267">
        <v>1</v>
      </c>
      <c r="F4790" s="267" t="s">
        <v>944</v>
      </c>
      <c r="G4790" s="267" t="s">
        <v>3926</v>
      </c>
      <c r="H4790" s="267" t="s">
        <v>9418</v>
      </c>
      <c r="I4790" s="267" t="s">
        <v>3025</v>
      </c>
      <c r="J4790" s="267" t="s">
        <v>3928</v>
      </c>
      <c r="K4790" s="267">
        <v>6473</v>
      </c>
      <c r="L4790" s="267">
        <v>167100</v>
      </c>
      <c r="M4790" s="267" t="s">
        <v>3943</v>
      </c>
      <c r="N4790" s="267" t="s">
        <v>3944</v>
      </c>
      <c r="O4790" s="267">
        <v>2400.62</v>
      </c>
      <c r="P4790" s="267" t="s">
        <v>3944</v>
      </c>
      <c r="Q4790" s="267" t="s">
        <v>3944</v>
      </c>
      <c r="R4790" s="267">
        <v>2400.62</v>
      </c>
      <c r="S4790" s="267">
        <v>38252.14</v>
      </c>
      <c r="T4790" s="267">
        <v>40652.76</v>
      </c>
      <c r="U4790" s="268" t="s">
        <v>3945</v>
      </c>
      <c r="V4790" s="267" t="s">
        <v>944</v>
      </c>
    </row>
    <row r="4791" spans="1:22" hidden="1" x14ac:dyDescent="0.25">
      <c r="A4791" s="269">
        <v>43702</v>
      </c>
      <c r="B4791" s="270">
        <v>2019</v>
      </c>
      <c r="C4791" s="270">
        <v>2020</v>
      </c>
      <c r="D4791" s="270">
        <v>1</v>
      </c>
      <c r="E4791" s="270">
        <v>1</v>
      </c>
      <c r="F4791" s="270" t="s">
        <v>944</v>
      </c>
      <c r="G4791" s="270" t="s">
        <v>3926</v>
      </c>
      <c r="H4791" s="270" t="s">
        <v>9419</v>
      </c>
      <c r="I4791" s="270" t="s">
        <v>4019</v>
      </c>
      <c r="J4791" s="270" t="s">
        <v>3928</v>
      </c>
      <c r="K4791" s="270">
        <v>6708</v>
      </c>
      <c r="L4791" s="270">
        <v>352100</v>
      </c>
      <c r="M4791" s="270" t="s">
        <v>3940</v>
      </c>
      <c r="N4791" s="270" t="s">
        <v>3944</v>
      </c>
      <c r="O4791" s="270">
        <v>2205.46</v>
      </c>
      <c r="P4791" s="270" t="s">
        <v>3944</v>
      </c>
      <c r="Q4791" s="270" t="s">
        <v>3944</v>
      </c>
      <c r="R4791" s="270">
        <v>2205.46</v>
      </c>
      <c r="S4791" s="270">
        <v>30751.55</v>
      </c>
      <c r="T4791" s="270">
        <v>32957.01</v>
      </c>
      <c r="U4791" s="271" t="s">
        <v>3945</v>
      </c>
      <c r="V4791" s="267" t="s">
        <v>944</v>
      </c>
    </row>
    <row r="4792" spans="1:22" hidden="1" x14ac:dyDescent="0.25">
      <c r="A4792" s="266">
        <v>43702</v>
      </c>
      <c r="B4792" s="267">
        <v>2019</v>
      </c>
      <c r="C4792" s="267">
        <v>2020</v>
      </c>
      <c r="D4792" s="267">
        <v>1</v>
      </c>
      <c r="E4792" s="267">
        <v>1</v>
      </c>
      <c r="F4792" s="267" t="s">
        <v>944</v>
      </c>
      <c r="G4792" s="267" t="s">
        <v>3926</v>
      </c>
      <c r="H4792" s="267" t="s">
        <v>9420</v>
      </c>
      <c r="I4792" s="267" t="s">
        <v>4947</v>
      </c>
      <c r="J4792" s="267" t="s">
        <v>3928</v>
      </c>
      <c r="K4792" s="267">
        <v>6787</v>
      </c>
      <c r="L4792" s="267">
        <v>349200</v>
      </c>
      <c r="M4792" s="267" t="s">
        <v>3940</v>
      </c>
      <c r="N4792" s="267" t="s">
        <v>3944</v>
      </c>
      <c r="O4792" s="267">
        <v>2978.61</v>
      </c>
      <c r="P4792" s="267" t="s">
        <v>3944</v>
      </c>
      <c r="Q4792" s="267" t="s">
        <v>3944</v>
      </c>
      <c r="R4792" s="267">
        <v>2978.61</v>
      </c>
      <c r="S4792" s="267">
        <v>42529.04</v>
      </c>
      <c r="T4792" s="267">
        <v>45507.65</v>
      </c>
      <c r="U4792" s="268" t="s">
        <v>3945</v>
      </c>
      <c r="V4792" s="267" t="s">
        <v>944</v>
      </c>
    </row>
    <row r="4793" spans="1:22" hidden="1" x14ac:dyDescent="0.25">
      <c r="A4793" s="269">
        <v>43702</v>
      </c>
      <c r="B4793" s="270">
        <v>2019</v>
      </c>
      <c r="C4793" s="270">
        <v>2020</v>
      </c>
      <c r="D4793" s="270">
        <v>1</v>
      </c>
      <c r="E4793" s="270">
        <v>1</v>
      </c>
      <c r="F4793" s="270" t="s">
        <v>944</v>
      </c>
      <c r="G4793" s="270" t="s">
        <v>3926</v>
      </c>
      <c r="H4793" s="270" t="s">
        <v>9421</v>
      </c>
      <c r="I4793" s="270" t="s">
        <v>953</v>
      </c>
      <c r="J4793" s="270" t="s">
        <v>3928</v>
      </c>
      <c r="K4793" s="270">
        <v>6514</v>
      </c>
      <c r="L4793" s="270">
        <v>165802</v>
      </c>
      <c r="M4793" s="270" t="s">
        <v>3943</v>
      </c>
      <c r="N4793" s="270" t="s">
        <v>3944</v>
      </c>
      <c r="O4793" s="270">
        <v>2462.2199999999998</v>
      </c>
      <c r="P4793" s="270" t="s">
        <v>3944</v>
      </c>
      <c r="Q4793" s="270" t="s">
        <v>3944</v>
      </c>
      <c r="R4793" s="270">
        <v>2462.2199999999998</v>
      </c>
      <c r="S4793" s="270">
        <v>37095.339999999997</v>
      </c>
      <c r="T4793" s="270">
        <v>39557.56</v>
      </c>
      <c r="U4793" s="271" t="s">
        <v>3945</v>
      </c>
      <c r="V4793" s="267" t="s">
        <v>944</v>
      </c>
    </row>
    <row r="4794" spans="1:22" hidden="1" x14ac:dyDescent="0.25">
      <c r="A4794" s="266">
        <v>43702</v>
      </c>
      <c r="B4794" s="267">
        <v>2019</v>
      </c>
      <c r="C4794" s="267">
        <v>2020</v>
      </c>
      <c r="D4794" s="267">
        <v>1</v>
      </c>
      <c r="E4794" s="267">
        <v>1</v>
      </c>
      <c r="F4794" s="267" t="s">
        <v>944</v>
      </c>
      <c r="G4794" s="267" t="s">
        <v>3926</v>
      </c>
      <c r="H4794" s="267" t="s">
        <v>9422</v>
      </c>
      <c r="I4794" s="267" t="s">
        <v>4731</v>
      </c>
      <c r="J4794" s="267" t="s">
        <v>3928</v>
      </c>
      <c r="K4794" s="267">
        <v>6478</v>
      </c>
      <c r="L4794" s="267">
        <v>346101</v>
      </c>
      <c r="M4794" s="267" t="s">
        <v>3943</v>
      </c>
      <c r="N4794" s="267" t="s">
        <v>3944</v>
      </c>
      <c r="O4794" s="267">
        <v>4218.87</v>
      </c>
      <c r="P4794" s="267" t="s">
        <v>3944</v>
      </c>
      <c r="Q4794" s="267" t="s">
        <v>3944</v>
      </c>
      <c r="R4794" s="267">
        <v>4218.87</v>
      </c>
      <c r="S4794" s="267">
        <v>62110.879999999997</v>
      </c>
      <c r="T4794" s="267">
        <v>66329.75</v>
      </c>
      <c r="U4794" s="268" t="s">
        <v>3945</v>
      </c>
      <c r="V4794" s="267" t="s">
        <v>944</v>
      </c>
    </row>
    <row r="4795" spans="1:22" hidden="1" x14ac:dyDescent="0.25">
      <c r="A4795" s="269">
        <v>43702</v>
      </c>
      <c r="B4795" s="270">
        <v>2019</v>
      </c>
      <c r="C4795" s="270">
        <v>2020</v>
      </c>
      <c r="D4795" s="270">
        <v>1</v>
      </c>
      <c r="E4795" s="270">
        <v>1</v>
      </c>
      <c r="F4795" s="270" t="s">
        <v>944</v>
      </c>
      <c r="G4795" s="270" t="s">
        <v>3926</v>
      </c>
      <c r="H4795" s="270" t="s">
        <v>9423</v>
      </c>
      <c r="I4795" s="270" t="s">
        <v>950</v>
      </c>
      <c r="J4795" s="270" t="s">
        <v>3928</v>
      </c>
      <c r="K4795" s="270">
        <v>6516</v>
      </c>
      <c r="L4795" s="270">
        <v>154100</v>
      </c>
      <c r="M4795" s="270" t="s">
        <v>3940</v>
      </c>
      <c r="N4795" s="270" t="s">
        <v>3944</v>
      </c>
      <c r="O4795" s="270">
        <v>977.24</v>
      </c>
      <c r="P4795" s="270" t="s">
        <v>3944</v>
      </c>
      <c r="Q4795" s="270" t="s">
        <v>3944</v>
      </c>
      <c r="R4795" s="270">
        <v>977.24</v>
      </c>
      <c r="S4795" s="270">
        <v>15964.81</v>
      </c>
      <c r="T4795" s="270">
        <v>16942.05</v>
      </c>
      <c r="U4795" s="271" t="s">
        <v>3945</v>
      </c>
      <c r="V4795" s="267" t="s">
        <v>944</v>
      </c>
    </row>
    <row r="4796" spans="1:22" x14ac:dyDescent="0.25">
      <c r="A4796" s="266">
        <v>43702</v>
      </c>
      <c r="B4796" s="267">
        <v>2019</v>
      </c>
      <c r="C4796" s="267">
        <v>2020</v>
      </c>
      <c r="D4796" s="267">
        <v>1</v>
      </c>
      <c r="E4796" s="267">
        <v>1</v>
      </c>
      <c r="F4796" s="267" t="s">
        <v>944</v>
      </c>
      <c r="G4796" s="267" t="s">
        <v>3926</v>
      </c>
      <c r="H4796" s="267" t="s">
        <v>9424</v>
      </c>
      <c r="I4796" s="267" t="s">
        <v>943</v>
      </c>
      <c r="J4796" s="267" t="s">
        <v>3928</v>
      </c>
      <c r="K4796" s="267">
        <v>6519</v>
      </c>
      <c r="L4796" s="267">
        <v>140500</v>
      </c>
      <c r="M4796" s="267">
        <v>-60</v>
      </c>
      <c r="N4796" s="267" t="s">
        <v>3944</v>
      </c>
      <c r="O4796" s="267">
        <v>1263.68</v>
      </c>
      <c r="P4796" s="267" t="s">
        <v>3944</v>
      </c>
      <c r="Q4796" s="267" t="s">
        <v>3944</v>
      </c>
      <c r="R4796" s="267">
        <v>1263.68</v>
      </c>
      <c r="S4796" s="267">
        <v>18859.45</v>
      </c>
      <c r="T4796" s="267">
        <v>20123.13</v>
      </c>
      <c r="U4796" s="268" t="s">
        <v>3945</v>
      </c>
      <c r="V4796" s="276" t="s">
        <v>936</v>
      </c>
    </row>
    <row r="4797" spans="1:22" hidden="1" x14ac:dyDescent="0.25">
      <c r="A4797" s="269">
        <v>43702</v>
      </c>
      <c r="B4797" s="270">
        <v>2019</v>
      </c>
      <c r="C4797" s="270">
        <v>2020</v>
      </c>
      <c r="D4797" s="270">
        <v>1</v>
      </c>
      <c r="E4797" s="270">
        <v>1</v>
      </c>
      <c r="F4797" s="270" t="s">
        <v>944</v>
      </c>
      <c r="G4797" s="270" t="s">
        <v>3926</v>
      </c>
      <c r="H4797" s="270" t="s">
        <v>9425</v>
      </c>
      <c r="I4797" s="270" t="s">
        <v>4019</v>
      </c>
      <c r="J4797" s="270" t="s">
        <v>3928</v>
      </c>
      <c r="K4797" s="270">
        <v>6708</v>
      </c>
      <c r="L4797" s="270">
        <v>352000</v>
      </c>
      <c r="M4797" s="270" t="s">
        <v>3935</v>
      </c>
      <c r="N4797" s="270" t="s">
        <v>3944</v>
      </c>
      <c r="O4797" s="270">
        <v>1638</v>
      </c>
      <c r="P4797" s="270" t="s">
        <v>3944</v>
      </c>
      <c r="Q4797" s="270" t="s">
        <v>3944</v>
      </c>
      <c r="R4797" s="270">
        <v>1638</v>
      </c>
      <c r="S4797" s="270">
        <v>24014.240000000002</v>
      </c>
      <c r="T4797" s="270">
        <v>25652.240000000002</v>
      </c>
      <c r="U4797" s="271" t="s">
        <v>3945</v>
      </c>
      <c r="V4797" s="267" t="s">
        <v>944</v>
      </c>
    </row>
    <row r="4798" spans="1:22" hidden="1" x14ac:dyDescent="0.25">
      <c r="A4798" s="266">
        <v>43702</v>
      </c>
      <c r="B4798" s="267">
        <v>2019</v>
      </c>
      <c r="C4798" s="267">
        <v>2020</v>
      </c>
      <c r="D4798" s="267">
        <v>1</v>
      </c>
      <c r="E4798" s="267">
        <v>1</v>
      </c>
      <c r="F4798" s="267" t="s">
        <v>944</v>
      </c>
      <c r="G4798" s="267" t="s">
        <v>3926</v>
      </c>
      <c r="H4798" s="267" t="s">
        <v>9426</v>
      </c>
      <c r="I4798" s="267" t="s">
        <v>4323</v>
      </c>
      <c r="J4798" s="267" t="s">
        <v>3928</v>
      </c>
      <c r="K4798" s="267">
        <v>6385</v>
      </c>
      <c r="L4798" s="267">
        <v>693500</v>
      </c>
      <c r="M4798" s="267" t="s">
        <v>3943</v>
      </c>
      <c r="N4798" s="267" t="s">
        <v>3944</v>
      </c>
      <c r="O4798" s="267">
        <v>2811.66</v>
      </c>
      <c r="P4798" s="267" t="s">
        <v>3944</v>
      </c>
      <c r="Q4798" s="267" t="s">
        <v>3944</v>
      </c>
      <c r="R4798" s="267">
        <v>2811.66</v>
      </c>
      <c r="S4798" s="267">
        <v>47510.6</v>
      </c>
      <c r="T4798" s="267">
        <v>50322.26</v>
      </c>
      <c r="U4798" s="268" t="s">
        <v>3945</v>
      </c>
      <c r="V4798" s="267" t="s">
        <v>944</v>
      </c>
    </row>
    <row r="4799" spans="1:22" hidden="1" x14ac:dyDescent="0.25">
      <c r="A4799" s="269">
        <v>43702</v>
      </c>
      <c r="B4799" s="270">
        <v>2019</v>
      </c>
      <c r="C4799" s="270">
        <v>2020</v>
      </c>
      <c r="D4799" s="270">
        <v>1</v>
      </c>
      <c r="E4799" s="270">
        <v>1</v>
      </c>
      <c r="F4799" s="270" t="s">
        <v>944</v>
      </c>
      <c r="G4799" s="270" t="s">
        <v>3926</v>
      </c>
      <c r="H4799" s="270" t="s">
        <v>9427</v>
      </c>
      <c r="I4799" s="270" t="s">
        <v>3996</v>
      </c>
      <c r="J4799" s="270" t="s">
        <v>3928</v>
      </c>
      <c r="K4799" s="270">
        <v>6790</v>
      </c>
      <c r="L4799" s="270">
        <v>310803</v>
      </c>
      <c r="M4799" s="270">
        <v>-60</v>
      </c>
      <c r="N4799" s="270" t="s">
        <v>3944</v>
      </c>
      <c r="O4799" s="270">
        <v>1796.48</v>
      </c>
      <c r="P4799" s="270" t="s">
        <v>3944</v>
      </c>
      <c r="Q4799" s="270" t="s">
        <v>3944</v>
      </c>
      <c r="R4799" s="270">
        <v>1796.48</v>
      </c>
      <c r="S4799" s="270">
        <v>24413.83</v>
      </c>
      <c r="T4799" s="270">
        <v>26210.31</v>
      </c>
      <c r="U4799" s="271" t="s">
        <v>3945</v>
      </c>
      <c r="V4799" s="267" t="s">
        <v>944</v>
      </c>
    </row>
    <row r="4800" spans="1:22" hidden="1" x14ac:dyDescent="0.25">
      <c r="A4800" s="266">
        <v>43702</v>
      </c>
      <c r="B4800" s="267">
        <v>2019</v>
      </c>
      <c r="C4800" s="267">
        <v>2020</v>
      </c>
      <c r="D4800" s="267">
        <v>1</v>
      </c>
      <c r="E4800" s="267">
        <v>1</v>
      </c>
      <c r="F4800" s="267" t="s">
        <v>944</v>
      </c>
      <c r="G4800" s="267" t="s">
        <v>3926</v>
      </c>
      <c r="H4800" s="267" t="s">
        <v>9428</v>
      </c>
      <c r="I4800" s="267" t="s">
        <v>4108</v>
      </c>
      <c r="J4800" s="267" t="s">
        <v>3928</v>
      </c>
      <c r="K4800" s="267">
        <v>6082</v>
      </c>
      <c r="L4800" s="267">
        <v>480900</v>
      </c>
      <c r="M4800" s="267" t="s">
        <v>3960</v>
      </c>
      <c r="N4800" s="267" t="s">
        <v>3944</v>
      </c>
      <c r="O4800" s="267">
        <v>1658.13</v>
      </c>
      <c r="P4800" s="267" t="s">
        <v>3944</v>
      </c>
      <c r="Q4800" s="267" t="s">
        <v>3944</v>
      </c>
      <c r="R4800" s="267">
        <v>1658.13</v>
      </c>
      <c r="S4800" s="267">
        <v>23321.33</v>
      </c>
      <c r="T4800" s="267">
        <v>24979.46</v>
      </c>
      <c r="U4800" s="268" t="s">
        <v>3945</v>
      </c>
      <c r="V4800" s="267" t="s">
        <v>944</v>
      </c>
    </row>
    <row r="4801" spans="1:22" hidden="1" x14ac:dyDescent="0.25">
      <c r="A4801" s="269">
        <v>43702</v>
      </c>
      <c r="B4801" s="270">
        <v>2019</v>
      </c>
      <c r="C4801" s="270">
        <v>2020</v>
      </c>
      <c r="D4801" s="270">
        <v>1</v>
      </c>
      <c r="E4801" s="270">
        <v>1</v>
      </c>
      <c r="F4801" s="270" t="s">
        <v>944</v>
      </c>
      <c r="G4801" s="270" t="s">
        <v>3926</v>
      </c>
      <c r="H4801" s="270" t="s">
        <v>9429</v>
      </c>
      <c r="I4801" s="270" t="s">
        <v>3939</v>
      </c>
      <c r="J4801" s="270" t="s">
        <v>3928</v>
      </c>
      <c r="K4801" s="270">
        <v>6513</v>
      </c>
      <c r="L4801" s="270">
        <v>180500</v>
      </c>
      <c r="M4801" s="270" t="s">
        <v>3935</v>
      </c>
      <c r="N4801" s="270" t="s">
        <v>3944</v>
      </c>
      <c r="O4801" s="270">
        <v>1825.92</v>
      </c>
      <c r="P4801" s="270" t="s">
        <v>3944</v>
      </c>
      <c r="Q4801" s="270" t="s">
        <v>3944</v>
      </c>
      <c r="R4801" s="270">
        <v>1825.92</v>
      </c>
      <c r="S4801" s="270">
        <v>27544.68</v>
      </c>
      <c r="T4801" s="270">
        <v>29370.6</v>
      </c>
      <c r="U4801" s="271" t="s">
        <v>3945</v>
      </c>
      <c r="V4801" s="267" t="s">
        <v>944</v>
      </c>
    </row>
    <row r="4802" spans="1:22" hidden="1" x14ac:dyDescent="0.25">
      <c r="A4802" s="266">
        <v>43702</v>
      </c>
      <c r="B4802" s="267">
        <v>2019</v>
      </c>
      <c r="C4802" s="267">
        <v>2020</v>
      </c>
      <c r="D4802" s="267">
        <v>1</v>
      </c>
      <c r="E4802" s="267">
        <v>1</v>
      </c>
      <c r="F4802" s="267" t="s">
        <v>944</v>
      </c>
      <c r="G4802" s="267" t="s">
        <v>3926</v>
      </c>
      <c r="H4802" s="267" t="s">
        <v>9430</v>
      </c>
      <c r="I4802" s="267" t="s">
        <v>4301</v>
      </c>
      <c r="J4802" s="267" t="s">
        <v>3928</v>
      </c>
      <c r="K4802" s="267">
        <v>6359</v>
      </c>
      <c r="L4802" s="267">
        <v>707100</v>
      </c>
      <c r="M4802" s="267" t="s">
        <v>3935</v>
      </c>
      <c r="N4802" s="267" t="s">
        <v>3944</v>
      </c>
      <c r="O4802" s="267">
        <v>2282.39</v>
      </c>
      <c r="P4802" s="267" t="s">
        <v>3944</v>
      </c>
      <c r="Q4802" s="267" t="s">
        <v>3944</v>
      </c>
      <c r="R4802" s="267">
        <v>2282.39</v>
      </c>
      <c r="S4802" s="267">
        <v>33688.639999999999</v>
      </c>
      <c r="T4802" s="267">
        <v>35971.03</v>
      </c>
      <c r="U4802" s="268" t="s">
        <v>3945</v>
      </c>
      <c r="V4802" s="267" t="s">
        <v>944</v>
      </c>
    </row>
    <row r="4803" spans="1:22" hidden="1" x14ac:dyDescent="0.25">
      <c r="A4803" s="269">
        <v>43702</v>
      </c>
      <c r="B4803" s="270">
        <v>2019</v>
      </c>
      <c r="C4803" s="270">
        <v>2020</v>
      </c>
      <c r="D4803" s="270">
        <v>1</v>
      </c>
      <c r="E4803" s="270">
        <v>1</v>
      </c>
      <c r="F4803" s="270" t="s">
        <v>944</v>
      </c>
      <c r="G4803" s="270" t="s">
        <v>3926</v>
      </c>
      <c r="H4803" s="270" t="s">
        <v>9431</v>
      </c>
      <c r="I4803" s="270" t="s">
        <v>3009</v>
      </c>
      <c r="J4803" s="270" t="s">
        <v>3928</v>
      </c>
      <c r="K4803" s="270">
        <v>6484</v>
      </c>
      <c r="L4803" s="270">
        <v>110202</v>
      </c>
      <c r="M4803" s="270" t="s">
        <v>3935</v>
      </c>
      <c r="N4803" s="270" t="s">
        <v>3944</v>
      </c>
      <c r="O4803" s="270">
        <v>4387.88</v>
      </c>
      <c r="P4803" s="270" t="s">
        <v>3944</v>
      </c>
      <c r="Q4803" s="270" t="s">
        <v>3944</v>
      </c>
      <c r="R4803" s="270">
        <v>4387.88</v>
      </c>
      <c r="S4803" s="270">
        <v>64063.25</v>
      </c>
      <c r="T4803" s="270">
        <v>68451.13</v>
      </c>
      <c r="U4803" s="271" t="s">
        <v>3945</v>
      </c>
      <c r="V4803" s="267" t="s">
        <v>944</v>
      </c>
    </row>
    <row r="4804" spans="1:22" x14ac:dyDescent="0.25">
      <c r="A4804" s="266">
        <v>43702</v>
      </c>
      <c r="B4804" s="267">
        <v>2019</v>
      </c>
      <c r="C4804" s="267">
        <v>2020</v>
      </c>
      <c r="D4804" s="267">
        <v>1</v>
      </c>
      <c r="E4804" s="267">
        <v>1</v>
      </c>
      <c r="F4804" s="267" t="s">
        <v>944</v>
      </c>
      <c r="G4804" s="267" t="s">
        <v>3926</v>
      </c>
      <c r="H4804" s="267" t="s">
        <v>9432</v>
      </c>
      <c r="I4804" s="267" t="s">
        <v>3010</v>
      </c>
      <c r="J4804" s="267" t="s">
        <v>3928</v>
      </c>
      <c r="K4804" s="267">
        <v>6401</v>
      </c>
      <c r="L4804" s="267">
        <v>125300</v>
      </c>
      <c r="M4804" s="267" t="s">
        <v>3940</v>
      </c>
      <c r="N4804" s="267" t="s">
        <v>3944</v>
      </c>
      <c r="O4804" s="267">
        <v>1235.26</v>
      </c>
      <c r="P4804" s="267" t="s">
        <v>3944</v>
      </c>
      <c r="Q4804" s="267" t="s">
        <v>3944</v>
      </c>
      <c r="R4804" s="267">
        <v>1235.26</v>
      </c>
      <c r="S4804" s="267">
        <v>19677.41</v>
      </c>
      <c r="T4804" s="267">
        <v>20912.669999999998</v>
      </c>
      <c r="U4804" s="268" t="s">
        <v>3945</v>
      </c>
      <c r="V4804" s="276" t="s">
        <v>936</v>
      </c>
    </row>
    <row r="4805" spans="1:22" hidden="1" x14ac:dyDescent="0.25">
      <c r="A4805" s="269">
        <v>43702</v>
      </c>
      <c r="B4805" s="270">
        <v>2019</v>
      </c>
      <c r="C4805" s="270">
        <v>2020</v>
      </c>
      <c r="D4805" s="270">
        <v>1</v>
      </c>
      <c r="E4805" s="270">
        <v>1</v>
      </c>
      <c r="F4805" s="270" t="s">
        <v>944</v>
      </c>
      <c r="G4805" s="270" t="s">
        <v>3926</v>
      </c>
      <c r="H4805" s="270" t="s">
        <v>9433</v>
      </c>
      <c r="I4805" s="270" t="s">
        <v>4293</v>
      </c>
      <c r="J4805" s="270" t="s">
        <v>3928</v>
      </c>
      <c r="K4805" s="270">
        <v>6412</v>
      </c>
      <c r="L4805" s="270">
        <v>600100</v>
      </c>
      <c r="M4805" s="270" t="s">
        <v>3960</v>
      </c>
      <c r="N4805" s="270" t="s">
        <v>3944</v>
      </c>
      <c r="O4805" s="270">
        <v>1831.52</v>
      </c>
      <c r="P4805" s="270" t="s">
        <v>3944</v>
      </c>
      <c r="Q4805" s="270" t="s">
        <v>3944</v>
      </c>
      <c r="R4805" s="270">
        <v>1831.52</v>
      </c>
      <c r="S4805" s="270">
        <v>29907.46</v>
      </c>
      <c r="T4805" s="270">
        <v>31738.98</v>
      </c>
      <c r="U4805" s="271" t="s">
        <v>3945</v>
      </c>
      <c r="V4805" s="267" t="s">
        <v>944</v>
      </c>
    </row>
    <row r="4806" spans="1:22" hidden="1" x14ac:dyDescent="0.25">
      <c r="A4806" s="266">
        <v>43702</v>
      </c>
      <c r="B4806" s="267">
        <v>2019</v>
      </c>
      <c r="C4806" s="267">
        <v>2020</v>
      </c>
      <c r="D4806" s="267">
        <v>1</v>
      </c>
      <c r="E4806" s="267">
        <v>1</v>
      </c>
      <c r="F4806" s="267" t="s">
        <v>944</v>
      </c>
      <c r="G4806" s="267" t="s">
        <v>3926</v>
      </c>
      <c r="H4806" s="267" t="s">
        <v>9434</v>
      </c>
      <c r="I4806" s="267" t="s">
        <v>4011</v>
      </c>
      <c r="J4806" s="267" t="s">
        <v>3928</v>
      </c>
      <c r="K4806" s="267">
        <v>6002</v>
      </c>
      <c r="L4806" s="267">
        <v>471300</v>
      </c>
      <c r="M4806" s="267" t="s">
        <v>3935</v>
      </c>
      <c r="N4806" s="267" t="s">
        <v>3944</v>
      </c>
      <c r="O4806" s="267">
        <v>4790.45</v>
      </c>
      <c r="P4806" s="267" t="s">
        <v>3944</v>
      </c>
      <c r="Q4806" s="267" t="s">
        <v>3944</v>
      </c>
      <c r="R4806" s="267">
        <v>4790.45</v>
      </c>
      <c r="S4806" s="267">
        <v>64079.25</v>
      </c>
      <c r="T4806" s="267">
        <v>68869.7</v>
      </c>
      <c r="U4806" s="268" t="s">
        <v>3945</v>
      </c>
      <c r="V4806" s="267" t="s">
        <v>944</v>
      </c>
    </row>
    <row r="4807" spans="1:22" hidden="1" x14ac:dyDescent="0.25">
      <c r="A4807" s="269">
        <v>43702</v>
      </c>
      <c r="B4807" s="270">
        <v>2019</v>
      </c>
      <c r="C4807" s="270">
        <v>2020</v>
      </c>
      <c r="D4807" s="270">
        <v>1</v>
      </c>
      <c r="E4807" s="270">
        <v>1</v>
      </c>
      <c r="F4807" s="270" t="s">
        <v>944</v>
      </c>
      <c r="G4807" s="270" t="s">
        <v>3926</v>
      </c>
      <c r="H4807" s="270" t="s">
        <v>9435</v>
      </c>
      <c r="I4807" s="270" t="s">
        <v>3939</v>
      </c>
      <c r="J4807" s="270" t="s">
        <v>3928</v>
      </c>
      <c r="K4807" s="270">
        <v>6512</v>
      </c>
      <c r="L4807" s="270">
        <v>180200</v>
      </c>
      <c r="M4807" s="270" t="s">
        <v>3940</v>
      </c>
      <c r="N4807" s="270" t="s">
        <v>3944</v>
      </c>
      <c r="O4807" s="270">
        <v>843.68</v>
      </c>
      <c r="P4807" s="270" t="s">
        <v>3944</v>
      </c>
      <c r="Q4807" s="270" t="s">
        <v>3944</v>
      </c>
      <c r="R4807" s="270">
        <v>843.68</v>
      </c>
      <c r="S4807" s="270">
        <v>11206.72</v>
      </c>
      <c r="T4807" s="270">
        <v>12050.4</v>
      </c>
      <c r="U4807" s="271" t="s">
        <v>3945</v>
      </c>
      <c r="V4807" s="267" t="s">
        <v>944</v>
      </c>
    </row>
    <row r="4808" spans="1:22" hidden="1" x14ac:dyDescent="0.25">
      <c r="A4808" s="266">
        <v>43702</v>
      </c>
      <c r="B4808" s="267">
        <v>2019</v>
      </c>
      <c r="C4808" s="267">
        <v>2020</v>
      </c>
      <c r="D4808" s="267">
        <v>1</v>
      </c>
      <c r="E4808" s="267">
        <v>1</v>
      </c>
      <c r="F4808" s="267" t="s">
        <v>944</v>
      </c>
      <c r="G4808" s="267" t="s">
        <v>3926</v>
      </c>
      <c r="H4808" s="267" t="s">
        <v>9436</v>
      </c>
      <c r="I4808" s="267" t="s">
        <v>4248</v>
      </c>
      <c r="J4808" s="267" t="s">
        <v>3928</v>
      </c>
      <c r="K4808" s="267">
        <v>6076</v>
      </c>
      <c r="L4808" s="267">
        <v>890201</v>
      </c>
      <c r="M4808" s="267" t="s">
        <v>3960</v>
      </c>
      <c r="N4808" s="267" t="s">
        <v>3944</v>
      </c>
      <c r="O4808" s="267">
        <v>1406.16</v>
      </c>
      <c r="P4808" s="267" t="s">
        <v>3944</v>
      </c>
      <c r="Q4808" s="267" t="s">
        <v>3944</v>
      </c>
      <c r="R4808" s="267">
        <v>1406.16</v>
      </c>
      <c r="S4808" s="267">
        <v>20955.3</v>
      </c>
      <c r="T4808" s="267">
        <v>22361.46</v>
      </c>
      <c r="U4808" s="268" t="s">
        <v>3945</v>
      </c>
      <c r="V4808" s="267" t="s">
        <v>944</v>
      </c>
    </row>
    <row r="4809" spans="1:22" hidden="1" x14ac:dyDescent="0.25">
      <c r="A4809" s="269">
        <v>43702</v>
      </c>
      <c r="B4809" s="270">
        <v>2019</v>
      </c>
      <c r="C4809" s="270">
        <v>2020</v>
      </c>
      <c r="D4809" s="270">
        <v>1</v>
      </c>
      <c r="E4809" s="270">
        <v>1</v>
      </c>
      <c r="F4809" s="270" t="s">
        <v>944</v>
      </c>
      <c r="G4809" s="270" t="s">
        <v>3926</v>
      </c>
      <c r="H4809" s="270" t="s">
        <v>9437</v>
      </c>
      <c r="I4809" s="270" t="s">
        <v>4269</v>
      </c>
      <c r="J4809" s="270" t="s">
        <v>3928</v>
      </c>
      <c r="K4809" s="270">
        <v>6117</v>
      </c>
      <c r="L4809" s="270">
        <v>497200</v>
      </c>
      <c r="M4809" s="270" t="s">
        <v>3943</v>
      </c>
      <c r="N4809" s="270" t="s">
        <v>3944</v>
      </c>
      <c r="O4809" s="270">
        <v>2035.39</v>
      </c>
      <c r="P4809" s="270" t="s">
        <v>3944</v>
      </c>
      <c r="Q4809" s="270" t="s">
        <v>3944</v>
      </c>
      <c r="R4809" s="270">
        <v>2035.39</v>
      </c>
      <c r="S4809" s="270">
        <v>31437.86</v>
      </c>
      <c r="T4809" s="270">
        <v>33473.25</v>
      </c>
      <c r="U4809" s="271" t="s">
        <v>3945</v>
      </c>
      <c r="V4809" s="267" t="s">
        <v>944</v>
      </c>
    </row>
    <row r="4810" spans="1:22" hidden="1" x14ac:dyDescent="0.25">
      <c r="A4810" s="266">
        <v>43702</v>
      </c>
      <c r="B4810" s="267">
        <v>2019</v>
      </c>
      <c r="C4810" s="267">
        <v>2020</v>
      </c>
      <c r="D4810" s="267">
        <v>1</v>
      </c>
      <c r="E4810" s="267">
        <v>1</v>
      </c>
      <c r="F4810" s="267" t="s">
        <v>944</v>
      </c>
      <c r="G4810" s="267" t="s">
        <v>3926</v>
      </c>
      <c r="H4810" s="267" t="s">
        <v>9438</v>
      </c>
      <c r="I4810" s="267" t="s">
        <v>3954</v>
      </c>
      <c r="J4810" s="267" t="s">
        <v>3928</v>
      </c>
      <c r="K4810" s="267">
        <v>6333</v>
      </c>
      <c r="L4810" s="267">
        <v>716102</v>
      </c>
      <c r="M4810" s="267" t="s">
        <v>3943</v>
      </c>
      <c r="N4810" s="267" t="s">
        <v>3944</v>
      </c>
      <c r="O4810" s="267">
        <v>2189.29</v>
      </c>
      <c r="P4810" s="267" t="s">
        <v>3944</v>
      </c>
      <c r="Q4810" s="267" t="s">
        <v>3944</v>
      </c>
      <c r="R4810" s="267">
        <v>2189.29</v>
      </c>
      <c r="S4810" s="267">
        <v>34161.82</v>
      </c>
      <c r="T4810" s="267">
        <v>36351.11</v>
      </c>
      <c r="U4810" s="268" t="s">
        <v>3945</v>
      </c>
      <c r="V4810" s="267" t="s">
        <v>944</v>
      </c>
    </row>
    <row r="4811" spans="1:22" hidden="1" x14ac:dyDescent="0.25">
      <c r="A4811" s="269">
        <v>43702</v>
      </c>
      <c r="B4811" s="270">
        <v>2019</v>
      </c>
      <c r="C4811" s="270">
        <v>2020</v>
      </c>
      <c r="D4811" s="270">
        <v>1</v>
      </c>
      <c r="E4811" s="270">
        <v>1</v>
      </c>
      <c r="F4811" s="270" t="s">
        <v>944</v>
      </c>
      <c r="G4811" s="270" t="s">
        <v>3926</v>
      </c>
      <c r="H4811" s="270" t="s">
        <v>9439</v>
      </c>
      <c r="I4811" s="270" t="s">
        <v>4353</v>
      </c>
      <c r="J4811" s="270" t="s">
        <v>3928</v>
      </c>
      <c r="K4811" s="270">
        <v>6416</v>
      </c>
      <c r="L4811" s="270">
        <v>570200</v>
      </c>
      <c r="M4811" s="270" t="s">
        <v>3943</v>
      </c>
      <c r="N4811" s="270" t="s">
        <v>3944</v>
      </c>
      <c r="O4811" s="270">
        <v>1742.55</v>
      </c>
      <c r="P4811" s="270" t="s">
        <v>3944</v>
      </c>
      <c r="Q4811" s="270" t="s">
        <v>3944</v>
      </c>
      <c r="R4811" s="270">
        <v>1742.55</v>
      </c>
      <c r="S4811" s="270">
        <v>24029.81</v>
      </c>
      <c r="T4811" s="270">
        <v>25772.36</v>
      </c>
      <c r="U4811" s="271" t="s">
        <v>3945</v>
      </c>
      <c r="V4811" s="267" t="s">
        <v>944</v>
      </c>
    </row>
    <row r="4812" spans="1:22" hidden="1" x14ac:dyDescent="0.25">
      <c r="A4812" s="266">
        <v>43702</v>
      </c>
      <c r="B4812" s="267">
        <v>2019</v>
      </c>
      <c r="C4812" s="267">
        <v>2020</v>
      </c>
      <c r="D4812" s="267">
        <v>1</v>
      </c>
      <c r="E4812" s="267">
        <v>1</v>
      </c>
      <c r="F4812" s="267" t="s">
        <v>944</v>
      </c>
      <c r="G4812" s="267" t="s">
        <v>3926</v>
      </c>
      <c r="H4812" s="267" t="s">
        <v>9440</v>
      </c>
      <c r="I4812" s="267" t="s">
        <v>3939</v>
      </c>
      <c r="J4812" s="267" t="s">
        <v>3928</v>
      </c>
      <c r="K4812" s="267">
        <v>6512</v>
      </c>
      <c r="L4812" s="267">
        <v>180601</v>
      </c>
      <c r="M4812" s="267" t="s">
        <v>3940</v>
      </c>
      <c r="N4812" s="267" t="s">
        <v>3944</v>
      </c>
      <c r="O4812" s="267">
        <v>1569.16</v>
      </c>
      <c r="P4812" s="267" t="s">
        <v>3944</v>
      </c>
      <c r="Q4812" s="267" t="s">
        <v>3944</v>
      </c>
      <c r="R4812" s="267">
        <v>1569.16</v>
      </c>
      <c r="S4812" s="267">
        <v>26432.46</v>
      </c>
      <c r="T4812" s="267">
        <v>28001.62</v>
      </c>
      <c r="U4812" s="268" t="s">
        <v>3945</v>
      </c>
      <c r="V4812" s="267" t="s">
        <v>944</v>
      </c>
    </row>
    <row r="4813" spans="1:22" hidden="1" x14ac:dyDescent="0.25">
      <c r="A4813" s="269">
        <v>43702</v>
      </c>
      <c r="B4813" s="270">
        <v>2019</v>
      </c>
      <c r="C4813" s="270">
        <v>2020</v>
      </c>
      <c r="D4813" s="270">
        <v>1</v>
      </c>
      <c r="E4813" s="270">
        <v>1</v>
      </c>
      <c r="F4813" s="270" t="s">
        <v>944</v>
      </c>
      <c r="G4813" s="270" t="s">
        <v>3926</v>
      </c>
      <c r="H4813" s="270" t="s">
        <v>9441</v>
      </c>
      <c r="I4813" s="270" t="s">
        <v>3939</v>
      </c>
      <c r="J4813" s="270" t="s">
        <v>3928</v>
      </c>
      <c r="K4813" s="270">
        <v>6512</v>
      </c>
      <c r="L4813" s="270">
        <v>180400</v>
      </c>
      <c r="M4813" s="270" t="s">
        <v>3935</v>
      </c>
      <c r="N4813" s="270" t="s">
        <v>3944</v>
      </c>
      <c r="O4813" s="270">
        <v>2141.37</v>
      </c>
      <c r="P4813" s="270" t="s">
        <v>3944</v>
      </c>
      <c r="Q4813" s="270" t="s">
        <v>3944</v>
      </c>
      <c r="R4813" s="270">
        <v>2141.37</v>
      </c>
      <c r="S4813" s="270">
        <v>32128.27</v>
      </c>
      <c r="T4813" s="270">
        <v>34269.64</v>
      </c>
      <c r="U4813" s="271" t="s">
        <v>3945</v>
      </c>
      <c r="V4813" s="267" t="s">
        <v>944</v>
      </c>
    </row>
    <row r="4814" spans="1:22" hidden="1" x14ac:dyDescent="0.25">
      <c r="A4814" s="266">
        <v>43702</v>
      </c>
      <c r="B4814" s="267">
        <v>2019</v>
      </c>
      <c r="C4814" s="267">
        <v>2020</v>
      </c>
      <c r="D4814" s="267">
        <v>1</v>
      </c>
      <c r="E4814" s="267">
        <v>1</v>
      </c>
      <c r="F4814" s="267" t="s">
        <v>944</v>
      </c>
      <c r="G4814" s="267" t="s">
        <v>3926</v>
      </c>
      <c r="H4814" s="267" t="s">
        <v>9442</v>
      </c>
      <c r="I4814" s="267" t="s">
        <v>4042</v>
      </c>
      <c r="J4814" s="267" t="s">
        <v>3928</v>
      </c>
      <c r="K4814" s="267">
        <v>6382</v>
      </c>
      <c r="L4814" s="267">
        <v>870501</v>
      </c>
      <c r="M4814" s="267" t="s">
        <v>3935</v>
      </c>
      <c r="N4814" s="267" t="s">
        <v>3944</v>
      </c>
      <c r="O4814" s="267">
        <v>721.53</v>
      </c>
      <c r="P4814" s="267" t="s">
        <v>3944</v>
      </c>
      <c r="Q4814" s="267" t="s">
        <v>3944</v>
      </c>
      <c r="R4814" s="267">
        <v>721.53</v>
      </c>
      <c r="S4814" s="267">
        <v>11474.67</v>
      </c>
      <c r="T4814" s="267">
        <v>12196.2</v>
      </c>
      <c r="U4814" s="268" t="s">
        <v>3945</v>
      </c>
      <c r="V4814" s="267" t="s">
        <v>944</v>
      </c>
    </row>
    <row r="4815" spans="1:22" hidden="1" x14ac:dyDescent="0.25">
      <c r="A4815" s="269">
        <v>43702</v>
      </c>
      <c r="B4815" s="270">
        <v>2019</v>
      </c>
      <c r="C4815" s="270">
        <v>2020</v>
      </c>
      <c r="D4815" s="270">
        <v>1</v>
      </c>
      <c r="E4815" s="270">
        <v>1</v>
      </c>
      <c r="F4815" s="270" t="s">
        <v>944</v>
      </c>
      <c r="G4815" s="270" t="s">
        <v>3926</v>
      </c>
      <c r="H4815" s="270" t="s">
        <v>9443</v>
      </c>
      <c r="I4815" s="270" t="s">
        <v>956</v>
      </c>
      <c r="J4815" s="270" t="s">
        <v>3928</v>
      </c>
      <c r="K4815" s="270">
        <v>6615</v>
      </c>
      <c r="L4815" s="270">
        <v>80200</v>
      </c>
      <c r="M4815" s="270" t="s">
        <v>3935</v>
      </c>
      <c r="N4815" s="270" t="s">
        <v>3944</v>
      </c>
      <c r="O4815" s="270">
        <v>1530.38</v>
      </c>
      <c r="P4815" s="270" t="s">
        <v>3944</v>
      </c>
      <c r="Q4815" s="270" t="s">
        <v>3944</v>
      </c>
      <c r="R4815" s="270">
        <v>1530.38</v>
      </c>
      <c r="S4815" s="270">
        <v>26340.12</v>
      </c>
      <c r="T4815" s="270">
        <v>27870.5</v>
      </c>
      <c r="U4815" s="271" t="s">
        <v>3945</v>
      </c>
      <c r="V4815" s="267" t="s">
        <v>944</v>
      </c>
    </row>
    <row r="4816" spans="1:22" hidden="1" x14ac:dyDescent="0.25">
      <c r="A4816" s="266">
        <v>43702</v>
      </c>
      <c r="B4816" s="267">
        <v>2019</v>
      </c>
      <c r="C4816" s="267">
        <v>2020</v>
      </c>
      <c r="D4816" s="267">
        <v>1</v>
      </c>
      <c r="E4816" s="267">
        <v>1</v>
      </c>
      <c r="F4816" s="267" t="s">
        <v>944</v>
      </c>
      <c r="G4816" s="267" t="s">
        <v>3926</v>
      </c>
      <c r="H4816" s="267" t="s">
        <v>9444</v>
      </c>
      <c r="I4816" s="267" t="s">
        <v>956</v>
      </c>
      <c r="J4816" s="267" t="s">
        <v>3928</v>
      </c>
      <c r="K4816" s="267">
        <v>6614</v>
      </c>
      <c r="L4816" s="267">
        <v>81000</v>
      </c>
      <c r="M4816" s="267" t="s">
        <v>3940</v>
      </c>
      <c r="N4816" s="267" t="s">
        <v>3944</v>
      </c>
      <c r="O4816" s="267">
        <v>1563.77</v>
      </c>
      <c r="P4816" s="267" t="s">
        <v>3944</v>
      </c>
      <c r="Q4816" s="267" t="s">
        <v>3944</v>
      </c>
      <c r="R4816" s="267">
        <v>1563.77</v>
      </c>
      <c r="S4816" s="267">
        <v>23115.41</v>
      </c>
      <c r="T4816" s="267">
        <v>24679.18</v>
      </c>
      <c r="U4816" s="268" t="s">
        <v>3945</v>
      </c>
      <c r="V4816" s="267" t="s">
        <v>944</v>
      </c>
    </row>
    <row r="4817" spans="1:22" hidden="1" x14ac:dyDescent="0.25">
      <c r="A4817" s="269">
        <v>43702</v>
      </c>
      <c r="B4817" s="270">
        <v>2019</v>
      </c>
      <c r="C4817" s="270">
        <v>2020</v>
      </c>
      <c r="D4817" s="270">
        <v>1</v>
      </c>
      <c r="E4817" s="270">
        <v>1</v>
      </c>
      <c r="F4817" s="270" t="s">
        <v>944</v>
      </c>
      <c r="G4817" s="270" t="s">
        <v>3926</v>
      </c>
      <c r="H4817" s="270" t="s">
        <v>9445</v>
      </c>
      <c r="I4817" s="270" t="s">
        <v>4019</v>
      </c>
      <c r="J4817" s="270" t="s">
        <v>3928</v>
      </c>
      <c r="K4817" s="270">
        <v>6708</v>
      </c>
      <c r="L4817" s="270">
        <v>351800</v>
      </c>
      <c r="M4817" s="270" t="s">
        <v>3940</v>
      </c>
      <c r="N4817" s="270" t="s">
        <v>3944</v>
      </c>
      <c r="O4817" s="270">
        <v>2272.2399999999998</v>
      </c>
      <c r="P4817" s="270" t="s">
        <v>3944</v>
      </c>
      <c r="Q4817" s="270" t="s">
        <v>3944</v>
      </c>
      <c r="R4817" s="270">
        <v>2272.2399999999998</v>
      </c>
      <c r="S4817" s="270">
        <v>33950.21</v>
      </c>
      <c r="T4817" s="270">
        <v>36222.449999999997</v>
      </c>
      <c r="U4817" s="271" t="s">
        <v>3945</v>
      </c>
      <c r="V4817" s="267" t="s">
        <v>944</v>
      </c>
    </row>
    <row r="4818" spans="1:22" hidden="1" x14ac:dyDescent="0.25">
      <c r="A4818" s="266">
        <v>43702</v>
      </c>
      <c r="B4818" s="267">
        <v>2019</v>
      </c>
      <c r="C4818" s="267">
        <v>2020</v>
      </c>
      <c r="D4818" s="267">
        <v>1</v>
      </c>
      <c r="E4818" s="267">
        <v>1</v>
      </c>
      <c r="F4818" s="267" t="s">
        <v>944</v>
      </c>
      <c r="G4818" s="267" t="s">
        <v>3926</v>
      </c>
      <c r="H4818" s="267" t="s">
        <v>9446</v>
      </c>
      <c r="I4818" s="267" t="s">
        <v>4019</v>
      </c>
      <c r="J4818" s="267" t="s">
        <v>3928</v>
      </c>
      <c r="K4818" s="267">
        <v>6704</v>
      </c>
      <c r="L4818" s="267">
        <v>352400</v>
      </c>
      <c r="M4818" s="267">
        <v>-60</v>
      </c>
      <c r="N4818" s="267" t="s">
        <v>3944</v>
      </c>
      <c r="O4818" s="267">
        <v>771.72</v>
      </c>
      <c r="P4818" s="267" t="s">
        <v>3944</v>
      </c>
      <c r="Q4818" s="267" t="s">
        <v>3944</v>
      </c>
      <c r="R4818" s="267">
        <v>771.72</v>
      </c>
      <c r="S4818" s="267">
        <v>11116.89</v>
      </c>
      <c r="T4818" s="267">
        <v>11888.61</v>
      </c>
      <c r="U4818" s="268" t="s">
        <v>3945</v>
      </c>
      <c r="V4818" s="267" t="s">
        <v>944</v>
      </c>
    </row>
    <row r="4819" spans="1:22" hidden="1" x14ac:dyDescent="0.25">
      <c r="A4819" s="269">
        <v>43702</v>
      </c>
      <c r="B4819" s="270">
        <v>2019</v>
      </c>
      <c r="C4819" s="270">
        <v>2020</v>
      </c>
      <c r="D4819" s="270">
        <v>1</v>
      </c>
      <c r="E4819" s="270">
        <v>1</v>
      </c>
      <c r="F4819" s="270" t="s">
        <v>944</v>
      </c>
      <c r="G4819" s="270" t="s">
        <v>3926</v>
      </c>
      <c r="H4819" s="270" t="s">
        <v>9447</v>
      </c>
      <c r="I4819" s="270" t="s">
        <v>3009</v>
      </c>
      <c r="J4819" s="270" t="s">
        <v>3928</v>
      </c>
      <c r="K4819" s="270">
        <v>6484</v>
      </c>
      <c r="L4819" s="270">
        <v>110600</v>
      </c>
      <c r="M4819" s="270" t="s">
        <v>3943</v>
      </c>
      <c r="N4819" s="270" t="s">
        <v>3944</v>
      </c>
      <c r="O4819" s="270">
        <v>1470.84</v>
      </c>
      <c r="P4819" s="270" t="s">
        <v>3944</v>
      </c>
      <c r="Q4819" s="270" t="s">
        <v>3944</v>
      </c>
      <c r="R4819" s="270">
        <v>1470.84</v>
      </c>
      <c r="S4819" s="270">
        <v>22343.16</v>
      </c>
      <c r="T4819" s="270">
        <v>23814</v>
      </c>
      <c r="U4819" s="271" t="s">
        <v>3945</v>
      </c>
      <c r="V4819" s="267" t="s">
        <v>944</v>
      </c>
    </row>
    <row r="4820" spans="1:22" hidden="1" x14ac:dyDescent="0.25">
      <c r="A4820" s="266">
        <v>43702</v>
      </c>
      <c r="B4820" s="267">
        <v>2019</v>
      </c>
      <c r="C4820" s="267">
        <v>2020</v>
      </c>
      <c r="D4820" s="267">
        <v>1</v>
      </c>
      <c r="E4820" s="267">
        <v>1</v>
      </c>
      <c r="F4820" s="267" t="s">
        <v>944</v>
      </c>
      <c r="G4820" s="267" t="s">
        <v>3926</v>
      </c>
      <c r="H4820" s="267" t="s">
        <v>9448</v>
      </c>
      <c r="I4820" s="267" t="s">
        <v>4035</v>
      </c>
      <c r="J4820" s="267" t="s">
        <v>3928</v>
      </c>
      <c r="K4820" s="267">
        <v>6074</v>
      </c>
      <c r="L4820" s="267">
        <v>487201</v>
      </c>
      <c r="M4820" s="267" t="s">
        <v>3943</v>
      </c>
      <c r="N4820" s="267" t="s">
        <v>3944</v>
      </c>
      <c r="O4820" s="267">
        <v>4804.9399999999996</v>
      </c>
      <c r="P4820" s="267" t="s">
        <v>3944</v>
      </c>
      <c r="Q4820" s="267" t="s">
        <v>3944</v>
      </c>
      <c r="R4820" s="267">
        <v>4804.9399999999996</v>
      </c>
      <c r="S4820" s="267">
        <v>70181.33</v>
      </c>
      <c r="T4820" s="267">
        <v>74986.27</v>
      </c>
      <c r="U4820" s="268" t="s">
        <v>3945</v>
      </c>
      <c r="V4820" s="267" t="s">
        <v>944</v>
      </c>
    </row>
    <row r="4821" spans="1:22" hidden="1" x14ac:dyDescent="0.25">
      <c r="A4821" s="269">
        <v>43702</v>
      </c>
      <c r="B4821" s="270">
        <v>2019</v>
      </c>
      <c r="C4821" s="270">
        <v>2020</v>
      </c>
      <c r="D4821" s="270">
        <v>1</v>
      </c>
      <c r="E4821" s="270">
        <v>1</v>
      </c>
      <c r="F4821" s="270" t="s">
        <v>944</v>
      </c>
      <c r="G4821" s="270" t="s">
        <v>3926</v>
      </c>
      <c r="H4821" s="270" t="s">
        <v>9449</v>
      </c>
      <c r="I4821" s="270" t="s">
        <v>4944</v>
      </c>
      <c r="J4821" s="270" t="s">
        <v>3928</v>
      </c>
      <c r="K4821" s="270">
        <v>6232</v>
      </c>
      <c r="L4821" s="270">
        <v>528100</v>
      </c>
      <c r="M4821" s="270" t="s">
        <v>3943</v>
      </c>
      <c r="N4821" s="270" t="s">
        <v>3944</v>
      </c>
      <c r="O4821" s="270">
        <v>1448.86</v>
      </c>
      <c r="P4821" s="270" t="s">
        <v>3944</v>
      </c>
      <c r="Q4821" s="270" t="s">
        <v>3944</v>
      </c>
      <c r="R4821" s="270">
        <v>1448.86</v>
      </c>
      <c r="S4821" s="270">
        <v>20075.46</v>
      </c>
      <c r="T4821" s="270">
        <v>21524.32</v>
      </c>
      <c r="U4821" s="271" t="s">
        <v>3945</v>
      </c>
      <c r="V4821" s="267" t="s">
        <v>944</v>
      </c>
    </row>
    <row r="4822" spans="1:22" x14ac:dyDescent="0.25">
      <c r="A4822" s="266">
        <v>43702</v>
      </c>
      <c r="B4822" s="267">
        <v>2019</v>
      </c>
      <c r="C4822" s="267">
        <v>2020</v>
      </c>
      <c r="D4822" s="267">
        <v>1</v>
      </c>
      <c r="E4822" s="267">
        <v>1</v>
      </c>
      <c r="F4822" s="267" t="s">
        <v>944</v>
      </c>
      <c r="G4822" s="267" t="s">
        <v>3926</v>
      </c>
      <c r="H4822" s="267" t="s">
        <v>9450</v>
      </c>
      <c r="I4822" s="267" t="s">
        <v>943</v>
      </c>
      <c r="J4822" s="267" t="s">
        <v>3928</v>
      </c>
      <c r="K4822" s="267">
        <v>6513</v>
      </c>
      <c r="L4822" s="267">
        <v>142300</v>
      </c>
      <c r="M4822" s="267">
        <v>-60</v>
      </c>
      <c r="N4822" s="267" t="s">
        <v>3944</v>
      </c>
      <c r="O4822" s="267">
        <v>1180.0999999999999</v>
      </c>
      <c r="P4822" s="267" t="s">
        <v>3944</v>
      </c>
      <c r="Q4822" s="267" t="s">
        <v>3944</v>
      </c>
      <c r="R4822" s="267">
        <v>1180.0999999999999</v>
      </c>
      <c r="S4822" s="267">
        <v>18400.3</v>
      </c>
      <c r="T4822" s="267">
        <v>19580.400000000001</v>
      </c>
      <c r="U4822" s="268" t="s">
        <v>3945</v>
      </c>
      <c r="V4822" s="276" t="s">
        <v>936</v>
      </c>
    </row>
    <row r="4823" spans="1:22" hidden="1" x14ac:dyDescent="0.25">
      <c r="A4823" s="269">
        <v>43702</v>
      </c>
      <c r="B4823" s="270">
        <v>2019</v>
      </c>
      <c r="C4823" s="270">
        <v>2020</v>
      </c>
      <c r="D4823" s="270">
        <v>1</v>
      </c>
      <c r="E4823" s="270">
        <v>1</v>
      </c>
      <c r="F4823" s="270" t="s">
        <v>944</v>
      </c>
      <c r="G4823" s="270" t="s">
        <v>3926</v>
      </c>
      <c r="H4823" s="270" t="s">
        <v>9451</v>
      </c>
      <c r="I4823" s="270" t="s">
        <v>4695</v>
      </c>
      <c r="J4823" s="270" t="s">
        <v>3928</v>
      </c>
      <c r="K4823" s="270">
        <v>6234</v>
      </c>
      <c r="L4823" s="270">
        <v>905100</v>
      </c>
      <c r="M4823" s="270" t="s">
        <v>3935</v>
      </c>
      <c r="N4823" s="270" t="s">
        <v>3944</v>
      </c>
      <c r="O4823" s="270">
        <v>3249.47</v>
      </c>
      <c r="P4823" s="270" t="s">
        <v>3944</v>
      </c>
      <c r="Q4823" s="270" t="s">
        <v>3944</v>
      </c>
      <c r="R4823" s="270">
        <v>3249.47</v>
      </c>
      <c r="S4823" s="270">
        <v>53930.39</v>
      </c>
      <c r="T4823" s="270">
        <v>57179.86</v>
      </c>
      <c r="U4823" s="271" t="s">
        <v>3945</v>
      </c>
      <c r="V4823" s="267" t="s">
        <v>944</v>
      </c>
    </row>
    <row r="4824" spans="1:22" hidden="1" x14ac:dyDescent="0.25">
      <c r="A4824" s="266">
        <v>43702</v>
      </c>
      <c r="B4824" s="267">
        <v>2019</v>
      </c>
      <c r="C4824" s="267">
        <v>2020</v>
      </c>
      <c r="D4824" s="267">
        <v>1</v>
      </c>
      <c r="E4824" s="267">
        <v>1</v>
      </c>
      <c r="F4824" s="267" t="s">
        <v>944</v>
      </c>
      <c r="G4824" s="267" t="s">
        <v>3926</v>
      </c>
      <c r="H4824" s="267" t="s">
        <v>9452</v>
      </c>
      <c r="I4824" s="267" t="s">
        <v>4905</v>
      </c>
      <c r="J4824" s="267" t="s">
        <v>3928</v>
      </c>
      <c r="K4824" s="267">
        <v>6247</v>
      </c>
      <c r="L4824" s="267">
        <v>820000</v>
      </c>
      <c r="M4824" s="267" t="s">
        <v>3935</v>
      </c>
      <c r="N4824" s="267" t="s">
        <v>3944</v>
      </c>
      <c r="O4824" s="267">
        <v>1240.23</v>
      </c>
      <c r="P4824" s="267" t="s">
        <v>3944</v>
      </c>
      <c r="Q4824" s="267" t="s">
        <v>3944</v>
      </c>
      <c r="R4824" s="267">
        <v>1240.23</v>
      </c>
      <c r="S4824" s="267">
        <v>19203.27</v>
      </c>
      <c r="T4824" s="267">
        <v>20443.5</v>
      </c>
      <c r="U4824" s="268" t="s">
        <v>3945</v>
      </c>
      <c r="V4824" s="267" t="s">
        <v>944</v>
      </c>
    </row>
    <row r="4825" spans="1:22" x14ac:dyDescent="0.25">
      <c r="A4825" s="269">
        <v>43703</v>
      </c>
      <c r="B4825" s="270">
        <v>2019</v>
      </c>
      <c r="C4825" s="270">
        <v>2020</v>
      </c>
      <c r="D4825" s="270">
        <v>1</v>
      </c>
      <c r="E4825" s="270">
        <v>1</v>
      </c>
      <c r="F4825" s="270" t="s">
        <v>944</v>
      </c>
      <c r="G4825" s="270" t="s">
        <v>3926</v>
      </c>
      <c r="H4825" s="270" t="s">
        <v>9453</v>
      </c>
      <c r="I4825" s="270" t="s">
        <v>943</v>
      </c>
      <c r="J4825" s="270" t="s">
        <v>3928</v>
      </c>
      <c r="K4825" s="270">
        <v>6513</v>
      </c>
      <c r="L4825" s="270">
        <v>142500</v>
      </c>
      <c r="M4825" s="270">
        <v>-60</v>
      </c>
      <c r="N4825" s="270" t="s">
        <v>9454</v>
      </c>
      <c r="O4825" s="270">
        <v>0</v>
      </c>
      <c r="P4825" s="270" t="s">
        <v>3930</v>
      </c>
      <c r="Q4825" s="270" t="s">
        <v>3930</v>
      </c>
      <c r="R4825" s="270">
        <v>0</v>
      </c>
      <c r="S4825" s="270">
        <v>4590</v>
      </c>
      <c r="T4825" s="270">
        <v>4590</v>
      </c>
      <c r="U4825" s="271" t="s">
        <v>3937</v>
      </c>
      <c r="V4825" s="276" t="s">
        <v>936</v>
      </c>
    </row>
    <row r="4826" spans="1:22" hidden="1" x14ac:dyDescent="0.25">
      <c r="A4826" s="266">
        <v>43703</v>
      </c>
      <c r="B4826" s="267">
        <v>2019</v>
      </c>
      <c r="C4826" s="267">
        <v>2020</v>
      </c>
      <c r="D4826" s="267">
        <v>1</v>
      </c>
      <c r="E4826" s="267">
        <v>1</v>
      </c>
      <c r="F4826" s="267" t="s">
        <v>944</v>
      </c>
      <c r="G4826" s="267" t="s">
        <v>3926</v>
      </c>
      <c r="H4826" s="267" t="s">
        <v>9455</v>
      </c>
      <c r="I4826" s="267" t="s">
        <v>3939</v>
      </c>
      <c r="J4826" s="267" t="s">
        <v>3928</v>
      </c>
      <c r="K4826" s="267">
        <v>6512</v>
      </c>
      <c r="L4826" s="267">
        <v>180601</v>
      </c>
      <c r="M4826" s="267" t="s">
        <v>3940</v>
      </c>
      <c r="N4826" s="267" t="s">
        <v>6846</v>
      </c>
      <c r="O4826" s="267">
        <v>2118.71</v>
      </c>
      <c r="P4826" s="267" t="s">
        <v>3930</v>
      </c>
      <c r="Q4826" s="267" t="s">
        <v>3931</v>
      </c>
      <c r="R4826" s="267">
        <v>7118.71</v>
      </c>
      <c r="S4826" s="267">
        <v>28936</v>
      </c>
      <c r="T4826" s="267">
        <v>36054.71</v>
      </c>
      <c r="U4826" s="268" t="s">
        <v>3932</v>
      </c>
      <c r="V4826" s="267" t="s">
        <v>944</v>
      </c>
    </row>
    <row r="4827" spans="1:22" hidden="1" x14ac:dyDescent="0.25">
      <c r="A4827" s="269">
        <v>43703</v>
      </c>
      <c r="B4827" s="270">
        <v>2019</v>
      </c>
      <c r="C4827" s="270">
        <v>2020</v>
      </c>
      <c r="D4827" s="270">
        <v>1</v>
      </c>
      <c r="E4827" s="270">
        <v>1</v>
      </c>
      <c r="F4827" s="270" t="s">
        <v>944</v>
      </c>
      <c r="G4827" s="270" t="s">
        <v>3926</v>
      </c>
      <c r="H4827" s="270" t="s">
        <v>9456</v>
      </c>
      <c r="I4827" s="270" t="s">
        <v>4392</v>
      </c>
      <c r="J4827" s="270" t="s">
        <v>3928</v>
      </c>
      <c r="K4827" s="270">
        <v>6457</v>
      </c>
      <c r="L4827" s="270">
        <v>542000</v>
      </c>
      <c r="M4827" s="270" t="s">
        <v>3935</v>
      </c>
      <c r="N4827" s="270" t="s">
        <v>4523</v>
      </c>
      <c r="O4827" s="270">
        <v>1696.1</v>
      </c>
      <c r="P4827" s="270" t="s">
        <v>3930</v>
      </c>
      <c r="Q4827" s="270" t="s">
        <v>3931</v>
      </c>
      <c r="R4827" s="270">
        <v>6696.1</v>
      </c>
      <c r="S4827" s="270">
        <v>25412.799999999999</v>
      </c>
      <c r="T4827" s="270">
        <v>32108.9</v>
      </c>
      <c r="U4827" s="271" t="s">
        <v>3932</v>
      </c>
      <c r="V4827" s="267" t="s">
        <v>944</v>
      </c>
    </row>
    <row r="4828" spans="1:22" hidden="1" x14ac:dyDescent="0.25">
      <c r="A4828" s="266">
        <v>43703</v>
      </c>
      <c r="B4828" s="267">
        <v>2019</v>
      </c>
      <c r="C4828" s="267">
        <v>2020</v>
      </c>
      <c r="D4828" s="267">
        <v>1</v>
      </c>
      <c r="E4828" s="267">
        <v>1</v>
      </c>
      <c r="F4828" s="267" t="s">
        <v>944</v>
      </c>
      <c r="G4828" s="267" t="s">
        <v>3926</v>
      </c>
      <c r="H4828" s="267" t="s">
        <v>9457</v>
      </c>
      <c r="I4828" s="267" t="s">
        <v>953</v>
      </c>
      <c r="J4828" s="267" t="s">
        <v>3928</v>
      </c>
      <c r="K4828" s="267">
        <v>6514</v>
      </c>
      <c r="L4828" s="267">
        <v>165700</v>
      </c>
      <c r="M4828" s="267" t="s">
        <v>3935</v>
      </c>
      <c r="N4828" s="267" t="s">
        <v>4211</v>
      </c>
      <c r="O4828" s="267">
        <v>0</v>
      </c>
      <c r="P4828" s="267" t="s">
        <v>3930</v>
      </c>
      <c r="Q4828" s="267" t="s">
        <v>3930</v>
      </c>
      <c r="R4828" s="267">
        <v>0</v>
      </c>
      <c r="S4828" s="267">
        <v>9700</v>
      </c>
      <c r="T4828" s="267">
        <v>9700</v>
      </c>
      <c r="U4828" s="268" t="s">
        <v>3937</v>
      </c>
      <c r="V4828" s="267" t="s">
        <v>944</v>
      </c>
    </row>
    <row r="4829" spans="1:22" hidden="1" x14ac:dyDescent="0.25">
      <c r="A4829" s="269">
        <v>43703</v>
      </c>
      <c r="B4829" s="270">
        <v>2019</v>
      </c>
      <c r="C4829" s="270">
        <v>2020</v>
      </c>
      <c r="D4829" s="270">
        <v>1</v>
      </c>
      <c r="E4829" s="270">
        <v>1</v>
      </c>
      <c r="F4829" s="270" t="s">
        <v>944</v>
      </c>
      <c r="G4829" s="270" t="s">
        <v>3926</v>
      </c>
      <c r="H4829" s="270" t="s">
        <v>9458</v>
      </c>
      <c r="I4829" s="270" t="s">
        <v>943</v>
      </c>
      <c r="J4829" s="270" t="s">
        <v>3928</v>
      </c>
      <c r="K4829" s="270">
        <v>6511</v>
      </c>
      <c r="L4829" s="270">
        <v>141800</v>
      </c>
      <c r="M4829" s="270" t="s">
        <v>3940</v>
      </c>
      <c r="N4829" s="270" t="s">
        <v>3944</v>
      </c>
      <c r="O4829" s="270">
        <v>2758</v>
      </c>
      <c r="P4829" s="270" t="s">
        <v>3944</v>
      </c>
      <c r="Q4829" s="270" t="s">
        <v>3944</v>
      </c>
      <c r="R4829" s="270">
        <v>2758</v>
      </c>
      <c r="S4829" s="270">
        <v>30722</v>
      </c>
      <c r="T4829" s="270">
        <v>33480</v>
      </c>
      <c r="U4829" s="271" t="s">
        <v>3945</v>
      </c>
      <c r="V4829" s="267" t="s">
        <v>944</v>
      </c>
    </row>
    <row r="4830" spans="1:22" hidden="1" x14ac:dyDescent="0.25">
      <c r="A4830" s="266">
        <v>43703</v>
      </c>
      <c r="B4830" s="267">
        <v>2019</v>
      </c>
      <c r="C4830" s="267">
        <v>2020</v>
      </c>
      <c r="D4830" s="267">
        <v>1</v>
      </c>
      <c r="E4830" s="267">
        <v>1</v>
      </c>
      <c r="F4830" s="267" t="s">
        <v>944</v>
      </c>
      <c r="G4830" s="267" t="s">
        <v>3926</v>
      </c>
      <c r="H4830" s="267" t="s">
        <v>9459</v>
      </c>
      <c r="I4830" s="267" t="s">
        <v>4035</v>
      </c>
      <c r="J4830" s="267" t="s">
        <v>3928</v>
      </c>
      <c r="K4830" s="267">
        <v>6074</v>
      </c>
      <c r="L4830" s="267">
        <v>487201</v>
      </c>
      <c r="M4830" s="267" t="s">
        <v>3943</v>
      </c>
      <c r="N4830" s="267" t="s">
        <v>3944</v>
      </c>
      <c r="O4830" s="267">
        <v>1663</v>
      </c>
      <c r="P4830" s="267" t="s">
        <v>3944</v>
      </c>
      <c r="Q4830" s="267" t="s">
        <v>3944</v>
      </c>
      <c r="R4830" s="267">
        <v>1663</v>
      </c>
      <c r="S4830" s="267">
        <v>22977</v>
      </c>
      <c r="T4830" s="267">
        <v>24640</v>
      </c>
      <c r="U4830" s="268" t="s">
        <v>3945</v>
      </c>
      <c r="V4830" s="267" t="s">
        <v>944</v>
      </c>
    </row>
    <row r="4831" spans="1:22" hidden="1" x14ac:dyDescent="0.25">
      <c r="A4831" s="269">
        <v>43703</v>
      </c>
      <c r="B4831" s="270">
        <v>2019</v>
      </c>
      <c r="C4831" s="270">
        <v>2020</v>
      </c>
      <c r="D4831" s="270">
        <v>1</v>
      </c>
      <c r="E4831" s="270">
        <v>1</v>
      </c>
      <c r="F4831" s="270" t="s">
        <v>944</v>
      </c>
      <c r="G4831" s="270" t="s">
        <v>3926</v>
      </c>
      <c r="H4831" s="270" t="s">
        <v>9460</v>
      </c>
      <c r="I4831" s="270" t="s">
        <v>4069</v>
      </c>
      <c r="J4831" s="270" t="s">
        <v>3928</v>
      </c>
      <c r="K4831" s="270">
        <v>6905</v>
      </c>
      <c r="L4831" s="270">
        <v>21200</v>
      </c>
      <c r="M4831" s="270" t="s">
        <v>3943</v>
      </c>
      <c r="N4831" s="270" t="s">
        <v>3944</v>
      </c>
      <c r="O4831" s="270">
        <v>1511</v>
      </c>
      <c r="P4831" s="270" t="s">
        <v>3944</v>
      </c>
      <c r="Q4831" s="270" t="s">
        <v>3944</v>
      </c>
      <c r="R4831" s="270">
        <v>1511</v>
      </c>
      <c r="S4831" s="270">
        <v>18289</v>
      </c>
      <c r="T4831" s="270">
        <v>19800</v>
      </c>
      <c r="U4831" s="271" t="s">
        <v>3945</v>
      </c>
      <c r="V4831" s="267" t="s">
        <v>944</v>
      </c>
    </row>
    <row r="4832" spans="1:22" hidden="1" x14ac:dyDescent="0.25">
      <c r="A4832" s="266">
        <v>43703</v>
      </c>
      <c r="B4832" s="267">
        <v>2019</v>
      </c>
      <c r="C4832" s="267">
        <v>2020</v>
      </c>
      <c r="D4832" s="267">
        <v>1</v>
      </c>
      <c r="E4832" s="267">
        <v>1</v>
      </c>
      <c r="F4832" s="267" t="s">
        <v>944</v>
      </c>
      <c r="G4832" s="267" t="s">
        <v>3926</v>
      </c>
      <c r="H4832" s="267" t="s">
        <v>9461</v>
      </c>
      <c r="I4832" s="267" t="s">
        <v>4407</v>
      </c>
      <c r="J4832" s="267" t="s">
        <v>3928</v>
      </c>
      <c r="K4832" s="267">
        <v>6238</v>
      </c>
      <c r="L4832" s="267">
        <v>850100</v>
      </c>
      <c r="M4832" s="267" t="s">
        <v>3960</v>
      </c>
      <c r="N4832" s="267" t="s">
        <v>3944</v>
      </c>
      <c r="O4832" s="267">
        <v>3837</v>
      </c>
      <c r="P4832" s="267" t="s">
        <v>3944</v>
      </c>
      <c r="Q4832" s="267" t="s">
        <v>3944</v>
      </c>
      <c r="R4832" s="267">
        <v>3837</v>
      </c>
      <c r="S4832" s="267">
        <v>53763</v>
      </c>
      <c r="T4832" s="267">
        <v>57600</v>
      </c>
      <c r="U4832" s="268" t="s">
        <v>3945</v>
      </c>
      <c r="V4832" s="267" t="s">
        <v>944</v>
      </c>
    </row>
    <row r="4833" spans="1:22" hidden="1" x14ac:dyDescent="0.25">
      <c r="A4833" s="269">
        <v>43703</v>
      </c>
      <c r="B4833" s="270">
        <v>2019</v>
      </c>
      <c r="C4833" s="270">
        <v>2020</v>
      </c>
      <c r="D4833" s="270">
        <v>1</v>
      </c>
      <c r="E4833" s="270">
        <v>1</v>
      </c>
      <c r="F4833" s="270" t="s">
        <v>944</v>
      </c>
      <c r="G4833" s="270" t="s">
        <v>3926</v>
      </c>
      <c r="H4833" s="270" t="s">
        <v>9462</v>
      </c>
      <c r="I4833" s="270" t="s">
        <v>2987</v>
      </c>
      <c r="J4833" s="270" t="s">
        <v>3928</v>
      </c>
      <c r="K4833" s="270">
        <v>6611</v>
      </c>
      <c r="L4833" s="270">
        <v>90200</v>
      </c>
      <c r="M4833" s="270" t="s">
        <v>3943</v>
      </c>
      <c r="N4833" s="270" t="s">
        <v>3944</v>
      </c>
      <c r="O4833" s="270">
        <v>2276</v>
      </c>
      <c r="P4833" s="270" t="s">
        <v>3944</v>
      </c>
      <c r="Q4833" s="270" t="s">
        <v>3944</v>
      </c>
      <c r="R4833" s="270">
        <v>2276</v>
      </c>
      <c r="S4833" s="270">
        <v>17227</v>
      </c>
      <c r="T4833" s="270">
        <v>19503</v>
      </c>
      <c r="U4833" s="271" t="s">
        <v>3945</v>
      </c>
      <c r="V4833" s="267" t="s">
        <v>944</v>
      </c>
    </row>
    <row r="4834" spans="1:22" hidden="1" x14ac:dyDescent="0.25">
      <c r="A4834" s="266">
        <v>43703</v>
      </c>
      <c r="B4834" s="267">
        <v>2019</v>
      </c>
      <c r="C4834" s="267">
        <v>2020</v>
      </c>
      <c r="D4834" s="267">
        <v>1</v>
      </c>
      <c r="E4834" s="267">
        <v>1</v>
      </c>
      <c r="F4834" s="267" t="s">
        <v>944</v>
      </c>
      <c r="G4834" s="267" t="s">
        <v>3926</v>
      </c>
      <c r="H4834" s="267" t="s">
        <v>9463</v>
      </c>
      <c r="I4834" s="267" t="s">
        <v>3964</v>
      </c>
      <c r="J4834" s="267" t="s">
        <v>3928</v>
      </c>
      <c r="K4834" s="267">
        <v>6033</v>
      </c>
      <c r="L4834" s="267">
        <v>520400</v>
      </c>
      <c r="M4834" s="267" t="s">
        <v>3943</v>
      </c>
      <c r="N4834" s="267" t="s">
        <v>3944</v>
      </c>
      <c r="O4834" s="267">
        <v>3505</v>
      </c>
      <c r="P4834" s="267" t="s">
        <v>3944</v>
      </c>
      <c r="Q4834" s="267" t="s">
        <v>3944</v>
      </c>
      <c r="R4834" s="267">
        <v>3505</v>
      </c>
      <c r="S4834" s="267">
        <v>22991</v>
      </c>
      <c r="T4834" s="267">
        <v>26496</v>
      </c>
      <c r="U4834" s="268" t="s">
        <v>3945</v>
      </c>
      <c r="V4834" s="267" t="s">
        <v>944</v>
      </c>
    </row>
    <row r="4835" spans="1:22" hidden="1" x14ac:dyDescent="0.25">
      <c r="A4835" s="269">
        <v>43703</v>
      </c>
      <c r="B4835" s="270">
        <v>2019</v>
      </c>
      <c r="C4835" s="270">
        <v>2020</v>
      </c>
      <c r="D4835" s="270">
        <v>1</v>
      </c>
      <c r="E4835" s="270">
        <v>1</v>
      </c>
      <c r="F4835" s="270" t="s">
        <v>944</v>
      </c>
      <c r="G4835" s="270" t="s">
        <v>3926</v>
      </c>
      <c r="H4835" s="270" t="s">
        <v>9464</v>
      </c>
      <c r="I4835" s="270" t="s">
        <v>5127</v>
      </c>
      <c r="J4835" s="270" t="s">
        <v>3928</v>
      </c>
      <c r="K4835" s="270">
        <v>6759</v>
      </c>
      <c r="L4835" s="270">
        <v>300500</v>
      </c>
      <c r="M4835" s="270" t="s">
        <v>3935</v>
      </c>
      <c r="N4835" s="270" t="s">
        <v>3944</v>
      </c>
      <c r="O4835" s="270">
        <v>2278</v>
      </c>
      <c r="P4835" s="270" t="s">
        <v>3944</v>
      </c>
      <c r="Q4835" s="270" t="s">
        <v>3944</v>
      </c>
      <c r="R4835" s="270">
        <v>2278</v>
      </c>
      <c r="S4835" s="270">
        <v>20451.75</v>
      </c>
      <c r="T4835" s="270">
        <v>22729.75</v>
      </c>
      <c r="U4835" s="271" t="s">
        <v>3945</v>
      </c>
      <c r="V4835" s="267" t="s">
        <v>944</v>
      </c>
    </row>
    <row r="4836" spans="1:22" hidden="1" x14ac:dyDescent="0.25">
      <c r="A4836" s="266">
        <v>43703</v>
      </c>
      <c r="B4836" s="267">
        <v>2019</v>
      </c>
      <c r="C4836" s="267">
        <v>2020</v>
      </c>
      <c r="D4836" s="267">
        <v>1</v>
      </c>
      <c r="E4836" s="267">
        <v>1</v>
      </c>
      <c r="F4836" s="267" t="s">
        <v>944</v>
      </c>
      <c r="G4836" s="267" t="s">
        <v>3926</v>
      </c>
      <c r="H4836" s="267" t="s">
        <v>9465</v>
      </c>
      <c r="I4836" s="267" t="s">
        <v>4042</v>
      </c>
      <c r="J4836" s="267" t="s">
        <v>3928</v>
      </c>
      <c r="K4836" s="267">
        <v>6382</v>
      </c>
      <c r="L4836" s="267">
        <v>870501</v>
      </c>
      <c r="M4836" s="267" t="s">
        <v>3935</v>
      </c>
      <c r="N4836" s="267" t="s">
        <v>3944</v>
      </c>
      <c r="O4836" s="267">
        <v>3224</v>
      </c>
      <c r="P4836" s="267" t="s">
        <v>3944</v>
      </c>
      <c r="Q4836" s="267" t="s">
        <v>3944</v>
      </c>
      <c r="R4836" s="267">
        <v>3224</v>
      </c>
      <c r="S4836" s="267">
        <v>25355.8</v>
      </c>
      <c r="T4836" s="267">
        <v>28579.8</v>
      </c>
      <c r="U4836" s="268" t="s">
        <v>3945</v>
      </c>
      <c r="V4836" s="267" t="s">
        <v>944</v>
      </c>
    </row>
    <row r="4837" spans="1:22" hidden="1" x14ac:dyDescent="0.25">
      <c r="A4837" s="269">
        <v>43703</v>
      </c>
      <c r="B4837" s="270">
        <v>2019</v>
      </c>
      <c r="C4837" s="270">
        <v>2020</v>
      </c>
      <c r="D4837" s="270">
        <v>1</v>
      </c>
      <c r="E4837" s="270">
        <v>1</v>
      </c>
      <c r="F4837" s="270" t="s">
        <v>944</v>
      </c>
      <c r="G4837" s="270" t="s">
        <v>3926</v>
      </c>
      <c r="H4837" s="270" t="s">
        <v>9466</v>
      </c>
      <c r="I4837" s="270" t="s">
        <v>943</v>
      </c>
      <c r="J4837" s="270" t="s">
        <v>3928</v>
      </c>
      <c r="K4837" s="270">
        <v>6512</v>
      </c>
      <c r="L4837" s="270">
        <v>142800</v>
      </c>
      <c r="M4837" s="270" t="s">
        <v>3940</v>
      </c>
      <c r="N4837" s="270" t="s">
        <v>3944</v>
      </c>
      <c r="O4837" s="270">
        <v>8629</v>
      </c>
      <c r="P4837" s="270" t="s">
        <v>3944</v>
      </c>
      <c r="Q4837" s="270" t="s">
        <v>3944</v>
      </c>
      <c r="R4837" s="270">
        <v>8629</v>
      </c>
      <c r="S4837" s="270">
        <v>99265</v>
      </c>
      <c r="T4837" s="270">
        <v>107894</v>
      </c>
      <c r="U4837" s="271" t="s">
        <v>3945</v>
      </c>
      <c r="V4837" s="267" t="s">
        <v>944</v>
      </c>
    </row>
    <row r="4838" spans="1:22" hidden="1" x14ac:dyDescent="0.25">
      <c r="A4838" s="266">
        <v>43703</v>
      </c>
      <c r="B4838" s="267">
        <v>2019</v>
      </c>
      <c r="C4838" s="267">
        <v>2020</v>
      </c>
      <c r="D4838" s="267">
        <v>1</v>
      </c>
      <c r="E4838" s="267">
        <v>1</v>
      </c>
      <c r="F4838" s="267" t="s">
        <v>944</v>
      </c>
      <c r="G4838" s="267" t="s">
        <v>3926</v>
      </c>
      <c r="H4838" s="267" t="s">
        <v>9467</v>
      </c>
      <c r="I4838" s="267" t="s">
        <v>4005</v>
      </c>
      <c r="J4838" s="267" t="s">
        <v>3928</v>
      </c>
      <c r="K4838" s="267">
        <v>6108</v>
      </c>
      <c r="L4838" s="267">
        <v>511200</v>
      </c>
      <c r="M4838" s="267">
        <v>-60</v>
      </c>
      <c r="N4838" s="267" t="s">
        <v>3944</v>
      </c>
      <c r="O4838" s="267">
        <v>1366</v>
      </c>
      <c r="P4838" s="267" t="s">
        <v>3944</v>
      </c>
      <c r="Q4838" s="267" t="s">
        <v>3944</v>
      </c>
      <c r="R4838" s="267">
        <v>1366</v>
      </c>
      <c r="S4838" s="267">
        <v>12152.99</v>
      </c>
      <c r="T4838" s="267">
        <v>13518.99</v>
      </c>
      <c r="U4838" s="268" t="s">
        <v>3945</v>
      </c>
      <c r="V4838" s="267" t="s">
        <v>944</v>
      </c>
    </row>
    <row r="4839" spans="1:22" hidden="1" x14ac:dyDescent="0.25">
      <c r="A4839" s="269">
        <v>43703</v>
      </c>
      <c r="B4839" s="270">
        <v>2019</v>
      </c>
      <c r="C4839" s="270">
        <v>2020</v>
      </c>
      <c r="D4839" s="270">
        <v>1</v>
      </c>
      <c r="E4839" s="270">
        <v>1</v>
      </c>
      <c r="F4839" s="270" t="s">
        <v>944</v>
      </c>
      <c r="G4839" s="270" t="s">
        <v>3926</v>
      </c>
      <c r="H4839" s="270" t="s">
        <v>9468</v>
      </c>
      <c r="I4839" s="270" t="s">
        <v>3996</v>
      </c>
      <c r="J4839" s="270" t="s">
        <v>3928</v>
      </c>
      <c r="K4839" s="270">
        <v>6790</v>
      </c>
      <c r="L4839" s="270">
        <v>310601</v>
      </c>
      <c r="M4839" s="270" t="s">
        <v>3960</v>
      </c>
      <c r="N4839" s="270" t="s">
        <v>3944</v>
      </c>
      <c r="O4839" s="270">
        <v>3009</v>
      </c>
      <c r="P4839" s="270" t="s">
        <v>3944</v>
      </c>
      <c r="Q4839" s="270" t="s">
        <v>3944</v>
      </c>
      <c r="R4839" s="270">
        <v>3009</v>
      </c>
      <c r="S4839" s="270">
        <v>24545.599999999999</v>
      </c>
      <c r="T4839" s="270">
        <v>27554.6</v>
      </c>
      <c r="U4839" s="271" t="s">
        <v>3945</v>
      </c>
      <c r="V4839" s="267" t="s">
        <v>944</v>
      </c>
    </row>
    <row r="4840" spans="1:22" hidden="1" x14ac:dyDescent="0.25">
      <c r="A4840" s="266">
        <v>43703</v>
      </c>
      <c r="B4840" s="267">
        <v>2019</v>
      </c>
      <c r="C4840" s="267">
        <v>2020</v>
      </c>
      <c r="D4840" s="267">
        <v>1</v>
      </c>
      <c r="E4840" s="267">
        <v>1</v>
      </c>
      <c r="F4840" s="267" t="s">
        <v>944</v>
      </c>
      <c r="G4840" s="267" t="s">
        <v>3926</v>
      </c>
      <c r="H4840" s="267" t="s">
        <v>9469</v>
      </c>
      <c r="I4840" s="267" t="s">
        <v>4042</v>
      </c>
      <c r="J4840" s="267" t="s">
        <v>3928</v>
      </c>
      <c r="K4840" s="267">
        <v>6370</v>
      </c>
      <c r="L4840" s="267">
        <v>695202</v>
      </c>
      <c r="M4840" s="267" t="s">
        <v>3935</v>
      </c>
      <c r="N4840" s="267" t="s">
        <v>3944</v>
      </c>
      <c r="O4840" s="267">
        <v>2523</v>
      </c>
      <c r="P4840" s="267" t="s">
        <v>3944</v>
      </c>
      <c r="Q4840" s="267" t="s">
        <v>3944</v>
      </c>
      <c r="R4840" s="267">
        <v>2523</v>
      </c>
      <c r="S4840" s="267">
        <v>20017.5</v>
      </c>
      <c r="T4840" s="267">
        <v>22540.5</v>
      </c>
      <c r="U4840" s="268" t="s">
        <v>3945</v>
      </c>
      <c r="V4840" s="267" t="s">
        <v>944</v>
      </c>
    </row>
    <row r="4841" spans="1:22" hidden="1" x14ac:dyDescent="0.25">
      <c r="A4841" s="269">
        <v>43703</v>
      </c>
      <c r="B4841" s="270">
        <v>2019</v>
      </c>
      <c r="C4841" s="270">
        <v>2020</v>
      </c>
      <c r="D4841" s="270">
        <v>1</v>
      </c>
      <c r="E4841" s="270">
        <v>1</v>
      </c>
      <c r="F4841" s="270" t="s">
        <v>944</v>
      </c>
      <c r="G4841" s="270" t="s">
        <v>3926</v>
      </c>
      <c r="H4841" s="270" t="s">
        <v>9470</v>
      </c>
      <c r="I4841" s="270" t="s">
        <v>3939</v>
      </c>
      <c r="J4841" s="270" t="s">
        <v>3928</v>
      </c>
      <c r="K4841" s="270">
        <v>6512</v>
      </c>
      <c r="L4841" s="270">
        <v>180200</v>
      </c>
      <c r="M4841" s="270" t="s">
        <v>3940</v>
      </c>
      <c r="N4841" s="270" t="s">
        <v>3944</v>
      </c>
      <c r="O4841" s="270">
        <v>2504</v>
      </c>
      <c r="P4841" s="270" t="s">
        <v>3944</v>
      </c>
      <c r="Q4841" s="270" t="s">
        <v>3944</v>
      </c>
      <c r="R4841" s="270">
        <v>2504</v>
      </c>
      <c r="S4841" s="270">
        <v>23946</v>
      </c>
      <c r="T4841" s="270">
        <v>26450</v>
      </c>
      <c r="U4841" s="271" t="s">
        <v>3945</v>
      </c>
      <c r="V4841" s="267" t="s">
        <v>944</v>
      </c>
    </row>
    <row r="4842" spans="1:22" x14ac:dyDescent="0.25">
      <c r="A4842" s="266">
        <v>43703</v>
      </c>
      <c r="B4842" s="267">
        <v>2019</v>
      </c>
      <c r="C4842" s="267">
        <v>2020</v>
      </c>
      <c r="D4842" s="267">
        <v>1</v>
      </c>
      <c r="E4842" s="267">
        <v>1</v>
      </c>
      <c r="F4842" s="267" t="s">
        <v>944</v>
      </c>
      <c r="G4842" s="267" t="s">
        <v>3997</v>
      </c>
      <c r="H4842" s="267" t="s">
        <v>9471</v>
      </c>
      <c r="I4842" s="267" t="s">
        <v>943</v>
      </c>
      <c r="J4842" s="267" t="s">
        <v>3928</v>
      </c>
      <c r="K4842" s="267">
        <v>6515</v>
      </c>
      <c r="L4842" s="267">
        <v>141300</v>
      </c>
      <c r="M4842" s="267">
        <v>-60</v>
      </c>
      <c r="N4842" s="267" t="s">
        <v>3944</v>
      </c>
      <c r="O4842" s="267">
        <v>1831.73</v>
      </c>
      <c r="P4842" s="267" t="s">
        <v>3944</v>
      </c>
      <c r="Q4842" s="267" t="s">
        <v>3944</v>
      </c>
      <c r="R4842" s="267">
        <v>1831.73</v>
      </c>
      <c r="S4842" s="267">
        <v>29419.42</v>
      </c>
      <c r="T4842" s="267">
        <v>31251.15</v>
      </c>
      <c r="U4842" s="268" t="s">
        <v>3945</v>
      </c>
      <c r="V4842" s="276" t="s">
        <v>936</v>
      </c>
    </row>
    <row r="4843" spans="1:22" hidden="1" x14ac:dyDescent="0.25">
      <c r="A4843" s="269">
        <v>43703</v>
      </c>
      <c r="B4843" s="270">
        <v>2019</v>
      </c>
      <c r="C4843" s="270">
        <v>2020</v>
      </c>
      <c r="D4843" s="270">
        <v>1</v>
      </c>
      <c r="E4843" s="270">
        <v>1</v>
      </c>
      <c r="F4843" s="270" t="s">
        <v>944</v>
      </c>
      <c r="G4843" s="270" t="s">
        <v>3926</v>
      </c>
      <c r="H4843" s="270" t="s">
        <v>9472</v>
      </c>
      <c r="I4843" s="270" t="s">
        <v>5122</v>
      </c>
      <c r="J4843" s="270" t="s">
        <v>3928</v>
      </c>
      <c r="K4843" s="270">
        <v>6019</v>
      </c>
      <c r="L4843" s="270">
        <v>464102</v>
      </c>
      <c r="M4843" s="270" t="s">
        <v>3935</v>
      </c>
      <c r="N4843" s="270" t="s">
        <v>3944</v>
      </c>
      <c r="O4843" s="270">
        <v>5066</v>
      </c>
      <c r="P4843" s="270" t="s">
        <v>3944</v>
      </c>
      <c r="Q4843" s="270" t="s">
        <v>3944</v>
      </c>
      <c r="R4843" s="270">
        <v>5066</v>
      </c>
      <c r="S4843" s="270">
        <v>41887</v>
      </c>
      <c r="T4843" s="270">
        <v>46953</v>
      </c>
      <c r="U4843" s="271" t="s">
        <v>3945</v>
      </c>
      <c r="V4843" s="267" t="s">
        <v>944</v>
      </c>
    </row>
    <row r="4844" spans="1:22" hidden="1" x14ac:dyDescent="0.25">
      <c r="A4844" s="266">
        <v>43703</v>
      </c>
      <c r="B4844" s="267">
        <v>2019</v>
      </c>
      <c r="C4844" s="267">
        <v>2020</v>
      </c>
      <c r="D4844" s="267">
        <v>1</v>
      </c>
      <c r="E4844" s="267">
        <v>1</v>
      </c>
      <c r="F4844" s="267" t="s">
        <v>944</v>
      </c>
      <c r="G4844" s="267" t="s">
        <v>3926</v>
      </c>
      <c r="H4844" s="267" t="s">
        <v>9473</v>
      </c>
      <c r="I4844" s="267" t="s">
        <v>4111</v>
      </c>
      <c r="J4844" s="267" t="s">
        <v>3928</v>
      </c>
      <c r="K4844" s="267">
        <v>6095</v>
      </c>
      <c r="L4844" s="267">
        <v>473800</v>
      </c>
      <c r="M4844" s="267" t="s">
        <v>3935</v>
      </c>
      <c r="N4844" s="267" t="s">
        <v>3944</v>
      </c>
      <c r="O4844" s="267">
        <v>1541</v>
      </c>
      <c r="P4844" s="267" t="s">
        <v>3944</v>
      </c>
      <c r="Q4844" s="267" t="s">
        <v>3944</v>
      </c>
      <c r="R4844" s="267">
        <v>1541</v>
      </c>
      <c r="S4844" s="267">
        <v>18422.349999999999</v>
      </c>
      <c r="T4844" s="267">
        <v>19963.349999999999</v>
      </c>
      <c r="U4844" s="268" t="s">
        <v>3945</v>
      </c>
      <c r="V4844" s="267" t="s">
        <v>944</v>
      </c>
    </row>
    <row r="4845" spans="1:22" hidden="1" x14ac:dyDescent="0.25">
      <c r="A4845" s="269">
        <v>43703</v>
      </c>
      <c r="B4845" s="270">
        <v>2019</v>
      </c>
      <c r="C4845" s="270">
        <v>2020</v>
      </c>
      <c r="D4845" s="270">
        <v>1</v>
      </c>
      <c r="E4845" s="270">
        <v>1</v>
      </c>
      <c r="F4845" s="270" t="s">
        <v>944</v>
      </c>
      <c r="G4845" s="270" t="s">
        <v>3926</v>
      </c>
      <c r="H4845" s="270" t="s">
        <v>9474</v>
      </c>
      <c r="I4845" s="270" t="s">
        <v>4079</v>
      </c>
      <c r="J4845" s="270" t="s">
        <v>3928</v>
      </c>
      <c r="K4845" s="270">
        <v>6111</v>
      </c>
      <c r="L4845" s="270">
        <v>494201</v>
      </c>
      <c r="M4845" s="270" t="s">
        <v>3935</v>
      </c>
      <c r="N4845" s="270" t="s">
        <v>3944</v>
      </c>
      <c r="O4845" s="270">
        <v>2255</v>
      </c>
      <c r="P4845" s="270" t="s">
        <v>3944</v>
      </c>
      <c r="Q4845" s="270" t="s">
        <v>3944</v>
      </c>
      <c r="R4845" s="270">
        <v>2255</v>
      </c>
      <c r="S4845" s="270">
        <v>17245</v>
      </c>
      <c r="T4845" s="270">
        <v>19500</v>
      </c>
      <c r="U4845" s="271" t="s">
        <v>3945</v>
      </c>
      <c r="V4845" s="267" t="s">
        <v>944</v>
      </c>
    </row>
    <row r="4846" spans="1:22" hidden="1" x14ac:dyDescent="0.25">
      <c r="A4846" s="266">
        <v>43703</v>
      </c>
      <c r="B4846" s="267">
        <v>2019</v>
      </c>
      <c r="C4846" s="267">
        <v>2020</v>
      </c>
      <c r="D4846" s="267">
        <v>1</v>
      </c>
      <c r="E4846" s="267">
        <v>1</v>
      </c>
      <c r="F4846" s="267" t="s">
        <v>944</v>
      </c>
      <c r="G4846" s="267" t="s">
        <v>3926</v>
      </c>
      <c r="H4846" s="267" t="s">
        <v>9475</v>
      </c>
      <c r="I4846" s="267" t="s">
        <v>3975</v>
      </c>
      <c r="J4846" s="267" t="s">
        <v>3928</v>
      </c>
      <c r="K4846" s="267">
        <v>6489</v>
      </c>
      <c r="L4846" s="267">
        <v>430201</v>
      </c>
      <c r="M4846" s="267" t="s">
        <v>3960</v>
      </c>
      <c r="N4846" s="267" t="s">
        <v>3944</v>
      </c>
      <c r="O4846" s="267">
        <v>4036</v>
      </c>
      <c r="P4846" s="267" t="s">
        <v>3944</v>
      </c>
      <c r="Q4846" s="267" t="s">
        <v>3944</v>
      </c>
      <c r="R4846" s="267">
        <v>4036</v>
      </c>
      <c r="S4846" s="267">
        <v>26074</v>
      </c>
      <c r="T4846" s="267">
        <v>30110</v>
      </c>
      <c r="U4846" s="268" t="s">
        <v>3945</v>
      </c>
      <c r="V4846" s="267" t="s">
        <v>944</v>
      </c>
    </row>
    <row r="4847" spans="1:22" hidden="1" x14ac:dyDescent="0.25">
      <c r="A4847" s="269">
        <v>43703</v>
      </c>
      <c r="B4847" s="270">
        <v>2019</v>
      </c>
      <c r="C4847" s="270">
        <v>2020</v>
      </c>
      <c r="D4847" s="270">
        <v>1</v>
      </c>
      <c r="E4847" s="270">
        <v>1</v>
      </c>
      <c r="F4847" s="270" t="s">
        <v>944</v>
      </c>
      <c r="G4847" s="270" t="s">
        <v>3926</v>
      </c>
      <c r="H4847" s="270" t="s">
        <v>9476</v>
      </c>
      <c r="I4847" s="270" t="s">
        <v>4519</v>
      </c>
      <c r="J4847" s="270" t="s">
        <v>3928</v>
      </c>
      <c r="K4847" s="270">
        <v>6840</v>
      </c>
      <c r="L4847" s="270">
        <v>35400</v>
      </c>
      <c r="M4847" s="270" t="s">
        <v>3943</v>
      </c>
      <c r="N4847" s="270" t="s">
        <v>3944</v>
      </c>
      <c r="O4847" s="270">
        <v>8117</v>
      </c>
      <c r="P4847" s="270" t="s">
        <v>3944</v>
      </c>
      <c r="Q4847" s="270" t="s">
        <v>3944</v>
      </c>
      <c r="R4847" s="270">
        <v>8117</v>
      </c>
      <c r="S4847" s="270">
        <v>59620.6</v>
      </c>
      <c r="T4847" s="270">
        <v>67737.600000000006</v>
      </c>
      <c r="U4847" s="271" t="s">
        <v>3945</v>
      </c>
      <c r="V4847" s="267" t="s">
        <v>944</v>
      </c>
    </row>
    <row r="4848" spans="1:22" hidden="1" x14ac:dyDescent="0.25">
      <c r="A4848" s="266">
        <v>43703</v>
      </c>
      <c r="B4848" s="267">
        <v>2019</v>
      </c>
      <c r="C4848" s="267">
        <v>2020</v>
      </c>
      <c r="D4848" s="267">
        <v>1</v>
      </c>
      <c r="E4848" s="267">
        <v>1</v>
      </c>
      <c r="F4848" s="267" t="s">
        <v>944</v>
      </c>
      <c r="G4848" s="267" t="s">
        <v>3926</v>
      </c>
      <c r="H4848" s="267" t="s">
        <v>9477</v>
      </c>
      <c r="I4848" s="267" t="s">
        <v>4111</v>
      </c>
      <c r="J4848" s="267" t="s">
        <v>3928</v>
      </c>
      <c r="K4848" s="267">
        <v>6095</v>
      </c>
      <c r="L4848" s="267">
        <v>473601</v>
      </c>
      <c r="M4848" s="267" t="s">
        <v>3943</v>
      </c>
      <c r="N4848" s="267" t="s">
        <v>3944</v>
      </c>
      <c r="O4848" s="267">
        <v>973.53</v>
      </c>
      <c r="P4848" s="267" t="s">
        <v>3944</v>
      </c>
      <c r="Q4848" s="267" t="s">
        <v>3944</v>
      </c>
      <c r="R4848" s="267">
        <v>973.53</v>
      </c>
      <c r="S4848" s="267">
        <v>18438.73</v>
      </c>
      <c r="T4848" s="267">
        <v>19412.259999999998</v>
      </c>
      <c r="U4848" s="268" t="s">
        <v>3945</v>
      </c>
      <c r="V4848" s="267" t="s">
        <v>944</v>
      </c>
    </row>
    <row r="4849" spans="1:22" hidden="1" x14ac:dyDescent="0.25">
      <c r="A4849" s="269">
        <v>43703</v>
      </c>
      <c r="B4849" s="270">
        <v>2019</v>
      </c>
      <c r="C4849" s="270">
        <v>2020</v>
      </c>
      <c r="D4849" s="270">
        <v>1</v>
      </c>
      <c r="E4849" s="270">
        <v>1</v>
      </c>
      <c r="F4849" s="270" t="s">
        <v>944</v>
      </c>
      <c r="G4849" s="270" t="s">
        <v>3926</v>
      </c>
      <c r="H4849" s="270" t="s">
        <v>9478</v>
      </c>
      <c r="I4849" s="270" t="s">
        <v>4213</v>
      </c>
      <c r="J4849" s="270" t="s">
        <v>3928</v>
      </c>
      <c r="K4849" s="270">
        <v>6053</v>
      </c>
      <c r="L4849" s="270">
        <v>416500</v>
      </c>
      <c r="M4849" s="270" t="s">
        <v>3940</v>
      </c>
      <c r="N4849" s="270" t="s">
        <v>3944</v>
      </c>
      <c r="O4849" s="270">
        <v>1379.6</v>
      </c>
      <c r="P4849" s="270" t="s">
        <v>3944</v>
      </c>
      <c r="Q4849" s="270" t="s">
        <v>3944</v>
      </c>
      <c r="R4849" s="270">
        <v>1379.6</v>
      </c>
      <c r="S4849" s="270">
        <v>20955.310000000001</v>
      </c>
      <c r="T4849" s="270">
        <v>22334.91</v>
      </c>
      <c r="U4849" s="271" t="s">
        <v>3945</v>
      </c>
      <c r="V4849" s="267" t="s">
        <v>944</v>
      </c>
    </row>
    <row r="4850" spans="1:22" hidden="1" x14ac:dyDescent="0.25">
      <c r="A4850" s="266">
        <v>43703</v>
      </c>
      <c r="B4850" s="267">
        <v>2019</v>
      </c>
      <c r="C4850" s="267">
        <v>2020</v>
      </c>
      <c r="D4850" s="267">
        <v>1</v>
      </c>
      <c r="E4850" s="267">
        <v>1</v>
      </c>
      <c r="F4850" s="267" t="s">
        <v>944</v>
      </c>
      <c r="G4850" s="267" t="s">
        <v>3926</v>
      </c>
      <c r="H4850" s="267" t="s">
        <v>9479</v>
      </c>
      <c r="I4850" s="267" t="s">
        <v>4029</v>
      </c>
      <c r="J4850" s="267" t="s">
        <v>3928</v>
      </c>
      <c r="K4850" s="267">
        <v>6850</v>
      </c>
      <c r="L4850" s="267">
        <v>42900</v>
      </c>
      <c r="M4850" s="267" t="s">
        <v>3943</v>
      </c>
      <c r="N4850" s="267" t="s">
        <v>3944</v>
      </c>
      <c r="O4850" s="267">
        <v>2127.9</v>
      </c>
      <c r="P4850" s="267" t="s">
        <v>3944</v>
      </c>
      <c r="Q4850" s="267" t="s">
        <v>3944</v>
      </c>
      <c r="R4850" s="267">
        <v>2127.9</v>
      </c>
      <c r="S4850" s="267">
        <v>35675.26</v>
      </c>
      <c r="T4850" s="267">
        <v>37803.160000000003</v>
      </c>
      <c r="U4850" s="268" t="s">
        <v>3945</v>
      </c>
      <c r="V4850" s="267" t="s">
        <v>944</v>
      </c>
    </row>
    <row r="4851" spans="1:22" hidden="1" x14ac:dyDescent="0.25">
      <c r="A4851" s="269">
        <v>43703</v>
      </c>
      <c r="B4851" s="270">
        <v>2019</v>
      </c>
      <c r="C4851" s="270">
        <v>2020</v>
      </c>
      <c r="D4851" s="270">
        <v>1</v>
      </c>
      <c r="E4851" s="270">
        <v>1</v>
      </c>
      <c r="F4851" s="270" t="s">
        <v>944</v>
      </c>
      <c r="G4851" s="270" t="s">
        <v>3926</v>
      </c>
      <c r="H4851" s="270" t="s">
        <v>9480</v>
      </c>
      <c r="I4851" s="270" t="s">
        <v>4114</v>
      </c>
      <c r="J4851" s="270" t="s">
        <v>3928</v>
      </c>
      <c r="K4851" s="270">
        <v>6410</v>
      </c>
      <c r="L4851" s="270">
        <v>343300</v>
      </c>
      <c r="M4851" s="270" t="s">
        <v>3943</v>
      </c>
      <c r="N4851" s="270" t="s">
        <v>3944</v>
      </c>
      <c r="O4851" s="270">
        <v>1200.19</v>
      </c>
      <c r="P4851" s="270" t="s">
        <v>3944</v>
      </c>
      <c r="Q4851" s="270" t="s">
        <v>3944</v>
      </c>
      <c r="R4851" s="270">
        <v>1200.19</v>
      </c>
      <c r="S4851" s="270">
        <v>16637.669999999998</v>
      </c>
      <c r="T4851" s="270">
        <v>17837.86</v>
      </c>
      <c r="U4851" s="271" t="s">
        <v>3945</v>
      </c>
      <c r="V4851" s="267" t="s">
        <v>944</v>
      </c>
    </row>
    <row r="4852" spans="1:22" hidden="1" x14ac:dyDescent="0.25">
      <c r="A4852" s="266">
        <v>43703</v>
      </c>
      <c r="B4852" s="267">
        <v>2019</v>
      </c>
      <c r="C4852" s="267">
        <v>2020</v>
      </c>
      <c r="D4852" s="267">
        <v>1</v>
      </c>
      <c r="E4852" s="267">
        <v>1</v>
      </c>
      <c r="F4852" s="267" t="s">
        <v>944</v>
      </c>
      <c r="G4852" s="267" t="s">
        <v>3926</v>
      </c>
      <c r="H4852" s="267" t="s">
        <v>9481</v>
      </c>
      <c r="I4852" s="267" t="s">
        <v>3009</v>
      </c>
      <c r="J4852" s="267" t="s">
        <v>3928</v>
      </c>
      <c r="K4852" s="267">
        <v>6484</v>
      </c>
      <c r="L4852" s="267">
        <v>110500</v>
      </c>
      <c r="M4852" s="267" t="s">
        <v>3943</v>
      </c>
      <c r="N4852" s="267" t="s">
        <v>3944</v>
      </c>
      <c r="O4852" s="267">
        <v>2343.7800000000002</v>
      </c>
      <c r="P4852" s="267" t="s">
        <v>3944</v>
      </c>
      <c r="Q4852" s="267" t="s">
        <v>3944</v>
      </c>
      <c r="R4852" s="267">
        <v>2343.7800000000002</v>
      </c>
      <c r="S4852" s="267">
        <v>37459.69</v>
      </c>
      <c r="T4852" s="267">
        <v>39803.47</v>
      </c>
      <c r="U4852" s="268" t="s">
        <v>3945</v>
      </c>
      <c r="V4852" s="267" t="s">
        <v>944</v>
      </c>
    </row>
    <row r="4853" spans="1:22" hidden="1" x14ac:dyDescent="0.25">
      <c r="A4853" s="269">
        <v>43703</v>
      </c>
      <c r="B4853" s="270">
        <v>2019</v>
      </c>
      <c r="C4853" s="270">
        <v>2020</v>
      </c>
      <c r="D4853" s="270">
        <v>1</v>
      </c>
      <c r="E4853" s="270">
        <v>1</v>
      </c>
      <c r="F4853" s="270" t="s">
        <v>944</v>
      </c>
      <c r="G4853" s="270" t="s">
        <v>3926</v>
      </c>
      <c r="H4853" s="270" t="s">
        <v>9482</v>
      </c>
      <c r="I4853" s="270" t="s">
        <v>4005</v>
      </c>
      <c r="J4853" s="270" t="s">
        <v>3928</v>
      </c>
      <c r="K4853" s="270">
        <v>6108</v>
      </c>
      <c r="L4853" s="270">
        <v>510400</v>
      </c>
      <c r="M4853" s="270">
        <v>-60</v>
      </c>
      <c r="N4853" s="270" t="s">
        <v>3944</v>
      </c>
      <c r="O4853" s="270">
        <v>716.56</v>
      </c>
      <c r="P4853" s="270" t="s">
        <v>3944</v>
      </c>
      <c r="Q4853" s="270" t="s">
        <v>3944</v>
      </c>
      <c r="R4853" s="270">
        <v>716.56</v>
      </c>
      <c r="S4853" s="270">
        <v>9994.19</v>
      </c>
      <c r="T4853" s="270">
        <v>10710.75</v>
      </c>
      <c r="U4853" s="271" t="s">
        <v>3945</v>
      </c>
      <c r="V4853" s="267" t="s">
        <v>944</v>
      </c>
    </row>
    <row r="4854" spans="1:22" hidden="1" x14ac:dyDescent="0.25">
      <c r="A4854" s="266">
        <v>43703</v>
      </c>
      <c r="B4854" s="267">
        <v>2019</v>
      </c>
      <c r="C4854" s="267">
        <v>2020</v>
      </c>
      <c r="D4854" s="267">
        <v>1</v>
      </c>
      <c r="E4854" s="267">
        <v>1</v>
      </c>
      <c r="F4854" s="267" t="s">
        <v>944</v>
      </c>
      <c r="G4854" s="267" t="s">
        <v>3926</v>
      </c>
      <c r="H4854" s="267" t="s">
        <v>9483</v>
      </c>
      <c r="I4854" s="267" t="s">
        <v>3968</v>
      </c>
      <c r="J4854" s="267" t="s">
        <v>3928</v>
      </c>
      <c r="K4854" s="267">
        <v>6042</v>
      </c>
      <c r="L4854" s="267">
        <v>514200</v>
      </c>
      <c r="M4854" s="267" t="s">
        <v>3940</v>
      </c>
      <c r="N4854" s="267" t="s">
        <v>3944</v>
      </c>
      <c r="O4854" s="267">
        <v>1881.92</v>
      </c>
      <c r="P4854" s="267" t="s">
        <v>3944</v>
      </c>
      <c r="Q4854" s="267" t="s">
        <v>3944</v>
      </c>
      <c r="R4854" s="267">
        <v>1881.92</v>
      </c>
      <c r="S4854" s="267">
        <v>24627.66</v>
      </c>
      <c r="T4854" s="267">
        <v>26509.58</v>
      </c>
      <c r="U4854" s="268" t="s">
        <v>3945</v>
      </c>
      <c r="V4854" s="267" t="s">
        <v>944</v>
      </c>
    </row>
    <row r="4855" spans="1:22" hidden="1" x14ac:dyDescent="0.25">
      <c r="A4855" s="269">
        <v>43703</v>
      </c>
      <c r="B4855" s="270">
        <v>2019</v>
      </c>
      <c r="C4855" s="270">
        <v>2020</v>
      </c>
      <c r="D4855" s="270">
        <v>1</v>
      </c>
      <c r="E4855" s="270">
        <v>1</v>
      </c>
      <c r="F4855" s="270" t="s">
        <v>944</v>
      </c>
      <c r="G4855" s="270" t="s">
        <v>3926</v>
      </c>
      <c r="H4855" s="270" t="s">
        <v>9484</v>
      </c>
      <c r="I4855" s="270" t="s">
        <v>6426</v>
      </c>
      <c r="J4855" s="270" t="s">
        <v>3928</v>
      </c>
      <c r="K4855" s="270">
        <v>6422</v>
      </c>
      <c r="L4855" s="270">
        <v>585100</v>
      </c>
      <c r="M4855" s="270" t="s">
        <v>3943</v>
      </c>
      <c r="N4855" s="270" t="s">
        <v>3944</v>
      </c>
      <c r="O4855" s="270">
        <v>2284.66</v>
      </c>
      <c r="P4855" s="270" t="s">
        <v>3944</v>
      </c>
      <c r="Q4855" s="270" t="s">
        <v>3944</v>
      </c>
      <c r="R4855" s="270">
        <v>2284.66</v>
      </c>
      <c r="S4855" s="270">
        <v>33168.300000000003</v>
      </c>
      <c r="T4855" s="270">
        <v>35452.959999999999</v>
      </c>
      <c r="U4855" s="271" t="s">
        <v>3945</v>
      </c>
      <c r="V4855" s="267" t="s">
        <v>944</v>
      </c>
    </row>
    <row r="4856" spans="1:22" hidden="1" x14ac:dyDescent="0.25">
      <c r="A4856" s="266">
        <v>43703</v>
      </c>
      <c r="B4856" s="267">
        <v>2019</v>
      </c>
      <c r="C4856" s="267">
        <v>2020</v>
      </c>
      <c r="D4856" s="267">
        <v>1</v>
      </c>
      <c r="E4856" s="267">
        <v>1</v>
      </c>
      <c r="F4856" s="267" t="s">
        <v>944</v>
      </c>
      <c r="G4856" s="267" t="s">
        <v>3926</v>
      </c>
      <c r="H4856" s="267" t="s">
        <v>9485</v>
      </c>
      <c r="I4856" s="267" t="s">
        <v>4005</v>
      </c>
      <c r="J4856" s="267" t="s">
        <v>3928</v>
      </c>
      <c r="K4856" s="267">
        <v>6118</v>
      </c>
      <c r="L4856" s="267">
        <v>510500</v>
      </c>
      <c r="M4856" s="267" t="s">
        <v>3940</v>
      </c>
      <c r="N4856" s="267" t="s">
        <v>3944</v>
      </c>
      <c r="O4856" s="267">
        <v>2324.4899999999998</v>
      </c>
      <c r="P4856" s="267" t="s">
        <v>3944</v>
      </c>
      <c r="Q4856" s="267" t="s">
        <v>3944</v>
      </c>
      <c r="R4856" s="267">
        <v>2324.4899999999998</v>
      </c>
      <c r="S4856" s="267">
        <v>32987.01</v>
      </c>
      <c r="T4856" s="267">
        <v>35311.5</v>
      </c>
      <c r="U4856" s="268" t="s">
        <v>3945</v>
      </c>
      <c r="V4856" s="267" t="s">
        <v>944</v>
      </c>
    </row>
    <row r="4857" spans="1:22" hidden="1" x14ac:dyDescent="0.25">
      <c r="A4857" s="269">
        <v>43703</v>
      </c>
      <c r="B4857" s="270">
        <v>2019</v>
      </c>
      <c r="C4857" s="270">
        <v>2020</v>
      </c>
      <c r="D4857" s="270">
        <v>1</v>
      </c>
      <c r="E4857" s="270">
        <v>1</v>
      </c>
      <c r="F4857" s="270" t="s">
        <v>944</v>
      </c>
      <c r="G4857" s="270" t="s">
        <v>3926</v>
      </c>
      <c r="H4857" s="270" t="s">
        <v>9486</v>
      </c>
      <c r="I4857" s="270" t="s">
        <v>2987</v>
      </c>
      <c r="J4857" s="270" t="s">
        <v>3928</v>
      </c>
      <c r="K4857" s="270">
        <v>6611</v>
      </c>
      <c r="L4857" s="270">
        <v>90300</v>
      </c>
      <c r="M4857" s="270" t="s">
        <v>3943</v>
      </c>
      <c r="N4857" s="270" t="s">
        <v>3944</v>
      </c>
      <c r="O4857" s="270">
        <v>931.84</v>
      </c>
      <c r="P4857" s="270" t="s">
        <v>3944</v>
      </c>
      <c r="Q4857" s="270" t="s">
        <v>3944</v>
      </c>
      <c r="R4857" s="270">
        <v>931.84</v>
      </c>
      <c r="S4857" s="270">
        <v>15389.62</v>
      </c>
      <c r="T4857" s="270">
        <v>16321.46</v>
      </c>
      <c r="U4857" s="271" t="s">
        <v>3945</v>
      </c>
      <c r="V4857" s="267" t="s">
        <v>944</v>
      </c>
    </row>
    <row r="4858" spans="1:22" hidden="1" x14ac:dyDescent="0.25">
      <c r="A4858" s="266">
        <v>43703</v>
      </c>
      <c r="B4858" s="267">
        <v>2019</v>
      </c>
      <c r="C4858" s="267">
        <v>2020</v>
      </c>
      <c r="D4858" s="267">
        <v>1</v>
      </c>
      <c r="E4858" s="267">
        <v>1</v>
      </c>
      <c r="F4858" s="267" t="s">
        <v>944</v>
      </c>
      <c r="G4858" s="267" t="s">
        <v>3926</v>
      </c>
      <c r="H4858" s="267" t="s">
        <v>9487</v>
      </c>
      <c r="I4858" s="267" t="s">
        <v>4200</v>
      </c>
      <c r="J4858" s="267" t="s">
        <v>3928</v>
      </c>
      <c r="K4858" s="267">
        <v>6795</v>
      </c>
      <c r="L4858" s="267">
        <v>360100</v>
      </c>
      <c r="M4858" s="267" t="s">
        <v>3935</v>
      </c>
      <c r="N4858" s="267" t="s">
        <v>3944</v>
      </c>
      <c r="O4858" s="267">
        <v>2021.29</v>
      </c>
      <c r="P4858" s="267" t="s">
        <v>3944</v>
      </c>
      <c r="Q4858" s="267" t="s">
        <v>3944</v>
      </c>
      <c r="R4858" s="267">
        <v>2021.29</v>
      </c>
      <c r="S4858" s="267">
        <v>39513.75</v>
      </c>
      <c r="T4858" s="267">
        <v>41535.040000000001</v>
      </c>
      <c r="U4858" s="268" t="s">
        <v>3945</v>
      </c>
      <c r="V4858" s="267" t="s">
        <v>944</v>
      </c>
    </row>
    <row r="4859" spans="1:22" hidden="1" x14ac:dyDescent="0.25">
      <c r="A4859" s="269">
        <v>43703</v>
      </c>
      <c r="B4859" s="270">
        <v>2019</v>
      </c>
      <c r="C4859" s="270">
        <v>2020</v>
      </c>
      <c r="D4859" s="270">
        <v>1</v>
      </c>
      <c r="E4859" s="270">
        <v>1</v>
      </c>
      <c r="F4859" s="270" t="s">
        <v>944</v>
      </c>
      <c r="G4859" s="270" t="s">
        <v>3926</v>
      </c>
      <c r="H4859" s="270" t="s">
        <v>9488</v>
      </c>
      <c r="I4859" s="270" t="s">
        <v>4323</v>
      </c>
      <c r="J4859" s="270" t="s">
        <v>3928</v>
      </c>
      <c r="K4859" s="270">
        <v>6385</v>
      </c>
      <c r="L4859" s="270">
        <v>693400</v>
      </c>
      <c r="M4859" s="270" t="s">
        <v>3940</v>
      </c>
      <c r="N4859" s="270" t="s">
        <v>3944</v>
      </c>
      <c r="O4859" s="270">
        <v>2996.46</v>
      </c>
      <c r="P4859" s="270" t="s">
        <v>3944</v>
      </c>
      <c r="Q4859" s="270" t="s">
        <v>3944</v>
      </c>
      <c r="R4859" s="270">
        <v>2996.46</v>
      </c>
      <c r="S4859" s="270">
        <v>46588.45</v>
      </c>
      <c r="T4859" s="270">
        <v>49584.91</v>
      </c>
      <c r="U4859" s="271" t="s">
        <v>3945</v>
      </c>
      <c r="V4859" s="267" t="s">
        <v>944</v>
      </c>
    </row>
    <row r="4860" spans="1:22" hidden="1" x14ac:dyDescent="0.25">
      <c r="A4860" s="266">
        <v>43703</v>
      </c>
      <c r="B4860" s="267">
        <v>2019</v>
      </c>
      <c r="C4860" s="267">
        <v>2020</v>
      </c>
      <c r="D4860" s="267">
        <v>1</v>
      </c>
      <c r="E4860" s="267">
        <v>1</v>
      </c>
      <c r="F4860" s="267" t="s">
        <v>944</v>
      </c>
      <c r="G4860" s="267" t="s">
        <v>3926</v>
      </c>
      <c r="H4860" s="267" t="s">
        <v>9489</v>
      </c>
      <c r="I4860" s="267" t="s">
        <v>3010</v>
      </c>
      <c r="J4860" s="267" t="s">
        <v>3928</v>
      </c>
      <c r="K4860" s="267">
        <v>6401</v>
      </c>
      <c r="L4860" s="267">
        <v>125100</v>
      </c>
      <c r="M4860" s="267" t="s">
        <v>3960</v>
      </c>
      <c r="N4860" s="267" t="s">
        <v>3944</v>
      </c>
      <c r="O4860" s="267">
        <v>1946.21</v>
      </c>
      <c r="P4860" s="267" t="s">
        <v>3944</v>
      </c>
      <c r="Q4860" s="267" t="s">
        <v>3944</v>
      </c>
      <c r="R4860" s="267">
        <v>1946.21</v>
      </c>
      <c r="S4860" s="267">
        <v>30200.83</v>
      </c>
      <c r="T4860" s="267">
        <v>32147.040000000001</v>
      </c>
      <c r="U4860" s="268" t="s">
        <v>3945</v>
      </c>
      <c r="V4860" s="267" t="s">
        <v>944</v>
      </c>
    </row>
    <row r="4861" spans="1:22" hidden="1" x14ac:dyDescent="0.25">
      <c r="A4861" s="269">
        <v>43703</v>
      </c>
      <c r="B4861" s="270">
        <v>2019</v>
      </c>
      <c r="C4861" s="270">
        <v>2020</v>
      </c>
      <c r="D4861" s="270">
        <v>1</v>
      </c>
      <c r="E4861" s="270">
        <v>1</v>
      </c>
      <c r="F4861" s="270" t="s">
        <v>944</v>
      </c>
      <c r="G4861" s="270" t="s">
        <v>3926</v>
      </c>
      <c r="H4861" s="270" t="s">
        <v>9490</v>
      </c>
      <c r="I4861" s="270" t="s">
        <v>4005</v>
      </c>
      <c r="J4861" s="270" t="s">
        <v>3928</v>
      </c>
      <c r="K4861" s="270">
        <v>6108</v>
      </c>
      <c r="L4861" s="270">
        <v>510100</v>
      </c>
      <c r="M4861" s="270" t="s">
        <v>3940</v>
      </c>
      <c r="N4861" s="270" t="s">
        <v>3944</v>
      </c>
      <c r="O4861" s="270">
        <v>1612.7</v>
      </c>
      <c r="P4861" s="270" t="s">
        <v>3944</v>
      </c>
      <c r="Q4861" s="270" t="s">
        <v>3944</v>
      </c>
      <c r="R4861" s="270">
        <v>1612.7</v>
      </c>
      <c r="S4861" s="270">
        <v>23673.360000000001</v>
      </c>
      <c r="T4861" s="270">
        <v>25286.06</v>
      </c>
      <c r="U4861" s="271" t="s">
        <v>3945</v>
      </c>
      <c r="V4861" s="267" t="s">
        <v>944</v>
      </c>
    </row>
    <row r="4862" spans="1:22" hidden="1" x14ac:dyDescent="0.25">
      <c r="A4862" s="266">
        <v>43703</v>
      </c>
      <c r="B4862" s="267">
        <v>2019</v>
      </c>
      <c r="C4862" s="267">
        <v>2020</v>
      </c>
      <c r="D4862" s="267">
        <v>1</v>
      </c>
      <c r="E4862" s="267">
        <v>1</v>
      </c>
      <c r="F4862" s="267" t="s">
        <v>944</v>
      </c>
      <c r="G4862" s="267" t="s">
        <v>3926</v>
      </c>
      <c r="H4862" s="267" t="s">
        <v>9491</v>
      </c>
      <c r="I4862" s="267" t="s">
        <v>3012</v>
      </c>
      <c r="J4862" s="267" t="s">
        <v>3928</v>
      </c>
      <c r="K4862" s="267">
        <v>6477</v>
      </c>
      <c r="L4862" s="267">
        <v>157400</v>
      </c>
      <c r="M4862" s="267" t="s">
        <v>3943</v>
      </c>
      <c r="N4862" s="267" t="s">
        <v>3944</v>
      </c>
      <c r="O4862" s="267">
        <v>1334.59</v>
      </c>
      <c r="P4862" s="267" t="s">
        <v>3944</v>
      </c>
      <c r="Q4862" s="267" t="s">
        <v>3944</v>
      </c>
      <c r="R4862" s="267">
        <v>1334.59</v>
      </c>
      <c r="S4862" s="267">
        <v>20888.45</v>
      </c>
      <c r="T4862" s="267">
        <v>22223.040000000001</v>
      </c>
      <c r="U4862" s="268" t="s">
        <v>3945</v>
      </c>
      <c r="V4862" s="267" t="s">
        <v>944</v>
      </c>
    </row>
    <row r="4863" spans="1:22" hidden="1" x14ac:dyDescent="0.25">
      <c r="A4863" s="269">
        <v>43703</v>
      </c>
      <c r="B4863" s="270">
        <v>2019</v>
      </c>
      <c r="C4863" s="270">
        <v>2020</v>
      </c>
      <c r="D4863" s="270">
        <v>1</v>
      </c>
      <c r="E4863" s="270">
        <v>1</v>
      </c>
      <c r="F4863" s="270" t="s">
        <v>944</v>
      </c>
      <c r="G4863" s="270" t="s">
        <v>3926</v>
      </c>
      <c r="H4863" s="270" t="s">
        <v>9492</v>
      </c>
      <c r="I4863" s="270" t="s">
        <v>5032</v>
      </c>
      <c r="J4863" s="270" t="s">
        <v>3928</v>
      </c>
      <c r="K4863" s="270">
        <v>6062</v>
      </c>
      <c r="L4863" s="270">
        <v>420400</v>
      </c>
      <c r="M4863" s="270" t="s">
        <v>3960</v>
      </c>
      <c r="N4863" s="270" t="s">
        <v>3944</v>
      </c>
      <c r="O4863" s="270">
        <v>1330.46</v>
      </c>
      <c r="P4863" s="270" t="s">
        <v>3944</v>
      </c>
      <c r="Q4863" s="270" t="s">
        <v>3944</v>
      </c>
      <c r="R4863" s="270">
        <v>1330.46</v>
      </c>
      <c r="S4863" s="270">
        <v>18109.75</v>
      </c>
      <c r="T4863" s="270">
        <v>19440.21</v>
      </c>
      <c r="U4863" s="271" t="s">
        <v>3945</v>
      </c>
      <c r="V4863" s="267" t="s">
        <v>944</v>
      </c>
    </row>
    <row r="4864" spans="1:22" hidden="1" x14ac:dyDescent="0.25">
      <c r="A4864" s="266">
        <v>43703</v>
      </c>
      <c r="B4864" s="267">
        <v>2019</v>
      </c>
      <c r="C4864" s="267">
        <v>2020</v>
      </c>
      <c r="D4864" s="267">
        <v>1</v>
      </c>
      <c r="E4864" s="267">
        <v>1</v>
      </c>
      <c r="F4864" s="267" t="s">
        <v>944</v>
      </c>
      <c r="G4864" s="267" t="s">
        <v>3926</v>
      </c>
      <c r="H4864" s="267" t="s">
        <v>9493</v>
      </c>
      <c r="I4864" s="267" t="s">
        <v>4055</v>
      </c>
      <c r="J4864" s="267" t="s">
        <v>3928</v>
      </c>
      <c r="K4864" s="267">
        <v>6092</v>
      </c>
      <c r="L4864" s="267">
        <v>466101</v>
      </c>
      <c r="M4864" s="267" t="s">
        <v>3943</v>
      </c>
      <c r="N4864" s="267" t="s">
        <v>3944</v>
      </c>
      <c r="O4864" s="267">
        <v>2666.69</v>
      </c>
      <c r="P4864" s="267" t="s">
        <v>3944</v>
      </c>
      <c r="Q4864" s="267" t="s">
        <v>3944</v>
      </c>
      <c r="R4864" s="267">
        <v>2666.69</v>
      </c>
      <c r="S4864" s="267">
        <v>39125.660000000003</v>
      </c>
      <c r="T4864" s="267">
        <v>41792.35</v>
      </c>
      <c r="U4864" s="268" t="s">
        <v>3945</v>
      </c>
      <c r="V4864" s="267" t="s">
        <v>944</v>
      </c>
    </row>
    <row r="4865" spans="1:22" hidden="1" x14ac:dyDescent="0.25">
      <c r="A4865" s="269">
        <v>43703</v>
      </c>
      <c r="B4865" s="270">
        <v>2019</v>
      </c>
      <c r="C4865" s="270">
        <v>2020</v>
      </c>
      <c r="D4865" s="270">
        <v>1</v>
      </c>
      <c r="E4865" s="270">
        <v>1</v>
      </c>
      <c r="F4865" s="270" t="s">
        <v>944</v>
      </c>
      <c r="G4865" s="270" t="s">
        <v>3926</v>
      </c>
      <c r="H4865" s="270" t="s">
        <v>9494</v>
      </c>
      <c r="I4865" s="270" t="s">
        <v>4392</v>
      </c>
      <c r="J4865" s="270" t="s">
        <v>3928</v>
      </c>
      <c r="K4865" s="270">
        <v>6457</v>
      </c>
      <c r="L4865" s="270">
        <v>541700</v>
      </c>
      <c r="M4865" s="270">
        <v>-60</v>
      </c>
      <c r="N4865" s="270" t="s">
        <v>3944</v>
      </c>
      <c r="O4865" s="270">
        <v>556.64</v>
      </c>
      <c r="P4865" s="270" t="s">
        <v>3944</v>
      </c>
      <c r="Q4865" s="270" t="s">
        <v>3944</v>
      </c>
      <c r="R4865" s="270">
        <v>556.64</v>
      </c>
      <c r="S4865" s="270">
        <v>10712.16</v>
      </c>
      <c r="T4865" s="270">
        <v>11268.8</v>
      </c>
      <c r="U4865" s="271" t="s">
        <v>3945</v>
      </c>
      <c r="V4865" s="267" t="s">
        <v>944</v>
      </c>
    </row>
    <row r="4866" spans="1:22" hidden="1" x14ac:dyDescent="0.25">
      <c r="A4866" s="266">
        <v>43703</v>
      </c>
      <c r="B4866" s="267">
        <v>2019</v>
      </c>
      <c r="C4866" s="267">
        <v>2020</v>
      </c>
      <c r="D4866" s="267">
        <v>1</v>
      </c>
      <c r="E4866" s="267">
        <v>1</v>
      </c>
      <c r="F4866" s="267" t="s">
        <v>944</v>
      </c>
      <c r="G4866" s="267" t="s">
        <v>3926</v>
      </c>
      <c r="H4866" s="267" t="s">
        <v>9495</v>
      </c>
      <c r="I4866" s="267" t="s">
        <v>4137</v>
      </c>
      <c r="J4866" s="267" t="s">
        <v>3928</v>
      </c>
      <c r="K4866" s="267">
        <v>6067</v>
      </c>
      <c r="L4866" s="267">
        <v>524200</v>
      </c>
      <c r="M4866" s="267" t="s">
        <v>3960</v>
      </c>
      <c r="N4866" s="267" t="s">
        <v>3944</v>
      </c>
      <c r="O4866" s="267">
        <v>2078.7199999999998</v>
      </c>
      <c r="P4866" s="267" t="s">
        <v>3944</v>
      </c>
      <c r="Q4866" s="267" t="s">
        <v>3944</v>
      </c>
      <c r="R4866" s="267">
        <v>2078.7199999999998</v>
      </c>
      <c r="S4866" s="267">
        <v>29944.61</v>
      </c>
      <c r="T4866" s="267">
        <v>32023.33</v>
      </c>
      <c r="U4866" s="268" t="s">
        <v>3945</v>
      </c>
      <c r="V4866" s="267" t="s">
        <v>944</v>
      </c>
    </row>
    <row r="4867" spans="1:22" hidden="1" x14ac:dyDescent="0.25">
      <c r="A4867" s="269">
        <v>43703</v>
      </c>
      <c r="B4867" s="270">
        <v>2019</v>
      </c>
      <c r="C4867" s="270">
        <v>2020</v>
      </c>
      <c r="D4867" s="270">
        <v>1</v>
      </c>
      <c r="E4867" s="270">
        <v>1</v>
      </c>
      <c r="F4867" s="270" t="s">
        <v>944</v>
      </c>
      <c r="G4867" s="270" t="s">
        <v>3926</v>
      </c>
      <c r="H4867" s="270" t="s">
        <v>9496</v>
      </c>
      <c r="I4867" s="270" t="s">
        <v>3008</v>
      </c>
      <c r="J4867" s="270" t="s">
        <v>3928</v>
      </c>
      <c r="K4867" s="270">
        <v>6460</v>
      </c>
      <c r="L4867" s="270">
        <v>150500</v>
      </c>
      <c r="M4867" s="270" t="s">
        <v>3960</v>
      </c>
      <c r="N4867" s="270" t="s">
        <v>3944</v>
      </c>
      <c r="O4867" s="270">
        <v>1055.8499999999999</v>
      </c>
      <c r="P4867" s="270" t="s">
        <v>3944</v>
      </c>
      <c r="Q4867" s="270" t="s">
        <v>3944</v>
      </c>
      <c r="R4867" s="270">
        <v>1055.8499999999999</v>
      </c>
      <c r="S4867" s="270">
        <v>16929.04</v>
      </c>
      <c r="T4867" s="270">
        <v>17984.89</v>
      </c>
      <c r="U4867" s="271" t="s">
        <v>3945</v>
      </c>
      <c r="V4867" s="267" t="s">
        <v>944</v>
      </c>
    </row>
    <row r="4868" spans="1:22" hidden="1" x14ac:dyDescent="0.25">
      <c r="A4868" s="266">
        <v>43703</v>
      </c>
      <c r="B4868" s="267">
        <v>2019</v>
      </c>
      <c r="C4868" s="267">
        <v>2020</v>
      </c>
      <c r="D4868" s="267">
        <v>1</v>
      </c>
      <c r="E4868" s="267">
        <v>1</v>
      </c>
      <c r="F4868" s="267" t="s">
        <v>944</v>
      </c>
      <c r="G4868" s="267" t="s">
        <v>3926</v>
      </c>
      <c r="H4868" s="267" t="s">
        <v>9497</v>
      </c>
      <c r="I4868" s="267" t="s">
        <v>4213</v>
      </c>
      <c r="J4868" s="267" t="s">
        <v>3928</v>
      </c>
      <c r="K4868" s="267">
        <v>6053</v>
      </c>
      <c r="L4868" s="267">
        <v>416500</v>
      </c>
      <c r="M4868" s="267" t="s">
        <v>3940</v>
      </c>
      <c r="N4868" s="267" t="s">
        <v>3944</v>
      </c>
      <c r="O4868" s="267">
        <v>1935.01</v>
      </c>
      <c r="P4868" s="267" t="s">
        <v>3944</v>
      </c>
      <c r="Q4868" s="267" t="s">
        <v>3944</v>
      </c>
      <c r="R4868" s="267">
        <v>1935.01</v>
      </c>
      <c r="S4868" s="267">
        <v>28766.28</v>
      </c>
      <c r="T4868" s="267">
        <v>30701.29</v>
      </c>
      <c r="U4868" s="268" t="s">
        <v>3945</v>
      </c>
      <c r="V4868" s="267" t="s">
        <v>944</v>
      </c>
    </row>
    <row r="4869" spans="1:22" hidden="1" x14ac:dyDescent="0.25">
      <c r="A4869" s="269">
        <v>43703</v>
      </c>
      <c r="B4869" s="270">
        <v>2019</v>
      </c>
      <c r="C4869" s="270">
        <v>2020</v>
      </c>
      <c r="D4869" s="270">
        <v>1</v>
      </c>
      <c r="E4869" s="270">
        <v>1</v>
      </c>
      <c r="F4869" s="270" t="s">
        <v>944</v>
      </c>
      <c r="G4869" s="270" t="s">
        <v>3926</v>
      </c>
      <c r="H4869" s="270" t="s">
        <v>9498</v>
      </c>
      <c r="I4869" s="270" t="s">
        <v>3968</v>
      </c>
      <c r="J4869" s="270" t="s">
        <v>3928</v>
      </c>
      <c r="K4869" s="270">
        <v>6042</v>
      </c>
      <c r="L4869" s="270">
        <v>514900</v>
      </c>
      <c r="M4869" s="270" t="s">
        <v>3960</v>
      </c>
      <c r="N4869" s="270" t="s">
        <v>3944</v>
      </c>
      <c r="O4869" s="270">
        <v>1038.42</v>
      </c>
      <c r="P4869" s="270" t="s">
        <v>3944</v>
      </c>
      <c r="Q4869" s="270" t="s">
        <v>3944</v>
      </c>
      <c r="R4869" s="270">
        <v>1038.42</v>
      </c>
      <c r="S4869" s="270">
        <v>15688.08</v>
      </c>
      <c r="T4869" s="270">
        <v>16726.5</v>
      </c>
      <c r="U4869" s="271" t="s">
        <v>3945</v>
      </c>
      <c r="V4869" s="267" t="s">
        <v>944</v>
      </c>
    </row>
    <row r="4870" spans="1:22" hidden="1" x14ac:dyDescent="0.25">
      <c r="A4870" s="266">
        <v>43703</v>
      </c>
      <c r="B4870" s="267">
        <v>2019</v>
      </c>
      <c r="C4870" s="267">
        <v>2020</v>
      </c>
      <c r="D4870" s="267">
        <v>1</v>
      </c>
      <c r="E4870" s="267">
        <v>1</v>
      </c>
      <c r="F4870" s="267" t="s">
        <v>944</v>
      </c>
      <c r="G4870" s="267" t="s">
        <v>3926</v>
      </c>
      <c r="H4870" s="267" t="s">
        <v>9499</v>
      </c>
      <c r="I4870" s="267" t="s">
        <v>4306</v>
      </c>
      <c r="J4870" s="267" t="s">
        <v>3928</v>
      </c>
      <c r="K4870" s="267">
        <v>6716</v>
      </c>
      <c r="L4870" s="267">
        <v>361100</v>
      </c>
      <c r="M4870" s="267" t="s">
        <v>3960</v>
      </c>
      <c r="N4870" s="267" t="s">
        <v>3944</v>
      </c>
      <c r="O4870" s="267">
        <v>2697.17</v>
      </c>
      <c r="P4870" s="267" t="s">
        <v>3944</v>
      </c>
      <c r="Q4870" s="267" t="s">
        <v>3944</v>
      </c>
      <c r="R4870" s="267">
        <v>2697.17</v>
      </c>
      <c r="S4870" s="267">
        <v>39681.449999999997</v>
      </c>
      <c r="T4870" s="267">
        <v>42378.62</v>
      </c>
      <c r="U4870" s="268" t="s">
        <v>3945</v>
      </c>
      <c r="V4870" s="267" t="s">
        <v>944</v>
      </c>
    </row>
    <row r="4871" spans="1:22" hidden="1" x14ac:dyDescent="0.25">
      <c r="A4871" s="269">
        <v>43703</v>
      </c>
      <c r="B4871" s="270">
        <v>2019</v>
      </c>
      <c r="C4871" s="270">
        <v>2020</v>
      </c>
      <c r="D4871" s="270">
        <v>1</v>
      </c>
      <c r="E4871" s="270">
        <v>1</v>
      </c>
      <c r="F4871" s="270" t="s">
        <v>944</v>
      </c>
      <c r="G4871" s="270" t="s">
        <v>3926</v>
      </c>
      <c r="H4871" s="270" t="s">
        <v>9500</v>
      </c>
      <c r="I4871" s="270" t="s">
        <v>4069</v>
      </c>
      <c r="J4871" s="270" t="s">
        <v>3928</v>
      </c>
      <c r="K4871" s="270">
        <v>6902</v>
      </c>
      <c r="L4871" s="270">
        <v>22300</v>
      </c>
      <c r="M4871" s="270" t="s">
        <v>3935</v>
      </c>
      <c r="N4871" s="270" t="s">
        <v>3944</v>
      </c>
      <c r="O4871" s="270">
        <v>2848.58</v>
      </c>
      <c r="P4871" s="270" t="s">
        <v>3944</v>
      </c>
      <c r="Q4871" s="270" t="s">
        <v>3944</v>
      </c>
      <c r="R4871" s="270">
        <v>2848.58</v>
      </c>
      <c r="S4871" s="270">
        <v>46508.28</v>
      </c>
      <c r="T4871" s="270">
        <v>49356.86</v>
      </c>
      <c r="U4871" s="271" t="s">
        <v>3945</v>
      </c>
      <c r="V4871" s="267" t="s">
        <v>944</v>
      </c>
    </row>
    <row r="4872" spans="1:22" hidden="1" x14ac:dyDescent="0.25">
      <c r="A4872" s="266">
        <v>43703</v>
      </c>
      <c r="B4872" s="267">
        <v>2019</v>
      </c>
      <c r="C4872" s="267">
        <v>2020</v>
      </c>
      <c r="D4872" s="267">
        <v>1</v>
      </c>
      <c r="E4872" s="267">
        <v>1</v>
      </c>
      <c r="F4872" s="267" t="s">
        <v>944</v>
      </c>
      <c r="G4872" s="267" t="s">
        <v>3926</v>
      </c>
      <c r="H4872" s="267" t="s">
        <v>9501</v>
      </c>
      <c r="I4872" s="267" t="s">
        <v>2985</v>
      </c>
      <c r="J4872" s="267" t="s">
        <v>3928</v>
      </c>
      <c r="K4872" s="267">
        <v>6824</v>
      </c>
      <c r="L4872" s="267">
        <v>61500</v>
      </c>
      <c r="M4872" s="267" t="s">
        <v>3943</v>
      </c>
      <c r="N4872" s="267" t="s">
        <v>3944</v>
      </c>
      <c r="O4872" s="267">
        <v>1427.09</v>
      </c>
      <c r="P4872" s="267" t="s">
        <v>3944</v>
      </c>
      <c r="Q4872" s="267" t="s">
        <v>3944</v>
      </c>
      <c r="R4872" s="267">
        <v>1427.09</v>
      </c>
      <c r="S4872" s="267">
        <v>34904.31</v>
      </c>
      <c r="T4872" s="267">
        <v>36331.4</v>
      </c>
      <c r="U4872" s="268" t="s">
        <v>3945</v>
      </c>
      <c r="V4872" s="267" t="s">
        <v>944</v>
      </c>
    </row>
    <row r="4873" spans="1:22" hidden="1" x14ac:dyDescent="0.25">
      <c r="A4873" s="269">
        <v>43703</v>
      </c>
      <c r="B4873" s="270">
        <v>2019</v>
      </c>
      <c r="C4873" s="270">
        <v>2020</v>
      </c>
      <c r="D4873" s="270">
        <v>1</v>
      </c>
      <c r="E4873" s="270">
        <v>1</v>
      </c>
      <c r="F4873" s="270" t="s">
        <v>944</v>
      </c>
      <c r="G4873" s="270" t="s">
        <v>3926</v>
      </c>
      <c r="H4873" s="270" t="s">
        <v>9502</v>
      </c>
      <c r="I4873" s="270" t="s">
        <v>3964</v>
      </c>
      <c r="J4873" s="270" t="s">
        <v>3928</v>
      </c>
      <c r="K4873" s="270">
        <v>6033</v>
      </c>
      <c r="L4873" s="270">
        <v>520201</v>
      </c>
      <c r="M4873" s="270" t="s">
        <v>3943</v>
      </c>
      <c r="N4873" s="270" t="s">
        <v>3944</v>
      </c>
      <c r="O4873" s="270">
        <v>3296.34</v>
      </c>
      <c r="P4873" s="270" t="s">
        <v>3944</v>
      </c>
      <c r="Q4873" s="270" t="s">
        <v>3944</v>
      </c>
      <c r="R4873" s="270">
        <v>3296.34</v>
      </c>
      <c r="S4873" s="270">
        <v>43991.15</v>
      </c>
      <c r="T4873" s="270">
        <v>47287.49</v>
      </c>
      <c r="U4873" s="271" t="s">
        <v>3945</v>
      </c>
      <c r="V4873" s="267" t="s">
        <v>944</v>
      </c>
    </row>
    <row r="4874" spans="1:22" hidden="1" x14ac:dyDescent="0.25">
      <c r="A4874" s="266">
        <v>43704</v>
      </c>
      <c r="B4874" s="267">
        <v>2019</v>
      </c>
      <c r="C4874" s="267">
        <v>2020</v>
      </c>
      <c r="D4874" s="267">
        <v>1</v>
      </c>
      <c r="E4874" s="267">
        <v>1</v>
      </c>
      <c r="F4874" s="267" t="s">
        <v>944</v>
      </c>
      <c r="G4874" s="267" t="s">
        <v>3926</v>
      </c>
      <c r="H4874" s="267" t="s">
        <v>9503</v>
      </c>
      <c r="I4874" s="267" t="s">
        <v>4244</v>
      </c>
      <c r="J4874" s="267" t="s">
        <v>3928</v>
      </c>
      <c r="K4874" s="267">
        <v>6250</v>
      </c>
      <c r="L4874" s="267">
        <v>881100</v>
      </c>
      <c r="M4874" s="267" t="s">
        <v>3935</v>
      </c>
      <c r="N4874" s="267" t="s">
        <v>9504</v>
      </c>
      <c r="O4874" s="267">
        <v>0</v>
      </c>
      <c r="P4874" s="267" t="s">
        <v>3930</v>
      </c>
      <c r="Q4874" s="267" t="s">
        <v>3930</v>
      </c>
      <c r="R4874" s="267">
        <v>0</v>
      </c>
      <c r="S4874" s="267">
        <v>20600</v>
      </c>
      <c r="T4874" s="267">
        <v>20600</v>
      </c>
      <c r="U4874" s="268" t="s">
        <v>3937</v>
      </c>
      <c r="V4874" s="267" t="s">
        <v>944</v>
      </c>
    </row>
    <row r="4875" spans="1:22" hidden="1" x14ac:dyDescent="0.25">
      <c r="A4875" s="269">
        <v>43704</v>
      </c>
      <c r="B4875" s="270">
        <v>2019</v>
      </c>
      <c r="C4875" s="270">
        <v>2020</v>
      </c>
      <c r="D4875" s="270">
        <v>1</v>
      </c>
      <c r="E4875" s="270">
        <v>1</v>
      </c>
      <c r="F4875" s="270" t="s">
        <v>944</v>
      </c>
      <c r="G4875" s="270" t="s">
        <v>3926</v>
      </c>
      <c r="H4875" s="270" t="s">
        <v>9505</v>
      </c>
      <c r="I4875" s="270" t="s">
        <v>4016</v>
      </c>
      <c r="J4875" s="270" t="s">
        <v>3928</v>
      </c>
      <c r="K4875" s="270">
        <v>6770</v>
      </c>
      <c r="L4875" s="270">
        <v>345300</v>
      </c>
      <c r="M4875" s="270" t="s">
        <v>3940</v>
      </c>
      <c r="N4875" s="270" t="s">
        <v>9506</v>
      </c>
      <c r="O4875" s="270">
        <v>0</v>
      </c>
      <c r="P4875" s="270" t="s">
        <v>3930</v>
      </c>
      <c r="Q4875" s="270" t="s">
        <v>3930</v>
      </c>
      <c r="R4875" s="270">
        <v>0</v>
      </c>
      <c r="S4875" s="270">
        <v>14251</v>
      </c>
      <c r="T4875" s="270">
        <v>14251</v>
      </c>
      <c r="U4875" s="271" t="s">
        <v>3937</v>
      </c>
      <c r="V4875" s="267" t="s">
        <v>944</v>
      </c>
    </row>
    <row r="4876" spans="1:22" hidden="1" x14ac:dyDescent="0.25">
      <c r="A4876" s="266">
        <v>43704</v>
      </c>
      <c r="B4876" s="267">
        <v>2019</v>
      </c>
      <c r="C4876" s="267">
        <v>2020</v>
      </c>
      <c r="D4876" s="267">
        <v>1</v>
      </c>
      <c r="E4876" s="267">
        <v>1</v>
      </c>
      <c r="F4876" s="267" t="s">
        <v>944</v>
      </c>
      <c r="G4876" s="267" t="s">
        <v>3926</v>
      </c>
      <c r="H4876" s="267" t="s">
        <v>9507</v>
      </c>
      <c r="I4876" s="267" t="s">
        <v>4019</v>
      </c>
      <c r="J4876" s="267" t="s">
        <v>3928</v>
      </c>
      <c r="K4876" s="267">
        <v>6708</v>
      </c>
      <c r="L4876" s="267">
        <v>351602</v>
      </c>
      <c r="M4876" s="267" t="s">
        <v>3940</v>
      </c>
      <c r="N4876" s="267" t="s">
        <v>4701</v>
      </c>
      <c r="O4876" s="267">
        <v>2625.84</v>
      </c>
      <c r="P4876" s="267" t="s">
        <v>3930</v>
      </c>
      <c r="Q4876" s="267" t="s">
        <v>3931</v>
      </c>
      <c r="R4876" s="267">
        <v>7625.84</v>
      </c>
      <c r="S4876" s="267">
        <v>34648</v>
      </c>
      <c r="T4876" s="267">
        <v>42273.84</v>
      </c>
      <c r="U4876" s="268" t="s">
        <v>3932</v>
      </c>
      <c r="V4876" s="267" t="s">
        <v>944</v>
      </c>
    </row>
    <row r="4877" spans="1:22" hidden="1" x14ac:dyDescent="0.25">
      <c r="A4877" s="269">
        <v>43704</v>
      </c>
      <c r="B4877" s="270">
        <v>2019</v>
      </c>
      <c r="C4877" s="270">
        <v>2020</v>
      </c>
      <c r="D4877" s="270">
        <v>1</v>
      </c>
      <c r="E4877" s="270">
        <v>1</v>
      </c>
      <c r="F4877" s="270" t="s">
        <v>944</v>
      </c>
      <c r="G4877" s="270" t="s">
        <v>3926</v>
      </c>
      <c r="H4877" s="270" t="s">
        <v>9508</v>
      </c>
      <c r="I4877" s="270" t="s">
        <v>4114</v>
      </c>
      <c r="J4877" s="270" t="s">
        <v>3928</v>
      </c>
      <c r="K4877" s="270">
        <v>6410</v>
      </c>
      <c r="L4877" s="270">
        <v>343300</v>
      </c>
      <c r="M4877" s="270" t="s">
        <v>3943</v>
      </c>
      <c r="N4877" s="270" t="s">
        <v>3944</v>
      </c>
      <c r="O4877" s="270">
        <v>1792.53</v>
      </c>
      <c r="P4877" s="270" t="s">
        <v>3944</v>
      </c>
      <c r="Q4877" s="270" t="s">
        <v>3944</v>
      </c>
      <c r="R4877" s="270">
        <v>1792.53</v>
      </c>
      <c r="S4877" s="270">
        <v>20283.3</v>
      </c>
      <c r="T4877" s="270">
        <v>22075.83</v>
      </c>
      <c r="U4877" s="271" t="s">
        <v>3945</v>
      </c>
      <c r="V4877" s="267" t="s">
        <v>944</v>
      </c>
    </row>
    <row r="4878" spans="1:22" hidden="1" x14ac:dyDescent="0.25">
      <c r="A4878" s="266">
        <v>43704</v>
      </c>
      <c r="B4878" s="267">
        <v>2019</v>
      </c>
      <c r="C4878" s="267">
        <v>2020</v>
      </c>
      <c r="D4878" s="267">
        <v>1</v>
      </c>
      <c r="E4878" s="267">
        <v>1</v>
      </c>
      <c r="F4878" s="267" t="s">
        <v>944</v>
      </c>
      <c r="G4878" s="267" t="s">
        <v>3926</v>
      </c>
      <c r="H4878" s="267" t="s">
        <v>9509</v>
      </c>
      <c r="I4878" s="267" t="s">
        <v>4065</v>
      </c>
      <c r="J4878" s="267" t="s">
        <v>3928</v>
      </c>
      <c r="K4878" s="267">
        <v>6480</v>
      </c>
      <c r="L4878" s="267">
        <v>560100</v>
      </c>
      <c r="M4878" s="267" t="s">
        <v>3943</v>
      </c>
      <c r="N4878" s="267" t="s">
        <v>3944</v>
      </c>
      <c r="O4878" s="267">
        <v>1056.69</v>
      </c>
      <c r="P4878" s="267" t="s">
        <v>3944</v>
      </c>
      <c r="Q4878" s="267" t="s">
        <v>3944</v>
      </c>
      <c r="R4878" s="267">
        <v>1056.69</v>
      </c>
      <c r="S4878" s="267">
        <v>13628.37</v>
      </c>
      <c r="T4878" s="267">
        <v>14685.06</v>
      </c>
      <c r="U4878" s="268" t="s">
        <v>3945</v>
      </c>
      <c r="V4878" s="267" t="s">
        <v>944</v>
      </c>
    </row>
    <row r="4879" spans="1:22" x14ac:dyDescent="0.25">
      <c r="A4879" s="269">
        <v>43704</v>
      </c>
      <c r="B4879" s="270">
        <v>2019</v>
      </c>
      <c r="C4879" s="270">
        <v>2020</v>
      </c>
      <c r="D4879" s="270">
        <v>1</v>
      </c>
      <c r="E4879" s="270">
        <v>1</v>
      </c>
      <c r="F4879" s="270" t="s">
        <v>944</v>
      </c>
      <c r="G4879" s="270" t="s">
        <v>3926</v>
      </c>
      <c r="H4879" s="270" t="s">
        <v>9510</v>
      </c>
      <c r="I4879" s="270" t="s">
        <v>934</v>
      </c>
      <c r="J4879" s="270" t="s">
        <v>3928</v>
      </c>
      <c r="K4879" s="270">
        <v>6606</v>
      </c>
      <c r="L4879" s="270">
        <v>72200</v>
      </c>
      <c r="M4879" s="270">
        <v>-60</v>
      </c>
      <c r="N4879" s="270" t="s">
        <v>3944</v>
      </c>
      <c r="O4879" s="270">
        <v>1773.24</v>
      </c>
      <c r="P4879" s="270" t="s">
        <v>3944</v>
      </c>
      <c r="Q4879" s="270" t="s">
        <v>3944</v>
      </c>
      <c r="R4879" s="270">
        <v>1773.24</v>
      </c>
      <c r="S4879" s="270">
        <v>24259.61</v>
      </c>
      <c r="T4879" s="270">
        <v>26032.85</v>
      </c>
      <c r="U4879" s="271" t="s">
        <v>3945</v>
      </c>
      <c r="V4879" s="276" t="s">
        <v>936</v>
      </c>
    </row>
    <row r="4880" spans="1:22" hidden="1" x14ac:dyDescent="0.25">
      <c r="A4880" s="266">
        <v>43704</v>
      </c>
      <c r="B4880" s="267">
        <v>2019</v>
      </c>
      <c r="C4880" s="267">
        <v>2020</v>
      </c>
      <c r="D4880" s="267">
        <v>1</v>
      </c>
      <c r="E4880" s="267">
        <v>1</v>
      </c>
      <c r="F4880" s="267" t="s">
        <v>944</v>
      </c>
      <c r="G4880" s="267" t="s">
        <v>3926</v>
      </c>
      <c r="H4880" s="267" t="s">
        <v>9511</v>
      </c>
      <c r="I4880" s="267" t="s">
        <v>4042</v>
      </c>
      <c r="J4880" s="267" t="s">
        <v>3928</v>
      </c>
      <c r="K4880" s="267">
        <v>6382</v>
      </c>
      <c r="L4880" s="267">
        <v>870502</v>
      </c>
      <c r="M4880" s="267" t="s">
        <v>3940</v>
      </c>
      <c r="N4880" s="267" t="s">
        <v>3944</v>
      </c>
      <c r="O4880" s="267">
        <v>703.5</v>
      </c>
      <c r="P4880" s="267" t="s">
        <v>3944</v>
      </c>
      <c r="Q4880" s="267" t="s">
        <v>3944</v>
      </c>
      <c r="R4880" s="267">
        <v>703.5</v>
      </c>
      <c r="S4880" s="267">
        <v>10410.780000000001</v>
      </c>
      <c r="T4880" s="267">
        <v>11114.28</v>
      </c>
      <c r="U4880" s="268" t="s">
        <v>3945</v>
      </c>
      <c r="V4880" s="267" t="s">
        <v>944</v>
      </c>
    </row>
    <row r="4881" spans="1:22" hidden="1" x14ac:dyDescent="0.25">
      <c r="A4881" s="269">
        <v>43704</v>
      </c>
      <c r="B4881" s="270">
        <v>2019</v>
      </c>
      <c r="C4881" s="270">
        <v>2020</v>
      </c>
      <c r="D4881" s="270">
        <v>1</v>
      </c>
      <c r="E4881" s="270">
        <v>1</v>
      </c>
      <c r="F4881" s="270" t="s">
        <v>944</v>
      </c>
      <c r="G4881" s="270" t="s">
        <v>3926</v>
      </c>
      <c r="H4881" s="270" t="s">
        <v>9512</v>
      </c>
      <c r="I4881" s="270" t="s">
        <v>956</v>
      </c>
      <c r="J4881" s="270" t="s">
        <v>3928</v>
      </c>
      <c r="K4881" s="270">
        <v>6614</v>
      </c>
      <c r="L4881" s="270">
        <v>80900</v>
      </c>
      <c r="M4881" s="270" t="s">
        <v>3960</v>
      </c>
      <c r="N4881" s="270" t="s">
        <v>3944</v>
      </c>
      <c r="O4881" s="270">
        <v>2574.0100000000002</v>
      </c>
      <c r="P4881" s="270" t="s">
        <v>3944</v>
      </c>
      <c r="Q4881" s="270" t="s">
        <v>3944</v>
      </c>
      <c r="R4881" s="270">
        <v>2574.0100000000002</v>
      </c>
      <c r="S4881" s="270">
        <v>39633.65</v>
      </c>
      <c r="T4881" s="270">
        <v>42207.66</v>
      </c>
      <c r="U4881" s="271" t="s">
        <v>3945</v>
      </c>
      <c r="V4881" s="267" t="s">
        <v>944</v>
      </c>
    </row>
    <row r="4882" spans="1:22" hidden="1" x14ac:dyDescent="0.25">
      <c r="A4882" s="266">
        <v>43704</v>
      </c>
      <c r="B4882" s="267">
        <v>2019</v>
      </c>
      <c r="C4882" s="267">
        <v>2020</v>
      </c>
      <c r="D4882" s="267">
        <v>1</v>
      </c>
      <c r="E4882" s="267">
        <v>1</v>
      </c>
      <c r="F4882" s="267" t="s">
        <v>944</v>
      </c>
      <c r="G4882" s="267" t="s">
        <v>3926</v>
      </c>
      <c r="H4882" s="267" t="s">
        <v>9513</v>
      </c>
      <c r="I4882" s="267" t="s">
        <v>4037</v>
      </c>
      <c r="J4882" s="267" t="s">
        <v>3928</v>
      </c>
      <c r="K4882" s="267">
        <v>6810</v>
      </c>
      <c r="L4882" s="267">
        <v>210702</v>
      </c>
      <c r="M4882" s="267" t="s">
        <v>3940</v>
      </c>
      <c r="N4882" s="267" t="s">
        <v>3944</v>
      </c>
      <c r="O4882" s="267">
        <v>1471.26</v>
      </c>
      <c r="P4882" s="267" t="s">
        <v>3944</v>
      </c>
      <c r="Q4882" s="267" t="s">
        <v>3944</v>
      </c>
      <c r="R4882" s="267">
        <v>1471.26</v>
      </c>
      <c r="S4882" s="267">
        <v>22645.17</v>
      </c>
      <c r="T4882" s="267">
        <v>24116.43</v>
      </c>
      <c r="U4882" s="268" t="s">
        <v>3945</v>
      </c>
      <c r="V4882" s="267" t="s">
        <v>944</v>
      </c>
    </row>
    <row r="4883" spans="1:22" hidden="1" x14ac:dyDescent="0.25">
      <c r="A4883" s="269">
        <v>43704</v>
      </c>
      <c r="B4883" s="270">
        <v>2019</v>
      </c>
      <c r="C4883" s="270">
        <v>2020</v>
      </c>
      <c r="D4883" s="270">
        <v>1</v>
      </c>
      <c r="E4883" s="270">
        <v>1</v>
      </c>
      <c r="F4883" s="270" t="s">
        <v>944</v>
      </c>
      <c r="G4883" s="270" t="s">
        <v>3926</v>
      </c>
      <c r="H4883" s="270" t="s">
        <v>9514</v>
      </c>
      <c r="I4883" s="270" t="s">
        <v>4594</v>
      </c>
      <c r="J4883" s="270" t="s">
        <v>3928</v>
      </c>
      <c r="K4883" s="270">
        <v>6488</v>
      </c>
      <c r="L4883" s="270">
        <v>348125</v>
      </c>
      <c r="M4883" s="270" t="s">
        <v>3940</v>
      </c>
      <c r="N4883" s="270" t="s">
        <v>3944</v>
      </c>
      <c r="O4883" s="270">
        <v>1967.77</v>
      </c>
      <c r="P4883" s="270" t="s">
        <v>3944</v>
      </c>
      <c r="Q4883" s="270" t="s">
        <v>3944</v>
      </c>
      <c r="R4883" s="270">
        <v>1967.77</v>
      </c>
      <c r="S4883" s="270">
        <v>28391.39</v>
      </c>
      <c r="T4883" s="270">
        <v>30359.16</v>
      </c>
      <c r="U4883" s="271" t="s">
        <v>3945</v>
      </c>
      <c r="V4883" s="267" t="s">
        <v>944</v>
      </c>
    </row>
    <row r="4884" spans="1:22" hidden="1" x14ac:dyDescent="0.25">
      <c r="A4884" s="266">
        <v>43704</v>
      </c>
      <c r="B4884" s="267">
        <v>2019</v>
      </c>
      <c r="C4884" s="267">
        <v>2020</v>
      </c>
      <c r="D4884" s="267">
        <v>1</v>
      </c>
      <c r="E4884" s="267">
        <v>1</v>
      </c>
      <c r="F4884" s="267" t="s">
        <v>944</v>
      </c>
      <c r="G4884" s="267" t="s">
        <v>3926</v>
      </c>
      <c r="H4884" s="267" t="s">
        <v>9515</v>
      </c>
      <c r="I4884" s="267" t="s">
        <v>4003</v>
      </c>
      <c r="J4884" s="267" t="s">
        <v>3928</v>
      </c>
      <c r="K4884" s="267">
        <v>6374</v>
      </c>
      <c r="L4884" s="267">
        <v>907100</v>
      </c>
      <c r="M4884" s="267" t="s">
        <v>3935</v>
      </c>
      <c r="N4884" s="267" t="s">
        <v>3944</v>
      </c>
      <c r="O4884" s="267">
        <v>2171.65</v>
      </c>
      <c r="P4884" s="267" t="s">
        <v>3944</v>
      </c>
      <c r="Q4884" s="267" t="s">
        <v>3944</v>
      </c>
      <c r="R4884" s="267">
        <v>2171.65</v>
      </c>
      <c r="S4884" s="267">
        <v>28226.48</v>
      </c>
      <c r="T4884" s="267">
        <v>30398.13</v>
      </c>
      <c r="U4884" s="268" t="s">
        <v>3945</v>
      </c>
      <c r="V4884" s="267" t="s">
        <v>944</v>
      </c>
    </row>
    <row r="4885" spans="1:22" hidden="1" x14ac:dyDescent="0.25">
      <c r="A4885" s="269">
        <v>43704</v>
      </c>
      <c r="B4885" s="270">
        <v>2019</v>
      </c>
      <c r="C4885" s="270">
        <v>2020</v>
      </c>
      <c r="D4885" s="270">
        <v>1</v>
      </c>
      <c r="E4885" s="270">
        <v>1</v>
      </c>
      <c r="F4885" s="270" t="s">
        <v>944</v>
      </c>
      <c r="G4885" s="270" t="s">
        <v>3926</v>
      </c>
      <c r="H4885" s="270" t="s">
        <v>9516</v>
      </c>
      <c r="I4885" s="270" t="s">
        <v>3939</v>
      </c>
      <c r="J4885" s="270" t="s">
        <v>3928</v>
      </c>
      <c r="K4885" s="270">
        <v>6513</v>
      </c>
      <c r="L4885" s="270">
        <v>180500</v>
      </c>
      <c r="M4885" s="270" t="s">
        <v>3935</v>
      </c>
      <c r="N4885" s="270" t="s">
        <v>3944</v>
      </c>
      <c r="O4885" s="270">
        <v>2268.6999999999998</v>
      </c>
      <c r="P4885" s="270" t="s">
        <v>3944</v>
      </c>
      <c r="Q4885" s="270" t="s">
        <v>3944</v>
      </c>
      <c r="R4885" s="270">
        <v>2268.6999999999998</v>
      </c>
      <c r="S4885" s="270">
        <v>34769.699999999997</v>
      </c>
      <c r="T4885" s="270">
        <v>37038.400000000001</v>
      </c>
      <c r="U4885" s="271" t="s">
        <v>3945</v>
      </c>
      <c r="V4885" s="267" t="s">
        <v>944</v>
      </c>
    </row>
    <row r="4886" spans="1:22" hidden="1" x14ac:dyDescent="0.25">
      <c r="A4886" s="266">
        <v>43704</v>
      </c>
      <c r="B4886" s="267">
        <v>2019</v>
      </c>
      <c r="C4886" s="267">
        <v>2020</v>
      </c>
      <c r="D4886" s="267">
        <v>1</v>
      </c>
      <c r="E4886" s="267">
        <v>1</v>
      </c>
      <c r="F4886" s="267" t="s">
        <v>944</v>
      </c>
      <c r="G4886" s="267" t="s">
        <v>3926</v>
      </c>
      <c r="H4886" s="267" t="s">
        <v>9517</v>
      </c>
      <c r="I4886" s="267" t="s">
        <v>4621</v>
      </c>
      <c r="J4886" s="267" t="s">
        <v>3928</v>
      </c>
      <c r="K4886" s="267">
        <v>6443</v>
      </c>
      <c r="L4886" s="267">
        <v>194201</v>
      </c>
      <c r="M4886" s="267" t="s">
        <v>3943</v>
      </c>
      <c r="N4886" s="267" t="s">
        <v>3944</v>
      </c>
      <c r="O4886" s="267">
        <v>2187.19</v>
      </c>
      <c r="P4886" s="267" t="s">
        <v>3944</v>
      </c>
      <c r="Q4886" s="267" t="s">
        <v>3944</v>
      </c>
      <c r="R4886" s="267">
        <v>2187.19</v>
      </c>
      <c r="S4886" s="267">
        <v>40569.230000000003</v>
      </c>
      <c r="T4886" s="267">
        <v>42756.42</v>
      </c>
      <c r="U4886" s="268" t="s">
        <v>3945</v>
      </c>
      <c r="V4886" s="267" t="s">
        <v>944</v>
      </c>
    </row>
    <row r="4887" spans="1:22" hidden="1" x14ac:dyDescent="0.25">
      <c r="A4887" s="269">
        <v>43704</v>
      </c>
      <c r="B4887" s="270">
        <v>2019</v>
      </c>
      <c r="C4887" s="270">
        <v>2020</v>
      </c>
      <c r="D4887" s="270">
        <v>1</v>
      </c>
      <c r="E4887" s="270">
        <v>1</v>
      </c>
      <c r="F4887" s="270" t="s">
        <v>944</v>
      </c>
      <c r="G4887" s="270" t="s">
        <v>3926</v>
      </c>
      <c r="H4887" s="270" t="s">
        <v>9518</v>
      </c>
      <c r="I4887" s="270" t="s">
        <v>956</v>
      </c>
      <c r="J4887" s="270" t="s">
        <v>3928</v>
      </c>
      <c r="K4887" s="270">
        <v>6615</v>
      </c>
      <c r="L4887" s="270">
        <v>80200</v>
      </c>
      <c r="M4887" s="270" t="s">
        <v>3935</v>
      </c>
      <c r="N4887" s="270" t="s">
        <v>3944</v>
      </c>
      <c r="O4887" s="270">
        <v>1359.89</v>
      </c>
      <c r="P4887" s="270" t="s">
        <v>3944</v>
      </c>
      <c r="Q4887" s="270" t="s">
        <v>3944</v>
      </c>
      <c r="R4887" s="270">
        <v>1359.89</v>
      </c>
      <c r="S4887" s="270">
        <v>18134.43</v>
      </c>
      <c r="T4887" s="270">
        <v>19494.32</v>
      </c>
      <c r="U4887" s="271" t="s">
        <v>3945</v>
      </c>
      <c r="V4887" s="267" t="s">
        <v>944</v>
      </c>
    </row>
    <row r="4888" spans="1:22" hidden="1" x14ac:dyDescent="0.25">
      <c r="A4888" s="266">
        <v>43704</v>
      </c>
      <c r="B4888" s="267">
        <v>2019</v>
      </c>
      <c r="C4888" s="267">
        <v>2020</v>
      </c>
      <c r="D4888" s="267">
        <v>1</v>
      </c>
      <c r="E4888" s="267">
        <v>1</v>
      </c>
      <c r="F4888" s="267" t="s">
        <v>944</v>
      </c>
      <c r="G4888" s="267" t="s">
        <v>3926</v>
      </c>
      <c r="H4888" s="267" t="s">
        <v>9519</v>
      </c>
      <c r="I4888" s="267" t="s">
        <v>4042</v>
      </c>
      <c r="J4888" s="267" t="s">
        <v>3928</v>
      </c>
      <c r="K4888" s="267">
        <v>6370</v>
      </c>
      <c r="L4888" s="267">
        <v>695202</v>
      </c>
      <c r="M4888" s="267" t="s">
        <v>3935</v>
      </c>
      <c r="N4888" s="267" t="s">
        <v>3944</v>
      </c>
      <c r="O4888" s="267">
        <v>1682.59</v>
      </c>
      <c r="P4888" s="267" t="s">
        <v>3944</v>
      </c>
      <c r="Q4888" s="267" t="s">
        <v>3944</v>
      </c>
      <c r="R4888" s="267">
        <v>1682.59</v>
      </c>
      <c r="S4888" s="267">
        <v>20238.47</v>
      </c>
      <c r="T4888" s="267">
        <v>21921.06</v>
      </c>
      <c r="U4888" s="268" t="s">
        <v>3945</v>
      </c>
      <c r="V4888" s="267" t="s">
        <v>944</v>
      </c>
    </row>
    <row r="4889" spans="1:22" hidden="1" x14ac:dyDescent="0.25">
      <c r="A4889" s="269">
        <v>43704</v>
      </c>
      <c r="B4889" s="270">
        <v>2019</v>
      </c>
      <c r="C4889" s="270">
        <v>2020</v>
      </c>
      <c r="D4889" s="270">
        <v>1</v>
      </c>
      <c r="E4889" s="270">
        <v>1</v>
      </c>
      <c r="F4889" s="270" t="s">
        <v>944</v>
      </c>
      <c r="G4889" s="270" t="s">
        <v>3926</v>
      </c>
      <c r="H4889" s="270" t="s">
        <v>9520</v>
      </c>
      <c r="I4889" s="270" t="s">
        <v>4124</v>
      </c>
      <c r="J4889" s="270" t="s">
        <v>3928</v>
      </c>
      <c r="K4889" s="270">
        <v>6482</v>
      </c>
      <c r="L4889" s="270">
        <v>230100</v>
      </c>
      <c r="M4889" s="270" t="s">
        <v>3943</v>
      </c>
      <c r="N4889" s="270" t="s">
        <v>3944</v>
      </c>
      <c r="O4889" s="270">
        <v>1999.52</v>
      </c>
      <c r="P4889" s="270" t="s">
        <v>3944</v>
      </c>
      <c r="Q4889" s="270" t="s">
        <v>3944</v>
      </c>
      <c r="R4889" s="270">
        <v>1999.52</v>
      </c>
      <c r="S4889" s="270">
        <v>27618.5</v>
      </c>
      <c r="T4889" s="270">
        <v>29618.02</v>
      </c>
      <c r="U4889" s="271" t="s">
        <v>3945</v>
      </c>
      <c r="V4889" s="267" t="s">
        <v>944</v>
      </c>
    </row>
    <row r="4890" spans="1:22" hidden="1" x14ac:dyDescent="0.25">
      <c r="A4890" s="266">
        <v>43704</v>
      </c>
      <c r="B4890" s="267">
        <v>2019</v>
      </c>
      <c r="C4890" s="267">
        <v>2020</v>
      </c>
      <c r="D4890" s="267">
        <v>1</v>
      </c>
      <c r="E4890" s="267">
        <v>1</v>
      </c>
      <c r="F4890" s="267" t="s">
        <v>944</v>
      </c>
      <c r="G4890" s="267" t="s">
        <v>3926</v>
      </c>
      <c r="H4890" s="267" t="s">
        <v>9521</v>
      </c>
      <c r="I4890" s="267" t="s">
        <v>3009</v>
      </c>
      <c r="J4890" s="267" t="s">
        <v>3928</v>
      </c>
      <c r="K4890" s="267">
        <v>6484</v>
      </c>
      <c r="L4890" s="267">
        <v>110301</v>
      </c>
      <c r="M4890" s="267" t="s">
        <v>3935</v>
      </c>
      <c r="N4890" s="267" t="s">
        <v>3944</v>
      </c>
      <c r="O4890" s="267">
        <v>1605.66</v>
      </c>
      <c r="P4890" s="267" t="s">
        <v>3944</v>
      </c>
      <c r="Q4890" s="267" t="s">
        <v>3944</v>
      </c>
      <c r="R4890" s="267">
        <v>1605.66</v>
      </c>
      <c r="S4890" s="267">
        <v>19774.02</v>
      </c>
      <c r="T4890" s="267">
        <v>21379.68</v>
      </c>
      <c r="U4890" s="268" t="s">
        <v>3945</v>
      </c>
      <c r="V4890" s="267" t="s">
        <v>944</v>
      </c>
    </row>
    <row r="4891" spans="1:22" hidden="1" x14ac:dyDescent="0.25">
      <c r="A4891" s="269">
        <v>43705</v>
      </c>
      <c r="B4891" s="270">
        <v>2019</v>
      </c>
      <c r="C4891" s="270">
        <v>2020</v>
      </c>
      <c r="D4891" s="270">
        <v>1</v>
      </c>
      <c r="E4891" s="270">
        <v>1</v>
      </c>
      <c r="F4891" s="270" t="s">
        <v>944</v>
      </c>
      <c r="G4891" s="270" t="s">
        <v>3926</v>
      </c>
      <c r="H4891" s="270" t="s">
        <v>9522</v>
      </c>
      <c r="I4891" s="270" t="s">
        <v>4019</v>
      </c>
      <c r="J4891" s="270" t="s">
        <v>3928</v>
      </c>
      <c r="K4891" s="270">
        <v>6705</v>
      </c>
      <c r="L4891" s="270">
        <v>352702</v>
      </c>
      <c r="M4891" s="270" t="s">
        <v>3940</v>
      </c>
      <c r="N4891" s="270" t="s">
        <v>9523</v>
      </c>
      <c r="O4891" s="270">
        <v>0</v>
      </c>
      <c r="P4891" s="270" t="s">
        <v>3930</v>
      </c>
      <c r="Q4891" s="270" t="s">
        <v>3930</v>
      </c>
      <c r="R4891" s="270">
        <v>0</v>
      </c>
      <c r="S4891" s="270">
        <v>4218</v>
      </c>
      <c r="T4891" s="270">
        <v>4218</v>
      </c>
      <c r="U4891" s="271" t="s">
        <v>3937</v>
      </c>
      <c r="V4891" s="267" t="s">
        <v>944</v>
      </c>
    </row>
    <row r="4892" spans="1:22" hidden="1" x14ac:dyDescent="0.25">
      <c r="A4892" s="266">
        <v>43705</v>
      </c>
      <c r="B4892" s="267">
        <v>2019</v>
      </c>
      <c r="C4892" s="267">
        <v>2020</v>
      </c>
      <c r="D4892" s="267">
        <v>1</v>
      </c>
      <c r="E4892" s="267">
        <v>1</v>
      </c>
      <c r="F4892" s="267" t="s">
        <v>944</v>
      </c>
      <c r="G4892" s="267" t="s">
        <v>3926</v>
      </c>
      <c r="H4892" s="267" t="s">
        <v>9524</v>
      </c>
      <c r="I4892" s="267" t="s">
        <v>4548</v>
      </c>
      <c r="J4892" s="267" t="s">
        <v>3928</v>
      </c>
      <c r="K4892" s="267">
        <v>6037</v>
      </c>
      <c r="L4892" s="267">
        <v>400100</v>
      </c>
      <c r="M4892" s="267" t="s">
        <v>3935</v>
      </c>
      <c r="N4892" s="267" t="s">
        <v>9525</v>
      </c>
      <c r="O4892" s="267">
        <v>0</v>
      </c>
      <c r="P4892" s="267" t="s">
        <v>3930</v>
      </c>
      <c r="Q4892" s="267" t="s">
        <v>3930</v>
      </c>
      <c r="R4892" s="267">
        <v>0</v>
      </c>
      <c r="S4892" s="267">
        <v>18995</v>
      </c>
      <c r="T4892" s="267">
        <v>18995</v>
      </c>
      <c r="U4892" s="268" t="s">
        <v>3937</v>
      </c>
      <c r="V4892" s="267" t="s">
        <v>944</v>
      </c>
    </row>
    <row r="4893" spans="1:22" hidden="1" x14ac:dyDescent="0.25">
      <c r="A4893" s="269">
        <v>43705</v>
      </c>
      <c r="B4893" s="270">
        <v>2019</v>
      </c>
      <c r="C4893" s="270">
        <v>2020</v>
      </c>
      <c r="D4893" s="270">
        <v>1</v>
      </c>
      <c r="E4893" s="270">
        <v>1</v>
      </c>
      <c r="F4893" s="270" t="s">
        <v>944</v>
      </c>
      <c r="G4893" s="270" t="s">
        <v>3926</v>
      </c>
      <c r="H4893" s="270" t="s">
        <v>9526</v>
      </c>
      <c r="I4893" s="270" t="s">
        <v>4490</v>
      </c>
      <c r="J4893" s="270" t="s">
        <v>3928</v>
      </c>
      <c r="K4893" s="270">
        <v>6426</v>
      </c>
      <c r="L4893" s="270">
        <v>630100</v>
      </c>
      <c r="M4893" s="270" t="s">
        <v>3960</v>
      </c>
      <c r="N4893" s="270" t="s">
        <v>9527</v>
      </c>
      <c r="O4893" s="270">
        <v>0</v>
      </c>
      <c r="P4893" s="270" t="s">
        <v>3930</v>
      </c>
      <c r="Q4893" s="270" t="s">
        <v>3930</v>
      </c>
      <c r="R4893" s="270">
        <v>0</v>
      </c>
      <c r="S4893" s="270">
        <v>34627</v>
      </c>
      <c r="T4893" s="270">
        <v>34627</v>
      </c>
      <c r="U4893" s="271" t="s">
        <v>3937</v>
      </c>
      <c r="V4893" s="267" t="s">
        <v>944</v>
      </c>
    </row>
    <row r="4894" spans="1:22" hidden="1" x14ac:dyDescent="0.25">
      <c r="A4894" s="266">
        <v>43705</v>
      </c>
      <c r="B4894" s="267">
        <v>2019</v>
      </c>
      <c r="C4894" s="267">
        <v>2020</v>
      </c>
      <c r="D4894" s="267">
        <v>1</v>
      </c>
      <c r="E4894" s="267">
        <v>1</v>
      </c>
      <c r="F4894" s="267" t="s">
        <v>944</v>
      </c>
      <c r="G4894" s="267" t="s">
        <v>3926</v>
      </c>
      <c r="H4894" s="267" t="s">
        <v>9528</v>
      </c>
      <c r="I4894" s="267" t="s">
        <v>3010</v>
      </c>
      <c r="J4894" s="267" t="s">
        <v>3928</v>
      </c>
      <c r="K4894" s="267">
        <v>6401</v>
      </c>
      <c r="L4894" s="267">
        <v>125100</v>
      </c>
      <c r="M4894" s="267" t="s">
        <v>3960</v>
      </c>
      <c r="N4894" s="267" t="s">
        <v>9529</v>
      </c>
      <c r="O4894" s="267">
        <v>0</v>
      </c>
      <c r="P4894" s="267" t="s">
        <v>3930</v>
      </c>
      <c r="Q4894" s="267" t="s">
        <v>3930</v>
      </c>
      <c r="R4894" s="267">
        <v>0</v>
      </c>
      <c r="S4894" s="267">
        <v>12837</v>
      </c>
      <c r="T4894" s="267">
        <v>12837</v>
      </c>
      <c r="U4894" s="268" t="s">
        <v>3937</v>
      </c>
      <c r="V4894" s="267" t="s">
        <v>944</v>
      </c>
    </row>
    <row r="4895" spans="1:22" hidden="1" x14ac:dyDescent="0.25">
      <c r="A4895" s="269">
        <v>43705</v>
      </c>
      <c r="B4895" s="270">
        <v>2019</v>
      </c>
      <c r="C4895" s="270">
        <v>2020</v>
      </c>
      <c r="D4895" s="270">
        <v>1</v>
      </c>
      <c r="E4895" s="270">
        <v>1</v>
      </c>
      <c r="F4895" s="270" t="s">
        <v>944</v>
      </c>
      <c r="G4895" s="270" t="s">
        <v>3926</v>
      </c>
      <c r="H4895" s="270" t="s">
        <v>9530</v>
      </c>
      <c r="I4895" s="270" t="s">
        <v>4269</v>
      </c>
      <c r="J4895" s="270" t="s">
        <v>3928</v>
      </c>
      <c r="K4895" s="270">
        <v>6117</v>
      </c>
      <c r="L4895" s="270">
        <v>497400</v>
      </c>
      <c r="M4895" s="270" t="s">
        <v>3943</v>
      </c>
      <c r="N4895" s="270" t="s">
        <v>9531</v>
      </c>
      <c r="O4895" s="270">
        <v>0</v>
      </c>
      <c r="P4895" s="270" t="s">
        <v>3930</v>
      </c>
      <c r="Q4895" s="270" t="s">
        <v>3930</v>
      </c>
      <c r="R4895" s="270">
        <v>0</v>
      </c>
      <c r="S4895" s="270">
        <v>8800</v>
      </c>
      <c r="T4895" s="270">
        <v>8800</v>
      </c>
      <c r="U4895" s="271" t="s">
        <v>3937</v>
      </c>
      <c r="V4895" s="267" t="s">
        <v>944</v>
      </c>
    </row>
    <row r="4896" spans="1:22" x14ac:dyDescent="0.25">
      <c r="A4896" s="266">
        <v>43705</v>
      </c>
      <c r="B4896" s="267">
        <v>2019</v>
      </c>
      <c r="C4896" s="267">
        <v>2020</v>
      </c>
      <c r="D4896" s="267">
        <v>1</v>
      </c>
      <c r="E4896" s="267">
        <v>1</v>
      </c>
      <c r="F4896" s="267" t="s">
        <v>944</v>
      </c>
      <c r="G4896" s="267" t="s">
        <v>3926</v>
      </c>
      <c r="H4896" s="267" t="s">
        <v>9532</v>
      </c>
      <c r="I4896" s="267" t="s">
        <v>943</v>
      </c>
      <c r="J4896" s="267" t="s">
        <v>3928</v>
      </c>
      <c r="K4896" s="267">
        <v>6511</v>
      </c>
      <c r="L4896" s="267">
        <v>141500</v>
      </c>
      <c r="M4896" s="267">
        <v>-60</v>
      </c>
      <c r="N4896" s="267" t="s">
        <v>3983</v>
      </c>
      <c r="O4896" s="267">
        <v>1471.47</v>
      </c>
      <c r="P4896" s="267" t="s">
        <v>3930</v>
      </c>
      <c r="Q4896" s="267" t="s">
        <v>3931</v>
      </c>
      <c r="R4896" s="267">
        <v>6471.47</v>
      </c>
      <c r="S4896" s="267">
        <v>16504</v>
      </c>
      <c r="T4896" s="267">
        <v>22975.47</v>
      </c>
      <c r="U4896" s="268" t="s">
        <v>3932</v>
      </c>
      <c r="V4896" s="276" t="s">
        <v>936</v>
      </c>
    </row>
    <row r="4897" spans="1:22" hidden="1" x14ac:dyDescent="0.25">
      <c r="A4897" s="269">
        <v>43705</v>
      </c>
      <c r="B4897" s="270">
        <v>2019</v>
      </c>
      <c r="C4897" s="270">
        <v>2020</v>
      </c>
      <c r="D4897" s="270">
        <v>1</v>
      </c>
      <c r="E4897" s="270">
        <v>1</v>
      </c>
      <c r="F4897" s="270" t="s">
        <v>944</v>
      </c>
      <c r="G4897" s="270" t="s">
        <v>3997</v>
      </c>
      <c r="H4897" s="270" t="s">
        <v>9533</v>
      </c>
      <c r="I4897" s="270" t="s">
        <v>4019</v>
      </c>
      <c r="J4897" s="270" t="s">
        <v>3928</v>
      </c>
      <c r="K4897" s="270">
        <v>6706</v>
      </c>
      <c r="L4897" s="270">
        <v>350500</v>
      </c>
      <c r="M4897" s="270">
        <v>-60</v>
      </c>
      <c r="N4897" s="270" t="s">
        <v>3944</v>
      </c>
      <c r="O4897" s="270">
        <v>1013.95</v>
      </c>
      <c r="P4897" s="270" t="s">
        <v>3944</v>
      </c>
      <c r="Q4897" s="270" t="s">
        <v>3944</v>
      </c>
      <c r="R4897" s="270">
        <v>1013.95</v>
      </c>
      <c r="S4897" s="270">
        <v>11486.51</v>
      </c>
      <c r="T4897" s="270">
        <v>12500.46</v>
      </c>
      <c r="U4897" s="271" t="s">
        <v>3945</v>
      </c>
      <c r="V4897" s="267" t="s">
        <v>944</v>
      </c>
    </row>
    <row r="4898" spans="1:22" hidden="1" x14ac:dyDescent="0.25">
      <c r="A4898" s="266">
        <v>43705</v>
      </c>
      <c r="B4898" s="267">
        <v>2019</v>
      </c>
      <c r="C4898" s="267">
        <v>2020</v>
      </c>
      <c r="D4898" s="267">
        <v>1</v>
      </c>
      <c r="E4898" s="267">
        <v>1</v>
      </c>
      <c r="F4898" s="267" t="s">
        <v>944</v>
      </c>
      <c r="G4898" s="267" t="s">
        <v>3926</v>
      </c>
      <c r="H4898" s="267" t="s">
        <v>9534</v>
      </c>
      <c r="I4898" s="267" t="s">
        <v>2987</v>
      </c>
      <c r="J4898" s="267" t="s">
        <v>3928</v>
      </c>
      <c r="K4898" s="267">
        <v>6611</v>
      </c>
      <c r="L4898" s="267">
        <v>90200</v>
      </c>
      <c r="M4898" s="267" t="s">
        <v>3943</v>
      </c>
      <c r="N4898" s="267" t="s">
        <v>3944</v>
      </c>
      <c r="O4898" s="267">
        <v>1451.56</v>
      </c>
      <c r="P4898" s="267" t="s">
        <v>3944</v>
      </c>
      <c r="Q4898" s="267" t="s">
        <v>3944</v>
      </c>
      <c r="R4898" s="267">
        <v>1451.56</v>
      </c>
      <c r="S4898" s="267">
        <v>18384.13</v>
      </c>
      <c r="T4898" s="267">
        <v>19835.689999999999</v>
      </c>
      <c r="U4898" s="268" t="s">
        <v>3945</v>
      </c>
      <c r="V4898" s="267" t="s">
        <v>944</v>
      </c>
    </row>
    <row r="4899" spans="1:22" hidden="1" x14ac:dyDescent="0.25">
      <c r="A4899" s="269">
        <v>43705</v>
      </c>
      <c r="B4899" s="270">
        <v>2019</v>
      </c>
      <c r="C4899" s="270">
        <v>2020</v>
      </c>
      <c r="D4899" s="270">
        <v>1</v>
      </c>
      <c r="E4899" s="270">
        <v>1</v>
      </c>
      <c r="F4899" s="270" t="s">
        <v>944</v>
      </c>
      <c r="G4899" s="270" t="s">
        <v>3926</v>
      </c>
      <c r="H4899" s="270" t="s">
        <v>9535</v>
      </c>
      <c r="I4899" s="270" t="s">
        <v>4005</v>
      </c>
      <c r="J4899" s="270" t="s">
        <v>3928</v>
      </c>
      <c r="K4899" s="270">
        <v>6118</v>
      </c>
      <c r="L4899" s="270">
        <v>511100</v>
      </c>
      <c r="M4899" s="270" t="s">
        <v>3960</v>
      </c>
      <c r="N4899" s="270" t="s">
        <v>3944</v>
      </c>
      <c r="O4899" s="270">
        <v>1825.92</v>
      </c>
      <c r="P4899" s="270" t="s">
        <v>3944</v>
      </c>
      <c r="Q4899" s="270" t="s">
        <v>3944</v>
      </c>
      <c r="R4899" s="270">
        <v>1825.92</v>
      </c>
      <c r="S4899" s="270">
        <v>24630.080000000002</v>
      </c>
      <c r="T4899" s="270">
        <v>26456</v>
      </c>
      <c r="U4899" s="271" t="s">
        <v>3945</v>
      </c>
      <c r="V4899" s="267" t="s">
        <v>944</v>
      </c>
    </row>
    <row r="4900" spans="1:22" hidden="1" x14ac:dyDescent="0.25">
      <c r="A4900" s="266">
        <v>43705</v>
      </c>
      <c r="B4900" s="267">
        <v>2019</v>
      </c>
      <c r="C4900" s="267">
        <v>2020</v>
      </c>
      <c r="D4900" s="267">
        <v>1</v>
      </c>
      <c r="E4900" s="267">
        <v>1</v>
      </c>
      <c r="F4900" s="267" t="s">
        <v>944</v>
      </c>
      <c r="G4900" s="267" t="s">
        <v>3926</v>
      </c>
      <c r="H4900" s="267" t="s">
        <v>9536</v>
      </c>
      <c r="I4900" s="267" t="s">
        <v>4019</v>
      </c>
      <c r="J4900" s="267" t="s">
        <v>3928</v>
      </c>
      <c r="K4900" s="267">
        <v>6708</v>
      </c>
      <c r="L4900" s="267">
        <v>352100</v>
      </c>
      <c r="M4900" s="267" t="s">
        <v>3940</v>
      </c>
      <c r="N4900" s="267" t="s">
        <v>3944</v>
      </c>
      <c r="O4900" s="267">
        <v>1878.17</v>
      </c>
      <c r="P4900" s="267" t="s">
        <v>3944</v>
      </c>
      <c r="Q4900" s="267" t="s">
        <v>3944</v>
      </c>
      <c r="R4900" s="267">
        <v>1878.17</v>
      </c>
      <c r="S4900" s="267">
        <v>26187.85</v>
      </c>
      <c r="T4900" s="267">
        <v>28066.02</v>
      </c>
      <c r="U4900" s="268" t="s">
        <v>3945</v>
      </c>
      <c r="V4900" s="267" t="s">
        <v>944</v>
      </c>
    </row>
    <row r="4901" spans="1:22" hidden="1" x14ac:dyDescent="0.25">
      <c r="A4901" s="269">
        <v>43705</v>
      </c>
      <c r="B4901" s="270">
        <v>2019</v>
      </c>
      <c r="C4901" s="270">
        <v>2020</v>
      </c>
      <c r="D4901" s="270">
        <v>1</v>
      </c>
      <c r="E4901" s="270">
        <v>1</v>
      </c>
      <c r="F4901" s="270" t="s">
        <v>944</v>
      </c>
      <c r="G4901" s="270" t="s">
        <v>3926</v>
      </c>
      <c r="H4901" s="270" t="s">
        <v>9537</v>
      </c>
      <c r="I4901" s="270" t="s">
        <v>4269</v>
      </c>
      <c r="J4901" s="270" t="s">
        <v>3928</v>
      </c>
      <c r="K4901" s="270">
        <v>6119</v>
      </c>
      <c r="L4901" s="270">
        <v>496900</v>
      </c>
      <c r="M4901" s="270" t="s">
        <v>3960</v>
      </c>
      <c r="N4901" s="270" t="s">
        <v>3944</v>
      </c>
      <c r="O4901" s="270">
        <v>1232.1400000000001</v>
      </c>
      <c r="P4901" s="270" t="s">
        <v>3944</v>
      </c>
      <c r="Q4901" s="270" t="s">
        <v>3944</v>
      </c>
      <c r="R4901" s="270">
        <v>1232.1400000000001</v>
      </c>
      <c r="S4901" s="270">
        <v>18524.46</v>
      </c>
      <c r="T4901" s="270">
        <v>19756.599999999999</v>
      </c>
      <c r="U4901" s="271" t="s">
        <v>3945</v>
      </c>
      <c r="V4901" s="267" t="s">
        <v>944</v>
      </c>
    </row>
    <row r="4902" spans="1:22" hidden="1" x14ac:dyDescent="0.25">
      <c r="A4902" s="266">
        <v>43705</v>
      </c>
      <c r="B4902" s="267">
        <v>2019</v>
      </c>
      <c r="C4902" s="267">
        <v>2020</v>
      </c>
      <c r="D4902" s="267">
        <v>1</v>
      </c>
      <c r="E4902" s="267">
        <v>1</v>
      </c>
      <c r="F4902" s="267" t="s">
        <v>944</v>
      </c>
      <c r="G4902" s="267" t="s">
        <v>3926</v>
      </c>
      <c r="H4902" s="267" t="s">
        <v>9538</v>
      </c>
      <c r="I4902" s="267" t="s">
        <v>4042</v>
      </c>
      <c r="J4902" s="267" t="s">
        <v>3928</v>
      </c>
      <c r="K4902" s="267">
        <v>6382</v>
      </c>
      <c r="L4902" s="267">
        <v>870501</v>
      </c>
      <c r="M4902" s="267" t="s">
        <v>3935</v>
      </c>
      <c r="N4902" s="267" t="s">
        <v>3944</v>
      </c>
      <c r="O4902" s="267">
        <v>1127</v>
      </c>
      <c r="P4902" s="267" t="s">
        <v>3944</v>
      </c>
      <c r="Q4902" s="267" t="s">
        <v>3944</v>
      </c>
      <c r="R4902" s="267">
        <v>1127</v>
      </c>
      <c r="S4902" s="267">
        <v>17416.3</v>
      </c>
      <c r="T4902" s="267">
        <v>18543.3</v>
      </c>
      <c r="U4902" s="268" t="s">
        <v>3945</v>
      </c>
      <c r="V4902" s="267" t="s">
        <v>944</v>
      </c>
    </row>
    <row r="4903" spans="1:22" hidden="1" x14ac:dyDescent="0.25">
      <c r="A4903" s="269">
        <v>43705</v>
      </c>
      <c r="B4903" s="270">
        <v>2019</v>
      </c>
      <c r="C4903" s="270">
        <v>2020</v>
      </c>
      <c r="D4903" s="270">
        <v>1</v>
      </c>
      <c r="E4903" s="270">
        <v>1</v>
      </c>
      <c r="F4903" s="270" t="s">
        <v>944</v>
      </c>
      <c r="G4903" s="270" t="s">
        <v>3926</v>
      </c>
      <c r="H4903" s="270" t="s">
        <v>9539</v>
      </c>
      <c r="I4903" s="270" t="s">
        <v>3008</v>
      </c>
      <c r="J4903" s="270" t="s">
        <v>3928</v>
      </c>
      <c r="K4903" s="270">
        <v>6460</v>
      </c>
      <c r="L4903" s="270">
        <v>151200</v>
      </c>
      <c r="M4903" s="270" t="s">
        <v>3935</v>
      </c>
      <c r="N4903" s="270" t="s">
        <v>3944</v>
      </c>
      <c r="O4903" s="270">
        <v>1453.03</v>
      </c>
      <c r="P4903" s="270" t="s">
        <v>3944</v>
      </c>
      <c r="Q4903" s="270" t="s">
        <v>3944</v>
      </c>
      <c r="R4903" s="270">
        <v>1453.03</v>
      </c>
      <c r="S4903" s="270">
        <v>28040.53</v>
      </c>
      <c r="T4903" s="270">
        <v>29493.56</v>
      </c>
      <c r="U4903" s="271" t="s">
        <v>3945</v>
      </c>
      <c r="V4903" s="267" t="s">
        <v>944</v>
      </c>
    </row>
    <row r="4904" spans="1:22" hidden="1" x14ac:dyDescent="0.25">
      <c r="A4904" s="266">
        <v>43705</v>
      </c>
      <c r="B4904" s="267">
        <v>2019</v>
      </c>
      <c r="C4904" s="267">
        <v>2020</v>
      </c>
      <c r="D4904" s="267">
        <v>1</v>
      </c>
      <c r="E4904" s="267">
        <v>1</v>
      </c>
      <c r="F4904" s="267" t="s">
        <v>944</v>
      </c>
      <c r="G4904" s="267" t="s">
        <v>3926</v>
      </c>
      <c r="H4904" s="267" t="s">
        <v>9540</v>
      </c>
      <c r="I4904" s="267" t="s">
        <v>4111</v>
      </c>
      <c r="J4904" s="267" t="s">
        <v>3928</v>
      </c>
      <c r="K4904" s="267">
        <v>6095</v>
      </c>
      <c r="L4904" s="267">
        <v>473700</v>
      </c>
      <c r="M4904" s="267" t="s">
        <v>3935</v>
      </c>
      <c r="N4904" s="267" t="s">
        <v>3944</v>
      </c>
      <c r="O4904" s="267">
        <v>3492.13</v>
      </c>
      <c r="P4904" s="267" t="s">
        <v>3944</v>
      </c>
      <c r="Q4904" s="267" t="s">
        <v>3944</v>
      </c>
      <c r="R4904" s="267">
        <v>3492.13</v>
      </c>
      <c r="S4904" s="267">
        <v>52522.67</v>
      </c>
      <c r="T4904" s="267">
        <v>56014.8</v>
      </c>
      <c r="U4904" s="268" t="s">
        <v>3945</v>
      </c>
      <c r="V4904" s="267" t="s">
        <v>944</v>
      </c>
    </row>
    <row r="4905" spans="1:22" hidden="1" x14ac:dyDescent="0.25">
      <c r="A4905" s="269">
        <v>43705</v>
      </c>
      <c r="B4905" s="270">
        <v>2019</v>
      </c>
      <c r="C4905" s="270">
        <v>2020</v>
      </c>
      <c r="D4905" s="270">
        <v>1</v>
      </c>
      <c r="E4905" s="270">
        <v>1</v>
      </c>
      <c r="F4905" s="270" t="s">
        <v>944</v>
      </c>
      <c r="G4905" s="270" t="s">
        <v>3926</v>
      </c>
      <c r="H4905" s="270" t="s">
        <v>9541</v>
      </c>
      <c r="I4905" s="270" t="s">
        <v>4011</v>
      </c>
      <c r="J4905" s="270" t="s">
        <v>3928</v>
      </c>
      <c r="K4905" s="270">
        <v>6002</v>
      </c>
      <c r="L4905" s="270">
        <v>471100</v>
      </c>
      <c r="M4905" s="270" t="s">
        <v>3935</v>
      </c>
      <c r="N4905" s="270" t="s">
        <v>3944</v>
      </c>
      <c r="O4905" s="270">
        <v>982.63</v>
      </c>
      <c r="P4905" s="270" t="s">
        <v>3944</v>
      </c>
      <c r="Q4905" s="270" t="s">
        <v>3944</v>
      </c>
      <c r="R4905" s="270">
        <v>982.63</v>
      </c>
      <c r="S4905" s="270">
        <v>13424.65</v>
      </c>
      <c r="T4905" s="270">
        <v>14407.28</v>
      </c>
      <c r="U4905" s="271" t="s">
        <v>3945</v>
      </c>
      <c r="V4905" s="267" t="s">
        <v>944</v>
      </c>
    </row>
    <row r="4906" spans="1:22" hidden="1" x14ac:dyDescent="0.25">
      <c r="A4906" s="266">
        <v>43705</v>
      </c>
      <c r="B4906" s="267">
        <v>2019</v>
      </c>
      <c r="C4906" s="267">
        <v>2020</v>
      </c>
      <c r="D4906" s="267">
        <v>1</v>
      </c>
      <c r="E4906" s="267">
        <v>1</v>
      </c>
      <c r="F4906" s="267" t="s">
        <v>944</v>
      </c>
      <c r="G4906" s="267" t="s">
        <v>3926</v>
      </c>
      <c r="H4906" s="267" t="s">
        <v>9542</v>
      </c>
      <c r="I4906" s="267" t="s">
        <v>3975</v>
      </c>
      <c r="J4906" s="267" t="s">
        <v>3928</v>
      </c>
      <c r="K4906" s="267">
        <v>6479</v>
      </c>
      <c r="L4906" s="267">
        <v>430500</v>
      </c>
      <c r="M4906" s="267" t="s">
        <v>3943</v>
      </c>
      <c r="N4906" s="267" t="s">
        <v>3944</v>
      </c>
      <c r="O4906" s="267">
        <v>2873.68</v>
      </c>
      <c r="P4906" s="267" t="s">
        <v>3944</v>
      </c>
      <c r="Q4906" s="267" t="s">
        <v>3944</v>
      </c>
      <c r="R4906" s="267">
        <v>2873.68</v>
      </c>
      <c r="S4906" s="267">
        <v>40079.56</v>
      </c>
      <c r="T4906" s="267">
        <v>42953.24</v>
      </c>
      <c r="U4906" s="268" t="s">
        <v>3945</v>
      </c>
      <c r="V4906" s="267" t="s">
        <v>944</v>
      </c>
    </row>
    <row r="4907" spans="1:22" hidden="1" x14ac:dyDescent="0.25">
      <c r="A4907" s="269">
        <v>43705</v>
      </c>
      <c r="B4907" s="270">
        <v>2019</v>
      </c>
      <c r="C4907" s="270">
        <v>2020</v>
      </c>
      <c r="D4907" s="270">
        <v>1</v>
      </c>
      <c r="E4907" s="270">
        <v>1</v>
      </c>
      <c r="F4907" s="270" t="s">
        <v>944</v>
      </c>
      <c r="G4907" s="270" t="s">
        <v>3926</v>
      </c>
      <c r="H4907" s="270" t="s">
        <v>9543</v>
      </c>
      <c r="I4907" s="270" t="s">
        <v>4731</v>
      </c>
      <c r="J4907" s="270" t="s">
        <v>3928</v>
      </c>
      <c r="K4907" s="270">
        <v>6478</v>
      </c>
      <c r="L4907" s="270">
        <v>346101</v>
      </c>
      <c r="M4907" s="270" t="s">
        <v>3943</v>
      </c>
      <c r="N4907" s="270" t="s">
        <v>3944</v>
      </c>
      <c r="O4907" s="270">
        <v>2661.51</v>
      </c>
      <c r="P4907" s="270" t="s">
        <v>3944</v>
      </c>
      <c r="Q4907" s="270" t="s">
        <v>3944</v>
      </c>
      <c r="R4907" s="270">
        <v>2661.51</v>
      </c>
      <c r="S4907" s="270">
        <v>39592.79</v>
      </c>
      <c r="T4907" s="270">
        <v>42254.3</v>
      </c>
      <c r="U4907" s="271" t="s">
        <v>3945</v>
      </c>
      <c r="V4907" s="267" t="s">
        <v>944</v>
      </c>
    </row>
    <row r="4908" spans="1:22" hidden="1" x14ac:dyDescent="0.25">
      <c r="A4908" s="266">
        <v>43705</v>
      </c>
      <c r="B4908" s="267">
        <v>2019</v>
      </c>
      <c r="C4908" s="267">
        <v>2020</v>
      </c>
      <c r="D4908" s="267">
        <v>1</v>
      </c>
      <c r="E4908" s="267">
        <v>1</v>
      </c>
      <c r="F4908" s="267" t="s">
        <v>944</v>
      </c>
      <c r="G4908" s="267" t="s">
        <v>3926</v>
      </c>
      <c r="H4908" s="267" t="s">
        <v>9544</v>
      </c>
      <c r="I4908" s="267" t="s">
        <v>4085</v>
      </c>
      <c r="J4908" s="267" t="s">
        <v>3928</v>
      </c>
      <c r="K4908" s="267">
        <v>6351</v>
      </c>
      <c r="L4908" s="267">
        <v>709100</v>
      </c>
      <c r="M4908" s="267" t="s">
        <v>3935</v>
      </c>
      <c r="N4908" s="267" t="s">
        <v>3944</v>
      </c>
      <c r="O4908" s="267">
        <v>2565.71</v>
      </c>
      <c r="P4908" s="267" t="s">
        <v>3944</v>
      </c>
      <c r="Q4908" s="267" t="s">
        <v>3944</v>
      </c>
      <c r="R4908" s="267">
        <v>2565.71</v>
      </c>
      <c r="S4908" s="267">
        <v>31393.24</v>
      </c>
      <c r="T4908" s="267">
        <v>33958.949999999997</v>
      </c>
      <c r="U4908" s="268" t="s">
        <v>3945</v>
      </c>
      <c r="V4908" s="267" t="s">
        <v>944</v>
      </c>
    </row>
    <row r="4909" spans="1:22" hidden="1" x14ac:dyDescent="0.25">
      <c r="A4909" s="269">
        <v>43705</v>
      </c>
      <c r="B4909" s="270">
        <v>2019</v>
      </c>
      <c r="C4909" s="270">
        <v>2020</v>
      </c>
      <c r="D4909" s="270">
        <v>1</v>
      </c>
      <c r="E4909" s="270">
        <v>1</v>
      </c>
      <c r="F4909" s="270" t="s">
        <v>944</v>
      </c>
      <c r="G4909" s="270" t="s">
        <v>3926</v>
      </c>
      <c r="H4909" s="270" t="s">
        <v>9545</v>
      </c>
      <c r="I4909" s="270" t="s">
        <v>4392</v>
      </c>
      <c r="J4909" s="270" t="s">
        <v>3928</v>
      </c>
      <c r="K4909" s="270">
        <v>6457</v>
      </c>
      <c r="L4909" s="270">
        <v>680200</v>
      </c>
      <c r="M4909" s="270" t="s">
        <v>3935</v>
      </c>
      <c r="N4909" s="270" t="s">
        <v>3944</v>
      </c>
      <c r="O4909" s="270">
        <v>1576.82</v>
      </c>
      <c r="P4909" s="270" t="s">
        <v>3944</v>
      </c>
      <c r="Q4909" s="270" t="s">
        <v>3944</v>
      </c>
      <c r="R4909" s="270">
        <v>1576.82</v>
      </c>
      <c r="S4909" s="270">
        <v>29340.18</v>
      </c>
      <c r="T4909" s="270">
        <v>30917</v>
      </c>
      <c r="U4909" s="271" t="s">
        <v>3945</v>
      </c>
      <c r="V4909" s="267" t="s">
        <v>944</v>
      </c>
    </row>
    <row r="4910" spans="1:22" hidden="1" x14ac:dyDescent="0.25">
      <c r="A4910" s="266">
        <v>43706</v>
      </c>
      <c r="B4910" s="267">
        <v>2019</v>
      </c>
      <c r="C4910" s="267">
        <v>2020</v>
      </c>
      <c r="D4910" s="267">
        <v>1</v>
      </c>
      <c r="E4910" s="267">
        <v>1</v>
      </c>
      <c r="F4910" s="267" t="s">
        <v>944</v>
      </c>
      <c r="G4910" s="267" t="s">
        <v>3926</v>
      </c>
      <c r="H4910" s="267" t="s">
        <v>9546</v>
      </c>
      <c r="I4910" s="267" t="s">
        <v>5147</v>
      </c>
      <c r="J4910" s="267" t="s">
        <v>3928</v>
      </c>
      <c r="K4910" s="267">
        <v>6468</v>
      </c>
      <c r="L4910" s="267">
        <v>100100</v>
      </c>
      <c r="M4910" s="267" t="s">
        <v>3943</v>
      </c>
      <c r="N4910" s="267" t="s">
        <v>9547</v>
      </c>
      <c r="O4910" s="267">
        <v>0</v>
      </c>
      <c r="P4910" s="267" t="s">
        <v>3930</v>
      </c>
      <c r="Q4910" s="267" t="s">
        <v>3930</v>
      </c>
      <c r="R4910" s="267">
        <v>0</v>
      </c>
      <c r="S4910" s="267">
        <v>12735</v>
      </c>
      <c r="T4910" s="267">
        <v>12735</v>
      </c>
      <c r="U4910" s="268" t="s">
        <v>3937</v>
      </c>
      <c r="V4910" s="267" t="s">
        <v>944</v>
      </c>
    </row>
    <row r="4911" spans="1:22" hidden="1" x14ac:dyDescent="0.25">
      <c r="A4911" s="269">
        <v>43706</v>
      </c>
      <c r="B4911" s="270">
        <v>2019</v>
      </c>
      <c r="C4911" s="270">
        <v>2020</v>
      </c>
      <c r="D4911" s="270">
        <v>1</v>
      </c>
      <c r="E4911" s="270">
        <v>1</v>
      </c>
      <c r="F4911" s="270" t="s">
        <v>944</v>
      </c>
      <c r="G4911" s="270" t="s">
        <v>3926</v>
      </c>
      <c r="H4911" s="270" t="s">
        <v>9548</v>
      </c>
      <c r="I4911" s="270" t="s">
        <v>4225</v>
      </c>
      <c r="J4911" s="270" t="s">
        <v>3928</v>
      </c>
      <c r="K4911" s="270">
        <v>6896</v>
      </c>
      <c r="L4911" s="270">
        <v>240100</v>
      </c>
      <c r="M4911" s="270" t="s">
        <v>3943</v>
      </c>
      <c r="N4911" s="270" t="s">
        <v>9549</v>
      </c>
      <c r="O4911" s="270">
        <v>3759</v>
      </c>
      <c r="P4911" s="270" t="s">
        <v>3930</v>
      </c>
      <c r="Q4911" s="270" t="s">
        <v>3930</v>
      </c>
      <c r="R4911" s="270">
        <v>3759</v>
      </c>
      <c r="S4911" s="270">
        <v>8901.73</v>
      </c>
      <c r="T4911" s="270">
        <v>12660.73</v>
      </c>
      <c r="U4911" s="271" t="s">
        <v>3937</v>
      </c>
      <c r="V4911" s="267" t="s">
        <v>944</v>
      </c>
    </row>
    <row r="4912" spans="1:22" hidden="1" x14ac:dyDescent="0.25">
      <c r="A4912" s="266">
        <v>43706</v>
      </c>
      <c r="B4912" s="267">
        <v>2019</v>
      </c>
      <c r="C4912" s="267">
        <v>2020</v>
      </c>
      <c r="D4912" s="267">
        <v>1</v>
      </c>
      <c r="E4912" s="267">
        <v>1</v>
      </c>
      <c r="F4912" s="267" t="s">
        <v>944</v>
      </c>
      <c r="G4912" s="267" t="s">
        <v>3926</v>
      </c>
      <c r="H4912" s="267" t="s">
        <v>9550</v>
      </c>
      <c r="I4912" s="267" t="s">
        <v>4114</v>
      </c>
      <c r="J4912" s="267" t="s">
        <v>3928</v>
      </c>
      <c r="K4912" s="267">
        <v>6410</v>
      </c>
      <c r="L4912" s="267">
        <v>343200</v>
      </c>
      <c r="M4912" s="267" t="s">
        <v>3943</v>
      </c>
      <c r="N4912" s="267" t="s">
        <v>9551</v>
      </c>
      <c r="O4912" s="267">
        <v>0</v>
      </c>
      <c r="P4912" s="267" t="s">
        <v>3930</v>
      </c>
      <c r="Q4912" s="267" t="s">
        <v>3930</v>
      </c>
      <c r="R4912" s="267">
        <v>0</v>
      </c>
      <c r="S4912" s="267">
        <v>15595</v>
      </c>
      <c r="T4912" s="267">
        <v>15595</v>
      </c>
      <c r="U4912" s="268" t="s">
        <v>3937</v>
      </c>
      <c r="V4912" s="267" t="s">
        <v>944</v>
      </c>
    </row>
    <row r="4913" spans="1:22" hidden="1" x14ac:dyDescent="0.25">
      <c r="A4913" s="269">
        <v>43706</v>
      </c>
      <c r="B4913" s="270">
        <v>2019</v>
      </c>
      <c r="C4913" s="270">
        <v>2020</v>
      </c>
      <c r="D4913" s="270">
        <v>1</v>
      </c>
      <c r="E4913" s="270">
        <v>1</v>
      </c>
      <c r="F4913" s="270" t="s">
        <v>944</v>
      </c>
      <c r="G4913" s="270" t="s">
        <v>3926</v>
      </c>
      <c r="H4913" s="270" t="s">
        <v>9552</v>
      </c>
      <c r="I4913" s="270" t="s">
        <v>4213</v>
      </c>
      <c r="J4913" s="270" t="s">
        <v>3928</v>
      </c>
      <c r="K4913" s="270">
        <v>6053</v>
      </c>
      <c r="L4913" s="270">
        <v>416500</v>
      </c>
      <c r="M4913" s="270" t="s">
        <v>3940</v>
      </c>
      <c r="N4913" s="270" t="s">
        <v>4103</v>
      </c>
      <c r="O4913" s="270">
        <v>4474.9799999999996</v>
      </c>
      <c r="P4913" s="270" t="s">
        <v>3930</v>
      </c>
      <c r="Q4913" s="270" t="s">
        <v>3931</v>
      </c>
      <c r="R4913" s="270">
        <v>9474.98</v>
      </c>
      <c r="S4913" s="270">
        <v>24145.599999999999</v>
      </c>
      <c r="T4913" s="270">
        <v>33620.58</v>
      </c>
      <c r="U4913" s="271" t="s">
        <v>3932</v>
      </c>
      <c r="V4913" s="267" t="s">
        <v>944</v>
      </c>
    </row>
    <row r="4914" spans="1:22" hidden="1" x14ac:dyDescent="0.25">
      <c r="A4914" s="266">
        <v>43706</v>
      </c>
      <c r="B4914" s="267">
        <v>2019</v>
      </c>
      <c r="C4914" s="267">
        <v>2020</v>
      </c>
      <c r="D4914" s="267">
        <v>1</v>
      </c>
      <c r="E4914" s="267">
        <v>1</v>
      </c>
      <c r="F4914" s="267" t="s">
        <v>944</v>
      </c>
      <c r="G4914" s="267" t="s">
        <v>3926</v>
      </c>
      <c r="H4914" s="267" t="s">
        <v>9553</v>
      </c>
      <c r="I4914" s="267" t="s">
        <v>4330</v>
      </c>
      <c r="J4914" s="267" t="s">
        <v>3928</v>
      </c>
      <c r="K4914" s="267">
        <v>6413</v>
      </c>
      <c r="L4914" s="267">
        <v>610300</v>
      </c>
      <c r="M4914" s="267" t="s">
        <v>3960</v>
      </c>
      <c r="N4914" s="267" t="s">
        <v>3944</v>
      </c>
      <c r="O4914" s="267">
        <v>2697</v>
      </c>
      <c r="P4914" s="267" t="s">
        <v>3944</v>
      </c>
      <c r="Q4914" s="267" t="s">
        <v>3944</v>
      </c>
      <c r="R4914" s="267">
        <v>2697</v>
      </c>
      <c r="S4914" s="267">
        <v>31863</v>
      </c>
      <c r="T4914" s="267">
        <v>34560</v>
      </c>
      <c r="U4914" s="268" t="s">
        <v>3945</v>
      </c>
      <c r="V4914" s="267" t="s">
        <v>944</v>
      </c>
    </row>
    <row r="4915" spans="1:22" hidden="1" x14ac:dyDescent="0.25">
      <c r="A4915" s="269">
        <v>43706</v>
      </c>
      <c r="B4915" s="270">
        <v>2019</v>
      </c>
      <c r="C4915" s="270">
        <v>2020</v>
      </c>
      <c r="D4915" s="270">
        <v>1</v>
      </c>
      <c r="E4915" s="270">
        <v>1</v>
      </c>
      <c r="F4915" s="270" t="s">
        <v>944</v>
      </c>
      <c r="G4915" s="270" t="s">
        <v>3926</v>
      </c>
      <c r="H4915" s="270" t="s">
        <v>9554</v>
      </c>
      <c r="I4915" s="270" t="s">
        <v>953</v>
      </c>
      <c r="J4915" s="270" t="s">
        <v>3928</v>
      </c>
      <c r="K4915" s="270">
        <v>6518</v>
      </c>
      <c r="L4915" s="270">
        <v>165900</v>
      </c>
      <c r="M4915" s="270" t="s">
        <v>3943</v>
      </c>
      <c r="N4915" s="270" t="s">
        <v>3944</v>
      </c>
      <c r="O4915" s="270">
        <v>4411</v>
      </c>
      <c r="P4915" s="270" t="s">
        <v>3944</v>
      </c>
      <c r="Q4915" s="270" t="s">
        <v>3944</v>
      </c>
      <c r="R4915" s="270">
        <v>4411</v>
      </c>
      <c r="S4915" s="270">
        <v>26789</v>
      </c>
      <c r="T4915" s="270">
        <v>31200</v>
      </c>
      <c r="U4915" s="271" t="s">
        <v>3945</v>
      </c>
      <c r="V4915" s="267" t="s">
        <v>944</v>
      </c>
    </row>
    <row r="4916" spans="1:22" hidden="1" x14ac:dyDescent="0.25">
      <c r="A4916" s="266">
        <v>43706</v>
      </c>
      <c r="B4916" s="267">
        <v>2019</v>
      </c>
      <c r="C4916" s="267">
        <v>2020</v>
      </c>
      <c r="D4916" s="267">
        <v>1</v>
      </c>
      <c r="E4916" s="267">
        <v>1</v>
      </c>
      <c r="F4916" s="267" t="s">
        <v>944</v>
      </c>
      <c r="G4916" s="267" t="s">
        <v>3926</v>
      </c>
      <c r="H4916" s="267" t="s">
        <v>9555</v>
      </c>
      <c r="I4916" s="267" t="s">
        <v>4269</v>
      </c>
      <c r="J4916" s="267" t="s">
        <v>3928</v>
      </c>
      <c r="K4916" s="267">
        <v>6117</v>
      </c>
      <c r="L4916" s="267">
        <v>497500</v>
      </c>
      <c r="M4916" s="267" t="s">
        <v>3960</v>
      </c>
      <c r="N4916" s="267" t="s">
        <v>3944</v>
      </c>
      <c r="O4916" s="267">
        <v>4293</v>
      </c>
      <c r="P4916" s="267" t="s">
        <v>3944</v>
      </c>
      <c r="Q4916" s="267" t="s">
        <v>3944</v>
      </c>
      <c r="R4916" s="267">
        <v>4293</v>
      </c>
      <c r="S4916" s="267">
        <v>32179.49</v>
      </c>
      <c r="T4916" s="267">
        <v>36472.49</v>
      </c>
      <c r="U4916" s="268" t="s">
        <v>3945</v>
      </c>
      <c r="V4916" s="267" t="s">
        <v>944</v>
      </c>
    </row>
    <row r="4917" spans="1:22" hidden="1" x14ac:dyDescent="0.25">
      <c r="A4917" s="269">
        <v>43706</v>
      </c>
      <c r="B4917" s="270">
        <v>2019</v>
      </c>
      <c r="C4917" s="270">
        <v>2020</v>
      </c>
      <c r="D4917" s="270">
        <v>1</v>
      </c>
      <c r="E4917" s="270">
        <v>1</v>
      </c>
      <c r="F4917" s="270" t="s">
        <v>944</v>
      </c>
      <c r="G4917" s="270" t="s">
        <v>3926</v>
      </c>
      <c r="H4917" s="270" t="s">
        <v>9556</v>
      </c>
      <c r="I4917" s="270" t="s">
        <v>3954</v>
      </c>
      <c r="J4917" s="270" t="s">
        <v>3928</v>
      </c>
      <c r="K4917" s="270">
        <v>6357</v>
      </c>
      <c r="L4917" s="270">
        <v>870704</v>
      </c>
      <c r="M4917" s="270" t="s">
        <v>3935</v>
      </c>
      <c r="N4917" s="270" t="s">
        <v>3944</v>
      </c>
      <c r="O4917" s="270">
        <v>1794</v>
      </c>
      <c r="P4917" s="270" t="s">
        <v>3944</v>
      </c>
      <c r="Q4917" s="270" t="s">
        <v>3944</v>
      </c>
      <c r="R4917" s="270">
        <v>1794</v>
      </c>
      <c r="S4917" s="270">
        <v>11199</v>
      </c>
      <c r="T4917" s="270">
        <v>12993</v>
      </c>
      <c r="U4917" s="271" t="s">
        <v>3945</v>
      </c>
      <c r="V4917" s="267" t="s">
        <v>944</v>
      </c>
    </row>
    <row r="4918" spans="1:22" hidden="1" x14ac:dyDescent="0.25">
      <c r="A4918" s="266">
        <v>43706</v>
      </c>
      <c r="B4918" s="267">
        <v>2019</v>
      </c>
      <c r="C4918" s="267">
        <v>2020</v>
      </c>
      <c r="D4918" s="267">
        <v>1</v>
      </c>
      <c r="E4918" s="267">
        <v>1</v>
      </c>
      <c r="F4918" s="267" t="s">
        <v>944</v>
      </c>
      <c r="G4918" s="267" t="s">
        <v>3926</v>
      </c>
      <c r="H4918" s="267" t="s">
        <v>9557</v>
      </c>
      <c r="I4918" s="267" t="s">
        <v>3968</v>
      </c>
      <c r="J4918" s="267" t="s">
        <v>3928</v>
      </c>
      <c r="K4918" s="267">
        <v>6040</v>
      </c>
      <c r="L4918" s="267">
        <v>514300</v>
      </c>
      <c r="M4918" s="267" t="s">
        <v>3935</v>
      </c>
      <c r="N4918" s="267" t="s">
        <v>3944</v>
      </c>
      <c r="O4918" s="267">
        <v>1800</v>
      </c>
      <c r="P4918" s="267" t="s">
        <v>3944</v>
      </c>
      <c r="Q4918" s="267" t="s">
        <v>3944</v>
      </c>
      <c r="R4918" s="267">
        <v>1800</v>
      </c>
      <c r="S4918" s="267">
        <v>13855</v>
      </c>
      <c r="T4918" s="267">
        <v>15655</v>
      </c>
      <c r="U4918" s="268" t="s">
        <v>3945</v>
      </c>
      <c r="V4918" s="267" t="s">
        <v>944</v>
      </c>
    </row>
    <row r="4919" spans="1:22" hidden="1" x14ac:dyDescent="0.25">
      <c r="A4919" s="269">
        <v>43706</v>
      </c>
      <c r="B4919" s="270">
        <v>2019</v>
      </c>
      <c r="C4919" s="270">
        <v>2020</v>
      </c>
      <c r="D4919" s="270">
        <v>1</v>
      </c>
      <c r="E4919" s="270">
        <v>1</v>
      </c>
      <c r="F4919" s="270" t="s">
        <v>944</v>
      </c>
      <c r="G4919" s="270" t="s">
        <v>3997</v>
      </c>
      <c r="H4919" s="270" t="s">
        <v>9558</v>
      </c>
      <c r="I4919" s="270" t="s">
        <v>4069</v>
      </c>
      <c r="J4919" s="270" t="s">
        <v>3928</v>
      </c>
      <c r="K4919" s="270">
        <v>6902</v>
      </c>
      <c r="L4919" s="270">
        <v>22100</v>
      </c>
      <c r="M4919" s="270" t="s">
        <v>3940</v>
      </c>
      <c r="N4919" s="270" t="s">
        <v>3944</v>
      </c>
      <c r="O4919" s="270">
        <v>1816.57</v>
      </c>
      <c r="P4919" s="270" t="s">
        <v>3944</v>
      </c>
      <c r="Q4919" s="270" t="s">
        <v>3944</v>
      </c>
      <c r="R4919" s="270">
        <v>1816.57</v>
      </c>
      <c r="S4919" s="270">
        <v>27351.17</v>
      </c>
      <c r="T4919" s="270">
        <v>29167.74</v>
      </c>
      <c r="U4919" s="271" t="s">
        <v>3945</v>
      </c>
      <c r="V4919" s="267" t="s">
        <v>944</v>
      </c>
    </row>
    <row r="4920" spans="1:22" x14ac:dyDescent="0.25">
      <c r="A4920" s="266">
        <v>43706</v>
      </c>
      <c r="B4920" s="267">
        <v>2019</v>
      </c>
      <c r="C4920" s="267">
        <v>2020</v>
      </c>
      <c r="D4920" s="267">
        <v>1</v>
      </c>
      <c r="E4920" s="267">
        <v>1</v>
      </c>
      <c r="F4920" s="267" t="s">
        <v>944</v>
      </c>
      <c r="G4920" s="267" t="s">
        <v>3997</v>
      </c>
      <c r="H4920" s="267" t="s">
        <v>9559</v>
      </c>
      <c r="I4920" s="267" t="s">
        <v>953</v>
      </c>
      <c r="J4920" s="267" t="s">
        <v>3928</v>
      </c>
      <c r="K4920" s="267">
        <v>6514</v>
      </c>
      <c r="L4920" s="267">
        <v>165500</v>
      </c>
      <c r="M4920" s="267">
        <v>-60</v>
      </c>
      <c r="N4920" s="267" t="s">
        <v>3944</v>
      </c>
      <c r="O4920" s="267">
        <v>1138.4100000000001</v>
      </c>
      <c r="P4920" s="267" t="s">
        <v>3944</v>
      </c>
      <c r="Q4920" s="267" t="s">
        <v>3944</v>
      </c>
      <c r="R4920" s="267">
        <v>1138.4100000000001</v>
      </c>
      <c r="S4920" s="267">
        <v>16570.59</v>
      </c>
      <c r="T4920" s="267">
        <v>17709</v>
      </c>
      <c r="U4920" s="268" t="s">
        <v>3945</v>
      </c>
      <c r="V4920" s="276" t="s">
        <v>936</v>
      </c>
    </row>
    <row r="4921" spans="1:22" hidden="1" x14ac:dyDescent="0.25">
      <c r="A4921" s="269">
        <v>43706</v>
      </c>
      <c r="B4921" s="270">
        <v>2019</v>
      </c>
      <c r="C4921" s="270">
        <v>2020</v>
      </c>
      <c r="D4921" s="270">
        <v>1</v>
      </c>
      <c r="E4921" s="270">
        <v>1</v>
      </c>
      <c r="F4921" s="270" t="s">
        <v>944</v>
      </c>
      <c r="G4921" s="270" t="s">
        <v>3926</v>
      </c>
      <c r="H4921" s="270" t="s">
        <v>9560</v>
      </c>
      <c r="I4921" s="270" t="s">
        <v>4069</v>
      </c>
      <c r="J4921" s="270" t="s">
        <v>3928</v>
      </c>
      <c r="K4921" s="270">
        <v>6903</v>
      </c>
      <c r="L4921" s="270">
        <v>20300</v>
      </c>
      <c r="M4921" s="270" t="s">
        <v>3943</v>
      </c>
      <c r="N4921" s="270" t="s">
        <v>3944</v>
      </c>
      <c r="O4921" s="270">
        <v>5134</v>
      </c>
      <c r="P4921" s="270" t="s">
        <v>3944</v>
      </c>
      <c r="Q4921" s="270" t="s">
        <v>3944</v>
      </c>
      <c r="R4921" s="270">
        <v>5134</v>
      </c>
      <c r="S4921" s="270">
        <v>69971</v>
      </c>
      <c r="T4921" s="270">
        <v>75105</v>
      </c>
      <c r="U4921" s="271" t="s">
        <v>3945</v>
      </c>
      <c r="V4921" s="267" t="s">
        <v>944</v>
      </c>
    </row>
    <row r="4922" spans="1:22" hidden="1" x14ac:dyDescent="0.25">
      <c r="A4922" s="266">
        <v>43706</v>
      </c>
      <c r="B4922" s="267">
        <v>2019</v>
      </c>
      <c r="C4922" s="267">
        <v>2020</v>
      </c>
      <c r="D4922" s="267">
        <v>1</v>
      </c>
      <c r="E4922" s="267">
        <v>1</v>
      </c>
      <c r="F4922" s="267" t="s">
        <v>944</v>
      </c>
      <c r="G4922" s="267" t="s">
        <v>3997</v>
      </c>
      <c r="H4922" s="267" t="s">
        <v>9561</v>
      </c>
      <c r="I4922" s="267" t="s">
        <v>4046</v>
      </c>
      <c r="J4922" s="267" t="s">
        <v>3928</v>
      </c>
      <c r="K4922" s="267">
        <v>6281</v>
      </c>
      <c r="L4922" s="267">
        <v>901100</v>
      </c>
      <c r="M4922" s="267" t="s">
        <v>3960</v>
      </c>
      <c r="N4922" s="267" t="s">
        <v>3944</v>
      </c>
      <c r="O4922" s="267">
        <v>1699.6</v>
      </c>
      <c r="P4922" s="267" t="s">
        <v>3944</v>
      </c>
      <c r="Q4922" s="267" t="s">
        <v>3944</v>
      </c>
      <c r="R4922" s="267">
        <v>1699.6</v>
      </c>
      <c r="S4922" s="267">
        <v>28509.86</v>
      </c>
      <c r="T4922" s="267">
        <v>30209.46</v>
      </c>
      <c r="U4922" s="268" t="s">
        <v>3945</v>
      </c>
      <c r="V4922" s="267" t="s">
        <v>944</v>
      </c>
    </row>
    <row r="4923" spans="1:22" hidden="1" x14ac:dyDescent="0.25">
      <c r="A4923" s="269">
        <v>43706</v>
      </c>
      <c r="B4923" s="270">
        <v>2019</v>
      </c>
      <c r="C4923" s="270">
        <v>2020</v>
      </c>
      <c r="D4923" s="270">
        <v>1</v>
      </c>
      <c r="E4923" s="270">
        <v>1</v>
      </c>
      <c r="F4923" s="270" t="s">
        <v>944</v>
      </c>
      <c r="G4923" s="270" t="s">
        <v>3926</v>
      </c>
      <c r="H4923" s="270" t="s">
        <v>9562</v>
      </c>
      <c r="I4923" s="270" t="s">
        <v>2985</v>
      </c>
      <c r="J4923" s="270" t="s">
        <v>3928</v>
      </c>
      <c r="K4923" s="270">
        <v>6825</v>
      </c>
      <c r="L4923" s="270">
        <v>61100</v>
      </c>
      <c r="M4923" s="270" t="s">
        <v>3943</v>
      </c>
      <c r="N4923" s="270" t="s">
        <v>3944</v>
      </c>
      <c r="O4923" s="270">
        <v>1043.21</v>
      </c>
      <c r="P4923" s="270" t="s">
        <v>3944</v>
      </c>
      <c r="Q4923" s="270" t="s">
        <v>3944</v>
      </c>
      <c r="R4923" s="270">
        <v>1043.21</v>
      </c>
      <c r="S4923" s="270">
        <v>14830.39</v>
      </c>
      <c r="T4923" s="270">
        <v>15873.6</v>
      </c>
      <c r="U4923" s="271" t="s">
        <v>3945</v>
      </c>
      <c r="V4923" s="267" t="s">
        <v>944</v>
      </c>
    </row>
    <row r="4924" spans="1:22" x14ac:dyDescent="0.25">
      <c r="A4924" s="266">
        <v>43706</v>
      </c>
      <c r="B4924" s="267">
        <v>2019</v>
      </c>
      <c r="C4924" s="267">
        <v>2020</v>
      </c>
      <c r="D4924" s="267">
        <v>1</v>
      </c>
      <c r="E4924" s="267">
        <v>1</v>
      </c>
      <c r="F4924" s="267" t="s">
        <v>944</v>
      </c>
      <c r="G4924" s="267" t="s">
        <v>3926</v>
      </c>
      <c r="H4924" s="267" t="s">
        <v>9563</v>
      </c>
      <c r="I4924" s="267" t="s">
        <v>934</v>
      </c>
      <c r="J4924" s="267" t="s">
        <v>3928</v>
      </c>
      <c r="K4924" s="267">
        <v>6610</v>
      </c>
      <c r="L4924" s="267">
        <v>73400</v>
      </c>
      <c r="M4924" s="267" t="s">
        <v>3940</v>
      </c>
      <c r="N4924" s="267" t="s">
        <v>3944</v>
      </c>
      <c r="O4924" s="267">
        <v>1044.8599999999999</v>
      </c>
      <c r="P4924" s="267" t="s">
        <v>3944</v>
      </c>
      <c r="Q4924" s="267" t="s">
        <v>3944</v>
      </c>
      <c r="R4924" s="267">
        <v>1044.8599999999999</v>
      </c>
      <c r="S4924" s="267">
        <v>14828.74</v>
      </c>
      <c r="T4924" s="267">
        <v>15873.6</v>
      </c>
      <c r="U4924" s="268" t="s">
        <v>3945</v>
      </c>
      <c r="V4924" s="276" t="s">
        <v>936</v>
      </c>
    </row>
    <row r="4925" spans="1:22" hidden="1" x14ac:dyDescent="0.25">
      <c r="A4925" s="269">
        <v>43706</v>
      </c>
      <c r="B4925" s="270">
        <v>2019</v>
      </c>
      <c r="C4925" s="270">
        <v>2020</v>
      </c>
      <c r="D4925" s="270">
        <v>1</v>
      </c>
      <c r="E4925" s="270">
        <v>1</v>
      </c>
      <c r="F4925" s="270" t="s">
        <v>944</v>
      </c>
      <c r="G4925" s="270" t="s">
        <v>3926</v>
      </c>
      <c r="H4925" s="270" t="s">
        <v>9564</v>
      </c>
      <c r="I4925" s="270" t="s">
        <v>2987</v>
      </c>
      <c r="J4925" s="270" t="s">
        <v>3928</v>
      </c>
      <c r="K4925" s="270">
        <v>6611</v>
      </c>
      <c r="L4925" s="270">
        <v>90500</v>
      </c>
      <c r="M4925" s="270" t="s">
        <v>3943</v>
      </c>
      <c r="N4925" s="270" t="s">
        <v>3944</v>
      </c>
      <c r="O4925" s="270">
        <v>2638.69</v>
      </c>
      <c r="P4925" s="270" t="s">
        <v>3944</v>
      </c>
      <c r="Q4925" s="270" t="s">
        <v>3944</v>
      </c>
      <c r="R4925" s="270">
        <v>2638.69</v>
      </c>
      <c r="S4925" s="270">
        <v>32283.23</v>
      </c>
      <c r="T4925" s="270">
        <v>34921.919999999998</v>
      </c>
      <c r="U4925" s="271" t="s">
        <v>3945</v>
      </c>
      <c r="V4925" s="267" t="s">
        <v>944</v>
      </c>
    </row>
    <row r="4926" spans="1:22" hidden="1" x14ac:dyDescent="0.25">
      <c r="A4926" s="266">
        <v>43706</v>
      </c>
      <c r="B4926" s="267">
        <v>2019</v>
      </c>
      <c r="C4926" s="267">
        <v>2020</v>
      </c>
      <c r="D4926" s="267">
        <v>1</v>
      </c>
      <c r="E4926" s="267">
        <v>1</v>
      </c>
      <c r="F4926" s="267" t="s">
        <v>944</v>
      </c>
      <c r="G4926" s="267" t="s">
        <v>3926</v>
      </c>
      <c r="H4926" s="267" t="s">
        <v>9565</v>
      </c>
      <c r="I4926" s="267" t="s">
        <v>3025</v>
      </c>
      <c r="J4926" s="267" t="s">
        <v>3928</v>
      </c>
      <c r="K4926" s="267">
        <v>6473</v>
      </c>
      <c r="L4926" s="267">
        <v>167300</v>
      </c>
      <c r="M4926" s="267" t="s">
        <v>3943</v>
      </c>
      <c r="N4926" s="267" t="s">
        <v>3944</v>
      </c>
      <c r="O4926" s="267">
        <v>1508.19</v>
      </c>
      <c r="P4926" s="267" t="s">
        <v>3944</v>
      </c>
      <c r="Q4926" s="267" t="s">
        <v>3944</v>
      </c>
      <c r="R4926" s="267">
        <v>1508.19</v>
      </c>
      <c r="S4926" s="267">
        <v>22831.33</v>
      </c>
      <c r="T4926" s="267">
        <v>24339.52</v>
      </c>
      <c r="U4926" s="268" t="s">
        <v>3945</v>
      </c>
      <c r="V4926" s="267" t="s">
        <v>944</v>
      </c>
    </row>
    <row r="4927" spans="1:22" hidden="1" x14ac:dyDescent="0.25">
      <c r="A4927" s="269">
        <v>43707</v>
      </c>
      <c r="B4927" s="270">
        <v>2019</v>
      </c>
      <c r="C4927" s="270">
        <v>2020</v>
      </c>
      <c r="D4927" s="270">
        <v>1</v>
      </c>
      <c r="E4927" s="270">
        <v>1</v>
      </c>
      <c r="F4927" s="270" t="s">
        <v>944</v>
      </c>
      <c r="G4927" s="270" t="s">
        <v>3926</v>
      </c>
      <c r="H4927" s="270" t="s">
        <v>9566</v>
      </c>
      <c r="I4927" s="270" t="s">
        <v>4016</v>
      </c>
      <c r="J4927" s="270" t="s">
        <v>3928</v>
      </c>
      <c r="K4927" s="270">
        <v>6770</v>
      </c>
      <c r="L4927" s="270">
        <v>345300</v>
      </c>
      <c r="M4927" s="270" t="s">
        <v>3940</v>
      </c>
      <c r="N4927" s="270" t="s">
        <v>4103</v>
      </c>
      <c r="O4927" s="270">
        <v>4433.3999999999996</v>
      </c>
      <c r="P4927" s="270" t="s">
        <v>3930</v>
      </c>
      <c r="Q4927" s="270" t="s">
        <v>3931</v>
      </c>
      <c r="R4927" s="270">
        <v>9433.4</v>
      </c>
      <c r="S4927" s="270">
        <v>24145.599999999999</v>
      </c>
      <c r="T4927" s="270">
        <v>33579</v>
      </c>
      <c r="U4927" s="271" t="s">
        <v>3932</v>
      </c>
      <c r="V4927" s="267" t="s">
        <v>944</v>
      </c>
    </row>
    <row r="4928" spans="1:22" hidden="1" x14ac:dyDescent="0.25">
      <c r="A4928" s="266">
        <v>43707</v>
      </c>
      <c r="B4928" s="267">
        <v>2019</v>
      </c>
      <c r="C4928" s="267">
        <v>2020</v>
      </c>
      <c r="D4928" s="267">
        <v>1</v>
      </c>
      <c r="E4928" s="267">
        <v>1</v>
      </c>
      <c r="F4928" s="267" t="s">
        <v>944</v>
      </c>
      <c r="G4928" s="267" t="s">
        <v>3926</v>
      </c>
      <c r="H4928" s="267" t="s">
        <v>9567</v>
      </c>
      <c r="I4928" s="267" t="s">
        <v>3956</v>
      </c>
      <c r="J4928" s="267" t="s">
        <v>3928</v>
      </c>
      <c r="K4928" s="267">
        <v>6112</v>
      </c>
      <c r="L4928" s="267">
        <v>504000</v>
      </c>
      <c r="M4928" s="267" t="s">
        <v>3940</v>
      </c>
      <c r="N4928" s="267" t="s">
        <v>4053</v>
      </c>
      <c r="O4928" s="267">
        <v>0</v>
      </c>
      <c r="P4928" s="267" t="s">
        <v>3930</v>
      </c>
      <c r="Q4928" s="267" t="s">
        <v>3931</v>
      </c>
      <c r="R4928" s="267">
        <v>5000</v>
      </c>
      <c r="S4928" s="267">
        <v>18603.2</v>
      </c>
      <c r="T4928" s="267">
        <v>23603.200000000001</v>
      </c>
      <c r="U4928" s="268" t="s">
        <v>3932</v>
      </c>
      <c r="V4928" s="267" t="s">
        <v>944</v>
      </c>
    </row>
    <row r="4929" spans="1:22" hidden="1" x14ac:dyDescent="0.25">
      <c r="A4929" s="269">
        <v>43707</v>
      </c>
      <c r="B4929" s="270">
        <v>2019</v>
      </c>
      <c r="C4929" s="270">
        <v>2020</v>
      </c>
      <c r="D4929" s="270">
        <v>1</v>
      </c>
      <c r="E4929" s="270">
        <v>1</v>
      </c>
      <c r="F4929" s="270" t="s">
        <v>944</v>
      </c>
      <c r="G4929" s="270" t="s">
        <v>3926</v>
      </c>
      <c r="H4929" s="270" t="s">
        <v>9568</v>
      </c>
      <c r="I4929" s="270" t="s">
        <v>4392</v>
      </c>
      <c r="J4929" s="270" t="s">
        <v>3928</v>
      </c>
      <c r="K4929" s="270">
        <v>6457</v>
      </c>
      <c r="L4929" s="270">
        <v>542200</v>
      </c>
      <c r="M4929" s="270" t="s">
        <v>3960</v>
      </c>
      <c r="N4929" s="270" t="s">
        <v>4701</v>
      </c>
      <c r="O4929" s="270">
        <v>2307.06</v>
      </c>
      <c r="P4929" s="270" t="s">
        <v>3930</v>
      </c>
      <c r="Q4929" s="270" t="s">
        <v>3931</v>
      </c>
      <c r="R4929" s="270">
        <v>7307.06</v>
      </c>
      <c r="S4929" s="270">
        <v>34648</v>
      </c>
      <c r="T4929" s="270">
        <v>41955.06</v>
      </c>
      <c r="U4929" s="271" t="s">
        <v>3932</v>
      </c>
      <c r="V4929" s="267" t="s">
        <v>944</v>
      </c>
    </row>
    <row r="4930" spans="1:22" hidden="1" x14ac:dyDescent="0.25">
      <c r="A4930" s="266">
        <v>43707</v>
      </c>
      <c r="B4930" s="267">
        <v>2019</v>
      </c>
      <c r="C4930" s="267">
        <v>2020</v>
      </c>
      <c r="D4930" s="267">
        <v>1</v>
      </c>
      <c r="E4930" s="267">
        <v>1</v>
      </c>
      <c r="F4930" s="267" t="s">
        <v>944</v>
      </c>
      <c r="G4930" s="267" t="s">
        <v>3926</v>
      </c>
      <c r="H4930" s="267" t="s">
        <v>9569</v>
      </c>
      <c r="I4930" s="267" t="s">
        <v>5032</v>
      </c>
      <c r="J4930" s="267" t="s">
        <v>3928</v>
      </c>
      <c r="K4930" s="267">
        <v>6062</v>
      </c>
      <c r="L4930" s="267">
        <v>420500</v>
      </c>
      <c r="M4930" s="267" t="s">
        <v>3940</v>
      </c>
      <c r="N4930" s="267" t="s">
        <v>3944</v>
      </c>
      <c r="O4930" s="267">
        <v>1668.31</v>
      </c>
      <c r="P4930" s="267" t="s">
        <v>3944</v>
      </c>
      <c r="Q4930" s="267" t="s">
        <v>3944</v>
      </c>
      <c r="R4930" s="267">
        <v>1668.31</v>
      </c>
      <c r="S4930" s="267">
        <v>19575.38</v>
      </c>
      <c r="T4930" s="267">
        <v>21243.69</v>
      </c>
      <c r="U4930" s="268" t="s">
        <v>3945</v>
      </c>
      <c r="V4930" s="267" t="s">
        <v>944</v>
      </c>
    </row>
    <row r="4931" spans="1:22" hidden="1" x14ac:dyDescent="0.25">
      <c r="A4931" s="269">
        <v>43711</v>
      </c>
      <c r="B4931" s="270">
        <v>2019</v>
      </c>
      <c r="C4931" s="270">
        <v>2020</v>
      </c>
      <c r="D4931" s="270">
        <v>1</v>
      </c>
      <c r="E4931" s="270">
        <v>1</v>
      </c>
      <c r="F4931" s="270" t="s">
        <v>944</v>
      </c>
      <c r="G4931" s="270" t="s">
        <v>3926</v>
      </c>
      <c r="H4931" s="270" t="s">
        <v>9570</v>
      </c>
      <c r="I4931" s="270" t="s">
        <v>4200</v>
      </c>
      <c r="J4931" s="270" t="s">
        <v>3928</v>
      </c>
      <c r="K4931" s="270">
        <v>6795</v>
      </c>
      <c r="L4931" s="270">
        <v>360200</v>
      </c>
      <c r="M4931" s="270" t="s">
        <v>3943</v>
      </c>
      <c r="N4931" s="270" t="s">
        <v>9571</v>
      </c>
      <c r="O4931" s="270">
        <v>0</v>
      </c>
      <c r="P4931" s="270" t="s">
        <v>3930</v>
      </c>
      <c r="Q4931" s="270" t="s">
        <v>3930</v>
      </c>
      <c r="R4931" s="270">
        <v>0</v>
      </c>
      <c r="S4931" s="270">
        <v>9850</v>
      </c>
      <c r="T4931" s="270">
        <v>9850</v>
      </c>
      <c r="U4931" s="271" t="s">
        <v>3937</v>
      </c>
      <c r="V4931" s="267" t="s">
        <v>944</v>
      </c>
    </row>
    <row r="4932" spans="1:22" hidden="1" x14ac:dyDescent="0.25">
      <c r="A4932" s="266">
        <v>43711</v>
      </c>
      <c r="B4932" s="267">
        <v>2019</v>
      </c>
      <c r="C4932" s="267">
        <v>2020</v>
      </c>
      <c r="D4932" s="267">
        <v>1</v>
      </c>
      <c r="E4932" s="267">
        <v>1</v>
      </c>
      <c r="F4932" s="267" t="s">
        <v>944</v>
      </c>
      <c r="G4932" s="267" t="s">
        <v>3926</v>
      </c>
      <c r="H4932" s="267" t="s">
        <v>9572</v>
      </c>
      <c r="I4932" s="267" t="s">
        <v>3008</v>
      </c>
      <c r="J4932" s="267" t="s">
        <v>3928</v>
      </c>
      <c r="K4932" s="267">
        <v>6460</v>
      </c>
      <c r="L4932" s="267">
        <v>150100</v>
      </c>
      <c r="M4932" s="267" t="s">
        <v>3960</v>
      </c>
      <c r="N4932" s="267" t="s">
        <v>9573</v>
      </c>
      <c r="O4932" s="267">
        <v>0</v>
      </c>
      <c r="P4932" s="267" t="s">
        <v>3930</v>
      </c>
      <c r="Q4932" s="267" t="s">
        <v>3930</v>
      </c>
      <c r="R4932" s="267">
        <v>0</v>
      </c>
      <c r="S4932" s="267">
        <v>6975.6</v>
      </c>
      <c r="T4932" s="267">
        <v>6975.6</v>
      </c>
      <c r="U4932" s="268" t="s">
        <v>3937</v>
      </c>
      <c r="V4932" s="267" t="s">
        <v>944</v>
      </c>
    </row>
    <row r="4933" spans="1:22" hidden="1" x14ac:dyDescent="0.25">
      <c r="A4933" s="269">
        <v>43711</v>
      </c>
      <c r="B4933" s="270">
        <v>2019</v>
      </c>
      <c r="C4933" s="270">
        <v>2020</v>
      </c>
      <c r="D4933" s="270">
        <v>1</v>
      </c>
      <c r="E4933" s="270">
        <v>1</v>
      </c>
      <c r="F4933" s="270" t="s">
        <v>944</v>
      </c>
      <c r="G4933" s="270" t="s">
        <v>3926</v>
      </c>
      <c r="H4933" s="270" t="s">
        <v>9574</v>
      </c>
      <c r="I4933" s="270" t="s">
        <v>3025</v>
      </c>
      <c r="J4933" s="270" t="s">
        <v>3928</v>
      </c>
      <c r="K4933" s="270">
        <v>6473</v>
      </c>
      <c r="L4933" s="270">
        <v>167202</v>
      </c>
      <c r="M4933" s="270" t="s">
        <v>3935</v>
      </c>
      <c r="N4933" s="270" t="s">
        <v>9575</v>
      </c>
      <c r="O4933" s="270">
        <v>0</v>
      </c>
      <c r="P4933" s="270" t="s">
        <v>3930</v>
      </c>
      <c r="Q4933" s="270" t="s">
        <v>3930</v>
      </c>
      <c r="R4933" s="270">
        <v>0</v>
      </c>
      <c r="S4933" s="270">
        <v>22105</v>
      </c>
      <c r="T4933" s="270">
        <v>22105</v>
      </c>
      <c r="U4933" s="271" t="s">
        <v>3937</v>
      </c>
      <c r="V4933" s="267" t="s">
        <v>944</v>
      </c>
    </row>
    <row r="4934" spans="1:22" hidden="1" x14ac:dyDescent="0.25">
      <c r="A4934" s="266">
        <v>43711</v>
      </c>
      <c r="B4934" s="267">
        <v>2019</v>
      </c>
      <c r="C4934" s="267">
        <v>2020</v>
      </c>
      <c r="D4934" s="267">
        <v>1</v>
      </c>
      <c r="E4934" s="267">
        <v>1</v>
      </c>
      <c r="F4934" s="267" t="s">
        <v>944</v>
      </c>
      <c r="G4934" s="267" t="s">
        <v>3926</v>
      </c>
      <c r="H4934" s="267" t="s">
        <v>9576</v>
      </c>
      <c r="I4934" s="267" t="s">
        <v>4225</v>
      </c>
      <c r="J4934" s="267" t="s">
        <v>3928</v>
      </c>
      <c r="K4934" s="267">
        <v>6896</v>
      </c>
      <c r="L4934" s="267">
        <v>240100</v>
      </c>
      <c r="M4934" s="267" t="s">
        <v>3943</v>
      </c>
      <c r="N4934" s="267" t="s">
        <v>5313</v>
      </c>
      <c r="O4934" s="267">
        <v>0</v>
      </c>
      <c r="P4934" s="267" t="s">
        <v>3930</v>
      </c>
      <c r="Q4934" s="267" t="s">
        <v>3930</v>
      </c>
      <c r="R4934" s="267">
        <v>0</v>
      </c>
      <c r="S4934" s="267">
        <v>117600</v>
      </c>
      <c r="T4934" s="267">
        <v>117600</v>
      </c>
      <c r="U4934" s="268" t="s">
        <v>3937</v>
      </c>
      <c r="V4934" s="267" t="s">
        <v>944</v>
      </c>
    </row>
    <row r="4935" spans="1:22" hidden="1" x14ac:dyDescent="0.25">
      <c r="A4935" s="269">
        <v>43711</v>
      </c>
      <c r="B4935" s="270">
        <v>2019</v>
      </c>
      <c r="C4935" s="270">
        <v>2020</v>
      </c>
      <c r="D4935" s="270">
        <v>1</v>
      </c>
      <c r="E4935" s="270">
        <v>1</v>
      </c>
      <c r="F4935" s="270" t="s">
        <v>944</v>
      </c>
      <c r="G4935" s="270" t="s">
        <v>3926</v>
      </c>
      <c r="H4935" s="270" t="s">
        <v>9577</v>
      </c>
      <c r="I4935" s="270" t="s">
        <v>4042</v>
      </c>
      <c r="J4935" s="270" t="s">
        <v>3928</v>
      </c>
      <c r="K4935" s="270">
        <v>6382</v>
      </c>
      <c r="L4935" s="270">
        <v>695201</v>
      </c>
      <c r="M4935" s="270" t="s">
        <v>3935</v>
      </c>
      <c r="N4935" s="270" t="s">
        <v>9578</v>
      </c>
      <c r="O4935" s="270">
        <v>0</v>
      </c>
      <c r="P4935" s="270" t="s">
        <v>3930</v>
      </c>
      <c r="Q4935" s="270" t="s">
        <v>3930</v>
      </c>
      <c r="R4935" s="270">
        <v>0</v>
      </c>
      <c r="S4935" s="270">
        <v>8784.2199999999993</v>
      </c>
      <c r="T4935" s="270">
        <v>8784.2199999999993</v>
      </c>
      <c r="U4935" s="271" t="s">
        <v>3937</v>
      </c>
      <c r="V4935" s="267" t="s">
        <v>944</v>
      </c>
    </row>
    <row r="4936" spans="1:22" hidden="1" x14ac:dyDescent="0.25">
      <c r="A4936" s="266">
        <v>43711</v>
      </c>
      <c r="B4936" s="267">
        <v>2019</v>
      </c>
      <c r="C4936" s="267">
        <v>2020</v>
      </c>
      <c r="D4936" s="267">
        <v>1</v>
      </c>
      <c r="E4936" s="267">
        <v>1</v>
      </c>
      <c r="F4936" s="267" t="s">
        <v>944</v>
      </c>
      <c r="G4936" s="267" t="s">
        <v>3926</v>
      </c>
      <c r="H4936" s="267" t="s">
        <v>9579</v>
      </c>
      <c r="I4936" s="267" t="s">
        <v>6362</v>
      </c>
      <c r="J4936" s="267" t="s">
        <v>3928</v>
      </c>
      <c r="K4936" s="267">
        <v>6026</v>
      </c>
      <c r="L4936" s="267">
        <v>470100</v>
      </c>
      <c r="M4936" s="267" t="s">
        <v>3943</v>
      </c>
      <c r="N4936" s="267" t="s">
        <v>9580</v>
      </c>
      <c r="O4936" s="267">
        <v>0</v>
      </c>
      <c r="P4936" s="267" t="s">
        <v>3930</v>
      </c>
      <c r="Q4936" s="267" t="s">
        <v>3930</v>
      </c>
      <c r="R4936" s="267">
        <v>0</v>
      </c>
      <c r="S4936" s="267">
        <v>5226</v>
      </c>
      <c r="T4936" s="267">
        <v>5226</v>
      </c>
      <c r="U4936" s="268" t="s">
        <v>3937</v>
      </c>
      <c r="V4936" s="267" t="s">
        <v>944</v>
      </c>
    </row>
    <row r="4937" spans="1:22" hidden="1" x14ac:dyDescent="0.25">
      <c r="A4937" s="269">
        <v>43711</v>
      </c>
      <c r="B4937" s="270">
        <v>2019</v>
      </c>
      <c r="C4937" s="270">
        <v>2020</v>
      </c>
      <c r="D4937" s="270">
        <v>1</v>
      </c>
      <c r="E4937" s="270">
        <v>1</v>
      </c>
      <c r="F4937" s="270" t="s">
        <v>944</v>
      </c>
      <c r="G4937" s="270" t="s">
        <v>3926</v>
      </c>
      <c r="H4937" s="270" t="s">
        <v>9581</v>
      </c>
      <c r="I4937" s="270" t="s">
        <v>950</v>
      </c>
      <c r="J4937" s="270" t="s">
        <v>3928</v>
      </c>
      <c r="K4937" s="270">
        <v>6516</v>
      </c>
      <c r="L4937" s="270">
        <v>361500</v>
      </c>
      <c r="M4937" s="270" t="s">
        <v>3940</v>
      </c>
      <c r="N4937" s="270" t="s">
        <v>8664</v>
      </c>
      <c r="O4937" s="270">
        <v>1715.98</v>
      </c>
      <c r="P4937" s="270" t="s">
        <v>3930</v>
      </c>
      <c r="Q4937" s="270" t="s">
        <v>3931</v>
      </c>
      <c r="R4937" s="270">
        <v>6715.98</v>
      </c>
      <c r="S4937" s="270">
        <v>30786.400000000001</v>
      </c>
      <c r="T4937" s="270">
        <v>37502.379999999997</v>
      </c>
      <c r="U4937" s="271" t="s">
        <v>3932</v>
      </c>
      <c r="V4937" s="267" t="s">
        <v>944</v>
      </c>
    </row>
    <row r="4938" spans="1:22" hidden="1" x14ac:dyDescent="0.25">
      <c r="A4938" s="266">
        <v>43711</v>
      </c>
      <c r="B4938" s="267">
        <v>2019</v>
      </c>
      <c r="C4938" s="267">
        <v>2020</v>
      </c>
      <c r="D4938" s="267">
        <v>1</v>
      </c>
      <c r="E4938" s="267">
        <v>1</v>
      </c>
      <c r="F4938" s="267" t="s">
        <v>944</v>
      </c>
      <c r="G4938" s="267" t="s">
        <v>3926</v>
      </c>
      <c r="H4938" s="267" t="s">
        <v>9582</v>
      </c>
      <c r="I4938" s="267" t="s">
        <v>6209</v>
      </c>
      <c r="J4938" s="267" t="s">
        <v>3928</v>
      </c>
      <c r="K4938" s="267">
        <v>6403</v>
      </c>
      <c r="L4938" s="267">
        <v>341100</v>
      </c>
      <c r="M4938" s="267" t="s">
        <v>3935</v>
      </c>
      <c r="N4938" s="267" t="s">
        <v>9583</v>
      </c>
      <c r="O4938" s="267">
        <v>2059.23</v>
      </c>
      <c r="P4938" s="267" t="s">
        <v>3930</v>
      </c>
      <c r="Q4938" s="267" t="s">
        <v>3931</v>
      </c>
      <c r="R4938" s="267">
        <v>7059.23</v>
      </c>
      <c r="S4938" s="267">
        <v>38771</v>
      </c>
      <c r="T4938" s="267">
        <v>45830.23</v>
      </c>
      <c r="U4938" s="268" t="s">
        <v>3932</v>
      </c>
      <c r="V4938" s="267" t="s">
        <v>944</v>
      </c>
    </row>
    <row r="4939" spans="1:22" x14ac:dyDescent="0.25">
      <c r="A4939" s="269">
        <v>43711</v>
      </c>
      <c r="B4939" s="270">
        <v>2019</v>
      </c>
      <c r="C4939" s="270">
        <v>2020</v>
      </c>
      <c r="D4939" s="270">
        <v>1</v>
      </c>
      <c r="E4939" s="270">
        <v>1</v>
      </c>
      <c r="F4939" s="270" t="s">
        <v>944</v>
      </c>
      <c r="G4939" s="270" t="s">
        <v>3926</v>
      </c>
      <c r="H4939" s="270" t="s">
        <v>9584</v>
      </c>
      <c r="I4939" s="270" t="s">
        <v>953</v>
      </c>
      <c r="J4939" s="270" t="s">
        <v>3928</v>
      </c>
      <c r="K4939" s="270">
        <v>6514</v>
      </c>
      <c r="L4939" s="270">
        <v>165500</v>
      </c>
      <c r="M4939" s="270">
        <v>-60</v>
      </c>
      <c r="N4939" s="270" t="s">
        <v>3983</v>
      </c>
      <c r="O4939" s="270">
        <v>3087.27</v>
      </c>
      <c r="P4939" s="270" t="s">
        <v>3930</v>
      </c>
      <c r="Q4939" s="270" t="s">
        <v>3931</v>
      </c>
      <c r="R4939" s="270">
        <v>8087.27</v>
      </c>
      <c r="S4939" s="270">
        <v>16504</v>
      </c>
      <c r="T4939" s="270">
        <v>24591.27</v>
      </c>
      <c r="U4939" s="271" t="s">
        <v>3932</v>
      </c>
      <c r="V4939" s="276" t="s">
        <v>936</v>
      </c>
    </row>
    <row r="4940" spans="1:22" hidden="1" x14ac:dyDescent="0.25">
      <c r="A4940" s="266">
        <v>43711</v>
      </c>
      <c r="B4940" s="267">
        <v>2019</v>
      </c>
      <c r="C4940" s="267">
        <v>2020</v>
      </c>
      <c r="D4940" s="267">
        <v>1</v>
      </c>
      <c r="E4940" s="267">
        <v>1</v>
      </c>
      <c r="F4940" s="267" t="s">
        <v>944</v>
      </c>
      <c r="G4940" s="267" t="s">
        <v>3997</v>
      </c>
      <c r="H4940" s="267" t="s">
        <v>9585</v>
      </c>
      <c r="I4940" s="267" t="s">
        <v>4019</v>
      </c>
      <c r="J4940" s="267" t="s">
        <v>3928</v>
      </c>
      <c r="K4940" s="267">
        <v>6704</v>
      </c>
      <c r="L4940" s="267">
        <v>352400</v>
      </c>
      <c r="M4940" s="267">
        <v>-60</v>
      </c>
      <c r="N4940" s="267" t="s">
        <v>3944</v>
      </c>
      <c r="O4940" s="267">
        <v>4185</v>
      </c>
      <c r="P4940" s="267" t="s">
        <v>3944</v>
      </c>
      <c r="Q4940" s="267" t="s">
        <v>3944</v>
      </c>
      <c r="R4940" s="267">
        <v>4185</v>
      </c>
      <c r="S4940" s="267">
        <v>37395.01</v>
      </c>
      <c r="T4940" s="267">
        <v>41580.01</v>
      </c>
      <c r="U4940" s="268" t="s">
        <v>3945</v>
      </c>
      <c r="V4940" s="267" t="s">
        <v>944</v>
      </c>
    </row>
    <row r="4941" spans="1:22" hidden="1" x14ac:dyDescent="0.25">
      <c r="A4941" s="269">
        <v>43711</v>
      </c>
      <c r="B4941" s="270">
        <v>2019</v>
      </c>
      <c r="C4941" s="270">
        <v>2020</v>
      </c>
      <c r="D4941" s="270">
        <v>1</v>
      </c>
      <c r="E4941" s="270">
        <v>1</v>
      </c>
      <c r="F4941" s="270" t="s">
        <v>944</v>
      </c>
      <c r="G4941" s="270" t="s">
        <v>3926</v>
      </c>
      <c r="H4941" s="270" t="s">
        <v>9586</v>
      </c>
      <c r="I4941" s="270" t="s">
        <v>4119</v>
      </c>
      <c r="J4941" s="270" t="s">
        <v>3928</v>
      </c>
      <c r="K4941" s="270">
        <v>6078</v>
      </c>
      <c r="L4941" s="270">
        <v>477102</v>
      </c>
      <c r="M4941" s="270" t="s">
        <v>3943</v>
      </c>
      <c r="N4941" s="270" t="s">
        <v>3944</v>
      </c>
      <c r="O4941" s="270">
        <v>3874</v>
      </c>
      <c r="P4941" s="270" t="s">
        <v>3944</v>
      </c>
      <c r="Q4941" s="270" t="s">
        <v>3944</v>
      </c>
      <c r="R4941" s="270">
        <v>3874</v>
      </c>
      <c r="S4941" s="270">
        <v>26561</v>
      </c>
      <c r="T4941" s="270">
        <v>30435</v>
      </c>
      <c r="U4941" s="271" t="s">
        <v>3945</v>
      </c>
      <c r="V4941" s="267" t="s">
        <v>944</v>
      </c>
    </row>
    <row r="4942" spans="1:22" hidden="1" x14ac:dyDescent="0.25">
      <c r="A4942" s="266">
        <v>43711</v>
      </c>
      <c r="B4942" s="267">
        <v>2019</v>
      </c>
      <c r="C4942" s="267">
        <v>2020</v>
      </c>
      <c r="D4942" s="267">
        <v>1</v>
      </c>
      <c r="E4942" s="267">
        <v>1</v>
      </c>
      <c r="F4942" s="267" t="s">
        <v>944</v>
      </c>
      <c r="G4942" s="267" t="s">
        <v>3997</v>
      </c>
      <c r="H4942" s="267" t="s">
        <v>9587</v>
      </c>
      <c r="I4942" s="267" t="s">
        <v>956</v>
      </c>
      <c r="J4942" s="267" t="s">
        <v>3928</v>
      </c>
      <c r="K4942" s="267">
        <v>6614</v>
      </c>
      <c r="L4942" s="267">
        <v>80900</v>
      </c>
      <c r="M4942" s="267" t="s">
        <v>3960</v>
      </c>
      <c r="N4942" s="267" t="s">
        <v>3944</v>
      </c>
      <c r="O4942" s="267">
        <v>1709.16</v>
      </c>
      <c r="P4942" s="267" t="s">
        <v>3944</v>
      </c>
      <c r="Q4942" s="267" t="s">
        <v>3944</v>
      </c>
      <c r="R4942" s="267">
        <v>1709.16</v>
      </c>
      <c r="S4942" s="267">
        <v>26416.89</v>
      </c>
      <c r="T4942" s="267">
        <v>28126.05</v>
      </c>
      <c r="U4942" s="268" t="s">
        <v>3945</v>
      </c>
      <c r="V4942" s="267" t="s">
        <v>944</v>
      </c>
    </row>
    <row r="4943" spans="1:22" x14ac:dyDescent="0.25">
      <c r="A4943" s="269">
        <v>43711</v>
      </c>
      <c r="B4943" s="270">
        <v>2019</v>
      </c>
      <c r="C4943" s="270">
        <v>2020</v>
      </c>
      <c r="D4943" s="270">
        <v>1</v>
      </c>
      <c r="E4943" s="270">
        <v>1</v>
      </c>
      <c r="F4943" s="270" t="s">
        <v>944</v>
      </c>
      <c r="G4943" s="270" t="s">
        <v>3997</v>
      </c>
      <c r="H4943" s="270" t="s">
        <v>9588</v>
      </c>
      <c r="I4943" s="270" t="s">
        <v>934</v>
      </c>
      <c r="J4943" s="270" t="s">
        <v>3928</v>
      </c>
      <c r="K4943" s="270">
        <v>6610</v>
      </c>
      <c r="L4943" s="270">
        <v>73400</v>
      </c>
      <c r="M4943" s="270" t="s">
        <v>3940</v>
      </c>
      <c r="N4943" s="270" t="s">
        <v>3944</v>
      </c>
      <c r="O4943" s="270">
        <v>1955.14</v>
      </c>
      <c r="P4943" s="270" t="s">
        <v>3944</v>
      </c>
      <c r="Q4943" s="270" t="s">
        <v>3944</v>
      </c>
      <c r="R4943" s="270">
        <v>1955.14</v>
      </c>
      <c r="S4943" s="270">
        <v>30337.73</v>
      </c>
      <c r="T4943" s="270">
        <v>32292.87</v>
      </c>
      <c r="U4943" s="271" t="s">
        <v>3945</v>
      </c>
      <c r="V4943" s="276" t="s">
        <v>936</v>
      </c>
    </row>
    <row r="4944" spans="1:22" hidden="1" x14ac:dyDescent="0.25">
      <c r="A4944" s="266">
        <v>43711</v>
      </c>
      <c r="B4944" s="267">
        <v>2019</v>
      </c>
      <c r="C4944" s="267">
        <v>2020</v>
      </c>
      <c r="D4944" s="267">
        <v>1</v>
      </c>
      <c r="E4944" s="267">
        <v>1</v>
      </c>
      <c r="F4944" s="267" t="s">
        <v>944</v>
      </c>
      <c r="G4944" s="267" t="s">
        <v>3997</v>
      </c>
      <c r="H4944" s="267" t="s">
        <v>9589</v>
      </c>
      <c r="I4944" s="267" t="s">
        <v>3012</v>
      </c>
      <c r="J4944" s="267" t="s">
        <v>3928</v>
      </c>
      <c r="K4944" s="267">
        <v>6477</v>
      </c>
      <c r="L4944" s="267">
        <v>157400</v>
      </c>
      <c r="M4944" s="267" t="s">
        <v>3943</v>
      </c>
      <c r="N4944" s="267" t="s">
        <v>3944</v>
      </c>
      <c r="O4944" s="267">
        <v>1380.44</v>
      </c>
      <c r="P4944" s="267" t="s">
        <v>3944</v>
      </c>
      <c r="Q4944" s="267" t="s">
        <v>3944</v>
      </c>
      <c r="R4944" s="267">
        <v>1380.44</v>
      </c>
      <c r="S4944" s="267">
        <v>17370.25</v>
      </c>
      <c r="T4944" s="267">
        <v>18750.689999999999</v>
      </c>
      <c r="U4944" s="268" t="s">
        <v>3945</v>
      </c>
      <c r="V4944" s="267" t="s">
        <v>944</v>
      </c>
    </row>
    <row r="4945" spans="1:22" hidden="1" x14ac:dyDescent="0.25">
      <c r="A4945" s="269">
        <v>43711</v>
      </c>
      <c r="B4945" s="270">
        <v>2019</v>
      </c>
      <c r="C4945" s="270">
        <v>2020</v>
      </c>
      <c r="D4945" s="270">
        <v>1</v>
      </c>
      <c r="E4945" s="270">
        <v>1</v>
      </c>
      <c r="F4945" s="270" t="s">
        <v>944</v>
      </c>
      <c r="G4945" s="270" t="s">
        <v>3997</v>
      </c>
      <c r="H4945" s="270" t="s">
        <v>9590</v>
      </c>
      <c r="I4945" s="270" t="s">
        <v>956</v>
      </c>
      <c r="J4945" s="270" t="s">
        <v>3928</v>
      </c>
      <c r="K4945" s="270">
        <v>6614</v>
      </c>
      <c r="L4945" s="270">
        <v>81300</v>
      </c>
      <c r="M4945" s="270" t="s">
        <v>3935</v>
      </c>
      <c r="N4945" s="270" t="s">
        <v>3944</v>
      </c>
      <c r="O4945" s="270">
        <v>1390.38</v>
      </c>
      <c r="P4945" s="270" t="s">
        <v>3944</v>
      </c>
      <c r="Q4945" s="270" t="s">
        <v>3944</v>
      </c>
      <c r="R4945" s="270">
        <v>1390.38</v>
      </c>
      <c r="S4945" s="270">
        <v>19774.419999999998</v>
      </c>
      <c r="T4945" s="270">
        <v>21164.799999999999</v>
      </c>
      <c r="U4945" s="271" t="s">
        <v>3945</v>
      </c>
      <c r="V4945" s="267" t="s">
        <v>944</v>
      </c>
    </row>
    <row r="4946" spans="1:22" hidden="1" x14ac:dyDescent="0.25">
      <c r="A4946" s="266">
        <v>43711</v>
      </c>
      <c r="B4946" s="267">
        <v>2019</v>
      </c>
      <c r="C4946" s="267">
        <v>2020</v>
      </c>
      <c r="D4946" s="267">
        <v>1</v>
      </c>
      <c r="E4946" s="267">
        <v>1</v>
      </c>
      <c r="F4946" s="267" t="s">
        <v>944</v>
      </c>
      <c r="G4946" s="267" t="s">
        <v>3926</v>
      </c>
      <c r="H4946" s="267" t="s">
        <v>9591</v>
      </c>
      <c r="I4946" s="267" t="s">
        <v>3949</v>
      </c>
      <c r="J4946" s="267" t="s">
        <v>3928</v>
      </c>
      <c r="K4946" s="267">
        <v>6437</v>
      </c>
      <c r="L4946" s="267">
        <v>190301</v>
      </c>
      <c r="M4946" s="267" t="s">
        <v>3943</v>
      </c>
      <c r="N4946" s="267" t="s">
        <v>3944</v>
      </c>
      <c r="O4946" s="267">
        <v>4821</v>
      </c>
      <c r="P4946" s="267" t="s">
        <v>3944</v>
      </c>
      <c r="Q4946" s="267" t="s">
        <v>3944</v>
      </c>
      <c r="R4946" s="267">
        <v>4821</v>
      </c>
      <c r="S4946" s="267">
        <v>26501.5</v>
      </c>
      <c r="T4946" s="267">
        <v>31322.5</v>
      </c>
      <c r="U4946" s="268" t="s">
        <v>3945</v>
      </c>
      <c r="V4946" s="267" t="s">
        <v>944</v>
      </c>
    </row>
    <row r="4947" spans="1:22" hidden="1" x14ac:dyDescent="0.25">
      <c r="A4947" s="269">
        <v>43711</v>
      </c>
      <c r="B4947" s="270">
        <v>2019</v>
      </c>
      <c r="C4947" s="270">
        <v>2020</v>
      </c>
      <c r="D4947" s="270">
        <v>1</v>
      </c>
      <c r="E4947" s="270">
        <v>1</v>
      </c>
      <c r="F4947" s="270" t="s">
        <v>944</v>
      </c>
      <c r="G4947" s="270" t="s">
        <v>3926</v>
      </c>
      <c r="H4947" s="270" t="s">
        <v>9592</v>
      </c>
      <c r="I4947" s="270" t="s">
        <v>4016</v>
      </c>
      <c r="J4947" s="270" t="s">
        <v>3928</v>
      </c>
      <c r="K4947" s="270">
        <v>6770</v>
      </c>
      <c r="L4947" s="270">
        <v>345300</v>
      </c>
      <c r="M4947" s="270" t="s">
        <v>3940</v>
      </c>
      <c r="N4947" s="270" t="s">
        <v>3944</v>
      </c>
      <c r="O4947" s="270">
        <v>1405.53</v>
      </c>
      <c r="P4947" s="270" t="s">
        <v>3944</v>
      </c>
      <c r="Q4947" s="270" t="s">
        <v>3944</v>
      </c>
      <c r="R4947" s="270">
        <v>1405.53</v>
      </c>
      <c r="S4947" s="270">
        <v>26246.89</v>
      </c>
      <c r="T4947" s="270">
        <v>27652.42</v>
      </c>
      <c r="U4947" s="271" t="s">
        <v>3945</v>
      </c>
      <c r="V4947" s="267" t="s">
        <v>944</v>
      </c>
    </row>
    <row r="4948" spans="1:22" hidden="1" x14ac:dyDescent="0.25">
      <c r="A4948" s="266">
        <v>43711</v>
      </c>
      <c r="B4948" s="267">
        <v>2019</v>
      </c>
      <c r="C4948" s="267">
        <v>2020</v>
      </c>
      <c r="D4948" s="267">
        <v>1</v>
      </c>
      <c r="E4948" s="267">
        <v>1</v>
      </c>
      <c r="F4948" s="267" t="s">
        <v>944</v>
      </c>
      <c r="G4948" s="267" t="s">
        <v>3926</v>
      </c>
      <c r="H4948" s="267" t="s">
        <v>9593</v>
      </c>
      <c r="I4948" s="267" t="s">
        <v>950</v>
      </c>
      <c r="J4948" s="267" t="s">
        <v>3928</v>
      </c>
      <c r="K4948" s="267">
        <v>6516</v>
      </c>
      <c r="L4948" s="267">
        <v>154700</v>
      </c>
      <c r="M4948" s="267" t="s">
        <v>3960</v>
      </c>
      <c r="N4948" s="267" t="s">
        <v>3944</v>
      </c>
      <c r="O4948" s="267">
        <v>2311.02</v>
      </c>
      <c r="P4948" s="267" t="s">
        <v>3944</v>
      </c>
      <c r="Q4948" s="267" t="s">
        <v>3944</v>
      </c>
      <c r="R4948" s="267">
        <v>2311.02</v>
      </c>
      <c r="S4948" s="267">
        <v>34424.78</v>
      </c>
      <c r="T4948" s="267">
        <v>36735.800000000003</v>
      </c>
      <c r="U4948" s="268" t="s">
        <v>3945</v>
      </c>
      <c r="V4948" s="267" t="s">
        <v>944</v>
      </c>
    </row>
    <row r="4949" spans="1:22" hidden="1" x14ac:dyDescent="0.25">
      <c r="A4949" s="269">
        <v>43711</v>
      </c>
      <c r="B4949" s="270">
        <v>2019</v>
      </c>
      <c r="C4949" s="270">
        <v>2020</v>
      </c>
      <c r="D4949" s="270">
        <v>1</v>
      </c>
      <c r="E4949" s="270">
        <v>1</v>
      </c>
      <c r="F4949" s="270" t="s">
        <v>944</v>
      </c>
      <c r="G4949" s="270" t="s">
        <v>3926</v>
      </c>
      <c r="H4949" s="270" t="s">
        <v>9594</v>
      </c>
      <c r="I4949" s="270" t="s">
        <v>4011</v>
      </c>
      <c r="J4949" s="270" t="s">
        <v>3928</v>
      </c>
      <c r="K4949" s="270">
        <v>6002</v>
      </c>
      <c r="L4949" s="270">
        <v>471200</v>
      </c>
      <c r="M4949" s="270" t="s">
        <v>3940</v>
      </c>
      <c r="N4949" s="270" t="s">
        <v>3944</v>
      </c>
      <c r="O4949" s="270">
        <v>1764.53</v>
      </c>
      <c r="P4949" s="270" t="s">
        <v>3944</v>
      </c>
      <c r="Q4949" s="270" t="s">
        <v>3944</v>
      </c>
      <c r="R4949" s="270">
        <v>1764.53</v>
      </c>
      <c r="S4949" s="270">
        <v>24525.22</v>
      </c>
      <c r="T4949" s="270">
        <v>26289.75</v>
      </c>
      <c r="U4949" s="271" t="s">
        <v>3945</v>
      </c>
      <c r="V4949" s="267" t="s">
        <v>944</v>
      </c>
    </row>
    <row r="4950" spans="1:22" hidden="1" x14ac:dyDescent="0.25">
      <c r="A4950" s="266">
        <v>43711</v>
      </c>
      <c r="B4950" s="267">
        <v>2019</v>
      </c>
      <c r="C4950" s="267">
        <v>2020</v>
      </c>
      <c r="D4950" s="267">
        <v>1</v>
      </c>
      <c r="E4950" s="267">
        <v>1</v>
      </c>
      <c r="F4950" s="267" t="s">
        <v>944</v>
      </c>
      <c r="G4950" s="267" t="s">
        <v>3926</v>
      </c>
      <c r="H4950" s="267" t="s">
        <v>9595</v>
      </c>
      <c r="I4950" s="267" t="s">
        <v>4016</v>
      </c>
      <c r="J4950" s="267" t="s">
        <v>3928</v>
      </c>
      <c r="K4950" s="267">
        <v>6770</v>
      </c>
      <c r="L4950" s="267">
        <v>345201</v>
      </c>
      <c r="M4950" s="267" t="s">
        <v>3935</v>
      </c>
      <c r="N4950" s="267" t="s">
        <v>3944</v>
      </c>
      <c r="O4950" s="267">
        <v>1437.24</v>
      </c>
      <c r="P4950" s="267" t="s">
        <v>3944</v>
      </c>
      <c r="Q4950" s="267" t="s">
        <v>3944</v>
      </c>
      <c r="R4950" s="267">
        <v>1437.24</v>
      </c>
      <c r="S4950" s="267">
        <v>19727.560000000001</v>
      </c>
      <c r="T4950" s="267">
        <v>21164.799999999999</v>
      </c>
      <c r="U4950" s="268" t="s">
        <v>3945</v>
      </c>
      <c r="V4950" s="267" t="s">
        <v>944</v>
      </c>
    </row>
    <row r="4951" spans="1:22" hidden="1" x14ac:dyDescent="0.25">
      <c r="A4951" s="269">
        <v>43711</v>
      </c>
      <c r="B4951" s="270">
        <v>2019</v>
      </c>
      <c r="C4951" s="270">
        <v>2020</v>
      </c>
      <c r="D4951" s="270">
        <v>1</v>
      </c>
      <c r="E4951" s="270">
        <v>1</v>
      </c>
      <c r="F4951" s="270" t="s">
        <v>944</v>
      </c>
      <c r="G4951" s="270" t="s">
        <v>3926</v>
      </c>
      <c r="H4951" s="270" t="s">
        <v>9596</v>
      </c>
      <c r="I4951" s="270" t="s">
        <v>956</v>
      </c>
      <c r="J4951" s="270" t="s">
        <v>3928</v>
      </c>
      <c r="K4951" s="270">
        <v>6615</v>
      </c>
      <c r="L4951" s="270">
        <v>80700</v>
      </c>
      <c r="M4951" s="270" t="s">
        <v>3935</v>
      </c>
      <c r="N4951" s="270" t="s">
        <v>3944</v>
      </c>
      <c r="O4951" s="270">
        <v>2926.56</v>
      </c>
      <c r="P4951" s="270" t="s">
        <v>3944</v>
      </c>
      <c r="Q4951" s="270" t="s">
        <v>3944</v>
      </c>
      <c r="R4951" s="270">
        <v>2926.56</v>
      </c>
      <c r="S4951" s="270">
        <v>42577.760000000002</v>
      </c>
      <c r="T4951" s="270">
        <v>45504.32</v>
      </c>
      <c r="U4951" s="271" t="s">
        <v>3945</v>
      </c>
      <c r="V4951" s="267" t="s">
        <v>944</v>
      </c>
    </row>
    <row r="4952" spans="1:22" x14ac:dyDescent="0.25">
      <c r="A4952" s="266">
        <v>43711</v>
      </c>
      <c r="B4952" s="267">
        <v>2019</v>
      </c>
      <c r="C4952" s="267">
        <v>2020</v>
      </c>
      <c r="D4952" s="267">
        <v>1</v>
      </c>
      <c r="E4952" s="267">
        <v>1</v>
      </c>
      <c r="F4952" s="267" t="s">
        <v>944</v>
      </c>
      <c r="G4952" s="267" t="s">
        <v>3926</v>
      </c>
      <c r="H4952" s="267" t="s">
        <v>9597</v>
      </c>
      <c r="I4952" s="267" t="s">
        <v>943</v>
      </c>
      <c r="J4952" s="267" t="s">
        <v>3928</v>
      </c>
      <c r="K4952" s="267">
        <v>6511</v>
      </c>
      <c r="L4952" s="267">
        <v>140400</v>
      </c>
      <c r="M4952" s="267">
        <v>-60</v>
      </c>
      <c r="N4952" s="267" t="s">
        <v>3944</v>
      </c>
      <c r="O4952" s="267">
        <v>1082.83</v>
      </c>
      <c r="P4952" s="267" t="s">
        <v>3944</v>
      </c>
      <c r="Q4952" s="267" t="s">
        <v>3944</v>
      </c>
      <c r="R4952" s="267">
        <v>1082.83</v>
      </c>
      <c r="S4952" s="267">
        <v>36447.040000000001</v>
      </c>
      <c r="T4952" s="267">
        <v>37529.870000000003</v>
      </c>
      <c r="U4952" s="268" t="s">
        <v>3945</v>
      </c>
      <c r="V4952" s="276" t="s">
        <v>936</v>
      </c>
    </row>
    <row r="4953" spans="1:22" hidden="1" x14ac:dyDescent="0.25">
      <c r="A4953" s="269">
        <v>43711</v>
      </c>
      <c r="B4953" s="270">
        <v>2019</v>
      </c>
      <c r="C4953" s="270">
        <v>2020</v>
      </c>
      <c r="D4953" s="270">
        <v>1</v>
      </c>
      <c r="E4953" s="270">
        <v>1</v>
      </c>
      <c r="F4953" s="270" t="s">
        <v>944</v>
      </c>
      <c r="G4953" s="270" t="s">
        <v>3926</v>
      </c>
      <c r="H4953" s="270" t="s">
        <v>9598</v>
      </c>
      <c r="I4953" s="270" t="s">
        <v>3939</v>
      </c>
      <c r="J4953" s="270" t="s">
        <v>3928</v>
      </c>
      <c r="K4953" s="270">
        <v>6512</v>
      </c>
      <c r="L4953" s="270">
        <v>180200</v>
      </c>
      <c r="M4953" s="270" t="s">
        <v>3940</v>
      </c>
      <c r="N4953" s="270" t="s">
        <v>3944</v>
      </c>
      <c r="O4953" s="270">
        <v>1812.86</v>
      </c>
      <c r="P4953" s="270" t="s">
        <v>3944</v>
      </c>
      <c r="Q4953" s="270" t="s">
        <v>3944</v>
      </c>
      <c r="R4953" s="270">
        <v>1812.86</v>
      </c>
      <c r="S4953" s="270">
        <v>25524.14</v>
      </c>
      <c r="T4953" s="270">
        <v>27337</v>
      </c>
      <c r="U4953" s="271" t="s">
        <v>3945</v>
      </c>
      <c r="V4953" s="267" t="s">
        <v>944</v>
      </c>
    </row>
    <row r="4954" spans="1:22" hidden="1" x14ac:dyDescent="0.25">
      <c r="A4954" s="266">
        <v>43711</v>
      </c>
      <c r="B4954" s="267">
        <v>2019</v>
      </c>
      <c r="C4954" s="267">
        <v>2020</v>
      </c>
      <c r="D4954" s="267">
        <v>1</v>
      </c>
      <c r="E4954" s="267">
        <v>1</v>
      </c>
      <c r="F4954" s="267" t="s">
        <v>944</v>
      </c>
      <c r="G4954" s="267" t="s">
        <v>3926</v>
      </c>
      <c r="H4954" s="267" t="s">
        <v>9599</v>
      </c>
      <c r="I4954" s="267" t="s">
        <v>4008</v>
      </c>
      <c r="J4954" s="267" t="s">
        <v>3928</v>
      </c>
      <c r="K4954" s="267">
        <v>6320</v>
      </c>
      <c r="L4954" s="267">
        <v>690300</v>
      </c>
      <c r="M4954" s="267">
        <v>-60</v>
      </c>
      <c r="N4954" s="267" t="s">
        <v>3944</v>
      </c>
      <c r="O4954" s="267">
        <v>537.57000000000005</v>
      </c>
      <c r="P4954" s="267" t="s">
        <v>3944</v>
      </c>
      <c r="Q4954" s="267" t="s">
        <v>3944</v>
      </c>
      <c r="R4954" s="267">
        <v>537.57000000000005</v>
      </c>
      <c r="S4954" s="267">
        <v>8544.14</v>
      </c>
      <c r="T4954" s="267">
        <v>9081.7099999999991</v>
      </c>
      <c r="U4954" s="268" t="s">
        <v>3945</v>
      </c>
      <c r="V4954" s="267" t="s">
        <v>944</v>
      </c>
    </row>
    <row r="4955" spans="1:22" hidden="1" x14ac:dyDescent="0.25">
      <c r="A4955" s="269">
        <v>43711</v>
      </c>
      <c r="B4955" s="270">
        <v>2019</v>
      </c>
      <c r="C4955" s="270">
        <v>2020</v>
      </c>
      <c r="D4955" s="270">
        <v>1</v>
      </c>
      <c r="E4955" s="270">
        <v>1</v>
      </c>
      <c r="F4955" s="270" t="s">
        <v>944</v>
      </c>
      <c r="G4955" s="270" t="s">
        <v>3926</v>
      </c>
      <c r="H4955" s="270" t="s">
        <v>9600</v>
      </c>
      <c r="I4955" s="270" t="s">
        <v>956</v>
      </c>
      <c r="J4955" s="270" t="s">
        <v>3928</v>
      </c>
      <c r="K4955" s="270">
        <v>6615</v>
      </c>
      <c r="L4955" s="270">
        <v>80400</v>
      </c>
      <c r="M4955" s="270" t="s">
        <v>3940</v>
      </c>
      <c r="N4955" s="270" t="s">
        <v>3944</v>
      </c>
      <c r="O4955" s="270">
        <v>916.27</v>
      </c>
      <c r="P4955" s="270" t="s">
        <v>3944</v>
      </c>
      <c r="Q4955" s="270" t="s">
        <v>3944</v>
      </c>
      <c r="R4955" s="270">
        <v>916.27</v>
      </c>
      <c r="S4955" s="270">
        <v>11782.61</v>
      </c>
      <c r="T4955" s="270">
        <v>12698.88</v>
      </c>
      <c r="U4955" s="271" t="s">
        <v>3945</v>
      </c>
      <c r="V4955" s="267" t="s">
        <v>944</v>
      </c>
    </row>
    <row r="4956" spans="1:22" hidden="1" x14ac:dyDescent="0.25">
      <c r="A4956" s="266">
        <v>43711</v>
      </c>
      <c r="B4956" s="267">
        <v>2019</v>
      </c>
      <c r="C4956" s="267">
        <v>2020</v>
      </c>
      <c r="D4956" s="267">
        <v>1</v>
      </c>
      <c r="E4956" s="267">
        <v>1</v>
      </c>
      <c r="F4956" s="267" t="s">
        <v>944</v>
      </c>
      <c r="G4956" s="267" t="s">
        <v>3926</v>
      </c>
      <c r="H4956" s="267" t="s">
        <v>9601</v>
      </c>
      <c r="I4956" s="267" t="s">
        <v>3968</v>
      </c>
      <c r="J4956" s="267" t="s">
        <v>3928</v>
      </c>
      <c r="K4956" s="267">
        <v>6042</v>
      </c>
      <c r="L4956" s="267">
        <v>514400</v>
      </c>
      <c r="M4956" s="267" t="s">
        <v>3940</v>
      </c>
      <c r="N4956" s="267" t="s">
        <v>3944</v>
      </c>
      <c r="O4956" s="267">
        <v>1408.02</v>
      </c>
      <c r="P4956" s="267" t="s">
        <v>3944</v>
      </c>
      <c r="Q4956" s="267" t="s">
        <v>3944</v>
      </c>
      <c r="R4956" s="267">
        <v>1408.02</v>
      </c>
      <c r="S4956" s="267">
        <v>21873.26</v>
      </c>
      <c r="T4956" s="267">
        <v>23281.279999999999</v>
      </c>
      <c r="U4956" s="268" t="s">
        <v>3945</v>
      </c>
      <c r="V4956" s="267" t="s">
        <v>944</v>
      </c>
    </row>
    <row r="4957" spans="1:22" hidden="1" x14ac:dyDescent="0.25">
      <c r="A4957" s="269">
        <v>43711</v>
      </c>
      <c r="B4957" s="270">
        <v>2019</v>
      </c>
      <c r="C4957" s="270">
        <v>2020</v>
      </c>
      <c r="D4957" s="270">
        <v>1</v>
      </c>
      <c r="E4957" s="270">
        <v>1</v>
      </c>
      <c r="F4957" s="270" t="s">
        <v>944</v>
      </c>
      <c r="G4957" s="270" t="s">
        <v>3926</v>
      </c>
      <c r="H4957" s="270" t="s">
        <v>9602</v>
      </c>
      <c r="I4957" s="270" t="s">
        <v>4213</v>
      </c>
      <c r="J4957" s="270" t="s">
        <v>3928</v>
      </c>
      <c r="K4957" s="270">
        <v>6053</v>
      </c>
      <c r="L4957" s="270">
        <v>417500</v>
      </c>
      <c r="M4957" s="270" t="s">
        <v>3940</v>
      </c>
      <c r="N4957" s="270" t="s">
        <v>3944</v>
      </c>
      <c r="O4957" s="270">
        <v>1448.86</v>
      </c>
      <c r="P4957" s="270" t="s">
        <v>3944</v>
      </c>
      <c r="Q4957" s="270" t="s">
        <v>3944</v>
      </c>
      <c r="R4957" s="270">
        <v>1448.86</v>
      </c>
      <c r="S4957" s="270">
        <v>18693.349999999999</v>
      </c>
      <c r="T4957" s="270">
        <v>20142.21</v>
      </c>
      <c r="U4957" s="271" t="s">
        <v>3945</v>
      </c>
      <c r="V4957" s="267" t="s">
        <v>944</v>
      </c>
    </row>
    <row r="4958" spans="1:22" x14ac:dyDescent="0.25">
      <c r="A4958" s="266">
        <v>43711</v>
      </c>
      <c r="B4958" s="267">
        <v>2019</v>
      </c>
      <c r="C4958" s="267">
        <v>2020</v>
      </c>
      <c r="D4958" s="267">
        <v>1</v>
      </c>
      <c r="E4958" s="267">
        <v>1</v>
      </c>
      <c r="F4958" s="267" t="s">
        <v>944</v>
      </c>
      <c r="G4958" s="267" t="s">
        <v>3926</v>
      </c>
      <c r="H4958" s="267" t="s">
        <v>9603</v>
      </c>
      <c r="I4958" s="267" t="s">
        <v>934</v>
      </c>
      <c r="J4958" s="267" t="s">
        <v>3928</v>
      </c>
      <c r="K4958" s="267">
        <v>6608</v>
      </c>
      <c r="L4958" s="267">
        <v>73900</v>
      </c>
      <c r="M4958" s="267">
        <v>-60</v>
      </c>
      <c r="N4958" s="267" t="s">
        <v>3944</v>
      </c>
      <c r="O4958" s="267">
        <v>1903.06</v>
      </c>
      <c r="P4958" s="267" t="s">
        <v>3944</v>
      </c>
      <c r="Q4958" s="267" t="s">
        <v>3944</v>
      </c>
      <c r="R4958" s="267">
        <v>1903.06</v>
      </c>
      <c r="S4958" s="267">
        <v>48596.59</v>
      </c>
      <c r="T4958" s="267">
        <v>50499.65</v>
      </c>
      <c r="U4958" s="268" t="s">
        <v>3945</v>
      </c>
      <c r="V4958" s="276" t="s">
        <v>936</v>
      </c>
    </row>
    <row r="4959" spans="1:22" hidden="1" x14ac:dyDescent="0.25">
      <c r="A4959" s="269">
        <v>43711</v>
      </c>
      <c r="B4959" s="270">
        <v>2019</v>
      </c>
      <c r="C4959" s="270">
        <v>2020</v>
      </c>
      <c r="D4959" s="270">
        <v>1</v>
      </c>
      <c r="E4959" s="270">
        <v>1</v>
      </c>
      <c r="F4959" s="270" t="s">
        <v>944</v>
      </c>
      <c r="G4959" s="270" t="s">
        <v>3926</v>
      </c>
      <c r="H4959" s="270" t="s">
        <v>9604</v>
      </c>
      <c r="I4959" s="270" t="s">
        <v>4353</v>
      </c>
      <c r="J4959" s="270" t="s">
        <v>3928</v>
      </c>
      <c r="K4959" s="270">
        <v>6416</v>
      </c>
      <c r="L4959" s="270">
        <v>570300</v>
      </c>
      <c r="M4959" s="270" t="s">
        <v>3940</v>
      </c>
      <c r="N4959" s="270" t="s">
        <v>3944</v>
      </c>
      <c r="O4959" s="270">
        <v>2050.3000000000002</v>
      </c>
      <c r="P4959" s="270" t="s">
        <v>3944</v>
      </c>
      <c r="Q4959" s="270" t="s">
        <v>3944</v>
      </c>
      <c r="R4959" s="270">
        <v>2050.3000000000002</v>
      </c>
      <c r="S4959" s="270">
        <v>35054.5</v>
      </c>
      <c r="T4959" s="270">
        <v>37104.800000000003</v>
      </c>
      <c r="U4959" s="271" t="s">
        <v>3945</v>
      </c>
      <c r="V4959" s="267" t="s">
        <v>944</v>
      </c>
    </row>
    <row r="4960" spans="1:22" hidden="1" x14ac:dyDescent="0.25">
      <c r="A4960" s="266">
        <v>43711</v>
      </c>
      <c r="B4960" s="267">
        <v>2019</v>
      </c>
      <c r="C4960" s="267">
        <v>2020</v>
      </c>
      <c r="D4960" s="267">
        <v>1</v>
      </c>
      <c r="E4960" s="267">
        <v>1</v>
      </c>
      <c r="F4960" s="267" t="s">
        <v>944</v>
      </c>
      <c r="G4960" s="267" t="s">
        <v>3926</v>
      </c>
      <c r="H4960" s="267" t="s">
        <v>9605</v>
      </c>
      <c r="I4960" s="267" t="s">
        <v>934</v>
      </c>
      <c r="J4960" s="267" t="s">
        <v>3928</v>
      </c>
      <c r="K4960" s="267">
        <v>6606</v>
      </c>
      <c r="L4960" s="267">
        <v>72300</v>
      </c>
      <c r="M4960" s="267" t="s">
        <v>3940</v>
      </c>
      <c r="N4960" s="267" t="s">
        <v>3944</v>
      </c>
      <c r="O4960" s="267">
        <v>1896.23</v>
      </c>
      <c r="P4960" s="267" t="s">
        <v>3944</v>
      </c>
      <c r="Q4960" s="267" t="s">
        <v>3944</v>
      </c>
      <c r="R4960" s="267">
        <v>1896.23</v>
      </c>
      <c r="S4960" s="267">
        <v>24768.02</v>
      </c>
      <c r="T4960" s="267">
        <v>26664.25</v>
      </c>
      <c r="U4960" s="268" t="s">
        <v>3945</v>
      </c>
      <c r="V4960" s="267" t="s">
        <v>944</v>
      </c>
    </row>
    <row r="4961" spans="1:22" hidden="1" x14ac:dyDescent="0.25">
      <c r="A4961" s="269">
        <v>43711</v>
      </c>
      <c r="B4961" s="270">
        <v>2019</v>
      </c>
      <c r="C4961" s="270">
        <v>2020</v>
      </c>
      <c r="D4961" s="270">
        <v>1</v>
      </c>
      <c r="E4961" s="270">
        <v>1</v>
      </c>
      <c r="F4961" s="270" t="s">
        <v>944</v>
      </c>
      <c r="G4961" s="270" t="s">
        <v>3926</v>
      </c>
      <c r="H4961" s="270" t="s">
        <v>9606</v>
      </c>
      <c r="I4961" s="270" t="s">
        <v>6426</v>
      </c>
      <c r="J4961" s="270" t="s">
        <v>3928</v>
      </c>
      <c r="K4961" s="270">
        <v>6422</v>
      </c>
      <c r="L4961" s="270">
        <v>585100</v>
      </c>
      <c r="M4961" s="270" t="s">
        <v>3943</v>
      </c>
      <c r="N4961" s="270" t="s">
        <v>3944</v>
      </c>
      <c r="O4961" s="270">
        <v>2375.52</v>
      </c>
      <c r="P4961" s="270" t="s">
        <v>3944</v>
      </c>
      <c r="Q4961" s="270" t="s">
        <v>3944</v>
      </c>
      <c r="R4961" s="270">
        <v>2375.52</v>
      </c>
      <c r="S4961" s="270">
        <v>46358.95</v>
      </c>
      <c r="T4961" s="270">
        <v>48734.47</v>
      </c>
      <c r="U4961" s="271" t="s">
        <v>3945</v>
      </c>
      <c r="V4961" s="267" t="s">
        <v>944</v>
      </c>
    </row>
    <row r="4962" spans="1:22" hidden="1" x14ac:dyDescent="0.25">
      <c r="A4962" s="266">
        <v>43711</v>
      </c>
      <c r="B4962" s="267">
        <v>2019</v>
      </c>
      <c r="C4962" s="267">
        <v>2020</v>
      </c>
      <c r="D4962" s="267">
        <v>1</v>
      </c>
      <c r="E4962" s="267">
        <v>1</v>
      </c>
      <c r="F4962" s="267" t="s">
        <v>944</v>
      </c>
      <c r="G4962" s="267" t="s">
        <v>3926</v>
      </c>
      <c r="H4962" s="267" t="s">
        <v>9607</v>
      </c>
      <c r="I4962" s="267" t="s">
        <v>3008</v>
      </c>
      <c r="J4962" s="267" t="s">
        <v>3928</v>
      </c>
      <c r="K4962" s="267">
        <v>6460</v>
      </c>
      <c r="L4962" s="267">
        <v>150100</v>
      </c>
      <c r="M4962" s="267" t="s">
        <v>3960</v>
      </c>
      <c r="N4962" s="267" t="s">
        <v>3944</v>
      </c>
      <c r="O4962" s="267">
        <v>1753.33</v>
      </c>
      <c r="P4962" s="267" t="s">
        <v>3944</v>
      </c>
      <c r="Q4962" s="267" t="s">
        <v>3944</v>
      </c>
      <c r="R4962" s="267">
        <v>1753.33</v>
      </c>
      <c r="S4962" s="267">
        <v>21527.95</v>
      </c>
      <c r="T4962" s="267">
        <v>23281.279999999999</v>
      </c>
      <c r="U4962" s="268" t="s">
        <v>3945</v>
      </c>
      <c r="V4962" s="267" t="s">
        <v>944</v>
      </c>
    </row>
    <row r="4963" spans="1:22" hidden="1" x14ac:dyDescent="0.25">
      <c r="A4963" s="269">
        <v>43711</v>
      </c>
      <c r="B4963" s="270">
        <v>2019</v>
      </c>
      <c r="C4963" s="270">
        <v>2020</v>
      </c>
      <c r="D4963" s="270">
        <v>1</v>
      </c>
      <c r="E4963" s="270">
        <v>1</v>
      </c>
      <c r="F4963" s="270" t="s">
        <v>944</v>
      </c>
      <c r="G4963" s="270" t="s">
        <v>3926</v>
      </c>
      <c r="H4963" s="270" t="s">
        <v>9608</v>
      </c>
      <c r="I4963" s="270" t="s">
        <v>3008</v>
      </c>
      <c r="J4963" s="270" t="s">
        <v>3928</v>
      </c>
      <c r="K4963" s="270">
        <v>6460</v>
      </c>
      <c r="L4963" s="270">
        <v>150900</v>
      </c>
      <c r="M4963" s="270" t="s">
        <v>3943</v>
      </c>
      <c r="N4963" s="270" t="s">
        <v>3944</v>
      </c>
      <c r="O4963" s="270">
        <v>812.6</v>
      </c>
      <c r="P4963" s="270" t="s">
        <v>3944</v>
      </c>
      <c r="Q4963" s="270" t="s">
        <v>3944</v>
      </c>
      <c r="R4963" s="270">
        <v>812.6</v>
      </c>
      <c r="S4963" s="270">
        <v>9769.7999999999993</v>
      </c>
      <c r="T4963" s="270">
        <v>10582.4</v>
      </c>
      <c r="U4963" s="271" t="s">
        <v>3945</v>
      </c>
      <c r="V4963" s="267" t="s">
        <v>944</v>
      </c>
    </row>
    <row r="4964" spans="1:22" hidden="1" x14ac:dyDescent="0.25">
      <c r="A4964" s="266">
        <v>43711</v>
      </c>
      <c r="B4964" s="267">
        <v>2019</v>
      </c>
      <c r="C4964" s="267">
        <v>2020</v>
      </c>
      <c r="D4964" s="267">
        <v>1</v>
      </c>
      <c r="E4964" s="267">
        <v>1</v>
      </c>
      <c r="F4964" s="267" t="s">
        <v>944</v>
      </c>
      <c r="G4964" s="267" t="s">
        <v>3926</v>
      </c>
      <c r="H4964" s="267" t="s">
        <v>9609</v>
      </c>
      <c r="I4964" s="267" t="s">
        <v>3934</v>
      </c>
      <c r="J4964" s="267" t="s">
        <v>3928</v>
      </c>
      <c r="K4964" s="267">
        <v>6405</v>
      </c>
      <c r="L4964" s="267">
        <v>184600</v>
      </c>
      <c r="M4964" s="267" t="s">
        <v>3943</v>
      </c>
      <c r="N4964" s="267" t="s">
        <v>3944</v>
      </c>
      <c r="O4964" s="267">
        <v>2477.9699999999998</v>
      </c>
      <c r="P4964" s="267" t="s">
        <v>3944</v>
      </c>
      <c r="Q4964" s="267" t="s">
        <v>3944</v>
      </c>
      <c r="R4964" s="267">
        <v>2477.9699999999998</v>
      </c>
      <c r="S4964" s="267">
        <v>44084.59</v>
      </c>
      <c r="T4964" s="267">
        <v>46562.559999999998</v>
      </c>
      <c r="U4964" s="268" t="s">
        <v>3945</v>
      </c>
      <c r="V4964" s="267" t="s">
        <v>944</v>
      </c>
    </row>
    <row r="4965" spans="1:22" hidden="1" x14ac:dyDescent="0.25">
      <c r="A4965" s="269">
        <v>43711</v>
      </c>
      <c r="B4965" s="270">
        <v>2019</v>
      </c>
      <c r="C4965" s="270">
        <v>2020</v>
      </c>
      <c r="D4965" s="270">
        <v>1</v>
      </c>
      <c r="E4965" s="270">
        <v>1</v>
      </c>
      <c r="F4965" s="270" t="s">
        <v>944</v>
      </c>
      <c r="G4965" s="270" t="s">
        <v>3926</v>
      </c>
      <c r="H4965" s="270" t="s">
        <v>9610</v>
      </c>
      <c r="I4965" s="270" t="s">
        <v>4213</v>
      </c>
      <c r="J4965" s="270" t="s">
        <v>3928</v>
      </c>
      <c r="K4965" s="270">
        <v>6051</v>
      </c>
      <c r="L4965" s="270">
        <v>415400</v>
      </c>
      <c r="M4965" s="270">
        <v>-60</v>
      </c>
      <c r="N4965" s="270" t="s">
        <v>3944</v>
      </c>
      <c r="O4965" s="270">
        <v>1228.6099999999999</v>
      </c>
      <c r="P4965" s="270" t="s">
        <v>3944</v>
      </c>
      <c r="Q4965" s="270" t="s">
        <v>3944</v>
      </c>
      <c r="R4965" s="270">
        <v>1228.6099999999999</v>
      </c>
      <c r="S4965" s="270">
        <v>18688.64</v>
      </c>
      <c r="T4965" s="270">
        <v>19917.25</v>
      </c>
      <c r="U4965" s="271" t="s">
        <v>3945</v>
      </c>
      <c r="V4965" s="267" t="s">
        <v>944</v>
      </c>
    </row>
    <row r="4966" spans="1:22" hidden="1" x14ac:dyDescent="0.25">
      <c r="A4966" s="266">
        <v>43711</v>
      </c>
      <c r="B4966" s="267">
        <v>2019</v>
      </c>
      <c r="C4966" s="267">
        <v>2020</v>
      </c>
      <c r="D4966" s="267">
        <v>1</v>
      </c>
      <c r="E4966" s="267">
        <v>1</v>
      </c>
      <c r="F4966" s="267" t="s">
        <v>944</v>
      </c>
      <c r="G4966" s="267" t="s">
        <v>3926</v>
      </c>
      <c r="H4966" s="267" t="s">
        <v>9611</v>
      </c>
      <c r="I4966" s="267" t="s">
        <v>4079</v>
      </c>
      <c r="J4966" s="267" t="s">
        <v>3928</v>
      </c>
      <c r="K4966" s="267">
        <v>6111</v>
      </c>
      <c r="L4966" s="267">
        <v>494300</v>
      </c>
      <c r="M4966" s="267" t="s">
        <v>3935</v>
      </c>
      <c r="N4966" s="267" t="s">
        <v>3944</v>
      </c>
      <c r="O4966" s="267">
        <v>1965.29</v>
      </c>
      <c r="P4966" s="267" t="s">
        <v>3944</v>
      </c>
      <c r="Q4966" s="267" t="s">
        <v>3944</v>
      </c>
      <c r="R4966" s="267">
        <v>1965.29</v>
      </c>
      <c r="S4966" s="267">
        <v>29781.91</v>
      </c>
      <c r="T4966" s="267">
        <v>31747.200000000001</v>
      </c>
      <c r="U4966" s="268" t="s">
        <v>3945</v>
      </c>
      <c r="V4966" s="267" t="s">
        <v>944</v>
      </c>
    </row>
    <row r="4967" spans="1:22" hidden="1" x14ac:dyDescent="0.25">
      <c r="A4967" s="269">
        <v>43711</v>
      </c>
      <c r="B4967" s="270">
        <v>2019</v>
      </c>
      <c r="C4967" s="270">
        <v>2020</v>
      </c>
      <c r="D4967" s="270">
        <v>1</v>
      </c>
      <c r="E4967" s="270">
        <v>1</v>
      </c>
      <c r="F4967" s="270" t="s">
        <v>944</v>
      </c>
      <c r="G4967" s="270" t="s">
        <v>3926</v>
      </c>
      <c r="H4967" s="270" t="s">
        <v>9612</v>
      </c>
      <c r="I4967" s="270" t="s">
        <v>3956</v>
      </c>
      <c r="J4967" s="270" t="s">
        <v>3928</v>
      </c>
      <c r="K4967" s="270">
        <v>6114</v>
      </c>
      <c r="L4967" s="270">
        <v>502500</v>
      </c>
      <c r="M4967" s="270">
        <v>-60</v>
      </c>
      <c r="N4967" s="270" t="s">
        <v>3944</v>
      </c>
      <c r="O4967" s="270">
        <v>1289.3699999999999</v>
      </c>
      <c r="P4967" s="270" t="s">
        <v>3944</v>
      </c>
      <c r="Q4967" s="270" t="s">
        <v>3944</v>
      </c>
      <c r="R4967" s="270">
        <v>1289.3699999999999</v>
      </c>
      <c r="S4967" s="270">
        <v>16850.88</v>
      </c>
      <c r="T4967" s="270">
        <v>18140.25</v>
      </c>
      <c r="U4967" s="271" t="s">
        <v>3945</v>
      </c>
      <c r="V4967" s="267" t="s">
        <v>944</v>
      </c>
    </row>
    <row r="4968" spans="1:22" hidden="1" x14ac:dyDescent="0.25">
      <c r="A4968" s="266">
        <v>43711</v>
      </c>
      <c r="B4968" s="267">
        <v>2019</v>
      </c>
      <c r="C4968" s="267">
        <v>2020</v>
      </c>
      <c r="D4968" s="267">
        <v>1</v>
      </c>
      <c r="E4968" s="267">
        <v>1</v>
      </c>
      <c r="F4968" s="267" t="s">
        <v>944</v>
      </c>
      <c r="G4968" s="267" t="s">
        <v>3926</v>
      </c>
      <c r="H4968" s="267" t="s">
        <v>9613</v>
      </c>
      <c r="I4968" s="267" t="s">
        <v>4079</v>
      </c>
      <c r="J4968" s="267" t="s">
        <v>3928</v>
      </c>
      <c r="K4968" s="267">
        <v>6111</v>
      </c>
      <c r="L4968" s="267">
        <v>494600</v>
      </c>
      <c r="M4968" s="267" t="s">
        <v>3935</v>
      </c>
      <c r="N4968" s="267" t="s">
        <v>3944</v>
      </c>
      <c r="O4968" s="267">
        <v>1210.79</v>
      </c>
      <c r="P4968" s="267" t="s">
        <v>3944</v>
      </c>
      <c r="Q4968" s="267" t="s">
        <v>3944</v>
      </c>
      <c r="R4968" s="267">
        <v>1210.79</v>
      </c>
      <c r="S4968" s="267">
        <v>20404.330000000002</v>
      </c>
      <c r="T4968" s="267">
        <v>21615.119999999999</v>
      </c>
      <c r="U4968" s="268" t="s">
        <v>3945</v>
      </c>
      <c r="V4968" s="267" t="s">
        <v>944</v>
      </c>
    </row>
    <row r="4969" spans="1:22" hidden="1" x14ac:dyDescent="0.25">
      <c r="A4969" s="269">
        <v>43711</v>
      </c>
      <c r="B4969" s="270">
        <v>2019</v>
      </c>
      <c r="C4969" s="270">
        <v>2020</v>
      </c>
      <c r="D4969" s="270">
        <v>1</v>
      </c>
      <c r="E4969" s="270">
        <v>1</v>
      </c>
      <c r="F4969" s="270" t="s">
        <v>944</v>
      </c>
      <c r="G4969" s="270" t="s">
        <v>3926</v>
      </c>
      <c r="H4969" s="270" t="s">
        <v>9614</v>
      </c>
      <c r="I4969" s="270" t="s">
        <v>2987</v>
      </c>
      <c r="J4969" s="270" t="s">
        <v>3928</v>
      </c>
      <c r="K4969" s="270">
        <v>6611</v>
      </c>
      <c r="L4969" s="270">
        <v>90200</v>
      </c>
      <c r="M4969" s="270" t="s">
        <v>3943</v>
      </c>
      <c r="N4969" s="270" t="s">
        <v>3944</v>
      </c>
      <c r="O4969" s="270">
        <v>725.27</v>
      </c>
      <c r="P4969" s="270" t="s">
        <v>3944</v>
      </c>
      <c r="Q4969" s="270" t="s">
        <v>3944</v>
      </c>
      <c r="R4969" s="270">
        <v>725.27</v>
      </c>
      <c r="S4969" s="270">
        <v>10627.88</v>
      </c>
      <c r="T4969" s="270">
        <v>11353.15</v>
      </c>
      <c r="U4969" s="271" t="s">
        <v>3945</v>
      </c>
      <c r="V4969" s="267" t="s">
        <v>944</v>
      </c>
    </row>
    <row r="4970" spans="1:22" x14ac:dyDescent="0.25">
      <c r="A4970" s="266">
        <v>43711</v>
      </c>
      <c r="B4970" s="267">
        <v>2019</v>
      </c>
      <c r="C4970" s="267">
        <v>2020</v>
      </c>
      <c r="D4970" s="267">
        <v>1</v>
      </c>
      <c r="E4970" s="267">
        <v>1</v>
      </c>
      <c r="F4970" s="267" t="s">
        <v>944</v>
      </c>
      <c r="G4970" s="267" t="s">
        <v>3926</v>
      </c>
      <c r="H4970" s="267" t="s">
        <v>9615</v>
      </c>
      <c r="I4970" s="267" t="s">
        <v>4019</v>
      </c>
      <c r="J4970" s="267" t="s">
        <v>3928</v>
      </c>
      <c r="K4970" s="267">
        <v>6710</v>
      </c>
      <c r="L4970" s="267">
        <v>350100</v>
      </c>
      <c r="M4970" s="267">
        <v>-60</v>
      </c>
      <c r="N4970" s="267" t="s">
        <v>3944</v>
      </c>
      <c r="O4970" s="267">
        <v>603.12</v>
      </c>
      <c r="P4970" s="267" t="s">
        <v>3944</v>
      </c>
      <c r="Q4970" s="267" t="s">
        <v>3944</v>
      </c>
      <c r="R4970" s="267">
        <v>603.12</v>
      </c>
      <c r="S4970" s="267">
        <v>7862.8</v>
      </c>
      <c r="T4970" s="267">
        <v>8465.92</v>
      </c>
      <c r="U4970" s="268" t="s">
        <v>3945</v>
      </c>
      <c r="V4970" s="267" t="s">
        <v>936</v>
      </c>
    </row>
    <row r="4971" spans="1:22" hidden="1" x14ac:dyDescent="0.25">
      <c r="A4971" s="269">
        <v>43711</v>
      </c>
      <c r="B4971" s="270">
        <v>2019</v>
      </c>
      <c r="C4971" s="270">
        <v>2020</v>
      </c>
      <c r="D4971" s="270">
        <v>1</v>
      </c>
      <c r="E4971" s="270">
        <v>1</v>
      </c>
      <c r="F4971" s="270" t="s">
        <v>944</v>
      </c>
      <c r="G4971" s="270" t="s">
        <v>3926</v>
      </c>
      <c r="H4971" s="270" t="s">
        <v>9616</v>
      </c>
      <c r="I4971" s="270" t="s">
        <v>3996</v>
      </c>
      <c r="J4971" s="270" t="s">
        <v>3928</v>
      </c>
      <c r="K4971" s="270">
        <v>6790</v>
      </c>
      <c r="L4971" s="270">
        <v>310100</v>
      </c>
      <c r="M4971" s="270" t="s">
        <v>3940</v>
      </c>
      <c r="N4971" s="270" t="s">
        <v>3944</v>
      </c>
      <c r="O4971" s="270">
        <v>2011.73</v>
      </c>
      <c r="P4971" s="270" t="s">
        <v>3944</v>
      </c>
      <c r="Q4971" s="270" t="s">
        <v>3944</v>
      </c>
      <c r="R4971" s="270">
        <v>2011.73</v>
      </c>
      <c r="S4971" s="270">
        <v>38843.75</v>
      </c>
      <c r="T4971" s="270">
        <v>40855.480000000003</v>
      </c>
      <c r="U4971" s="271" t="s">
        <v>3945</v>
      </c>
      <c r="V4971" s="267" t="s">
        <v>944</v>
      </c>
    </row>
    <row r="4972" spans="1:22" hidden="1" x14ac:dyDescent="0.25">
      <c r="A4972" s="266">
        <v>43711</v>
      </c>
      <c r="B4972" s="267">
        <v>2019</v>
      </c>
      <c r="C4972" s="267">
        <v>2020</v>
      </c>
      <c r="D4972" s="267">
        <v>1</v>
      </c>
      <c r="E4972" s="267">
        <v>1</v>
      </c>
      <c r="F4972" s="267" t="s">
        <v>944</v>
      </c>
      <c r="G4972" s="267" t="s">
        <v>3926</v>
      </c>
      <c r="H4972" s="267" t="s">
        <v>9617</v>
      </c>
      <c r="I4972" s="267" t="s">
        <v>4323</v>
      </c>
      <c r="J4972" s="267" t="s">
        <v>3928</v>
      </c>
      <c r="K4972" s="267">
        <v>6385</v>
      </c>
      <c r="L4972" s="267">
        <v>693500</v>
      </c>
      <c r="M4972" s="267" t="s">
        <v>3943</v>
      </c>
      <c r="N4972" s="267" t="s">
        <v>3944</v>
      </c>
      <c r="O4972" s="267">
        <v>3331.62</v>
      </c>
      <c r="P4972" s="267" t="s">
        <v>3944</v>
      </c>
      <c r="Q4972" s="267" t="s">
        <v>3944</v>
      </c>
      <c r="R4972" s="267">
        <v>3331.62</v>
      </c>
      <c r="S4972" s="267">
        <v>48931.040000000001</v>
      </c>
      <c r="T4972" s="267">
        <v>52262.66</v>
      </c>
      <c r="U4972" s="268" t="s">
        <v>3945</v>
      </c>
      <c r="V4972" s="267" t="s">
        <v>944</v>
      </c>
    </row>
    <row r="4973" spans="1:22" hidden="1" x14ac:dyDescent="0.25">
      <c r="A4973" s="269">
        <v>43711</v>
      </c>
      <c r="B4973" s="270">
        <v>2019</v>
      </c>
      <c r="C4973" s="270">
        <v>2020</v>
      </c>
      <c r="D4973" s="270">
        <v>1</v>
      </c>
      <c r="E4973" s="270">
        <v>1</v>
      </c>
      <c r="F4973" s="270" t="s">
        <v>944</v>
      </c>
      <c r="G4973" s="270" t="s">
        <v>3926</v>
      </c>
      <c r="H4973" s="270" t="s">
        <v>9618</v>
      </c>
      <c r="I4973" s="270" t="s">
        <v>4269</v>
      </c>
      <c r="J4973" s="270" t="s">
        <v>3928</v>
      </c>
      <c r="K4973" s="270">
        <v>6117</v>
      </c>
      <c r="L4973" s="270">
        <v>497500</v>
      </c>
      <c r="M4973" s="270" t="s">
        <v>3960</v>
      </c>
      <c r="N4973" s="270" t="s">
        <v>3944</v>
      </c>
      <c r="O4973" s="270">
        <v>1398.25</v>
      </c>
      <c r="P4973" s="270" t="s">
        <v>3944</v>
      </c>
      <c r="Q4973" s="270" t="s">
        <v>3944</v>
      </c>
      <c r="R4973" s="270">
        <v>1398.25</v>
      </c>
      <c r="S4973" s="270">
        <v>17716.849999999999</v>
      </c>
      <c r="T4973" s="270">
        <v>19115.099999999999</v>
      </c>
      <c r="U4973" s="271" t="s">
        <v>3945</v>
      </c>
      <c r="V4973" s="267" t="s">
        <v>944</v>
      </c>
    </row>
    <row r="4974" spans="1:22" hidden="1" x14ac:dyDescent="0.25">
      <c r="A4974" s="266">
        <v>43711</v>
      </c>
      <c r="B4974" s="267">
        <v>2019</v>
      </c>
      <c r="C4974" s="267">
        <v>2020</v>
      </c>
      <c r="D4974" s="267">
        <v>1</v>
      </c>
      <c r="E4974" s="267">
        <v>1</v>
      </c>
      <c r="F4974" s="267" t="s">
        <v>944</v>
      </c>
      <c r="G4974" s="267" t="s">
        <v>3926</v>
      </c>
      <c r="H4974" s="267" t="s">
        <v>9619</v>
      </c>
      <c r="I4974" s="267" t="s">
        <v>3956</v>
      </c>
      <c r="J4974" s="267" t="s">
        <v>3928</v>
      </c>
      <c r="K4974" s="267">
        <v>6114</v>
      </c>
      <c r="L4974" s="267">
        <v>502400</v>
      </c>
      <c r="M4974" s="267">
        <v>-60</v>
      </c>
      <c r="N4974" s="267" t="s">
        <v>3944</v>
      </c>
      <c r="O4974" s="267">
        <v>1624.32</v>
      </c>
      <c r="P4974" s="267" t="s">
        <v>3944</v>
      </c>
      <c r="Q4974" s="267" t="s">
        <v>3944</v>
      </c>
      <c r="R4974" s="267">
        <v>1624.32</v>
      </c>
      <c r="S4974" s="267">
        <v>24425.35</v>
      </c>
      <c r="T4974" s="267">
        <v>26049.67</v>
      </c>
      <c r="U4974" s="268" t="s">
        <v>3945</v>
      </c>
      <c r="V4974" s="267" t="s">
        <v>944</v>
      </c>
    </row>
    <row r="4975" spans="1:22" hidden="1" x14ac:dyDescent="0.25">
      <c r="A4975" s="269">
        <v>43711</v>
      </c>
      <c r="B4975" s="270">
        <v>2019</v>
      </c>
      <c r="C4975" s="270">
        <v>2020</v>
      </c>
      <c r="D4975" s="270">
        <v>1</v>
      </c>
      <c r="E4975" s="270">
        <v>1</v>
      </c>
      <c r="F4975" s="270" t="s">
        <v>944</v>
      </c>
      <c r="G4975" s="270" t="s">
        <v>3926</v>
      </c>
      <c r="H4975" s="270" t="s">
        <v>9620</v>
      </c>
      <c r="I4975" s="270" t="s">
        <v>3025</v>
      </c>
      <c r="J4975" s="270" t="s">
        <v>3928</v>
      </c>
      <c r="K4975" s="270">
        <v>6473</v>
      </c>
      <c r="L4975" s="270">
        <v>167300</v>
      </c>
      <c r="M4975" s="270" t="s">
        <v>3943</v>
      </c>
      <c r="N4975" s="270" t="s">
        <v>3944</v>
      </c>
      <c r="O4975" s="270">
        <v>1884.4</v>
      </c>
      <c r="P4975" s="270" t="s">
        <v>3944</v>
      </c>
      <c r="Q4975" s="270" t="s">
        <v>3944</v>
      </c>
      <c r="R4975" s="270">
        <v>1884.4</v>
      </c>
      <c r="S4975" s="270">
        <v>27746.32</v>
      </c>
      <c r="T4975" s="270">
        <v>29630.720000000001</v>
      </c>
      <c r="U4975" s="271" t="s">
        <v>3945</v>
      </c>
      <c r="V4975" s="267" t="s">
        <v>944</v>
      </c>
    </row>
    <row r="4976" spans="1:22" hidden="1" x14ac:dyDescent="0.25">
      <c r="A4976" s="266">
        <v>43711</v>
      </c>
      <c r="B4976" s="267">
        <v>2019</v>
      </c>
      <c r="C4976" s="267">
        <v>2020</v>
      </c>
      <c r="D4976" s="267">
        <v>1</v>
      </c>
      <c r="E4976" s="267">
        <v>1</v>
      </c>
      <c r="F4976" s="267" t="s">
        <v>944</v>
      </c>
      <c r="G4976" s="267" t="s">
        <v>3926</v>
      </c>
      <c r="H4976" s="267" t="s">
        <v>9621</v>
      </c>
      <c r="I4976" s="267" t="s">
        <v>2985</v>
      </c>
      <c r="J4976" s="267" t="s">
        <v>3928</v>
      </c>
      <c r="K4976" s="267">
        <v>6824</v>
      </c>
      <c r="L4976" s="267">
        <v>60900</v>
      </c>
      <c r="M4976" s="267" t="s">
        <v>3943</v>
      </c>
      <c r="N4976" s="267" t="s">
        <v>3944</v>
      </c>
      <c r="O4976" s="267">
        <v>1500.73</v>
      </c>
      <c r="P4976" s="267" t="s">
        <v>3944</v>
      </c>
      <c r="Q4976" s="267" t="s">
        <v>3944</v>
      </c>
      <c r="R4976" s="267">
        <v>1500.73</v>
      </c>
      <c r="S4976" s="267">
        <v>27922.12</v>
      </c>
      <c r="T4976" s="267">
        <v>29422.85</v>
      </c>
      <c r="U4976" s="268" t="s">
        <v>3945</v>
      </c>
      <c r="V4976" s="267" t="s">
        <v>944</v>
      </c>
    </row>
    <row r="4977" spans="1:22" hidden="1" x14ac:dyDescent="0.25">
      <c r="A4977" s="269">
        <v>43711</v>
      </c>
      <c r="B4977" s="270">
        <v>2019</v>
      </c>
      <c r="C4977" s="270">
        <v>2020</v>
      </c>
      <c r="D4977" s="270">
        <v>1</v>
      </c>
      <c r="E4977" s="270">
        <v>1</v>
      </c>
      <c r="F4977" s="270" t="s">
        <v>944</v>
      </c>
      <c r="G4977" s="270" t="s">
        <v>3926</v>
      </c>
      <c r="H4977" s="270" t="s">
        <v>9622</v>
      </c>
      <c r="I4977" s="270" t="s">
        <v>4504</v>
      </c>
      <c r="J4977" s="270" t="s">
        <v>3928</v>
      </c>
      <c r="K4977" s="270">
        <v>6279</v>
      </c>
      <c r="L4977" s="270">
        <v>840100</v>
      </c>
      <c r="M4977" s="270" t="s">
        <v>3935</v>
      </c>
      <c r="N4977" s="270" t="s">
        <v>3944</v>
      </c>
      <c r="O4977" s="270">
        <v>4383.72</v>
      </c>
      <c r="P4977" s="270" t="s">
        <v>3944</v>
      </c>
      <c r="Q4977" s="270" t="s">
        <v>3944</v>
      </c>
      <c r="R4977" s="270">
        <v>4383.72</v>
      </c>
      <c r="S4977" s="270">
        <v>68876.28</v>
      </c>
      <c r="T4977" s="270">
        <v>73260</v>
      </c>
      <c r="U4977" s="271" t="s">
        <v>3945</v>
      </c>
      <c r="V4977" s="267" t="s">
        <v>944</v>
      </c>
    </row>
    <row r="4978" spans="1:22" hidden="1" x14ac:dyDescent="0.25">
      <c r="A4978" s="266">
        <v>43711</v>
      </c>
      <c r="B4978" s="267">
        <v>2019</v>
      </c>
      <c r="C4978" s="267">
        <v>2020</v>
      </c>
      <c r="D4978" s="267">
        <v>1</v>
      </c>
      <c r="E4978" s="267">
        <v>1</v>
      </c>
      <c r="F4978" s="267" t="s">
        <v>944</v>
      </c>
      <c r="G4978" s="267" t="s">
        <v>3926</v>
      </c>
      <c r="H4978" s="267" t="s">
        <v>9623</v>
      </c>
      <c r="I4978" s="267" t="s">
        <v>956</v>
      </c>
      <c r="J4978" s="267" t="s">
        <v>3928</v>
      </c>
      <c r="K4978" s="267">
        <v>6615</v>
      </c>
      <c r="L4978" s="267">
        <v>80500</v>
      </c>
      <c r="M4978" s="267" t="s">
        <v>3960</v>
      </c>
      <c r="N4978" s="267" t="s">
        <v>3944</v>
      </c>
      <c r="O4978" s="267">
        <v>2431.1</v>
      </c>
      <c r="P4978" s="267" t="s">
        <v>3944</v>
      </c>
      <c r="Q4978" s="267" t="s">
        <v>3944</v>
      </c>
      <c r="R4978" s="267">
        <v>2431.1</v>
      </c>
      <c r="S4978" s="267">
        <v>58324.83</v>
      </c>
      <c r="T4978" s="267">
        <v>60755.93</v>
      </c>
      <c r="U4978" s="268" t="s">
        <v>3945</v>
      </c>
      <c r="V4978" s="267" t="s">
        <v>944</v>
      </c>
    </row>
    <row r="4979" spans="1:22" hidden="1" x14ac:dyDescent="0.25">
      <c r="A4979" s="269">
        <v>43712</v>
      </c>
      <c r="B4979" s="270">
        <v>2019</v>
      </c>
      <c r="C4979" s="270">
        <v>2020</v>
      </c>
      <c r="D4979" s="270">
        <v>1</v>
      </c>
      <c r="E4979" s="270">
        <v>1</v>
      </c>
      <c r="F4979" s="270" t="s">
        <v>944</v>
      </c>
      <c r="G4979" s="270" t="s">
        <v>3926</v>
      </c>
      <c r="H4979" s="270" t="s">
        <v>9624</v>
      </c>
      <c r="I4979" s="270" t="s">
        <v>4029</v>
      </c>
      <c r="J4979" s="270" t="s">
        <v>3928</v>
      </c>
      <c r="K4979" s="270">
        <v>6851</v>
      </c>
      <c r="L4979" s="270">
        <v>43400</v>
      </c>
      <c r="M4979" s="270" t="s">
        <v>3935</v>
      </c>
      <c r="N4979" s="270" t="s">
        <v>9625</v>
      </c>
      <c r="O4979" s="270">
        <v>0</v>
      </c>
      <c r="P4979" s="270" t="s">
        <v>3930</v>
      </c>
      <c r="Q4979" s="270" t="s">
        <v>3930</v>
      </c>
      <c r="R4979" s="270">
        <v>0</v>
      </c>
      <c r="S4979" s="270">
        <v>31101</v>
      </c>
      <c r="T4979" s="270">
        <v>31101</v>
      </c>
      <c r="U4979" s="271" t="s">
        <v>3937</v>
      </c>
      <c r="V4979" s="267" t="s">
        <v>944</v>
      </c>
    </row>
    <row r="4980" spans="1:22" hidden="1" x14ac:dyDescent="0.25">
      <c r="A4980" s="266">
        <v>43712</v>
      </c>
      <c r="B4980" s="267">
        <v>2019</v>
      </c>
      <c r="C4980" s="267">
        <v>2020</v>
      </c>
      <c r="D4980" s="267">
        <v>1</v>
      </c>
      <c r="E4980" s="267">
        <v>1</v>
      </c>
      <c r="F4980" s="267" t="s">
        <v>944</v>
      </c>
      <c r="G4980" s="267" t="s">
        <v>3926</v>
      </c>
      <c r="H4980" s="267" t="s">
        <v>9626</v>
      </c>
      <c r="I4980" s="267" t="s">
        <v>4254</v>
      </c>
      <c r="J4980" s="267" t="s">
        <v>3928</v>
      </c>
      <c r="K4980" s="267">
        <v>6076</v>
      </c>
      <c r="L4980" s="267">
        <v>890100</v>
      </c>
      <c r="M4980" s="267" t="s">
        <v>3940</v>
      </c>
      <c r="N4980" s="267" t="s">
        <v>9627</v>
      </c>
      <c r="O4980" s="267">
        <v>0</v>
      </c>
      <c r="P4980" s="267" t="s">
        <v>3930</v>
      </c>
      <c r="Q4980" s="267" t="s">
        <v>3930</v>
      </c>
      <c r="R4980" s="267">
        <v>0</v>
      </c>
      <c r="S4980" s="267">
        <v>12450</v>
      </c>
      <c r="T4980" s="267">
        <v>12450</v>
      </c>
      <c r="U4980" s="268" t="s">
        <v>3937</v>
      </c>
      <c r="V4980" s="267" t="s">
        <v>944</v>
      </c>
    </row>
    <row r="4981" spans="1:22" hidden="1" x14ac:dyDescent="0.25">
      <c r="A4981" s="269">
        <v>43712</v>
      </c>
      <c r="B4981" s="270">
        <v>2019</v>
      </c>
      <c r="C4981" s="270">
        <v>2020</v>
      </c>
      <c r="D4981" s="270">
        <v>1</v>
      </c>
      <c r="E4981" s="270">
        <v>1</v>
      </c>
      <c r="F4981" s="270" t="s">
        <v>944</v>
      </c>
      <c r="G4981" s="270" t="s">
        <v>3926</v>
      </c>
      <c r="H4981" s="270" t="s">
        <v>9628</v>
      </c>
      <c r="I4981" s="270" t="s">
        <v>4037</v>
      </c>
      <c r="J4981" s="270" t="s">
        <v>3928</v>
      </c>
      <c r="K4981" s="270">
        <v>6811</v>
      </c>
      <c r="L4981" s="270">
        <v>211200</v>
      </c>
      <c r="M4981" s="270" t="s">
        <v>3960</v>
      </c>
      <c r="N4981" s="270" t="s">
        <v>9629</v>
      </c>
      <c r="O4981" s="270">
        <v>0</v>
      </c>
      <c r="P4981" s="270" t="s">
        <v>3930</v>
      </c>
      <c r="Q4981" s="270" t="s">
        <v>3930</v>
      </c>
      <c r="R4981" s="270">
        <v>0</v>
      </c>
      <c r="S4981" s="270">
        <v>15975</v>
      </c>
      <c r="T4981" s="270">
        <v>15975</v>
      </c>
      <c r="U4981" s="271" t="s">
        <v>3937</v>
      </c>
      <c r="V4981" s="267" t="s">
        <v>944</v>
      </c>
    </row>
    <row r="4982" spans="1:22" hidden="1" x14ac:dyDescent="0.25">
      <c r="A4982" s="266">
        <v>43712</v>
      </c>
      <c r="B4982" s="267">
        <v>2019</v>
      </c>
      <c r="C4982" s="267">
        <v>2020</v>
      </c>
      <c r="D4982" s="267">
        <v>1</v>
      </c>
      <c r="E4982" s="267">
        <v>1</v>
      </c>
      <c r="F4982" s="267" t="s">
        <v>944</v>
      </c>
      <c r="G4982" s="267" t="s">
        <v>3926</v>
      </c>
      <c r="H4982" s="267" t="s">
        <v>9630</v>
      </c>
      <c r="I4982" s="267" t="s">
        <v>3990</v>
      </c>
      <c r="J4982" s="267" t="s">
        <v>3928</v>
      </c>
      <c r="K4982" s="267">
        <v>6804</v>
      </c>
      <c r="L4982" s="267">
        <v>205200</v>
      </c>
      <c r="M4982" s="267" t="s">
        <v>3943</v>
      </c>
      <c r="N4982" s="267" t="s">
        <v>4464</v>
      </c>
      <c r="O4982" s="267">
        <v>0</v>
      </c>
      <c r="P4982" s="267" t="s">
        <v>3930</v>
      </c>
      <c r="Q4982" s="267" t="s">
        <v>3930</v>
      </c>
      <c r="R4982" s="267">
        <v>0</v>
      </c>
      <c r="S4982" s="267">
        <v>12400</v>
      </c>
      <c r="T4982" s="267">
        <v>12400</v>
      </c>
      <c r="U4982" s="268" t="s">
        <v>3937</v>
      </c>
      <c r="V4982" s="267" t="s">
        <v>944</v>
      </c>
    </row>
    <row r="4983" spans="1:22" hidden="1" x14ac:dyDescent="0.25">
      <c r="A4983" s="269">
        <v>43712</v>
      </c>
      <c r="B4983" s="270">
        <v>2019</v>
      </c>
      <c r="C4983" s="270">
        <v>2020</v>
      </c>
      <c r="D4983" s="270">
        <v>1</v>
      </c>
      <c r="E4983" s="270">
        <v>1</v>
      </c>
      <c r="F4983" s="270" t="s">
        <v>944</v>
      </c>
      <c r="G4983" s="270" t="s">
        <v>3926</v>
      </c>
      <c r="H4983" s="270" t="s">
        <v>9631</v>
      </c>
      <c r="I4983" s="270" t="s">
        <v>3008</v>
      </c>
      <c r="J4983" s="270" t="s">
        <v>3928</v>
      </c>
      <c r="K4983" s="270">
        <v>6460</v>
      </c>
      <c r="L4983" s="270">
        <v>150300</v>
      </c>
      <c r="M4983" s="270" t="s">
        <v>3960</v>
      </c>
      <c r="N4983" s="270" t="s">
        <v>4103</v>
      </c>
      <c r="O4983" s="270">
        <v>1524.57</v>
      </c>
      <c r="P4983" s="270" t="s">
        <v>3930</v>
      </c>
      <c r="Q4983" s="270" t="s">
        <v>3931</v>
      </c>
      <c r="R4983" s="270">
        <v>6524.57</v>
      </c>
      <c r="S4983" s="270">
        <v>24145.599999999999</v>
      </c>
      <c r="T4983" s="270">
        <v>30670.17</v>
      </c>
      <c r="U4983" s="271" t="s">
        <v>3932</v>
      </c>
      <c r="V4983" s="267" t="s">
        <v>944</v>
      </c>
    </row>
    <row r="4984" spans="1:22" hidden="1" x14ac:dyDescent="0.25">
      <c r="A4984" s="266">
        <v>43712</v>
      </c>
      <c r="B4984" s="267">
        <v>2019</v>
      </c>
      <c r="C4984" s="267">
        <v>2020</v>
      </c>
      <c r="D4984" s="267">
        <v>1</v>
      </c>
      <c r="E4984" s="267">
        <v>1</v>
      </c>
      <c r="F4984" s="267" t="s">
        <v>944</v>
      </c>
      <c r="G4984" s="267" t="s">
        <v>3926</v>
      </c>
      <c r="H4984" s="267" t="s">
        <v>9632</v>
      </c>
      <c r="I4984" s="267" t="s">
        <v>2987</v>
      </c>
      <c r="J4984" s="267" t="s">
        <v>3928</v>
      </c>
      <c r="K4984" s="267">
        <v>6611</v>
      </c>
      <c r="L4984" s="267">
        <v>90500</v>
      </c>
      <c r="M4984" s="267" t="s">
        <v>3943</v>
      </c>
      <c r="N4984" s="267" t="s">
        <v>3944</v>
      </c>
      <c r="O4984" s="267">
        <v>3484</v>
      </c>
      <c r="P4984" s="267" t="s">
        <v>3944</v>
      </c>
      <c r="Q4984" s="267" t="s">
        <v>3944</v>
      </c>
      <c r="R4984" s="267">
        <v>3484</v>
      </c>
      <c r="S4984" s="267">
        <v>27090.5</v>
      </c>
      <c r="T4984" s="267">
        <v>30574.5</v>
      </c>
      <c r="U4984" s="268" t="s">
        <v>3945</v>
      </c>
      <c r="V4984" s="267" t="s">
        <v>944</v>
      </c>
    </row>
    <row r="4985" spans="1:22" hidden="1" x14ac:dyDescent="0.25">
      <c r="A4985" s="269">
        <v>43712</v>
      </c>
      <c r="B4985" s="270">
        <v>2019</v>
      </c>
      <c r="C4985" s="270">
        <v>2020</v>
      </c>
      <c r="D4985" s="270">
        <v>1</v>
      </c>
      <c r="E4985" s="270">
        <v>1</v>
      </c>
      <c r="F4985" s="270" t="s">
        <v>944</v>
      </c>
      <c r="G4985" s="270" t="s">
        <v>3926</v>
      </c>
      <c r="H4985" s="270" t="s">
        <v>9633</v>
      </c>
      <c r="I4985" s="270" t="s">
        <v>3962</v>
      </c>
      <c r="J4985" s="270" t="s">
        <v>3928</v>
      </c>
      <c r="K4985" s="270">
        <v>6355</v>
      </c>
      <c r="L4985" s="270">
        <v>703000</v>
      </c>
      <c r="M4985" s="270" t="s">
        <v>3960</v>
      </c>
      <c r="N4985" s="270" t="s">
        <v>3944</v>
      </c>
      <c r="O4985" s="270">
        <v>4164</v>
      </c>
      <c r="P4985" s="270" t="s">
        <v>3944</v>
      </c>
      <c r="Q4985" s="270" t="s">
        <v>3944</v>
      </c>
      <c r="R4985" s="270">
        <v>4164</v>
      </c>
      <c r="S4985" s="270">
        <v>34380</v>
      </c>
      <c r="T4985" s="270">
        <v>38544</v>
      </c>
      <c r="U4985" s="271" t="s">
        <v>3945</v>
      </c>
      <c r="V4985" s="267" t="s">
        <v>944</v>
      </c>
    </row>
    <row r="4986" spans="1:22" x14ac:dyDescent="0.25">
      <c r="A4986" s="266">
        <v>43712</v>
      </c>
      <c r="B4986" s="267">
        <v>2019</v>
      </c>
      <c r="C4986" s="267">
        <v>2020</v>
      </c>
      <c r="D4986" s="267">
        <v>1</v>
      </c>
      <c r="E4986" s="267">
        <v>1</v>
      </c>
      <c r="F4986" s="267" t="s">
        <v>944</v>
      </c>
      <c r="G4986" s="267" t="s">
        <v>3926</v>
      </c>
      <c r="H4986" s="267" t="s">
        <v>9634</v>
      </c>
      <c r="I4986" s="267" t="s">
        <v>934</v>
      </c>
      <c r="J4986" s="267" t="s">
        <v>3928</v>
      </c>
      <c r="K4986" s="267">
        <v>6610</v>
      </c>
      <c r="L4986" s="267">
        <v>73400</v>
      </c>
      <c r="M4986" s="267" t="s">
        <v>3940</v>
      </c>
      <c r="N4986" s="267" t="s">
        <v>3944</v>
      </c>
      <c r="O4986" s="267">
        <v>1947</v>
      </c>
      <c r="P4986" s="267" t="s">
        <v>3944</v>
      </c>
      <c r="Q4986" s="267" t="s">
        <v>3944</v>
      </c>
      <c r="R4986" s="267">
        <v>1947</v>
      </c>
      <c r="S4986" s="267">
        <v>24603</v>
      </c>
      <c r="T4986" s="267">
        <v>26550</v>
      </c>
      <c r="U4986" s="268" t="s">
        <v>3945</v>
      </c>
      <c r="V4986" s="276" t="s">
        <v>936</v>
      </c>
    </row>
    <row r="4987" spans="1:22" hidden="1" x14ac:dyDescent="0.25">
      <c r="A4987" s="269">
        <v>43712</v>
      </c>
      <c r="B4987" s="270">
        <v>2019</v>
      </c>
      <c r="C4987" s="270">
        <v>2020</v>
      </c>
      <c r="D4987" s="270">
        <v>1</v>
      </c>
      <c r="E4987" s="270">
        <v>1</v>
      </c>
      <c r="F4987" s="270" t="s">
        <v>944</v>
      </c>
      <c r="G4987" s="270" t="s">
        <v>3926</v>
      </c>
      <c r="H4987" s="270" t="s">
        <v>9635</v>
      </c>
      <c r="I4987" s="270" t="s">
        <v>4079</v>
      </c>
      <c r="J4987" s="270" t="s">
        <v>3928</v>
      </c>
      <c r="K4987" s="270">
        <v>6111</v>
      </c>
      <c r="L4987" s="270">
        <v>494500</v>
      </c>
      <c r="M4987" s="270" t="s">
        <v>3960</v>
      </c>
      <c r="N4987" s="270" t="s">
        <v>3944</v>
      </c>
      <c r="O4987" s="270">
        <v>3574</v>
      </c>
      <c r="P4987" s="270" t="s">
        <v>3944</v>
      </c>
      <c r="Q4987" s="270" t="s">
        <v>3944</v>
      </c>
      <c r="R4987" s="270">
        <v>3574</v>
      </c>
      <c r="S4987" s="270">
        <v>27338</v>
      </c>
      <c r="T4987" s="270">
        <v>30912</v>
      </c>
      <c r="U4987" s="271" t="s">
        <v>3945</v>
      </c>
      <c r="V4987" s="267" t="s">
        <v>944</v>
      </c>
    </row>
    <row r="4988" spans="1:22" hidden="1" x14ac:dyDescent="0.25">
      <c r="A4988" s="266">
        <v>43712</v>
      </c>
      <c r="B4988" s="267">
        <v>2019</v>
      </c>
      <c r="C4988" s="267">
        <v>2020</v>
      </c>
      <c r="D4988" s="267">
        <v>1</v>
      </c>
      <c r="E4988" s="267">
        <v>1</v>
      </c>
      <c r="F4988" s="267" t="s">
        <v>944</v>
      </c>
      <c r="G4988" s="267" t="s">
        <v>3926</v>
      </c>
      <c r="H4988" s="267" t="s">
        <v>9636</v>
      </c>
      <c r="I4988" s="267" t="s">
        <v>3012</v>
      </c>
      <c r="J4988" s="267" t="s">
        <v>3928</v>
      </c>
      <c r="K4988" s="267">
        <v>6477</v>
      </c>
      <c r="L4988" s="267">
        <v>157300</v>
      </c>
      <c r="M4988" s="267" t="s">
        <v>3943</v>
      </c>
      <c r="N4988" s="267" t="s">
        <v>3944</v>
      </c>
      <c r="O4988" s="267">
        <v>3905</v>
      </c>
      <c r="P4988" s="267" t="s">
        <v>3944</v>
      </c>
      <c r="Q4988" s="267" t="s">
        <v>3944</v>
      </c>
      <c r="R4988" s="267">
        <v>3905</v>
      </c>
      <c r="S4988" s="267">
        <v>41483.199999999997</v>
      </c>
      <c r="T4988" s="267">
        <v>45388.2</v>
      </c>
      <c r="U4988" s="268" t="s">
        <v>3945</v>
      </c>
      <c r="V4988" s="267" t="s">
        <v>944</v>
      </c>
    </row>
    <row r="4989" spans="1:22" hidden="1" x14ac:dyDescent="0.25">
      <c r="A4989" s="269">
        <v>43712</v>
      </c>
      <c r="B4989" s="270">
        <v>2019</v>
      </c>
      <c r="C4989" s="270">
        <v>2020</v>
      </c>
      <c r="D4989" s="270">
        <v>1</v>
      </c>
      <c r="E4989" s="270">
        <v>1</v>
      </c>
      <c r="F4989" s="270" t="s">
        <v>944</v>
      </c>
      <c r="G4989" s="270" t="s">
        <v>3926</v>
      </c>
      <c r="H4989" s="270" t="s">
        <v>9637</v>
      </c>
      <c r="I4989" s="270" t="s">
        <v>943</v>
      </c>
      <c r="J4989" s="270" t="s">
        <v>3928</v>
      </c>
      <c r="K4989" s="270">
        <v>6515</v>
      </c>
      <c r="L4989" s="270">
        <v>141100</v>
      </c>
      <c r="M4989" s="270" t="s">
        <v>3960</v>
      </c>
      <c r="N4989" s="270" t="s">
        <v>3944</v>
      </c>
      <c r="O4989" s="270">
        <v>2663</v>
      </c>
      <c r="P4989" s="270" t="s">
        <v>3944</v>
      </c>
      <c r="Q4989" s="270" t="s">
        <v>3944</v>
      </c>
      <c r="R4989" s="270">
        <v>2663</v>
      </c>
      <c r="S4989" s="270">
        <v>19082.5</v>
      </c>
      <c r="T4989" s="270">
        <v>21745.5</v>
      </c>
      <c r="U4989" s="271" t="s">
        <v>3945</v>
      </c>
      <c r="V4989" s="267" t="s">
        <v>944</v>
      </c>
    </row>
    <row r="4990" spans="1:22" hidden="1" x14ac:dyDescent="0.25">
      <c r="A4990" s="266">
        <v>43712</v>
      </c>
      <c r="B4990" s="267">
        <v>2019</v>
      </c>
      <c r="C4990" s="267">
        <v>2020</v>
      </c>
      <c r="D4990" s="267">
        <v>1</v>
      </c>
      <c r="E4990" s="267">
        <v>1</v>
      </c>
      <c r="F4990" s="267" t="s">
        <v>944</v>
      </c>
      <c r="G4990" s="267" t="s">
        <v>3926</v>
      </c>
      <c r="H4990" s="267" t="s">
        <v>9638</v>
      </c>
      <c r="I4990" s="267" t="s">
        <v>950</v>
      </c>
      <c r="J4990" s="267" t="s">
        <v>3928</v>
      </c>
      <c r="K4990" s="267">
        <v>6516</v>
      </c>
      <c r="L4990" s="267">
        <v>154700</v>
      </c>
      <c r="M4990" s="267" t="s">
        <v>3960</v>
      </c>
      <c r="N4990" s="267" t="s">
        <v>3944</v>
      </c>
      <c r="O4990" s="267">
        <v>5420</v>
      </c>
      <c r="P4990" s="267" t="s">
        <v>3944</v>
      </c>
      <c r="Q4990" s="267" t="s">
        <v>3944</v>
      </c>
      <c r="R4990" s="267">
        <v>5420</v>
      </c>
      <c r="S4990" s="267">
        <v>43011.25</v>
      </c>
      <c r="T4990" s="267">
        <v>48431.25</v>
      </c>
      <c r="U4990" s="268" t="s">
        <v>3945</v>
      </c>
      <c r="V4990" s="267" t="s">
        <v>944</v>
      </c>
    </row>
    <row r="4991" spans="1:22" hidden="1" x14ac:dyDescent="0.25">
      <c r="A4991" s="269">
        <v>43712</v>
      </c>
      <c r="B4991" s="270">
        <v>2019</v>
      </c>
      <c r="C4991" s="270">
        <v>2020</v>
      </c>
      <c r="D4991" s="270">
        <v>1</v>
      </c>
      <c r="E4991" s="270">
        <v>1</v>
      </c>
      <c r="F4991" s="270" t="s">
        <v>944</v>
      </c>
      <c r="G4991" s="270" t="s">
        <v>3926</v>
      </c>
      <c r="H4991" s="270" t="s">
        <v>9639</v>
      </c>
      <c r="I4991" s="270" t="s">
        <v>4269</v>
      </c>
      <c r="J4991" s="270" t="s">
        <v>3928</v>
      </c>
      <c r="K4991" s="270">
        <v>6110</v>
      </c>
      <c r="L4991" s="270">
        <v>496200</v>
      </c>
      <c r="M4991" s="270" t="s">
        <v>3935</v>
      </c>
      <c r="N4991" s="270" t="s">
        <v>3944</v>
      </c>
      <c r="O4991" s="270">
        <v>1899</v>
      </c>
      <c r="P4991" s="270" t="s">
        <v>3944</v>
      </c>
      <c r="Q4991" s="270" t="s">
        <v>3944</v>
      </c>
      <c r="R4991" s="270">
        <v>1899</v>
      </c>
      <c r="S4991" s="270">
        <v>27369</v>
      </c>
      <c r="T4991" s="270">
        <v>29268</v>
      </c>
      <c r="U4991" s="271" t="s">
        <v>3945</v>
      </c>
      <c r="V4991" s="267" t="s">
        <v>944</v>
      </c>
    </row>
    <row r="4992" spans="1:22" hidden="1" x14ac:dyDescent="0.25">
      <c r="A4992" s="266">
        <v>43712</v>
      </c>
      <c r="B4992" s="267">
        <v>2019</v>
      </c>
      <c r="C4992" s="267">
        <v>2020</v>
      </c>
      <c r="D4992" s="267">
        <v>1</v>
      </c>
      <c r="E4992" s="267">
        <v>1</v>
      </c>
      <c r="F4992" s="267" t="s">
        <v>944</v>
      </c>
      <c r="G4992" s="267" t="s">
        <v>3926</v>
      </c>
      <c r="H4992" s="267" t="s">
        <v>9640</v>
      </c>
      <c r="I4992" s="267" t="s">
        <v>4269</v>
      </c>
      <c r="J4992" s="267" t="s">
        <v>3928</v>
      </c>
      <c r="K4992" s="267">
        <v>6117</v>
      </c>
      <c r="L4992" s="267">
        <v>497400</v>
      </c>
      <c r="M4992" s="267" t="s">
        <v>3943</v>
      </c>
      <c r="N4992" s="267" t="s">
        <v>3944</v>
      </c>
      <c r="O4992" s="267">
        <v>3969</v>
      </c>
      <c r="P4992" s="267" t="s">
        <v>3944</v>
      </c>
      <c r="Q4992" s="267" t="s">
        <v>3944</v>
      </c>
      <c r="R4992" s="267">
        <v>3969</v>
      </c>
      <c r="S4992" s="267">
        <v>32148.67</v>
      </c>
      <c r="T4992" s="267">
        <v>36117.67</v>
      </c>
      <c r="U4992" s="268" t="s">
        <v>3945</v>
      </c>
      <c r="V4992" s="267" t="s">
        <v>944</v>
      </c>
    </row>
    <row r="4993" spans="1:22" hidden="1" x14ac:dyDescent="0.25">
      <c r="A4993" s="269">
        <v>43712</v>
      </c>
      <c r="B4993" s="270">
        <v>2019</v>
      </c>
      <c r="C4993" s="270">
        <v>2020</v>
      </c>
      <c r="D4993" s="270">
        <v>1</v>
      </c>
      <c r="E4993" s="270">
        <v>1</v>
      </c>
      <c r="F4993" s="270" t="s">
        <v>944</v>
      </c>
      <c r="G4993" s="270" t="s">
        <v>3926</v>
      </c>
      <c r="H4993" s="270" t="s">
        <v>9641</v>
      </c>
      <c r="I4993" s="270" t="s">
        <v>4005</v>
      </c>
      <c r="J4993" s="270" t="s">
        <v>3928</v>
      </c>
      <c r="K4993" s="270">
        <v>6108</v>
      </c>
      <c r="L4993" s="270">
        <v>511200</v>
      </c>
      <c r="M4993" s="270">
        <v>-60</v>
      </c>
      <c r="N4993" s="270" t="s">
        <v>3944</v>
      </c>
      <c r="O4993" s="270">
        <v>2010</v>
      </c>
      <c r="P4993" s="270" t="s">
        <v>3944</v>
      </c>
      <c r="Q4993" s="270" t="s">
        <v>3944</v>
      </c>
      <c r="R4993" s="270">
        <v>2010</v>
      </c>
      <c r="S4993" s="270">
        <v>16417.5</v>
      </c>
      <c r="T4993" s="270">
        <v>18427.5</v>
      </c>
      <c r="U4993" s="271" t="s">
        <v>3945</v>
      </c>
      <c r="V4993" s="267" t="s">
        <v>944</v>
      </c>
    </row>
    <row r="4994" spans="1:22" hidden="1" x14ac:dyDescent="0.25">
      <c r="A4994" s="266">
        <v>43712</v>
      </c>
      <c r="B4994" s="267">
        <v>2019</v>
      </c>
      <c r="C4994" s="267">
        <v>2020</v>
      </c>
      <c r="D4994" s="267">
        <v>1</v>
      </c>
      <c r="E4994" s="267">
        <v>1</v>
      </c>
      <c r="F4994" s="267" t="s">
        <v>944</v>
      </c>
      <c r="G4994" s="267" t="s">
        <v>3926</v>
      </c>
      <c r="H4994" s="267" t="s">
        <v>9642</v>
      </c>
      <c r="I4994" s="267" t="s">
        <v>4079</v>
      </c>
      <c r="J4994" s="267" t="s">
        <v>3928</v>
      </c>
      <c r="K4994" s="267">
        <v>6111</v>
      </c>
      <c r="L4994" s="267">
        <v>494600</v>
      </c>
      <c r="M4994" s="267" t="s">
        <v>3935</v>
      </c>
      <c r="N4994" s="267" t="s">
        <v>3944</v>
      </c>
      <c r="O4994" s="267">
        <v>3364</v>
      </c>
      <c r="P4994" s="267" t="s">
        <v>3944</v>
      </c>
      <c r="Q4994" s="267" t="s">
        <v>3944</v>
      </c>
      <c r="R4994" s="267">
        <v>3364</v>
      </c>
      <c r="S4994" s="267">
        <v>26458.400000000001</v>
      </c>
      <c r="T4994" s="267">
        <v>29822.400000000001</v>
      </c>
      <c r="U4994" s="268" t="s">
        <v>3945</v>
      </c>
      <c r="V4994" s="267" t="s">
        <v>944</v>
      </c>
    </row>
    <row r="4995" spans="1:22" hidden="1" x14ac:dyDescent="0.25">
      <c r="A4995" s="269">
        <v>43712</v>
      </c>
      <c r="B4995" s="270">
        <v>2019</v>
      </c>
      <c r="C4995" s="270">
        <v>2020</v>
      </c>
      <c r="D4995" s="270">
        <v>1</v>
      </c>
      <c r="E4995" s="270">
        <v>1</v>
      </c>
      <c r="F4995" s="270" t="s">
        <v>944</v>
      </c>
      <c r="G4995" s="270" t="s">
        <v>3926</v>
      </c>
      <c r="H4995" s="270" t="s">
        <v>9643</v>
      </c>
      <c r="I4995" s="270" t="s">
        <v>4461</v>
      </c>
      <c r="J4995" s="270" t="s">
        <v>3928</v>
      </c>
      <c r="K4995" s="270">
        <v>6831</v>
      </c>
      <c r="L4995" s="270">
        <v>10400</v>
      </c>
      <c r="M4995" s="270" t="s">
        <v>3943</v>
      </c>
      <c r="N4995" s="270" t="s">
        <v>3944</v>
      </c>
      <c r="O4995" s="270">
        <v>1444</v>
      </c>
      <c r="P4995" s="270" t="s">
        <v>3944</v>
      </c>
      <c r="Q4995" s="270" t="s">
        <v>3944</v>
      </c>
      <c r="R4995" s="270">
        <v>1444</v>
      </c>
      <c r="S4995" s="270">
        <v>18034.169999999998</v>
      </c>
      <c r="T4995" s="270">
        <v>19478.169999999998</v>
      </c>
      <c r="U4995" s="271" t="s">
        <v>3945</v>
      </c>
      <c r="V4995" s="267" t="s">
        <v>944</v>
      </c>
    </row>
    <row r="4996" spans="1:22" hidden="1" x14ac:dyDescent="0.25">
      <c r="A4996" s="266">
        <v>43712</v>
      </c>
      <c r="B4996" s="267">
        <v>2019</v>
      </c>
      <c r="C4996" s="267">
        <v>2020</v>
      </c>
      <c r="D4996" s="267">
        <v>1</v>
      </c>
      <c r="E4996" s="267">
        <v>1</v>
      </c>
      <c r="F4996" s="267" t="s">
        <v>944</v>
      </c>
      <c r="G4996" s="267" t="s">
        <v>3926</v>
      </c>
      <c r="H4996" s="267" t="s">
        <v>9644</v>
      </c>
      <c r="I4996" s="267" t="s">
        <v>3964</v>
      </c>
      <c r="J4996" s="267" t="s">
        <v>3928</v>
      </c>
      <c r="K4996" s="267">
        <v>6033</v>
      </c>
      <c r="L4996" s="267">
        <v>520100</v>
      </c>
      <c r="M4996" s="267" t="s">
        <v>3943</v>
      </c>
      <c r="N4996" s="267" t="s">
        <v>3944</v>
      </c>
      <c r="O4996" s="267">
        <v>726.11</v>
      </c>
      <c r="P4996" s="267" t="s">
        <v>3944</v>
      </c>
      <c r="Q4996" s="267" t="s">
        <v>3944</v>
      </c>
      <c r="R4996" s="267">
        <v>726.11</v>
      </c>
      <c r="S4996" s="267">
        <v>6524.89</v>
      </c>
      <c r="T4996" s="267">
        <v>7251</v>
      </c>
      <c r="U4996" s="268" t="s">
        <v>3945</v>
      </c>
      <c r="V4996" s="267" t="s">
        <v>944</v>
      </c>
    </row>
    <row r="4997" spans="1:22" hidden="1" x14ac:dyDescent="0.25">
      <c r="A4997" s="269">
        <v>43712</v>
      </c>
      <c r="B4997" s="270">
        <v>2019</v>
      </c>
      <c r="C4997" s="270">
        <v>2020</v>
      </c>
      <c r="D4997" s="270">
        <v>1</v>
      </c>
      <c r="E4997" s="270">
        <v>1</v>
      </c>
      <c r="F4997" s="270" t="s">
        <v>944</v>
      </c>
      <c r="G4997" s="270" t="s">
        <v>3926</v>
      </c>
      <c r="H4997" s="270" t="s">
        <v>9645</v>
      </c>
      <c r="I4997" s="270" t="s">
        <v>934</v>
      </c>
      <c r="J4997" s="270" t="s">
        <v>3928</v>
      </c>
      <c r="K4997" s="270">
        <v>6606</v>
      </c>
      <c r="L4997" s="270">
        <v>72900</v>
      </c>
      <c r="M4997" s="270" t="s">
        <v>3940</v>
      </c>
      <c r="N4997" s="270" t="s">
        <v>3944</v>
      </c>
      <c r="O4997" s="270">
        <v>1562.33</v>
      </c>
      <c r="P4997" s="270" t="s">
        <v>3944</v>
      </c>
      <c r="Q4997" s="270" t="s">
        <v>3944</v>
      </c>
      <c r="R4997" s="270">
        <v>1562.33</v>
      </c>
      <c r="S4997" s="270">
        <v>11971.67</v>
      </c>
      <c r="T4997" s="270">
        <v>13534</v>
      </c>
      <c r="U4997" s="271" t="s">
        <v>3945</v>
      </c>
      <c r="V4997" s="267" t="s">
        <v>944</v>
      </c>
    </row>
    <row r="4998" spans="1:22" hidden="1" x14ac:dyDescent="0.25">
      <c r="A4998" s="266">
        <v>43712</v>
      </c>
      <c r="B4998" s="267">
        <v>2019</v>
      </c>
      <c r="C4998" s="267">
        <v>2020</v>
      </c>
      <c r="D4998" s="267">
        <v>1</v>
      </c>
      <c r="E4998" s="267">
        <v>1</v>
      </c>
      <c r="F4998" s="267" t="s">
        <v>944</v>
      </c>
      <c r="G4998" s="267" t="s">
        <v>3926</v>
      </c>
      <c r="H4998" s="267" t="s">
        <v>9646</v>
      </c>
      <c r="I4998" s="267" t="s">
        <v>4239</v>
      </c>
      <c r="J4998" s="267" t="s">
        <v>3928</v>
      </c>
      <c r="K4998" s="267">
        <v>6032</v>
      </c>
      <c r="L4998" s="267">
        <v>460204</v>
      </c>
      <c r="M4998" s="267" t="s">
        <v>3935</v>
      </c>
      <c r="N4998" s="267" t="s">
        <v>3944</v>
      </c>
      <c r="O4998" s="267">
        <v>3160.92</v>
      </c>
      <c r="P4998" s="267" t="s">
        <v>3944</v>
      </c>
      <c r="Q4998" s="267" t="s">
        <v>3944</v>
      </c>
      <c r="R4998" s="267">
        <v>3160.92</v>
      </c>
      <c r="S4998" s="267">
        <v>18211.080000000002</v>
      </c>
      <c r="T4998" s="267">
        <v>21372</v>
      </c>
      <c r="U4998" s="268" t="s">
        <v>3945</v>
      </c>
      <c r="V4998" s="267" t="s">
        <v>944</v>
      </c>
    </row>
    <row r="4999" spans="1:22" hidden="1" x14ac:dyDescent="0.25">
      <c r="A4999" s="269">
        <v>43712</v>
      </c>
      <c r="B4999" s="270">
        <v>2019</v>
      </c>
      <c r="C4999" s="270">
        <v>2020</v>
      </c>
      <c r="D4999" s="270">
        <v>1</v>
      </c>
      <c r="E4999" s="270">
        <v>1</v>
      </c>
      <c r="F4999" s="270" t="s">
        <v>944</v>
      </c>
      <c r="G4999" s="270" t="s">
        <v>3926</v>
      </c>
      <c r="H4999" s="270" t="s">
        <v>9647</v>
      </c>
      <c r="I4999" s="270" t="s">
        <v>4108</v>
      </c>
      <c r="J4999" s="270" t="s">
        <v>3928</v>
      </c>
      <c r="K4999" s="270">
        <v>6082</v>
      </c>
      <c r="L4999" s="270">
        <v>480900</v>
      </c>
      <c r="M4999" s="270" t="s">
        <v>3960</v>
      </c>
      <c r="N4999" s="270" t="s">
        <v>3944</v>
      </c>
      <c r="O4999" s="270">
        <v>1920.28</v>
      </c>
      <c r="P4999" s="270" t="s">
        <v>3944</v>
      </c>
      <c r="Q4999" s="270" t="s">
        <v>3944</v>
      </c>
      <c r="R4999" s="270">
        <v>1920.28</v>
      </c>
      <c r="S4999" s="270">
        <v>26923.69</v>
      </c>
      <c r="T4999" s="270">
        <v>28843.97</v>
      </c>
      <c r="U4999" s="271" t="s">
        <v>3945</v>
      </c>
      <c r="V4999" s="267" t="s">
        <v>944</v>
      </c>
    </row>
    <row r="5000" spans="1:22" hidden="1" x14ac:dyDescent="0.25">
      <c r="A5000" s="266">
        <v>43712</v>
      </c>
      <c r="B5000" s="267">
        <v>2019</v>
      </c>
      <c r="C5000" s="267">
        <v>2020</v>
      </c>
      <c r="D5000" s="267">
        <v>1</v>
      </c>
      <c r="E5000" s="267">
        <v>1</v>
      </c>
      <c r="F5000" s="267" t="s">
        <v>944</v>
      </c>
      <c r="G5000" s="267" t="s">
        <v>3926</v>
      </c>
      <c r="H5000" s="267" t="s">
        <v>9648</v>
      </c>
      <c r="I5000" s="267" t="s">
        <v>3956</v>
      </c>
      <c r="J5000" s="267" t="s">
        <v>3928</v>
      </c>
      <c r="K5000" s="267">
        <v>6112</v>
      </c>
      <c r="L5000" s="267">
        <v>503900</v>
      </c>
      <c r="M5000" s="267">
        <v>-60</v>
      </c>
      <c r="N5000" s="267" t="s">
        <v>3944</v>
      </c>
      <c r="O5000" s="267">
        <v>650.20000000000005</v>
      </c>
      <c r="P5000" s="267" t="s">
        <v>3944</v>
      </c>
      <c r="Q5000" s="267" t="s">
        <v>3944</v>
      </c>
      <c r="R5000" s="267">
        <v>650.20000000000005</v>
      </c>
      <c r="S5000" s="267">
        <v>9721.42</v>
      </c>
      <c r="T5000" s="267">
        <v>10371.620000000001</v>
      </c>
      <c r="U5000" s="268" t="s">
        <v>3945</v>
      </c>
      <c r="V5000" s="267" t="s">
        <v>944</v>
      </c>
    </row>
    <row r="5001" spans="1:22" hidden="1" x14ac:dyDescent="0.25">
      <c r="A5001" s="269">
        <v>43712</v>
      </c>
      <c r="B5001" s="270">
        <v>2019</v>
      </c>
      <c r="C5001" s="270">
        <v>2020</v>
      </c>
      <c r="D5001" s="270">
        <v>1</v>
      </c>
      <c r="E5001" s="270">
        <v>1</v>
      </c>
      <c r="F5001" s="270" t="s">
        <v>944</v>
      </c>
      <c r="G5001" s="270" t="s">
        <v>3926</v>
      </c>
      <c r="H5001" s="270" t="s">
        <v>9649</v>
      </c>
      <c r="I5001" s="270" t="s">
        <v>3009</v>
      </c>
      <c r="J5001" s="270" t="s">
        <v>3928</v>
      </c>
      <c r="K5001" s="270">
        <v>6484</v>
      </c>
      <c r="L5001" s="270">
        <v>110600</v>
      </c>
      <c r="M5001" s="270" t="s">
        <v>3943</v>
      </c>
      <c r="N5001" s="270" t="s">
        <v>3944</v>
      </c>
      <c r="O5001" s="270">
        <v>2408.91</v>
      </c>
      <c r="P5001" s="270" t="s">
        <v>3944</v>
      </c>
      <c r="Q5001" s="270" t="s">
        <v>3944</v>
      </c>
      <c r="R5001" s="270">
        <v>2408.91</v>
      </c>
      <c r="S5001" s="270">
        <v>36130.839999999997</v>
      </c>
      <c r="T5001" s="270">
        <v>38539.75</v>
      </c>
      <c r="U5001" s="271" t="s">
        <v>3945</v>
      </c>
      <c r="V5001" s="267" t="s">
        <v>944</v>
      </c>
    </row>
    <row r="5002" spans="1:22" hidden="1" x14ac:dyDescent="0.25">
      <c r="A5002" s="266">
        <v>43712</v>
      </c>
      <c r="B5002" s="267">
        <v>2019</v>
      </c>
      <c r="C5002" s="267">
        <v>2020</v>
      </c>
      <c r="D5002" s="267">
        <v>1</v>
      </c>
      <c r="E5002" s="267">
        <v>1</v>
      </c>
      <c r="F5002" s="267" t="s">
        <v>944</v>
      </c>
      <c r="G5002" s="267" t="s">
        <v>3926</v>
      </c>
      <c r="H5002" s="267" t="s">
        <v>9650</v>
      </c>
      <c r="I5002" s="267" t="s">
        <v>4461</v>
      </c>
      <c r="J5002" s="267" t="s">
        <v>3928</v>
      </c>
      <c r="K5002" s="267">
        <v>6870</v>
      </c>
      <c r="L5002" s="267">
        <v>10900</v>
      </c>
      <c r="M5002" s="267" t="s">
        <v>3943</v>
      </c>
      <c r="N5002" s="267" t="s">
        <v>3944</v>
      </c>
      <c r="O5002" s="267">
        <v>1956.36</v>
      </c>
      <c r="P5002" s="267" t="s">
        <v>3944</v>
      </c>
      <c r="Q5002" s="267" t="s">
        <v>3944</v>
      </c>
      <c r="R5002" s="267">
        <v>1956.36</v>
      </c>
      <c r="S5002" s="267">
        <v>20419.64</v>
      </c>
      <c r="T5002" s="267">
        <v>22376</v>
      </c>
      <c r="U5002" s="268" t="s">
        <v>3945</v>
      </c>
      <c r="V5002" s="267" t="s">
        <v>944</v>
      </c>
    </row>
    <row r="5003" spans="1:22" hidden="1" x14ac:dyDescent="0.25">
      <c r="A5003" s="269">
        <v>43712</v>
      </c>
      <c r="B5003" s="270">
        <v>2019</v>
      </c>
      <c r="C5003" s="270">
        <v>2020</v>
      </c>
      <c r="D5003" s="270">
        <v>1</v>
      </c>
      <c r="E5003" s="270">
        <v>1</v>
      </c>
      <c r="F5003" s="270" t="s">
        <v>944</v>
      </c>
      <c r="G5003" s="270" t="s">
        <v>3926</v>
      </c>
      <c r="H5003" s="270" t="s">
        <v>9651</v>
      </c>
      <c r="I5003" s="270" t="s">
        <v>3956</v>
      </c>
      <c r="J5003" s="270" t="s">
        <v>3928</v>
      </c>
      <c r="K5003" s="270">
        <v>6105</v>
      </c>
      <c r="L5003" s="270">
        <v>503100</v>
      </c>
      <c r="M5003" s="270">
        <v>-60</v>
      </c>
      <c r="N5003" s="270" t="s">
        <v>3944</v>
      </c>
      <c r="O5003" s="270">
        <v>567.25</v>
      </c>
      <c r="P5003" s="270" t="s">
        <v>3944</v>
      </c>
      <c r="Q5003" s="270" t="s">
        <v>3944</v>
      </c>
      <c r="R5003" s="270">
        <v>567.25</v>
      </c>
      <c r="S5003" s="270">
        <v>7310.75</v>
      </c>
      <c r="T5003" s="270">
        <v>7878</v>
      </c>
      <c r="U5003" s="271" t="s">
        <v>3945</v>
      </c>
      <c r="V5003" s="267" t="s">
        <v>944</v>
      </c>
    </row>
    <row r="5004" spans="1:22" hidden="1" x14ac:dyDescent="0.25">
      <c r="A5004" s="266">
        <v>43712</v>
      </c>
      <c r="B5004" s="267">
        <v>2019</v>
      </c>
      <c r="C5004" s="267">
        <v>2020</v>
      </c>
      <c r="D5004" s="267">
        <v>1</v>
      </c>
      <c r="E5004" s="267">
        <v>1</v>
      </c>
      <c r="F5004" s="267" t="s">
        <v>944</v>
      </c>
      <c r="G5004" s="267" t="s">
        <v>3926</v>
      </c>
      <c r="H5004" s="267" t="s">
        <v>9652</v>
      </c>
      <c r="I5004" s="267" t="s">
        <v>3996</v>
      </c>
      <c r="J5004" s="267" t="s">
        <v>3928</v>
      </c>
      <c r="K5004" s="267">
        <v>6790</v>
      </c>
      <c r="L5004" s="267">
        <v>310400</v>
      </c>
      <c r="M5004" s="267" t="s">
        <v>3935</v>
      </c>
      <c r="N5004" s="267" t="s">
        <v>3944</v>
      </c>
      <c r="O5004" s="267">
        <v>1801.45</v>
      </c>
      <c r="P5004" s="267" t="s">
        <v>3944</v>
      </c>
      <c r="Q5004" s="267" t="s">
        <v>3944</v>
      </c>
      <c r="R5004" s="267">
        <v>1801.45</v>
      </c>
      <c r="S5004" s="267">
        <v>25485.75</v>
      </c>
      <c r="T5004" s="267">
        <v>27287.200000000001</v>
      </c>
      <c r="U5004" s="268" t="s">
        <v>3945</v>
      </c>
      <c r="V5004" s="267" t="s">
        <v>944</v>
      </c>
    </row>
    <row r="5005" spans="1:22" hidden="1" x14ac:dyDescent="0.25">
      <c r="A5005" s="269">
        <v>43712</v>
      </c>
      <c r="B5005" s="270">
        <v>2019</v>
      </c>
      <c r="C5005" s="270">
        <v>2020</v>
      </c>
      <c r="D5005" s="270">
        <v>1</v>
      </c>
      <c r="E5005" s="270">
        <v>1</v>
      </c>
      <c r="F5005" s="270" t="s">
        <v>944</v>
      </c>
      <c r="G5005" s="270" t="s">
        <v>3926</v>
      </c>
      <c r="H5005" s="270" t="s">
        <v>9653</v>
      </c>
      <c r="I5005" s="270" t="s">
        <v>4172</v>
      </c>
      <c r="J5005" s="270" t="s">
        <v>3928</v>
      </c>
      <c r="K5005" s="270">
        <v>6786</v>
      </c>
      <c r="L5005" s="270">
        <v>425500</v>
      </c>
      <c r="M5005" s="270" t="s">
        <v>3940</v>
      </c>
      <c r="N5005" s="270" t="s">
        <v>3944</v>
      </c>
      <c r="O5005" s="270">
        <v>1606.92</v>
      </c>
      <c r="P5005" s="270" t="s">
        <v>3944</v>
      </c>
      <c r="Q5005" s="270" t="s">
        <v>3944</v>
      </c>
      <c r="R5005" s="270">
        <v>1606.92</v>
      </c>
      <c r="S5005" s="270">
        <v>15277.08</v>
      </c>
      <c r="T5005" s="270">
        <v>16884</v>
      </c>
      <c r="U5005" s="271" t="s">
        <v>3945</v>
      </c>
      <c r="V5005" s="267" t="s">
        <v>944</v>
      </c>
    </row>
    <row r="5006" spans="1:22" hidden="1" x14ac:dyDescent="0.25">
      <c r="A5006" s="266">
        <v>43712</v>
      </c>
      <c r="B5006" s="267">
        <v>2019</v>
      </c>
      <c r="C5006" s="267">
        <v>2020</v>
      </c>
      <c r="D5006" s="267">
        <v>1</v>
      </c>
      <c r="E5006" s="267">
        <v>1</v>
      </c>
      <c r="F5006" s="267" t="s">
        <v>944</v>
      </c>
      <c r="G5006" s="267" t="s">
        <v>3926</v>
      </c>
      <c r="H5006" s="267" t="s">
        <v>9654</v>
      </c>
      <c r="I5006" s="267" t="s">
        <v>6268</v>
      </c>
      <c r="J5006" s="267" t="s">
        <v>3928</v>
      </c>
      <c r="K5006" s="267">
        <v>6371</v>
      </c>
      <c r="L5006" s="267">
        <v>660102</v>
      </c>
      <c r="M5006" s="267" t="s">
        <v>3960</v>
      </c>
      <c r="N5006" s="267" t="s">
        <v>3944</v>
      </c>
      <c r="O5006" s="267">
        <v>1516.69</v>
      </c>
      <c r="P5006" s="267" t="s">
        <v>3944</v>
      </c>
      <c r="Q5006" s="267" t="s">
        <v>3944</v>
      </c>
      <c r="R5006" s="267">
        <v>1516.69</v>
      </c>
      <c r="S5006" s="267">
        <v>13075.31</v>
      </c>
      <c r="T5006" s="267">
        <v>14592</v>
      </c>
      <c r="U5006" s="268" t="s">
        <v>3945</v>
      </c>
      <c r="V5006" s="267" t="s">
        <v>944</v>
      </c>
    </row>
    <row r="5007" spans="1:22" hidden="1" x14ac:dyDescent="0.25">
      <c r="A5007" s="269">
        <v>43712</v>
      </c>
      <c r="B5007" s="270">
        <v>2019</v>
      </c>
      <c r="C5007" s="270">
        <v>2020</v>
      </c>
      <c r="D5007" s="270">
        <v>1</v>
      </c>
      <c r="E5007" s="270">
        <v>1</v>
      </c>
      <c r="F5007" s="270" t="s">
        <v>944</v>
      </c>
      <c r="G5007" s="270" t="s">
        <v>3926</v>
      </c>
      <c r="H5007" s="270" t="s">
        <v>9655</v>
      </c>
      <c r="I5007" s="270" t="s">
        <v>4276</v>
      </c>
      <c r="J5007" s="270" t="s">
        <v>3928</v>
      </c>
      <c r="K5007" s="270">
        <v>6331</v>
      </c>
      <c r="L5007" s="270">
        <v>906100</v>
      </c>
      <c r="M5007" s="270" t="s">
        <v>3960</v>
      </c>
      <c r="N5007" s="270" t="s">
        <v>3944</v>
      </c>
      <c r="O5007" s="270">
        <v>1483.09</v>
      </c>
      <c r="P5007" s="270" t="s">
        <v>3944</v>
      </c>
      <c r="Q5007" s="270" t="s">
        <v>3944</v>
      </c>
      <c r="R5007" s="270">
        <v>1483.09</v>
      </c>
      <c r="S5007" s="270">
        <v>13981.91</v>
      </c>
      <c r="T5007" s="270">
        <v>15465</v>
      </c>
      <c r="U5007" s="271" t="s">
        <v>3945</v>
      </c>
      <c r="V5007" s="267" t="s">
        <v>944</v>
      </c>
    </row>
    <row r="5008" spans="1:22" x14ac:dyDescent="0.25">
      <c r="A5008" s="266">
        <v>43712</v>
      </c>
      <c r="B5008" s="267">
        <v>2019</v>
      </c>
      <c r="C5008" s="267">
        <v>2020</v>
      </c>
      <c r="D5008" s="267">
        <v>1</v>
      </c>
      <c r="E5008" s="267">
        <v>1</v>
      </c>
      <c r="F5008" s="267" t="s">
        <v>944</v>
      </c>
      <c r="G5008" s="267" t="s">
        <v>3926</v>
      </c>
      <c r="H5008" s="267" t="s">
        <v>9656</v>
      </c>
      <c r="I5008" s="267" t="s">
        <v>950</v>
      </c>
      <c r="J5008" s="267" t="s">
        <v>3928</v>
      </c>
      <c r="K5008" s="267">
        <v>6516</v>
      </c>
      <c r="L5008" s="267">
        <v>154500</v>
      </c>
      <c r="M5008" s="267">
        <v>-60</v>
      </c>
      <c r="N5008" s="267" t="s">
        <v>3944</v>
      </c>
      <c r="O5008" s="267">
        <v>663.04</v>
      </c>
      <c r="P5008" s="267" t="s">
        <v>3944</v>
      </c>
      <c r="Q5008" s="267" t="s">
        <v>3944</v>
      </c>
      <c r="R5008" s="267">
        <v>663.04</v>
      </c>
      <c r="S5008" s="267">
        <v>12542.2</v>
      </c>
      <c r="T5008" s="267">
        <v>13205.24</v>
      </c>
      <c r="U5008" s="268" t="s">
        <v>3945</v>
      </c>
      <c r="V5008" s="276" t="s">
        <v>936</v>
      </c>
    </row>
    <row r="5009" spans="1:22" hidden="1" x14ac:dyDescent="0.25">
      <c r="A5009" s="269">
        <v>43712</v>
      </c>
      <c r="B5009" s="270">
        <v>2019</v>
      </c>
      <c r="C5009" s="270">
        <v>2020</v>
      </c>
      <c r="D5009" s="270">
        <v>1</v>
      </c>
      <c r="E5009" s="270">
        <v>1</v>
      </c>
      <c r="F5009" s="270" t="s">
        <v>944</v>
      </c>
      <c r="G5009" s="270" t="s">
        <v>3926</v>
      </c>
      <c r="H5009" s="270" t="s">
        <v>9657</v>
      </c>
      <c r="I5009" s="270" t="s">
        <v>3962</v>
      </c>
      <c r="J5009" s="270" t="s">
        <v>3928</v>
      </c>
      <c r="K5009" s="270">
        <v>6355</v>
      </c>
      <c r="L5009" s="270">
        <v>702100</v>
      </c>
      <c r="M5009" s="270" t="s">
        <v>3960</v>
      </c>
      <c r="N5009" s="270" t="s">
        <v>3944</v>
      </c>
      <c r="O5009" s="270">
        <v>2180.36</v>
      </c>
      <c r="P5009" s="270" t="s">
        <v>3944</v>
      </c>
      <c r="Q5009" s="270" t="s">
        <v>3944</v>
      </c>
      <c r="R5009" s="270">
        <v>2180.36</v>
      </c>
      <c r="S5009" s="270">
        <v>33594.769999999997</v>
      </c>
      <c r="T5009" s="270">
        <v>35775.129999999997</v>
      </c>
      <c r="U5009" s="271" t="s">
        <v>3945</v>
      </c>
      <c r="V5009" s="267" t="s">
        <v>944</v>
      </c>
    </row>
    <row r="5010" spans="1:22" hidden="1" x14ac:dyDescent="0.25">
      <c r="A5010" s="266">
        <v>43712</v>
      </c>
      <c r="B5010" s="267">
        <v>2019</v>
      </c>
      <c r="C5010" s="267">
        <v>2020</v>
      </c>
      <c r="D5010" s="267">
        <v>1</v>
      </c>
      <c r="E5010" s="267">
        <v>1</v>
      </c>
      <c r="F5010" s="267" t="s">
        <v>944</v>
      </c>
      <c r="G5010" s="267" t="s">
        <v>3926</v>
      </c>
      <c r="H5010" s="267" t="s">
        <v>9658</v>
      </c>
      <c r="I5010" s="267" t="s">
        <v>4323</v>
      </c>
      <c r="J5010" s="267" t="s">
        <v>3928</v>
      </c>
      <c r="K5010" s="267">
        <v>6385</v>
      </c>
      <c r="L5010" s="267">
        <v>693400</v>
      </c>
      <c r="M5010" s="267" t="s">
        <v>3940</v>
      </c>
      <c r="N5010" s="267" t="s">
        <v>3944</v>
      </c>
      <c r="O5010" s="267">
        <v>1798.55</v>
      </c>
      <c r="P5010" s="267" t="s">
        <v>3944</v>
      </c>
      <c r="Q5010" s="267" t="s">
        <v>3944</v>
      </c>
      <c r="R5010" s="267">
        <v>1798.55</v>
      </c>
      <c r="S5010" s="267">
        <v>30543.14</v>
      </c>
      <c r="T5010" s="267">
        <v>32341.69</v>
      </c>
      <c r="U5010" s="268" t="s">
        <v>3945</v>
      </c>
      <c r="V5010" s="267" t="s">
        <v>944</v>
      </c>
    </row>
    <row r="5011" spans="1:22" hidden="1" x14ac:dyDescent="0.25">
      <c r="A5011" s="269">
        <v>43712</v>
      </c>
      <c r="B5011" s="270">
        <v>2019</v>
      </c>
      <c r="C5011" s="270">
        <v>2020</v>
      </c>
      <c r="D5011" s="270">
        <v>1</v>
      </c>
      <c r="E5011" s="270">
        <v>1</v>
      </c>
      <c r="F5011" s="270" t="s">
        <v>944</v>
      </c>
      <c r="G5011" s="270" t="s">
        <v>3926</v>
      </c>
      <c r="H5011" s="270" t="s">
        <v>9659</v>
      </c>
      <c r="I5011" s="270" t="s">
        <v>4035</v>
      </c>
      <c r="J5011" s="270" t="s">
        <v>3928</v>
      </c>
      <c r="K5011" s="270">
        <v>6074</v>
      </c>
      <c r="L5011" s="270">
        <v>487202</v>
      </c>
      <c r="M5011" s="270" t="s">
        <v>3943</v>
      </c>
      <c r="N5011" s="270" t="s">
        <v>3944</v>
      </c>
      <c r="O5011" s="270">
        <v>4021.19</v>
      </c>
      <c r="P5011" s="270" t="s">
        <v>3944</v>
      </c>
      <c r="Q5011" s="270" t="s">
        <v>3944</v>
      </c>
      <c r="R5011" s="270">
        <v>4021.19</v>
      </c>
      <c r="S5011" s="270">
        <v>68198.86</v>
      </c>
      <c r="T5011" s="270">
        <v>72220.05</v>
      </c>
      <c r="U5011" s="271" t="s">
        <v>3945</v>
      </c>
      <c r="V5011" s="267" t="s">
        <v>944</v>
      </c>
    </row>
    <row r="5012" spans="1:22" hidden="1" x14ac:dyDescent="0.25">
      <c r="A5012" s="266">
        <v>43712</v>
      </c>
      <c r="B5012" s="267">
        <v>2019</v>
      </c>
      <c r="C5012" s="267">
        <v>2020</v>
      </c>
      <c r="D5012" s="267">
        <v>1</v>
      </c>
      <c r="E5012" s="267">
        <v>1</v>
      </c>
      <c r="F5012" s="267" t="s">
        <v>944</v>
      </c>
      <c r="G5012" s="267" t="s">
        <v>3926</v>
      </c>
      <c r="H5012" s="267" t="s">
        <v>9660</v>
      </c>
      <c r="I5012" s="267" t="s">
        <v>4108</v>
      </c>
      <c r="J5012" s="267" t="s">
        <v>3928</v>
      </c>
      <c r="K5012" s="267">
        <v>6082</v>
      </c>
      <c r="L5012" s="267">
        <v>480700</v>
      </c>
      <c r="M5012" s="267" t="s">
        <v>3940</v>
      </c>
      <c r="N5012" s="267" t="s">
        <v>3944</v>
      </c>
      <c r="O5012" s="267">
        <v>1606.29</v>
      </c>
      <c r="P5012" s="267" t="s">
        <v>3944</v>
      </c>
      <c r="Q5012" s="267" t="s">
        <v>3944</v>
      </c>
      <c r="R5012" s="267">
        <v>1606.29</v>
      </c>
      <c r="S5012" s="267">
        <v>23411.01</v>
      </c>
      <c r="T5012" s="267">
        <v>25017.3</v>
      </c>
      <c r="U5012" s="268" t="s">
        <v>3945</v>
      </c>
      <c r="V5012" s="267" t="s">
        <v>944</v>
      </c>
    </row>
    <row r="5013" spans="1:22" hidden="1" x14ac:dyDescent="0.25">
      <c r="A5013" s="269">
        <v>43712</v>
      </c>
      <c r="B5013" s="270">
        <v>2019</v>
      </c>
      <c r="C5013" s="270">
        <v>2020</v>
      </c>
      <c r="D5013" s="270">
        <v>1</v>
      </c>
      <c r="E5013" s="270">
        <v>1</v>
      </c>
      <c r="F5013" s="270" t="s">
        <v>944</v>
      </c>
      <c r="G5013" s="270" t="s">
        <v>3926</v>
      </c>
      <c r="H5013" s="270" t="s">
        <v>9661</v>
      </c>
      <c r="I5013" s="270" t="s">
        <v>3934</v>
      </c>
      <c r="J5013" s="270" t="s">
        <v>3928</v>
      </c>
      <c r="K5013" s="270">
        <v>6405</v>
      </c>
      <c r="L5013" s="270">
        <v>184400</v>
      </c>
      <c r="M5013" s="270" t="s">
        <v>3935</v>
      </c>
      <c r="N5013" s="270" t="s">
        <v>3944</v>
      </c>
      <c r="O5013" s="270">
        <v>2011.31</v>
      </c>
      <c r="P5013" s="270" t="s">
        <v>3944</v>
      </c>
      <c r="Q5013" s="270" t="s">
        <v>3944</v>
      </c>
      <c r="R5013" s="270">
        <v>2011.31</v>
      </c>
      <c r="S5013" s="270">
        <v>27785.1</v>
      </c>
      <c r="T5013" s="270">
        <v>29796.41</v>
      </c>
      <c r="U5013" s="271" t="s">
        <v>3945</v>
      </c>
      <c r="V5013" s="267" t="s">
        <v>944</v>
      </c>
    </row>
    <row r="5014" spans="1:22" hidden="1" x14ac:dyDescent="0.25">
      <c r="A5014" s="266">
        <v>43712</v>
      </c>
      <c r="B5014" s="267">
        <v>2019</v>
      </c>
      <c r="C5014" s="267">
        <v>2020</v>
      </c>
      <c r="D5014" s="267">
        <v>1</v>
      </c>
      <c r="E5014" s="267">
        <v>1</v>
      </c>
      <c r="F5014" s="267" t="s">
        <v>944</v>
      </c>
      <c r="G5014" s="267" t="s">
        <v>3926</v>
      </c>
      <c r="H5014" s="267" t="s">
        <v>9662</v>
      </c>
      <c r="I5014" s="267" t="s">
        <v>3008</v>
      </c>
      <c r="J5014" s="267" t="s">
        <v>3928</v>
      </c>
      <c r="K5014" s="267">
        <v>6460</v>
      </c>
      <c r="L5014" s="267">
        <v>150400</v>
      </c>
      <c r="M5014" s="267" t="s">
        <v>3940</v>
      </c>
      <c r="N5014" s="267" t="s">
        <v>3944</v>
      </c>
      <c r="O5014" s="267">
        <v>1866.34</v>
      </c>
      <c r="P5014" s="267" t="s">
        <v>3944</v>
      </c>
      <c r="Q5014" s="267" t="s">
        <v>3944</v>
      </c>
      <c r="R5014" s="267">
        <v>1866.34</v>
      </c>
      <c r="S5014" s="267">
        <v>28924.6</v>
      </c>
      <c r="T5014" s="267">
        <v>30790.94</v>
      </c>
      <c r="U5014" s="268" t="s">
        <v>3945</v>
      </c>
      <c r="V5014" s="267" t="s">
        <v>944</v>
      </c>
    </row>
    <row r="5015" spans="1:22" hidden="1" x14ac:dyDescent="0.25">
      <c r="A5015" s="269">
        <v>43712</v>
      </c>
      <c r="B5015" s="270">
        <v>2019</v>
      </c>
      <c r="C5015" s="270">
        <v>2020</v>
      </c>
      <c r="D5015" s="270">
        <v>1</v>
      </c>
      <c r="E5015" s="270">
        <v>1</v>
      </c>
      <c r="F5015" s="270" t="s">
        <v>944</v>
      </c>
      <c r="G5015" s="270" t="s">
        <v>3926</v>
      </c>
      <c r="H5015" s="270" t="s">
        <v>9663</v>
      </c>
      <c r="I5015" s="270" t="s">
        <v>4035</v>
      </c>
      <c r="J5015" s="270" t="s">
        <v>3928</v>
      </c>
      <c r="K5015" s="270">
        <v>6074</v>
      </c>
      <c r="L5015" s="270">
        <v>487201</v>
      </c>
      <c r="M5015" s="270" t="s">
        <v>3943</v>
      </c>
      <c r="N5015" s="270" t="s">
        <v>3944</v>
      </c>
      <c r="O5015" s="270">
        <v>925.4</v>
      </c>
      <c r="P5015" s="270" t="s">
        <v>3944</v>
      </c>
      <c r="Q5015" s="270" t="s">
        <v>3944</v>
      </c>
      <c r="R5015" s="270">
        <v>925.4</v>
      </c>
      <c r="S5015" s="270">
        <v>13531.42</v>
      </c>
      <c r="T5015" s="270">
        <v>14456.82</v>
      </c>
      <c r="U5015" s="271" t="s">
        <v>3945</v>
      </c>
      <c r="V5015" s="267" t="s">
        <v>944</v>
      </c>
    </row>
    <row r="5016" spans="1:22" hidden="1" x14ac:dyDescent="0.25">
      <c r="A5016" s="266">
        <v>43712</v>
      </c>
      <c r="B5016" s="267">
        <v>2019</v>
      </c>
      <c r="C5016" s="267">
        <v>2020</v>
      </c>
      <c r="D5016" s="267">
        <v>1</v>
      </c>
      <c r="E5016" s="267">
        <v>1</v>
      </c>
      <c r="F5016" s="267" t="s">
        <v>944</v>
      </c>
      <c r="G5016" s="267" t="s">
        <v>3926</v>
      </c>
      <c r="H5016" s="267" t="s">
        <v>9664</v>
      </c>
      <c r="I5016" s="267" t="s">
        <v>4269</v>
      </c>
      <c r="J5016" s="267" t="s">
        <v>3928</v>
      </c>
      <c r="K5016" s="267">
        <v>6107</v>
      </c>
      <c r="L5016" s="267">
        <v>496300</v>
      </c>
      <c r="M5016" s="267" t="s">
        <v>3960</v>
      </c>
      <c r="N5016" s="267" t="s">
        <v>3944</v>
      </c>
      <c r="O5016" s="267">
        <v>1113.53</v>
      </c>
      <c r="P5016" s="267" t="s">
        <v>3944</v>
      </c>
      <c r="Q5016" s="267" t="s">
        <v>3944</v>
      </c>
      <c r="R5016" s="267">
        <v>1113.53</v>
      </c>
      <c r="S5016" s="267">
        <v>16713.7</v>
      </c>
      <c r="T5016" s="267">
        <v>17827.23</v>
      </c>
      <c r="U5016" s="268" t="s">
        <v>3945</v>
      </c>
      <c r="V5016" s="267" t="s">
        <v>944</v>
      </c>
    </row>
    <row r="5017" spans="1:22" hidden="1" x14ac:dyDescent="0.25">
      <c r="A5017" s="269">
        <v>43712</v>
      </c>
      <c r="B5017" s="270">
        <v>2019</v>
      </c>
      <c r="C5017" s="270">
        <v>2020</v>
      </c>
      <c r="D5017" s="270">
        <v>1</v>
      </c>
      <c r="E5017" s="270">
        <v>1</v>
      </c>
      <c r="F5017" s="270" t="s">
        <v>944</v>
      </c>
      <c r="G5017" s="270" t="s">
        <v>3926</v>
      </c>
      <c r="H5017" s="270" t="s">
        <v>9665</v>
      </c>
      <c r="I5017" s="270" t="s">
        <v>4040</v>
      </c>
      <c r="J5017" s="270" t="s">
        <v>3928</v>
      </c>
      <c r="K5017" s="270">
        <v>6339</v>
      </c>
      <c r="L5017" s="270">
        <v>701100</v>
      </c>
      <c r="M5017" s="270" t="s">
        <v>3960</v>
      </c>
      <c r="N5017" s="270" t="s">
        <v>3944</v>
      </c>
      <c r="O5017" s="270">
        <v>985.95</v>
      </c>
      <c r="P5017" s="270" t="s">
        <v>3944</v>
      </c>
      <c r="Q5017" s="270" t="s">
        <v>3944</v>
      </c>
      <c r="R5017" s="270">
        <v>985.95</v>
      </c>
      <c r="S5017" s="270">
        <v>10554.05</v>
      </c>
      <c r="T5017" s="270">
        <v>11540</v>
      </c>
      <c r="U5017" s="271" t="s">
        <v>3945</v>
      </c>
      <c r="V5017" s="267" t="s">
        <v>944</v>
      </c>
    </row>
    <row r="5018" spans="1:22" hidden="1" x14ac:dyDescent="0.25">
      <c r="A5018" s="266">
        <v>43712</v>
      </c>
      <c r="B5018" s="267">
        <v>2019</v>
      </c>
      <c r="C5018" s="267">
        <v>2020</v>
      </c>
      <c r="D5018" s="267">
        <v>1</v>
      </c>
      <c r="E5018" s="267">
        <v>1</v>
      </c>
      <c r="F5018" s="267" t="s">
        <v>944</v>
      </c>
      <c r="G5018" s="267" t="s">
        <v>3926</v>
      </c>
      <c r="H5018" s="267" t="s">
        <v>9666</v>
      </c>
      <c r="I5018" s="267" t="s">
        <v>3025</v>
      </c>
      <c r="J5018" s="267" t="s">
        <v>3928</v>
      </c>
      <c r="K5018" s="267">
        <v>6473</v>
      </c>
      <c r="L5018" s="267">
        <v>167300</v>
      </c>
      <c r="M5018" s="267" t="s">
        <v>3943</v>
      </c>
      <c r="N5018" s="267" t="s">
        <v>3944</v>
      </c>
      <c r="O5018" s="267">
        <v>2997.51</v>
      </c>
      <c r="P5018" s="267" t="s">
        <v>3944</v>
      </c>
      <c r="Q5018" s="267" t="s">
        <v>3944</v>
      </c>
      <c r="R5018" s="267">
        <v>2997.51</v>
      </c>
      <c r="S5018" s="267">
        <v>56797.69</v>
      </c>
      <c r="T5018" s="267">
        <v>59795.199999999997</v>
      </c>
      <c r="U5018" s="268" t="s">
        <v>3945</v>
      </c>
      <c r="V5018" s="267" t="s">
        <v>944</v>
      </c>
    </row>
    <row r="5019" spans="1:22" hidden="1" x14ac:dyDescent="0.25">
      <c r="A5019" s="269">
        <v>43712</v>
      </c>
      <c r="B5019" s="270">
        <v>2019</v>
      </c>
      <c r="C5019" s="270">
        <v>2020</v>
      </c>
      <c r="D5019" s="270">
        <v>1</v>
      </c>
      <c r="E5019" s="270">
        <v>1</v>
      </c>
      <c r="F5019" s="270" t="s">
        <v>944</v>
      </c>
      <c r="G5019" s="270" t="s">
        <v>3926</v>
      </c>
      <c r="H5019" s="270" t="s">
        <v>9667</v>
      </c>
      <c r="I5019" s="270" t="s">
        <v>4213</v>
      </c>
      <c r="J5019" s="270" t="s">
        <v>3928</v>
      </c>
      <c r="K5019" s="270">
        <v>6052</v>
      </c>
      <c r="L5019" s="270">
        <v>416400</v>
      </c>
      <c r="M5019" s="270" t="s">
        <v>3960</v>
      </c>
      <c r="N5019" s="270" t="s">
        <v>3944</v>
      </c>
      <c r="O5019" s="270">
        <v>1789.2</v>
      </c>
      <c r="P5019" s="270" t="s">
        <v>3944</v>
      </c>
      <c r="Q5019" s="270" t="s">
        <v>3944</v>
      </c>
      <c r="R5019" s="270">
        <v>1789.2</v>
      </c>
      <c r="S5019" s="270">
        <v>28681.21</v>
      </c>
      <c r="T5019" s="270">
        <v>30470.41</v>
      </c>
      <c r="U5019" s="271" t="s">
        <v>3945</v>
      </c>
      <c r="V5019" s="267" t="s">
        <v>944</v>
      </c>
    </row>
    <row r="5020" spans="1:22" hidden="1" x14ac:dyDescent="0.25">
      <c r="A5020" s="266">
        <v>43712</v>
      </c>
      <c r="B5020" s="267">
        <v>2019</v>
      </c>
      <c r="C5020" s="267">
        <v>2020</v>
      </c>
      <c r="D5020" s="267">
        <v>1</v>
      </c>
      <c r="E5020" s="267">
        <v>1</v>
      </c>
      <c r="F5020" s="267" t="s">
        <v>944</v>
      </c>
      <c r="G5020" s="267" t="s">
        <v>3926</v>
      </c>
      <c r="H5020" s="267" t="s">
        <v>9668</v>
      </c>
      <c r="I5020" s="267" t="s">
        <v>4011</v>
      </c>
      <c r="J5020" s="267" t="s">
        <v>3928</v>
      </c>
      <c r="K5020" s="267">
        <v>6002</v>
      </c>
      <c r="L5020" s="267">
        <v>471100</v>
      </c>
      <c r="M5020" s="267" t="s">
        <v>3935</v>
      </c>
      <c r="N5020" s="267" t="s">
        <v>3944</v>
      </c>
      <c r="O5020" s="267">
        <v>1112.27</v>
      </c>
      <c r="P5020" s="267" t="s">
        <v>3944</v>
      </c>
      <c r="Q5020" s="267" t="s">
        <v>3944</v>
      </c>
      <c r="R5020" s="267">
        <v>1112.27</v>
      </c>
      <c r="S5020" s="267">
        <v>15366.89</v>
      </c>
      <c r="T5020" s="267">
        <v>16479.16</v>
      </c>
      <c r="U5020" s="268" t="s">
        <v>3945</v>
      </c>
      <c r="V5020" s="267" t="s">
        <v>944</v>
      </c>
    </row>
    <row r="5021" spans="1:22" hidden="1" x14ac:dyDescent="0.25">
      <c r="A5021" s="269">
        <v>43712</v>
      </c>
      <c r="B5021" s="270">
        <v>2019</v>
      </c>
      <c r="C5021" s="270">
        <v>2020</v>
      </c>
      <c r="D5021" s="270">
        <v>1</v>
      </c>
      <c r="E5021" s="270">
        <v>1</v>
      </c>
      <c r="F5021" s="270" t="s">
        <v>944</v>
      </c>
      <c r="G5021" s="270" t="s">
        <v>3926</v>
      </c>
      <c r="H5021" s="270" t="s">
        <v>9669</v>
      </c>
      <c r="I5021" s="270" t="s">
        <v>5410</v>
      </c>
      <c r="J5021" s="270" t="s">
        <v>3928</v>
      </c>
      <c r="K5021" s="270">
        <v>6712</v>
      </c>
      <c r="L5021" s="270">
        <v>347100</v>
      </c>
      <c r="M5021" s="270" t="s">
        <v>3960</v>
      </c>
      <c r="N5021" s="270" t="s">
        <v>3944</v>
      </c>
      <c r="O5021" s="270">
        <v>3285.56</v>
      </c>
      <c r="P5021" s="270" t="s">
        <v>3944</v>
      </c>
      <c r="Q5021" s="270" t="s">
        <v>3944</v>
      </c>
      <c r="R5021" s="270">
        <v>3285.56</v>
      </c>
      <c r="S5021" s="270">
        <v>23857.439999999999</v>
      </c>
      <c r="T5021" s="270">
        <v>27143</v>
      </c>
      <c r="U5021" s="271" t="s">
        <v>3945</v>
      </c>
      <c r="V5021" s="267" t="s">
        <v>944</v>
      </c>
    </row>
    <row r="5022" spans="1:22" hidden="1" x14ac:dyDescent="0.25">
      <c r="A5022" s="266">
        <v>43712</v>
      </c>
      <c r="B5022" s="267">
        <v>2019</v>
      </c>
      <c r="C5022" s="267">
        <v>2020</v>
      </c>
      <c r="D5022" s="267">
        <v>1</v>
      </c>
      <c r="E5022" s="267">
        <v>1</v>
      </c>
      <c r="F5022" s="267" t="s">
        <v>944</v>
      </c>
      <c r="G5022" s="267" t="s">
        <v>3926</v>
      </c>
      <c r="H5022" s="267" t="s">
        <v>9670</v>
      </c>
      <c r="I5022" s="267" t="s">
        <v>4042</v>
      </c>
      <c r="J5022" s="267" t="s">
        <v>3928</v>
      </c>
      <c r="K5022" s="267">
        <v>6370</v>
      </c>
      <c r="L5022" s="267">
        <v>695202</v>
      </c>
      <c r="M5022" s="267" t="s">
        <v>3935</v>
      </c>
      <c r="N5022" s="267" t="s">
        <v>3944</v>
      </c>
      <c r="O5022" s="267">
        <v>2089.29</v>
      </c>
      <c r="P5022" s="267" t="s">
        <v>3944</v>
      </c>
      <c r="Q5022" s="267" t="s">
        <v>3944</v>
      </c>
      <c r="R5022" s="267">
        <v>2089.29</v>
      </c>
      <c r="S5022" s="267">
        <v>12334.71</v>
      </c>
      <c r="T5022" s="267">
        <v>14424</v>
      </c>
      <c r="U5022" s="268" t="s">
        <v>3945</v>
      </c>
      <c r="V5022" s="267" t="s">
        <v>944</v>
      </c>
    </row>
    <row r="5023" spans="1:22" hidden="1" x14ac:dyDescent="0.25">
      <c r="A5023" s="269">
        <v>43712</v>
      </c>
      <c r="B5023" s="270">
        <v>2019</v>
      </c>
      <c r="C5023" s="270">
        <v>2020</v>
      </c>
      <c r="D5023" s="270">
        <v>1</v>
      </c>
      <c r="E5023" s="270">
        <v>1</v>
      </c>
      <c r="F5023" s="270" t="s">
        <v>944</v>
      </c>
      <c r="G5023" s="270" t="s">
        <v>3926</v>
      </c>
      <c r="H5023" s="270" t="s">
        <v>9671</v>
      </c>
      <c r="I5023" s="270" t="s">
        <v>4392</v>
      </c>
      <c r="J5023" s="270" t="s">
        <v>3928</v>
      </c>
      <c r="K5023" s="270">
        <v>6457</v>
      </c>
      <c r="L5023" s="270">
        <v>541500</v>
      </c>
      <c r="M5023" s="270" t="s">
        <v>3940</v>
      </c>
      <c r="N5023" s="270" t="s">
        <v>3944</v>
      </c>
      <c r="O5023" s="270">
        <v>1048.81</v>
      </c>
      <c r="P5023" s="270" t="s">
        <v>3944</v>
      </c>
      <c r="Q5023" s="270" t="s">
        <v>3944</v>
      </c>
      <c r="R5023" s="270">
        <v>1048.81</v>
      </c>
      <c r="S5023" s="270">
        <v>14616.49</v>
      </c>
      <c r="T5023" s="270">
        <v>15665.3</v>
      </c>
      <c r="U5023" s="271" t="s">
        <v>3945</v>
      </c>
      <c r="V5023" s="267" t="s">
        <v>944</v>
      </c>
    </row>
    <row r="5024" spans="1:22" hidden="1" x14ac:dyDescent="0.25">
      <c r="A5024" s="266">
        <v>43712</v>
      </c>
      <c r="B5024" s="267">
        <v>2019</v>
      </c>
      <c r="C5024" s="267">
        <v>2020</v>
      </c>
      <c r="D5024" s="267">
        <v>1</v>
      </c>
      <c r="E5024" s="267">
        <v>1</v>
      </c>
      <c r="F5024" s="267" t="s">
        <v>944</v>
      </c>
      <c r="G5024" s="267" t="s">
        <v>3926</v>
      </c>
      <c r="H5024" s="267" t="s">
        <v>9672</v>
      </c>
      <c r="I5024" s="267" t="s">
        <v>4108</v>
      </c>
      <c r="J5024" s="267" t="s">
        <v>3928</v>
      </c>
      <c r="K5024" s="267">
        <v>6082</v>
      </c>
      <c r="L5024" s="267">
        <v>524300</v>
      </c>
      <c r="M5024" s="267" t="s">
        <v>3960</v>
      </c>
      <c r="N5024" s="267" t="s">
        <v>3944</v>
      </c>
      <c r="O5024" s="267">
        <v>1349.95</v>
      </c>
      <c r="P5024" s="267" t="s">
        <v>3944</v>
      </c>
      <c r="Q5024" s="267" t="s">
        <v>3944</v>
      </c>
      <c r="R5024" s="267">
        <v>1349.95</v>
      </c>
      <c r="S5024" s="267">
        <v>18384.93</v>
      </c>
      <c r="T5024" s="267">
        <v>19734.88</v>
      </c>
      <c r="U5024" s="268" t="s">
        <v>3945</v>
      </c>
      <c r="V5024" s="267" t="s">
        <v>944</v>
      </c>
    </row>
    <row r="5025" spans="1:22" hidden="1" x14ac:dyDescent="0.25">
      <c r="A5025" s="269">
        <v>43712</v>
      </c>
      <c r="B5025" s="270">
        <v>2019</v>
      </c>
      <c r="C5025" s="270">
        <v>2020</v>
      </c>
      <c r="D5025" s="270">
        <v>1</v>
      </c>
      <c r="E5025" s="270">
        <v>1</v>
      </c>
      <c r="F5025" s="270" t="s">
        <v>944</v>
      </c>
      <c r="G5025" s="270" t="s">
        <v>3926</v>
      </c>
      <c r="H5025" s="270" t="s">
        <v>9673</v>
      </c>
      <c r="I5025" s="270" t="s">
        <v>956</v>
      </c>
      <c r="J5025" s="270" t="s">
        <v>3928</v>
      </c>
      <c r="K5025" s="270">
        <v>6614</v>
      </c>
      <c r="L5025" s="270">
        <v>81100</v>
      </c>
      <c r="M5025" s="270" t="s">
        <v>3960</v>
      </c>
      <c r="N5025" s="270" t="s">
        <v>3944</v>
      </c>
      <c r="O5025" s="270">
        <v>1666</v>
      </c>
      <c r="P5025" s="270" t="s">
        <v>3944</v>
      </c>
      <c r="Q5025" s="270" t="s">
        <v>3944</v>
      </c>
      <c r="R5025" s="270">
        <v>1666</v>
      </c>
      <c r="S5025" s="270">
        <v>27948.57</v>
      </c>
      <c r="T5025" s="270">
        <v>29614.57</v>
      </c>
      <c r="U5025" s="271" t="s">
        <v>3945</v>
      </c>
      <c r="V5025" s="267" t="s">
        <v>944</v>
      </c>
    </row>
    <row r="5026" spans="1:22" hidden="1" x14ac:dyDescent="0.25">
      <c r="A5026" s="266">
        <v>43712</v>
      </c>
      <c r="B5026" s="267">
        <v>2019</v>
      </c>
      <c r="C5026" s="267">
        <v>2020</v>
      </c>
      <c r="D5026" s="267">
        <v>1</v>
      </c>
      <c r="E5026" s="267">
        <v>1</v>
      </c>
      <c r="F5026" s="267" t="s">
        <v>944</v>
      </c>
      <c r="G5026" s="267" t="s">
        <v>3926</v>
      </c>
      <c r="H5026" s="267" t="s">
        <v>9674</v>
      </c>
      <c r="I5026" s="267" t="s">
        <v>4297</v>
      </c>
      <c r="J5026" s="267" t="s">
        <v>3928</v>
      </c>
      <c r="K5026" s="267">
        <v>6231</v>
      </c>
      <c r="L5026" s="267">
        <v>526101</v>
      </c>
      <c r="M5026" s="267" t="s">
        <v>3943</v>
      </c>
      <c r="N5026" s="267" t="s">
        <v>3944</v>
      </c>
      <c r="O5026" s="267">
        <v>2131.61</v>
      </c>
      <c r="P5026" s="267" t="s">
        <v>3944</v>
      </c>
      <c r="Q5026" s="267" t="s">
        <v>3944</v>
      </c>
      <c r="R5026" s="267">
        <v>2131.61</v>
      </c>
      <c r="S5026" s="267">
        <v>32465.87</v>
      </c>
      <c r="T5026" s="267">
        <v>34597.480000000003</v>
      </c>
      <c r="U5026" s="268" t="s">
        <v>3945</v>
      </c>
      <c r="V5026" s="267" t="s">
        <v>944</v>
      </c>
    </row>
    <row r="5027" spans="1:22" hidden="1" x14ac:dyDescent="0.25">
      <c r="A5027" s="269">
        <v>43712</v>
      </c>
      <c r="B5027" s="270">
        <v>2019</v>
      </c>
      <c r="C5027" s="270">
        <v>2020</v>
      </c>
      <c r="D5027" s="270">
        <v>1</v>
      </c>
      <c r="E5027" s="270">
        <v>1</v>
      </c>
      <c r="F5027" s="270" t="s">
        <v>944</v>
      </c>
      <c r="G5027" s="270" t="s">
        <v>3926</v>
      </c>
      <c r="H5027" s="270" t="s">
        <v>9675</v>
      </c>
      <c r="I5027" s="270" t="s">
        <v>4731</v>
      </c>
      <c r="J5027" s="270" t="s">
        <v>3928</v>
      </c>
      <c r="K5027" s="270">
        <v>6478</v>
      </c>
      <c r="L5027" s="270">
        <v>346102</v>
      </c>
      <c r="M5027" s="270" t="s">
        <v>3943</v>
      </c>
      <c r="N5027" s="270" t="s">
        <v>3944</v>
      </c>
      <c r="O5027" s="270">
        <v>1787.98</v>
      </c>
      <c r="P5027" s="270" t="s">
        <v>3944</v>
      </c>
      <c r="Q5027" s="270" t="s">
        <v>3944</v>
      </c>
      <c r="R5027" s="270">
        <v>1787.98</v>
      </c>
      <c r="S5027" s="270">
        <v>25589.3</v>
      </c>
      <c r="T5027" s="270">
        <v>27377.279999999999</v>
      </c>
      <c r="U5027" s="271" t="s">
        <v>3945</v>
      </c>
      <c r="V5027" s="267" t="s">
        <v>944</v>
      </c>
    </row>
    <row r="5028" spans="1:22" hidden="1" x14ac:dyDescent="0.25">
      <c r="A5028" s="266">
        <v>43712</v>
      </c>
      <c r="B5028" s="267">
        <v>2019</v>
      </c>
      <c r="C5028" s="267">
        <v>2020</v>
      </c>
      <c r="D5028" s="267">
        <v>1</v>
      </c>
      <c r="E5028" s="267">
        <v>1</v>
      </c>
      <c r="F5028" s="267" t="s">
        <v>944</v>
      </c>
      <c r="G5028" s="267" t="s">
        <v>3926</v>
      </c>
      <c r="H5028" s="267" t="s">
        <v>9676</v>
      </c>
      <c r="I5028" s="267" t="s">
        <v>3008</v>
      </c>
      <c r="J5028" s="267" t="s">
        <v>3928</v>
      </c>
      <c r="K5028" s="267">
        <v>6461</v>
      </c>
      <c r="L5028" s="267">
        <v>150800</v>
      </c>
      <c r="M5028" s="267" t="s">
        <v>3960</v>
      </c>
      <c r="N5028" s="267" t="s">
        <v>3944</v>
      </c>
      <c r="O5028" s="267">
        <v>2179.52</v>
      </c>
      <c r="P5028" s="267" t="s">
        <v>3944</v>
      </c>
      <c r="Q5028" s="267" t="s">
        <v>3944</v>
      </c>
      <c r="R5028" s="267">
        <v>2179.52</v>
      </c>
      <c r="S5028" s="267">
        <v>15574</v>
      </c>
      <c r="T5028" s="267">
        <v>17753.52</v>
      </c>
      <c r="U5028" s="268" t="s">
        <v>3945</v>
      </c>
      <c r="V5028" s="267" t="s">
        <v>944</v>
      </c>
    </row>
    <row r="5029" spans="1:22" hidden="1" x14ac:dyDescent="0.25">
      <c r="A5029" s="269">
        <v>43712</v>
      </c>
      <c r="B5029" s="270">
        <v>2019</v>
      </c>
      <c r="C5029" s="270">
        <v>2020</v>
      </c>
      <c r="D5029" s="270">
        <v>1</v>
      </c>
      <c r="E5029" s="270">
        <v>1</v>
      </c>
      <c r="F5029" s="270" t="s">
        <v>944</v>
      </c>
      <c r="G5029" s="270" t="s">
        <v>3926</v>
      </c>
      <c r="H5029" s="270" t="s">
        <v>9677</v>
      </c>
      <c r="I5029" s="270" t="s">
        <v>4392</v>
      </c>
      <c r="J5029" s="270" t="s">
        <v>3928</v>
      </c>
      <c r="K5029" s="270">
        <v>6457</v>
      </c>
      <c r="L5029" s="270">
        <v>541200</v>
      </c>
      <c r="M5029" s="270" t="s">
        <v>3935</v>
      </c>
      <c r="N5029" s="270" t="s">
        <v>3944</v>
      </c>
      <c r="O5029" s="270">
        <v>1462.97</v>
      </c>
      <c r="P5029" s="270" t="s">
        <v>3944</v>
      </c>
      <c r="Q5029" s="270" t="s">
        <v>3944</v>
      </c>
      <c r="R5029" s="270">
        <v>1462.97</v>
      </c>
      <c r="S5029" s="270">
        <v>10921.03</v>
      </c>
      <c r="T5029" s="270">
        <v>12384</v>
      </c>
      <c r="U5029" s="271" t="s">
        <v>3945</v>
      </c>
      <c r="V5029" s="267" t="s">
        <v>944</v>
      </c>
    </row>
    <row r="5030" spans="1:22" hidden="1" x14ac:dyDescent="0.25">
      <c r="A5030" s="266">
        <v>43712</v>
      </c>
      <c r="B5030" s="267">
        <v>2019</v>
      </c>
      <c r="C5030" s="267">
        <v>2020</v>
      </c>
      <c r="D5030" s="267">
        <v>1</v>
      </c>
      <c r="E5030" s="267">
        <v>1</v>
      </c>
      <c r="F5030" s="267" t="s">
        <v>944</v>
      </c>
      <c r="G5030" s="267" t="s">
        <v>3926</v>
      </c>
      <c r="H5030" s="267" t="s">
        <v>9678</v>
      </c>
      <c r="I5030" s="267" t="s">
        <v>5010</v>
      </c>
      <c r="J5030" s="267" t="s">
        <v>3928</v>
      </c>
      <c r="K5030" s="267">
        <v>6365</v>
      </c>
      <c r="L5030" s="267">
        <v>700100</v>
      </c>
      <c r="M5030" s="267" t="s">
        <v>3935</v>
      </c>
      <c r="N5030" s="267" t="s">
        <v>3944</v>
      </c>
      <c r="O5030" s="267">
        <v>1151.26</v>
      </c>
      <c r="P5030" s="267" t="s">
        <v>3944</v>
      </c>
      <c r="Q5030" s="267" t="s">
        <v>3944</v>
      </c>
      <c r="R5030" s="267">
        <v>1151.26</v>
      </c>
      <c r="S5030" s="267">
        <v>11021.74</v>
      </c>
      <c r="T5030" s="267">
        <v>12173</v>
      </c>
      <c r="U5030" s="268" t="s">
        <v>3945</v>
      </c>
      <c r="V5030" s="267" t="s">
        <v>944</v>
      </c>
    </row>
    <row r="5031" spans="1:22" hidden="1" x14ac:dyDescent="0.25">
      <c r="A5031" s="269">
        <v>43712</v>
      </c>
      <c r="B5031" s="270">
        <v>2019</v>
      </c>
      <c r="C5031" s="270">
        <v>2020</v>
      </c>
      <c r="D5031" s="270">
        <v>1</v>
      </c>
      <c r="E5031" s="270">
        <v>1</v>
      </c>
      <c r="F5031" s="270" t="s">
        <v>944</v>
      </c>
      <c r="G5031" s="270" t="s">
        <v>3926</v>
      </c>
      <c r="H5031" s="270" t="s">
        <v>9679</v>
      </c>
      <c r="I5031" s="270" t="s">
        <v>3999</v>
      </c>
      <c r="J5031" s="270" t="s">
        <v>3928</v>
      </c>
      <c r="K5031" s="270">
        <v>6451</v>
      </c>
      <c r="L5031" s="270">
        <v>170600</v>
      </c>
      <c r="M5031" s="270" t="s">
        <v>3940</v>
      </c>
      <c r="N5031" s="270" t="s">
        <v>3944</v>
      </c>
      <c r="O5031" s="270">
        <v>1567.3</v>
      </c>
      <c r="P5031" s="270" t="s">
        <v>3944</v>
      </c>
      <c r="Q5031" s="270" t="s">
        <v>3944</v>
      </c>
      <c r="R5031" s="270">
        <v>1567.3</v>
      </c>
      <c r="S5031" s="270">
        <v>13885.7</v>
      </c>
      <c r="T5031" s="270">
        <v>15453</v>
      </c>
      <c r="U5031" s="271" t="s">
        <v>3945</v>
      </c>
      <c r="V5031" s="267" t="s">
        <v>944</v>
      </c>
    </row>
    <row r="5032" spans="1:22" hidden="1" x14ac:dyDescent="0.25">
      <c r="A5032" s="266">
        <v>43712</v>
      </c>
      <c r="B5032" s="267">
        <v>2019</v>
      </c>
      <c r="C5032" s="267">
        <v>2020</v>
      </c>
      <c r="D5032" s="267">
        <v>1</v>
      </c>
      <c r="E5032" s="267">
        <v>1</v>
      </c>
      <c r="F5032" s="267" t="s">
        <v>944</v>
      </c>
      <c r="G5032" s="267" t="s">
        <v>3926</v>
      </c>
      <c r="H5032" s="267" t="s">
        <v>9680</v>
      </c>
      <c r="I5032" s="267" t="s">
        <v>4005</v>
      </c>
      <c r="J5032" s="267" t="s">
        <v>3928</v>
      </c>
      <c r="K5032" s="267">
        <v>6118</v>
      </c>
      <c r="L5032" s="267">
        <v>510700</v>
      </c>
      <c r="M5032" s="267" t="s">
        <v>3940</v>
      </c>
      <c r="N5032" s="267" t="s">
        <v>3944</v>
      </c>
      <c r="O5032" s="267">
        <v>1904.53</v>
      </c>
      <c r="P5032" s="267" t="s">
        <v>3944</v>
      </c>
      <c r="Q5032" s="267" t="s">
        <v>3944</v>
      </c>
      <c r="R5032" s="267">
        <v>1904.53</v>
      </c>
      <c r="S5032" s="267">
        <v>19839.47</v>
      </c>
      <c r="T5032" s="267">
        <v>21744</v>
      </c>
      <c r="U5032" s="268" t="s">
        <v>3945</v>
      </c>
      <c r="V5032" s="267" t="s">
        <v>944</v>
      </c>
    </row>
    <row r="5033" spans="1:22" hidden="1" x14ac:dyDescent="0.25">
      <c r="A5033" s="269">
        <v>43712</v>
      </c>
      <c r="B5033" s="270">
        <v>2019</v>
      </c>
      <c r="C5033" s="270">
        <v>2020</v>
      </c>
      <c r="D5033" s="270">
        <v>1</v>
      </c>
      <c r="E5033" s="270">
        <v>1</v>
      </c>
      <c r="F5033" s="270" t="s">
        <v>944</v>
      </c>
      <c r="G5033" s="270" t="s">
        <v>3926</v>
      </c>
      <c r="H5033" s="270" t="s">
        <v>9681</v>
      </c>
      <c r="I5033" s="270" t="s">
        <v>4108</v>
      </c>
      <c r="J5033" s="270" t="s">
        <v>3928</v>
      </c>
      <c r="K5033" s="270">
        <v>6082</v>
      </c>
      <c r="L5033" s="270">
        <v>481300</v>
      </c>
      <c r="M5033" s="270" t="s">
        <v>3960</v>
      </c>
      <c r="N5033" s="270" t="s">
        <v>3944</v>
      </c>
      <c r="O5033" s="270">
        <v>2065.67</v>
      </c>
      <c r="P5033" s="270" t="s">
        <v>3944</v>
      </c>
      <c r="Q5033" s="270" t="s">
        <v>3944</v>
      </c>
      <c r="R5033" s="270">
        <v>2065.67</v>
      </c>
      <c r="S5033" s="270">
        <v>18614.330000000002</v>
      </c>
      <c r="T5033" s="270">
        <v>20680</v>
      </c>
      <c r="U5033" s="271" t="s">
        <v>3945</v>
      </c>
      <c r="V5033" s="267" t="s">
        <v>944</v>
      </c>
    </row>
    <row r="5034" spans="1:22" hidden="1" x14ac:dyDescent="0.25">
      <c r="A5034" s="266">
        <v>43712</v>
      </c>
      <c r="B5034" s="267">
        <v>2019</v>
      </c>
      <c r="C5034" s="267">
        <v>2020</v>
      </c>
      <c r="D5034" s="267">
        <v>1</v>
      </c>
      <c r="E5034" s="267">
        <v>1</v>
      </c>
      <c r="F5034" s="267" t="s">
        <v>944</v>
      </c>
      <c r="G5034" s="267" t="s">
        <v>3926</v>
      </c>
      <c r="H5034" s="267" t="s">
        <v>9682</v>
      </c>
      <c r="I5034" s="267" t="s">
        <v>4353</v>
      </c>
      <c r="J5034" s="267" t="s">
        <v>3928</v>
      </c>
      <c r="K5034" s="267">
        <v>6416</v>
      </c>
      <c r="L5034" s="267">
        <v>570200</v>
      </c>
      <c r="M5034" s="267" t="s">
        <v>3943</v>
      </c>
      <c r="N5034" s="267" t="s">
        <v>3944</v>
      </c>
      <c r="O5034" s="267">
        <v>2139.48</v>
      </c>
      <c r="P5034" s="267" t="s">
        <v>3944</v>
      </c>
      <c r="Q5034" s="267" t="s">
        <v>3944</v>
      </c>
      <c r="R5034" s="267">
        <v>2139.48</v>
      </c>
      <c r="S5034" s="267">
        <v>15862.52</v>
      </c>
      <c r="T5034" s="267">
        <v>18002</v>
      </c>
      <c r="U5034" s="268" t="s">
        <v>3945</v>
      </c>
      <c r="V5034" s="267" t="s">
        <v>944</v>
      </c>
    </row>
    <row r="5035" spans="1:22" hidden="1" x14ac:dyDescent="0.25">
      <c r="A5035" s="269">
        <v>43712</v>
      </c>
      <c r="B5035" s="270">
        <v>2019</v>
      </c>
      <c r="C5035" s="270">
        <v>2020</v>
      </c>
      <c r="D5035" s="270">
        <v>1</v>
      </c>
      <c r="E5035" s="270">
        <v>1</v>
      </c>
      <c r="F5035" s="270" t="s">
        <v>944</v>
      </c>
      <c r="G5035" s="270" t="s">
        <v>3926</v>
      </c>
      <c r="H5035" s="270" t="s">
        <v>9683</v>
      </c>
      <c r="I5035" s="270" t="s">
        <v>3964</v>
      </c>
      <c r="J5035" s="270" t="s">
        <v>3928</v>
      </c>
      <c r="K5035" s="270">
        <v>6033</v>
      </c>
      <c r="L5035" s="270">
        <v>520201</v>
      </c>
      <c r="M5035" s="270" t="s">
        <v>3943</v>
      </c>
      <c r="N5035" s="270" t="s">
        <v>3944</v>
      </c>
      <c r="O5035" s="270">
        <v>1507.56</v>
      </c>
      <c r="P5035" s="270" t="s">
        <v>3944</v>
      </c>
      <c r="Q5035" s="270" t="s">
        <v>3944</v>
      </c>
      <c r="R5035" s="270">
        <v>1507.56</v>
      </c>
      <c r="S5035" s="270">
        <v>17065.439999999999</v>
      </c>
      <c r="T5035" s="270">
        <v>18573</v>
      </c>
      <c r="U5035" s="271" t="s">
        <v>3945</v>
      </c>
      <c r="V5035" s="267" t="s">
        <v>944</v>
      </c>
    </row>
    <row r="5036" spans="1:22" hidden="1" x14ac:dyDescent="0.25">
      <c r="A5036" s="266">
        <v>43712</v>
      </c>
      <c r="B5036" s="267">
        <v>2019</v>
      </c>
      <c r="C5036" s="267">
        <v>2020</v>
      </c>
      <c r="D5036" s="267">
        <v>1</v>
      </c>
      <c r="E5036" s="267">
        <v>1</v>
      </c>
      <c r="F5036" s="267" t="s">
        <v>944</v>
      </c>
      <c r="G5036" s="267" t="s">
        <v>3926</v>
      </c>
      <c r="H5036" s="267" t="s">
        <v>9684</v>
      </c>
      <c r="I5036" s="267" t="s">
        <v>3934</v>
      </c>
      <c r="J5036" s="267" t="s">
        <v>3928</v>
      </c>
      <c r="K5036" s="267">
        <v>6405</v>
      </c>
      <c r="L5036" s="267">
        <v>184100</v>
      </c>
      <c r="M5036" s="267" t="s">
        <v>3940</v>
      </c>
      <c r="N5036" s="267" t="s">
        <v>3944</v>
      </c>
      <c r="O5036" s="267">
        <v>2528.79</v>
      </c>
      <c r="P5036" s="267" t="s">
        <v>3944</v>
      </c>
      <c r="Q5036" s="267" t="s">
        <v>3944</v>
      </c>
      <c r="R5036" s="267">
        <v>2528.79</v>
      </c>
      <c r="S5036" s="267">
        <v>23874</v>
      </c>
      <c r="T5036" s="267">
        <v>26402.79</v>
      </c>
      <c r="U5036" s="268" t="s">
        <v>3945</v>
      </c>
      <c r="V5036" s="267" t="s">
        <v>944</v>
      </c>
    </row>
    <row r="5037" spans="1:22" hidden="1" x14ac:dyDescent="0.25">
      <c r="A5037" s="269">
        <v>43712</v>
      </c>
      <c r="B5037" s="270">
        <v>2019</v>
      </c>
      <c r="C5037" s="270">
        <v>2020</v>
      </c>
      <c r="D5037" s="270">
        <v>1</v>
      </c>
      <c r="E5037" s="270">
        <v>1</v>
      </c>
      <c r="F5037" s="270" t="s">
        <v>944</v>
      </c>
      <c r="G5037" s="270" t="s">
        <v>3926</v>
      </c>
      <c r="H5037" s="270" t="s">
        <v>9685</v>
      </c>
      <c r="I5037" s="270" t="s">
        <v>934</v>
      </c>
      <c r="J5037" s="270" t="s">
        <v>3928</v>
      </c>
      <c r="K5037" s="270">
        <v>6606</v>
      </c>
      <c r="L5037" s="270">
        <v>72800</v>
      </c>
      <c r="M5037" s="270" t="s">
        <v>3940</v>
      </c>
      <c r="N5037" s="270" t="s">
        <v>3944</v>
      </c>
      <c r="O5037" s="270">
        <v>2024.19</v>
      </c>
      <c r="P5037" s="270" t="s">
        <v>3944</v>
      </c>
      <c r="Q5037" s="270" t="s">
        <v>3944</v>
      </c>
      <c r="R5037" s="270">
        <v>2024.19</v>
      </c>
      <c r="S5037" s="270">
        <v>18102.810000000001</v>
      </c>
      <c r="T5037" s="270">
        <v>20127</v>
      </c>
      <c r="U5037" s="271" t="s">
        <v>3945</v>
      </c>
      <c r="V5037" s="267" t="s">
        <v>944</v>
      </c>
    </row>
    <row r="5038" spans="1:22" hidden="1" x14ac:dyDescent="0.25">
      <c r="A5038" s="266">
        <v>43712</v>
      </c>
      <c r="B5038" s="267">
        <v>2019</v>
      </c>
      <c r="C5038" s="267">
        <v>2020</v>
      </c>
      <c r="D5038" s="267">
        <v>1</v>
      </c>
      <c r="E5038" s="267">
        <v>1</v>
      </c>
      <c r="F5038" s="267" t="s">
        <v>944</v>
      </c>
      <c r="G5038" s="267" t="s">
        <v>3926</v>
      </c>
      <c r="H5038" s="267" t="s">
        <v>9686</v>
      </c>
      <c r="I5038" s="267" t="s">
        <v>4323</v>
      </c>
      <c r="J5038" s="267" t="s">
        <v>3928</v>
      </c>
      <c r="K5038" s="267">
        <v>6385</v>
      </c>
      <c r="L5038" s="267">
        <v>693400</v>
      </c>
      <c r="M5038" s="267" t="s">
        <v>3940</v>
      </c>
      <c r="N5038" s="267" t="s">
        <v>3944</v>
      </c>
      <c r="O5038" s="267">
        <v>1992.45</v>
      </c>
      <c r="P5038" s="267" t="s">
        <v>3944</v>
      </c>
      <c r="Q5038" s="267" t="s">
        <v>3944</v>
      </c>
      <c r="R5038" s="267">
        <v>1992.45</v>
      </c>
      <c r="S5038" s="267">
        <v>29097.02</v>
      </c>
      <c r="T5038" s="267">
        <v>31089.47</v>
      </c>
      <c r="U5038" s="268" t="s">
        <v>3945</v>
      </c>
      <c r="V5038" s="267" t="s">
        <v>944</v>
      </c>
    </row>
    <row r="5039" spans="1:22" x14ac:dyDescent="0.25">
      <c r="A5039" s="269">
        <v>43712</v>
      </c>
      <c r="B5039" s="270">
        <v>2019</v>
      </c>
      <c r="C5039" s="270">
        <v>2020</v>
      </c>
      <c r="D5039" s="270">
        <v>1</v>
      </c>
      <c r="E5039" s="270">
        <v>1</v>
      </c>
      <c r="F5039" s="270" t="s">
        <v>944</v>
      </c>
      <c r="G5039" s="270" t="s">
        <v>3926</v>
      </c>
      <c r="H5039" s="270" t="s">
        <v>9687</v>
      </c>
      <c r="I5039" s="270" t="s">
        <v>934</v>
      </c>
      <c r="J5039" s="270" t="s">
        <v>3928</v>
      </c>
      <c r="K5039" s="270">
        <v>6606</v>
      </c>
      <c r="L5039" s="270">
        <v>71900</v>
      </c>
      <c r="M5039" s="270">
        <v>-60</v>
      </c>
      <c r="N5039" s="270" t="s">
        <v>3944</v>
      </c>
      <c r="O5039" s="270">
        <v>800.98</v>
      </c>
      <c r="P5039" s="270" t="s">
        <v>3944</v>
      </c>
      <c r="Q5039" s="270" t="s">
        <v>3944</v>
      </c>
      <c r="R5039" s="270">
        <v>800.98</v>
      </c>
      <c r="S5039" s="270">
        <v>12016.37</v>
      </c>
      <c r="T5039" s="270">
        <v>12817.35</v>
      </c>
      <c r="U5039" s="271" t="s">
        <v>3945</v>
      </c>
      <c r="V5039" s="276" t="s">
        <v>936</v>
      </c>
    </row>
    <row r="5040" spans="1:22" hidden="1" x14ac:dyDescent="0.25">
      <c r="A5040" s="266">
        <v>43712</v>
      </c>
      <c r="B5040" s="267">
        <v>2019</v>
      </c>
      <c r="C5040" s="267">
        <v>2020</v>
      </c>
      <c r="D5040" s="267">
        <v>1</v>
      </c>
      <c r="E5040" s="267">
        <v>1</v>
      </c>
      <c r="F5040" s="267" t="s">
        <v>944</v>
      </c>
      <c r="G5040" s="267" t="s">
        <v>3926</v>
      </c>
      <c r="H5040" s="267" t="s">
        <v>9688</v>
      </c>
      <c r="I5040" s="267" t="s">
        <v>3968</v>
      </c>
      <c r="J5040" s="267" t="s">
        <v>3928</v>
      </c>
      <c r="K5040" s="267">
        <v>6040</v>
      </c>
      <c r="L5040" s="267">
        <v>514600</v>
      </c>
      <c r="M5040" s="267" t="s">
        <v>3940</v>
      </c>
      <c r="N5040" s="267" t="s">
        <v>3944</v>
      </c>
      <c r="O5040" s="267">
        <v>1672.65</v>
      </c>
      <c r="P5040" s="267" t="s">
        <v>3944</v>
      </c>
      <c r="Q5040" s="267" t="s">
        <v>3944</v>
      </c>
      <c r="R5040" s="267">
        <v>1672.65</v>
      </c>
      <c r="S5040" s="267">
        <v>15788.35</v>
      </c>
      <c r="T5040" s="267">
        <v>17461</v>
      </c>
      <c r="U5040" s="268" t="s">
        <v>3945</v>
      </c>
      <c r="V5040" s="267" t="s">
        <v>944</v>
      </c>
    </row>
    <row r="5041" spans="1:22" hidden="1" x14ac:dyDescent="0.25">
      <c r="A5041" s="269">
        <v>43712</v>
      </c>
      <c r="B5041" s="270">
        <v>2019</v>
      </c>
      <c r="C5041" s="270">
        <v>2020</v>
      </c>
      <c r="D5041" s="270">
        <v>1</v>
      </c>
      <c r="E5041" s="270">
        <v>1</v>
      </c>
      <c r="F5041" s="270" t="s">
        <v>944</v>
      </c>
      <c r="G5041" s="270" t="s">
        <v>3926</v>
      </c>
      <c r="H5041" s="270" t="s">
        <v>9689</v>
      </c>
      <c r="I5041" s="270" t="s">
        <v>4239</v>
      </c>
      <c r="J5041" s="270" t="s">
        <v>3928</v>
      </c>
      <c r="K5041" s="270">
        <v>6032</v>
      </c>
      <c r="L5041" s="270">
        <v>460301</v>
      </c>
      <c r="M5041" s="270" t="s">
        <v>3943</v>
      </c>
      <c r="N5041" s="270" t="s">
        <v>3944</v>
      </c>
      <c r="O5041" s="270">
        <v>2982.56</v>
      </c>
      <c r="P5041" s="270" t="s">
        <v>3944</v>
      </c>
      <c r="Q5041" s="270" t="s">
        <v>3944</v>
      </c>
      <c r="R5041" s="270">
        <v>2982.56</v>
      </c>
      <c r="S5041" s="270">
        <v>27372</v>
      </c>
      <c r="T5041" s="270">
        <v>30354.560000000001</v>
      </c>
      <c r="U5041" s="271" t="s">
        <v>3945</v>
      </c>
      <c r="V5041" s="267" t="s">
        <v>944</v>
      </c>
    </row>
    <row r="5042" spans="1:22" hidden="1" x14ac:dyDescent="0.25">
      <c r="A5042" s="266">
        <v>43712</v>
      </c>
      <c r="B5042" s="267">
        <v>2019</v>
      </c>
      <c r="C5042" s="267">
        <v>2020</v>
      </c>
      <c r="D5042" s="267">
        <v>1</v>
      </c>
      <c r="E5042" s="267">
        <v>1</v>
      </c>
      <c r="F5042" s="267" t="s">
        <v>944</v>
      </c>
      <c r="G5042" s="267" t="s">
        <v>3926</v>
      </c>
      <c r="H5042" s="267" t="s">
        <v>9690</v>
      </c>
      <c r="I5042" s="267" t="s">
        <v>3008</v>
      </c>
      <c r="J5042" s="267" t="s">
        <v>3928</v>
      </c>
      <c r="K5042" s="267">
        <v>6461</v>
      </c>
      <c r="L5042" s="267">
        <v>150800</v>
      </c>
      <c r="M5042" s="267" t="s">
        <v>3960</v>
      </c>
      <c r="N5042" s="267" t="s">
        <v>3944</v>
      </c>
      <c r="O5042" s="267">
        <v>2394.6</v>
      </c>
      <c r="P5042" s="267" t="s">
        <v>3944</v>
      </c>
      <c r="Q5042" s="267" t="s">
        <v>3944</v>
      </c>
      <c r="R5042" s="267">
        <v>2394.6</v>
      </c>
      <c r="S5042" s="267">
        <v>18045.400000000001</v>
      </c>
      <c r="T5042" s="267">
        <v>20440</v>
      </c>
      <c r="U5042" s="268" t="s">
        <v>3945</v>
      </c>
      <c r="V5042" s="267" t="s">
        <v>944</v>
      </c>
    </row>
    <row r="5043" spans="1:22" hidden="1" x14ac:dyDescent="0.25">
      <c r="A5043" s="269">
        <v>43712</v>
      </c>
      <c r="B5043" s="270">
        <v>2019</v>
      </c>
      <c r="C5043" s="270">
        <v>2020</v>
      </c>
      <c r="D5043" s="270">
        <v>1</v>
      </c>
      <c r="E5043" s="270">
        <v>1</v>
      </c>
      <c r="F5043" s="270" t="s">
        <v>944</v>
      </c>
      <c r="G5043" s="270" t="s">
        <v>3926</v>
      </c>
      <c r="H5043" s="270" t="s">
        <v>9691</v>
      </c>
      <c r="I5043" s="270" t="s">
        <v>3939</v>
      </c>
      <c r="J5043" s="270" t="s">
        <v>3928</v>
      </c>
      <c r="K5043" s="270">
        <v>6512</v>
      </c>
      <c r="L5043" s="270">
        <v>180300</v>
      </c>
      <c r="M5043" s="270">
        <v>-60</v>
      </c>
      <c r="N5043" s="270" t="s">
        <v>3944</v>
      </c>
      <c r="O5043" s="270">
        <v>801.19</v>
      </c>
      <c r="P5043" s="270" t="s">
        <v>3944</v>
      </c>
      <c r="Q5043" s="270" t="s">
        <v>3944</v>
      </c>
      <c r="R5043" s="270">
        <v>801.19</v>
      </c>
      <c r="S5043" s="270">
        <v>10192.81</v>
      </c>
      <c r="T5043" s="270">
        <v>10994</v>
      </c>
      <c r="U5043" s="271" t="s">
        <v>3945</v>
      </c>
      <c r="V5043" s="267" t="s">
        <v>944</v>
      </c>
    </row>
    <row r="5044" spans="1:22" hidden="1" x14ac:dyDescent="0.25">
      <c r="A5044" s="266">
        <v>43712</v>
      </c>
      <c r="B5044" s="267">
        <v>2019</v>
      </c>
      <c r="C5044" s="267">
        <v>2020</v>
      </c>
      <c r="D5044" s="267">
        <v>1</v>
      </c>
      <c r="E5044" s="267">
        <v>1</v>
      </c>
      <c r="F5044" s="267" t="s">
        <v>944</v>
      </c>
      <c r="G5044" s="267" t="s">
        <v>3926</v>
      </c>
      <c r="H5044" s="267" t="s">
        <v>9692</v>
      </c>
      <c r="I5044" s="267" t="s">
        <v>3996</v>
      </c>
      <c r="J5044" s="267" t="s">
        <v>3928</v>
      </c>
      <c r="K5044" s="267">
        <v>6790</v>
      </c>
      <c r="L5044" s="267">
        <v>310100</v>
      </c>
      <c r="M5044" s="267" t="s">
        <v>3940</v>
      </c>
      <c r="N5044" s="267" t="s">
        <v>3944</v>
      </c>
      <c r="O5044" s="267">
        <v>1989.33</v>
      </c>
      <c r="P5044" s="267" t="s">
        <v>3944</v>
      </c>
      <c r="Q5044" s="267" t="s">
        <v>3944</v>
      </c>
      <c r="R5044" s="267">
        <v>1989.33</v>
      </c>
      <c r="S5044" s="267">
        <v>39563.68</v>
      </c>
      <c r="T5044" s="267">
        <v>41553.01</v>
      </c>
      <c r="U5044" s="268" t="s">
        <v>3945</v>
      </c>
      <c r="V5044" s="267" t="s">
        <v>944</v>
      </c>
    </row>
    <row r="5045" spans="1:22" hidden="1" x14ac:dyDescent="0.25">
      <c r="A5045" s="269">
        <v>43712</v>
      </c>
      <c r="B5045" s="270">
        <v>2019</v>
      </c>
      <c r="C5045" s="270">
        <v>2020</v>
      </c>
      <c r="D5045" s="270">
        <v>1</v>
      </c>
      <c r="E5045" s="270">
        <v>1</v>
      </c>
      <c r="F5045" s="270" t="s">
        <v>944</v>
      </c>
      <c r="G5045" s="270" t="s">
        <v>3926</v>
      </c>
      <c r="H5045" s="270" t="s">
        <v>9693</v>
      </c>
      <c r="I5045" s="270" t="s">
        <v>4008</v>
      </c>
      <c r="J5045" s="270" t="s">
        <v>3928</v>
      </c>
      <c r="K5045" s="270">
        <v>6320</v>
      </c>
      <c r="L5045" s="270">
        <v>690800</v>
      </c>
      <c r="M5045" s="270">
        <v>-60</v>
      </c>
      <c r="N5045" s="270" t="s">
        <v>3944</v>
      </c>
      <c r="O5045" s="270">
        <v>858.83</v>
      </c>
      <c r="P5045" s="270" t="s">
        <v>3944</v>
      </c>
      <c r="Q5045" s="270" t="s">
        <v>3944</v>
      </c>
      <c r="R5045" s="270">
        <v>858.83</v>
      </c>
      <c r="S5045" s="270">
        <v>12759.58</v>
      </c>
      <c r="T5045" s="270">
        <v>13618.41</v>
      </c>
      <c r="U5045" s="271" t="s">
        <v>3945</v>
      </c>
      <c r="V5045" s="267" t="s">
        <v>944</v>
      </c>
    </row>
    <row r="5046" spans="1:22" hidden="1" x14ac:dyDescent="0.25">
      <c r="A5046" s="266">
        <v>43712</v>
      </c>
      <c r="B5046" s="267">
        <v>2019</v>
      </c>
      <c r="C5046" s="267">
        <v>2020</v>
      </c>
      <c r="D5046" s="267">
        <v>1</v>
      </c>
      <c r="E5046" s="267">
        <v>1</v>
      </c>
      <c r="F5046" s="267" t="s">
        <v>944</v>
      </c>
      <c r="G5046" s="267" t="s">
        <v>3926</v>
      </c>
      <c r="H5046" s="267" t="s">
        <v>9694</v>
      </c>
      <c r="I5046" s="267" t="s">
        <v>3025</v>
      </c>
      <c r="J5046" s="267" t="s">
        <v>3928</v>
      </c>
      <c r="K5046" s="267">
        <v>6473</v>
      </c>
      <c r="L5046" s="267">
        <v>167100</v>
      </c>
      <c r="M5046" s="267" t="s">
        <v>3943</v>
      </c>
      <c r="N5046" s="267" t="s">
        <v>3944</v>
      </c>
      <c r="O5046" s="267">
        <v>1956.36</v>
      </c>
      <c r="P5046" s="267" t="s">
        <v>3944</v>
      </c>
      <c r="Q5046" s="267" t="s">
        <v>3944</v>
      </c>
      <c r="R5046" s="267">
        <v>1956.36</v>
      </c>
      <c r="S5046" s="267">
        <v>33464.43</v>
      </c>
      <c r="T5046" s="267">
        <v>35420.79</v>
      </c>
      <c r="U5046" s="268" t="s">
        <v>3945</v>
      </c>
      <c r="V5046" s="267" t="s">
        <v>944</v>
      </c>
    </row>
    <row r="5047" spans="1:22" hidden="1" x14ac:dyDescent="0.25">
      <c r="A5047" s="269">
        <v>43712</v>
      </c>
      <c r="B5047" s="270">
        <v>2019</v>
      </c>
      <c r="C5047" s="270">
        <v>2020</v>
      </c>
      <c r="D5047" s="270">
        <v>1</v>
      </c>
      <c r="E5047" s="270">
        <v>1</v>
      </c>
      <c r="F5047" s="270" t="s">
        <v>944</v>
      </c>
      <c r="G5047" s="270" t="s">
        <v>3926</v>
      </c>
      <c r="H5047" s="270" t="s">
        <v>9695</v>
      </c>
      <c r="I5047" s="270" t="s">
        <v>3968</v>
      </c>
      <c r="J5047" s="270" t="s">
        <v>3928</v>
      </c>
      <c r="K5047" s="270">
        <v>6042</v>
      </c>
      <c r="L5047" s="270">
        <v>514101</v>
      </c>
      <c r="M5047" s="270" t="s">
        <v>3960</v>
      </c>
      <c r="N5047" s="270" t="s">
        <v>3944</v>
      </c>
      <c r="O5047" s="270">
        <v>3108.67</v>
      </c>
      <c r="P5047" s="270" t="s">
        <v>3944</v>
      </c>
      <c r="Q5047" s="270" t="s">
        <v>3944</v>
      </c>
      <c r="R5047" s="270">
        <v>3108.67</v>
      </c>
      <c r="S5047" s="270">
        <v>20381.330000000002</v>
      </c>
      <c r="T5047" s="270">
        <v>23490</v>
      </c>
      <c r="U5047" s="271" t="s">
        <v>3945</v>
      </c>
      <c r="V5047" s="267" t="s">
        <v>944</v>
      </c>
    </row>
    <row r="5048" spans="1:22" hidden="1" x14ac:dyDescent="0.25">
      <c r="A5048" s="266">
        <v>43712</v>
      </c>
      <c r="B5048" s="267">
        <v>2019</v>
      </c>
      <c r="C5048" s="267">
        <v>2020</v>
      </c>
      <c r="D5048" s="267">
        <v>1</v>
      </c>
      <c r="E5048" s="267">
        <v>1</v>
      </c>
      <c r="F5048" s="267" t="s">
        <v>944</v>
      </c>
      <c r="G5048" s="267" t="s">
        <v>3926</v>
      </c>
      <c r="H5048" s="267" t="s">
        <v>9696</v>
      </c>
      <c r="I5048" s="267" t="s">
        <v>3939</v>
      </c>
      <c r="J5048" s="267" t="s">
        <v>3928</v>
      </c>
      <c r="K5048" s="267">
        <v>6513</v>
      </c>
      <c r="L5048" s="267">
        <v>180602</v>
      </c>
      <c r="M5048" s="267" t="s">
        <v>3935</v>
      </c>
      <c r="N5048" s="267" t="s">
        <v>3944</v>
      </c>
      <c r="O5048" s="267">
        <v>2350.64</v>
      </c>
      <c r="P5048" s="267" t="s">
        <v>3944</v>
      </c>
      <c r="Q5048" s="267" t="s">
        <v>3944</v>
      </c>
      <c r="R5048" s="267">
        <v>2350.64</v>
      </c>
      <c r="S5048" s="267">
        <v>34296.42</v>
      </c>
      <c r="T5048" s="267">
        <v>36647.06</v>
      </c>
      <c r="U5048" s="268" t="s">
        <v>3945</v>
      </c>
      <c r="V5048" s="267" t="s">
        <v>944</v>
      </c>
    </row>
    <row r="5049" spans="1:22" hidden="1" x14ac:dyDescent="0.25">
      <c r="A5049" s="269">
        <v>43712</v>
      </c>
      <c r="B5049" s="270">
        <v>2019</v>
      </c>
      <c r="C5049" s="270">
        <v>2020</v>
      </c>
      <c r="D5049" s="270">
        <v>1</v>
      </c>
      <c r="E5049" s="270">
        <v>1</v>
      </c>
      <c r="F5049" s="270" t="s">
        <v>944</v>
      </c>
      <c r="G5049" s="270" t="s">
        <v>3926</v>
      </c>
      <c r="H5049" s="270" t="s">
        <v>9697</v>
      </c>
      <c r="I5049" s="270" t="s">
        <v>4213</v>
      </c>
      <c r="J5049" s="270" t="s">
        <v>3928</v>
      </c>
      <c r="K5049" s="270">
        <v>6053</v>
      </c>
      <c r="L5049" s="270">
        <v>416800</v>
      </c>
      <c r="M5049" s="270" t="s">
        <v>3940</v>
      </c>
      <c r="N5049" s="270" t="s">
        <v>3944</v>
      </c>
      <c r="O5049" s="270">
        <v>1100.44</v>
      </c>
      <c r="P5049" s="270" t="s">
        <v>3944</v>
      </c>
      <c r="Q5049" s="270" t="s">
        <v>3944</v>
      </c>
      <c r="R5049" s="270">
        <v>1100.44</v>
      </c>
      <c r="S5049" s="270">
        <v>12732.56</v>
      </c>
      <c r="T5049" s="270">
        <v>13833</v>
      </c>
      <c r="U5049" s="271" t="s">
        <v>3945</v>
      </c>
      <c r="V5049" s="267" t="s">
        <v>944</v>
      </c>
    </row>
    <row r="5050" spans="1:22" hidden="1" x14ac:dyDescent="0.25">
      <c r="A5050" s="266">
        <v>43712</v>
      </c>
      <c r="B5050" s="267">
        <v>2019</v>
      </c>
      <c r="C5050" s="267">
        <v>2020</v>
      </c>
      <c r="D5050" s="267">
        <v>1</v>
      </c>
      <c r="E5050" s="267">
        <v>1</v>
      </c>
      <c r="F5050" s="267" t="s">
        <v>944</v>
      </c>
      <c r="G5050" s="267" t="s">
        <v>3926</v>
      </c>
      <c r="H5050" s="267" t="s">
        <v>9698</v>
      </c>
      <c r="I5050" s="267" t="s">
        <v>4111</v>
      </c>
      <c r="J5050" s="267" t="s">
        <v>3928</v>
      </c>
      <c r="K5050" s="267">
        <v>6095</v>
      </c>
      <c r="L5050" s="267">
        <v>473502</v>
      </c>
      <c r="M5050" s="267" t="s">
        <v>3960</v>
      </c>
      <c r="N5050" s="267" t="s">
        <v>3944</v>
      </c>
      <c r="O5050" s="267">
        <v>1293.1099999999999</v>
      </c>
      <c r="P5050" s="267" t="s">
        <v>3944</v>
      </c>
      <c r="Q5050" s="267" t="s">
        <v>3944</v>
      </c>
      <c r="R5050" s="267">
        <v>1293.1099999999999</v>
      </c>
      <c r="S5050" s="267">
        <v>11458</v>
      </c>
      <c r="T5050" s="267">
        <v>12751.11</v>
      </c>
      <c r="U5050" s="268" t="s">
        <v>3945</v>
      </c>
      <c r="V5050" s="267" t="s">
        <v>944</v>
      </c>
    </row>
    <row r="5051" spans="1:22" hidden="1" x14ac:dyDescent="0.25">
      <c r="A5051" s="269">
        <v>43713</v>
      </c>
      <c r="B5051" s="270">
        <v>2019</v>
      </c>
      <c r="C5051" s="270">
        <v>2020</v>
      </c>
      <c r="D5051" s="270">
        <v>1</v>
      </c>
      <c r="E5051" s="270">
        <v>1</v>
      </c>
      <c r="F5051" s="270" t="s">
        <v>944</v>
      </c>
      <c r="G5051" s="270" t="s">
        <v>3926</v>
      </c>
      <c r="H5051" s="270" t="s">
        <v>9699</v>
      </c>
      <c r="I5051" s="270" t="s">
        <v>943</v>
      </c>
      <c r="J5051" s="270" t="s">
        <v>3928</v>
      </c>
      <c r="K5051" s="270">
        <v>6515</v>
      </c>
      <c r="L5051" s="270">
        <v>141200</v>
      </c>
      <c r="M5051" s="270">
        <v>-60</v>
      </c>
      <c r="N5051" s="270" t="s">
        <v>4732</v>
      </c>
      <c r="O5051" s="270">
        <v>2103</v>
      </c>
      <c r="P5051" s="270" t="s">
        <v>3930</v>
      </c>
      <c r="Q5051" s="270" t="s">
        <v>3930</v>
      </c>
      <c r="R5051" s="270">
        <v>2103</v>
      </c>
      <c r="S5051" s="270">
        <v>15940.2</v>
      </c>
      <c r="T5051" s="270">
        <v>18043.2</v>
      </c>
      <c r="U5051" s="271" t="s">
        <v>3937</v>
      </c>
      <c r="V5051" s="267" t="s">
        <v>944</v>
      </c>
    </row>
    <row r="5052" spans="1:22" hidden="1" x14ac:dyDescent="0.25">
      <c r="A5052" s="266">
        <v>43713</v>
      </c>
      <c r="B5052" s="267">
        <v>2019</v>
      </c>
      <c r="C5052" s="267">
        <v>2020</v>
      </c>
      <c r="D5052" s="267">
        <v>1</v>
      </c>
      <c r="E5052" s="267">
        <v>1</v>
      </c>
      <c r="F5052" s="267" t="s">
        <v>944</v>
      </c>
      <c r="G5052" s="267" t="s">
        <v>3926</v>
      </c>
      <c r="H5052" s="267" t="s">
        <v>9700</v>
      </c>
      <c r="I5052" s="267" t="s">
        <v>4519</v>
      </c>
      <c r="J5052" s="267" t="s">
        <v>3928</v>
      </c>
      <c r="K5052" s="267">
        <v>6840</v>
      </c>
      <c r="L5052" s="267">
        <v>35400</v>
      </c>
      <c r="M5052" s="267" t="s">
        <v>3943</v>
      </c>
      <c r="N5052" s="267" t="s">
        <v>3944</v>
      </c>
      <c r="O5052" s="267">
        <v>2854</v>
      </c>
      <c r="P5052" s="267" t="s">
        <v>3944</v>
      </c>
      <c r="Q5052" s="267" t="s">
        <v>3944</v>
      </c>
      <c r="R5052" s="267">
        <v>2854</v>
      </c>
      <c r="S5052" s="267">
        <v>50703</v>
      </c>
      <c r="T5052" s="267">
        <v>53557</v>
      </c>
      <c r="U5052" s="268" t="s">
        <v>3945</v>
      </c>
      <c r="V5052" s="267" t="s">
        <v>944</v>
      </c>
    </row>
    <row r="5053" spans="1:22" hidden="1" x14ac:dyDescent="0.25">
      <c r="A5053" s="269">
        <v>43713</v>
      </c>
      <c r="B5053" s="270">
        <v>2019</v>
      </c>
      <c r="C5053" s="270">
        <v>2020</v>
      </c>
      <c r="D5053" s="270">
        <v>1</v>
      </c>
      <c r="E5053" s="270">
        <v>1</v>
      </c>
      <c r="F5053" s="270" t="s">
        <v>944</v>
      </c>
      <c r="G5053" s="270" t="s">
        <v>3926</v>
      </c>
      <c r="H5053" s="270" t="s">
        <v>9701</v>
      </c>
      <c r="I5053" s="270" t="s">
        <v>4871</v>
      </c>
      <c r="J5053" s="270" t="s">
        <v>3928</v>
      </c>
      <c r="K5053" s="270">
        <v>6877</v>
      </c>
      <c r="L5053" s="270">
        <v>245300</v>
      </c>
      <c r="M5053" s="270" t="s">
        <v>3943</v>
      </c>
      <c r="N5053" s="270" t="s">
        <v>3944</v>
      </c>
      <c r="O5053" s="270">
        <v>5447</v>
      </c>
      <c r="P5053" s="270" t="s">
        <v>3944</v>
      </c>
      <c r="Q5053" s="270" t="s">
        <v>3944</v>
      </c>
      <c r="R5053" s="270">
        <v>5447</v>
      </c>
      <c r="S5053" s="270">
        <v>64855</v>
      </c>
      <c r="T5053" s="270">
        <v>70302</v>
      </c>
      <c r="U5053" s="271" t="s">
        <v>3945</v>
      </c>
      <c r="V5053" s="267" t="s">
        <v>944</v>
      </c>
    </row>
    <row r="5054" spans="1:22" hidden="1" x14ac:dyDescent="0.25">
      <c r="A5054" s="266">
        <v>43713</v>
      </c>
      <c r="B5054" s="267">
        <v>2019</v>
      </c>
      <c r="C5054" s="267">
        <v>2020</v>
      </c>
      <c r="D5054" s="267">
        <v>1</v>
      </c>
      <c r="E5054" s="267">
        <v>1</v>
      </c>
      <c r="F5054" s="267" t="s">
        <v>944</v>
      </c>
      <c r="G5054" s="267" t="s">
        <v>3926</v>
      </c>
      <c r="H5054" s="267" t="s">
        <v>9702</v>
      </c>
      <c r="I5054" s="267" t="s">
        <v>4235</v>
      </c>
      <c r="J5054" s="267" t="s">
        <v>3928</v>
      </c>
      <c r="K5054" s="267">
        <v>6066</v>
      </c>
      <c r="L5054" s="267">
        <v>530302</v>
      </c>
      <c r="M5054" s="267" t="s">
        <v>3935</v>
      </c>
      <c r="N5054" s="267" t="s">
        <v>3944</v>
      </c>
      <c r="O5054" s="267">
        <v>2608</v>
      </c>
      <c r="P5054" s="267" t="s">
        <v>3944</v>
      </c>
      <c r="Q5054" s="267" t="s">
        <v>3944</v>
      </c>
      <c r="R5054" s="267">
        <v>2608</v>
      </c>
      <c r="S5054" s="267">
        <v>20192</v>
      </c>
      <c r="T5054" s="267">
        <v>22800</v>
      </c>
      <c r="U5054" s="268" t="s">
        <v>3945</v>
      </c>
      <c r="V5054" s="267" t="s">
        <v>944</v>
      </c>
    </row>
    <row r="5055" spans="1:22" hidden="1" x14ac:dyDescent="0.25">
      <c r="A5055" s="269">
        <v>43713</v>
      </c>
      <c r="B5055" s="270">
        <v>2019</v>
      </c>
      <c r="C5055" s="270">
        <v>2020</v>
      </c>
      <c r="D5055" s="270">
        <v>1</v>
      </c>
      <c r="E5055" s="270">
        <v>1</v>
      </c>
      <c r="F5055" s="270" t="s">
        <v>944</v>
      </c>
      <c r="G5055" s="270" t="s">
        <v>3926</v>
      </c>
      <c r="H5055" s="270" t="s">
        <v>9703</v>
      </c>
      <c r="I5055" s="270" t="s">
        <v>4073</v>
      </c>
      <c r="J5055" s="270" t="s">
        <v>3928</v>
      </c>
      <c r="K5055" s="270">
        <v>6776</v>
      </c>
      <c r="L5055" s="270">
        <v>253200</v>
      </c>
      <c r="M5055" s="270" t="s">
        <v>3960</v>
      </c>
      <c r="N5055" s="270" t="s">
        <v>3944</v>
      </c>
      <c r="O5055" s="270">
        <v>5390</v>
      </c>
      <c r="P5055" s="270" t="s">
        <v>3944</v>
      </c>
      <c r="Q5055" s="270" t="s">
        <v>3944</v>
      </c>
      <c r="R5055" s="270">
        <v>5390</v>
      </c>
      <c r="S5055" s="270">
        <v>36970</v>
      </c>
      <c r="T5055" s="270">
        <v>42360</v>
      </c>
      <c r="U5055" s="271" t="s">
        <v>3945</v>
      </c>
      <c r="V5055" s="267" t="s">
        <v>944</v>
      </c>
    </row>
    <row r="5056" spans="1:22" hidden="1" x14ac:dyDescent="0.25">
      <c r="A5056" s="266">
        <v>43713</v>
      </c>
      <c r="B5056" s="267">
        <v>2019</v>
      </c>
      <c r="C5056" s="267">
        <v>2020</v>
      </c>
      <c r="D5056" s="267">
        <v>1</v>
      </c>
      <c r="E5056" s="267">
        <v>1</v>
      </c>
      <c r="F5056" s="267" t="s">
        <v>944</v>
      </c>
      <c r="G5056" s="267" t="s">
        <v>3926</v>
      </c>
      <c r="H5056" s="267" t="s">
        <v>9704</v>
      </c>
      <c r="I5056" s="267" t="s">
        <v>4069</v>
      </c>
      <c r="J5056" s="267" t="s">
        <v>3928</v>
      </c>
      <c r="K5056" s="267">
        <v>6905</v>
      </c>
      <c r="L5056" s="267">
        <v>21200</v>
      </c>
      <c r="M5056" s="267" t="s">
        <v>3943</v>
      </c>
      <c r="N5056" s="267" t="s">
        <v>3944</v>
      </c>
      <c r="O5056" s="267">
        <v>2695</v>
      </c>
      <c r="P5056" s="267" t="s">
        <v>3944</v>
      </c>
      <c r="Q5056" s="267" t="s">
        <v>3944</v>
      </c>
      <c r="R5056" s="267">
        <v>2695</v>
      </c>
      <c r="S5056" s="267">
        <v>31610</v>
      </c>
      <c r="T5056" s="267">
        <v>34305</v>
      </c>
      <c r="U5056" s="268" t="s">
        <v>3945</v>
      </c>
      <c r="V5056" s="267" t="s">
        <v>944</v>
      </c>
    </row>
    <row r="5057" spans="1:22" hidden="1" x14ac:dyDescent="0.25">
      <c r="A5057" s="269">
        <v>43713</v>
      </c>
      <c r="B5057" s="270">
        <v>2019</v>
      </c>
      <c r="C5057" s="270">
        <v>2020</v>
      </c>
      <c r="D5057" s="270">
        <v>1</v>
      </c>
      <c r="E5057" s="270">
        <v>1</v>
      </c>
      <c r="F5057" s="270" t="s">
        <v>944</v>
      </c>
      <c r="G5057" s="270" t="s">
        <v>3926</v>
      </c>
      <c r="H5057" s="270" t="s">
        <v>9705</v>
      </c>
      <c r="I5057" s="270" t="s">
        <v>3008</v>
      </c>
      <c r="J5057" s="270" t="s">
        <v>3928</v>
      </c>
      <c r="K5057" s="270">
        <v>6460</v>
      </c>
      <c r="L5057" s="270">
        <v>151100</v>
      </c>
      <c r="M5057" s="270" t="s">
        <v>3960</v>
      </c>
      <c r="N5057" s="270" t="s">
        <v>3944</v>
      </c>
      <c r="O5057" s="270">
        <v>2653</v>
      </c>
      <c r="P5057" s="270" t="s">
        <v>3944</v>
      </c>
      <c r="Q5057" s="270" t="s">
        <v>3944</v>
      </c>
      <c r="R5057" s="270">
        <v>2653</v>
      </c>
      <c r="S5057" s="270">
        <v>32547</v>
      </c>
      <c r="T5057" s="270">
        <v>35200</v>
      </c>
      <c r="U5057" s="271" t="s">
        <v>3945</v>
      </c>
      <c r="V5057" s="267" t="s">
        <v>944</v>
      </c>
    </row>
    <row r="5058" spans="1:22" hidden="1" x14ac:dyDescent="0.25">
      <c r="A5058" s="266">
        <v>43713</v>
      </c>
      <c r="B5058" s="267">
        <v>2019</v>
      </c>
      <c r="C5058" s="267">
        <v>2020</v>
      </c>
      <c r="D5058" s="267">
        <v>1</v>
      </c>
      <c r="E5058" s="267">
        <v>1</v>
      </c>
      <c r="F5058" s="267" t="s">
        <v>944</v>
      </c>
      <c r="G5058" s="267" t="s">
        <v>3926</v>
      </c>
      <c r="H5058" s="267" t="s">
        <v>9706</v>
      </c>
      <c r="I5058" s="267" t="s">
        <v>4046</v>
      </c>
      <c r="J5058" s="267" t="s">
        <v>3928</v>
      </c>
      <c r="K5058" s="267">
        <v>6281</v>
      </c>
      <c r="L5058" s="267">
        <v>901100</v>
      </c>
      <c r="M5058" s="267" t="s">
        <v>3960</v>
      </c>
      <c r="N5058" s="267" t="s">
        <v>3944</v>
      </c>
      <c r="O5058" s="267">
        <v>6150</v>
      </c>
      <c r="P5058" s="267" t="s">
        <v>3944</v>
      </c>
      <c r="Q5058" s="267" t="s">
        <v>3944</v>
      </c>
      <c r="R5058" s="267">
        <v>6150</v>
      </c>
      <c r="S5058" s="267">
        <v>44955</v>
      </c>
      <c r="T5058" s="267">
        <v>51105</v>
      </c>
      <c r="U5058" s="268" t="s">
        <v>3945</v>
      </c>
      <c r="V5058" s="267" t="s">
        <v>944</v>
      </c>
    </row>
    <row r="5059" spans="1:22" hidden="1" x14ac:dyDescent="0.25">
      <c r="A5059" s="269">
        <v>43713</v>
      </c>
      <c r="B5059" s="270">
        <v>2019</v>
      </c>
      <c r="C5059" s="270">
        <v>2020</v>
      </c>
      <c r="D5059" s="270">
        <v>1</v>
      </c>
      <c r="E5059" s="270">
        <v>1</v>
      </c>
      <c r="F5059" s="270" t="s">
        <v>944</v>
      </c>
      <c r="G5059" s="270" t="s">
        <v>3926</v>
      </c>
      <c r="H5059" s="270" t="s">
        <v>9707</v>
      </c>
      <c r="I5059" s="270" t="s">
        <v>4126</v>
      </c>
      <c r="J5059" s="270" t="s">
        <v>3928</v>
      </c>
      <c r="K5059" s="270">
        <v>6880</v>
      </c>
      <c r="L5059" s="270">
        <v>50300</v>
      </c>
      <c r="M5059" s="270" t="s">
        <v>3943</v>
      </c>
      <c r="N5059" s="270" t="s">
        <v>3944</v>
      </c>
      <c r="O5059" s="270">
        <v>6273</v>
      </c>
      <c r="P5059" s="270" t="s">
        <v>3944</v>
      </c>
      <c r="Q5059" s="270" t="s">
        <v>3944</v>
      </c>
      <c r="R5059" s="270">
        <v>6273</v>
      </c>
      <c r="S5059" s="270">
        <v>80415</v>
      </c>
      <c r="T5059" s="270">
        <v>86688</v>
      </c>
      <c r="U5059" s="271" t="s">
        <v>3945</v>
      </c>
      <c r="V5059" s="267" t="s">
        <v>944</v>
      </c>
    </row>
    <row r="5060" spans="1:22" hidden="1" x14ac:dyDescent="0.25">
      <c r="A5060" s="266">
        <v>43713</v>
      </c>
      <c r="B5060" s="267">
        <v>2019</v>
      </c>
      <c r="C5060" s="267">
        <v>2020</v>
      </c>
      <c r="D5060" s="267">
        <v>1</v>
      </c>
      <c r="E5060" s="267">
        <v>1</v>
      </c>
      <c r="F5060" s="267" t="s">
        <v>944</v>
      </c>
      <c r="G5060" s="267" t="s">
        <v>3926</v>
      </c>
      <c r="H5060" s="267" t="s">
        <v>9708</v>
      </c>
      <c r="I5060" s="267" t="s">
        <v>2981</v>
      </c>
      <c r="J5060" s="267" t="s">
        <v>3928</v>
      </c>
      <c r="K5060" s="267">
        <v>6612</v>
      </c>
      <c r="L5060" s="267">
        <v>105200</v>
      </c>
      <c r="M5060" s="267" t="s">
        <v>3943</v>
      </c>
      <c r="N5060" s="267" t="s">
        <v>3944</v>
      </c>
      <c r="O5060" s="267">
        <v>4417</v>
      </c>
      <c r="P5060" s="267" t="s">
        <v>3944</v>
      </c>
      <c r="Q5060" s="267" t="s">
        <v>3944</v>
      </c>
      <c r="R5060" s="267">
        <v>4417</v>
      </c>
      <c r="S5060" s="267">
        <v>41366</v>
      </c>
      <c r="T5060" s="267">
        <v>45783</v>
      </c>
      <c r="U5060" s="268" t="s">
        <v>3945</v>
      </c>
      <c r="V5060" s="267" t="s">
        <v>944</v>
      </c>
    </row>
    <row r="5061" spans="1:22" hidden="1" x14ac:dyDescent="0.25">
      <c r="A5061" s="269">
        <v>43713</v>
      </c>
      <c r="B5061" s="270">
        <v>2019</v>
      </c>
      <c r="C5061" s="270">
        <v>2020</v>
      </c>
      <c r="D5061" s="270">
        <v>1</v>
      </c>
      <c r="E5061" s="270">
        <v>1</v>
      </c>
      <c r="F5061" s="270" t="s">
        <v>944</v>
      </c>
      <c r="G5061" s="270" t="s">
        <v>3926</v>
      </c>
      <c r="H5061" s="270" t="s">
        <v>9709</v>
      </c>
      <c r="I5061" s="270" t="s">
        <v>3949</v>
      </c>
      <c r="J5061" s="270" t="s">
        <v>3928</v>
      </c>
      <c r="K5061" s="270">
        <v>6437</v>
      </c>
      <c r="L5061" s="270">
        <v>190200</v>
      </c>
      <c r="M5061" s="270" t="s">
        <v>3943</v>
      </c>
      <c r="N5061" s="270" t="s">
        <v>3944</v>
      </c>
      <c r="O5061" s="270">
        <v>1643</v>
      </c>
      <c r="P5061" s="270" t="s">
        <v>3944</v>
      </c>
      <c r="Q5061" s="270" t="s">
        <v>3944</v>
      </c>
      <c r="R5061" s="270">
        <v>1643</v>
      </c>
      <c r="S5061" s="270">
        <v>31907</v>
      </c>
      <c r="T5061" s="270">
        <v>33550</v>
      </c>
      <c r="U5061" s="271" t="s">
        <v>3945</v>
      </c>
      <c r="V5061" s="267" t="s">
        <v>944</v>
      </c>
    </row>
    <row r="5062" spans="1:22" hidden="1" x14ac:dyDescent="0.25">
      <c r="A5062" s="266">
        <v>43713</v>
      </c>
      <c r="B5062" s="267">
        <v>2019</v>
      </c>
      <c r="C5062" s="267">
        <v>2020</v>
      </c>
      <c r="D5062" s="267">
        <v>1</v>
      </c>
      <c r="E5062" s="267">
        <v>1</v>
      </c>
      <c r="F5062" s="267" t="s">
        <v>944</v>
      </c>
      <c r="G5062" s="267" t="s">
        <v>3926</v>
      </c>
      <c r="H5062" s="267" t="s">
        <v>9710</v>
      </c>
      <c r="I5062" s="267" t="s">
        <v>4147</v>
      </c>
      <c r="J5062" s="267" t="s">
        <v>3928</v>
      </c>
      <c r="K5062" s="267">
        <v>6109</v>
      </c>
      <c r="L5062" s="267">
        <v>492500</v>
      </c>
      <c r="M5062" s="267" t="s">
        <v>3960</v>
      </c>
      <c r="N5062" s="267" t="s">
        <v>3944</v>
      </c>
      <c r="O5062" s="267">
        <v>3407</v>
      </c>
      <c r="P5062" s="267" t="s">
        <v>3944</v>
      </c>
      <c r="Q5062" s="267" t="s">
        <v>3944</v>
      </c>
      <c r="R5062" s="267">
        <v>3407</v>
      </c>
      <c r="S5062" s="267">
        <v>22542</v>
      </c>
      <c r="T5062" s="267">
        <v>25949</v>
      </c>
      <c r="U5062" s="268" t="s">
        <v>3945</v>
      </c>
      <c r="V5062" s="267" t="s">
        <v>944</v>
      </c>
    </row>
    <row r="5063" spans="1:22" hidden="1" x14ac:dyDescent="0.25">
      <c r="A5063" s="269">
        <v>43713</v>
      </c>
      <c r="B5063" s="270">
        <v>2019</v>
      </c>
      <c r="C5063" s="270">
        <v>2020</v>
      </c>
      <c r="D5063" s="270">
        <v>1</v>
      </c>
      <c r="E5063" s="270">
        <v>1</v>
      </c>
      <c r="F5063" s="270" t="s">
        <v>944</v>
      </c>
      <c r="G5063" s="270" t="s">
        <v>3926</v>
      </c>
      <c r="H5063" s="270" t="s">
        <v>9711</v>
      </c>
      <c r="I5063" s="270" t="s">
        <v>4147</v>
      </c>
      <c r="J5063" s="270" t="s">
        <v>3928</v>
      </c>
      <c r="K5063" s="270">
        <v>6109</v>
      </c>
      <c r="L5063" s="270">
        <v>492400</v>
      </c>
      <c r="M5063" s="270" t="s">
        <v>3935</v>
      </c>
      <c r="N5063" s="270" t="s">
        <v>3944</v>
      </c>
      <c r="O5063" s="270">
        <v>3299</v>
      </c>
      <c r="P5063" s="270" t="s">
        <v>3944</v>
      </c>
      <c r="Q5063" s="270" t="s">
        <v>3944</v>
      </c>
      <c r="R5063" s="270">
        <v>3299</v>
      </c>
      <c r="S5063" s="270">
        <v>35515</v>
      </c>
      <c r="T5063" s="270">
        <v>38814</v>
      </c>
      <c r="U5063" s="271" t="s">
        <v>3945</v>
      </c>
      <c r="V5063" s="267" t="s">
        <v>944</v>
      </c>
    </row>
    <row r="5064" spans="1:22" hidden="1" x14ac:dyDescent="0.25">
      <c r="A5064" s="266">
        <v>43713</v>
      </c>
      <c r="B5064" s="267">
        <v>2019</v>
      </c>
      <c r="C5064" s="267">
        <v>2020</v>
      </c>
      <c r="D5064" s="267">
        <v>1</v>
      </c>
      <c r="E5064" s="267">
        <v>1</v>
      </c>
      <c r="F5064" s="267" t="s">
        <v>944</v>
      </c>
      <c r="G5064" s="267" t="s">
        <v>3926</v>
      </c>
      <c r="H5064" s="267" t="s">
        <v>9712</v>
      </c>
      <c r="I5064" s="267" t="s">
        <v>2985</v>
      </c>
      <c r="J5064" s="267" t="s">
        <v>3928</v>
      </c>
      <c r="K5064" s="267">
        <v>6825</v>
      </c>
      <c r="L5064" s="267">
        <v>61100</v>
      </c>
      <c r="M5064" s="267" t="s">
        <v>3943</v>
      </c>
      <c r="N5064" s="267" t="s">
        <v>3944</v>
      </c>
      <c r="O5064" s="267">
        <v>2900</v>
      </c>
      <c r="P5064" s="267" t="s">
        <v>3944</v>
      </c>
      <c r="Q5064" s="267" t="s">
        <v>3944</v>
      </c>
      <c r="R5064" s="267">
        <v>2900</v>
      </c>
      <c r="S5064" s="267">
        <v>16850.5</v>
      </c>
      <c r="T5064" s="267">
        <v>19750.5</v>
      </c>
      <c r="U5064" s="268" t="s">
        <v>3945</v>
      </c>
      <c r="V5064" s="267" t="s">
        <v>944</v>
      </c>
    </row>
    <row r="5065" spans="1:22" hidden="1" x14ac:dyDescent="0.25">
      <c r="A5065" s="269">
        <v>43713</v>
      </c>
      <c r="B5065" s="270">
        <v>2019</v>
      </c>
      <c r="C5065" s="270">
        <v>2020</v>
      </c>
      <c r="D5065" s="270">
        <v>1</v>
      </c>
      <c r="E5065" s="270">
        <v>1</v>
      </c>
      <c r="F5065" s="270" t="s">
        <v>944</v>
      </c>
      <c r="G5065" s="270" t="s">
        <v>3926</v>
      </c>
      <c r="H5065" s="270" t="s">
        <v>9713</v>
      </c>
      <c r="I5065" s="270" t="s">
        <v>3026</v>
      </c>
      <c r="J5065" s="270" t="s">
        <v>3928</v>
      </c>
      <c r="K5065" s="270">
        <v>6471</v>
      </c>
      <c r="L5065" s="270">
        <v>186100</v>
      </c>
      <c r="M5065" s="270" t="s">
        <v>3935</v>
      </c>
      <c r="N5065" s="270" t="s">
        <v>3944</v>
      </c>
      <c r="O5065" s="270">
        <v>2571</v>
      </c>
      <c r="P5065" s="270" t="s">
        <v>3944</v>
      </c>
      <c r="Q5065" s="270" t="s">
        <v>3944</v>
      </c>
      <c r="R5065" s="270">
        <v>2571</v>
      </c>
      <c r="S5065" s="270">
        <v>17328</v>
      </c>
      <c r="T5065" s="270">
        <v>19899</v>
      </c>
      <c r="U5065" s="271" t="s">
        <v>3945</v>
      </c>
      <c r="V5065" s="267" t="s">
        <v>944</v>
      </c>
    </row>
    <row r="5066" spans="1:22" hidden="1" x14ac:dyDescent="0.25">
      <c r="A5066" s="266">
        <v>43713</v>
      </c>
      <c r="B5066" s="267">
        <v>2019</v>
      </c>
      <c r="C5066" s="267">
        <v>2020</v>
      </c>
      <c r="D5066" s="267">
        <v>1</v>
      </c>
      <c r="E5066" s="267">
        <v>1</v>
      </c>
      <c r="F5066" s="267" t="s">
        <v>944</v>
      </c>
      <c r="G5066" s="267" t="s">
        <v>3926</v>
      </c>
      <c r="H5066" s="267" t="s">
        <v>9714</v>
      </c>
      <c r="I5066" s="267" t="s">
        <v>4069</v>
      </c>
      <c r="J5066" s="267" t="s">
        <v>3928</v>
      </c>
      <c r="K5066" s="267">
        <v>6902</v>
      </c>
      <c r="L5066" s="267">
        <v>22400</v>
      </c>
      <c r="M5066" s="267" t="s">
        <v>3943</v>
      </c>
      <c r="N5066" s="267" t="s">
        <v>3944</v>
      </c>
      <c r="O5066" s="267">
        <v>1791</v>
      </c>
      <c r="P5066" s="267" t="s">
        <v>3944</v>
      </c>
      <c r="Q5066" s="267" t="s">
        <v>3944</v>
      </c>
      <c r="R5066" s="267">
        <v>1791</v>
      </c>
      <c r="S5066" s="267">
        <v>17145</v>
      </c>
      <c r="T5066" s="267">
        <v>18936</v>
      </c>
      <c r="U5066" s="268" t="s">
        <v>3945</v>
      </c>
      <c r="V5066" s="267" t="s">
        <v>944</v>
      </c>
    </row>
    <row r="5067" spans="1:22" hidden="1" x14ac:dyDescent="0.25">
      <c r="A5067" s="269">
        <v>43713</v>
      </c>
      <c r="B5067" s="270">
        <v>2019</v>
      </c>
      <c r="C5067" s="270">
        <v>2020</v>
      </c>
      <c r="D5067" s="270">
        <v>1</v>
      </c>
      <c r="E5067" s="270">
        <v>1</v>
      </c>
      <c r="F5067" s="270" t="s">
        <v>944</v>
      </c>
      <c r="G5067" s="270" t="s">
        <v>3926</v>
      </c>
      <c r="H5067" s="270" t="s">
        <v>9715</v>
      </c>
      <c r="I5067" s="270" t="s">
        <v>5845</v>
      </c>
      <c r="J5067" s="270" t="s">
        <v>3928</v>
      </c>
      <c r="K5067" s="270">
        <v>6796</v>
      </c>
      <c r="L5067" s="270">
        <v>263200</v>
      </c>
      <c r="M5067" s="270" t="s">
        <v>3935</v>
      </c>
      <c r="N5067" s="270" t="s">
        <v>3944</v>
      </c>
      <c r="O5067" s="270">
        <v>5887</v>
      </c>
      <c r="P5067" s="270" t="s">
        <v>3944</v>
      </c>
      <c r="Q5067" s="270" t="s">
        <v>3944</v>
      </c>
      <c r="R5067" s="270">
        <v>5887</v>
      </c>
      <c r="S5067" s="270">
        <v>40458</v>
      </c>
      <c r="T5067" s="270">
        <v>46345</v>
      </c>
      <c r="U5067" s="271" t="s">
        <v>3945</v>
      </c>
      <c r="V5067" s="267" t="s">
        <v>944</v>
      </c>
    </row>
    <row r="5068" spans="1:22" hidden="1" x14ac:dyDescent="0.25">
      <c r="A5068" s="266">
        <v>43713</v>
      </c>
      <c r="B5068" s="267">
        <v>2019</v>
      </c>
      <c r="C5068" s="267">
        <v>2020</v>
      </c>
      <c r="D5068" s="267">
        <v>1</v>
      </c>
      <c r="E5068" s="267">
        <v>1</v>
      </c>
      <c r="F5068" s="267" t="s">
        <v>944</v>
      </c>
      <c r="G5068" s="267" t="s">
        <v>3926</v>
      </c>
      <c r="H5068" s="267" t="s">
        <v>9716</v>
      </c>
      <c r="I5068" s="267" t="s">
        <v>4239</v>
      </c>
      <c r="J5068" s="267" t="s">
        <v>3928</v>
      </c>
      <c r="K5068" s="267">
        <v>6085</v>
      </c>
      <c r="L5068" s="267">
        <v>460302</v>
      </c>
      <c r="M5068" s="267" t="s">
        <v>3960</v>
      </c>
      <c r="N5068" s="267" t="s">
        <v>3944</v>
      </c>
      <c r="O5068" s="267">
        <v>1132</v>
      </c>
      <c r="P5068" s="267" t="s">
        <v>3944</v>
      </c>
      <c r="Q5068" s="267" t="s">
        <v>3944</v>
      </c>
      <c r="R5068" s="267">
        <v>1132</v>
      </c>
      <c r="S5068" s="267">
        <v>15868</v>
      </c>
      <c r="T5068" s="267">
        <v>17000</v>
      </c>
      <c r="U5068" s="268" t="s">
        <v>3945</v>
      </c>
      <c r="V5068" s="267" t="s">
        <v>944</v>
      </c>
    </row>
    <row r="5069" spans="1:22" hidden="1" x14ac:dyDescent="0.25">
      <c r="A5069" s="269">
        <v>43713</v>
      </c>
      <c r="B5069" s="270">
        <v>2019</v>
      </c>
      <c r="C5069" s="270">
        <v>2020</v>
      </c>
      <c r="D5069" s="270">
        <v>1</v>
      </c>
      <c r="E5069" s="270">
        <v>1</v>
      </c>
      <c r="F5069" s="270" t="s">
        <v>944</v>
      </c>
      <c r="G5069" s="270" t="s">
        <v>3926</v>
      </c>
      <c r="H5069" s="270" t="s">
        <v>9717</v>
      </c>
      <c r="I5069" s="270" t="s">
        <v>4353</v>
      </c>
      <c r="J5069" s="270" t="s">
        <v>3928</v>
      </c>
      <c r="K5069" s="270">
        <v>6416</v>
      </c>
      <c r="L5069" s="270">
        <v>570200</v>
      </c>
      <c r="M5069" s="270" t="s">
        <v>3943</v>
      </c>
      <c r="N5069" s="270" t="s">
        <v>3944</v>
      </c>
      <c r="O5069" s="270">
        <v>3221</v>
      </c>
      <c r="P5069" s="270" t="s">
        <v>3944</v>
      </c>
      <c r="Q5069" s="270" t="s">
        <v>3944</v>
      </c>
      <c r="R5069" s="270">
        <v>3221</v>
      </c>
      <c r="S5069" s="270">
        <v>46579</v>
      </c>
      <c r="T5069" s="270">
        <v>49800</v>
      </c>
      <c r="U5069" s="271" t="s">
        <v>3945</v>
      </c>
      <c r="V5069" s="267" t="s">
        <v>944</v>
      </c>
    </row>
    <row r="5070" spans="1:22" hidden="1" x14ac:dyDescent="0.25">
      <c r="A5070" s="266">
        <v>43713</v>
      </c>
      <c r="B5070" s="267">
        <v>2019</v>
      </c>
      <c r="C5070" s="267">
        <v>2020</v>
      </c>
      <c r="D5070" s="267">
        <v>1</v>
      </c>
      <c r="E5070" s="267">
        <v>1</v>
      </c>
      <c r="F5070" s="267" t="s">
        <v>944</v>
      </c>
      <c r="G5070" s="267" t="s">
        <v>3926</v>
      </c>
      <c r="H5070" s="267" t="s">
        <v>9718</v>
      </c>
      <c r="I5070" s="267" t="s">
        <v>4250</v>
      </c>
      <c r="J5070" s="267" t="s">
        <v>3928</v>
      </c>
      <c r="K5070" s="267">
        <v>6241</v>
      </c>
      <c r="L5070" s="267">
        <v>904100</v>
      </c>
      <c r="M5070" s="267" t="s">
        <v>3935</v>
      </c>
      <c r="N5070" s="267" t="s">
        <v>3944</v>
      </c>
      <c r="O5070" s="267">
        <v>3014</v>
      </c>
      <c r="P5070" s="267" t="s">
        <v>3944</v>
      </c>
      <c r="Q5070" s="267" t="s">
        <v>3944</v>
      </c>
      <c r="R5070" s="267">
        <v>3014</v>
      </c>
      <c r="S5070" s="267">
        <v>23367.25</v>
      </c>
      <c r="T5070" s="267">
        <v>26381.25</v>
      </c>
      <c r="U5070" s="268" t="s">
        <v>3945</v>
      </c>
      <c r="V5070" s="267" t="s">
        <v>944</v>
      </c>
    </row>
    <row r="5071" spans="1:22" hidden="1" x14ac:dyDescent="0.25">
      <c r="A5071" s="269">
        <v>43713</v>
      </c>
      <c r="B5071" s="270">
        <v>2019</v>
      </c>
      <c r="C5071" s="270">
        <v>2020</v>
      </c>
      <c r="D5071" s="270">
        <v>1</v>
      </c>
      <c r="E5071" s="270">
        <v>1</v>
      </c>
      <c r="F5071" s="270" t="s">
        <v>944</v>
      </c>
      <c r="G5071" s="270" t="s">
        <v>3926</v>
      </c>
      <c r="H5071" s="270" t="s">
        <v>9719</v>
      </c>
      <c r="I5071" s="270" t="s">
        <v>4137</v>
      </c>
      <c r="J5071" s="270" t="s">
        <v>3928</v>
      </c>
      <c r="K5071" s="270">
        <v>6067</v>
      </c>
      <c r="L5071" s="270">
        <v>490302</v>
      </c>
      <c r="M5071" s="270" t="s">
        <v>3960</v>
      </c>
      <c r="N5071" s="270" t="s">
        <v>3944</v>
      </c>
      <c r="O5071" s="270">
        <v>2305.84</v>
      </c>
      <c r="P5071" s="270" t="s">
        <v>3944</v>
      </c>
      <c r="Q5071" s="270" t="s">
        <v>3944</v>
      </c>
      <c r="R5071" s="270">
        <v>2305.84</v>
      </c>
      <c r="S5071" s="270">
        <v>32895.089999999997</v>
      </c>
      <c r="T5071" s="270">
        <v>35200.93</v>
      </c>
      <c r="U5071" s="271" t="s">
        <v>3945</v>
      </c>
      <c r="V5071" s="267" t="s">
        <v>944</v>
      </c>
    </row>
    <row r="5072" spans="1:22" x14ac:dyDescent="0.25">
      <c r="A5072" s="266">
        <v>43713</v>
      </c>
      <c r="B5072" s="267">
        <v>2019</v>
      </c>
      <c r="C5072" s="267">
        <v>2020</v>
      </c>
      <c r="D5072" s="267">
        <v>1</v>
      </c>
      <c r="E5072" s="267">
        <v>1</v>
      </c>
      <c r="F5072" s="267" t="s">
        <v>944</v>
      </c>
      <c r="G5072" s="267" t="s">
        <v>3926</v>
      </c>
      <c r="H5072" s="267" t="s">
        <v>9720</v>
      </c>
      <c r="I5072" s="267" t="s">
        <v>943</v>
      </c>
      <c r="J5072" s="267" t="s">
        <v>3928</v>
      </c>
      <c r="K5072" s="267">
        <v>6519</v>
      </c>
      <c r="L5072" s="267">
        <v>140400</v>
      </c>
      <c r="M5072" s="267">
        <v>-60</v>
      </c>
      <c r="N5072" s="267" t="s">
        <v>3944</v>
      </c>
      <c r="O5072" s="267">
        <v>1203.3</v>
      </c>
      <c r="P5072" s="267" t="s">
        <v>3944</v>
      </c>
      <c r="Q5072" s="267" t="s">
        <v>3944</v>
      </c>
      <c r="R5072" s="267">
        <v>1203.3</v>
      </c>
      <c r="S5072" s="267">
        <v>21563.27</v>
      </c>
      <c r="T5072" s="267">
        <v>22766.57</v>
      </c>
      <c r="U5072" s="268" t="s">
        <v>3945</v>
      </c>
      <c r="V5072" s="276" t="s">
        <v>936</v>
      </c>
    </row>
    <row r="5073" spans="1:22" hidden="1" x14ac:dyDescent="0.25">
      <c r="A5073" s="269">
        <v>43713</v>
      </c>
      <c r="B5073" s="270">
        <v>2019</v>
      </c>
      <c r="C5073" s="270">
        <v>2020</v>
      </c>
      <c r="D5073" s="270">
        <v>1</v>
      </c>
      <c r="E5073" s="270">
        <v>1</v>
      </c>
      <c r="F5073" s="270" t="s">
        <v>944</v>
      </c>
      <c r="G5073" s="270" t="s">
        <v>3926</v>
      </c>
      <c r="H5073" s="270" t="s">
        <v>9721</v>
      </c>
      <c r="I5073" s="270" t="s">
        <v>6209</v>
      </c>
      <c r="J5073" s="270" t="s">
        <v>3928</v>
      </c>
      <c r="K5073" s="270">
        <v>6403</v>
      </c>
      <c r="L5073" s="270">
        <v>341100</v>
      </c>
      <c r="M5073" s="270" t="s">
        <v>3935</v>
      </c>
      <c r="N5073" s="270" t="s">
        <v>3944</v>
      </c>
      <c r="O5073" s="270">
        <v>853.65</v>
      </c>
      <c r="P5073" s="270" t="s">
        <v>3944</v>
      </c>
      <c r="Q5073" s="270" t="s">
        <v>3944</v>
      </c>
      <c r="R5073" s="270">
        <v>853.65</v>
      </c>
      <c r="S5073" s="270">
        <v>14080.7</v>
      </c>
      <c r="T5073" s="270">
        <v>14934.35</v>
      </c>
      <c r="U5073" s="271" t="s">
        <v>3945</v>
      </c>
      <c r="V5073" s="267" t="s">
        <v>944</v>
      </c>
    </row>
    <row r="5074" spans="1:22" hidden="1" x14ac:dyDescent="0.25">
      <c r="A5074" s="266">
        <v>43713</v>
      </c>
      <c r="B5074" s="267">
        <v>2019</v>
      </c>
      <c r="C5074" s="267">
        <v>2020</v>
      </c>
      <c r="D5074" s="267">
        <v>1</v>
      </c>
      <c r="E5074" s="267">
        <v>1</v>
      </c>
      <c r="F5074" s="267" t="s">
        <v>944</v>
      </c>
      <c r="G5074" s="267" t="s">
        <v>3926</v>
      </c>
      <c r="H5074" s="267" t="s">
        <v>9722</v>
      </c>
      <c r="I5074" s="267" t="s">
        <v>4168</v>
      </c>
      <c r="J5074" s="267" t="s">
        <v>3928</v>
      </c>
      <c r="K5074" s="267">
        <v>6475</v>
      </c>
      <c r="L5074" s="267">
        <v>670100</v>
      </c>
      <c r="M5074" s="267" t="s">
        <v>3960</v>
      </c>
      <c r="N5074" s="267" t="s">
        <v>3944</v>
      </c>
      <c r="O5074" s="267">
        <v>2574.6</v>
      </c>
      <c r="P5074" s="267" t="s">
        <v>3944</v>
      </c>
      <c r="Q5074" s="267" t="s">
        <v>3944</v>
      </c>
      <c r="R5074" s="267">
        <v>2574.6</v>
      </c>
      <c r="S5074" s="267">
        <v>40251.339999999997</v>
      </c>
      <c r="T5074" s="267">
        <v>42825.94</v>
      </c>
      <c r="U5074" s="268" t="s">
        <v>3945</v>
      </c>
      <c r="V5074" s="267" t="s">
        <v>944</v>
      </c>
    </row>
    <row r="5075" spans="1:22" hidden="1" x14ac:dyDescent="0.25">
      <c r="A5075" s="269">
        <v>43713</v>
      </c>
      <c r="B5075" s="270">
        <v>2019</v>
      </c>
      <c r="C5075" s="270">
        <v>2020</v>
      </c>
      <c r="D5075" s="270">
        <v>1</v>
      </c>
      <c r="E5075" s="270">
        <v>1</v>
      </c>
      <c r="F5075" s="270" t="s">
        <v>944</v>
      </c>
      <c r="G5075" s="270" t="s">
        <v>3926</v>
      </c>
      <c r="H5075" s="270" t="s">
        <v>9723</v>
      </c>
      <c r="I5075" s="270" t="s">
        <v>3993</v>
      </c>
      <c r="J5075" s="270" t="s">
        <v>3928</v>
      </c>
      <c r="K5075" s="270">
        <v>6415</v>
      </c>
      <c r="L5075" s="270">
        <v>714103</v>
      </c>
      <c r="M5075" s="270" t="s">
        <v>3943</v>
      </c>
      <c r="N5075" s="270" t="s">
        <v>3944</v>
      </c>
      <c r="O5075" s="270">
        <v>2012.99</v>
      </c>
      <c r="P5075" s="270" t="s">
        <v>3944</v>
      </c>
      <c r="Q5075" s="270" t="s">
        <v>3944</v>
      </c>
      <c r="R5075" s="270">
        <v>2012.99</v>
      </c>
      <c r="S5075" s="270">
        <v>37091.879999999997</v>
      </c>
      <c r="T5075" s="270">
        <v>39104.870000000003</v>
      </c>
      <c r="U5075" s="271" t="s">
        <v>3945</v>
      </c>
      <c r="V5075" s="267" t="s">
        <v>944</v>
      </c>
    </row>
    <row r="5076" spans="1:22" hidden="1" x14ac:dyDescent="0.25">
      <c r="A5076" s="266">
        <v>43713</v>
      </c>
      <c r="B5076" s="267">
        <v>2019</v>
      </c>
      <c r="C5076" s="267">
        <v>2020</v>
      </c>
      <c r="D5076" s="267">
        <v>1</v>
      </c>
      <c r="E5076" s="267">
        <v>1</v>
      </c>
      <c r="F5076" s="267" t="s">
        <v>944</v>
      </c>
      <c r="G5076" s="267" t="s">
        <v>3926</v>
      </c>
      <c r="H5076" s="267" t="s">
        <v>9724</v>
      </c>
      <c r="I5076" s="267" t="s">
        <v>4392</v>
      </c>
      <c r="J5076" s="267" t="s">
        <v>3928</v>
      </c>
      <c r="K5076" s="267">
        <v>6457</v>
      </c>
      <c r="L5076" s="267">
        <v>541401</v>
      </c>
      <c r="M5076" s="267" t="s">
        <v>3943</v>
      </c>
      <c r="N5076" s="267" t="s">
        <v>3944</v>
      </c>
      <c r="O5076" s="267">
        <v>2491.23</v>
      </c>
      <c r="P5076" s="267" t="s">
        <v>3944</v>
      </c>
      <c r="Q5076" s="267" t="s">
        <v>3944</v>
      </c>
      <c r="R5076" s="267">
        <v>2491.23</v>
      </c>
      <c r="S5076" s="267">
        <v>29255.97</v>
      </c>
      <c r="T5076" s="267">
        <v>31747.200000000001</v>
      </c>
      <c r="U5076" s="268" t="s">
        <v>3945</v>
      </c>
      <c r="V5076" s="267" t="s">
        <v>944</v>
      </c>
    </row>
    <row r="5077" spans="1:22" hidden="1" x14ac:dyDescent="0.25">
      <c r="A5077" s="269">
        <v>43713</v>
      </c>
      <c r="B5077" s="270">
        <v>2019</v>
      </c>
      <c r="C5077" s="270">
        <v>2020</v>
      </c>
      <c r="D5077" s="270">
        <v>1</v>
      </c>
      <c r="E5077" s="270">
        <v>1</v>
      </c>
      <c r="F5077" s="270" t="s">
        <v>944</v>
      </c>
      <c r="G5077" s="270" t="s">
        <v>3926</v>
      </c>
      <c r="H5077" s="270" t="s">
        <v>9725</v>
      </c>
      <c r="I5077" s="270" t="s">
        <v>4019</v>
      </c>
      <c r="J5077" s="270" t="s">
        <v>3928</v>
      </c>
      <c r="K5077" s="270">
        <v>6708</v>
      </c>
      <c r="L5077" s="270">
        <v>351800</v>
      </c>
      <c r="M5077" s="270" t="s">
        <v>3940</v>
      </c>
      <c r="N5077" s="270" t="s">
        <v>3944</v>
      </c>
      <c r="O5077" s="270">
        <v>1631.18</v>
      </c>
      <c r="P5077" s="270" t="s">
        <v>3944</v>
      </c>
      <c r="Q5077" s="270" t="s">
        <v>3944</v>
      </c>
      <c r="R5077" s="270">
        <v>1631.18</v>
      </c>
      <c r="S5077" s="270">
        <v>28498.97</v>
      </c>
      <c r="T5077" s="270">
        <v>30130.15</v>
      </c>
      <c r="U5077" s="271" t="s">
        <v>3945</v>
      </c>
      <c r="V5077" s="267" t="s">
        <v>944</v>
      </c>
    </row>
    <row r="5078" spans="1:22" hidden="1" x14ac:dyDescent="0.25">
      <c r="A5078" s="266">
        <v>43713</v>
      </c>
      <c r="B5078" s="267">
        <v>2019</v>
      </c>
      <c r="C5078" s="267">
        <v>2020</v>
      </c>
      <c r="D5078" s="267">
        <v>1</v>
      </c>
      <c r="E5078" s="267">
        <v>1</v>
      </c>
      <c r="F5078" s="267" t="s">
        <v>944</v>
      </c>
      <c r="G5078" s="267" t="s">
        <v>3926</v>
      </c>
      <c r="H5078" s="267" t="s">
        <v>9726</v>
      </c>
      <c r="I5078" s="267" t="s">
        <v>3939</v>
      </c>
      <c r="J5078" s="267" t="s">
        <v>3928</v>
      </c>
      <c r="K5078" s="267">
        <v>6512</v>
      </c>
      <c r="L5078" s="267">
        <v>180601</v>
      </c>
      <c r="M5078" s="267" t="s">
        <v>3940</v>
      </c>
      <c r="N5078" s="267" t="s">
        <v>3944</v>
      </c>
      <c r="O5078" s="267">
        <v>2355.19</v>
      </c>
      <c r="P5078" s="267" t="s">
        <v>3944</v>
      </c>
      <c r="Q5078" s="267" t="s">
        <v>3944</v>
      </c>
      <c r="R5078" s="267">
        <v>2355.19</v>
      </c>
      <c r="S5078" s="267">
        <v>35730.410000000003</v>
      </c>
      <c r="T5078" s="267">
        <v>38085.599999999999</v>
      </c>
      <c r="U5078" s="268" t="s">
        <v>3945</v>
      </c>
      <c r="V5078" s="267" t="s">
        <v>944</v>
      </c>
    </row>
    <row r="5079" spans="1:22" hidden="1" x14ac:dyDescent="0.25">
      <c r="A5079" s="269">
        <v>43713</v>
      </c>
      <c r="B5079" s="270">
        <v>2019</v>
      </c>
      <c r="C5079" s="270">
        <v>2020</v>
      </c>
      <c r="D5079" s="270">
        <v>1</v>
      </c>
      <c r="E5079" s="270">
        <v>1</v>
      </c>
      <c r="F5079" s="270" t="s">
        <v>944</v>
      </c>
      <c r="G5079" s="270" t="s">
        <v>3926</v>
      </c>
      <c r="H5079" s="270" t="s">
        <v>9727</v>
      </c>
      <c r="I5079" s="270" t="s">
        <v>4005</v>
      </c>
      <c r="J5079" s="270" t="s">
        <v>3928</v>
      </c>
      <c r="K5079" s="270">
        <v>6118</v>
      </c>
      <c r="L5079" s="270">
        <v>510700</v>
      </c>
      <c r="M5079" s="270" t="s">
        <v>3940</v>
      </c>
      <c r="N5079" s="270" t="s">
        <v>3944</v>
      </c>
      <c r="O5079" s="270">
        <v>1366.33</v>
      </c>
      <c r="P5079" s="270" t="s">
        <v>3944</v>
      </c>
      <c r="Q5079" s="270" t="s">
        <v>3944</v>
      </c>
      <c r="R5079" s="270">
        <v>1366.33</v>
      </c>
      <c r="S5079" s="270">
        <v>23921.25</v>
      </c>
      <c r="T5079" s="270">
        <v>25287.58</v>
      </c>
      <c r="U5079" s="271" t="s">
        <v>3945</v>
      </c>
      <c r="V5079" s="267" t="s">
        <v>944</v>
      </c>
    </row>
    <row r="5080" spans="1:22" hidden="1" x14ac:dyDescent="0.25">
      <c r="A5080" s="266">
        <v>43713</v>
      </c>
      <c r="B5080" s="267">
        <v>2019</v>
      </c>
      <c r="C5080" s="267">
        <v>2020</v>
      </c>
      <c r="D5080" s="267">
        <v>1</v>
      </c>
      <c r="E5080" s="267">
        <v>1</v>
      </c>
      <c r="F5080" s="267" t="s">
        <v>944</v>
      </c>
      <c r="G5080" s="267" t="s">
        <v>3926</v>
      </c>
      <c r="H5080" s="267" t="s">
        <v>9728</v>
      </c>
      <c r="I5080" s="267" t="s">
        <v>4323</v>
      </c>
      <c r="J5080" s="267" t="s">
        <v>3928</v>
      </c>
      <c r="K5080" s="267">
        <v>6375</v>
      </c>
      <c r="L5080" s="267">
        <v>693700</v>
      </c>
      <c r="M5080" s="267" t="s">
        <v>3943</v>
      </c>
      <c r="N5080" s="267" t="s">
        <v>3944</v>
      </c>
      <c r="O5080" s="267">
        <v>1412.57</v>
      </c>
      <c r="P5080" s="267" t="s">
        <v>3944</v>
      </c>
      <c r="Q5080" s="267" t="s">
        <v>3944</v>
      </c>
      <c r="R5080" s="267">
        <v>1412.57</v>
      </c>
      <c r="S5080" s="267">
        <v>20728.990000000002</v>
      </c>
      <c r="T5080" s="267">
        <v>22141.56</v>
      </c>
      <c r="U5080" s="268" t="s">
        <v>3945</v>
      </c>
      <c r="V5080" s="267" t="s">
        <v>944</v>
      </c>
    </row>
    <row r="5081" spans="1:22" hidden="1" x14ac:dyDescent="0.25">
      <c r="A5081" s="269">
        <v>43713</v>
      </c>
      <c r="B5081" s="270">
        <v>2019</v>
      </c>
      <c r="C5081" s="270">
        <v>2020</v>
      </c>
      <c r="D5081" s="270">
        <v>1</v>
      </c>
      <c r="E5081" s="270">
        <v>1</v>
      </c>
      <c r="F5081" s="270" t="s">
        <v>944</v>
      </c>
      <c r="G5081" s="270" t="s">
        <v>3926</v>
      </c>
      <c r="H5081" s="270" t="s">
        <v>9729</v>
      </c>
      <c r="I5081" s="270" t="s">
        <v>934</v>
      </c>
      <c r="J5081" s="270" t="s">
        <v>3928</v>
      </c>
      <c r="K5081" s="270">
        <v>6604</v>
      </c>
      <c r="L5081" s="270">
        <v>72100</v>
      </c>
      <c r="M5081" s="270" t="s">
        <v>3940</v>
      </c>
      <c r="N5081" s="270" t="s">
        <v>3944</v>
      </c>
      <c r="O5081" s="270">
        <v>1263.26</v>
      </c>
      <c r="P5081" s="270" t="s">
        <v>3944</v>
      </c>
      <c r="Q5081" s="270" t="s">
        <v>3944</v>
      </c>
      <c r="R5081" s="270">
        <v>1263.26</v>
      </c>
      <c r="S5081" s="270">
        <v>21120.400000000001</v>
      </c>
      <c r="T5081" s="270">
        <v>22383.66</v>
      </c>
      <c r="U5081" s="271" t="s">
        <v>3945</v>
      </c>
      <c r="V5081" s="267" t="s">
        <v>944</v>
      </c>
    </row>
    <row r="5082" spans="1:22" hidden="1" x14ac:dyDescent="0.25">
      <c r="A5082" s="266">
        <v>43713</v>
      </c>
      <c r="B5082" s="267">
        <v>2019</v>
      </c>
      <c r="C5082" s="267">
        <v>2020</v>
      </c>
      <c r="D5082" s="267">
        <v>1</v>
      </c>
      <c r="E5082" s="267">
        <v>1</v>
      </c>
      <c r="F5082" s="267" t="s">
        <v>944</v>
      </c>
      <c r="G5082" s="267" t="s">
        <v>3926</v>
      </c>
      <c r="H5082" s="267" t="s">
        <v>9730</v>
      </c>
      <c r="I5082" s="267" t="s">
        <v>4374</v>
      </c>
      <c r="J5082" s="267" t="s">
        <v>3928</v>
      </c>
      <c r="K5082" s="267">
        <v>6441</v>
      </c>
      <c r="L5082" s="267">
        <v>590100</v>
      </c>
      <c r="M5082" s="267" t="s">
        <v>3943</v>
      </c>
      <c r="N5082" s="267" t="s">
        <v>3944</v>
      </c>
      <c r="O5082" s="267">
        <v>1383.55</v>
      </c>
      <c r="P5082" s="267" t="s">
        <v>3944</v>
      </c>
      <c r="Q5082" s="267" t="s">
        <v>3944</v>
      </c>
      <c r="R5082" s="267">
        <v>1383.55</v>
      </c>
      <c r="S5082" s="267">
        <v>19460.189999999999</v>
      </c>
      <c r="T5082" s="267">
        <v>20843.740000000002</v>
      </c>
      <c r="U5082" s="268" t="s">
        <v>3945</v>
      </c>
      <c r="V5082" s="267" t="s">
        <v>944</v>
      </c>
    </row>
    <row r="5083" spans="1:22" x14ac:dyDescent="0.25">
      <c r="A5083" s="269">
        <v>43713</v>
      </c>
      <c r="B5083" s="270">
        <v>2019</v>
      </c>
      <c r="C5083" s="270">
        <v>2020</v>
      </c>
      <c r="D5083" s="270">
        <v>1</v>
      </c>
      <c r="E5083" s="270">
        <v>1</v>
      </c>
      <c r="F5083" s="270" t="s">
        <v>944</v>
      </c>
      <c r="G5083" s="270" t="s">
        <v>3926</v>
      </c>
      <c r="H5083" s="270" t="s">
        <v>9731</v>
      </c>
      <c r="I5083" s="270" t="s">
        <v>943</v>
      </c>
      <c r="J5083" s="270" t="s">
        <v>3928</v>
      </c>
      <c r="K5083" s="270">
        <v>6519</v>
      </c>
      <c r="L5083" s="270">
        <v>140300</v>
      </c>
      <c r="M5083" s="270">
        <v>-60</v>
      </c>
      <c r="N5083" s="270" t="s">
        <v>3944</v>
      </c>
      <c r="O5083" s="270">
        <v>847</v>
      </c>
      <c r="P5083" s="270" t="s">
        <v>3944</v>
      </c>
      <c r="Q5083" s="270" t="s">
        <v>3944</v>
      </c>
      <c r="R5083" s="270">
        <v>847</v>
      </c>
      <c r="S5083" s="270">
        <v>13078.04</v>
      </c>
      <c r="T5083" s="270">
        <v>13925.04</v>
      </c>
      <c r="U5083" s="271" t="s">
        <v>3945</v>
      </c>
      <c r="V5083" s="276" t="s">
        <v>936</v>
      </c>
    </row>
    <row r="5084" spans="1:22" hidden="1" x14ac:dyDescent="0.25">
      <c r="A5084" s="266">
        <v>43713</v>
      </c>
      <c r="B5084" s="267">
        <v>2019</v>
      </c>
      <c r="C5084" s="267">
        <v>2020</v>
      </c>
      <c r="D5084" s="267">
        <v>1</v>
      </c>
      <c r="E5084" s="267">
        <v>1</v>
      </c>
      <c r="F5084" s="267" t="s">
        <v>944</v>
      </c>
      <c r="G5084" s="267" t="s">
        <v>3926</v>
      </c>
      <c r="H5084" s="267" t="s">
        <v>9732</v>
      </c>
      <c r="I5084" s="267" t="s">
        <v>4392</v>
      </c>
      <c r="J5084" s="267" t="s">
        <v>3928</v>
      </c>
      <c r="K5084" s="267">
        <v>6457</v>
      </c>
      <c r="L5084" s="267">
        <v>542200</v>
      </c>
      <c r="M5084" s="267" t="s">
        <v>3960</v>
      </c>
      <c r="N5084" s="267" t="s">
        <v>3944</v>
      </c>
      <c r="O5084" s="267">
        <v>2751.95</v>
      </c>
      <c r="P5084" s="267" t="s">
        <v>3944</v>
      </c>
      <c r="Q5084" s="267" t="s">
        <v>3944</v>
      </c>
      <c r="R5084" s="267">
        <v>2751.95</v>
      </c>
      <c r="S5084" s="267">
        <v>38704.9</v>
      </c>
      <c r="T5084" s="267">
        <v>41456.85</v>
      </c>
      <c r="U5084" s="268" t="s">
        <v>3945</v>
      </c>
      <c r="V5084" s="267" t="s">
        <v>944</v>
      </c>
    </row>
    <row r="5085" spans="1:22" hidden="1" x14ac:dyDescent="0.25">
      <c r="A5085" s="269">
        <v>43713</v>
      </c>
      <c r="B5085" s="270">
        <v>2019</v>
      </c>
      <c r="C5085" s="270">
        <v>2020</v>
      </c>
      <c r="D5085" s="270">
        <v>1</v>
      </c>
      <c r="E5085" s="270">
        <v>1</v>
      </c>
      <c r="F5085" s="270" t="s">
        <v>944</v>
      </c>
      <c r="G5085" s="270" t="s">
        <v>3926</v>
      </c>
      <c r="H5085" s="270" t="s">
        <v>9733</v>
      </c>
      <c r="I5085" s="270" t="s">
        <v>4200</v>
      </c>
      <c r="J5085" s="270" t="s">
        <v>3928</v>
      </c>
      <c r="K5085" s="270">
        <v>6779</v>
      </c>
      <c r="L5085" s="270">
        <v>360400</v>
      </c>
      <c r="M5085" s="270" t="s">
        <v>3940</v>
      </c>
      <c r="N5085" s="270" t="s">
        <v>3944</v>
      </c>
      <c r="O5085" s="270">
        <v>2129.12</v>
      </c>
      <c r="P5085" s="270" t="s">
        <v>3944</v>
      </c>
      <c r="Q5085" s="270" t="s">
        <v>3944</v>
      </c>
      <c r="R5085" s="270">
        <v>2129.12</v>
      </c>
      <c r="S5085" s="270">
        <v>31825.29</v>
      </c>
      <c r="T5085" s="270">
        <v>33954.410000000003</v>
      </c>
      <c r="U5085" s="271" t="s">
        <v>3945</v>
      </c>
      <c r="V5085" s="267" t="s">
        <v>944</v>
      </c>
    </row>
    <row r="5086" spans="1:22" hidden="1" x14ac:dyDescent="0.25">
      <c r="A5086" s="266">
        <v>43713</v>
      </c>
      <c r="B5086" s="267">
        <v>2019</v>
      </c>
      <c r="C5086" s="267">
        <v>2020</v>
      </c>
      <c r="D5086" s="267">
        <v>1</v>
      </c>
      <c r="E5086" s="267">
        <v>1</v>
      </c>
      <c r="F5086" s="267" t="s">
        <v>944</v>
      </c>
      <c r="G5086" s="267" t="s">
        <v>3926</v>
      </c>
      <c r="H5086" s="267" t="s">
        <v>9734</v>
      </c>
      <c r="I5086" s="267" t="s">
        <v>4269</v>
      </c>
      <c r="J5086" s="267" t="s">
        <v>3928</v>
      </c>
      <c r="K5086" s="267">
        <v>6117</v>
      </c>
      <c r="L5086" s="267">
        <v>497300</v>
      </c>
      <c r="M5086" s="267" t="s">
        <v>3943</v>
      </c>
      <c r="N5086" s="267" t="s">
        <v>3944</v>
      </c>
      <c r="O5086" s="267">
        <v>2374.89</v>
      </c>
      <c r="P5086" s="267" t="s">
        <v>3944</v>
      </c>
      <c r="Q5086" s="267" t="s">
        <v>3944</v>
      </c>
      <c r="R5086" s="267">
        <v>2374.89</v>
      </c>
      <c r="S5086" s="267">
        <v>36611.9</v>
      </c>
      <c r="T5086" s="267">
        <v>38986.79</v>
      </c>
      <c r="U5086" s="268" t="s">
        <v>3945</v>
      </c>
      <c r="V5086" s="267" t="s">
        <v>944</v>
      </c>
    </row>
    <row r="5087" spans="1:22" hidden="1" x14ac:dyDescent="0.25">
      <c r="A5087" s="269">
        <v>43713</v>
      </c>
      <c r="B5087" s="270">
        <v>2019</v>
      </c>
      <c r="C5087" s="270">
        <v>2020</v>
      </c>
      <c r="D5087" s="270">
        <v>1</v>
      </c>
      <c r="E5087" s="270">
        <v>1</v>
      </c>
      <c r="F5087" s="270" t="s">
        <v>944</v>
      </c>
      <c r="G5087" s="270" t="s">
        <v>3926</v>
      </c>
      <c r="H5087" s="270" t="s">
        <v>9735</v>
      </c>
      <c r="I5087" s="270" t="s">
        <v>4203</v>
      </c>
      <c r="J5087" s="270" t="s">
        <v>3928</v>
      </c>
      <c r="K5087" s="270">
        <v>6071</v>
      </c>
      <c r="L5087" s="270">
        <v>538201</v>
      </c>
      <c r="M5087" s="270" t="s">
        <v>3943</v>
      </c>
      <c r="N5087" s="270" t="s">
        <v>3944</v>
      </c>
      <c r="O5087" s="270">
        <v>2338.6</v>
      </c>
      <c r="P5087" s="270" t="s">
        <v>3944</v>
      </c>
      <c r="Q5087" s="270" t="s">
        <v>3944</v>
      </c>
      <c r="R5087" s="270">
        <v>2338.6</v>
      </c>
      <c r="S5087" s="270">
        <v>33681.699999999997</v>
      </c>
      <c r="T5087" s="270">
        <v>36020.300000000003</v>
      </c>
      <c r="U5087" s="271" t="s">
        <v>3945</v>
      </c>
      <c r="V5087" s="267" t="s">
        <v>944</v>
      </c>
    </row>
    <row r="5088" spans="1:22" hidden="1" x14ac:dyDescent="0.25">
      <c r="A5088" s="266">
        <v>43713</v>
      </c>
      <c r="B5088" s="267">
        <v>2019</v>
      </c>
      <c r="C5088" s="267">
        <v>2020</v>
      </c>
      <c r="D5088" s="267">
        <v>1</v>
      </c>
      <c r="E5088" s="267">
        <v>1</v>
      </c>
      <c r="F5088" s="267" t="s">
        <v>944</v>
      </c>
      <c r="G5088" s="267" t="s">
        <v>3926</v>
      </c>
      <c r="H5088" s="267" t="s">
        <v>9736</v>
      </c>
      <c r="I5088" s="267" t="s">
        <v>3025</v>
      </c>
      <c r="J5088" s="267" t="s">
        <v>3928</v>
      </c>
      <c r="K5088" s="267">
        <v>6473</v>
      </c>
      <c r="L5088" s="267">
        <v>167202</v>
      </c>
      <c r="M5088" s="267" t="s">
        <v>3935</v>
      </c>
      <c r="N5088" s="267" t="s">
        <v>3944</v>
      </c>
      <c r="O5088" s="267">
        <v>2439.4</v>
      </c>
      <c r="P5088" s="267" t="s">
        <v>3944</v>
      </c>
      <c r="Q5088" s="267" t="s">
        <v>3944</v>
      </c>
      <c r="R5088" s="267">
        <v>2439.4</v>
      </c>
      <c r="S5088" s="267">
        <v>37051.58</v>
      </c>
      <c r="T5088" s="267">
        <v>39490.980000000003</v>
      </c>
      <c r="U5088" s="268" t="s">
        <v>3945</v>
      </c>
      <c r="V5088" s="267" t="s">
        <v>944</v>
      </c>
    </row>
    <row r="5089" spans="1:22" hidden="1" x14ac:dyDescent="0.25">
      <c r="A5089" s="269">
        <v>43713</v>
      </c>
      <c r="B5089" s="270">
        <v>2019</v>
      </c>
      <c r="C5089" s="270">
        <v>2020</v>
      </c>
      <c r="D5089" s="270">
        <v>1</v>
      </c>
      <c r="E5089" s="270">
        <v>1</v>
      </c>
      <c r="F5089" s="270" t="s">
        <v>944</v>
      </c>
      <c r="G5089" s="270" t="s">
        <v>3926</v>
      </c>
      <c r="H5089" s="270" t="s">
        <v>9737</v>
      </c>
      <c r="I5089" s="270" t="s">
        <v>4037</v>
      </c>
      <c r="J5089" s="270" t="s">
        <v>3928</v>
      </c>
      <c r="K5089" s="270">
        <v>6810</v>
      </c>
      <c r="L5089" s="270">
        <v>210702</v>
      </c>
      <c r="M5089" s="270" t="s">
        <v>3940</v>
      </c>
      <c r="N5089" s="270" t="s">
        <v>3944</v>
      </c>
      <c r="O5089" s="270">
        <v>2258.7600000000002</v>
      </c>
      <c r="P5089" s="270" t="s">
        <v>3944</v>
      </c>
      <c r="Q5089" s="270" t="s">
        <v>3944</v>
      </c>
      <c r="R5089" s="270">
        <v>2258.7600000000002</v>
      </c>
      <c r="S5089" s="270">
        <v>30090.49</v>
      </c>
      <c r="T5089" s="270">
        <v>32349.25</v>
      </c>
      <c r="U5089" s="271" t="s">
        <v>3945</v>
      </c>
      <c r="V5089" s="267" t="s">
        <v>944</v>
      </c>
    </row>
    <row r="5090" spans="1:22" x14ac:dyDescent="0.25">
      <c r="A5090" s="266">
        <v>43713</v>
      </c>
      <c r="B5090" s="267">
        <v>2019</v>
      </c>
      <c r="C5090" s="267">
        <v>2020</v>
      </c>
      <c r="D5090" s="267">
        <v>1</v>
      </c>
      <c r="E5090" s="267">
        <v>1</v>
      </c>
      <c r="F5090" s="267" t="s">
        <v>944</v>
      </c>
      <c r="G5090" s="267" t="s">
        <v>3926</v>
      </c>
      <c r="H5090" s="267" t="s">
        <v>9738</v>
      </c>
      <c r="I5090" s="267" t="s">
        <v>934</v>
      </c>
      <c r="J5090" s="267" t="s">
        <v>3928</v>
      </c>
      <c r="K5090" s="267">
        <v>6605</v>
      </c>
      <c r="L5090" s="267">
        <v>70200</v>
      </c>
      <c r="M5090" s="267">
        <v>-60</v>
      </c>
      <c r="N5090" s="267" t="s">
        <v>3944</v>
      </c>
      <c r="O5090" s="267">
        <v>2133.5</v>
      </c>
      <c r="P5090" s="267" t="s">
        <v>3944</v>
      </c>
      <c r="Q5090" s="267" t="s">
        <v>3944</v>
      </c>
      <c r="R5090" s="267">
        <v>2133.5</v>
      </c>
      <c r="S5090" s="267">
        <v>31432.9</v>
      </c>
      <c r="T5090" s="267">
        <v>33566.400000000001</v>
      </c>
      <c r="U5090" s="268" t="s">
        <v>3945</v>
      </c>
      <c r="V5090" s="276" t="s">
        <v>936</v>
      </c>
    </row>
    <row r="5091" spans="1:22" hidden="1" x14ac:dyDescent="0.25">
      <c r="A5091" s="269">
        <v>43713</v>
      </c>
      <c r="B5091" s="270">
        <v>2019</v>
      </c>
      <c r="C5091" s="270">
        <v>2020</v>
      </c>
      <c r="D5091" s="270">
        <v>1</v>
      </c>
      <c r="E5091" s="270">
        <v>1</v>
      </c>
      <c r="F5091" s="270" t="s">
        <v>944</v>
      </c>
      <c r="G5091" s="270" t="s">
        <v>3926</v>
      </c>
      <c r="H5091" s="270" t="s">
        <v>9739</v>
      </c>
      <c r="I5091" s="270" t="s">
        <v>2985</v>
      </c>
      <c r="J5091" s="270" t="s">
        <v>3928</v>
      </c>
      <c r="K5091" s="270">
        <v>6825</v>
      </c>
      <c r="L5091" s="270">
        <v>61300</v>
      </c>
      <c r="M5091" s="270" t="s">
        <v>3960</v>
      </c>
      <c r="N5091" s="270" t="s">
        <v>3944</v>
      </c>
      <c r="O5091" s="270">
        <v>1335.43</v>
      </c>
      <c r="P5091" s="270" t="s">
        <v>3944</v>
      </c>
      <c r="Q5091" s="270" t="s">
        <v>3944</v>
      </c>
      <c r="R5091" s="270">
        <v>1335.43</v>
      </c>
      <c r="S5091" s="270">
        <v>26218.43</v>
      </c>
      <c r="T5091" s="270">
        <v>27553.86</v>
      </c>
      <c r="U5091" s="271" t="s">
        <v>3945</v>
      </c>
      <c r="V5091" s="267" t="s">
        <v>944</v>
      </c>
    </row>
    <row r="5092" spans="1:22" hidden="1" x14ac:dyDescent="0.25">
      <c r="A5092" s="266">
        <v>43713</v>
      </c>
      <c r="B5092" s="267">
        <v>2019</v>
      </c>
      <c r="C5092" s="267">
        <v>2020</v>
      </c>
      <c r="D5092" s="267">
        <v>1</v>
      </c>
      <c r="E5092" s="267">
        <v>1</v>
      </c>
      <c r="F5092" s="267" t="s">
        <v>944</v>
      </c>
      <c r="G5092" s="267" t="s">
        <v>3926</v>
      </c>
      <c r="H5092" s="267" t="s">
        <v>9740</v>
      </c>
      <c r="I5092" s="267" t="s">
        <v>3008</v>
      </c>
      <c r="J5092" s="267" t="s">
        <v>3928</v>
      </c>
      <c r="K5092" s="267">
        <v>6461</v>
      </c>
      <c r="L5092" s="267">
        <v>150700</v>
      </c>
      <c r="M5092" s="267" t="s">
        <v>3943</v>
      </c>
      <c r="N5092" s="267" t="s">
        <v>3944</v>
      </c>
      <c r="O5092" s="267">
        <v>2884.04</v>
      </c>
      <c r="P5092" s="267" t="s">
        <v>3944</v>
      </c>
      <c r="Q5092" s="267" t="s">
        <v>3944</v>
      </c>
      <c r="R5092" s="267">
        <v>2884.04</v>
      </c>
      <c r="S5092" s="267">
        <v>55860.800000000003</v>
      </c>
      <c r="T5092" s="267">
        <v>58744.84</v>
      </c>
      <c r="U5092" s="268" t="s">
        <v>3945</v>
      </c>
      <c r="V5092" s="267" t="s">
        <v>944</v>
      </c>
    </row>
    <row r="5093" spans="1:22" hidden="1" x14ac:dyDescent="0.25">
      <c r="A5093" s="269">
        <v>43713</v>
      </c>
      <c r="B5093" s="270">
        <v>2019</v>
      </c>
      <c r="C5093" s="270">
        <v>2020</v>
      </c>
      <c r="D5093" s="270">
        <v>1</v>
      </c>
      <c r="E5093" s="270">
        <v>1</v>
      </c>
      <c r="F5093" s="270" t="s">
        <v>944</v>
      </c>
      <c r="G5093" s="270" t="s">
        <v>3926</v>
      </c>
      <c r="H5093" s="270" t="s">
        <v>9741</v>
      </c>
      <c r="I5093" s="270" t="s">
        <v>4244</v>
      </c>
      <c r="J5093" s="270" t="s">
        <v>3928</v>
      </c>
      <c r="K5093" s="270">
        <v>6250</v>
      </c>
      <c r="L5093" s="270">
        <v>881100</v>
      </c>
      <c r="M5093" s="270" t="s">
        <v>3935</v>
      </c>
      <c r="N5093" s="270" t="s">
        <v>3944</v>
      </c>
      <c r="O5093" s="270">
        <v>1414.04</v>
      </c>
      <c r="P5093" s="270" t="s">
        <v>3944</v>
      </c>
      <c r="Q5093" s="270" t="s">
        <v>3944</v>
      </c>
      <c r="R5093" s="270">
        <v>1414.04</v>
      </c>
      <c r="S5093" s="270">
        <v>19889.11</v>
      </c>
      <c r="T5093" s="270">
        <v>21303.15</v>
      </c>
      <c r="U5093" s="271" t="s">
        <v>3945</v>
      </c>
      <c r="V5093" s="267" t="s">
        <v>944</v>
      </c>
    </row>
    <row r="5094" spans="1:22" hidden="1" x14ac:dyDescent="0.25">
      <c r="A5094" s="266">
        <v>43713</v>
      </c>
      <c r="B5094" s="267">
        <v>2019</v>
      </c>
      <c r="C5094" s="267">
        <v>2020</v>
      </c>
      <c r="D5094" s="267">
        <v>1</v>
      </c>
      <c r="E5094" s="267">
        <v>1</v>
      </c>
      <c r="F5094" s="267" t="s">
        <v>944</v>
      </c>
      <c r="G5094" s="267" t="s">
        <v>3926</v>
      </c>
      <c r="H5094" s="267" t="s">
        <v>9742</v>
      </c>
      <c r="I5094" s="267" t="s">
        <v>4301</v>
      </c>
      <c r="J5094" s="267" t="s">
        <v>3928</v>
      </c>
      <c r="K5094" s="267">
        <v>6359</v>
      </c>
      <c r="L5094" s="267">
        <v>707100</v>
      </c>
      <c r="M5094" s="267" t="s">
        <v>3935</v>
      </c>
      <c r="N5094" s="267" t="s">
        <v>3944</v>
      </c>
      <c r="O5094" s="267">
        <v>2376.54</v>
      </c>
      <c r="P5094" s="267" t="s">
        <v>3944</v>
      </c>
      <c r="Q5094" s="267" t="s">
        <v>3944</v>
      </c>
      <c r="R5094" s="267">
        <v>2376.54</v>
      </c>
      <c r="S5094" s="267">
        <v>35429.17</v>
      </c>
      <c r="T5094" s="267">
        <v>37805.71</v>
      </c>
      <c r="U5094" s="268" t="s">
        <v>3945</v>
      </c>
      <c r="V5094" s="267" t="s">
        <v>944</v>
      </c>
    </row>
    <row r="5095" spans="1:22" hidden="1" x14ac:dyDescent="0.25">
      <c r="A5095" s="269">
        <v>43713</v>
      </c>
      <c r="B5095" s="270">
        <v>2019</v>
      </c>
      <c r="C5095" s="270">
        <v>2020</v>
      </c>
      <c r="D5095" s="270">
        <v>1</v>
      </c>
      <c r="E5095" s="270">
        <v>1</v>
      </c>
      <c r="F5095" s="270" t="s">
        <v>944</v>
      </c>
      <c r="G5095" s="270" t="s">
        <v>3926</v>
      </c>
      <c r="H5095" s="270" t="s">
        <v>9743</v>
      </c>
      <c r="I5095" s="270" t="s">
        <v>3954</v>
      </c>
      <c r="J5095" s="270" t="s">
        <v>3928</v>
      </c>
      <c r="K5095" s="270">
        <v>6357</v>
      </c>
      <c r="L5095" s="270">
        <v>870704</v>
      </c>
      <c r="M5095" s="270" t="s">
        <v>3935</v>
      </c>
      <c r="N5095" s="270" t="s">
        <v>3944</v>
      </c>
      <c r="O5095" s="270">
        <v>1761.83</v>
      </c>
      <c r="P5095" s="270" t="s">
        <v>3944</v>
      </c>
      <c r="Q5095" s="270" t="s">
        <v>3944</v>
      </c>
      <c r="R5095" s="270">
        <v>1761.83</v>
      </c>
      <c r="S5095" s="270">
        <v>25431.62</v>
      </c>
      <c r="T5095" s="270">
        <v>27193.45</v>
      </c>
      <c r="U5095" s="271" t="s">
        <v>3945</v>
      </c>
      <c r="V5095" s="267" t="s">
        <v>944</v>
      </c>
    </row>
    <row r="5096" spans="1:22" hidden="1" x14ac:dyDescent="0.25">
      <c r="A5096" s="266">
        <v>43713</v>
      </c>
      <c r="B5096" s="267">
        <v>2019</v>
      </c>
      <c r="C5096" s="267">
        <v>2020</v>
      </c>
      <c r="D5096" s="267">
        <v>1</v>
      </c>
      <c r="E5096" s="267">
        <v>1</v>
      </c>
      <c r="F5096" s="267" t="s">
        <v>944</v>
      </c>
      <c r="G5096" s="267" t="s">
        <v>3926</v>
      </c>
      <c r="H5096" s="267" t="s">
        <v>9744</v>
      </c>
      <c r="I5096" s="267" t="s">
        <v>4947</v>
      </c>
      <c r="J5096" s="267" t="s">
        <v>3928</v>
      </c>
      <c r="K5096" s="267">
        <v>6787</v>
      </c>
      <c r="L5096" s="267">
        <v>349100</v>
      </c>
      <c r="M5096" s="267" t="s">
        <v>3935</v>
      </c>
      <c r="N5096" s="267" t="s">
        <v>3944</v>
      </c>
      <c r="O5096" s="267">
        <v>984.73</v>
      </c>
      <c r="P5096" s="267" t="s">
        <v>3944</v>
      </c>
      <c r="Q5096" s="267" t="s">
        <v>3944</v>
      </c>
      <c r="R5096" s="267">
        <v>984.73</v>
      </c>
      <c r="S5096" s="267">
        <v>12320.8</v>
      </c>
      <c r="T5096" s="267">
        <v>13305.53</v>
      </c>
      <c r="U5096" s="268" t="s">
        <v>3945</v>
      </c>
      <c r="V5096" s="267" t="s">
        <v>944</v>
      </c>
    </row>
    <row r="5097" spans="1:22" hidden="1" x14ac:dyDescent="0.25">
      <c r="A5097" s="269">
        <v>43713</v>
      </c>
      <c r="B5097" s="270">
        <v>2019</v>
      </c>
      <c r="C5097" s="270">
        <v>2020</v>
      </c>
      <c r="D5097" s="270">
        <v>1</v>
      </c>
      <c r="E5097" s="270">
        <v>1</v>
      </c>
      <c r="F5097" s="270" t="s">
        <v>944</v>
      </c>
      <c r="G5097" s="270" t="s">
        <v>3926</v>
      </c>
      <c r="H5097" s="270" t="s">
        <v>9745</v>
      </c>
      <c r="I5097" s="270" t="s">
        <v>3996</v>
      </c>
      <c r="J5097" s="270" t="s">
        <v>3928</v>
      </c>
      <c r="K5097" s="270">
        <v>6790</v>
      </c>
      <c r="L5097" s="270">
        <v>310804</v>
      </c>
      <c r="M5097" s="270" t="s">
        <v>3935</v>
      </c>
      <c r="N5097" s="270" t="s">
        <v>3944</v>
      </c>
      <c r="O5097" s="270">
        <v>1883.14</v>
      </c>
      <c r="P5097" s="270" t="s">
        <v>3944</v>
      </c>
      <c r="Q5097" s="270" t="s">
        <v>3944</v>
      </c>
      <c r="R5097" s="270">
        <v>1883.14</v>
      </c>
      <c r="S5097" s="270">
        <v>25758.720000000001</v>
      </c>
      <c r="T5097" s="270">
        <v>27641.86</v>
      </c>
      <c r="U5097" s="271" t="s">
        <v>3945</v>
      </c>
      <c r="V5097" s="267" t="s">
        <v>944</v>
      </c>
    </row>
    <row r="5098" spans="1:22" x14ac:dyDescent="0.25">
      <c r="A5098" s="266">
        <v>43713</v>
      </c>
      <c r="B5098" s="267">
        <v>2019</v>
      </c>
      <c r="C5098" s="267">
        <v>2020</v>
      </c>
      <c r="D5098" s="267">
        <v>1</v>
      </c>
      <c r="E5098" s="267">
        <v>1</v>
      </c>
      <c r="F5098" s="267" t="s">
        <v>944</v>
      </c>
      <c r="G5098" s="267" t="s">
        <v>3926</v>
      </c>
      <c r="H5098" s="267" t="s">
        <v>9746</v>
      </c>
      <c r="I5098" s="267" t="s">
        <v>3010</v>
      </c>
      <c r="J5098" s="267" t="s">
        <v>3928</v>
      </c>
      <c r="K5098" s="267">
        <v>6401</v>
      </c>
      <c r="L5098" s="267">
        <v>125300</v>
      </c>
      <c r="M5098" s="267" t="s">
        <v>3940</v>
      </c>
      <c r="N5098" s="267" t="s">
        <v>3944</v>
      </c>
      <c r="O5098" s="267">
        <v>1863.86</v>
      </c>
      <c r="P5098" s="267" t="s">
        <v>3944</v>
      </c>
      <c r="Q5098" s="267" t="s">
        <v>3944</v>
      </c>
      <c r="R5098" s="267">
        <v>1863.86</v>
      </c>
      <c r="S5098" s="267">
        <v>28895.89</v>
      </c>
      <c r="T5098" s="267">
        <v>30759.75</v>
      </c>
      <c r="U5098" s="268" t="s">
        <v>3945</v>
      </c>
      <c r="V5098" s="276" t="s">
        <v>936</v>
      </c>
    </row>
    <row r="5099" spans="1:22" hidden="1" x14ac:dyDescent="0.25">
      <c r="A5099" s="269">
        <v>43713</v>
      </c>
      <c r="B5099" s="270">
        <v>2019</v>
      </c>
      <c r="C5099" s="270">
        <v>2020</v>
      </c>
      <c r="D5099" s="270">
        <v>1</v>
      </c>
      <c r="E5099" s="270">
        <v>1</v>
      </c>
      <c r="F5099" s="270" t="s">
        <v>944</v>
      </c>
      <c r="G5099" s="270" t="s">
        <v>3926</v>
      </c>
      <c r="H5099" s="270" t="s">
        <v>9747</v>
      </c>
      <c r="I5099" s="270" t="s">
        <v>3025</v>
      </c>
      <c r="J5099" s="270" t="s">
        <v>3928</v>
      </c>
      <c r="K5099" s="270">
        <v>6473</v>
      </c>
      <c r="L5099" s="270">
        <v>167300</v>
      </c>
      <c r="M5099" s="270" t="s">
        <v>3943</v>
      </c>
      <c r="N5099" s="270" t="s">
        <v>3944</v>
      </c>
      <c r="O5099" s="270">
        <v>2220.58</v>
      </c>
      <c r="P5099" s="270" t="s">
        <v>3944</v>
      </c>
      <c r="Q5099" s="270" t="s">
        <v>3944</v>
      </c>
      <c r="R5099" s="270">
        <v>2220.58</v>
      </c>
      <c r="S5099" s="270">
        <v>36045.21</v>
      </c>
      <c r="T5099" s="270">
        <v>38265.79</v>
      </c>
      <c r="U5099" s="271" t="s">
        <v>3945</v>
      </c>
      <c r="V5099" s="267" t="s">
        <v>944</v>
      </c>
    </row>
    <row r="5100" spans="1:22" hidden="1" x14ac:dyDescent="0.25">
      <c r="A5100" s="266">
        <v>43713</v>
      </c>
      <c r="B5100" s="267">
        <v>2019</v>
      </c>
      <c r="C5100" s="267">
        <v>2020</v>
      </c>
      <c r="D5100" s="267">
        <v>1</v>
      </c>
      <c r="E5100" s="267">
        <v>1</v>
      </c>
      <c r="F5100" s="267" t="s">
        <v>944</v>
      </c>
      <c r="G5100" s="267" t="s">
        <v>3926</v>
      </c>
      <c r="H5100" s="267" t="s">
        <v>9748</v>
      </c>
      <c r="I5100" s="267" t="s">
        <v>4111</v>
      </c>
      <c r="J5100" s="267" t="s">
        <v>3928</v>
      </c>
      <c r="K5100" s="267">
        <v>6095</v>
      </c>
      <c r="L5100" s="267">
        <v>473100</v>
      </c>
      <c r="M5100" s="267" t="s">
        <v>3960</v>
      </c>
      <c r="N5100" s="267" t="s">
        <v>3944</v>
      </c>
      <c r="O5100" s="267">
        <v>1375.26</v>
      </c>
      <c r="P5100" s="267" t="s">
        <v>3944</v>
      </c>
      <c r="Q5100" s="267" t="s">
        <v>3944</v>
      </c>
      <c r="R5100" s="267">
        <v>1375.26</v>
      </c>
      <c r="S5100" s="267">
        <v>20255.98</v>
      </c>
      <c r="T5100" s="267">
        <v>21631.24</v>
      </c>
      <c r="U5100" s="268" t="s">
        <v>3945</v>
      </c>
      <c r="V5100" s="267" t="s">
        <v>944</v>
      </c>
    </row>
    <row r="5101" spans="1:22" hidden="1" x14ac:dyDescent="0.25">
      <c r="A5101" s="269">
        <v>43713</v>
      </c>
      <c r="B5101" s="270">
        <v>2019</v>
      </c>
      <c r="C5101" s="270">
        <v>2020</v>
      </c>
      <c r="D5101" s="270">
        <v>1</v>
      </c>
      <c r="E5101" s="270">
        <v>1</v>
      </c>
      <c r="F5101" s="270" t="s">
        <v>944</v>
      </c>
      <c r="G5101" s="270" t="s">
        <v>3926</v>
      </c>
      <c r="H5101" s="270" t="s">
        <v>9749</v>
      </c>
      <c r="I5101" s="270" t="s">
        <v>3968</v>
      </c>
      <c r="J5101" s="270" t="s">
        <v>3928</v>
      </c>
      <c r="K5101" s="270">
        <v>6040</v>
      </c>
      <c r="L5101" s="270">
        <v>514300</v>
      </c>
      <c r="M5101" s="270" t="s">
        <v>3935</v>
      </c>
      <c r="N5101" s="270" t="s">
        <v>3944</v>
      </c>
      <c r="O5101" s="270">
        <v>874.79</v>
      </c>
      <c r="P5101" s="270" t="s">
        <v>3944</v>
      </c>
      <c r="Q5101" s="270" t="s">
        <v>3944</v>
      </c>
      <c r="R5101" s="270">
        <v>874.79</v>
      </c>
      <c r="S5101" s="270">
        <v>12186.48</v>
      </c>
      <c r="T5101" s="270">
        <v>13061.27</v>
      </c>
      <c r="U5101" s="271" t="s">
        <v>3945</v>
      </c>
      <c r="V5101" s="267" t="s">
        <v>944</v>
      </c>
    </row>
    <row r="5102" spans="1:22" hidden="1" x14ac:dyDescent="0.25">
      <c r="A5102" s="266">
        <v>43713</v>
      </c>
      <c r="B5102" s="267">
        <v>2019</v>
      </c>
      <c r="C5102" s="267">
        <v>2020</v>
      </c>
      <c r="D5102" s="267">
        <v>1</v>
      </c>
      <c r="E5102" s="267">
        <v>1</v>
      </c>
      <c r="F5102" s="267" t="s">
        <v>944</v>
      </c>
      <c r="G5102" s="267" t="s">
        <v>3926</v>
      </c>
      <c r="H5102" s="267" t="s">
        <v>9750</v>
      </c>
      <c r="I5102" s="267" t="s">
        <v>4200</v>
      </c>
      <c r="J5102" s="267" t="s">
        <v>3928</v>
      </c>
      <c r="K5102" s="267">
        <v>6779</v>
      </c>
      <c r="L5102" s="267">
        <v>360300</v>
      </c>
      <c r="M5102" s="267" t="s">
        <v>3935</v>
      </c>
      <c r="N5102" s="267" t="s">
        <v>3944</v>
      </c>
      <c r="O5102" s="267">
        <v>1415.68</v>
      </c>
      <c r="P5102" s="267" t="s">
        <v>3944</v>
      </c>
      <c r="Q5102" s="267" t="s">
        <v>3944</v>
      </c>
      <c r="R5102" s="267">
        <v>1415.68</v>
      </c>
      <c r="S5102" s="267">
        <v>18708.63</v>
      </c>
      <c r="T5102" s="267">
        <v>20124.310000000001</v>
      </c>
      <c r="U5102" s="268" t="s">
        <v>3945</v>
      </c>
      <c r="V5102" s="267" t="s">
        <v>944</v>
      </c>
    </row>
    <row r="5103" spans="1:22" hidden="1" x14ac:dyDescent="0.25">
      <c r="A5103" s="269">
        <v>43713</v>
      </c>
      <c r="B5103" s="270">
        <v>2019</v>
      </c>
      <c r="C5103" s="270">
        <v>2020</v>
      </c>
      <c r="D5103" s="270">
        <v>1</v>
      </c>
      <c r="E5103" s="270">
        <v>1</v>
      </c>
      <c r="F5103" s="270" t="s">
        <v>944</v>
      </c>
      <c r="G5103" s="270" t="s">
        <v>3926</v>
      </c>
      <c r="H5103" s="270" t="s">
        <v>9751</v>
      </c>
      <c r="I5103" s="270" t="s">
        <v>4424</v>
      </c>
      <c r="J5103" s="270" t="s">
        <v>3928</v>
      </c>
      <c r="K5103" s="270">
        <v>6417</v>
      </c>
      <c r="L5103" s="270">
        <v>620100</v>
      </c>
      <c r="M5103" s="270" t="s">
        <v>3935</v>
      </c>
      <c r="N5103" s="270" t="s">
        <v>3944</v>
      </c>
      <c r="O5103" s="270">
        <v>2354.35</v>
      </c>
      <c r="P5103" s="270" t="s">
        <v>3944</v>
      </c>
      <c r="Q5103" s="270" t="s">
        <v>3944</v>
      </c>
      <c r="R5103" s="270">
        <v>2354.35</v>
      </c>
      <c r="S5103" s="270">
        <v>34189.79</v>
      </c>
      <c r="T5103" s="270">
        <v>36544.14</v>
      </c>
      <c r="U5103" s="271" t="s">
        <v>3945</v>
      </c>
      <c r="V5103" s="267" t="s">
        <v>944</v>
      </c>
    </row>
    <row r="5104" spans="1:22" hidden="1" x14ac:dyDescent="0.25">
      <c r="A5104" s="266">
        <v>43713</v>
      </c>
      <c r="B5104" s="267">
        <v>2019</v>
      </c>
      <c r="C5104" s="267">
        <v>2020</v>
      </c>
      <c r="D5104" s="267">
        <v>1</v>
      </c>
      <c r="E5104" s="267">
        <v>1</v>
      </c>
      <c r="F5104" s="267" t="s">
        <v>944</v>
      </c>
      <c r="G5104" s="267" t="s">
        <v>3926</v>
      </c>
      <c r="H5104" s="267" t="s">
        <v>9752</v>
      </c>
      <c r="I5104" s="267" t="s">
        <v>3954</v>
      </c>
      <c r="J5104" s="267" t="s">
        <v>3928</v>
      </c>
      <c r="K5104" s="267">
        <v>6357</v>
      </c>
      <c r="L5104" s="267">
        <v>870704</v>
      </c>
      <c r="M5104" s="267" t="s">
        <v>3935</v>
      </c>
      <c r="N5104" s="267" t="s">
        <v>3944</v>
      </c>
      <c r="O5104" s="267">
        <v>691.67</v>
      </c>
      <c r="P5104" s="267" t="s">
        <v>3944</v>
      </c>
      <c r="Q5104" s="267" t="s">
        <v>3944</v>
      </c>
      <c r="R5104" s="267">
        <v>691.67</v>
      </c>
      <c r="S5104" s="267">
        <v>10043.969999999999</v>
      </c>
      <c r="T5104" s="267">
        <v>10735.64</v>
      </c>
      <c r="U5104" s="268" t="s">
        <v>3945</v>
      </c>
      <c r="V5104" s="267" t="s">
        <v>944</v>
      </c>
    </row>
    <row r="5105" spans="1:22" hidden="1" x14ac:dyDescent="0.25">
      <c r="A5105" s="269">
        <v>43713</v>
      </c>
      <c r="B5105" s="270">
        <v>2019</v>
      </c>
      <c r="C5105" s="270">
        <v>2020</v>
      </c>
      <c r="D5105" s="270">
        <v>1</v>
      </c>
      <c r="E5105" s="270">
        <v>1</v>
      </c>
      <c r="F5105" s="270" t="s">
        <v>944</v>
      </c>
      <c r="G5105" s="270" t="s">
        <v>3926</v>
      </c>
      <c r="H5105" s="270" t="s">
        <v>9753</v>
      </c>
      <c r="I5105" s="270" t="s">
        <v>3939</v>
      </c>
      <c r="J5105" s="270" t="s">
        <v>3928</v>
      </c>
      <c r="K5105" s="270">
        <v>6512</v>
      </c>
      <c r="L5105" s="270">
        <v>180400</v>
      </c>
      <c r="M5105" s="270" t="s">
        <v>3935</v>
      </c>
      <c r="N5105" s="270" t="s">
        <v>3944</v>
      </c>
      <c r="O5105" s="270">
        <v>2257.29</v>
      </c>
      <c r="P5105" s="270" t="s">
        <v>3944</v>
      </c>
      <c r="Q5105" s="270" t="s">
        <v>3944</v>
      </c>
      <c r="R5105" s="270">
        <v>2257.29</v>
      </c>
      <c r="S5105" s="270">
        <v>33285.58</v>
      </c>
      <c r="T5105" s="270">
        <v>35542.870000000003</v>
      </c>
      <c r="U5105" s="271" t="s">
        <v>3945</v>
      </c>
      <c r="V5105" s="267" t="s">
        <v>944</v>
      </c>
    </row>
    <row r="5106" spans="1:22" hidden="1" x14ac:dyDescent="0.25">
      <c r="A5106" s="266">
        <v>43713</v>
      </c>
      <c r="B5106" s="267">
        <v>2019</v>
      </c>
      <c r="C5106" s="267">
        <v>2020</v>
      </c>
      <c r="D5106" s="267">
        <v>1</v>
      </c>
      <c r="E5106" s="267">
        <v>1</v>
      </c>
      <c r="F5106" s="267" t="s">
        <v>944</v>
      </c>
      <c r="G5106" s="267" t="s">
        <v>3926</v>
      </c>
      <c r="H5106" s="267" t="s">
        <v>9754</v>
      </c>
      <c r="I5106" s="267" t="s">
        <v>4323</v>
      </c>
      <c r="J5106" s="267" t="s">
        <v>3928</v>
      </c>
      <c r="K5106" s="267">
        <v>6385</v>
      </c>
      <c r="L5106" s="267">
        <v>693300</v>
      </c>
      <c r="M5106" s="267" t="s">
        <v>3935</v>
      </c>
      <c r="N5106" s="267" t="s">
        <v>3944</v>
      </c>
      <c r="O5106" s="267">
        <v>2095.52</v>
      </c>
      <c r="P5106" s="267" t="s">
        <v>3944</v>
      </c>
      <c r="Q5106" s="267" t="s">
        <v>3944</v>
      </c>
      <c r="R5106" s="267">
        <v>2095.52</v>
      </c>
      <c r="S5106" s="267">
        <v>32405.31</v>
      </c>
      <c r="T5106" s="267">
        <v>34500.83</v>
      </c>
      <c r="U5106" s="268" t="s">
        <v>3945</v>
      </c>
      <c r="V5106" s="267" t="s">
        <v>944</v>
      </c>
    </row>
    <row r="5107" spans="1:22" hidden="1" x14ac:dyDescent="0.25">
      <c r="A5107" s="269">
        <v>43713</v>
      </c>
      <c r="B5107" s="270">
        <v>2019</v>
      </c>
      <c r="C5107" s="270">
        <v>2020</v>
      </c>
      <c r="D5107" s="270">
        <v>1</v>
      </c>
      <c r="E5107" s="270">
        <v>1</v>
      </c>
      <c r="F5107" s="270" t="s">
        <v>944</v>
      </c>
      <c r="G5107" s="270" t="s">
        <v>3926</v>
      </c>
      <c r="H5107" s="270" t="s">
        <v>9755</v>
      </c>
      <c r="I5107" s="270" t="s">
        <v>4203</v>
      </c>
      <c r="J5107" s="270" t="s">
        <v>3928</v>
      </c>
      <c r="K5107" s="270">
        <v>6071</v>
      </c>
      <c r="L5107" s="270">
        <v>538201</v>
      </c>
      <c r="M5107" s="270" t="s">
        <v>3943</v>
      </c>
      <c r="N5107" s="270" t="s">
        <v>3944</v>
      </c>
      <c r="O5107" s="270">
        <v>2025.63</v>
      </c>
      <c r="P5107" s="270" t="s">
        <v>3944</v>
      </c>
      <c r="Q5107" s="270" t="s">
        <v>3944</v>
      </c>
      <c r="R5107" s="270">
        <v>2025.63</v>
      </c>
      <c r="S5107" s="270">
        <v>29356.83</v>
      </c>
      <c r="T5107" s="270">
        <v>31382.46</v>
      </c>
      <c r="U5107" s="271" t="s">
        <v>3945</v>
      </c>
      <c r="V5107" s="267" t="s">
        <v>944</v>
      </c>
    </row>
    <row r="5108" spans="1:22" hidden="1" x14ac:dyDescent="0.25">
      <c r="A5108" s="266">
        <v>43713</v>
      </c>
      <c r="B5108" s="267">
        <v>2019</v>
      </c>
      <c r="C5108" s="267">
        <v>2020</v>
      </c>
      <c r="D5108" s="267">
        <v>1</v>
      </c>
      <c r="E5108" s="267">
        <v>1</v>
      </c>
      <c r="F5108" s="267" t="s">
        <v>944</v>
      </c>
      <c r="G5108" s="267" t="s">
        <v>3926</v>
      </c>
      <c r="H5108" s="267" t="s">
        <v>9756</v>
      </c>
      <c r="I5108" s="267" t="s">
        <v>4029</v>
      </c>
      <c r="J5108" s="267" t="s">
        <v>3928</v>
      </c>
      <c r="K5108" s="267">
        <v>6851</v>
      </c>
      <c r="L5108" s="267">
        <v>43600</v>
      </c>
      <c r="M5108" s="267" t="s">
        <v>3960</v>
      </c>
      <c r="N5108" s="267" t="s">
        <v>3944</v>
      </c>
      <c r="O5108" s="267">
        <v>3435.92</v>
      </c>
      <c r="P5108" s="267" t="s">
        <v>3944</v>
      </c>
      <c r="Q5108" s="267" t="s">
        <v>3944</v>
      </c>
      <c r="R5108" s="267">
        <v>3435.92</v>
      </c>
      <c r="S5108" s="267">
        <v>49049.4</v>
      </c>
      <c r="T5108" s="267">
        <v>52485.32</v>
      </c>
      <c r="U5108" s="268" t="s">
        <v>3945</v>
      </c>
      <c r="V5108" s="267" t="s">
        <v>944</v>
      </c>
    </row>
    <row r="5109" spans="1:22" x14ac:dyDescent="0.25">
      <c r="A5109" s="269">
        <v>43713</v>
      </c>
      <c r="B5109" s="270">
        <v>2019</v>
      </c>
      <c r="C5109" s="270">
        <v>2020</v>
      </c>
      <c r="D5109" s="270">
        <v>1</v>
      </c>
      <c r="E5109" s="270">
        <v>1</v>
      </c>
      <c r="F5109" s="270" t="s">
        <v>944</v>
      </c>
      <c r="G5109" s="270" t="s">
        <v>3926</v>
      </c>
      <c r="H5109" s="270" t="s">
        <v>9757</v>
      </c>
      <c r="I5109" s="270" t="s">
        <v>943</v>
      </c>
      <c r="J5109" s="270" t="s">
        <v>3928</v>
      </c>
      <c r="K5109" s="270">
        <v>6515</v>
      </c>
      <c r="L5109" s="270">
        <v>141300</v>
      </c>
      <c r="M5109" s="270">
        <v>-60</v>
      </c>
      <c r="N5109" s="270" t="s">
        <v>3944</v>
      </c>
      <c r="O5109" s="270">
        <v>1439.13</v>
      </c>
      <c r="P5109" s="270" t="s">
        <v>3944</v>
      </c>
      <c r="Q5109" s="270" t="s">
        <v>3944</v>
      </c>
      <c r="R5109" s="270">
        <v>1439.13</v>
      </c>
      <c r="S5109" s="270">
        <v>22974.93</v>
      </c>
      <c r="T5109" s="270">
        <v>24414.06</v>
      </c>
      <c r="U5109" s="271" t="s">
        <v>3945</v>
      </c>
      <c r="V5109" s="276" t="s">
        <v>936</v>
      </c>
    </row>
    <row r="5110" spans="1:22" hidden="1" x14ac:dyDescent="0.25">
      <c r="A5110" s="266">
        <v>43713</v>
      </c>
      <c r="B5110" s="267">
        <v>2019</v>
      </c>
      <c r="C5110" s="267">
        <v>2020</v>
      </c>
      <c r="D5110" s="267">
        <v>1</v>
      </c>
      <c r="E5110" s="267">
        <v>1</v>
      </c>
      <c r="F5110" s="267" t="s">
        <v>944</v>
      </c>
      <c r="G5110" s="267" t="s">
        <v>3926</v>
      </c>
      <c r="H5110" s="267" t="s">
        <v>9758</v>
      </c>
      <c r="I5110" s="267" t="s">
        <v>3996</v>
      </c>
      <c r="J5110" s="267" t="s">
        <v>3928</v>
      </c>
      <c r="K5110" s="267">
        <v>6790</v>
      </c>
      <c r="L5110" s="267">
        <v>310803</v>
      </c>
      <c r="M5110" s="267">
        <v>-60</v>
      </c>
      <c r="N5110" s="267" t="s">
        <v>3944</v>
      </c>
      <c r="O5110" s="267">
        <v>1801.24</v>
      </c>
      <c r="P5110" s="267" t="s">
        <v>3944</v>
      </c>
      <c r="Q5110" s="267" t="s">
        <v>3944</v>
      </c>
      <c r="R5110" s="267">
        <v>1801.24</v>
      </c>
      <c r="S5110" s="267">
        <v>24487.759999999998</v>
      </c>
      <c r="T5110" s="267">
        <v>26289</v>
      </c>
      <c r="U5110" s="268" t="s">
        <v>3945</v>
      </c>
      <c r="V5110" s="267" t="s">
        <v>944</v>
      </c>
    </row>
    <row r="5111" spans="1:22" hidden="1" x14ac:dyDescent="0.25">
      <c r="A5111" s="269">
        <v>43713</v>
      </c>
      <c r="B5111" s="270">
        <v>2019</v>
      </c>
      <c r="C5111" s="270">
        <v>2020</v>
      </c>
      <c r="D5111" s="270">
        <v>1</v>
      </c>
      <c r="E5111" s="270">
        <v>1</v>
      </c>
      <c r="F5111" s="270" t="s">
        <v>944</v>
      </c>
      <c r="G5111" s="270" t="s">
        <v>3926</v>
      </c>
      <c r="H5111" s="270" t="s">
        <v>9759</v>
      </c>
      <c r="I5111" s="270" t="s">
        <v>3010</v>
      </c>
      <c r="J5111" s="270" t="s">
        <v>3928</v>
      </c>
      <c r="K5111" s="270">
        <v>6401</v>
      </c>
      <c r="L5111" s="270">
        <v>125200</v>
      </c>
      <c r="M5111" s="270">
        <v>-60</v>
      </c>
      <c r="N5111" s="270" t="s">
        <v>3944</v>
      </c>
      <c r="O5111" s="270">
        <v>1119.1300000000001</v>
      </c>
      <c r="P5111" s="270" t="s">
        <v>3944</v>
      </c>
      <c r="Q5111" s="270" t="s">
        <v>3944</v>
      </c>
      <c r="R5111" s="270">
        <v>1119.1300000000001</v>
      </c>
      <c r="S5111" s="270">
        <v>18161.37</v>
      </c>
      <c r="T5111" s="270">
        <v>19280.5</v>
      </c>
      <c r="U5111" s="271" t="s">
        <v>3945</v>
      </c>
      <c r="V5111" s="267" t="s">
        <v>944</v>
      </c>
    </row>
    <row r="5112" spans="1:22" hidden="1" x14ac:dyDescent="0.25">
      <c r="A5112" s="266">
        <v>43713</v>
      </c>
      <c r="B5112" s="267">
        <v>2019</v>
      </c>
      <c r="C5112" s="267">
        <v>2020</v>
      </c>
      <c r="D5112" s="267">
        <v>1</v>
      </c>
      <c r="E5112" s="267">
        <v>1</v>
      </c>
      <c r="F5112" s="267" t="s">
        <v>944</v>
      </c>
      <c r="G5112" s="267" t="s">
        <v>3926</v>
      </c>
      <c r="H5112" s="267" t="s">
        <v>9760</v>
      </c>
      <c r="I5112" s="267" t="s">
        <v>4111</v>
      </c>
      <c r="J5112" s="267" t="s">
        <v>3928</v>
      </c>
      <c r="K5112" s="267">
        <v>6095</v>
      </c>
      <c r="L5112" s="267">
        <v>473100</v>
      </c>
      <c r="M5112" s="267" t="s">
        <v>3960</v>
      </c>
      <c r="N5112" s="267" t="s">
        <v>3944</v>
      </c>
      <c r="O5112" s="267">
        <v>1706.25</v>
      </c>
      <c r="P5112" s="267" t="s">
        <v>3944</v>
      </c>
      <c r="Q5112" s="267" t="s">
        <v>3944</v>
      </c>
      <c r="R5112" s="267">
        <v>1706.25</v>
      </c>
      <c r="S5112" s="267">
        <v>23880.46</v>
      </c>
      <c r="T5112" s="267">
        <v>25586.71</v>
      </c>
      <c r="U5112" s="268" t="s">
        <v>3945</v>
      </c>
      <c r="V5112" s="267" t="s">
        <v>944</v>
      </c>
    </row>
    <row r="5113" spans="1:22" hidden="1" x14ac:dyDescent="0.25">
      <c r="A5113" s="269">
        <v>43713</v>
      </c>
      <c r="B5113" s="270">
        <v>2019</v>
      </c>
      <c r="C5113" s="270">
        <v>2020</v>
      </c>
      <c r="D5113" s="270">
        <v>1</v>
      </c>
      <c r="E5113" s="270">
        <v>1</v>
      </c>
      <c r="F5113" s="270" t="s">
        <v>944</v>
      </c>
      <c r="G5113" s="270" t="s">
        <v>3926</v>
      </c>
      <c r="H5113" s="270" t="s">
        <v>9761</v>
      </c>
      <c r="I5113" s="270" t="s">
        <v>4005</v>
      </c>
      <c r="J5113" s="270" t="s">
        <v>3928</v>
      </c>
      <c r="K5113" s="270">
        <v>6118</v>
      </c>
      <c r="L5113" s="270">
        <v>510700</v>
      </c>
      <c r="M5113" s="270" t="s">
        <v>3940</v>
      </c>
      <c r="N5113" s="270" t="s">
        <v>3944</v>
      </c>
      <c r="O5113" s="270">
        <v>940.35</v>
      </c>
      <c r="P5113" s="270" t="s">
        <v>3944</v>
      </c>
      <c r="Q5113" s="270" t="s">
        <v>3944</v>
      </c>
      <c r="R5113" s="270">
        <v>940.35</v>
      </c>
      <c r="S5113" s="270">
        <v>13927.65</v>
      </c>
      <c r="T5113" s="270">
        <v>14868</v>
      </c>
      <c r="U5113" s="271" t="s">
        <v>3945</v>
      </c>
      <c r="V5113" s="267" t="s">
        <v>944</v>
      </c>
    </row>
    <row r="5114" spans="1:22" hidden="1" x14ac:dyDescent="0.25">
      <c r="A5114" s="266">
        <v>43713</v>
      </c>
      <c r="B5114" s="267">
        <v>2019</v>
      </c>
      <c r="C5114" s="267">
        <v>2020</v>
      </c>
      <c r="D5114" s="267">
        <v>1</v>
      </c>
      <c r="E5114" s="267">
        <v>1</v>
      </c>
      <c r="F5114" s="267" t="s">
        <v>944</v>
      </c>
      <c r="G5114" s="267" t="s">
        <v>3926</v>
      </c>
      <c r="H5114" s="267" t="s">
        <v>9762</v>
      </c>
      <c r="I5114" s="267" t="s">
        <v>4213</v>
      </c>
      <c r="J5114" s="267" t="s">
        <v>3928</v>
      </c>
      <c r="K5114" s="267">
        <v>6052</v>
      </c>
      <c r="L5114" s="267">
        <v>416400</v>
      </c>
      <c r="M5114" s="267" t="s">
        <v>3960</v>
      </c>
      <c r="N5114" s="267" t="s">
        <v>3944</v>
      </c>
      <c r="O5114" s="267">
        <v>1166.2</v>
      </c>
      <c r="P5114" s="267" t="s">
        <v>3944</v>
      </c>
      <c r="Q5114" s="267" t="s">
        <v>3944</v>
      </c>
      <c r="R5114" s="267">
        <v>1166.2</v>
      </c>
      <c r="S5114" s="267">
        <v>14746.11</v>
      </c>
      <c r="T5114" s="267">
        <v>15912.31</v>
      </c>
      <c r="U5114" s="268" t="s">
        <v>3945</v>
      </c>
      <c r="V5114" s="267" t="s">
        <v>944</v>
      </c>
    </row>
    <row r="5115" spans="1:22" hidden="1" x14ac:dyDescent="0.25">
      <c r="A5115" s="269">
        <v>43713</v>
      </c>
      <c r="B5115" s="270">
        <v>2019</v>
      </c>
      <c r="C5115" s="270">
        <v>2020</v>
      </c>
      <c r="D5115" s="270">
        <v>1</v>
      </c>
      <c r="E5115" s="270">
        <v>1</v>
      </c>
      <c r="F5115" s="270" t="s">
        <v>944</v>
      </c>
      <c r="G5115" s="270" t="s">
        <v>3926</v>
      </c>
      <c r="H5115" s="270" t="s">
        <v>9763</v>
      </c>
      <c r="I5115" s="270" t="s">
        <v>3954</v>
      </c>
      <c r="J5115" s="270" t="s">
        <v>3928</v>
      </c>
      <c r="K5115" s="270">
        <v>6333</v>
      </c>
      <c r="L5115" s="270">
        <v>716102</v>
      </c>
      <c r="M5115" s="270" t="s">
        <v>3943</v>
      </c>
      <c r="N5115" s="270" t="s">
        <v>3944</v>
      </c>
      <c r="O5115" s="270">
        <v>2711.91</v>
      </c>
      <c r="P5115" s="270" t="s">
        <v>3944</v>
      </c>
      <c r="Q5115" s="270" t="s">
        <v>3944</v>
      </c>
      <c r="R5115" s="270">
        <v>2711.91</v>
      </c>
      <c r="S5115" s="270">
        <v>40198.26</v>
      </c>
      <c r="T5115" s="270">
        <v>42910.17</v>
      </c>
      <c r="U5115" s="271" t="s">
        <v>3945</v>
      </c>
      <c r="V5115" s="267" t="s">
        <v>944</v>
      </c>
    </row>
    <row r="5116" spans="1:22" hidden="1" x14ac:dyDescent="0.25">
      <c r="A5116" s="266">
        <v>43713</v>
      </c>
      <c r="B5116" s="267">
        <v>2019</v>
      </c>
      <c r="C5116" s="267">
        <v>2020</v>
      </c>
      <c r="D5116" s="267">
        <v>1</v>
      </c>
      <c r="E5116" s="267">
        <v>1</v>
      </c>
      <c r="F5116" s="267" t="s">
        <v>944</v>
      </c>
      <c r="G5116" s="267" t="s">
        <v>3926</v>
      </c>
      <c r="H5116" s="267" t="s">
        <v>9764</v>
      </c>
      <c r="I5116" s="267" t="s">
        <v>950</v>
      </c>
      <c r="J5116" s="267" t="s">
        <v>3928</v>
      </c>
      <c r="K5116" s="267">
        <v>6516</v>
      </c>
      <c r="L5116" s="267">
        <v>155000</v>
      </c>
      <c r="M5116" s="267" t="s">
        <v>3940</v>
      </c>
      <c r="N5116" s="267" t="s">
        <v>3944</v>
      </c>
      <c r="O5116" s="267">
        <v>1470.04</v>
      </c>
      <c r="P5116" s="267" t="s">
        <v>3944</v>
      </c>
      <c r="Q5116" s="267" t="s">
        <v>3944</v>
      </c>
      <c r="R5116" s="267">
        <v>1470.04</v>
      </c>
      <c r="S5116" s="267">
        <v>26657.85</v>
      </c>
      <c r="T5116" s="267">
        <v>28127.89</v>
      </c>
      <c r="U5116" s="268" t="s">
        <v>3945</v>
      </c>
      <c r="V5116" s="267" t="s">
        <v>944</v>
      </c>
    </row>
    <row r="5117" spans="1:22" hidden="1" x14ac:dyDescent="0.25">
      <c r="A5117" s="269">
        <v>43713</v>
      </c>
      <c r="B5117" s="270">
        <v>2019</v>
      </c>
      <c r="C5117" s="270">
        <v>2020</v>
      </c>
      <c r="D5117" s="270">
        <v>1</v>
      </c>
      <c r="E5117" s="270">
        <v>1</v>
      </c>
      <c r="F5117" s="270" t="s">
        <v>944</v>
      </c>
      <c r="G5117" s="270" t="s">
        <v>3926</v>
      </c>
      <c r="H5117" s="270" t="s">
        <v>9765</v>
      </c>
      <c r="I5117" s="270" t="s">
        <v>3956</v>
      </c>
      <c r="J5117" s="270" t="s">
        <v>3928</v>
      </c>
      <c r="K5117" s="270">
        <v>6106</v>
      </c>
      <c r="L5117" s="270">
        <v>524700</v>
      </c>
      <c r="M5117" s="270" t="s">
        <v>3935</v>
      </c>
      <c r="N5117" s="270" t="s">
        <v>3944</v>
      </c>
      <c r="O5117" s="270">
        <v>1940.61</v>
      </c>
      <c r="P5117" s="270" t="s">
        <v>3944</v>
      </c>
      <c r="Q5117" s="270" t="s">
        <v>3944</v>
      </c>
      <c r="R5117" s="270">
        <v>1940.61</v>
      </c>
      <c r="S5117" s="270">
        <v>27604.79</v>
      </c>
      <c r="T5117" s="270">
        <v>29545.4</v>
      </c>
      <c r="U5117" s="271" t="s">
        <v>3945</v>
      </c>
      <c r="V5117" s="267" t="s">
        <v>944</v>
      </c>
    </row>
    <row r="5118" spans="1:22" hidden="1" x14ac:dyDescent="0.25">
      <c r="A5118" s="266">
        <v>43713</v>
      </c>
      <c r="B5118" s="267">
        <v>2019</v>
      </c>
      <c r="C5118" s="267">
        <v>2020</v>
      </c>
      <c r="D5118" s="267">
        <v>1</v>
      </c>
      <c r="E5118" s="267">
        <v>1</v>
      </c>
      <c r="F5118" s="267" t="s">
        <v>944</v>
      </c>
      <c r="G5118" s="267" t="s">
        <v>3926</v>
      </c>
      <c r="H5118" s="267" t="s">
        <v>9766</v>
      </c>
      <c r="I5118" s="267" t="s">
        <v>3009</v>
      </c>
      <c r="J5118" s="267" t="s">
        <v>3928</v>
      </c>
      <c r="K5118" s="267">
        <v>6484</v>
      </c>
      <c r="L5118" s="267">
        <v>110202</v>
      </c>
      <c r="M5118" s="267" t="s">
        <v>3935</v>
      </c>
      <c r="N5118" s="267" t="s">
        <v>3944</v>
      </c>
      <c r="O5118" s="267">
        <v>3227.07</v>
      </c>
      <c r="P5118" s="267" t="s">
        <v>3944</v>
      </c>
      <c r="Q5118" s="267" t="s">
        <v>3944</v>
      </c>
      <c r="R5118" s="267">
        <v>3227.07</v>
      </c>
      <c r="S5118" s="267">
        <v>45290.82</v>
      </c>
      <c r="T5118" s="267">
        <v>48517.89</v>
      </c>
      <c r="U5118" s="268" t="s">
        <v>3945</v>
      </c>
      <c r="V5118" s="267" t="s">
        <v>944</v>
      </c>
    </row>
    <row r="5119" spans="1:22" hidden="1" x14ac:dyDescent="0.25">
      <c r="A5119" s="269">
        <v>43713</v>
      </c>
      <c r="B5119" s="270">
        <v>2019</v>
      </c>
      <c r="C5119" s="270">
        <v>2020</v>
      </c>
      <c r="D5119" s="270">
        <v>1</v>
      </c>
      <c r="E5119" s="270">
        <v>1</v>
      </c>
      <c r="F5119" s="270" t="s">
        <v>944</v>
      </c>
      <c r="G5119" s="270" t="s">
        <v>3926</v>
      </c>
      <c r="H5119" s="270" t="s">
        <v>9767</v>
      </c>
      <c r="I5119" s="270" t="s">
        <v>6426</v>
      </c>
      <c r="J5119" s="270" t="s">
        <v>3928</v>
      </c>
      <c r="K5119" s="270">
        <v>6422</v>
      </c>
      <c r="L5119" s="270">
        <v>585100</v>
      </c>
      <c r="M5119" s="270" t="s">
        <v>3943</v>
      </c>
      <c r="N5119" s="270" t="s">
        <v>3944</v>
      </c>
      <c r="O5119" s="270">
        <v>2282.6</v>
      </c>
      <c r="P5119" s="270" t="s">
        <v>3944</v>
      </c>
      <c r="Q5119" s="270" t="s">
        <v>3944</v>
      </c>
      <c r="R5119" s="270">
        <v>2282.6</v>
      </c>
      <c r="S5119" s="270">
        <v>39491.4</v>
      </c>
      <c r="T5119" s="270">
        <v>41774</v>
      </c>
      <c r="U5119" s="271" t="s">
        <v>3945</v>
      </c>
      <c r="V5119" s="267" t="s">
        <v>944</v>
      </c>
    </row>
    <row r="5120" spans="1:22" hidden="1" x14ac:dyDescent="0.25">
      <c r="A5120" s="266">
        <v>43713</v>
      </c>
      <c r="B5120" s="267">
        <v>2019</v>
      </c>
      <c r="C5120" s="267">
        <v>2020</v>
      </c>
      <c r="D5120" s="267">
        <v>1</v>
      </c>
      <c r="E5120" s="267">
        <v>1</v>
      </c>
      <c r="F5120" s="267" t="s">
        <v>944</v>
      </c>
      <c r="G5120" s="267" t="s">
        <v>3926</v>
      </c>
      <c r="H5120" s="267" t="s">
        <v>9768</v>
      </c>
      <c r="I5120" s="267" t="s">
        <v>4200</v>
      </c>
      <c r="J5120" s="267" t="s">
        <v>3928</v>
      </c>
      <c r="K5120" s="267">
        <v>6795</v>
      </c>
      <c r="L5120" s="267">
        <v>360200</v>
      </c>
      <c r="M5120" s="267" t="s">
        <v>3943</v>
      </c>
      <c r="N5120" s="267" t="s">
        <v>3944</v>
      </c>
      <c r="O5120" s="267">
        <v>1699.81</v>
      </c>
      <c r="P5120" s="267" t="s">
        <v>3944</v>
      </c>
      <c r="Q5120" s="267" t="s">
        <v>3944</v>
      </c>
      <c r="R5120" s="267">
        <v>1699.81</v>
      </c>
      <c r="S5120" s="267">
        <v>22828.47</v>
      </c>
      <c r="T5120" s="267">
        <v>24528.28</v>
      </c>
      <c r="U5120" s="268" t="s">
        <v>3945</v>
      </c>
      <c r="V5120" s="267" t="s">
        <v>944</v>
      </c>
    </row>
    <row r="5121" spans="1:22" hidden="1" x14ac:dyDescent="0.25">
      <c r="A5121" s="269">
        <v>43713</v>
      </c>
      <c r="B5121" s="270">
        <v>2019</v>
      </c>
      <c r="C5121" s="270">
        <v>2020</v>
      </c>
      <c r="D5121" s="270">
        <v>1</v>
      </c>
      <c r="E5121" s="270">
        <v>1</v>
      </c>
      <c r="F5121" s="270" t="s">
        <v>944</v>
      </c>
      <c r="G5121" s="270" t="s">
        <v>3926</v>
      </c>
      <c r="H5121" s="270" t="s">
        <v>9769</v>
      </c>
      <c r="I5121" s="270" t="s">
        <v>956</v>
      </c>
      <c r="J5121" s="270" t="s">
        <v>3928</v>
      </c>
      <c r="K5121" s="270">
        <v>6614</v>
      </c>
      <c r="L5121" s="270">
        <v>81000</v>
      </c>
      <c r="M5121" s="270" t="s">
        <v>3940</v>
      </c>
      <c r="N5121" s="270" t="s">
        <v>3944</v>
      </c>
      <c r="O5121" s="270">
        <v>1203.3</v>
      </c>
      <c r="P5121" s="270" t="s">
        <v>3944</v>
      </c>
      <c r="Q5121" s="270" t="s">
        <v>3944</v>
      </c>
      <c r="R5121" s="270">
        <v>1203.3</v>
      </c>
      <c r="S5121" s="270">
        <v>18487.740000000002</v>
      </c>
      <c r="T5121" s="270">
        <v>19691.04</v>
      </c>
      <c r="U5121" s="271" t="s">
        <v>3945</v>
      </c>
      <c r="V5121" s="267" t="s">
        <v>944</v>
      </c>
    </row>
    <row r="5122" spans="1:22" hidden="1" x14ac:dyDescent="0.25">
      <c r="A5122" s="266">
        <v>43713</v>
      </c>
      <c r="B5122" s="267">
        <v>2019</v>
      </c>
      <c r="C5122" s="267">
        <v>2020</v>
      </c>
      <c r="D5122" s="267">
        <v>1</v>
      </c>
      <c r="E5122" s="267">
        <v>1</v>
      </c>
      <c r="F5122" s="267" t="s">
        <v>944</v>
      </c>
      <c r="G5122" s="267" t="s">
        <v>3926</v>
      </c>
      <c r="H5122" s="267" t="s">
        <v>9770</v>
      </c>
      <c r="I5122" s="267" t="s">
        <v>2987</v>
      </c>
      <c r="J5122" s="267" t="s">
        <v>3928</v>
      </c>
      <c r="K5122" s="267">
        <v>6611</v>
      </c>
      <c r="L5122" s="267">
        <v>90300</v>
      </c>
      <c r="M5122" s="267" t="s">
        <v>3943</v>
      </c>
      <c r="N5122" s="267" t="s">
        <v>3944</v>
      </c>
      <c r="O5122" s="267">
        <v>816.31</v>
      </c>
      <c r="P5122" s="267" t="s">
        <v>3944</v>
      </c>
      <c r="Q5122" s="267" t="s">
        <v>3944</v>
      </c>
      <c r="R5122" s="267">
        <v>816.31</v>
      </c>
      <c r="S5122" s="267">
        <v>13581.83</v>
      </c>
      <c r="T5122" s="267">
        <v>14398.14</v>
      </c>
      <c r="U5122" s="268" t="s">
        <v>3945</v>
      </c>
      <c r="V5122" s="267" t="s">
        <v>944</v>
      </c>
    </row>
    <row r="5123" spans="1:22" hidden="1" x14ac:dyDescent="0.25">
      <c r="A5123" s="269">
        <v>43713</v>
      </c>
      <c r="B5123" s="270">
        <v>2019</v>
      </c>
      <c r="C5123" s="270">
        <v>2020</v>
      </c>
      <c r="D5123" s="270">
        <v>1</v>
      </c>
      <c r="E5123" s="270">
        <v>1</v>
      </c>
      <c r="F5123" s="270" t="s">
        <v>944</v>
      </c>
      <c r="G5123" s="270" t="s">
        <v>3926</v>
      </c>
      <c r="H5123" s="270" t="s">
        <v>9771</v>
      </c>
      <c r="I5123" s="270" t="s">
        <v>3975</v>
      </c>
      <c r="J5123" s="270" t="s">
        <v>3928</v>
      </c>
      <c r="K5123" s="270">
        <v>6479</v>
      </c>
      <c r="L5123" s="270">
        <v>430500</v>
      </c>
      <c r="M5123" s="270" t="s">
        <v>3943</v>
      </c>
      <c r="N5123" s="270" t="s">
        <v>3944</v>
      </c>
      <c r="O5123" s="270">
        <v>1966.55</v>
      </c>
      <c r="P5123" s="270" t="s">
        <v>3944</v>
      </c>
      <c r="Q5123" s="270" t="s">
        <v>3944</v>
      </c>
      <c r="R5123" s="270">
        <v>1966.55</v>
      </c>
      <c r="S5123" s="270">
        <v>26119.62</v>
      </c>
      <c r="T5123" s="270">
        <v>28086.17</v>
      </c>
      <c r="U5123" s="271" t="s">
        <v>3945</v>
      </c>
      <c r="V5123" s="267" t="s">
        <v>944</v>
      </c>
    </row>
    <row r="5124" spans="1:22" hidden="1" x14ac:dyDescent="0.25">
      <c r="A5124" s="266">
        <v>43713</v>
      </c>
      <c r="B5124" s="267">
        <v>2019</v>
      </c>
      <c r="C5124" s="267">
        <v>2020</v>
      </c>
      <c r="D5124" s="267">
        <v>1</v>
      </c>
      <c r="E5124" s="267">
        <v>1</v>
      </c>
      <c r="F5124" s="267" t="s">
        <v>944</v>
      </c>
      <c r="G5124" s="267" t="s">
        <v>3926</v>
      </c>
      <c r="H5124" s="267" t="s">
        <v>9772</v>
      </c>
      <c r="I5124" s="267" t="s">
        <v>4005</v>
      </c>
      <c r="J5124" s="267" t="s">
        <v>3928</v>
      </c>
      <c r="K5124" s="267">
        <v>6108</v>
      </c>
      <c r="L5124" s="267">
        <v>510100</v>
      </c>
      <c r="M5124" s="267" t="s">
        <v>3940</v>
      </c>
      <c r="N5124" s="267" t="s">
        <v>3944</v>
      </c>
      <c r="O5124" s="267">
        <v>1274.25</v>
      </c>
      <c r="P5124" s="267" t="s">
        <v>3944</v>
      </c>
      <c r="Q5124" s="267" t="s">
        <v>3944</v>
      </c>
      <c r="R5124" s="267">
        <v>1274.25</v>
      </c>
      <c r="S5124" s="267">
        <v>18306.150000000001</v>
      </c>
      <c r="T5124" s="267">
        <v>19580.400000000001</v>
      </c>
      <c r="U5124" s="268" t="s">
        <v>3945</v>
      </c>
      <c r="V5124" s="267" t="s">
        <v>944</v>
      </c>
    </row>
    <row r="5125" spans="1:22" hidden="1" x14ac:dyDescent="0.25">
      <c r="A5125" s="269">
        <v>43713</v>
      </c>
      <c r="B5125" s="270">
        <v>2019</v>
      </c>
      <c r="C5125" s="270">
        <v>2020</v>
      </c>
      <c r="D5125" s="270">
        <v>1</v>
      </c>
      <c r="E5125" s="270">
        <v>1</v>
      </c>
      <c r="F5125" s="270" t="s">
        <v>944</v>
      </c>
      <c r="G5125" s="270" t="s">
        <v>3926</v>
      </c>
      <c r="H5125" s="270" t="s">
        <v>9773</v>
      </c>
      <c r="I5125" s="270" t="s">
        <v>4005</v>
      </c>
      <c r="J5125" s="270" t="s">
        <v>3928</v>
      </c>
      <c r="K5125" s="270">
        <v>6108</v>
      </c>
      <c r="L5125" s="270">
        <v>510100</v>
      </c>
      <c r="M5125" s="270" t="s">
        <v>3940</v>
      </c>
      <c r="N5125" s="270" t="s">
        <v>3944</v>
      </c>
      <c r="O5125" s="270">
        <v>885.78</v>
      </c>
      <c r="P5125" s="270" t="s">
        <v>3944</v>
      </c>
      <c r="Q5125" s="270" t="s">
        <v>3944</v>
      </c>
      <c r="R5125" s="270">
        <v>885.78</v>
      </c>
      <c r="S5125" s="270">
        <v>12563.72</v>
      </c>
      <c r="T5125" s="270">
        <v>13449.5</v>
      </c>
      <c r="U5125" s="271" t="s">
        <v>3945</v>
      </c>
      <c r="V5125" s="267" t="s">
        <v>944</v>
      </c>
    </row>
    <row r="5126" spans="1:22" hidden="1" x14ac:dyDescent="0.25">
      <c r="A5126" s="266">
        <v>43713</v>
      </c>
      <c r="B5126" s="267">
        <v>2019</v>
      </c>
      <c r="C5126" s="267">
        <v>2020</v>
      </c>
      <c r="D5126" s="267">
        <v>1</v>
      </c>
      <c r="E5126" s="267">
        <v>1</v>
      </c>
      <c r="F5126" s="267" t="s">
        <v>944</v>
      </c>
      <c r="G5126" s="267" t="s">
        <v>3926</v>
      </c>
      <c r="H5126" s="267" t="s">
        <v>9774</v>
      </c>
      <c r="I5126" s="267" t="s">
        <v>3975</v>
      </c>
      <c r="J5126" s="267" t="s">
        <v>3928</v>
      </c>
      <c r="K5126" s="267">
        <v>6489</v>
      </c>
      <c r="L5126" s="267">
        <v>430100</v>
      </c>
      <c r="M5126" s="267" t="s">
        <v>3935</v>
      </c>
      <c r="N5126" s="267" t="s">
        <v>3944</v>
      </c>
      <c r="O5126" s="267">
        <v>1705.83</v>
      </c>
      <c r="P5126" s="267" t="s">
        <v>3944</v>
      </c>
      <c r="Q5126" s="267" t="s">
        <v>3944</v>
      </c>
      <c r="R5126" s="267">
        <v>1705.83</v>
      </c>
      <c r="S5126" s="267">
        <v>25642.76</v>
      </c>
      <c r="T5126" s="267">
        <v>27348.59</v>
      </c>
      <c r="U5126" s="268" t="s">
        <v>3945</v>
      </c>
      <c r="V5126" s="267" t="s">
        <v>944</v>
      </c>
    </row>
    <row r="5127" spans="1:22" hidden="1" x14ac:dyDescent="0.25">
      <c r="A5127" s="269">
        <v>43713</v>
      </c>
      <c r="B5127" s="270">
        <v>2019</v>
      </c>
      <c r="C5127" s="270">
        <v>2020</v>
      </c>
      <c r="D5127" s="270">
        <v>1</v>
      </c>
      <c r="E5127" s="270">
        <v>1</v>
      </c>
      <c r="F5127" s="270" t="s">
        <v>944</v>
      </c>
      <c r="G5127" s="270" t="s">
        <v>3926</v>
      </c>
      <c r="H5127" s="270" t="s">
        <v>9775</v>
      </c>
      <c r="I5127" s="270" t="s">
        <v>3996</v>
      </c>
      <c r="J5127" s="270" t="s">
        <v>3928</v>
      </c>
      <c r="K5127" s="270">
        <v>6790</v>
      </c>
      <c r="L5127" s="270">
        <v>310100</v>
      </c>
      <c r="M5127" s="270" t="s">
        <v>3940</v>
      </c>
      <c r="N5127" s="270" t="s">
        <v>3944</v>
      </c>
      <c r="O5127" s="270">
        <v>801.78</v>
      </c>
      <c r="P5127" s="270" t="s">
        <v>3944</v>
      </c>
      <c r="Q5127" s="270" t="s">
        <v>3944</v>
      </c>
      <c r="R5127" s="270">
        <v>801.78</v>
      </c>
      <c r="S5127" s="270">
        <v>12093</v>
      </c>
      <c r="T5127" s="270">
        <v>12894.78</v>
      </c>
      <c r="U5127" s="271" t="s">
        <v>3945</v>
      </c>
      <c r="V5127" s="267" t="s">
        <v>944</v>
      </c>
    </row>
    <row r="5128" spans="1:22" hidden="1" x14ac:dyDescent="0.25">
      <c r="A5128" s="266">
        <v>43714</v>
      </c>
      <c r="B5128" s="267">
        <v>2019</v>
      </c>
      <c r="C5128" s="267">
        <v>2020</v>
      </c>
      <c r="D5128" s="267">
        <v>1</v>
      </c>
      <c r="E5128" s="267">
        <v>1</v>
      </c>
      <c r="F5128" s="267" t="s">
        <v>944</v>
      </c>
      <c r="G5128" s="267" t="s">
        <v>3926</v>
      </c>
      <c r="H5128" s="267" t="s">
        <v>9776</v>
      </c>
      <c r="I5128" s="267" t="s">
        <v>3025</v>
      </c>
      <c r="J5128" s="267" t="s">
        <v>3928</v>
      </c>
      <c r="K5128" s="267">
        <v>6473</v>
      </c>
      <c r="L5128" s="267">
        <v>167202</v>
      </c>
      <c r="M5128" s="267" t="s">
        <v>3935</v>
      </c>
      <c r="N5128" s="267" t="s">
        <v>9777</v>
      </c>
      <c r="O5128" s="267">
        <v>0</v>
      </c>
      <c r="P5128" s="267" t="s">
        <v>3930</v>
      </c>
      <c r="Q5128" s="267" t="s">
        <v>3930</v>
      </c>
      <c r="R5128" s="267">
        <v>0</v>
      </c>
      <c r="S5128" s="267">
        <v>6890</v>
      </c>
      <c r="T5128" s="267">
        <v>6890</v>
      </c>
      <c r="U5128" s="268" t="s">
        <v>3937</v>
      </c>
      <c r="V5128" s="267" t="s">
        <v>944</v>
      </c>
    </row>
    <row r="5129" spans="1:22" hidden="1" x14ac:dyDescent="0.25">
      <c r="A5129" s="269">
        <v>43714</v>
      </c>
      <c r="B5129" s="270">
        <v>2019</v>
      </c>
      <c r="C5129" s="270">
        <v>2020</v>
      </c>
      <c r="D5129" s="270">
        <v>1</v>
      </c>
      <c r="E5129" s="270">
        <v>1</v>
      </c>
      <c r="F5129" s="270" t="s">
        <v>944</v>
      </c>
      <c r="G5129" s="270" t="s">
        <v>3926</v>
      </c>
      <c r="H5129" s="270" t="s">
        <v>9778</v>
      </c>
      <c r="I5129" s="270" t="s">
        <v>934</v>
      </c>
      <c r="J5129" s="270" t="s">
        <v>3928</v>
      </c>
      <c r="K5129" s="270">
        <v>6606</v>
      </c>
      <c r="L5129" s="270">
        <v>72900</v>
      </c>
      <c r="M5129" s="270" t="s">
        <v>3940</v>
      </c>
      <c r="N5129" s="270" t="s">
        <v>4523</v>
      </c>
      <c r="O5129" s="270">
        <v>1646.93</v>
      </c>
      <c r="P5129" s="270" t="s">
        <v>3930</v>
      </c>
      <c r="Q5129" s="270" t="s">
        <v>3931</v>
      </c>
      <c r="R5129" s="270">
        <v>6646.93</v>
      </c>
      <c r="S5129" s="270">
        <v>25412.799999999999</v>
      </c>
      <c r="T5129" s="270">
        <v>32059.73</v>
      </c>
      <c r="U5129" s="271" t="s">
        <v>3932</v>
      </c>
      <c r="V5129" s="267" t="s">
        <v>944</v>
      </c>
    </row>
    <row r="5130" spans="1:22" hidden="1" x14ac:dyDescent="0.25">
      <c r="A5130" s="266">
        <v>43714</v>
      </c>
      <c r="B5130" s="267">
        <v>2019</v>
      </c>
      <c r="C5130" s="267">
        <v>2020</v>
      </c>
      <c r="D5130" s="267">
        <v>1</v>
      </c>
      <c r="E5130" s="267">
        <v>1</v>
      </c>
      <c r="F5130" s="267" t="s">
        <v>944</v>
      </c>
      <c r="G5130" s="267" t="s">
        <v>3926</v>
      </c>
      <c r="H5130" s="267" t="s">
        <v>9779</v>
      </c>
      <c r="I5130" s="267" t="s">
        <v>4392</v>
      </c>
      <c r="J5130" s="267" t="s">
        <v>3928</v>
      </c>
      <c r="K5130" s="267">
        <v>6457</v>
      </c>
      <c r="L5130" s="267">
        <v>542200</v>
      </c>
      <c r="M5130" s="267" t="s">
        <v>3960</v>
      </c>
      <c r="N5130" s="267" t="s">
        <v>4103</v>
      </c>
      <c r="O5130" s="267">
        <v>1821.37</v>
      </c>
      <c r="P5130" s="267" t="s">
        <v>3930</v>
      </c>
      <c r="Q5130" s="267" t="s">
        <v>3931</v>
      </c>
      <c r="R5130" s="267">
        <v>6821.37</v>
      </c>
      <c r="S5130" s="267">
        <v>24145.599999999999</v>
      </c>
      <c r="T5130" s="267">
        <v>30966.97</v>
      </c>
      <c r="U5130" s="268" t="s">
        <v>3932</v>
      </c>
      <c r="V5130" s="267" t="s">
        <v>944</v>
      </c>
    </row>
    <row r="5131" spans="1:22" hidden="1" x14ac:dyDescent="0.25">
      <c r="A5131" s="269">
        <v>43714</v>
      </c>
      <c r="B5131" s="270">
        <v>2019</v>
      </c>
      <c r="C5131" s="270">
        <v>2020</v>
      </c>
      <c r="D5131" s="270">
        <v>1</v>
      </c>
      <c r="E5131" s="270">
        <v>1</v>
      </c>
      <c r="F5131" s="270" t="s">
        <v>944</v>
      </c>
      <c r="G5131" s="270" t="s">
        <v>3926</v>
      </c>
      <c r="H5131" s="270" t="s">
        <v>9780</v>
      </c>
      <c r="I5131" s="270" t="s">
        <v>934</v>
      </c>
      <c r="J5131" s="270" t="s">
        <v>3928</v>
      </c>
      <c r="K5131" s="270">
        <v>6606</v>
      </c>
      <c r="L5131" s="270">
        <v>72600</v>
      </c>
      <c r="M5131" s="270" t="s">
        <v>3940</v>
      </c>
      <c r="N5131" s="270" t="s">
        <v>4701</v>
      </c>
      <c r="O5131" s="270">
        <v>2296.0700000000002</v>
      </c>
      <c r="P5131" s="270" t="s">
        <v>3930</v>
      </c>
      <c r="Q5131" s="270" t="s">
        <v>3931</v>
      </c>
      <c r="R5131" s="270">
        <v>7296.07</v>
      </c>
      <c r="S5131" s="270">
        <v>34648</v>
      </c>
      <c r="T5131" s="270">
        <v>41944.07</v>
      </c>
      <c r="U5131" s="271" t="s">
        <v>3932</v>
      </c>
      <c r="V5131" s="267" t="s">
        <v>944</v>
      </c>
    </row>
    <row r="5132" spans="1:22" hidden="1" x14ac:dyDescent="0.25">
      <c r="A5132" s="266">
        <v>43714</v>
      </c>
      <c r="B5132" s="267">
        <v>2019</v>
      </c>
      <c r="C5132" s="267">
        <v>2020</v>
      </c>
      <c r="D5132" s="267">
        <v>1</v>
      </c>
      <c r="E5132" s="267">
        <v>1</v>
      </c>
      <c r="F5132" s="267" t="s">
        <v>944</v>
      </c>
      <c r="G5132" s="267" t="s">
        <v>3926</v>
      </c>
      <c r="H5132" s="267" t="s">
        <v>9781</v>
      </c>
      <c r="I5132" s="267" t="s">
        <v>4065</v>
      </c>
      <c r="J5132" s="267" t="s">
        <v>3928</v>
      </c>
      <c r="K5132" s="267">
        <v>6480</v>
      </c>
      <c r="L5132" s="267">
        <v>560200</v>
      </c>
      <c r="M5132" s="267" t="s">
        <v>3935</v>
      </c>
      <c r="N5132" s="267" t="s">
        <v>4103</v>
      </c>
      <c r="O5132" s="267">
        <v>1778.21</v>
      </c>
      <c r="P5132" s="267" t="s">
        <v>3930</v>
      </c>
      <c r="Q5132" s="267" t="s">
        <v>3931</v>
      </c>
      <c r="R5132" s="267">
        <v>6778.21</v>
      </c>
      <c r="S5132" s="267">
        <v>24145.599999999999</v>
      </c>
      <c r="T5132" s="267">
        <v>30923.81</v>
      </c>
      <c r="U5132" s="268" t="s">
        <v>3932</v>
      </c>
      <c r="V5132" s="267" t="s">
        <v>944</v>
      </c>
    </row>
    <row r="5133" spans="1:22" hidden="1" x14ac:dyDescent="0.25">
      <c r="A5133" s="269">
        <v>43714</v>
      </c>
      <c r="B5133" s="270">
        <v>2019</v>
      </c>
      <c r="C5133" s="270">
        <v>2020</v>
      </c>
      <c r="D5133" s="270">
        <v>1</v>
      </c>
      <c r="E5133" s="270">
        <v>1</v>
      </c>
      <c r="F5133" s="270" t="s">
        <v>944</v>
      </c>
      <c r="G5133" s="270" t="s">
        <v>3926</v>
      </c>
      <c r="H5133" s="270" t="s">
        <v>9782</v>
      </c>
      <c r="I5133" s="270" t="s">
        <v>3975</v>
      </c>
      <c r="J5133" s="270" t="s">
        <v>3928</v>
      </c>
      <c r="K5133" s="270">
        <v>6479</v>
      </c>
      <c r="L5133" s="270">
        <v>430500</v>
      </c>
      <c r="M5133" s="270" t="s">
        <v>3943</v>
      </c>
      <c r="N5133" s="270" t="s">
        <v>9783</v>
      </c>
      <c r="O5133" s="270">
        <v>0</v>
      </c>
      <c r="P5133" s="270" t="s">
        <v>3930</v>
      </c>
      <c r="Q5133" s="270" t="s">
        <v>3930</v>
      </c>
      <c r="R5133" s="270">
        <v>0</v>
      </c>
      <c r="S5133" s="270">
        <v>13876.95</v>
      </c>
      <c r="T5133" s="270">
        <v>13876.95</v>
      </c>
      <c r="U5133" s="271" t="s">
        <v>3937</v>
      </c>
      <c r="V5133" s="267" t="s">
        <v>944</v>
      </c>
    </row>
    <row r="5134" spans="1:22" hidden="1" x14ac:dyDescent="0.25">
      <c r="A5134" s="266">
        <v>43714</v>
      </c>
      <c r="B5134" s="267">
        <v>2019</v>
      </c>
      <c r="C5134" s="267">
        <v>2020</v>
      </c>
      <c r="D5134" s="267">
        <v>1</v>
      </c>
      <c r="E5134" s="267">
        <v>1</v>
      </c>
      <c r="F5134" s="267" t="s">
        <v>944</v>
      </c>
      <c r="G5134" s="267" t="s">
        <v>3997</v>
      </c>
      <c r="H5134" s="267" t="s">
        <v>9784</v>
      </c>
      <c r="I5134" s="267" t="s">
        <v>4029</v>
      </c>
      <c r="J5134" s="267" t="s">
        <v>3928</v>
      </c>
      <c r="K5134" s="267">
        <v>6851</v>
      </c>
      <c r="L5134" s="267">
        <v>42700</v>
      </c>
      <c r="M5134" s="267" t="s">
        <v>3960</v>
      </c>
      <c r="N5134" s="267" t="s">
        <v>3944</v>
      </c>
      <c r="O5134" s="267">
        <v>3230</v>
      </c>
      <c r="P5134" s="267" t="s">
        <v>3944</v>
      </c>
      <c r="Q5134" s="267" t="s">
        <v>3944</v>
      </c>
      <c r="R5134" s="267">
        <v>3230</v>
      </c>
      <c r="S5134" s="267">
        <v>40290</v>
      </c>
      <c r="T5134" s="267">
        <v>43520</v>
      </c>
      <c r="U5134" s="268" t="s">
        <v>3945</v>
      </c>
      <c r="V5134" s="267" t="s">
        <v>944</v>
      </c>
    </row>
    <row r="5135" spans="1:22" hidden="1" x14ac:dyDescent="0.25">
      <c r="A5135" s="269">
        <v>43714</v>
      </c>
      <c r="B5135" s="270">
        <v>2019</v>
      </c>
      <c r="C5135" s="270">
        <v>2020</v>
      </c>
      <c r="D5135" s="270">
        <v>1</v>
      </c>
      <c r="E5135" s="270">
        <v>1</v>
      </c>
      <c r="F5135" s="270" t="s">
        <v>944</v>
      </c>
      <c r="G5135" s="270" t="s">
        <v>3926</v>
      </c>
      <c r="H5135" s="270" t="s">
        <v>9785</v>
      </c>
      <c r="I5135" s="270" t="s">
        <v>3025</v>
      </c>
      <c r="J5135" s="270" t="s">
        <v>3928</v>
      </c>
      <c r="K5135" s="270">
        <v>6473</v>
      </c>
      <c r="L5135" s="270">
        <v>167100</v>
      </c>
      <c r="M5135" s="270" t="s">
        <v>3943</v>
      </c>
      <c r="N5135" s="270" t="s">
        <v>3944</v>
      </c>
      <c r="O5135" s="270">
        <v>3230</v>
      </c>
      <c r="P5135" s="270" t="s">
        <v>3944</v>
      </c>
      <c r="Q5135" s="270" t="s">
        <v>3944</v>
      </c>
      <c r="R5135" s="270">
        <v>3230</v>
      </c>
      <c r="S5135" s="270">
        <v>21338</v>
      </c>
      <c r="T5135" s="270">
        <v>24568</v>
      </c>
      <c r="U5135" s="271" t="s">
        <v>3945</v>
      </c>
      <c r="V5135" s="267" t="s">
        <v>944</v>
      </c>
    </row>
    <row r="5136" spans="1:22" hidden="1" x14ac:dyDescent="0.25">
      <c r="A5136" s="266">
        <v>43714</v>
      </c>
      <c r="B5136" s="267">
        <v>2019</v>
      </c>
      <c r="C5136" s="267">
        <v>2020</v>
      </c>
      <c r="D5136" s="267">
        <v>1</v>
      </c>
      <c r="E5136" s="267">
        <v>1</v>
      </c>
      <c r="F5136" s="267" t="s">
        <v>944</v>
      </c>
      <c r="G5136" s="267" t="s">
        <v>3926</v>
      </c>
      <c r="H5136" s="267" t="s">
        <v>9786</v>
      </c>
      <c r="I5136" s="267" t="s">
        <v>3949</v>
      </c>
      <c r="J5136" s="267" t="s">
        <v>3928</v>
      </c>
      <c r="K5136" s="267">
        <v>6437</v>
      </c>
      <c r="L5136" s="267">
        <v>190303</v>
      </c>
      <c r="M5136" s="267" t="s">
        <v>3943</v>
      </c>
      <c r="N5136" s="267" t="s">
        <v>3944</v>
      </c>
      <c r="O5136" s="267">
        <v>2973</v>
      </c>
      <c r="P5136" s="267" t="s">
        <v>3944</v>
      </c>
      <c r="Q5136" s="267" t="s">
        <v>3944</v>
      </c>
      <c r="R5136" s="267">
        <v>2973</v>
      </c>
      <c r="S5136" s="267">
        <v>28773</v>
      </c>
      <c r="T5136" s="267">
        <v>31746</v>
      </c>
      <c r="U5136" s="268" t="s">
        <v>3945</v>
      </c>
      <c r="V5136" s="267" t="s">
        <v>944</v>
      </c>
    </row>
    <row r="5137" spans="1:22" hidden="1" x14ac:dyDescent="0.25">
      <c r="A5137" s="269">
        <v>43714</v>
      </c>
      <c r="B5137" s="270">
        <v>2019</v>
      </c>
      <c r="C5137" s="270">
        <v>2020</v>
      </c>
      <c r="D5137" s="270">
        <v>1</v>
      </c>
      <c r="E5137" s="270">
        <v>1</v>
      </c>
      <c r="F5137" s="270" t="s">
        <v>944</v>
      </c>
      <c r="G5137" s="270" t="s">
        <v>3926</v>
      </c>
      <c r="H5137" s="270" t="s">
        <v>9787</v>
      </c>
      <c r="I5137" s="270" t="s">
        <v>4288</v>
      </c>
      <c r="J5137" s="270" t="s">
        <v>3928</v>
      </c>
      <c r="K5137" s="270">
        <v>6883</v>
      </c>
      <c r="L5137" s="270">
        <v>55200</v>
      </c>
      <c r="M5137" s="270" t="s">
        <v>3943</v>
      </c>
      <c r="N5137" s="270" t="s">
        <v>3944</v>
      </c>
      <c r="O5137" s="270">
        <v>4928</v>
      </c>
      <c r="P5137" s="270" t="s">
        <v>3944</v>
      </c>
      <c r="Q5137" s="270" t="s">
        <v>3944</v>
      </c>
      <c r="R5137" s="270">
        <v>4928</v>
      </c>
      <c r="S5137" s="270">
        <v>32435</v>
      </c>
      <c r="T5137" s="270">
        <v>37363</v>
      </c>
      <c r="U5137" s="271" t="s">
        <v>3945</v>
      </c>
      <c r="V5137" s="267" t="s">
        <v>944</v>
      </c>
    </row>
    <row r="5138" spans="1:22" hidden="1" x14ac:dyDescent="0.25">
      <c r="A5138" s="266">
        <v>43714</v>
      </c>
      <c r="B5138" s="267">
        <v>2019</v>
      </c>
      <c r="C5138" s="267">
        <v>2020</v>
      </c>
      <c r="D5138" s="267">
        <v>1</v>
      </c>
      <c r="E5138" s="267">
        <v>1</v>
      </c>
      <c r="F5138" s="267" t="s">
        <v>944</v>
      </c>
      <c r="G5138" s="267" t="s">
        <v>3997</v>
      </c>
      <c r="H5138" s="267" t="s">
        <v>9788</v>
      </c>
      <c r="I5138" s="267" t="s">
        <v>934</v>
      </c>
      <c r="J5138" s="267" t="s">
        <v>3928</v>
      </c>
      <c r="K5138" s="267">
        <v>6606</v>
      </c>
      <c r="L5138" s="267">
        <v>72800</v>
      </c>
      <c r="M5138" s="267" t="s">
        <v>3940</v>
      </c>
      <c r="N5138" s="267" t="s">
        <v>3944</v>
      </c>
      <c r="O5138" s="267">
        <v>1251.01</v>
      </c>
      <c r="P5138" s="267" t="s">
        <v>3944</v>
      </c>
      <c r="Q5138" s="267" t="s">
        <v>3944</v>
      </c>
      <c r="R5138" s="267">
        <v>1251.01</v>
      </c>
      <c r="S5138" s="267">
        <v>16739.07</v>
      </c>
      <c r="T5138" s="267">
        <v>17990.080000000002</v>
      </c>
      <c r="U5138" s="268" t="s">
        <v>3945</v>
      </c>
      <c r="V5138" s="267" t="s">
        <v>944</v>
      </c>
    </row>
    <row r="5139" spans="1:22" hidden="1" x14ac:dyDescent="0.25">
      <c r="A5139" s="269">
        <v>43714</v>
      </c>
      <c r="B5139" s="270">
        <v>2019</v>
      </c>
      <c r="C5139" s="270">
        <v>2020</v>
      </c>
      <c r="D5139" s="270">
        <v>1</v>
      </c>
      <c r="E5139" s="270">
        <v>1</v>
      </c>
      <c r="F5139" s="270" t="s">
        <v>944</v>
      </c>
      <c r="G5139" s="270" t="s">
        <v>3926</v>
      </c>
      <c r="H5139" s="270" t="s">
        <v>9789</v>
      </c>
      <c r="I5139" s="270" t="s">
        <v>4250</v>
      </c>
      <c r="J5139" s="270" t="s">
        <v>3928</v>
      </c>
      <c r="K5139" s="270">
        <v>6239</v>
      </c>
      <c r="L5139" s="270">
        <v>904100</v>
      </c>
      <c r="M5139" s="270" t="s">
        <v>3935</v>
      </c>
      <c r="N5139" s="270" t="s">
        <v>3944</v>
      </c>
      <c r="O5139" s="270">
        <v>1958</v>
      </c>
      <c r="P5139" s="270" t="s">
        <v>3944</v>
      </c>
      <c r="Q5139" s="270" t="s">
        <v>3944</v>
      </c>
      <c r="R5139" s="270">
        <v>1958</v>
      </c>
      <c r="S5139" s="270">
        <v>35857</v>
      </c>
      <c r="T5139" s="270">
        <v>37815</v>
      </c>
      <c r="U5139" s="271" t="s">
        <v>3945</v>
      </c>
      <c r="V5139" s="267" t="s">
        <v>944</v>
      </c>
    </row>
    <row r="5140" spans="1:22" hidden="1" x14ac:dyDescent="0.25">
      <c r="A5140" s="266">
        <v>43714</v>
      </c>
      <c r="B5140" s="267">
        <v>2019</v>
      </c>
      <c r="C5140" s="267">
        <v>2020</v>
      </c>
      <c r="D5140" s="267">
        <v>1</v>
      </c>
      <c r="E5140" s="267">
        <v>1</v>
      </c>
      <c r="F5140" s="267" t="s">
        <v>944</v>
      </c>
      <c r="G5140" s="267" t="s">
        <v>3997</v>
      </c>
      <c r="H5140" s="267" t="s">
        <v>9790</v>
      </c>
      <c r="I5140" s="267" t="s">
        <v>4069</v>
      </c>
      <c r="J5140" s="267" t="s">
        <v>3928</v>
      </c>
      <c r="K5140" s="267">
        <v>6902</v>
      </c>
      <c r="L5140" s="267">
        <v>22100</v>
      </c>
      <c r="M5140" s="267" t="s">
        <v>3940</v>
      </c>
      <c r="N5140" s="267" t="s">
        <v>3944</v>
      </c>
      <c r="O5140" s="267">
        <v>1808.07</v>
      </c>
      <c r="P5140" s="267" t="s">
        <v>3944</v>
      </c>
      <c r="Q5140" s="267" t="s">
        <v>3944</v>
      </c>
      <c r="R5140" s="267">
        <v>1808.07</v>
      </c>
      <c r="S5140" s="267">
        <v>26317.98</v>
      </c>
      <c r="T5140" s="267">
        <v>28126.05</v>
      </c>
      <c r="U5140" s="268" t="s">
        <v>3945</v>
      </c>
      <c r="V5140" s="267" t="s">
        <v>944</v>
      </c>
    </row>
    <row r="5141" spans="1:22" hidden="1" x14ac:dyDescent="0.25">
      <c r="A5141" s="269">
        <v>43714</v>
      </c>
      <c r="B5141" s="270">
        <v>2019</v>
      </c>
      <c r="C5141" s="270">
        <v>2020</v>
      </c>
      <c r="D5141" s="270">
        <v>1</v>
      </c>
      <c r="E5141" s="270">
        <v>1</v>
      </c>
      <c r="F5141" s="270" t="s">
        <v>944</v>
      </c>
      <c r="G5141" s="270" t="s">
        <v>3926</v>
      </c>
      <c r="H5141" s="270" t="s">
        <v>9791</v>
      </c>
      <c r="I5141" s="270" t="s">
        <v>4029</v>
      </c>
      <c r="J5141" s="270" t="s">
        <v>3928</v>
      </c>
      <c r="K5141" s="270">
        <v>6851</v>
      </c>
      <c r="L5141" s="270">
        <v>42800</v>
      </c>
      <c r="M5141" s="270" t="s">
        <v>3960</v>
      </c>
      <c r="N5141" s="270" t="s">
        <v>3944</v>
      </c>
      <c r="O5141" s="270">
        <v>1865.54</v>
      </c>
      <c r="P5141" s="270" t="s">
        <v>3944</v>
      </c>
      <c r="Q5141" s="270" t="s">
        <v>3944</v>
      </c>
      <c r="R5141" s="270">
        <v>1865.54</v>
      </c>
      <c r="S5141" s="270">
        <v>28385.97</v>
      </c>
      <c r="T5141" s="270">
        <v>30251.51</v>
      </c>
      <c r="U5141" s="271" t="s">
        <v>3945</v>
      </c>
      <c r="V5141" s="267" t="s">
        <v>944</v>
      </c>
    </row>
    <row r="5142" spans="1:22" hidden="1" x14ac:dyDescent="0.25">
      <c r="A5142" s="266">
        <v>43714</v>
      </c>
      <c r="B5142" s="267">
        <v>2019</v>
      </c>
      <c r="C5142" s="267">
        <v>2020</v>
      </c>
      <c r="D5142" s="267">
        <v>1</v>
      </c>
      <c r="E5142" s="267">
        <v>1</v>
      </c>
      <c r="F5142" s="267" t="s">
        <v>944</v>
      </c>
      <c r="G5142" s="267" t="s">
        <v>3926</v>
      </c>
      <c r="H5142" s="267" t="s">
        <v>9792</v>
      </c>
      <c r="I5142" s="267" t="s">
        <v>2985</v>
      </c>
      <c r="J5142" s="267" t="s">
        <v>3928</v>
      </c>
      <c r="K5142" s="267">
        <v>6825</v>
      </c>
      <c r="L5142" s="267">
        <v>61400</v>
      </c>
      <c r="M5142" s="267" t="s">
        <v>3960</v>
      </c>
      <c r="N5142" s="267" t="s">
        <v>3944</v>
      </c>
      <c r="O5142" s="267">
        <v>1737.58</v>
      </c>
      <c r="P5142" s="267" t="s">
        <v>3944</v>
      </c>
      <c r="Q5142" s="267" t="s">
        <v>3944</v>
      </c>
      <c r="R5142" s="267">
        <v>1737.58</v>
      </c>
      <c r="S5142" s="267">
        <v>19635.419999999998</v>
      </c>
      <c r="T5142" s="267">
        <v>21373</v>
      </c>
      <c r="U5142" s="268" t="s">
        <v>3945</v>
      </c>
      <c r="V5142" s="267" t="s">
        <v>944</v>
      </c>
    </row>
    <row r="5143" spans="1:22" hidden="1" x14ac:dyDescent="0.25">
      <c r="A5143" s="269">
        <v>43714</v>
      </c>
      <c r="B5143" s="270">
        <v>2019</v>
      </c>
      <c r="C5143" s="270">
        <v>2020</v>
      </c>
      <c r="D5143" s="270">
        <v>1</v>
      </c>
      <c r="E5143" s="270">
        <v>1</v>
      </c>
      <c r="F5143" s="270" t="s">
        <v>944</v>
      </c>
      <c r="G5143" s="270" t="s">
        <v>3926</v>
      </c>
      <c r="H5143" s="270" t="s">
        <v>9793</v>
      </c>
      <c r="I5143" s="270" t="s">
        <v>4172</v>
      </c>
      <c r="J5143" s="270" t="s">
        <v>3928</v>
      </c>
      <c r="K5143" s="270">
        <v>6782</v>
      </c>
      <c r="L5143" s="270">
        <v>425400</v>
      </c>
      <c r="M5143" s="270" t="s">
        <v>3935</v>
      </c>
      <c r="N5143" s="270" t="s">
        <v>3944</v>
      </c>
      <c r="O5143" s="270">
        <v>1261.58</v>
      </c>
      <c r="P5143" s="270" t="s">
        <v>3944</v>
      </c>
      <c r="Q5143" s="270" t="s">
        <v>3944</v>
      </c>
      <c r="R5143" s="270">
        <v>1261.58</v>
      </c>
      <c r="S5143" s="270">
        <v>17458.22</v>
      </c>
      <c r="T5143" s="270">
        <v>18719.8</v>
      </c>
      <c r="U5143" s="271" t="s">
        <v>3945</v>
      </c>
      <c r="V5143" s="267" t="s">
        <v>944</v>
      </c>
    </row>
    <row r="5144" spans="1:22" hidden="1" x14ac:dyDescent="0.25">
      <c r="A5144" s="266">
        <v>43714</v>
      </c>
      <c r="B5144" s="267">
        <v>2019</v>
      </c>
      <c r="C5144" s="267">
        <v>2020</v>
      </c>
      <c r="D5144" s="267">
        <v>1</v>
      </c>
      <c r="E5144" s="267">
        <v>1</v>
      </c>
      <c r="F5144" s="267" t="s">
        <v>944</v>
      </c>
      <c r="G5144" s="267" t="s">
        <v>3926</v>
      </c>
      <c r="H5144" s="267" t="s">
        <v>9794</v>
      </c>
      <c r="I5144" s="267" t="s">
        <v>3996</v>
      </c>
      <c r="J5144" s="267" t="s">
        <v>3928</v>
      </c>
      <c r="K5144" s="267">
        <v>6790</v>
      </c>
      <c r="L5144" s="267">
        <v>310601</v>
      </c>
      <c r="M5144" s="267" t="s">
        <v>3960</v>
      </c>
      <c r="N5144" s="267" t="s">
        <v>3944</v>
      </c>
      <c r="O5144" s="267">
        <v>2051.56</v>
      </c>
      <c r="P5144" s="267" t="s">
        <v>3944</v>
      </c>
      <c r="Q5144" s="267" t="s">
        <v>3944</v>
      </c>
      <c r="R5144" s="267">
        <v>2051.56</v>
      </c>
      <c r="S5144" s="267">
        <v>25644.23</v>
      </c>
      <c r="T5144" s="267">
        <v>27695.79</v>
      </c>
      <c r="U5144" s="268" t="s">
        <v>3945</v>
      </c>
      <c r="V5144" s="267" t="s">
        <v>944</v>
      </c>
    </row>
    <row r="5145" spans="1:22" hidden="1" x14ac:dyDescent="0.25">
      <c r="A5145" s="269">
        <v>43714</v>
      </c>
      <c r="B5145" s="270">
        <v>2019</v>
      </c>
      <c r="C5145" s="270">
        <v>2020</v>
      </c>
      <c r="D5145" s="270">
        <v>1</v>
      </c>
      <c r="E5145" s="270">
        <v>1</v>
      </c>
      <c r="F5145" s="270" t="s">
        <v>944</v>
      </c>
      <c r="G5145" s="270" t="s">
        <v>3926</v>
      </c>
      <c r="H5145" s="270" t="s">
        <v>9795</v>
      </c>
      <c r="I5145" s="270" t="s">
        <v>4293</v>
      </c>
      <c r="J5145" s="270" t="s">
        <v>3928</v>
      </c>
      <c r="K5145" s="270">
        <v>6412</v>
      </c>
      <c r="L5145" s="270">
        <v>600100</v>
      </c>
      <c r="M5145" s="270" t="s">
        <v>3960</v>
      </c>
      <c r="N5145" s="270" t="s">
        <v>3944</v>
      </c>
      <c r="O5145" s="270">
        <v>2801.51</v>
      </c>
      <c r="P5145" s="270" t="s">
        <v>3944</v>
      </c>
      <c r="Q5145" s="270" t="s">
        <v>3944</v>
      </c>
      <c r="R5145" s="270">
        <v>2801.51</v>
      </c>
      <c r="S5145" s="270">
        <v>45597.97</v>
      </c>
      <c r="T5145" s="270">
        <v>48399.48</v>
      </c>
      <c r="U5145" s="271" t="s">
        <v>3945</v>
      </c>
      <c r="V5145" s="267" t="s">
        <v>944</v>
      </c>
    </row>
    <row r="5146" spans="1:22" hidden="1" x14ac:dyDescent="0.25">
      <c r="A5146" s="266">
        <v>43714</v>
      </c>
      <c r="B5146" s="267">
        <v>2019</v>
      </c>
      <c r="C5146" s="267">
        <v>2020</v>
      </c>
      <c r="D5146" s="267">
        <v>1</v>
      </c>
      <c r="E5146" s="267">
        <v>1</v>
      </c>
      <c r="F5146" s="267" t="s">
        <v>944</v>
      </c>
      <c r="G5146" s="267" t="s">
        <v>3926</v>
      </c>
      <c r="H5146" s="267" t="s">
        <v>9796</v>
      </c>
      <c r="I5146" s="267" t="s">
        <v>3939</v>
      </c>
      <c r="J5146" s="267" t="s">
        <v>3928</v>
      </c>
      <c r="K5146" s="267">
        <v>6512</v>
      </c>
      <c r="L5146" s="267">
        <v>180601</v>
      </c>
      <c r="M5146" s="267" t="s">
        <v>3940</v>
      </c>
      <c r="N5146" s="267" t="s">
        <v>3944</v>
      </c>
      <c r="O5146" s="267">
        <v>1999.52</v>
      </c>
      <c r="P5146" s="267" t="s">
        <v>3944</v>
      </c>
      <c r="Q5146" s="267" t="s">
        <v>3944</v>
      </c>
      <c r="R5146" s="267">
        <v>1999.52</v>
      </c>
      <c r="S5146" s="267">
        <v>22511.43</v>
      </c>
      <c r="T5146" s="267">
        <v>24510.95</v>
      </c>
      <c r="U5146" s="268" t="s">
        <v>3945</v>
      </c>
      <c r="V5146" s="267" t="s">
        <v>944</v>
      </c>
    </row>
    <row r="5147" spans="1:22" hidden="1" x14ac:dyDescent="0.25">
      <c r="A5147" s="269">
        <v>43714</v>
      </c>
      <c r="B5147" s="270">
        <v>2019</v>
      </c>
      <c r="C5147" s="270">
        <v>2020</v>
      </c>
      <c r="D5147" s="270">
        <v>1</v>
      </c>
      <c r="E5147" s="270">
        <v>1</v>
      </c>
      <c r="F5147" s="270" t="s">
        <v>944</v>
      </c>
      <c r="G5147" s="270" t="s">
        <v>3926</v>
      </c>
      <c r="H5147" s="270" t="s">
        <v>9797</v>
      </c>
      <c r="I5147" s="270" t="s">
        <v>3009</v>
      </c>
      <c r="J5147" s="270" t="s">
        <v>3928</v>
      </c>
      <c r="K5147" s="270">
        <v>6484</v>
      </c>
      <c r="L5147" s="270">
        <v>110500</v>
      </c>
      <c r="M5147" s="270" t="s">
        <v>3943</v>
      </c>
      <c r="N5147" s="270" t="s">
        <v>3944</v>
      </c>
      <c r="O5147" s="270">
        <v>1838.76</v>
      </c>
      <c r="P5147" s="270" t="s">
        <v>3944</v>
      </c>
      <c r="Q5147" s="270" t="s">
        <v>3944</v>
      </c>
      <c r="R5147" s="270">
        <v>1838.76</v>
      </c>
      <c r="S5147" s="270">
        <v>21111.43</v>
      </c>
      <c r="T5147" s="270">
        <v>22950.19</v>
      </c>
      <c r="U5147" s="271" t="s">
        <v>3945</v>
      </c>
      <c r="V5147" s="267" t="s">
        <v>944</v>
      </c>
    </row>
    <row r="5148" spans="1:22" hidden="1" x14ac:dyDescent="0.25">
      <c r="A5148" s="266">
        <v>43714</v>
      </c>
      <c r="B5148" s="267">
        <v>2019</v>
      </c>
      <c r="C5148" s="267">
        <v>2020</v>
      </c>
      <c r="D5148" s="267">
        <v>1</v>
      </c>
      <c r="E5148" s="267">
        <v>1</v>
      </c>
      <c r="F5148" s="267" t="s">
        <v>944</v>
      </c>
      <c r="G5148" s="267" t="s">
        <v>3926</v>
      </c>
      <c r="H5148" s="267" t="s">
        <v>9798</v>
      </c>
      <c r="I5148" s="267" t="s">
        <v>3009</v>
      </c>
      <c r="J5148" s="267" t="s">
        <v>3928</v>
      </c>
      <c r="K5148" s="267">
        <v>6484</v>
      </c>
      <c r="L5148" s="267">
        <v>110600</v>
      </c>
      <c r="M5148" s="267" t="s">
        <v>3943</v>
      </c>
      <c r="N5148" s="267" t="s">
        <v>3944</v>
      </c>
      <c r="O5148" s="267">
        <v>3384.5</v>
      </c>
      <c r="P5148" s="267" t="s">
        <v>3944</v>
      </c>
      <c r="Q5148" s="267" t="s">
        <v>3944</v>
      </c>
      <c r="R5148" s="267">
        <v>3384.5</v>
      </c>
      <c r="S5148" s="267">
        <v>52376.83</v>
      </c>
      <c r="T5148" s="267">
        <v>55761.33</v>
      </c>
      <c r="U5148" s="268" t="s">
        <v>3945</v>
      </c>
      <c r="V5148" s="267" t="s">
        <v>944</v>
      </c>
    </row>
    <row r="5149" spans="1:22" hidden="1" x14ac:dyDescent="0.25">
      <c r="A5149" s="269">
        <v>43714</v>
      </c>
      <c r="B5149" s="270">
        <v>2019</v>
      </c>
      <c r="C5149" s="270">
        <v>2020</v>
      </c>
      <c r="D5149" s="270">
        <v>1</v>
      </c>
      <c r="E5149" s="270">
        <v>1</v>
      </c>
      <c r="F5149" s="270" t="s">
        <v>944</v>
      </c>
      <c r="G5149" s="270" t="s">
        <v>3926</v>
      </c>
      <c r="H5149" s="270" t="s">
        <v>9799</v>
      </c>
      <c r="I5149" s="270" t="s">
        <v>3008</v>
      </c>
      <c r="J5149" s="270" t="s">
        <v>3928</v>
      </c>
      <c r="K5149" s="270">
        <v>6461</v>
      </c>
      <c r="L5149" s="270">
        <v>150800</v>
      </c>
      <c r="M5149" s="270" t="s">
        <v>3960</v>
      </c>
      <c r="N5149" s="270" t="s">
        <v>3944</v>
      </c>
      <c r="O5149" s="270">
        <v>1530.59</v>
      </c>
      <c r="P5149" s="270" t="s">
        <v>3944</v>
      </c>
      <c r="Q5149" s="270" t="s">
        <v>3944</v>
      </c>
      <c r="R5149" s="270">
        <v>1530.59</v>
      </c>
      <c r="S5149" s="270">
        <v>21750.69</v>
      </c>
      <c r="T5149" s="270">
        <v>23281.279999999999</v>
      </c>
      <c r="U5149" s="271" t="s">
        <v>3945</v>
      </c>
      <c r="V5149" s="267" t="s">
        <v>944</v>
      </c>
    </row>
    <row r="5150" spans="1:22" hidden="1" x14ac:dyDescent="0.25">
      <c r="A5150" s="266">
        <v>43714</v>
      </c>
      <c r="B5150" s="267">
        <v>2019</v>
      </c>
      <c r="C5150" s="267">
        <v>2020</v>
      </c>
      <c r="D5150" s="267">
        <v>1</v>
      </c>
      <c r="E5150" s="267">
        <v>1</v>
      </c>
      <c r="F5150" s="267" t="s">
        <v>944</v>
      </c>
      <c r="G5150" s="267" t="s">
        <v>3926</v>
      </c>
      <c r="H5150" s="267" t="s">
        <v>9800</v>
      </c>
      <c r="I5150" s="267" t="s">
        <v>4200</v>
      </c>
      <c r="J5150" s="267" t="s">
        <v>3928</v>
      </c>
      <c r="K5150" s="267">
        <v>6795</v>
      </c>
      <c r="L5150" s="267">
        <v>360200</v>
      </c>
      <c r="M5150" s="267" t="s">
        <v>3943</v>
      </c>
      <c r="N5150" s="267" t="s">
        <v>3944</v>
      </c>
      <c r="O5150" s="267">
        <v>2326.35</v>
      </c>
      <c r="P5150" s="267" t="s">
        <v>3944</v>
      </c>
      <c r="Q5150" s="267" t="s">
        <v>3944</v>
      </c>
      <c r="R5150" s="267">
        <v>2326.35</v>
      </c>
      <c r="S5150" s="267">
        <v>28468.400000000001</v>
      </c>
      <c r="T5150" s="267">
        <v>30794.75</v>
      </c>
      <c r="U5150" s="268" t="s">
        <v>3945</v>
      </c>
      <c r="V5150" s="267" t="s">
        <v>944</v>
      </c>
    </row>
    <row r="5151" spans="1:22" hidden="1" x14ac:dyDescent="0.25">
      <c r="A5151" s="269">
        <v>43714</v>
      </c>
      <c r="B5151" s="270">
        <v>2019</v>
      </c>
      <c r="C5151" s="270">
        <v>2020</v>
      </c>
      <c r="D5151" s="270">
        <v>1</v>
      </c>
      <c r="E5151" s="270">
        <v>1</v>
      </c>
      <c r="F5151" s="270" t="s">
        <v>944</v>
      </c>
      <c r="G5151" s="270" t="s">
        <v>3926</v>
      </c>
      <c r="H5151" s="270" t="s">
        <v>9801</v>
      </c>
      <c r="I5151" s="270" t="s">
        <v>4014</v>
      </c>
      <c r="J5151" s="270" t="s">
        <v>3928</v>
      </c>
      <c r="K5151" s="270">
        <v>6420</v>
      </c>
      <c r="L5151" s="270">
        <v>715100</v>
      </c>
      <c r="M5151" s="270" t="s">
        <v>3943</v>
      </c>
      <c r="N5151" s="270" t="s">
        <v>3944</v>
      </c>
      <c r="O5151" s="270">
        <v>3495.87</v>
      </c>
      <c r="P5151" s="270" t="s">
        <v>3944</v>
      </c>
      <c r="Q5151" s="270" t="s">
        <v>3944</v>
      </c>
      <c r="R5151" s="270">
        <v>3495.87</v>
      </c>
      <c r="S5151" s="270">
        <v>50481.41</v>
      </c>
      <c r="T5151" s="270">
        <v>53977.279999999999</v>
      </c>
      <c r="U5151" s="271" t="s">
        <v>3945</v>
      </c>
      <c r="V5151" s="267" t="s">
        <v>944</v>
      </c>
    </row>
    <row r="5152" spans="1:22" hidden="1" x14ac:dyDescent="0.25">
      <c r="A5152" s="266">
        <v>43714</v>
      </c>
      <c r="B5152" s="267">
        <v>2019</v>
      </c>
      <c r="C5152" s="267">
        <v>2020</v>
      </c>
      <c r="D5152" s="267">
        <v>1</v>
      </c>
      <c r="E5152" s="267">
        <v>1</v>
      </c>
      <c r="F5152" s="267" t="s">
        <v>944</v>
      </c>
      <c r="G5152" s="267" t="s">
        <v>3926</v>
      </c>
      <c r="H5152" s="267" t="s">
        <v>9802</v>
      </c>
      <c r="I5152" s="267" t="s">
        <v>4014</v>
      </c>
      <c r="J5152" s="267" t="s">
        <v>3928</v>
      </c>
      <c r="K5152" s="267">
        <v>6420</v>
      </c>
      <c r="L5152" s="267">
        <v>715100</v>
      </c>
      <c r="M5152" s="267" t="s">
        <v>3943</v>
      </c>
      <c r="N5152" s="267" t="s">
        <v>3944</v>
      </c>
      <c r="O5152" s="267">
        <v>2456.83</v>
      </c>
      <c r="P5152" s="267" t="s">
        <v>3944</v>
      </c>
      <c r="Q5152" s="267" t="s">
        <v>3944</v>
      </c>
      <c r="R5152" s="267">
        <v>2456.83</v>
      </c>
      <c r="S5152" s="267">
        <v>35240.410000000003</v>
      </c>
      <c r="T5152" s="267">
        <v>37697.24</v>
      </c>
      <c r="U5152" s="268" t="s">
        <v>3945</v>
      </c>
      <c r="V5152" s="267" t="s">
        <v>944</v>
      </c>
    </row>
    <row r="5153" spans="1:22" hidden="1" x14ac:dyDescent="0.25">
      <c r="A5153" s="269">
        <v>43714</v>
      </c>
      <c r="B5153" s="270">
        <v>2019</v>
      </c>
      <c r="C5153" s="270">
        <v>2020</v>
      </c>
      <c r="D5153" s="270">
        <v>1</v>
      </c>
      <c r="E5153" s="270">
        <v>1</v>
      </c>
      <c r="F5153" s="270" t="s">
        <v>944</v>
      </c>
      <c r="G5153" s="270" t="s">
        <v>3926</v>
      </c>
      <c r="H5153" s="270" t="s">
        <v>9803</v>
      </c>
      <c r="I5153" s="270" t="s">
        <v>4147</v>
      </c>
      <c r="J5153" s="270" t="s">
        <v>3928</v>
      </c>
      <c r="K5153" s="270">
        <v>6109</v>
      </c>
      <c r="L5153" s="270">
        <v>492500</v>
      </c>
      <c r="M5153" s="270" t="s">
        <v>3960</v>
      </c>
      <c r="N5153" s="270" t="s">
        <v>3944</v>
      </c>
      <c r="O5153" s="270">
        <v>2518.4299999999998</v>
      </c>
      <c r="P5153" s="270" t="s">
        <v>3944</v>
      </c>
      <c r="Q5153" s="270" t="s">
        <v>3944</v>
      </c>
      <c r="R5153" s="270">
        <v>2518.4299999999998</v>
      </c>
      <c r="S5153" s="270">
        <v>34486.28</v>
      </c>
      <c r="T5153" s="270">
        <v>37004.71</v>
      </c>
      <c r="U5153" s="271" t="s">
        <v>3945</v>
      </c>
      <c r="V5153" s="267" t="s">
        <v>944</v>
      </c>
    </row>
    <row r="5154" spans="1:22" hidden="1" x14ac:dyDescent="0.25">
      <c r="A5154" s="266">
        <v>43714</v>
      </c>
      <c r="B5154" s="267">
        <v>2019</v>
      </c>
      <c r="C5154" s="267">
        <v>2020</v>
      </c>
      <c r="D5154" s="267">
        <v>1</v>
      </c>
      <c r="E5154" s="267">
        <v>1</v>
      </c>
      <c r="F5154" s="267" t="s">
        <v>944</v>
      </c>
      <c r="G5154" s="267" t="s">
        <v>3926</v>
      </c>
      <c r="H5154" s="267" t="s">
        <v>9804</v>
      </c>
      <c r="I5154" s="267" t="s">
        <v>953</v>
      </c>
      <c r="J5154" s="267" t="s">
        <v>3928</v>
      </c>
      <c r="K5154" s="267">
        <v>6518</v>
      </c>
      <c r="L5154" s="267">
        <v>165900</v>
      </c>
      <c r="M5154" s="267" t="s">
        <v>3943</v>
      </c>
      <c r="N5154" s="267" t="s">
        <v>3944</v>
      </c>
      <c r="O5154" s="267">
        <v>2144.4899999999998</v>
      </c>
      <c r="P5154" s="267" t="s">
        <v>3944</v>
      </c>
      <c r="Q5154" s="267" t="s">
        <v>3944</v>
      </c>
      <c r="R5154" s="267">
        <v>2144.4899999999998</v>
      </c>
      <c r="S5154" s="267">
        <v>30657.7</v>
      </c>
      <c r="T5154" s="267">
        <v>32802.19</v>
      </c>
      <c r="U5154" s="268" t="s">
        <v>3945</v>
      </c>
      <c r="V5154" s="267" t="s">
        <v>944</v>
      </c>
    </row>
    <row r="5155" spans="1:22" hidden="1" x14ac:dyDescent="0.25">
      <c r="A5155" s="269">
        <v>43714</v>
      </c>
      <c r="B5155" s="270">
        <v>2019</v>
      </c>
      <c r="C5155" s="270">
        <v>2020</v>
      </c>
      <c r="D5155" s="270">
        <v>1</v>
      </c>
      <c r="E5155" s="270">
        <v>1</v>
      </c>
      <c r="F5155" s="270" t="s">
        <v>944</v>
      </c>
      <c r="G5155" s="270" t="s">
        <v>3926</v>
      </c>
      <c r="H5155" s="270" t="s">
        <v>9805</v>
      </c>
      <c r="I5155" s="270" t="s">
        <v>934</v>
      </c>
      <c r="J5155" s="270" t="s">
        <v>3928</v>
      </c>
      <c r="K5155" s="270">
        <v>6606</v>
      </c>
      <c r="L5155" s="270">
        <v>72900</v>
      </c>
      <c r="M5155" s="270" t="s">
        <v>3940</v>
      </c>
      <c r="N5155" s="270" t="s">
        <v>3944</v>
      </c>
      <c r="O5155" s="270">
        <v>1434.16</v>
      </c>
      <c r="P5155" s="270" t="s">
        <v>3944</v>
      </c>
      <c r="Q5155" s="270" t="s">
        <v>3944</v>
      </c>
      <c r="R5155" s="270">
        <v>1434.16</v>
      </c>
      <c r="S5155" s="270">
        <v>20286.57</v>
      </c>
      <c r="T5155" s="270">
        <v>21720.73</v>
      </c>
      <c r="U5155" s="271" t="s">
        <v>3945</v>
      </c>
      <c r="V5155" s="267" t="s">
        <v>944</v>
      </c>
    </row>
    <row r="5156" spans="1:22" hidden="1" x14ac:dyDescent="0.25">
      <c r="A5156" s="266">
        <v>43714</v>
      </c>
      <c r="B5156" s="267">
        <v>2019</v>
      </c>
      <c r="C5156" s="267">
        <v>2020</v>
      </c>
      <c r="D5156" s="267">
        <v>1</v>
      </c>
      <c r="E5156" s="267">
        <v>1</v>
      </c>
      <c r="F5156" s="267" t="s">
        <v>944</v>
      </c>
      <c r="G5156" s="267" t="s">
        <v>3926</v>
      </c>
      <c r="H5156" s="267" t="s">
        <v>9806</v>
      </c>
      <c r="I5156" s="267" t="s">
        <v>5032</v>
      </c>
      <c r="J5156" s="267" t="s">
        <v>3928</v>
      </c>
      <c r="K5156" s="267">
        <v>6062</v>
      </c>
      <c r="L5156" s="267">
        <v>420500</v>
      </c>
      <c r="M5156" s="267" t="s">
        <v>3940</v>
      </c>
      <c r="N5156" s="267" t="s">
        <v>3944</v>
      </c>
      <c r="O5156" s="267">
        <v>2333</v>
      </c>
      <c r="P5156" s="267" t="s">
        <v>3944</v>
      </c>
      <c r="Q5156" s="267" t="s">
        <v>3944</v>
      </c>
      <c r="R5156" s="267">
        <v>2333</v>
      </c>
      <c r="S5156" s="267">
        <v>33647.160000000003</v>
      </c>
      <c r="T5156" s="267">
        <v>35980.160000000003</v>
      </c>
      <c r="U5156" s="268" t="s">
        <v>3945</v>
      </c>
      <c r="V5156" s="267" t="s">
        <v>944</v>
      </c>
    </row>
    <row r="5157" spans="1:22" hidden="1" x14ac:dyDescent="0.25">
      <c r="A5157" s="269">
        <v>43714</v>
      </c>
      <c r="B5157" s="270">
        <v>2019</v>
      </c>
      <c r="C5157" s="270">
        <v>2020</v>
      </c>
      <c r="D5157" s="270">
        <v>1</v>
      </c>
      <c r="E5157" s="270">
        <v>1</v>
      </c>
      <c r="F5157" s="270" t="s">
        <v>944</v>
      </c>
      <c r="G5157" s="270" t="s">
        <v>3926</v>
      </c>
      <c r="H5157" s="270" t="s">
        <v>9807</v>
      </c>
      <c r="I5157" s="270" t="s">
        <v>4839</v>
      </c>
      <c r="J5157" s="270" t="s">
        <v>3928</v>
      </c>
      <c r="K5157" s="270">
        <v>6524</v>
      </c>
      <c r="L5157" s="270">
        <v>161100</v>
      </c>
      <c r="M5157" s="270" t="s">
        <v>3943</v>
      </c>
      <c r="N5157" s="270" t="s">
        <v>3944</v>
      </c>
      <c r="O5157" s="270">
        <v>1233.79</v>
      </c>
      <c r="P5157" s="270" t="s">
        <v>3944</v>
      </c>
      <c r="Q5157" s="270" t="s">
        <v>3944</v>
      </c>
      <c r="R5157" s="270">
        <v>1233.79</v>
      </c>
      <c r="S5157" s="270">
        <v>15698.05</v>
      </c>
      <c r="T5157" s="270">
        <v>16931.84</v>
      </c>
      <c r="U5157" s="271" t="s">
        <v>3945</v>
      </c>
      <c r="V5157" s="267" t="s">
        <v>944</v>
      </c>
    </row>
    <row r="5158" spans="1:22" hidden="1" x14ac:dyDescent="0.25">
      <c r="A5158" s="266">
        <v>43714</v>
      </c>
      <c r="B5158" s="267">
        <v>2019</v>
      </c>
      <c r="C5158" s="267">
        <v>2020</v>
      </c>
      <c r="D5158" s="267">
        <v>1</v>
      </c>
      <c r="E5158" s="267">
        <v>1</v>
      </c>
      <c r="F5158" s="267" t="s">
        <v>944</v>
      </c>
      <c r="G5158" s="267" t="s">
        <v>3926</v>
      </c>
      <c r="H5158" s="267" t="s">
        <v>9808</v>
      </c>
      <c r="I5158" s="267" t="s">
        <v>2987</v>
      </c>
      <c r="J5158" s="267" t="s">
        <v>3928</v>
      </c>
      <c r="K5158" s="267">
        <v>6611</v>
      </c>
      <c r="L5158" s="267">
        <v>90700</v>
      </c>
      <c r="M5158" s="267" t="s">
        <v>3943</v>
      </c>
      <c r="N5158" s="267" t="s">
        <v>3944</v>
      </c>
      <c r="O5158" s="267">
        <v>2805.85</v>
      </c>
      <c r="P5158" s="267" t="s">
        <v>3944</v>
      </c>
      <c r="Q5158" s="267" t="s">
        <v>3944</v>
      </c>
      <c r="R5158" s="267">
        <v>2805.85</v>
      </c>
      <c r="S5158" s="267">
        <v>42698.47</v>
      </c>
      <c r="T5158" s="267">
        <v>45504.32</v>
      </c>
      <c r="U5158" s="268" t="s">
        <v>3945</v>
      </c>
      <c r="V5158" s="267" t="s">
        <v>944</v>
      </c>
    </row>
    <row r="5159" spans="1:22" hidden="1" x14ac:dyDescent="0.25">
      <c r="A5159" s="269">
        <v>43714</v>
      </c>
      <c r="B5159" s="270">
        <v>2019</v>
      </c>
      <c r="C5159" s="270">
        <v>2020</v>
      </c>
      <c r="D5159" s="270">
        <v>1</v>
      </c>
      <c r="E5159" s="270">
        <v>1</v>
      </c>
      <c r="F5159" s="270" t="s">
        <v>944</v>
      </c>
      <c r="G5159" s="270" t="s">
        <v>3926</v>
      </c>
      <c r="H5159" s="270" t="s">
        <v>9809</v>
      </c>
      <c r="I5159" s="270" t="s">
        <v>6426</v>
      </c>
      <c r="J5159" s="270" t="s">
        <v>3928</v>
      </c>
      <c r="K5159" s="270">
        <v>6422</v>
      </c>
      <c r="L5159" s="270">
        <v>585100</v>
      </c>
      <c r="M5159" s="270" t="s">
        <v>3943</v>
      </c>
      <c r="N5159" s="270" t="s">
        <v>3944</v>
      </c>
      <c r="O5159" s="270">
        <v>1595.09</v>
      </c>
      <c r="P5159" s="270" t="s">
        <v>3944</v>
      </c>
      <c r="Q5159" s="270" t="s">
        <v>3944</v>
      </c>
      <c r="R5159" s="270">
        <v>1595.09</v>
      </c>
      <c r="S5159" s="270">
        <v>24423.91</v>
      </c>
      <c r="T5159" s="270">
        <v>26019</v>
      </c>
      <c r="U5159" s="271" t="s">
        <v>3945</v>
      </c>
      <c r="V5159" s="267" t="s">
        <v>944</v>
      </c>
    </row>
    <row r="5160" spans="1:22" hidden="1" x14ac:dyDescent="0.25">
      <c r="A5160" s="266">
        <v>43714</v>
      </c>
      <c r="B5160" s="267">
        <v>2019</v>
      </c>
      <c r="C5160" s="267">
        <v>2020</v>
      </c>
      <c r="D5160" s="267">
        <v>1</v>
      </c>
      <c r="E5160" s="267">
        <v>1</v>
      </c>
      <c r="F5160" s="267" t="s">
        <v>944</v>
      </c>
      <c r="G5160" s="267" t="s">
        <v>3926</v>
      </c>
      <c r="H5160" s="267" t="s">
        <v>9810</v>
      </c>
      <c r="I5160" s="267" t="s">
        <v>934</v>
      </c>
      <c r="J5160" s="267" t="s">
        <v>3928</v>
      </c>
      <c r="K5160" s="267">
        <v>6606</v>
      </c>
      <c r="L5160" s="267">
        <v>72400</v>
      </c>
      <c r="M5160" s="267" t="s">
        <v>3940</v>
      </c>
      <c r="N5160" s="267" t="s">
        <v>3944</v>
      </c>
      <c r="O5160" s="267">
        <v>1367.77</v>
      </c>
      <c r="P5160" s="267" t="s">
        <v>3944</v>
      </c>
      <c r="Q5160" s="267" t="s">
        <v>3944</v>
      </c>
      <c r="R5160" s="267">
        <v>1367.77</v>
      </c>
      <c r="S5160" s="267">
        <v>24029.99</v>
      </c>
      <c r="T5160" s="267">
        <v>25397.759999999998</v>
      </c>
      <c r="U5160" s="268" t="s">
        <v>3945</v>
      </c>
      <c r="V5160" s="267" t="s">
        <v>944</v>
      </c>
    </row>
    <row r="5161" spans="1:22" hidden="1" x14ac:dyDescent="0.25">
      <c r="A5161" s="269">
        <v>43714</v>
      </c>
      <c r="B5161" s="270">
        <v>2019</v>
      </c>
      <c r="C5161" s="270">
        <v>2020</v>
      </c>
      <c r="D5161" s="270">
        <v>1</v>
      </c>
      <c r="E5161" s="270">
        <v>1</v>
      </c>
      <c r="F5161" s="270" t="s">
        <v>944</v>
      </c>
      <c r="G5161" s="270" t="s">
        <v>3926</v>
      </c>
      <c r="H5161" s="270" t="s">
        <v>9811</v>
      </c>
      <c r="I5161" s="270" t="s">
        <v>4108</v>
      </c>
      <c r="J5161" s="270" t="s">
        <v>3928</v>
      </c>
      <c r="K5161" s="270">
        <v>6082</v>
      </c>
      <c r="L5161" s="270">
        <v>481300</v>
      </c>
      <c r="M5161" s="270" t="s">
        <v>3960</v>
      </c>
      <c r="N5161" s="270" t="s">
        <v>9812</v>
      </c>
      <c r="O5161" s="270"/>
      <c r="P5161" s="270" t="s">
        <v>3944</v>
      </c>
      <c r="Q5161" s="270" t="s">
        <v>3930</v>
      </c>
      <c r="R5161" s="270">
        <v>0</v>
      </c>
      <c r="S5161" s="270">
        <v>722958.55</v>
      </c>
      <c r="T5161" s="270">
        <v>722958.55</v>
      </c>
      <c r="U5161" s="271" t="s">
        <v>4099</v>
      </c>
      <c r="V5161" s="267" t="s">
        <v>944</v>
      </c>
    </row>
    <row r="5162" spans="1:22" x14ac:dyDescent="0.25">
      <c r="A5162" s="266">
        <v>43714</v>
      </c>
      <c r="B5162" s="267">
        <v>2019</v>
      </c>
      <c r="C5162" s="267">
        <v>2020</v>
      </c>
      <c r="D5162" s="267">
        <v>1</v>
      </c>
      <c r="E5162" s="267">
        <v>1</v>
      </c>
      <c r="F5162" s="267" t="s">
        <v>944</v>
      </c>
      <c r="G5162" s="267" t="s">
        <v>3926</v>
      </c>
      <c r="H5162" s="267" t="s">
        <v>9813</v>
      </c>
      <c r="I5162" s="267" t="s">
        <v>953</v>
      </c>
      <c r="J5162" s="267" t="s">
        <v>3928</v>
      </c>
      <c r="K5162" s="267">
        <v>6517</v>
      </c>
      <c r="L5162" s="267">
        <v>165500</v>
      </c>
      <c r="M5162" s="267">
        <v>-60</v>
      </c>
      <c r="N5162" s="267" t="s">
        <v>9814</v>
      </c>
      <c r="O5162" s="267"/>
      <c r="P5162" s="267" t="s">
        <v>3944</v>
      </c>
      <c r="Q5162" s="267" t="s">
        <v>3930</v>
      </c>
      <c r="R5162" s="267">
        <v>0</v>
      </c>
      <c r="S5162" s="267">
        <v>464561.37</v>
      </c>
      <c r="T5162" s="267">
        <v>464561.37</v>
      </c>
      <c r="U5162" s="268" t="s">
        <v>4099</v>
      </c>
      <c r="V5162" s="276" t="s">
        <v>936</v>
      </c>
    </row>
    <row r="5163" spans="1:22" hidden="1" x14ac:dyDescent="0.25">
      <c r="A5163" s="269">
        <v>43717</v>
      </c>
      <c r="B5163" s="270">
        <v>2019</v>
      </c>
      <c r="C5163" s="270">
        <v>2020</v>
      </c>
      <c r="D5163" s="270">
        <v>1</v>
      </c>
      <c r="E5163" s="270">
        <v>1</v>
      </c>
      <c r="F5163" s="270" t="s">
        <v>944</v>
      </c>
      <c r="G5163" s="270" t="s">
        <v>3926</v>
      </c>
      <c r="H5163" s="270" t="s">
        <v>9815</v>
      </c>
      <c r="I5163" s="270" t="s">
        <v>953</v>
      </c>
      <c r="J5163" s="270" t="s">
        <v>3928</v>
      </c>
      <c r="K5163" s="270">
        <v>6518</v>
      </c>
      <c r="L5163" s="270">
        <v>166001</v>
      </c>
      <c r="M5163" s="270" t="s">
        <v>3935</v>
      </c>
      <c r="N5163" s="270" t="s">
        <v>9816</v>
      </c>
      <c r="O5163" s="270">
        <v>0</v>
      </c>
      <c r="P5163" s="270" t="s">
        <v>3930</v>
      </c>
      <c r="Q5163" s="270" t="s">
        <v>3930</v>
      </c>
      <c r="R5163" s="270">
        <v>0</v>
      </c>
      <c r="S5163" s="270">
        <v>11080</v>
      </c>
      <c r="T5163" s="270">
        <v>11080</v>
      </c>
      <c r="U5163" s="271" t="s">
        <v>3937</v>
      </c>
      <c r="V5163" s="267" t="s">
        <v>944</v>
      </c>
    </row>
    <row r="5164" spans="1:22" hidden="1" x14ac:dyDescent="0.25">
      <c r="A5164" s="266">
        <v>43717</v>
      </c>
      <c r="B5164" s="267">
        <v>2019</v>
      </c>
      <c r="C5164" s="267">
        <v>2020</v>
      </c>
      <c r="D5164" s="267">
        <v>1</v>
      </c>
      <c r="E5164" s="267">
        <v>1</v>
      </c>
      <c r="F5164" s="267" t="s">
        <v>944</v>
      </c>
      <c r="G5164" s="267" t="s">
        <v>3926</v>
      </c>
      <c r="H5164" s="267" t="s">
        <v>9817</v>
      </c>
      <c r="I5164" s="267" t="s">
        <v>3949</v>
      </c>
      <c r="J5164" s="267" t="s">
        <v>3928</v>
      </c>
      <c r="K5164" s="267">
        <v>6437</v>
      </c>
      <c r="L5164" s="267">
        <v>190100</v>
      </c>
      <c r="M5164" s="267" t="s">
        <v>3960</v>
      </c>
      <c r="N5164" s="267" t="s">
        <v>9818</v>
      </c>
      <c r="O5164" s="267">
        <v>0</v>
      </c>
      <c r="P5164" s="267" t="s">
        <v>3930</v>
      </c>
      <c r="Q5164" s="267" t="s">
        <v>3930</v>
      </c>
      <c r="R5164" s="267">
        <v>0</v>
      </c>
      <c r="S5164" s="267">
        <v>13910</v>
      </c>
      <c r="T5164" s="267">
        <v>13910</v>
      </c>
      <c r="U5164" s="268" t="s">
        <v>3937</v>
      </c>
      <c r="V5164" s="267" t="s">
        <v>944</v>
      </c>
    </row>
    <row r="5165" spans="1:22" hidden="1" x14ac:dyDescent="0.25">
      <c r="A5165" s="269">
        <v>43717</v>
      </c>
      <c r="B5165" s="270">
        <v>2019</v>
      </c>
      <c r="C5165" s="270">
        <v>2020</v>
      </c>
      <c r="D5165" s="270">
        <v>1</v>
      </c>
      <c r="E5165" s="270">
        <v>1</v>
      </c>
      <c r="F5165" s="270" t="s">
        <v>944</v>
      </c>
      <c r="G5165" s="270" t="s">
        <v>3926</v>
      </c>
      <c r="H5165" s="270" t="s">
        <v>9819</v>
      </c>
      <c r="I5165" s="270" t="s">
        <v>3025</v>
      </c>
      <c r="J5165" s="270" t="s">
        <v>3928</v>
      </c>
      <c r="K5165" s="270">
        <v>6473</v>
      </c>
      <c r="L5165" s="270">
        <v>167201</v>
      </c>
      <c r="M5165" s="270" t="s">
        <v>3960</v>
      </c>
      <c r="N5165" s="270" t="s">
        <v>9820</v>
      </c>
      <c r="O5165" s="270">
        <v>0</v>
      </c>
      <c r="P5165" s="270" t="s">
        <v>3930</v>
      </c>
      <c r="Q5165" s="270" t="s">
        <v>3930</v>
      </c>
      <c r="R5165" s="270">
        <v>0</v>
      </c>
      <c r="S5165" s="270">
        <v>6346</v>
      </c>
      <c r="T5165" s="270">
        <v>6346</v>
      </c>
      <c r="U5165" s="271" t="s">
        <v>3937</v>
      </c>
      <c r="V5165" s="267" t="s">
        <v>944</v>
      </c>
    </row>
    <row r="5166" spans="1:22" hidden="1" x14ac:dyDescent="0.25">
      <c r="A5166" s="266">
        <v>43717</v>
      </c>
      <c r="B5166" s="267">
        <v>2019</v>
      </c>
      <c r="C5166" s="267">
        <v>2020</v>
      </c>
      <c r="D5166" s="267">
        <v>1</v>
      </c>
      <c r="E5166" s="267">
        <v>1</v>
      </c>
      <c r="F5166" s="267" t="s">
        <v>944</v>
      </c>
      <c r="G5166" s="267" t="s">
        <v>3926</v>
      </c>
      <c r="H5166" s="267" t="s">
        <v>9821</v>
      </c>
      <c r="I5166" s="267" t="s">
        <v>3956</v>
      </c>
      <c r="J5166" s="267" t="s">
        <v>3928</v>
      </c>
      <c r="K5166" s="267">
        <v>6106</v>
      </c>
      <c r="L5166" s="267">
        <v>524700</v>
      </c>
      <c r="M5166" s="267" t="s">
        <v>3935</v>
      </c>
      <c r="N5166" s="267" t="s">
        <v>3983</v>
      </c>
      <c r="O5166" s="267">
        <v>3085.74</v>
      </c>
      <c r="P5166" s="267" t="s">
        <v>3930</v>
      </c>
      <c r="Q5166" s="267" t="s">
        <v>3931</v>
      </c>
      <c r="R5166" s="267">
        <v>8085.74</v>
      </c>
      <c r="S5166" s="267">
        <v>16504</v>
      </c>
      <c r="T5166" s="267">
        <v>24589.74</v>
      </c>
      <c r="U5166" s="268" t="s">
        <v>3932</v>
      </c>
      <c r="V5166" s="267" t="s">
        <v>944</v>
      </c>
    </row>
    <row r="5167" spans="1:22" hidden="1" x14ac:dyDescent="0.25">
      <c r="A5167" s="269">
        <v>43717</v>
      </c>
      <c r="B5167" s="270">
        <v>2019</v>
      </c>
      <c r="C5167" s="270">
        <v>2020</v>
      </c>
      <c r="D5167" s="270">
        <v>1</v>
      </c>
      <c r="E5167" s="270">
        <v>1</v>
      </c>
      <c r="F5167" s="270" t="s">
        <v>944</v>
      </c>
      <c r="G5167" s="270" t="s">
        <v>3926</v>
      </c>
      <c r="H5167" s="270" t="s">
        <v>9822</v>
      </c>
      <c r="I5167" s="270" t="s">
        <v>934</v>
      </c>
      <c r="J5167" s="270" t="s">
        <v>3928</v>
      </c>
      <c r="K5167" s="270">
        <v>6606</v>
      </c>
      <c r="L5167" s="270">
        <v>72500</v>
      </c>
      <c r="M5167" s="270" t="s">
        <v>3940</v>
      </c>
      <c r="N5167" s="270" t="s">
        <v>9823</v>
      </c>
      <c r="O5167" s="270">
        <v>3668.39</v>
      </c>
      <c r="P5167" s="270" t="s">
        <v>3930</v>
      </c>
      <c r="Q5167" s="270" t="s">
        <v>3931</v>
      </c>
      <c r="R5167" s="270">
        <v>8668.39</v>
      </c>
      <c r="S5167" s="270">
        <v>14927</v>
      </c>
      <c r="T5167" s="270">
        <v>23595.39</v>
      </c>
      <c r="U5167" s="271" t="s">
        <v>3932</v>
      </c>
      <c r="V5167" s="267" t="s">
        <v>944</v>
      </c>
    </row>
    <row r="5168" spans="1:22" hidden="1" x14ac:dyDescent="0.25">
      <c r="A5168" s="266">
        <v>43717</v>
      </c>
      <c r="B5168" s="267">
        <v>2019</v>
      </c>
      <c r="C5168" s="267">
        <v>2020</v>
      </c>
      <c r="D5168" s="267">
        <v>1</v>
      </c>
      <c r="E5168" s="267">
        <v>1</v>
      </c>
      <c r="F5168" s="267" t="s">
        <v>944</v>
      </c>
      <c r="G5168" s="267" t="s">
        <v>3926</v>
      </c>
      <c r="H5168" s="267" t="s">
        <v>9824</v>
      </c>
      <c r="I5168" s="267" t="s">
        <v>3008</v>
      </c>
      <c r="J5168" s="267" t="s">
        <v>3928</v>
      </c>
      <c r="K5168" s="267">
        <v>6460</v>
      </c>
      <c r="L5168" s="267">
        <v>150500</v>
      </c>
      <c r="M5168" s="267" t="s">
        <v>3960</v>
      </c>
      <c r="N5168" s="267" t="s">
        <v>3983</v>
      </c>
      <c r="O5168" s="267">
        <v>1212.44</v>
      </c>
      <c r="P5168" s="267" t="s">
        <v>3930</v>
      </c>
      <c r="Q5168" s="267" t="s">
        <v>3931</v>
      </c>
      <c r="R5168" s="267">
        <v>6212.44</v>
      </c>
      <c r="S5168" s="267">
        <v>16504</v>
      </c>
      <c r="T5168" s="267">
        <v>22716.44</v>
      </c>
      <c r="U5168" s="268" t="s">
        <v>3932</v>
      </c>
      <c r="V5168" s="267" t="s">
        <v>944</v>
      </c>
    </row>
    <row r="5169" spans="1:22" hidden="1" x14ac:dyDescent="0.25">
      <c r="A5169" s="269">
        <v>43717</v>
      </c>
      <c r="B5169" s="270">
        <v>2019</v>
      </c>
      <c r="C5169" s="270">
        <v>2020</v>
      </c>
      <c r="D5169" s="270">
        <v>1</v>
      </c>
      <c r="E5169" s="270">
        <v>1</v>
      </c>
      <c r="F5169" s="270" t="s">
        <v>944</v>
      </c>
      <c r="G5169" s="270" t="s">
        <v>3926</v>
      </c>
      <c r="H5169" s="270" t="s">
        <v>9825</v>
      </c>
      <c r="I5169" s="270" t="s">
        <v>3956</v>
      </c>
      <c r="J5169" s="270" t="s">
        <v>3928</v>
      </c>
      <c r="K5169" s="270">
        <v>6105</v>
      </c>
      <c r="L5169" s="270">
        <v>524600</v>
      </c>
      <c r="M5169" s="270">
        <v>-60</v>
      </c>
      <c r="N5169" s="270" t="s">
        <v>6049</v>
      </c>
      <c r="O5169" s="270">
        <v>1117.03</v>
      </c>
      <c r="P5169" s="270" t="s">
        <v>3930</v>
      </c>
      <c r="Q5169" s="270" t="s">
        <v>3931</v>
      </c>
      <c r="R5169" s="270">
        <v>6117.03</v>
      </c>
      <c r="S5169" s="270">
        <v>21334</v>
      </c>
      <c r="T5169" s="270">
        <v>27451.03</v>
      </c>
      <c r="U5169" s="271" t="s">
        <v>3932</v>
      </c>
      <c r="V5169" s="267" t="s">
        <v>944</v>
      </c>
    </row>
    <row r="5170" spans="1:22" hidden="1" x14ac:dyDescent="0.25">
      <c r="A5170" s="266">
        <v>43717</v>
      </c>
      <c r="B5170" s="267">
        <v>2019</v>
      </c>
      <c r="C5170" s="267">
        <v>2020</v>
      </c>
      <c r="D5170" s="267">
        <v>1</v>
      </c>
      <c r="E5170" s="267">
        <v>1</v>
      </c>
      <c r="F5170" s="267" t="s">
        <v>944</v>
      </c>
      <c r="G5170" s="267" t="s">
        <v>3926</v>
      </c>
      <c r="H5170" s="267" t="s">
        <v>9826</v>
      </c>
      <c r="I5170" s="267" t="s">
        <v>3008</v>
      </c>
      <c r="J5170" s="267" t="s">
        <v>3928</v>
      </c>
      <c r="K5170" s="267">
        <v>6461</v>
      </c>
      <c r="L5170" s="267">
        <v>150800</v>
      </c>
      <c r="M5170" s="267" t="s">
        <v>3960</v>
      </c>
      <c r="N5170" s="267" t="s">
        <v>5313</v>
      </c>
      <c r="O5170" s="267">
        <v>0</v>
      </c>
      <c r="P5170" s="267" t="s">
        <v>3930</v>
      </c>
      <c r="Q5170" s="267" t="s">
        <v>3930</v>
      </c>
      <c r="R5170" s="267">
        <v>0</v>
      </c>
      <c r="S5170" s="267">
        <v>40140</v>
      </c>
      <c r="T5170" s="267">
        <v>40140</v>
      </c>
      <c r="U5170" s="268" t="s">
        <v>3937</v>
      </c>
      <c r="V5170" s="267" t="s">
        <v>944</v>
      </c>
    </row>
    <row r="5171" spans="1:22" hidden="1" x14ac:dyDescent="0.25">
      <c r="A5171" s="269">
        <v>43717</v>
      </c>
      <c r="B5171" s="270">
        <v>2019</v>
      </c>
      <c r="C5171" s="270">
        <v>2020</v>
      </c>
      <c r="D5171" s="270">
        <v>1</v>
      </c>
      <c r="E5171" s="270">
        <v>1</v>
      </c>
      <c r="F5171" s="270" t="s">
        <v>944</v>
      </c>
      <c r="G5171" s="270" t="s">
        <v>3926</v>
      </c>
      <c r="H5171" s="270" t="s">
        <v>9827</v>
      </c>
      <c r="I5171" s="270" t="s">
        <v>4073</v>
      </c>
      <c r="J5171" s="270" t="s">
        <v>3928</v>
      </c>
      <c r="K5171" s="270">
        <v>6776</v>
      </c>
      <c r="L5171" s="270">
        <v>253400</v>
      </c>
      <c r="M5171" s="270" t="s">
        <v>3943</v>
      </c>
      <c r="N5171" s="270" t="s">
        <v>3944</v>
      </c>
      <c r="O5171" s="270">
        <v>2432</v>
      </c>
      <c r="P5171" s="270" t="s">
        <v>3944</v>
      </c>
      <c r="Q5171" s="270" t="s">
        <v>3944</v>
      </c>
      <c r="R5171" s="270">
        <v>2432</v>
      </c>
      <c r="S5171" s="270">
        <v>13525.9</v>
      </c>
      <c r="T5171" s="270">
        <v>15957.9</v>
      </c>
      <c r="U5171" s="271" t="s">
        <v>3945</v>
      </c>
      <c r="V5171" s="267" t="s">
        <v>944</v>
      </c>
    </row>
    <row r="5172" spans="1:22" hidden="1" x14ac:dyDescent="0.25">
      <c r="A5172" s="266">
        <v>43717</v>
      </c>
      <c r="B5172" s="267">
        <v>2019</v>
      </c>
      <c r="C5172" s="267">
        <v>2020</v>
      </c>
      <c r="D5172" s="267">
        <v>1</v>
      </c>
      <c r="E5172" s="267">
        <v>1</v>
      </c>
      <c r="F5172" s="267" t="s">
        <v>944</v>
      </c>
      <c r="G5172" s="267" t="s">
        <v>3926</v>
      </c>
      <c r="H5172" s="267" t="s">
        <v>9828</v>
      </c>
      <c r="I5172" s="267" t="s">
        <v>4014</v>
      </c>
      <c r="J5172" s="267" t="s">
        <v>3928</v>
      </c>
      <c r="K5172" s="267">
        <v>6420</v>
      </c>
      <c r="L5172" s="267">
        <v>715100</v>
      </c>
      <c r="M5172" s="267" t="s">
        <v>3943</v>
      </c>
      <c r="N5172" s="267" t="s">
        <v>3944</v>
      </c>
      <c r="O5172" s="267">
        <v>5034</v>
      </c>
      <c r="P5172" s="267" t="s">
        <v>3944</v>
      </c>
      <c r="Q5172" s="267" t="s">
        <v>3944</v>
      </c>
      <c r="R5172" s="267">
        <v>5034</v>
      </c>
      <c r="S5172" s="267">
        <v>62637</v>
      </c>
      <c r="T5172" s="267">
        <v>67671</v>
      </c>
      <c r="U5172" s="268" t="s">
        <v>3945</v>
      </c>
      <c r="V5172" s="267" t="s">
        <v>944</v>
      </c>
    </row>
    <row r="5173" spans="1:22" hidden="1" x14ac:dyDescent="0.25">
      <c r="A5173" s="269">
        <v>43717</v>
      </c>
      <c r="B5173" s="270">
        <v>2019</v>
      </c>
      <c r="C5173" s="270">
        <v>2020</v>
      </c>
      <c r="D5173" s="270">
        <v>1</v>
      </c>
      <c r="E5173" s="270">
        <v>1</v>
      </c>
      <c r="F5173" s="270" t="s">
        <v>944</v>
      </c>
      <c r="G5173" s="270" t="s">
        <v>3997</v>
      </c>
      <c r="H5173" s="270" t="s">
        <v>9829</v>
      </c>
      <c r="I5173" s="270" t="s">
        <v>3025</v>
      </c>
      <c r="J5173" s="270" t="s">
        <v>3928</v>
      </c>
      <c r="K5173" s="270">
        <v>6473</v>
      </c>
      <c r="L5173" s="270">
        <v>167100</v>
      </c>
      <c r="M5173" s="270" t="s">
        <v>3943</v>
      </c>
      <c r="N5173" s="270" t="s">
        <v>3944</v>
      </c>
      <c r="O5173" s="270">
        <v>2509.08</v>
      </c>
      <c r="P5173" s="270" t="s">
        <v>3944</v>
      </c>
      <c r="Q5173" s="270" t="s">
        <v>3944</v>
      </c>
      <c r="R5173" s="270">
        <v>2509.08</v>
      </c>
      <c r="S5173" s="270">
        <v>28179.88</v>
      </c>
      <c r="T5173" s="270">
        <v>30688.959999999999</v>
      </c>
      <c r="U5173" s="271" t="s">
        <v>3945</v>
      </c>
      <c r="V5173" s="267" t="s">
        <v>944</v>
      </c>
    </row>
    <row r="5174" spans="1:22" hidden="1" x14ac:dyDescent="0.25">
      <c r="A5174" s="266">
        <v>43717</v>
      </c>
      <c r="B5174" s="267">
        <v>2019</v>
      </c>
      <c r="C5174" s="267">
        <v>2020</v>
      </c>
      <c r="D5174" s="267">
        <v>1</v>
      </c>
      <c r="E5174" s="267">
        <v>1</v>
      </c>
      <c r="F5174" s="267" t="s">
        <v>944</v>
      </c>
      <c r="G5174" s="267" t="s">
        <v>3926</v>
      </c>
      <c r="H5174" s="267" t="s">
        <v>9830</v>
      </c>
      <c r="I5174" s="267" t="s">
        <v>956</v>
      </c>
      <c r="J5174" s="267" t="s">
        <v>3928</v>
      </c>
      <c r="K5174" s="267">
        <v>6614</v>
      </c>
      <c r="L5174" s="267">
        <v>81200</v>
      </c>
      <c r="M5174" s="267" t="s">
        <v>3943</v>
      </c>
      <c r="N5174" s="267" t="s">
        <v>3944</v>
      </c>
      <c r="O5174" s="267">
        <v>2078</v>
      </c>
      <c r="P5174" s="267" t="s">
        <v>3944</v>
      </c>
      <c r="Q5174" s="267" t="s">
        <v>3944</v>
      </c>
      <c r="R5174" s="267">
        <v>2078</v>
      </c>
      <c r="S5174" s="267">
        <v>20476</v>
      </c>
      <c r="T5174" s="267">
        <v>22554</v>
      </c>
      <c r="U5174" s="268" t="s">
        <v>3945</v>
      </c>
      <c r="V5174" s="267" t="s">
        <v>944</v>
      </c>
    </row>
    <row r="5175" spans="1:22" hidden="1" x14ac:dyDescent="0.25">
      <c r="A5175" s="269">
        <v>43717</v>
      </c>
      <c r="B5175" s="270">
        <v>2019</v>
      </c>
      <c r="C5175" s="270">
        <v>2020</v>
      </c>
      <c r="D5175" s="270">
        <v>1</v>
      </c>
      <c r="E5175" s="270">
        <v>1</v>
      </c>
      <c r="F5175" s="270" t="s">
        <v>944</v>
      </c>
      <c r="G5175" s="270" t="s">
        <v>3926</v>
      </c>
      <c r="H5175" s="270" t="s">
        <v>9831</v>
      </c>
      <c r="I5175" s="270" t="s">
        <v>5480</v>
      </c>
      <c r="J5175" s="270" t="s">
        <v>3928</v>
      </c>
      <c r="K5175" s="270">
        <v>6783</v>
      </c>
      <c r="L5175" s="270">
        <v>268100</v>
      </c>
      <c r="M5175" s="270" t="s">
        <v>3943</v>
      </c>
      <c r="N5175" s="270" t="s">
        <v>3944</v>
      </c>
      <c r="O5175" s="270">
        <v>2576</v>
      </c>
      <c r="P5175" s="270" t="s">
        <v>3944</v>
      </c>
      <c r="Q5175" s="270" t="s">
        <v>3944</v>
      </c>
      <c r="R5175" s="270">
        <v>2576</v>
      </c>
      <c r="S5175" s="270">
        <v>39581</v>
      </c>
      <c r="T5175" s="270">
        <v>42157</v>
      </c>
      <c r="U5175" s="271" t="s">
        <v>3945</v>
      </c>
      <c r="V5175" s="267" t="s">
        <v>944</v>
      </c>
    </row>
    <row r="5176" spans="1:22" hidden="1" x14ac:dyDescent="0.25">
      <c r="A5176" s="266">
        <v>43717</v>
      </c>
      <c r="B5176" s="267">
        <v>2019</v>
      </c>
      <c r="C5176" s="267">
        <v>2020</v>
      </c>
      <c r="D5176" s="267">
        <v>1</v>
      </c>
      <c r="E5176" s="267">
        <v>1</v>
      </c>
      <c r="F5176" s="267" t="s">
        <v>944</v>
      </c>
      <c r="G5176" s="267" t="s">
        <v>3926</v>
      </c>
      <c r="H5176" s="267" t="s">
        <v>9832</v>
      </c>
      <c r="I5176" s="267" t="s">
        <v>4114</v>
      </c>
      <c r="J5176" s="267" t="s">
        <v>3928</v>
      </c>
      <c r="K5176" s="267">
        <v>6410</v>
      </c>
      <c r="L5176" s="267">
        <v>343300</v>
      </c>
      <c r="M5176" s="267" t="s">
        <v>3943</v>
      </c>
      <c r="N5176" s="267" t="s">
        <v>3944</v>
      </c>
      <c r="O5176" s="267">
        <v>1329.41</v>
      </c>
      <c r="P5176" s="267" t="s">
        <v>3944</v>
      </c>
      <c r="Q5176" s="267" t="s">
        <v>3944</v>
      </c>
      <c r="R5176" s="267">
        <v>1329.41</v>
      </c>
      <c r="S5176" s="267">
        <v>17760.23</v>
      </c>
      <c r="T5176" s="267">
        <v>19089.64</v>
      </c>
      <c r="U5176" s="268" t="s">
        <v>3945</v>
      </c>
      <c r="V5176" s="267" t="s">
        <v>944</v>
      </c>
    </row>
    <row r="5177" spans="1:22" hidden="1" x14ac:dyDescent="0.25">
      <c r="A5177" s="269">
        <v>43717</v>
      </c>
      <c r="B5177" s="270">
        <v>2019</v>
      </c>
      <c r="C5177" s="270">
        <v>2020</v>
      </c>
      <c r="D5177" s="270">
        <v>1</v>
      </c>
      <c r="E5177" s="270">
        <v>1</v>
      </c>
      <c r="F5177" s="270" t="s">
        <v>944</v>
      </c>
      <c r="G5177" s="270" t="s">
        <v>3926</v>
      </c>
      <c r="H5177" s="270" t="s">
        <v>9833</v>
      </c>
      <c r="I5177" s="270" t="s">
        <v>4069</v>
      </c>
      <c r="J5177" s="270" t="s">
        <v>3928</v>
      </c>
      <c r="K5177" s="270">
        <v>6905</v>
      </c>
      <c r="L5177" s="270">
        <v>20600</v>
      </c>
      <c r="M5177" s="270" t="s">
        <v>3943</v>
      </c>
      <c r="N5177" s="270" t="s">
        <v>3944</v>
      </c>
      <c r="O5177" s="270">
        <v>910.07</v>
      </c>
      <c r="P5177" s="270" t="s">
        <v>3944</v>
      </c>
      <c r="Q5177" s="270" t="s">
        <v>3944</v>
      </c>
      <c r="R5177" s="270">
        <v>910.07</v>
      </c>
      <c r="S5177" s="270">
        <v>12577.03</v>
      </c>
      <c r="T5177" s="270">
        <v>13487.1</v>
      </c>
      <c r="U5177" s="271" t="s">
        <v>3945</v>
      </c>
      <c r="V5177" s="267" t="s">
        <v>944</v>
      </c>
    </row>
    <row r="5178" spans="1:22" hidden="1" x14ac:dyDescent="0.25">
      <c r="A5178" s="266">
        <v>43717</v>
      </c>
      <c r="B5178" s="267">
        <v>2019</v>
      </c>
      <c r="C5178" s="267">
        <v>2020</v>
      </c>
      <c r="D5178" s="267">
        <v>1</v>
      </c>
      <c r="E5178" s="267">
        <v>1</v>
      </c>
      <c r="F5178" s="267" t="s">
        <v>944</v>
      </c>
      <c r="G5178" s="267" t="s">
        <v>3926</v>
      </c>
      <c r="H5178" s="267" t="s">
        <v>9834</v>
      </c>
      <c r="I5178" s="267" t="s">
        <v>953</v>
      </c>
      <c r="J5178" s="267" t="s">
        <v>3928</v>
      </c>
      <c r="K5178" s="267">
        <v>6514</v>
      </c>
      <c r="L5178" s="267">
        <v>165600</v>
      </c>
      <c r="M5178" s="267" t="s">
        <v>3940</v>
      </c>
      <c r="N5178" s="267" t="s">
        <v>3944</v>
      </c>
      <c r="O5178" s="267">
        <v>717.82</v>
      </c>
      <c r="P5178" s="267" t="s">
        <v>3944</v>
      </c>
      <c r="Q5178" s="267" t="s">
        <v>3944</v>
      </c>
      <c r="R5178" s="267">
        <v>717.82</v>
      </c>
      <c r="S5178" s="267">
        <v>11374.34</v>
      </c>
      <c r="T5178" s="267">
        <v>12092.16</v>
      </c>
      <c r="U5178" s="268" t="s">
        <v>3945</v>
      </c>
      <c r="V5178" s="267" t="s">
        <v>944</v>
      </c>
    </row>
    <row r="5179" spans="1:22" hidden="1" x14ac:dyDescent="0.25">
      <c r="A5179" s="269">
        <v>43717</v>
      </c>
      <c r="B5179" s="270">
        <v>2019</v>
      </c>
      <c r="C5179" s="270">
        <v>2020</v>
      </c>
      <c r="D5179" s="270">
        <v>1</v>
      </c>
      <c r="E5179" s="270">
        <v>1</v>
      </c>
      <c r="F5179" s="270" t="s">
        <v>944</v>
      </c>
      <c r="G5179" s="270" t="s">
        <v>3926</v>
      </c>
      <c r="H5179" s="270" t="s">
        <v>9835</v>
      </c>
      <c r="I5179" s="270" t="s">
        <v>3009</v>
      </c>
      <c r="J5179" s="270" t="s">
        <v>3928</v>
      </c>
      <c r="K5179" s="270">
        <v>6484</v>
      </c>
      <c r="L5179" s="270">
        <v>110301</v>
      </c>
      <c r="M5179" s="270" t="s">
        <v>3935</v>
      </c>
      <c r="N5179" s="270" t="s">
        <v>3944</v>
      </c>
      <c r="O5179" s="270">
        <v>1063.72</v>
      </c>
      <c r="P5179" s="270" t="s">
        <v>3944</v>
      </c>
      <c r="Q5179" s="270" t="s">
        <v>3944</v>
      </c>
      <c r="R5179" s="270">
        <v>1063.72</v>
      </c>
      <c r="S5179" s="270">
        <v>15857.8</v>
      </c>
      <c r="T5179" s="270">
        <v>16921.52</v>
      </c>
      <c r="U5179" s="271" t="s">
        <v>3945</v>
      </c>
      <c r="V5179" s="267" t="s">
        <v>944</v>
      </c>
    </row>
    <row r="5180" spans="1:22" hidden="1" x14ac:dyDescent="0.25">
      <c r="A5180" s="266">
        <v>43717</v>
      </c>
      <c r="B5180" s="267">
        <v>2019</v>
      </c>
      <c r="C5180" s="267">
        <v>2020</v>
      </c>
      <c r="D5180" s="267">
        <v>1</v>
      </c>
      <c r="E5180" s="267">
        <v>1</v>
      </c>
      <c r="F5180" s="267" t="s">
        <v>944</v>
      </c>
      <c r="G5180" s="267" t="s">
        <v>3926</v>
      </c>
      <c r="H5180" s="267" t="s">
        <v>9836</v>
      </c>
      <c r="I5180" s="267" t="s">
        <v>934</v>
      </c>
      <c r="J5180" s="267" t="s">
        <v>3928</v>
      </c>
      <c r="K5180" s="267">
        <v>6606</v>
      </c>
      <c r="L5180" s="267">
        <v>72500</v>
      </c>
      <c r="M5180" s="267" t="s">
        <v>3940</v>
      </c>
      <c r="N5180" s="267" t="s">
        <v>3944</v>
      </c>
      <c r="O5180" s="267">
        <v>1546.76</v>
      </c>
      <c r="P5180" s="267" t="s">
        <v>3944</v>
      </c>
      <c r="Q5180" s="267" t="s">
        <v>3944</v>
      </c>
      <c r="R5180" s="267">
        <v>1546.76</v>
      </c>
      <c r="S5180" s="267">
        <v>22344.09</v>
      </c>
      <c r="T5180" s="267">
        <v>23890.85</v>
      </c>
      <c r="U5180" s="268" t="s">
        <v>3945</v>
      </c>
      <c r="V5180" s="267" t="s">
        <v>944</v>
      </c>
    </row>
    <row r="5181" spans="1:22" hidden="1" x14ac:dyDescent="0.25">
      <c r="A5181" s="269">
        <v>43717</v>
      </c>
      <c r="B5181" s="270">
        <v>2019</v>
      </c>
      <c r="C5181" s="270">
        <v>2020</v>
      </c>
      <c r="D5181" s="270">
        <v>1</v>
      </c>
      <c r="E5181" s="270">
        <v>1</v>
      </c>
      <c r="F5181" s="270" t="s">
        <v>944</v>
      </c>
      <c r="G5181" s="270" t="s">
        <v>3926</v>
      </c>
      <c r="H5181" s="270" t="s">
        <v>9837</v>
      </c>
      <c r="I5181" s="270" t="s">
        <v>4016</v>
      </c>
      <c r="J5181" s="270" t="s">
        <v>3928</v>
      </c>
      <c r="K5181" s="270">
        <v>6770</v>
      </c>
      <c r="L5181" s="270">
        <v>347200</v>
      </c>
      <c r="M5181" s="270" t="s">
        <v>3960</v>
      </c>
      <c r="N5181" s="270" t="s">
        <v>3944</v>
      </c>
      <c r="O5181" s="270">
        <v>2527.3200000000002</v>
      </c>
      <c r="P5181" s="270" t="s">
        <v>3944</v>
      </c>
      <c r="Q5181" s="270" t="s">
        <v>3944</v>
      </c>
      <c r="R5181" s="270">
        <v>2527.3200000000002</v>
      </c>
      <c r="S5181" s="270">
        <v>33224.879999999997</v>
      </c>
      <c r="T5181" s="270">
        <v>35752.199999999997</v>
      </c>
      <c r="U5181" s="271" t="s">
        <v>3945</v>
      </c>
      <c r="V5181" s="267" t="s">
        <v>944</v>
      </c>
    </row>
    <row r="5182" spans="1:22" hidden="1" x14ac:dyDescent="0.25">
      <c r="A5182" s="266">
        <v>43717</v>
      </c>
      <c r="B5182" s="267">
        <v>2019</v>
      </c>
      <c r="C5182" s="267">
        <v>2020</v>
      </c>
      <c r="D5182" s="267">
        <v>1</v>
      </c>
      <c r="E5182" s="267">
        <v>1</v>
      </c>
      <c r="F5182" s="267" t="s">
        <v>944</v>
      </c>
      <c r="G5182" s="267" t="s">
        <v>3926</v>
      </c>
      <c r="H5182" s="267" t="s">
        <v>9838</v>
      </c>
      <c r="I5182" s="267" t="s">
        <v>3956</v>
      </c>
      <c r="J5182" s="267" t="s">
        <v>3928</v>
      </c>
      <c r="K5182" s="267">
        <v>6106</v>
      </c>
      <c r="L5182" s="267">
        <v>504300</v>
      </c>
      <c r="M5182" s="267">
        <v>-60</v>
      </c>
      <c r="N5182" s="267" t="s">
        <v>3944</v>
      </c>
      <c r="O5182" s="267">
        <v>795.97</v>
      </c>
      <c r="P5182" s="267" t="s">
        <v>3944</v>
      </c>
      <c r="Q5182" s="267" t="s">
        <v>3944</v>
      </c>
      <c r="R5182" s="267">
        <v>795.97</v>
      </c>
      <c r="S5182" s="267">
        <v>11881.44</v>
      </c>
      <c r="T5182" s="267">
        <v>12677.41</v>
      </c>
      <c r="U5182" s="268" t="s">
        <v>3945</v>
      </c>
      <c r="V5182" s="267" t="s">
        <v>944</v>
      </c>
    </row>
    <row r="5183" spans="1:22" hidden="1" x14ac:dyDescent="0.25">
      <c r="A5183" s="269">
        <v>43717</v>
      </c>
      <c r="B5183" s="270">
        <v>2019</v>
      </c>
      <c r="C5183" s="270">
        <v>2020</v>
      </c>
      <c r="D5183" s="270">
        <v>1</v>
      </c>
      <c r="E5183" s="270">
        <v>1</v>
      </c>
      <c r="F5183" s="270" t="s">
        <v>944</v>
      </c>
      <c r="G5183" s="270" t="s">
        <v>3926</v>
      </c>
      <c r="H5183" s="270" t="s">
        <v>9839</v>
      </c>
      <c r="I5183" s="270" t="s">
        <v>953</v>
      </c>
      <c r="J5183" s="270" t="s">
        <v>3928</v>
      </c>
      <c r="K5183" s="270">
        <v>6514</v>
      </c>
      <c r="L5183" s="270">
        <v>165600</v>
      </c>
      <c r="M5183" s="270" t="s">
        <v>3940</v>
      </c>
      <c r="N5183" s="270" t="s">
        <v>3944</v>
      </c>
      <c r="O5183" s="270">
        <v>1180.9000000000001</v>
      </c>
      <c r="P5183" s="270" t="s">
        <v>3944</v>
      </c>
      <c r="Q5183" s="270" t="s">
        <v>3944</v>
      </c>
      <c r="R5183" s="270">
        <v>1180.9000000000001</v>
      </c>
      <c r="S5183" s="270">
        <v>16491.689999999999</v>
      </c>
      <c r="T5183" s="270">
        <v>17672.59</v>
      </c>
      <c r="U5183" s="271" t="s">
        <v>3945</v>
      </c>
      <c r="V5183" s="267" t="s">
        <v>944</v>
      </c>
    </row>
    <row r="5184" spans="1:22" hidden="1" x14ac:dyDescent="0.25">
      <c r="A5184" s="266">
        <v>43717</v>
      </c>
      <c r="B5184" s="267">
        <v>2019</v>
      </c>
      <c r="C5184" s="267">
        <v>2020</v>
      </c>
      <c r="D5184" s="267">
        <v>1</v>
      </c>
      <c r="E5184" s="267">
        <v>1</v>
      </c>
      <c r="F5184" s="267" t="s">
        <v>944</v>
      </c>
      <c r="G5184" s="267" t="s">
        <v>3926</v>
      </c>
      <c r="H5184" s="267" t="s">
        <v>9840</v>
      </c>
      <c r="I5184" s="267" t="s">
        <v>4042</v>
      </c>
      <c r="J5184" s="267" t="s">
        <v>3928</v>
      </c>
      <c r="K5184" s="267">
        <v>6370</v>
      </c>
      <c r="L5184" s="267">
        <v>695202</v>
      </c>
      <c r="M5184" s="267" t="s">
        <v>3935</v>
      </c>
      <c r="N5184" s="267" t="s">
        <v>3944</v>
      </c>
      <c r="O5184" s="267">
        <v>1665.2</v>
      </c>
      <c r="P5184" s="267" t="s">
        <v>3944</v>
      </c>
      <c r="Q5184" s="267" t="s">
        <v>3944</v>
      </c>
      <c r="R5184" s="267">
        <v>1665.2</v>
      </c>
      <c r="S5184" s="267">
        <v>22511.08</v>
      </c>
      <c r="T5184" s="267">
        <v>24176.28</v>
      </c>
      <c r="U5184" s="268" t="s">
        <v>3945</v>
      </c>
      <c r="V5184" s="267" t="s">
        <v>944</v>
      </c>
    </row>
    <row r="5185" spans="1:22" hidden="1" x14ac:dyDescent="0.25">
      <c r="A5185" s="269">
        <v>43717</v>
      </c>
      <c r="B5185" s="270">
        <v>2019</v>
      </c>
      <c r="C5185" s="270">
        <v>2020</v>
      </c>
      <c r="D5185" s="270">
        <v>1</v>
      </c>
      <c r="E5185" s="270">
        <v>1</v>
      </c>
      <c r="F5185" s="270" t="s">
        <v>944</v>
      </c>
      <c r="G5185" s="270" t="s">
        <v>3926</v>
      </c>
      <c r="H5185" s="270" t="s">
        <v>9841</v>
      </c>
      <c r="I5185" s="270" t="s">
        <v>4005</v>
      </c>
      <c r="J5185" s="270" t="s">
        <v>3928</v>
      </c>
      <c r="K5185" s="270">
        <v>6118</v>
      </c>
      <c r="L5185" s="270">
        <v>511100</v>
      </c>
      <c r="M5185" s="270" t="s">
        <v>3960</v>
      </c>
      <c r="N5185" s="270" t="s">
        <v>3944</v>
      </c>
      <c r="O5185" s="270">
        <v>2454.34</v>
      </c>
      <c r="P5185" s="270" t="s">
        <v>3944</v>
      </c>
      <c r="Q5185" s="270" t="s">
        <v>3944</v>
      </c>
      <c r="R5185" s="270">
        <v>2454.34</v>
      </c>
      <c r="S5185" s="270">
        <v>28177.06</v>
      </c>
      <c r="T5185" s="270">
        <v>30631.4</v>
      </c>
      <c r="U5185" s="271" t="s">
        <v>3945</v>
      </c>
      <c r="V5185" s="267" t="s">
        <v>944</v>
      </c>
    </row>
    <row r="5186" spans="1:22" hidden="1" x14ac:dyDescent="0.25">
      <c r="A5186" s="266">
        <v>43717</v>
      </c>
      <c r="B5186" s="267">
        <v>2019</v>
      </c>
      <c r="C5186" s="267">
        <v>2020</v>
      </c>
      <c r="D5186" s="267">
        <v>1</v>
      </c>
      <c r="E5186" s="267">
        <v>1</v>
      </c>
      <c r="F5186" s="267" t="s">
        <v>944</v>
      </c>
      <c r="G5186" s="267" t="s">
        <v>3926</v>
      </c>
      <c r="H5186" s="267" t="s">
        <v>9842</v>
      </c>
      <c r="I5186" s="267" t="s">
        <v>4556</v>
      </c>
      <c r="J5186" s="267" t="s">
        <v>3928</v>
      </c>
      <c r="K5186" s="267">
        <v>6029</v>
      </c>
      <c r="L5186" s="267">
        <v>535200</v>
      </c>
      <c r="M5186" s="267" t="s">
        <v>3960</v>
      </c>
      <c r="N5186" s="267" t="s">
        <v>3944</v>
      </c>
      <c r="O5186" s="267">
        <v>2624.79</v>
      </c>
      <c r="P5186" s="267" t="s">
        <v>3944</v>
      </c>
      <c r="Q5186" s="267" t="s">
        <v>3944</v>
      </c>
      <c r="R5186" s="267">
        <v>2624.79</v>
      </c>
      <c r="S5186" s="267">
        <v>32082.81</v>
      </c>
      <c r="T5186" s="267">
        <v>34707.599999999999</v>
      </c>
      <c r="U5186" s="268" t="s">
        <v>3945</v>
      </c>
      <c r="V5186" s="267" t="s">
        <v>944</v>
      </c>
    </row>
    <row r="5187" spans="1:22" hidden="1" x14ac:dyDescent="0.25">
      <c r="A5187" s="269">
        <v>43717</v>
      </c>
      <c r="B5187" s="270">
        <v>2019</v>
      </c>
      <c r="C5187" s="270">
        <v>2020</v>
      </c>
      <c r="D5187" s="270">
        <v>1</v>
      </c>
      <c r="E5187" s="270">
        <v>1</v>
      </c>
      <c r="F5187" s="270" t="s">
        <v>944</v>
      </c>
      <c r="G5187" s="270" t="s">
        <v>3926</v>
      </c>
      <c r="H5187" s="270" t="s">
        <v>9843</v>
      </c>
      <c r="I5187" s="270" t="s">
        <v>2985</v>
      </c>
      <c r="J5187" s="270" t="s">
        <v>3928</v>
      </c>
      <c r="K5187" s="270">
        <v>6824</v>
      </c>
      <c r="L5187" s="270">
        <v>61000</v>
      </c>
      <c r="M5187" s="270" t="s">
        <v>3935</v>
      </c>
      <c r="N5187" s="270" t="s">
        <v>3944</v>
      </c>
      <c r="O5187" s="270">
        <v>1197.9100000000001</v>
      </c>
      <c r="P5187" s="270" t="s">
        <v>3944</v>
      </c>
      <c r="Q5187" s="270" t="s">
        <v>3944</v>
      </c>
      <c r="R5187" s="270">
        <v>1197.9100000000001</v>
      </c>
      <c r="S5187" s="270">
        <v>17743.66</v>
      </c>
      <c r="T5187" s="270">
        <v>18941.57</v>
      </c>
      <c r="U5187" s="271" t="s">
        <v>3945</v>
      </c>
      <c r="V5187" s="267" t="s">
        <v>944</v>
      </c>
    </row>
    <row r="5188" spans="1:22" hidden="1" x14ac:dyDescent="0.25">
      <c r="A5188" s="266">
        <v>43717</v>
      </c>
      <c r="B5188" s="267">
        <v>2019</v>
      </c>
      <c r="C5188" s="267">
        <v>2020</v>
      </c>
      <c r="D5188" s="267">
        <v>1</v>
      </c>
      <c r="E5188" s="267">
        <v>1</v>
      </c>
      <c r="F5188" s="267" t="s">
        <v>944</v>
      </c>
      <c r="G5188" s="267" t="s">
        <v>3926</v>
      </c>
      <c r="H5188" s="267" t="s">
        <v>9844</v>
      </c>
      <c r="I5188" s="267" t="s">
        <v>3939</v>
      </c>
      <c r="J5188" s="267" t="s">
        <v>3928</v>
      </c>
      <c r="K5188" s="267">
        <v>6512</v>
      </c>
      <c r="L5188" s="267">
        <v>180601</v>
      </c>
      <c r="M5188" s="267" t="s">
        <v>3940</v>
      </c>
      <c r="N5188" s="267" t="s">
        <v>3944</v>
      </c>
      <c r="O5188" s="267">
        <v>1692.15</v>
      </c>
      <c r="P5188" s="267" t="s">
        <v>3944</v>
      </c>
      <c r="Q5188" s="267" t="s">
        <v>3944</v>
      </c>
      <c r="R5188" s="267">
        <v>1692.15</v>
      </c>
      <c r="S5188" s="267">
        <v>26605.71</v>
      </c>
      <c r="T5188" s="267">
        <v>28297.86</v>
      </c>
      <c r="U5188" s="268" t="s">
        <v>3945</v>
      </c>
      <c r="V5188" s="267" t="s">
        <v>944</v>
      </c>
    </row>
    <row r="5189" spans="1:22" hidden="1" x14ac:dyDescent="0.25">
      <c r="A5189" s="269">
        <v>43717</v>
      </c>
      <c r="B5189" s="270">
        <v>2019</v>
      </c>
      <c r="C5189" s="270">
        <v>2020</v>
      </c>
      <c r="D5189" s="270">
        <v>1</v>
      </c>
      <c r="E5189" s="270">
        <v>1</v>
      </c>
      <c r="F5189" s="270" t="s">
        <v>944</v>
      </c>
      <c r="G5189" s="270" t="s">
        <v>3926</v>
      </c>
      <c r="H5189" s="270" t="s">
        <v>9845</v>
      </c>
      <c r="I5189" s="270" t="s">
        <v>3971</v>
      </c>
      <c r="J5189" s="270" t="s">
        <v>3928</v>
      </c>
      <c r="K5189" s="270">
        <v>6084</v>
      </c>
      <c r="L5189" s="270">
        <v>533102</v>
      </c>
      <c r="M5189" s="270" t="s">
        <v>3943</v>
      </c>
      <c r="N5189" s="270" t="s">
        <v>3944</v>
      </c>
      <c r="O5189" s="270">
        <v>1676.4</v>
      </c>
      <c r="P5189" s="270" t="s">
        <v>3944</v>
      </c>
      <c r="Q5189" s="270" t="s">
        <v>3944</v>
      </c>
      <c r="R5189" s="270">
        <v>1676.4</v>
      </c>
      <c r="S5189" s="270">
        <v>21452.9</v>
      </c>
      <c r="T5189" s="270">
        <v>23129.3</v>
      </c>
      <c r="U5189" s="271" t="s">
        <v>3945</v>
      </c>
      <c r="V5189" s="267" t="s">
        <v>944</v>
      </c>
    </row>
    <row r="5190" spans="1:22" hidden="1" x14ac:dyDescent="0.25">
      <c r="A5190" s="266">
        <v>43717</v>
      </c>
      <c r="B5190" s="267">
        <v>2019</v>
      </c>
      <c r="C5190" s="267">
        <v>2020</v>
      </c>
      <c r="D5190" s="267">
        <v>1</v>
      </c>
      <c r="E5190" s="267">
        <v>1</v>
      </c>
      <c r="F5190" s="267" t="s">
        <v>944</v>
      </c>
      <c r="G5190" s="267" t="s">
        <v>3926</v>
      </c>
      <c r="H5190" s="267" t="s">
        <v>9846</v>
      </c>
      <c r="I5190" s="267" t="s">
        <v>4306</v>
      </c>
      <c r="J5190" s="267" t="s">
        <v>3928</v>
      </c>
      <c r="K5190" s="267">
        <v>6716</v>
      </c>
      <c r="L5190" s="267">
        <v>361200</v>
      </c>
      <c r="M5190" s="267" t="s">
        <v>3960</v>
      </c>
      <c r="N5190" s="267" t="s">
        <v>3944</v>
      </c>
      <c r="O5190" s="267">
        <v>1006.5</v>
      </c>
      <c r="P5190" s="267" t="s">
        <v>3944</v>
      </c>
      <c r="Q5190" s="267" t="s">
        <v>3944</v>
      </c>
      <c r="R5190" s="267">
        <v>1006.5</v>
      </c>
      <c r="S5190" s="267">
        <v>15856.4</v>
      </c>
      <c r="T5190" s="267">
        <v>16862.900000000001</v>
      </c>
      <c r="U5190" s="268" t="s">
        <v>3945</v>
      </c>
      <c r="V5190" s="267" t="s">
        <v>944</v>
      </c>
    </row>
    <row r="5191" spans="1:22" hidden="1" x14ac:dyDescent="0.25">
      <c r="A5191" s="269">
        <v>43717</v>
      </c>
      <c r="B5191" s="270">
        <v>2019</v>
      </c>
      <c r="C5191" s="270">
        <v>2020</v>
      </c>
      <c r="D5191" s="270">
        <v>1</v>
      </c>
      <c r="E5191" s="270">
        <v>1</v>
      </c>
      <c r="F5191" s="270" t="s">
        <v>944</v>
      </c>
      <c r="G5191" s="270" t="s">
        <v>3926</v>
      </c>
      <c r="H5191" s="270" t="s">
        <v>9847</v>
      </c>
      <c r="I5191" s="270" t="s">
        <v>4108</v>
      </c>
      <c r="J5191" s="270" t="s">
        <v>3928</v>
      </c>
      <c r="K5191" s="270">
        <v>6082</v>
      </c>
      <c r="L5191" s="270">
        <v>480400</v>
      </c>
      <c r="M5191" s="270" t="s">
        <v>3935</v>
      </c>
      <c r="N5191" s="270" t="s">
        <v>3944</v>
      </c>
      <c r="O5191" s="270">
        <v>1260.56</v>
      </c>
      <c r="P5191" s="270" t="s">
        <v>3944</v>
      </c>
      <c r="Q5191" s="270" t="s">
        <v>3944</v>
      </c>
      <c r="R5191" s="270">
        <v>1260.56</v>
      </c>
      <c r="S5191" s="270">
        <v>16790.59</v>
      </c>
      <c r="T5191" s="270">
        <v>18051.150000000001</v>
      </c>
      <c r="U5191" s="271" t="s">
        <v>3945</v>
      </c>
      <c r="V5191" s="267" t="s">
        <v>944</v>
      </c>
    </row>
    <row r="5192" spans="1:22" hidden="1" x14ac:dyDescent="0.25">
      <c r="A5192" s="266">
        <v>43717</v>
      </c>
      <c r="B5192" s="267">
        <v>2019</v>
      </c>
      <c r="C5192" s="267">
        <v>2020</v>
      </c>
      <c r="D5192" s="267">
        <v>1</v>
      </c>
      <c r="E5192" s="267">
        <v>1</v>
      </c>
      <c r="F5192" s="267" t="s">
        <v>944</v>
      </c>
      <c r="G5192" s="267" t="s">
        <v>3926</v>
      </c>
      <c r="H5192" s="267" t="s">
        <v>9848</v>
      </c>
      <c r="I5192" s="267" t="s">
        <v>3011</v>
      </c>
      <c r="J5192" s="267" t="s">
        <v>3928</v>
      </c>
      <c r="K5192" s="267">
        <v>6418</v>
      </c>
      <c r="L5192" s="267">
        <v>120100</v>
      </c>
      <c r="M5192" s="267" t="s">
        <v>3940</v>
      </c>
      <c r="N5192" s="267" t="s">
        <v>3944</v>
      </c>
      <c r="O5192" s="267">
        <v>789.15</v>
      </c>
      <c r="P5192" s="267" t="s">
        <v>3944</v>
      </c>
      <c r="Q5192" s="267" t="s">
        <v>3944</v>
      </c>
      <c r="R5192" s="267">
        <v>789.15</v>
      </c>
      <c r="S5192" s="267">
        <v>10882.2</v>
      </c>
      <c r="T5192" s="267">
        <v>11671.35</v>
      </c>
      <c r="U5192" s="268" t="s">
        <v>3945</v>
      </c>
      <c r="V5192" s="267" t="s">
        <v>944</v>
      </c>
    </row>
    <row r="5193" spans="1:22" hidden="1" x14ac:dyDescent="0.25">
      <c r="A5193" s="269">
        <v>43717</v>
      </c>
      <c r="B5193" s="270">
        <v>2019</v>
      </c>
      <c r="C5193" s="270">
        <v>2020</v>
      </c>
      <c r="D5193" s="270">
        <v>1</v>
      </c>
      <c r="E5193" s="270">
        <v>1</v>
      </c>
      <c r="F5193" s="270" t="s">
        <v>944</v>
      </c>
      <c r="G5193" s="270" t="s">
        <v>3926</v>
      </c>
      <c r="H5193" s="270" t="s">
        <v>9849</v>
      </c>
      <c r="I5193" s="270" t="s">
        <v>3008</v>
      </c>
      <c r="J5193" s="270" t="s">
        <v>3928</v>
      </c>
      <c r="K5193" s="270">
        <v>6460</v>
      </c>
      <c r="L5193" s="270">
        <v>151100</v>
      </c>
      <c r="M5193" s="270" t="s">
        <v>3960</v>
      </c>
      <c r="N5193" s="270" t="s">
        <v>3944</v>
      </c>
      <c r="O5193" s="270">
        <v>841.82</v>
      </c>
      <c r="P5193" s="270" t="s">
        <v>3944</v>
      </c>
      <c r="Q5193" s="270" t="s">
        <v>3944</v>
      </c>
      <c r="R5193" s="270">
        <v>841.82</v>
      </c>
      <c r="S5193" s="270">
        <v>11017.18</v>
      </c>
      <c r="T5193" s="270">
        <v>11859</v>
      </c>
      <c r="U5193" s="271" t="s">
        <v>3945</v>
      </c>
      <c r="V5193" s="267" t="s">
        <v>944</v>
      </c>
    </row>
    <row r="5194" spans="1:22" hidden="1" x14ac:dyDescent="0.25">
      <c r="A5194" s="266">
        <v>43717</v>
      </c>
      <c r="B5194" s="267">
        <v>2019</v>
      </c>
      <c r="C5194" s="267">
        <v>2020</v>
      </c>
      <c r="D5194" s="267">
        <v>1</v>
      </c>
      <c r="E5194" s="267">
        <v>1</v>
      </c>
      <c r="F5194" s="267" t="s">
        <v>944</v>
      </c>
      <c r="G5194" s="267" t="s">
        <v>3926</v>
      </c>
      <c r="H5194" s="267" t="s">
        <v>9850</v>
      </c>
      <c r="I5194" s="267" t="s">
        <v>956</v>
      </c>
      <c r="J5194" s="267" t="s">
        <v>3928</v>
      </c>
      <c r="K5194" s="267">
        <v>6614</v>
      </c>
      <c r="L5194" s="267">
        <v>80800</v>
      </c>
      <c r="M5194" s="267" t="s">
        <v>3960</v>
      </c>
      <c r="N5194" s="267" t="s">
        <v>3944</v>
      </c>
      <c r="O5194" s="267">
        <v>1724.49</v>
      </c>
      <c r="P5194" s="267" t="s">
        <v>3944</v>
      </c>
      <c r="Q5194" s="267" t="s">
        <v>3944</v>
      </c>
      <c r="R5194" s="267">
        <v>1724.49</v>
      </c>
      <c r="S5194" s="267">
        <v>25828.59</v>
      </c>
      <c r="T5194" s="267">
        <v>27553.08</v>
      </c>
      <c r="U5194" s="268" t="s">
        <v>3945</v>
      </c>
      <c r="V5194" s="267" t="s">
        <v>944</v>
      </c>
    </row>
    <row r="5195" spans="1:22" hidden="1" x14ac:dyDescent="0.25">
      <c r="A5195" s="269">
        <v>43717</v>
      </c>
      <c r="B5195" s="270">
        <v>2019</v>
      </c>
      <c r="C5195" s="270">
        <v>2020</v>
      </c>
      <c r="D5195" s="270">
        <v>1</v>
      </c>
      <c r="E5195" s="270">
        <v>1</v>
      </c>
      <c r="F5195" s="270" t="s">
        <v>944</v>
      </c>
      <c r="G5195" s="270" t="s">
        <v>3926</v>
      </c>
      <c r="H5195" s="270" t="s">
        <v>9851</v>
      </c>
      <c r="I5195" s="270" t="s">
        <v>4003</v>
      </c>
      <c r="J5195" s="270" t="s">
        <v>3928</v>
      </c>
      <c r="K5195" s="270">
        <v>6374</v>
      </c>
      <c r="L5195" s="270">
        <v>907300</v>
      </c>
      <c r="M5195" s="270" t="s">
        <v>3935</v>
      </c>
      <c r="N5195" s="270" t="s">
        <v>3944</v>
      </c>
      <c r="O5195" s="270">
        <v>2248.58</v>
      </c>
      <c r="P5195" s="270" t="s">
        <v>3944</v>
      </c>
      <c r="Q5195" s="270" t="s">
        <v>3944</v>
      </c>
      <c r="R5195" s="270">
        <v>2248.58</v>
      </c>
      <c r="S5195" s="270">
        <v>29268.22</v>
      </c>
      <c r="T5195" s="270">
        <v>31516.799999999999</v>
      </c>
      <c r="U5195" s="271" t="s">
        <v>3945</v>
      </c>
      <c r="V5195" s="267" t="s">
        <v>944</v>
      </c>
    </row>
    <row r="5196" spans="1:22" hidden="1" x14ac:dyDescent="0.25">
      <c r="A5196" s="266">
        <v>43717</v>
      </c>
      <c r="B5196" s="267">
        <v>2019</v>
      </c>
      <c r="C5196" s="267">
        <v>2020</v>
      </c>
      <c r="D5196" s="267">
        <v>1</v>
      </c>
      <c r="E5196" s="267">
        <v>1</v>
      </c>
      <c r="F5196" s="267" t="s">
        <v>944</v>
      </c>
      <c r="G5196" s="267" t="s">
        <v>3926</v>
      </c>
      <c r="H5196" s="267" t="s">
        <v>9852</v>
      </c>
      <c r="I5196" s="267" t="s">
        <v>3975</v>
      </c>
      <c r="J5196" s="267" t="s">
        <v>3928</v>
      </c>
      <c r="K5196" s="267">
        <v>6489</v>
      </c>
      <c r="L5196" s="267">
        <v>430500</v>
      </c>
      <c r="M5196" s="267" t="s">
        <v>3943</v>
      </c>
      <c r="N5196" s="267" t="s">
        <v>3944</v>
      </c>
      <c r="O5196" s="267">
        <v>2139.48</v>
      </c>
      <c r="P5196" s="267" t="s">
        <v>3944</v>
      </c>
      <c r="Q5196" s="267" t="s">
        <v>3944</v>
      </c>
      <c r="R5196" s="267">
        <v>2139.48</v>
      </c>
      <c r="S5196" s="267">
        <v>26241.71</v>
      </c>
      <c r="T5196" s="267">
        <v>28381.19</v>
      </c>
      <c r="U5196" s="268" t="s">
        <v>3945</v>
      </c>
      <c r="V5196" s="267" t="s">
        <v>944</v>
      </c>
    </row>
    <row r="5197" spans="1:22" hidden="1" x14ac:dyDescent="0.25">
      <c r="A5197" s="269">
        <v>43717</v>
      </c>
      <c r="B5197" s="270">
        <v>2019</v>
      </c>
      <c r="C5197" s="270">
        <v>2020</v>
      </c>
      <c r="D5197" s="270">
        <v>1</v>
      </c>
      <c r="E5197" s="270">
        <v>1</v>
      </c>
      <c r="F5197" s="270" t="s">
        <v>944</v>
      </c>
      <c r="G5197" s="270" t="s">
        <v>3926</v>
      </c>
      <c r="H5197" s="270" t="s">
        <v>9853</v>
      </c>
      <c r="I5197" s="270" t="s">
        <v>3985</v>
      </c>
      <c r="J5197" s="270" t="s">
        <v>3928</v>
      </c>
      <c r="K5197" s="270">
        <v>6226</v>
      </c>
      <c r="L5197" s="270">
        <v>800500</v>
      </c>
      <c r="M5197" s="270" t="s">
        <v>3940</v>
      </c>
      <c r="N5197" s="270" t="s">
        <v>3944</v>
      </c>
      <c r="O5197" s="270">
        <v>1879.01</v>
      </c>
      <c r="P5197" s="270" t="s">
        <v>3944</v>
      </c>
      <c r="Q5197" s="270" t="s">
        <v>3944</v>
      </c>
      <c r="R5197" s="270">
        <v>1879.01</v>
      </c>
      <c r="S5197" s="270">
        <v>25613.78</v>
      </c>
      <c r="T5197" s="270">
        <v>27492.79</v>
      </c>
      <c r="U5197" s="271" t="s">
        <v>3945</v>
      </c>
      <c r="V5197" s="267" t="s">
        <v>944</v>
      </c>
    </row>
    <row r="5198" spans="1:22" hidden="1" x14ac:dyDescent="0.25">
      <c r="A5198" s="266">
        <v>43717</v>
      </c>
      <c r="B5198" s="267">
        <v>2019</v>
      </c>
      <c r="C5198" s="267">
        <v>2020</v>
      </c>
      <c r="D5198" s="267">
        <v>1</v>
      </c>
      <c r="E5198" s="267">
        <v>1</v>
      </c>
      <c r="F5198" s="267" t="s">
        <v>944</v>
      </c>
      <c r="G5198" s="267" t="s">
        <v>3926</v>
      </c>
      <c r="H5198" s="267" t="s">
        <v>9854</v>
      </c>
      <c r="I5198" s="267" t="s">
        <v>3008</v>
      </c>
      <c r="J5198" s="267" t="s">
        <v>3928</v>
      </c>
      <c r="K5198" s="267">
        <v>6460</v>
      </c>
      <c r="L5198" s="267">
        <v>150200</v>
      </c>
      <c r="M5198" s="267" t="s">
        <v>3935</v>
      </c>
      <c r="N5198" s="267" t="s">
        <v>3944</v>
      </c>
      <c r="O5198" s="267">
        <v>1637.79</v>
      </c>
      <c r="P5198" s="267" t="s">
        <v>3944</v>
      </c>
      <c r="Q5198" s="267" t="s">
        <v>3944</v>
      </c>
      <c r="R5198" s="267">
        <v>1637.79</v>
      </c>
      <c r="S5198" s="267">
        <v>25593.86</v>
      </c>
      <c r="T5198" s="267">
        <v>27231.65</v>
      </c>
      <c r="U5198" s="268" t="s">
        <v>3945</v>
      </c>
      <c r="V5198" s="267" t="s">
        <v>944</v>
      </c>
    </row>
    <row r="5199" spans="1:22" hidden="1" x14ac:dyDescent="0.25">
      <c r="A5199" s="269">
        <v>43717</v>
      </c>
      <c r="B5199" s="270">
        <v>2019</v>
      </c>
      <c r="C5199" s="270">
        <v>2020</v>
      </c>
      <c r="D5199" s="270">
        <v>1</v>
      </c>
      <c r="E5199" s="270">
        <v>1</v>
      </c>
      <c r="F5199" s="270" t="s">
        <v>944</v>
      </c>
      <c r="G5199" s="270" t="s">
        <v>3926</v>
      </c>
      <c r="H5199" s="270" t="s">
        <v>9855</v>
      </c>
      <c r="I5199" s="270" t="s">
        <v>956</v>
      </c>
      <c r="J5199" s="270" t="s">
        <v>3928</v>
      </c>
      <c r="K5199" s="270">
        <v>6614</v>
      </c>
      <c r="L5199" s="270">
        <v>80800</v>
      </c>
      <c r="M5199" s="270" t="s">
        <v>3960</v>
      </c>
      <c r="N5199" s="270" t="s">
        <v>3944</v>
      </c>
      <c r="O5199" s="270">
        <v>1447.64</v>
      </c>
      <c r="P5199" s="270" t="s">
        <v>3944</v>
      </c>
      <c r="Q5199" s="270" t="s">
        <v>3944</v>
      </c>
      <c r="R5199" s="270">
        <v>1447.64</v>
      </c>
      <c r="S5199" s="270">
        <v>21833.64</v>
      </c>
      <c r="T5199" s="270">
        <v>23281.279999999999</v>
      </c>
      <c r="U5199" s="271" t="s">
        <v>3945</v>
      </c>
      <c r="V5199" s="267" t="s">
        <v>944</v>
      </c>
    </row>
    <row r="5200" spans="1:22" hidden="1" x14ac:dyDescent="0.25">
      <c r="A5200" s="266">
        <v>43717</v>
      </c>
      <c r="B5200" s="267">
        <v>2019</v>
      </c>
      <c r="C5200" s="267">
        <v>2020</v>
      </c>
      <c r="D5200" s="267">
        <v>1</v>
      </c>
      <c r="E5200" s="267">
        <v>1</v>
      </c>
      <c r="F5200" s="267" t="s">
        <v>944</v>
      </c>
      <c r="G5200" s="267" t="s">
        <v>3926</v>
      </c>
      <c r="H5200" s="267" t="s">
        <v>9856</v>
      </c>
      <c r="I5200" s="267" t="s">
        <v>3962</v>
      </c>
      <c r="J5200" s="267" t="s">
        <v>3928</v>
      </c>
      <c r="K5200" s="267">
        <v>6355</v>
      </c>
      <c r="L5200" s="267">
        <v>703000</v>
      </c>
      <c r="M5200" s="267" t="s">
        <v>3960</v>
      </c>
      <c r="N5200" s="267" t="s">
        <v>3944</v>
      </c>
      <c r="O5200" s="267">
        <v>1615.81</v>
      </c>
      <c r="P5200" s="267" t="s">
        <v>3944</v>
      </c>
      <c r="Q5200" s="267" t="s">
        <v>3944</v>
      </c>
      <c r="R5200" s="267">
        <v>1615.81</v>
      </c>
      <c r="S5200" s="267">
        <v>26165.16</v>
      </c>
      <c r="T5200" s="267">
        <v>27780.97</v>
      </c>
      <c r="U5200" s="268" t="s">
        <v>3945</v>
      </c>
      <c r="V5200" s="267" t="s">
        <v>944</v>
      </c>
    </row>
    <row r="5201" spans="1:22" hidden="1" x14ac:dyDescent="0.25">
      <c r="A5201" s="269">
        <v>43717</v>
      </c>
      <c r="B5201" s="270">
        <v>2019</v>
      </c>
      <c r="C5201" s="270">
        <v>2020</v>
      </c>
      <c r="D5201" s="270">
        <v>1</v>
      </c>
      <c r="E5201" s="270">
        <v>1</v>
      </c>
      <c r="F5201" s="270" t="s">
        <v>944</v>
      </c>
      <c r="G5201" s="270" t="s">
        <v>3926</v>
      </c>
      <c r="H5201" s="270" t="s">
        <v>9857</v>
      </c>
      <c r="I5201" s="270" t="s">
        <v>4621</v>
      </c>
      <c r="J5201" s="270" t="s">
        <v>3928</v>
      </c>
      <c r="K5201" s="270">
        <v>6443</v>
      </c>
      <c r="L5201" s="270">
        <v>194100</v>
      </c>
      <c r="M5201" s="270" t="s">
        <v>3935</v>
      </c>
      <c r="N5201" s="270" t="s">
        <v>3944</v>
      </c>
      <c r="O5201" s="270">
        <v>901.78</v>
      </c>
      <c r="P5201" s="270" t="s">
        <v>3944</v>
      </c>
      <c r="Q5201" s="270" t="s">
        <v>3944</v>
      </c>
      <c r="R5201" s="270">
        <v>901.78</v>
      </c>
      <c r="S5201" s="270">
        <v>13989.48</v>
      </c>
      <c r="T5201" s="270">
        <v>14891.26</v>
      </c>
      <c r="U5201" s="271" t="s">
        <v>3945</v>
      </c>
      <c r="V5201" s="267" t="s">
        <v>944</v>
      </c>
    </row>
    <row r="5202" spans="1:22" hidden="1" x14ac:dyDescent="0.25">
      <c r="A5202" s="266">
        <v>43717</v>
      </c>
      <c r="B5202" s="267">
        <v>2019</v>
      </c>
      <c r="C5202" s="267">
        <v>2020</v>
      </c>
      <c r="D5202" s="267">
        <v>1</v>
      </c>
      <c r="E5202" s="267">
        <v>1</v>
      </c>
      <c r="F5202" s="267" t="s">
        <v>944</v>
      </c>
      <c r="G5202" s="267" t="s">
        <v>3926</v>
      </c>
      <c r="H5202" s="267" t="s">
        <v>9858</v>
      </c>
      <c r="I5202" s="267" t="s">
        <v>953</v>
      </c>
      <c r="J5202" s="267" t="s">
        <v>3928</v>
      </c>
      <c r="K5202" s="267">
        <v>6517</v>
      </c>
      <c r="L5202" s="267">
        <v>165200</v>
      </c>
      <c r="M5202" s="267" t="s">
        <v>3943</v>
      </c>
      <c r="N5202" s="267" t="s">
        <v>3944</v>
      </c>
      <c r="O5202" s="267">
        <v>619.91999999999996</v>
      </c>
      <c r="P5202" s="267" t="s">
        <v>3944</v>
      </c>
      <c r="Q5202" s="267" t="s">
        <v>3944</v>
      </c>
      <c r="R5202" s="267">
        <v>619.91999999999996</v>
      </c>
      <c r="S5202" s="267">
        <v>9154.31</v>
      </c>
      <c r="T5202" s="267">
        <v>9774.23</v>
      </c>
      <c r="U5202" s="268" t="s">
        <v>3945</v>
      </c>
      <c r="V5202" s="267" t="s">
        <v>944</v>
      </c>
    </row>
    <row r="5203" spans="1:22" hidden="1" x14ac:dyDescent="0.25">
      <c r="A5203" s="269">
        <v>43717</v>
      </c>
      <c r="B5203" s="270">
        <v>2019</v>
      </c>
      <c r="C5203" s="270">
        <v>2020</v>
      </c>
      <c r="D5203" s="270">
        <v>1</v>
      </c>
      <c r="E5203" s="270">
        <v>1</v>
      </c>
      <c r="F5203" s="270" t="s">
        <v>944</v>
      </c>
      <c r="G5203" s="270" t="s">
        <v>3926</v>
      </c>
      <c r="H5203" s="270" t="s">
        <v>9859</v>
      </c>
      <c r="I5203" s="270" t="s">
        <v>3956</v>
      </c>
      <c r="J5203" s="270" t="s">
        <v>3928</v>
      </c>
      <c r="K5203" s="270">
        <v>6112</v>
      </c>
      <c r="L5203" s="270">
        <v>503900</v>
      </c>
      <c r="M5203" s="270">
        <v>-60</v>
      </c>
      <c r="N5203" s="270" t="s">
        <v>3944</v>
      </c>
      <c r="O5203" s="270">
        <v>2172.2800000000002</v>
      </c>
      <c r="P5203" s="270" t="s">
        <v>3944</v>
      </c>
      <c r="Q5203" s="270" t="s">
        <v>3944</v>
      </c>
      <c r="R5203" s="270">
        <v>2172.2800000000002</v>
      </c>
      <c r="S5203" s="270">
        <v>28988.32</v>
      </c>
      <c r="T5203" s="270">
        <v>31160.6</v>
      </c>
      <c r="U5203" s="271" t="s">
        <v>3945</v>
      </c>
      <c r="V5203" s="267" t="s">
        <v>944</v>
      </c>
    </row>
    <row r="5204" spans="1:22" hidden="1" x14ac:dyDescent="0.25">
      <c r="A5204" s="266">
        <v>43717</v>
      </c>
      <c r="B5204" s="267">
        <v>2019</v>
      </c>
      <c r="C5204" s="267">
        <v>2020</v>
      </c>
      <c r="D5204" s="267">
        <v>1</v>
      </c>
      <c r="E5204" s="267">
        <v>1</v>
      </c>
      <c r="F5204" s="267" t="s">
        <v>944</v>
      </c>
      <c r="G5204" s="267" t="s">
        <v>3926</v>
      </c>
      <c r="H5204" s="267" t="s">
        <v>9860</v>
      </c>
      <c r="I5204" s="267" t="s">
        <v>953</v>
      </c>
      <c r="J5204" s="267" t="s">
        <v>3928</v>
      </c>
      <c r="K5204" s="267">
        <v>6514</v>
      </c>
      <c r="L5204" s="267">
        <v>165700</v>
      </c>
      <c r="M5204" s="267" t="s">
        <v>3935</v>
      </c>
      <c r="N5204" s="267" t="s">
        <v>3944</v>
      </c>
      <c r="O5204" s="267">
        <v>1083.01</v>
      </c>
      <c r="P5204" s="267" t="s">
        <v>3944</v>
      </c>
      <c r="Q5204" s="267" t="s">
        <v>3944</v>
      </c>
      <c r="R5204" s="267">
        <v>1083.01</v>
      </c>
      <c r="S5204" s="267">
        <v>18103.11</v>
      </c>
      <c r="T5204" s="267">
        <v>19186.12</v>
      </c>
      <c r="U5204" s="268" t="s">
        <v>3945</v>
      </c>
      <c r="V5204" s="267" t="s">
        <v>944</v>
      </c>
    </row>
    <row r="5205" spans="1:22" hidden="1" x14ac:dyDescent="0.25">
      <c r="A5205" s="269">
        <v>43717</v>
      </c>
      <c r="B5205" s="270">
        <v>2019</v>
      </c>
      <c r="C5205" s="270">
        <v>2020</v>
      </c>
      <c r="D5205" s="270">
        <v>1</v>
      </c>
      <c r="E5205" s="270">
        <v>1</v>
      </c>
      <c r="F5205" s="270" t="s">
        <v>944</v>
      </c>
      <c r="G5205" s="270" t="s">
        <v>3926</v>
      </c>
      <c r="H5205" s="270" t="s">
        <v>9861</v>
      </c>
      <c r="I5205" s="270" t="s">
        <v>3010</v>
      </c>
      <c r="J5205" s="270" t="s">
        <v>3928</v>
      </c>
      <c r="K5205" s="270">
        <v>6401</v>
      </c>
      <c r="L5205" s="270">
        <v>125400</v>
      </c>
      <c r="M5205" s="270">
        <v>-60</v>
      </c>
      <c r="N5205" s="270" t="s">
        <v>3944</v>
      </c>
      <c r="O5205" s="270">
        <v>924.14</v>
      </c>
      <c r="P5205" s="270" t="s">
        <v>3944</v>
      </c>
      <c r="Q5205" s="270" t="s">
        <v>3944</v>
      </c>
      <c r="R5205" s="270">
        <v>924.14</v>
      </c>
      <c r="S5205" s="270">
        <v>15793.96</v>
      </c>
      <c r="T5205" s="270">
        <v>16718.099999999999</v>
      </c>
      <c r="U5205" s="271" t="s">
        <v>3945</v>
      </c>
      <c r="V5205" s="267" t="s">
        <v>944</v>
      </c>
    </row>
    <row r="5206" spans="1:22" hidden="1" x14ac:dyDescent="0.25">
      <c r="A5206" s="266">
        <v>43717</v>
      </c>
      <c r="B5206" s="267">
        <v>2019</v>
      </c>
      <c r="C5206" s="267">
        <v>2020</v>
      </c>
      <c r="D5206" s="267">
        <v>1</v>
      </c>
      <c r="E5206" s="267">
        <v>1</v>
      </c>
      <c r="F5206" s="267" t="s">
        <v>944</v>
      </c>
      <c r="G5206" s="267" t="s">
        <v>3926</v>
      </c>
      <c r="H5206" s="267" t="s">
        <v>9862</v>
      </c>
      <c r="I5206" s="267" t="s">
        <v>4011</v>
      </c>
      <c r="J5206" s="267" t="s">
        <v>3928</v>
      </c>
      <c r="K5206" s="267">
        <v>6002</v>
      </c>
      <c r="L5206" s="267">
        <v>471200</v>
      </c>
      <c r="M5206" s="267" t="s">
        <v>3940</v>
      </c>
      <c r="N5206" s="267" t="s">
        <v>3944</v>
      </c>
      <c r="O5206" s="267">
        <v>1949.12</v>
      </c>
      <c r="P5206" s="267" t="s">
        <v>3944</v>
      </c>
      <c r="Q5206" s="267" t="s">
        <v>3944</v>
      </c>
      <c r="R5206" s="267">
        <v>1949.12</v>
      </c>
      <c r="S5206" s="267">
        <v>25143.68</v>
      </c>
      <c r="T5206" s="267">
        <v>27092.799999999999</v>
      </c>
      <c r="U5206" s="268" t="s">
        <v>3945</v>
      </c>
      <c r="V5206" s="267" t="s">
        <v>944</v>
      </c>
    </row>
    <row r="5207" spans="1:22" hidden="1" x14ac:dyDescent="0.25">
      <c r="A5207" s="269">
        <v>43717</v>
      </c>
      <c r="B5207" s="270">
        <v>2019</v>
      </c>
      <c r="C5207" s="270">
        <v>2020</v>
      </c>
      <c r="D5207" s="270">
        <v>1</v>
      </c>
      <c r="E5207" s="270">
        <v>1</v>
      </c>
      <c r="F5207" s="270" t="s">
        <v>944</v>
      </c>
      <c r="G5207" s="270" t="s">
        <v>3926</v>
      </c>
      <c r="H5207" s="270" t="s">
        <v>9863</v>
      </c>
      <c r="I5207" s="270" t="s">
        <v>3962</v>
      </c>
      <c r="J5207" s="270" t="s">
        <v>3928</v>
      </c>
      <c r="K5207" s="270">
        <v>6355</v>
      </c>
      <c r="L5207" s="270">
        <v>702100</v>
      </c>
      <c r="M5207" s="270" t="s">
        <v>3960</v>
      </c>
      <c r="N5207" s="270" t="s">
        <v>3944</v>
      </c>
      <c r="O5207" s="270">
        <v>2617.9699999999998</v>
      </c>
      <c r="P5207" s="270" t="s">
        <v>3944</v>
      </c>
      <c r="Q5207" s="270" t="s">
        <v>3944</v>
      </c>
      <c r="R5207" s="270">
        <v>2617.9699999999998</v>
      </c>
      <c r="S5207" s="270">
        <v>50916.28</v>
      </c>
      <c r="T5207" s="270">
        <v>53534.25</v>
      </c>
      <c r="U5207" s="271" t="s">
        <v>3945</v>
      </c>
      <c r="V5207" s="267" t="s">
        <v>944</v>
      </c>
    </row>
    <row r="5208" spans="1:22" hidden="1" x14ac:dyDescent="0.25">
      <c r="A5208" s="266">
        <v>43717</v>
      </c>
      <c r="B5208" s="267">
        <v>2019</v>
      </c>
      <c r="C5208" s="267">
        <v>2020</v>
      </c>
      <c r="D5208" s="267">
        <v>1</v>
      </c>
      <c r="E5208" s="267">
        <v>1</v>
      </c>
      <c r="F5208" s="267" t="s">
        <v>944</v>
      </c>
      <c r="G5208" s="267" t="s">
        <v>3926</v>
      </c>
      <c r="H5208" s="267" t="s">
        <v>9864</v>
      </c>
      <c r="I5208" s="267" t="s">
        <v>4947</v>
      </c>
      <c r="J5208" s="267" t="s">
        <v>3928</v>
      </c>
      <c r="K5208" s="267">
        <v>6787</v>
      </c>
      <c r="L5208" s="267">
        <v>349100</v>
      </c>
      <c r="M5208" s="267" t="s">
        <v>3935</v>
      </c>
      <c r="N5208" s="267" t="s">
        <v>3944</v>
      </c>
      <c r="O5208" s="267">
        <v>3140.2</v>
      </c>
      <c r="P5208" s="267" t="s">
        <v>3944</v>
      </c>
      <c r="Q5208" s="267" t="s">
        <v>3944</v>
      </c>
      <c r="R5208" s="267">
        <v>3140.2</v>
      </c>
      <c r="S5208" s="267">
        <v>45418.14</v>
      </c>
      <c r="T5208" s="267">
        <v>48558.34</v>
      </c>
      <c r="U5208" s="268" t="s">
        <v>3945</v>
      </c>
      <c r="V5208" s="267" t="s">
        <v>944</v>
      </c>
    </row>
    <row r="5209" spans="1:22" hidden="1" x14ac:dyDescent="0.25">
      <c r="A5209" s="269">
        <v>43717</v>
      </c>
      <c r="B5209" s="270">
        <v>2019</v>
      </c>
      <c r="C5209" s="270">
        <v>2020</v>
      </c>
      <c r="D5209" s="270">
        <v>1</v>
      </c>
      <c r="E5209" s="270">
        <v>1</v>
      </c>
      <c r="F5209" s="270" t="s">
        <v>944</v>
      </c>
      <c r="G5209" s="270" t="s">
        <v>3926</v>
      </c>
      <c r="H5209" s="270" t="s">
        <v>9865</v>
      </c>
      <c r="I5209" s="270" t="s">
        <v>4019</v>
      </c>
      <c r="J5209" s="270" t="s">
        <v>3928</v>
      </c>
      <c r="K5209" s="270">
        <v>6704</v>
      </c>
      <c r="L5209" s="270">
        <v>352500</v>
      </c>
      <c r="M5209" s="270">
        <v>-60</v>
      </c>
      <c r="N5209" s="270" t="s">
        <v>3944</v>
      </c>
      <c r="O5209" s="270">
        <v>1440.57</v>
      </c>
      <c r="P5209" s="270" t="s">
        <v>3944</v>
      </c>
      <c r="Q5209" s="270" t="s">
        <v>3944</v>
      </c>
      <c r="R5209" s="270">
        <v>1440.57</v>
      </c>
      <c r="S5209" s="270">
        <v>18613.53</v>
      </c>
      <c r="T5209" s="270">
        <v>20054.099999999999</v>
      </c>
      <c r="U5209" s="271" t="s">
        <v>3945</v>
      </c>
      <c r="V5209" s="267" t="s">
        <v>944</v>
      </c>
    </row>
    <row r="5210" spans="1:22" hidden="1" x14ac:dyDescent="0.25">
      <c r="A5210" s="266">
        <v>43717</v>
      </c>
      <c r="B5210" s="267">
        <v>2019</v>
      </c>
      <c r="C5210" s="267">
        <v>2020</v>
      </c>
      <c r="D5210" s="267">
        <v>1</v>
      </c>
      <c r="E5210" s="267">
        <v>1</v>
      </c>
      <c r="F5210" s="267" t="s">
        <v>944</v>
      </c>
      <c r="G5210" s="267" t="s">
        <v>3926</v>
      </c>
      <c r="H5210" s="267" t="s">
        <v>9866</v>
      </c>
      <c r="I5210" s="267" t="s">
        <v>4016</v>
      </c>
      <c r="J5210" s="267" t="s">
        <v>3928</v>
      </c>
      <c r="K5210" s="267">
        <v>6770</v>
      </c>
      <c r="L5210" s="267">
        <v>345202</v>
      </c>
      <c r="M5210" s="267" t="s">
        <v>3960</v>
      </c>
      <c r="N5210" s="267" t="s">
        <v>3944</v>
      </c>
      <c r="O5210" s="267">
        <v>1475.22</v>
      </c>
      <c r="P5210" s="267" t="s">
        <v>3944</v>
      </c>
      <c r="Q5210" s="267" t="s">
        <v>3944</v>
      </c>
      <c r="R5210" s="267">
        <v>1475.22</v>
      </c>
      <c r="S5210" s="267">
        <v>20328.990000000002</v>
      </c>
      <c r="T5210" s="267">
        <v>21804.21</v>
      </c>
      <c r="U5210" s="268" t="s">
        <v>3945</v>
      </c>
      <c r="V5210" s="267" t="s">
        <v>944</v>
      </c>
    </row>
    <row r="5211" spans="1:22" hidden="1" x14ac:dyDescent="0.25">
      <c r="A5211" s="269">
        <v>43717</v>
      </c>
      <c r="B5211" s="270">
        <v>2019</v>
      </c>
      <c r="C5211" s="270">
        <v>2020</v>
      </c>
      <c r="D5211" s="270">
        <v>1</v>
      </c>
      <c r="E5211" s="270">
        <v>1</v>
      </c>
      <c r="F5211" s="270" t="s">
        <v>944</v>
      </c>
      <c r="G5211" s="270" t="s">
        <v>3926</v>
      </c>
      <c r="H5211" s="270" t="s">
        <v>9867</v>
      </c>
      <c r="I5211" s="270" t="s">
        <v>2985</v>
      </c>
      <c r="J5211" s="270" t="s">
        <v>3928</v>
      </c>
      <c r="K5211" s="270">
        <v>6824</v>
      </c>
      <c r="L5211" s="270">
        <v>61500</v>
      </c>
      <c r="M5211" s="270" t="s">
        <v>3943</v>
      </c>
      <c r="N5211" s="270" t="s">
        <v>9868</v>
      </c>
      <c r="O5211" s="270"/>
      <c r="P5211" s="270" t="s">
        <v>3944</v>
      </c>
      <c r="Q5211" s="270" t="s">
        <v>9868</v>
      </c>
      <c r="R5211" s="270">
        <v>312120.59000000003</v>
      </c>
      <c r="S5211" s="270">
        <v>1798.21</v>
      </c>
      <c r="T5211" s="270">
        <v>313918.8</v>
      </c>
      <c r="U5211" s="271" t="s">
        <v>4099</v>
      </c>
      <c r="V5211" s="267" t="s">
        <v>944</v>
      </c>
    </row>
    <row r="5212" spans="1:22" hidden="1" x14ac:dyDescent="0.25">
      <c r="A5212" s="266">
        <v>43718</v>
      </c>
      <c r="B5212" s="267">
        <v>2019</v>
      </c>
      <c r="C5212" s="267">
        <v>2020</v>
      </c>
      <c r="D5212" s="267">
        <v>1</v>
      </c>
      <c r="E5212" s="267">
        <v>1</v>
      </c>
      <c r="F5212" s="267" t="s">
        <v>944</v>
      </c>
      <c r="G5212" s="267" t="s">
        <v>3926</v>
      </c>
      <c r="H5212" s="267" t="s">
        <v>9869</v>
      </c>
      <c r="I5212" s="267" t="s">
        <v>6135</v>
      </c>
      <c r="J5212" s="267" t="s">
        <v>3928</v>
      </c>
      <c r="K5212" s="267">
        <v>6492</v>
      </c>
      <c r="L5212" s="267">
        <v>175300</v>
      </c>
      <c r="M5212" s="267" t="s">
        <v>3935</v>
      </c>
      <c r="N5212" s="267" t="s">
        <v>9870</v>
      </c>
      <c r="O5212" s="267">
        <v>0</v>
      </c>
      <c r="P5212" s="267" t="s">
        <v>3930</v>
      </c>
      <c r="Q5212" s="267" t="s">
        <v>3930</v>
      </c>
      <c r="R5212" s="267">
        <v>0</v>
      </c>
      <c r="S5212" s="267">
        <v>11615</v>
      </c>
      <c r="T5212" s="267">
        <v>11615</v>
      </c>
      <c r="U5212" s="268" t="s">
        <v>3937</v>
      </c>
      <c r="V5212" s="267" t="s">
        <v>944</v>
      </c>
    </row>
    <row r="5213" spans="1:22" hidden="1" x14ac:dyDescent="0.25">
      <c r="A5213" s="269">
        <v>43718</v>
      </c>
      <c r="B5213" s="270">
        <v>2019</v>
      </c>
      <c r="C5213" s="270">
        <v>2020</v>
      </c>
      <c r="D5213" s="270">
        <v>1</v>
      </c>
      <c r="E5213" s="270">
        <v>1</v>
      </c>
      <c r="F5213" s="270" t="s">
        <v>944</v>
      </c>
      <c r="G5213" s="270" t="s">
        <v>3926</v>
      </c>
      <c r="H5213" s="270" t="s">
        <v>9871</v>
      </c>
      <c r="I5213" s="270" t="s">
        <v>3010</v>
      </c>
      <c r="J5213" s="270" t="s">
        <v>3928</v>
      </c>
      <c r="K5213" s="270">
        <v>6401</v>
      </c>
      <c r="L5213" s="270">
        <v>125200</v>
      </c>
      <c r="M5213" s="270">
        <v>-60</v>
      </c>
      <c r="N5213" s="270" t="s">
        <v>9872</v>
      </c>
      <c r="O5213" s="270">
        <v>0</v>
      </c>
      <c r="P5213" s="270" t="s">
        <v>3930</v>
      </c>
      <c r="Q5213" s="270" t="s">
        <v>3930</v>
      </c>
      <c r="R5213" s="270">
        <v>0</v>
      </c>
      <c r="S5213" s="270">
        <v>9825</v>
      </c>
      <c r="T5213" s="270">
        <v>9825</v>
      </c>
      <c r="U5213" s="271" t="s">
        <v>3937</v>
      </c>
      <c r="V5213" s="267" t="s">
        <v>944</v>
      </c>
    </row>
    <row r="5214" spans="1:22" hidden="1" x14ac:dyDescent="0.25">
      <c r="A5214" s="266">
        <v>43718</v>
      </c>
      <c r="B5214" s="267">
        <v>2019</v>
      </c>
      <c r="C5214" s="267">
        <v>2020</v>
      </c>
      <c r="D5214" s="267">
        <v>1</v>
      </c>
      <c r="E5214" s="267">
        <v>1</v>
      </c>
      <c r="F5214" s="267" t="s">
        <v>944</v>
      </c>
      <c r="G5214" s="267" t="s">
        <v>3926</v>
      </c>
      <c r="H5214" s="267" t="s">
        <v>9873</v>
      </c>
      <c r="I5214" s="267" t="s">
        <v>5401</v>
      </c>
      <c r="J5214" s="267" t="s">
        <v>3928</v>
      </c>
      <c r="K5214" s="267">
        <v>6820</v>
      </c>
      <c r="L5214" s="267">
        <v>30500</v>
      </c>
      <c r="M5214" s="267" t="s">
        <v>3943</v>
      </c>
      <c r="N5214" s="267" t="s">
        <v>4367</v>
      </c>
      <c r="O5214" s="267">
        <v>0</v>
      </c>
      <c r="P5214" s="267" t="s">
        <v>3930</v>
      </c>
      <c r="Q5214" s="267" t="s">
        <v>3930</v>
      </c>
      <c r="R5214" s="267">
        <v>0</v>
      </c>
      <c r="S5214" s="267">
        <v>16000</v>
      </c>
      <c r="T5214" s="267">
        <v>16000</v>
      </c>
      <c r="U5214" s="268" t="s">
        <v>3937</v>
      </c>
      <c r="V5214" s="267" t="s">
        <v>944</v>
      </c>
    </row>
    <row r="5215" spans="1:22" x14ac:dyDescent="0.25">
      <c r="A5215" s="269">
        <v>43718</v>
      </c>
      <c r="B5215" s="270">
        <v>2019</v>
      </c>
      <c r="C5215" s="270">
        <v>2020</v>
      </c>
      <c r="D5215" s="270">
        <v>1</v>
      </c>
      <c r="E5215" s="270">
        <v>1</v>
      </c>
      <c r="F5215" s="270" t="s">
        <v>944</v>
      </c>
      <c r="G5215" s="270" t="s">
        <v>3926</v>
      </c>
      <c r="H5215" s="270" t="s">
        <v>9874</v>
      </c>
      <c r="I5215" s="270" t="s">
        <v>934</v>
      </c>
      <c r="J5215" s="270" t="s">
        <v>3928</v>
      </c>
      <c r="K5215" s="270">
        <v>6605</v>
      </c>
      <c r="L5215" s="270">
        <v>70100</v>
      </c>
      <c r="M5215" s="270" t="s">
        <v>3960</v>
      </c>
      <c r="N5215" s="270" t="s">
        <v>4053</v>
      </c>
      <c r="O5215" s="270">
        <v>1222.3800000000001</v>
      </c>
      <c r="P5215" s="270" t="s">
        <v>3930</v>
      </c>
      <c r="Q5215" s="270" t="s">
        <v>3931</v>
      </c>
      <c r="R5215" s="270">
        <v>6222.38</v>
      </c>
      <c r="S5215" s="270">
        <v>18603.2</v>
      </c>
      <c r="T5215" s="270">
        <v>24825.58</v>
      </c>
      <c r="U5215" s="271" t="s">
        <v>3932</v>
      </c>
      <c r="V5215" s="276" t="s">
        <v>936</v>
      </c>
    </row>
    <row r="5216" spans="1:22" hidden="1" x14ac:dyDescent="0.25">
      <c r="A5216" s="266">
        <v>43718</v>
      </c>
      <c r="B5216" s="267">
        <v>2019</v>
      </c>
      <c r="C5216" s="267">
        <v>2020</v>
      </c>
      <c r="D5216" s="267">
        <v>1</v>
      </c>
      <c r="E5216" s="267">
        <v>1</v>
      </c>
      <c r="F5216" s="267" t="s">
        <v>944</v>
      </c>
      <c r="G5216" s="267" t="s">
        <v>3926</v>
      </c>
      <c r="H5216" s="267" t="s">
        <v>9875</v>
      </c>
      <c r="I5216" s="267" t="s">
        <v>3999</v>
      </c>
      <c r="J5216" s="267" t="s">
        <v>3928</v>
      </c>
      <c r="K5216" s="267">
        <v>6451</v>
      </c>
      <c r="L5216" s="267">
        <v>170300</v>
      </c>
      <c r="M5216" s="267">
        <v>-60</v>
      </c>
      <c r="N5216" s="267" t="s">
        <v>3944</v>
      </c>
      <c r="O5216" s="267">
        <v>2840</v>
      </c>
      <c r="P5216" s="267" t="s">
        <v>3944</v>
      </c>
      <c r="Q5216" s="267" t="s">
        <v>3944</v>
      </c>
      <c r="R5216" s="267">
        <v>2840</v>
      </c>
      <c r="S5216" s="267">
        <v>20312.5</v>
      </c>
      <c r="T5216" s="267">
        <v>23152.5</v>
      </c>
      <c r="U5216" s="268" t="s">
        <v>3945</v>
      </c>
      <c r="V5216" s="267" t="s">
        <v>944</v>
      </c>
    </row>
    <row r="5217" spans="1:22" hidden="1" x14ac:dyDescent="0.25">
      <c r="A5217" s="269">
        <v>43718</v>
      </c>
      <c r="B5217" s="270">
        <v>2019</v>
      </c>
      <c r="C5217" s="270">
        <v>2020</v>
      </c>
      <c r="D5217" s="270">
        <v>1</v>
      </c>
      <c r="E5217" s="270">
        <v>1</v>
      </c>
      <c r="F5217" s="270" t="s">
        <v>944</v>
      </c>
      <c r="G5217" s="270" t="s">
        <v>3926</v>
      </c>
      <c r="H5217" s="270" t="s">
        <v>9876</v>
      </c>
      <c r="I5217" s="270" t="s">
        <v>4947</v>
      </c>
      <c r="J5217" s="270" t="s">
        <v>3928</v>
      </c>
      <c r="K5217" s="270">
        <v>6787</v>
      </c>
      <c r="L5217" s="270">
        <v>349100</v>
      </c>
      <c r="M5217" s="270" t="s">
        <v>3935</v>
      </c>
      <c r="N5217" s="270" t="s">
        <v>3944</v>
      </c>
      <c r="O5217" s="270">
        <v>3421</v>
      </c>
      <c r="P5217" s="270" t="s">
        <v>3944</v>
      </c>
      <c r="Q5217" s="270" t="s">
        <v>3944</v>
      </c>
      <c r="R5217" s="270">
        <v>3421</v>
      </c>
      <c r="S5217" s="270">
        <v>20699</v>
      </c>
      <c r="T5217" s="270">
        <v>24120</v>
      </c>
      <c r="U5217" s="271" t="s">
        <v>3945</v>
      </c>
      <c r="V5217" s="267" t="s">
        <v>944</v>
      </c>
    </row>
    <row r="5218" spans="1:22" hidden="1" x14ac:dyDescent="0.25">
      <c r="A5218" s="266">
        <v>43718</v>
      </c>
      <c r="B5218" s="267">
        <v>2019</v>
      </c>
      <c r="C5218" s="267">
        <v>2020</v>
      </c>
      <c r="D5218" s="267">
        <v>1</v>
      </c>
      <c r="E5218" s="267">
        <v>1</v>
      </c>
      <c r="F5218" s="267" t="s">
        <v>944</v>
      </c>
      <c r="G5218" s="267" t="s">
        <v>3926</v>
      </c>
      <c r="H5218" s="267" t="s">
        <v>9877</v>
      </c>
      <c r="I5218" s="267" t="s">
        <v>3966</v>
      </c>
      <c r="J5218" s="267" t="s">
        <v>3928</v>
      </c>
      <c r="K5218" s="267">
        <v>6010</v>
      </c>
      <c r="L5218" s="267">
        <v>405800</v>
      </c>
      <c r="M5218" s="267" t="s">
        <v>3935</v>
      </c>
      <c r="N5218" s="267" t="s">
        <v>3944</v>
      </c>
      <c r="O5218" s="267">
        <v>4843</v>
      </c>
      <c r="P5218" s="267" t="s">
        <v>3944</v>
      </c>
      <c r="Q5218" s="267" t="s">
        <v>3944</v>
      </c>
      <c r="R5218" s="267">
        <v>4843</v>
      </c>
      <c r="S5218" s="267">
        <v>25113.5</v>
      </c>
      <c r="T5218" s="267">
        <v>29956.5</v>
      </c>
      <c r="U5218" s="268" t="s">
        <v>3945</v>
      </c>
      <c r="V5218" s="267" t="s">
        <v>944</v>
      </c>
    </row>
    <row r="5219" spans="1:22" hidden="1" x14ac:dyDescent="0.25">
      <c r="A5219" s="269">
        <v>43718</v>
      </c>
      <c r="B5219" s="270">
        <v>2019</v>
      </c>
      <c r="C5219" s="270">
        <v>2020</v>
      </c>
      <c r="D5219" s="270">
        <v>1</v>
      </c>
      <c r="E5219" s="270">
        <v>1</v>
      </c>
      <c r="F5219" s="270" t="s">
        <v>944</v>
      </c>
      <c r="G5219" s="270" t="s">
        <v>3926</v>
      </c>
      <c r="H5219" s="270" t="s">
        <v>9878</v>
      </c>
      <c r="I5219" s="270" t="s">
        <v>4213</v>
      </c>
      <c r="J5219" s="270" t="s">
        <v>3928</v>
      </c>
      <c r="K5219" s="270">
        <v>6053</v>
      </c>
      <c r="L5219" s="270">
        <v>417400</v>
      </c>
      <c r="M5219" s="270" t="s">
        <v>3935</v>
      </c>
      <c r="N5219" s="270" t="s">
        <v>3944</v>
      </c>
      <c r="O5219" s="270">
        <v>3288</v>
      </c>
      <c r="P5219" s="270" t="s">
        <v>3944</v>
      </c>
      <c r="Q5219" s="270" t="s">
        <v>3944</v>
      </c>
      <c r="R5219" s="270">
        <v>3288</v>
      </c>
      <c r="S5219" s="270">
        <v>32842.5</v>
      </c>
      <c r="T5219" s="270">
        <v>36130.5</v>
      </c>
      <c r="U5219" s="271" t="s">
        <v>3945</v>
      </c>
      <c r="V5219" s="267" t="s">
        <v>944</v>
      </c>
    </row>
    <row r="5220" spans="1:22" hidden="1" x14ac:dyDescent="0.25">
      <c r="A5220" s="266">
        <v>43718</v>
      </c>
      <c r="B5220" s="267">
        <v>2019</v>
      </c>
      <c r="C5220" s="267">
        <v>2020</v>
      </c>
      <c r="D5220" s="267">
        <v>1</v>
      </c>
      <c r="E5220" s="267">
        <v>1</v>
      </c>
      <c r="F5220" s="267" t="s">
        <v>944</v>
      </c>
      <c r="G5220" s="267" t="s">
        <v>3926</v>
      </c>
      <c r="H5220" s="267" t="s">
        <v>9879</v>
      </c>
      <c r="I5220" s="267" t="s">
        <v>4019</v>
      </c>
      <c r="J5220" s="267" t="s">
        <v>3928</v>
      </c>
      <c r="K5220" s="267">
        <v>6705</v>
      </c>
      <c r="L5220" s="267">
        <v>352702</v>
      </c>
      <c r="M5220" s="267" t="s">
        <v>3940</v>
      </c>
      <c r="N5220" s="267" t="s">
        <v>3944</v>
      </c>
      <c r="O5220" s="267">
        <v>2721</v>
      </c>
      <c r="P5220" s="267" t="s">
        <v>3944</v>
      </c>
      <c r="Q5220" s="267" t="s">
        <v>3944</v>
      </c>
      <c r="R5220" s="267">
        <v>2721</v>
      </c>
      <c r="S5220" s="267">
        <v>21402.35</v>
      </c>
      <c r="T5220" s="267">
        <v>24123.35</v>
      </c>
      <c r="U5220" s="268" t="s">
        <v>3945</v>
      </c>
      <c r="V5220" s="267" t="s">
        <v>944</v>
      </c>
    </row>
    <row r="5221" spans="1:22" x14ac:dyDescent="0.25">
      <c r="A5221" s="269">
        <v>43718</v>
      </c>
      <c r="B5221" s="270">
        <v>2019</v>
      </c>
      <c r="C5221" s="270">
        <v>2020</v>
      </c>
      <c r="D5221" s="270">
        <v>1</v>
      </c>
      <c r="E5221" s="270">
        <v>1</v>
      </c>
      <c r="F5221" s="270" t="s">
        <v>944</v>
      </c>
      <c r="G5221" s="270" t="s">
        <v>3926</v>
      </c>
      <c r="H5221" s="270" t="s">
        <v>9880</v>
      </c>
      <c r="I5221" s="270" t="s">
        <v>934</v>
      </c>
      <c r="J5221" s="270" t="s">
        <v>3928</v>
      </c>
      <c r="K5221" s="270">
        <v>6606</v>
      </c>
      <c r="L5221" s="270">
        <v>72200</v>
      </c>
      <c r="M5221" s="270">
        <v>-60</v>
      </c>
      <c r="N5221" s="270" t="s">
        <v>3944</v>
      </c>
      <c r="O5221" s="270">
        <v>1617.28</v>
      </c>
      <c r="P5221" s="270" t="s">
        <v>3944</v>
      </c>
      <c r="Q5221" s="270" t="s">
        <v>3944</v>
      </c>
      <c r="R5221" s="270">
        <v>1617.28</v>
      </c>
      <c r="S5221" s="270">
        <v>24191.119999999999</v>
      </c>
      <c r="T5221" s="270">
        <v>25808.400000000001</v>
      </c>
      <c r="U5221" s="271" t="s">
        <v>3945</v>
      </c>
      <c r="V5221" s="276" t="s">
        <v>936</v>
      </c>
    </row>
    <row r="5222" spans="1:22" hidden="1" x14ac:dyDescent="0.25">
      <c r="A5222" s="266">
        <v>43718</v>
      </c>
      <c r="B5222" s="267">
        <v>2019</v>
      </c>
      <c r="C5222" s="267">
        <v>2020</v>
      </c>
      <c r="D5222" s="267">
        <v>1</v>
      </c>
      <c r="E5222" s="267">
        <v>1</v>
      </c>
      <c r="F5222" s="267" t="s">
        <v>944</v>
      </c>
      <c r="G5222" s="267" t="s">
        <v>3926</v>
      </c>
      <c r="H5222" s="267" t="s">
        <v>9881</v>
      </c>
      <c r="I5222" s="267" t="s">
        <v>4035</v>
      </c>
      <c r="J5222" s="267" t="s">
        <v>3928</v>
      </c>
      <c r="K5222" s="267">
        <v>6074</v>
      </c>
      <c r="L5222" s="267">
        <v>487500</v>
      </c>
      <c r="M5222" s="267" t="s">
        <v>3935</v>
      </c>
      <c r="N5222" s="267" t="s">
        <v>3944</v>
      </c>
      <c r="O5222" s="267">
        <v>1219.0899999999999</v>
      </c>
      <c r="P5222" s="267" t="s">
        <v>3944</v>
      </c>
      <c r="Q5222" s="267" t="s">
        <v>3944</v>
      </c>
      <c r="R5222" s="267">
        <v>1219.0899999999999</v>
      </c>
      <c r="S5222" s="267">
        <v>16076.63</v>
      </c>
      <c r="T5222" s="267">
        <v>17295.72</v>
      </c>
      <c r="U5222" s="268" t="s">
        <v>3945</v>
      </c>
      <c r="V5222" s="267" t="s">
        <v>944</v>
      </c>
    </row>
    <row r="5223" spans="1:22" hidden="1" x14ac:dyDescent="0.25">
      <c r="A5223" s="269">
        <v>43718</v>
      </c>
      <c r="B5223" s="270">
        <v>2019</v>
      </c>
      <c r="C5223" s="270">
        <v>2020</v>
      </c>
      <c r="D5223" s="270">
        <v>1</v>
      </c>
      <c r="E5223" s="270">
        <v>1</v>
      </c>
      <c r="F5223" s="270" t="s">
        <v>944</v>
      </c>
      <c r="G5223" s="270" t="s">
        <v>3926</v>
      </c>
      <c r="H5223" s="270" t="s">
        <v>9882</v>
      </c>
      <c r="I5223" s="270" t="s">
        <v>4011</v>
      </c>
      <c r="J5223" s="270" t="s">
        <v>3928</v>
      </c>
      <c r="K5223" s="270">
        <v>6002</v>
      </c>
      <c r="L5223" s="270">
        <v>471100</v>
      </c>
      <c r="M5223" s="270" t="s">
        <v>3935</v>
      </c>
      <c r="N5223" s="270" t="s">
        <v>3944</v>
      </c>
      <c r="O5223" s="270">
        <v>1146.08</v>
      </c>
      <c r="P5223" s="270" t="s">
        <v>3944</v>
      </c>
      <c r="Q5223" s="270" t="s">
        <v>3944</v>
      </c>
      <c r="R5223" s="270">
        <v>1146.08</v>
      </c>
      <c r="S5223" s="270">
        <v>14583.51</v>
      </c>
      <c r="T5223" s="270">
        <v>15729.59</v>
      </c>
      <c r="U5223" s="271" t="s">
        <v>3945</v>
      </c>
      <c r="V5223" s="267" t="s">
        <v>944</v>
      </c>
    </row>
    <row r="5224" spans="1:22" hidden="1" x14ac:dyDescent="0.25">
      <c r="A5224" s="266">
        <v>43718</v>
      </c>
      <c r="B5224" s="267">
        <v>2019</v>
      </c>
      <c r="C5224" s="267">
        <v>2020</v>
      </c>
      <c r="D5224" s="267">
        <v>1</v>
      </c>
      <c r="E5224" s="267">
        <v>1</v>
      </c>
      <c r="F5224" s="267" t="s">
        <v>944</v>
      </c>
      <c r="G5224" s="267" t="s">
        <v>3926</v>
      </c>
      <c r="H5224" s="267" t="s">
        <v>9883</v>
      </c>
      <c r="I5224" s="267" t="s">
        <v>3968</v>
      </c>
      <c r="J5224" s="267" t="s">
        <v>3928</v>
      </c>
      <c r="K5224" s="267">
        <v>6040</v>
      </c>
      <c r="L5224" s="267">
        <v>515102</v>
      </c>
      <c r="M5224" s="267" t="s">
        <v>3935</v>
      </c>
      <c r="N5224" s="267" t="s">
        <v>3944</v>
      </c>
      <c r="O5224" s="267">
        <v>2099.06</v>
      </c>
      <c r="P5224" s="267" t="s">
        <v>3944</v>
      </c>
      <c r="Q5224" s="267" t="s">
        <v>3944</v>
      </c>
      <c r="R5224" s="267">
        <v>2099.06</v>
      </c>
      <c r="S5224" s="267">
        <v>28556.46</v>
      </c>
      <c r="T5224" s="267">
        <v>30655.52</v>
      </c>
      <c r="U5224" s="268" t="s">
        <v>3945</v>
      </c>
      <c r="V5224" s="267" t="s">
        <v>944</v>
      </c>
    </row>
    <row r="5225" spans="1:22" hidden="1" x14ac:dyDescent="0.25">
      <c r="A5225" s="269">
        <v>43718</v>
      </c>
      <c r="B5225" s="270">
        <v>2019</v>
      </c>
      <c r="C5225" s="270">
        <v>2020</v>
      </c>
      <c r="D5225" s="270">
        <v>1</v>
      </c>
      <c r="E5225" s="270">
        <v>1</v>
      </c>
      <c r="F5225" s="270" t="s">
        <v>944</v>
      </c>
      <c r="G5225" s="270" t="s">
        <v>3926</v>
      </c>
      <c r="H5225" s="270" t="s">
        <v>9884</v>
      </c>
      <c r="I5225" s="270" t="s">
        <v>953</v>
      </c>
      <c r="J5225" s="270" t="s">
        <v>3928</v>
      </c>
      <c r="K5225" s="270">
        <v>6514</v>
      </c>
      <c r="L5225" s="270">
        <v>165802</v>
      </c>
      <c r="M5225" s="270" t="s">
        <v>3943</v>
      </c>
      <c r="N5225" s="270" t="s">
        <v>3944</v>
      </c>
      <c r="O5225" s="270">
        <v>1481.62</v>
      </c>
      <c r="P5225" s="270" t="s">
        <v>3944</v>
      </c>
      <c r="Q5225" s="270" t="s">
        <v>3944</v>
      </c>
      <c r="R5225" s="270">
        <v>1481.62</v>
      </c>
      <c r="S5225" s="270">
        <v>21403.24</v>
      </c>
      <c r="T5225" s="270">
        <v>22884.86</v>
      </c>
      <c r="U5225" s="271" t="s">
        <v>3945</v>
      </c>
      <c r="V5225" s="267" t="s">
        <v>944</v>
      </c>
    </row>
    <row r="5226" spans="1:22" hidden="1" x14ac:dyDescent="0.25">
      <c r="A5226" s="266">
        <v>43718</v>
      </c>
      <c r="B5226" s="267">
        <v>2019</v>
      </c>
      <c r="C5226" s="267">
        <v>2020</v>
      </c>
      <c r="D5226" s="267">
        <v>1</v>
      </c>
      <c r="E5226" s="267">
        <v>1</v>
      </c>
      <c r="F5226" s="267" t="s">
        <v>944</v>
      </c>
      <c r="G5226" s="267" t="s">
        <v>3926</v>
      </c>
      <c r="H5226" s="267" t="s">
        <v>9885</v>
      </c>
      <c r="I5226" s="267" t="s">
        <v>4065</v>
      </c>
      <c r="J5226" s="267" t="s">
        <v>3928</v>
      </c>
      <c r="K5226" s="267">
        <v>6480</v>
      </c>
      <c r="L5226" s="267">
        <v>560200</v>
      </c>
      <c r="M5226" s="267" t="s">
        <v>3935</v>
      </c>
      <c r="N5226" s="267" t="s">
        <v>3944</v>
      </c>
      <c r="O5226" s="267">
        <v>1703.56</v>
      </c>
      <c r="P5226" s="267" t="s">
        <v>3944</v>
      </c>
      <c r="Q5226" s="267" t="s">
        <v>3944</v>
      </c>
      <c r="R5226" s="267">
        <v>1703.56</v>
      </c>
      <c r="S5226" s="267">
        <v>30479.22</v>
      </c>
      <c r="T5226" s="267">
        <v>32182.78</v>
      </c>
      <c r="U5226" s="268" t="s">
        <v>3945</v>
      </c>
      <c r="V5226" s="267" t="s">
        <v>944</v>
      </c>
    </row>
    <row r="5227" spans="1:22" x14ac:dyDescent="0.25">
      <c r="A5227" s="269">
        <v>43718</v>
      </c>
      <c r="B5227" s="270">
        <v>2019</v>
      </c>
      <c r="C5227" s="270">
        <v>2020</v>
      </c>
      <c r="D5227" s="270">
        <v>1</v>
      </c>
      <c r="E5227" s="270">
        <v>1</v>
      </c>
      <c r="F5227" s="270" t="s">
        <v>944</v>
      </c>
      <c r="G5227" s="270" t="s">
        <v>3926</v>
      </c>
      <c r="H5227" s="270" t="s">
        <v>9886</v>
      </c>
      <c r="I5227" s="270" t="s">
        <v>934</v>
      </c>
      <c r="J5227" s="270" t="s">
        <v>3928</v>
      </c>
      <c r="K5227" s="270">
        <v>6608</v>
      </c>
      <c r="L5227" s="270">
        <v>73400</v>
      </c>
      <c r="M5227" s="270" t="s">
        <v>3940</v>
      </c>
      <c r="N5227" s="270" t="s">
        <v>3944</v>
      </c>
      <c r="O5227" s="270">
        <v>1164.31</v>
      </c>
      <c r="P5227" s="270" t="s">
        <v>3944</v>
      </c>
      <c r="Q5227" s="270" t="s">
        <v>3944</v>
      </c>
      <c r="R5227" s="270">
        <v>1164.31</v>
      </c>
      <c r="S5227" s="270">
        <v>15064.18</v>
      </c>
      <c r="T5227" s="270">
        <v>16228.49</v>
      </c>
      <c r="U5227" s="271" t="s">
        <v>3945</v>
      </c>
      <c r="V5227" s="276" t="s">
        <v>936</v>
      </c>
    </row>
    <row r="5228" spans="1:22" hidden="1" x14ac:dyDescent="0.25">
      <c r="A5228" s="266">
        <v>43718</v>
      </c>
      <c r="B5228" s="267">
        <v>2019</v>
      </c>
      <c r="C5228" s="267">
        <v>2020</v>
      </c>
      <c r="D5228" s="267">
        <v>1</v>
      </c>
      <c r="E5228" s="267">
        <v>1</v>
      </c>
      <c r="F5228" s="267" t="s">
        <v>944</v>
      </c>
      <c r="G5228" s="267" t="s">
        <v>3926</v>
      </c>
      <c r="H5228" s="267" t="s">
        <v>9887</v>
      </c>
      <c r="I5228" s="267" t="s">
        <v>950</v>
      </c>
      <c r="J5228" s="267" t="s">
        <v>3928</v>
      </c>
      <c r="K5228" s="267">
        <v>6516</v>
      </c>
      <c r="L5228" s="267">
        <v>154100</v>
      </c>
      <c r="M5228" s="267" t="s">
        <v>3940</v>
      </c>
      <c r="N5228" s="267" t="s">
        <v>3944</v>
      </c>
      <c r="O5228" s="267">
        <v>1075.3399999999999</v>
      </c>
      <c r="P5228" s="267" t="s">
        <v>3944</v>
      </c>
      <c r="Q5228" s="267" t="s">
        <v>3944</v>
      </c>
      <c r="R5228" s="267">
        <v>1075.3399999999999</v>
      </c>
      <c r="S5228" s="267">
        <v>14635.96</v>
      </c>
      <c r="T5228" s="267">
        <v>15711.3</v>
      </c>
      <c r="U5228" s="268" t="s">
        <v>3945</v>
      </c>
      <c r="V5228" s="267" t="s">
        <v>944</v>
      </c>
    </row>
    <row r="5229" spans="1:22" hidden="1" x14ac:dyDescent="0.25">
      <c r="A5229" s="269">
        <v>43718</v>
      </c>
      <c r="B5229" s="270">
        <v>2019</v>
      </c>
      <c r="C5229" s="270">
        <v>2020</v>
      </c>
      <c r="D5229" s="270">
        <v>1</v>
      </c>
      <c r="E5229" s="270">
        <v>1</v>
      </c>
      <c r="F5229" s="270" t="s">
        <v>944</v>
      </c>
      <c r="G5229" s="270" t="s">
        <v>3926</v>
      </c>
      <c r="H5229" s="270" t="s">
        <v>9888</v>
      </c>
      <c r="I5229" s="270" t="s">
        <v>4213</v>
      </c>
      <c r="J5229" s="270" t="s">
        <v>3928</v>
      </c>
      <c r="K5229" s="270">
        <v>6053</v>
      </c>
      <c r="L5229" s="270">
        <v>417500</v>
      </c>
      <c r="M5229" s="270" t="s">
        <v>3940</v>
      </c>
      <c r="N5229" s="270" t="s">
        <v>3944</v>
      </c>
      <c r="O5229" s="270">
        <v>2313.29</v>
      </c>
      <c r="P5229" s="270" t="s">
        <v>3944</v>
      </c>
      <c r="Q5229" s="270" t="s">
        <v>3944</v>
      </c>
      <c r="R5229" s="270">
        <v>2313.29</v>
      </c>
      <c r="S5229" s="270">
        <v>27796.51</v>
      </c>
      <c r="T5229" s="270">
        <v>30109.8</v>
      </c>
      <c r="U5229" s="271" t="s">
        <v>3945</v>
      </c>
      <c r="V5229" s="267" t="s">
        <v>944</v>
      </c>
    </row>
    <row r="5230" spans="1:22" hidden="1" x14ac:dyDescent="0.25">
      <c r="A5230" s="266">
        <v>43718</v>
      </c>
      <c r="B5230" s="267">
        <v>2019</v>
      </c>
      <c r="C5230" s="267">
        <v>2020</v>
      </c>
      <c r="D5230" s="267">
        <v>1</v>
      </c>
      <c r="E5230" s="267">
        <v>1</v>
      </c>
      <c r="F5230" s="267" t="s">
        <v>944</v>
      </c>
      <c r="G5230" s="267" t="s">
        <v>3926</v>
      </c>
      <c r="H5230" s="267" t="s">
        <v>9889</v>
      </c>
      <c r="I5230" s="267" t="s">
        <v>4019</v>
      </c>
      <c r="J5230" s="267" t="s">
        <v>3928</v>
      </c>
      <c r="K5230" s="267">
        <v>6708</v>
      </c>
      <c r="L5230" s="267">
        <v>352100</v>
      </c>
      <c r="M5230" s="267" t="s">
        <v>3940</v>
      </c>
      <c r="N5230" s="267" t="s">
        <v>3944</v>
      </c>
      <c r="O5230" s="267">
        <v>936.6</v>
      </c>
      <c r="P5230" s="267" t="s">
        <v>3944</v>
      </c>
      <c r="Q5230" s="267" t="s">
        <v>3944</v>
      </c>
      <c r="R5230" s="267">
        <v>936.6</v>
      </c>
      <c r="S5230" s="267">
        <v>11159.1</v>
      </c>
      <c r="T5230" s="267">
        <v>12095.7</v>
      </c>
      <c r="U5230" s="268" t="s">
        <v>3945</v>
      </c>
      <c r="V5230" s="267" t="s">
        <v>944</v>
      </c>
    </row>
    <row r="5231" spans="1:22" hidden="1" x14ac:dyDescent="0.25">
      <c r="A5231" s="269">
        <v>43718</v>
      </c>
      <c r="B5231" s="270">
        <v>2019</v>
      </c>
      <c r="C5231" s="270">
        <v>2020</v>
      </c>
      <c r="D5231" s="270">
        <v>1</v>
      </c>
      <c r="E5231" s="270">
        <v>1</v>
      </c>
      <c r="F5231" s="270" t="s">
        <v>944</v>
      </c>
      <c r="G5231" s="270" t="s">
        <v>3926</v>
      </c>
      <c r="H5231" s="270" t="s">
        <v>9890</v>
      </c>
      <c r="I5231" s="270" t="s">
        <v>4016</v>
      </c>
      <c r="J5231" s="270" t="s">
        <v>3928</v>
      </c>
      <c r="K5231" s="270">
        <v>6770</v>
      </c>
      <c r="L5231" s="270">
        <v>345201</v>
      </c>
      <c r="M5231" s="270" t="s">
        <v>3935</v>
      </c>
      <c r="N5231" s="270" t="s">
        <v>3944</v>
      </c>
      <c r="O5231" s="270">
        <v>1528.31</v>
      </c>
      <c r="P5231" s="270" t="s">
        <v>3944</v>
      </c>
      <c r="Q5231" s="270" t="s">
        <v>3944</v>
      </c>
      <c r="R5231" s="270">
        <v>1528.31</v>
      </c>
      <c r="S5231" s="270">
        <v>18728.810000000001</v>
      </c>
      <c r="T5231" s="270">
        <v>20257.12</v>
      </c>
      <c r="U5231" s="271" t="s">
        <v>3945</v>
      </c>
      <c r="V5231" s="267" t="s">
        <v>944</v>
      </c>
    </row>
    <row r="5232" spans="1:22" hidden="1" x14ac:dyDescent="0.25">
      <c r="A5232" s="266">
        <v>43718</v>
      </c>
      <c r="B5232" s="267">
        <v>2019</v>
      </c>
      <c r="C5232" s="267">
        <v>2020</v>
      </c>
      <c r="D5232" s="267">
        <v>1</v>
      </c>
      <c r="E5232" s="267">
        <v>1</v>
      </c>
      <c r="F5232" s="267" t="s">
        <v>944</v>
      </c>
      <c r="G5232" s="267" t="s">
        <v>3926</v>
      </c>
      <c r="H5232" s="267" t="s">
        <v>9891</v>
      </c>
      <c r="I5232" s="267" t="s">
        <v>4042</v>
      </c>
      <c r="J5232" s="267" t="s">
        <v>3928</v>
      </c>
      <c r="K5232" s="267">
        <v>6382</v>
      </c>
      <c r="L5232" s="267">
        <v>870501</v>
      </c>
      <c r="M5232" s="267" t="s">
        <v>3935</v>
      </c>
      <c r="N5232" s="267" t="s">
        <v>3944</v>
      </c>
      <c r="O5232" s="267">
        <v>1978.55</v>
      </c>
      <c r="P5232" s="267" t="s">
        <v>3944</v>
      </c>
      <c r="Q5232" s="267" t="s">
        <v>3944</v>
      </c>
      <c r="R5232" s="267">
        <v>1978.55</v>
      </c>
      <c r="S5232" s="267">
        <v>24288.13</v>
      </c>
      <c r="T5232" s="267">
        <v>26266.68</v>
      </c>
      <c r="U5232" s="268" t="s">
        <v>3945</v>
      </c>
      <c r="V5232" s="267" t="s">
        <v>944</v>
      </c>
    </row>
    <row r="5233" spans="1:22" hidden="1" x14ac:dyDescent="0.25">
      <c r="A5233" s="269">
        <v>43718</v>
      </c>
      <c r="B5233" s="270">
        <v>2019</v>
      </c>
      <c r="C5233" s="270">
        <v>2020</v>
      </c>
      <c r="D5233" s="270">
        <v>1</v>
      </c>
      <c r="E5233" s="270">
        <v>1</v>
      </c>
      <c r="F5233" s="270" t="s">
        <v>944</v>
      </c>
      <c r="G5233" s="270" t="s">
        <v>3926</v>
      </c>
      <c r="H5233" s="270" t="s">
        <v>9892</v>
      </c>
      <c r="I5233" s="270" t="s">
        <v>2985</v>
      </c>
      <c r="J5233" s="270" t="s">
        <v>3928</v>
      </c>
      <c r="K5233" s="270">
        <v>6824</v>
      </c>
      <c r="L5233" s="270">
        <v>61000</v>
      </c>
      <c r="M5233" s="270" t="s">
        <v>3935</v>
      </c>
      <c r="N5233" s="270" t="s">
        <v>3944</v>
      </c>
      <c r="O5233" s="270">
        <v>1198.54</v>
      </c>
      <c r="P5233" s="270" t="s">
        <v>3944</v>
      </c>
      <c r="Q5233" s="270" t="s">
        <v>3944</v>
      </c>
      <c r="R5233" s="270">
        <v>1198.54</v>
      </c>
      <c r="S5233" s="270">
        <v>17216.310000000001</v>
      </c>
      <c r="T5233" s="270">
        <v>18414.849999999999</v>
      </c>
      <c r="U5233" s="271" t="s">
        <v>3945</v>
      </c>
      <c r="V5233" s="267" t="s">
        <v>944</v>
      </c>
    </row>
    <row r="5234" spans="1:22" hidden="1" x14ac:dyDescent="0.25">
      <c r="A5234" s="266">
        <v>43718</v>
      </c>
      <c r="B5234" s="267">
        <v>2019</v>
      </c>
      <c r="C5234" s="267">
        <v>2020</v>
      </c>
      <c r="D5234" s="267">
        <v>1</v>
      </c>
      <c r="E5234" s="267">
        <v>1</v>
      </c>
      <c r="F5234" s="267" t="s">
        <v>944</v>
      </c>
      <c r="G5234" s="267" t="s">
        <v>3926</v>
      </c>
      <c r="H5234" s="267" t="s">
        <v>9893</v>
      </c>
      <c r="I5234" s="267" t="s">
        <v>3975</v>
      </c>
      <c r="J5234" s="267" t="s">
        <v>3928</v>
      </c>
      <c r="K5234" s="267">
        <v>6479</v>
      </c>
      <c r="L5234" s="267">
        <v>430400</v>
      </c>
      <c r="M5234" s="267" t="s">
        <v>3960</v>
      </c>
      <c r="N5234" s="267" t="s">
        <v>3944</v>
      </c>
      <c r="O5234" s="267">
        <v>2362.64</v>
      </c>
      <c r="P5234" s="267" t="s">
        <v>3944</v>
      </c>
      <c r="Q5234" s="267" t="s">
        <v>3944</v>
      </c>
      <c r="R5234" s="267">
        <v>2362.64</v>
      </c>
      <c r="S5234" s="267">
        <v>30610.07</v>
      </c>
      <c r="T5234" s="267">
        <v>32972.71</v>
      </c>
      <c r="U5234" s="268" t="s">
        <v>3945</v>
      </c>
      <c r="V5234" s="267" t="s">
        <v>944</v>
      </c>
    </row>
    <row r="5235" spans="1:22" hidden="1" x14ac:dyDescent="0.25">
      <c r="A5235" s="269">
        <v>43718</v>
      </c>
      <c r="B5235" s="270">
        <v>2019</v>
      </c>
      <c r="C5235" s="270">
        <v>2020</v>
      </c>
      <c r="D5235" s="270">
        <v>1</v>
      </c>
      <c r="E5235" s="270">
        <v>1</v>
      </c>
      <c r="F5235" s="270" t="s">
        <v>944</v>
      </c>
      <c r="G5235" s="270" t="s">
        <v>3926</v>
      </c>
      <c r="H5235" s="270" t="s">
        <v>9894</v>
      </c>
      <c r="I5235" s="270" t="s">
        <v>953</v>
      </c>
      <c r="J5235" s="270" t="s">
        <v>3928</v>
      </c>
      <c r="K5235" s="270">
        <v>6514</v>
      </c>
      <c r="L5235" s="270">
        <v>165700</v>
      </c>
      <c r="M5235" s="270" t="s">
        <v>3935</v>
      </c>
      <c r="N5235" s="270" t="s">
        <v>3944</v>
      </c>
      <c r="O5235" s="270">
        <v>756.81</v>
      </c>
      <c r="P5235" s="270" t="s">
        <v>3944</v>
      </c>
      <c r="Q5235" s="270" t="s">
        <v>3944</v>
      </c>
      <c r="R5235" s="270">
        <v>756.81</v>
      </c>
      <c r="S5235" s="270">
        <v>10703.54</v>
      </c>
      <c r="T5235" s="270">
        <v>11460.35</v>
      </c>
      <c r="U5235" s="271" t="s">
        <v>3945</v>
      </c>
      <c r="V5235" s="267" t="s">
        <v>944</v>
      </c>
    </row>
    <row r="5236" spans="1:22" hidden="1" x14ac:dyDescent="0.25">
      <c r="A5236" s="266">
        <v>43718</v>
      </c>
      <c r="B5236" s="267">
        <v>2019</v>
      </c>
      <c r="C5236" s="267">
        <v>2020</v>
      </c>
      <c r="D5236" s="267">
        <v>1</v>
      </c>
      <c r="E5236" s="267">
        <v>1</v>
      </c>
      <c r="F5236" s="267" t="s">
        <v>944</v>
      </c>
      <c r="G5236" s="267" t="s">
        <v>3926</v>
      </c>
      <c r="H5236" s="267" t="s">
        <v>9895</v>
      </c>
      <c r="I5236" s="267" t="s">
        <v>4019</v>
      </c>
      <c r="J5236" s="267" t="s">
        <v>3928</v>
      </c>
      <c r="K5236" s="267">
        <v>6708</v>
      </c>
      <c r="L5236" s="267">
        <v>352100</v>
      </c>
      <c r="M5236" s="267" t="s">
        <v>3940</v>
      </c>
      <c r="N5236" s="267" t="s">
        <v>3944</v>
      </c>
      <c r="O5236" s="267">
        <v>2351.27</v>
      </c>
      <c r="P5236" s="267" t="s">
        <v>3944</v>
      </c>
      <c r="Q5236" s="267" t="s">
        <v>3944</v>
      </c>
      <c r="R5236" s="267">
        <v>2351.27</v>
      </c>
      <c r="S5236" s="267">
        <v>31346.38</v>
      </c>
      <c r="T5236" s="267">
        <v>33697.65</v>
      </c>
      <c r="U5236" s="268" t="s">
        <v>3945</v>
      </c>
      <c r="V5236" s="267" t="s">
        <v>944</v>
      </c>
    </row>
    <row r="5237" spans="1:22" hidden="1" x14ac:dyDescent="0.25">
      <c r="A5237" s="269">
        <v>43718</v>
      </c>
      <c r="B5237" s="270">
        <v>2019</v>
      </c>
      <c r="C5237" s="270">
        <v>2020</v>
      </c>
      <c r="D5237" s="270">
        <v>1</v>
      </c>
      <c r="E5237" s="270">
        <v>1</v>
      </c>
      <c r="F5237" s="270" t="s">
        <v>944</v>
      </c>
      <c r="G5237" s="270" t="s">
        <v>3926</v>
      </c>
      <c r="H5237" s="270" t="s">
        <v>9896</v>
      </c>
      <c r="I5237" s="270" t="s">
        <v>3954</v>
      </c>
      <c r="J5237" s="270" t="s">
        <v>3928</v>
      </c>
      <c r="K5237" s="270">
        <v>6357</v>
      </c>
      <c r="L5237" s="270">
        <v>870704</v>
      </c>
      <c r="M5237" s="270" t="s">
        <v>3935</v>
      </c>
      <c r="N5237" s="270" t="s">
        <v>3944</v>
      </c>
      <c r="O5237" s="270">
        <v>2076.87</v>
      </c>
      <c r="P5237" s="270" t="s">
        <v>3944</v>
      </c>
      <c r="Q5237" s="270" t="s">
        <v>3944</v>
      </c>
      <c r="R5237" s="270">
        <v>2076.87</v>
      </c>
      <c r="S5237" s="270">
        <v>25590.99</v>
      </c>
      <c r="T5237" s="270">
        <v>27667.86</v>
      </c>
      <c r="U5237" s="271" t="s">
        <v>3945</v>
      </c>
      <c r="V5237" s="267" t="s">
        <v>944</v>
      </c>
    </row>
    <row r="5238" spans="1:22" hidden="1" x14ac:dyDescent="0.25">
      <c r="A5238" s="266">
        <v>43718</v>
      </c>
      <c r="B5238" s="267">
        <v>2019</v>
      </c>
      <c r="C5238" s="267">
        <v>2020</v>
      </c>
      <c r="D5238" s="267">
        <v>1</v>
      </c>
      <c r="E5238" s="267">
        <v>1</v>
      </c>
      <c r="F5238" s="267" t="s">
        <v>944</v>
      </c>
      <c r="G5238" s="267" t="s">
        <v>3926</v>
      </c>
      <c r="H5238" s="267" t="s">
        <v>9897</v>
      </c>
      <c r="I5238" s="267" t="s">
        <v>3990</v>
      </c>
      <c r="J5238" s="267" t="s">
        <v>3928</v>
      </c>
      <c r="K5238" s="267">
        <v>6804</v>
      </c>
      <c r="L5238" s="267">
        <v>205300</v>
      </c>
      <c r="M5238" s="267" t="s">
        <v>3960</v>
      </c>
      <c r="N5238" s="267" t="s">
        <v>3944</v>
      </c>
      <c r="O5238" s="267">
        <v>2500.16</v>
      </c>
      <c r="P5238" s="267" t="s">
        <v>3944</v>
      </c>
      <c r="Q5238" s="267" t="s">
        <v>3944</v>
      </c>
      <c r="R5238" s="267">
        <v>2500.16</v>
      </c>
      <c r="S5238" s="267">
        <v>33703.96</v>
      </c>
      <c r="T5238" s="267">
        <v>36204.120000000003</v>
      </c>
      <c r="U5238" s="268" t="s">
        <v>3945</v>
      </c>
      <c r="V5238" s="267" t="s">
        <v>944</v>
      </c>
    </row>
    <row r="5239" spans="1:22" x14ac:dyDescent="0.25">
      <c r="A5239" s="269">
        <v>43718</v>
      </c>
      <c r="B5239" s="270">
        <v>2019</v>
      </c>
      <c r="C5239" s="270">
        <v>2020</v>
      </c>
      <c r="D5239" s="270">
        <v>1</v>
      </c>
      <c r="E5239" s="270">
        <v>1</v>
      </c>
      <c r="F5239" s="270" t="s">
        <v>944</v>
      </c>
      <c r="G5239" s="270" t="s">
        <v>3926</v>
      </c>
      <c r="H5239" s="270" t="s">
        <v>9898</v>
      </c>
      <c r="I5239" s="270" t="s">
        <v>943</v>
      </c>
      <c r="J5239" s="270" t="s">
        <v>3928</v>
      </c>
      <c r="K5239" s="270">
        <v>6511</v>
      </c>
      <c r="L5239" s="270">
        <v>140700</v>
      </c>
      <c r="M5239" s="270">
        <v>-60</v>
      </c>
      <c r="N5239" s="270" t="s">
        <v>3944</v>
      </c>
      <c r="O5239" s="270">
        <v>1162.46</v>
      </c>
      <c r="P5239" s="270" t="s">
        <v>3944</v>
      </c>
      <c r="Q5239" s="270" t="s">
        <v>3944</v>
      </c>
      <c r="R5239" s="270">
        <v>1162.46</v>
      </c>
      <c r="S5239" s="270">
        <v>19803.849999999999</v>
      </c>
      <c r="T5239" s="270">
        <v>20966.310000000001</v>
      </c>
      <c r="U5239" s="271" t="s">
        <v>3945</v>
      </c>
      <c r="V5239" s="276" t="s">
        <v>936</v>
      </c>
    </row>
    <row r="5240" spans="1:22" hidden="1" x14ac:dyDescent="0.25">
      <c r="A5240" s="266">
        <v>43718</v>
      </c>
      <c r="B5240" s="267">
        <v>2019</v>
      </c>
      <c r="C5240" s="267">
        <v>2020</v>
      </c>
      <c r="D5240" s="267">
        <v>1</v>
      </c>
      <c r="E5240" s="267">
        <v>1</v>
      </c>
      <c r="F5240" s="267" t="s">
        <v>944</v>
      </c>
      <c r="G5240" s="267" t="s">
        <v>3926</v>
      </c>
      <c r="H5240" s="267" t="s">
        <v>9899</v>
      </c>
      <c r="I5240" s="267" t="s">
        <v>4094</v>
      </c>
      <c r="J5240" s="267" t="s">
        <v>3928</v>
      </c>
      <c r="K5240" s="267">
        <v>6096</v>
      </c>
      <c r="L5240" s="267">
        <v>476200</v>
      </c>
      <c r="M5240" s="267" t="s">
        <v>3935</v>
      </c>
      <c r="N5240" s="267" t="s">
        <v>3944</v>
      </c>
      <c r="O5240" s="267">
        <v>1104.81</v>
      </c>
      <c r="P5240" s="267" t="s">
        <v>3944</v>
      </c>
      <c r="Q5240" s="267" t="s">
        <v>3944</v>
      </c>
      <c r="R5240" s="267">
        <v>1104.81</v>
      </c>
      <c r="S5240" s="267">
        <v>13423.47</v>
      </c>
      <c r="T5240" s="267">
        <v>14528.28</v>
      </c>
      <c r="U5240" s="268" t="s">
        <v>3945</v>
      </c>
      <c r="V5240" s="267" t="s">
        <v>944</v>
      </c>
    </row>
    <row r="5241" spans="1:22" hidden="1" x14ac:dyDescent="0.25">
      <c r="A5241" s="269">
        <v>43718</v>
      </c>
      <c r="B5241" s="270">
        <v>2019</v>
      </c>
      <c r="C5241" s="270">
        <v>2020</v>
      </c>
      <c r="D5241" s="270">
        <v>1</v>
      </c>
      <c r="E5241" s="270">
        <v>1</v>
      </c>
      <c r="F5241" s="270" t="s">
        <v>944</v>
      </c>
      <c r="G5241" s="270" t="s">
        <v>3926</v>
      </c>
      <c r="H5241" s="270" t="s">
        <v>9900</v>
      </c>
      <c r="I5241" s="270" t="s">
        <v>4016</v>
      </c>
      <c r="J5241" s="270" t="s">
        <v>3928</v>
      </c>
      <c r="K5241" s="270">
        <v>6770</v>
      </c>
      <c r="L5241" s="270">
        <v>345202</v>
      </c>
      <c r="M5241" s="270" t="s">
        <v>3960</v>
      </c>
      <c r="N5241" s="270" t="s">
        <v>3944</v>
      </c>
      <c r="O5241" s="270">
        <v>1838.55</v>
      </c>
      <c r="P5241" s="270" t="s">
        <v>3944</v>
      </c>
      <c r="Q5241" s="270" t="s">
        <v>3944</v>
      </c>
      <c r="R5241" s="270">
        <v>1838.55</v>
      </c>
      <c r="S5241" s="270">
        <v>19655.05</v>
      </c>
      <c r="T5241" s="270">
        <v>21493.599999999999</v>
      </c>
      <c r="U5241" s="271" t="s">
        <v>3945</v>
      </c>
      <c r="V5241" s="267" t="s">
        <v>944</v>
      </c>
    </row>
    <row r="5242" spans="1:22" hidden="1" x14ac:dyDescent="0.25">
      <c r="A5242" s="266">
        <v>43718</v>
      </c>
      <c r="B5242" s="267">
        <v>2019</v>
      </c>
      <c r="C5242" s="267">
        <v>2020</v>
      </c>
      <c r="D5242" s="267">
        <v>1</v>
      </c>
      <c r="E5242" s="267">
        <v>1</v>
      </c>
      <c r="F5242" s="267" t="s">
        <v>944</v>
      </c>
      <c r="G5242" s="267" t="s">
        <v>3926</v>
      </c>
      <c r="H5242" s="267" t="s">
        <v>9901</v>
      </c>
      <c r="I5242" s="267" t="s">
        <v>5497</v>
      </c>
      <c r="J5242" s="267" t="s">
        <v>3928</v>
      </c>
      <c r="K5242" s="267">
        <v>6897</v>
      </c>
      <c r="L5242" s="267">
        <v>45102</v>
      </c>
      <c r="M5242" s="267" t="s">
        <v>3943</v>
      </c>
      <c r="N5242" s="267" t="s">
        <v>3944</v>
      </c>
      <c r="O5242" s="267">
        <v>1031.8</v>
      </c>
      <c r="P5242" s="267" t="s">
        <v>3944</v>
      </c>
      <c r="Q5242" s="267" t="s">
        <v>3944</v>
      </c>
      <c r="R5242" s="267">
        <v>1031.8</v>
      </c>
      <c r="S5242" s="267">
        <v>14806</v>
      </c>
      <c r="T5242" s="267">
        <v>15837.8</v>
      </c>
      <c r="U5242" s="268" t="s">
        <v>3945</v>
      </c>
      <c r="V5242" s="267" t="s">
        <v>944</v>
      </c>
    </row>
    <row r="5243" spans="1:22" hidden="1" x14ac:dyDescent="0.25">
      <c r="A5243" s="269">
        <v>43718</v>
      </c>
      <c r="B5243" s="270">
        <v>2019</v>
      </c>
      <c r="C5243" s="270">
        <v>2020</v>
      </c>
      <c r="D5243" s="270">
        <v>1</v>
      </c>
      <c r="E5243" s="270">
        <v>1</v>
      </c>
      <c r="F5243" s="270" t="s">
        <v>944</v>
      </c>
      <c r="G5243" s="270" t="s">
        <v>3926</v>
      </c>
      <c r="H5243" s="270" t="s">
        <v>9902</v>
      </c>
      <c r="I5243" s="270" t="s">
        <v>4407</v>
      </c>
      <c r="J5243" s="270" t="s">
        <v>3928</v>
      </c>
      <c r="K5243" s="270">
        <v>6238</v>
      </c>
      <c r="L5243" s="270">
        <v>850200</v>
      </c>
      <c r="M5243" s="270" t="s">
        <v>3960</v>
      </c>
      <c r="N5243" s="270" t="s">
        <v>3944</v>
      </c>
      <c r="O5243" s="270">
        <v>1327.13</v>
      </c>
      <c r="P5243" s="270" t="s">
        <v>3944</v>
      </c>
      <c r="Q5243" s="270" t="s">
        <v>3944</v>
      </c>
      <c r="R5243" s="270">
        <v>1327.13</v>
      </c>
      <c r="S5243" s="270">
        <v>17101.89</v>
      </c>
      <c r="T5243" s="270">
        <v>18429.02</v>
      </c>
      <c r="U5243" s="271" t="s">
        <v>3945</v>
      </c>
      <c r="V5243" s="267" t="s">
        <v>944</v>
      </c>
    </row>
    <row r="5244" spans="1:22" hidden="1" x14ac:dyDescent="0.25">
      <c r="A5244" s="266">
        <v>43718</v>
      </c>
      <c r="B5244" s="267">
        <v>2019</v>
      </c>
      <c r="C5244" s="267">
        <v>2020</v>
      </c>
      <c r="D5244" s="267">
        <v>1</v>
      </c>
      <c r="E5244" s="267">
        <v>1</v>
      </c>
      <c r="F5244" s="267" t="s">
        <v>944</v>
      </c>
      <c r="G5244" s="267" t="s">
        <v>3926</v>
      </c>
      <c r="H5244" s="267" t="s">
        <v>9903</v>
      </c>
      <c r="I5244" s="267" t="s">
        <v>943</v>
      </c>
      <c r="J5244" s="267" t="s">
        <v>3928</v>
      </c>
      <c r="K5244" s="267">
        <v>6512</v>
      </c>
      <c r="L5244" s="267">
        <v>142800</v>
      </c>
      <c r="M5244" s="267" t="s">
        <v>3940</v>
      </c>
      <c r="N5244" s="267" t="s">
        <v>3944</v>
      </c>
      <c r="O5244" s="267">
        <v>999.85</v>
      </c>
      <c r="P5244" s="267" t="s">
        <v>3944</v>
      </c>
      <c r="Q5244" s="267" t="s">
        <v>3944</v>
      </c>
      <c r="R5244" s="267">
        <v>999.85</v>
      </c>
      <c r="S5244" s="267">
        <v>13732.77</v>
      </c>
      <c r="T5244" s="267">
        <v>14732.62</v>
      </c>
      <c r="U5244" s="268" t="s">
        <v>3945</v>
      </c>
      <c r="V5244" s="267" t="s">
        <v>944</v>
      </c>
    </row>
    <row r="5245" spans="1:22" hidden="1" x14ac:dyDescent="0.25">
      <c r="A5245" s="269">
        <v>43718</v>
      </c>
      <c r="B5245" s="270">
        <v>2019</v>
      </c>
      <c r="C5245" s="270">
        <v>2020</v>
      </c>
      <c r="D5245" s="270">
        <v>1</v>
      </c>
      <c r="E5245" s="270">
        <v>1</v>
      </c>
      <c r="F5245" s="270" t="s">
        <v>944</v>
      </c>
      <c r="G5245" s="270" t="s">
        <v>3926</v>
      </c>
      <c r="H5245" s="270" t="s">
        <v>9904</v>
      </c>
      <c r="I5245" s="270" t="s">
        <v>953</v>
      </c>
      <c r="J5245" s="270" t="s">
        <v>3928</v>
      </c>
      <c r="K5245" s="270">
        <v>6517</v>
      </c>
      <c r="L5245" s="270">
        <v>165400</v>
      </c>
      <c r="M5245" s="270" t="s">
        <v>3935</v>
      </c>
      <c r="N5245" s="270" t="s">
        <v>3944</v>
      </c>
      <c r="O5245" s="270">
        <v>1450.12</v>
      </c>
      <c r="P5245" s="270" t="s">
        <v>3944</v>
      </c>
      <c r="Q5245" s="270" t="s">
        <v>3944</v>
      </c>
      <c r="R5245" s="270">
        <v>1450.12</v>
      </c>
      <c r="S5245" s="270">
        <v>20023.38</v>
      </c>
      <c r="T5245" s="270">
        <v>21473.5</v>
      </c>
      <c r="U5245" s="271" t="s">
        <v>3945</v>
      </c>
      <c r="V5245" s="267" t="s">
        <v>944</v>
      </c>
    </row>
    <row r="5246" spans="1:22" hidden="1" x14ac:dyDescent="0.25">
      <c r="A5246" s="266">
        <v>43718</v>
      </c>
      <c r="B5246" s="267">
        <v>2019</v>
      </c>
      <c r="C5246" s="267">
        <v>2020</v>
      </c>
      <c r="D5246" s="267">
        <v>1</v>
      </c>
      <c r="E5246" s="267">
        <v>1</v>
      </c>
      <c r="F5246" s="267" t="s">
        <v>944</v>
      </c>
      <c r="G5246" s="267" t="s">
        <v>3926</v>
      </c>
      <c r="H5246" s="267" t="s">
        <v>9905</v>
      </c>
      <c r="I5246" s="267" t="s">
        <v>4111</v>
      </c>
      <c r="J5246" s="267" t="s">
        <v>3928</v>
      </c>
      <c r="K5246" s="267">
        <v>6095</v>
      </c>
      <c r="L5246" s="267">
        <v>473501</v>
      </c>
      <c r="M5246" s="267" t="s">
        <v>3943</v>
      </c>
      <c r="N5246" s="267" t="s">
        <v>3944</v>
      </c>
      <c r="O5246" s="267">
        <v>1191.0899999999999</v>
      </c>
      <c r="P5246" s="267" t="s">
        <v>3944</v>
      </c>
      <c r="Q5246" s="267" t="s">
        <v>3944</v>
      </c>
      <c r="R5246" s="267">
        <v>1191.0899999999999</v>
      </c>
      <c r="S5246" s="267">
        <v>15336.14</v>
      </c>
      <c r="T5246" s="267">
        <v>16527.23</v>
      </c>
      <c r="U5246" s="268" t="s">
        <v>3945</v>
      </c>
      <c r="V5246" s="267" t="s">
        <v>944</v>
      </c>
    </row>
    <row r="5247" spans="1:22" hidden="1" x14ac:dyDescent="0.25">
      <c r="A5247" s="269">
        <v>43718</v>
      </c>
      <c r="B5247" s="270">
        <v>2019</v>
      </c>
      <c r="C5247" s="270">
        <v>2020</v>
      </c>
      <c r="D5247" s="270">
        <v>1</v>
      </c>
      <c r="E5247" s="270">
        <v>1</v>
      </c>
      <c r="F5247" s="270" t="s">
        <v>944</v>
      </c>
      <c r="G5247" s="270" t="s">
        <v>3926</v>
      </c>
      <c r="H5247" s="270" t="s">
        <v>9906</v>
      </c>
      <c r="I5247" s="270" t="s">
        <v>3966</v>
      </c>
      <c r="J5247" s="270" t="s">
        <v>3928</v>
      </c>
      <c r="K5247" s="270">
        <v>6010</v>
      </c>
      <c r="L5247" s="270">
        <v>405200</v>
      </c>
      <c r="M5247" s="270" t="s">
        <v>3940</v>
      </c>
      <c r="N5247" s="270" t="s">
        <v>3944</v>
      </c>
      <c r="O5247" s="270">
        <v>1545.53</v>
      </c>
      <c r="P5247" s="270" t="s">
        <v>3944</v>
      </c>
      <c r="Q5247" s="270" t="s">
        <v>3944</v>
      </c>
      <c r="R5247" s="270">
        <v>1545.53</v>
      </c>
      <c r="S5247" s="270">
        <v>19820.77</v>
      </c>
      <c r="T5247" s="270">
        <v>21366.3</v>
      </c>
      <c r="U5247" s="271" t="s">
        <v>3945</v>
      </c>
      <c r="V5247" s="267" t="s">
        <v>944</v>
      </c>
    </row>
    <row r="5248" spans="1:22" hidden="1" x14ac:dyDescent="0.25">
      <c r="A5248" s="266">
        <v>43718</v>
      </c>
      <c r="B5248" s="267">
        <v>2019</v>
      </c>
      <c r="C5248" s="267">
        <v>2020</v>
      </c>
      <c r="D5248" s="267">
        <v>1</v>
      </c>
      <c r="E5248" s="267">
        <v>1</v>
      </c>
      <c r="F5248" s="267" t="s">
        <v>944</v>
      </c>
      <c r="G5248" s="267" t="s">
        <v>3926</v>
      </c>
      <c r="H5248" s="267" t="s">
        <v>9907</v>
      </c>
      <c r="I5248" s="267" t="s">
        <v>3990</v>
      </c>
      <c r="J5248" s="267" t="s">
        <v>3928</v>
      </c>
      <c r="K5248" s="267">
        <v>6804</v>
      </c>
      <c r="L5248" s="267">
        <v>205200</v>
      </c>
      <c r="M5248" s="267" t="s">
        <v>3943</v>
      </c>
      <c r="N5248" s="267" t="s">
        <v>3944</v>
      </c>
      <c r="O5248" s="267">
        <v>1564.19</v>
      </c>
      <c r="P5248" s="267" t="s">
        <v>3944</v>
      </c>
      <c r="Q5248" s="267" t="s">
        <v>3944</v>
      </c>
      <c r="R5248" s="267">
        <v>1564.19</v>
      </c>
      <c r="S5248" s="267">
        <v>19912.61</v>
      </c>
      <c r="T5248" s="267">
        <v>21476.799999999999</v>
      </c>
      <c r="U5248" s="268" t="s">
        <v>3945</v>
      </c>
      <c r="V5248" s="267" t="s">
        <v>944</v>
      </c>
    </row>
    <row r="5249" spans="1:22" hidden="1" x14ac:dyDescent="0.25">
      <c r="A5249" s="269">
        <v>43718</v>
      </c>
      <c r="B5249" s="270">
        <v>2019</v>
      </c>
      <c r="C5249" s="270">
        <v>2020</v>
      </c>
      <c r="D5249" s="270">
        <v>1</v>
      </c>
      <c r="E5249" s="270">
        <v>1</v>
      </c>
      <c r="F5249" s="270" t="s">
        <v>944</v>
      </c>
      <c r="G5249" s="270" t="s">
        <v>3926</v>
      </c>
      <c r="H5249" s="270" t="s">
        <v>9908</v>
      </c>
      <c r="I5249" s="270" t="s">
        <v>4069</v>
      </c>
      <c r="J5249" s="270" t="s">
        <v>3928</v>
      </c>
      <c r="K5249" s="270">
        <v>6907</v>
      </c>
      <c r="L5249" s="270">
        <v>20900</v>
      </c>
      <c r="M5249" s="270" t="s">
        <v>3940</v>
      </c>
      <c r="N5249" s="270" t="s">
        <v>3944</v>
      </c>
      <c r="O5249" s="270">
        <v>1952.65</v>
      </c>
      <c r="P5249" s="270" t="s">
        <v>3944</v>
      </c>
      <c r="Q5249" s="270" t="s">
        <v>3944</v>
      </c>
      <c r="R5249" s="270">
        <v>1952.65</v>
      </c>
      <c r="S5249" s="270">
        <v>25737.11</v>
      </c>
      <c r="T5249" s="270">
        <v>27689.759999999998</v>
      </c>
      <c r="U5249" s="271" t="s">
        <v>3945</v>
      </c>
      <c r="V5249" s="267" t="s">
        <v>944</v>
      </c>
    </row>
    <row r="5250" spans="1:22" hidden="1" x14ac:dyDescent="0.25">
      <c r="A5250" s="266">
        <v>43718</v>
      </c>
      <c r="B5250" s="267">
        <v>2019</v>
      </c>
      <c r="C5250" s="267">
        <v>2020</v>
      </c>
      <c r="D5250" s="267">
        <v>1</v>
      </c>
      <c r="E5250" s="267">
        <v>1</v>
      </c>
      <c r="F5250" s="267" t="s">
        <v>944</v>
      </c>
      <c r="G5250" s="267" t="s">
        <v>3926</v>
      </c>
      <c r="H5250" s="267" t="s">
        <v>9909</v>
      </c>
      <c r="I5250" s="267" t="s">
        <v>950</v>
      </c>
      <c r="J5250" s="267" t="s">
        <v>3928</v>
      </c>
      <c r="K5250" s="267">
        <v>6516</v>
      </c>
      <c r="L5250" s="267">
        <v>154700</v>
      </c>
      <c r="M5250" s="267" t="s">
        <v>3960</v>
      </c>
      <c r="N5250" s="267" t="s">
        <v>3944</v>
      </c>
      <c r="O5250" s="267">
        <v>1385.2</v>
      </c>
      <c r="P5250" s="267" t="s">
        <v>3944</v>
      </c>
      <c r="Q5250" s="267" t="s">
        <v>3944</v>
      </c>
      <c r="R5250" s="267">
        <v>1385.2</v>
      </c>
      <c r="S5250" s="267">
        <v>19001.55</v>
      </c>
      <c r="T5250" s="267">
        <v>20386.75</v>
      </c>
      <c r="U5250" s="268" t="s">
        <v>3945</v>
      </c>
      <c r="V5250" s="267" t="s">
        <v>944</v>
      </c>
    </row>
    <row r="5251" spans="1:22" hidden="1" x14ac:dyDescent="0.25">
      <c r="A5251" s="269">
        <v>43718</v>
      </c>
      <c r="B5251" s="270">
        <v>2019</v>
      </c>
      <c r="C5251" s="270">
        <v>2020</v>
      </c>
      <c r="D5251" s="270">
        <v>1</v>
      </c>
      <c r="E5251" s="270">
        <v>1</v>
      </c>
      <c r="F5251" s="270" t="s">
        <v>944</v>
      </c>
      <c r="G5251" s="270" t="s">
        <v>3926</v>
      </c>
      <c r="H5251" s="270" t="s">
        <v>9910</v>
      </c>
      <c r="I5251" s="270" t="s">
        <v>950</v>
      </c>
      <c r="J5251" s="270" t="s">
        <v>3928</v>
      </c>
      <c r="K5251" s="270">
        <v>6516</v>
      </c>
      <c r="L5251" s="270">
        <v>154800</v>
      </c>
      <c r="M5251" s="270" t="s">
        <v>3960</v>
      </c>
      <c r="N5251" s="270" t="s">
        <v>3944</v>
      </c>
      <c r="O5251" s="270">
        <v>1612.52</v>
      </c>
      <c r="P5251" s="270" t="s">
        <v>3944</v>
      </c>
      <c r="Q5251" s="270" t="s">
        <v>3944</v>
      </c>
      <c r="R5251" s="270">
        <v>1612.52</v>
      </c>
      <c r="S5251" s="270">
        <v>22989.55</v>
      </c>
      <c r="T5251" s="270">
        <v>24602.07</v>
      </c>
      <c r="U5251" s="271" t="s">
        <v>3945</v>
      </c>
      <c r="V5251" s="267" t="s">
        <v>944</v>
      </c>
    </row>
    <row r="5252" spans="1:22" hidden="1" x14ac:dyDescent="0.25">
      <c r="A5252" s="266">
        <v>43718</v>
      </c>
      <c r="B5252" s="267">
        <v>2019</v>
      </c>
      <c r="C5252" s="267">
        <v>2020</v>
      </c>
      <c r="D5252" s="267">
        <v>1</v>
      </c>
      <c r="E5252" s="267">
        <v>1</v>
      </c>
      <c r="F5252" s="267" t="s">
        <v>944</v>
      </c>
      <c r="G5252" s="267" t="s">
        <v>3926</v>
      </c>
      <c r="H5252" s="267" t="s">
        <v>9911</v>
      </c>
      <c r="I5252" s="267" t="s">
        <v>956</v>
      </c>
      <c r="J5252" s="267" t="s">
        <v>3928</v>
      </c>
      <c r="K5252" s="267">
        <v>6614</v>
      </c>
      <c r="L5252" s="267">
        <v>80800</v>
      </c>
      <c r="M5252" s="267" t="s">
        <v>3960</v>
      </c>
      <c r="N5252" s="267" t="s">
        <v>3944</v>
      </c>
      <c r="O5252" s="267">
        <v>1597.16</v>
      </c>
      <c r="P5252" s="267" t="s">
        <v>3944</v>
      </c>
      <c r="Q5252" s="267" t="s">
        <v>3944</v>
      </c>
      <c r="R5252" s="267">
        <v>1597.16</v>
      </c>
      <c r="S5252" s="267">
        <v>22753.32</v>
      </c>
      <c r="T5252" s="267">
        <v>24350.48</v>
      </c>
      <c r="U5252" s="268" t="s">
        <v>3945</v>
      </c>
      <c r="V5252" s="267" t="s">
        <v>944</v>
      </c>
    </row>
    <row r="5253" spans="1:22" hidden="1" x14ac:dyDescent="0.25">
      <c r="A5253" s="269">
        <v>43718</v>
      </c>
      <c r="B5253" s="270">
        <v>2019</v>
      </c>
      <c r="C5253" s="270">
        <v>2020</v>
      </c>
      <c r="D5253" s="270">
        <v>1</v>
      </c>
      <c r="E5253" s="270">
        <v>1</v>
      </c>
      <c r="F5253" s="270" t="s">
        <v>944</v>
      </c>
      <c r="G5253" s="270" t="s">
        <v>3926</v>
      </c>
      <c r="H5253" s="270" t="s">
        <v>9912</v>
      </c>
      <c r="I5253" s="270" t="s">
        <v>950</v>
      </c>
      <c r="J5253" s="270" t="s">
        <v>3928</v>
      </c>
      <c r="K5253" s="270">
        <v>6516</v>
      </c>
      <c r="L5253" s="270">
        <v>155000</v>
      </c>
      <c r="M5253" s="270" t="s">
        <v>3940</v>
      </c>
      <c r="N5253" s="270" t="s">
        <v>3944</v>
      </c>
      <c r="O5253" s="270">
        <v>889.95</v>
      </c>
      <c r="P5253" s="270" t="s">
        <v>3944</v>
      </c>
      <c r="Q5253" s="270" t="s">
        <v>3944</v>
      </c>
      <c r="R5253" s="270">
        <v>889.95</v>
      </c>
      <c r="S5253" s="270">
        <v>11065.53</v>
      </c>
      <c r="T5253" s="270">
        <v>11955.48</v>
      </c>
      <c r="U5253" s="271" t="s">
        <v>3945</v>
      </c>
      <c r="V5253" s="267" t="s">
        <v>944</v>
      </c>
    </row>
    <row r="5254" spans="1:22" hidden="1" x14ac:dyDescent="0.25">
      <c r="A5254" s="266">
        <v>43718</v>
      </c>
      <c r="B5254" s="267">
        <v>2019</v>
      </c>
      <c r="C5254" s="267">
        <v>2020</v>
      </c>
      <c r="D5254" s="267">
        <v>1</v>
      </c>
      <c r="E5254" s="267">
        <v>1</v>
      </c>
      <c r="F5254" s="267" t="s">
        <v>944</v>
      </c>
      <c r="G5254" s="267" t="s">
        <v>3926</v>
      </c>
      <c r="H5254" s="267" t="s">
        <v>9913</v>
      </c>
      <c r="I5254" s="267" t="s">
        <v>3956</v>
      </c>
      <c r="J5254" s="267" t="s">
        <v>3928</v>
      </c>
      <c r="K5254" s="267">
        <v>6112</v>
      </c>
      <c r="L5254" s="267">
        <v>504000</v>
      </c>
      <c r="M5254" s="267" t="s">
        <v>3940</v>
      </c>
      <c r="N5254" s="267" t="s">
        <v>3944</v>
      </c>
      <c r="O5254" s="267">
        <v>1636.15</v>
      </c>
      <c r="P5254" s="267" t="s">
        <v>3944</v>
      </c>
      <c r="Q5254" s="267" t="s">
        <v>3944</v>
      </c>
      <c r="R5254" s="267">
        <v>1636.15</v>
      </c>
      <c r="S5254" s="267">
        <v>20095.97</v>
      </c>
      <c r="T5254" s="267">
        <v>21732.12</v>
      </c>
      <c r="U5254" s="268" t="s">
        <v>3945</v>
      </c>
      <c r="V5254" s="267" t="s">
        <v>944</v>
      </c>
    </row>
    <row r="5255" spans="1:22" hidden="1" x14ac:dyDescent="0.25">
      <c r="A5255" s="269">
        <v>43718</v>
      </c>
      <c r="B5255" s="270">
        <v>2019</v>
      </c>
      <c r="C5255" s="270">
        <v>2020</v>
      </c>
      <c r="D5255" s="270">
        <v>1</v>
      </c>
      <c r="E5255" s="270">
        <v>1</v>
      </c>
      <c r="F5255" s="270" t="s">
        <v>944</v>
      </c>
      <c r="G5255" s="270" t="s">
        <v>3926</v>
      </c>
      <c r="H5255" s="270" t="s">
        <v>9914</v>
      </c>
      <c r="I5255" s="270" t="s">
        <v>3975</v>
      </c>
      <c r="J5255" s="270" t="s">
        <v>3928</v>
      </c>
      <c r="K5255" s="270">
        <v>6489</v>
      </c>
      <c r="L5255" s="270">
        <v>430203</v>
      </c>
      <c r="M5255" s="270" t="s">
        <v>3935</v>
      </c>
      <c r="N5255" s="270" t="s">
        <v>3944</v>
      </c>
      <c r="O5255" s="270">
        <v>2011.31</v>
      </c>
      <c r="P5255" s="270" t="s">
        <v>3944</v>
      </c>
      <c r="Q5255" s="270" t="s">
        <v>3944</v>
      </c>
      <c r="R5255" s="270">
        <v>2011.31</v>
      </c>
      <c r="S5255" s="270">
        <v>24570.94</v>
      </c>
      <c r="T5255" s="270">
        <v>26582.25</v>
      </c>
      <c r="U5255" s="271" t="s">
        <v>3945</v>
      </c>
      <c r="V5255" s="267" t="s">
        <v>944</v>
      </c>
    </row>
    <row r="5256" spans="1:22" hidden="1" x14ac:dyDescent="0.25">
      <c r="A5256" s="266">
        <v>43719</v>
      </c>
      <c r="B5256" s="267">
        <v>2019</v>
      </c>
      <c r="C5256" s="267">
        <v>2020</v>
      </c>
      <c r="D5256" s="267">
        <v>1</v>
      </c>
      <c r="E5256" s="267">
        <v>1</v>
      </c>
      <c r="F5256" s="267" t="s">
        <v>944</v>
      </c>
      <c r="G5256" s="267" t="s">
        <v>3926</v>
      </c>
      <c r="H5256" s="267" t="s">
        <v>9915</v>
      </c>
      <c r="I5256" s="267" t="s">
        <v>3014</v>
      </c>
      <c r="J5256" s="267" t="s">
        <v>3928</v>
      </c>
      <c r="K5256" s="267">
        <v>6525</v>
      </c>
      <c r="L5256" s="267">
        <v>160100</v>
      </c>
      <c r="M5256" s="267" t="s">
        <v>3943</v>
      </c>
      <c r="N5256" s="267" t="s">
        <v>9916</v>
      </c>
      <c r="O5256" s="267">
        <v>0</v>
      </c>
      <c r="P5256" s="267" t="s">
        <v>3930</v>
      </c>
      <c r="Q5256" s="267" t="s">
        <v>3930</v>
      </c>
      <c r="R5256" s="267">
        <v>0</v>
      </c>
      <c r="S5256" s="267">
        <v>17866</v>
      </c>
      <c r="T5256" s="267">
        <v>17866</v>
      </c>
      <c r="U5256" s="268" t="s">
        <v>3937</v>
      </c>
      <c r="V5256" s="267" t="s">
        <v>944</v>
      </c>
    </row>
    <row r="5257" spans="1:22" hidden="1" x14ac:dyDescent="0.25">
      <c r="A5257" s="269">
        <v>43719</v>
      </c>
      <c r="B5257" s="270">
        <v>2019</v>
      </c>
      <c r="C5257" s="270">
        <v>2020</v>
      </c>
      <c r="D5257" s="270">
        <v>1</v>
      </c>
      <c r="E5257" s="270">
        <v>1</v>
      </c>
      <c r="F5257" s="270" t="s">
        <v>944</v>
      </c>
      <c r="G5257" s="270" t="s">
        <v>3926</v>
      </c>
      <c r="H5257" s="270" t="s">
        <v>9917</v>
      </c>
      <c r="I5257" s="270" t="s">
        <v>4159</v>
      </c>
      <c r="J5257" s="270" t="s">
        <v>3928</v>
      </c>
      <c r="K5257" s="270">
        <v>6096</v>
      </c>
      <c r="L5257" s="270">
        <v>476100</v>
      </c>
      <c r="M5257" s="270" t="s">
        <v>3940</v>
      </c>
      <c r="N5257" s="270" t="s">
        <v>4103</v>
      </c>
      <c r="O5257" s="270">
        <v>1588.02</v>
      </c>
      <c r="P5257" s="270" t="s">
        <v>3930</v>
      </c>
      <c r="Q5257" s="270" t="s">
        <v>3931</v>
      </c>
      <c r="R5257" s="270">
        <v>6588.02</v>
      </c>
      <c r="S5257" s="270">
        <v>24145.599999999999</v>
      </c>
      <c r="T5257" s="270">
        <v>30733.62</v>
      </c>
      <c r="U5257" s="271" t="s">
        <v>3932</v>
      </c>
      <c r="V5257" s="267" t="s">
        <v>944</v>
      </c>
    </row>
    <row r="5258" spans="1:22" hidden="1" x14ac:dyDescent="0.25">
      <c r="A5258" s="266">
        <v>43719</v>
      </c>
      <c r="B5258" s="267">
        <v>2019</v>
      </c>
      <c r="C5258" s="267">
        <v>2020</v>
      </c>
      <c r="D5258" s="267">
        <v>1</v>
      </c>
      <c r="E5258" s="267">
        <v>1</v>
      </c>
      <c r="F5258" s="267" t="s">
        <v>944</v>
      </c>
      <c r="G5258" s="267" t="s">
        <v>3926</v>
      </c>
      <c r="H5258" s="267" t="s">
        <v>9918</v>
      </c>
      <c r="I5258" s="267" t="s">
        <v>943</v>
      </c>
      <c r="J5258" s="267" t="s">
        <v>3928</v>
      </c>
      <c r="K5258" s="267">
        <v>6512</v>
      </c>
      <c r="L5258" s="267">
        <v>142700</v>
      </c>
      <c r="M5258" s="267">
        <v>-60</v>
      </c>
      <c r="N5258" s="267" t="s">
        <v>3944</v>
      </c>
      <c r="O5258" s="267">
        <v>1036</v>
      </c>
      <c r="P5258" s="267" t="s">
        <v>3944</v>
      </c>
      <c r="Q5258" s="267" t="s">
        <v>3944</v>
      </c>
      <c r="R5258" s="267">
        <v>1036</v>
      </c>
      <c r="S5258" s="267">
        <v>17643.25</v>
      </c>
      <c r="T5258" s="267">
        <v>18679.25</v>
      </c>
      <c r="U5258" s="268" t="s">
        <v>3945</v>
      </c>
      <c r="V5258" s="267" t="s">
        <v>944</v>
      </c>
    </row>
    <row r="5259" spans="1:22" hidden="1" x14ac:dyDescent="0.25">
      <c r="A5259" s="269">
        <v>43719</v>
      </c>
      <c r="B5259" s="270">
        <v>2019</v>
      </c>
      <c r="C5259" s="270">
        <v>2020</v>
      </c>
      <c r="D5259" s="270">
        <v>1</v>
      </c>
      <c r="E5259" s="270">
        <v>1</v>
      </c>
      <c r="F5259" s="270" t="s">
        <v>944</v>
      </c>
      <c r="G5259" s="270" t="s">
        <v>3926</v>
      </c>
      <c r="H5259" s="270" t="s">
        <v>9919</v>
      </c>
      <c r="I5259" s="270" t="s">
        <v>4244</v>
      </c>
      <c r="J5259" s="270" t="s">
        <v>3928</v>
      </c>
      <c r="K5259" s="270">
        <v>6268</v>
      </c>
      <c r="L5259" s="270">
        <v>881100</v>
      </c>
      <c r="M5259" s="270" t="s">
        <v>3935</v>
      </c>
      <c r="N5259" s="270" t="s">
        <v>3944</v>
      </c>
      <c r="O5259" s="270">
        <v>5576</v>
      </c>
      <c r="P5259" s="270" t="s">
        <v>3944</v>
      </c>
      <c r="Q5259" s="270" t="s">
        <v>3944</v>
      </c>
      <c r="R5259" s="270">
        <v>5576</v>
      </c>
      <c r="S5259" s="270">
        <v>45040</v>
      </c>
      <c r="T5259" s="270">
        <v>50616</v>
      </c>
      <c r="U5259" s="271" t="s">
        <v>3945</v>
      </c>
      <c r="V5259" s="267" t="s">
        <v>944</v>
      </c>
    </row>
    <row r="5260" spans="1:22" hidden="1" x14ac:dyDescent="0.25">
      <c r="A5260" s="266">
        <v>43719</v>
      </c>
      <c r="B5260" s="267">
        <v>2019</v>
      </c>
      <c r="C5260" s="267">
        <v>2020</v>
      </c>
      <c r="D5260" s="267">
        <v>1</v>
      </c>
      <c r="E5260" s="267">
        <v>1</v>
      </c>
      <c r="F5260" s="267" t="s">
        <v>944</v>
      </c>
      <c r="G5260" s="267" t="s">
        <v>3926</v>
      </c>
      <c r="H5260" s="267" t="s">
        <v>9920</v>
      </c>
      <c r="I5260" s="267" t="s">
        <v>4062</v>
      </c>
      <c r="J5260" s="267" t="s">
        <v>3928</v>
      </c>
      <c r="K5260" s="267">
        <v>6763</v>
      </c>
      <c r="L5260" s="267">
        <v>303100</v>
      </c>
      <c r="M5260" s="267" t="s">
        <v>3960</v>
      </c>
      <c r="N5260" s="267" t="s">
        <v>3944</v>
      </c>
      <c r="O5260" s="267">
        <v>7850</v>
      </c>
      <c r="P5260" s="267" t="s">
        <v>3944</v>
      </c>
      <c r="Q5260" s="267" t="s">
        <v>3944</v>
      </c>
      <c r="R5260" s="267">
        <v>7850</v>
      </c>
      <c r="S5260" s="267">
        <v>74770</v>
      </c>
      <c r="T5260" s="267">
        <v>82620</v>
      </c>
      <c r="U5260" s="268" t="s">
        <v>3945</v>
      </c>
      <c r="V5260" s="267" t="s">
        <v>944</v>
      </c>
    </row>
    <row r="5261" spans="1:22" hidden="1" x14ac:dyDescent="0.25">
      <c r="A5261" s="269">
        <v>43719</v>
      </c>
      <c r="B5261" s="270">
        <v>2019</v>
      </c>
      <c r="C5261" s="270">
        <v>2020</v>
      </c>
      <c r="D5261" s="270">
        <v>1</v>
      </c>
      <c r="E5261" s="270">
        <v>1</v>
      </c>
      <c r="F5261" s="270" t="s">
        <v>944</v>
      </c>
      <c r="G5261" s="270" t="s">
        <v>3926</v>
      </c>
      <c r="H5261" s="270" t="s">
        <v>9921</v>
      </c>
      <c r="I5261" s="270" t="s">
        <v>4269</v>
      </c>
      <c r="J5261" s="270" t="s">
        <v>3928</v>
      </c>
      <c r="K5261" s="270">
        <v>6117</v>
      </c>
      <c r="L5261" s="270">
        <v>497300</v>
      </c>
      <c r="M5261" s="270" t="s">
        <v>3943</v>
      </c>
      <c r="N5261" s="270" t="s">
        <v>3944</v>
      </c>
      <c r="O5261" s="270">
        <v>2243</v>
      </c>
      <c r="P5261" s="270" t="s">
        <v>3944</v>
      </c>
      <c r="Q5261" s="270" t="s">
        <v>3944</v>
      </c>
      <c r="R5261" s="270">
        <v>2243</v>
      </c>
      <c r="S5261" s="270">
        <v>18069</v>
      </c>
      <c r="T5261" s="270">
        <v>20312</v>
      </c>
      <c r="U5261" s="271" t="s">
        <v>3945</v>
      </c>
      <c r="V5261" s="267" t="s">
        <v>944</v>
      </c>
    </row>
    <row r="5262" spans="1:22" hidden="1" x14ac:dyDescent="0.25">
      <c r="A5262" s="266">
        <v>43719</v>
      </c>
      <c r="B5262" s="267">
        <v>2019</v>
      </c>
      <c r="C5262" s="267">
        <v>2020</v>
      </c>
      <c r="D5262" s="267">
        <v>1</v>
      </c>
      <c r="E5262" s="267">
        <v>1</v>
      </c>
      <c r="F5262" s="267" t="s">
        <v>944</v>
      </c>
      <c r="G5262" s="267" t="s">
        <v>3926</v>
      </c>
      <c r="H5262" s="267" t="s">
        <v>9922</v>
      </c>
      <c r="I5262" s="267" t="s">
        <v>956</v>
      </c>
      <c r="J5262" s="267" t="s">
        <v>3928</v>
      </c>
      <c r="K5262" s="267">
        <v>6615</v>
      </c>
      <c r="L5262" s="267">
        <v>80500</v>
      </c>
      <c r="M5262" s="267" t="s">
        <v>3960</v>
      </c>
      <c r="N5262" s="267" t="s">
        <v>3944</v>
      </c>
      <c r="O5262" s="267">
        <v>2890</v>
      </c>
      <c r="P5262" s="267" t="s">
        <v>3944</v>
      </c>
      <c r="Q5262" s="267" t="s">
        <v>3944</v>
      </c>
      <c r="R5262" s="267">
        <v>2890</v>
      </c>
      <c r="S5262" s="267">
        <v>51997</v>
      </c>
      <c r="T5262" s="267">
        <v>54887</v>
      </c>
      <c r="U5262" s="268" t="s">
        <v>3945</v>
      </c>
      <c r="V5262" s="267" t="s">
        <v>944</v>
      </c>
    </row>
    <row r="5263" spans="1:22" hidden="1" x14ac:dyDescent="0.25">
      <c r="A5263" s="269">
        <v>43719</v>
      </c>
      <c r="B5263" s="270">
        <v>2019</v>
      </c>
      <c r="C5263" s="270">
        <v>2020</v>
      </c>
      <c r="D5263" s="270">
        <v>1</v>
      </c>
      <c r="E5263" s="270">
        <v>1</v>
      </c>
      <c r="F5263" s="270" t="s">
        <v>944</v>
      </c>
      <c r="G5263" s="270" t="s">
        <v>3926</v>
      </c>
      <c r="H5263" s="270" t="s">
        <v>9923</v>
      </c>
      <c r="I5263" s="270" t="s">
        <v>3008</v>
      </c>
      <c r="J5263" s="270" t="s">
        <v>3928</v>
      </c>
      <c r="K5263" s="270">
        <v>6460</v>
      </c>
      <c r="L5263" s="270">
        <v>150200</v>
      </c>
      <c r="M5263" s="270" t="s">
        <v>3935</v>
      </c>
      <c r="N5263" s="270" t="s">
        <v>3944</v>
      </c>
      <c r="O5263" s="270">
        <v>2311</v>
      </c>
      <c r="P5263" s="270" t="s">
        <v>3944</v>
      </c>
      <c r="Q5263" s="270" t="s">
        <v>3944</v>
      </c>
      <c r="R5263" s="270">
        <v>2311</v>
      </c>
      <c r="S5263" s="270">
        <v>19204</v>
      </c>
      <c r="T5263" s="270">
        <v>21515</v>
      </c>
      <c r="U5263" s="271" t="s">
        <v>3945</v>
      </c>
      <c r="V5263" s="267" t="s">
        <v>944</v>
      </c>
    </row>
    <row r="5264" spans="1:22" hidden="1" x14ac:dyDescent="0.25">
      <c r="A5264" s="266">
        <v>43719</v>
      </c>
      <c r="B5264" s="267">
        <v>2019</v>
      </c>
      <c r="C5264" s="267">
        <v>2020</v>
      </c>
      <c r="D5264" s="267">
        <v>1</v>
      </c>
      <c r="E5264" s="267">
        <v>1</v>
      </c>
      <c r="F5264" s="267" t="s">
        <v>944</v>
      </c>
      <c r="G5264" s="267" t="s">
        <v>3926</v>
      </c>
      <c r="H5264" s="267" t="s">
        <v>9924</v>
      </c>
      <c r="I5264" s="267" t="s">
        <v>4269</v>
      </c>
      <c r="J5264" s="267" t="s">
        <v>3928</v>
      </c>
      <c r="K5264" s="267">
        <v>6117</v>
      </c>
      <c r="L5264" s="267">
        <v>497400</v>
      </c>
      <c r="M5264" s="267" t="s">
        <v>3943</v>
      </c>
      <c r="N5264" s="267" t="s">
        <v>3944</v>
      </c>
      <c r="O5264" s="267">
        <v>3442</v>
      </c>
      <c r="P5264" s="267" t="s">
        <v>3944</v>
      </c>
      <c r="Q5264" s="267" t="s">
        <v>3944</v>
      </c>
      <c r="R5264" s="267">
        <v>3442</v>
      </c>
      <c r="S5264" s="267">
        <v>25170.5</v>
      </c>
      <c r="T5264" s="267">
        <v>28612.5</v>
      </c>
      <c r="U5264" s="268" t="s">
        <v>3945</v>
      </c>
      <c r="V5264" s="267" t="s">
        <v>944</v>
      </c>
    </row>
    <row r="5265" spans="1:22" hidden="1" x14ac:dyDescent="0.25">
      <c r="A5265" s="269">
        <v>43719</v>
      </c>
      <c r="B5265" s="270">
        <v>2019</v>
      </c>
      <c r="C5265" s="270">
        <v>2020</v>
      </c>
      <c r="D5265" s="270">
        <v>1</v>
      </c>
      <c r="E5265" s="270">
        <v>1</v>
      </c>
      <c r="F5265" s="270" t="s">
        <v>944</v>
      </c>
      <c r="G5265" s="270" t="s">
        <v>3926</v>
      </c>
      <c r="H5265" s="270" t="s">
        <v>9925</v>
      </c>
      <c r="I5265" s="270" t="s">
        <v>3999</v>
      </c>
      <c r="J5265" s="270" t="s">
        <v>3928</v>
      </c>
      <c r="K5265" s="270">
        <v>6450</v>
      </c>
      <c r="L5265" s="270">
        <v>171700</v>
      </c>
      <c r="M5265" s="270" t="s">
        <v>3935</v>
      </c>
      <c r="N5265" s="270" t="s">
        <v>3944</v>
      </c>
      <c r="O5265" s="270">
        <v>3743</v>
      </c>
      <c r="P5265" s="270" t="s">
        <v>3944</v>
      </c>
      <c r="Q5265" s="270" t="s">
        <v>3944</v>
      </c>
      <c r="R5265" s="270">
        <v>3743</v>
      </c>
      <c r="S5265" s="270">
        <v>38860</v>
      </c>
      <c r="T5265" s="270">
        <v>42603</v>
      </c>
      <c r="U5265" s="271" t="s">
        <v>3945</v>
      </c>
      <c r="V5265" s="267" t="s">
        <v>944</v>
      </c>
    </row>
    <row r="5266" spans="1:22" hidden="1" x14ac:dyDescent="0.25">
      <c r="A5266" s="266">
        <v>43719</v>
      </c>
      <c r="B5266" s="267">
        <v>2019</v>
      </c>
      <c r="C5266" s="267">
        <v>2020</v>
      </c>
      <c r="D5266" s="267">
        <v>1</v>
      </c>
      <c r="E5266" s="267">
        <v>1</v>
      </c>
      <c r="F5266" s="267" t="s">
        <v>944</v>
      </c>
      <c r="G5266" s="267" t="s">
        <v>3926</v>
      </c>
      <c r="H5266" s="267" t="s">
        <v>9926</v>
      </c>
      <c r="I5266" s="267" t="s">
        <v>3999</v>
      </c>
      <c r="J5266" s="267" t="s">
        <v>3928</v>
      </c>
      <c r="K5266" s="267">
        <v>6451</v>
      </c>
      <c r="L5266" s="267">
        <v>170500</v>
      </c>
      <c r="M5266" s="267" t="s">
        <v>3935</v>
      </c>
      <c r="N5266" s="267" t="s">
        <v>3944</v>
      </c>
      <c r="O5266" s="267">
        <v>3765</v>
      </c>
      <c r="P5266" s="267" t="s">
        <v>3944</v>
      </c>
      <c r="Q5266" s="267" t="s">
        <v>3944</v>
      </c>
      <c r="R5266" s="267">
        <v>3765</v>
      </c>
      <c r="S5266" s="267">
        <v>29310</v>
      </c>
      <c r="T5266" s="267">
        <v>33075</v>
      </c>
      <c r="U5266" s="268" t="s">
        <v>3945</v>
      </c>
      <c r="V5266" s="267" t="s">
        <v>944</v>
      </c>
    </row>
    <row r="5267" spans="1:22" hidden="1" x14ac:dyDescent="0.25">
      <c r="A5267" s="269">
        <v>43719</v>
      </c>
      <c r="B5267" s="270">
        <v>2019</v>
      </c>
      <c r="C5267" s="270">
        <v>2020</v>
      </c>
      <c r="D5267" s="270">
        <v>1</v>
      </c>
      <c r="E5267" s="270">
        <v>1</v>
      </c>
      <c r="F5267" s="270" t="s">
        <v>944</v>
      </c>
      <c r="G5267" s="270" t="s">
        <v>3926</v>
      </c>
      <c r="H5267" s="270" t="s">
        <v>9927</v>
      </c>
      <c r="I5267" s="270" t="s">
        <v>3939</v>
      </c>
      <c r="J5267" s="270" t="s">
        <v>3928</v>
      </c>
      <c r="K5267" s="270">
        <v>6512</v>
      </c>
      <c r="L5267" s="270">
        <v>180400</v>
      </c>
      <c r="M5267" s="270" t="s">
        <v>3935</v>
      </c>
      <c r="N5267" s="270" t="s">
        <v>3944</v>
      </c>
      <c r="O5267" s="270">
        <v>3224</v>
      </c>
      <c r="P5267" s="270" t="s">
        <v>3944</v>
      </c>
      <c r="Q5267" s="270" t="s">
        <v>3944</v>
      </c>
      <c r="R5267" s="270">
        <v>3224</v>
      </c>
      <c r="S5267" s="270">
        <v>30620.5</v>
      </c>
      <c r="T5267" s="270">
        <v>33844.5</v>
      </c>
      <c r="U5267" s="271" t="s">
        <v>3945</v>
      </c>
      <c r="V5267" s="267" t="s">
        <v>944</v>
      </c>
    </row>
    <row r="5268" spans="1:22" hidden="1" x14ac:dyDescent="0.25">
      <c r="A5268" s="266">
        <v>43719</v>
      </c>
      <c r="B5268" s="267">
        <v>2019</v>
      </c>
      <c r="C5268" s="267">
        <v>2020</v>
      </c>
      <c r="D5268" s="267">
        <v>1</v>
      </c>
      <c r="E5268" s="267">
        <v>1</v>
      </c>
      <c r="F5268" s="267" t="s">
        <v>944</v>
      </c>
      <c r="G5268" s="267" t="s">
        <v>3926</v>
      </c>
      <c r="H5268" s="267" t="s">
        <v>9928</v>
      </c>
      <c r="I5268" s="267" t="s">
        <v>3008</v>
      </c>
      <c r="J5268" s="267" t="s">
        <v>3928</v>
      </c>
      <c r="K5268" s="267">
        <v>6460</v>
      </c>
      <c r="L5268" s="267">
        <v>150100</v>
      </c>
      <c r="M5268" s="267" t="s">
        <v>3960</v>
      </c>
      <c r="N5268" s="267" t="s">
        <v>3944</v>
      </c>
      <c r="O5268" s="267">
        <v>3142</v>
      </c>
      <c r="P5268" s="267" t="s">
        <v>3944</v>
      </c>
      <c r="Q5268" s="267" t="s">
        <v>3944</v>
      </c>
      <c r="R5268" s="267">
        <v>3142</v>
      </c>
      <c r="S5268" s="267">
        <v>22308.35</v>
      </c>
      <c r="T5268" s="267">
        <v>25450.35</v>
      </c>
      <c r="U5268" s="268" t="s">
        <v>3945</v>
      </c>
      <c r="V5268" s="267" t="s">
        <v>944</v>
      </c>
    </row>
    <row r="5269" spans="1:22" hidden="1" x14ac:dyDescent="0.25">
      <c r="A5269" s="269">
        <v>43719</v>
      </c>
      <c r="B5269" s="270">
        <v>2019</v>
      </c>
      <c r="C5269" s="270">
        <v>2020</v>
      </c>
      <c r="D5269" s="270">
        <v>1</v>
      </c>
      <c r="E5269" s="270">
        <v>1</v>
      </c>
      <c r="F5269" s="270" t="s">
        <v>944</v>
      </c>
      <c r="G5269" s="270" t="s">
        <v>3926</v>
      </c>
      <c r="H5269" s="270" t="s">
        <v>9929</v>
      </c>
      <c r="I5269" s="270" t="s">
        <v>4731</v>
      </c>
      <c r="J5269" s="270" t="s">
        <v>3928</v>
      </c>
      <c r="K5269" s="270">
        <v>6478</v>
      </c>
      <c r="L5269" s="270">
        <v>346101</v>
      </c>
      <c r="M5269" s="270" t="s">
        <v>3943</v>
      </c>
      <c r="N5269" s="270" t="s">
        <v>3944</v>
      </c>
      <c r="O5269" s="270">
        <v>5025</v>
      </c>
      <c r="P5269" s="270" t="s">
        <v>3944</v>
      </c>
      <c r="Q5269" s="270" t="s">
        <v>3944</v>
      </c>
      <c r="R5269" s="270">
        <v>5025</v>
      </c>
      <c r="S5269" s="270">
        <v>28992</v>
      </c>
      <c r="T5269" s="270">
        <v>34017</v>
      </c>
      <c r="U5269" s="271" t="s">
        <v>3945</v>
      </c>
      <c r="V5269" s="267" t="s">
        <v>944</v>
      </c>
    </row>
    <row r="5270" spans="1:22" hidden="1" x14ac:dyDescent="0.25">
      <c r="A5270" s="266">
        <v>43719</v>
      </c>
      <c r="B5270" s="267">
        <v>2019</v>
      </c>
      <c r="C5270" s="267">
        <v>2020</v>
      </c>
      <c r="D5270" s="267">
        <v>1</v>
      </c>
      <c r="E5270" s="267">
        <v>1</v>
      </c>
      <c r="F5270" s="267" t="s">
        <v>944</v>
      </c>
      <c r="G5270" s="267" t="s">
        <v>3926</v>
      </c>
      <c r="H5270" s="267" t="s">
        <v>9930</v>
      </c>
      <c r="I5270" s="267" t="s">
        <v>4871</v>
      </c>
      <c r="J5270" s="267" t="s">
        <v>3928</v>
      </c>
      <c r="K5270" s="267">
        <v>6877</v>
      </c>
      <c r="L5270" s="267">
        <v>245400</v>
      </c>
      <c r="M5270" s="267" t="s">
        <v>3943</v>
      </c>
      <c r="N5270" s="267" t="s">
        <v>3944</v>
      </c>
      <c r="O5270" s="267">
        <v>2842</v>
      </c>
      <c r="P5270" s="267" t="s">
        <v>3944</v>
      </c>
      <c r="Q5270" s="267" t="s">
        <v>3944</v>
      </c>
      <c r="R5270" s="267">
        <v>2842</v>
      </c>
      <c r="S5270" s="267">
        <v>31981</v>
      </c>
      <c r="T5270" s="267">
        <v>34823</v>
      </c>
      <c r="U5270" s="268" t="s">
        <v>3945</v>
      </c>
      <c r="V5270" s="267" t="s">
        <v>944</v>
      </c>
    </row>
    <row r="5271" spans="1:22" hidden="1" x14ac:dyDescent="0.25">
      <c r="A5271" s="269">
        <v>43719</v>
      </c>
      <c r="B5271" s="270">
        <v>2019</v>
      </c>
      <c r="C5271" s="270">
        <v>2020</v>
      </c>
      <c r="D5271" s="270">
        <v>1</v>
      </c>
      <c r="E5271" s="270">
        <v>1</v>
      </c>
      <c r="F5271" s="270" t="s">
        <v>944</v>
      </c>
      <c r="G5271" s="270" t="s">
        <v>3926</v>
      </c>
      <c r="H5271" s="270" t="s">
        <v>9931</v>
      </c>
      <c r="I5271" s="270" t="s">
        <v>3008</v>
      </c>
      <c r="J5271" s="270" t="s">
        <v>3928</v>
      </c>
      <c r="K5271" s="270">
        <v>6460</v>
      </c>
      <c r="L5271" s="270">
        <v>151200</v>
      </c>
      <c r="M5271" s="270" t="s">
        <v>3935</v>
      </c>
      <c r="N5271" s="270" t="s">
        <v>3944</v>
      </c>
      <c r="O5271" s="270">
        <v>3252</v>
      </c>
      <c r="P5271" s="270" t="s">
        <v>3944</v>
      </c>
      <c r="Q5271" s="270" t="s">
        <v>3944</v>
      </c>
      <c r="R5271" s="270">
        <v>3252</v>
      </c>
      <c r="S5271" s="270">
        <v>32542</v>
      </c>
      <c r="T5271" s="270">
        <v>35794</v>
      </c>
      <c r="U5271" s="271" t="s">
        <v>3945</v>
      </c>
      <c r="V5271" s="267" t="s">
        <v>944</v>
      </c>
    </row>
    <row r="5272" spans="1:22" hidden="1" x14ac:dyDescent="0.25">
      <c r="A5272" s="266">
        <v>43719</v>
      </c>
      <c r="B5272" s="267">
        <v>2019</v>
      </c>
      <c r="C5272" s="267">
        <v>2020</v>
      </c>
      <c r="D5272" s="267">
        <v>1</v>
      </c>
      <c r="E5272" s="267">
        <v>1</v>
      </c>
      <c r="F5272" s="267" t="s">
        <v>944</v>
      </c>
      <c r="G5272" s="267" t="s">
        <v>3926</v>
      </c>
      <c r="H5272" s="267" t="s">
        <v>9932</v>
      </c>
      <c r="I5272" s="267" t="s">
        <v>4037</v>
      </c>
      <c r="J5272" s="267" t="s">
        <v>3928</v>
      </c>
      <c r="K5272" s="267">
        <v>6811</v>
      </c>
      <c r="L5272" s="267">
        <v>211000</v>
      </c>
      <c r="M5272" s="267" t="s">
        <v>3960</v>
      </c>
      <c r="N5272" s="267" t="s">
        <v>3944</v>
      </c>
      <c r="O5272" s="267">
        <v>5230</v>
      </c>
      <c r="P5272" s="267" t="s">
        <v>3944</v>
      </c>
      <c r="Q5272" s="267" t="s">
        <v>3944</v>
      </c>
      <c r="R5272" s="267">
        <v>5230</v>
      </c>
      <c r="S5272" s="267">
        <v>53929</v>
      </c>
      <c r="T5272" s="267">
        <v>59159</v>
      </c>
      <c r="U5272" s="268" t="s">
        <v>3945</v>
      </c>
      <c r="V5272" s="267" t="s">
        <v>944</v>
      </c>
    </row>
    <row r="5273" spans="1:22" hidden="1" x14ac:dyDescent="0.25">
      <c r="A5273" s="269">
        <v>43719</v>
      </c>
      <c r="B5273" s="270">
        <v>2019</v>
      </c>
      <c r="C5273" s="270">
        <v>2020</v>
      </c>
      <c r="D5273" s="270">
        <v>1</v>
      </c>
      <c r="E5273" s="270">
        <v>1</v>
      </c>
      <c r="F5273" s="270" t="s">
        <v>944</v>
      </c>
      <c r="G5273" s="270" t="s">
        <v>3997</v>
      </c>
      <c r="H5273" s="270" t="s">
        <v>9933</v>
      </c>
      <c r="I5273" s="270" t="s">
        <v>3008</v>
      </c>
      <c r="J5273" s="270" t="s">
        <v>3928</v>
      </c>
      <c r="K5273" s="270">
        <v>6460</v>
      </c>
      <c r="L5273" s="270">
        <v>150900</v>
      </c>
      <c r="M5273" s="270" t="s">
        <v>3943</v>
      </c>
      <c r="N5273" s="270" t="s">
        <v>3944</v>
      </c>
      <c r="O5273" s="270">
        <v>982.84</v>
      </c>
      <c r="P5273" s="270" t="s">
        <v>3944</v>
      </c>
      <c r="Q5273" s="270" t="s">
        <v>3944</v>
      </c>
      <c r="R5273" s="270">
        <v>982.84</v>
      </c>
      <c r="S5273" s="270">
        <v>18065.48</v>
      </c>
      <c r="T5273" s="270">
        <v>19048.32</v>
      </c>
      <c r="U5273" s="271" t="s">
        <v>3945</v>
      </c>
      <c r="V5273" s="267" t="s">
        <v>944</v>
      </c>
    </row>
    <row r="5274" spans="1:22" hidden="1" x14ac:dyDescent="0.25">
      <c r="A5274" s="266">
        <v>43719</v>
      </c>
      <c r="B5274" s="267">
        <v>2019</v>
      </c>
      <c r="C5274" s="267">
        <v>2020</v>
      </c>
      <c r="D5274" s="267">
        <v>1</v>
      </c>
      <c r="E5274" s="267">
        <v>1</v>
      </c>
      <c r="F5274" s="267" t="s">
        <v>944</v>
      </c>
      <c r="G5274" s="267" t="s">
        <v>3926</v>
      </c>
      <c r="H5274" s="267" t="s">
        <v>9934</v>
      </c>
      <c r="I5274" s="267" t="s">
        <v>4392</v>
      </c>
      <c r="J5274" s="267" t="s">
        <v>3928</v>
      </c>
      <c r="K5274" s="267">
        <v>6457</v>
      </c>
      <c r="L5274" s="267">
        <v>541402</v>
      </c>
      <c r="M5274" s="267" t="s">
        <v>3935</v>
      </c>
      <c r="N5274" s="267" t="s">
        <v>3944</v>
      </c>
      <c r="O5274" s="267">
        <v>5127</v>
      </c>
      <c r="P5274" s="267" t="s">
        <v>3944</v>
      </c>
      <c r="Q5274" s="267" t="s">
        <v>3944</v>
      </c>
      <c r="R5274" s="267">
        <v>5127</v>
      </c>
      <c r="S5274" s="267">
        <v>39873</v>
      </c>
      <c r="T5274" s="267">
        <v>45000</v>
      </c>
      <c r="U5274" s="268" t="s">
        <v>3945</v>
      </c>
      <c r="V5274" s="267" t="s">
        <v>944</v>
      </c>
    </row>
    <row r="5275" spans="1:22" hidden="1" x14ac:dyDescent="0.25">
      <c r="A5275" s="269">
        <v>43719</v>
      </c>
      <c r="B5275" s="270">
        <v>2019</v>
      </c>
      <c r="C5275" s="270">
        <v>2020</v>
      </c>
      <c r="D5275" s="270">
        <v>1</v>
      </c>
      <c r="E5275" s="270">
        <v>1</v>
      </c>
      <c r="F5275" s="270" t="s">
        <v>944</v>
      </c>
      <c r="G5275" s="270" t="s">
        <v>3926</v>
      </c>
      <c r="H5275" s="270" t="s">
        <v>9935</v>
      </c>
      <c r="I5275" s="270" t="s">
        <v>6565</v>
      </c>
      <c r="J5275" s="270" t="s">
        <v>3928</v>
      </c>
      <c r="K5275" s="270">
        <v>6098</v>
      </c>
      <c r="L5275" s="270">
        <v>293100</v>
      </c>
      <c r="M5275" s="270" t="s">
        <v>3960</v>
      </c>
      <c r="N5275" s="270" t="s">
        <v>3944</v>
      </c>
      <c r="O5275" s="270">
        <v>2103</v>
      </c>
      <c r="P5275" s="270" t="s">
        <v>3944</v>
      </c>
      <c r="Q5275" s="270" t="s">
        <v>3944</v>
      </c>
      <c r="R5275" s="270">
        <v>2103</v>
      </c>
      <c r="S5275" s="270">
        <v>15065</v>
      </c>
      <c r="T5275" s="270">
        <v>17168</v>
      </c>
      <c r="U5275" s="271" t="s">
        <v>3945</v>
      </c>
      <c r="V5275" s="267" t="s">
        <v>944</v>
      </c>
    </row>
    <row r="5276" spans="1:22" hidden="1" x14ac:dyDescent="0.25">
      <c r="A5276" s="266">
        <v>43719</v>
      </c>
      <c r="B5276" s="267">
        <v>2019</v>
      </c>
      <c r="C5276" s="267">
        <v>2020</v>
      </c>
      <c r="D5276" s="267">
        <v>1</v>
      </c>
      <c r="E5276" s="267">
        <v>1</v>
      </c>
      <c r="F5276" s="267" t="s">
        <v>944</v>
      </c>
      <c r="G5276" s="267" t="s">
        <v>3926</v>
      </c>
      <c r="H5276" s="267" t="s">
        <v>9936</v>
      </c>
      <c r="I5276" s="267" t="s">
        <v>3008</v>
      </c>
      <c r="J5276" s="267" t="s">
        <v>3928</v>
      </c>
      <c r="K5276" s="267">
        <v>6461</v>
      </c>
      <c r="L5276" s="267">
        <v>150800</v>
      </c>
      <c r="M5276" s="267" t="s">
        <v>3960</v>
      </c>
      <c r="N5276" s="267" t="s">
        <v>3944</v>
      </c>
      <c r="O5276" s="267">
        <v>2047.01</v>
      </c>
      <c r="P5276" s="267" t="s">
        <v>3944</v>
      </c>
      <c r="Q5276" s="267" t="s">
        <v>3944</v>
      </c>
      <c r="R5276" s="267">
        <v>2047.01</v>
      </c>
      <c r="S5276" s="267">
        <v>30586.99</v>
      </c>
      <c r="T5276" s="267">
        <v>32634</v>
      </c>
      <c r="U5276" s="268" t="s">
        <v>3945</v>
      </c>
      <c r="V5276" s="267" t="s">
        <v>944</v>
      </c>
    </row>
    <row r="5277" spans="1:22" hidden="1" x14ac:dyDescent="0.25">
      <c r="A5277" s="269">
        <v>43719</v>
      </c>
      <c r="B5277" s="270">
        <v>2019</v>
      </c>
      <c r="C5277" s="270">
        <v>2020</v>
      </c>
      <c r="D5277" s="270">
        <v>1</v>
      </c>
      <c r="E5277" s="270">
        <v>1</v>
      </c>
      <c r="F5277" s="270" t="s">
        <v>944</v>
      </c>
      <c r="G5277" s="270" t="s">
        <v>3926</v>
      </c>
      <c r="H5277" s="270" t="s">
        <v>9937</v>
      </c>
      <c r="I5277" s="270" t="s">
        <v>3008</v>
      </c>
      <c r="J5277" s="270" t="s">
        <v>3928</v>
      </c>
      <c r="K5277" s="270">
        <v>6460</v>
      </c>
      <c r="L5277" s="270">
        <v>150300</v>
      </c>
      <c r="M5277" s="270" t="s">
        <v>3960</v>
      </c>
      <c r="N5277" s="270" t="s">
        <v>3944</v>
      </c>
      <c r="O5277" s="270">
        <v>1364.27</v>
      </c>
      <c r="P5277" s="270" t="s">
        <v>3944</v>
      </c>
      <c r="Q5277" s="270" t="s">
        <v>3944</v>
      </c>
      <c r="R5277" s="270">
        <v>1364.27</v>
      </c>
      <c r="S5277" s="270">
        <v>20621.16</v>
      </c>
      <c r="T5277" s="270">
        <v>21985.43</v>
      </c>
      <c r="U5277" s="271" t="s">
        <v>3945</v>
      </c>
      <c r="V5277" s="267" t="s">
        <v>944</v>
      </c>
    </row>
    <row r="5278" spans="1:22" hidden="1" x14ac:dyDescent="0.25">
      <c r="A5278" s="266">
        <v>43719</v>
      </c>
      <c r="B5278" s="267">
        <v>2019</v>
      </c>
      <c r="C5278" s="267">
        <v>2020</v>
      </c>
      <c r="D5278" s="267">
        <v>1</v>
      </c>
      <c r="E5278" s="267">
        <v>1</v>
      </c>
      <c r="F5278" s="267" t="s">
        <v>944</v>
      </c>
      <c r="G5278" s="267" t="s">
        <v>3926</v>
      </c>
      <c r="H5278" s="267" t="s">
        <v>9938</v>
      </c>
      <c r="I5278" s="267" t="s">
        <v>3009</v>
      </c>
      <c r="J5278" s="267" t="s">
        <v>3928</v>
      </c>
      <c r="K5278" s="267">
        <v>6484</v>
      </c>
      <c r="L5278" s="267">
        <v>110201</v>
      </c>
      <c r="M5278" s="267" t="s">
        <v>3960</v>
      </c>
      <c r="N5278" s="267" t="s">
        <v>3944</v>
      </c>
      <c r="O5278" s="267">
        <v>2931.95</v>
      </c>
      <c r="P5278" s="267" t="s">
        <v>3944</v>
      </c>
      <c r="Q5278" s="267" t="s">
        <v>3944</v>
      </c>
      <c r="R5278" s="267">
        <v>2931.95</v>
      </c>
      <c r="S5278" s="267">
        <v>41863.97</v>
      </c>
      <c r="T5278" s="267">
        <v>44795.92</v>
      </c>
      <c r="U5278" s="268" t="s">
        <v>3945</v>
      </c>
      <c r="V5278" s="267" t="s">
        <v>944</v>
      </c>
    </row>
    <row r="5279" spans="1:22" hidden="1" x14ac:dyDescent="0.25">
      <c r="A5279" s="269">
        <v>43719</v>
      </c>
      <c r="B5279" s="270">
        <v>2019</v>
      </c>
      <c r="C5279" s="270">
        <v>2020</v>
      </c>
      <c r="D5279" s="270">
        <v>1</v>
      </c>
      <c r="E5279" s="270">
        <v>1</v>
      </c>
      <c r="F5279" s="270" t="s">
        <v>944</v>
      </c>
      <c r="G5279" s="270" t="s">
        <v>3926</v>
      </c>
      <c r="H5279" s="270" t="s">
        <v>9939</v>
      </c>
      <c r="I5279" s="270" t="s">
        <v>3962</v>
      </c>
      <c r="J5279" s="270" t="s">
        <v>3928</v>
      </c>
      <c r="K5279" s="270">
        <v>6355</v>
      </c>
      <c r="L5279" s="270">
        <v>703000</v>
      </c>
      <c r="M5279" s="270" t="s">
        <v>3960</v>
      </c>
      <c r="N5279" s="270" t="s">
        <v>3944</v>
      </c>
      <c r="O5279" s="270">
        <v>691.25</v>
      </c>
      <c r="P5279" s="270" t="s">
        <v>3944</v>
      </c>
      <c r="Q5279" s="270" t="s">
        <v>3944</v>
      </c>
      <c r="R5279" s="270">
        <v>691.25</v>
      </c>
      <c r="S5279" s="270">
        <v>11854.29</v>
      </c>
      <c r="T5279" s="270">
        <v>12545.54</v>
      </c>
      <c r="U5279" s="271" t="s">
        <v>3945</v>
      </c>
      <c r="V5279" s="267" t="s">
        <v>944</v>
      </c>
    </row>
    <row r="5280" spans="1:22" hidden="1" x14ac:dyDescent="0.25">
      <c r="A5280" s="266">
        <v>43719</v>
      </c>
      <c r="B5280" s="267">
        <v>2019</v>
      </c>
      <c r="C5280" s="267">
        <v>2020</v>
      </c>
      <c r="D5280" s="267">
        <v>1</v>
      </c>
      <c r="E5280" s="267">
        <v>1</v>
      </c>
      <c r="F5280" s="267" t="s">
        <v>944</v>
      </c>
      <c r="G5280" s="267" t="s">
        <v>3926</v>
      </c>
      <c r="H5280" s="267" t="s">
        <v>9940</v>
      </c>
      <c r="I5280" s="267" t="s">
        <v>3026</v>
      </c>
      <c r="J5280" s="267" t="s">
        <v>3928</v>
      </c>
      <c r="K5280" s="267">
        <v>6471</v>
      </c>
      <c r="L5280" s="267">
        <v>186100</v>
      </c>
      <c r="M5280" s="267" t="s">
        <v>3935</v>
      </c>
      <c r="N5280" s="267" t="s">
        <v>3944</v>
      </c>
      <c r="O5280" s="267">
        <v>2105.29</v>
      </c>
      <c r="P5280" s="267" t="s">
        <v>3944</v>
      </c>
      <c r="Q5280" s="267" t="s">
        <v>3944</v>
      </c>
      <c r="R5280" s="267">
        <v>2105.29</v>
      </c>
      <c r="S5280" s="267">
        <v>35723.550000000003</v>
      </c>
      <c r="T5280" s="267">
        <v>37828.839999999997</v>
      </c>
      <c r="U5280" s="268" t="s">
        <v>3945</v>
      </c>
      <c r="V5280" s="267" t="s">
        <v>944</v>
      </c>
    </row>
    <row r="5281" spans="1:22" hidden="1" x14ac:dyDescent="0.25">
      <c r="A5281" s="269">
        <v>43719</v>
      </c>
      <c r="B5281" s="270">
        <v>2019</v>
      </c>
      <c r="C5281" s="270">
        <v>2020</v>
      </c>
      <c r="D5281" s="270">
        <v>1</v>
      </c>
      <c r="E5281" s="270">
        <v>1</v>
      </c>
      <c r="F5281" s="270" t="s">
        <v>944</v>
      </c>
      <c r="G5281" s="270" t="s">
        <v>3926</v>
      </c>
      <c r="H5281" s="270" t="s">
        <v>9941</v>
      </c>
      <c r="I5281" s="270" t="s">
        <v>3954</v>
      </c>
      <c r="J5281" s="270" t="s">
        <v>3928</v>
      </c>
      <c r="K5281" s="270">
        <v>6357</v>
      </c>
      <c r="L5281" s="270">
        <v>716101</v>
      </c>
      <c r="M5281" s="270" t="s">
        <v>3935</v>
      </c>
      <c r="N5281" s="270" t="s">
        <v>3944</v>
      </c>
      <c r="O5281" s="270">
        <v>2200.0700000000002</v>
      </c>
      <c r="P5281" s="270" t="s">
        <v>3944</v>
      </c>
      <c r="Q5281" s="270" t="s">
        <v>3944</v>
      </c>
      <c r="R5281" s="270">
        <v>2200.0700000000002</v>
      </c>
      <c r="S5281" s="270">
        <v>32127.52</v>
      </c>
      <c r="T5281" s="270">
        <v>34327.589999999997</v>
      </c>
      <c r="U5281" s="271" t="s">
        <v>3945</v>
      </c>
      <c r="V5281" s="267" t="s">
        <v>944</v>
      </c>
    </row>
    <row r="5282" spans="1:22" hidden="1" x14ac:dyDescent="0.25">
      <c r="A5282" s="266">
        <v>43719</v>
      </c>
      <c r="B5282" s="267">
        <v>2019</v>
      </c>
      <c r="C5282" s="267">
        <v>2020</v>
      </c>
      <c r="D5282" s="267">
        <v>1</v>
      </c>
      <c r="E5282" s="267">
        <v>1</v>
      </c>
      <c r="F5282" s="267" t="s">
        <v>944</v>
      </c>
      <c r="G5282" s="267" t="s">
        <v>3926</v>
      </c>
      <c r="H5282" s="267" t="s">
        <v>9942</v>
      </c>
      <c r="I5282" s="267" t="s">
        <v>4005</v>
      </c>
      <c r="J5282" s="267" t="s">
        <v>3928</v>
      </c>
      <c r="K5282" s="267">
        <v>6108</v>
      </c>
      <c r="L5282" s="267">
        <v>511200</v>
      </c>
      <c r="M5282" s="267">
        <v>-60</v>
      </c>
      <c r="N5282" s="267" t="s">
        <v>3944</v>
      </c>
      <c r="O5282" s="267">
        <v>1840.65</v>
      </c>
      <c r="P5282" s="267" t="s">
        <v>3944</v>
      </c>
      <c r="Q5282" s="267" t="s">
        <v>3944</v>
      </c>
      <c r="R5282" s="267">
        <v>1840.65</v>
      </c>
      <c r="S5282" s="267">
        <v>24122.84</v>
      </c>
      <c r="T5282" s="267">
        <v>25963.49</v>
      </c>
      <c r="U5282" s="268" t="s">
        <v>3945</v>
      </c>
      <c r="V5282" s="267" t="s">
        <v>944</v>
      </c>
    </row>
    <row r="5283" spans="1:22" hidden="1" x14ac:dyDescent="0.25">
      <c r="A5283" s="269">
        <v>43719</v>
      </c>
      <c r="B5283" s="270">
        <v>2019</v>
      </c>
      <c r="C5283" s="270">
        <v>2020</v>
      </c>
      <c r="D5283" s="270">
        <v>1</v>
      </c>
      <c r="E5283" s="270">
        <v>1</v>
      </c>
      <c r="F5283" s="270" t="s">
        <v>944</v>
      </c>
      <c r="G5283" s="270" t="s">
        <v>3926</v>
      </c>
      <c r="H5283" s="270" t="s">
        <v>9943</v>
      </c>
      <c r="I5283" s="270" t="s">
        <v>4108</v>
      </c>
      <c r="J5283" s="270" t="s">
        <v>3928</v>
      </c>
      <c r="K5283" s="270">
        <v>6082</v>
      </c>
      <c r="L5283" s="270">
        <v>480600</v>
      </c>
      <c r="M5283" s="270">
        <v>-60</v>
      </c>
      <c r="N5283" s="270" t="s">
        <v>3944</v>
      </c>
      <c r="O5283" s="270">
        <v>1881.71</v>
      </c>
      <c r="P5283" s="270" t="s">
        <v>3944</v>
      </c>
      <c r="Q5283" s="270" t="s">
        <v>3944</v>
      </c>
      <c r="R5283" s="270">
        <v>1881.71</v>
      </c>
      <c r="S5283" s="270">
        <v>33304.949999999997</v>
      </c>
      <c r="T5283" s="270">
        <v>35186.660000000003</v>
      </c>
      <c r="U5283" s="271" t="s">
        <v>3945</v>
      </c>
      <c r="V5283" s="267" t="s">
        <v>944</v>
      </c>
    </row>
    <row r="5284" spans="1:22" hidden="1" x14ac:dyDescent="0.25">
      <c r="A5284" s="266">
        <v>43719</v>
      </c>
      <c r="B5284" s="267">
        <v>2019</v>
      </c>
      <c r="C5284" s="267">
        <v>2020</v>
      </c>
      <c r="D5284" s="267">
        <v>1</v>
      </c>
      <c r="E5284" s="267">
        <v>1</v>
      </c>
      <c r="F5284" s="267" t="s">
        <v>944</v>
      </c>
      <c r="G5284" s="267" t="s">
        <v>3926</v>
      </c>
      <c r="H5284" s="267" t="s">
        <v>9944</v>
      </c>
      <c r="I5284" s="267" t="s">
        <v>943</v>
      </c>
      <c r="J5284" s="267" t="s">
        <v>3928</v>
      </c>
      <c r="K5284" s="267">
        <v>6511</v>
      </c>
      <c r="L5284" s="267">
        <v>141800</v>
      </c>
      <c r="M5284" s="267" t="s">
        <v>3940</v>
      </c>
      <c r="N5284" s="267" t="s">
        <v>3944</v>
      </c>
      <c r="O5284" s="267">
        <v>1846.25</v>
      </c>
      <c r="P5284" s="267" t="s">
        <v>3944</v>
      </c>
      <c r="Q5284" s="267" t="s">
        <v>3944</v>
      </c>
      <c r="R5284" s="267">
        <v>1846.25</v>
      </c>
      <c r="S5284" s="267">
        <v>29695.599999999999</v>
      </c>
      <c r="T5284" s="267">
        <v>31541.85</v>
      </c>
      <c r="U5284" s="268" t="s">
        <v>3945</v>
      </c>
      <c r="V5284" s="267" t="s">
        <v>944</v>
      </c>
    </row>
    <row r="5285" spans="1:22" hidden="1" x14ac:dyDescent="0.25">
      <c r="A5285" s="269">
        <v>43719</v>
      </c>
      <c r="B5285" s="270">
        <v>2019</v>
      </c>
      <c r="C5285" s="270">
        <v>2020</v>
      </c>
      <c r="D5285" s="270">
        <v>1</v>
      </c>
      <c r="E5285" s="270">
        <v>1</v>
      </c>
      <c r="F5285" s="270" t="s">
        <v>944</v>
      </c>
      <c r="G5285" s="270" t="s">
        <v>3926</v>
      </c>
      <c r="H5285" s="270" t="s">
        <v>9945</v>
      </c>
      <c r="I5285" s="270" t="s">
        <v>3008</v>
      </c>
      <c r="J5285" s="270" t="s">
        <v>3928</v>
      </c>
      <c r="K5285" s="270">
        <v>6460</v>
      </c>
      <c r="L5285" s="270">
        <v>150200</v>
      </c>
      <c r="M5285" s="270" t="s">
        <v>3935</v>
      </c>
      <c r="N5285" s="270" t="s">
        <v>3944</v>
      </c>
      <c r="O5285" s="270">
        <v>1846.67</v>
      </c>
      <c r="P5285" s="270" t="s">
        <v>3944</v>
      </c>
      <c r="Q5285" s="270" t="s">
        <v>3944</v>
      </c>
      <c r="R5285" s="270">
        <v>1846.67</v>
      </c>
      <c r="S5285" s="270">
        <v>32486.93</v>
      </c>
      <c r="T5285" s="270">
        <v>34333.599999999999</v>
      </c>
      <c r="U5285" s="271" t="s">
        <v>3945</v>
      </c>
      <c r="V5285" s="267" t="s">
        <v>944</v>
      </c>
    </row>
    <row r="5286" spans="1:22" hidden="1" x14ac:dyDescent="0.25">
      <c r="A5286" s="266">
        <v>43719</v>
      </c>
      <c r="B5286" s="267">
        <v>2019</v>
      </c>
      <c r="C5286" s="267">
        <v>2020</v>
      </c>
      <c r="D5286" s="267">
        <v>1</v>
      </c>
      <c r="E5286" s="267">
        <v>1</v>
      </c>
      <c r="F5286" s="267" t="s">
        <v>944</v>
      </c>
      <c r="G5286" s="267" t="s">
        <v>3926</v>
      </c>
      <c r="H5286" s="267" t="s">
        <v>9946</v>
      </c>
      <c r="I5286" s="267" t="s">
        <v>953</v>
      </c>
      <c r="J5286" s="267" t="s">
        <v>3928</v>
      </c>
      <c r="K5286" s="267">
        <v>6517</v>
      </c>
      <c r="L5286" s="267">
        <v>165200</v>
      </c>
      <c r="M5286" s="267" t="s">
        <v>3943</v>
      </c>
      <c r="N5286" s="267" t="s">
        <v>3944</v>
      </c>
      <c r="O5286" s="267">
        <v>743.72</v>
      </c>
      <c r="P5286" s="267" t="s">
        <v>3944</v>
      </c>
      <c r="Q5286" s="267" t="s">
        <v>3944</v>
      </c>
      <c r="R5286" s="267">
        <v>743.72</v>
      </c>
      <c r="S5286" s="267">
        <v>11351.92</v>
      </c>
      <c r="T5286" s="267">
        <v>12095.64</v>
      </c>
      <c r="U5286" s="268" t="s">
        <v>3945</v>
      </c>
      <c r="V5286" s="267" t="s">
        <v>944</v>
      </c>
    </row>
    <row r="5287" spans="1:22" hidden="1" x14ac:dyDescent="0.25">
      <c r="A5287" s="269">
        <v>43719</v>
      </c>
      <c r="B5287" s="270">
        <v>2019</v>
      </c>
      <c r="C5287" s="270">
        <v>2020</v>
      </c>
      <c r="D5287" s="270">
        <v>1</v>
      </c>
      <c r="E5287" s="270">
        <v>1</v>
      </c>
      <c r="F5287" s="270" t="s">
        <v>944</v>
      </c>
      <c r="G5287" s="270" t="s">
        <v>3926</v>
      </c>
      <c r="H5287" s="270" t="s">
        <v>9947</v>
      </c>
      <c r="I5287" s="270" t="s">
        <v>3011</v>
      </c>
      <c r="J5287" s="270" t="s">
        <v>3928</v>
      </c>
      <c r="K5287" s="270">
        <v>6418</v>
      </c>
      <c r="L5287" s="270">
        <v>120100</v>
      </c>
      <c r="M5287" s="270" t="s">
        <v>3940</v>
      </c>
      <c r="N5287" s="270" t="s">
        <v>3944</v>
      </c>
      <c r="O5287" s="270">
        <v>2098.85</v>
      </c>
      <c r="P5287" s="270" t="s">
        <v>3944</v>
      </c>
      <c r="Q5287" s="270" t="s">
        <v>3944</v>
      </c>
      <c r="R5287" s="270">
        <v>2098.85</v>
      </c>
      <c r="S5287" s="270">
        <v>32404.59</v>
      </c>
      <c r="T5287" s="270">
        <v>34503.440000000002</v>
      </c>
      <c r="U5287" s="271" t="s">
        <v>3945</v>
      </c>
      <c r="V5287" s="267" t="s">
        <v>944</v>
      </c>
    </row>
    <row r="5288" spans="1:22" hidden="1" x14ac:dyDescent="0.25">
      <c r="A5288" s="266">
        <v>43719</v>
      </c>
      <c r="B5288" s="267">
        <v>2019</v>
      </c>
      <c r="C5288" s="267">
        <v>2020</v>
      </c>
      <c r="D5288" s="267">
        <v>1</v>
      </c>
      <c r="E5288" s="267">
        <v>1</v>
      </c>
      <c r="F5288" s="267" t="s">
        <v>944</v>
      </c>
      <c r="G5288" s="267" t="s">
        <v>3926</v>
      </c>
      <c r="H5288" s="267" t="s">
        <v>9948</v>
      </c>
      <c r="I5288" s="267" t="s">
        <v>4042</v>
      </c>
      <c r="J5288" s="267" t="s">
        <v>3928</v>
      </c>
      <c r="K5288" s="267">
        <v>6382</v>
      </c>
      <c r="L5288" s="267">
        <v>870501</v>
      </c>
      <c r="M5288" s="267" t="s">
        <v>3935</v>
      </c>
      <c r="N5288" s="267" t="s">
        <v>3944</v>
      </c>
      <c r="O5288" s="267">
        <v>1746.47</v>
      </c>
      <c r="P5288" s="267" t="s">
        <v>3944</v>
      </c>
      <c r="Q5288" s="267" t="s">
        <v>3944</v>
      </c>
      <c r="R5288" s="267">
        <v>1746.47</v>
      </c>
      <c r="S5288" s="267">
        <v>27285.68</v>
      </c>
      <c r="T5288" s="267">
        <v>29032.15</v>
      </c>
      <c r="U5288" s="268" t="s">
        <v>3945</v>
      </c>
      <c r="V5288" s="267" t="s">
        <v>944</v>
      </c>
    </row>
    <row r="5289" spans="1:22" hidden="1" x14ac:dyDescent="0.25">
      <c r="A5289" s="269">
        <v>43719</v>
      </c>
      <c r="B5289" s="270">
        <v>2019</v>
      </c>
      <c r="C5289" s="270">
        <v>2020</v>
      </c>
      <c r="D5289" s="270">
        <v>1</v>
      </c>
      <c r="E5289" s="270">
        <v>1</v>
      </c>
      <c r="F5289" s="270" t="s">
        <v>944</v>
      </c>
      <c r="G5289" s="270" t="s">
        <v>3926</v>
      </c>
      <c r="H5289" s="270" t="s">
        <v>9949</v>
      </c>
      <c r="I5289" s="270" t="s">
        <v>4042</v>
      </c>
      <c r="J5289" s="270" t="s">
        <v>3928</v>
      </c>
      <c r="K5289" s="270">
        <v>6382</v>
      </c>
      <c r="L5289" s="270">
        <v>695201</v>
      </c>
      <c r="M5289" s="270" t="s">
        <v>3935</v>
      </c>
      <c r="N5289" s="270" t="s">
        <v>3944</v>
      </c>
      <c r="O5289" s="270">
        <v>1387.05</v>
      </c>
      <c r="P5289" s="270" t="s">
        <v>3944</v>
      </c>
      <c r="Q5289" s="270" t="s">
        <v>3944</v>
      </c>
      <c r="R5289" s="270">
        <v>1387.05</v>
      </c>
      <c r="S5289" s="270">
        <v>20939.990000000002</v>
      </c>
      <c r="T5289" s="270">
        <v>22327.040000000001</v>
      </c>
      <c r="U5289" s="271" t="s">
        <v>3945</v>
      </c>
      <c r="V5289" s="267" t="s">
        <v>944</v>
      </c>
    </row>
    <row r="5290" spans="1:22" hidden="1" x14ac:dyDescent="0.25">
      <c r="A5290" s="266">
        <v>43719</v>
      </c>
      <c r="B5290" s="267">
        <v>2019</v>
      </c>
      <c r="C5290" s="267">
        <v>2020</v>
      </c>
      <c r="D5290" s="267">
        <v>1</v>
      </c>
      <c r="E5290" s="267">
        <v>1</v>
      </c>
      <c r="F5290" s="267" t="s">
        <v>944</v>
      </c>
      <c r="G5290" s="267" t="s">
        <v>3926</v>
      </c>
      <c r="H5290" s="267" t="s">
        <v>9950</v>
      </c>
      <c r="I5290" s="267" t="s">
        <v>2985</v>
      </c>
      <c r="J5290" s="267" t="s">
        <v>3928</v>
      </c>
      <c r="K5290" s="267">
        <v>6825</v>
      </c>
      <c r="L5290" s="267">
        <v>61000</v>
      </c>
      <c r="M5290" s="267" t="s">
        <v>3935</v>
      </c>
      <c r="N5290" s="267" t="s">
        <v>3944</v>
      </c>
      <c r="O5290" s="267">
        <v>3811.96</v>
      </c>
      <c r="P5290" s="267" t="s">
        <v>3944</v>
      </c>
      <c r="Q5290" s="267" t="s">
        <v>3944</v>
      </c>
      <c r="R5290" s="267">
        <v>3811.96</v>
      </c>
      <c r="S5290" s="267">
        <v>55506.44</v>
      </c>
      <c r="T5290" s="267">
        <v>59318.400000000001</v>
      </c>
      <c r="U5290" s="268" t="s">
        <v>3945</v>
      </c>
      <c r="V5290" s="267" t="s">
        <v>944</v>
      </c>
    </row>
    <row r="5291" spans="1:22" hidden="1" x14ac:dyDescent="0.25">
      <c r="A5291" s="269">
        <v>43719</v>
      </c>
      <c r="B5291" s="270">
        <v>2019</v>
      </c>
      <c r="C5291" s="270">
        <v>2020</v>
      </c>
      <c r="D5291" s="270">
        <v>1</v>
      </c>
      <c r="E5291" s="270">
        <v>1</v>
      </c>
      <c r="F5291" s="270" t="s">
        <v>944</v>
      </c>
      <c r="G5291" s="270" t="s">
        <v>3926</v>
      </c>
      <c r="H5291" s="270" t="s">
        <v>9951</v>
      </c>
      <c r="I5291" s="270" t="s">
        <v>3009</v>
      </c>
      <c r="J5291" s="270" t="s">
        <v>3928</v>
      </c>
      <c r="K5291" s="270">
        <v>6484</v>
      </c>
      <c r="L5291" s="270">
        <v>110600</v>
      </c>
      <c r="M5291" s="270" t="s">
        <v>3943</v>
      </c>
      <c r="N5291" s="270" t="s">
        <v>3944</v>
      </c>
      <c r="O5291" s="270">
        <v>1883.56</v>
      </c>
      <c r="P5291" s="270" t="s">
        <v>3944</v>
      </c>
      <c r="Q5291" s="270" t="s">
        <v>3944</v>
      </c>
      <c r="R5291" s="270">
        <v>1883.56</v>
      </c>
      <c r="S5291" s="270">
        <v>27830.16</v>
      </c>
      <c r="T5291" s="270">
        <v>29713.72</v>
      </c>
      <c r="U5291" s="271" t="s">
        <v>3945</v>
      </c>
      <c r="V5291" s="267" t="s">
        <v>944</v>
      </c>
    </row>
    <row r="5292" spans="1:22" hidden="1" x14ac:dyDescent="0.25">
      <c r="A5292" s="266">
        <v>43719</v>
      </c>
      <c r="B5292" s="267">
        <v>2019</v>
      </c>
      <c r="C5292" s="267">
        <v>2020</v>
      </c>
      <c r="D5292" s="267">
        <v>1</v>
      </c>
      <c r="E5292" s="267">
        <v>1</v>
      </c>
      <c r="F5292" s="267" t="s">
        <v>944</v>
      </c>
      <c r="G5292" s="267" t="s">
        <v>3926</v>
      </c>
      <c r="H5292" s="267" t="s">
        <v>9952</v>
      </c>
      <c r="I5292" s="267" t="s">
        <v>953</v>
      </c>
      <c r="J5292" s="267" t="s">
        <v>3928</v>
      </c>
      <c r="K5292" s="267">
        <v>6517</v>
      </c>
      <c r="L5292" s="267">
        <v>165100</v>
      </c>
      <c r="M5292" s="267" t="s">
        <v>3935</v>
      </c>
      <c r="N5292" s="267" t="s">
        <v>3944</v>
      </c>
      <c r="O5292" s="267">
        <v>1035.72</v>
      </c>
      <c r="P5292" s="267" t="s">
        <v>3944</v>
      </c>
      <c r="Q5292" s="267" t="s">
        <v>3944</v>
      </c>
      <c r="R5292" s="267">
        <v>1035.72</v>
      </c>
      <c r="S5292" s="267">
        <v>15293.4</v>
      </c>
      <c r="T5292" s="267">
        <v>16329.12</v>
      </c>
      <c r="U5292" s="268" t="s">
        <v>3945</v>
      </c>
      <c r="V5292" s="267" t="s">
        <v>944</v>
      </c>
    </row>
    <row r="5293" spans="1:22" hidden="1" x14ac:dyDescent="0.25">
      <c r="A5293" s="269">
        <v>43719</v>
      </c>
      <c r="B5293" s="270">
        <v>2019</v>
      </c>
      <c r="C5293" s="270">
        <v>2020</v>
      </c>
      <c r="D5293" s="270">
        <v>1</v>
      </c>
      <c r="E5293" s="270">
        <v>1</v>
      </c>
      <c r="F5293" s="270" t="s">
        <v>944</v>
      </c>
      <c r="G5293" s="270" t="s">
        <v>3926</v>
      </c>
      <c r="H5293" s="270" t="s">
        <v>9953</v>
      </c>
      <c r="I5293" s="270" t="s">
        <v>3956</v>
      </c>
      <c r="J5293" s="270" t="s">
        <v>3928</v>
      </c>
      <c r="K5293" s="270">
        <v>6114</v>
      </c>
      <c r="L5293" s="270">
        <v>502500</v>
      </c>
      <c r="M5293" s="270">
        <v>-60</v>
      </c>
      <c r="N5293" s="270" t="s">
        <v>9954</v>
      </c>
      <c r="O5293" s="270"/>
      <c r="P5293" s="270" t="s">
        <v>3944</v>
      </c>
      <c r="Q5293" s="270" t="s">
        <v>9954</v>
      </c>
      <c r="R5293" s="270">
        <v>256395.44</v>
      </c>
      <c r="S5293" s="270">
        <v>77321</v>
      </c>
      <c r="T5293" s="270">
        <v>333716.44</v>
      </c>
      <c r="U5293" s="271" t="s">
        <v>4099</v>
      </c>
      <c r="V5293" s="267" t="s">
        <v>944</v>
      </c>
    </row>
    <row r="5294" spans="1:22" hidden="1" x14ac:dyDescent="0.25">
      <c r="A5294" s="266">
        <v>43719</v>
      </c>
      <c r="B5294" s="267">
        <v>2019</v>
      </c>
      <c r="C5294" s="267">
        <v>2020</v>
      </c>
      <c r="D5294" s="267">
        <v>1</v>
      </c>
      <c r="E5294" s="267">
        <v>1</v>
      </c>
      <c r="F5294" s="267" t="s">
        <v>944</v>
      </c>
      <c r="G5294" s="267" t="s">
        <v>3926</v>
      </c>
      <c r="H5294" s="267" t="s">
        <v>9955</v>
      </c>
      <c r="I5294" s="267" t="s">
        <v>3012</v>
      </c>
      <c r="J5294" s="267" t="s">
        <v>3928</v>
      </c>
      <c r="K5294" s="267">
        <v>6477</v>
      </c>
      <c r="L5294" s="267">
        <v>157300</v>
      </c>
      <c r="M5294" s="267" t="s">
        <v>3943</v>
      </c>
      <c r="N5294" s="267" t="s">
        <v>3944</v>
      </c>
      <c r="O5294" s="267">
        <v>1627.64</v>
      </c>
      <c r="P5294" s="267" t="s">
        <v>3944</v>
      </c>
      <c r="Q5294" s="267" t="s">
        <v>3944</v>
      </c>
      <c r="R5294" s="267">
        <v>1627.64</v>
      </c>
      <c r="S5294" s="267">
        <v>26728.46</v>
      </c>
      <c r="T5294" s="267">
        <v>28356.1</v>
      </c>
      <c r="U5294" s="268" t="s">
        <v>3945</v>
      </c>
      <c r="V5294" s="267" t="s">
        <v>944</v>
      </c>
    </row>
    <row r="5295" spans="1:22" hidden="1" x14ac:dyDescent="0.25">
      <c r="A5295" s="269">
        <v>43719</v>
      </c>
      <c r="B5295" s="270">
        <v>2019</v>
      </c>
      <c r="C5295" s="270">
        <v>2020</v>
      </c>
      <c r="D5295" s="270">
        <v>1</v>
      </c>
      <c r="E5295" s="270">
        <v>1</v>
      </c>
      <c r="F5295" s="270" t="s">
        <v>944</v>
      </c>
      <c r="G5295" s="270" t="s">
        <v>3926</v>
      </c>
      <c r="H5295" s="270" t="s">
        <v>9956</v>
      </c>
      <c r="I5295" s="270" t="s">
        <v>3985</v>
      </c>
      <c r="J5295" s="270" t="s">
        <v>3928</v>
      </c>
      <c r="K5295" s="270">
        <v>6266</v>
      </c>
      <c r="L5295" s="270">
        <v>800500</v>
      </c>
      <c r="M5295" s="270" t="s">
        <v>3940</v>
      </c>
      <c r="N5295" s="270" t="s">
        <v>3944</v>
      </c>
      <c r="O5295" s="270">
        <v>1239</v>
      </c>
      <c r="P5295" s="270" t="s">
        <v>3944</v>
      </c>
      <c r="Q5295" s="270" t="s">
        <v>3944</v>
      </c>
      <c r="R5295" s="270">
        <v>1239</v>
      </c>
      <c r="S5295" s="270">
        <v>16725.560000000001</v>
      </c>
      <c r="T5295" s="270">
        <v>17964.560000000001</v>
      </c>
      <c r="U5295" s="271" t="s">
        <v>3945</v>
      </c>
      <c r="V5295" s="267" t="s">
        <v>944</v>
      </c>
    </row>
    <row r="5296" spans="1:22" hidden="1" x14ac:dyDescent="0.25">
      <c r="A5296" s="266">
        <v>43719</v>
      </c>
      <c r="B5296" s="267">
        <v>2019</v>
      </c>
      <c r="C5296" s="267">
        <v>2020</v>
      </c>
      <c r="D5296" s="267">
        <v>1</v>
      </c>
      <c r="E5296" s="267">
        <v>1</v>
      </c>
      <c r="F5296" s="267" t="s">
        <v>944</v>
      </c>
      <c r="G5296" s="267" t="s">
        <v>3926</v>
      </c>
      <c r="H5296" s="267" t="s">
        <v>9957</v>
      </c>
      <c r="I5296" s="267" t="s">
        <v>3954</v>
      </c>
      <c r="J5296" s="267" t="s">
        <v>3928</v>
      </c>
      <c r="K5296" s="267">
        <v>6357</v>
      </c>
      <c r="L5296" s="267">
        <v>870704</v>
      </c>
      <c r="M5296" s="267" t="s">
        <v>3935</v>
      </c>
      <c r="N5296" s="267" t="s">
        <v>3944</v>
      </c>
      <c r="O5296" s="267">
        <v>1866.17</v>
      </c>
      <c r="P5296" s="267" t="s">
        <v>3944</v>
      </c>
      <c r="Q5296" s="267" t="s">
        <v>3944</v>
      </c>
      <c r="R5296" s="267">
        <v>1866.17</v>
      </c>
      <c r="S5296" s="267">
        <v>35078.629999999997</v>
      </c>
      <c r="T5296" s="267">
        <v>36944.800000000003</v>
      </c>
      <c r="U5296" s="268" t="s">
        <v>3945</v>
      </c>
      <c r="V5296" s="267" t="s">
        <v>944</v>
      </c>
    </row>
    <row r="5297" spans="1:22" x14ac:dyDescent="0.25">
      <c r="A5297" s="269">
        <v>43720</v>
      </c>
      <c r="B5297" s="270">
        <v>2019</v>
      </c>
      <c r="C5297" s="270">
        <v>2020</v>
      </c>
      <c r="D5297" s="270">
        <v>1</v>
      </c>
      <c r="E5297" s="270">
        <v>1</v>
      </c>
      <c r="F5297" s="270" t="s">
        <v>944</v>
      </c>
      <c r="G5297" s="270" t="s">
        <v>3926</v>
      </c>
      <c r="H5297" s="270" t="s">
        <v>9958</v>
      </c>
      <c r="I5297" s="270" t="s">
        <v>934</v>
      </c>
      <c r="J5297" s="270" t="s">
        <v>3928</v>
      </c>
      <c r="K5297" s="270">
        <v>6605</v>
      </c>
      <c r="L5297" s="270">
        <v>70200</v>
      </c>
      <c r="M5297" s="270">
        <v>-60</v>
      </c>
      <c r="N5297" s="270" t="s">
        <v>9959</v>
      </c>
      <c r="O5297" s="270">
        <v>0</v>
      </c>
      <c r="P5297" s="270" t="s">
        <v>3930</v>
      </c>
      <c r="Q5297" s="270" t="s">
        <v>3930</v>
      </c>
      <c r="R5297" s="270">
        <v>0</v>
      </c>
      <c r="S5297" s="270">
        <v>11950</v>
      </c>
      <c r="T5297" s="270">
        <v>11950</v>
      </c>
      <c r="U5297" s="271" t="s">
        <v>3937</v>
      </c>
      <c r="V5297" s="276" t="s">
        <v>936</v>
      </c>
    </row>
    <row r="5298" spans="1:22" hidden="1" x14ac:dyDescent="0.25">
      <c r="A5298" s="266">
        <v>43720</v>
      </c>
      <c r="B5298" s="267">
        <v>2019</v>
      </c>
      <c r="C5298" s="267">
        <v>2020</v>
      </c>
      <c r="D5298" s="267">
        <v>1</v>
      </c>
      <c r="E5298" s="267">
        <v>1</v>
      </c>
      <c r="F5298" s="267" t="s">
        <v>944</v>
      </c>
      <c r="G5298" s="267" t="s">
        <v>3926</v>
      </c>
      <c r="H5298" s="267" t="s">
        <v>9960</v>
      </c>
      <c r="I5298" s="267" t="s">
        <v>4019</v>
      </c>
      <c r="J5298" s="267" t="s">
        <v>3928</v>
      </c>
      <c r="K5298" s="267">
        <v>6704</v>
      </c>
      <c r="L5298" s="267">
        <v>351100</v>
      </c>
      <c r="M5298" s="267">
        <v>-60</v>
      </c>
      <c r="N5298" s="267" t="s">
        <v>4975</v>
      </c>
      <c r="O5298" s="267">
        <v>0</v>
      </c>
      <c r="P5298" s="267" t="s">
        <v>3930</v>
      </c>
      <c r="Q5298" s="267" t="s">
        <v>3930</v>
      </c>
      <c r="R5298" s="267">
        <v>0</v>
      </c>
      <c r="S5298" s="267">
        <v>8963</v>
      </c>
      <c r="T5298" s="267">
        <v>8963</v>
      </c>
      <c r="U5298" s="268" t="s">
        <v>3937</v>
      </c>
      <c r="V5298" s="267" t="s">
        <v>944</v>
      </c>
    </row>
    <row r="5299" spans="1:22" x14ac:dyDescent="0.25">
      <c r="A5299" s="269">
        <v>43720</v>
      </c>
      <c r="B5299" s="270">
        <v>2019</v>
      </c>
      <c r="C5299" s="270">
        <v>2020</v>
      </c>
      <c r="D5299" s="270">
        <v>1</v>
      </c>
      <c r="E5299" s="270">
        <v>1</v>
      </c>
      <c r="F5299" s="270" t="s">
        <v>944</v>
      </c>
      <c r="G5299" s="270" t="s">
        <v>3926</v>
      </c>
      <c r="H5299" s="270" t="s">
        <v>9961</v>
      </c>
      <c r="I5299" s="270" t="s">
        <v>943</v>
      </c>
      <c r="J5299" s="270" t="s">
        <v>3928</v>
      </c>
      <c r="K5299" s="270">
        <v>6511</v>
      </c>
      <c r="L5299" s="270">
        <v>140800</v>
      </c>
      <c r="M5299" s="270">
        <v>-60</v>
      </c>
      <c r="N5299" s="270" t="s">
        <v>4103</v>
      </c>
      <c r="O5299" s="270">
        <v>1595.72</v>
      </c>
      <c r="P5299" s="270" t="s">
        <v>3930</v>
      </c>
      <c r="Q5299" s="270" t="s">
        <v>3931</v>
      </c>
      <c r="R5299" s="270">
        <v>6595.72</v>
      </c>
      <c r="S5299" s="270">
        <v>24145.599999999999</v>
      </c>
      <c r="T5299" s="270">
        <v>30741.32</v>
      </c>
      <c r="U5299" s="271" t="s">
        <v>3932</v>
      </c>
      <c r="V5299" s="276" t="s">
        <v>936</v>
      </c>
    </row>
    <row r="5300" spans="1:22" x14ac:dyDescent="0.25">
      <c r="A5300" s="266">
        <v>43720</v>
      </c>
      <c r="B5300" s="267">
        <v>2019</v>
      </c>
      <c r="C5300" s="267">
        <v>2020</v>
      </c>
      <c r="D5300" s="267">
        <v>1</v>
      </c>
      <c r="E5300" s="267">
        <v>1</v>
      </c>
      <c r="F5300" s="267" t="s">
        <v>944</v>
      </c>
      <c r="G5300" s="267" t="s">
        <v>3926</v>
      </c>
      <c r="H5300" s="267" t="s">
        <v>9962</v>
      </c>
      <c r="I5300" s="267" t="s">
        <v>934</v>
      </c>
      <c r="J5300" s="267" t="s">
        <v>3928</v>
      </c>
      <c r="K5300" s="267">
        <v>6610</v>
      </c>
      <c r="L5300" s="267">
        <v>73100</v>
      </c>
      <c r="M5300" s="267">
        <v>-60</v>
      </c>
      <c r="N5300" s="267" t="s">
        <v>4103</v>
      </c>
      <c r="O5300" s="267">
        <v>1409.24</v>
      </c>
      <c r="P5300" s="267" t="s">
        <v>3930</v>
      </c>
      <c r="Q5300" s="267" t="s">
        <v>3931</v>
      </c>
      <c r="R5300" s="267">
        <v>6409.24</v>
      </c>
      <c r="S5300" s="267">
        <v>24145.599999999999</v>
      </c>
      <c r="T5300" s="267">
        <v>30554.84</v>
      </c>
      <c r="U5300" s="268" t="s">
        <v>3932</v>
      </c>
      <c r="V5300" s="276" t="s">
        <v>936</v>
      </c>
    </row>
    <row r="5301" spans="1:22" hidden="1" x14ac:dyDescent="0.25">
      <c r="A5301" s="269">
        <v>43720</v>
      </c>
      <c r="B5301" s="270">
        <v>2019</v>
      </c>
      <c r="C5301" s="270">
        <v>2020</v>
      </c>
      <c r="D5301" s="270">
        <v>1</v>
      </c>
      <c r="E5301" s="270">
        <v>1</v>
      </c>
      <c r="F5301" s="270" t="s">
        <v>944</v>
      </c>
      <c r="G5301" s="270" t="s">
        <v>3926</v>
      </c>
      <c r="H5301" s="270" t="s">
        <v>9963</v>
      </c>
      <c r="I5301" s="270" t="s">
        <v>934</v>
      </c>
      <c r="J5301" s="270" t="s">
        <v>3928</v>
      </c>
      <c r="K5301" s="270">
        <v>6601</v>
      </c>
      <c r="L5301" s="270">
        <v>240200</v>
      </c>
      <c r="M5301" s="270" t="s">
        <v>3943</v>
      </c>
      <c r="N5301" s="270" t="s">
        <v>4103</v>
      </c>
      <c r="O5301" s="270">
        <v>4350.6400000000003</v>
      </c>
      <c r="P5301" s="270" t="s">
        <v>3930</v>
      </c>
      <c r="Q5301" s="270" t="s">
        <v>3931</v>
      </c>
      <c r="R5301" s="270">
        <v>9350.64</v>
      </c>
      <c r="S5301" s="270">
        <v>24145.599999999999</v>
      </c>
      <c r="T5301" s="270">
        <v>33496.239999999998</v>
      </c>
      <c r="U5301" s="271" t="s">
        <v>3932</v>
      </c>
      <c r="V5301" s="267" t="s">
        <v>944</v>
      </c>
    </row>
    <row r="5302" spans="1:22" hidden="1" x14ac:dyDescent="0.25">
      <c r="A5302" s="266">
        <v>43720</v>
      </c>
      <c r="B5302" s="267">
        <v>2019</v>
      </c>
      <c r="C5302" s="267">
        <v>2020</v>
      </c>
      <c r="D5302" s="267">
        <v>1</v>
      </c>
      <c r="E5302" s="267">
        <v>1</v>
      </c>
      <c r="F5302" s="267" t="s">
        <v>944</v>
      </c>
      <c r="G5302" s="267" t="s">
        <v>3926</v>
      </c>
      <c r="H5302" s="267" t="s">
        <v>9964</v>
      </c>
      <c r="I5302" s="267" t="s">
        <v>4392</v>
      </c>
      <c r="J5302" s="267" t="s">
        <v>3928</v>
      </c>
      <c r="K5302" s="267">
        <v>6457</v>
      </c>
      <c r="L5302" s="267">
        <v>680200</v>
      </c>
      <c r="M5302" s="267" t="s">
        <v>3935</v>
      </c>
      <c r="N5302" s="267" t="s">
        <v>4103</v>
      </c>
      <c r="O5302" s="267">
        <v>3700.7</v>
      </c>
      <c r="P5302" s="267" t="s">
        <v>3930</v>
      </c>
      <c r="Q5302" s="267" t="s">
        <v>3931</v>
      </c>
      <c r="R5302" s="267">
        <v>8700.7000000000007</v>
      </c>
      <c r="S5302" s="267">
        <v>24145.599999999999</v>
      </c>
      <c r="T5302" s="267">
        <v>32846.300000000003</v>
      </c>
      <c r="U5302" s="268" t="s">
        <v>3932</v>
      </c>
      <c r="V5302" s="267" t="s">
        <v>944</v>
      </c>
    </row>
    <row r="5303" spans="1:22" hidden="1" x14ac:dyDescent="0.25">
      <c r="A5303" s="269">
        <v>43720</v>
      </c>
      <c r="B5303" s="270">
        <v>2019</v>
      </c>
      <c r="C5303" s="270">
        <v>2020</v>
      </c>
      <c r="D5303" s="270">
        <v>1</v>
      </c>
      <c r="E5303" s="270">
        <v>1</v>
      </c>
      <c r="F5303" s="270" t="s">
        <v>944</v>
      </c>
      <c r="G5303" s="270" t="s">
        <v>3926</v>
      </c>
      <c r="H5303" s="270" t="s">
        <v>9965</v>
      </c>
      <c r="I5303" s="270" t="s">
        <v>956</v>
      </c>
      <c r="J5303" s="270" t="s">
        <v>3928</v>
      </c>
      <c r="K5303" s="270">
        <v>6614</v>
      </c>
      <c r="L5303" s="270">
        <v>81000</v>
      </c>
      <c r="M5303" s="270" t="s">
        <v>3940</v>
      </c>
      <c r="N5303" s="270" t="s">
        <v>6247</v>
      </c>
      <c r="O5303" s="270">
        <v>0</v>
      </c>
      <c r="P5303" s="270" t="s">
        <v>3930</v>
      </c>
      <c r="Q5303" s="270" t="s">
        <v>3930</v>
      </c>
      <c r="R5303" s="270">
        <v>0</v>
      </c>
      <c r="S5303" s="270">
        <v>7900</v>
      </c>
      <c r="T5303" s="270">
        <v>7900</v>
      </c>
      <c r="U5303" s="271" t="s">
        <v>3937</v>
      </c>
      <c r="V5303" s="267" t="s">
        <v>944</v>
      </c>
    </row>
    <row r="5304" spans="1:22" hidden="1" x14ac:dyDescent="0.25">
      <c r="A5304" s="266">
        <v>43720</v>
      </c>
      <c r="B5304" s="267">
        <v>2019</v>
      </c>
      <c r="C5304" s="267">
        <v>2020</v>
      </c>
      <c r="D5304" s="267">
        <v>1</v>
      </c>
      <c r="E5304" s="267">
        <v>1</v>
      </c>
      <c r="F5304" s="267" t="s">
        <v>944</v>
      </c>
      <c r="G5304" s="267" t="s">
        <v>3926</v>
      </c>
      <c r="H5304" s="267" t="s">
        <v>9966</v>
      </c>
      <c r="I5304" s="267" t="s">
        <v>3975</v>
      </c>
      <c r="J5304" s="267" t="s">
        <v>3928</v>
      </c>
      <c r="K5304" s="267">
        <v>6489</v>
      </c>
      <c r="L5304" s="267">
        <v>430602</v>
      </c>
      <c r="M5304" s="267" t="s">
        <v>3960</v>
      </c>
      <c r="N5304" s="267" t="s">
        <v>3944</v>
      </c>
      <c r="O5304" s="267">
        <v>2943</v>
      </c>
      <c r="P5304" s="267" t="s">
        <v>3944</v>
      </c>
      <c r="Q5304" s="267" t="s">
        <v>3944</v>
      </c>
      <c r="R5304" s="267">
        <v>2943</v>
      </c>
      <c r="S5304" s="267">
        <v>22988</v>
      </c>
      <c r="T5304" s="267">
        <v>25931</v>
      </c>
      <c r="U5304" s="268" t="s">
        <v>3945</v>
      </c>
      <c r="V5304" s="267" t="s">
        <v>944</v>
      </c>
    </row>
    <row r="5305" spans="1:22" hidden="1" x14ac:dyDescent="0.25">
      <c r="A5305" s="269">
        <v>43720</v>
      </c>
      <c r="B5305" s="270">
        <v>2019</v>
      </c>
      <c r="C5305" s="270">
        <v>2020</v>
      </c>
      <c r="D5305" s="270">
        <v>1</v>
      </c>
      <c r="E5305" s="270">
        <v>1</v>
      </c>
      <c r="F5305" s="270" t="s">
        <v>944</v>
      </c>
      <c r="G5305" s="270" t="s">
        <v>3926</v>
      </c>
      <c r="H5305" s="270" t="s">
        <v>9967</v>
      </c>
      <c r="I5305" s="270" t="s">
        <v>3996</v>
      </c>
      <c r="J5305" s="270" t="s">
        <v>3928</v>
      </c>
      <c r="K5305" s="270">
        <v>6790</v>
      </c>
      <c r="L5305" s="270">
        <v>310803</v>
      </c>
      <c r="M5305" s="270">
        <v>-60</v>
      </c>
      <c r="N5305" s="270" t="s">
        <v>3944</v>
      </c>
      <c r="O5305" s="270">
        <v>1098</v>
      </c>
      <c r="P5305" s="270" t="s">
        <v>3944</v>
      </c>
      <c r="Q5305" s="270" t="s">
        <v>3944</v>
      </c>
      <c r="R5305" s="270">
        <v>1098</v>
      </c>
      <c r="S5305" s="270">
        <v>11493.43</v>
      </c>
      <c r="T5305" s="270">
        <v>12591.43</v>
      </c>
      <c r="U5305" s="271" t="s">
        <v>3945</v>
      </c>
      <c r="V5305" s="267" t="s">
        <v>944</v>
      </c>
    </row>
    <row r="5306" spans="1:22" hidden="1" x14ac:dyDescent="0.25">
      <c r="A5306" s="266">
        <v>43720</v>
      </c>
      <c r="B5306" s="267">
        <v>2019</v>
      </c>
      <c r="C5306" s="267">
        <v>2020</v>
      </c>
      <c r="D5306" s="267">
        <v>1</v>
      </c>
      <c r="E5306" s="267">
        <v>1</v>
      </c>
      <c r="F5306" s="267" t="s">
        <v>944</v>
      </c>
      <c r="G5306" s="267" t="s">
        <v>3926</v>
      </c>
      <c r="H5306" s="267" t="s">
        <v>9968</v>
      </c>
      <c r="I5306" s="267" t="s">
        <v>934</v>
      </c>
      <c r="J5306" s="267" t="s">
        <v>3928</v>
      </c>
      <c r="K5306" s="267">
        <v>6606</v>
      </c>
      <c r="L5306" s="267">
        <v>72400</v>
      </c>
      <c r="M5306" s="267" t="s">
        <v>3940</v>
      </c>
      <c r="N5306" s="267" t="s">
        <v>3944</v>
      </c>
      <c r="O5306" s="267">
        <v>1417</v>
      </c>
      <c r="P5306" s="267" t="s">
        <v>3944</v>
      </c>
      <c r="Q5306" s="267" t="s">
        <v>3944</v>
      </c>
      <c r="R5306" s="267">
        <v>1417</v>
      </c>
      <c r="S5306" s="267">
        <v>13110.9</v>
      </c>
      <c r="T5306" s="267">
        <v>14527.9</v>
      </c>
      <c r="U5306" s="268" t="s">
        <v>3945</v>
      </c>
      <c r="V5306" s="267" t="s">
        <v>944</v>
      </c>
    </row>
    <row r="5307" spans="1:22" hidden="1" x14ac:dyDescent="0.25">
      <c r="A5307" s="269">
        <v>43720</v>
      </c>
      <c r="B5307" s="270">
        <v>2019</v>
      </c>
      <c r="C5307" s="270">
        <v>2020</v>
      </c>
      <c r="D5307" s="270">
        <v>1</v>
      </c>
      <c r="E5307" s="270">
        <v>1</v>
      </c>
      <c r="F5307" s="270" t="s">
        <v>944</v>
      </c>
      <c r="G5307" s="270" t="s">
        <v>3926</v>
      </c>
      <c r="H5307" s="270" t="s">
        <v>9969</v>
      </c>
      <c r="I5307" s="270" t="s">
        <v>956</v>
      </c>
      <c r="J5307" s="270" t="s">
        <v>3928</v>
      </c>
      <c r="K5307" s="270">
        <v>6614</v>
      </c>
      <c r="L5307" s="270">
        <v>80900</v>
      </c>
      <c r="M5307" s="270" t="s">
        <v>3960</v>
      </c>
      <c r="N5307" s="270" t="s">
        <v>3944</v>
      </c>
      <c r="O5307" s="270">
        <v>1390.17</v>
      </c>
      <c r="P5307" s="270" t="s">
        <v>3944</v>
      </c>
      <c r="Q5307" s="270" t="s">
        <v>3944</v>
      </c>
      <c r="R5307" s="270">
        <v>1390.17</v>
      </c>
      <c r="S5307" s="270">
        <v>20320.849999999999</v>
      </c>
      <c r="T5307" s="270">
        <v>21711.02</v>
      </c>
      <c r="U5307" s="271" t="s">
        <v>3945</v>
      </c>
      <c r="V5307" s="267" t="s">
        <v>944</v>
      </c>
    </row>
    <row r="5308" spans="1:22" hidden="1" x14ac:dyDescent="0.25">
      <c r="A5308" s="266">
        <v>43720</v>
      </c>
      <c r="B5308" s="267">
        <v>2019</v>
      </c>
      <c r="C5308" s="267">
        <v>2020</v>
      </c>
      <c r="D5308" s="267">
        <v>1</v>
      </c>
      <c r="E5308" s="267">
        <v>1</v>
      </c>
      <c r="F5308" s="267" t="s">
        <v>944</v>
      </c>
      <c r="G5308" s="267" t="s">
        <v>3926</v>
      </c>
      <c r="H5308" s="267" t="s">
        <v>9970</v>
      </c>
      <c r="I5308" s="267" t="s">
        <v>4422</v>
      </c>
      <c r="J5308" s="267" t="s">
        <v>3928</v>
      </c>
      <c r="K5308" s="267">
        <v>6801</v>
      </c>
      <c r="L5308" s="267">
        <v>200302</v>
      </c>
      <c r="M5308" s="267" t="s">
        <v>3943</v>
      </c>
      <c r="N5308" s="267" t="s">
        <v>3944</v>
      </c>
      <c r="O5308" s="267">
        <v>1262.8399999999999</v>
      </c>
      <c r="P5308" s="267" t="s">
        <v>3944</v>
      </c>
      <c r="Q5308" s="267" t="s">
        <v>3944</v>
      </c>
      <c r="R5308" s="267">
        <v>1262.8399999999999</v>
      </c>
      <c r="S5308" s="267">
        <v>12729.16</v>
      </c>
      <c r="T5308" s="267">
        <v>13992</v>
      </c>
      <c r="U5308" s="268" t="s">
        <v>3945</v>
      </c>
      <c r="V5308" s="267" t="s">
        <v>944</v>
      </c>
    </row>
    <row r="5309" spans="1:22" hidden="1" x14ac:dyDescent="0.25">
      <c r="A5309" s="269">
        <v>43720</v>
      </c>
      <c r="B5309" s="270">
        <v>2019</v>
      </c>
      <c r="C5309" s="270">
        <v>2020</v>
      </c>
      <c r="D5309" s="270">
        <v>1</v>
      </c>
      <c r="E5309" s="270">
        <v>1</v>
      </c>
      <c r="F5309" s="270" t="s">
        <v>944</v>
      </c>
      <c r="G5309" s="270" t="s">
        <v>3926</v>
      </c>
      <c r="H5309" s="270" t="s">
        <v>9971</v>
      </c>
      <c r="I5309" s="270" t="s">
        <v>4019</v>
      </c>
      <c r="J5309" s="270" t="s">
        <v>3928</v>
      </c>
      <c r="K5309" s="270">
        <v>6708</v>
      </c>
      <c r="L5309" s="270">
        <v>351900</v>
      </c>
      <c r="M5309" s="270" t="s">
        <v>3935</v>
      </c>
      <c r="N5309" s="270" t="s">
        <v>3944</v>
      </c>
      <c r="O5309" s="270">
        <v>1669.96</v>
      </c>
      <c r="P5309" s="270" t="s">
        <v>3944</v>
      </c>
      <c r="Q5309" s="270" t="s">
        <v>3944</v>
      </c>
      <c r="R5309" s="270">
        <v>1669.96</v>
      </c>
      <c r="S5309" s="270">
        <v>14408.04</v>
      </c>
      <c r="T5309" s="270">
        <v>16078</v>
      </c>
      <c r="U5309" s="271" t="s">
        <v>3945</v>
      </c>
      <c r="V5309" s="267" t="s">
        <v>944</v>
      </c>
    </row>
    <row r="5310" spans="1:22" hidden="1" x14ac:dyDescent="0.25">
      <c r="A5310" s="266">
        <v>43720</v>
      </c>
      <c r="B5310" s="267">
        <v>2019</v>
      </c>
      <c r="C5310" s="267">
        <v>2020</v>
      </c>
      <c r="D5310" s="267">
        <v>1</v>
      </c>
      <c r="E5310" s="267">
        <v>1</v>
      </c>
      <c r="F5310" s="267" t="s">
        <v>944</v>
      </c>
      <c r="G5310" s="267" t="s">
        <v>3926</v>
      </c>
      <c r="H5310" s="267" t="s">
        <v>9972</v>
      </c>
      <c r="I5310" s="267" t="s">
        <v>4037</v>
      </c>
      <c r="J5310" s="267" t="s">
        <v>3928</v>
      </c>
      <c r="K5310" s="267">
        <v>6811</v>
      </c>
      <c r="L5310" s="267">
        <v>211000</v>
      </c>
      <c r="M5310" s="267" t="s">
        <v>3960</v>
      </c>
      <c r="N5310" s="267" t="s">
        <v>3944</v>
      </c>
      <c r="O5310" s="267">
        <v>1160.81</v>
      </c>
      <c r="P5310" s="267" t="s">
        <v>3944</v>
      </c>
      <c r="Q5310" s="267" t="s">
        <v>3944</v>
      </c>
      <c r="R5310" s="267">
        <v>1160.81</v>
      </c>
      <c r="S5310" s="267">
        <v>11470.19</v>
      </c>
      <c r="T5310" s="267">
        <v>12631</v>
      </c>
      <c r="U5310" s="268" t="s">
        <v>3945</v>
      </c>
      <c r="V5310" s="267" t="s">
        <v>944</v>
      </c>
    </row>
    <row r="5311" spans="1:22" hidden="1" x14ac:dyDescent="0.25">
      <c r="A5311" s="269">
        <v>43720</v>
      </c>
      <c r="B5311" s="270">
        <v>2019</v>
      </c>
      <c r="C5311" s="270">
        <v>2020</v>
      </c>
      <c r="D5311" s="270">
        <v>1</v>
      </c>
      <c r="E5311" s="270">
        <v>1</v>
      </c>
      <c r="F5311" s="270" t="s">
        <v>944</v>
      </c>
      <c r="G5311" s="270" t="s">
        <v>3926</v>
      </c>
      <c r="H5311" s="270" t="s">
        <v>9973</v>
      </c>
      <c r="I5311" s="270" t="s">
        <v>3956</v>
      </c>
      <c r="J5311" s="270" t="s">
        <v>3928</v>
      </c>
      <c r="K5311" s="270">
        <v>6114</v>
      </c>
      <c r="L5311" s="270">
        <v>502600</v>
      </c>
      <c r="M5311" s="270">
        <v>-60</v>
      </c>
      <c r="N5311" s="270" t="s">
        <v>3944</v>
      </c>
      <c r="O5311" s="270">
        <v>2423.02</v>
      </c>
      <c r="P5311" s="270" t="s">
        <v>3944</v>
      </c>
      <c r="Q5311" s="270" t="s">
        <v>3944</v>
      </c>
      <c r="R5311" s="270">
        <v>2423.02</v>
      </c>
      <c r="S5311" s="270">
        <v>21279.98</v>
      </c>
      <c r="T5311" s="270">
        <v>23703</v>
      </c>
      <c r="U5311" s="271" t="s">
        <v>3945</v>
      </c>
      <c r="V5311" s="267" t="s">
        <v>944</v>
      </c>
    </row>
    <row r="5312" spans="1:22" hidden="1" x14ac:dyDescent="0.25">
      <c r="A5312" s="266">
        <v>43720</v>
      </c>
      <c r="B5312" s="267">
        <v>2019</v>
      </c>
      <c r="C5312" s="267">
        <v>2020</v>
      </c>
      <c r="D5312" s="267">
        <v>1</v>
      </c>
      <c r="E5312" s="267">
        <v>1</v>
      </c>
      <c r="F5312" s="267" t="s">
        <v>944</v>
      </c>
      <c r="G5312" s="267" t="s">
        <v>3926</v>
      </c>
      <c r="H5312" s="267" t="s">
        <v>9974</v>
      </c>
      <c r="I5312" s="267" t="s">
        <v>4029</v>
      </c>
      <c r="J5312" s="267" t="s">
        <v>3928</v>
      </c>
      <c r="K5312" s="267">
        <v>6854</v>
      </c>
      <c r="L5312" s="267">
        <v>43100</v>
      </c>
      <c r="M5312" s="267" t="s">
        <v>3943</v>
      </c>
      <c r="N5312" s="267" t="s">
        <v>3944</v>
      </c>
      <c r="O5312" s="267">
        <v>1355.76</v>
      </c>
      <c r="P5312" s="267" t="s">
        <v>3944</v>
      </c>
      <c r="Q5312" s="267" t="s">
        <v>3944</v>
      </c>
      <c r="R5312" s="267">
        <v>1355.76</v>
      </c>
      <c r="S5312" s="267">
        <v>12758.24</v>
      </c>
      <c r="T5312" s="267">
        <v>14114</v>
      </c>
      <c r="U5312" s="268" t="s">
        <v>3945</v>
      </c>
      <c r="V5312" s="267" t="s">
        <v>944</v>
      </c>
    </row>
    <row r="5313" spans="1:22" hidden="1" x14ac:dyDescent="0.25">
      <c r="A5313" s="269">
        <v>43720</v>
      </c>
      <c r="B5313" s="270">
        <v>2019</v>
      </c>
      <c r="C5313" s="270">
        <v>2020</v>
      </c>
      <c r="D5313" s="270">
        <v>1</v>
      </c>
      <c r="E5313" s="270">
        <v>1</v>
      </c>
      <c r="F5313" s="270" t="s">
        <v>944</v>
      </c>
      <c r="G5313" s="270" t="s">
        <v>3926</v>
      </c>
      <c r="H5313" s="270" t="s">
        <v>9975</v>
      </c>
      <c r="I5313" s="270" t="s">
        <v>4042</v>
      </c>
      <c r="J5313" s="270" t="s">
        <v>3928</v>
      </c>
      <c r="K5313" s="270">
        <v>6382</v>
      </c>
      <c r="L5313" s="270">
        <v>695201</v>
      </c>
      <c r="M5313" s="270" t="s">
        <v>3935</v>
      </c>
      <c r="N5313" s="270" t="s">
        <v>3944</v>
      </c>
      <c r="O5313" s="270">
        <v>976.01</v>
      </c>
      <c r="P5313" s="270" t="s">
        <v>3944</v>
      </c>
      <c r="Q5313" s="270" t="s">
        <v>3944</v>
      </c>
      <c r="R5313" s="270">
        <v>976.01</v>
      </c>
      <c r="S5313" s="270">
        <v>8086.99</v>
      </c>
      <c r="T5313" s="270">
        <v>9063</v>
      </c>
      <c r="U5313" s="271" t="s">
        <v>3945</v>
      </c>
      <c r="V5313" s="267" t="s">
        <v>944</v>
      </c>
    </row>
    <row r="5314" spans="1:22" hidden="1" x14ac:dyDescent="0.25">
      <c r="A5314" s="266">
        <v>43720</v>
      </c>
      <c r="B5314" s="267">
        <v>2019</v>
      </c>
      <c r="C5314" s="267">
        <v>2020</v>
      </c>
      <c r="D5314" s="267">
        <v>1</v>
      </c>
      <c r="E5314" s="267">
        <v>1</v>
      </c>
      <c r="F5314" s="267" t="s">
        <v>944</v>
      </c>
      <c r="G5314" s="267" t="s">
        <v>3926</v>
      </c>
      <c r="H5314" s="267" t="s">
        <v>9976</v>
      </c>
      <c r="I5314" s="267" t="s">
        <v>4016</v>
      </c>
      <c r="J5314" s="267" t="s">
        <v>3928</v>
      </c>
      <c r="K5314" s="267">
        <v>6770</v>
      </c>
      <c r="L5314" s="267">
        <v>345100</v>
      </c>
      <c r="M5314" s="267" t="s">
        <v>3940</v>
      </c>
      <c r="N5314" s="267" t="s">
        <v>3944</v>
      </c>
      <c r="O5314" s="267">
        <v>1070.3699999999999</v>
      </c>
      <c r="P5314" s="267" t="s">
        <v>3944</v>
      </c>
      <c r="Q5314" s="267" t="s">
        <v>3944</v>
      </c>
      <c r="R5314" s="267">
        <v>1070.3699999999999</v>
      </c>
      <c r="S5314" s="267">
        <v>10935.63</v>
      </c>
      <c r="T5314" s="267">
        <v>12006</v>
      </c>
      <c r="U5314" s="268" t="s">
        <v>3945</v>
      </c>
      <c r="V5314" s="267" t="s">
        <v>944</v>
      </c>
    </row>
    <row r="5315" spans="1:22" hidden="1" x14ac:dyDescent="0.25">
      <c r="A5315" s="269">
        <v>43720</v>
      </c>
      <c r="B5315" s="270">
        <v>2019</v>
      </c>
      <c r="C5315" s="270">
        <v>2020</v>
      </c>
      <c r="D5315" s="270">
        <v>1</v>
      </c>
      <c r="E5315" s="270">
        <v>1</v>
      </c>
      <c r="F5315" s="270" t="s">
        <v>944</v>
      </c>
      <c r="G5315" s="270" t="s">
        <v>3926</v>
      </c>
      <c r="H5315" s="270" t="s">
        <v>9977</v>
      </c>
      <c r="I5315" s="270" t="s">
        <v>4276</v>
      </c>
      <c r="J5315" s="270" t="s">
        <v>3928</v>
      </c>
      <c r="K5315" s="270">
        <v>6331</v>
      </c>
      <c r="L5315" s="270">
        <v>906100</v>
      </c>
      <c r="M5315" s="270" t="s">
        <v>3960</v>
      </c>
      <c r="N5315" s="270" t="s">
        <v>3944</v>
      </c>
      <c r="O5315" s="270">
        <v>1524.78</v>
      </c>
      <c r="P5315" s="270" t="s">
        <v>3944</v>
      </c>
      <c r="Q5315" s="270" t="s">
        <v>3944</v>
      </c>
      <c r="R5315" s="270">
        <v>1524.78</v>
      </c>
      <c r="S5315" s="270">
        <v>12045.22</v>
      </c>
      <c r="T5315" s="270">
        <v>13570</v>
      </c>
      <c r="U5315" s="271" t="s">
        <v>3945</v>
      </c>
      <c r="V5315" s="267" t="s">
        <v>944</v>
      </c>
    </row>
    <row r="5316" spans="1:22" hidden="1" x14ac:dyDescent="0.25">
      <c r="A5316" s="266">
        <v>43720</v>
      </c>
      <c r="B5316" s="267">
        <v>2019</v>
      </c>
      <c r="C5316" s="267">
        <v>2020</v>
      </c>
      <c r="D5316" s="267">
        <v>1</v>
      </c>
      <c r="E5316" s="267">
        <v>1</v>
      </c>
      <c r="F5316" s="267" t="s">
        <v>944</v>
      </c>
      <c r="G5316" s="267" t="s">
        <v>3926</v>
      </c>
      <c r="H5316" s="267" t="s">
        <v>9978</v>
      </c>
      <c r="I5316" s="267" t="s">
        <v>3009</v>
      </c>
      <c r="J5316" s="267" t="s">
        <v>3928</v>
      </c>
      <c r="K5316" s="267">
        <v>6484</v>
      </c>
      <c r="L5316" s="267">
        <v>110500</v>
      </c>
      <c r="M5316" s="267" t="s">
        <v>3943</v>
      </c>
      <c r="N5316" s="267" t="s">
        <v>3944</v>
      </c>
      <c r="O5316" s="267">
        <v>2468.41</v>
      </c>
      <c r="P5316" s="267" t="s">
        <v>3944</v>
      </c>
      <c r="Q5316" s="267" t="s">
        <v>3944</v>
      </c>
      <c r="R5316" s="267">
        <v>2468.41</v>
      </c>
      <c r="S5316" s="267">
        <v>18582.59</v>
      </c>
      <c r="T5316" s="267">
        <v>21051</v>
      </c>
      <c r="U5316" s="268" t="s">
        <v>3945</v>
      </c>
      <c r="V5316" s="267" t="s">
        <v>944</v>
      </c>
    </row>
    <row r="5317" spans="1:22" hidden="1" x14ac:dyDescent="0.25">
      <c r="A5317" s="269">
        <v>43720</v>
      </c>
      <c r="B5317" s="270">
        <v>2019</v>
      </c>
      <c r="C5317" s="270">
        <v>2020</v>
      </c>
      <c r="D5317" s="270">
        <v>1</v>
      </c>
      <c r="E5317" s="270">
        <v>1</v>
      </c>
      <c r="F5317" s="270" t="s">
        <v>944</v>
      </c>
      <c r="G5317" s="270" t="s">
        <v>3926</v>
      </c>
      <c r="H5317" s="270" t="s">
        <v>9979</v>
      </c>
      <c r="I5317" s="270" t="s">
        <v>956</v>
      </c>
      <c r="J5317" s="270" t="s">
        <v>3928</v>
      </c>
      <c r="K5317" s="270">
        <v>6615</v>
      </c>
      <c r="L5317" s="270">
        <v>80200</v>
      </c>
      <c r="M5317" s="270" t="s">
        <v>3935</v>
      </c>
      <c r="N5317" s="270" t="s">
        <v>3944</v>
      </c>
      <c r="O5317" s="270">
        <v>1274.46</v>
      </c>
      <c r="P5317" s="270" t="s">
        <v>3944</v>
      </c>
      <c r="Q5317" s="270" t="s">
        <v>3944</v>
      </c>
      <c r="R5317" s="270">
        <v>1274.46</v>
      </c>
      <c r="S5317" s="270">
        <v>8869.5400000000009</v>
      </c>
      <c r="T5317" s="270">
        <v>10144</v>
      </c>
      <c r="U5317" s="271" t="s">
        <v>3945</v>
      </c>
      <c r="V5317" s="267" t="s">
        <v>944</v>
      </c>
    </row>
    <row r="5318" spans="1:22" hidden="1" x14ac:dyDescent="0.25">
      <c r="A5318" s="266">
        <v>43720</v>
      </c>
      <c r="B5318" s="267">
        <v>2019</v>
      </c>
      <c r="C5318" s="267">
        <v>2020</v>
      </c>
      <c r="D5318" s="267">
        <v>1</v>
      </c>
      <c r="E5318" s="267">
        <v>1</v>
      </c>
      <c r="F5318" s="267" t="s">
        <v>944</v>
      </c>
      <c r="G5318" s="267" t="s">
        <v>3926</v>
      </c>
      <c r="H5318" s="267" t="s">
        <v>9980</v>
      </c>
      <c r="I5318" s="267" t="s">
        <v>4108</v>
      </c>
      <c r="J5318" s="267" t="s">
        <v>3928</v>
      </c>
      <c r="K5318" s="267">
        <v>6082</v>
      </c>
      <c r="L5318" s="267">
        <v>481300</v>
      </c>
      <c r="M5318" s="267" t="s">
        <v>3960</v>
      </c>
      <c r="N5318" s="267" t="s">
        <v>3944</v>
      </c>
      <c r="O5318" s="267">
        <v>1835.47</v>
      </c>
      <c r="P5318" s="267" t="s">
        <v>3944</v>
      </c>
      <c r="Q5318" s="267" t="s">
        <v>3944</v>
      </c>
      <c r="R5318" s="267">
        <v>1835.47</v>
      </c>
      <c r="S5318" s="267">
        <v>15457.53</v>
      </c>
      <c r="T5318" s="267">
        <v>17293</v>
      </c>
      <c r="U5318" s="268" t="s">
        <v>3945</v>
      </c>
      <c r="V5318" s="267" t="s">
        <v>944</v>
      </c>
    </row>
    <row r="5319" spans="1:22" hidden="1" x14ac:dyDescent="0.25">
      <c r="A5319" s="269">
        <v>43720</v>
      </c>
      <c r="B5319" s="270">
        <v>2019</v>
      </c>
      <c r="C5319" s="270">
        <v>2020</v>
      </c>
      <c r="D5319" s="270">
        <v>1</v>
      </c>
      <c r="E5319" s="270">
        <v>1</v>
      </c>
      <c r="F5319" s="270" t="s">
        <v>944</v>
      </c>
      <c r="G5319" s="270" t="s">
        <v>3926</v>
      </c>
      <c r="H5319" s="270" t="s">
        <v>9981</v>
      </c>
      <c r="I5319" s="270" t="s">
        <v>956</v>
      </c>
      <c r="J5319" s="270" t="s">
        <v>3928</v>
      </c>
      <c r="K5319" s="270">
        <v>6614</v>
      </c>
      <c r="L5319" s="270">
        <v>80900</v>
      </c>
      <c r="M5319" s="270" t="s">
        <v>3960</v>
      </c>
      <c r="N5319" s="270" t="s">
        <v>3944</v>
      </c>
      <c r="O5319" s="270">
        <v>1479.77</v>
      </c>
      <c r="P5319" s="270" t="s">
        <v>3944</v>
      </c>
      <c r="Q5319" s="270" t="s">
        <v>3944</v>
      </c>
      <c r="R5319" s="270">
        <v>1479.77</v>
      </c>
      <c r="S5319" s="270">
        <v>16156.23</v>
      </c>
      <c r="T5319" s="270">
        <v>17636</v>
      </c>
      <c r="U5319" s="271" t="s">
        <v>3945</v>
      </c>
      <c r="V5319" s="267" t="s">
        <v>944</v>
      </c>
    </row>
    <row r="5320" spans="1:22" hidden="1" x14ac:dyDescent="0.25">
      <c r="A5320" s="266">
        <v>43720</v>
      </c>
      <c r="B5320" s="267">
        <v>2019</v>
      </c>
      <c r="C5320" s="267">
        <v>2020</v>
      </c>
      <c r="D5320" s="267">
        <v>1</v>
      </c>
      <c r="E5320" s="267">
        <v>1</v>
      </c>
      <c r="F5320" s="267" t="s">
        <v>944</v>
      </c>
      <c r="G5320" s="267" t="s">
        <v>3926</v>
      </c>
      <c r="H5320" s="267" t="s">
        <v>9982</v>
      </c>
      <c r="I5320" s="267" t="s">
        <v>3999</v>
      </c>
      <c r="J5320" s="267" t="s">
        <v>3928</v>
      </c>
      <c r="K5320" s="267">
        <v>6451</v>
      </c>
      <c r="L5320" s="267">
        <v>170500</v>
      </c>
      <c r="M5320" s="267" t="s">
        <v>3935</v>
      </c>
      <c r="N5320" s="267" t="s">
        <v>3944</v>
      </c>
      <c r="O5320" s="267">
        <v>1049.44</v>
      </c>
      <c r="P5320" s="267" t="s">
        <v>3944</v>
      </c>
      <c r="Q5320" s="267" t="s">
        <v>3944</v>
      </c>
      <c r="R5320" s="267">
        <v>1049.44</v>
      </c>
      <c r="S5320" s="267">
        <v>8718.56</v>
      </c>
      <c r="T5320" s="267">
        <v>9768</v>
      </c>
      <c r="U5320" s="268" t="s">
        <v>3945</v>
      </c>
      <c r="V5320" s="267" t="s">
        <v>944</v>
      </c>
    </row>
    <row r="5321" spans="1:22" hidden="1" x14ac:dyDescent="0.25">
      <c r="A5321" s="269">
        <v>43720</v>
      </c>
      <c r="B5321" s="270">
        <v>2019</v>
      </c>
      <c r="C5321" s="270">
        <v>2020</v>
      </c>
      <c r="D5321" s="270">
        <v>1</v>
      </c>
      <c r="E5321" s="270">
        <v>1</v>
      </c>
      <c r="F5321" s="270" t="s">
        <v>944</v>
      </c>
      <c r="G5321" s="270" t="s">
        <v>3926</v>
      </c>
      <c r="H5321" s="270" t="s">
        <v>9983</v>
      </c>
      <c r="I5321" s="270" t="s">
        <v>953</v>
      </c>
      <c r="J5321" s="270" t="s">
        <v>3928</v>
      </c>
      <c r="K5321" s="270">
        <v>6517</v>
      </c>
      <c r="L5321" s="270">
        <v>165100</v>
      </c>
      <c r="M5321" s="270" t="s">
        <v>3935</v>
      </c>
      <c r="N5321" s="270" t="s">
        <v>3944</v>
      </c>
      <c r="O5321" s="270">
        <v>665.95</v>
      </c>
      <c r="P5321" s="270" t="s">
        <v>3944</v>
      </c>
      <c r="Q5321" s="270" t="s">
        <v>3944</v>
      </c>
      <c r="R5321" s="270">
        <v>665.95</v>
      </c>
      <c r="S5321" s="270">
        <v>7126.05</v>
      </c>
      <c r="T5321" s="270">
        <v>7792</v>
      </c>
      <c r="U5321" s="271" t="s">
        <v>3945</v>
      </c>
      <c r="V5321" s="267" t="s">
        <v>944</v>
      </c>
    </row>
    <row r="5322" spans="1:22" hidden="1" x14ac:dyDescent="0.25">
      <c r="A5322" s="266">
        <v>43720</v>
      </c>
      <c r="B5322" s="267">
        <v>2019</v>
      </c>
      <c r="C5322" s="267">
        <v>2020</v>
      </c>
      <c r="D5322" s="267">
        <v>1</v>
      </c>
      <c r="E5322" s="267">
        <v>1</v>
      </c>
      <c r="F5322" s="267" t="s">
        <v>944</v>
      </c>
      <c r="G5322" s="267" t="s">
        <v>3926</v>
      </c>
      <c r="H5322" s="267" t="s">
        <v>9984</v>
      </c>
      <c r="I5322" s="267" t="s">
        <v>4137</v>
      </c>
      <c r="J5322" s="267" t="s">
        <v>3928</v>
      </c>
      <c r="K5322" s="267">
        <v>6067</v>
      </c>
      <c r="L5322" s="267">
        <v>490100</v>
      </c>
      <c r="M5322" s="267" t="s">
        <v>3935</v>
      </c>
      <c r="N5322" s="267" t="s">
        <v>3944</v>
      </c>
      <c r="O5322" s="267">
        <v>1795.43</v>
      </c>
      <c r="P5322" s="267" t="s">
        <v>3944</v>
      </c>
      <c r="Q5322" s="267" t="s">
        <v>3944</v>
      </c>
      <c r="R5322" s="267">
        <v>1795.43</v>
      </c>
      <c r="S5322" s="267">
        <v>21040.37</v>
      </c>
      <c r="T5322" s="267">
        <v>22835.8</v>
      </c>
      <c r="U5322" s="268" t="s">
        <v>3945</v>
      </c>
      <c r="V5322" s="267" t="s">
        <v>944</v>
      </c>
    </row>
    <row r="5323" spans="1:22" hidden="1" x14ac:dyDescent="0.25">
      <c r="A5323" s="269">
        <v>43720</v>
      </c>
      <c r="B5323" s="270">
        <v>2019</v>
      </c>
      <c r="C5323" s="270">
        <v>2020</v>
      </c>
      <c r="D5323" s="270">
        <v>1</v>
      </c>
      <c r="E5323" s="270">
        <v>1</v>
      </c>
      <c r="F5323" s="270" t="s">
        <v>944</v>
      </c>
      <c r="G5323" s="270" t="s">
        <v>3926</v>
      </c>
      <c r="H5323" s="270" t="s">
        <v>9985</v>
      </c>
      <c r="I5323" s="270" t="s">
        <v>956</v>
      </c>
      <c r="J5323" s="270" t="s">
        <v>3928</v>
      </c>
      <c r="K5323" s="270">
        <v>6615</v>
      </c>
      <c r="L5323" s="270">
        <v>80500</v>
      </c>
      <c r="M5323" s="270" t="s">
        <v>3960</v>
      </c>
      <c r="N5323" s="270" t="s">
        <v>3944</v>
      </c>
      <c r="O5323" s="270">
        <v>1262.42</v>
      </c>
      <c r="P5323" s="270" t="s">
        <v>3944</v>
      </c>
      <c r="Q5323" s="270" t="s">
        <v>3944</v>
      </c>
      <c r="R5323" s="270">
        <v>1262.42</v>
      </c>
      <c r="S5323" s="270">
        <v>16928.53</v>
      </c>
      <c r="T5323" s="270">
        <v>18190.95</v>
      </c>
      <c r="U5323" s="271" t="s">
        <v>3945</v>
      </c>
      <c r="V5323" s="267" t="s">
        <v>944</v>
      </c>
    </row>
    <row r="5324" spans="1:22" hidden="1" x14ac:dyDescent="0.25">
      <c r="A5324" s="266">
        <v>43720</v>
      </c>
      <c r="B5324" s="267">
        <v>2019</v>
      </c>
      <c r="C5324" s="267">
        <v>2020</v>
      </c>
      <c r="D5324" s="267">
        <v>1</v>
      </c>
      <c r="E5324" s="267">
        <v>1</v>
      </c>
      <c r="F5324" s="267" t="s">
        <v>944</v>
      </c>
      <c r="G5324" s="267" t="s">
        <v>3926</v>
      </c>
      <c r="H5324" s="267" t="s">
        <v>9986</v>
      </c>
      <c r="I5324" s="267" t="s">
        <v>4014</v>
      </c>
      <c r="J5324" s="267" t="s">
        <v>3928</v>
      </c>
      <c r="K5324" s="267">
        <v>6420</v>
      </c>
      <c r="L5324" s="267">
        <v>715100</v>
      </c>
      <c r="M5324" s="267" t="s">
        <v>3943</v>
      </c>
      <c r="N5324" s="267" t="s">
        <v>3944</v>
      </c>
      <c r="O5324" s="267">
        <v>1972.15</v>
      </c>
      <c r="P5324" s="267" t="s">
        <v>3944</v>
      </c>
      <c r="Q5324" s="267" t="s">
        <v>3944</v>
      </c>
      <c r="R5324" s="267">
        <v>1972.15</v>
      </c>
      <c r="S5324" s="267">
        <v>18327.849999999999</v>
      </c>
      <c r="T5324" s="267">
        <v>20300</v>
      </c>
      <c r="U5324" s="268" t="s">
        <v>3945</v>
      </c>
      <c r="V5324" s="267" t="s">
        <v>944</v>
      </c>
    </row>
    <row r="5325" spans="1:22" hidden="1" x14ac:dyDescent="0.25">
      <c r="A5325" s="269">
        <v>43720</v>
      </c>
      <c r="B5325" s="270">
        <v>2019</v>
      </c>
      <c r="C5325" s="270">
        <v>2020</v>
      </c>
      <c r="D5325" s="270">
        <v>1</v>
      </c>
      <c r="E5325" s="270">
        <v>1</v>
      </c>
      <c r="F5325" s="270" t="s">
        <v>944</v>
      </c>
      <c r="G5325" s="270" t="s">
        <v>3926</v>
      </c>
      <c r="H5325" s="270" t="s">
        <v>9987</v>
      </c>
      <c r="I5325" s="270" t="s">
        <v>3026</v>
      </c>
      <c r="J5325" s="270" t="s">
        <v>3928</v>
      </c>
      <c r="K5325" s="270">
        <v>6471</v>
      </c>
      <c r="L5325" s="270">
        <v>186100</v>
      </c>
      <c r="M5325" s="270" t="s">
        <v>3935</v>
      </c>
      <c r="N5325" s="270" t="s">
        <v>3944</v>
      </c>
      <c r="O5325" s="270">
        <v>981.82</v>
      </c>
      <c r="P5325" s="270" t="s">
        <v>3944</v>
      </c>
      <c r="Q5325" s="270" t="s">
        <v>3944</v>
      </c>
      <c r="R5325" s="270">
        <v>981.82</v>
      </c>
      <c r="S5325" s="270">
        <v>8786.18</v>
      </c>
      <c r="T5325" s="270">
        <v>9768</v>
      </c>
      <c r="U5325" s="271" t="s">
        <v>3945</v>
      </c>
      <c r="V5325" s="267" t="s">
        <v>944</v>
      </c>
    </row>
    <row r="5326" spans="1:22" hidden="1" x14ac:dyDescent="0.25">
      <c r="A5326" s="266">
        <v>43720</v>
      </c>
      <c r="B5326" s="267">
        <v>2019</v>
      </c>
      <c r="C5326" s="267">
        <v>2020</v>
      </c>
      <c r="D5326" s="267">
        <v>1</v>
      </c>
      <c r="E5326" s="267">
        <v>1</v>
      </c>
      <c r="F5326" s="267" t="s">
        <v>944</v>
      </c>
      <c r="G5326" s="267" t="s">
        <v>3926</v>
      </c>
      <c r="H5326" s="267" t="s">
        <v>9988</v>
      </c>
      <c r="I5326" s="267" t="s">
        <v>4008</v>
      </c>
      <c r="J5326" s="267" t="s">
        <v>3928</v>
      </c>
      <c r="K5326" s="267">
        <v>6320</v>
      </c>
      <c r="L5326" s="267">
        <v>690900</v>
      </c>
      <c r="M5326" s="267" t="s">
        <v>3935</v>
      </c>
      <c r="N5326" s="267" t="s">
        <v>3944</v>
      </c>
      <c r="O5326" s="267">
        <v>1610.84</v>
      </c>
      <c r="P5326" s="267" t="s">
        <v>3944</v>
      </c>
      <c r="Q5326" s="267" t="s">
        <v>3944</v>
      </c>
      <c r="R5326" s="267">
        <v>1610.84</v>
      </c>
      <c r="S5326" s="267">
        <v>17107.16</v>
      </c>
      <c r="T5326" s="267">
        <v>18718</v>
      </c>
      <c r="U5326" s="268" t="s">
        <v>3945</v>
      </c>
      <c r="V5326" s="267" t="s">
        <v>944</v>
      </c>
    </row>
    <row r="5327" spans="1:22" hidden="1" x14ac:dyDescent="0.25">
      <c r="A5327" s="269">
        <v>43720</v>
      </c>
      <c r="B5327" s="270">
        <v>2019</v>
      </c>
      <c r="C5327" s="270">
        <v>2020</v>
      </c>
      <c r="D5327" s="270">
        <v>1</v>
      </c>
      <c r="E5327" s="270">
        <v>1</v>
      </c>
      <c r="F5327" s="270" t="s">
        <v>944</v>
      </c>
      <c r="G5327" s="270" t="s">
        <v>3926</v>
      </c>
      <c r="H5327" s="270" t="s">
        <v>9989</v>
      </c>
      <c r="I5327" s="270" t="s">
        <v>4003</v>
      </c>
      <c r="J5327" s="270" t="s">
        <v>3928</v>
      </c>
      <c r="K5327" s="270">
        <v>6354</v>
      </c>
      <c r="L5327" s="270">
        <v>907200</v>
      </c>
      <c r="M5327" s="270" t="s">
        <v>3940</v>
      </c>
      <c r="N5327" s="270" t="s">
        <v>3944</v>
      </c>
      <c r="O5327" s="270">
        <v>3127.53</v>
      </c>
      <c r="P5327" s="270" t="s">
        <v>3944</v>
      </c>
      <c r="Q5327" s="270" t="s">
        <v>3944</v>
      </c>
      <c r="R5327" s="270">
        <v>3127.53</v>
      </c>
      <c r="S5327" s="270">
        <v>18839.47</v>
      </c>
      <c r="T5327" s="270">
        <v>21967</v>
      </c>
      <c r="U5327" s="271" t="s">
        <v>3945</v>
      </c>
      <c r="V5327" s="267" t="s">
        <v>944</v>
      </c>
    </row>
    <row r="5328" spans="1:22" hidden="1" x14ac:dyDescent="0.25">
      <c r="A5328" s="266">
        <v>43720</v>
      </c>
      <c r="B5328" s="267">
        <v>2019</v>
      </c>
      <c r="C5328" s="267">
        <v>2020</v>
      </c>
      <c r="D5328" s="267">
        <v>1</v>
      </c>
      <c r="E5328" s="267">
        <v>1</v>
      </c>
      <c r="F5328" s="267" t="s">
        <v>944</v>
      </c>
      <c r="G5328" s="267" t="s">
        <v>3926</v>
      </c>
      <c r="H5328" s="267" t="s">
        <v>9990</v>
      </c>
      <c r="I5328" s="267" t="s">
        <v>4016</v>
      </c>
      <c r="J5328" s="267" t="s">
        <v>3928</v>
      </c>
      <c r="K5328" s="267">
        <v>6770</v>
      </c>
      <c r="L5328" s="267">
        <v>345201</v>
      </c>
      <c r="M5328" s="267" t="s">
        <v>3935</v>
      </c>
      <c r="N5328" s="267" t="s">
        <v>3944</v>
      </c>
      <c r="O5328" s="267">
        <v>1385.2</v>
      </c>
      <c r="P5328" s="267" t="s">
        <v>3944</v>
      </c>
      <c r="Q5328" s="267" t="s">
        <v>3944</v>
      </c>
      <c r="R5328" s="267">
        <v>1385.2</v>
      </c>
      <c r="S5328" s="267">
        <v>10756.8</v>
      </c>
      <c r="T5328" s="267">
        <v>12142</v>
      </c>
      <c r="U5328" s="268" t="s">
        <v>3945</v>
      </c>
      <c r="V5328" s="267" t="s">
        <v>944</v>
      </c>
    </row>
    <row r="5329" spans="1:22" hidden="1" x14ac:dyDescent="0.25">
      <c r="A5329" s="269">
        <v>43720</v>
      </c>
      <c r="B5329" s="270">
        <v>2019</v>
      </c>
      <c r="C5329" s="270">
        <v>2020</v>
      </c>
      <c r="D5329" s="270">
        <v>1</v>
      </c>
      <c r="E5329" s="270">
        <v>1</v>
      </c>
      <c r="F5329" s="270" t="s">
        <v>944</v>
      </c>
      <c r="G5329" s="270" t="s">
        <v>3926</v>
      </c>
      <c r="H5329" s="270" t="s">
        <v>9991</v>
      </c>
      <c r="I5329" s="270" t="s">
        <v>3934</v>
      </c>
      <c r="J5329" s="270" t="s">
        <v>3928</v>
      </c>
      <c r="K5329" s="270">
        <v>6405</v>
      </c>
      <c r="L5329" s="270">
        <v>184500</v>
      </c>
      <c r="M5329" s="270" t="s">
        <v>3935</v>
      </c>
      <c r="N5329" s="270" t="s">
        <v>3944</v>
      </c>
      <c r="O5329" s="270">
        <v>1961.54</v>
      </c>
      <c r="P5329" s="270" t="s">
        <v>3944</v>
      </c>
      <c r="Q5329" s="270" t="s">
        <v>3944</v>
      </c>
      <c r="R5329" s="270">
        <v>1961.54</v>
      </c>
      <c r="S5329" s="270">
        <v>16961.46</v>
      </c>
      <c r="T5329" s="270">
        <v>18923</v>
      </c>
      <c r="U5329" s="271" t="s">
        <v>3945</v>
      </c>
      <c r="V5329" s="267" t="s">
        <v>944</v>
      </c>
    </row>
    <row r="5330" spans="1:22" hidden="1" x14ac:dyDescent="0.25">
      <c r="A5330" s="266">
        <v>43720</v>
      </c>
      <c r="B5330" s="267">
        <v>2019</v>
      </c>
      <c r="C5330" s="267">
        <v>2020</v>
      </c>
      <c r="D5330" s="267">
        <v>1</v>
      </c>
      <c r="E5330" s="267">
        <v>1</v>
      </c>
      <c r="F5330" s="267" t="s">
        <v>944</v>
      </c>
      <c r="G5330" s="267" t="s">
        <v>3926</v>
      </c>
      <c r="H5330" s="267" t="s">
        <v>9992</v>
      </c>
      <c r="I5330" s="267" t="s">
        <v>4037</v>
      </c>
      <c r="J5330" s="267" t="s">
        <v>3928</v>
      </c>
      <c r="K5330" s="267">
        <v>6810</v>
      </c>
      <c r="L5330" s="267">
        <v>210600</v>
      </c>
      <c r="M5330" s="267" t="s">
        <v>3940</v>
      </c>
      <c r="N5330" s="267" t="s">
        <v>3944</v>
      </c>
      <c r="O5330" s="267">
        <v>1286.29</v>
      </c>
      <c r="P5330" s="267" t="s">
        <v>3944</v>
      </c>
      <c r="Q5330" s="267" t="s">
        <v>3944</v>
      </c>
      <c r="R5330" s="267">
        <v>1286.29</v>
      </c>
      <c r="S5330" s="267">
        <v>12263.71</v>
      </c>
      <c r="T5330" s="267">
        <v>13550</v>
      </c>
      <c r="U5330" s="268" t="s">
        <v>3945</v>
      </c>
      <c r="V5330" s="267" t="s">
        <v>944</v>
      </c>
    </row>
    <row r="5331" spans="1:22" hidden="1" x14ac:dyDescent="0.25">
      <c r="A5331" s="269">
        <v>43720</v>
      </c>
      <c r="B5331" s="270">
        <v>2019</v>
      </c>
      <c r="C5331" s="270">
        <v>2020</v>
      </c>
      <c r="D5331" s="270">
        <v>1</v>
      </c>
      <c r="E5331" s="270">
        <v>1</v>
      </c>
      <c r="F5331" s="270" t="s">
        <v>944</v>
      </c>
      <c r="G5331" s="270" t="s">
        <v>3926</v>
      </c>
      <c r="H5331" s="270" t="s">
        <v>9993</v>
      </c>
      <c r="I5331" s="270" t="s">
        <v>4037</v>
      </c>
      <c r="J5331" s="270" t="s">
        <v>3928</v>
      </c>
      <c r="K5331" s="270">
        <v>6811</v>
      </c>
      <c r="L5331" s="270">
        <v>211400</v>
      </c>
      <c r="M5331" s="270" t="s">
        <v>3935</v>
      </c>
      <c r="N5331" s="270" t="s">
        <v>3944</v>
      </c>
      <c r="O5331" s="270">
        <v>886.41</v>
      </c>
      <c r="P5331" s="270" t="s">
        <v>3944</v>
      </c>
      <c r="Q5331" s="270" t="s">
        <v>3944</v>
      </c>
      <c r="R5331" s="270">
        <v>886.41</v>
      </c>
      <c r="S5331" s="270">
        <v>9517.59</v>
      </c>
      <c r="T5331" s="270">
        <v>10404</v>
      </c>
      <c r="U5331" s="271" t="s">
        <v>3945</v>
      </c>
      <c r="V5331" s="267" t="s">
        <v>944</v>
      </c>
    </row>
    <row r="5332" spans="1:22" hidden="1" x14ac:dyDescent="0.25">
      <c r="A5332" s="266">
        <v>43720</v>
      </c>
      <c r="B5332" s="267">
        <v>2019</v>
      </c>
      <c r="C5332" s="267">
        <v>2020</v>
      </c>
      <c r="D5332" s="267">
        <v>1</v>
      </c>
      <c r="E5332" s="267">
        <v>1</v>
      </c>
      <c r="F5332" s="267" t="s">
        <v>944</v>
      </c>
      <c r="G5332" s="267" t="s">
        <v>3926</v>
      </c>
      <c r="H5332" s="267" t="s">
        <v>9994</v>
      </c>
      <c r="I5332" s="267" t="s">
        <v>4005</v>
      </c>
      <c r="J5332" s="267" t="s">
        <v>3928</v>
      </c>
      <c r="K5332" s="267">
        <v>6118</v>
      </c>
      <c r="L5332" s="267">
        <v>511000</v>
      </c>
      <c r="M5332" s="267" t="s">
        <v>3935</v>
      </c>
      <c r="N5332" s="267" t="s">
        <v>3944</v>
      </c>
      <c r="O5332" s="267">
        <v>1731.14</v>
      </c>
      <c r="P5332" s="267" t="s">
        <v>3944</v>
      </c>
      <c r="Q5332" s="267" t="s">
        <v>3944</v>
      </c>
      <c r="R5332" s="267">
        <v>1731.14</v>
      </c>
      <c r="S5332" s="267">
        <v>11918.86</v>
      </c>
      <c r="T5332" s="267">
        <v>13650</v>
      </c>
      <c r="U5332" s="268" t="s">
        <v>3945</v>
      </c>
      <c r="V5332" s="267" t="s">
        <v>944</v>
      </c>
    </row>
    <row r="5333" spans="1:22" hidden="1" x14ac:dyDescent="0.25">
      <c r="A5333" s="269">
        <v>43720</v>
      </c>
      <c r="B5333" s="270">
        <v>2019</v>
      </c>
      <c r="C5333" s="270">
        <v>2020</v>
      </c>
      <c r="D5333" s="270">
        <v>1</v>
      </c>
      <c r="E5333" s="270">
        <v>1</v>
      </c>
      <c r="F5333" s="270" t="s">
        <v>944</v>
      </c>
      <c r="G5333" s="270" t="s">
        <v>3926</v>
      </c>
      <c r="H5333" s="270" t="s">
        <v>9995</v>
      </c>
      <c r="I5333" s="270" t="s">
        <v>5032</v>
      </c>
      <c r="J5333" s="270" t="s">
        <v>3928</v>
      </c>
      <c r="K5333" s="270">
        <v>6062</v>
      </c>
      <c r="L5333" s="270">
        <v>420500</v>
      </c>
      <c r="M5333" s="270" t="s">
        <v>3940</v>
      </c>
      <c r="N5333" s="270" t="s">
        <v>3944</v>
      </c>
      <c r="O5333" s="270">
        <v>1849.16</v>
      </c>
      <c r="P5333" s="270" t="s">
        <v>3944</v>
      </c>
      <c r="Q5333" s="270" t="s">
        <v>3944</v>
      </c>
      <c r="R5333" s="270">
        <v>1849.16</v>
      </c>
      <c r="S5333" s="270">
        <v>14284.84</v>
      </c>
      <c r="T5333" s="270">
        <v>16134</v>
      </c>
      <c r="U5333" s="271" t="s">
        <v>3945</v>
      </c>
      <c r="V5333" s="267" t="s">
        <v>944</v>
      </c>
    </row>
    <row r="5334" spans="1:22" hidden="1" x14ac:dyDescent="0.25">
      <c r="A5334" s="266">
        <v>43720</v>
      </c>
      <c r="B5334" s="267">
        <v>2019</v>
      </c>
      <c r="C5334" s="267">
        <v>2020</v>
      </c>
      <c r="D5334" s="267">
        <v>1</v>
      </c>
      <c r="E5334" s="267">
        <v>1</v>
      </c>
      <c r="F5334" s="267" t="s">
        <v>944</v>
      </c>
      <c r="G5334" s="267" t="s">
        <v>3926</v>
      </c>
      <c r="H5334" s="267" t="s">
        <v>9996</v>
      </c>
      <c r="I5334" s="267" t="s">
        <v>4029</v>
      </c>
      <c r="J5334" s="267" t="s">
        <v>3928</v>
      </c>
      <c r="K5334" s="267">
        <v>6851</v>
      </c>
      <c r="L5334" s="267">
        <v>43400</v>
      </c>
      <c r="M5334" s="267" t="s">
        <v>3935</v>
      </c>
      <c r="N5334" s="267" t="s">
        <v>3944</v>
      </c>
      <c r="O5334" s="267">
        <v>1509.24</v>
      </c>
      <c r="P5334" s="267" t="s">
        <v>3944</v>
      </c>
      <c r="Q5334" s="267" t="s">
        <v>3944</v>
      </c>
      <c r="R5334" s="267">
        <v>1509.24</v>
      </c>
      <c r="S5334" s="267">
        <v>13643.76</v>
      </c>
      <c r="T5334" s="267">
        <v>15153</v>
      </c>
      <c r="U5334" s="268" t="s">
        <v>3945</v>
      </c>
      <c r="V5334" s="267" t="s">
        <v>944</v>
      </c>
    </row>
    <row r="5335" spans="1:22" hidden="1" x14ac:dyDescent="0.25">
      <c r="A5335" s="269">
        <v>43721</v>
      </c>
      <c r="B5335" s="270">
        <v>2019</v>
      </c>
      <c r="C5335" s="270">
        <v>2020</v>
      </c>
      <c r="D5335" s="270">
        <v>1</v>
      </c>
      <c r="E5335" s="270">
        <v>1</v>
      </c>
      <c r="F5335" s="270" t="s">
        <v>944</v>
      </c>
      <c r="G5335" s="270" t="s">
        <v>3926</v>
      </c>
      <c r="H5335" s="270" t="s">
        <v>9997</v>
      </c>
      <c r="I5335" s="270" t="s">
        <v>4108</v>
      </c>
      <c r="J5335" s="270" t="s">
        <v>3928</v>
      </c>
      <c r="K5335" s="270">
        <v>6082</v>
      </c>
      <c r="L5335" s="270">
        <v>480900</v>
      </c>
      <c r="M5335" s="270" t="s">
        <v>3960</v>
      </c>
      <c r="N5335" s="270" t="s">
        <v>4523</v>
      </c>
      <c r="O5335" s="270">
        <v>4232.79</v>
      </c>
      <c r="P5335" s="270" t="s">
        <v>3930</v>
      </c>
      <c r="Q5335" s="270" t="s">
        <v>3931</v>
      </c>
      <c r="R5335" s="270">
        <v>9232.7900000000009</v>
      </c>
      <c r="S5335" s="270">
        <v>25412.799999999999</v>
      </c>
      <c r="T5335" s="270">
        <v>34645.589999999997</v>
      </c>
      <c r="U5335" s="271" t="s">
        <v>3932</v>
      </c>
      <c r="V5335" s="267" t="s">
        <v>944</v>
      </c>
    </row>
    <row r="5336" spans="1:22" hidden="1" x14ac:dyDescent="0.25">
      <c r="A5336" s="266">
        <v>43721</v>
      </c>
      <c r="B5336" s="267">
        <v>2019</v>
      </c>
      <c r="C5336" s="267">
        <v>2020</v>
      </c>
      <c r="D5336" s="267">
        <v>1</v>
      </c>
      <c r="E5336" s="267">
        <v>1</v>
      </c>
      <c r="F5336" s="267" t="s">
        <v>944</v>
      </c>
      <c r="G5336" s="267" t="s">
        <v>3926</v>
      </c>
      <c r="H5336" s="267" t="s">
        <v>9998</v>
      </c>
      <c r="I5336" s="267" t="s">
        <v>953</v>
      </c>
      <c r="J5336" s="267" t="s">
        <v>3928</v>
      </c>
      <c r="K5336" s="267">
        <v>6518</v>
      </c>
      <c r="L5336" s="267">
        <v>166002</v>
      </c>
      <c r="M5336" s="267" t="s">
        <v>3960</v>
      </c>
      <c r="N5336" s="267" t="s">
        <v>3983</v>
      </c>
      <c r="O5336" s="267">
        <v>1351.6</v>
      </c>
      <c r="P5336" s="267" t="s">
        <v>3930</v>
      </c>
      <c r="Q5336" s="267" t="s">
        <v>3931</v>
      </c>
      <c r="R5336" s="267">
        <v>6351.6</v>
      </c>
      <c r="S5336" s="267">
        <v>16504</v>
      </c>
      <c r="T5336" s="267">
        <v>22855.599999999999</v>
      </c>
      <c r="U5336" s="268" t="s">
        <v>3932</v>
      </c>
      <c r="V5336" s="267" t="s">
        <v>944</v>
      </c>
    </row>
    <row r="5337" spans="1:22" hidden="1" x14ac:dyDescent="0.25">
      <c r="A5337" s="269">
        <v>43721</v>
      </c>
      <c r="B5337" s="270">
        <v>2019</v>
      </c>
      <c r="C5337" s="270">
        <v>2020</v>
      </c>
      <c r="D5337" s="270">
        <v>1</v>
      </c>
      <c r="E5337" s="270">
        <v>1</v>
      </c>
      <c r="F5337" s="270" t="s">
        <v>944</v>
      </c>
      <c r="G5337" s="270" t="s">
        <v>3926</v>
      </c>
      <c r="H5337" s="270" t="s">
        <v>9999</v>
      </c>
      <c r="I5337" s="270" t="s">
        <v>4556</v>
      </c>
      <c r="J5337" s="270" t="s">
        <v>3928</v>
      </c>
      <c r="K5337" s="270">
        <v>6029</v>
      </c>
      <c r="L5337" s="270">
        <v>535200</v>
      </c>
      <c r="M5337" s="270" t="s">
        <v>3960</v>
      </c>
      <c r="N5337" s="270" t="s">
        <v>3944</v>
      </c>
      <c r="O5337" s="270">
        <v>3882</v>
      </c>
      <c r="P5337" s="270" t="s">
        <v>3944</v>
      </c>
      <c r="Q5337" s="270" t="s">
        <v>3944</v>
      </c>
      <c r="R5337" s="270">
        <v>3882</v>
      </c>
      <c r="S5337" s="270">
        <v>53374</v>
      </c>
      <c r="T5337" s="270">
        <v>57256</v>
      </c>
      <c r="U5337" s="271" t="s">
        <v>3945</v>
      </c>
      <c r="V5337" s="267" t="s">
        <v>944</v>
      </c>
    </row>
    <row r="5338" spans="1:22" hidden="1" x14ac:dyDescent="0.25">
      <c r="A5338" s="266">
        <v>43721</v>
      </c>
      <c r="B5338" s="267">
        <v>2019</v>
      </c>
      <c r="C5338" s="267">
        <v>2020</v>
      </c>
      <c r="D5338" s="267">
        <v>1</v>
      </c>
      <c r="E5338" s="267">
        <v>1</v>
      </c>
      <c r="F5338" s="267" t="s">
        <v>944</v>
      </c>
      <c r="G5338" s="267" t="s">
        <v>3926</v>
      </c>
      <c r="H5338" s="267" t="s">
        <v>10000</v>
      </c>
      <c r="I5338" s="267" t="s">
        <v>3008</v>
      </c>
      <c r="J5338" s="267" t="s">
        <v>3928</v>
      </c>
      <c r="K5338" s="267">
        <v>6460</v>
      </c>
      <c r="L5338" s="267">
        <v>150800</v>
      </c>
      <c r="M5338" s="267" t="s">
        <v>3960</v>
      </c>
      <c r="N5338" s="267" t="s">
        <v>3944</v>
      </c>
      <c r="O5338" s="267">
        <v>1758</v>
      </c>
      <c r="P5338" s="267" t="s">
        <v>3944</v>
      </c>
      <c r="Q5338" s="267" t="s">
        <v>3944</v>
      </c>
      <c r="R5338" s="267">
        <v>1758</v>
      </c>
      <c r="S5338" s="267">
        <v>9642</v>
      </c>
      <c r="T5338" s="267">
        <v>11400</v>
      </c>
      <c r="U5338" s="268" t="s">
        <v>3945</v>
      </c>
      <c r="V5338" s="267" t="s">
        <v>944</v>
      </c>
    </row>
    <row r="5339" spans="1:22" hidden="1" x14ac:dyDescent="0.25">
      <c r="A5339" s="269">
        <v>43721</v>
      </c>
      <c r="B5339" s="270">
        <v>2019</v>
      </c>
      <c r="C5339" s="270">
        <v>2020</v>
      </c>
      <c r="D5339" s="270">
        <v>1</v>
      </c>
      <c r="E5339" s="270">
        <v>1</v>
      </c>
      <c r="F5339" s="270" t="s">
        <v>944</v>
      </c>
      <c r="G5339" s="270" t="s">
        <v>3926</v>
      </c>
      <c r="H5339" s="270" t="s">
        <v>10001</v>
      </c>
      <c r="I5339" s="270" t="s">
        <v>956</v>
      </c>
      <c r="J5339" s="270" t="s">
        <v>3928</v>
      </c>
      <c r="K5339" s="270">
        <v>6614</v>
      </c>
      <c r="L5339" s="270">
        <v>81300</v>
      </c>
      <c r="M5339" s="270" t="s">
        <v>3935</v>
      </c>
      <c r="N5339" s="270" t="s">
        <v>3944</v>
      </c>
      <c r="O5339" s="270">
        <v>5069</v>
      </c>
      <c r="P5339" s="270" t="s">
        <v>3944</v>
      </c>
      <c r="Q5339" s="270" t="s">
        <v>3944</v>
      </c>
      <c r="R5339" s="270">
        <v>5069</v>
      </c>
      <c r="S5339" s="270">
        <v>43529.2</v>
      </c>
      <c r="T5339" s="270">
        <v>48598.2</v>
      </c>
      <c r="U5339" s="271" t="s">
        <v>3945</v>
      </c>
      <c r="V5339" s="267" t="s">
        <v>944</v>
      </c>
    </row>
    <row r="5340" spans="1:22" hidden="1" x14ac:dyDescent="0.25">
      <c r="A5340" s="266">
        <v>43721</v>
      </c>
      <c r="B5340" s="267">
        <v>2019</v>
      </c>
      <c r="C5340" s="267">
        <v>2020</v>
      </c>
      <c r="D5340" s="267">
        <v>1</v>
      </c>
      <c r="E5340" s="267">
        <v>1</v>
      </c>
      <c r="F5340" s="267" t="s">
        <v>944</v>
      </c>
      <c r="G5340" s="267" t="s">
        <v>3926</v>
      </c>
      <c r="H5340" s="267" t="s">
        <v>10002</v>
      </c>
      <c r="I5340" s="267" t="s">
        <v>4548</v>
      </c>
      <c r="J5340" s="267" t="s">
        <v>3928</v>
      </c>
      <c r="K5340" s="267">
        <v>6037</v>
      </c>
      <c r="L5340" s="267">
        <v>400200</v>
      </c>
      <c r="M5340" s="267" t="s">
        <v>3943</v>
      </c>
      <c r="N5340" s="267" t="s">
        <v>3944</v>
      </c>
      <c r="O5340" s="267">
        <v>2819</v>
      </c>
      <c r="P5340" s="267" t="s">
        <v>3944</v>
      </c>
      <c r="Q5340" s="267" t="s">
        <v>3944</v>
      </c>
      <c r="R5340" s="267">
        <v>2819</v>
      </c>
      <c r="S5340" s="267">
        <v>20360</v>
      </c>
      <c r="T5340" s="267">
        <v>23179</v>
      </c>
      <c r="U5340" s="268" t="s">
        <v>3945</v>
      </c>
      <c r="V5340" s="267" t="s">
        <v>944</v>
      </c>
    </row>
    <row r="5341" spans="1:22" x14ac:dyDescent="0.25">
      <c r="A5341" s="269">
        <v>43721</v>
      </c>
      <c r="B5341" s="270">
        <v>2019</v>
      </c>
      <c r="C5341" s="270">
        <v>2020</v>
      </c>
      <c r="D5341" s="270">
        <v>1</v>
      </c>
      <c r="E5341" s="270">
        <v>1</v>
      </c>
      <c r="F5341" s="270" t="s">
        <v>944</v>
      </c>
      <c r="G5341" s="270" t="s">
        <v>3926</v>
      </c>
      <c r="H5341" s="270" t="s">
        <v>10003</v>
      </c>
      <c r="I5341" s="270" t="s">
        <v>934</v>
      </c>
      <c r="J5341" s="270" t="s">
        <v>3928</v>
      </c>
      <c r="K5341" s="270">
        <v>6605</v>
      </c>
      <c r="L5341" s="270">
        <v>70200</v>
      </c>
      <c r="M5341" s="270">
        <v>-60</v>
      </c>
      <c r="N5341" s="270" t="s">
        <v>3944</v>
      </c>
      <c r="O5341" s="270">
        <v>1962</v>
      </c>
      <c r="P5341" s="270" t="s">
        <v>3944</v>
      </c>
      <c r="Q5341" s="270" t="s">
        <v>3944</v>
      </c>
      <c r="R5341" s="270">
        <v>1962</v>
      </c>
      <c r="S5341" s="270">
        <v>32402</v>
      </c>
      <c r="T5341" s="270">
        <v>34364</v>
      </c>
      <c r="U5341" s="271" t="s">
        <v>3945</v>
      </c>
      <c r="V5341" s="276" t="s">
        <v>936</v>
      </c>
    </row>
    <row r="5342" spans="1:22" hidden="1" x14ac:dyDescent="0.25">
      <c r="A5342" s="266">
        <v>43721</v>
      </c>
      <c r="B5342" s="267">
        <v>2019</v>
      </c>
      <c r="C5342" s="267">
        <v>2020</v>
      </c>
      <c r="D5342" s="267">
        <v>1</v>
      </c>
      <c r="E5342" s="267">
        <v>1</v>
      </c>
      <c r="F5342" s="267" t="s">
        <v>944</v>
      </c>
      <c r="G5342" s="267" t="s">
        <v>3926</v>
      </c>
      <c r="H5342" s="267" t="s">
        <v>10004</v>
      </c>
      <c r="I5342" s="267" t="s">
        <v>3999</v>
      </c>
      <c r="J5342" s="267" t="s">
        <v>3928</v>
      </c>
      <c r="K5342" s="267">
        <v>6451</v>
      </c>
      <c r="L5342" s="267">
        <v>171600</v>
      </c>
      <c r="M5342" s="267" t="s">
        <v>3940</v>
      </c>
      <c r="N5342" s="267" t="s">
        <v>3944</v>
      </c>
      <c r="O5342" s="267">
        <v>3119</v>
      </c>
      <c r="P5342" s="267" t="s">
        <v>3944</v>
      </c>
      <c r="Q5342" s="267" t="s">
        <v>3944</v>
      </c>
      <c r="R5342" s="267">
        <v>3119</v>
      </c>
      <c r="S5342" s="267">
        <v>34822.75</v>
      </c>
      <c r="T5342" s="267">
        <v>37941.75</v>
      </c>
      <c r="U5342" s="268" t="s">
        <v>3945</v>
      </c>
      <c r="V5342" s="267" t="s">
        <v>944</v>
      </c>
    </row>
    <row r="5343" spans="1:22" hidden="1" x14ac:dyDescent="0.25">
      <c r="A5343" s="269">
        <v>43721</v>
      </c>
      <c r="B5343" s="270">
        <v>2019</v>
      </c>
      <c r="C5343" s="270">
        <v>2020</v>
      </c>
      <c r="D5343" s="270">
        <v>1</v>
      </c>
      <c r="E5343" s="270">
        <v>1</v>
      </c>
      <c r="F5343" s="270" t="s">
        <v>944</v>
      </c>
      <c r="G5343" s="270" t="s">
        <v>3926</v>
      </c>
      <c r="H5343" s="270" t="s">
        <v>10005</v>
      </c>
      <c r="I5343" s="270" t="s">
        <v>6052</v>
      </c>
      <c r="J5343" s="270" t="s">
        <v>3928</v>
      </c>
      <c r="K5343" s="270">
        <v>6039</v>
      </c>
      <c r="L5343" s="270">
        <v>261100</v>
      </c>
      <c r="M5343" s="270" t="s">
        <v>3935</v>
      </c>
      <c r="N5343" s="270" t="s">
        <v>3944</v>
      </c>
      <c r="O5343" s="270">
        <v>5186</v>
      </c>
      <c r="P5343" s="270" t="s">
        <v>3944</v>
      </c>
      <c r="Q5343" s="270" t="s">
        <v>3944</v>
      </c>
      <c r="R5343" s="270">
        <v>5186</v>
      </c>
      <c r="S5343" s="270">
        <v>52614</v>
      </c>
      <c r="T5343" s="270">
        <v>57800</v>
      </c>
      <c r="U5343" s="271" t="s">
        <v>3945</v>
      </c>
      <c r="V5343" s="267" t="s">
        <v>944</v>
      </c>
    </row>
    <row r="5344" spans="1:22" hidden="1" x14ac:dyDescent="0.25">
      <c r="A5344" s="266">
        <v>43721</v>
      </c>
      <c r="B5344" s="267">
        <v>2019</v>
      </c>
      <c r="C5344" s="267">
        <v>2020</v>
      </c>
      <c r="D5344" s="267">
        <v>1</v>
      </c>
      <c r="E5344" s="267">
        <v>1</v>
      </c>
      <c r="F5344" s="267" t="s">
        <v>944</v>
      </c>
      <c r="G5344" s="267" t="s">
        <v>3926</v>
      </c>
      <c r="H5344" s="267" t="s">
        <v>10006</v>
      </c>
      <c r="I5344" s="267" t="s">
        <v>3975</v>
      </c>
      <c r="J5344" s="267" t="s">
        <v>3928</v>
      </c>
      <c r="K5344" s="267">
        <v>6479</v>
      </c>
      <c r="L5344" s="267">
        <v>430301</v>
      </c>
      <c r="M5344" s="267" t="s">
        <v>3943</v>
      </c>
      <c r="N5344" s="267" t="s">
        <v>3944</v>
      </c>
      <c r="O5344" s="267">
        <v>4598</v>
      </c>
      <c r="P5344" s="267" t="s">
        <v>3944</v>
      </c>
      <c r="Q5344" s="267" t="s">
        <v>3944</v>
      </c>
      <c r="R5344" s="267">
        <v>4598</v>
      </c>
      <c r="S5344" s="267">
        <v>28631</v>
      </c>
      <c r="T5344" s="267">
        <v>33229</v>
      </c>
      <c r="U5344" s="268" t="s">
        <v>3945</v>
      </c>
      <c r="V5344" s="267" t="s">
        <v>944</v>
      </c>
    </row>
    <row r="5345" spans="1:22" hidden="1" x14ac:dyDescent="0.25">
      <c r="A5345" s="269">
        <v>43721</v>
      </c>
      <c r="B5345" s="270">
        <v>2019</v>
      </c>
      <c r="C5345" s="270">
        <v>2020</v>
      </c>
      <c r="D5345" s="270">
        <v>1</v>
      </c>
      <c r="E5345" s="270">
        <v>1</v>
      </c>
      <c r="F5345" s="270" t="s">
        <v>944</v>
      </c>
      <c r="G5345" s="270" t="s">
        <v>3926</v>
      </c>
      <c r="H5345" s="270" t="s">
        <v>10007</v>
      </c>
      <c r="I5345" s="270" t="s">
        <v>4085</v>
      </c>
      <c r="J5345" s="270" t="s">
        <v>3928</v>
      </c>
      <c r="K5345" s="270">
        <v>6351</v>
      </c>
      <c r="L5345" s="270">
        <v>709100</v>
      </c>
      <c r="M5345" s="270" t="s">
        <v>3935</v>
      </c>
      <c r="N5345" s="270" t="s">
        <v>3944</v>
      </c>
      <c r="O5345" s="270">
        <v>3192.67</v>
      </c>
      <c r="P5345" s="270" t="s">
        <v>3944</v>
      </c>
      <c r="Q5345" s="270" t="s">
        <v>3944</v>
      </c>
      <c r="R5345" s="270">
        <v>3192.67</v>
      </c>
      <c r="S5345" s="270">
        <v>47573.599999999999</v>
      </c>
      <c r="T5345" s="270">
        <v>50766.27</v>
      </c>
      <c r="U5345" s="271" t="s">
        <v>3945</v>
      </c>
      <c r="V5345" s="267" t="s">
        <v>944</v>
      </c>
    </row>
    <row r="5346" spans="1:22" hidden="1" x14ac:dyDescent="0.25">
      <c r="A5346" s="266">
        <v>43721</v>
      </c>
      <c r="B5346" s="267">
        <v>2019</v>
      </c>
      <c r="C5346" s="267">
        <v>2020</v>
      </c>
      <c r="D5346" s="267">
        <v>1</v>
      </c>
      <c r="E5346" s="267">
        <v>1</v>
      </c>
      <c r="F5346" s="267" t="s">
        <v>944</v>
      </c>
      <c r="G5346" s="267" t="s">
        <v>3926</v>
      </c>
      <c r="H5346" s="267" t="s">
        <v>10008</v>
      </c>
      <c r="I5346" s="267" t="s">
        <v>4019</v>
      </c>
      <c r="J5346" s="267" t="s">
        <v>3928</v>
      </c>
      <c r="K5346" s="267">
        <v>6708</v>
      </c>
      <c r="L5346" s="267">
        <v>352000</v>
      </c>
      <c r="M5346" s="267" t="s">
        <v>3935</v>
      </c>
      <c r="N5346" s="267" t="s">
        <v>3944</v>
      </c>
      <c r="O5346" s="267">
        <v>1419.43</v>
      </c>
      <c r="P5346" s="267" t="s">
        <v>3944</v>
      </c>
      <c r="Q5346" s="267" t="s">
        <v>3944</v>
      </c>
      <c r="R5346" s="267">
        <v>1419.43</v>
      </c>
      <c r="S5346" s="267">
        <v>19738.54</v>
      </c>
      <c r="T5346" s="267">
        <v>21157.97</v>
      </c>
      <c r="U5346" s="268" t="s">
        <v>3945</v>
      </c>
      <c r="V5346" s="267" t="s">
        <v>944</v>
      </c>
    </row>
    <row r="5347" spans="1:22" hidden="1" x14ac:dyDescent="0.25">
      <c r="A5347" s="269">
        <v>43721</v>
      </c>
      <c r="B5347" s="270">
        <v>2019</v>
      </c>
      <c r="C5347" s="270">
        <v>2020</v>
      </c>
      <c r="D5347" s="270">
        <v>1</v>
      </c>
      <c r="E5347" s="270">
        <v>1</v>
      </c>
      <c r="F5347" s="270" t="s">
        <v>944</v>
      </c>
      <c r="G5347" s="270" t="s">
        <v>3926</v>
      </c>
      <c r="H5347" s="270" t="s">
        <v>10009</v>
      </c>
      <c r="I5347" s="270" t="s">
        <v>4269</v>
      </c>
      <c r="J5347" s="270" t="s">
        <v>3928</v>
      </c>
      <c r="K5347" s="270">
        <v>6117</v>
      </c>
      <c r="L5347" s="270">
        <v>497200</v>
      </c>
      <c r="M5347" s="270" t="s">
        <v>3943</v>
      </c>
      <c r="N5347" s="270" t="s">
        <v>3944</v>
      </c>
      <c r="O5347" s="270">
        <v>2855.65</v>
      </c>
      <c r="P5347" s="270" t="s">
        <v>3944</v>
      </c>
      <c r="Q5347" s="270" t="s">
        <v>3944</v>
      </c>
      <c r="R5347" s="270">
        <v>2855.65</v>
      </c>
      <c r="S5347" s="270">
        <v>43322.87</v>
      </c>
      <c r="T5347" s="270">
        <v>46178.52</v>
      </c>
      <c r="U5347" s="271" t="s">
        <v>3945</v>
      </c>
      <c r="V5347" s="267" t="s">
        <v>944</v>
      </c>
    </row>
    <row r="5348" spans="1:22" hidden="1" x14ac:dyDescent="0.25">
      <c r="A5348" s="266">
        <v>43721</v>
      </c>
      <c r="B5348" s="267">
        <v>2019</v>
      </c>
      <c r="C5348" s="267">
        <v>2020</v>
      </c>
      <c r="D5348" s="267">
        <v>1</v>
      </c>
      <c r="E5348" s="267">
        <v>1</v>
      </c>
      <c r="F5348" s="267" t="s">
        <v>944</v>
      </c>
      <c r="G5348" s="267" t="s">
        <v>3926</v>
      </c>
      <c r="H5348" s="267" t="s">
        <v>10010</v>
      </c>
      <c r="I5348" s="267" t="s">
        <v>3939</v>
      </c>
      <c r="J5348" s="267" t="s">
        <v>3928</v>
      </c>
      <c r="K5348" s="267">
        <v>6512</v>
      </c>
      <c r="L5348" s="267">
        <v>180601</v>
      </c>
      <c r="M5348" s="267" t="s">
        <v>3940</v>
      </c>
      <c r="N5348" s="267" t="s">
        <v>3944</v>
      </c>
      <c r="O5348" s="267">
        <v>2392.11</v>
      </c>
      <c r="P5348" s="267" t="s">
        <v>3944</v>
      </c>
      <c r="Q5348" s="267" t="s">
        <v>3944</v>
      </c>
      <c r="R5348" s="267">
        <v>2392.11</v>
      </c>
      <c r="S5348" s="267">
        <v>35481.93</v>
      </c>
      <c r="T5348" s="267">
        <v>37874.04</v>
      </c>
      <c r="U5348" s="268" t="s">
        <v>3945</v>
      </c>
      <c r="V5348" s="267" t="s">
        <v>944</v>
      </c>
    </row>
    <row r="5349" spans="1:22" hidden="1" x14ac:dyDescent="0.25">
      <c r="A5349" s="269">
        <v>43721</v>
      </c>
      <c r="B5349" s="270">
        <v>2019</v>
      </c>
      <c r="C5349" s="270">
        <v>2020</v>
      </c>
      <c r="D5349" s="270">
        <v>1</v>
      </c>
      <c r="E5349" s="270">
        <v>1</v>
      </c>
      <c r="F5349" s="270" t="s">
        <v>944</v>
      </c>
      <c r="G5349" s="270" t="s">
        <v>3926</v>
      </c>
      <c r="H5349" s="270" t="s">
        <v>10011</v>
      </c>
      <c r="I5349" s="270" t="s">
        <v>3949</v>
      </c>
      <c r="J5349" s="270" t="s">
        <v>3928</v>
      </c>
      <c r="K5349" s="270">
        <v>6437</v>
      </c>
      <c r="L5349" s="270">
        <v>190302</v>
      </c>
      <c r="M5349" s="270" t="s">
        <v>3943</v>
      </c>
      <c r="N5349" s="270" t="s">
        <v>3944</v>
      </c>
      <c r="O5349" s="270">
        <v>1819.48</v>
      </c>
      <c r="P5349" s="270" t="s">
        <v>3944</v>
      </c>
      <c r="Q5349" s="270" t="s">
        <v>3944</v>
      </c>
      <c r="R5349" s="270">
        <v>1819.48</v>
      </c>
      <c r="S5349" s="270">
        <v>26079.22</v>
      </c>
      <c r="T5349" s="270">
        <v>27898.7</v>
      </c>
      <c r="U5349" s="271" t="s">
        <v>3945</v>
      </c>
      <c r="V5349" s="267" t="s">
        <v>944</v>
      </c>
    </row>
    <row r="5350" spans="1:22" hidden="1" x14ac:dyDescent="0.25">
      <c r="A5350" s="266">
        <v>43721</v>
      </c>
      <c r="B5350" s="267">
        <v>2019</v>
      </c>
      <c r="C5350" s="267">
        <v>2020</v>
      </c>
      <c r="D5350" s="267">
        <v>1</v>
      </c>
      <c r="E5350" s="267">
        <v>1</v>
      </c>
      <c r="F5350" s="267" t="s">
        <v>944</v>
      </c>
      <c r="G5350" s="267" t="s">
        <v>3926</v>
      </c>
      <c r="H5350" s="267" t="s">
        <v>10012</v>
      </c>
      <c r="I5350" s="267" t="s">
        <v>3949</v>
      </c>
      <c r="J5350" s="267" t="s">
        <v>3928</v>
      </c>
      <c r="K5350" s="267">
        <v>6437</v>
      </c>
      <c r="L5350" s="267">
        <v>190301</v>
      </c>
      <c r="M5350" s="267" t="s">
        <v>3943</v>
      </c>
      <c r="N5350" s="267" t="s">
        <v>3944</v>
      </c>
      <c r="O5350" s="267">
        <v>3737.06</v>
      </c>
      <c r="P5350" s="267" t="s">
        <v>3944</v>
      </c>
      <c r="Q5350" s="267" t="s">
        <v>3944</v>
      </c>
      <c r="R5350" s="267">
        <v>3737.06</v>
      </c>
      <c r="S5350" s="267">
        <v>58705.82</v>
      </c>
      <c r="T5350" s="267">
        <v>62442.879999999997</v>
      </c>
      <c r="U5350" s="268" t="s">
        <v>3945</v>
      </c>
      <c r="V5350" s="267" t="s">
        <v>944</v>
      </c>
    </row>
    <row r="5351" spans="1:22" hidden="1" x14ac:dyDescent="0.25">
      <c r="A5351" s="269">
        <v>43721</v>
      </c>
      <c r="B5351" s="270">
        <v>2019</v>
      </c>
      <c r="C5351" s="270">
        <v>2020</v>
      </c>
      <c r="D5351" s="270">
        <v>1</v>
      </c>
      <c r="E5351" s="270">
        <v>1</v>
      </c>
      <c r="F5351" s="270" t="s">
        <v>944</v>
      </c>
      <c r="G5351" s="270" t="s">
        <v>3926</v>
      </c>
      <c r="H5351" s="270" t="s">
        <v>10013</v>
      </c>
      <c r="I5351" s="270" t="s">
        <v>4947</v>
      </c>
      <c r="J5351" s="270" t="s">
        <v>3928</v>
      </c>
      <c r="K5351" s="270">
        <v>6787</v>
      </c>
      <c r="L5351" s="270">
        <v>349100</v>
      </c>
      <c r="M5351" s="270" t="s">
        <v>3935</v>
      </c>
      <c r="N5351" s="270" t="s">
        <v>3944</v>
      </c>
      <c r="O5351" s="270">
        <v>2337.37</v>
      </c>
      <c r="P5351" s="270" t="s">
        <v>3944</v>
      </c>
      <c r="Q5351" s="270" t="s">
        <v>3944</v>
      </c>
      <c r="R5351" s="270">
        <v>2337.37</v>
      </c>
      <c r="S5351" s="270">
        <v>30249.24</v>
      </c>
      <c r="T5351" s="270">
        <v>32586.61</v>
      </c>
      <c r="U5351" s="271" t="s">
        <v>3945</v>
      </c>
      <c r="V5351" s="267" t="s">
        <v>944</v>
      </c>
    </row>
    <row r="5352" spans="1:22" hidden="1" x14ac:dyDescent="0.25">
      <c r="A5352" s="266">
        <v>43721</v>
      </c>
      <c r="B5352" s="267">
        <v>2019</v>
      </c>
      <c r="C5352" s="267">
        <v>2020</v>
      </c>
      <c r="D5352" s="267">
        <v>1</v>
      </c>
      <c r="E5352" s="267">
        <v>1</v>
      </c>
      <c r="F5352" s="267" t="s">
        <v>944</v>
      </c>
      <c r="G5352" s="267" t="s">
        <v>3926</v>
      </c>
      <c r="H5352" s="267" t="s">
        <v>10014</v>
      </c>
      <c r="I5352" s="267" t="s">
        <v>2985</v>
      </c>
      <c r="J5352" s="267" t="s">
        <v>3928</v>
      </c>
      <c r="K5352" s="267">
        <v>6825</v>
      </c>
      <c r="L5352" s="267">
        <v>61000</v>
      </c>
      <c r="M5352" s="267" t="s">
        <v>3935</v>
      </c>
      <c r="N5352" s="267" t="s">
        <v>3944</v>
      </c>
      <c r="O5352" s="267">
        <v>1401.79</v>
      </c>
      <c r="P5352" s="267" t="s">
        <v>3944</v>
      </c>
      <c r="Q5352" s="267" t="s">
        <v>3944</v>
      </c>
      <c r="R5352" s="267">
        <v>1401.79</v>
      </c>
      <c r="S5352" s="267">
        <v>23112.75</v>
      </c>
      <c r="T5352" s="267">
        <v>24514.54</v>
      </c>
      <c r="U5352" s="268" t="s">
        <v>3945</v>
      </c>
      <c r="V5352" s="267" t="s">
        <v>944</v>
      </c>
    </row>
    <row r="5353" spans="1:22" hidden="1" x14ac:dyDescent="0.25">
      <c r="A5353" s="269">
        <v>43721</v>
      </c>
      <c r="B5353" s="270">
        <v>2019</v>
      </c>
      <c r="C5353" s="270">
        <v>2020</v>
      </c>
      <c r="D5353" s="270">
        <v>1</v>
      </c>
      <c r="E5353" s="270">
        <v>1</v>
      </c>
      <c r="F5353" s="270" t="s">
        <v>944</v>
      </c>
      <c r="G5353" s="270" t="s">
        <v>3926</v>
      </c>
      <c r="H5353" s="270" t="s">
        <v>10015</v>
      </c>
      <c r="I5353" s="270" t="s">
        <v>4014</v>
      </c>
      <c r="J5353" s="270" t="s">
        <v>3928</v>
      </c>
      <c r="K5353" s="270">
        <v>6420</v>
      </c>
      <c r="L5353" s="270">
        <v>715100</v>
      </c>
      <c r="M5353" s="270" t="s">
        <v>3943</v>
      </c>
      <c r="N5353" s="270" t="s">
        <v>3944</v>
      </c>
      <c r="O5353" s="270">
        <v>3286.19</v>
      </c>
      <c r="P5353" s="270" t="s">
        <v>3944</v>
      </c>
      <c r="Q5353" s="270" t="s">
        <v>3944</v>
      </c>
      <c r="R5353" s="270">
        <v>3286.19</v>
      </c>
      <c r="S5353" s="270">
        <v>42710.15</v>
      </c>
      <c r="T5353" s="270">
        <v>45996.34</v>
      </c>
      <c r="U5353" s="271" t="s">
        <v>3945</v>
      </c>
      <c r="V5353" s="267" t="s">
        <v>944</v>
      </c>
    </row>
    <row r="5354" spans="1:22" hidden="1" x14ac:dyDescent="0.25">
      <c r="A5354" s="266">
        <v>43721</v>
      </c>
      <c r="B5354" s="267">
        <v>2019</v>
      </c>
      <c r="C5354" s="267">
        <v>2020</v>
      </c>
      <c r="D5354" s="267">
        <v>1</v>
      </c>
      <c r="E5354" s="267">
        <v>1</v>
      </c>
      <c r="F5354" s="267" t="s">
        <v>944</v>
      </c>
      <c r="G5354" s="267" t="s">
        <v>3926</v>
      </c>
      <c r="H5354" s="267" t="s">
        <v>10016</v>
      </c>
      <c r="I5354" s="267" t="s">
        <v>4731</v>
      </c>
      <c r="J5354" s="267" t="s">
        <v>3928</v>
      </c>
      <c r="K5354" s="267">
        <v>6478</v>
      </c>
      <c r="L5354" s="267">
        <v>346101</v>
      </c>
      <c r="M5354" s="267" t="s">
        <v>3943</v>
      </c>
      <c r="N5354" s="267" t="s">
        <v>3944</v>
      </c>
      <c r="O5354" s="267">
        <v>1093.82</v>
      </c>
      <c r="P5354" s="267" t="s">
        <v>3944</v>
      </c>
      <c r="Q5354" s="267" t="s">
        <v>3944</v>
      </c>
      <c r="R5354" s="267">
        <v>1093.82</v>
      </c>
      <c r="S5354" s="267">
        <v>15632.68</v>
      </c>
      <c r="T5354" s="267">
        <v>16726.5</v>
      </c>
      <c r="U5354" s="268" t="s">
        <v>3945</v>
      </c>
      <c r="V5354" s="267" t="s">
        <v>944</v>
      </c>
    </row>
    <row r="5355" spans="1:22" hidden="1" x14ac:dyDescent="0.25">
      <c r="A5355" s="269">
        <v>43721</v>
      </c>
      <c r="B5355" s="270">
        <v>2019</v>
      </c>
      <c r="C5355" s="270">
        <v>2020</v>
      </c>
      <c r="D5355" s="270">
        <v>1</v>
      </c>
      <c r="E5355" s="270">
        <v>1</v>
      </c>
      <c r="F5355" s="270" t="s">
        <v>944</v>
      </c>
      <c r="G5355" s="270" t="s">
        <v>3926</v>
      </c>
      <c r="H5355" s="270" t="s">
        <v>10017</v>
      </c>
      <c r="I5355" s="270" t="s">
        <v>4594</v>
      </c>
      <c r="J5355" s="270" t="s">
        <v>3928</v>
      </c>
      <c r="K5355" s="270">
        <v>6488</v>
      </c>
      <c r="L5355" s="270">
        <v>348111</v>
      </c>
      <c r="M5355" s="270" t="s">
        <v>3943</v>
      </c>
      <c r="N5355" s="270" t="s">
        <v>3944</v>
      </c>
      <c r="O5355" s="270">
        <v>1854.13</v>
      </c>
      <c r="P5355" s="270" t="s">
        <v>3944</v>
      </c>
      <c r="Q5355" s="270" t="s">
        <v>3944</v>
      </c>
      <c r="R5355" s="270">
        <v>1854.13</v>
      </c>
      <c r="S5355" s="270">
        <v>26135.63</v>
      </c>
      <c r="T5355" s="270">
        <v>27989.759999999998</v>
      </c>
      <c r="U5355" s="271" t="s">
        <v>3945</v>
      </c>
      <c r="V5355" s="267" t="s">
        <v>944</v>
      </c>
    </row>
    <row r="5356" spans="1:22" hidden="1" x14ac:dyDescent="0.25">
      <c r="A5356" s="266">
        <v>43721</v>
      </c>
      <c r="B5356" s="267">
        <v>2019</v>
      </c>
      <c r="C5356" s="267">
        <v>2020</v>
      </c>
      <c r="D5356" s="267">
        <v>1</v>
      </c>
      <c r="E5356" s="267">
        <v>1</v>
      </c>
      <c r="F5356" s="267" t="s">
        <v>944</v>
      </c>
      <c r="G5356" s="267" t="s">
        <v>3926</v>
      </c>
      <c r="H5356" s="267" t="s">
        <v>10018</v>
      </c>
      <c r="I5356" s="267" t="s">
        <v>4232</v>
      </c>
      <c r="J5356" s="267" t="s">
        <v>3928</v>
      </c>
      <c r="K5356" s="267">
        <v>6483</v>
      </c>
      <c r="L5356" s="267">
        <v>130200</v>
      </c>
      <c r="M5356" s="267" t="s">
        <v>3935</v>
      </c>
      <c r="N5356" s="267" t="s">
        <v>3944</v>
      </c>
      <c r="O5356" s="267">
        <v>1872.36</v>
      </c>
      <c r="P5356" s="267" t="s">
        <v>3944</v>
      </c>
      <c r="Q5356" s="267" t="s">
        <v>3944</v>
      </c>
      <c r="R5356" s="267">
        <v>1872.36</v>
      </c>
      <c r="S5356" s="267">
        <v>30295.439999999999</v>
      </c>
      <c r="T5356" s="267">
        <v>32167.8</v>
      </c>
      <c r="U5356" s="268" t="s">
        <v>3945</v>
      </c>
      <c r="V5356" s="267" t="s">
        <v>944</v>
      </c>
    </row>
    <row r="5357" spans="1:22" hidden="1" x14ac:dyDescent="0.25">
      <c r="A5357" s="269">
        <v>43721</v>
      </c>
      <c r="B5357" s="270">
        <v>2019</v>
      </c>
      <c r="C5357" s="270">
        <v>2020</v>
      </c>
      <c r="D5357" s="270">
        <v>1</v>
      </c>
      <c r="E5357" s="270">
        <v>1</v>
      </c>
      <c r="F5357" s="270" t="s">
        <v>944</v>
      </c>
      <c r="G5357" s="270" t="s">
        <v>3926</v>
      </c>
      <c r="H5357" s="270" t="s">
        <v>10019</v>
      </c>
      <c r="I5357" s="270" t="s">
        <v>3996</v>
      </c>
      <c r="J5357" s="270" t="s">
        <v>3928</v>
      </c>
      <c r="K5357" s="270">
        <v>6790</v>
      </c>
      <c r="L5357" s="270">
        <v>310601</v>
      </c>
      <c r="M5357" s="270" t="s">
        <v>3960</v>
      </c>
      <c r="N5357" s="270" t="s">
        <v>3944</v>
      </c>
      <c r="O5357" s="270">
        <v>1088.43</v>
      </c>
      <c r="P5357" s="270" t="s">
        <v>3944</v>
      </c>
      <c r="Q5357" s="270" t="s">
        <v>3944</v>
      </c>
      <c r="R5357" s="270">
        <v>1088.43</v>
      </c>
      <c r="S5357" s="270">
        <v>16639.849999999999</v>
      </c>
      <c r="T5357" s="270">
        <v>17728.28</v>
      </c>
      <c r="U5357" s="271" t="s">
        <v>3945</v>
      </c>
      <c r="V5357" s="267" t="s">
        <v>944</v>
      </c>
    </row>
    <row r="5358" spans="1:22" hidden="1" x14ac:dyDescent="0.25">
      <c r="A5358" s="266">
        <v>43721</v>
      </c>
      <c r="B5358" s="267">
        <v>2019</v>
      </c>
      <c r="C5358" s="267">
        <v>2020</v>
      </c>
      <c r="D5358" s="267">
        <v>1</v>
      </c>
      <c r="E5358" s="267">
        <v>1</v>
      </c>
      <c r="F5358" s="267" t="s">
        <v>944</v>
      </c>
      <c r="G5358" s="267" t="s">
        <v>3926</v>
      </c>
      <c r="H5358" s="267" t="s">
        <v>10020</v>
      </c>
      <c r="I5358" s="267" t="s">
        <v>4232</v>
      </c>
      <c r="J5358" s="267" t="s">
        <v>3928</v>
      </c>
      <c r="K5358" s="267">
        <v>6483</v>
      </c>
      <c r="L5358" s="267">
        <v>130102</v>
      </c>
      <c r="M5358" s="267" t="s">
        <v>3935</v>
      </c>
      <c r="N5358" s="267" t="s">
        <v>3944</v>
      </c>
      <c r="O5358" s="267">
        <v>1461.11</v>
      </c>
      <c r="P5358" s="267" t="s">
        <v>3944</v>
      </c>
      <c r="Q5358" s="267" t="s">
        <v>3944</v>
      </c>
      <c r="R5358" s="267">
        <v>1461.11</v>
      </c>
      <c r="S5358" s="267">
        <v>22792.84</v>
      </c>
      <c r="T5358" s="267">
        <v>24253.95</v>
      </c>
      <c r="U5358" s="268" t="s">
        <v>3945</v>
      </c>
      <c r="V5358" s="267" t="s">
        <v>944</v>
      </c>
    </row>
    <row r="5359" spans="1:22" hidden="1" x14ac:dyDescent="0.25">
      <c r="A5359" s="269">
        <v>43721</v>
      </c>
      <c r="B5359" s="270">
        <v>2019</v>
      </c>
      <c r="C5359" s="270">
        <v>2020</v>
      </c>
      <c r="D5359" s="270">
        <v>1</v>
      </c>
      <c r="E5359" s="270">
        <v>1</v>
      </c>
      <c r="F5359" s="270" t="s">
        <v>944</v>
      </c>
      <c r="G5359" s="270" t="s">
        <v>3926</v>
      </c>
      <c r="H5359" s="270" t="s">
        <v>10021</v>
      </c>
      <c r="I5359" s="270" t="s">
        <v>4019</v>
      </c>
      <c r="J5359" s="270" t="s">
        <v>3928</v>
      </c>
      <c r="K5359" s="270">
        <v>6704</v>
      </c>
      <c r="L5359" s="270">
        <v>351000</v>
      </c>
      <c r="M5359" s="270" t="s">
        <v>3940</v>
      </c>
      <c r="N5359" s="270" t="s">
        <v>3944</v>
      </c>
      <c r="O5359" s="270">
        <v>855.09</v>
      </c>
      <c r="P5359" s="270" t="s">
        <v>3944</v>
      </c>
      <c r="Q5359" s="270" t="s">
        <v>3944</v>
      </c>
      <c r="R5359" s="270">
        <v>855.09</v>
      </c>
      <c r="S5359" s="270">
        <v>12288.83</v>
      </c>
      <c r="T5359" s="270">
        <v>13143.92</v>
      </c>
      <c r="U5359" s="271" t="s">
        <v>3945</v>
      </c>
      <c r="V5359" s="267" t="s">
        <v>944</v>
      </c>
    </row>
    <row r="5360" spans="1:22" hidden="1" x14ac:dyDescent="0.25">
      <c r="A5360" s="266">
        <v>43721</v>
      </c>
      <c r="B5360" s="267">
        <v>2019</v>
      </c>
      <c r="C5360" s="267">
        <v>2020</v>
      </c>
      <c r="D5360" s="267">
        <v>1</v>
      </c>
      <c r="E5360" s="267">
        <v>1</v>
      </c>
      <c r="F5360" s="267" t="s">
        <v>944</v>
      </c>
      <c r="G5360" s="267" t="s">
        <v>3926</v>
      </c>
      <c r="H5360" s="267" t="s">
        <v>10022</v>
      </c>
      <c r="I5360" s="267" t="s">
        <v>4114</v>
      </c>
      <c r="J5360" s="267" t="s">
        <v>3928</v>
      </c>
      <c r="K5360" s="267">
        <v>6410</v>
      </c>
      <c r="L5360" s="267">
        <v>343102</v>
      </c>
      <c r="M5360" s="267" t="s">
        <v>3943</v>
      </c>
      <c r="N5360" s="267" t="s">
        <v>3944</v>
      </c>
      <c r="O5360" s="267">
        <v>1590.72</v>
      </c>
      <c r="P5360" s="267" t="s">
        <v>3944</v>
      </c>
      <c r="Q5360" s="267" t="s">
        <v>3944</v>
      </c>
      <c r="R5360" s="267">
        <v>1590.72</v>
      </c>
      <c r="S5360" s="267">
        <v>25000.71</v>
      </c>
      <c r="T5360" s="267">
        <v>26591.43</v>
      </c>
      <c r="U5360" s="268" t="s">
        <v>3945</v>
      </c>
      <c r="V5360" s="267" t="s">
        <v>944</v>
      </c>
    </row>
    <row r="5361" spans="1:22" hidden="1" x14ac:dyDescent="0.25">
      <c r="A5361" s="269">
        <v>43721</v>
      </c>
      <c r="B5361" s="270">
        <v>2019</v>
      </c>
      <c r="C5361" s="270">
        <v>2020</v>
      </c>
      <c r="D5361" s="270">
        <v>1</v>
      </c>
      <c r="E5361" s="270">
        <v>1</v>
      </c>
      <c r="F5361" s="270" t="s">
        <v>944</v>
      </c>
      <c r="G5361" s="270" t="s">
        <v>3926</v>
      </c>
      <c r="H5361" s="270" t="s">
        <v>10023</v>
      </c>
      <c r="I5361" s="270" t="s">
        <v>4019</v>
      </c>
      <c r="J5361" s="270" t="s">
        <v>3928</v>
      </c>
      <c r="K5361" s="270">
        <v>6708</v>
      </c>
      <c r="L5361" s="270">
        <v>351700</v>
      </c>
      <c r="M5361" s="270">
        <v>-60</v>
      </c>
      <c r="N5361" s="270" t="s">
        <v>3944</v>
      </c>
      <c r="O5361" s="270">
        <v>1973.16</v>
      </c>
      <c r="P5361" s="270" t="s">
        <v>3944</v>
      </c>
      <c r="Q5361" s="270" t="s">
        <v>3944</v>
      </c>
      <c r="R5361" s="270">
        <v>1973.16</v>
      </c>
      <c r="S5361" s="270">
        <v>25251.17</v>
      </c>
      <c r="T5361" s="270">
        <v>27224.33</v>
      </c>
      <c r="U5361" s="271" t="s">
        <v>3945</v>
      </c>
      <c r="V5361" s="267" t="s">
        <v>944</v>
      </c>
    </row>
    <row r="5362" spans="1:22" hidden="1" x14ac:dyDescent="0.25">
      <c r="A5362" s="266">
        <v>43721</v>
      </c>
      <c r="B5362" s="267">
        <v>2019</v>
      </c>
      <c r="C5362" s="267">
        <v>2020</v>
      </c>
      <c r="D5362" s="267">
        <v>1</v>
      </c>
      <c r="E5362" s="267">
        <v>1</v>
      </c>
      <c r="F5362" s="267" t="s">
        <v>944</v>
      </c>
      <c r="G5362" s="267" t="s">
        <v>3926</v>
      </c>
      <c r="H5362" s="267" t="s">
        <v>10024</v>
      </c>
      <c r="I5362" s="267" t="s">
        <v>4731</v>
      </c>
      <c r="J5362" s="267" t="s">
        <v>3928</v>
      </c>
      <c r="K5362" s="267">
        <v>6478</v>
      </c>
      <c r="L5362" s="267">
        <v>346102</v>
      </c>
      <c r="M5362" s="267" t="s">
        <v>3943</v>
      </c>
      <c r="N5362" s="267" t="s">
        <v>3944</v>
      </c>
      <c r="O5362" s="267">
        <v>1267.5999999999999</v>
      </c>
      <c r="P5362" s="267" t="s">
        <v>3944</v>
      </c>
      <c r="Q5362" s="267" t="s">
        <v>3944</v>
      </c>
      <c r="R5362" s="267">
        <v>1267.5999999999999</v>
      </c>
      <c r="S5362" s="267">
        <v>20448.36</v>
      </c>
      <c r="T5362" s="267">
        <v>21715.96</v>
      </c>
      <c r="U5362" s="268" t="s">
        <v>3945</v>
      </c>
      <c r="V5362" s="267" t="s">
        <v>944</v>
      </c>
    </row>
    <row r="5363" spans="1:22" x14ac:dyDescent="0.25">
      <c r="A5363" s="269">
        <v>43721</v>
      </c>
      <c r="B5363" s="270">
        <v>2019</v>
      </c>
      <c r="C5363" s="270">
        <v>2020</v>
      </c>
      <c r="D5363" s="270">
        <v>1</v>
      </c>
      <c r="E5363" s="270">
        <v>1</v>
      </c>
      <c r="F5363" s="270" t="s">
        <v>944</v>
      </c>
      <c r="G5363" s="270" t="s">
        <v>3926</v>
      </c>
      <c r="H5363" s="270" t="s">
        <v>10025</v>
      </c>
      <c r="I5363" s="270" t="s">
        <v>934</v>
      </c>
      <c r="J5363" s="270" t="s">
        <v>3928</v>
      </c>
      <c r="K5363" s="270">
        <v>6606</v>
      </c>
      <c r="L5363" s="270">
        <v>72000</v>
      </c>
      <c r="M5363" s="270" t="s">
        <v>3940</v>
      </c>
      <c r="N5363" s="270" t="s">
        <v>3944</v>
      </c>
      <c r="O5363" s="270">
        <v>1521.03</v>
      </c>
      <c r="P5363" s="270" t="s">
        <v>3944</v>
      </c>
      <c r="Q5363" s="270" t="s">
        <v>3944</v>
      </c>
      <c r="R5363" s="270">
        <v>1521.03</v>
      </c>
      <c r="S5363" s="270">
        <v>21491.200000000001</v>
      </c>
      <c r="T5363" s="270">
        <v>23012.23</v>
      </c>
      <c r="U5363" s="271" t="s">
        <v>3945</v>
      </c>
      <c r="V5363" s="276" t="s">
        <v>936</v>
      </c>
    </row>
    <row r="5364" spans="1:22" hidden="1" x14ac:dyDescent="0.25">
      <c r="A5364" s="266">
        <v>43721</v>
      </c>
      <c r="B5364" s="267">
        <v>2019</v>
      </c>
      <c r="C5364" s="267">
        <v>2020</v>
      </c>
      <c r="D5364" s="267">
        <v>1</v>
      </c>
      <c r="E5364" s="267">
        <v>1</v>
      </c>
      <c r="F5364" s="267" t="s">
        <v>944</v>
      </c>
      <c r="G5364" s="267" t="s">
        <v>3926</v>
      </c>
      <c r="H5364" s="267" t="s">
        <v>10026</v>
      </c>
      <c r="I5364" s="267" t="s">
        <v>3939</v>
      </c>
      <c r="J5364" s="267" t="s">
        <v>3928</v>
      </c>
      <c r="K5364" s="267">
        <v>6512</v>
      </c>
      <c r="L5364" s="267">
        <v>180200</v>
      </c>
      <c r="M5364" s="267" t="s">
        <v>3940</v>
      </c>
      <c r="N5364" s="267" t="s">
        <v>3944</v>
      </c>
      <c r="O5364" s="267">
        <v>1790.67</v>
      </c>
      <c r="P5364" s="267" t="s">
        <v>3944</v>
      </c>
      <c r="Q5364" s="267" t="s">
        <v>3944</v>
      </c>
      <c r="R5364" s="267">
        <v>1790.67</v>
      </c>
      <c r="S5364" s="267">
        <v>26580.32</v>
      </c>
      <c r="T5364" s="267">
        <v>28370.99</v>
      </c>
      <c r="U5364" s="268" t="s">
        <v>3945</v>
      </c>
      <c r="V5364" s="267" t="s">
        <v>944</v>
      </c>
    </row>
    <row r="5365" spans="1:22" hidden="1" x14ac:dyDescent="0.25">
      <c r="A5365" s="269">
        <v>43721</v>
      </c>
      <c r="B5365" s="270">
        <v>2019</v>
      </c>
      <c r="C5365" s="270">
        <v>2020</v>
      </c>
      <c r="D5365" s="270">
        <v>1</v>
      </c>
      <c r="E5365" s="270">
        <v>1</v>
      </c>
      <c r="F5365" s="270" t="s">
        <v>944</v>
      </c>
      <c r="G5365" s="270" t="s">
        <v>3926</v>
      </c>
      <c r="H5365" s="270" t="s">
        <v>10027</v>
      </c>
      <c r="I5365" s="270" t="s">
        <v>4114</v>
      </c>
      <c r="J5365" s="270" t="s">
        <v>3928</v>
      </c>
      <c r="K5365" s="270">
        <v>6410</v>
      </c>
      <c r="L5365" s="270">
        <v>343101</v>
      </c>
      <c r="M5365" s="270" t="s">
        <v>3943</v>
      </c>
      <c r="N5365" s="270" t="s">
        <v>3944</v>
      </c>
      <c r="O5365" s="270">
        <v>2150.09</v>
      </c>
      <c r="P5365" s="270" t="s">
        <v>3944</v>
      </c>
      <c r="Q5365" s="270" t="s">
        <v>3944</v>
      </c>
      <c r="R5365" s="270">
        <v>2150.09</v>
      </c>
      <c r="S5365" s="270">
        <v>24018.9</v>
      </c>
      <c r="T5365" s="270">
        <v>26168.99</v>
      </c>
      <c r="U5365" s="271" t="s">
        <v>3945</v>
      </c>
      <c r="V5365" s="267" t="s">
        <v>944</v>
      </c>
    </row>
    <row r="5366" spans="1:22" hidden="1" x14ac:dyDescent="0.25">
      <c r="A5366" s="266">
        <v>43721</v>
      </c>
      <c r="B5366" s="267">
        <v>2019</v>
      </c>
      <c r="C5366" s="267">
        <v>2020</v>
      </c>
      <c r="D5366" s="267">
        <v>1</v>
      </c>
      <c r="E5366" s="267">
        <v>1</v>
      </c>
      <c r="F5366" s="267" t="s">
        <v>944</v>
      </c>
      <c r="G5366" s="267" t="s">
        <v>3926</v>
      </c>
      <c r="H5366" s="267" t="s">
        <v>10028</v>
      </c>
      <c r="I5366" s="267" t="s">
        <v>2987</v>
      </c>
      <c r="J5366" s="267" t="s">
        <v>3928</v>
      </c>
      <c r="K5366" s="267">
        <v>6611</v>
      </c>
      <c r="L5366" s="267">
        <v>90300</v>
      </c>
      <c r="M5366" s="267" t="s">
        <v>3943</v>
      </c>
      <c r="N5366" s="267" t="s">
        <v>3944</v>
      </c>
      <c r="O5366" s="267">
        <v>943.04</v>
      </c>
      <c r="P5366" s="267" t="s">
        <v>3944</v>
      </c>
      <c r="Q5366" s="267" t="s">
        <v>3944</v>
      </c>
      <c r="R5366" s="267">
        <v>943.04</v>
      </c>
      <c r="S5366" s="267">
        <v>14902.44</v>
      </c>
      <c r="T5366" s="267">
        <v>15845.48</v>
      </c>
      <c r="U5366" s="268" t="s">
        <v>3945</v>
      </c>
      <c r="V5366" s="267" t="s">
        <v>944</v>
      </c>
    </row>
    <row r="5367" spans="1:22" hidden="1" x14ac:dyDescent="0.25">
      <c r="A5367" s="269">
        <v>43721</v>
      </c>
      <c r="B5367" s="270">
        <v>2019</v>
      </c>
      <c r="C5367" s="270">
        <v>2020</v>
      </c>
      <c r="D5367" s="270">
        <v>1</v>
      </c>
      <c r="E5367" s="270">
        <v>1</v>
      </c>
      <c r="F5367" s="270" t="s">
        <v>944</v>
      </c>
      <c r="G5367" s="270" t="s">
        <v>3926</v>
      </c>
      <c r="H5367" s="270" t="s">
        <v>10029</v>
      </c>
      <c r="I5367" s="270" t="s">
        <v>4005</v>
      </c>
      <c r="J5367" s="270" t="s">
        <v>3928</v>
      </c>
      <c r="K5367" s="270">
        <v>6108</v>
      </c>
      <c r="L5367" s="270">
        <v>510100</v>
      </c>
      <c r="M5367" s="270" t="s">
        <v>3940</v>
      </c>
      <c r="N5367" s="270" t="s">
        <v>3944</v>
      </c>
      <c r="O5367" s="270">
        <v>873.78</v>
      </c>
      <c r="P5367" s="270" t="s">
        <v>3944</v>
      </c>
      <c r="Q5367" s="270" t="s">
        <v>3944</v>
      </c>
      <c r="R5367" s="270">
        <v>873.78</v>
      </c>
      <c r="S5367" s="270">
        <v>13377.71</v>
      </c>
      <c r="T5367" s="270">
        <v>14251.49</v>
      </c>
      <c r="U5367" s="271" t="s">
        <v>3945</v>
      </c>
      <c r="V5367" s="267" t="s">
        <v>944</v>
      </c>
    </row>
    <row r="5368" spans="1:22" hidden="1" x14ac:dyDescent="0.25">
      <c r="A5368" s="266">
        <v>43721</v>
      </c>
      <c r="B5368" s="267">
        <v>2019</v>
      </c>
      <c r="C5368" s="267">
        <v>2020</v>
      </c>
      <c r="D5368" s="267">
        <v>1</v>
      </c>
      <c r="E5368" s="267">
        <v>1</v>
      </c>
      <c r="F5368" s="267" t="s">
        <v>944</v>
      </c>
      <c r="G5368" s="267" t="s">
        <v>3926</v>
      </c>
      <c r="H5368" s="267" t="s">
        <v>10030</v>
      </c>
      <c r="I5368" s="267" t="s">
        <v>4065</v>
      </c>
      <c r="J5368" s="267" t="s">
        <v>3928</v>
      </c>
      <c r="K5368" s="267">
        <v>6480</v>
      </c>
      <c r="L5368" s="267">
        <v>560100</v>
      </c>
      <c r="M5368" s="267" t="s">
        <v>3943</v>
      </c>
      <c r="N5368" s="267" t="s">
        <v>3944</v>
      </c>
      <c r="O5368" s="267">
        <v>1969.63</v>
      </c>
      <c r="P5368" s="267" t="s">
        <v>3944</v>
      </c>
      <c r="Q5368" s="267" t="s">
        <v>3944</v>
      </c>
      <c r="R5368" s="267">
        <v>1969.63</v>
      </c>
      <c r="S5368" s="267">
        <v>26855.1</v>
      </c>
      <c r="T5368" s="267">
        <v>28824.73</v>
      </c>
      <c r="U5368" s="268" t="s">
        <v>3945</v>
      </c>
      <c r="V5368" s="267" t="s">
        <v>944</v>
      </c>
    </row>
    <row r="5369" spans="1:22" hidden="1" x14ac:dyDescent="0.25">
      <c r="A5369" s="269">
        <v>43721</v>
      </c>
      <c r="B5369" s="270">
        <v>2019</v>
      </c>
      <c r="C5369" s="270">
        <v>2020</v>
      </c>
      <c r="D5369" s="270">
        <v>1</v>
      </c>
      <c r="E5369" s="270">
        <v>1</v>
      </c>
      <c r="F5369" s="270" t="s">
        <v>944</v>
      </c>
      <c r="G5369" s="270" t="s">
        <v>3926</v>
      </c>
      <c r="H5369" s="270" t="s">
        <v>10031</v>
      </c>
      <c r="I5369" s="270" t="s">
        <v>3956</v>
      </c>
      <c r="J5369" s="270" t="s">
        <v>3928</v>
      </c>
      <c r="K5369" s="270">
        <v>6112</v>
      </c>
      <c r="L5369" s="270">
        <v>503900</v>
      </c>
      <c r="M5369" s="270">
        <v>-60</v>
      </c>
      <c r="N5369" s="270" t="s">
        <v>3944</v>
      </c>
      <c r="O5369" s="270">
        <v>1082.6199999999999</v>
      </c>
      <c r="P5369" s="270" t="s">
        <v>3944</v>
      </c>
      <c r="Q5369" s="270" t="s">
        <v>3944</v>
      </c>
      <c r="R5369" s="270">
        <v>1082.6199999999999</v>
      </c>
      <c r="S5369" s="270">
        <v>16560.84</v>
      </c>
      <c r="T5369" s="270">
        <v>17643.46</v>
      </c>
      <c r="U5369" s="271" t="s">
        <v>3945</v>
      </c>
      <c r="V5369" s="267" t="s">
        <v>944</v>
      </c>
    </row>
    <row r="5370" spans="1:22" hidden="1" x14ac:dyDescent="0.25">
      <c r="A5370" s="266">
        <v>43721</v>
      </c>
      <c r="B5370" s="267">
        <v>2019</v>
      </c>
      <c r="C5370" s="267">
        <v>2020</v>
      </c>
      <c r="D5370" s="267">
        <v>1</v>
      </c>
      <c r="E5370" s="267">
        <v>1</v>
      </c>
      <c r="F5370" s="267" t="s">
        <v>944</v>
      </c>
      <c r="G5370" s="267" t="s">
        <v>3926</v>
      </c>
      <c r="H5370" s="267" t="s">
        <v>10032</v>
      </c>
      <c r="I5370" s="267" t="s">
        <v>3999</v>
      </c>
      <c r="J5370" s="267" t="s">
        <v>3928</v>
      </c>
      <c r="K5370" s="267">
        <v>6450</v>
      </c>
      <c r="L5370" s="267">
        <v>171300</v>
      </c>
      <c r="M5370" s="267" t="s">
        <v>3935</v>
      </c>
      <c r="N5370" s="267" t="s">
        <v>3944</v>
      </c>
      <c r="O5370" s="267">
        <v>1436.02</v>
      </c>
      <c r="P5370" s="267" t="s">
        <v>3944</v>
      </c>
      <c r="Q5370" s="267" t="s">
        <v>3944</v>
      </c>
      <c r="R5370" s="267">
        <v>1436.02</v>
      </c>
      <c r="S5370" s="267">
        <v>19111.34</v>
      </c>
      <c r="T5370" s="267">
        <v>20547.36</v>
      </c>
      <c r="U5370" s="268" t="s">
        <v>3945</v>
      </c>
      <c r="V5370" s="267" t="s">
        <v>944</v>
      </c>
    </row>
    <row r="5371" spans="1:22" hidden="1" x14ac:dyDescent="0.25">
      <c r="A5371" s="269">
        <v>43721</v>
      </c>
      <c r="B5371" s="270">
        <v>2019</v>
      </c>
      <c r="C5371" s="270">
        <v>2020</v>
      </c>
      <c r="D5371" s="270">
        <v>1</v>
      </c>
      <c r="E5371" s="270">
        <v>1</v>
      </c>
      <c r="F5371" s="270" t="s">
        <v>944</v>
      </c>
      <c r="G5371" s="270" t="s">
        <v>3926</v>
      </c>
      <c r="H5371" s="270" t="s">
        <v>10033</v>
      </c>
      <c r="I5371" s="270" t="s">
        <v>3009</v>
      </c>
      <c r="J5371" s="270" t="s">
        <v>3928</v>
      </c>
      <c r="K5371" s="270">
        <v>6484</v>
      </c>
      <c r="L5371" s="270">
        <v>110201</v>
      </c>
      <c r="M5371" s="270" t="s">
        <v>3960</v>
      </c>
      <c r="N5371" s="270" t="s">
        <v>3944</v>
      </c>
      <c r="O5371" s="270">
        <v>976.01</v>
      </c>
      <c r="P5371" s="270" t="s">
        <v>3944</v>
      </c>
      <c r="Q5371" s="270" t="s">
        <v>3944</v>
      </c>
      <c r="R5371" s="270">
        <v>976.01</v>
      </c>
      <c r="S5371" s="270">
        <v>17527.22</v>
      </c>
      <c r="T5371" s="270">
        <v>18503.23</v>
      </c>
      <c r="U5371" s="271" t="s">
        <v>3945</v>
      </c>
      <c r="V5371" s="267" t="s">
        <v>944</v>
      </c>
    </row>
    <row r="5372" spans="1:22" hidden="1" x14ac:dyDescent="0.25">
      <c r="A5372" s="266">
        <v>43721</v>
      </c>
      <c r="B5372" s="267">
        <v>2019</v>
      </c>
      <c r="C5372" s="267">
        <v>2020</v>
      </c>
      <c r="D5372" s="267">
        <v>1</v>
      </c>
      <c r="E5372" s="267">
        <v>1</v>
      </c>
      <c r="F5372" s="267" t="s">
        <v>944</v>
      </c>
      <c r="G5372" s="267" t="s">
        <v>3926</v>
      </c>
      <c r="H5372" s="267" t="s">
        <v>10034</v>
      </c>
      <c r="I5372" s="267" t="s">
        <v>4019</v>
      </c>
      <c r="J5372" s="267" t="s">
        <v>3928</v>
      </c>
      <c r="K5372" s="267">
        <v>6708</v>
      </c>
      <c r="L5372" s="267">
        <v>351900</v>
      </c>
      <c r="M5372" s="267" t="s">
        <v>3935</v>
      </c>
      <c r="N5372" s="267" t="s">
        <v>3944</v>
      </c>
      <c r="O5372" s="267">
        <v>2313.29</v>
      </c>
      <c r="P5372" s="267" t="s">
        <v>3944</v>
      </c>
      <c r="Q5372" s="267" t="s">
        <v>3944</v>
      </c>
      <c r="R5372" s="267">
        <v>2313.29</v>
      </c>
      <c r="S5372" s="267">
        <v>31111.62</v>
      </c>
      <c r="T5372" s="267">
        <v>33424.910000000003</v>
      </c>
      <c r="U5372" s="268" t="s">
        <v>3945</v>
      </c>
      <c r="V5372" s="267" t="s">
        <v>944</v>
      </c>
    </row>
    <row r="5373" spans="1:22" hidden="1" x14ac:dyDescent="0.25">
      <c r="A5373" s="269">
        <v>43721</v>
      </c>
      <c r="B5373" s="270">
        <v>2019</v>
      </c>
      <c r="C5373" s="270">
        <v>2020</v>
      </c>
      <c r="D5373" s="270">
        <v>1</v>
      </c>
      <c r="E5373" s="270">
        <v>1</v>
      </c>
      <c r="F5373" s="270" t="s">
        <v>944</v>
      </c>
      <c r="G5373" s="270" t="s">
        <v>3926</v>
      </c>
      <c r="H5373" s="270" t="s">
        <v>10035</v>
      </c>
      <c r="I5373" s="270" t="s">
        <v>956</v>
      </c>
      <c r="J5373" s="270" t="s">
        <v>3928</v>
      </c>
      <c r="K5373" s="270">
        <v>6614</v>
      </c>
      <c r="L5373" s="270">
        <v>81000</v>
      </c>
      <c r="M5373" s="270" t="s">
        <v>3940</v>
      </c>
      <c r="N5373" s="270" t="s">
        <v>3944</v>
      </c>
      <c r="O5373" s="270">
        <v>2097.41</v>
      </c>
      <c r="P5373" s="270" t="s">
        <v>3944</v>
      </c>
      <c r="Q5373" s="270" t="s">
        <v>3944</v>
      </c>
      <c r="R5373" s="270">
        <v>2097.41</v>
      </c>
      <c r="S5373" s="270">
        <v>31088.42</v>
      </c>
      <c r="T5373" s="270">
        <v>33185.83</v>
      </c>
      <c r="U5373" s="271" t="s">
        <v>3945</v>
      </c>
      <c r="V5373" s="267" t="s">
        <v>944</v>
      </c>
    </row>
    <row r="5374" spans="1:22" hidden="1" x14ac:dyDescent="0.25">
      <c r="A5374" s="266">
        <v>43721</v>
      </c>
      <c r="B5374" s="267">
        <v>2019</v>
      </c>
      <c r="C5374" s="267">
        <v>2020</v>
      </c>
      <c r="D5374" s="267">
        <v>1</v>
      </c>
      <c r="E5374" s="267">
        <v>1</v>
      </c>
      <c r="F5374" s="267" t="s">
        <v>944</v>
      </c>
      <c r="G5374" s="267" t="s">
        <v>3926</v>
      </c>
      <c r="H5374" s="267" t="s">
        <v>10036</v>
      </c>
      <c r="I5374" s="267" t="s">
        <v>3954</v>
      </c>
      <c r="J5374" s="267" t="s">
        <v>3928</v>
      </c>
      <c r="K5374" s="267">
        <v>6357</v>
      </c>
      <c r="L5374" s="267">
        <v>870704</v>
      </c>
      <c r="M5374" s="267" t="s">
        <v>3935</v>
      </c>
      <c r="N5374" s="267" t="s">
        <v>3944</v>
      </c>
      <c r="O5374" s="267">
        <v>2208.15</v>
      </c>
      <c r="P5374" s="267" t="s">
        <v>3944</v>
      </c>
      <c r="Q5374" s="267" t="s">
        <v>3944</v>
      </c>
      <c r="R5374" s="267">
        <v>2208.15</v>
      </c>
      <c r="S5374" s="267">
        <v>33880.42</v>
      </c>
      <c r="T5374" s="267">
        <v>36088.57</v>
      </c>
      <c r="U5374" s="268" t="s">
        <v>3945</v>
      </c>
      <c r="V5374" s="267" t="s">
        <v>944</v>
      </c>
    </row>
    <row r="5375" spans="1:22" hidden="1" x14ac:dyDescent="0.25">
      <c r="A5375" s="269">
        <v>43721</v>
      </c>
      <c r="B5375" s="270">
        <v>2019</v>
      </c>
      <c r="C5375" s="270">
        <v>2020</v>
      </c>
      <c r="D5375" s="270">
        <v>1</v>
      </c>
      <c r="E5375" s="270">
        <v>1</v>
      </c>
      <c r="F5375" s="270" t="s">
        <v>944</v>
      </c>
      <c r="G5375" s="270" t="s">
        <v>3926</v>
      </c>
      <c r="H5375" s="270" t="s">
        <v>10037</v>
      </c>
      <c r="I5375" s="270" t="s">
        <v>4008</v>
      </c>
      <c r="J5375" s="270" t="s">
        <v>3928</v>
      </c>
      <c r="K5375" s="270">
        <v>6320</v>
      </c>
      <c r="L5375" s="270">
        <v>690300</v>
      </c>
      <c r="M5375" s="270">
        <v>-60</v>
      </c>
      <c r="N5375" s="270" t="s">
        <v>3944</v>
      </c>
      <c r="O5375" s="270">
        <v>1025.99</v>
      </c>
      <c r="P5375" s="270" t="s">
        <v>3944</v>
      </c>
      <c r="Q5375" s="270" t="s">
        <v>3944</v>
      </c>
      <c r="R5375" s="270">
        <v>1025.99</v>
      </c>
      <c r="S5375" s="270">
        <v>15223.37</v>
      </c>
      <c r="T5375" s="270">
        <v>16249.36</v>
      </c>
      <c r="U5375" s="271" t="s">
        <v>3945</v>
      </c>
      <c r="V5375" s="267" t="s">
        <v>944</v>
      </c>
    </row>
    <row r="5376" spans="1:22" hidden="1" x14ac:dyDescent="0.25">
      <c r="A5376" s="266">
        <v>43721</v>
      </c>
      <c r="B5376" s="267">
        <v>2019</v>
      </c>
      <c r="C5376" s="267">
        <v>2020</v>
      </c>
      <c r="D5376" s="267">
        <v>1</v>
      </c>
      <c r="E5376" s="267">
        <v>1</v>
      </c>
      <c r="F5376" s="267" t="s">
        <v>944</v>
      </c>
      <c r="G5376" s="267" t="s">
        <v>3926</v>
      </c>
      <c r="H5376" s="267" t="s">
        <v>10038</v>
      </c>
      <c r="I5376" s="267" t="s">
        <v>3954</v>
      </c>
      <c r="J5376" s="267" t="s">
        <v>3928</v>
      </c>
      <c r="K5376" s="267">
        <v>6357</v>
      </c>
      <c r="L5376" s="267">
        <v>870704</v>
      </c>
      <c r="M5376" s="267" t="s">
        <v>3935</v>
      </c>
      <c r="N5376" s="267" t="s">
        <v>3944</v>
      </c>
      <c r="O5376" s="267">
        <v>1398.67</v>
      </c>
      <c r="P5376" s="267" t="s">
        <v>3944</v>
      </c>
      <c r="Q5376" s="267" t="s">
        <v>3944</v>
      </c>
      <c r="R5376" s="267">
        <v>1398.67</v>
      </c>
      <c r="S5376" s="267">
        <v>22089.21</v>
      </c>
      <c r="T5376" s="267">
        <v>23487.88</v>
      </c>
      <c r="U5376" s="268" t="s">
        <v>3945</v>
      </c>
      <c r="V5376" s="267" t="s">
        <v>944</v>
      </c>
    </row>
    <row r="5377" spans="1:22" hidden="1" x14ac:dyDescent="0.25">
      <c r="A5377" s="269">
        <v>43721</v>
      </c>
      <c r="B5377" s="270">
        <v>2019</v>
      </c>
      <c r="C5377" s="270">
        <v>2020</v>
      </c>
      <c r="D5377" s="270">
        <v>1</v>
      </c>
      <c r="E5377" s="270">
        <v>82</v>
      </c>
      <c r="F5377" s="270" t="s">
        <v>944</v>
      </c>
      <c r="G5377" s="270" t="s">
        <v>3997</v>
      </c>
      <c r="H5377" s="270" t="s">
        <v>10039</v>
      </c>
      <c r="I5377" s="270" t="s">
        <v>3968</v>
      </c>
      <c r="J5377" s="270" t="s">
        <v>3928</v>
      </c>
      <c r="K5377" s="270">
        <v>6040</v>
      </c>
      <c r="L5377" s="270">
        <v>514600</v>
      </c>
      <c r="M5377" s="270" t="s">
        <v>3940</v>
      </c>
      <c r="N5377" s="270" t="s">
        <v>10040</v>
      </c>
      <c r="O5377" s="270"/>
      <c r="P5377" s="270" t="s">
        <v>3944</v>
      </c>
      <c r="Q5377" s="270" t="s">
        <v>3930</v>
      </c>
      <c r="R5377" s="270">
        <v>0</v>
      </c>
      <c r="S5377" s="270">
        <v>157000</v>
      </c>
      <c r="T5377" s="270">
        <v>157000</v>
      </c>
      <c r="U5377" s="271" t="s">
        <v>5605</v>
      </c>
      <c r="V5377" s="267" t="s">
        <v>944</v>
      </c>
    </row>
    <row r="5378" spans="1:22" x14ac:dyDescent="0.25">
      <c r="A5378" s="266">
        <v>43721</v>
      </c>
      <c r="B5378" s="267">
        <v>2019</v>
      </c>
      <c r="C5378" s="267">
        <v>2020</v>
      </c>
      <c r="D5378" s="267">
        <v>1</v>
      </c>
      <c r="E5378" s="267">
        <v>40</v>
      </c>
      <c r="F5378" s="267" t="s">
        <v>944</v>
      </c>
      <c r="G5378" s="267" t="s">
        <v>3926</v>
      </c>
      <c r="H5378" s="267" t="s">
        <v>10041</v>
      </c>
      <c r="I5378" s="267" t="s">
        <v>4019</v>
      </c>
      <c r="J5378" s="267" t="s">
        <v>3928</v>
      </c>
      <c r="K5378" s="267">
        <v>6702</v>
      </c>
      <c r="L5378" s="267">
        <v>350100</v>
      </c>
      <c r="M5378" s="267">
        <v>-60</v>
      </c>
      <c r="N5378" s="267" t="s">
        <v>3930</v>
      </c>
      <c r="O5378" s="267"/>
      <c r="P5378" s="267" t="s">
        <v>3944</v>
      </c>
      <c r="Q5378" s="267" t="s">
        <v>3930</v>
      </c>
      <c r="R5378" s="267">
        <v>0</v>
      </c>
      <c r="S5378" s="267">
        <v>0</v>
      </c>
      <c r="T5378" s="267">
        <v>0</v>
      </c>
      <c r="U5378" s="268" t="s">
        <v>5605</v>
      </c>
      <c r="V5378" s="267" t="s">
        <v>936</v>
      </c>
    </row>
    <row r="5379" spans="1:22" hidden="1" x14ac:dyDescent="0.25">
      <c r="A5379" s="269">
        <v>43722</v>
      </c>
      <c r="B5379" s="270">
        <v>2019</v>
      </c>
      <c r="C5379" s="270">
        <v>2020</v>
      </c>
      <c r="D5379" s="270">
        <v>1</v>
      </c>
      <c r="E5379" s="270">
        <v>1</v>
      </c>
      <c r="F5379" s="270" t="s">
        <v>944</v>
      </c>
      <c r="G5379" s="270" t="s">
        <v>3926</v>
      </c>
      <c r="H5379" s="270" t="s">
        <v>10042</v>
      </c>
      <c r="I5379" s="270" t="s">
        <v>3999</v>
      </c>
      <c r="J5379" s="270" t="s">
        <v>3928</v>
      </c>
      <c r="K5379" s="270">
        <v>6451</v>
      </c>
      <c r="L5379" s="270">
        <v>170500</v>
      </c>
      <c r="M5379" s="270" t="s">
        <v>3935</v>
      </c>
      <c r="N5379" s="270" t="s">
        <v>4103</v>
      </c>
      <c r="O5379" s="270">
        <v>1960.11</v>
      </c>
      <c r="P5379" s="270" t="s">
        <v>3930</v>
      </c>
      <c r="Q5379" s="270" t="s">
        <v>3931</v>
      </c>
      <c r="R5379" s="270">
        <v>6960.11</v>
      </c>
      <c r="S5379" s="270">
        <v>24145.599999999999</v>
      </c>
      <c r="T5379" s="270">
        <v>31105.71</v>
      </c>
      <c r="U5379" s="271" t="s">
        <v>3932</v>
      </c>
      <c r="V5379" s="267" t="s">
        <v>944</v>
      </c>
    </row>
    <row r="5380" spans="1:22" x14ac:dyDescent="0.25">
      <c r="A5380" s="266">
        <v>43722</v>
      </c>
      <c r="B5380" s="267">
        <v>2019</v>
      </c>
      <c r="C5380" s="267">
        <v>2020</v>
      </c>
      <c r="D5380" s="267">
        <v>1</v>
      </c>
      <c r="E5380" s="267">
        <v>1</v>
      </c>
      <c r="F5380" s="267" t="s">
        <v>944</v>
      </c>
      <c r="G5380" s="267" t="s">
        <v>3926</v>
      </c>
      <c r="H5380" s="267" t="s">
        <v>10043</v>
      </c>
      <c r="I5380" s="267" t="s">
        <v>943</v>
      </c>
      <c r="J5380" s="267" t="s">
        <v>3928</v>
      </c>
      <c r="K5380" s="267">
        <v>6511</v>
      </c>
      <c r="L5380" s="267">
        <v>140800</v>
      </c>
      <c r="M5380" s="267">
        <v>-60</v>
      </c>
      <c r="N5380" s="267" t="s">
        <v>4103</v>
      </c>
      <c r="O5380" s="267">
        <v>1876.74</v>
      </c>
      <c r="P5380" s="267" t="s">
        <v>3930</v>
      </c>
      <c r="Q5380" s="267" t="s">
        <v>3931</v>
      </c>
      <c r="R5380" s="267">
        <v>6876.74</v>
      </c>
      <c r="S5380" s="267">
        <v>24145.599999999999</v>
      </c>
      <c r="T5380" s="267">
        <v>31022.34</v>
      </c>
      <c r="U5380" s="268" t="s">
        <v>3932</v>
      </c>
      <c r="V5380" s="276" t="s">
        <v>936</v>
      </c>
    </row>
    <row r="5381" spans="1:22" hidden="1" x14ac:dyDescent="0.25">
      <c r="A5381" s="269">
        <v>43722</v>
      </c>
      <c r="B5381" s="270">
        <v>2019</v>
      </c>
      <c r="C5381" s="270">
        <v>2020</v>
      </c>
      <c r="D5381" s="270">
        <v>1</v>
      </c>
      <c r="E5381" s="270">
        <v>1</v>
      </c>
      <c r="F5381" s="270" t="s">
        <v>944</v>
      </c>
      <c r="G5381" s="270" t="s">
        <v>3926</v>
      </c>
      <c r="H5381" s="270" t="s">
        <v>10044</v>
      </c>
      <c r="I5381" s="270" t="s">
        <v>3956</v>
      </c>
      <c r="J5381" s="270" t="s">
        <v>3928</v>
      </c>
      <c r="K5381" s="270">
        <v>6112</v>
      </c>
      <c r="L5381" s="270">
        <v>501500</v>
      </c>
      <c r="M5381" s="270">
        <v>-60</v>
      </c>
      <c r="N5381" s="270" t="s">
        <v>4053</v>
      </c>
      <c r="O5381" s="270">
        <v>1230.29</v>
      </c>
      <c r="P5381" s="270" t="s">
        <v>3930</v>
      </c>
      <c r="Q5381" s="270" t="s">
        <v>3931</v>
      </c>
      <c r="R5381" s="270">
        <v>6230.29</v>
      </c>
      <c r="S5381" s="270">
        <v>18603.2</v>
      </c>
      <c r="T5381" s="270">
        <v>24833.49</v>
      </c>
      <c r="U5381" s="271" t="s">
        <v>3932</v>
      </c>
      <c r="V5381" s="267" t="s">
        <v>944</v>
      </c>
    </row>
    <row r="5382" spans="1:22" hidden="1" x14ac:dyDescent="0.25">
      <c r="A5382" s="266">
        <v>43722</v>
      </c>
      <c r="B5382" s="267">
        <v>2019</v>
      </c>
      <c r="C5382" s="267">
        <v>2020</v>
      </c>
      <c r="D5382" s="267">
        <v>1</v>
      </c>
      <c r="E5382" s="267">
        <v>1</v>
      </c>
      <c r="F5382" s="267" t="s">
        <v>944</v>
      </c>
      <c r="G5382" s="267" t="s">
        <v>3926</v>
      </c>
      <c r="H5382" s="267" t="s">
        <v>10045</v>
      </c>
      <c r="I5382" s="267" t="s">
        <v>4269</v>
      </c>
      <c r="J5382" s="267" t="s">
        <v>3928</v>
      </c>
      <c r="K5382" s="267">
        <v>6119</v>
      </c>
      <c r="L5382" s="267">
        <v>496700</v>
      </c>
      <c r="M5382" s="267" t="s">
        <v>3940</v>
      </c>
      <c r="N5382" s="267" t="s">
        <v>4523</v>
      </c>
      <c r="O5382" s="267">
        <v>3675.13</v>
      </c>
      <c r="P5382" s="267" t="s">
        <v>3930</v>
      </c>
      <c r="Q5382" s="267" t="s">
        <v>3931</v>
      </c>
      <c r="R5382" s="267">
        <v>8675.1299999999992</v>
      </c>
      <c r="S5382" s="267">
        <v>25412.799999999999</v>
      </c>
      <c r="T5382" s="267">
        <v>34087.93</v>
      </c>
      <c r="U5382" s="268" t="s">
        <v>3932</v>
      </c>
      <c r="V5382" s="267" t="s">
        <v>944</v>
      </c>
    </row>
    <row r="5383" spans="1:22" hidden="1" x14ac:dyDescent="0.25">
      <c r="A5383" s="269">
        <v>43723</v>
      </c>
      <c r="B5383" s="270">
        <v>2019</v>
      </c>
      <c r="C5383" s="270">
        <v>2020</v>
      </c>
      <c r="D5383" s="270">
        <v>1</v>
      </c>
      <c r="E5383" s="270">
        <v>1</v>
      </c>
      <c r="F5383" s="270" t="s">
        <v>944</v>
      </c>
      <c r="G5383" s="270" t="s">
        <v>3926</v>
      </c>
      <c r="H5383" s="270" t="s">
        <v>10046</v>
      </c>
      <c r="I5383" s="270" t="s">
        <v>4019</v>
      </c>
      <c r="J5383" s="270" t="s">
        <v>3928</v>
      </c>
      <c r="K5383" s="270">
        <v>6704</v>
      </c>
      <c r="L5383" s="270">
        <v>352300</v>
      </c>
      <c r="M5383" s="270">
        <v>-60</v>
      </c>
      <c r="N5383" s="270" t="s">
        <v>3983</v>
      </c>
      <c r="O5383" s="270">
        <v>1376.27</v>
      </c>
      <c r="P5383" s="270" t="s">
        <v>3930</v>
      </c>
      <c r="Q5383" s="270" t="s">
        <v>3931</v>
      </c>
      <c r="R5383" s="270">
        <v>6376.27</v>
      </c>
      <c r="S5383" s="270">
        <v>16504</v>
      </c>
      <c r="T5383" s="270">
        <v>22880.27</v>
      </c>
      <c r="U5383" s="271" t="s">
        <v>3932</v>
      </c>
      <c r="V5383" s="267" t="s">
        <v>944</v>
      </c>
    </row>
    <row r="5384" spans="1:22" hidden="1" x14ac:dyDescent="0.25">
      <c r="A5384" s="266">
        <v>43724</v>
      </c>
      <c r="B5384" s="267">
        <v>2019</v>
      </c>
      <c r="C5384" s="267">
        <v>2020</v>
      </c>
      <c r="D5384" s="267">
        <v>1</v>
      </c>
      <c r="E5384" s="267">
        <v>1</v>
      </c>
      <c r="F5384" s="267" t="s">
        <v>944</v>
      </c>
      <c r="G5384" s="267" t="s">
        <v>3926</v>
      </c>
      <c r="H5384" s="267" t="s">
        <v>10047</v>
      </c>
      <c r="I5384" s="267" t="s">
        <v>3999</v>
      </c>
      <c r="J5384" s="267" t="s">
        <v>3928</v>
      </c>
      <c r="K5384" s="267">
        <v>6451</v>
      </c>
      <c r="L5384" s="267">
        <v>170500</v>
      </c>
      <c r="M5384" s="267" t="s">
        <v>3935</v>
      </c>
      <c r="N5384" s="267" t="s">
        <v>5840</v>
      </c>
      <c r="O5384" s="267">
        <v>0</v>
      </c>
      <c r="P5384" s="267" t="s">
        <v>3930</v>
      </c>
      <c r="Q5384" s="267" t="s">
        <v>3930</v>
      </c>
      <c r="R5384" s="267">
        <v>0</v>
      </c>
      <c r="S5384" s="267">
        <v>29150.57</v>
      </c>
      <c r="T5384" s="267">
        <v>29150.57</v>
      </c>
      <c r="U5384" s="268" t="s">
        <v>3937</v>
      </c>
      <c r="V5384" s="267" t="s">
        <v>944</v>
      </c>
    </row>
    <row r="5385" spans="1:22" hidden="1" x14ac:dyDescent="0.25">
      <c r="A5385" s="269">
        <v>43724</v>
      </c>
      <c r="B5385" s="270">
        <v>2019</v>
      </c>
      <c r="C5385" s="270">
        <v>2020</v>
      </c>
      <c r="D5385" s="270">
        <v>1</v>
      </c>
      <c r="E5385" s="270">
        <v>1</v>
      </c>
      <c r="F5385" s="270" t="s">
        <v>944</v>
      </c>
      <c r="G5385" s="270" t="s">
        <v>3926</v>
      </c>
      <c r="H5385" s="270" t="s">
        <v>10048</v>
      </c>
      <c r="I5385" s="270" t="s">
        <v>4029</v>
      </c>
      <c r="J5385" s="270" t="s">
        <v>3928</v>
      </c>
      <c r="K5385" s="270">
        <v>6854</v>
      </c>
      <c r="L5385" s="270">
        <v>44400</v>
      </c>
      <c r="M5385" s="270" t="s">
        <v>3935</v>
      </c>
      <c r="N5385" s="270" t="s">
        <v>10049</v>
      </c>
      <c r="O5385" s="270">
        <v>0</v>
      </c>
      <c r="P5385" s="270" t="s">
        <v>3930</v>
      </c>
      <c r="Q5385" s="270" t="s">
        <v>3930</v>
      </c>
      <c r="R5385" s="270">
        <v>0</v>
      </c>
      <c r="S5385" s="270">
        <v>10328</v>
      </c>
      <c r="T5385" s="270">
        <v>10328</v>
      </c>
      <c r="U5385" s="271" t="s">
        <v>3937</v>
      </c>
      <c r="V5385" s="267" t="s">
        <v>944</v>
      </c>
    </row>
    <row r="5386" spans="1:22" hidden="1" x14ac:dyDescent="0.25">
      <c r="A5386" s="266">
        <v>43724</v>
      </c>
      <c r="B5386" s="267">
        <v>2019</v>
      </c>
      <c r="C5386" s="267">
        <v>2020</v>
      </c>
      <c r="D5386" s="267">
        <v>1</v>
      </c>
      <c r="E5386" s="267">
        <v>1</v>
      </c>
      <c r="F5386" s="267" t="s">
        <v>944</v>
      </c>
      <c r="G5386" s="267" t="s">
        <v>3926</v>
      </c>
      <c r="H5386" s="267" t="s">
        <v>10050</v>
      </c>
      <c r="I5386" s="267" t="s">
        <v>4422</v>
      </c>
      <c r="J5386" s="267" t="s">
        <v>3928</v>
      </c>
      <c r="K5386" s="267">
        <v>6801</v>
      </c>
      <c r="L5386" s="267">
        <v>200200</v>
      </c>
      <c r="M5386" s="267" t="s">
        <v>3940</v>
      </c>
      <c r="N5386" s="267" t="s">
        <v>4701</v>
      </c>
      <c r="O5386" s="267">
        <v>2538.1</v>
      </c>
      <c r="P5386" s="267" t="s">
        <v>3930</v>
      </c>
      <c r="Q5386" s="267" t="s">
        <v>3931</v>
      </c>
      <c r="R5386" s="267">
        <v>7538.1</v>
      </c>
      <c r="S5386" s="267">
        <v>34648</v>
      </c>
      <c r="T5386" s="267">
        <v>42186.1</v>
      </c>
      <c r="U5386" s="268" t="s">
        <v>3932</v>
      </c>
      <c r="V5386" s="267" t="s">
        <v>944</v>
      </c>
    </row>
    <row r="5387" spans="1:22" hidden="1" x14ac:dyDescent="0.25">
      <c r="A5387" s="269">
        <v>43724</v>
      </c>
      <c r="B5387" s="270">
        <v>2019</v>
      </c>
      <c r="C5387" s="270">
        <v>2020</v>
      </c>
      <c r="D5387" s="270">
        <v>1</v>
      </c>
      <c r="E5387" s="270">
        <v>1</v>
      </c>
      <c r="F5387" s="270" t="s">
        <v>944</v>
      </c>
      <c r="G5387" s="270" t="s">
        <v>3926</v>
      </c>
      <c r="H5387" s="270" t="s">
        <v>10051</v>
      </c>
      <c r="I5387" s="270" t="s">
        <v>4019</v>
      </c>
      <c r="J5387" s="270" t="s">
        <v>3928</v>
      </c>
      <c r="K5387" s="270">
        <v>6708</v>
      </c>
      <c r="L5387" s="270">
        <v>352100</v>
      </c>
      <c r="M5387" s="270" t="s">
        <v>3940</v>
      </c>
      <c r="N5387" s="270" t="s">
        <v>3944</v>
      </c>
      <c r="O5387" s="270">
        <v>3713</v>
      </c>
      <c r="P5387" s="270" t="s">
        <v>3944</v>
      </c>
      <c r="Q5387" s="270" t="s">
        <v>3944</v>
      </c>
      <c r="R5387" s="270">
        <v>3713</v>
      </c>
      <c r="S5387" s="270">
        <v>32691</v>
      </c>
      <c r="T5387" s="270">
        <v>36404</v>
      </c>
      <c r="U5387" s="271" t="s">
        <v>3945</v>
      </c>
      <c r="V5387" s="267" t="s">
        <v>944</v>
      </c>
    </row>
    <row r="5388" spans="1:22" hidden="1" x14ac:dyDescent="0.25">
      <c r="A5388" s="266">
        <v>43724</v>
      </c>
      <c r="B5388" s="267">
        <v>2019</v>
      </c>
      <c r="C5388" s="267">
        <v>2020</v>
      </c>
      <c r="D5388" s="267">
        <v>1</v>
      </c>
      <c r="E5388" s="267">
        <v>1</v>
      </c>
      <c r="F5388" s="267" t="s">
        <v>944</v>
      </c>
      <c r="G5388" s="267" t="s">
        <v>3926</v>
      </c>
      <c r="H5388" s="267" t="s">
        <v>10052</v>
      </c>
      <c r="I5388" s="267" t="s">
        <v>4079</v>
      </c>
      <c r="J5388" s="267" t="s">
        <v>3928</v>
      </c>
      <c r="K5388" s="267">
        <v>6111</v>
      </c>
      <c r="L5388" s="267">
        <v>494600</v>
      </c>
      <c r="M5388" s="267" t="s">
        <v>3935</v>
      </c>
      <c r="N5388" s="267" t="s">
        <v>3944</v>
      </c>
      <c r="O5388" s="267">
        <v>3245</v>
      </c>
      <c r="P5388" s="267" t="s">
        <v>3944</v>
      </c>
      <c r="Q5388" s="267" t="s">
        <v>3944</v>
      </c>
      <c r="R5388" s="267">
        <v>3245</v>
      </c>
      <c r="S5388" s="267">
        <v>25105</v>
      </c>
      <c r="T5388" s="267">
        <v>28350</v>
      </c>
      <c r="U5388" s="268" t="s">
        <v>3945</v>
      </c>
      <c r="V5388" s="267" t="s">
        <v>944</v>
      </c>
    </row>
    <row r="5389" spans="1:22" hidden="1" x14ac:dyDescent="0.25">
      <c r="A5389" s="269">
        <v>43724</v>
      </c>
      <c r="B5389" s="270">
        <v>2019</v>
      </c>
      <c r="C5389" s="270">
        <v>2020</v>
      </c>
      <c r="D5389" s="270">
        <v>1</v>
      </c>
      <c r="E5389" s="270">
        <v>1</v>
      </c>
      <c r="F5389" s="270" t="s">
        <v>944</v>
      </c>
      <c r="G5389" s="270" t="s">
        <v>3926</v>
      </c>
      <c r="H5389" s="270" t="s">
        <v>10053</v>
      </c>
      <c r="I5389" s="270" t="s">
        <v>4323</v>
      </c>
      <c r="J5389" s="270" t="s">
        <v>3928</v>
      </c>
      <c r="K5389" s="270">
        <v>6385</v>
      </c>
      <c r="L5389" s="270">
        <v>693700</v>
      </c>
      <c r="M5389" s="270" t="s">
        <v>3943</v>
      </c>
      <c r="N5389" s="270" t="s">
        <v>3944</v>
      </c>
      <c r="O5389" s="270">
        <v>2937</v>
      </c>
      <c r="P5389" s="270" t="s">
        <v>3944</v>
      </c>
      <c r="Q5389" s="270" t="s">
        <v>3944</v>
      </c>
      <c r="R5389" s="270">
        <v>2937</v>
      </c>
      <c r="S5389" s="270">
        <v>23923</v>
      </c>
      <c r="T5389" s="270">
        <v>26860</v>
      </c>
      <c r="U5389" s="271" t="s">
        <v>3945</v>
      </c>
      <c r="V5389" s="267" t="s">
        <v>944</v>
      </c>
    </row>
    <row r="5390" spans="1:22" hidden="1" x14ac:dyDescent="0.25">
      <c r="A5390" s="266">
        <v>43724</v>
      </c>
      <c r="B5390" s="267">
        <v>2019</v>
      </c>
      <c r="C5390" s="267">
        <v>2020</v>
      </c>
      <c r="D5390" s="267">
        <v>1</v>
      </c>
      <c r="E5390" s="267">
        <v>1</v>
      </c>
      <c r="F5390" s="267" t="s">
        <v>944</v>
      </c>
      <c r="G5390" s="267" t="s">
        <v>3926</v>
      </c>
      <c r="H5390" s="267" t="s">
        <v>10054</v>
      </c>
      <c r="I5390" s="267" t="s">
        <v>4200</v>
      </c>
      <c r="J5390" s="267" t="s">
        <v>3928</v>
      </c>
      <c r="K5390" s="267">
        <v>6779</v>
      </c>
      <c r="L5390" s="267">
        <v>360400</v>
      </c>
      <c r="M5390" s="267" t="s">
        <v>3940</v>
      </c>
      <c r="N5390" s="267" t="s">
        <v>3944</v>
      </c>
      <c r="O5390" s="267">
        <v>2909</v>
      </c>
      <c r="P5390" s="267" t="s">
        <v>3944</v>
      </c>
      <c r="Q5390" s="267" t="s">
        <v>3944</v>
      </c>
      <c r="R5390" s="267">
        <v>2909</v>
      </c>
      <c r="S5390" s="267">
        <v>18545</v>
      </c>
      <c r="T5390" s="267">
        <v>21454</v>
      </c>
      <c r="U5390" s="268" t="s">
        <v>3945</v>
      </c>
      <c r="V5390" s="267" t="s">
        <v>944</v>
      </c>
    </row>
    <row r="5391" spans="1:22" hidden="1" x14ac:dyDescent="0.25">
      <c r="A5391" s="269">
        <v>43724</v>
      </c>
      <c r="B5391" s="270">
        <v>2019</v>
      </c>
      <c r="C5391" s="270">
        <v>2020</v>
      </c>
      <c r="D5391" s="270">
        <v>1</v>
      </c>
      <c r="E5391" s="270">
        <v>1</v>
      </c>
      <c r="F5391" s="270" t="s">
        <v>944</v>
      </c>
      <c r="G5391" s="270" t="s">
        <v>3926</v>
      </c>
      <c r="H5391" s="270" t="s">
        <v>10055</v>
      </c>
      <c r="I5391" s="270" t="s">
        <v>4683</v>
      </c>
      <c r="J5391" s="270" t="s">
        <v>3928</v>
      </c>
      <c r="K5391" s="270">
        <v>6762</v>
      </c>
      <c r="L5391" s="270">
        <v>344100</v>
      </c>
      <c r="M5391" s="270" t="s">
        <v>3943</v>
      </c>
      <c r="N5391" s="270" t="s">
        <v>3944</v>
      </c>
      <c r="O5391" s="270">
        <v>4742</v>
      </c>
      <c r="P5391" s="270" t="s">
        <v>3944</v>
      </c>
      <c r="Q5391" s="270" t="s">
        <v>3944</v>
      </c>
      <c r="R5391" s="270">
        <v>4742</v>
      </c>
      <c r="S5391" s="270">
        <v>31224</v>
      </c>
      <c r="T5391" s="270">
        <v>35966</v>
      </c>
      <c r="U5391" s="271" t="s">
        <v>3945</v>
      </c>
      <c r="V5391" s="267" t="s">
        <v>944</v>
      </c>
    </row>
    <row r="5392" spans="1:22" hidden="1" x14ac:dyDescent="0.25">
      <c r="A5392" s="266">
        <v>43724</v>
      </c>
      <c r="B5392" s="267">
        <v>2019</v>
      </c>
      <c r="C5392" s="267">
        <v>2020</v>
      </c>
      <c r="D5392" s="267">
        <v>1</v>
      </c>
      <c r="E5392" s="267">
        <v>1</v>
      </c>
      <c r="F5392" s="267" t="s">
        <v>944</v>
      </c>
      <c r="G5392" s="267" t="s">
        <v>3926</v>
      </c>
      <c r="H5392" s="267" t="s">
        <v>10056</v>
      </c>
      <c r="I5392" s="267" t="s">
        <v>3026</v>
      </c>
      <c r="J5392" s="267" t="s">
        <v>3928</v>
      </c>
      <c r="K5392" s="267">
        <v>6471</v>
      </c>
      <c r="L5392" s="267">
        <v>186100</v>
      </c>
      <c r="M5392" s="267" t="s">
        <v>3935</v>
      </c>
      <c r="N5392" s="267" t="s">
        <v>3944</v>
      </c>
      <c r="O5392" s="267">
        <v>3130</v>
      </c>
      <c r="P5392" s="267" t="s">
        <v>3944</v>
      </c>
      <c r="Q5392" s="267" t="s">
        <v>3944</v>
      </c>
      <c r="R5392" s="267">
        <v>3130</v>
      </c>
      <c r="S5392" s="267">
        <v>27110</v>
      </c>
      <c r="T5392" s="267">
        <v>30240</v>
      </c>
      <c r="U5392" s="268" t="s">
        <v>3945</v>
      </c>
      <c r="V5392" s="267" t="s">
        <v>944</v>
      </c>
    </row>
    <row r="5393" spans="1:22" hidden="1" x14ac:dyDescent="0.25">
      <c r="A5393" s="269">
        <v>43724</v>
      </c>
      <c r="B5393" s="270">
        <v>2019</v>
      </c>
      <c r="C5393" s="270">
        <v>2020</v>
      </c>
      <c r="D5393" s="270">
        <v>1</v>
      </c>
      <c r="E5393" s="270">
        <v>1</v>
      </c>
      <c r="F5393" s="270" t="s">
        <v>944</v>
      </c>
      <c r="G5393" s="270" t="s">
        <v>3926</v>
      </c>
      <c r="H5393" s="270" t="s">
        <v>10057</v>
      </c>
      <c r="I5393" s="270" t="s">
        <v>4126</v>
      </c>
      <c r="J5393" s="270" t="s">
        <v>3928</v>
      </c>
      <c r="K5393" s="270">
        <v>6880</v>
      </c>
      <c r="L5393" s="270">
        <v>50400</v>
      </c>
      <c r="M5393" s="270" t="s">
        <v>3943</v>
      </c>
      <c r="N5393" s="270" t="s">
        <v>3944</v>
      </c>
      <c r="O5393" s="270">
        <v>5054</v>
      </c>
      <c r="P5393" s="270" t="s">
        <v>3944</v>
      </c>
      <c r="Q5393" s="270" t="s">
        <v>3944</v>
      </c>
      <c r="R5393" s="270">
        <v>5054</v>
      </c>
      <c r="S5393" s="270">
        <v>36978</v>
      </c>
      <c r="T5393" s="270">
        <v>42032</v>
      </c>
      <c r="U5393" s="271" t="s">
        <v>3945</v>
      </c>
      <c r="V5393" s="267" t="s">
        <v>944</v>
      </c>
    </row>
    <row r="5394" spans="1:22" hidden="1" x14ac:dyDescent="0.25">
      <c r="A5394" s="266">
        <v>43724</v>
      </c>
      <c r="B5394" s="267">
        <v>2019</v>
      </c>
      <c r="C5394" s="267">
        <v>2020</v>
      </c>
      <c r="D5394" s="267">
        <v>1</v>
      </c>
      <c r="E5394" s="267">
        <v>1</v>
      </c>
      <c r="F5394" s="267" t="s">
        <v>944</v>
      </c>
      <c r="G5394" s="267" t="s">
        <v>3997</v>
      </c>
      <c r="H5394" s="267" t="s">
        <v>10058</v>
      </c>
      <c r="I5394" s="267" t="s">
        <v>4330</v>
      </c>
      <c r="J5394" s="267" t="s">
        <v>3928</v>
      </c>
      <c r="K5394" s="267">
        <v>6413</v>
      </c>
      <c r="L5394" s="267">
        <v>610200</v>
      </c>
      <c r="M5394" s="267" t="s">
        <v>3940</v>
      </c>
      <c r="N5394" s="267" t="s">
        <v>3944</v>
      </c>
      <c r="O5394" s="267">
        <v>3161.55</v>
      </c>
      <c r="P5394" s="267" t="s">
        <v>3944</v>
      </c>
      <c r="Q5394" s="267" t="s">
        <v>3944</v>
      </c>
      <c r="R5394" s="267">
        <v>3161.55</v>
      </c>
      <c r="S5394" s="267">
        <v>51866.93</v>
      </c>
      <c r="T5394" s="267">
        <v>55028.480000000003</v>
      </c>
      <c r="U5394" s="268" t="s">
        <v>3945</v>
      </c>
      <c r="V5394" s="267" t="s">
        <v>944</v>
      </c>
    </row>
    <row r="5395" spans="1:22" hidden="1" x14ac:dyDescent="0.25">
      <c r="A5395" s="269">
        <v>43724</v>
      </c>
      <c r="B5395" s="270">
        <v>2019</v>
      </c>
      <c r="C5395" s="270">
        <v>2020</v>
      </c>
      <c r="D5395" s="270">
        <v>1</v>
      </c>
      <c r="E5395" s="270">
        <v>1</v>
      </c>
      <c r="F5395" s="270" t="s">
        <v>944</v>
      </c>
      <c r="G5395" s="270" t="s">
        <v>3997</v>
      </c>
      <c r="H5395" s="270" t="s">
        <v>10059</v>
      </c>
      <c r="I5395" s="270" t="s">
        <v>3999</v>
      </c>
      <c r="J5395" s="270" t="s">
        <v>3928</v>
      </c>
      <c r="K5395" s="270">
        <v>6450</v>
      </c>
      <c r="L5395" s="270">
        <v>171100</v>
      </c>
      <c r="M5395" s="270" t="s">
        <v>3940</v>
      </c>
      <c r="N5395" s="270" t="s">
        <v>3944</v>
      </c>
      <c r="O5395" s="270">
        <v>1023.09</v>
      </c>
      <c r="P5395" s="270" t="s">
        <v>3944</v>
      </c>
      <c r="Q5395" s="270" t="s">
        <v>3944</v>
      </c>
      <c r="R5395" s="270">
        <v>1023.09</v>
      </c>
      <c r="S5395" s="270">
        <v>16966.990000000002</v>
      </c>
      <c r="T5395" s="270">
        <v>17990.080000000002</v>
      </c>
      <c r="U5395" s="271" t="s">
        <v>3945</v>
      </c>
      <c r="V5395" s="267" t="s">
        <v>944</v>
      </c>
    </row>
    <row r="5396" spans="1:22" hidden="1" x14ac:dyDescent="0.25">
      <c r="A5396" s="266">
        <v>43724</v>
      </c>
      <c r="B5396" s="267">
        <v>2019</v>
      </c>
      <c r="C5396" s="267">
        <v>2020</v>
      </c>
      <c r="D5396" s="267">
        <v>1</v>
      </c>
      <c r="E5396" s="267">
        <v>1</v>
      </c>
      <c r="F5396" s="267" t="s">
        <v>944</v>
      </c>
      <c r="G5396" s="267" t="s">
        <v>3997</v>
      </c>
      <c r="H5396" s="267" t="s">
        <v>10060</v>
      </c>
      <c r="I5396" s="267" t="s">
        <v>3008</v>
      </c>
      <c r="J5396" s="267" t="s">
        <v>3928</v>
      </c>
      <c r="K5396" s="267">
        <v>6460</v>
      </c>
      <c r="L5396" s="267">
        <v>150300</v>
      </c>
      <c r="M5396" s="267" t="s">
        <v>3960</v>
      </c>
      <c r="N5396" s="267" t="s">
        <v>3944</v>
      </c>
      <c r="O5396" s="267">
        <v>1355.97</v>
      </c>
      <c r="P5396" s="267" t="s">
        <v>3944</v>
      </c>
      <c r="Q5396" s="267" t="s">
        <v>3944</v>
      </c>
      <c r="R5396" s="267">
        <v>1355.97</v>
      </c>
      <c r="S5396" s="267">
        <v>17692.349999999999</v>
      </c>
      <c r="T5396" s="267">
        <v>19048.32</v>
      </c>
      <c r="U5396" s="268" t="s">
        <v>3945</v>
      </c>
      <c r="V5396" s="267" t="s">
        <v>944</v>
      </c>
    </row>
    <row r="5397" spans="1:22" hidden="1" x14ac:dyDescent="0.25">
      <c r="A5397" s="269">
        <v>43724</v>
      </c>
      <c r="B5397" s="270">
        <v>2019</v>
      </c>
      <c r="C5397" s="270">
        <v>2020</v>
      </c>
      <c r="D5397" s="270">
        <v>1</v>
      </c>
      <c r="E5397" s="270">
        <v>1</v>
      </c>
      <c r="F5397" s="270" t="s">
        <v>944</v>
      </c>
      <c r="G5397" s="270" t="s">
        <v>3926</v>
      </c>
      <c r="H5397" s="270" t="s">
        <v>10061</v>
      </c>
      <c r="I5397" s="270" t="s">
        <v>3975</v>
      </c>
      <c r="J5397" s="270" t="s">
        <v>3928</v>
      </c>
      <c r="K5397" s="270">
        <v>6489</v>
      </c>
      <c r="L5397" s="270">
        <v>430500</v>
      </c>
      <c r="M5397" s="270" t="s">
        <v>3943</v>
      </c>
      <c r="N5397" s="270" t="s">
        <v>3944</v>
      </c>
      <c r="O5397" s="270">
        <v>3785</v>
      </c>
      <c r="P5397" s="270" t="s">
        <v>3944</v>
      </c>
      <c r="Q5397" s="270" t="s">
        <v>3944</v>
      </c>
      <c r="R5397" s="270">
        <v>3785</v>
      </c>
      <c r="S5397" s="270">
        <v>24909.25</v>
      </c>
      <c r="T5397" s="270">
        <v>28694.25</v>
      </c>
      <c r="U5397" s="271" t="s">
        <v>3945</v>
      </c>
      <c r="V5397" s="267" t="s">
        <v>944</v>
      </c>
    </row>
    <row r="5398" spans="1:22" hidden="1" x14ac:dyDescent="0.25">
      <c r="A5398" s="266">
        <v>43724</v>
      </c>
      <c r="B5398" s="267">
        <v>2019</v>
      </c>
      <c r="C5398" s="267">
        <v>2020</v>
      </c>
      <c r="D5398" s="267">
        <v>1</v>
      </c>
      <c r="E5398" s="267">
        <v>1</v>
      </c>
      <c r="F5398" s="267" t="s">
        <v>944</v>
      </c>
      <c r="G5398" s="267" t="s">
        <v>3926</v>
      </c>
      <c r="H5398" s="267" t="s">
        <v>10062</v>
      </c>
      <c r="I5398" s="267" t="s">
        <v>3971</v>
      </c>
      <c r="J5398" s="267" t="s">
        <v>3928</v>
      </c>
      <c r="K5398" s="267">
        <v>6084</v>
      </c>
      <c r="L5398" s="267">
        <v>533101</v>
      </c>
      <c r="M5398" s="267" t="s">
        <v>3943</v>
      </c>
      <c r="N5398" s="267" t="s">
        <v>3944</v>
      </c>
      <c r="O5398" s="267">
        <v>3393</v>
      </c>
      <c r="P5398" s="267" t="s">
        <v>3944</v>
      </c>
      <c r="Q5398" s="267" t="s">
        <v>3944</v>
      </c>
      <c r="R5398" s="267">
        <v>3393</v>
      </c>
      <c r="S5398" s="267">
        <v>21597</v>
      </c>
      <c r="T5398" s="267">
        <v>24990</v>
      </c>
      <c r="U5398" s="268" t="s">
        <v>3945</v>
      </c>
      <c r="V5398" s="267" t="s">
        <v>944</v>
      </c>
    </row>
    <row r="5399" spans="1:22" hidden="1" x14ac:dyDescent="0.25">
      <c r="A5399" s="269">
        <v>43724</v>
      </c>
      <c r="B5399" s="270">
        <v>2019</v>
      </c>
      <c r="C5399" s="270">
        <v>2020</v>
      </c>
      <c r="D5399" s="270">
        <v>1</v>
      </c>
      <c r="E5399" s="270">
        <v>1</v>
      </c>
      <c r="F5399" s="270" t="s">
        <v>944</v>
      </c>
      <c r="G5399" s="270" t="s">
        <v>3926</v>
      </c>
      <c r="H5399" s="270" t="s">
        <v>10063</v>
      </c>
      <c r="I5399" s="270" t="s">
        <v>2987</v>
      </c>
      <c r="J5399" s="270" t="s">
        <v>3928</v>
      </c>
      <c r="K5399" s="270">
        <v>6611</v>
      </c>
      <c r="L5399" s="270">
        <v>90100</v>
      </c>
      <c r="M5399" s="270" t="s">
        <v>3943</v>
      </c>
      <c r="N5399" s="270" t="s">
        <v>3944</v>
      </c>
      <c r="O5399" s="270">
        <v>5474</v>
      </c>
      <c r="P5399" s="270" t="s">
        <v>3944</v>
      </c>
      <c r="Q5399" s="270" t="s">
        <v>3944</v>
      </c>
      <c r="R5399" s="270">
        <v>5474</v>
      </c>
      <c r="S5399" s="270">
        <v>38311</v>
      </c>
      <c r="T5399" s="270">
        <v>43785</v>
      </c>
      <c r="U5399" s="271" t="s">
        <v>3945</v>
      </c>
      <c r="V5399" s="267" t="s">
        <v>944</v>
      </c>
    </row>
    <row r="5400" spans="1:22" hidden="1" x14ac:dyDescent="0.25">
      <c r="A5400" s="266">
        <v>43724</v>
      </c>
      <c r="B5400" s="267">
        <v>2019</v>
      </c>
      <c r="C5400" s="267">
        <v>2020</v>
      </c>
      <c r="D5400" s="267">
        <v>1</v>
      </c>
      <c r="E5400" s="267">
        <v>1</v>
      </c>
      <c r="F5400" s="267" t="s">
        <v>944</v>
      </c>
      <c r="G5400" s="267" t="s">
        <v>3926</v>
      </c>
      <c r="H5400" s="267" t="s">
        <v>10064</v>
      </c>
      <c r="I5400" s="267" t="s">
        <v>956</v>
      </c>
      <c r="J5400" s="267" t="s">
        <v>3928</v>
      </c>
      <c r="K5400" s="267">
        <v>6614</v>
      </c>
      <c r="L5400" s="267">
        <v>81100</v>
      </c>
      <c r="M5400" s="267" t="s">
        <v>3960</v>
      </c>
      <c r="N5400" s="267" t="s">
        <v>3944</v>
      </c>
      <c r="O5400" s="267">
        <v>4272</v>
      </c>
      <c r="P5400" s="267" t="s">
        <v>3944</v>
      </c>
      <c r="Q5400" s="267" t="s">
        <v>3944</v>
      </c>
      <c r="R5400" s="267">
        <v>4272</v>
      </c>
      <c r="S5400" s="267">
        <v>31203</v>
      </c>
      <c r="T5400" s="267">
        <v>35475</v>
      </c>
      <c r="U5400" s="268" t="s">
        <v>3945</v>
      </c>
      <c r="V5400" s="267" t="s">
        <v>944</v>
      </c>
    </row>
    <row r="5401" spans="1:22" hidden="1" x14ac:dyDescent="0.25">
      <c r="A5401" s="269">
        <v>43724</v>
      </c>
      <c r="B5401" s="270">
        <v>2019</v>
      </c>
      <c r="C5401" s="270">
        <v>2020</v>
      </c>
      <c r="D5401" s="270">
        <v>1</v>
      </c>
      <c r="E5401" s="270">
        <v>1</v>
      </c>
      <c r="F5401" s="270" t="s">
        <v>944</v>
      </c>
      <c r="G5401" s="270" t="s">
        <v>3926</v>
      </c>
      <c r="H5401" s="270" t="s">
        <v>10065</v>
      </c>
      <c r="I5401" s="270" t="s">
        <v>4310</v>
      </c>
      <c r="J5401" s="270" t="s">
        <v>3928</v>
      </c>
      <c r="K5401" s="270">
        <v>6351</v>
      </c>
      <c r="L5401" s="270">
        <v>710100</v>
      </c>
      <c r="M5401" s="270" t="s">
        <v>3960</v>
      </c>
      <c r="N5401" s="270" t="s">
        <v>3944</v>
      </c>
      <c r="O5401" s="270">
        <v>3343</v>
      </c>
      <c r="P5401" s="270" t="s">
        <v>3944</v>
      </c>
      <c r="Q5401" s="270" t="s">
        <v>3944</v>
      </c>
      <c r="R5401" s="270">
        <v>3343</v>
      </c>
      <c r="S5401" s="270">
        <v>21837</v>
      </c>
      <c r="T5401" s="270">
        <v>25180</v>
      </c>
      <c r="U5401" s="271" t="s">
        <v>3945</v>
      </c>
      <c r="V5401" s="267" t="s">
        <v>944</v>
      </c>
    </row>
    <row r="5402" spans="1:22" hidden="1" x14ac:dyDescent="0.25">
      <c r="A5402" s="266">
        <v>43724</v>
      </c>
      <c r="B5402" s="267">
        <v>2019</v>
      </c>
      <c r="C5402" s="267">
        <v>2020</v>
      </c>
      <c r="D5402" s="267">
        <v>1</v>
      </c>
      <c r="E5402" s="267">
        <v>1</v>
      </c>
      <c r="F5402" s="267" t="s">
        <v>944</v>
      </c>
      <c r="G5402" s="267" t="s">
        <v>3926</v>
      </c>
      <c r="H5402" s="267" t="s">
        <v>10066</v>
      </c>
      <c r="I5402" s="267" t="s">
        <v>3012</v>
      </c>
      <c r="J5402" s="267" t="s">
        <v>3928</v>
      </c>
      <c r="K5402" s="267">
        <v>6477</v>
      </c>
      <c r="L5402" s="267">
        <v>157400</v>
      </c>
      <c r="M5402" s="267" t="s">
        <v>3943</v>
      </c>
      <c r="N5402" s="267" t="s">
        <v>3944</v>
      </c>
      <c r="O5402" s="267">
        <v>1869.46</v>
      </c>
      <c r="P5402" s="267" t="s">
        <v>3944</v>
      </c>
      <c r="Q5402" s="267" t="s">
        <v>3944</v>
      </c>
      <c r="R5402" s="267">
        <v>1869.46</v>
      </c>
      <c r="S5402" s="267">
        <v>15882.54</v>
      </c>
      <c r="T5402" s="267">
        <v>17752</v>
      </c>
      <c r="U5402" s="268" t="s">
        <v>3945</v>
      </c>
      <c r="V5402" s="267" t="s">
        <v>944</v>
      </c>
    </row>
    <row r="5403" spans="1:22" hidden="1" x14ac:dyDescent="0.25">
      <c r="A5403" s="269">
        <v>43724</v>
      </c>
      <c r="B5403" s="270">
        <v>2019</v>
      </c>
      <c r="C5403" s="270">
        <v>2020</v>
      </c>
      <c r="D5403" s="270">
        <v>1</v>
      </c>
      <c r="E5403" s="270">
        <v>1</v>
      </c>
      <c r="F5403" s="270" t="s">
        <v>944</v>
      </c>
      <c r="G5403" s="270" t="s">
        <v>3926</v>
      </c>
      <c r="H5403" s="270" t="s">
        <v>10067</v>
      </c>
      <c r="I5403" s="270" t="s">
        <v>3962</v>
      </c>
      <c r="J5403" s="270" t="s">
        <v>3928</v>
      </c>
      <c r="K5403" s="270">
        <v>6379</v>
      </c>
      <c r="L5403" s="270">
        <v>705102</v>
      </c>
      <c r="M5403" s="270" t="s">
        <v>3940</v>
      </c>
      <c r="N5403" s="270" t="s">
        <v>3944</v>
      </c>
      <c r="O5403" s="270">
        <v>1615.01</v>
      </c>
      <c r="P5403" s="270" t="s">
        <v>3944</v>
      </c>
      <c r="Q5403" s="270" t="s">
        <v>3944</v>
      </c>
      <c r="R5403" s="270">
        <v>1615.01</v>
      </c>
      <c r="S5403" s="270">
        <v>16117.99</v>
      </c>
      <c r="T5403" s="270">
        <v>17733</v>
      </c>
      <c r="U5403" s="271" t="s">
        <v>3945</v>
      </c>
      <c r="V5403" s="267" t="s">
        <v>944</v>
      </c>
    </row>
    <row r="5404" spans="1:22" hidden="1" x14ac:dyDescent="0.25">
      <c r="A5404" s="266">
        <v>43724</v>
      </c>
      <c r="B5404" s="267">
        <v>2019</v>
      </c>
      <c r="C5404" s="267">
        <v>2020</v>
      </c>
      <c r="D5404" s="267">
        <v>1</v>
      </c>
      <c r="E5404" s="267">
        <v>1</v>
      </c>
      <c r="F5404" s="267" t="s">
        <v>944</v>
      </c>
      <c r="G5404" s="267" t="s">
        <v>3926</v>
      </c>
      <c r="H5404" s="267" t="s">
        <v>10068</v>
      </c>
      <c r="I5404" s="267" t="s">
        <v>2985</v>
      </c>
      <c r="J5404" s="267" t="s">
        <v>3928</v>
      </c>
      <c r="K5404" s="267">
        <v>6824</v>
      </c>
      <c r="L5404" s="267">
        <v>61600</v>
      </c>
      <c r="M5404" s="267" t="s">
        <v>3943</v>
      </c>
      <c r="N5404" s="267" t="s">
        <v>3944</v>
      </c>
      <c r="O5404" s="267">
        <v>1275.8900000000001</v>
      </c>
      <c r="P5404" s="267" t="s">
        <v>3944</v>
      </c>
      <c r="Q5404" s="267" t="s">
        <v>3944</v>
      </c>
      <c r="R5404" s="267">
        <v>1275.8900000000001</v>
      </c>
      <c r="S5404" s="267">
        <v>27889.18</v>
      </c>
      <c r="T5404" s="267">
        <v>29165.07</v>
      </c>
      <c r="U5404" s="268" t="s">
        <v>3945</v>
      </c>
      <c r="V5404" s="267" t="s">
        <v>944</v>
      </c>
    </row>
    <row r="5405" spans="1:22" hidden="1" x14ac:dyDescent="0.25">
      <c r="A5405" s="269">
        <v>43724</v>
      </c>
      <c r="B5405" s="270">
        <v>2019</v>
      </c>
      <c r="C5405" s="270">
        <v>2020</v>
      </c>
      <c r="D5405" s="270">
        <v>1</v>
      </c>
      <c r="E5405" s="270">
        <v>1</v>
      </c>
      <c r="F5405" s="270" t="s">
        <v>944</v>
      </c>
      <c r="G5405" s="270" t="s">
        <v>3926</v>
      </c>
      <c r="H5405" s="270" t="s">
        <v>10069</v>
      </c>
      <c r="I5405" s="270" t="s">
        <v>4213</v>
      </c>
      <c r="J5405" s="270" t="s">
        <v>3928</v>
      </c>
      <c r="K5405" s="270">
        <v>6053</v>
      </c>
      <c r="L5405" s="270">
        <v>416800</v>
      </c>
      <c r="M5405" s="270" t="s">
        <v>3940</v>
      </c>
      <c r="N5405" s="270" t="s">
        <v>3944</v>
      </c>
      <c r="O5405" s="270">
        <v>2833.64</v>
      </c>
      <c r="P5405" s="270" t="s">
        <v>3944</v>
      </c>
      <c r="Q5405" s="270" t="s">
        <v>3944</v>
      </c>
      <c r="R5405" s="270">
        <v>2833.64</v>
      </c>
      <c r="S5405" s="270">
        <v>43142.44</v>
      </c>
      <c r="T5405" s="270">
        <v>45976.08</v>
      </c>
      <c r="U5405" s="271" t="s">
        <v>3945</v>
      </c>
      <c r="V5405" s="267" t="s">
        <v>944</v>
      </c>
    </row>
    <row r="5406" spans="1:22" hidden="1" x14ac:dyDescent="0.25">
      <c r="A5406" s="266">
        <v>43724</v>
      </c>
      <c r="B5406" s="267">
        <v>2019</v>
      </c>
      <c r="C5406" s="267">
        <v>2020</v>
      </c>
      <c r="D5406" s="267">
        <v>1</v>
      </c>
      <c r="E5406" s="267">
        <v>1</v>
      </c>
      <c r="F5406" s="267" t="s">
        <v>944</v>
      </c>
      <c r="G5406" s="267" t="s">
        <v>3926</v>
      </c>
      <c r="H5406" s="267" t="s">
        <v>10070</v>
      </c>
      <c r="I5406" s="267" t="s">
        <v>4323</v>
      </c>
      <c r="J5406" s="267" t="s">
        <v>3928</v>
      </c>
      <c r="K5406" s="267">
        <v>6385</v>
      </c>
      <c r="L5406" s="267">
        <v>693700</v>
      </c>
      <c r="M5406" s="267" t="s">
        <v>3943</v>
      </c>
      <c r="N5406" s="267" t="s">
        <v>3944</v>
      </c>
      <c r="O5406" s="267">
        <v>2055.1</v>
      </c>
      <c r="P5406" s="267" t="s">
        <v>3944</v>
      </c>
      <c r="Q5406" s="267" t="s">
        <v>3944</v>
      </c>
      <c r="R5406" s="267">
        <v>2055.1</v>
      </c>
      <c r="S5406" s="267">
        <v>31808.58</v>
      </c>
      <c r="T5406" s="267">
        <v>33863.68</v>
      </c>
      <c r="U5406" s="268" t="s">
        <v>3945</v>
      </c>
      <c r="V5406" s="267" t="s">
        <v>944</v>
      </c>
    </row>
    <row r="5407" spans="1:22" hidden="1" x14ac:dyDescent="0.25">
      <c r="A5407" s="269">
        <v>43724</v>
      </c>
      <c r="B5407" s="270">
        <v>2019</v>
      </c>
      <c r="C5407" s="270">
        <v>2020</v>
      </c>
      <c r="D5407" s="270">
        <v>1</v>
      </c>
      <c r="E5407" s="270">
        <v>1</v>
      </c>
      <c r="F5407" s="270" t="s">
        <v>944</v>
      </c>
      <c r="G5407" s="270" t="s">
        <v>3926</v>
      </c>
      <c r="H5407" s="270" t="s">
        <v>10071</v>
      </c>
      <c r="I5407" s="270" t="s">
        <v>3025</v>
      </c>
      <c r="J5407" s="270" t="s">
        <v>3928</v>
      </c>
      <c r="K5407" s="270">
        <v>6473</v>
      </c>
      <c r="L5407" s="270">
        <v>167100</v>
      </c>
      <c r="M5407" s="270" t="s">
        <v>3943</v>
      </c>
      <c r="N5407" s="270" t="s">
        <v>3944</v>
      </c>
      <c r="O5407" s="270">
        <v>2724.96</v>
      </c>
      <c r="P5407" s="270" t="s">
        <v>3944</v>
      </c>
      <c r="Q5407" s="270" t="s">
        <v>3944</v>
      </c>
      <c r="R5407" s="270">
        <v>2724.96</v>
      </c>
      <c r="S5407" s="270">
        <v>36429.919999999998</v>
      </c>
      <c r="T5407" s="270">
        <v>39154.879999999997</v>
      </c>
      <c r="U5407" s="271" t="s">
        <v>3945</v>
      </c>
      <c r="V5407" s="267" t="s">
        <v>944</v>
      </c>
    </row>
    <row r="5408" spans="1:22" hidden="1" x14ac:dyDescent="0.25">
      <c r="A5408" s="266">
        <v>43724</v>
      </c>
      <c r="B5408" s="267">
        <v>2019</v>
      </c>
      <c r="C5408" s="267">
        <v>2020</v>
      </c>
      <c r="D5408" s="267">
        <v>1</v>
      </c>
      <c r="E5408" s="267">
        <v>1</v>
      </c>
      <c r="F5408" s="267" t="s">
        <v>944</v>
      </c>
      <c r="G5408" s="267" t="s">
        <v>3926</v>
      </c>
      <c r="H5408" s="267" t="s">
        <v>10072</v>
      </c>
      <c r="I5408" s="267" t="s">
        <v>3968</v>
      </c>
      <c r="J5408" s="267" t="s">
        <v>3928</v>
      </c>
      <c r="K5408" s="267">
        <v>6042</v>
      </c>
      <c r="L5408" s="267">
        <v>514900</v>
      </c>
      <c r="M5408" s="267" t="s">
        <v>3960</v>
      </c>
      <c r="N5408" s="267" t="s">
        <v>3944</v>
      </c>
      <c r="O5408" s="267">
        <v>2014.43</v>
      </c>
      <c r="P5408" s="267" t="s">
        <v>3944</v>
      </c>
      <c r="Q5408" s="267" t="s">
        <v>3944</v>
      </c>
      <c r="R5408" s="267">
        <v>2014.43</v>
      </c>
      <c r="S5408" s="267">
        <v>11759.57</v>
      </c>
      <c r="T5408" s="267">
        <v>13774</v>
      </c>
      <c r="U5408" s="268" t="s">
        <v>3945</v>
      </c>
      <c r="V5408" s="267" t="s">
        <v>944</v>
      </c>
    </row>
    <row r="5409" spans="1:22" hidden="1" x14ac:dyDescent="0.25">
      <c r="A5409" s="269">
        <v>43724</v>
      </c>
      <c r="B5409" s="270">
        <v>2019</v>
      </c>
      <c r="C5409" s="270">
        <v>2020</v>
      </c>
      <c r="D5409" s="270">
        <v>1</v>
      </c>
      <c r="E5409" s="270">
        <v>1</v>
      </c>
      <c r="F5409" s="270" t="s">
        <v>944</v>
      </c>
      <c r="G5409" s="270" t="s">
        <v>3926</v>
      </c>
      <c r="H5409" s="270" t="s">
        <v>10073</v>
      </c>
      <c r="I5409" s="270" t="s">
        <v>953</v>
      </c>
      <c r="J5409" s="270" t="s">
        <v>3928</v>
      </c>
      <c r="K5409" s="270">
        <v>6517</v>
      </c>
      <c r="L5409" s="270">
        <v>165200</v>
      </c>
      <c r="M5409" s="270" t="s">
        <v>3943</v>
      </c>
      <c r="N5409" s="270" t="s">
        <v>3944</v>
      </c>
      <c r="O5409" s="270">
        <v>2002.63</v>
      </c>
      <c r="P5409" s="270" t="s">
        <v>3944</v>
      </c>
      <c r="Q5409" s="270" t="s">
        <v>3944</v>
      </c>
      <c r="R5409" s="270">
        <v>2002.63</v>
      </c>
      <c r="S5409" s="270">
        <v>19402.37</v>
      </c>
      <c r="T5409" s="270">
        <v>21405</v>
      </c>
      <c r="U5409" s="271" t="s">
        <v>3945</v>
      </c>
      <c r="V5409" s="267" t="s">
        <v>944</v>
      </c>
    </row>
    <row r="5410" spans="1:22" hidden="1" x14ac:dyDescent="0.25">
      <c r="A5410" s="266">
        <v>43724</v>
      </c>
      <c r="B5410" s="267">
        <v>2019</v>
      </c>
      <c r="C5410" s="267">
        <v>2020</v>
      </c>
      <c r="D5410" s="267">
        <v>1</v>
      </c>
      <c r="E5410" s="267">
        <v>1</v>
      </c>
      <c r="F5410" s="267" t="s">
        <v>944</v>
      </c>
      <c r="G5410" s="267" t="s">
        <v>3926</v>
      </c>
      <c r="H5410" s="267" t="s">
        <v>10074</v>
      </c>
      <c r="I5410" s="267" t="s">
        <v>4005</v>
      </c>
      <c r="J5410" s="267" t="s">
        <v>3928</v>
      </c>
      <c r="K5410" s="267">
        <v>6108</v>
      </c>
      <c r="L5410" s="267">
        <v>511400</v>
      </c>
      <c r="M5410" s="267" t="s">
        <v>3935</v>
      </c>
      <c r="N5410" s="267" t="s">
        <v>3944</v>
      </c>
      <c r="O5410" s="267">
        <v>865.48</v>
      </c>
      <c r="P5410" s="267" t="s">
        <v>3944</v>
      </c>
      <c r="Q5410" s="267" t="s">
        <v>3944</v>
      </c>
      <c r="R5410" s="267">
        <v>865.48</v>
      </c>
      <c r="S5410" s="267">
        <v>21179.07</v>
      </c>
      <c r="T5410" s="267">
        <v>22044.55</v>
      </c>
      <c r="U5410" s="268" t="s">
        <v>3945</v>
      </c>
      <c r="V5410" s="267" t="s">
        <v>944</v>
      </c>
    </row>
    <row r="5411" spans="1:22" x14ac:dyDescent="0.25">
      <c r="A5411" s="269">
        <v>43724</v>
      </c>
      <c r="B5411" s="270">
        <v>2019</v>
      </c>
      <c r="C5411" s="270">
        <v>2020</v>
      </c>
      <c r="D5411" s="270">
        <v>1</v>
      </c>
      <c r="E5411" s="270">
        <v>1</v>
      </c>
      <c r="F5411" s="270" t="s">
        <v>944</v>
      </c>
      <c r="G5411" s="270" t="s">
        <v>3926</v>
      </c>
      <c r="H5411" s="270" t="s">
        <v>10075</v>
      </c>
      <c r="I5411" s="270" t="s">
        <v>953</v>
      </c>
      <c r="J5411" s="270" t="s">
        <v>3928</v>
      </c>
      <c r="K5411" s="270">
        <v>6514</v>
      </c>
      <c r="L5411" s="270">
        <v>165500</v>
      </c>
      <c r="M5411" s="270">
        <v>-60</v>
      </c>
      <c r="N5411" s="270" t="s">
        <v>3944</v>
      </c>
      <c r="O5411" s="270">
        <v>1206.8399999999999</v>
      </c>
      <c r="P5411" s="270" t="s">
        <v>3944</v>
      </c>
      <c r="Q5411" s="270" t="s">
        <v>3944</v>
      </c>
      <c r="R5411" s="270">
        <v>1206.8399999999999</v>
      </c>
      <c r="S5411" s="270">
        <v>16783.240000000002</v>
      </c>
      <c r="T5411" s="270">
        <v>17990.080000000002</v>
      </c>
      <c r="U5411" s="271" t="s">
        <v>3945</v>
      </c>
      <c r="V5411" s="276" t="s">
        <v>936</v>
      </c>
    </row>
    <row r="5412" spans="1:22" hidden="1" x14ac:dyDescent="0.25">
      <c r="A5412" s="266">
        <v>43724</v>
      </c>
      <c r="B5412" s="267">
        <v>2019</v>
      </c>
      <c r="C5412" s="267">
        <v>2020</v>
      </c>
      <c r="D5412" s="267">
        <v>1</v>
      </c>
      <c r="E5412" s="267">
        <v>1</v>
      </c>
      <c r="F5412" s="267" t="s">
        <v>944</v>
      </c>
      <c r="G5412" s="267" t="s">
        <v>3926</v>
      </c>
      <c r="H5412" s="267" t="s">
        <v>10076</v>
      </c>
      <c r="I5412" s="267" t="s">
        <v>3025</v>
      </c>
      <c r="J5412" s="267" t="s">
        <v>3928</v>
      </c>
      <c r="K5412" s="267">
        <v>6473</v>
      </c>
      <c r="L5412" s="267">
        <v>167100</v>
      </c>
      <c r="M5412" s="267" t="s">
        <v>3943</v>
      </c>
      <c r="N5412" s="267" t="s">
        <v>3944</v>
      </c>
      <c r="O5412" s="267">
        <v>2943.99</v>
      </c>
      <c r="P5412" s="267" t="s">
        <v>3944</v>
      </c>
      <c r="Q5412" s="267" t="s">
        <v>3944</v>
      </c>
      <c r="R5412" s="267">
        <v>2943.99</v>
      </c>
      <c r="S5412" s="267">
        <v>33036.17</v>
      </c>
      <c r="T5412" s="267">
        <v>35980.160000000003</v>
      </c>
      <c r="U5412" s="268" t="s">
        <v>3945</v>
      </c>
      <c r="V5412" s="267" t="s">
        <v>944</v>
      </c>
    </row>
    <row r="5413" spans="1:22" hidden="1" x14ac:dyDescent="0.25">
      <c r="A5413" s="269">
        <v>43724</v>
      </c>
      <c r="B5413" s="270">
        <v>2019</v>
      </c>
      <c r="C5413" s="270">
        <v>2020</v>
      </c>
      <c r="D5413" s="270">
        <v>1</v>
      </c>
      <c r="E5413" s="270">
        <v>1</v>
      </c>
      <c r="F5413" s="270" t="s">
        <v>944</v>
      </c>
      <c r="G5413" s="270" t="s">
        <v>3926</v>
      </c>
      <c r="H5413" s="270" t="s">
        <v>10077</v>
      </c>
      <c r="I5413" s="270" t="s">
        <v>4323</v>
      </c>
      <c r="J5413" s="270" t="s">
        <v>3928</v>
      </c>
      <c r="K5413" s="270">
        <v>6375</v>
      </c>
      <c r="L5413" s="270">
        <v>695201</v>
      </c>
      <c r="M5413" s="270" t="s">
        <v>3935</v>
      </c>
      <c r="N5413" s="270" t="s">
        <v>3944</v>
      </c>
      <c r="O5413" s="270">
        <v>3013.89</v>
      </c>
      <c r="P5413" s="270" t="s">
        <v>3944</v>
      </c>
      <c r="Q5413" s="270" t="s">
        <v>3944</v>
      </c>
      <c r="R5413" s="270">
        <v>3013.89</v>
      </c>
      <c r="S5413" s="270">
        <v>46723.39</v>
      </c>
      <c r="T5413" s="270">
        <v>49737.279999999999</v>
      </c>
      <c r="U5413" s="271" t="s">
        <v>3945</v>
      </c>
      <c r="V5413" s="267" t="s">
        <v>944</v>
      </c>
    </row>
    <row r="5414" spans="1:22" hidden="1" x14ac:dyDescent="0.25">
      <c r="A5414" s="266">
        <v>43724</v>
      </c>
      <c r="B5414" s="267">
        <v>2019</v>
      </c>
      <c r="C5414" s="267">
        <v>2020</v>
      </c>
      <c r="D5414" s="267">
        <v>1</v>
      </c>
      <c r="E5414" s="267">
        <v>1</v>
      </c>
      <c r="F5414" s="267" t="s">
        <v>944</v>
      </c>
      <c r="G5414" s="267" t="s">
        <v>3926</v>
      </c>
      <c r="H5414" s="267" t="s">
        <v>10078</v>
      </c>
      <c r="I5414" s="267" t="s">
        <v>3999</v>
      </c>
      <c r="J5414" s="267" t="s">
        <v>3928</v>
      </c>
      <c r="K5414" s="267">
        <v>6450</v>
      </c>
      <c r="L5414" s="267">
        <v>171500</v>
      </c>
      <c r="M5414" s="267">
        <v>-60</v>
      </c>
      <c r="N5414" s="267" t="s">
        <v>3944</v>
      </c>
      <c r="O5414" s="267">
        <v>2509.92</v>
      </c>
      <c r="P5414" s="267" t="s">
        <v>3944</v>
      </c>
      <c r="Q5414" s="267" t="s">
        <v>3944</v>
      </c>
      <c r="R5414" s="267">
        <v>2509.92</v>
      </c>
      <c r="S5414" s="267">
        <v>39819.68</v>
      </c>
      <c r="T5414" s="267">
        <v>42329.599999999999</v>
      </c>
      <c r="U5414" s="268" t="s">
        <v>3945</v>
      </c>
      <c r="V5414" s="267" t="s">
        <v>944</v>
      </c>
    </row>
    <row r="5415" spans="1:22" hidden="1" x14ac:dyDescent="0.25">
      <c r="A5415" s="269">
        <v>43724</v>
      </c>
      <c r="B5415" s="270">
        <v>2019</v>
      </c>
      <c r="C5415" s="270">
        <v>2020</v>
      </c>
      <c r="D5415" s="270">
        <v>1</v>
      </c>
      <c r="E5415" s="270">
        <v>1</v>
      </c>
      <c r="F5415" s="270" t="s">
        <v>944</v>
      </c>
      <c r="G5415" s="270" t="s">
        <v>3926</v>
      </c>
      <c r="H5415" s="270" t="s">
        <v>10079</v>
      </c>
      <c r="I5415" s="270" t="s">
        <v>3009</v>
      </c>
      <c r="J5415" s="270" t="s">
        <v>3928</v>
      </c>
      <c r="K5415" s="270">
        <v>6484</v>
      </c>
      <c r="L5415" s="270">
        <v>110500</v>
      </c>
      <c r="M5415" s="270" t="s">
        <v>3943</v>
      </c>
      <c r="N5415" s="270" t="s">
        <v>3944</v>
      </c>
      <c r="O5415" s="270">
        <v>2544.96</v>
      </c>
      <c r="P5415" s="270" t="s">
        <v>3944</v>
      </c>
      <c r="Q5415" s="270" t="s">
        <v>3944</v>
      </c>
      <c r="R5415" s="270">
        <v>2544.96</v>
      </c>
      <c r="S5415" s="270">
        <v>39094.839999999997</v>
      </c>
      <c r="T5415" s="270">
        <v>41639.800000000003</v>
      </c>
      <c r="U5415" s="271" t="s">
        <v>3945</v>
      </c>
      <c r="V5415" s="267" t="s">
        <v>944</v>
      </c>
    </row>
    <row r="5416" spans="1:22" hidden="1" x14ac:dyDescent="0.25">
      <c r="A5416" s="266">
        <v>43724</v>
      </c>
      <c r="B5416" s="267">
        <v>2019</v>
      </c>
      <c r="C5416" s="267">
        <v>2020</v>
      </c>
      <c r="D5416" s="267">
        <v>1</v>
      </c>
      <c r="E5416" s="267">
        <v>1</v>
      </c>
      <c r="F5416" s="267" t="s">
        <v>944</v>
      </c>
      <c r="G5416" s="267" t="s">
        <v>3926</v>
      </c>
      <c r="H5416" s="267" t="s">
        <v>10080</v>
      </c>
      <c r="I5416" s="267" t="s">
        <v>3939</v>
      </c>
      <c r="J5416" s="267" t="s">
        <v>3928</v>
      </c>
      <c r="K5416" s="267">
        <v>6512</v>
      </c>
      <c r="L5416" s="267">
        <v>180100</v>
      </c>
      <c r="M5416" s="267" t="s">
        <v>3940</v>
      </c>
      <c r="N5416" s="267" t="s">
        <v>3944</v>
      </c>
      <c r="O5416" s="267">
        <v>1007.13</v>
      </c>
      <c r="P5416" s="267" t="s">
        <v>3944</v>
      </c>
      <c r="Q5416" s="267" t="s">
        <v>3944</v>
      </c>
      <c r="R5416" s="267">
        <v>1007.13</v>
      </c>
      <c r="S5416" s="267">
        <v>13808.23</v>
      </c>
      <c r="T5416" s="267">
        <v>14815.36</v>
      </c>
      <c r="U5416" s="268" t="s">
        <v>3945</v>
      </c>
      <c r="V5416" s="267" t="s">
        <v>944</v>
      </c>
    </row>
    <row r="5417" spans="1:22" hidden="1" x14ac:dyDescent="0.25">
      <c r="A5417" s="269">
        <v>43724</v>
      </c>
      <c r="B5417" s="270">
        <v>2019</v>
      </c>
      <c r="C5417" s="270">
        <v>2020</v>
      </c>
      <c r="D5417" s="270">
        <v>1</v>
      </c>
      <c r="E5417" s="270">
        <v>1</v>
      </c>
      <c r="F5417" s="270" t="s">
        <v>944</v>
      </c>
      <c r="G5417" s="270" t="s">
        <v>3926</v>
      </c>
      <c r="H5417" s="270" t="s">
        <v>10081</v>
      </c>
      <c r="I5417" s="270" t="s">
        <v>4269</v>
      </c>
      <c r="J5417" s="270" t="s">
        <v>3928</v>
      </c>
      <c r="K5417" s="270">
        <v>6110</v>
      </c>
      <c r="L5417" s="270">
        <v>496100</v>
      </c>
      <c r="M5417" s="270" t="s">
        <v>3940</v>
      </c>
      <c r="N5417" s="270" t="s">
        <v>3944</v>
      </c>
      <c r="O5417" s="270">
        <v>1501.54</v>
      </c>
      <c r="P5417" s="270" t="s">
        <v>3944</v>
      </c>
      <c r="Q5417" s="270" t="s">
        <v>3944</v>
      </c>
      <c r="R5417" s="270">
        <v>1501.54</v>
      </c>
      <c r="S5417" s="270">
        <v>18202.41</v>
      </c>
      <c r="T5417" s="270">
        <v>19703.95</v>
      </c>
      <c r="U5417" s="271" t="s">
        <v>3945</v>
      </c>
      <c r="V5417" s="267" t="s">
        <v>944</v>
      </c>
    </row>
    <row r="5418" spans="1:22" hidden="1" x14ac:dyDescent="0.25">
      <c r="A5418" s="266">
        <v>43724</v>
      </c>
      <c r="B5418" s="267">
        <v>2019</v>
      </c>
      <c r="C5418" s="267">
        <v>2020</v>
      </c>
      <c r="D5418" s="267">
        <v>1</v>
      </c>
      <c r="E5418" s="267">
        <v>1</v>
      </c>
      <c r="F5418" s="267" t="s">
        <v>944</v>
      </c>
      <c r="G5418" s="267" t="s">
        <v>3926</v>
      </c>
      <c r="H5418" s="267" t="s">
        <v>10082</v>
      </c>
      <c r="I5418" s="267" t="s">
        <v>3010</v>
      </c>
      <c r="J5418" s="267" t="s">
        <v>3928</v>
      </c>
      <c r="K5418" s="267">
        <v>6401</v>
      </c>
      <c r="L5418" s="267">
        <v>125400</v>
      </c>
      <c r="M5418" s="267">
        <v>-60</v>
      </c>
      <c r="N5418" s="267" t="s">
        <v>3944</v>
      </c>
      <c r="O5418" s="267">
        <v>514.54</v>
      </c>
      <c r="P5418" s="267" t="s">
        <v>3944</v>
      </c>
      <c r="Q5418" s="267" t="s">
        <v>3944</v>
      </c>
      <c r="R5418" s="267">
        <v>514.54</v>
      </c>
      <c r="S5418" s="267">
        <v>9192.36</v>
      </c>
      <c r="T5418" s="267">
        <v>9706.9</v>
      </c>
      <c r="U5418" s="268" t="s">
        <v>3945</v>
      </c>
      <c r="V5418" s="267" t="s">
        <v>944</v>
      </c>
    </row>
    <row r="5419" spans="1:22" hidden="1" x14ac:dyDescent="0.25">
      <c r="A5419" s="269">
        <v>43724</v>
      </c>
      <c r="B5419" s="270">
        <v>2019</v>
      </c>
      <c r="C5419" s="270">
        <v>2020</v>
      </c>
      <c r="D5419" s="270">
        <v>1</v>
      </c>
      <c r="E5419" s="270">
        <v>1</v>
      </c>
      <c r="F5419" s="270" t="s">
        <v>944</v>
      </c>
      <c r="G5419" s="270" t="s">
        <v>3926</v>
      </c>
      <c r="H5419" s="270" t="s">
        <v>10083</v>
      </c>
      <c r="I5419" s="270" t="s">
        <v>4239</v>
      </c>
      <c r="J5419" s="270" t="s">
        <v>3928</v>
      </c>
      <c r="K5419" s="270">
        <v>6032</v>
      </c>
      <c r="L5419" s="270">
        <v>460100</v>
      </c>
      <c r="M5419" s="270" t="s">
        <v>3960</v>
      </c>
      <c r="N5419" s="270" t="s">
        <v>3944</v>
      </c>
      <c r="O5419" s="270">
        <v>1809.12</v>
      </c>
      <c r="P5419" s="270" t="s">
        <v>3944</v>
      </c>
      <c r="Q5419" s="270" t="s">
        <v>3944</v>
      </c>
      <c r="R5419" s="270">
        <v>1809.12</v>
      </c>
      <c r="S5419" s="270">
        <v>28184.99</v>
      </c>
      <c r="T5419" s="270">
        <v>29994.11</v>
      </c>
      <c r="U5419" s="271" t="s">
        <v>3945</v>
      </c>
      <c r="V5419" s="267" t="s">
        <v>944</v>
      </c>
    </row>
    <row r="5420" spans="1:22" hidden="1" x14ac:dyDescent="0.25">
      <c r="A5420" s="266">
        <v>43724</v>
      </c>
      <c r="B5420" s="267">
        <v>2019</v>
      </c>
      <c r="C5420" s="267">
        <v>2020</v>
      </c>
      <c r="D5420" s="267">
        <v>1</v>
      </c>
      <c r="E5420" s="267">
        <v>1</v>
      </c>
      <c r="F5420" s="267" t="s">
        <v>944</v>
      </c>
      <c r="G5420" s="267" t="s">
        <v>3926</v>
      </c>
      <c r="H5420" s="267" t="s">
        <v>10084</v>
      </c>
      <c r="I5420" s="267" t="s">
        <v>4011</v>
      </c>
      <c r="J5420" s="267" t="s">
        <v>3928</v>
      </c>
      <c r="K5420" s="267">
        <v>6002</v>
      </c>
      <c r="L5420" s="267">
        <v>471300</v>
      </c>
      <c r="M5420" s="267" t="s">
        <v>3935</v>
      </c>
      <c r="N5420" s="267" t="s">
        <v>3944</v>
      </c>
      <c r="O5420" s="267">
        <v>1799.18</v>
      </c>
      <c r="P5420" s="267" t="s">
        <v>3944</v>
      </c>
      <c r="Q5420" s="267" t="s">
        <v>3944</v>
      </c>
      <c r="R5420" s="267">
        <v>1799.18</v>
      </c>
      <c r="S5420" s="267">
        <v>26610.44</v>
      </c>
      <c r="T5420" s="267">
        <v>28409.62</v>
      </c>
      <c r="U5420" s="268" t="s">
        <v>3945</v>
      </c>
      <c r="V5420" s="267" t="s">
        <v>944</v>
      </c>
    </row>
    <row r="5421" spans="1:22" hidden="1" x14ac:dyDescent="0.25">
      <c r="A5421" s="269">
        <v>43724</v>
      </c>
      <c r="B5421" s="270">
        <v>2019</v>
      </c>
      <c r="C5421" s="270">
        <v>2020</v>
      </c>
      <c r="D5421" s="270">
        <v>1</v>
      </c>
      <c r="E5421" s="270">
        <v>1</v>
      </c>
      <c r="F5421" s="270" t="s">
        <v>944</v>
      </c>
      <c r="G5421" s="270" t="s">
        <v>3926</v>
      </c>
      <c r="H5421" s="270" t="s">
        <v>10085</v>
      </c>
      <c r="I5421" s="270" t="s">
        <v>4147</v>
      </c>
      <c r="J5421" s="270" t="s">
        <v>3928</v>
      </c>
      <c r="K5421" s="270">
        <v>6109</v>
      </c>
      <c r="L5421" s="270">
        <v>492300</v>
      </c>
      <c r="M5421" s="270" t="s">
        <v>3940</v>
      </c>
      <c r="N5421" s="270" t="s">
        <v>3944</v>
      </c>
      <c r="O5421" s="270">
        <v>2290.6799999999998</v>
      </c>
      <c r="P5421" s="270" t="s">
        <v>3944</v>
      </c>
      <c r="Q5421" s="270" t="s">
        <v>3944</v>
      </c>
      <c r="R5421" s="270">
        <v>2290.6799999999998</v>
      </c>
      <c r="S5421" s="270">
        <v>30324.92</v>
      </c>
      <c r="T5421" s="270">
        <v>32615.599999999999</v>
      </c>
      <c r="U5421" s="271" t="s">
        <v>3945</v>
      </c>
      <c r="V5421" s="267" t="s">
        <v>944</v>
      </c>
    </row>
    <row r="5422" spans="1:22" hidden="1" x14ac:dyDescent="0.25">
      <c r="A5422" s="266">
        <v>43724</v>
      </c>
      <c r="B5422" s="267">
        <v>2019</v>
      </c>
      <c r="C5422" s="267">
        <v>2020</v>
      </c>
      <c r="D5422" s="267">
        <v>1</v>
      </c>
      <c r="E5422" s="267">
        <v>1</v>
      </c>
      <c r="F5422" s="267" t="s">
        <v>944</v>
      </c>
      <c r="G5422" s="267" t="s">
        <v>3926</v>
      </c>
      <c r="H5422" s="267" t="s">
        <v>10086</v>
      </c>
      <c r="I5422" s="267" t="s">
        <v>4269</v>
      </c>
      <c r="J5422" s="267" t="s">
        <v>3928</v>
      </c>
      <c r="K5422" s="267">
        <v>6119</v>
      </c>
      <c r="L5422" s="267">
        <v>496900</v>
      </c>
      <c r="M5422" s="267" t="s">
        <v>3960</v>
      </c>
      <c r="N5422" s="267" t="s">
        <v>3944</v>
      </c>
      <c r="O5422" s="267">
        <v>746.62</v>
      </c>
      <c r="P5422" s="267" t="s">
        <v>3944</v>
      </c>
      <c r="Q5422" s="267" t="s">
        <v>3944</v>
      </c>
      <c r="R5422" s="267">
        <v>746.62</v>
      </c>
      <c r="S5422" s="267">
        <v>10592.46</v>
      </c>
      <c r="T5422" s="267">
        <v>11339.08</v>
      </c>
      <c r="U5422" s="268" t="s">
        <v>3945</v>
      </c>
      <c r="V5422" s="267" t="s">
        <v>944</v>
      </c>
    </row>
    <row r="5423" spans="1:22" hidden="1" x14ac:dyDescent="0.25">
      <c r="A5423" s="269">
        <v>43724</v>
      </c>
      <c r="B5423" s="270">
        <v>2019</v>
      </c>
      <c r="C5423" s="270">
        <v>2020</v>
      </c>
      <c r="D5423" s="270">
        <v>1</v>
      </c>
      <c r="E5423" s="270">
        <v>1</v>
      </c>
      <c r="F5423" s="270" t="s">
        <v>944</v>
      </c>
      <c r="G5423" s="270" t="s">
        <v>3926</v>
      </c>
      <c r="H5423" s="270" t="s">
        <v>10087</v>
      </c>
      <c r="I5423" s="270" t="s">
        <v>3968</v>
      </c>
      <c r="J5423" s="270" t="s">
        <v>3928</v>
      </c>
      <c r="K5423" s="270">
        <v>6040</v>
      </c>
      <c r="L5423" s="270">
        <v>514700</v>
      </c>
      <c r="M5423" s="270">
        <v>-60</v>
      </c>
      <c r="N5423" s="270" t="s">
        <v>3944</v>
      </c>
      <c r="O5423" s="270">
        <v>883.72</v>
      </c>
      <c r="P5423" s="270" t="s">
        <v>3944</v>
      </c>
      <c r="Q5423" s="270" t="s">
        <v>3944</v>
      </c>
      <c r="R5423" s="270">
        <v>883.72</v>
      </c>
      <c r="S5423" s="270">
        <v>12238.9</v>
      </c>
      <c r="T5423" s="270">
        <v>13122.62</v>
      </c>
      <c r="U5423" s="271" t="s">
        <v>3945</v>
      </c>
      <c r="V5423" s="267" t="s">
        <v>944</v>
      </c>
    </row>
    <row r="5424" spans="1:22" hidden="1" x14ac:dyDescent="0.25">
      <c r="A5424" s="266">
        <v>43724</v>
      </c>
      <c r="B5424" s="267">
        <v>2019</v>
      </c>
      <c r="C5424" s="267">
        <v>2020</v>
      </c>
      <c r="D5424" s="267">
        <v>1</v>
      </c>
      <c r="E5424" s="267">
        <v>1</v>
      </c>
      <c r="F5424" s="267" t="s">
        <v>944</v>
      </c>
      <c r="G5424" s="267" t="s">
        <v>3926</v>
      </c>
      <c r="H5424" s="267" t="s">
        <v>10088</v>
      </c>
      <c r="I5424" s="267" t="s">
        <v>3956</v>
      </c>
      <c r="J5424" s="267" t="s">
        <v>3928</v>
      </c>
      <c r="K5424" s="267">
        <v>6112</v>
      </c>
      <c r="L5424" s="267">
        <v>501500</v>
      </c>
      <c r="M5424" s="267">
        <v>-60</v>
      </c>
      <c r="N5424" s="267" t="s">
        <v>3944</v>
      </c>
      <c r="O5424" s="267">
        <v>637.53</v>
      </c>
      <c r="P5424" s="267" t="s">
        <v>3944</v>
      </c>
      <c r="Q5424" s="267" t="s">
        <v>3944</v>
      </c>
      <c r="R5424" s="267">
        <v>637.53</v>
      </c>
      <c r="S5424" s="267">
        <v>10440.25</v>
      </c>
      <c r="T5424" s="267">
        <v>11077.78</v>
      </c>
      <c r="U5424" s="268" t="s">
        <v>3945</v>
      </c>
      <c r="V5424" s="267" t="s">
        <v>944</v>
      </c>
    </row>
    <row r="5425" spans="1:22" hidden="1" x14ac:dyDescent="0.25">
      <c r="A5425" s="269">
        <v>43724</v>
      </c>
      <c r="B5425" s="270">
        <v>2019</v>
      </c>
      <c r="C5425" s="270">
        <v>2020</v>
      </c>
      <c r="D5425" s="270">
        <v>1</v>
      </c>
      <c r="E5425" s="270">
        <v>1</v>
      </c>
      <c r="F5425" s="270" t="s">
        <v>944</v>
      </c>
      <c r="G5425" s="270" t="s">
        <v>3926</v>
      </c>
      <c r="H5425" s="270" t="s">
        <v>10089</v>
      </c>
      <c r="I5425" s="270" t="s">
        <v>4108</v>
      </c>
      <c r="J5425" s="270" t="s">
        <v>3928</v>
      </c>
      <c r="K5425" s="270">
        <v>6082</v>
      </c>
      <c r="L5425" s="270">
        <v>480900</v>
      </c>
      <c r="M5425" s="270" t="s">
        <v>3960</v>
      </c>
      <c r="N5425" s="270" t="s">
        <v>3944</v>
      </c>
      <c r="O5425" s="270">
        <v>2140.7399999999998</v>
      </c>
      <c r="P5425" s="270" t="s">
        <v>3944</v>
      </c>
      <c r="Q5425" s="270" t="s">
        <v>3944</v>
      </c>
      <c r="R5425" s="270">
        <v>2140.7399999999998</v>
      </c>
      <c r="S5425" s="270">
        <v>25598.79</v>
      </c>
      <c r="T5425" s="270">
        <v>27739.53</v>
      </c>
      <c r="U5425" s="271" t="s">
        <v>3945</v>
      </c>
      <c r="V5425" s="267" t="s">
        <v>944</v>
      </c>
    </row>
    <row r="5426" spans="1:22" hidden="1" x14ac:dyDescent="0.25">
      <c r="A5426" s="266">
        <v>43724</v>
      </c>
      <c r="B5426" s="267">
        <v>2019</v>
      </c>
      <c r="C5426" s="267">
        <v>2020</v>
      </c>
      <c r="D5426" s="267">
        <v>1</v>
      </c>
      <c r="E5426" s="267">
        <v>1</v>
      </c>
      <c r="F5426" s="267" t="s">
        <v>944</v>
      </c>
      <c r="G5426" s="267" t="s">
        <v>3926</v>
      </c>
      <c r="H5426" s="267" t="s">
        <v>10090</v>
      </c>
      <c r="I5426" s="267" t="s">
        <v>3956</v>
      </c>
      <c r="J5426" s="267" t="s">
        <v>3928</v>
      </c>
      <c r="K5426" s="267">
        <v>6112</v>
      </c>
      <c r="L5426" s="267">
        <v>503900</v>
      </c>
      <c r="M5426" s="267">
        <v>-60</v>
      </c>
      <c r="N5426" s="267" t="s">
        <v>3944</v>
      </c>
      <c r="O5426" s="267">
        <v>593.15</v>
      </c>
      <c r="P5426" s="267" t="s">
        <v>3944</v>
      </c>
      <c r="Q5426" s="267" t="s">
        <v>3944</v>
      </c>
      <c r="R5426" s="267">
        <v>593.15</v>
      </c>
      <c r="S5426" s="267">
        <v>8604.7000000000007</v>
      </c>
      <c r="T5426" s="267">
        <v>9197.85</v>
      </c>
      <c r="U5426" s="268" t="s">
        <v>3945</v>
      </c>
      <c r="V5426" s="267" t="s">
        <v>944</v>
      </c>
    </row>
    <row r="5427" spans="1:22" hidden="1" x14ac:dyDescent="0.25">
      <c r="A5427" s="269">
        <v>43724</v>
      </c>
      <c r="B5427" s="270">
        <v>2019</v>
      </c>
      <c r="C5427" s="270">
        <v>2020</v>
      </c>
      <c r="D5427" s="270">
        <v>1</v>
      </c>
      <c r="E5427" s="270">
        <v>1</v>
      </c>
      <c r="F5427" s="270" t="s">
        <v>944</v>
      </c>
      <c r="G5427" s="270" t="s">
        <v>3926</v>
      </c>
      <c r="H5427" s="270" t="s">
        <v>10091</v>
      </c>
      <c r="I5427" s="270" t="s">
        <v>3975</v>
      </c>
      <c r="J5427" s="270" t="s">
        <v>3928</v>
      </c>
      <c r="K5427" s="270">
        <v>6489</v>
      </c>
      <c r="L5427" s="270">
        <v>430202</v>
      </c>
      <c r="M5427" s="270" t="s">
        <v>3943</v>
      </c>
      <c r="N5427" s="270" t="s">
        <v>3944</v>
      </c>
      <c r="O5427" s="270">
        <v>2440.4499999999998</v>
      </c>
      <c r="P5427" s="270" t="s">
        <v>3944</v>
      </c>
      <c r="Q5427" s="270" t="s">
        <v>3944</v>
      </c>
      <c r="R5427" s="270">
        <v>2440.4499999999998</v>
      </c>
      <c r="S5427" s="270">
        <v>35047.25</v>
      </c>
      <c r="T5427" s="270">
        <v>37487.699999999997</v>
      </c>
      <c r="U5427" s="271" t="s">
        <v>3945</v>
      </c>
      <c r="V5427" s="267" t="s">
        <v>944</v>
      </c>
    </row>
    <row r="5428" spans="1:22" hidden="1" x14ac:dyDescent="0.25">
      <c r="A5428" s="266">
        <v>43724</v>
      </c>
      <c r="B5428" s="267">
        <v>2019</v>
      </c>
      <c r="C5428" s="267">
        <v>2020</v>
      </c>
      <c r="D5428" s="267">
        <v>1</v>
      </c>
      <c r="E5428" s="267">
        <v>1</v>
      </c>
      <c r="F5428" s="267" t="s">
        <v>944</v>
      </c>
      <c r="G5428" s="267" t="s">
        <v>3926</v>
      </c>
      <c r="H5428" s="267" t="s">
        <v>10092</v>
      </c>
      <c r="I5428" s="267" t="s">
        <v>4293</v>
      </c>
      <c r="J5428" s="267" t="s">
        <v>3928</v>
      </c>
      <c r="K5428" s="267">
        <v>6412</v>
      </c>
      <c r="L5428" s="267">
        <v>600100</v>
      </c>
      <c r="M5428" s="267" t="s">
        <v>3960</v>
      </c>
      <c r="N5428" s="267" t="s">
        <v>3944</v>
      </c>
      <c r="O5428" s="267">
        <v>2674.18</v>
      </c>
      <c r="P5428" s="267" t="s">
        <v>3944</v>
      </c>
      <c r="Q5428" s="267" t="s">
        <v>3944</v>
      </c>
      <c r="R5428" s="267">
        <v>2674.18</v>
      </c>
      <c r="S5428" s="267">
        <v>45335.02</v>
      </c>
      <c r="T5428" s="267">
        <v>48009.2</v>
      </c>
      <c r="U5428" s="268" t="s">
        <v>3945</v>
      </c>
      <c r="V5428" s="267" t="s">
        <v>944</v>
      </c>
    </row>
    <row r="5429" spans="1:22" hidden="1" x14ac:dyDescent="0.25">
      <c r="A5429" s="269">
        <v>43724</v>
      </c>
      <c r="B5429" s="270">
        <v>2019</v>
      </c>
      <c r="C5429" s="270">
        <v>2020</v>
      </c>
      <c r="D5429" s="270">
        <v>1</v>
      </c>
      <c r="E5429" s="270">
        <v>1</v>
      </c>
      <c r="F5429" s="270" t="s">
        <v>944</v>
      </c>
      <c r="G5429" s="270" t="s">
        <v>3926</v>
      </c>
      <c r="H5429" s="270" t="s">
        <v>10093</v>
      </c>
      <c r="I5429" s="270" t="s">
        <v>953</v>
      </c>
      <c r="J5429" s="270" t="s">
        <v>3928</v>
      </c>
      <c r="K5429" s="270">
        <v>6518</v>
      </c>
      <c r="L5429" s="270">
        <v>165900</v>
      </c>
      <c r="M5429" s="270" t="s">
        <v>3943</v>
      </c>
      <c r="N5429" s="270" t="s">
        <v>3944</v>
      </c>
      <c r="O5429" s="270">
        <v>4789.1899999999996</v>
      </c>
      <c r="P5429" s="270" t="s">
        <v>3944</v>
      </c>
      <c r="Q5429" s="270" t="s">
        <v>3944</v>
      </c>
      <c r="R5429" s="270">
        <v>4789.1899999999996</v>
      </c>
      <c r="S5429" s="270">
        <v>60881.5</v>
      </c>
      <c r="T5429" s="270">
        <v>65670.69</v>
      </c>
      <c r="U5429" s="271" t="s">
        <v>3945</v>
      </c>
      <c r="V5429" s="267" t="s">
        <v>944</v>
      </c>
    </row>
    <row r="5430" spans="1:22" hidden="1" x14ac:dyDescent="0.25">
      <c r="A5430" s="266">
        <v>43724</v>
      </c>
      <c r="B5430" s="267">
        <v>2019</v>
      </c>
      <c r="C5430" s="267">
        <v>2020</v>
      </c>
      <c r="D5430" s="267">
        <v>1</v>
      </c>
      <c r="E5430" s="267">
        <v>1</v>
      </c>
      <c r="F5430" s="267" t="s">
        <v>944</v>
      </c>
      <c r="G5430" s="267" t="s">
        <v>3926</v>
      </c>
      <c r="H5430" s="267" t="s">
        <v>10094</v>
      </c>
      <c r="I5430" s="267" t="s">
        <v>4407</v>
      </c>
      <c r="J5430" s="267" t="s">
        <v>3928</v>
      </c>
      <c r="K5430" s="267">
        <v>6238</v>
      </c>
      <c r="L5430" s="267">
        <v>850100</v>
      </c>
      <c r="M5430" s="267" t="s">
        <v>3960</v>
      </c>
      <c r="N5430" s="267" t="s">
        <v>3944</v>
      </c>
      <c r="O5430" s="267">
        <v>2283.02</v>
      </c>
      <c r="P5430" s="267" t="s">
        <v>3944</v>
      </c>
      <c r="Q5430" s="267" t="s">
        <v>3944</v>
      </c>
      <c r="R5430" s="267">
        <v>2283.02</v>
      </c>
      <c r="S5430" s="267">
        <v>35838.78</v>
      </c>
      <c r="T5430" s="267">
        <v>38121.800000000003</v>
      </c>
      <c r="U5430" s="268" t="s">
        <v>3945</v>
      </c>
      <c r="V5430" s="267" t="s">
        <v>944</v>
      </c>
    </row>
    <row r="5431" spans="1:22" hidden="1" x14ac:dyDescent="0.25">
      <c r="A5431" s="269">
        <v>43724</v>
      </c>
      <c r="B5431" s="270">
        <v>2019</v>
      </c>
      <c r="C5431" s="270">
        <v>2020</v>
      </c>
      <c r="D5431" s="270">
        <v>1</v>
      </c>
      <c r="E5431" s="270">
        <v>1</v>
      </c>
      <c r="F5431" s="270" t="s">
        <v>944</v>
      </c>
      <c r="G5431" s="270" t="s">
        <v>3926</v>
      </c>
      <c r="H5431" s="270" t="s">
        <v>10095</v>
      </c>
      <c r="I5431" s="270" t="s">
        <v>4147</v>
      </c>
      <c r="J5431" s="270" t="s">
        <v>3928</v>
      </c>
      <c r="K5431" s="270">
        <v>6109</v>
      </c>
      <c r="L5431" s="270">
        <v>492200</v>
      </c>
      <c r="M5431" s="270" t="s">
        <v>3960</v>
      </c>
      <c r="N5431" s="270" t="s">
        <v>3944</v>
      </c>
      <c r="O5431" s="270">
        <v>1012.31</v>
      </c>
      <c r="P5431" s="270" t="s">
        <v>3944</v>
      </c>
      <c r="Q5431" s="270" t="s">
        <v>3944</v>
      </c>
      <c r="R5431" s="270">
        <v>1012.31</v>
      </c>
      <c r="S5431" s="270">
        <v>14218.32</v>
      </c>
      <c r="T5431" s="270">
        <v>15230.63</v>
      </c>
      <c r="U5431" s="271" t="s">
        <v>3945</v>
      </c>
      <c r="V5431" s="267" t="s">
        <v>944</v>
      </c>
    </row>
    <row r="5432" spans="1:22" hidden="1" x14ac:dyDescent="0.25">
      <c r="A5432" s="266">
        <v>43724</v>
      </c>
      <c r="B5432" s="267">
        <v>2019</v>
      </c>
      <c r="C5432" s="267">
        <v>2020</v>
      </c>
      <c r="D5432" s="267">
        <v>1</v>
      </c>
      <c r="E5432" s="267">
        <v>1</v>
      </c>
      <c r="F5432" s="267" t="s">
        <v>944</v>
      </c>
      <c r="G5432" s="267" t="s">
        <v>3926</v>
      </c>
      <c r="H5432" s="267" t="s">
        <v>10096</v>
      </c>
      <c r="I5432" s="267" t="s">
        <v>3954</v>
      </c>
      <c r="J5432" s="267" t="s">
        <v>3928</v>
      </c>
      <c r="K5432" s="267">
        <v>6333</v>
      </c>
      <c r="L5432" s="267">
        <v>716101</v>
      </c>
      <c r="M5432" s="267" t="s">
        <v>3935</v>
      </c>
      <c r="N5432" s="267" t="s">
        <v>3944</v>
      </c>
      <c r="O5432" s="267">
        <v>1600.9</v>
      </c>
      <c r="P5432" s="267" t="s">
        <v>3944</v>
      </c>
      <c r="Q5432" s="267" t="s">
        <v>3944</v>
      </c>
      <c r="R5432" s="267">
        <v>1600.9</v>
      </c>
      <c r="S5432" s="267">
        <v>24205.34</v>
      </c>
      <c r="T5432" s="267">
        <v>25806.240000000002</v>
      </c>
      <c r="U5432" s="268" t="s">
        <v>3945</v>
      </c>
      <c r="V5432" s="267" t="s">
        <v>944</v>
      </c>
    </row>
    <row r="5433" spans="1:22" hidden="1" x14ac:dyDescent="0.25">
      <c r="A5433" s="269">
        <v>43724</v>
      </c>
      <c r="B5433" s="270">
        <v>2019</v>
      </c>
      <c r="C5433" s="270">
        <v>2020</v>
      </c>
      <c r="D5433" s="270">
        <v>1</v>
      </c>
      <c r="E5433" s="270">
        <v>1</v>
      </c>
      <c r="F5433" s="270" t="s">
        <v>944</v>
      </c>
      <c r="G5433" s="270" t="s">
        <v>3926</v>
      </c>
      <c r="H5433" s="270" t="s">
        <v>10097</v>
      </c>
      <c r="I5433" s="270" t="s">
        <v>3993</v>
      </c>
      <c r="J5433" s="270" t="s">
        <v>3928</v>
      </c>
      <c r="K5433" s="270">
        <v>6415</v>
      </c>
      <c r="L5433" s="270">
        <v>714103</v>
      </c>
      <c r="M5433" s="270" t="s">
        <v>3943</v>
      </c>
      <c r="N5433" s="270" t="s">
        <v>3944</v>
      </c>
      <c r="O5433" s="270">
        <v>2536.4499999999998</v>
      </c>
      <c r="P5433" s="270" t="s">
        <v>3944</v>
      </c>
      <c r="Q5433" s="270" t="s">
        <v>3944</v>
      </c>
      <c r="R5433" s="270">
        <v>2536.4499999999998</v>
      </c>
      <c r="S5433" s="270">
        <v>36850.550000000003</v>
      </c>
      <c r="T5433" s="270">
        <v>39387</v>
      </c>
      <c r="U5433" s="271" t="s">
        <v>3945</v>
      </c>
      <c r="V5433" s="267" t="s">
        <v>944</v>
      </c>
    </row>
    <row r="5434" spans="1:22" hidden="1" x14ac:dyDescent="0.25">
      <c r="A5434" s="266">
        <v>43724</v>
      </c>
      <c r="B5434" s="267">
        <v>2019</v>
      </c>
      <c r="C5434" s="267">
        <v>2020</v>
      </c>
      <c r="D5434" s="267">
        <v>1</v>
      </c>
      <c r="E5434" s="267">
        <v>1</v>
      </c>
      <c r="F5434" s="267" t="s">
        <v>944</v>
      </c>
      <c r="G5434" s="267" t="s">
        <v>3926</v>
      </c>
      <c r="H5434" s="267" t="s">
        <v>10098</v>
      </c>
      <c r="I5434" s="267" t="s">
        <v>3012</v>
      </c>
      <c r="J5434" s="267" t="s">
        <v>3928</v>
      </c>
      <c r="K5434" s="267">
        <v>6477</v>
      </c>
      <c r="L5434" s="267">
        <v>157100</v>
      </c>
      <c r="M5434" s="267" t="s">
        <v>3940</v>
      </c>
      <c r="N5434" s="267" t="s">
        <v>3944</v>
      </c>
      <c r="O5434" s="267">
        <v>1885.24</v>
      </c>
      <c r="P5434" s="267" t="s">
        <v>3944</v>
      </c>
      <c r="Q5434" s="267" t="s">
        <v>3944</v>
      </c>
      <c r="R5434" s="267">
        <v>1885.24</v>
      </c>
      <c r="S5434" s="267">
        <v>23512.52</v>
      </c>
      <c r="T5434" s="267">
        <v>25397.759999999998</v>
      </c>
      <c r="U5434" s="268" t="s">
        <v>3945</v>
      </c>
      <c r="V5434" s="267" t="s">
        <v>944</v>
      </c>
    </row>
    <row r="5435" spans="1:22" hidden="1" x14ac:dyDescent="0.25">
      <c r="A5435" s="269">
        <v>43724</v>
      </c>
      <c r="B5435" s="270">
        <v>2019</v>
      </c>
      <c r="C5435" s="270">
        <v>2020</v>
      </c>
      <c r="D5435" s="270">
        <v>1</v>
      </c>
      <c r="E5435" s="270">
        <v>1</v>
      </c>
      <c r="F5435" s="270" t="s">
        <v>944</v>
      </c>
      <c r="G5435" s="270" t="s">
        <v>3926</v>
      </c>
      <c r="H5435" s="270" t="s">
        <v>10099</v>
      </c>
      <c r="I5435" s="270" t="s">
        <v>2985</v>
      </c>
      <c r="J5435" s="270" t="s">
        <v>3928</v>
      </c>
      <c r="K5435" s="270">
        <v>6825</v>
      </c>
      <c r="L5435" s="270">
        <v>60100</v>
      </c>
      <c r="M5435" s="270" t="s">
        <v>3943</v>
      </c>
      <c r="N5435" s="270" t="s">
        <v>3944</v>
      </c>
      <c r="O5435" s="270">
        <v>2334.64</v>
      </c>
      <c r="P5435" s="270" t="s">
        <v>3944</v>
      </c>
      <c r="Q5435" s="270" t="s">
        <v>3944</v>
      </c>
      <c r="R5435" s="270">
        <v>2334.64</v>
      </c>
      <c r="S5435" s="270">
        <v>35811.980000000003</v>
      </c>
      <c r="T5435" s="270">
        <v>38146.620000000003</v>
      </c>
      <c r="U5435" s="271" t="s">
        <v>3945</v>
      </c>
      <c r="V5435" s="267" t="s">
        <v>944</v>
      </c>
    </row>
    <row r="5436" spans="1:22" hidden="1" x14ac:dyDescent="0.25">
      <c r="A5436" s="266">
        <v>43724</v>
      </c>
      <c r="B5436" s="267">
        <v>2019</v>
      </c>
      <c r="C5436" s="267">
        <v>2020</v>
      </c>
      <c r="D5436" s="267">
        <v>1</v>
      </c>
      <c r="E5436" s="267">
        <v>1</v>
      </c>
      <c r="F5436" s="267" t="s">
        <v>944</v>
      </c>
      <c r="G5436" s="267" t="s">
        <v>3926</v>
      </c>
      <c r="H5436" s="267" t="s">
        <v>10100</v>
      </c>
      <c r="I5436" s="267" t="s">
        <v>4147</v>
      </c>
      <c r="J5436" s="267" t="s">
        <v>3928</v>
      </c>
      <c r="K5436" s="267">
        <v>6109</v>
      </c>
      <c r="L5436" s="267">
        <v>492200</v>
      </c>
      <c r="M5436" s="267" t="s">
        <v>3960</v>
      </c>
      <c r="N5436" s="267" t="s">
        <v>3944</v>
      </c>
      <c r="O5436" s="267">
        <v>1677.2</v>
      </c>
      <c r="P5436" s="267" t="s">
        <v>3944</v>
      </c>
      <c r="Q5436" s="267" t="s">
        <v>3944</v>
      </c>
      <c r="R5436" s="267">
        <v>1677.2</v>
      </c>
      <c r="S5436" s="267">
        <v>24096.42</v>
      </c>
      <c r="T5436" s="267">
        <v>25773.62</v>
      </c>
      <c r="U5436" s="268" t="s">
        <v>3945</v>
      </c>
      <c r="V5436" s="267" t="s">
        <v>944</v>
      </c>
    </row>
    <row r="5437" spans="1:22" hidden="1" x14ac:dyDescent="0.25">
      <c r="A5437" s="269">
        <v>43724</v>
      </c>
      <c r="B5437" s="270">
        <v>2019</v>
      </c>
      <c r="C5437" s="270">
        <v>2020</v>
      </c>
      <c r="D5437" s="270">
        <v>1</v>
      </c>
      <c r="E5437" s="270">
        <v>1</v>
      </c>
      <c r="F5437" s="270" t="s">
        <v>944</v>
      </c>
      <c r="G5437" s="270" t="s">
        <v>3926</v>
      </c>
      <c r="H5437" s="270" t="s">
        <v>10101</v>
      </c>
      <c r="I5437" s="270" t="s">
        <v>4353</v>
      </c>
      <c r="J5437" s="270" t="s">
        <v>3928</v>
      </c>
      <c r="K5437" s="270">
        <v>6416</v>
      </c>
      <c r="L5437" s="270">
        <v>570100</v>
      </c>
      <c r="M5437" s="270" t="s">
        <v>3960</v>
      </c>
      <c r="N5437" s="270" t="s">
        <v>3944</v>
      </c>
      <c r="O5437" s="270">
        <v>2097.8000000000002</v>
      </c>
      <c r="P5437" s="270" t="s">
        <v>3944</v>
      </c>
      <c r="Q5437" s="270" t="s">
        <v>3944</v>
      </c>
      <c r="R5437" s="270">
        <v>2097.8000000000002</v>
      </c>
      <c r="S5437" s="270">
        <v>30764.09</v>
      </c>
      <c r="T5437" s="270">
        <v>32861.89</v>
      </c>
      <c r="U5437" s="271" t="s">
        <v>3945</v>
      </c>
      <c r="V5437" s="267" t="s">
        <v>944</v>
      </c>
    </row>
    <row r="5438" spans="1:22" hidden="1" x14ac:dyDescent="0.25">
      <c r="A5438" s="266">
        <v>43724</v>
      </c>
      <c r="B5438" s="267">
        <v>2019</v>
      </c>
      <c r="C5438" s="267">
        <v>2020</v>
      </c>
      <c r="D5438" s="267">
        <v>1</v>
      </c>
      <c r="E5438" s="267">
        <v>1</v>
      </c>
      <c r="F5438" s="267" t="s">
        <v>944</v>
      </c>
      <c r="G5438" s="267" t="s">
        <v>3926</v>
      </c>
      <c r="H5438" s="267" t="s">
        <v>10102</v>
      </c>
      <c r="I5438" s="267" t="s">
        <v>4548</v>
      </c>
      <c r="J5438" s="267" t="s">
        <v>3928</v>
      </c>
      <c r="K5438" s="267">
        <v>6037</v>
      </c>
      <c r="L5438" s="267">
        <v>400300</v>
      </c>
      <c r="M5438" s="267" t="s">
        <v>3960</v>
      </c>
      <c r="N5438" s="267" t="s">
        <v>3944</v>
      </c>
      <c r="O5438" s="267">
        <v>1661.66</v>
      </c>
      <c r="P5438" s="267" t="s">
        <v>3944</v>
      </c>
      <c r="Q5438" s="267" t="s">
        <v>3944</v>
      </c>
      <c r="R5438" s="267">
        <v>1661.66</v>
      </c>
      <c r="S5438" s="267">
        <v>23601.21</v>
      </c>
      <c r="T5438" s="267">
        <v>25262.87</v>
      </c>
      <c r="U5438" s="268" t="s">
        <v>3945</v>
      </c>
      <c r="V5438" s="267" t="s">
        <v>944</v>
      </c>
    </row>
    <row r="5439" spans="1:22" hidden="1" x14ac:dyDescent="0.25">
      <c r="A5439" s="269">
        <v>43724</v>
      </c>
      <c r="B5439" s="270">
        <v>2019</v>
      </c>
      <c r="C5439" s="270">
        <v>2020</v>
      </c>
      <c r="D5439" s="270">
        <v>1</v>
      </c>
      <c r="E5439" s="270">
        <v>1</v>
      </c>
      <c r="F5439" s="270" t="s">
        <v>944</v>
      </c>
      <c r="G5439" s="270" t="s">
        <v>3926</v>
      </c>
      <c r="H5439" s="270" t="s">
        <v>10103</v>
      </c>
      <c r="I5439" s="270" t="s">
        <v>4147</v>
      </c>
      <c r="J5439" s="270" t="s">
        <v>3928</v>
      </c>
      <c r="K5439" s="270">
        <v>6109</v>
      </c>
      <c r="L5439" s="270">
        <v>492200</v>
      </c>
      <c r="M5439" s="270" t="s">
        <v>3960</v>
      </c>
      <c r="N5439" s="270" t="s">
        <v>3944</v>
      </c>
      <c r="O5439" s="270">
        <v>2255.65</v>
      </c>
      <c r="P5439" s="270" t="s">
        <v>3944</v>
      </c>
      <c r="Q5439" s="270" t="s">
        <v>3944</v>
      </c>
      <c r="R5439" s="270">
        <v>2255.65</v>
      </c>
      <c r="S5439" s="270">
        <v>30877.86</v>
      </c>
      <c r="T5439" s="270">
        <v>33133.51</v>
      </c>
      <c r="U5439" s="271" t="s">
        <v>3945</v>
      </c>
      <c r="V5439" s="267" t="s">
        <v>944</v>
      </c>
    </row>
    <row r="5440" spans="1:22" hidden="1" x14ac:dyDescent="0.25">
      <c r="A5440" s="266">
        <v>43724</v>
      </c>
      <c r="B5440" s="267">
        <v>2019</v>
      </c>
      <c r="C5440" s="267">
        <v>2020</v>
      </c>
      <c r="D5440" s="267">
        <v>1</v>
      </c>
      <c r="E5440" s="267">
        <v>1</v>
      </c>
      <c r="F5440" s="267" t="s">
        <v>944</v>
      </c>
      <c r="G5440" s="267" t="s">
        <v>3926</v>
      </c>
      <c r="H5440" s="267" t="s">
        <v>10104</v>
      </c>
      <c r="I5440" s="267" t="s">
        <v>4695</v>
      </c>
      <c r="J5440" s="267" t="s">
        <v>3928</v>
      </c>
      <c r="K5440" s="267">
        <v>6234</v>
      </c>
      <c r="L5440" s="267">
        <v>905100</v>
      </c>
      <c r="M5440" s="267" t="s">
        <v>3935</v>
      </c>
      <c r="N5440" s="267" t="s">
        <v>3944</v>
      </c>
      <c r="O5440" s="267">
        <v>1911.14</v>
      </c>
      <c r="P5440" s="267" t="s">
        <v>3944</v>
      </c>
      <c r="Q5440" s="267" t="s">
        <v>3944</v>
      </c>
      <c r="R5440" s="267">
        <v>1911.14</v>
      </c>
      <c r="S5440" s="267">
        <v>28754.11</v>
      </c>
      <c r="T5440" s="267">
        <v>30665.25</v>
      </c>
      <c r="U5440" s="268" t="s">
        <v>3945</v>
      </c>
      <c r="V5440" s="267" t="s">
        <v>944</v>
      </c>
    </row>
    <row r="5441" spans="1:22" hidden="1" x14ac:dyDescent="0.25">
      <c r="A5441" s="269">
        <v>43724</v>
      </c>
      <c r="B5441" s="270">
        <v>2019</v>
      </c>
      <c r="C5441" s="270">
        <v>2020</v>
      </c>
      <c r="D5441" s="270">
        <v>1</v>
      </c>
      <c r="E5441" s="270">
        <v>1</v>
      </c>
      <c r="F5441" s="270" t="s">
        <v>944</v>
      </c>
      <c r="G5441" s="270" t="s">
        <v>3926</v>
      </c>
      <c r="H5441" s="270" t="s">
        <v>10105</v>
      </c>
      <c r="I5441" s="270" t="s">
        <v>3939</v>
      </c>
      <c r="J5441" s="270" t="s">
        <v>3928</v>
      </c>
      <c r="K5441" s="270">
        <v>6512</v>
      </c>
      <c r="L5441" s="270">
        <v>180300</v>
      </c>
      <c r="M5441" s="270">
        <v>-60</v>
      </c>
      <c r="N5441" s="270" t="s">
        <v>3944</v>
      </c>
      <c r="O5441" s="270">
        <v>1071.42</v>
      </c>
      <c r="P5441" s="270" t="s">
        <v>3944</v>
      </c>
      <c r="Q5441" s="270" t="s">
        <v>3944</v>
      </c>
      <c r="R5441" s="270">
        <v>1071.42</v>
      </c>
      <c r="S5441" s="270">
        <v>16747.22</v>
      </c>
      <c r="T5441" s="270">
        <v>17818.64</v>
      </c>
      <c r="U5441" s="271" t="s">
        <v>3945</v>
      </c>
      <c r="V5441" s="267" t="s">
        <v>944</v>
      </c>
    </row>
    <row r="5442" spans="1:22" hidden="1" x14ac:dyDescent="0.25">
      <c r="A5442" s="266">
        <v>43724</v>
      </c>
      <c r="B5442" s="267">
        <v>2019</v>
      </c>
      <c r="C5442" s="267">
        <v>2020</v>
      </c>
      <c r="D5442" s="267">
        <v>1</v>
      </c>
      <c r="E5442" s="267">
        <v>1</v>
      </c>
      <c r="F5442" s="267" t="s">
        <v>944</v>
      </c>
      <c r="G5442" s="267" t="s">
        <v>3926</v>
      </c>
      <c r="H5442" s="267" t="s">
        <v>10106</v>
      </c>
      <c r="I5442" s="267" t="s">
        <v>4200</v>
      </c>
      <c r="J5442" s="267" t="s">
        <v>3928</v>
      </c>
      <c r="K5442" s="267">
        <v>6779</v>
      </c>
      <c r="L5442" s="267">
        <v>360300</v>
      </c>
      <c r="M5442" s="267" t="s">
        <v>3935</v>
      </c>
      <c r="N5442" s="267" t="s">
        <v>3944</v>
      </c>
      <c r="O5442" s="267">
        <v>1870.09</v>
      </c>
      <c r="P5442" s="267" t="s">
        <v>3944</v>
      </c>
      <c r="Q5442" s="267" t="s">
        <v>3944</v>
      </c>
      <c r="R5442" s="267">
        <v>1870.09</v>
      </c>
      <c r="S5442" s="267">
        <v>29357.51</v>
      </c>
      <c r="T5442" s="267">
        <v>31227.599999999999</v>
      </c>
      <c r="U5442" s="268" t="s">
        <v>3945</v>
      </c>
      <c r="V5442" s="267" t="s">
        <v>944</v>
      </c>
    </row>
    <row r="5443" spans="1:22" hidden="1" x14ac:dyDescent="0.25">
      <c r="A5443" s="269">
        <v>43724</v>
      </c>
      <c r="B5443" s="270">
        <v>2019</v>
      </c>
      <c r="C5443" s="270">
        <v>2020</v>
      </c>
      <c r="D5443" s="270">
        <v>1</v>
      </c>
      <c r="E5443" s="270">
        <v>1</v>
      </c>
      <c r="F5443" s="270" t="s">
        <v>944</v>
      </c>
      <c r="G5443" s="270" t="s">
        <v>3926</v>
      </c>
      <c r="H5443" s="270" t="s">
        <v>10107</v>
      </c>
      <c r="I5443" s="270" t="s">
        <v>3985</v>
      </c>
      <c r="J5443" s="270" t="s">
        <v>3928</v>
      </c>
      <c r="K5443" s="270">
        <v>6226</v>
      </c>
      <c r="L5443" s="270">
        <v>800400</v>
      </c>
      <c r="M5443" s="270" t="s">
        <v>3940</v>
      </c>
      <c r="N5443" s="270" t="s">
        <v>3944</v>
      </c>
      <c r="O5443" s="270">
        <v>1984.99</v>
      </c>
      <c r="P5443" s="270" t="s">
        <v>3944</v>
      </c>
      <c r="Q5443" s="270" t="s">
        <v>3944</v>
      </c>
      <c r="R5443" s="270">
        <v>1984.99</v>
      </c>
      <c r="S5443" s="270">
        <v>31276.16</v>
      </c>
      <c r="T5443" s="270">
        <v>33261.15</v>
      </c>
      <c r="U5443" s="271" t="s">
        <v>3945</v>
      </c>
      <c r="V5443" s="267" t="s">
        <v>944</v>
      </c>
    </row>
    <row r="5444" spans="1:22" hidden="1" x14ac:dyDescent="0.25">
      <c r="A5444" s="266">
        <v>43724</v>
      </c>
      <c r="B5444" s="267">
        <v>2019</v>
      </c>
      <c r="C5444" s="267">
        <v>2020</v>
      </c>
      <c r="D5444" s="267">
        <v>1</v>
      </c>
      <c r="E5444" s="267">
        <v>1</v>
      </c>
      <c r="F5444" s="267" t="s">
        <v>944</v>
      </c>
      <c r="G5444" s="267" t="s">
        <v>3926</v>
      </c>
      <c r="H5444" s="267" t="s">
        <v>10108</v>
      </c>
      <c r="I5444" s="267" t="s">
        <v>4556</v>
      </c>
      <c r="J5444" s="267" t="s">
        <v>3928</v>
      </c>
      <c r="K5444" s="267">
        <v>6029</v>
      </c>
      <c r="L5444" s="267">
        <v>535100</v>
      </c>
      <c r="M5444" s="267" t="s">
        <v>3935</v>
      </c>
      <c r="N5444" s="267" t="s">
        <v>3944</v>
      </c>
      <c r="O5444" s="267">
        <v>3223.96</v>
      </c>
      <c r="P5444" s="267" t="s">
        <v>3944</v>
      </c>
      <c r="Q5444" s="267" t="s">
        <v>3944</v>
      </c>
      <c r="R5444" s="267">
        <v>3223.96</v>
      </c>
      <c r="S5444" s="267">
        <v>40921.040000000001</v>
      </c>
      <c r="T5444" s="267">
        <v>44145</v>
      </c>
      <c r="U5444" s="268" t="s">
        <v>3945</v>
      </c>
      <c r="V5444" s="267" t="s">
        <v>944</v>
      </c>
    </row>
    <row r="5445" spans="1:22" hidden="1" x14ac:dyDescent="0.25">
      <c r="A5445" s="269">
        <v>43724</v>
      </c>
      <c r="B5445" s="270">
        <v>2019</v>
      </c>
      <c r="C5445" s="270">
        <v>2020</v>
      </c>
      <c r="D5445" s="270">
        <v>1</v>
      </c>
      <c r="E5445" s="270">
        <v>1</v>
      </c>
      <c r="F5445" s="270" t="s">
        <v>944</v>
      </c>
      <c r="G5445" s="270" t="s">
        <v>3926</v>
      </c>
      <c r="H5445" s="270" t="s">
        <v>10109</v>
      </c>
      <c r="I5445" s="270" t="s">
        <v>4290</v>
      </c>
      <c r="J5445" s="270" t="s">
        <v>3928</v>
      </c>
      <c r="K5445" s="270">
        <v>6798</v>
      </c>
      <c r="L5445" s="270">
        <v>362102</v>
      </c>
      <c r="M5445" s="270" t="s">
        <v>3960</v>
      </c>
      <c r="N5445" s="270" t="s">
        <v>3944</v>
      </c>
      <c r="O5445" s="270">
        <v>2194.4699999999998</v>
      </c>
      <c r="P5445" s="270" t="s">
        <v>3944</v>
      </c>
      <c r="Q5445" s="270" t="s">
        <v>3944</v>
      </c>
      <c r="R5445" s="270">
        <v>2194.4699999999998</v>
      </c>
      <c r="S5445" s="270">
        <v>34003.410000000003</v>
      </c>
      <c r="T5445" s="270">
        <v>36197.879999999997</v>
      </c>
      <c r="U5445" s="271" t="s">
        <v>3945</v>
      </c>
      <c r="V5445" s="267" t="s">
        <v>944</v>
      </c>
    </row>
    <row r="5446" spans="1:22" hidden="1" x14ac:dyDescent="0.25">
      <c r="A5446" s="266">
        <v>43724</v>
      </c>
      <c r="B5446" s="267">
        <v>2019</v>
      </c>
      <c r="C5446" s="267">
        <v>2020</v>
      </c>
      <c r="D5446" s="267">
        <v>1</v>
      </c>
      <c r="E5446" s="267">
        <v>1</v>
      </c>
      <c r="F5446" s="267" t="s">
        <v>944</v>
      </c>
      <c r="G5446" s="267" t="s">
        <v>3926</v>
      </c>
      <c r="H5446" s="267" t="s">
        <v>10110</v>
      </c>
      <c r="I5446" s="267" t="s">
        <v>6493</v>
      </c>
      <c r="J5446" s="267" t="s">
        <v>3928</v>
      </c>
      <c r="K5446" s="267">
        <v>6447</v>
      </c>
      <c r="L5446" s="267">
        <v>524100</v>
      </c>
      <c r="M5446" s="267" t="s">
        <v>3943</v>
      </c>
      <c r="N5446" s="267" t="s">
        <v>3944</v>
      </c>
      <c r="O5446" s="267">
        <v>2179.73</v>
      </c>
      <c r="P5446" s="267" t="s">
        <v>3944</v>
      </c>
      <c r="Q5446" s="267" t="s">
        <v>3944</v>
      </c>
      <c r="R5446" s="267">
        <v>2179.73</v>
      </c>
      <c r="S5446" s="267">
        <v>35233.15</v>
      </c>
      <c r="T5446" s="267">
        <v>37412.879999999997</v>
      </c>
      <c r="U5446" s="268" t="s">
        <v>3945</v>
      </c>
      <c r="V5446" s="267" t="s">
        <v>944</v>
      </c>
    </row>
    <row r="5447" spans="1:22" hidden="1" x14ac:dyDescent="0.25">
      <c r="A5447" s="269">
        <v>43725</v>
      </c>
      <c r="B5447" s="270">
        <v>2019</v>
      </c>
      <c r="C5447" s="270">
        <v>2020</v>
      </c>
      <c r="D5447" s="270">
        <v>1</v>
      </c>
      <c r="E5447" s="270">
        <v>1</v>
      </c>
      <c r="F5447" s="270" t="s">
        <v>944</v>
      </c>
      <c r="G5447" s="270" t="s">
        <v>3926</v>
      </c>
      <c r="H5447" s="270" t="s">
        <v>10111</v>
      </c>
      <c r="I5447" s="270" t="s">
        <v>4254</v>
      </c>
      <c r="J5447" s="270" t="s">
        <v>3928</v>
      </c>
      <c r="K5447" s="270">
        <v>6076</v>
      </c>
      <c r="L5447" s="270">
        <v>890202</v>
      </c>
      <c r="M5447" s="270" t="s">
        <v>3960</v>
      </c>
      <c r="N5447" s="270" t="s">
        <v>10112</v>
      </c>
      <c r="O5447" s="270">
        <v>5183</v>
      </c>
      <c r="P5447" s="270" t="s">
        <v>3930</v>
      </c>
      <c r="Q5447" s="270" t="s">
        <v>3930</v>
      </c>
      <c r="R5447" s="270">
        <v>5183</v>
      </c>
      <c r="S5447" s="270">
        <v>28250</v>
      </c>
      <c r="T5447" s="270">
        <v>33433</v>
      </c>
      <c r="U5447" s="271" t="s">
        <v>3937</v>
      </c>
      <c r="V5447" s="267" t="s">
        <v>944</v>
      </c>
    </row>
    <row r="5448" spans="1:22" hidden="1" x14ac:dyDescent="0.25">
      <c r="A5448" s="266">
        <v>43725</v>
      </c>
      <c r="B5448" s="267">
        <v>2019</v>
      </c>
      <c r="C5448" s="267">
        <v>2020</v>
      </c>
      <c r="D5448" s="267">
        <v>1</v>
      </c>
      <c r="E5448" s="267">
        <v>1</v>
      </c>
      <c r="F5448" s="267" t="s">
        <v>944</v>
      </c>
      <c r="G5448" s="267" t="s">
        <v>3926</v>
      </c>
      <c r="H5448" s="267" t="s">
        <v>10113</v>
      </c>
      <c r="I5448" s="267" t="s">
        <v>5147</v>
      </c>
      <c r="J5448" s="267" t="s">
        <v>3928</v>
      </c>
      <c r="K5448" s="267">
        <v>6468</v>
      </c>
      <c r="L5448" s="267">
        <v>100300</v>
      </c>
      <c r="M5448" s="267" t="s">
        <v>3943</v>
      </c>
      <c r="N5448" s="267" t="s">
        <v>10114</v>
      </c>
      <c r="O5448" s="267">
        <v>5116</v>
      </c>
      <c r="P5448" s="267" t="s">
        <v>3930</v>
      </c>
      <c r="Q5448" s="267" t="s">
        <v>3930</v>
      </c>
      <c r="R5448" s="267">
        <v>5116</v>
      </c>
      <c r="S5448" s="267">
        <v>37058</v>
      </c>
      <c r="T5448" s="267">
        <v>42174</v>
      </c>
      <c r="U5448" s="268" t="s">
        <v>3937</v>
      </c>
      <c r="V5448" s="267" t="s">
        <v>944</v>
      </c>
    </row>
    <row r="5449" spans="1:22" hidden="1" x14ac:dyDescent="0.25">
      <c r="A5449" s="269">
        <v>43725</v>
      </c>
      <c r="B5449" s="270">
        <v>2019</v>
      </c>
      <c r="C5449" s="270">
        <v>2020</v>
      </c>
      <c r="D5449" s="270">
        <v>1</v>
      </c>
      <c r="E5449" s="270">
        <v>1</v>
      </c>
      <c r="F5449" s="270" t="s">
        <v>944</v>
      </c>
      <c r="G5449" s="270" t="s">
        <v>3926</v>
      </c>
      <c r="H5449" s="270" t="s">
        <v>10115</v>
      </c>
      <c r="I5449" s="270" t="s">
        <v>4029</v>
      </c>
      <c r="J5449" s="270" t="s">
        <v>3928</v>
      </c>
      <c r="K5449" s="270">
        <v>6850</v>
      </c>
      <c r="L5449" s="270">
        <v>43100</v>
      </c>
      <c r="M5449" s="270" t="s">
        <v>3943</v>
      </c>
      <c r="N5449" s="270" t="s">
        <v>3944</v>
      </c>
      <c r="O5449" s="270">
        <v>3992</v>
      </c>
      <c r="P5449" s="270" t="s">
        <v>3944</v>
      </c>
      <c r="Q5449" s="270" t="s">
        <v>3944</v>
      </c>
      <c r="R5449" s="270">
        <v>3992</v>
      </c>
      <c r="S5449" s="270">
        <v>48234</v>
      </c>
      <c r="T5449" s="270">
        <v>52226</v>
      </c>
      <c r="U5449" s="271" t="s">
        <v>3945</v>
      </c>
      <c r="V5449" s="267" t="s">
        <v>944</v>
      </c>
    </row>
    <row r="5450" spans="1:22" hidden="1" x14ac:dyDescent="0.25">
      <c r="A5450" s="266">
        <v>43725</v>
      </c>
      <c r="B5450" s="267">
        <v>2019</v>
      </c>
      <c r="C5450" s="267">
        <v>2020</v>
      </c>
      <c r="D5450" s="267">
        <v>1</v>
      </c>
      <c r="E5450" s="267">
        <v>1</v>
      </c>
      <c r="F5450" s="267" t="s">
        <v>944</v>
      </c>
      <c r="G5450" s="267" t="s">
        <v>3926</v>
      </c>
      <c r="H5450" s="267" t="s">
        <v>10116</v>
      </c>
      <c r="I5450" s="267" t="s">
        <v>4944</v>
      </c>
      <c r="J5450" s="267" t="s">
        <v>3928</v>
      </c>
      <c r="K5450" s="267">
        <v>6232</v>
      </c>
      <c r="L5450" s="267">
        <v>528100</v>
      </c>
      <c r="M5450" s="267" t="s">
        <v>3943</v>
      </c>
      <c r="N5450" s="267" t="s">
        <v>3944</v>
      </c>
      <c r="O5450" s="267">
        <v>2298</v>
      </c>
      <c r="P5450" s="267" t="s">
        <v>3944</v>
      </c>
      <c r="Q5450" s="267" t="s">
        <v>3944</v>
      </c>
      <c r="R5450" s="267">
        <v>2298</v>
      </c>
      <c r="S5450" s="267">
        <v>21667.200000000001</v>
      </c>
      <c r="T5450" s="267">
        <v>23965.200000000001</v>
      </c>
      <c r="U5450" s="268" t="s">
        <v>3945</v>
      </c>
      <c r="V5450" s="267" t="s">
        <v>944</v>
      </c>
    </row>
    <row r="5451" spans="1:22" hidden="1" x14ac:dyDescent="0.25">
      <c r="A5451" s="269">
        <v>43725</v>
      </c>
      <c r="B5451" s="270">
        <v>2019</v>
      </c>
      <c r="C5451" s="270">
        <v>2020</v>
      </c>
      <c r="D5451" s="270">
        <v>1</v>
      </c>
      <c r="E5451" s="270">
        <v>1</v>
      </c>
      <c r="F5451" s="270" t="s">
        <v>944</v>
      </c>
      <c r="G5451" s="270" t="s">
        <v>3926</v>
      </c>
      <c r="H5451" s="270" t="s">
        <v>10117</v>
      </c>
      <c r="I5451" s="270" t="s">
        <v>5401</v>
      </c>
      <c r="J5451" s="270" t="s">
        <v>3928</v>
      </c>
      <c r="K5451" s="270">
        <v>6820</v>
      </c>
      <c r="L5451" s="270">
        <v>30100</v>
      </c>
      <c r="M5451" s="270" t="s">
        <v>3943</v>
      </c>
      <c r="N5451" s="270" t="s">
        <v>3944</v>
      </c>
      <c r="O5451" s="270">
        <v>5941</v>
      </c>
      <c r="P5451" s="270" t="s">
        <v>3944</v>
      </c>
      <c r="Q5451" s="270" t="s">
        <v>3944</v>
      </c>
      <c r="R5451" s="270">
        <v>5941</v>
      </c>
      <c r="S5451" s="270">
        <v>140727</v>
      </c>
      <c r="T5451" s="270">
        <v>146668</v>
      </c>
      <c r="U5451" s="271" t="s">
        <v>3945</v>
      </c>
      <c r="V5451" s="267" t="s">
        <v>944</v>
      </c>
    </row>
    <row r="5452" spans="1:22" hidden="1" x14ac:dyDescent="0.25">
      <c r="A5452" s="266">
        <v>43725</v>
      </c>
      <c r="B5452" s="267">
        <v>2019</v>
      </c>
      <c r="C5452" s="267">
        <v>2020</v>
      </c>
      <c r="D5452" s="267">
        <v>1</v>
      </c>
      <c r="E5452" s="267">
        <v>1</v>
      </c>
      <c r="F5452" s="267" t="s">
        <v>944</v>
      </c>
      <c r="G5452" s="267" t="s">
        <v>3926</v>
      </c>
      <c r="H5452" s="267" t="s">
        <v>10118</v>
      </c>
      <c r="I5452" s="267" t="s">
        <v>4516</v>
      </c>
      <c r="J5452" s="267" t="s">
        <v>3928</v>
      </c>
      <c r="K5452" s="267">
        <v>6371</v>
      </c>
      <c r="L5452" s="267">
        <v>650100</v>
      </c>
      <c r="M5452" s="267" t="s">
        <v>3960</v>
      </c>
      <c r="N5452" s="267" t="s">
        <v>3944</v>
      </c>
      <c r="O5452" s="267">
        <v>2260</v>
      </c>
      <c r="P5452" s="267" t="s">
        <v>3944</v>
      </c>
      <c r="Q5452" s="267" t="s">
        <v>3944</v>
      </c>
      <c r="R5452" s="267">
        <v>2260</v>
      </c>
      <c r="S5452" s="267">
        <v>24659.17</v>
      </c>
      <c r="T5452" s="267">
        <v>26919.17</v>
      </c>
      <c r="U5452" s="268" t="s">
        <v>3945</v>
      </c>
      <c r="V5452" s="267" t="s">
        <v>944</v>
      </c>
    </row>
    <row r="5453" spans="1:22" hidden="1" x14ac:dyDescent="0.25">
      <c r="A5453" s="269">
        <v>43725</v>
      </c>
      <c r="B5453" s="270">
        <v>2019</v>
      </c>
      <c r="C5453" s="270">
        <v>2020</v>
      </c>
      <c r="D5453" s="270">
        <v>1</v>
      </c>
      <c r="E5453" s="270">
        <v>1</v>
      </c>
      <c r="F5453" s="270" t="s">
        <v>944</v>
      </c>
      <c r="G5453" s="270" t="s">
        <v>3926</v>
      </c>
      <c r="H5453" s="270" t="s">
        <v>10119</v>
      </c>
      <c r="I5453" s="270" t="s">
        <v>4016</v>
      </c>
      <c r="J5453" s="270" t="s">
        <v>3928</v>
      </c>
      <c r="K5453" s="270">
        <v>6770</v>
      </c>
      <c r="L5453" s="270">
        <v>345400</v>
      </c>
      <c r="M5453" s="270" t="s">
        <v>3935</v>
      </c>
      <c r="N5453" s="270" t="s">
        <v>3944</v>
      </c>
      <c r="O5453" s="270">
        <v>1684.48</v>
      </c>
      <c r="P5453" s="270" t="s">
        <v>3944</v>
      </c>
      <c r="Q5453" s="270" t="s">
        <v>3944</v>
      </c>
      <c r="R5453" s="270">
        <v>1684.48</v>
      </c>
      <c r="S5453" s="270">
        <v>20820.490000000002</v>
      </c>
      <c r="T5453" s="270">
        <v>22504.97</v>
      </c>
      <c r="U5453" s="271" t="s">
        <v>3945</v>
      </c>
      <c r="V5453" s="267" t="s">
        <v>944</v>
      </c>
    </row>
    <row r="5454" spans="1:22" hidden="1" x14ac:dyDescent="0.25">
      <c r="A5454" s="266">
        <v>43725</v>
      </c>
      <c r="B5454" s="267">
        <v>2019</v>
      </c>
      <c r="C5454" s="267">
        <v>2020</v>
      </c>
      <c r="D5454" s="267">
        <v>1</v>
      </c>
      <c r="E5454" s="267">
        <v>1</v>
      </c>
      <c r="F5454" s="267" t="s">
        <v>944</v>
      </c>
      <c r="G5454" s="267" t="s">
        <v>3926</v>
      </c>
      <c r="H5454" s="267" t="s">
        <v>10120</v>
      </c>
      <c r="I5454" s="267" t="s">
        <v>934</v>
      </c>
      <c r="J5454" s="267" t="s">
        <v>3928</v>
      </c>
      <c r="K5454" s="267">
        <v>6606</v>
      </c>
      <c r="L5454" s="267">
        <v>72600</v>
      </c>
      <c r="M5454" s="267" t="s">
        <v>3940</v>
      </c>
      <c r="N5454" s="267" t="s">
        <v>3944</v>
      </c>
      <c r="O5454" s="267">
        <v>1490.55</v>
      </c>
      <c r="P5454" s="267" t="s">
        <v>3944</v>
      </c>
      <c r="Q5454" s="267" t="s">
        <v>3944</v>
      </c>
      <c r="R5454" s="267">
        <v>1490.55</v>
      </c>
      <c r="S5454" s="267">
        <v>19757.5</v>
      </c>
      <c r="T5454" s="267">
        <v>21248.05</v>
      </c>
      <c r="U5454" s="268" t="s">
        <v>3945</v>
      </c>
      <c r="V5454" s="267" t="s">
        <v>944</v>
      </c>
    </row>
    <row r="5455" spans="1:22" hidden="1" x14ac:dyDescent="0.25">
      <c r="A5455" s="269">
        <v>43725</v>
      </c>
      <c r="B5455" s="270">
        <v>2019</v>
      </c>
      <c r="C5455" s="270">
        <v>2020</v>
      </c>
      <c r="D5455" s="270">
        <v>1</v>
      </c>
      <c r="E5455" s="270">
        <v>1</v>
      </c>
      <c r="F5455" s="270" t="s">
        <v>944</v>
      </c>
      <c r="G5455" s="270" t="s">
        <v>3926</v>
      </c>
      <c r="H5455" s="270" t="s">
        <v>10121</v>
      </c>
      <c r="I5455" s="270" t="s">
        <v>950</v>
      </c>
      <c r="J5455" s="270" t="s">
        <v>3928</v>
      </c>
      <c r="K5455" s="270">
        <v>6516</v>
      </c>
      <c r="L5455" s="270">
        <v>154200</v>
      </c>
      <c r="M5455" s="270" t="s">
        <v>3940</v>
      </c>
      <c r="N5455" s="270" t="s">
        <v>3944</v>
      </c>
      <c r="O5455" s="270">
        <v>2184.2800000000002</v>
      </c>
      <c r="P5455" s="270" t="s">
        <v>3944</v>
      </c>
      <c r="Q5455" s="270" t="s">
        <v>3944</v>
      </c>
      <c r="R5455" s="270">
        <v>2184.2800000000002</v>
      </c>
      <c r="S5455" s="270">
        <v>30621.16</v>
      </c>
      <c r="T5455" s="270">
        <v>32805.440000000002</v>
      </c>
      <c r="U5455" s="271" t="s">
        <v>3945</v>
      </c>
      <c r="V5455" s="267" t="s">
        <v>944</v>
      </c>
    </row>
    <row r="5456" spans="1:22" hidden="1" x14ac:dyDescent="0.25">
      <c r="A5456" s="266">
        <v>43725</v>
      </c>
      <c r="B5456" s="267">
        <v>2019</v>
      </c>
      <c r="C5456" s="267">
        <v>2020</v>
      </c>
      <c r="D5456" s="267">
        <v>1</v>
      </c>
      <c r="E5456" s="267">
        <v>1</v>
      </c>
      <c r="F5456" s="267" t="s">
        <v>944</v>
      </c>
      <c r="G5456" s="267" t="s">
        <v>3926</v>
      </c>
      <c r="H5456" s="267" t="s">
        <v>10122</v>
      </c>
      <c r="I5456" s="267" t="s">
        <v>4003</v>
      </c>
      <c r="J5456" s="267" t="s">
        <v>3928</v>
      </c>
      <c r="K5456" s="267">
        <v>6354</v>
      </c>
      <c r="L5456" s="267">
        <v>907200</v>
      </c>
      <c r="M5456" s="267" t="s">
        <v>3940</v>
      </c>
      <c r="N5456" s="267" t="s">
        <v>3944</v>
      </c>
      <c r="O5456" s="267">
        <v>1647.56</v>
      </c>
      <c r="P5456" s="267" t="s">
        <v>3944</v>
      </c>
      <c r="Q5456" s="267" t="s">
        <v>3944</v>
      </c>
      <c r="R5456" s="267">
        <v>1647.56</v>
      </c>
      <c r="S5456" s="267">
        <v>22544.799999999999</v>
      </c>
      <c r="T5456" s="267">
        <v>24192.36</v>
      </c>
      <c r="U5456" s="268" t="s">
        <v>3945</v>
      </c>
      <c r="V5456" s="267" t="s">
        <v>944</v>
      </c>
    </row>
    <row r="5457" spans="1:22" hidden="1" x14ac:dyDescent="0.25">
      <c r="A5457" s="269">
        <v>43725</v>
      </c>
      <c r="B5457" s="270">
        <v>2019</v>
      </c>
      <c r="C5457" s="270">
        <v>2020</v>
      </c>
      <c r="D5457" s="270">
        <v>1</v>
      </c>
      <c r="E5457" s="270">
        <v>1</v>
      </c>
      <c r="F5457" s="270" t="s">
        <v>944</v>
      </c>
      <c r="G5457" s="270" t="s">
        <v>3926</v>
      </c>
      <c r="H5457" s="270" t="s">
        <v>10123</v>
      </c>
      <c r="I5457" s="270" t="s">
        <v>3968</v>
      </c>
      <c r="J5457" s="270" t="s">
        <v>3928</v>
      </c>
      <c r="K5457" s="270">
        <v>6040</v>
      </c>
      <c r="L5457" s="270">
        <v>514800</v>
      </c>
      <c r="M5457" s="270" t="s">
        <v>3940</v>
      </c>
      <c r="N5457" s="270" t="s">
        <v>3944</v>
      </c>
      <c r="O5457" s="270">
        <v>1730.51</v>
      </c>
      <c r="P5457" s="270" t="s">
        <v>3944</v>
      </c>
      <c r="Q5457" s="270" t="s">
        <v>3944</v>
      </c>
      <c r="R5457" s="270">
        <v>1730.51</v>
      </c>
      <c r="S5457" s="270">
        <v>24074.52</v>
      </c>
      <c r="T5457" s="270">
        <v>25805.03</v>
      </c>
      <c r="U5457" s="271" t="s">
        <v>3945</v>
      </c>
      <c r="V5457" s="267" t="s">
        <v>944</v>
      </c>
    </row>
    <row r="5458" spans="1:22" hidden="1" x14ac:dyDescent="0.25">
      <c r="A5458" s="266">
        <v>43725</v>
      </c>
      <c r="B5458" s="267">
        <v>2019</v>
      </c>
      <c r="C5458" s="267">
        <v>2020</v>
      </c>
      <c r="D5458" s="267">
        <v>1</v>
      </c>
      <c r="E5458" s="267">
        <v>1</v>
      </c>
      <c r="F5458" s="267" t="s">
        <v>944</v>
      </c>
      <c r="G5458" s="267" t="s">
        <v>3926</v>
      </c>
      <c r="H5458" s="267" t="s">
        <v>10124</v>
      </c>
      <c r="I5458" s="267" t="s">
        <v>4232</v>
      </c>
      <c r="J5458" s="267" t="s">
        <v>3928</v>
      </c>
      <c r="K5458" s="267">
        <v>6483</v>
      </c>
      <c r="L5458" s="267">
        <v>130102</v>
      </c>
      <c r="M5458" s="267" t="s">
        <v>3935</v>
      </c>
      <c r="N5458" s="267" t="s">
        <v>3944</v>
      </c>
      <c r="O5458" s="267">
        <v>1319.68</v>
      </c>
      <c r="P5458" s="267" t="s">
        <v>3944</v>
      </c>
      <c r="Q5458" s="267" t="s">
        <v>3944</v>
      </c>
      <c r="R5458" s="267">
        <v>1319.68</v>
      </c>
      <c r="S5458" s="267">
        <v>18820.88</v>
      </c>
      <c r="T5458" s="267">
        <v>20140.560000000001</v>
      </c>
      <c r="U5458" s="268" t="s">
        <v>3945</v>
      </c>
      <c r="V5458" s="267" t="s">
        <v>944</v>
      </c>
    </row>
    <row r="5459" spans="1:22" hidden="1" x14ac:dyDescent="0.25">
      <c r="A5459" s="269">
        <v>43725</v>
      </c>
      <c r="B5459" s="270">
        <v>2019</v>
      </c>
      <c r="C5459" s="270">
        <v>2020</v>
      </c>
      <c r="D5459" s="270">
        <v>1</v>
      </c>
      <c r="E5459" s="270">
        <v>1</v>
      </c>
      <c r="F5459" s="270" t="s">
        <v>944</v>
      </c>
      <c r="G5459" s="270" t="s">
        <v>3926</v>
      </c>
      <c r="H5459" s="270" t="s">
        <v>10125</v>
      </c>
      <c r="I5459" s="270" t="s">
        <v>953</v>
      </c>
      <c r="J5459" s="270" t="s">
        <v>3928</v>
      </c>
      <c r="K5459" s="270">
        <v>6514</v>
      </c>
      <c r="L5459" s="270">
        <v>165802</v>
      </c>
      <c r="M5459" s="270" t="s">
        <v>3943</v>
      </c>
      <c r="N5459" s="270" t="s">
        <v>3944</v>
      </c>
      <c r="O5459" s="270">
        <v>1309.49</v>
      </c>
      <c r="P5459" s="270" t="s">
        <v>3944</v>
      </c>
      <c r="Q5459" s="270" t="s">
        <v>3944</v>
      </c>
      <c r="R5459" s="270">
        <v>1309.49</v>
      </c>
      <c r="S5459" s="270">
        <v>19659.61</v>
      </c>
      <c r="T5459" s="270">
        <v>20969.099999999999</v>
      </c>
      <c r="U5459" s="271" t="s">
        <v>3945</v>
      </c>
      <c r="V5459" s="267" t="s">
        <v>944</v>
      </c>
    </row>
    <row r="5460" spans="1:22" hidden="1" x14ac:dyDescent="0.25">
      <c r="A5460" s="266">
        <v>43725</v>
      </c>
      <c r="B5460" s="267">
        <v>2019</v>
      </c>
      <c r="C5460" s="267">
        <v>2020</v>
      </c>
      <c r="D5460" s="267">
        <v>1</v>
      </c>
      <c r="E5460" s="267">
        <v>1</v>
      </c>
      <c r="F5460" s="267" t="s">
        <v>944</v>
      </c>
      <c r="G5460" s="267" t="s">
        <v>3926</v>
      </c>
      <c r="H5460" s="267" t="s">
        <v>10126</v>
      </c>
      <c r="I5460" s="267" t="s">
        <v>3956</v>
      </c>
      <c r="J5460" s="267" t="s">
        <v>3928</v>
      </c>
      <c r="K5460" s="267">
        <v>6106</v>
      </c>
      <c r="L5460" s="267">
        <v>504800</v>
      </c>
      <c r="M5460" s="267" t="s">
        <v>3940</v>
      </c>
      <c r="N5460" s="267" t="s">
        <v>3944</v>
      </c>
      <c r="O5460" s="267">
        <v>1542.63</v>
      </c>
      <c r="P5460" s="267" t="s">
        <v>3944</v>
      </c>
      <c r="Q5460" s="267" t="s">
        <v>3944</v>
      </c>
      <c r="R5460" s="267">
        <v>1542.63</v>
      </c>
      <c r="S5460" s="267">
        <v>22984.57</v>
      </c>
      <c r="T5460" s="267">
        <v>24527.200000000001</v>
      </c>
      <c r="U5460" s="268" t="s">
        <v>3945</v>
      </c>
      <c r="V5460" s="267" t="s">
        <v>944</v>
      </c>
    </row>
    <row r="5461" spans="1:22" hidden="1" x14ac:dyDescent="0.25">
      <c r="A5461" s="269">
        <v>43725</v>
      </c>
      <c r="B5461" s="270">
        <v>2019</v>
      </c>
      <c r="C5461" s="270">
        <v>2020</v>
      </c>
      <c r="D5461" s="270">
        <v>1</v>
      </c>
      <c r="E5461" s="270">
        <v>1</v>
      </c>
      <c r="F5461" s="270" t="s">
        <v>944</v>
      </c>
      <c r="G5461" s="270" t="s">
        <v>3926</v>
      </c>
      <c r="H5461" s="270" t="s">
        <v>10127</v>
      </c>
      <c r="I5461" s="270" t="s">
        <v>4147</v>
      </c>
      <c r="J5461" s="270" t="s">
        <v>3928</v>
      </c>
      <c r="K5461" s="270">
        <v>6109</v>
      </c>
      <c r="L5461" s="270">
        <v>492200</v>
      </c>
      <c r="M5461" s="270" t="s">
        <v>3960</v>
      </c>
      <c r="N5461" s="270" t="s">
        <v>3944</v>
      </c>
      <c r="O5461" s="270">
        <v>424.55</v>
      </c>
      <c r="P5461" s="270" t="s">
        <v>3944</v>
      </c>
      <c r="Q5461" s="270" t="s">
        <v>3944</v>
      </c>
      <c r="R5461" s="270">
        <v>424.55</v>
      </c>
      <c r="S5461" s="270">
        <v>6121.61</v>
      </c>
      <c r="T5461" s="270">
        <v>6546.16</v>
      </c>
      <c r="U5461" s="271" t="s">
        <v>3945</v>
      </c>
      <c r="V5461" s="267" t="s">
        <v>944</v>
      </c>
    </row>
    <row r="5462" spans="1:22" hidden="1" x14ac:dyDescent="0.25">
      <c r="A5462" s="266">
        <v>43725</v>
      </c>
      <c r="B5462" s="267">
        <v>2019</v>
      </c>
      <c r="C5462" s="267">
        <v>2020</v>
      </c>
      <c r="D5462" s="267">
        <v>1</v>
      </c>
      <c r="E5462" s="267">
        <v>1</v>
      </c>
      <c r="F5462" s="267" t="s">
        <v>944</v>
      </c>
      <c r="G5462" s="267" t="s">
        <v>3926</v>
      </c>
      <c r="H5462" s="267" t="s">
        <v>10128</v>
      </c>
      <c r="I5462" s="267" t="s">
        <v>4108</v>
      </c>
      <c r="J5462" s="267" t="s">
        <v>3928</v>
      </c>
      <c r="K5462" s="267">
        <v>6082</v>
      </c>
      <c r="L5462" s="267">
        <v>481300</v>
      </c>
      <c r="M5462" s="267" t="s">
        <v>3960</v>
      </c>
      <c r="N5462" s="267" t="s">
        <v>3944</v>
      </c>
      <c r="O5462" s="267">
        <v>2300.2399999999998</v>
      </c>
      <c r="P5462" s="267" t="s">
        <v>3944</v>
      </c>
      <c r="Q5462" s="267" t="s">
        <v>3944</v>
      </c>
      <c r="R5462" s="267">
        <v>2300.2399999999998</v>
      </c>
      <c r="S5462" s="267">
        <v>34147.75</v>
      </c>
      <c r="T5462" s="267">
        <v>36447.99</v>
      </c>
      <c r="U5462" s="268" t="s">
        <v>3945</v>
      </c>
      <c r="V5462" s="267" t="s">
        <v>944</v>
      </c>
    </row>
    <row r="5463" spans="1:22" hidden="1" x14ac:dyDescent="0.25">
      <c r="A5463" s="269">
        <v>43725</v>
      </c>
      <c r="B5463" s="270">
        <v>2019</v>
      </c>
      <c r="C5463" s="270">
        <v>2020</v>
      </c>
      <c r="D5463" s="270">
        <v>1</v>
      </c>
      <c r="E5463" s="270">
        <v>1</v>
      </c>
      <c r="F5463" s="270" t="s">
        <v>944</v>
      </c>
      <c r="G5463" s="270" t="s">
        <v>3926</v>
      </c>
      <c r="H5463" s="270" t="s">
        <v>10129</v>
      </c>
      <c r="I5463" s="270" t="s">
        <v>4016</v>
      </c>
      <c r="J5463" s="270" t="s">
        <v>3928</v>
      </c>
      <c r="K5463" s="270">
        <v>6770</v>
      </c>
      <c r="L5463" s="270">
        <v>345100</v>
      </c>
      <c r="M5463" s="270" t="s">
        <v>3940</v>
      </c>
      <c r="N5463" s="270" t="s">
        <v>3944</v>
      </c>
      <c r="O5463" s="270">
        <v>2335.69</v>
      </c>
      <c r="P5463" s="270" t="s">
        <v>3944</v>
      </c>
      <c r="Q5463" s="270" t="s">
        <v>3944</v>
      </c>
      <c r="R5463" s="270">
        <v>2335.69</v>
      </c>
      <c r="S5463" s="270">
        <v>30416.26</v>
      </c>
      <c r="T5463" s="270">
        <v>32751.95</v>
      </c>
      <c r="U5463" s="271" t="s">
        <v>3945</v>
      </c>
      <c r="V5463" s="267" t="s">
        <v>944</v>
      </c>
    </row>
    <row r="5464" spans="1:22" hidden="1" x14ac:dyDescent="0.25">
      <c r="A5464" s="266">
        <v>43725</v>
      </c>
      <c r="B5464" s="267">
        <v>2019</v>
      </c>
      <c r="C5464" s="267">
        <v>2020</v>
      </c>
      <c r="D5464" s="267">
        <v>1</v>
      </c>
      <c r="E5464" s="267">
        <v>1</v>
      </c>
      <c r="F5464" s="267" t="s">
        <v>944</v>
      </c>
      <c r="G5464" s="267" t="s">
        <v>3926</v>
      </c>
      <c r="H5464" s="267" t="s">
        <v>10130</v>
      </c>
      <c r="I5464" s="267" t="s">
        <v>953</v>
      </c>
      <c r="J5464" s="267" t="s">
        <v>3928</v>
      </c>
      <c r="K5464" s="267">
        <v>6514</v>
      </c>
      <c r="L5464" s="267">
        <v>165802</v>
      </c>
      <c r="M5464" s="267" t="s">
        <v>3943</v>
      </c>
      <c r="N5464" s="267" t="s">
        <v>3944</v>
      </c>
      <c r="O5464" s="267">
        <v>2605.7199999999998</v>
      </c>
      <c r="P5464" s="267" t="s">
        <v>3944</v>
      </c>
      <c r="Q5464" s="267" t="s">
        <v>3944</v>
      </c>
      <c r="R5464" s="267">
        <v>2605.7199999999998</v>
      </c>
      <c r="S5464" s="267">
        <v>35055.370000000003</v>
      </c>
      <c r="T5464" s="267">
        <v>37661.089999999997</v>
      </c>
      <c r="U5464" s="268" t="s">
        <v>3945</v>
      </c>
      <c r="V5464" s="267" t="s">
        <v>944</v>
      </c>
    </row>
    <row r="5465" spans="1:22" hidden="1" x14ac:dyDescent="0.25">
      <c r="A5465" s="269">
        <v>43725</v>
      </c>
      <c r="B5465" s="270">
        <v>2019</v>
      </c>
      <c r="C5465" s="270">
        <v>2020</v>
      </c>
      <c r="D5465" s="270">
        <v>1</v>
      </c>
      <c r="E5465" s="270">
        <v>1</v>
      </c>
      <c r="F5465" s="270" t="s">
        <v>944</v>
      </c>
      <c r="G5465" s="270" t="s">
        <v>3926</v>
      </c>
      <c r="H5465" s="270" t="s">
        <v>10131</v>
      </c>
      <c r="I5465" s="270" t="s">
        <v>3025</v>
      </c>
      <c r="J5465" s="270" t="s">
        <v>3928</v>
      </c>
      <c r="K5465" s="270">
        <v>6473</v>
      </c>
      <c r="L5465" s="270">
        <v>167300</v>
      </c>
      <c r="M5465" s="270" t="s">
        <v>3943</v>
      </c>
      <c r="N5465" s="270" t="s">
        <v>3944</v>
      </c>
      <c r="O5465" s="270">
        <v>2250.4699999999998</v>
      </c>
      <c r="P5465" s="270" t="s">
        <v>3944</v>
      </c>
      <c r="Q5465" s="270" t="s">
        <v>3944</v>
      </c>
      <c r="R5465" s="270">
        <v>2250.4699999999998</v>
      </c>
      <c r="S5465" s="270">
        <v>30846.07</v>
      </c>
      <c r="T5465" s="270">
        <v>33096.54</v>
      </c>
      <c r="U5465" s="271" t="s">
        <v>3945</v>
      </c>
      <c r="V5465" s="267" t="s">
        <v>944</v>
      </c>
    </row>
    <row r="5466" spans="1:22" hidden="1" x14ac:dyDescent="0.25">
      <c r="A5466" s="266">
        <v>43725</v>
      </c>
      <c r="B5466" s="267">
        <v>2019</v>
      </c>
      <c r="C5466" s="267">
        <v>2020</v>
      </c>
      <c r="D5466" s="267">
        <v>1</v>
      </c>
      <c r="E5466" s="267">
        <v>1</v>
      </c>
      <c r="F5466" s="267" t="s">
        <v>944</v>
      </c>
      <c r="G5466" s="267" t="s">
        <v>3926</v>
      </c>
      <c r="H5466" s="267" t="s">
        <v>10132</v>
      </c>
      <c r="I5466" s="267" t="s">
        <v>4306</v>
      </c>
      <c r="J5466" s="267" t="s">
        <v>3928</v>
      </c>
      <c r="K5466" s="267">
        <v>6716</v>
      </c>
      <c r="L5466" s="267">
        <v>361300</v>
      </c>
      <c r="M5466" s="267" t="s">
        <v>3960</v>
      </c>
      <c r="N5466" s="267" t="s">
        <v>3944</v>
      </c>
      <c r="O5466" s="267">
        <v>2726.43</v>
      </c>
      <c r="P5466" s="267" t="s">
        <v>3944</v>
      </c>
      <c r="Q5466" s="267" t="s">
        <v>3944</v>
      </c>
      <c r="R5466" s="267">
        <v>2726.43</v>
      </c>
      <c r="S5466" s="267">
        <v>38705.08</v>
      </c>
      <c r="T5466" s="267">
        <v>41431.51</v>
      </c>
      <c r="U5466" s="268" t="s">
        <v>3945</v>
      </c>
      <c r="V5466" s="267" t="s">
        <v>944</v>
      </c>
    </row>
    <row r="5467" spans="1:22" hidden="1" x14ac:dyDescent="0.25">
      <c r="A5467" s="269">
        <v>43725</v>
      </c>
      <c r="B5467" s="270">
        <v>2019</v>
      </c>
      <c r="C5467" s="270">
        <v>2020</v>
      </c>
      <c r="D5467" s="270">
        <v>1</v>
      </c>
      <c r="E5467" s="270">
        <v>1</v>
      </c>
      <c r="F5467" s="270" t="s">
        <v>944</v>
      </c>
      <c r="G5467" s="270" t="s">
        <v>3926</v>
      </c>
      <c r="H5467" s="270" t="s">
        <v>10133</v>
      </c>
      <c r="I5467" s="270" t="s">
        <v>943</v>
      </c>
      <c r="J5467" s="270" t="s">
        <v>3928</v>
      </c>
      <c r="K5467" s="270">
        <v>6511</v>
      </c>
      <c r="L5467" s="270">
        <v>141900</v>
      </c>
      <c r="M5467" s="270" t="s">
        <v>3935</v>
      </c>
      <c r="N5467" s="270" t="s">
        <v>3944</v>
      </c>
      <c r="O5467" s="270">
        <v>448.81</v>
      </c>
      <c r="P5467" s="270" t="s">
        <v>3944</v>
      </c>
      <c r="Q5467" s="270" t="s">
        <v>3944</v>
      </c>
      <c r="R5467" s="270">
        <v>448.81</v>
      </c>
      <c r="S5467" s="270">
        <v>7368.96</v>
      </c>
      <c r="T5467" s="270">
        <v>7817.77</v>
      </c>
      <c r="U5467" s="271" t="s">
        <v>3945</v>
      </c>
      <c r="V5467" s="267" t="s">
        <v>944</v>
      </c>
    </row>
    <row r="5468" spans="1:22" hidden="1" x14ac:dyDescent="0.25">
      <c r="A5468" s="266">
        <v>43725</v>
      </c>
      <c r="B5468" s="267">
        <v>2019</v>
      </c>
      <c r="C5468" s="267">
        <v>2020</v>
      </c>
      <c r="D5468" s="267">
        <v>1</v>
      </c>
      <c r="E5468" s="267">
        <v>1</v>
      </c>
      <c r="F5468" s="267" t="s">
        <v>944</v>
      </c>
      <c r="G5468" s="267" t="s">
        <v>3926</v>
      </c>
      <c r="H5468" s="267" t="s">
        <v>10134</v>
      </c>
      <c r="I5468" s="267" t="s">
        <v>4114</v>
      </c>
      <c r="J5468" s="267" t="s">
        <v>3928</v>
      </c>
      <c r="K5468" s="267">
        <v>6410</v>
      </c>
      <c r="L5468" s="267">
        <v>343300</v>
      </c>
      <c r="M5468" s="267" t="s">
        <v>3943</v>
      </c>
      <c r="N5468" s="267" t="s">
        <v>3944</v>
      </c>
      <c r="O5468" s="267">
        <v>1224.48</v>
      </c>
      <c r="P5468" s="267" t="s">
        <v>3944</v>
      </c>
      <c r="Q5468" s="267" t="s">
        <v>3944</v>
      </c>
      <c r="R5468" s="267">
        <v>1224.48</v>
      </c>
      <c r="S5468" s="267">
        <v>15568.4</v>
      </c>
      <c r="T5468" s="267">
        <v>16792.88</v>
      </c>
      <c r="U5468" s="268" t="s">
        <v>3945</v>
      </c>
      <c r="V5468" s="267" t="s">
        <v>944</v>
      </c>
    </row>
    <row r="5469" spans="1:22" hidden="1" x14ac:dyDescent="0.25">
      <c r="A5469" s="269">
        <v>43725</v>
      </c>
      <c r="B5469" s="270">
        <v>2019</v>
      </c>
      <c r="C5469" s="270">
        <v>2020</v>
      </c>
      <c r="D5469" s="270">
        <v>1</v>
      </c>
      <c r="E5469" s="270">
        <v>1</v>
      </c>
      <c r="F5469" s="270" t="s">
        <v>944</v>
      </c>
      <c r="G5469" s="270" t="s">
        <v>3926</v>
      </c>
      <c r="H5469" s="270" t="s">
        <v>10135</v>
      </c>
      <c r="I5469" s="270" t="s">
        <v>4062</v>
      </c>
      <c r="J5469" s="270" t="s">
        <v>3928</v>
      </c>
      <c r="K5469" s="270">
        <v>6763</v>
      </c>
      <c r="L5469" s="270">
        <v>303100</v>
      </c>
      <c r="M5469" s="270" t="s">
        <v>3960</v>
      </c>
      <c r="N5469" s="270" t="s">
        <v>3944</v>
      </c>
      <c r="O5469" s="270">
        <v>919.59</v>
      </c>
      <c r="P5469" s="270" t="s">
        <v>3944</v>
      </c>
      <c r="Q5469" s="270" t="s">
        <v>3944</v>
      </c>
      <c r="R5469" s="270">
        <v>919.59</v>
      </c>
      <c r="S5469" s="270">
        <v>13870.28</v>
      </c>
      <c r="T5469" s="270">
        <v>14789.87</v>
      </c>
      <c r="U5469" s="271" t="s">
        <v>3945</v>
      </c>
      <c r="V5469" s="267" t="s">
        <v>944</v>
      </c>
    </row>
    <row r="5470" spans="1:22" hidden="1" x14ac:dyDescent="0.25">
      <c r="A5470" s="266">
        <v>43725</v>
      </c>
      <c r="B5470" s="267">
        <v>2019</v>
      </c>
      <c r="C5470" s="267">
        <v>2020</v>
      </c>
      <c r="D5470" s="267">
        <v>1</v>
      </c>
      <c r="E5470" s="267">
        <v>1</v>
      </c>
      <c r="F5470" s="267" t="s">
        <v>944</v>
      </c>
      <c r="G5470" s="267" t="s">
        <v>3926</v>
      </c>
      <c r="H5470" s="267" t="s">
        <v>10136</v>
      </c>
      <c r="I5470" s="267" t="s">
        <v>3025</v>
      </c>
      <c r="J5470" s="267" t="s">
        <v>3928</v>
      </c>
      <c r="K5470" s="267">
        <v>6473</v>
      </c>
      <c r="L5470" s="267">
        <v>167202</v>
      </c>
      <c r="M5470" s="267" t="s">
        <v>3935</v>
      </c>
      <c r="N5470" s="267" t="s">
        <v>3944</v>
      </c>
      <c r="O5470" s="267">
        <v>2288.1999999999998</v>
      </c>
      <c r="P5470" s="267" t="s">
        <v>3944</v>
      </c>
      <c r="Q5470" s="267" t="s">
        <v>3944</v>
      </c>
      <c r="R5470" s="267">
        <v>2288.1999999999998</v>
      </c>
      <c r="S5470" s="267">
        <v>34627.800000000003</v>
      </c>
      <c r="T5470" s="267">
        <v>36916</v>
      </c>
      <c r="U5470" s="268" t="s">
        <v>3945</v>
      </c>
      <c r="V5470" s="267" t="s">
        <v>944</v>
      </c>
    </row>
    <row r="5471" spans="1:22" hidden="1" x14ac:dyDescent="0.25">
      <c r="A5471" s="269">
        <v>43725</v>
      </c>
      <c r="B5471" s="270">
        <v>2019</v>
      </c>
      <c r="C5471" s="270">
        <v>2020</v>
      </c>
      <c r="D5471" s="270">
        <v>1</v>
      </c>
      <c r="E5471" s="270">
        <v>1</v>
      </c>
      <c r="F5471" s="270" t="s">
        <v>944</v>
      </c>
      <c r="G5471" s="270" t="s">
        <v>3926</v>
      </c>
      <c r="H5471" s="270" t="s">
        <v>10137</v>
      </c>
      <c r="I5471" s="270" t="s">
        <v>953</v>
      </c>
      <c r="J5471" s="270" t="s">
        <v>3928</v>
      </c>
      <c r="K5471" s="270">
        <v>6517</v>
      </c>
      <c r="L5471" s="270">
        <v>165200</v>
      </c>
      <c r="M5471" s="270" t="s">
        <v>3943</v>
      </c>
      <c r="N5471" s="270" t="s">
        <v>3944</v>
      </c>
      <c r="O5471" s="270">
        <v>2406.64</v>
      </c>
      <c r="P5471" s="270" t="s">
        <v>3944</v>
      </c>
      <c r="Q5471" s="270" t="s">
        <v>3944</v>
      </c>
      <c r="R5471" s="270">
        <v>2406.64</v>
      </c>
      <c r="S5471" s="270">
        <v>39521.64</v>
      </c>
      <c r="T5471" s="270">
        <v>41928.28</v>
      </c>
      <c r="U5471" s="271" t="s">
        <v>3945</v>
      </c>
      <c r="V5471" s="267" t="s">
        <v>944</v>
      </c>
    </row>
    <row r="5472" spans="1:22" hidden="1" x14ac:dyDescent="0.25">
      <c r="A5472" s="266">
        <v>43725</v>
      </c>
      <c r="B5472" s="267">
        <v>2019</v>
      </c>
      <c r="C5472" s="267">
        <v>2020</v>
      </c>
      <c r="D5472" s="267">
        <v>1</v>
      </c>
      <c r="E5472" s="267">
        <v>1</v>
      </c>
      <c r="F5472" s="267" t="s">
        <v>944</v>
      </c>
      <c r="G5472" s="267" t="s">
        <v>3926</v>
      </c>
      <c r="H5472" s="267" t="s">
        <v>10138</v>
      </c>
      <c r="I5472" s="267" t="s">
        <v>953</v>
      </c>
      <c r="J5472" s="267" t="s">
        <v>3928</v>
      </c>
      <c r="K5472" s="267">
        <v>6518</v>
      </c>
      <c r="L5472" s="267">
        <v>165900</v>
      </c>
      <c r="M5472" s="267" t="s">
        <v>3943</v>
      </c>
      <c r="N5472" s="267" t="s">
        <v>3944</v>
      </c>
      <c r="O5472" s="267">
        <v>1692.78</v>
      </c>
      <c r="P5472" s="267" t="s">
        <v>3944</v>
      </c>
      <c r="Q5472" s="267" t="s">
        <v>3944</v>
      </c>
      <c r="R5472" s="267">
        <v>1692.78</v>
      </c>
      <c r="S5472" s="267">
        <v>24267.58</v>
      </c>
      <c r="T5472" s="267">
        <v>25960.36</v>
      </c>
      <c r="U5472" s="268" t="s">
        <v>3945</v>
      </c>
      <c r="V5472" s="267" t="s">
        <v>944</v>
      </c>
    </row>
    <row r="5473" spans="1:22" hidden="1" x14ac:dyDescent="0.25">
      <c r="A5473" s="269">
        <v>43725</v>
      </c>
      <c r="B5473" s="270">
        <v>2019</v>
      </c>
      <c r="C5473" s="270">
        <v>2020</v>
      </c>
      <c r="D5473" s="270">
        <v>1</v>
      </c>
      <c r="E5473" s="270">
        <v>1</v>
      </c>
      <c r="F5473" s="270" t="s">
        <v>944</v>
      </c>
      <c r="G5473" s="270" t="s">
        <v>3926</v>
      </c>
      <c r="H5473" s="270" t="s">
        <v>10139</v>
      </c>
      <c r="I5473" s="270" t="s">
        <v>4269</v>
      </c>
      <c r="J5473" s="270" t="s">
        <v>3928</v>
      </c>
      <c r="K5473" s="270">
        <v>6119</v>
      </c>
      <c r="L5473" s="270">
        <v>496700</v>
      </c>
      <c r="M5473" s="270" t="s">
        <v>3940</v>
      </c>
      <c r="N5473" s="270" t="s">
        <v>3944</v>
      </c>
      <c r="O5473" s="270">
        <v>1114.1199999999999</v>
      </c>
      <c r="P5473" s="270" t="s">
        <v>3944</v>
      </c>
      <c r="Q5473" s="270" t="s">
        <v>3944</v>
      </c>
      <c r="R5473" s="270">
        <v>1114.1199999999999</v>
      </c>
      <c r="S5473" s="270">
        <v>17177.57</v>
      </c>
      <c r="T5473" s="270">
        <v>18291.689999999999</v>
      </c>
      <c r="U5473" s="271" t="s">
        <v>3945</v>
      </c>
      <c r="V5473" s="267" t="s">
        <v>944</v>
      </c>
    </row>
    <row r="5474" spans="1:22" hidden="1" x14ac:dyDescent="0.25">
      <c r="A5474" s="266">
        <v>43725</v>
      </c>
      <c r="B5474" s="267">
        <v>2019</v>
      </c>
      <c r="C5474" s="267">
        <v>2020</v>
      </c>
      <c r="D5474" s="267">
        <v>1</v>
      </c>
      <c r="E5474" s="267">
        <v>1</v>
      </c>
      <c r="F5474" s="267" t="s">
        <v>944</v>
      </c>
      <c r="G5474" s="267" t="s">
        <v>3926</v>
      </c>
      <c r="H5474" s="267" t="s">
        <v>10140</v>
      </c>
      <c r="I5474" s="267" t="s">
        <v>2981</v>
      </c>
      <c r="J5474" s="267" t="s">
        <v>3928</v>
      </c>
      <c r="K5474" s="267">
        <v>6612</v>
      </c>
      <c r="L5474" s="267">
        <v>105100</v>
      </c>
      <c r="M5474" s="267" t="s">
        <v>3943</v>
      </c>
      <c r="N5474" s="267" t="s">
        <v>3944</v>
      </c>
      <c r="O5474" s="267">
        <v>2453.08</v>
      </c>
      <c r="P5474" s="267" t="s">
        <v>3944</v>
      </c>
      <c r="Q5474" s="267" t="s">
        <v>3944</v>
      </c>
      <c r="R5474" s="267">
        <v>2453.08</v>
      </c>
      <c r="S5474" s="267">
        <v>39153.67</v>
      </c>
      <c r="T5474" s="267">
        <v>41606.75</v>
      </c>
      <c r="U5474" s="268" t="s">
        <v>3945</v>
      </c>
      <c r="V5474" s="267" t="s">
        <v>944</v>
      </c>
    </row>
    <row r="5475" spans="1:22" hidden="1" x14ac:dyDescent="0.25">
      <c r="A5475" s="269">
        <v>43725</v>
      </c>
      <c r="B5475" s="270">
        <v>2019</v>
      </c>
      <c r="C5475" s="270">
        <v>2020</v>
      </c>
      <c r="D5475" s="270">
        <v>1</v>
      </c>
      <c r="E5475" s="270">
        <v>1</v>
      </c>
      <c r="F5475" s="270" t="s">
        <v>944</v>
      </c>
      <c r="G5475" s="270" t="s">
        <v>3926</v>
      </c>
      <c r="H5475" s="270" t="s">
        <v>10141</v>
      </c>
      <c r="I5475" s="270" t="s">
        <v>3009</v>
      </c>
      <c r="J5475" s="270" t="s">
        <v>3928</v>
      </c>
      <c r="K5475" s="270">
        <v>6484</v>
      </c>
      <c r="L5475" s="270">
        <v>110302</v>
      </c>
      <c r="M5475" s="270" t="s">
        <v>3943</v>
      </c>
      <c r="N5475" s="270" t="s">
        <v>3944</v>
      </c>
      <c r="O5475" s="270">
        <v>1590.51</v>
      </c>
      <c r="P5475" s="270" t="s">
        <v>3944</v>
      </c>
      <c r="Q5475" s="270" t="s">
        <v>3944</v>
      </c>
      <c r="R5475" s="270">
        <v>1590.51</v>
      </c>
      <c r="S5475" s="270">
        <v>23215.74</v>
      </c>
      <c r="T5475" s="270">
        <v>24806.25</v>
      </c>
      <c r="U5475" s="271" t="s">
        <v>3945</v>
      </c>
      <c r="V5475" s="267" t="s">
        <v>944</v>
      </c>
    </row>
    <row r="5476" spans="1:22" hidden="1" x14ac:dyDescent="0.25">
      <c r="A5476" s="266">
        <v>43725</v>
      </c>
      <c r="B5476" s="267">
        <v>2019</v>
      </c>
      <c r="C5476" s="267">
        <v>2020</v>
      </c>
      <c r="D5476" s="267">
        <v>1</v>
      </c>
      <c r="E5476" s="267">
        <v>1</v>
      </c>
      <c r="F5476" s="267" t="s">
        <v>944</v>
      </c>
      <c r="G5476" s="267" t="s">
        <v>3926</v>
      </c>
      <c r="H5476" s="267" t="s">
        <v>10142</v>
      </c>
      <c r="I5476" s="267" t="s">
        <v>4168</v>
      </c>
      <c r="J5476" s="267" t="s">
        <v>3928</v>
      </c>
      <c r="K5476" s="267">
        <v>6475</v>
      </c>
      <c r="L5476" s="267">
        <v>670100</v>
      </c>
      <c r="M5476" s="267" t="s">
        <v>3960</v>
      </c>
      <c r="N5476" s="267" t="s">
        <v>10143</v>
      </c>
      <c r="O5476" s="267"/>
      <c r="P5476" s="267" t="s">
        <v>3944</v>
      </c>
      <c r="Q5476" s="267" t="s">
        <v>10143</v>
      </c>
      <c r="R5476" s="267">
        <v>213910.49</v>
      </c>
      <c r="S5476" s="267">
        <v>14081</v>
      </c>
      <c r="T5476" s="267">
        <v>227991.49</v>
      </c>
      <c r="U5476" s="268" t="s">
        <v>4099</v>
      </c>
      <c r="V5476" s="267" t="s">
        <v>944</v>
      </c>
    </row>
    <row r="5477" spans="1:22" x14ac:dyDescent="0.25">
      <c r="A5477" s="269">
        <v>43725</v>
      </c>
      <c r="B5477" s="270">
        <v>2019</v>
      </c>
      <c r="C5477" s="270">
        <v>2020</v>
      </c>
      <c r="D5477" s="270">
        <v>1</v>
      </c>
      <c r="E5477" s="270">
        <v>1</v>
      </c>
      <c r="F5477" s="270" t="s">
        <v>944</v>
      </c>
      <c r="G5477" s="270" t="s">
        <v>3926</v>
      </c>
      <c r="H5477" s="270" t="s">
        <v>10144</v>
      </c>
      <c r="I5477" s="270" t="s">
        <v>934</v>
      </c>
      <c r="J5477" s="270" t="s">
        <v>3928</v>
      </c>
      <c r="K5477" s="270">
        <v>6606</v>
      </c>
      <c r="L5477" s="270">
        <v>72200</v>
      </c>
      <c r="M5477" s="270">
        <v>-60</v>
      </c>
      <c r="N5477" s="270" t="s">
        <v>3944</v>
      </c>
      <c r="O5477" s="270">
        <v>1639.47</v>
      </c>
      <c r="P5477" s="270" t="s">
        <v>3944</v>
      </c>
      <c r="Q5477" s="270" t="s">
        <v>3944</v>
      </c>
      <c r="R5477" s="270">
        <v>1639.47</v>
      </c>
      <c r="S5477" s="270">
        <v>24806.71</v>
      </c>
      <c r="T5477" s="270">
        <v>26446.18</v>
      </c>
      <c r="U5477" s="271" t="s">
        <v>3945</v>
      </c>
      <c r="V5477" s="276" t="s">
        <v>936</v>
      </c>
    </row>
    <row r="5478" spans="1:22" x14ac:dyDescent="0.25">
      <c r="A5478" s="266">
        <v>43725</v>
      </c>
      <c r="B5478" s="267">
        <v>2019</v>
      </c>
      <c r="C5478" s="267">
        <v>2020</v>
      </c>
      <c r="D5478" s="267">
        <v>1</v>
      </c>
      <c r="E5478" s="267">
        <v>1</v>
      </c>
      <c r="F5478" s="267" t="s">
        <v>944</v>
      </c>
      <c r="G5478" s="267" t="s">
        <v>3926</v>
      </c>
      <c r="H5478" s="267" t="s">
        <v>10145</v>
      </c>
      <c r="I5478" s="267" t="s">
        <v>943</v>
      </c>
      <c r="J5478" s="267" t="s">
        <v>3928</v>
      </c>
      <c r="K5478" s="267">
        <v>6511</v>
      </c>
      <c r="L5478" s="267">
        <v>141500</v>
      </c>
      <c r="M5478" s="267">
        <v>-60</v>
      </c>
      <c r="N5478" s="267" t="s">
        <v>3944</v>
      </c>
      <c r="O5478" s="267">
        <v>805.32</v>
      </c>
      <c r="P5478" s="267" t="s">
        <v>3944</v>
      </c>
      <c r="Q5478" s="267" t="s">
        <v>3944</v>
      </c>
      <c r="R5478" s="267">
        <v>805.32</v>
      </c>
      <c r="S5478" s="267">
        <v>11613.47</v>
      </c>
      <c r="T5478" s="267">
        <v>12418.79</v>
      </c>
      <c r="U5478" s="268" t="s">
        <v>3945</v>
      </c>
      <c r="V5478" s="276" t="s">
        <v>936</v>
      </c>
    </row>
    <row r="5479" spans="1:22" x14ac:dyDescent="0.25">
      <c r="A5479" s="269">
        <v>43725</v>
      </c>
      <c r="B5479" s="270">
        <v>2019</v>
      </c>
      <c r="C5479" s="270">
        <v>2020</v>
      </c>
      <c r="D5479" s="270">
        <v>1</v>
      </c>
      <c r="E5479" s="270">
        <v>1</v>
      </c>
      <c r="F5479" s="270" t="s">
        <v>944</v>
      </c>
      <c r="G5479" s="270" t="s">
        <v>3926</v>
      </c>
      <c r="H5479" s="270" t="s">
        <v>10146</v>
      </c>
      <c r="I5479" s="270" t="s">
        <v>943</v>
      </c>
      <c r="J5479" s="270" t="s">
        <v>3928</v>
      </c>
      <c r="K5479" s="270">
        <v>6519</v>
      </c>
      <c r="L5479" s="270">
        <v>140500</v>
      </c>
      <c r="M5479" s="270">
        <v>-60</v>
      </c>
      <c r="N5479" s="270" t="s">
        <v>3944</v>
      </c>
      <c r="O5479" s="270">
        <v>1473.33</v>
      </c>
      <c r="P5479" s="270" t="s">
        <v>3944</v>
      </c>
      <c r="Q5479" s="270" t="s">
        <v>3944</v>
      </c>
      <c r="R5479" s="270">
        <v>1473.33</v>
      </c>
      <c r="S5479" s="270">
        <v>24854.06</v>
      </c>
      <c r="T5479" s="270">
        <v>26327.39</v>
      </c>
      <c r="U5479" s="271" t="s">
        <v>3945</v>
      </c>
      <c r="V5479" s="276" t="s">
        <v>936</v>
      </c>
    </row>
    <row r="5480" spans="1:22" hidden="1" x14ac:dyDescent="0.25">
      <c r="A5480" s="266">
        <v>43725</v>
      </c>
      <c r="B5480" s="267">
        <v>2019</v>
      </c>
      <c r="C5480" s="267">
        <v>2020</v>
      </c>
      <c r="D5480" s="267">
        <v>1</v>
      </c>
      <c r="E5480" s="267">
        <v>1</v>
      </c>
      <c r="F5480" s="267" t="s">
        <v>944</v>
      </c>
      <c r="G5480" s="267" t="s">
        <v>3926</v>
      </c>
      <c r="H5480" s="267" t="s">
        <v>10147</v>
      </c>
      <c r="I5480" s="267" t="s">
        <v>3008</v>
      </c>
      <c r="J5480" s="267" t="s">
        <v>3928</v>
      </c>
      <c r="K5480" s="267">
        <v>6460</v>
      </c>
      <c r="L5480" s="267">
        <v>150300</v>
      </c>
      <c r="M5480" s="267" t="s">
        <v>3960</v>
      </c>
      <c r="N5480" s="267" t="s">
        <v>3944</v>
      </c>
      <c r="O5480" s="267">
        <v>829.78</v>
      </c>
      <c r="P5480" s="267" t="s">
        <v>3944</v>
      </c>
      <c r="Q5480" s="267" t="s">
        <v>3944</v>
      </c>
      <c r="R5480" s="267">
        <v>829.78</v>
      </c>
      <c r="S5480" s="267">
        <v>14467.26</v>
      </c>
      <c r="T5480" s="267">
        <v>15297.04</v>
      </c>
      <c r="U5480" s="268" t="s">
        <v>3945</v>
      </c>
      <c r="V5480" s="267" t="s">
        <v>944</v>
      </c>
    </row>
    <row r="5481" spans="1:22" hidden="1" x14ac:dyDescent="0.25">
      <c r="A5481" s="269">
        <v>43726</v>
      </c>
      <c r="B5481" s="270">
        <v>2019</v>
      </c>
      <c r="C5481" s="270">
        <v>2020</v>
      </c>
      <c r="D5481" s="270">
        <v>1</v>
      </c>
      <c r="E5481" s="270">
        <v>1</v>
      </c>
      <c r="F5481" s="270" t="s">
        <v>944</v>
      </c>
      <c r="G5481" s="270" t="s">
        <v>3926</v>
      </c>
      <c r="H5481" s="270" t="s">
        <v>10148</v>
      </c>
      <c r="I5481" s="270" t="s">
        <v>4111</v>
      </c>
      <c r="J5481" s="270" t="s">
        <v>3928</v>
      </c>
      <c r="K5481" s="270">
        <v>6095</v>
      </c>
      <c r="L5481" s="270">
        <v>473700</v>
      </c>
      <c r="M5481" s="270" t="s">
        <v>3935</v>
      </c>
      <c r="N5481" s="270" t="s">
        <v>10149</v>
      </c>
      <c r="O5481" s="270">
        <v>0</v>
      </c>
      <c r="P5481" s="270" t="s">
        <v>3930</v>
      </c>
      <c r="Q5481" s="270" t="s">
        <v>3930</v>
      </c>
      <c r="R5481" s="270">
        <v>0</v>
      </c>
      <c r="S5481" s="270">
        <v>8865</v>
      </c>
      <c r="T5481" s="270">
        <v>8865</v>
      </c>
      <c r="U5481" s="271" t="s">
        <v>3937</v>
      </c>
      <c r="V5481" s="267" t="s">
        <v>944</v>
      </c>
    </row>
    <row r="5482" spans="1:22" hidden="1" x14ac:dyDescent="0.25">
      <c r="A5482" s="266">
        <v>43726</v>
      </c>
      <c r="B5482" s="267">
        <v>2019</v>
      </c>
      <c r="C5482" s="267">
        <v>2020</v>
      </c>
      <c r="D5482" s="267">
        <v>1</v>
      </c>
      <c r="E5482" s="267">
        <v>1</v>
      </c>
      <c r="F5482" s="267" t="s">
        <v>944</v>
      </c>
      <c r="G5482" s="267" t="s">
        <v>3926</v>
      </c>
      <c r="H5482" s="267" t="s">
        <v>10150</v>
      </c>
      <c r="I5482" s="267" t="s">
        <v>953</v>
      </c>
      <c r="J5482" s="267" t="s">
        <v>3928</v>
      </c>
      <c r="K5482" s="267">
        <v>6514</v>
      </c>
      <c r="L5482" s="267">
        <v>165802</v>
      </c>
      <c r="M5482" s="267" t="s">
        <v>3943</v>
      </c>
      <c r="N5482" s="267" t="s">
        <v>10151</v>
      </c>
      <c r="O5482" s="267">
        <v>0</v>
      </c>
      <c r="P5482" s="267" t="s">
        <v>3930</v>
      </c>
      <c r="Q5482" s="267" t="s">
        <v>3930</v>
      </c>
      <c r="R5482" s="267">
        <v>0</v>
      </c>
      <c r="S5482" s="267">
        <v>10979</v>
      </c>
      <c r="T5482" s="267">
        <v>10979</v>
      </c>
      <c r="U5482" s="268" t="s">
        <v>3937</v>
      </c>
      <c r="V5482" s="267" t="s">
        <v>944</v>
      </c>
    </row>
    <row r="5483" spans="1:22" hidden="1" x14ac:dyDescent="0.25">
      <c r="A5483" s="269">
        <v>43726</v>
      </c>
      <c r="B5483" s="270">
        <v>2019</v>
      </c>
      <c r="C5483" s="270">
        <v>2020</v>
      </c>
      <c r="D5483" s="270">
        <v>1</v>
      </c>
      <c r="E5483" s="270">
        <v>1</v>
      </c>
      <c r="F5483" s="270" t="s">
        <v>944</v>
      </c>
      <c r="G5483" s="270" t="s">
        <v>3926</v>
      </c>
      <c r="H5483" s="270" t="s">
        <v>10152</v>
      </c>
      <c r="I5483" s="270" t="s">
        <v>943</v>
      </c>
      <c r="J5483" s="270" t="s">
        <v>3928</v>
      </c>
      <c r="K5483" s="270">
        <v>6513</v>
      </c>
      <c r="L5483" s="270">
        <v>142604</v>
      </c>
      <c r="M5483" s="270" t="s">
        <v>3935</v>
      </c>
      <c r="N5483" s="270" t="s">
        <v>10153</v>
      </c>
      <c r="O5483" s="270">
        <v>0</v>
      </c>
      <c r="P5483" s="270" t="s">
        <v>3930</v>
      </c>
      <c r="Q5483" s="270" t="s">
        <v>3930</v>
      </c>
      <c r="R5483" s="270">
        <v>0</v>
      </c>
      <c r="S5483" s="270">
        <v>29175</v>
      </c>
      <c r="T5483" s="270">
        <v>29175</v>
      </c>
      <c r="U5483" s="271" t="s">
        <v>3937</v>
      </c>
      <c r="V5483" s="267" t="s">
        <v>944</v>
      </c>
    </row>
    <row r="5484" spans="1:22" hidden="1" x14ac:dyDescent="0.25">
      <c r="A5484" s="266">
        <v>43726</v>
      </c>
      <c r="B5484" s="267">
        <v>2019</v>
      </c>
      <c r="C5484" s="267">
        <v>2020</v>
      </c>
      <c r="D5484" s="267">
        <v>1</v>
      </c>
      <c r="E5484" s="267">
        <v>1</v>
      </c>
      <c r="F5484" s="267" t="s">
        <v>944</v>
      </c>
      <c r="G5484" s="267" t="s">
        <v>3997</v>
      </c>
      <c r="H5484" s="267" t="s">
        <v>10154</v>
      </c>
      <c r="I5484" s="267" t="s">
        <v>4035</v>
      </c>
      <c r="J5484" s="267" t="s">
        <v>3928</v>
      </c>
      <c r="K5484" s="267">
        <v>6074</v>
      </c>
      <c r="L5484" s="267">
        <v>487400</v>
      </c>
      <c r="M5484" s="267" t="s">
        <v>3943</v>
      </c>
      <c r="N5484" s="267" t="s">
        <v>3983</v>
      </c>
      <c r="O5484" s="267">
        <v>3501.18</v>
      </c>
      <c r="P5484" s="267" t="s">
        <v>3930</v>
      </c>
      <c r="Q5484" s="267" t="s">
        <v>3931</v>
      </c>
      <c r="R5484" s="267">
        <v>8501.18</v>
      </c>
      <c r="S5484" s="267">
        <v>16504</v>
      </c>
      <c r="T5484" s="267">
        <v>25005.18</v>
      </c>
      <c r="U5484" s="268" t="s">
        <v>3932</v>
      </c>
      <c r="V5484" s="267" t="s">
        <v>944</v>
      </c>
    </row>
    <row r="5485" spans="1:22" hidden="1" x14ac:dyDescent="0.25">
      <c r="A5485" s="269">
        <v>43726</v>
      </c>
      <c r="B5485" s="270">
        <v>2019</v>
      </c>
      <c r="C5485" s="270">
        <v>2020</v>
      </c>
      <c r="D5485" s="270">
        <v>1</v>
      </c>
      <c r="E5485" s="270">
        <v>1</v>
      </c>
      <c r="F5485" s="270" t="s">
        <v>944</v>
      </c>
      <c r="G5485" s="270" t="s">
        <v>3997</v>
      </c>
      <c r="H5485" s="270" t="s">
        <v>10155</v>
      </c>
      <c r="I5485" s="270" t="s">
        <v>934</v>
      </c>
      <c r="J5485" s="270" t="s">
        <v>3928</v>
      </c>
      <c r="K5485" s="270">
        <v>6601</v>
      </c>
      <c r="L5485" s="270">
        <v>240200</v>
      </c>
      <c r="M5485" s="270" t="s">
        <v>3943</v>
      </c>
      <c r="N5485" s="270" t="s">
        <v>4498</v>
      </c>
      <c r="O5485" s="270">
        <v>2906.69</v>
      </c>
      <c r="P5485" s="270" t="s">
        <v>3930</v>
      </c>
      <c r="Q5485" s="270" t="s">
        <v>3931</v>
      </c>
      <c r="R5485" s="270">
        <v>7906.69</v>
      </c>
      <c r="S5485" s="270">
        <v>21752</v>
      </c>
      <c r="T5485" s="270">
        <v>29658.69</v>
      </c>
      <c r="U5485" s="271" t="s">
        <v>3932</v>
      </c>
      <c r="V5485" s="267" t="s">
        <v>944</v>
      </c>
    </row>
    <row r="5486" spans="1:22" hidden="1" x14ac:dyDescent="0.25">
      <c r="A5486" s="266">
        <v>43726</v>
      </c>
      <c r="B5486" s="267">
        <v>2019</v>
      </c>
      <c r="C5486" s="267">
        <v>2020</v>
      </c>
      <c r="D5486" s="267">
        <v>1</v>
      </c>
      <c r="E5486" s="267">
        <v>1</v>
      </c>
      <c r="F5486" s="267" t="s">
        <v>944</v>
      </c>
      <c r="G5486" s="267" t="s">
        <v>3926</v>
      </c>
      <c r="H5486" s="267" t="s">
        <v>10156</v>
      </c>
      <c r="I5486" s="267" t="s">
        <v>4699</v>
      </c>
      <c r="J5486" s="267" t="s">
        <v>3928</v>
      </c>
      <c r="K5486" s="267">
        <v>6354</v>
      </c>
      <c r="L5486" s="267">
        <v>908100</v>
      </c>
      <c r="M5486" s="267" t="s">
        <v>3935</v>
      </c>
      <c r="N5486" s="267" t="s">
        <v>3944</v>
      </c>
      <c r="O5486" s="267">
        <v>3736</v>
      </c>
      <c r="P5486" s="267" t="s">
        <v>3944</v>
      </c>
      <c r="Q5486" s="267" t="s">
        <v>3944</v>
      </c>
      <c r="R5486" s="267">
        <v>3736</v>
      </c>
      <c r="S5486" s="267">
        <v>17822</v>
      </c>
      <c r="T5486" s="267">
        <v>21558</v>
      </c>
      <c r="U5486" s="268" t="s">
        <v>3945</v>
      </c>
      <c r="V5486" s="267" t="s">
        <v>944</v>
      </c>
    </row>
    <row r="5487" spans="1:22" hidden="1" x14ac:dyDescent="0.25">
      <c r="A5487" s="269">
        <v>43726</v>
      </c>
      <c r="B5487" s="270">
        <v>2019</v>
      </c>
      <c r="C5487" s="270">
        <v>2020</v>
      </c>
      <c r="D5487" s="270">
        <v>1</v>
      </c>
      <c r="E5487" s="270">
        <v>1</v>
      </c>
      <c r="F5487" s="270" t="s">
        <v>944</v>
      </c>
      <c r="G5487" s="270" t="s">
        <v>3926</v>
      </c>
      <c r="H5487" s="270" t="s">
        <v>10157</v>
      </c>
      <c r="I5487" s="270" t="s">
        <v>4046</v>
      </c>
      <c r="J5487" s="270" t="s">
        <v>3928</v>
      </c>
      <c r="K5487" s="270">
        <v>6281</v>
      </c>
      <c r="L5487" s="270">
        <v>901100</v>
      </c>
      <c r="M5487" s="270" t="s">
        <v>3960</v>
      </c>
      <c r="N5487" s="270" t="s">
        <v>3944</v>
      </c>
      <c r="O5487" s="270">
        <v>5139</v>
      </c>
      <c r="P5487" s="270" t="s">
        <v>3944</v>
      </c>
      <c r="Q5487" s="270" t="s">
        <v>3944</v>
      </c>
      <c r="R5487" s="270">
        <v>5139</v>
      </c>
      <c r="S5487" s="270">
        <v>50616</v>
      </c>
      <c r="T5487" s="270">
        <v>55755</v>
      </c>
      <c r="U5487" s="271" t="s">
        <v>3945</v>
      </c>
      <c r="V5487" s="267" t="s">
        <v>944</v>
      </c>
    </row>
    <row r="5488" spans="1:22" hidden="1" x14ac:dyDescent="0.25">
      <c r="A5488" s="266">
        <v>43726</v>
      </c>
      <c r="B5488" s="267">
        <v>2019</v>
      </c>
      <c r="C5488" s="267">
        <v>2020</v>
      </c>
      <c r="D5488" s="267">
        <v>1</v>
      </c>
      <c r="E5488" s="267">
        <v>1</v>
      </c>
      <c r="F5488" s="267" t="s">
        <v>944</v>
      </c>
      <c r="G5488" s="267" t="s">
        <v>3926</v>
      </c>
      <c r="H5488" s="267" t="s">
        <v>10158</v>
      </c>
      <c r="I5488" s="267" t="s">
        <v>4040</v>
      </c>
      <c r="J5488" s="267" t="s">
        <v>3928</v>
      </c>
      <c r="K5488" s="267">
        <v>6339</v>
      </c>
      <c r="L5488" s="267">
        <v>701100</v>
      </c>
      <c r="M5488" s="267" t="s">
        <v>3960</v>
      </c>
      <c r="N5488" s="267" t="s">
        <v>3944</v>
      </c>
      <c r="O5488" s="267">
        <v>3000</v>
      </c>
      <c r="P5488" s="267" t="s">
        <v>3944</v>
      </c>
      <c r="Q5488" s="267" t="s">
        <v>3944</v>
      </c>
      <c r="R5488" s="267">
        <v>3000</v>
      </c>
      <c r="S5488" s="267">
        <v>19974.95</v>
      </c>
      <c r="T5488" s="267">
        <v>22974.95</v>
      </c>
      <c r="U5488" s="268" t="s">
        <v>3945</v>
      </c>
      <c r="V5488" s="267" t="s">
        <v>944</v>
      </c>
    </row>
    <row r="5489" spans="1:22" hidden="1" x14ac:dyDescent="0.25">
      <c r="A5489" s="269">
        <v>43726</v>
      </c>
      <c r="B5489" s="270">
        <v>2019</v>
      </c>
      <c r="C5489" s="270">
        <v>2020</v>
      </c>
      <c r="D5489" s="270">
        <v>1</v>
      </c>
      <c r="E5489" s="270">
        <v>1</v>
      </c>
      <c r="F5489" s="270" t="s">
        <v>944</v>
      </c>
      <c r="G5489" s="270" t="s">
        <v>3926</v>
      </c>
      <c r="H5489" s="270" t="s">
        <v>10159</v>
      </c>
      <c r="I5489" s="270" t="s">
        <v>2985</v>
      </c>
      <c r="J5489" s="270" t="s">
        <v>3928</v>
      </c>
      <c r="K5489" s="270">
        <v>6890</v>
      </c>
      <c r="L5489" s="270">
        <v>60600</v>
      </c>
      <c r="M5489" s="270" t="s">
        <v>3943</v>
      </c>
      <c r="N5489" s="270" t="s">
        <v>3944</v>
      </c>
      <c r="O5489" s="270">
        <v>2801</v>
      </c>
      <c r="P5489" s="270" t="s">
        <v>3944</v>
      </c>
      <c r="Q5489" s="270" t="s">
        <v>3944</v>
      </c>
      <c r="R5489" s="270">
        <v>2801</v>
      </c>
      <c r="S5489" s="270">
        <v>21277.599999999999</v>
      </c>
      <c r="T5489" s="270">
        <v>24078.6</v>
      </c>
      <c r="U5489" s="271" t="s">
        <v>3945</v>
      </c>
      <c r="V5489" s="267" t="s">
        <v>944</v>
      </c>
    </row>
    <row r="5490" spans="1:22" hidden="1" x14ac:dyDescent="0.25">
      <c r="A5490" s="266">
        <v>43726</v>
      </c>
      <c r="B5490" s="267">
        <v>2019</v>
      </c>
      <c r="C5490" s="267">
        <v>2020</v>
      </c>
      <c r="D5490" s="267">
        <v>1</v>
      </c>
      <c r="E5490" s="267">
        <v>1</v>
      </c>
      <c r="F5490" s="267" t="s">
        <v>944</v>
      </c>
      <c r="G5490" s="267" t="s">
        <v>3926</v>
      </c>
      <c r="H5490" s="267" t="s">
        <v>10160</v>
      </c>
      <c r="I5490" s="267" t="s">
        <v>4055</v>
      </c>
      <c r="J5490" s="267" t="s">
        <v>3928</v>
      </c>
      <c r="K5490" s="267">
        <v>6070</v>
      </c>
      <c r="L5490" s="267">
        <v>466102</v>
      </c>
      <c r="M5490" s="267" t="s">
        <v>3943</v>
      </c>
      <c r="N5490" s="267" t="s">
        <v>3944</v>
      </c>
      <c r="O5490" s="267">
        <v>2940</v>
      </c>
      <c r="P5490" s="267" t="s">
        <v>3944</v>
      </c>
      <c r="Q5490" s="267" t="s">
        <v>3944</v>
      </c>
      <c r="R5490" s="267">
        <v>2940</v>
      </c>
      <c r="S5490" s="267">
        <v>34562.21</v>
      </c>
      <c r="T5490" s="267">
        <v>37502.21</v>
      </c>
      <c r="U5490" s="268" t="s">
        <v>3945</v>
      </c>
      <c r="V5490" s="267" t="s">
        <v>944</v>
      </c>
    </row>
    <row r="5491" spans="1:22" hidden="1" x14ac:dyDescent="0.25">
      <c r="A5491" s="269">
        <v>43726</v>
      </c>
      <c r="B5491" s="270">
        <v>2019</v>
      </c>
      <c r="C5491" s="270">
        <v>2020</v>
      </c>
      <c r="D5491" s="270">
        <v>1</v>
      </c>
      <c r="E5491" s="270">
        <v>1</v>
      </c>
      <c r="F5491" s="270" t="s">
        <v>944</v>
      </c>
      <c r="G5491" s="270" t="s">
        <v>3926</v>
      </c>
      <c r="H5491" s="270" t="s">
        <v>10161</v>
      </c>
      <c r="I5491" s="270" t="s">
        <v>3968</v>
      </c>
      <c r="J5491" s="270" t="s">
        <v>3928</v>
      </c>
      <c r="K5491" s="270">
        <v>6042</v>
      </c>
      <c r="L5491" s="270">
        <v>514400</v>
      </c>
      <c r="M5491" s="270" t="s">
        <v>3940</v>
      </c>
      <c r="N5491" s="270" t="s">
        <v>3944</v>
      </c>
      <c r="O5491" s="270">
        <v>1775.94</v>
      </c>
      <c r="P5491" s="270" t="s">
        <v>3944</v>
      </c>
      <c r="Q5491" s="270" t="s">
        <v>3944</v>
      </c>
      <c r="R5491" s="270">
        <v>1775.94</v>
      </c>
      <c r="S5491" s="270">
        <v>24244.18</v>
      </c>
      <c r="T5491" s="270">
        <v>26020.12</v>
      </c>
      <c r="U5491" s="271" t="s">
        <v>3945</v>
      </c>
      <c r="V5491" s="267" t="s">
        <v>944</v>
      </c>
    </row>
    <row r="5492" spans="1:22" hidden="1" x14ac:dyDescent="0.25">
      <c r="A5492" s="266">
        <v>43726</v>
      </c>
      <c r="B5492" s="267">
        <v>2019</v>
      </c>
      <c r="C5492" s="267">
        <v>2020</v>
      </c>
      <c r="D5492" s="267">
        <v>1</v>
      </c>
      <c r="E5492" s="267">
        <v>1</v>
      </c>
      <c r="F5492" s="267" t="s">
        <v>944</v>
      </c>
      <c r="G5492" s="267" t="s">
        <v>3926</v>
      </c>
      <c r="H5492" s="267" t="s">
        <v>10162</v>
      </c>
      <c r="I5492" s="267" t="s">
        <v>4297</v>
      </c>
      <c r="J5492" s="267" t="s">
        <v>3928</v>
      </c>
      <c r="K5492" s="267">
        <v>6248</v>
      </c>
      <c r="L5492" s="267">
        <v>526102</v>
      </c>
      <c r="M5492" s="267" t="s">
        <v>3943</v>
      </c>
      <c r="N5492" s="267" t="s">
        <v>3944</v>
      </c>
      <c r="O5492" s="267">
        <v>2168.3200000000002</v>
      </c>
      <c r="P5492" s="267" t="s">
        <v>3944</v>
      </c>
      <c r="Q5492" s="267" t="s">
        <v>3944</v>
      </c>
      <c r="R5492" s="267">
        <v>2168.3200000000002</v>
      </c>
      <c r="S5492" s="267">
        <v>28474.13</v>
      </c>
      <c r="T5492" s="267">
        <v>30642.45</v>
      </c>
      <c r="U5492" s="268" t="s">
        <v>3945</v>
      </c>
      <c r="V5492" s="267" t="s">
        <v>944</v>
      </c>
    </row>
    <row r="5493" spans="1:22" hidden="1" x14ac:dyDescent="0.25">
      <c r="A5493" s="269">
        <v>43726</v>
      </c>
      <c r="B5493" s="270">
        <v>2019</v>
      </c>
      <c r="C5493" s="270">
        <v>2020</v>
      </c>
      <c r="D5493" s="270">
        <v>1</v>
      </c>
      <c r="E5493" s="270">
        <v>1</v>
      </c>
      <c r="F5493" s="270" t="s">
        <v>944</v>
      </c>
      <c r="G5493" s="270" t="s">
        <v>3926</v>
      </c>
      <c r="H5493" s="270" t="s">
        <v>10163</v>
      </c>
      <c r="I5493" s="270" t="s">
        <v>4069</v>
      </c>
      <c r="J5493" s="270" t="s">
        <v>3928</v>
      </c>
      <c r="K5493" s="270">
        <v>6902</v>
      </c>
      <c r="L5493" s="270">
        <v>22100</v>
      </c>
      <c r="M5493" s="270" t="s">
        <v>3940</v>
      </c>
      <c r="N5493" s="270" t="s">
        <v>3944</v>
      </c>
      <c r="O5493" s="270">
        <v>1252.69</v>
      </c>
      <c r="P5493" s="270" t="s">
        <v>3944</v>
      </c>
      <c r="Q5493" s="270" t="s">
        <v>3944</v>
      </c>
      <c r="R5493" s="270">
        <v>1252.69</v>
      </c>
      <c r="S5493" s="270">
        <v>15535.84</v>
      </c>
      <c r="T5493" s="270">
        <v>16788.53</v>
      </c>
      <c r="U5493" s="271" t="s">
        <v>3945</v>
      </c>
      <c r="V5493" s="267" t="s">
        <v>944</v>
      </c>
    </row>
    <row r="5494" spans="1:22" hidden="1" x14ac:dyDescent="0.25">
      <c r="A5494" s="266">
        <v>43726</v>
      </c>
      <c r="B5494" s="267">
        <v>2019</v>
      </c>
      <c r="C5494" s="267">
        <v>2020</v>
      </c>
      <c r="D5494" s="267">
        <v>1</v>
      </c>
      <c r="E5494" s="267">
        <v>1</v>
      </c>
      <c r="F5494" s="267" t="s">
        <v>944</v>
      </c>
      <c r="G5494" s="267" t="s">
        <v>3926</v>
      </c>
      <c r="H5494" s="267" t="s">
        <v>10164</v>
      </c>
      <c r="I5494" s="267" t="s">
        <v>4232</v>
      </c>
      <c r="J5494" s="267" t="s">
        <v>3928</v>
      </c>
      <c r="K5494" s="267">
        <v>6483</v>
      </c>
      <c r="L5494" s="267">
        <v>130101</v>
      </c>
      <c r="M5494" s="267" t="s">
        <v>3940</v>
      </c>
      <c r="N5494" s="267" t="s">
        <v>3944</v>
      </c>
      <c r="O5494" s="267">
        <v>1505.91</v>
      </c>
      <c r="P5494" s="267" t="s">
        <v>3944</v>
      </c>
      <c r="Q5494" s="267" t="s">
        <v>3944</v>
      </c>
      <c r="R5494" s="267">
        <v>1505.91</v>
      </c>
      <c r="S5494" s="267">
        <v>29994.09</v>
      </c>
      <c r="T5494" s="267">
        <v>31500</v>
      </c>
      <c r="U5494" s="268" t="s">
        <v>3945</v>
      </c>
      <c r="V5494" s="267" t="s">
        <v>944</v>
      </c>
    </row>
    <row r="5495" spans="1:22" x14ac:dyDescent="0.25">
      <c r="A5495" s="269">
        <v>43726</v>
      </c>
      <c r="B5495" s="270">
        <v>2019</v>
      </c>
      <c r="C5495" s="270">
        <v>2020</v>
      </c>
      <c r="D5495" s="270">
        <v>1</v>
      </c>
      <c r="E5495" s="270">
        <v>1</v>
      </c>
      <c r="F5495" s="270" t="s">
        <v>944</v>
      </c>
      <c r="G5495" s="270" t="s">
        <v>3926</v>
      </c>
      <c r="H5495" s="270" t="s">
        <v>10165</v>
      </c>
      <c r="I5495" s="270" t="s">
        <v>3010</v>
      </c>
      <c r="J5495" s="270" t="s">
        <v>3928</v>
      </c>
      <c r="K5495" s="270">
        <v>6401</v>
      </c>
      <c r="L5495" s="270">
        <v>125300</v>
      </c>
      <c r="M5495" s="270" t="s">
        <v>3940</v>
      </c>
      <c r="N5495" s="270" t="s">
        <v>3944</v>
      </c>
      <c r="O5495" s="270">
        <v>1661.24</v>
      </c>
      <c r="P5495" s="270" t="s">
        <v>3944</v>
      </c>
      <c r="Q5495" s="270" t="s">
        <v>3944</v>
      </c>
      <c r="R5495" s="270">
        <v>1661.24</v>
      </c>
      <c r="S5495" s="270">
        <v>32717.360000000001</v>
      </c>
      <c r="T5495" s="270">
        <v>34378.6</v>
      </c>
      <c r="U5495" s="271" t="s">
        <v>3945</v>
      </c>
      <c r="V5495" s="276" t="s">
        <v>936</v>
      </c>
    </row>
    <row r="5496" spans="1:22" hidden="1" x14ac:dyDescent="0.25">
      <c r="A5496" s="266">
        <v>43726</v>
      </c>
      <c r="B5496" s="267">
        <v>2019</v>
      </c>
      <c r="C5496" s="267">
        <v>2020</v>
      </c>
      <c r="D5496" s="267">
        <v>1</v>
      </c>
      <c r="E5496" s="267">
        <v>1</v>
      </c>
      <c r="F5496" s="267" t="s">
        <v>944</v>
      </c>
      <c r="G5496" s="267" t="s">
        <v>3926</v>
      </c>
      <c r="H5496" s="267" t="s">
        <v>10166</v>
      </c>
      <c r="I5496" s="267" t="s">
        <v>4200</v>
      </c>
      <c r="J5496" s="267" t="s">
        <v>3928</v>
      </c>
      <c r="K5496" s="267">
        <v>6795</v>
      </c>
      <c r="L5496" s="267">
        <v>360100</v>
      </c>
      <c r="M5496" s="267" t="s">
        <v>3935</v>
      </c>
      <c r="N5496" s="267" t="s">
        <v>3944</v>
      </c>
      <c r="O5496" s="267">
        <v>2138.2600000000002</v>
      </c>
      <c r="P5496" s="267" t="s">
        <v>3944</v>
      </c>
      <c r="Q5496" s="267" t="s">
        <v>3944</v>
      </c>
      <c r="R5496" s="267">
        <v>2138.2600000000002</v>
      </c>
      <c r="S5496" s="267">
        <v>29853.66</v>
      </c>
      <c r="T5496" s="267">
        <v>31991.919999999998</v>
      </c>
      <c r="U5496" s="268" t="s">
        <v>3945</v>
      </c>
      <c r="V5496" s="267" t="s">
        <v>944</v>
      </c>
    </row>
    <row r="5497" spans="1:22" hidden="1" x14ac:dyDescent="0.25">
      <c r="A5497" s="269">
        <v>43726</v>
      </c>
      <c r="B5497" s="270">
        <v>2019</v>
      </c>
      <c r="C5497" s="270">
        <v>2020</v>
      </c>
      <c r="D5497" s="270">
        <v>1</v>
      </c>
      <c r="E5497" s="270">
        <v>1</v>
      </c>
      <c r="F5497" s="270" t="s">
        <v>944</v>
      </c>
      <c r="G5497" s="270" t="s">
        <v>3926</v>
      </c>
      <c r="H5497" s="270" t="s">
        <v>10167</v>
      </c>
      <c r="I5497" s="270" t="s">
        <v>4079</v>
      </c>
      <c r="J5497" s="270" t="s">
        <v>3928</v>
      </c>
      <c r="K5497" s="270">
        <v>6111</v>
      </c>
      <c r="L5497" s="270">
        <v>494400</v>
      </c>
      <c r="M5497" s="270" t="s">
        <v>3935</v>
      </c>
      <c r="N5497" s="270" t="s">
        <v>3944</v>
      </c>
      <c r="O5497" s="270">
        <v>1454.25</v>
      </c>
      <c r="P5497" s="270" t="s">
        <v>3944</v>
      </c>
      <c r="Q5497" s="270" t="s">
        <v>3944</v>
      </c>
      <c r="R5497" s="270">
        <v>1454.25</v>
      </c>
      <c r="S5497" s="270">
        <v>21037.21</v>
      </c>
      <c r="T5497" s="270">
        <v>22491.46</v>
      </c>
      <c r="U5497" s="271" t="s">
        <v>3945</v>
      </c>
      <c r="V5497" s="267" t="s">
        <v>944</v>
      </c>
    </row>
    <row r="5498" spans="1:22" hidden="1" x14ac:dyDescent="0.25">
      <c r="A5498" s="266">
        <v>43726</v>
      </c>
      <c r="B5498" s="267">
        <v>2019</v>
      </c>
      <c r="C5498" s="267">
        <v>2020</v>
      </c>
      <c r="D5498" s="267">
        <v>1</v>
      </c>
      <c r="E5498" s="267">
        <v>1</v>
      </c>
      <c r="F5498" s="267" t="s">
        <v>944</v>
      </c>
      <c r="G5498" s="267" t="s">
        <v>3926</v>
      </c>
      <c r="H5498" s="267" t="s">
        <v>10168</v>
      </c>
      <c r="I5498" s="267" t="s">
        <v>953</v>
      </c>
      <c r="J5498" s="267" t="s">
        <v>3928</v>
      </c>
      <c r="K5498" s="267">
        <v>6518</v>
      </c>
      <c r="L5498" s="267">
        <v>165900</v>
      </c>
      <c r="M5498" s="267" t="s">
        <v>3943</v>
      </c>
      <c r="N5498" s="267" t="s">
        <v>3944</v>
      </c>
      <c r="O5498" s="267">
        <v>1910.93</v>
      </c>
      <c r="P5498" s="267" t="s">
        <v>3944</v>
      </c>
      <c r="Q5498" s="267" t="s">
        <v>3944</v>
      </c>
      <c r="R5498" s="267">
        <v>1910.93</v>
      </c>
      <c r="S5498" s="267">
        <v>25236.61</v>
      </c>
      <c r="T5498" s="267">
        <v>27147.54</v>
      </c>
      <c r="U5498" s="268" t="s">
        <v>3945</v>
      </c>
      <c r="V5498" s="267" t="s">
        <v>944</v>
      </c>
    </row>
    <row r="5499" spans="1:22" hidden="1" x14ac:dyDescent="0.25">
      <c r="A5499" s="269">
        <v>43726</v>
      </c>
      <c r="B5499" s="270">
        <v>2019</v>
      </c>
      <c r="C5499" s="270">
        <v>2020</v>
      </c>
      <c r="D5499" s="270">
        <v>1</v>
      </c>
      <c r="E5499" s="270">
        <v>1</v>
      </c>
      <c r="F5499" s="270" t="s">
        <v>944</v>
      </c>
      <c r="G5499" s="270" t="s">
        <v>3926</v>
      </c>
      <c r="H5499" s="270" t="s">
        <v>10169</v>
      </c>
      <c r="I5499" s="270" t="s">
        <v>4290</v>
      </c>
      <c r="J5499" s="270" t="s">
        <v>3928</v>
      </c>
      <c r="K5499" s="270">
        <v>6798</v>
      </c>
      <c r="L5499" s="270">
        <v>362101</v>
      </c>
      <c r="M5499" s="270" t="s">
        <v>3935</v>
      </c>
      <c r="N5499" s="270" t="s">
        <v>3944</v>
      </c>
      <c r="O5499" s="270">
        <v>4159.33</v>
      </c>
      <c r="P5499" s="270" t="s">
        <v>3944</v>
      </c>
      <c r="Q5499" s="270" t="s">
        <v>3944</v>
      </c>
      <c r="R5499" s="270">
        <v>4159.33</v>
      </c>
      <c r="S5499" s="270">
        <v>66495.759999999995</v>
      </c>
      <c r="T5499" s="270">
        <v>70655.09</v>
      </c>
      <c r="U5499" s="271" t="s">
        <v>3945</v>
      </c>
      <c r="V5499" s="267" t="s">
        <v>944</v>
      </c>
    </row>
    <row r="5500" spans="1:22" hidden="1" x14ac:dyDescent="0.25">
      <c r="A5500" s="266">
        <v>43726</v>
      </c>
      <c r="B5500" s="267">
        <v>2019</v>
      </c>
      <c r="C5500" s="267">
        <v>2020</v>
      </c>
      <c r="D5500" s="267">
        <v>1</v>
      </c>
      <c r="E5500" s="267">
        <v>1</v>
      </c>
      <c r="F5500" s="267" t="s">
        <v>944</v>
      </c>
      <c r="G5500" s="267" t="s">
        <v>3926</v>
      </c>
      <c r="H5500" s="267" t="s">
        <v>10170</v>
      </c>
      <c r="I5500" s="267" t="s">
        <v>3025</v>
      </c>
      <c r="J5500" s="267" t="s">
        <v>3928</v>
      </c>
      <c r="K5500" s="267">
        <v>6473</v>
      </c>
      <c r="L5500" s="267">
        <v>167300</v>
      </c>
      <c r="M5500" s="267" t="s">
        <v>3943</v>
      </c>
      <c r="N5500" s="267" t="s">
        <v>3944</v>
      </c>
      <c r="O5500" s="267">
        <v>3363.15</v>
      </c>
      <c r="P5500" s="267" t="s">
        <v>3944</v>
      </c>
      <c r="Q5500" s="267" t="s">
        <v>3944</v>
      </c>
      <c r="R5500" s="267">
        <v>3363.15</v>
      </c>
      <c r="S5500" s="267">
        <v>51135.16</v>
      </c>
      <c r="T5500" s="267">
        <v>54498.31</v>
      </c>
      <c r="U5500" s="268" t="s">
        <v>3945</v>
      </c>
      <c r="V5500" s="267" t="s">
        <v>944</v>
      </c>
    </row>
    <row r="5501" spans="1:22" hidden="1" x14ac:dyDescent="0.25">
      <c r="A5501" s="269">
        <v>43726</v>
      </c>
      <c r="B5501" s="270">
        <v>2019</v>
      </c>
      <c r="C5501" s="270">
        <v>2020</v>
      </c>
      <c r="D5501" s="270">
        <v>1</v>
      </c>
      <c r="E5501" s="270">
        <v>1</v>
      </c>
      <c r="F5501" s="270" t="s">
        <v>944</v>
      </c>
      <c r="G5501" s="270" t="s">
        <v>3926</v>
      </c>
      <c r="H5501" s="270" t="s">
        <v>10171</v>
      </c>
      <c r="I5501" s="270" t="s">
        <v>3026</v>
      </c>
      <c r="J5501" s="270" t="s">
        <v>3928</v>
      </c>
      <c r="K5501" s="270">
        <v>6471</v>
      </c>
      <c r="L5501" s="270">
        <v>186100</v>
      </c>
      <c r="M5501" s="270" t="s">
        <v>3935</v>
      </c>
      <c r="N5501" s="270" t="s">
        <v>3944</v>
      </c>
      <c r="O5501" s="270">
        <v>3955.25</v>
      </c>
      <c r="P5501" s="270" t="s">
        <v>3944</v>
      </c>
      <c r="Q5501" s="270" t="s">
        <v>3944</v>
      </c>
      <c r="R5501" s="270">
        <v>3955.25</v>
      </c>
      <c r="S5501" s="270">
        <v>62108.13</v>
      </c>
      <c r="T5501" s="270">
        <v>66063.38</v>
      </c>
      <c r="U5501" s="271" t="s">
        <v>3945</v>
      </c>
      <c r="V5501" s="267" t="s">
        <v>944</v>
      </c>
    </row>
    <row r="5502" spans="1:22" hidden="1" x14ac:dyDescent="0.25">
      <c r="A5502" s="266">
        <v>43726</v>
      </c>
      <c r="B5502" s="267">
        <v>2019</v>
      </c>
      <c r="C5502" s="267">
        <v>2020</v>
      </c>
      <c r="D5502" s="267">
        <v>1</v>
      </c>
      <c r="E5502" s="267">
        <v>1</v>
      </c>
      <c r="F5502" s="267" t="s">
        <v>944</v>
      </c>
      <c r="G5502" s="267" t="s">
        <v>3926</v>
      </c>
      <c r="H5502" s="267" t="s">
        <v>10172</v>
      </c>
      <c r="I5502" s="267" t="s">
        <v>6426</v>
      </c>
      <c r="J5502" s="267" t="s">
        <v>3928</v>
      </c>
      <c r="K5502" s="267">
        <v>6422</v>
      </c>
      <c r="L5502" s="267">
        <v>585100</v>
      </c>
      <c r="M5502" s="267" t="s">
        <v>3943</v>
      </c>
      <c r="N5502" s="267" t="s">
        <v>3944</v>
      </c>
      <c r="O5502" s="267">
        <v>2385.04</v>
      </c>
      <c r="P5502" s="267" t="s">
        <v>3944</v>
      </c>
      <c r="Q5502" s="267" t="s">
        <v>3944</v>
      </c>
      <c r="R5502" s="267">
        <v>2385.04</v>
      </c>
      <c r="S5502" s="267">
        <v>34537.870000000003</v>
      </c>
      <c r="T5502" s="267">
        <v>36922.910000000003</v>
      </c>
      <c r="U5502" s="268" t="s">
        <v>3945</v>
      </c>
      <c r="V5502" s="267" t="s">
        <v>944</v>
      </c>
    </row>
    <row r="5503" spans="1:22" hidden="1" x14ac:dyDescent="0.25">
      <c r="A5503" s="269">
        <v>43726</v>
      </c>
      <c r="B5503" s="270">
        <v>2019</v>
      </c>
      <c r="C5503" s="270">
        <v>2020</v>
      </c>
      <c r="D5503" s="270">
        <v>1</v>
      </c>
      <c r="E5503" s="270">
        <v>1</v>
      </c>
      <c r="F5503" s="270" t="s">
        <v>944</v>
      </c>
      <c r="G5503" s="270" t="s">
        <v>3926</v>
      </c>
      <c r="H5503" s="270" t="s">
        <v>10173</v>
      </c>
      <c r="I5503" s="270" t="s">
        <v>943</v>
      </c>
      <c r="J5503" s="270" t="s">
        <v>3928</v>
      </c>
      <c r="K5503" s="270">
        <v>6511</v>
      </c>
      <c r="L5503" s="270">
        <v>141900</v>
      </c>
      <c r="M5503" s="270" t="s">
        <v>3935</v>
      </c>
      <c r="N5503" s="270" t="s">
        <v>3944</v>
      </c>
      <c r="O5503" s="270">
        <v>2312.4499999999998</v>
      </c>
      <c r="P5503" s="270" t="s">
        <v>3944</v>
      </c>
      <c r="Q5503" s="270" t="s">
        <v>3944</v>
      </c>
      <c r="R5503" s="270">
        <v>2312.4499999999998</v>
      </c>
      <c r="S5503" s="270">
        <v>32870.44</v>
      </c>
      <c r="T5503" s="270">
        <v>35182.89</v>
      </c>
      <c r="U5503" s="271" t="s">
        <v>3945</v>
      </c>
      <c r="V5503" s="267" t="s">
        <v>944</v>
      </c>
    </row>
    <row r="5504" spans="1:22" hidden="1" x14ac:dyDescent="0.25">
      <c r="A5504" s="266">
        <v>43726</v>
      </c>
      <c r="B5504" s="267">
        <v>2019</v>
      </c>
      <c r="C5504" s="267">
        <v>2020</v>
      </c>
      <c r="D5504" s="267">
        <v>1</v>
      </c>
      <c r="E5504" s="267">
        <v>1</v>
      </c>
      <c r="F5504" s="267" t="s">
        <v>944</v>
      </c>
      <c r="G5504" s="267" t="s">
        <v>3926</v>
      </c>
      <c r="H5504" s="267" t="s">
        <v>10174</v>
      </c>
      <c r="I5504" s="267" t="s">
        <v>950</v>
      </c>
      <c r="J5504" s="267" t="s">
        <v>3928</v>
      </c>
      <c r="K5504" s="267">
        <v>6516</v>
      </c>
      <c r="L5504" s="267">
        <v>154100</v>
      </c>
      <c r="M5504" s="267" t="s">
        <v>3940</v>
      </c>
      <c r="N5504" s="267" t="s">
        <v>3944</v>
      </c>
      <c r="O5504" s="267">
        <v>1181.95</v>
      </c>
      <c r="P5504" s="267" t="s">
        <v>3944</v>
      </c>
      <c r="Q5504" s="267" t="s">
        <v>3944</v>
      </c>
      <c r="R5504" s="267">
        <v>1181.95</v>
      </c>
      <c r="S5504" s="267">
        <v>16650.2</v>
      </c>
      <c r="T5504" s="267">
        <v>17832.150000000001</v>
      </c>
      <c r="U5504" s="268" t="s">
        <v>3945</v>
      </c>
      <c r="V5504" s="267" t="s">
        <v>944</v>
      </c>
    </row>
    <row r="5505" spans="1:22" hidden="1" x14ac:dyDescent="0.25">
      <c r="A5505" s="269">
        <v>43726</v>
      </c>
      <c r="B5505" s="270">
        <v>2019</v>
      </c>
      <c r="C5505" s="270">
        <v>2020</v>
      </c>
      <c r="D5505" s="270">
        <v>1</v>
      </c>
      <c r="E5505" s="270">
        <v>1</v>
      </c>
      <c r="F5505" s="270" t="s">
        <v>944</v>
      </c>
      <c r="G5505" s="270" t="s">
        <v>3926</v>
      </c>
      <c r="H5505" s="270" t="s">
        <v>10175</v>
      </c>
      <c r="I5505" s="270" t="s">
        <v>4111</v>
      </c>
      <c r="J5505" s="270" t="s">
        <v>3928</v>
      </c>
      <c r="K5505" s="270">
        <v>6095</v>
      </c>
      <c r="L5505" s="270">
        <v>473502</v>
      </c>
      <c r="M5505" s="270" t="s">
        <v>3960</v>
      </c>
      <c r="N5505" s="270" t="s">
        <v>3944</v>
      </c>
      <c r="O5505" s="270">
        <v>2686.39</v>
      </c>
      <c r="P5505" s="270" t="s">
        <v>3944</v>
      </c>
      <c r="Q5505" s="270" t="s">
        <v>3944</v>
      </c>
      <c r="R5505" s="270">
        <v>2686.39</v>
      </c>
      <c r="S5505" s="270">
        <v>37111.61</v>
      </c>
      <c r="T5505" s="270">
        <v>39798</v>
      </c>
      <c r="U5505" s="271" t="s">
        <v>3945</v>
      </c>
      <c r="V5505" s="267" t="s">
        <v>944</v>
      </c>
    </row>
    <row r="5506" spans="1:22" hidden="1" x14ac:dyDescent="0.25">
      <c r="A5506" s="266">
        <v>43726</v>
      </c>
      <c r="B5506" s="267">
        <v>2019</v>
      </c>
      <c r="C5506" s="267">
        <v>2020</v>
      </c>
      <c r="D5506" s="267">
        <v>1</v>
      </c>
      <c r="E5506" s="267">
        <v>1</v>
      </c>
      <c r="F5506" s="267" t="s">
        <v>944</v>
      </c>
      <c r="G5506" s="267" t="s">
        <v>3926</v>
      </c>
      <c r="H5506" s="267" t="s">
        <v>10176</v>
      </c>
      <c r="I5506" s="267" t="s">
        <v>4232</v>
      </c>
      <c r="J5506" s="267" t="s">
        <v>3928</v>
      </c>
      <c r="K5506" s="267">
        <v>6483</v>
      </c>
      <c r="L5506" s="267">
        <v>130101</v>
      </c>
      <c r="M5506" s="267" t="s">
        <v>3940</v>
      </c>
      <c r="N5506" s="267" t="s">
        <v>3944</v>
      </c>
      <c r="O5506" s="267">
        <v>1891.05</v>
      </c>
      <c r="P5506" s="267" t="s">
        <v>3944</v>
      </c>
      <c r="Q5506" s="267" t="s">
        <v>3944</v>
      </c>
      <c r="R5506" s="267">
        <v>1891.05</v>
      </c>
      <c r="S5506" s="267">
        <v>28313.95</v>
      </c>
      <c r="T5506" s="267">
        <v>30205</v>
      </c>
      <c r="U5506" s="268" t="s">
        <v>3945</v>
      </c>
      <c r="V5506" s="267" t="s">
        <v>944</v>
      </c>
    </row>
    <row r="5507" spans="1:22" hidden="1" x14ac:dyDescent="0.25">
      <c r="A5507" s="269">
        <v>43726</v>
      </c>
      <c r="B5507" s="270">
        <v>2019</v>
      </c>
      <c r="C5507" s="270">
        <v>2020</v>
      </c>
      <c r="D5507" s="270">
        <v>1</v>
      </c>
      <c r="E5507" s="270">
        <v>1</v>
      </c>
      <c r="F5507" s="270" t="s">
        <v>944</v>
      </c>
      <c r="G5507" s="270" t="s">
        <v>3926</v>
      </c>
      <c r="H5507" s="270" t="s">
        <v>10177</v>
      </c>
      <c r="I5507" s="270" t="s">
        <v>4353</v>
      </c>
      <c r="J5507" s="270" t="s">
        <v>3928</v>
      </c>
      <c r="K5507" s="270">
        <v>6416</v>
      </c>
      <c r="L5507" s="270">
        <v>570200</v>
      </c>
      <c r="M5507" s="270" t="s">
        <v>3943</v>
      </c>
      <c r="N5507" s="270" t="s">
        <v>3944</v>
      </c>
      <c r="O5507" s="270">
        <v>2123.52</v>
      </c>
      <c r="P5507" s="270" t="s">
        <v>3944</v>
      </c>
      <c r="Q5507" s="270" t="s">
        <v>3944</v>
      </c>
      <c r="R5507" s="270">
        <v>2123.52</v>
      </c>
      <c r="S5507" s="270">
        <v>29505.9</v>
      </c>
      <c r="T5507" s="270">
        <v>31629.42</v>
      </c>
      <c r="U5507" s="271" t="s">
        <v>3945</v>
      </c>
      <c r="V5507" s="267" t="s">
        <v>944</v>
      </c>
    </row>
    <row r="5508" spans="1:22" hidden="1" x14ac:dyDescent="0.25">
      <c r="A5508" s="266">
        <v>43727</v>
      </c>
      <c r="B5508" s="267">
        <v>2019</v>
      </c>
      <c r="C5508" s="267">
        <v>2020</v>
      </c>
      <c r="D5508" s="267">
        <v>1</v>
      </c>
      <c r="E5508" s="267">
        <v>1</v>
      </c>
      <c r="F5508" s="267" t="s">
        <v>944</v>
      </c>
      <c r="G5508" s="267" t="s">
        <v>3926</v>
      </c>
      <c r="H5508" s="267" t="s">
        <v>10178</v>
      </c>
      <c r="I5508" s="267" t="s">
        <v>4014</v>
      </c>
      <c r="J5508" s="267" t="s">
        <v>3928</v>
      </c>
      <c r="K5508" s="267">
        <v>6420</v>
      </c>
      <c r="L5508" s="267">
        <v>715100</v>
      </c>
      <c r="M5508" s="267" t="s">
        <v>3943</v>
      </c>
      <c r="N5508" s="267" t="s">
        <v>10179</v>
      </c>
      <c r="O5508" s="267">
        <v>3277</v>
      </c>
      <c r="P5508" s="267" t="s">
        <v>3930</v>
      </c>
      <c r="Q5508" s="267" t="s">
        <v>3930</v>
      </c>
      <c r="R5508" s="267">
        <v>3277</v>
      </c>
      <c r="S5508" s="267">
        <v>24393</v>
      </c>
      <c r="T5508" s="267">
        <v>27670</v>
      </c>
      <c r="U5508" s="268" t="s">
        <v>3937</v>
      </c>
      <c r="V5508" s="267" t="s">
        <v>944</v>
      </c>
    </row>
    <row r="5509" spans="1:22" hidden="1" x14ac:dyDescent="0.25">
      <c r="A5509" s="269">
        <v>43727</v>
      </c>
      <c r="B5509" s="270">
        <v>2019</v>
      </c>
      <c r="C5509" s="270">
        <v>2020</v>
      </c>
      <c r="D5509" s="270">
        <v>1</v>
      </c>
      <c r="E5509" s="270">
        <v>1</v>
      </c>
      <c r="F5509" s="270" t="s">
        <v>944</v>
      </c>
      <c r="G5509" s="270" t="s">
        <v>3926</v>
      </c>
      <c r="H5509" s="270" t="s">
        <v>10180</v>
      </c>
      <c r="I5509" s="270" t="s">
        <v>4323</v>
      </c>
      <c r="J5509" s="270" t="s">
        <v>3928</v>
      </c>
      <c r="K5509" s="270">
        <v>6385</v>
      </c>
      <c r="L5509" s="270">
        <v>693300</v>
      </c>
      <c r="M5509" s="270" t="s">
        <v>3935</v>
      </c>
      <c r="N5509" s="270" t="s">
        <v>3944</v>
      </c>
      <c r="O5509" s="270">
        <v>2917</v>
      </c>
      <c r="P5509" s="270" t="s">
        <v>3944</v>
      </c>
      <c r="Q5509" s="270" t="s">
        <v>3944</v>
      </c>
      <c r="R5509" s="270">
        <v>2917</v>
      </c>
      <c r="S5509" s="270">
        <v>23578</v>
      </c>
      <c r="T5509" s="270">
        <v>26495</v>
      </c>
      <c r="U5509" s="271" t="s">
        <v>3945</v>
      </c>
      <c r="V5509" s="267" t="s">
        <v>944</v>
      </c>
    </row>
    <row r="5510" spans="1:22" hidden="1" x14ac:dyDescent="0.25">
      <c r="A5510" s="266">
        <v>43727</v>
      </c>
      <c r="B5510" s="267">
        <v>2019</v>
      </c>
      <c r="C5510" s="267">
        <v>2020</v>
      </c>
      <c r="D5510" s="267">
        <v>1</v>
      </c>
      <c r="E5510" s="267">
        <v>1</v>
      </c>
      <c r="F5510" s="267" t="s">
        <v>944</v>
      </c>
      <c r="G5510" s="267" t="s">
        <v>3926</v>
      </c>
      <c r="H5510" s="267" t="s">
        <v>10181</v>
      </c>
      <c r="I5510" s="267" t="s">
        <v>934</v>
      </c>
      <c r="J5510" s="267" t="s">
        <v>3928</v>
      </c>
      <c r="K5510" s="267">
        <v>6606</v>
      </c>
      <c r="L5510" s="267">
        <v>72400</v>
      </c>
      <c r="M5510" s="267" t="s">
        <v>3940</v>
      </c>
      <c r="N5510" s="267" t="s">
        <v>3944</v>
      </c>
      <c r="O5510" s="267">
        <v>3984</v>
      </c>
      <c r="P5510" s="267" t="s">
        <v>3944</v>
      </c>
      <c r="Q5510" s="267" t="s">
        <v>3944</v>
      </c>
      <c r="R5510" s="267">
        <v>3984</v>
      </c>
      <c r="S5510" s="267">
        <v>55015.99</v>
      </c>
      <c r="T5510" s="267">
        <v>58999.99</v>
      </c>
      <c r="U5510" s="268" t="s">
        <v>3945</v>
      </c>
      <c r="V5510" s="267" t="s">
        <v>944</v>
      </c>
    </row>
    <row r="5511" spans="1:22" hidden="1" x14ac:dyDescent="0.25">
      <c r="A5511" s="269">
        <v>43727</v>
      </c>
      <c r="B5511" s="270">
        <v>2019</v>
      </c>
      <c r="C5511" s="270">
        <v>2020</v>
      </c>
      <c r="D5511" s="270">
        <v>1</v>
      </c>
      <c r="E5511" s="270">
        <v>1</v>
      </c>
      <c r="F5511" s="270" t="s">
        <v>944</v>
      </c>
      <c r="G5511" s="270" t="s">
        <v>3926</v>
      </c>
      <c r="H5511" s="270" t="s">
        <v>10182</v>
      </c>
      <c r="I5511" s="270" t="s">
        <v>3996</v>
      </c>
      <c r="J5511" s="270" t="s">
        <v>3928</v>
      </c>
      <c r="K5511" s="270">
        <v>6790</v>
      </c>
      <c r="L5511" s="270">
        <v>310804</v>
      </c>
      <c r="M5511" s="270" t="s">
        <v>3935</v>
      </c>
      <c r="N5511" s="270" t="s">
        <v>3944</v>
      </c>
      <c r="O5511" s="270">
        <v>5036</v>
      </c>
      <c r="P5511" s="270" t="s">
        <v>3944</v>
      </c>
      <c r="Q5511" s="270" t="s">
        <v>3944</v>
      </c>
      <c r="R5511" s="270">
        <v>5036</v>
      </c>
      <c r="S5511" s="270">
        <v>35727</v>
      </c>
      <c r="T5511" s="270">
        <v>40763</v>
      </c>
      <c r="U5511" s="271" t="s">
        <v>3945</v>
      </c>
      <c r="V5511" s="267" t="s">
        <v>944</v>
      </c>
    </row>
    <row r="5512" spans="1:22" hidden="1" x14ac:dyDescent="0.25">
      <c r="A5512" s="266">
        <v>43728</v>
      </c>
      <c r="B5512" s="267">
        <v>2019</v>
      </c>
      <c r="C5512" s="267">
        <v>2020</v>
      </c>
      <c r="D5512" s="267">
        <v>1</v>
      </c>
      <c r="E5512" s="267">
        <v>1</v>
      </c>
      <c r="F5512" s="267" t="s">
        <v>944</v>
      </c>
      <c r="G5512" s="267" t="s">
        <v>3926</v>
      </c>
      <c r="H5512" s="267" t="s">
        <v>10183</v>
      </c>
      <c r="I5512" s="267" t="s">
        <v>6135</v>
      </c>
      <c r="J5512" s="267" t="s">
        <v>3928</v>
      </c>
      <c r="K5512" s="267">
        <v>6492</v>
      </c>
      <c r="L5512" s="267">
        <v>175400</v>
      </c>
      <c r="M5512" s="267" t="s">
        <v>3940</v>
      </c>
      <c r="N5512" s="267" t="s">
        <v>9571</v>
      </c>
      <c r="O5512" s="267">
        <v>0</v>
      </c>
      <c r="P5512" s="267" t="s">
        <v>3930</v>
      </c>
      <c r="Q5512" s="267" t="s">
        <v>3930</v>
      </c>
      <c r="R5512" s="267">
        <v>0</v>
      </c>
      <c r="S5512" s="267">
        <v>11850</v>
      </c>
      <c r="T5512" s="267">
        <v>11850</v>
      </c>
      <c r="U5512" s="268" t="s">
        <v>3937</v>
      </c>
      <c r="V5512" s="267" t="s">
        <v>944</v>
      </c>
    </row>
    <row r="5513" spans="1:22" hidden="1" x14ac:dyDescent="0.25">
      <c r="A5513" s="269">
        <v>43728</v>
      </c>
      <c r="B5513" s="270">
        <v>2019</v>
      </c>
      <c r="C5513" s="270">
        <v>2020</v>
      </c>
      <c r="D5513" s="270">
        <v>1</v>
      </c>
      <c r="E5513" s="270">
        <v>1</v>
      </c>
      <c r="F5513" s="270" t="s">
        <v>944</v>
      </c>
      <c r="G5513" s="270" t="s">
        <v>3926</v>
      </c>
      <c r="H5513" s="270" t="s">
        <v>10184</v>
      </c>
      <c r="I5513" s="270" t="s">
        <v>5147</v>
      </c>
      <c r="J5513" s="270" t="s">
        <v>3928</v>
      </c>
      <c r="K5513" s="270">
        <v>6468</v>
      </c>
      <c r="L5513" s="270">
        <v>100200</v>
      </c>
      <c r="M5513" s="270" t="s">
        <v>3943</v>
      </c>
      <c r="N5513" s="270" t="s">
        <v>6130</v>
      </c>
      <c r="O5513" s="270">
        <v>0</v>
      </c>
      <c r="P5513" s="270" t="s">
        <v>3930</v>
      </c>
      <c r="Q5513" s="270" t="s">
        <v>3930</v>
      </c>
      <c r="R5513" s="270">
        <v>0</v>
      </c>
      <c r="S5513" s="270">
        <v>4000</v>
      </c>
      <c r="T5513" s="270">
        <v>4000</v>
      </c>
      <c r="U5513" s="271" t="s">
        <v>3937</v>
      </c>
      <c r="V5513" s="267" t="s">
        <v>944</v>
      </c>
    </row>
    <row r="5514" spans="1:22" hidden="1" x14ac:dyDescent="0.25">
      <c r="A5514" s="266">
        <v>43728</v>
      </c>
      <c r="B5514" s="267">
        <v>2019</v>
      </c>
      <c r="C5514" s="267">
        <v>2020</v>
      </c>
      <c r="D5514" s="267">
        <v>1</v>
      </c>
      <c r="E5514" s="267">
        <v>1</v>
      </c>
      <c r="F5514" s="267" t="s">
        <v>944</v>
      </c>
      <c r="G5514" s="267" t="s">
        <v>3926</v>
      </c>
      <c r="H5514" s="267" t="s">
        <v>10185</v>
      </c>
      <c r="I5514" s="267" t="s">
        <v>4019</v>
      </c>
      <c r="J5514" s="267" t="s">
        <v>3928</v>
      </c>
      <c r="K5514" s="267">
        <v>6701</v>
      </c>
      <c r="L5514" s="267">
        <v>165801</v>
      </c>
      <c r="M5514" s="267" t="s">
        <v>3935</v>
      </c>
      <c r="N5514" s="267" t="s">
        <v>4103</v>
      </c>
      <c r="O5514" s="267">
        <v>3127.85</v>
      </c>
      <c r="P5514" s="267" t="s">
        <v>3930</v>
      </c>
      <c r="Q5514" s="267" t="s">
        <v>3931</v>
      </c>
      <c r="R5514" s="267">
        <v>8127.85</v>
      </c>
      <c r="S5514" s="267">
        <v>24145.599999999999</v>
      </c>
      <c r="T5514" s="267">
        <v>32273.45</v>
      </c>
      <c r="U5514" s="268" t="s">
        <v>3932</v>
      </c>
      <c r="V5514" s="267" t="s">
        <v>944</v>
      </c>
    </row>
    <row r="5515" spans="1:22" hidden="1" x14ac:dyDescent="0.25">
      <c r="A5515" s="269">
        <v>43728</v>
      </c>
      <c r="B5515" s="270">
        <v>2019</v>
      </c>
      <c r="C5515" s="270">
        <v>2020</v>
      </c>
      <c r="D5515" s="270">
        <v>1</v>
      </c>
      <c r="E5515" s="270">
        <v>1</v>
      </c>
      <c r="F5515" s="270" t="s">
        <v>944</v>
      </c>
      <c r="G5515" s="270" t="s">
        <v>3926</v>
      </c>
      <c r="H5515" s="270" t="s">
        <v>10186</v>
      </c>
      <c r="I5515" s="270" t="s">
        <v>3993</v>
      </c>
      <c r="J5515" s="270" t="s">
        <v>3928</v>
      </c>
      <c r="K5515" s="270">
        <v>6415</v>
      </c>
      <c r="L5515" s="270">
        <v>714103</v>
      </c>
      <c r="M5515" s="270" t="s">
        <v>3943</v>
      </c>
      <c r="N5515" s="270" t="s">
        <v>10187</v>
      </c>
      <c r="O5515" s="270">
        <v>3171</v>
      </c>
      <c r="P5515" s="270" t="s">
        <v>3930</v>
      </c>
      <c r="Q5515" s="270" t="s">
        <v>3930</v>
      </c>
      <c r="R5515" s="270">
        <v>3171</v>
      </c>
      <c r="S5515" s="270">
        <v>21371</v>
      </c>
      <c r="T5515" s="270">
        <v>24542</v>
      </c>
      <c r="U5515" s="271" t="s">
        <v>3937</v>
      </c>
      <c r="V5515" s="267" t="s">
        <v>944</v>
      </c>
    </row>
    <row r="5516" spans="1:22" hidden="1" x14ac:dyDescent="0.25">
      <c r="A5516" s="266">
        <v>43728</v>
      </c>
      <c r="B5516" s="267">
        <v>2019</v>
      </c>
      <c r="C5516" s="267">
        <v>2020</v>
      </c>
      <c r="D5516" s="267">
        <v>1</v>
      </c>
      <c r="E5516" s="267">
        <v>1</v>
      </c>
      <c r="F5516" s="267" t="s">
        <v>944</v>
      </c>
      <c r="G5516" s="267" t="s">
        <v>3926</v>
      </c>
      <c r="H5516" s="267" t="s">
        <v>10188</v>
      </c>
      <c r="I5516" s="267" t="s">
        <v>4079</v>
      </c>
      <c r="J5516" s="267" t="s">
        <v>3928</v>
      </c>
      <c r="K5516" s="267">
        <v>6111</v>
      </c>
      <c r="L5516" s="267">
        <v>494202</v>
      </c>
      <c r="M5516" s="267" t="s">
        <v>3960</v>
      </c>
      <c r="N5516" s="267" t="s">
        <v>10189</v>
      </c>
      <c r="O5516" s="267">
        <v>0</v>
      </c>
      <c r="P5516" s="267" t="s">
        <v>3930</v>
      </c>
      <c r="Q5516" s="267" t="s">
        <v>3930</v>
      </c>
      <c r="R5516" s="267">
        <v>0</v>
      </c>
      <c r="S5516" s="267">
        <v>10706.3</v>
      </c>
      <c r="T5516" s="267">
        <v>10706.3</v>
      </c>
      <c r="U5516" s="268" t="s">
        <v>3937</v>
      </c>
      <c r="V5516" s="267" t="s">
        <v>944</v>
      </c>
    </row>
    <row r="5517" spans="1:22" hidden="1" x14ac:dyDescent="0.25">
      <c r="A5517" s="269">
        <v>43728</v>
      </c>
      <c r="B5517" s="270">
        <v>2019</v>
      </c>
      <c r="C5517" s="270">
        <v>2020</v>
      </c>
      <c r="D5517" s="270">
        <v>1</v>
      </c>
      <c r="E5517" s="270">
        <v>1</v>
      </c>
      <c r="F5517" s="270" t="s">
        <v>944</v>
      </c>
      <c r="G5517" s="270" t="s">
        <v>3926</v>
      </c>
      <c r="H5517" s="270" t="s">
        <v>10190</v>
      </c>
      <c r="I5517" s="270" t="s">
        <v>4323</v>
      </c>
      <c r="J5517" s="270" t="s">
        <v>3928</v>
      </c>
      <c r="K5517" s="270">
        <v>6385</v>
      </c>
      <c r="L5517" s="270">
        <v>693300</v>
      </c>
      <c r="M5517" s="270" t="s">
        <v>3935</v>
      </c>
      <c r="N5517" s="270" t="s">
        <v>10191</v>
      </c>
      <c r="O5517" s="270">
        <v>5113</v>
      </c>
      <c r="P5517" s="270" t="s">
        <v>3930</v>
      </c>
      <c r="Q5517" s="270" t="s">
        <v>3930</v>
      </c>
      <c r="R5517" s="270">
        <v>5113</v>
      </c>
      <c r="S5517" s="270">
        <v>33387</v>
      </c>
      <c r="T5517" s="270">
        <v>38500</v>
      </c>
      <c r="U5517" s="271" t="s">
        <v>3937</v>
      </c>
      <c r="V5517" s="267" t="s">
        <v>944</v>
      </c>
    </row>
    <row r="5518" spans="1:22" hidden="1" x14ac:dyDescent="0.25">
      <c r="A5518" s="266">
        <v>43728</v>
      </c>
      <c r="B5518" s="267">
        <v>2019</v>
      </c>
      <c r="C5518" s="267">
        <v>2020</v>
      </c>
      <c r="D5518" s="267">
        <v>1</v>
      </c>
      <c r="E5518" s="267">
        <v>1</v>
      </c>
      <c r="F5518" s="267" t="s">
        <v>944</v>
      </c>
      <c r="G5518" s="267" t="s">
        <v>3926</v>
      </c>
      <c r="H5518" s="267" t="s">
        <v>10192</v>
      </c>
      <c r="I5518" s="267" t="s">
        <v>3975</v>
      </c>
      <c r="J5518" s="267" t="s">
        <v>3928</v>
      </c>
      <c r="K5518" s="267">
        <v>6479</v>
      </c>
      <c r="L5518" s="267">
        <v>430302</v>
      </c>
      <c r="M5518" s="267" t="s">
        <v>3960</v>
      </c>
      <c r="N5518" s="267" t="s">
        <v>3944</v>
      </c>
      <c r="O5518" s="267">
        <v>2569</v>
      </c>
      <c r="P5518" s="267" t="s">
        <v>3944</v>
      </c>
      <c r="Q5518" s="267" t="s">
        <v>3944</v>
      </c>
      <c r="R5518" s="267">
        <v>2569</v>
      </c>
      <c r="S5518" s="267">
        <v>18378.5</v>
      </c>
      <c r="T5518" s="267">
        <v>20947.5</v>
      </c>
      <c r="U5518" s="268" t="s">
        <v>3945</v>
      </c>
      <c r="V5518" s="267" t="s">
        <v>944</v>
      </c>
    </row>
    <row r="5519" spans="1:22" hidden="1" x14ac:dyDescent="0.25">
      <c r="A5519" s="269">
        <v>43728</v>
      </c>
      <c r="B5519" s="270">
        <v>2019</v>
      </c>
      <c r="C5519" s="270">
        <v>2020</v>
      </c>
      <c r="D5519" s="270">
        <v>1</v>
      </c>
      <c r="E5519" s="270">
        <v>1</v>
      </c>
      <c r="F5519" s="270" t="s">
        <v>944</v>
      </c>
      <c r="G5519" s="270" t="s">
        <v>3926</v>
      </c>
      <c r="H5519" s="270" t="s">
        <v>10193</v>
      </c>
      <c r="I5519" s="270" t="s">
        <v>3954</v>
      </c>
      <c r="J5519" s="270" t="s">
        <v>3928</v>
      </c>
      <c r="K5519" s="270">
        <v>6357</v>
      </c>
      <c r="L5519" s="270">
        <v>870701</v>
      </c>
      <c r="M5519" s="270" t="s">
        <v>3960</v>
      </c>
      <c r="N5519" s="270" t="s">
        <v>3944</v>
      </c>
      <c r="O5519" s="270">
        <v>1713</v>
      </c>
      <c r="P5519" s="270" t="s">
        <v>3944</v>
      </c>
      <c r="Q5519" s="270" t="s">
        <v>3944</v>
      </c>
      <c r="R5519" s="270">
        <v>1713</v>
      </c>
      <c r="S5519" s="270">
        <v>18407.400000000001</v>
      </c>
      <c r="T5519" s="270">
        <v>20120.400000000001</v>
      </c>
      <c r="U5519" s="271" t="s">
        <v>3945</v>
      </c>
      <c r="V5519" s="267" t="s">
        <v>944</v>
      </c>
    </row>
    <row r="5520" spans="1:22" hidden="1" x14ac:dyDescent="0.25">
      <c r="A5520" s="266">
        <v>43728</v>
      </c>
      <c r="B5520" s="267">
        <v>2019</v>
      </c>
      <c r="C5520" s="267">
        <v>2020</v>
      </c>
      <c r="D5520" s="267">
        <v>1</v>
      </c>
      <c r="E5520" s="267">
        <v>1</v>
      </c>
      <c r="F5520" s="267" t="s">
        <v>944</v>
      </c>
      <c r="G5520" s="267" t="s">
        <v>3926</v>
      </c>
      <c r="H5520" s="267" t="s">
        <v>10194</v>
      </c>
      <c r="I5520" s="267" t="s">
        <v>3010</v>
      </c>
      <c r="J5520" s="267" t="s">
        <v>3928</v>
      </c>
      <c r="K5520" s="267">
        <v>6401</v>
      </c>
      <c r="L5520" s="267">
        <v>125100</v>
      </c>
      <c r="M5520" s="267" t="s">
        <v>3960</v>
      </c>
      <c r="N5520" s="267" t="s">
        <v>3944</v>
      </c>
      <c r="O5520" s="267">
        <v>3353</v>
      </c>
      <c r="P5520" s="267" t="s">
        <v>3944</v>
      </c>
      <c r="Q5520" s="267" t="s">
        <v>3944</v>
      </c>
      <c r="R5520" s="267">
        <v>3353</v>
      </c>
      <c r="S5520" s="267">
        <v>24115</v>
      </c>
      <c r="T5520" s="267">
        <v>27468</v>
      </c>
      <c r="U5520" s="268" t="s">
        <v>3945</v>
      </c>
      <c r="V5520" s="267" t="s">
        <v>944</v>
      </c>
    </row>
    <row r="5521" spans="1:22" hidden="1" x14ac:dyDescent="0.25">
      <c r="A5521" s="269">
        <v>43728</v>
      </c>
      <c r="B5521" s="270">
        <v>2019</v>
      </c>
      <c r="C5521" s="270">
        <v>2020</v>
      </c>
      <c r="D5521" s="270">
        <v>1</v>
      </c>
      <c r="E5521" s="270">
        <v>1</v>
      </c>
      <c r="F5521" s="270" t="s">
        <v>944</v>
      </c>
      <c r="G5521" s="270" t="s">
        <v>3926</v>
      </c>
      <c r="H5521" s="270" t="s">
        <v>10195</v>
      </c>
      <c r="I5521" s="270" t="s">
        <v>4069</v>
      </c>
      <c r="J5521" s="270" t="s">
        <v>3928</v>
      </c>
      <c r="K5521" s="270">
        <v>6902</v>
      </c>
      <c r="L5521" s="270">
        <v>20500</v>
      </c>
      <c r="M5521" s="270" t="s">
        <v>3943</v>
      </c>
      <c r="N5521" s="270" t="s">
        <v>3944</v>
      </c>
      <c r="O5521" s="270">
        <v>8127</v>
      </c>
      <c r="P5521" s="270" t="s">
        <v>3944</v>
      </c>
      <c r="Q5521" s="270" t="s">
        <v>3944</v>
      </c>
      <c r="R5521" s="270">
        <v>8127</v>
      </c>
      <c r="S5521" s="270">
        <v>71873</v>
      </c>
      <c r="T5521" s="270">
        <v>80000</v>
      </c>
      <c r="U5521" s="271" t="s">
        <v>3945</v>
      </c>
      <c r="V5521" s="267" t="s">
        <v>944</v>
      </c>
    </row>
    <row r="5522" spans="1:22" hidden="1" x14ac:dyDescent="0.25">
      <c r="A5522" s="266">
        <v>43728</v>
      </c>
      <c r="B5522" s="267">
        <v>2019</v>
      </c>
      <c r="C5522" s="267">
        <v>2020</v>
      </c>
      <c r="D5522" s="267">
        <v>1</v>
      </c>
      <c r="E5522" s="267">
        <v>1</v>
      </c>
      <c r="F5522" s="267" t="s">
        <v>944</v>
      </c>
      <c r="G5522" s="267" t="s">
        <v>3926</v>
      </c>
      <c r="H5522" s="267" t="s">
        <v>10196</v>
      </c>
      <c r="I5522" s="267" t="s">
        <v>2985</v>
      </c>
      <c r="J5522" s="267" t="s">
        <v>3928</v>
      </c>
      <c r="K5522" s="267">
        <v>6824</v>
      </c>
      <c r="L5522" s="267">
        <v>61600</v>
      </c>
      <c r="M5522" s="267" t="s">
        <v>3943</v>
      </c>
      <c r="N5522" s="267" t="s">
        <v>3944</v>
      </c>
      <c r="O5522" s="267">
        <v>2731</v>
      </c>
      <c r="P5522" s="267" t="s">
        <v>3944</v>
      </c>
      <c r="Q5522" s="267" t="s">
        <v>3944</v>
      </c>
      <c r="R5522" s="267">
        <v>2731</v>
      </c>
      <c r="S5522" s="267">
        <v>25808</v>
      </c>
      <c r="T5522" s="267">
        <v>28539</v>
      </c>
      <c r="U5522" s="268" t="s">
        <v>3945</v>
      </c>
      <c r="V5522" s="267" t="s">
        <v>944</v>
      </c>
    </row>
    <row r="5523" spans="1:22" hidden="1" x14ac:dyDescent="0.25">
      <c r="A5523" s="269">
        <v>43728</v>
      </c>
      <c r="B5523" s="270">
        <v>2019</v>
      </c>
      <c r="C5523" s="270">
        <v>2020</v>
      </c>
      <c r="D5523" s="270">
        <v>1</v>
      </c>
      <c r="E5523" s="270">
        <v>1</v>
      </c>
      <c r="F5523" s="270" t="s">
        <v>944</v>
      </c>
      <c r="G5523" s="270" t="s">
        <v>3926</v>
      </c>
      <c r="H5523" s="270" t="s">
        <v>10197</v>
      </c>
      <c r="I5523" s="270" t="s">
        <v>4042</v>
      </c>
      <c r="J5523" s="270" t="s">
        <v>3928</v>
      </c>
      <c r="K5523" s="270">
        <v>6370</v>
      </c>
      <c r="L5523" s="270">
        <v>695202</v>
      </c>
      <c r="M5523" s="270" t="s">
        <v>3935</v>
      </c>
      <c r="N5523" s="270" t="s">
        <v>3944</v>
      </c>
      <c r="O5523" s="270">
        <v>3554</v>
      </c>
      <c r="P5523" s="270" t="s">
        <v>3944</v>
      </c>
      <c r="Q5523" s="270" t="s">
        <v>3944</v>
      </c>
      <c r="R5523" s="270">
        <v>3554</v>
      </c>
      <c r="S5523" s="270">
        <v>31238.799999999999</v>
      </c>
      <c r="T5523" s="270">
        <v>34792.800000000003</v>
      </c>
      <c r="U5523" s="271" t="s">
        <v>3945</v>
      </c>
      <c r="V5523" s="267" t="s">
        <v>944</v>
      </c>
    </row>
    <row r="5524" spans="1:22" x14ac:dyDescent="0.25">
      <c r="A5524" s="266">
        <v>43728</v>
      </c>
      <c r="B5524" s="267">
        <v>2019</v>
      </c>
      <c r="C5524" s="267">
        <v>2020</v>
      </c>
      <c r="D5524" s="267">
        <v>1</v>
      </c>
      <c r="E5524" s="267">
        <v>1</v>
      </c>
      <c r="F5524" s="267" t="s">
        <v>944</v>
      </c>
      <c r="G5524" s="267" t="s">
        <v>3926</v>
      </c>
      <c r="H5524" s="267" t="s">
        <v>10198</v>
      </c>
      <c r="I5524" s="267" t="s">
        <v>3010</v>
      </c>
      <c r="J5524" s="267" t="s">
        <v>3928</v>
      </c>
      <c r="K5524" s="267">
        <v>6401</v>
      </c>
      <c r="L5524" s="267">
        <v>125300</v>
      </c>
      <c r="M5524" s="267" t="s">
        <v>3940</v>
      </c>
      <c r="N5524" s="267" t="s">
        <v>3944</v>
      </c>
      <c r="O5524" s="267">
        <v>1154.58</v>
      </c>
      <c r="P5524" s="267" t="s">
        <v>3944</v>
      </c>
      <c r="Q5524" s="267" t="s">
        <v>3944</v>
      </c>
      <c r="R5524" s="267">
        <v>1154.58</v>
      </c>
      <c r="S5524" s="267">
        <v>16870.11</v>
      </c>
      <c r="T5524" s="267">
        <v>18024.689999999999</v>
      </c>
      <c r="U5524" s="268" t="s">
        <v>3945</v>
      </c>
      <c r="V5524" s="276" t="s">
        <v>936</v>
      </c>
    </row>
    <row r="5525" spans="1:22" hidden="1" x14ac:dyDescent="0.25">
      <c r="A5525" s="269">
        <v>43728</v>
      </c>
      <c r="B5525" s="270">
        <v>2019</v>
      </c>
      <c r="C5525" s="270">
        <v>2020</v>
      </c>
      <c r="D5525" s="270">
        <v>1</v>
      </c>
      <c r="E5525" s="270">
        <v>1</v>
      </c>
      <c r="F5525" s="270" t="s">
        <v>944</v>
      </c>
      <c r="G5525" s="270" t="s">
        <v>3926</v>
      </c>
      <c r="H5525" s="270" t="s">
        <v>10199</v>
      </c>
      <c r="I5525" s="270" t="s">
        <v>4126</v>
      </c>
      <c r="J5525" s="270" t="s">
        <v>3928</v>
      </c>
      <c r="K5525" s="270">
        <v>6880</v>
      </c>
      <c r="L5525" s="270">
        <v>50200</v>
      </c>
      <c r="M5525" s="270" t="s">
        <v>3943</v>
      </c>
      <c r="N5525" s="270" t="s">
        <v>3944</v>
      </c>
      <c r="O5525" s="270">
        <v>3973.31</v>
      </c>
      <c r="P5525" s="270" t="s">
        <v>3944</v>
      </c>
      <c r="Q5525" s="270" t="s">
        <v>3944</v>
      </c>
      <c r="R5525" s="270">
        <v>3973.31</v>
      </c>
      <c r="S5525" s="270">
        <v>56427.94</v>
      </c>
      <c r="T5525" s="270">
        <v>60401.25</v>
      </c>
      <c r="U5525" s="271" t="s">
        <v>3945</v>
      </c>
      <c r="V5525" s="267" t="s">
        <v>944</v>
      </c>
    </row>
    <row r="5526" spans="1:22" hidden="1" x14ac:dyDescent="0.25">
      <c r="A5526" s="266">
        <v>43728</v>
      </c>
      <c r="B5526" s="267">
        <v>2019</v>
      </c>
      <c r="C5526" s="267">
        <v>2020</v>
      </c>
      <c r="D5526" s="267">
        <v>1</v>
      </c>
      <c r="E5526" s="267">
        <v>1</v>
      </c>
      <c r="F5526" s="267" t="s">
        <v>944</v>
      </c>
      <c r="G5526" s="267" t="s">
        <v>3926</v>
      </c>
      <c r="H5526" s="267" t="s">
        <v>10200</v>
      </c>
      <c r="I5526" s="267" t="s">
        <v>3975</v>
      </c>
      <c r="J5526" s="267" t="s">
        <v>3928</v>
      </c>
      <c r="K5526" s="267">
        <v>6489</v>
      </c>
      <c r="L5526" s="267">
        <v>430100</v>
      </c>
      <c r="M5526" s="267" t="s">
        <v>3935</v>
      </c>
      <c r="N5526" s="267" t="s">
        <v>3944</v>
      </c>
      <c r="O5526" s="267">
        <v>903.63</v>
      </c>
      <c r="P5526" s="267" t="s">
        <v>3944</v>
      </c>
      <c r="Q5526" s="267" t="s">
        <v>3944</v>
      </c>
      <c r="R5526" s="267">
        <v>903.63</v>
      </c>
      <c r="S5526" s="267">
        <v>14081.88</v>
      </c>
      <c r="T5526" s="267">
        <v>14985.51</v>
      </c>
      <c r="U5526" s="268" t="s">
        <v>3945</v>
      </c>
      <c r="V5526" s="267" t="s">
        <v>944</v>
      </c>
    </row>
    <row r="5527" spans="1:22" hidden="1" x14ac:dyDescent="0.25">
      <c r="A5527" s="269">
        <v>43728</v>
      </c>
      <c r="B5527" s="270">
        <v>2019</v>
      </c>
      <c r="C5527" s="270">
        <v>2020</v>
      </c>
      <c r="D5527" s="270">
        <v>1</v>
      </c>
      <c r="E5527" s="270">
        <v>1</v>
      </c>
      <c r="F5527" s="270" t="s">
        <v>944</v>
      </c>
      <c r="G5527" s="270" t="s">
        <v>3926</v>
      </c>
      <c r="H5527" s="270" t="s">
        <v>10201</v>
      </c>
      <c r="I5527" s="270" t="s">
        <v>4353</v>
      </c>
      <c r="J5527" s="270" t="s">
        <v>3928</v>
      </c>
      <c r="K5527" s="270">
        <v>6416</v>
      </c>
      <c r="L5527" s="270">
        <v>570200</v>
      </c>
      <c r="M5527" s="270" t="s">
        <v>3943</v>
      </c>
      <c r="N5527" s="270" t="s">
        <v>3944</v>
      </c>
      <c r="O5527" s="270">
        <v>1347.05</v>
      </c>
      <c r="P5527" s="270" t="s">
        <v>3944</v>
      </c>
      <c r="Q5527" s="270" t="s">
        <v>3944</v>
      </c>
      <c r="R5527" s="270">
        <v>1347.05</v>
      </c>
      <c r="S5527" s="270">
        <v>19227.099999999999</v>
      </c>
      <c r="T5527" s="270">
        <v>20574.150000000001</v>
      </c>
      <c r="U5527" s="271" t="s">
        <v>3945</v>
      </c>
      <c r="V5527" s="267" t="s">
        <v>944</v>
      </c>
    </row>
    <row r="5528" spans="1:22" hidden="1" x14ac:dyDescent="0.25">
      <c r="A5528" s="266">
        <v>43728</v>
      </c>
      <c r="B5528" s="267">
        <v>2019</v>
      </c>
      <c r="C5528" s="267">
        <v>2020</v>
      </c>
      <c r="D5528" s="267">
        <v>1</v>
      </c>
      <c r="E5528" s="267">
        <v>1</v>
      </c>
      <c r="F5528" s="267" t="s">
        <v>944</v>
      </c>
      <c r="G5528" s="267" t="s">
        <v>3926</v>
      </c>
      <c r="H5528" s="267" t="s">
        <v>10202</v>
      </c>
      <c r="I5528" s="267" t="s">
        <v>956</v>
      </c>
      <c r="J5528" s="267" t="s">
        <v>3928</v>
      </c>
      <c r="K5528" s="267">
        <v>6614</v>
      </c>
      <c r="L5528" s="267">
        <v>80100</v>
      </c>
      <c r="M5528" s="267" t="s">
        <v>3935</v>
      </c>
      <c r="N5528" s="267" t="s">
        <v>3944</v>
      </c>
      <c r="O5528" s="267">
        <v>899.26</v>
      </c>
      <c r="P5528" s="267" t="s">
        <v>3944</v>
      </c>
      <c r="Q5528" s="267" t="s">
        <v>3944</v>
      </c>
      <c r="R5528" s="267">
        <v>899.26</v>
      </c>
      <c r="S5528" s="267">
        <v>14193.24</v>
      </c>
      <c r="T5528" s="267">
        <v>15092.5</v>
      </c>
      <c r="U5528" s="268" t="s">
        <v>3945</v>
      </c>
      <c r="V5528" s="267" t="s">
        <v>944</v>
      </c>
    </row>
    <row r="5529" spans="1:22" hidden="1" x14ac:dyDescent="0.25">
      <c r="A5529" s="269">
        <v>43728</v>
      </c>
      <c r="B5529" s="270">
        <v>2019</v>
      </c>
      <c r="C5529" s="270">
        <v>2020</v>
      </c>
      <c r="D5529" s="270">
        <v>1</v>
      </c>
      <c r="E5529" s="270">
        <v>1</v>
      </c>
      <c r="F5529" s="270" t="s">
        <v>944</v>
      </c>
      <c r="G5529" s="270" t="s">
        <v>3926</v>
      </c>
      <c r="H5529" s="270" t="s">
        <v>10203</v>
      </c>
      <c r="I5529" s="270" t="s">
        <v>3975</v>
      </c>
      <c r="J5529" s="270" t="s">
        <v>3928</v>
      </c>
      <c r="K5529" s="270">
        <v>6479</v>
      </c>
      <c r="L5529" s="270">
        <v>430400</v>
      </c>
      <c r="M5529" s="270" t="s">
        <v>3960</v>
      </c>
      <c r="N5529" s="270" t="s">
        <v>3944</v>
      </c>
      <c r="O5529" s="270">
        <v>1375.85</v>
      </c>
      <c r="P5529" s="270" t="s">
        <v>3944</v>
      </c>
      <c r="Q5529" s="270" t="s">
        <v>3944</v>
      </c>
      <c r="R5529" s="270">
        <v>1375.85</v>
      </c>
      <c r="S5529" s="270">
        <v>20467.400000000001</v>
      </c>
      <c r="T5529" s="270">
        <v>21843.25</v>
      </c>
      <c r="U5529" s="271" t="s">
        <v>3945</v>
      </c>
      <c r="V5529" s="267" t="s">
        <v>944</v>
      </c>
    </row>
    <row r="5530" spans="1:22" hidden="1" x14ac:dyDescent="0.25">
      <c r="A5530" s="266">
        <v>43728</v>
      </c>
      <c r="B5530" s="267">
        <v>2019</v>
      </c>
      <c r="C5530" s="267">
        <v>2020</v>
      </c>
      <c r="D5530" s="267">
        <v>1</v>
      </c>
      <c r="E5530" s="267">
        <v>1</v>
      </c>
      <c r="F5530" s="267" t="s">
        <v>944</v>
      </c>
      <c r="G5530" s="267" t="s">
        <v>3926</v>
      </c>
      <c r="H5530" s="267" t="s">
        <v>10204</v>
      </c>
      <c r="I5530" s="267" t="s">
        <v>2985</v>
      </c>
      <c r="J5530" s="267" t="s">
        <v>3928</v>
      </c>
      <c r="K5530" s="267">
        <v>6824</v>
      </c>
      <c r="L5530" s="267">
        <v>61600</v>
      </c>
      <c r="M5530" s="267" t="s">
        <v>3943</v>
      </c>
      <c r="N5530" s="267" t="s">
        <v>3944</v>
      </c>
      <c r="O5530" s="267">
        <v>583.84</v>
      </c>
      <c r="P5530" s="267" t="s">
        <v>3944</v>
      </c>
      <c r="Q5530" s="267" t="s">
        <v>3944</v>
      </c>
      <c r="R5530" s="267">
        <v>583.84</v>
      </c>
      <c r="S5530" s="267">
        <v>8516.43</v>
      </c>
      <c r="T5530" s="267">
        <v>9100.27</v>
      </c>
      <c r="U5530" s="268" t="s">
        <v>3945</v>
      </c>
      <c r="V5530" s="267" t="s">
        <v>944</v>
      </c>
    </row>
    <row r="5531" spans="1:22" hidden="1" x14ac:dyDescent="0.25">
      <c r="A5531" s="269">
        <v>43728</v>
      </c>
      <c r="B5531" s="270">
        <v>2019</v>
      </c>
      <c r="C5531" s="270">
        <v>2020</v>
      </c>
      <c r="D5531" s="270">
        <v>1</v>
      </c>
      <c r="E5531" s="270">
        <v>1</v>
      </c>
      <c r="F5531" s="270" t="s">
        <v>944</v>
      </c>
      <c r="G5531" s="270" t="s">
        <v>3926</v>
      </c>
      <c r="H5531" s="270" t="s">
        <v>10205</v>
      </c>
      <c r="I5531" s="270" t="s">
        <v>4168</v>
      </c>
      <c r="J5531" s="270" t="s">
        <v>3928</v>
      </c>
      <c r="K5531" s="270">
        <v>6475</v>
      </c>
      <c r="L5531" s="270">
        <v>670100</v>
      </c>
      <c r="M5531" s="270" t="s">
        <v>3960</v>
      </c>
      <c r="N5531" s="270" t="s">
        <v>3944</v>
      </c>
      <c r="O5531" s="270">
        <v>1786.3</v>
      </c>
      <c r="P5531" s="270" t="s">
        <v>3944</v>
      </c>
      <c r="Q5531" s="270" t="s">
        <v>3944</v>
      </c>
      <c r="R5531" s="270">
        <v>1786.3</v>
      </c>
      <c r="S5531" s="270">
        <v>26066.5</v>
      </c>
      <c r="T5531" s="270">
        <v>27852.799999999999</v>
      </c>
      <c r="U5531" s="271" t="s">
        <v>3945</v>
      </c>
      <c r="V5531" s="267" t="s">
        <v>944</v>
      </c>
    </row>
    <row r="5532" spans="1:22" hidden="1" x14ac:dyDescent="0.25">
      <c r="A5532" s="266">
        <v>43728</v>
      </c>
      <c r="B5532" s="267">
        <v>2019</v>
      </c>
      <c r="C5532" s="267">
        <v>2020</v>
      </c>
      <c r="D5532" s="267">
        <v>1</v>
      </c>
      <c r="E5532" s="267">
        <v>1</v>
      </c>
      <c r="F5532" s="267" t="s">
        <v>944</v>
      </c>
      <c r="G5532" s="267" t="s">
        <v>3926</v>
      </c>
      <c r="H5532" s="267" t="s">
        <v>10206</v>
      </c>
      <c r="I5532" s="267" t="s">
        <v>4552</v>
      </c>
      <c r="J5532" s="267" t="s">
        <v>3928</v>
      </c>
      <c r="K5532" s="267">
        <v>6423</v>
      </c>
      <c r="L5532" s="267">
        <v>595101</v>
      </c>
      <c r="M5532" s="267" t="s">
        <v>3943</v>
      </c>
      <c r="N5532" s="267" t="s">
        <v>3944</v>
      </c>
      <c r="O5532" s="267">
        <v>4901.3999999999996</v>
      </c>
      <c r="P5532" s="267" t="s">
        <v>3944</v>
      </c>
      <c r="Q5532" s="267" t="s">
        <v>3944</v>
      </c>
      <c r="R5532" s="267">
        <v>4901.3999999999996</v>
      </c>
      <c r="S5532" s="267">
        <v>69179.8</v>
      </c>
      <c r="T5532" s="267">
        <v>74081.2</v>
      </c>
      <c r="U5532" s="268" t="s">
        <v>3945</v>
      </c>
      <c r="V5532" s="267" t="s">
        <v>944</v>
      </c>
    </row>
    <row r="5533" spans="1:22" hidden="1" x14ac:dyDescent="0.25">
      <c r="A5533" s="269">
        <v>43728</v>
      </c>
      <c r="B5533" s="270">
        <v>2019</v>
      </c>
      <c r="C5533" s="270">
        <v>2020</v>
      </c>
      <c r="D5533" s="270">
        <v>1</v>
      </c>
      <c r="E5533" s="270">
        <v>1</v>
      </c>
      <c r="F5533" s="270" t="s">
        <v>944</v>
      </c>
      <c r="G5533" s="270" t="s">
        <v>3926</v>
      </c>
      <c r="H5533" s="270" t="s">
        <v>10207</v>
      </c>
      <c r="I5533" s="270" t="s">
        <v>4269</v>
      </c>
      <c r="J5533" s="270" t="s">
        <v>3928</v>
      </c>
      <c r="K5533" s="270">
        <v>6119</v>
      </c>
      <c r="L5533" s="270">
        <v>496900</v>
      </c>
      <c r="M5533" s="270" t="s">
        <v>3960</v>
      </c>
      <c r="N5533" s="270" t="s">
        <v>3944</v>
      </c>
      <c r="O5533" s="270">
        <v>1083.8499999999999</v>
      </c>
      <c r="P5533" s="270" t="s">
        <v>3944</v>
      </c>
      <c r="Q5533" s="270" t="s">
        <v>3944</v>
      </c>
      <c r="R5533" s="270">
        <v>1083.8499999999999</v>
      </c>
      <c r="S5533" s="270">
        <v>17308.650000000001</v>
      </c>
      <c r="T5533" s="270">
        <v>18392.5</v>
      </c>
      <c r="U5533" s="271" t="s">
        <v>3945</v>
      </c>
      <c r="V5533" s="267" t="s">
        <v>944</v>
      </c>
    </row>
    <row r="5534" spans="1:22" hidden="1" x14ac:dyDescent="0.25">
      <c r="A5534" s="266">
        <v>43728</v>
      </c>
      <c r="B5534" s="267">
        <v>2019</v>
      </c>
      <c r="C5534" s="267">
        <v>2020</v>
      </c>
      <c r="D5534" s="267">
        <v>1</v>
      </c>
      <c r="E5534" s="267">
        <v>1</v>
      </c>
      <c r="F5534" s="267" t="s">
        <v>944</v>
      </c>
      <c r="G5534" s="267" t="s">
        <v>3926</v>
      </c>
      <c r="H5534" s="267" t="s">
        <v>10208</v>
      </c>
      <c r="I5534" s="267" t="s">
        <v>5032</v>
      </c>
      <c r="J5534" s="267" t="s">
        <v>3928</v>
      </c>
      <c r="K5534" s="267">
        <v>6062</v>
      </c>
      <c r="L5534" s="267">
        <v>420600</v>
      </c>
      <c r="M5534" s="267" t="s">
        <v>3935</v>
      </c>
      <c r="N5534" s="267" t="s">
        <v>3944</v>
      </c>
      <c r="O5534" s="267">
        <v>2713.59</v>
      </c>
      <c r="P5534" s="267" t="s">
        <v>3944</v>
      </c>
      <c r="Q5534" s="267" t="s">
        <v>3944</v>
      </c>
      <c r="R5534" s="267">
        <v>2713.59</v>
      </c>
      <c r="S5534" s="267">
        <v>39000.85</v>
      </c>
      <c r="T5534" s="267">
        <v>41714.44</v>
      </c>
      <c r="U5534" s="268" t="s">
        <v>3945</v>
      </c>
      <c r="V5534" s="267" t="s">
        <v>944</v>
      </c>
    </row>
    <row r="5535" spans="1:22" hidden="1" x14ac:dyDescent="0.25">
      <c r="A5535" s="269">
        <v>43728</v>
      </c>
      <c r="B5535" s="270">
        <v>2019</v>
      </c>
      <c r="C5535" s="270">
        <v>2020</v>
      </c>
      <c r="D5535" s="270">
        <v>1</v>
      </c>
      <c r="E5535" s="270">
        <v>1</v>
      </c>
      <c r="F5535" s="270" t="s">
        <v>944</v>
      </c>
      <c r="G5535" s="270" t="s">
        <v>3926</v>
      </c>
      <c r="H5535" s="270" t="s">
        <v>10209</v>
      </c>
      <c r="I5535" s="270" t="s">
        <v>3009</v>
      </c>
      <c r="J5535" s="270" t="s">
        <v>3928</v>
      </c>
      <c r="K5535" s="270">
        <v>6484</v>
      </c>
      <c r="L5535" s="270">
        <v>110201</v>
      </c>
      <c r="M5535" s="270" t="s">
        <v>3960</v>
      </c>
      <c r="N5535" s="270" t="s">
        <v>3944</v>
      </c>
      <c r="O5535" s="270">
        <v>1114.75</v>
      </c>
      <c r="P5535" s="270" t="s">
        <v>3944</v>
      </c>
      <c r="Q5535" s="270" t="s">
        <v>3944</v>
      </c>
      <c r="R5535" s="270">
        <v>1114.75</v>
      </c>
      <c r="S5535" s="270">
        <v>17368.87</v>
      </c>
      <c r="T5535" s="270">
        <v>18483.62</v>
      </c>
      <c r="U5535" s="271" t="s">
        <v>3945</v>
      </c>
      <c r="V5535" s="267" t="s">
        <v>944</v>
      </c>
    </row>
    <row r="5536" spans="1:22" hidden="1" x14ac:dyDescent="0.25">
      <c r="A5536" s="266">
        <v>43728</v>
      </c>
      <c r="B5536" s="267">
        <v>2019</v>
      </c>
      <c r="C5536" s="267">
        <v>2020</v>
      </c>
      <c r="D5536" s="267">
        <v>1</v>
      </c>
      <c r="E5536" s="267">
        <v>1</v>
      </c>
      <c r="F5536" s="267" t="s">
        <v>944</v>
      </c>
      <c r="G5536" s="267" t="s">
        <v>3926</v>
      </c>
      <c r="H5536" s="267" t="s">
        <v>10210</v>
      </c>
      <c r="I5536" s="267" t="s">
        <v>6814</v>
      </c>
      <c r="J5536" s="267" t="s">
        <v>3928</v>
      </c>
      <c r="K5536" s="267">
        <v>6018</v>
      </c>
      <c r="L5536" s="267">
        <v>260200</v>
      </c>
      <c r="M5536" s="267" t="s">
        <v>3940</v>
      </c>
      <c r="N5536" s="267" t="s">
        <v>3944</v>
      </c>
      <c r="O5536" s="267">
        <v>2490.0100000000002</v>
      </c>
      <c r="P5536" s="267" t="s">
        <v>3944</v>
      </c>
      <c r="Q5536" s="267" t="s">
        <v>3944</v>
      </c>
      <c r="R5536" s="267">
        <v>2490.0100000000002</v>
      </c>
      <c r="S5536" s="267">
        <v>27409.79</v>
      </c>
      <c r="T5536" s="267">
        <v>29899.8</v>
      </c>
      <c r="U5536" s="268" t="s">
        <v>3945</v>
      </c>
      <c r="V5536" s="267" t="s">
        <v>944</v>
      </c>
    </row>
    <row r="5537" spans="1:22" hidden="1" x14ac:dyDescent="0.25">
      <c r="A5537" s="269">
        <v>43728</v>
      </c>
      <c r="B5537" s="270">
        <v>2019</v>
      </c>
      <c r="C5537" s="270">
        <v>2020</v>
      </c>
      <c r="D5537" s="270">
        <v>1</v>
      </c>
      <c r="E5537" s="270">
        <v>1</v>
      </c>
      <c r="F5537" s="270" t="s">
        <v>944</v>
      </c>
      <c r="G5537" s="270" t="s">
        <v>3926</v>
      </c>
      <c r="H5537" s="270" t="s">
        <v>10211</v>
      </c>
      <c r="I5537" s="270" t="s">
        <v>6268</v>
      </c>
      <c r="J5537" s="270" t="s">
        <v>3928</v>
      </c>
      <c r="K5537" s="270">
        <v>6371</v>
      </c>
      <c r="L5537" s="270">
        <v>660101</v>
      </c>
      <c r="M5537" s="270" t="s">
        <v>3960</v>
      </c>
      <c r="N5537" s="270" t="s">
        <v>3944</v>
      </c>
      <c r="O5537" s="270">
        <v>1964.66</v>
      </c>
      <c r="P5537" s="270" t="s">
        <v>3944</v>
      </c>
      <c r="Q5537" s="270" t="s">
        <v>3944</v>
      </c>
      <c r="R5537" s="270">
        <v>1964.66</v>
      </c>
      <c r="S5537" s="270">
        <v>39071.339999999997</v>
      </c>
      <c r="T5537" s="270">
        <v>41036</v>
      </c>
      <c r="U5537" s="271" t="s">
        <v>3945</v>
      </c>
      <c r="V5537" s="267" t="s">
        <v>944</v>
      </c>
    </row>
    <row r="5538" spans="1:22" hidden="1" x14ac:dyDescent="0.25">
      <c r="A5538" s="266">
        <v>43728</v>
      </c>
      <c r="B5538" s="267">
        <v>2019</v>
      </c>
      <c r="C5538" s="267">
        <v>2020</v>
      </c>
      <c r="D5538" s="267">
        <v>1</v>
      </c>
      <c r="E5538" s="267">
        <v>1</v>
      </c>
      <c r="F5538" s="267" t="s">
        <v>944</v>
      </c>
      <c r="G5538" s="267" t="s">
        <v>3926</v>
      </c>
      <c r="H5538" s="267" t="s">
        <v>10212</v>
      </c>
      <c r="I5538" s="267" t="s">
        <v>4213</v>
      </c>
      <c r="J5538" s="267" t="s">
        <v>3928</v>
      </c>
      <c r="K5538" s="267">
        <v>6053</v>
      </c>
      <c r="L5538" s="267">
        <v>416700</v>
      </c>
      <c r="M5538" s="267">
        <v>-60</v>
      </c>
      <c r="N5538" s="267" t="s">
        <v>3944</v>
      </c>
      <c r="O5538" s="267">
        <v>487.8</v>
      </c>
      <c r="P5538" s="267" t="s">
        <v>3944</v>
      </c>
      <c r="Q5538" s="267" t="s">
        <v>3944</v>
      </c>
      <c r="R5538" s="267">
        <v>487.8</v>
      </c>
      <c r="S5538" s="267">
        <v>6946.2</v>
      </c>
      <c r="T5538" s="267">
        <v>7434</v>
      </c>
      <c r="U5538" s="268" t="s">
        <v>3945</v>
      </c>
      <c r="V5538" s="267" t="s">
        <v>944</v>
      </c>
    </row>
    <row r="5539" spans="1:22" hidden="1" x14ac:dyDescent="0.25">
      <c r="A5539" s="269">
        <v>43728</v>
      </c>
      <c r="B5539" s="270">
        <v>2019</v>
      </c>
      <c r="C5539" s="270">
        <v>2020</v>
      </c>
      <c r="D5539" s="270">
        <v>1</v>
      </c>
      <c r="E5539" s="270">
        <v>1</v>
      </c>
      <c r="F5539" s="270" t="s">
        <v>944</v>
      </c>
      <c r="G5539" s="270" t="s">
        <v>3926</v>
      </c>
      <c r="H5539" s="270" t="s">
        <v>10213</v>
      </c>
      <c r="I5539" s="270" t="s">
        <v>6426</v>
      </c>
      <c r="J5539" s="270" t="s">
        <v>3928</v>
      </c>
      <c r="K5539" s="270">
        <v>6422</v>
      </c>
      <c r="L5539" s="270">
        <v>585100</v>
      </c>
      <c r="M5539" s="270" t="s">
        <v>3943</v>
      </c>
      <c r="N5539" s="270" t="s">
        <v>3944</v>
      </c>
      <c r="O5539" s="270">
        <v>2878.44</v>
      </c>
      <c r="P5539" s="270" t="s">
        <v>3944</v>
      </c>
      <c r="Q5539" s="270" t="s">
        <v>3944</v>
      </c>
      <c r="R5539" s="270">
        <v>2878.44</v>
      </c>
      <c r="S5539" s="270">
        <v>43757</v>
      </c>
      <c r="T5539" s="270">
        <v>46635.44</v>
      </c>
      <c r="U5539" s="271" t="s">
        <v>3945</v>
      </c>
      <c r="V5539" s="267" t="s">
        <v>944</v>
      </c>
    </row>
    <row r="5540" spans="1:22" hidden="1" x14ac:dyDescent="0.25">
      <c r="A5540" s="266">
        <v>43728</v>
      </c>
      <c r="B5540" s="267">
        <v>2019</v>
      </c>
      <c r="C5540" s="267">
        <v>2020</v>
      </c>
      <c r="D5540" s="267">
        <v>1</v>
      </c>
      <c r="E5540" s="267">
        <v>1</v>
      </c>
      <c r="F5540" s="267" t="s">
        <v>944</v>
      </c>
      <c r="G5540" s="267" t="s">
        <v>3926</v>
      </c>
      <c r="H5540" s="267" t="s">
        <v>10214</v>
      </c>
      <c r="I5540" s="267" t="s">
        <v>4065</v>
      </c>
      <c r="J5540" s="267" t="s">
        <v>3928</v>
      </c>
      <c r="K5540" s="267">
        <v>6480</v>
      </c>
      <c r="L5540" s="267">
        <v>560100</v>
      </c>
      <c r="M5540" s="267" t="s">
        <v>3943</v>
      </c>
      <c r="N5540" s="267" t="s">
        <v>3944</v>
      </c>
      <c r="O5540" s="267">
        <v>2348.75</v>
      </c>
      <c r="P5540" s="267" t="s">
        <v>3944</v>
      </c>
      <c r="Q5540" s="267" t="s">
        <v>3944</v>
      </c>
      <c r="R5540" s="267">
        <v>2348.75</v>
      </c>
      <c r="S5540" s="267">
        <v>33667.08</v>
      </c>
      <c r="T5540" s="267">
        <v>36015.83</v>
      </c>
      <c r="U5540" s="268" t="s">
        <v>3945</v>
      </c>
      <c r="V5540" s="267" t="s">
        <v>944</v>
      </c>
    </row>
    <row r="5541" spans="1:22" hidden="1" x14ac:dyDescent="0.25">
      <c r="A5541" s="269">
        <v>43728</v>
      </c>
      <c r="B5541" s="270">
        <v>2019</v>
      </c>
      <c r="C5541" s="270">
        <v>2020</v>
      </c>
      <c r="D5541" s="270">
        <v>1</v>
      </c>
      <c r="E5541" s="270">
        <v>1</v>
      </c>
      <c r="F5541" s="270" t="s">
        <v>944</v>
      </c>
      <c r="G5541" s="270" t="s">
        <v>3926</v>
      </c>
      <c r="H5541" s="270" t="s">
        <v>10215</v>
      </c>
      <c r="I5541" s="270" t="s">
        <v>934</v>
      </c>
      <c r="J5541" s="270" t="s">
        <v>3928</v>
      </c>
      <c r="K5541" s="270">
        <v>6604</v>
      </c>
      <c r="L5541" s="270">
        <v>72100</v>
      </c>
      <c r="M5541" s="270" t="s">
        <v>3940</v>
      </c>
      <c r="N5541" s="270" t="s">
        <v>3944</v>
      </c>
      <c r="O5541" s="270">
        <v>1034.29</v>
      </c>
      <c r="P5541" s="270" t="s">
        <v>3944</v>
      </c>
      <c r="Q5541" s="270" t="s">
        <v>3944</v>
      </c>
      <c r="R5541" s="270">
        <v>1034.29</v>
      </c>
      <c r="S5541" s="270">
        <v>15345.71</v>
      </c>
      <c r="T5541" s="270">
        <v>16380</v>
      </c>
      <c r="U5541" s="271" t="s">
        <v>3945</v>
      </c>
      <c r="V5541" s="267" t="s">
        <v>944</v>
      </c>
    </row>
    <row r="5542" spans="1:22" hidden="1" x14ac:dyDescent="0.25">
      <c r="A5542" s="266">
        <v>43728</v>
      </c>
      <c r="B5542" s="267">
        <v>2019</v>
      </c>
      <c r="C5542" s="267">
        <v>2020</v>
      </c>
      <c r="D5542" s="267">
        <v>1</v>
      </c>
      <c r="E5542" s="267">
        <v>1</v>
      </c>
      <c r="F5542" s="267" t="s">
        <v>944</v>
      </c>
      <c r="G5542" s="267" t="s">
        <v>3926</v>
      </c>
      <c r="H5542" s="267" t="s">
        <v>10216</v>
      </c>
      <c r="I5542" s="267" t="s">
        <v>6426</v>
      </c>
      <c r="J5542" s="267" t="s">
        <v>3928</v>
      </c>
      <c r="K5542" s="267">
        <v>6422</v>
      </c>
      <c r="L5542" s="267">
        <v>585100</v>
      </c>
      <c r="M5542" s="267" t="s">
        <v>3943</v>
      </c>
      <c r="N5542" s="267" t="s">
        <v>3944</v>
      </c>
      <c r="O5542" s="267">
        <v>2619.61</v>
      </c>
      <c r="P5542" s="267" t="s">
        <v>3944</v>
      </c>
      <c r="Q5542" s="267" t="s">
        <v>3944</v>
      </c>
      <c r="R5542" s="267">
        <v>2619.61</v>
      </c>
      <c r="S5542" s="267">
        <v>34011.49</v>
      </c>
      <c r="T5542" s="267">
        <v>36631.1</v>
      </c>
      <c r="U5542" s="268" t="s">
        <v>3945</v>
      </c>
      <c r="V5542" s="267" t="s">
        <v>944</v>
      </c>
    </row>
    <row r="5543" spans="1:22" hidden="1" x14ac:dyDescent="0.25">
      <c r="A5543" s="269">
        <v>43728</v>
      </c>
      <c r="B5543" s="270">
        <v>2019</v>
      </c>
      <c r="C5543" s="270">
        <v>2020</v>
      </c>
      <c r="D5543" s="270">
        <v>1</v>
      </c>
      <c r="E5543" s="270">
        <v>1</v>
      </c>
      <c r="F5543" s="270" t="s">
        <v>944</v>
      </c>
      <c r="G5543" s="270" t="s">
        <v>3926</v>
      </c>
      <c r="H5543" s="270" t="s">
        <v>10217</v>
      </c>
      <c r="I5543" s="270" t="s">
        <v>4108</v>
      </c>
      <c r="J5543" s="270" t="s">
        <v>3928</v>
      </c>
      <c r="K5543" s="270">
        <v>6082</v>
      </c>
      <c r="L5543" s="270">
        <v>481100</v>
      </c>
      <c r="M5543" s="270" t="s">
        <v>3935</v>
      </c>
      <c r="N5543" s="270" t="s">
        <v>3944</v>
      </c>
      <c r="O5543" s="270">
        <v>1451.35</v>
      </c>
      <c r="P5543" s="270" t="s">
        <v>3944</v>
      </c>
      <c r="Q5543" s="270" t="s">
        <v>3944</v>
      </c>
      <c r="R5543" s="270">
        <v>1451.35</v>
      </c>
      <c r="S5543" s="270">
        <v>19198.59</v>
      </c>
      <c r="T5543" s="270">
        <v>20649.939999999999</v>
      </c>
      <c r="U5543" s="271" t="s">
        <v>3945</v>
      </c>
      <c r="V5543" s="267" t="s">
        <v>944</v>
      </c>
    </row>
    <row r="5544" spans="1:22" hidden="1" x14ac:dyDescent="0.25">
      <c r="A5544" s="266">
        <v>43728</v>
      </c>
      <c r="B5544" s="267">
        <v>2019</v>
      </c>
      <c r="C5544" s="267">
        <v>2020</v>
      </c>
      <c r="D5544" s="267">
        <v>1</v>
      </c>
      <c r="E5544" s="267">
        <v>1</v>
      </c>
      <c r="F5544" s="267" t="s">
        <v>944</v>
      </c>
      <c r="G5544" s="267" t="s">
        <v>3926</v>
      </c>
      <c r="H5544" s="267" t="s">
        <v>10218</v>
      </c>
      <c r="I5544" s="267" t="s">
        <v>4040</v>
      </c>
      <c r="J5544" s="267" t="s">
        <v>3928</v>
      </c>
      <c r="K5544" s="267">
        <v>6339</v>
      </c>
      <c r="L5544" s="267">
        <v>701100</v>
      </c>
      <c r="M5544" s="267" t="s">
        <v>3960</v>
      </c>
      <c r="N5544" s="267" t="s">
        <v>3944</v>
      </c>
      <c r="O5544" s="267">
        <v>1586.59</v>
      </c>
      <c r="P5544" s="267" t="s">
        <v>3944</v>
      </c>
      <c r="Q5544" s="267" t="s">
        <v>3944</v>
      </c>
      <c r="R5544" s="267">
        <v>1586.59</v>
      </c>
      <c r="S5544" s="267">
        <v>29658.6</v>
      </c>
      <c r="T5544" s="267">
        <v>31245.19</v>
      </c>
      <c r="U5544" s="268" t="s">
        <v>3945</v>
      </c>
      <c r="V5544" s="267" t="s">
        <v>944</v>
      </c>
    </row>
    <row r="5545" spans="1:22" hidden="1" x14ac:dyDescent="0.25">
      <c r="A5545" s="269">
        <v>43728</v>
      </c>
      <c r="B5545" s="270">
        <v>2019</v>
      </c>
      <c r="C5545" s="270">
        <v>2020</v>
      </c>
      <c r="D5545" s="270">
        <v>1</v>
      </c>
      <c r="E5545" s="270">
        <v>1</v>
      </c>
      <c r="F5545" s="270" t="s">
        <v>944</v>
      </c>
      <c r="G5545" s="270" t="s">
        <v>3926</v>
      </c>
      <c r="H5545" s="270" t="s">
        <v>10219</v>
      </c>
      <c r="I5545" s="270" t="s">
        <v>953</v>
      </c>
      <c r="J5545" s="270" t="s">
        <v>3928</v>
      </c>
      <c r="K5545" s="270">
        <v>6517</v>
      </c>
      <c r="L5545" s="270">
        <v>165200</v>
      </c>
      <c r="M5545" s="270" t="s">
        <v>3943</v>
      </c>
      <c r="N5545" s="270" t="s">
        <v>3944</v>
      </c>
      <c r="O5545" s="270">
        <v>679.42</v>
      </c>
      <c r="P5545" s="270" t="s">
        <v>3944</v>
      </c>
      <c r="Q5545" s="270" t="s">
        <v>3944</v>
      </c>
      <c r="R5545" s="270">
        <v>679.42</v>
      </c>
      <c r="S5545" s="270">
        <v>9468.1</v>
      </c>
      <c r="T5545" s="270">
        <v>10147.52</v>
      </c>
      <c r="U5545" s="271" t="s">
        <v>3945</v>
      </c>
      <c r="V5545" s="267" t="s">
        <v>944</v>
      </c>
    </row>
    <row r="5546" spans="1:22" hidden="1" x14ac:dyDescent="0.25">
      <c r="A5546" s="266">
        <v>43728</v>
      </c>
      <c r="B5546" s="267">
        <v>2019</v>
      </c>
      <c r="C5546" s="267">
        <v>2020</v>
      </c>
      <c r="D5546" s="267">
        <v>1</v>
      </c>
      <c r="E5546" s="267">
        <v>1</v>
      </c>
      <c r="F5546" s="267" t="s">
        <v>944</v>
      </c>
      <c r="G5546" s="267" t="s">
        <v>3926</v>
      </c>
      <c r="H5546" s="267" t="s">
        <v>10220</v>
      </c>
      <c r="I5546" s="267" t="s">
        <v>956</v>
      </c>
      <c r="J5546" s="267" t="s">
        <v>3928</v>
      </c>
      <c r="K5546" s="267">
        <v>6614</v>
      </c>
      <c r="L5546" s="267">
        <v>80100</v>
      </c>
      <c r="M5546" s="267" t="s">
        <v>3935</v>
      </c>
      <c r="N5546" s="267" t="s">
        <v>3944</v>
      </c>
      <c r="O5546" s="267">
        <v>1229.8699999999999</v>
      </c>
      <c r="P5546" s="267" t="s">
        <v>3944</v>
      </c>
      <c r="Q5546" s="267" t="s">
        <v>3944</v>
      </c>
      <c r="R5546" s="267">
        <v>1229.8699999999999</v>
      </c>
      <c r="S5546" s="267">
        <v>18951.95</v>
      </c>
      <c r="T5546" s="267">
        <v>20181.82</v>
      </c>
      <c r="U5546" s="268" t="s">
        <v>3945</v>
      </c>
      <c r="V5546" s="267" t="s">
        <v>944</v>
      </c>
    </row>
    <row r="5547" spans="1:22" hidden="1" x14ac:dyDescent="0.25">
      <c r="A5547" s="269">
        <v>43728</v>
      </c>
      <c r="B5547" s="270">
        <v>2019</v>
      </c>
      <c r="C5547" s="270">
        <v>2020</v>
      </c>
      <c r="D5547" s="270">
        <v>1</v>
      </c>
      <c r="E5547" s="270">
        <v>1</v>
      </c>
      <c r="F5547" s="270" t="s">
        <v>944</v>
      </c>
      <c r="G5547" s="270" t="s">
        <v>3926</v>
      </c>
      <c r="H5547" s="270" t="s">
        <v>10221</v>
      </c>
      <c r="I5547" s="270" t="s">
        <v>3939</v>
      </c>
      <c r="J5547" s="270" t="s">
        <v>3928</v>
      </c>
      <c r="K5547" s="270">
        <v>6512</v>
      </c>
      <c r="L5547" s="270">
        <v>180601</v>
      </c>
      <c r="M5547" s="270" t="s">
        <v>3940</v>
      </c>
      <c r="N5547" s="270" t="s">
        <v>3944</v>
      </c>
      <c r="O5547" s="270">
        <v>2438.56</v>
      </c>
      <c r="P5547" s="270" t="s">
        <v>3944</v>
      </c>
      <c r="Q5547" s="270" t="s">
        <v>3944</v>
      </c>
      <c r="R5547" s="270">
        <v>2438.56</v>
      </c>
      <c r="S5547" s="270">
        <v>37462.43</v>
      </c>
      <c r="T5547" s="270">
        <v>39900.99</v>
      </c>
      <c r="U5547" s="271" t="s">
        <v>3945</v>
      </c>
      <c r="V5547" s="267" t="s">
        <v>944</v>
      </c>
    </row>
    <row r="5548" spans="1:22" hidden="1" x14ac:dyDescent="0.25">
      <c r="A5548" s="266">
        <v>43728</v>
      </c>
      <c r="B5548" s="267">
        <v>2019</v>
      </c>
      <c r="C5548" s="267">
        <v>2020</v>
      </c>
      <c r="D5548" s="267">
        <v>1</v>
      </c>
      <c r="E5548" s="267">
        <v>1</v>
      </c>
      <c r="F5548" s="267" t="s">
        <v>944</v>
      </c>
      <c r="G5548" s="267" t="s">
        <v>3926</v>
      </c>
      <c r="H5548" s="267" t="s">
        <v>10222</v>
      </c>
      <c r="I5548" s="267" t="s">
        <v>4213</v>
      </c>
      <c r="J5548" s="267" t="s">
        <v>3928</v>
      </c>
      <c r="K5548" s="267">
        <v>6053</v>
      </c>
      <c r="L5548" s="267">
        <v>416700</v>
      </c>
      <c r="M5548" s="267">
        <v>-60</v>
      </c>
      <c r="N5548" s="267" t="s">
        <v>3944</v>
      </c>
      <c r="O5548" s="267">
        <v>1293.1099999999999</v>
      </c>
      <c r="P5548" s="267" t="s">
        <v>3944</v>
      </c>
      <c r="Q5548" s="267" t="s">
        <v>3944</v>
      </c>
      <c r="R5548" s="267">
        <v>1293.1099999999999</v>
      </c>
      <c r="S5548" s="267">
        <v>19084.05</v>
      </c>
      <c r="T5548" s="267">
        <v>20377.16</v>
      </c>
      <c r="U5548" s="268" t="s">
        <v>3945</v>
      </c>
      <c r="V5548" s="267" t="s">
        <v>944</v>
      </c>
    </row>
    <row r="5549" spans="1:22" hidden="1" x14ac:dyDescent="0.25">
      <c r="A5549" s="269">
        <v>43728</v>
      </c>
      <c r="B5549" s="270">
        <v>2019</v>
      </c>
      <c r="C5549" s="270">
        <v>2020</v>
      </c>
      <c r="D5549" s="270">
        <v>1</v>
      </c>
      <c r="E5549" s="270">
        <v>1</v>
      </c>
      <c r="F5549" s="270" t="s">
        <v>944</v>
      </c>
      <c r="G5549" s="270" t="s">
        <v>3926</v>
      </c>
      <c r="H5549" s="270" t="s">
        <v>10223</v>
      </c>
      <c r="I5549" s="270" t="s">
        <v>4269</v>
      </c>
      <c r="J5549" s="270" t="s">
        <v>3928</v>
      </c>
      <c r="K5549" s="270">
        <v>6119</v>
      </c>
      <c r="L5549" s="270">
        <v>496900</v>
      </c>
      <c r="M5549" s="270" t="s">
        <v>3960</v>
      </c>
      <c r="N5549" s="270" t="s">
        <v>3944</v>
      </c>
      <c r="O5549" s="270">
        <v>770.49</v>
      </c>
      <c r="P5549" s="270" t="s">
        <v>3944</v>
      </c>
      <c r="Q5549" s="270" t="s">
        <v>3944</v>
      </c>
      <c r="R5549" s="270">
        <v>770.49</v>
      </c>
      <c r="S5549" s="270">
        <v>10845.39</v>
      </c>
      <c r="T5549" s="270">
        <v>11615.88</v>
      </c>
      <c r="U5549" s="271" t="s">
        <v>3945</v>
      </c>
      <c r="V5549" s="267" t="s">
        <v>944</v>
      </c>
    </row>
    <row r="5550" spans="1:22" hidden="1" x14ac:dyDescent="0.25">
      <c r="A5550" s="266">
        <v>43728</v>
      </c>
      <c r="B5550" s="267">
        <v>2019</v>
      </c>
      <c r="C5550" s="267">
        <v>2020</v>
      </c>
      <c r="D5550" s="267">
        <v>1</v>
      </c>
      <c r="E5550" s="267">
        <v>1</v>
      </c>
      <c r="F5550" s="267" t="s">
        <v>944</v>
      </c>
      <c r="G5550" s="267" t="s">
        <v>3926</v>
      </c>
      <c r="H5550" s="267" t="s">
        <v>10224</v>
      </c>
      <c r="I5550" s="267" t="s">
        <v>3966</v>
      </c>
      <c r="J5550" s="267" t="s">
        <v>3928</v>
      </c>
      <c r="K5550" s="267">
        <v>6010</v>
      </c>
      <c r="L5550" s="267">
        <v>405300</v>
      </c>
      <c r="M5550" s="267" t="s">
        <v>3940</v>
      </c>
      <c r="N5550" s="267" t="s">
        <v>3944</v>
      </c>
      <c r="O5550" s="267">
        <v>1401.37</v>
      </c>
      <c r="P5550" s="267" t="s">
        <v>3944</v>
      </c>
      <c r="Q5550" s="267" t="s">
        <v>3944</v>
      </c>
      <c r="R5550" s="267">
        <v>1401.37</v>
      </c>
      <c r="S5550" s="267">
        <v>16636.22</v>
      </c>
      <c r="T5550" s="267">
        <v>18037.59</v>
      </c>
      <c r="U5550" s="268" t="s">
        <v>3945</v>
      </c>
      <c r="V5550" s="267" t="s">
        <v>944</v>
      </c>
    </row>
    <row r="5551" spans="1:22" hidden="1" x14ac:dyDescent="0.25">
      <c r="A5551" s="269">
        <v>43728</v>
      </c>
      <c r="B5551" s="270">
        <v>2019</v>
      </c>
      <c r="C5551" s="270">
        <v>2020</v>
      </c>
      <c r="D5551" s="270">
        <v>1</v>
      </c>
      <c r="E5551" s="270">
        <v>1</v>
      </c>
      <c r="F5551" s="270" t="s">
        <v>944</v>
      </c>
      <c r="G5551" s="270" t="s">
        <v>3926</v>
      </c>
      <c r="H5551" s="270" t="s">
        <v>10225</v>
      </c>
      <c r="I5551" s="270" t="s">
        <v>956</v>
      </c>
      <c r="J5551" s="270" t="s">
        <v>3928</v>
      </c>
      <c r="K5551" s="270">
        <v>6614</v>
      </c>
      <c r="L5551" s="270">
        <v>80900</v>
      </c>
      <c r="M5551" s="270" t="s">
        <v>3960</v>
      </c>
      <c r="N5551" s="270" t="s">
        <v>3944</v>
      </c>
      <c r="O5551" s="270">
        <v>2163.77</v>
      </c>
      <c r="P5551" s="270" t="s">
        <v>3944</v>
      </c>
      <c r="Q5551" s="270" t="s">
        <v>3944</v>
      </c>
      <c r="R5551" s="270">
        <v>2163.77</v>
      </c>
      <c r="S5551" s="270">
        <v>32755.040000000001</v>
      </c>
      <c r="T5551" s="270">
        <v>34918.81</v>
      </c>
      <c r="U5551" s="271" t="s">
        <v>3945</v>
      </c>
      <c r="V5551" s="267" t="s">
        <v>944</v>
      </c>
    </row>
    <row r="5552" spans="1:22" hidden="1" x14ac:dyDescent="0.25">
      <c r="A5552" s="266">
        <v>43728</v>
      </c>
      <c r="B5552" s="267">
        <v>2019</v>
      </c>
      <c r="C5552" s="267">
        <v>2020</v>
      </c>
      <c r="D5552" s="267">
        <v>1</v>
      </c>
      <c r="E5552" s="267">
        <v>1</v>
      </c>
      <c r="F5552" s="267" t="s">
        <v>944</v>
      </c>
      <c r="G5552" s="267" t="s">
        <v>3926</v>
      </c>
      <c r="H5552" s="267" t="s">
        <v>10226</v>
      </c>
      <c r="I5552" s="267" t="s">
        <v>4087</v>
      </c>
      <c r="J5552" s="267" t="s">
        <v>3928</v>
      </c>
      <c r="K5552" s="267">
        <v>6340</v>
      </c>
      <c r="L5552" s="267">
        <v>702900</v>
      </c>
      <c r="M5552" s="267" t="s">
        <v>3943</v>
      </c>
      <c r="N5552" s="267" t="s">
        <v>3944</v>
      </c>
      <c r="O5552" s="267">
        <v>1019.76</v>
      </c>
      <c r="P5552" s="267" t="s">
        <v>3944</v>
      </c>
      <c r="Q5552" s="267" t="s">
        <v>3944</v>
      </c>
      <c r="R5552" s="267">
        <v>1019.76</v>
      </c>
      <c r="S5552" s="267">
        <v>15074.84</v>
      </c>
      <c r="T5552" s="267">
        <v>16094.6</v>
      </c>
      <c r="U5552" s="268" t="s">
        <v>3945</v>
      </c>
      <c r="V5552" s="267" t="s">
        <v>944</v>
      </c>
    </row>
    <row r="5553" spans="1:22" hidden="1" x14ac:dyDescent="0.25">
      <c r="A5553" s="269">
        <v>43728</v>
      </c>
      <c r="B5553" s="270">
        <v>2019</v>
      </c>
      <c r="C5553" s="270">
        <v>2020</v>
      </c>
      <c r="D5553" s="270">
        <v>1</v>
      </c>
      <c r="E5553" s="270">
        <v>1</v>
      </c>
      <c r="F5553" s="270" t="s">
        <v>944</v>
      </c>
      <c r="G5553" s="270" t="s">
        <v>3926</v>
      </c>
      <c r="H5553" s="270" t="s">
        <v>10227</v>
      </c>
      <c r="I5553" s="270" t="s">
        <v>2985</v>
      </c>
      <c r="J5553" s="270" t="s">
        <v>3928</v>
      </c>
      <c r="K5553" s="270">
        <v>6825</v>
      </c>
      <c r="L5553" s="270">
        <v>60200</v>
      </c>
      <c r="M5553" s="270" t="s">
        <v>3943</v>
      </c>
      <c r="N5553" s="270" t="s">
        <v>3944</v>
      </c>
      <c r="O5553" s="270">
        <v>1848.32</v>
      </c>
      <c r="P5553" s="270" t="s">
        <v>3944</v>
      </c>
      <c r="Q5553" s="270" t="s">
        <v>3944</v>
      </c>
      <c r="R5553" s="270">
        <v>1848.32</v>
      </c>
      <c r="S5553" s="270">
        <v>31066.62</v>
      </c>
      <c r="T5553" s="270">
        <v>32914.94</v>
      </c>
      <c r="U5553" s="271" t="s">
        <v>3945</v>
      </c>
      <c r="V5553" s="267" t="s">
        <v>944</v>
      </c>
    </row>
    <row r="5554" spans="1:22" hidden="1" x14ac:dyDescent="0.25">
      <c r="A5554" s="266">
        <v>43728</v>
      </c>
      <c r="B5554" s="267">
        <v>2019</v>
      </c>
      <c r="C5554" s="267">
        <v>2020</v>
      </c>
      <c r="D5554" s="267">
        <v>1</v>
      </c>
      <c r="E5554" s="267">
        <v>1</v>
      </c>
      <c r="F5554" s="267" t="s">
        <v>944</v>
      </c>
      <c r="G5554" s="267" t="s">
        <v>3926</v>
      </c>
      <c r="H5554" s="267" t="s">
        <v>10228</v>
      </c>
      <c r="I5554" s="267" t="s">
        <v>4323</v>
      </c>
      <c r="J5554" s="267" t="s">
        <v>3928</v>
      </c>
      <c r="K5554" s="267">
        <v>6385</v>
      </c>
      <c r="L5554" s="267">
        <v>693300</v>
      </c>
      <c r="M5554" s="267" t="s">
        <v>3935</v>
      </c>
      <c r="N5554" s="267" t="s">
        <v>3944</v>
      </c>
      <c r="O5554" s="267">
        <v>2754.64</v>
      </c>
      <c r="P5554" s="267" t="s">
        <v>3944</v>
      </c>
      <c r="Q5554" s="267" t="s">
        <v>3944</v>
      </c>
      <c r="R5554" s="267">
        <v>2754.64</v>
      </c>
      <c r="S5554" s="267">
        <v>48158.99</v>
      </c>
      <c r="T5554" s="267">
        <v>50913.63</v>
      </c>
      <c r="U5554" s="268" t="s">
        <v>3945</v>
      </c>
      <c r="V5554" s="267" t="s">
        <v>944</v>
      </c>
    </row>
    <row r="5555" spans="1:22" hidden="1" x14ac:dyDescent="0.25">
      <c r="A5555" s="269">
        <v>43728</v>
      </c>
      <c r="B5555" s="270">
        <v>2019</v>
      </c>
      <c r="C5555" s="270">
        <v>2020</v>
      </c>
      <c r="D5555" s="270">
        <v>1</v>
      </c>
      <c r="E5555" s="270">
        <v>1</v>
      </c>
      <c r="F5555" s="270" t="s">
        <v>944</v>
      </c>
      <c r="G5555" s="270" t="s">
        <v>3926</v>
      </c>
      <c r="H5555" s="270" t="s">
        <v>10229</v>
      </c>
      <c r="I5555" s="270" t="s">
        <v>4422</v>
      </c>
      <c r="J5555" s="270" t="s">
        <v>3928</v>
      </c>
      <c r="K5555" s="270">
        <v>6801</v>
      </c>
      <c r="L5555" s="270">
        <v>200100</v>
      </c>
      <c r="M5555" s="270" t="s">
        <v>3935</v>
      </c>
      <c r="N5555" s="270" t="s">
        <v>3944</v>
      </c>
      <c r="O5555" s="270">
        <v>1450.12</v>
      </c>
      <c r="P5555" s="270" t="s">
        <v>3944</v>
      </c>
      <c r="Q5555" s="270" t="s">
        <v>3944</v>
      </c>
      <c r="R5555" s="270">
        <v>1450.12</v>
      </c>
      <c r="S5555" s="270">
        <v>21145.59</v>
      </c>
      <c r="T5555" s="270">
        <v>22595.71</v>
      </c>
      <c r="U5555" s="271" t="s">
        <v>3945</v>
      </c>
      <c r="V5555" s="267" t="s">
        <v>944</v>
      </c>
    </row>
    <row r="5556" spans="1:22" hidden="1" x14ac:dyDescent="0.25">
      <c r="A5556" s="266">
        <v>43728</v>
      </c>
      <c r="B5556" s="267">
        <v>2019</v>
      </c>
      <c r="C5556" s="267">
        <v>2020</v>
      </c>
      <c r="D5556" s="267">
        <v>1</v>
      </c>
      <c r="E5556" s="267">
        <v>1</v>
      </c>
      <c r="F5556" s="267" t="s">
        <v>944</v>
      </c>
      <c r="G5556" s="267" t="s">
        <v>3926</v>
      </c>
      <c r="H5556" s="267" t="s">
        <v>10230</v>
      </c>
      <c r="I5556" s="267" t="s">
        <v>4008</v>
      </c>
      <c r="J5556" s="267" t="s">
        <v>3928</v>
      </c>
      <c r="K5556" s="267">
        <v>6320</v>
      </c>
      <c r="L5556" s="267">
        <v>690900</v>
      </c>
      <c r="M5556" s="267" t="s">
        <v>3935</v>
      </c>
      <c r="N5556" s="267" t="s">
        <v>3944</v>
      </c>
      <c r="O5556" s="267">
        <v>2242.17</v>
      </c>
      <c r="P5556" s="267" t="s">
        <v>3944</v>
      </c>
      <c r="Q5556" s="267" t="s">
        <v>3944</v>
      </c>
      <c r="R5556" s="267">
        <v>2242.17</v>
      </c>
      <c r="S5556" s="267">
        <v>35498.660000000003</v>
      </c>
      <c r="T5556" s="267">
        <v>37740.83</v>
      </c>
      <c r="U5556" s="268" t="s">
        <v>3945</v>
      </c>
      <c r="V5556" s="267" t="s">
        <v>944</v>
      </c>
    </row>
    <row r="5557" spans="1:22" hidden="1" x14ac:dyDescent="0.25">
      <c r="A5557" s="269">
        <v>43728</v>
      </c>
      <c r="B5557" s="270">
        <v>2019</v>
      </c>
      <c r="C5557" s="270">
        <v>2020</v>
      </c>
      <c r="D5557" s="270">
        <v>1</v>
      </c>
      <c r="E5557" s="270">
        <v>1</v>
      </c>
      <c r="F5557" s="270" t="s">
        <v>944</v>
      </c>
      <c r="G5557" s="270" t="s">
        <v>3926</v>
      </c>
      <c r="H5557" s="270" t="s">
        <v>10231</v>
      </c>
      <c r="I5557" s="270" t="s">
        <v>3975</v>
      </c>
      <c r="J5557" s="270" t="s">
        <v>3928</v>
      </c>
      <c r="K5557" s="270">
        <v>6489</v>
      </c>
      <c r="L5557" s="270">
        <v>430202</v>
      </c>
      <c r="M5557" s="270" t="s">
        <v>3943</v>
      </c>
      <c r="N5557" s="270" t="s">
        <v>3944</v>
      </c>
      <c r="O5557" s="270">
        <v>4317.78</v>
      </c>
      <c r="P5557" s="270" t="s">
        <v>3944</v>
      </c>
      <c r="Q5557" s="270" t="s">
        <v>3944</v>
      </c>
      <c r="R5557" s="270">
        <v>4317.78</v>
      </c>
      <c r="S5557" s="270">
        <v>53097.89</v>
      </c>
      <c r="T5557" s="270">
        <v>57415.67</v>
      </c>
      <c r="U5557" s="271" t="s">
        <v>3945</v>
      </c>
      <c r="V5557" s="267" t="s">
        <v>944</v>
      </c>
    </row>
    <row r="5558" spans="1:22" hidden="1" x14ac:dyDescent="0.25">
      <c r="A5558" s="266">
        <v>43728</v>
      </c>
      <c r="B5558" s="267">
        <v>2019</v>
      </c>
      <c r="C5558" s="267">
        <v>2020</v>
      </c>
      <c r="D5558" s="267">
        <v>1</v>
      </c>
      <c r="E5558" s="267">
        <v>1</v>
      </c>
      <c r="F5558" s="267" t="s">
        <v>944</v>
      </c>
      <c r="G5558" s="267" t="s">
        <v>3926</v>
      </c>
      <c r="H5558" s="267" t="s">
        <v>10232</v>
      </c>
      <c r="I5558" s="267" t="s">
        <v>956</v>
      </c>
      <c r="J5558" s="267" t="s">
        <v>3928</v>
      </c>
      <c r="K5558" s="267">
        <v>6615</v>
      </c>
      <c r="L5558" s="267">
        <v>80700</v>
      </c>
      <c r="M5558" s="267" t="s">
        <v>3935</v>
      </c>
      <c r="N5558" s="267" t="s">
        <v>3944</v>
      </c>
      <c r="O5558" s="267">
        <v>2151.94</v>
      </c>
      <c r="P5558" s="267" t="s">
        <v>3944</v>
      </c>
      <c r="Q5558" s="267" t="s">
        <v>3944</v>
      </c>
      <c r="R5558" s="267">
        <v>2151.94</v>
      </c>
      <c r="S5558" s="267">
        <v>29244.15</v>
      </c>
      <c r="T5558" s="267">
        <v>31396.09</v>
      </c>
      <c r="U5558" s="268" t="s">
        <v>3945</v>
      </c>
      <c r="V5558" s="267" t="s">
        <v>944</v>
      </c>
    </row>
    <row r="5559" spans="1:22" hidden="1" x14ac:dyDescent="0.25">
      <c r="A5559" s="269">
        <v>43728</v>
      </c>
      <c r="B5559" s="270">
        <v>2019</v>
      </c>
      <c r="C5559" s="270">
        <v>2020</v>
      </c>
      <c r="D5559" s="270">
        <v>1</v>
      </c>
      <c r="E5559" s="270">
        <v>1</v>
      </c>
      <c r="F5559" s="270" t="s">
        <v>944</v>
      </c>
      <c r="G5559" s="270" t="s">
        <v>3926</v>
      </c>
      <c r="H5559" s="270" t="s">
        <v>10233</v>
      </c>
      <c r="I5559" s="270" t="s">
        <v>4124</v>
      </c>
      <c r="J5559" s="270" t="s">
        <v>3928</v>
      </c>
      <c r="K5559" s="270">
        <v>6470</v>
      </c>
      <c r="L5559" s="270">
        <v>230300</v>
      </c>
      <c r="M5559" s="270" t="s">
        <v>3943</v>
      </c>
      <c r="N5559" s="270" t="s">
        <v>3944</v>
      </c>
      <c r="O5559" s="270">
        <v>2561.7600000000002</v>
      </c>
      <c r="P5559" s="270" t="s">
        <v>3944</v>
      </c>
      <c r="Q5559" s="270" t="s">
        <v>3944</v>
      </c>
      <c r="R5559" s="270">
        <v>2561.7600000000002</v>
      </c>
      <c r="S5559" s="270">
        <v>34546.449999999997</v>
      </c>
      <c r="T5559" s="270">
        <v>37108.21</v>
      </c>
      <c r="U5559" s="271" t="s">
        <v>3945</v>
      </c>
      <c r="V5559" s="267" t="s">
        <v>944</v>
      </c>
    </row>
    <row r="5560" spans="1:22" hidden="1" x14ac:dyDescent="0.25">
      <c r="A5560" s="266">
        <v>43728</v>
      </c>
      <c r="B5560" s="267">
        <v>2019</v>
      </c>
      <c r="C5560" s="267">
        <v>2020</v>
      </c>
      <c r="D5560" s="267">
        <v>1</v>
      </c>
      <c r="E5560" s="267">
        <v>1</v>
      </c>
      <c r="F5560" s="267" t="s">
        <v>944</v>
      </c>
      <c r="G5560" s="267" t="s">
        <v>3926</v>
      </c>
      <c r="H5560" s="267" t="s">
        <v>10234</v>
      </c>
      <c r="I5560" s="267" t="s">
        <v>4008</v>
      </c>
      <c r="J5560" s="267" t="s">
        <v>3928</v>
      </c>
      <c r="K5560" s="267">
        <v>6320</v>
      </c>
      <c r="L5560" s="267">
        <v>690800</v>
      </c>
      <c r="M5560" s="267">
        <v>-60</v>
      </c>
      <c r="N5560" s="267" t="s">
        <v>3944</v>
      </c>
      <c r="O5560" s="267">
        <v>1480.61</v>
      </c>
      <c r="P5560" s="267" t="s">
        <v>3944</v>
      </c>
      <c r="Q5560" s="267" t="s">
        <v>3944</v>
      </c>
      <c r="R5560" s="267">
        <v>1480.61</v>
      </c>
      <c r="S5560" s="267">
        <v>21923.5</v>
      </c>
      <c r="T5560" s="267">
        <v>23404.11</v>
      </c>
      <c r="U5560" s="268" t="s">
        <v>3945</v>
      </c>
      <c r="V5560" s="267" t="s">
        <v>944</v>
      </c>
    </row>
    <row r="5561" spans="1:22" hidden="1" x14ac:dyDescent="0.25">
      <c r="A5561" s="269">
        <v>43728</v>
      </c>
      <c r="B5561" s="270">
        <v>2019</v>
      </c>
      <c r="C5561" s="270">
        <v>2020</v>
      </c>
      <c r="D5561" s="270">
        <v>1</v>
      </c>
      <c r="E5561" s="270">
        <v>1</v>
      </c>
      <c r="F5561" s="270" t="s">
        <v>944</v>
      </c>
      <c r="G5561" s="270" t="s">
        <v>3926</v>
      </c>
      <c r="H5561" s="270" t="s">
        <v>10235</v>
      </c>
      <c r="I5561" s="270" t="s">
        <v>4200</v>
      </c>
      <c r="J5561" s="270" t="s">
        <v>3928</v>
      </c>
      <c r="K5561" s="270">
        <v>6779</v>
      </c>
      <c r="L5561" s="270">
        <v>360300</v>
      </c>
      <c r="M5561" s="270" t="s">
        <v>3935</v>
      </c>
      <c r="N5561" s="270" t="s">
        <v>3944</v>
      </c>
      <c r="O5561" s="270">
        <v>793.28</v>
      </c>
      <c r="P5561" s="270" t="s">
        <v>3944</v>
      </c>
      <c r="Q5561" s="270" t="s">
        <v>3944</v>
      </c>
      <c r="R5561" s="270">
        <v>793.28</v>
      </c>
      <c r="S5561" s="270">
        <v>11170.88</v>
      </c>
      <c r="T5561" s="270">
        <v>11964.16</v>
      </c>
      <c r="U5561" s="271" t="s">
        <v>3945</v>
      </c>
      <c r="V5561" s="267" t="s">
        <v>944</v>
      </c>
    </row>
    <row r="5562" spans="1:22" hidden="1" x14ac:dyDescent="0.25">
      <c r="A5562" s="266">
        <v>43728</v>
      </c>
      <c r="B5562" s="267">
        <v>2019</v>
      </c>
      <c r="C5562" s="267">
        <v>2020</v>
      </c>
      <c r="D5562" s="267">
        <v>1</v>
      </c>
      <c r="E5562" s="267">
        <v>1</v>
      </c>
      <c r="F5562" s="267" t="s">
        <v>944</v>
      </c>
      <c r="G5562" s="267" t="s">
        <v>3926</v>
      </c>
      <c r="H5562" s="267" t="s">
        <v>10236</v>
      </c>
      <c r="I5562" s="267" t="s">
        <v>3008</v>
      </c>
      <c r="J5562" s="267" t="s">
        <v>3928</v>
      </c>
      <c r="K5562" s="267">
        <v>6461</v>
      </c>
      <c r="L5562" s="267">
        <v>150700</v>
      </c>
      <c r="M5562" s="267" t="s">
        <v>3943</v>
      </c>
      <c r="N5562" s="267" t="s">
        <v>3944</v>
      </c>
      <c r="O5562" s="267">
        <v>676.94</v>
      </c>
      <c r="P5562" s="267" t="s">
        <v>3944</v>
      </c>
      <c r="Q5562" s="267" t="s">
        <v>3944</v>
      </c>
      <c r="R5562" s="267">
        <v>676.94</v>
      </c>
      <c r="S5562" s="267">
        <v>17471.490000000002</v>
      </c>
      <c r="T5562" s="267">
        <v>18148.43</v>
      </c>
      <c r="U5562" s="268" t="s">
        <v>3945</v>
      </c>
      <c r="V5562" s="267" t="s">
        <v>944</v>
      </c>
    </row>
    <row r="5563" spans="1:22" hidden="1" x14ac:dyDescent="0.25">
      <c r="A5563" s="269">
        <v>43728</v>
      </c>
      <c r="B5563" s="270">
        <v>2019</v>
      </c>
      <c r="C5563" s="270">
        <v>2020</v>
      </c>
      <c r="D5563" s="270">
        <v>1</v>
      </c>
      <c r="E5563" s="270">
        <v>1</v>
      </c>
      <c r="F5563" s="270" t="s">
        <v>944</v>
      </c>
      <c r="G5563" s="270" t="s">
        <v>3926</v>
      </c>
      <c r="H5563" s="270" t="s">
        <v>10237</v>
      </c>
      <c r="I5563" s="270" t="s">
        <v>3975</v>
      </c>
      <c r="J5563" s="270" t="s">
        <v>3928</v>
      </c>
      <c r="K5563" s="270">
        <v>6467</v>
      </c>
      <c r="L5563" s="270">
        <v>430400</v>
      </c>
      <c r="M5563" s="270" t="s">
        <v>3960</v>
      </c>
      <c r="N5563" s="270" t="s">
        <v>3944</v>
      </c>
      <c r="O5563" s="270">
        <v>1625.79</v>
      </c>
      <c r="P5563" s="270" t="s">
        <v>3944</v>
      </c>
      <c r="Q5563" s="270" t="s">
        <v>3944</v>
      </c>
      <c r="R5563" s="270">
        <v>1625.79</v>
      </c>
      <c r="S5563" s="270">
        <v>21592.36</v>
      </c>
      <c r="T5563" s="270">
        <v>23218.15</v>
      </c>
      <c r="U5563" s="271" t="s">
        <v>3945</v>
      </c>
      <c r="V5563" s="267" t="s">
        <v>944</v>
      </c>
    </row>
    <row r="5564" spans="1:22" hidden="1" x14ac:dyDescent="0.25">
      <c r="A5564" s="266">
        <v>43728</v>
      </c>
      <c r="B5564" s="267">
        <v>2019</v>
      </c>
      <c r="C5564" s="267">
        <v>2020</v>
      </c>
      <c r="D5564" s="267">
        <v>1</v>
      </c>
      <c r="E5564" s="267">
        <v>1</v>
      </c>
      <c r="F5564" s="267" t="s">
        <v>944</v>
      </c>
      <c r="G5564" s="267" t="s">
        <v>3926</v>
      </c>
      <c r="H5564" s="267" t="s">
        <v>10238</v>
      </c>
      <c r="I5564" s="267" t="s">
        <v>3966</v>
      </c>
      <c r="J5564" s="267" t="s">
        <v>3928</v>
      </c>
      <c r="K5564" s="267">
        <v>6010</v>
      </c>
      <c r="L5564" s="267">
        <v>406001</v>
      </c>
      <c r="M5564" s="267">
        <v>-60</v>
      </c>
      <c r="N5564" s="267" t="s">
        <v>3944</v>
      </c>
      <c r="O5564" s="267">
        <v>2065.25</v>
      </c>
      <c r="P5564" s="267" t="s">
        <v>3944</v>
      </c>
      <c r="Q5564" s="267" t="s">
        <v>3944</v>
      </c>
      <c r="R5564" s="267">
        <v>2065.25</v>
      </c>
      <c r="S5564" s="267">
        <v>26411.15</v>
      </c>
      <c r="T5564" s="267">
        <v>28476.400000000001</v>
      </c>
      <c r="U5564" s="268" t="s">
        <v>3945</v>
      </c>
      <c r="V5564" s="267" t="s">
        <v>944</v>
      </c>
    </row>
    <row r="5565" spans="1:22" hidden="1" x14ac:dyDescent="0.25">
      <c r="A5565" s="269">
        <v>43728</v>
      </c>
      <c r="B5565" s="270">
        <v>2019</v>
      </c>
      <c r="C5565" s="270">
        <v>2020</v>
      </c>
      <c r="D5565" s="270">
        <v>1</v>
      </c>
      <c r="E5565" s="270">
        <v>1</v>
      </c>
      <c r="F5565" s="270" t="s">
        <v>944</v>
      </c>
      <c r="G5565" s="270" t="s">
        <v>3926</v>
      </c>
      <c r="H5565" s="270" t="s">
        <v>10239</v>
      </c>
      <c r="I5565" s="270" t="s">
        <v>4306</v>
      </c>
      <c r="J5565" s="270" t="s">
        <v>3928</v>
      </c>
      <c r="K5565" s="270">
        <v>6716</v>
      </c>
      <c r="L5565" s="270">
        <v>361300</v>
      </c>
      <c r="M5565" s="270" t="s">
        <v>3960</v>
      </c>
      <c r="N5565" s="270" t="s">
        <v>3944</v>
      </c>
      <c r="O5565" s="270">
        <v>2041.62</v>
      </c>
      <c r="P5565" s="270" t="s">
        <v>3944</v>
      </c>
      <c r="Q5565" s="270" t="s">
        <v>3944</v>
      </c>
      <c r="R5565" s="270">
        <v>2041.62</v>
      </c>
      <c r="S5565" s="270">
        <v>26931.040000000001</v>
      </c>
      <c r="T5565" s="270">
        <v>28972.66</v>
      </c>
      <c r="U5565" s="271" t="s">
        <v>3945</v>
      </c>
      <c r="V5565" s="267" t="s">
        <v>944</v>
      </c>
    </row>
    <row r="5566" spans="1:22" x14ac:dyDescent="0.25">
      <c r="A5566" s="266">
        <v>43728</v>
      </c>
      <c r="B5566" s="267">
        <v>2019</v>
      </c>
      <c r="C5566" s="267">
        <v>2020</v>
      </c>
      <c r="D5566" s="267">
        <v>1</v>
      </c>
      <c r="E5566" s="267">
        <v>1</v>
      </c>
      <c r="F5566" s="267" t="s">
        <v>944</v>
      </c>
      <c r="G5566" s="267" t="s">
        <v>3926</v>
      </c>
      <c r="H5566" s="267" t="s">
        <v>10240</v>
      </c>
      <c r="I5566" s="267" t="s">
        <v>934</v>
      </c>
      <c r="J5566" s="267" t="s">
        <v>3928</v>
      </c>
      <c r="K5566" s="267">
        <v>6607</v>
      </c>
      <c r="L5566" s="267">
        <v>74400</v>
      </c>
      <c r="M5566" s="267">
        <v>-60</v>
      </c>
      <c r="N5566" s="267" t="s">
        <v>3944</v>
      </c>
      <c r="O5566" s="267">
        <v>793.49</v>
      </c>
      <c r="P5566" s="267" t="s">
        <v>3944</v>
      </c>
      <c r="Q5566" s="267" t="s">
        <v>3944</v>
      </c>
      <c r="R5566" s="267">
        <v>793.49</v>
      </c>
      <c r="S5566" s="267">
        <v>12371.45</v>
      </c>
      <c r="T5566" s="267">
        <v>13164.94</v>
      </c>
      <c r="U5566" s="268" t="s">
        <v>3945</v>
      </c>
      <c r="V5566" s="276" t="s">
        <v>936</v>
      </c>
    </row>
    <row r="5567" spans="1:22" hidden="1" x14ac:dyDescent="0.25">
      <c r="A5567" s="269">
        <v>43728</v>
      </c>
      <c r="B5567" s="270">
        <v>2019</v>
      </c>
      <c r="C5567" s="270">
        <v>2020</v>
      </c>
      <c r="D5567" s="270">
        <v>1</v>
      </c>
      <c r="E5567" s="270">
        <v>1</v>
      </c>
      <c r="F5567" s="270" t="s">
        <v>944</v>
      </c>
      <c r="G5567" s="270" t="s">
        <v>3926</v>
      </c>
      <c r="H5567" s="270" t="s">
        <v>10241</v>
      </c>
      <c r="I5567" s="270" t="s">
        <v>4269</v>
      </c>
      <c r="J5567" s="270" t="s">
        <v>3928</v>
      </c>
      <c r="K5567" s="270">
        <v>6107</v>
      </c>
      <c r="L5567" s="270">
        <v>496400</v>
      </c>
      <c r="M5567" s="270" t="s">
        <v>3943</v>
      </c>
      <c r="N5567" s="270" t="s">
        <v>3944</v>
      </c>
      <c r="O5567" s="270">
        <v>1740.48</v>
      </c>
      <c r="P5567" s="270" t="s">
        <v>3944</v>
      </c>
      <c r="Q5567" s="270" t="s">
        <v>3944</v>
      </c>
      <c r="R5567" s="270">
        <v>1740.48</v>
      </c>
      <c r="S5567" s="270">
        <v>28672.73</v>
      </c>
      <c r="T5567" s="270">
        <v>30413.21</v>
      </c>
      <c r="U5567" s="271" t="s">
        <v>3945</v>
      </c>
      <c r="V5567" s="267" t="s">
        <v>944</v>
      </c>
    </row>
    <row r="5568" spans="1:22" hidden="1" x14ac:dyDescent="0.25">
      <c r="A5568" s="266">
        <v>43728</v>
      </c>
      <c r="B5568" s="267">
        <v>2019</v>
      </c>
      <c r="C5568" s="267">
        <v>2020</v>
      </c>
      <c r="D5568" s="267">
        <v>1</v>
      </c>
      <c r="E5568" s="267">
        <v>1</v>
      </c>
      <c r="F5568" s="267" t="s">
        <v>944</v>
      </c>
      <c r="G5568" s="267" t="s">
        <v>3926</v>
      </c>
      <c r="H5568" s="267" t="s">
        <v>10242</v>
      </c>
      <c r="I5568" s="267" t="s">
        <v>4042</v>
      </c>
      <c r="J5568" s="267" t="s">
        <v>3928</v>
      </c>
      <c r="K5568" s="267">
        <v>6370</v>
      </c>
      <c r="L5568" s="267">
        <v>695201</v>
      </c>
      <c r="M5568" s="267" t="s">
        <v>3935</v>
      </c>
      <c r="N5568" s="267" t="s">
        <v>3944</v>
      </c>
      <c r="O5568" s="267">
        <v>1632.4</v>
      </c>
      <c r="P5568" s="267" t="s">
        <v>3944</v>
      </c>
      <c r="Q5568" s="267" t="s">
        <v>3944</v>
      </c>
      <c r="R5568" s="267">
        <v>1632.4</v>
      </c>
      <c r="S5568" s="267">
        <v>23632.52</v>
      </c>
      <c r="T5568" s="267">
        <v>25264.92</v>
      </c>
      <c r="U5568" s="268" t="s">
        <v>3945</v>
      </c>
      <c r="V5568" s="267" t="s">
        <v>944</v>
      </c>
    </row>
    <row r="5569" spans="1:22" hidden="1" x14ac:dyDescent="0.25">
      <c r="A5569" s="269">
        <v>43728</v>
      </c>
      <c r="B5569" s="270">
        <v>2019</v>
      </c>
      <c r="C5569" s="270">
        <v>2020</v>
      </c>
      <c r="D5569" s="270">
        <v>1</v>
      </c>
      <c r="E5569" s="270">
        <v>1</v>
      </c>
      <c r="F5569" s="270" t="s">
        <v>944</v>
      </c>
      <c r="G5569" s="270" t="s">
        <v>3926</v>
      </c>
      <c r="H5569" s="270" t="s">
        <v>10243</v>
      </c>
      <c r="I5569" s="270" t="s">
        <v>4269</v>
      </c>
      <c r="J5569" s="270" t="s">
        <v>3928</v>
      </c>
      <c r="K5569" s="270">
        <v>6117</v>
      </c>
      <c r="L5569" s="270">
        <v>497300</v>
      </c>
      <c r="M5569" s="270" t="s">
        <v>3943</v>
      </c>
      <c r="N5569" s="270" t="s">
        <v>3944</v>
      </c>
      <c r="O5569" s="270">
        <v>1664.99</v>
      </c>
      <c r="P5569" s="270" t="s">
        <v>3944</v>
      </c>
      <c r="Q5569" s="270" t="s">
        <v>3944</v>
      </c>
      <c r="R5569" s="270">
        <v>1664.99</v>
      </c>
      <c r="S5569" s="270">
        <v>25283.26</v>
      </c>
      <c r="T5569" s="270">
        <v>26948.25</v>
      </c>
      <c r="U5569" s="271" t="s">
        <v>3945</v>
      </c>
      <c r="V5569" s="267" t="s">
        <v>944</v>
      </c>
    </row>
    <row r="5570" spans="1:22" hidden="1" x14ac:dyDescent="0.25">
      <c r="A5570" s="266">
        <v>43729</v>
      </c>
      <c r="B5570" s="267">
        <v>2019</v>
      </c>
      <c r="C5570" s="267">
        <v>2020</v>
      </c>
      <c r="D5570" s="267">
        <v>1</v>
      </c>
      <c r="E5570" s="267">
        <v>1</v>
      </c>
      <c r="F5570" s="267" t="s">
        <v>944</v>
      </c>
      <c r="G5570" s="267" t="s">
        <v>3997</v>
      </c>
      <c r="H5570" s="267" t="s">
        <v>10244</v>
      </c>
      <c r="I5570" s="267" t="s">
        <v>4016</v>
      </c>
      <c r="J5570" s="267" t="s">
        <v>3928</v>
      </c>
      <c r="K5570" s="267">
        <v>6770</v>
      </c>
      <c r="L5570" s="267">
        <v>345201</v>
      </c>
      <c r="M5570" s="267" t="s">
        <v>3935</v>
      </c>
      <c r="N5570" s="267" t="s">
        <v>4495</v>
      </c>
      <c r="O5570" s="267">
        <v>2185.54</v>
      </c>
      <c r="P5570" s="267" t="s">
        <v>3930</v>
      </c>
      <c r="Q5570" s="267" t="s">
        <v>3931</v>
      </c>
      <c r="R5570" s="267">
        <v>7185.54</v>
      </c>
      <c r="S5570" s="267">
        <v>33976</v>
      </c>
      <c r="T5570" s="267">
        <v>41161.54</v>
      </c>
      <c r="U5570" s="268" t="s">
        <v>3932</v>
      </c>
      <c r="V5570" s="267" t="s">
        <v>944</v>
      </c>
    </row>
    <row r="5571" spans="1:22" hidden="1" x14ac:dyDescent="0.25">
      <c r="A5571" s="269">
        <v>43729</v>
      </c>
      <c r="B5571" s="270">
        <v>2019</v>
      </c>
      <c r="C5571" s="270">
        <v>2020</v>
      </c>
      <c r="D5571" s="270">
        <v>1</v>
      </c>
      <c r="E5571" s="270">
        <v>1</v>
      </c>
      <c r="F5571" s="270" t="s">
        <v>944</v>
      </c>
      <c r="G5571" s="270" t="s">
        <v>3926</v>
      </c>
      <c r="H5571" s="270" t="s">
        <v>10245</v>
      </c>
      <c r="I5571" s="270" t="s">
        <v>3996</v>
      </c>
      <c r="J5571" s="270" t="s">
        <v>3928</v>
      </c>
      <c r="K5571" s="270">
        <v>6790</v>
      </c>
      <c r="L5571" s="270">
        <v>310700</v>
      </c>
      <c r="M5571" s="270" t="s">
        <v>3940</v>
      </c>
      <c r="N5571" s="270" t="s">
        <v>4103</v>
      </c>
      <c r="O5571" s="270">
        <v>1495.55</v>
      </c>
      <c r="P5571" s="270" t="s">
        <v>3930</v>
      </c>
      <c r="Q5571" s="270" t="s">
        <v>3931</v>
      </c>
      <c r="R5571" s="270">
        <v>6495.55</v>
      </c>
      <c r="S5571" s="270">
        <v>24145.599999999999</v>
      </c>
      <c r="T5571" s="270">
        <v>30641.15</v>
      </c>
      <c r="U5571" s="271" t="s">
        <v>3932</v>
      </c>
      <c r="V5571" s="267" t="s">
        <v>944</v>
      </c>
    </row>
    <row r="5572" spans="1:22" hidden="1" x14ac:dyDescent="0.25">
      <c r="A5572" s="266">
        <v>43729</v>
      </c>
      <c r="B5572" s="267">
        <v>2019</v>
      </c>
      <c r="C5572" s="267">
        <v>2020</v>
      </c>
      <c r="D5572" s="267">
        <v>1</v>
      </c>
      <c r="E5572" s="267">
        <v>1</v>
      </c>
      <c r="F5572" s="267" t="s">
        <v>944</v>
      </c>
      <c r="G5572" s="267" t="s">
        <v>3926</v>
      </c>
      <c r="H5572" s="267" t="s">
        <v>10246</v>
      </c>
      <c r="I5572" s="267" t="s">
        <v>3962</v>
      </c>
      <c r="J5572" s="267" t="s">
        <v>3928</v>
      </c>
      <c r="K5572" s="267">
        <v>6355</v>
      </c>
      <c r="L5572" s="267">
        <v>702100</v>
      </c>
      <c r="M5572" s="267" t="s">
        <v>3960</v>
      </c>
      <c r="N5572" s="267" t="s">
        <v>10247</v>
      </c>
      <c r="O5572" s="267">
        <v>0</v>
      </c>
      <c r="P5572" s="267" t="s">
        <v>3930</v>
      </c>
      <c r="Q5572" s="267" t="s">
        <v>3930</v>
      </c>
      <c r="R5572" s="267">
        <v>0</v>
      </c>
      <c r="S5572" s="267">
        <v>10285</v>
      </c>
      <c r="T5572" s="267">
        <v>10285</v>
      </c>
      <c r="U5572" s="268" t="s">
        <v>3937</v>
      </c>
      <c r="V5572" s="267" t="s">
        <v>944</v>
      </c>
    </row>
    <row r="5573" spans="1:22" hidden="1" x14ac:dyDescent="0.25">
      <c r="A5573" s="269">
        <v>43730</v>
      </c>
      <c r="B5573" s="270">
        <v>2019</v>
      </c>
      <c r="C5573" s="270">
        <v>2020</v>
      </c>
      <c r="D5573" s="270">
        <v>1</v>
      </c>
      <c r="E5573" s="270">
        <v>1</v>
      </c>
      <c r="F5573" s="270" t="s">
        <v>944</v>
      </c>
      <c r="G5573" s="270" t="s">
        <v>3997</v>
      </c>
      <c r="H5573" s="270" t="s">
        <v>10248</v>
      </c>
      <c r="I5573" s="270" t="s">
        <v>3999</v>
      </c>
      <c r="J5573" s="270" t="s">
        <v>3928</v>
      </c>
      <c r="K5573" s="270">
        <v>6450</v>
      </c>
      <c r="L5573" s="270">
        <v>171000</v>
      </c>
      <c r="M5573" s="270">
        <v>-60</v>
      </c>
      <c r="N5573" s="270" t="s">
        <v>4523</v>
      </c>
      <c r="O5573" s="270">
        <v>4086.94</v>
      </c>
      <c r="P5573" s="270" t="s">
        <v>3930</v>
      </c>
      <c r="Q5573" s="270" t="s">
        <v>3931</v>
      </c>
      <c r="R5573" s="270">
        <v>9086.94</v>
      </c>
      <c r="S5573" s="270">
        <v>25412.799999999999</v>
      </c>
      <c r="T5573" s="270">
        <v>34499.74</v>
      </c>
      <c r="U5573" s="271" t="s">
        <v>3932</v>
      </c>
      <c r="V5573" s="267" t="s">
        <v>944</v>
      </c>
    </row>
    <row r="5574" spans="1:22" hidden="1" x14ac:dyDescent="0.25">
      <c r="A5574" s="266">
        <v>43730</v>
      </c>
      <c r="B5574" s="267">
        <v>2019</v>
      </c>
      <c r="C5574" s="267">
        <v>2020</v>
      </c>
      <c r="D5574" s="267">
        <v>1</v>
      </c>
      <c r="E5574" s="267">
        <v>1</v>
      </c>
      <c r="F5574" s="267" t="s">
        <v>944</v>
      </c>
      <c r="G5574" s="267" t="s">
        <v>3926</v>
      </c>
      <c r="H5574" s="267" t="s">
        <v>10249</v>
      </c>
      <c r="I5574" s="267" t="s">
        <v>4065</v>
      </c>
      <c r="J5574" s="267" t="s">
        <v>3928</v>
      </c>
      <c r="K5574" s="267">
        <v>6480</v>
      </c>
      <c r="L5574" s="267">
        <v>560200</v>
      </c>
      <c r="M5574" s="267" t="s">
        <v>3935</v>
      </c>
      <c r="N5574" s="267" t="s">
        <v>7680</v>
      </c>
      <c r="O5574" s="267">
        <v>816.66</v>
      </c>
      <c r="P5574" s="267" t="s">
        <v>3930</v>
      </c>
      <c r="Q5574" s="267" t="s">
        <v>3931</v>
      </c>
      <c r="R5574" s="267">
        <v>5816.66</v>
      </c>
      <c r="S5574" s="267">
        <v>11128</v>
      </c>
      <c r="T5574" s="267">
        <v>16944.66</v>
      </c>
      <c r="U5574" s="268" t="s">
        <v>3932</v>
      </c>
      <c r="V5574" s="267" t="s">
        <v>944</v>
      </c>
    </row>
    <row r="5575" spans="1:22" x14ac:dyDescent="0.25">
      <c r="A5575" s="269">
        <v>43731</v>
      </c>
      <c r="B5575" s="270">
        <v>2019</v>
      </c>
      <c r="C5575" s="270">
        <v>2020</v>
      </c>
      <c r="D5575" s="270">
        <v>1</v>
      </c>
      <c r="E5575" s="270">
        <v>1</v>
      </c>
      <c r="F5575" s="270" t="s">
        <v>944</v>
      </c>
      <c r="G5575" s="270" t="s">
        <v>3926</v>
      </c>
      <c r="H5575" s="270" t="s">
        <v>10250</v>
      </c>
      <c r="I5575" s="270" t="s">
        <v>4019</v>
      </c>
      <c r="J5575" s="270" t="s">
        <v>3928</v>
      </c>
      <c r="K5575" s="270">
        <v>6704</v>
      </c>
      <c r="L5575" s="270">
        <v>350200</v>
      </c>
      <c r="M5575" s="270">
        <v>-60</v>
      </c>
      <c r="N5575" s="270" t="s">
        <v>4367</v>
      </c>
      <c r="O5575" s="270">
        <v>0</v>
      </c>
      <c r="P5575" s="270" t="s">
        <v>3930</v>
      </c>
      <c r="Q5575" s="270" t="s">
        <v>3930</v>
      </c>
      <c r="R5575" s="270">
        <v>0</v>
      </c>
      <c r="S5575" s="270">
        <v>17174</v>
      </c>
      <c r="T5575" s="270">
        <v>17174</v>
      </c>
      <c r="U5575" s="271" t="s">
        <v>3937</v>
      </c>
      <c r="V5575" s="267" t="s">
        <v>936</v>
      </c>
    </row>
    <row r="5576" spans="1:22" hidden="1" x14ac:dyDescent="0.25">
      <c r="A5576" s="266">
        <v>43731</v>
      </c>
      <c r="B5576" s="267">
        <v>2019</v>
      </c>
      <c r="C5576" s="267">
        <v>2020</v>
      </c>
      <c r="D5576" s="267">
        <v>1</v>
      </c>
      <c r="E5576" s="267">
        <v>1</v>
      </c>
      <c r="F5576" s="267" t="s">
        <v>944</v>
      </c>
      <c r="G5576" s="267" t="s">
        <v>3926</v>
      </c>
      <c r="H5576" s="267" t="s">
        <v>10251</v>
      </c>
      <c r="I5576" s="267" t="s">
        <v>3008</v>
      </c>
      <c r="J5576" s="267" t="s">
        <v>3928</v>
      </c>
      <c r="K5576" s="267">
        <v>6460</v>
      </c>
      <c r="L5576" s="267">
        <v>150100</v>
      </c>
      <c r="M5576" s="267" t="s">
        <v>3960</v>
      </c>
      <c r="N5576" s="267" t="s">
        <v>4701</v>
      </c>
      <c r="O5576" s="267">
        <v>5287.14</v>
      </c>
      <c r="P5576" s="267" t="s">
        <v>3930</v>
      </c>
      <c r="Q5576" s="267" t="s">
        <v>3931</v>
      </c>
      <c r="R5576" s="267">
        <v>10287.14</v>
      </c>
      <c r="S5576" s="267">
        <v>34648</v>
      </c>
      <c r="T5576" s="267">
        <v>44935.14</v>
      </c>
      <c r="U5576" s="268" t="s">
        <v>3932</v>
      </c>
      <c r="V5576" s="267" t="s">
        <v>944</v>
      </c>
    </row>
    <row r="5577" spans="1:22" hidden="1" x14ac:dyDescent="0.25">
      <c r="A5577" s="269">
        <v>43731</v>
      </c>
      <c r="B5577" s="270">
        <v>2019</v>
      </c>
      <c r="C5577" s="270">
        <v>2020</v>
      </c>
      <c r="D5577" s="270">
        <v>1</v>
      </c>
      <c r="E5577" s="270">
        <v>1</v>
      </c>
      <c r="F5577" s="270" t="s">
        <v>944</v>
      </c>
      <c r="G5577" s="270" t="s">
        <v>3926</v>
      </c>
      <c r="H5577" s="270" t="s">
        <v>10252</v>
      </c>
      <c r="I5577" s="270" t="s">
        <v>4029</v>
      </c>
      <c r="J5577" s="270" t="s">
        <v>3928</v>
      </c>
      <c r="K5577" s="270">
        <v>6853</v>
      </c>
      <c r="L5577" s="270">
        <v>44600</v>
      </c>
      <c r="M5577" s="270" t="s">
        <v>3943</v>
      </c>
      <c r="N5577" s="270" t="s">
        <v>3944</v>
      </c>
      <c r="O5577" s="270">
        <v>2114</v>
      </c>
      <c r="P5577" s="270" t="s">
        <v>3944</v>
      </c>
      <c r="Q5577" s="270" t="s">
        <v>3944</v>
      </c>
      <c r="R5577" s="270">
        <v>2114</v>
      </c>
      <c r="S5577" s="270">
        <v>49076</v>
      </c>
      <c r="T5577" s="270">
        <v>51190</v>
      </c>
      <c r="U5577" s="271" t="s">
        <v>3945</v>
      </c>
      <c r="V5577" s="267" t="s">
        <v>944</v>
      </c>
    </row>
    <row r="5578" spans="1:22" hidden="1" x14ac:dyDescent="0.25">
      <c r="A5578" s="266">
        <v>43731</v>
      </c>
      <c r="B5578" s="267">
        <v>2019</v>
      </c>
      <c r="C5578" s="267">
        <v>2020</v>
      </c>
      <c r="D5578" s="267">
        <v>1</v>
      </c>
      <c r="E5578" s="267">
        <v>1</v>
      </c>
      <c r="F5578" s="267" t="s">
        <v>944</v>
      </c>
      <c r="G5578" s="267" t="s">
        <v>3926</v>
      </c>
      <c r="H5578" s="267" t="s">
        <v>10253</v>
      </c>
      <c r="I5578" s="267" t="s">
        <v>4323</v>
      </c>
      <c r="J5578" s="267" t="s">
        <v>3928</v>
      </c>
      <c r="K5578" s="267">
        <v>6385</v>
      </c>
      <c r="L5578" s="267">
        <v>693700</v>
      </c>
      <c r="M5578" s="267" t="s">
        <v>3943</v>
      </c>
      <c r="N5578" s="267" t="s">
        <v>3944</v>
      </c>
      <c r="O5578" s="267">
        <v>2949</v>
      </c>
      <c r="P5578" s="267" t="s">
        <v>3944</v>
      </c>
      <c r="Q5578" s="267" t="s">
        <v>3944</v>
      </c>
      <c r="R5578" s="267">
        <v>2949</v>
      </c>
      <c r="S5578" s="267">
        <v>23911</v>
      </c>
      <c r="T5578" s="267">
        <v>26860</v>
      </c>
      <c r="U5578" s="268" t="s">
        <v>3945</v>
      </c>
      <c r="V5578" s="267" t="s">
        <v>944</v>
      </c>
    </row>
    <row r="5579" spans="1:22" hidden="1" x14ac:dyDescent="0.25">
      <c r="A5579" s="269">
        <v>43731</v>
      </c>
      <c r="B5579" s="270">
        <v>2019</v>
      </c>
      <c r="C5579" s="270">
        <v>2020</v>
      </c>
      <c r="D5579" s="270">
        <v>1</v>
      </c>
      <c r="E5579" s="270">
        <v>1</v>
      </c>
      <c r="F5579" s="270" t="s">
        <v>944</v>
      </c>
      <c r="G5579" s="270" t="s">
        <v>3926</v>
      </c>
      <c r="H5579" s="270" t="s">
        <v>10254</v>
      </c>
      <c r="I5579" s="270" t="s">
        <v>4244</v>
      </c>
      <c r="J5579" s="270" t="s">
        <v>3928</v>
      </c>
      <c r="K5579" s="270">
        <v>6268</v>
      </c>
      <c r="L5579" s="270">
        <v>881300</v>
      </c>
      <c r="M5579" s="270">
        <v>-60</v>
      </c>
      <c r="N5579" s="270" t="s">
        <v>3944</v>
      </c>
      <c r="O5579" s="270">
        <v>3389</v>
      </c>
      <c r="P5579" s="270" t="s">
        <v>3944</v>
      </c>
      <c r="Q5579" s="270" t="s">
        <v>3944</v>
      </c>
      <c r="R5579" s="270">
        <v>3389</v>
      </c>
      <c r="S5579" s="270">
        <v>36295.4</v>
      </c>
      <c r="T5579" s="270">
        <v>39684.400000000001</v>
      </c>
      <c r="U5579" s="271" t="s">
        <v>3945</v>
      </c>
      <c r="V5579" s="267" t="s">
        <v>944</v>
      </c>
    </row>
    <row r="5580" spans="1:22" hidden="1" x14ac:dyDescent="0.25">
      <c r="A5580" s="266">
        <v>43731</v>
      </c>
      <c r="B5580" s="267">
        <v>2019</v>
      </c>
      <c r="C5580" s="267">
        <v>2020</v>
      </c>
      <c r="D5580" s="267">
        <v>1</v>
      </c>
      <c r="E5580" s="267">
        <v>1</v>
      </c>
      <c r="F5580" s="267" t="s">
        <v>944</v>
      </c>
      <c r="G5580" s="267" t="s">
        <v>3926</v>
      </c>
      <c r="H5580" s="267" t="s">
        <v>10255</v>
      </c>
      <c r="I5580" s="267" t="s">
        <v>4548</v>
      </c>
      <c r="J5580" s="267" t="s">
        <v>3928</v>
      </c>
      <c r="K5580" s="267">
        <v>6037</v>
      </c>
      <c r="L5580" s="267">
        <v>400300</v>
      </c>
      <c r="M5580" s="267" t="s">
        <v>3960</v>
      </c>
      <c r="N5580" s="267" t="s">
        <v>3944</v>
      </c>
      <c r="O5580" s="267">
        <v>7449</v>
      </c>
      <c r="P5580" s="267" t="s">
        <v>3944</v>
      </c>
      <c r="Q5580" s="267" t="s">
        <v>3944</v>
      </c>
      <c r="R5580" s="267">
        <v>7449</v>
      </c>
      <c r="S5580" s="267">
        <v>57707</v>
      </c>
      <c r="T5580" s="267">
        <v>65156</v>
      </c>
      <c r="U5580" s="268" t="s">
        <v>3945</v>
      </c>
      <c r="V5580" s="267" t="s">
        <v>944</v>
      </c>
    </row>
    <row r="5581" spans="1:22" hidden="1" x14ac:dyDescent="0.25">
      <c r="A5581" s="269">
        <v>43731</v>
      </c>
      <c r="B5581" s="270">
        <v>2019</v>
      </c>
      <c r="C5581" s="270">
        <v>2020</v>
      </c>
      <c r="D5581" s="270">
        <v>1</v>
      </c>
      <c r="E5581" s="270">
        <v>1</v>
      </c>
      <c r="F5581" s="270" t="s">
        <v>944</v>
      </c>
      <c r="G5581" s="270" t="s">
        <v>3926</v>
      </c>
      <c r="H5581" s="270" t="s">
        <v>10256</v>
      </c>
      <c r="I5581" s="270" t="s">
        <v>3026</v>
      </c>
      <c r="J5581" s="270" t="s">
        <v>3928</v>
      </c>
      <c r="K5581" s="270">
        <v>6471</v>
      </c>
      <c r="L5581" s="270">
        <v>186100</v>
      </c>
      <c r="M5581" s="270" t="s">
        <v>3935</v>
      </c>
      <c r="N5581" s="270" t="s">
        <v>3944</v>
      </c>
      <c r="O5581" s="270">
        <v>4345</v>
      </c>
      <c r="P5581" s="270" t="s">
        <v>3944</v>
      </c>
      <c r="Q5581" s="270" t="s">
        <v>3944</v>
      </c>
      <c r="R5581" s="270">
        <v>4345</v>
      </c>
      <c r="S5581" s="270">
        <v>29613.95</v>
      </c>
      <c r="T5581" s="270">
        <v>33958.949999999997</v>
      </c>
      <c r="U5581" s="271" t="s">
        <v>3945</v>
      </c>
      <c r="V5581" s="267" t="s">
        <v>944</v>
      </c>
    </row>
    <row r="5582" spans="1:22" hidden="1" x14ac:dyDescent="0.25">
      <c r="A5582" s="266">
        <v>43731</v>
      </c>
      <c r="B5582" s="267">
        <v>2019</v>
      </c>
      <c r="C5582" s="267">
        <v>2020</v>
      </c>
      <c r="D5582" s="267">
        <v>1</v>
      </c>
      <c r="E5582" s="267">
        <v>1</v>
      </c>
      <c r="F5582" s="267" t="s">
        <v>944</v>
      </c>
      <c r="G5582" s="267" t="s">
        <v>3926</v>
      </c>
      <c r="H5582" s="267" t="s">
        <v>10257</v>
      </c>
      <c r="I5582" s="267" t="s">
        <v>4306</v>
      </c>
      <c r="J5582" s="267" t="s">
        <v>3928</v>
      </c>
      <c r="K5582" s="267">
        <v>6716</v>
      </c>
      <c r="L5582" s="267">
        <v>361200</v>
      </c>
      <c r="M5582" s="267" t="s">
        <v>3960</v>
      </c>
      <c r="N5582" s="267" t="s">
        <v>3944</v>
      </c>
      <c r="O5582" s="267">
        <v>1113.53</v>
      </c>
      <c r="P5582" s="267" t="s">
        <v>3944</v>
      </c>
      <c r="Q5582" s="267" t="s">
        <v>3944</v>
      </c>
      <c r="R5582" s="267">
        <v>1113.53</v>
      </c>
      <c r="S5582" s="267">
        <v>20644.53</v>
      </c>
      <c r="T5582" s="267">
        <v>21758.06</v>
      </c>
      <c r="U5582" s="268" t="s">
        <v>3945</v>
      </c>
      <c r="V5582" s="267" t="s">
        <v>944</v>
      </c>
    </row>
    <row r="5583" spans="1:22" hidden="1" x14ac:dyDescent="0.25">
      <c r="A5583" s="269">
        <v>43731</v>
      </c>
      <c r="B5583" s="270">
        <v>2019</v>
      </c>
      <c r="C5583" s="270">
        <v>2020</v>
      </c>
      <c r="D5583" s="270">
        <v>1</v>
      </c>
      <c r="E5583" s="270">
        <v>1</v>
      </c>
      <c r="F5583" s="270" t="s">
        <v>944</v>
      </c>
      <c r="G5583" s="270" t="s">
        <v>3926</v>
      </c>
      <c r="H5583" s="270" t="s">
        <v>10258</v>
      </c>
      <c r="I5583" s="270" t="s">
        <v>4213</v>
      </c>
      <c r="J5583" s="270" t="s">
        <v>3928</v>
      </c>
      <c r="K5583" s="270">
        <v>6053</v>
      </c>
      <c r="L5583" s="270">
        <v>416500</v>
      </c>
      <c r="M5583" s="270" t="s">
        <v>3940</v>
      </c>
      <c r="N5583" s="270" t="s">
        <v>3944</v>
      </c>
      <c r="O5583" s="270">
        <v>1565.83</v>
      </c>
      <c r="P5583" s="270" t="s">
        <v>3944</v>
      </c>
      <c r="Q5583" s="270" t="s">
        <v>3944</v>
      </c>
      <c r="R5583" s="270">
        <v>1565.83</v>
      </c>
      <c r="S5583" s="270">
        <v>35242.53</v>
      </c>
      <c r="T5583" s="270">
        <v>36808.36</v>
      </c>
      <c r="U5583" s="271" t="s">
        <v>3945</v>
      </c>
      <c r="V5583" s="267" t="s">
        <v>944</v>
      </c>
    </row>
    <row r="5584" spans="1:22" hidden="1" x14ac:dyDescent="0.25">
      <c r="A5584" s="266">
        <v>43731</v>
      </c>
      <c r="B5584" s="267">
        <v>2019</v>
      </c>
      <c r="C5584" s="267">
        <v>2020</v>
      </c>
      <c r="D5584" s="267">
        <v>1</v>
      </c>
      <c r="E5584" s="267">
        <v>1</v>
      </c>
      <c r="F5584" s="267" t="s">
        <v>944</v>
      </c>
      <c r="G5584" s="267" t="s">
        <v>3926</v>
      </c>
      <c r="H5584" s="267" t="s">
        <v>10259</v>
      </c>
      <c r="I5584" s="267" t="s">
        <v>4392</v>
      </c>
      <c r="J5584" s="267" t="s">
        <v>3928</v>
      </c>
      <c r="K5584" s="267">
        <v>6457</v>
      </c>
      <c r="L5584" s="267">
        <v>542200</v>
      </c>
      <c r="M5584" s="267" t="s">
        <v>3960</v>
      </c>
      <c r="N5584" s="267" t="s">
        <v>3944</v>
      </c>
      <c r="O5584" s="267">
        <v>2264.5700000000002</v>
      </c>
      <c r="P5584" s="267" t="s">
        <v>3944</v>
      </c>
      <c r="Q5584" s="267" t="s">
        <v>3944</v>
      </c>
      <c r="R5584" s="267">
        <v>2264.5700000000002</v>
      </c>
      <c r="S5584" s="267">
        <v>27779.24</v>
      </c>
      <c r="T5584" s="267">
        <v>30043.81</v>
      </c>
      <c r="U5584" s="268" t="s">
        <v>3945</v>
      </c>
      <c r="V5584" s="267" t="s">
        <v>944</v>
      </c>
    </row>
    <row r="5585" spans="1:22" hidden="1" x14ac:dyDescent="0.25">
      <c r="A5585" s="269">
        <v>43731</v>
      </c>
      <c r="B5585" s="270">
        <v>2019</v>
      </c>
      <c r="C5585" s="270">
        <v>2020</v>
      </c>
      <c r="D5585" s="270">
        <v>1</v>
      </c>
      <c r="E5585" s="270">
        <v>1</v>
      </c>
      <c r="F5585" s="270" t="s">
        <v>944</v>
      </c>
      <c r="G5585" s="270" t="s">
        <v>3926</v>
      </c>
      <c r="H5585" s="270" t="s">
        <v>10260</v>
      </c>
      <c r="I5585" s="270" t="s">
        <v>953</v>
      </c>
      <c r="J5585" s="270" t="s">
        <v>3928</v>
      </c>
      <c r="K5585" s="270">
        <v>6518</v>
      </c>
      <c r="L5585" s="270">
        <v>166001</v>
      </c>
      <c r="M5585" s="270" t="s">
        <v>3935</v>
      </c>
      <c r="N5585" s="270" t="s">
        <v>3944</v>
      </c>
      <c r="O5585" s="270">
        <v>2900.03</v>
      </c>
      <c r="P5585" s="270" t="s">
        <v>3944</v>
      </c>
      <c r="Q5585" s="270" t="s">
        <v>3944</v>
      </c>
      <c r="R5585" s="270">
        <v>2900.03</v>
      </c>
      <c r="S5585" s="270">
        <v>50379.97</v>
      </c>
      <c r="T5585" s="270">
        <v>53280</v>
      </c>
      <c r="U5585" s="271" t="s">
        <v>3945</v>
      </c>
      <c r="V5585" s="267" t="s">
        <v>944</v>
      </c>
    </row>
    <row r="5586" spans="1:22" hidden="1" x14ac:dyDescent="0.25">
      <c r="A5586" s="266">
        <v>43731</v>
      </c>
      <c r="B5586" s="267">
        <v>2019</v>
      </c>
      <c r="C5586" s="267">
        <v>2020</v>
      </c>
      <c r="D5586" s="267">
        <v>1</v>
      </c>
      <c r="E5586" s="267">
        <v>1</v>
      </c>
      <c r="F5586" s="267" t="s">
        <v>944</v>
      </c>
      <c r="G5586" s="267" t="s">
        <v>3926</v>
      </c>
      <c r="H5586" s="267" t="s">
        <v>10261</v>
      </c>
      <c r="I5586" s="267" t="s">
        <v>4250</v>
      </c>
      <c r="J5586" s="267" t="s">
        <v>3928</v>
      </c>
      <c r="K5586" s="267">
        <v>6241</v>
      </c>
      <c r="L5586" s="267">
        <v>904100</v>
      </c>
      <c r="M5586" s="267" t="s">
        <v>3935</v>
      </c>
      <c r="N5586" s="267" t="s">
        <v>3944</v>
      </c>
      <c r="O5586" s="267">
        <v>3198.48</v>
      </c>
      <c r="P5586" s="267" t="s">
        <v>3944</v>
      </c>
      <c r="Q5586" s="267" t="s">
        <v>3944</v>
      </c>
      <c r="R5586" s="267">
        <v>3198.48</v>
      </c>
      <c r="S5586" s="267">
        <v>39547.519999999997</v>
      </c>
      <c r="T5586" s="267">
        <v>42746</v>
      </c>
      <c r="U5586" s="268" t="s">
        <v>3945</v>
      </c>
      <c r="V5586" s="267" t="s">
        <v>944</v>
      </c>
    </row>
    <row r="5587" spans="1:22" hidden="1" x14ac:dyDescent="0.25">
      <c r="A5587" s="269">
        <v>43731</v>
      </c>
      <c r="B5587" s="270">
        <v>2019</v>
      </c>
      <c r="C5587" s="270">
        <v>2020</v>
      </c>
      <c r="D5587" s="270">
        <v>1</v>
      </c>
      <c r="E5587" s="270">
        <v>1</v>
      </c>
      <c r="F5587" s="270" t="s">
        <v>944</v>
      </c>
      <c r="G5587" s="270" t="s">
        <v>3926</v>
      </c>
      <c r="H5587" s="270" t="s">
        <v>10262</v>
      </c>
      <c r="I5587" s="270" t="s">
        <v>3996</v>
      </c>
      <c r="J5587" s="270" t="s">
        <v>3928</v>
      </c>
      <c r="K5587" s="270">
        <v>6790</v>
      </c>
      <c r="L5587" s="270">
        <v>310700</v>
      </c>
      <c r="M5587" s="270" t="s">
        <v>3940</v>
      </c>
      <c r="N5587" s="270" t="s">
        <v>3944</v>
      </c>
      <c r="O5587" s="270">
        <v>4704.3500000000004</v>
      </c>
      <c r="P5587" s="270" t="s">
        <v>3944</v>
      </c>
      <c r="Q5587" s="270" t="s">
        <v>3944</v>
      </c>
      <c r="R5587" s="270">
        <v>4704.3500000000004</v>
      </c>
      <c r="S5587" s="270">
        <v>63695.65</v>
      </c>
      <c r="T5587" s="270">
        <v>68400</v>
      </c>
      <c r="U5587" s="271" t="s">
        <v>3945</v>
      </c>
      <c r="V5587" s="267" t="s">
        <v>944</v>
      </c>
    </row>
    <row r="5588" spans="1:22" hidden="1" x14ac:dyDescent="0.25">
      <c r="A5588" s="266">
        <v>43731</v>
      </c>
      <c r="B5588" s="267">
        <v>2019</v>
      </c>
      <c r="C5588" s="267">
        <v>2020</v>
      </c>
      <c r="D5588" s="267">
        <v>1</v>
      </c>
      <c r="E5588" s="267">
        <v>1</v>
      </c>
      <c r="F5588" s="267" t="s">
        <v>944</v>
      </c>
      <c r="G5588" s="267" t="s">
        <v>3926</v>
      </c>
      <c r="H5588" s="267" t="s">
        <v>10263</v>
      </c>
      <c r="I5588" s="267" t="s">
        <v>4069</v>
      </c>
      <c r="J5588" s="267" t="s">
        <v>3928</v>
      </c>
      <c r="K5588" s="267">
        <v>6905</v>
      </c>
      <c r="L5588" s="267">
        <v>20600</v>
      </c>
      <c r="M5588" s="267" t="s">
        <v>3943</v>
      </c>
      <c r="N5588" s="267" t="s">
        <v>3944</v>
      </c>
      <c r="O5588" s="267">
        <v>690.2</v>
      </c>
      <c r="P5588" s="267" t="s">
        <v>3944</v>
      </c>
      <c r="Q5588" s="267" t="s">
        <v>3944</v>
      </c>
      <c r="R5588" s="267">
        <v>690.2</v>
      </c>
      <c r="S5588" s="267">
        <v>9612.39</v>
      </c>
      <c r="T5588" s="267">
        <v>10302.59</v>
      </c>
      <c r="U5588" s="268" t="s">
        <v>3945</v>
      </c>
      <c r="V5588" s="267" t="s">
        <v>944</v>
      </c>
    </row>
    <row r="5589" spans="1:22" hidden="1" x14ac:dyDescent="0.25">
      <c r="A5589" s="269">
        <v>43731</v>
      </c>
      <c r="B5589" s="270">
        <v>2019</v>
      </c>
      <c r="C5589" s="270">
        <v>2020</v>
      </c>
      <c r="D5589" s="270">
        <v>1</v>
      </c>
      <c r="E5589" s="270">
        <v>1</v>
      </c>
      <c r="F5589" s="270" t="s">
        <v>944</v>
      </c>
      <c r="G5589" s="270" t="s">
        <v>3926</v>
      </c>
      <c r="H5589" s="270" t="s">
        <v>10264</v>
      </c>
      <c r="I5589" s="270" t="s">
        <v>4008</v>
      </c>
      <c r="J5589" s="270" t="s">
        <v>3928</v>
      </c>
      <c r="K5589" s="270">
        <v>6320</v>
      </c>
      <c r="L5589" s="270">
        <v>690500</v>
      </c>
      <c r="M5589" s="270">
        <v>-60</v>
      </c>
      <c r="N5589" s="270" t="s">
        <v>3944</v>
      </c>
      <c r="O5589" s="270">
        <v>3005.38</v>
      </c>
      <c r="P5589" s="270" t="s">
        <v>3944</v>
      </c>
      <c r="Q5589" s="270" t="s">
        <v>3944</v>
      </c>
      <c r="R5589" s="270">
        <v>3005.38</v>
      </c>
      <c r="S5589" s="270">
        <v>49462.91</v>
      </c>
      <c r="T5589" s="270">
        <v>52468.29</v>
      </c>
      <c r="U5589" s="271" t="s">
        <v>3945</v>
      </c>
      <c r="V5589" s="267" t="s">
        <v>944</v>
      </c>
    </row>
    <row r="5590" spans="1:22" hidden="1" x14ac:dyDescent="0.25">
      <c r="A5590" s="266">
        <v>43732</v>
      </c>
      <c r="B5590" s="267">
        <v>2019</v>
      </c>
      <c r="C5590" s="267">
        <v>2020</v>
      </c>
      <c r="D5590" s="267">
        <v>1</v>
      </c>
      <c r="E5590" s="267">
        <v>1</v>
      </c>
      <c r="F5590" s="267" t="s">
        <v>944</v>
      </c>
      <c r="G5590" s="267" t="s">
        <v>3926</v>
      </c>
      <c r="H5590" s="267" t="s">
        <v>10265</v>
      </c>
      <c r="I5590" s="267" t="s">
        <v>934</v>
      </c>
      <c r="J5590" s="267" t="s">
        <v>3928</v>
      </c>
      <c r="K5590" s="267">
        <v>6601</v>
      </c>
      <c r="L5590" s="267">
        <v>240200</v>
      </c>
      <c r="M5590" s="267" t="s">
        <v>3943</v>
      </c>
      <c r="N5590" s="267" t="s">
        <v>3983</v>
      </c>
      <c r="O5590" s="267">
        <v>1249.99</v>
      </c>
      <c r="P5590" s="267" t="s">
        <v>3930</v>
      </c>
      <c r="Q5590" s="267" t="s">
        <v>3931</v>
      </c>
      <c r="R5590" s="267">
        <v>6249.99</v>
      </c>
      <c r="S5590" s="267">
        <v>16504</v>
      </c>
      <c r="T5590" s="267">
        <v>22753.99</v>
      </c>
      <c r="U5590" s="268" t="s">
        <v>3932</v>
      </c>
      <c r="V5590" s="267" t="s">
        <v>944</v>
      </c>
    </row>
    <row r="5591" spans="1:22" hidden="1" x14ac:dyDescent="0.25">
      <c r="A5591" s="269">
        <v>43732</v>
      </c>
      <c r="B5591" s="270">
        <v>2019</v>
      </c>
      <c r="C5591" s="270">
        <v>2020</v>
      </c>
      <c r="D5591" s="270">
        <v>1</v>
      </c>
      <c r="E5591" s="270">
        <v>1</v>
      </c>
      <c r="F5591" s="270" t="s">
        <v>944</v>
      </c>
      <c r="G5591" s="270" t="s">
        <v>3926</v>
      </c>
      <c r="H5591" s="270" t="s">
        <v>10266</v>
      </c>
      <c r="I5591" s="270" t="s">
        <v>4556</v>
      </c>
      <c r="J5591" s="270" t="s">
        <v>3928</v>
      </c>
      <c r="K5591" s="270">
        <v>6029</v>
      </c>
      <c r="L5591" s="270">
        <v>535200</v>
      </c>
      <c r="M5591" s="270" t="s">
        <v>3960</v>
      </c>
      <c r="N5591" s="270" t="s">
        <v>4701</v>
      </c>
      <c r="O5591" s="270">
        <v>6214.05</v>
      </c>
      <c r="P5591" s="270" t="s">
        <v>3930</v>
      </c>
      <c r="Q5591" s="270" t="s">
        <v>3931</v>
      </c>
      <c r="R5591" s="270">
        <v>11214.05</v>
      </c>
      <c r="S5591" s="270">
        <v>34648</v>
      </c>
      <c r="T5591" s="270">
        <v>45862.05</v>
      </c>
      <c r="U5591" s="271" t="s">
        <v>3932</v>
      </c>
      <c r="V5591" s="267" t="s">
        <v>944</v>
      </c>
    </row>
    <row r="5592" spans="1:22" hidden="1" x14ac:dyDescent="0.25">
      <c r="A5592" s="266">
        <v>43732</v>
      </c>
      <c r="B5592" s="267">
        <v>2019</v>
      </c>
      <c r="C5592" s="267">
        <v>2020</v>
      </c>
      <c r="D5592" s="267">
        <v>1</v>
      </c>
      <c r="E5592" s="267">
        <v>1</v>
      </c>
      <c r="F5592" s="267" t="s">
        <v>944</v>
      </c>
      <c r="G5592" s="267" t="s">
        <v>3926</v>
      </c>
      <c r="H5592" s="267" t="s">
        <v>10267</v>
      </c>
      <c r="I5592" s="267" t="s">
        <v>7040</v>
      </c>
      <c r="J5592" s="267" t="s">
        <v>3928</v>
      </c>
      <c r="K5592" s="267">
        <v>6027</v>
      </c>
      <c r="L5592" s="267">
        <v>330100</v>
      </c>
      <c r="M5592" s="267" t="s">
        <v>3960</v>
      </c>
      <c r="N5592" s="267" t="s">
        <v>3983</v>
      </c>
      <c r="O5592" s="267">
        <v>1426.88</v>
      </c>
      <c r="P5592" s="267" t="s">
        <v>3930</v>
      </c>
      <c r="Q5592" s="267" t="s">
        <v>3931</v>
      </c>
      <c r="R5592" s="267">
        <v>6426.88</v>
      </c>
      <c r="S5592" s="267">
        <v>16504</v>
      </c>
      <c r="T5592" s="267">
        <v>22930.880000000001</v>
      </c>
      <c r="U5592" s="268" t="s">
        <v>3932</v>
      </c>
      <c r="V5592" s="267" t="s">
        <v>944</v>
      </c>
    </row>
    <row r="5593" spans="1:22" hidden="1" x14ac:dyDescent="0.25">
      <c r="A5593" s="269">
        <v>43732</v>
      </c>
      <c r="B5593" s="270">
        <v>2019</v>
      </c>
      <c r="C5593" s="270">
        <v>2020</v>
      </c>
      <c r="D5593" s="270">
        <v>1</v>
      </c>
      <c r="E5593" s="270">
        <v>1</v>
      </c>
      <c r="F5593" s="270" t="s">
        <v>944</v>
      </c>
      <c r="G5593" s="270" t="s">
        <v>3926</v>
      </c>
      <c r="H5593" s="270" t="s">
        <v>10268</v>
      </c>
      <c r="I5593" s="270" t="s">
        <v>956</v>
      </c>
      <c r="J5593" s="270" t="s">
        <v>3928</v>
      </c>
      <c r="K5593" s="270">
        <v>6615</v>
      </c>
      <c r="L5593" s="270">
        <v>80200</v>
      </c>
      <c r="M5593" s="270" t="s">
        <v>3935</v>
      </c>
      <c r="N5593" s="270" t="s">
        <v>4523</v>
      </c>
      <c r="O5593" s="270">
        <v>1899.35</v>
      </c>
      <c r="P5593" s="270" t="s">
        <v>3930</v>
      </c>
      <c r="Q5593" s="270" t="s">
        <v>3931</v>
      </c>
      <c r="R5593" s="270">
        <v>6899.35</v>
      </c>
      <c r="S5593" s="270">
        <v>25412.799999999999</v>
      </c>
      <c r="T5593" s="270">
        <v>32312.15</v>
      </c>
      <c r="U5593" s="271" t="s">
        <v>3932</v>
      </c>
      <c r="V5593" s="267" t="s">
        <v>944</v>
      </c>
    </row>
    <row r="5594" spans="1:22" hidden="1" x14ac:dyDescent="0.25">
      <c r="A5594" s="266">
        <v>43732</v>
      </c>
      <c r="B5594" s="267">
        <v>2019</v>
      </c>
      <c r="C5594" s="267">
        <v>2020</v>
      </c>
      <c r="D5594" s="267">
        <v>1</v>
      </c>
      <c r="E5594" s="267">
        <v>1</v>
      </c>
      <c r="F5594" s="267" t="s">
        <v>944</v>
      </c>
      <c r="G5594" s="267" t="s">
        <v>3926</v>
      </c>
      <c r="H5594" s="267" t="s">
        <v>10269</v>
      </c>
      <c r="I5594" s="267" t="s">
        <v>4203</v>
      </c>
      <c r="J5594" s="267" t="s">
        <v>3928</v>
      </c>
      <c r="K5594" s="267">
        <v>6071</v>
      </c>
      <c r="L5594" s="267">
        <v>538202</v>
      </c>
      <c r="M5594" s="267" t="s">
        <v>3943</v>
      </c>
      <c r="N5594" s="267" t="s">
        <v>4701</v>
      </c>
      <c r="O5594" s="267">
        <v>1935.22</v>
      </c>
      <c r="P5594" s="267" t="s">
        <v>3930</v>
      </c>
      <c r="Q5594" s="267" t="s">
        <v>3931</v>
      </c>
      <c r="R5594" s="267">
        <v>6935.22</v>
      </c>
      <c r="S5594" s="267">
        <v>34648</v>
      </c>
      <c r="T5594" s="267">
        <v>41583.22</v>
      </c>
      <c r="U5594" s="268" t="s">
        <v>3932</v>
      </c>
      <c r="V5594" s="267" t="s">
        <v>944</v>
      </c>
    </row>
    <row r="5595" spans="1:22" hidden="1" x14ac:dyDescent="0.25">
      <c r="A5595" s="269">
        <v>43732</v>
      </c>
      <c r="B5595" s="270">
        <v>2019</v>
      </c>
      <c r="C5595" s="270">
        <v>2020</v>
      </c>
      <c r="D5595" s="270">
        <v>1</v>
      </c>
      <c r="E5595" s="270">
        <v>1</v>
      </c>
      <c r="F5595" s="270" t="s">
        <v>944</v>
      </c>
      <c r="G5595" s="270" t="s">
        <v>3926</v>
      </c>
      <c r="H5595" s="270" t="s">
        <v>10270</v>
      </c>
      <c r="I5595" s="270" t="s">
        <v>4318</v>
      </c>
      <c r="J5595" s="270" t="s">
        <v>3928</v>
      </c>
      <c r="K5595" s="270">
        <v>6278</v>
      </c>
      <c r="L5595" s="270">
        <v>902200</v>
      </c>
      <c r="M5595" s="270" t="s">
        <v>3960</v>
      </c>
      <c r="N5595" s="270" t="s">
        <v>3944</v>
      </c>
      <c r="O5595" s="270">
        <v>5224</v>
      </c>
      <c r="P5595" s="270" t="s">
        <v>3944</v>
      </c>
      <c r="Q5595" s="270" t="s">
        <v>3944</v>
      </c>
      <c r="R5595" s="270">
        <v>5224</v>
      </c>
      <c r="S5595" s="270">
        <v>31367</v>
      </c>
      <c r="T5595" s="270">
        <v>36591</v>
      </c>
      <c r="U5595" s="271" t="s">
        <v>3945</v>
      </c>
      <c r="V5595" s="267" t="s">
        <v>944</v>
      </c>
    </row>
    <row r="5596" spans="1:22" hidden="1" x14ac:dyDescent="0.25">
      <c r="A5596" s="266">
        <v>43732</v>
      </c>
      <c r="B5596" s="267">
        <v>2019</v>
      </c>
      <c r="C5596" s="267">
        <v>2020</v>
      </c>
      <c r="D5596" s="267">
        <v>1</v>
      </c>
      <c r="E5596" s="267">
        <v>1</v>
      </c>
      <c r="F5596" s="267" t="s">
        <v>944</v>
      </c>
      <c r="G5596" s="267" t="s">
        <v>3997</v>
      </c>
      <c r="H5596" s="267" t="s">
        <v>10271</v>
      </c>
      <c r="I5596" s="267" t="s">
        <v>4213</v>
      </c>
      <c r="J5596" s="267" t="s">
        <v>3928</v>
      </c>
      <c r="K5596" s="267">
        <v>6051</v>
      </c>
      <c r="L5596" s="267">
        <v>415600</v>
      </c>
      <c r="M5596" s="267">
        <v>-60</v>
      </c>
      <c r="N5596" s="267" t="s">
        <v>3944</v>
      </c>
      <c r="O5596" s="267">
        <v>1711.43</v>
      </c>
      <c r="P5596" s="267" t="s">
        <v>3944</v>
      </c>
      <c r="Q5596" s="267" t="s">
        <v>3944</v>
      </c>
      <c r="R5596" s="267">
        <v>1711.43</v>
      </c>
      <c r="S5596" s="267">
        <v>21206.080000000002</v>
      </c>
      <c r="T5596" s="267">
        <v>22917.51</v>
      </c>
      <c r="U5596" s="268" t="s">
        <v>3945</v>
      </c>
      <c r="V5596" s="267" t="s">
        <v>944</v>
      </c>
    </row>
    <row r="5597" spans="1:22" hidden="1" x14ac:dyDescent="0.25">
      <c r="A5597" s="269">
        <v>43732</v>
      </c>
      <c r="B5597" s="270">
        <v>2019</v>
      </c>
      <c r="C5597" s="270">
        <v>2020</v>
      </c>
      <c r="D5597" s="270">
        <v>1</v>
      </c>
      <c r="E5597" s="270">
        <v>1</v>
      </c>
      <c r="F5597" s="270" t="s">
        <v>944</v>
      </c>
      <c r="G5597" s="270" t="s">
        <v>3997</v>
      </c>
      <c r="H5597" s="270" t="s">
        <v>10272</v>
      </c>
      <c r="I5597" s="270" t="s">
        <v>950</v>
      </c>
      <c r="J5597" s="270" t="s">
        <v>3928</v>
      </c>
      <c r="K5597" s="270">
        <v>6516</v>
      </c>
      <c r="L5597" s="270">
        <v>154800</v>
      </c>
      <c r="M5597" s="270" t="s">
        <v>3960</v>
      </c>
      <c r="N5597" s="270" t="s">
        <v>3944</v>
      </c>
      <c r="O5597" s="270">
        <v>1225.1099999999999</v>
      </c>
      <c r="P5597" s="270" t="s">
        <v>3944</v>
      </c>
      <c r="Q5597" s="270" t="s">
        <v>3944</v>
      </c>
      <c r="R5597" s="270">
        <v>1225.1099999999999</v>
      </c>
      <c r="S5597" s="270">
        <v>16764.97</v>
      </c>
      <c r="T5597" s="270">
        <v>17990.080000000002</v>
      </c>
      <c r="U5597" s="271" t="s">
        <v>3945</v>
      </c>
      <c r="V5597" s="267" t="s">
        <v>944</v>
      </c>
    </row>
    <row r="5598" spans="1:22" hidden="1" x14ac:dyDescent="0.25">
      <c r="A5598" s="266">
        <v>43732</v>
      </c>
      <c r="B5598" s="267">
        <v>2019</v>
      </c>
      <c r="C5598" s="267">
        <v>2020</v>
      </c>
      <c r="D5598" s="267">
        <v>1</v>
      </c>
      <c r="E5598" s="267">
        <v>1</v>
      </c>
      <c r="F5598" s="267" t="s">
        <v>944</v>
      </c>
      <c r="G5598" s="267" t="s">
        <v>3926</v>
      </c>
      <c r="H5598" s="267" t="s">
        <v>10273</v>
      </c>
      <c r="I5598" s="267" t="s">
        <v>956</v>
      </c>
      <c r="J5598" s="267" t="s">
        <v>3928</v>
      </c>
      <c r="K5598" s="267">
        <v>6615</v>
      </c>
      <c r="L5598" s="267">
        <v>80500</v>
      </c>
      <c r="M5598" s="267" t="s">
        <v>3960</v>
      </c>
      <c r="N5598" s="267" t="s">
        <v>3944</v>
      </c>
      <c r="O5598" s="267">
        <v>2193.42</v>
      </c>
      <c r="P5598" s="267" t="s">
        <v>3944</v>
      </c>
      <c r="Q5598" s="267" t="s">
        <v>3944</v>
      </c>
      <c r="R5598" s="267">
        <v>2193.42</v>
      </c>
      <c r="S5598" s="267">
        <v>31670.26</v>
      </c>
      <c r="T5598" s="267">
        <v>33863.68</v>
      </c>
      <c r="U5598" s="268" t="s">
        <v>3945</v>
      </c>
      <c r="V5598" s="267" t="s">
        <v>944</v>
      </c>
    </row>
    <row r="5599" spans="1:22" x14ac:dyDescent="0.25">
      <c r="A5599" s="269">
        <v>43732</v>
      </c>
      <c r="B5599" s="270">
        <v>2019</v>
      </c>
      <c r="C5599" s="270">
        <v>2020</v>
      </c>
      <c r="D5599" s="270">
        <v>1</v>
      </c>
      <c r="E5599" s="270">
        <v>1</v>
      </c>
      <c r="F5599" s="270" t="s">
        <v>944</v>
      </c>
      <c r="G5599" s="270" t="s">
        <v>3926</v>
      </c>
      <c r="H5599" s="270" t="s">
        <v>10274</v>
      </c>
      <c r="I5599" s="270" t="s">
        <v>934</v>
      </c>
      <c r="J5599" s="270" t="s">
        <v>3928</v>
      </c>
      <c r="K5599" s="270">
        <v>6607</v>
      </c>
      <c r="L5599" s="270">
        <v>74400</v>
      </c>
      <c r="M5599" s="270">
        <v>-60</v>
      </c>
      <c r="N5599" s="270" t="s">
        <v>3944</v>
      </c>
      <c r="O5599" s="270">
        <v>1219.3</v>
      </c>
      <c r="P5599" s="270" t="s">
        <v>3944</v>
      </c>
      <c r="Q5599" s="270" t="s">
        <v>3944</v>
      </c>
      <c r="R5599" s="270">
        <v>1219.3</v>
      </c>
      <c r="S5599" s="270">
        <v>18182.189999999999</v>
      </c>
      <c r="T5599" s="270">
        <v>19401.490000000002</v>
      </c>
      <c r="U5599" s="271" t="s">
        <v>3945</v>
      </c>
      <c r="V5599" s="276" t="s">
        <v>936</v>
      </c>
    </row>
    <row r="5600" spans="1:22" hidden="1" x14ac:dyDescent="0.25">
      <c r="A5600" s="266">
        <v>43732</v>
      </c>
      <c r="B5600" s="267">
        <v>2019</v>
      </c>
      <c r="C5600" s="267">
        <v>2020</v>
      </c>
      <c r="D5600" s="267">
        <v>1</v>
      </c>
      <c r="E5600" s="267">
        <v>1</v>
      </c>
      <c r="F5600" s="267" t="s">
        <v>944</v>
      </c>
      <c r="G5600" s="267" t="s">
        <v>3926</v>
      </c>
      <c r="H5600" s="267" t="s">
        <v>10275</v>
      </c>
      <c r="I5600" s="267" t="s">
        <v>934</v>
      </c>
      <c r="J5600" s="267" t="s">
        <v>3928</v>
      </c>
      <c r="K5600" s="267">
        <v>6606</v>
      </c>
      <c r="L5600" s="267">
        <v>72300</v>
      </c>
      <c r="M5600" s="267" t="s">
        <v>3940</v>
      </c>
      <c r="N5600" s="267" t="s">
        <v>3944</v>
      </c>
      <c r="O5600" s="267">
        <v>1139.43</v>
      </c>
      <c r="P5600" s="267" t="s">
        <v>3944</v>
      </c>
      <c r="Q5600" s="267" t="s">
        <v>3944</v>
      </c>
      <c r="R5600" s="267">
        <v>1139.43</v>
      </c>
      <c r="S5600" s="267">
        <v>13675.93</v>
      </c>
      <c r="T5600" s="267">
        <v>14815.36</v>
      </c>
      <c r="U5600" s="268" t="s">
        <v>3945</v>
      </c>
      <c r="V5600" s="267" t="s">
        <v>944</v>
      </c>
    </row>
    <row r="5601" spans="1:22" hidden="1" x14ac:dyDescent="0.25">
      <c r="A5601" s="269">
        <v>43733</v>
      </c>
      <c r="B5601" s="270">
        <v>2019</v>
      </c>
      <c r="C5601" s="270">
        <v>2020</v>
      </c>
      <c r="D5601" s="270">
        <v>1</v>
      </c>
      <c r="E5601" s="270">
        <v>1</v>
      </c>
      <c r="F5601" s="270" t="s">
        <v>944</v>
      </c>
      <c r="G5601" s="270" t="s">
        <v>3926</v>
      </c>
      <c r="H5601" s="270" t="s">
        <v>10276</v>
      </c>
      <c r="I5601" s="270" t="s">
        <v>4172</v>
      </c>
      <c r="J5601" s="270" t="s">
        <v>3928</v>
      </c>
      <c r="K5601" s="270">
        <v>6786</v>
      </c>
      <c r="L5601" s="270">
        <v>425400</v>
      </c>
      <c r="M5601" s="270" t="s">
        <v>3935</v>
      </c>
      <c r="N5601" s="270" t="s">
        <v>8745</v>
      </c>
      <c r="O5601" s="270">
        <v>0</v>
      </c>
      <c r="P5601" s="270" t="s">
        <v>3930</v>
      </c>
      <c r="Q5601" s="270" t="s">
        <v>3930</v>
      </c>
      <c r="R5601" s="270">
        <v>0</v>
      </c>
      <c r="S5601" s="270">
        <v>21900</v>
      </c>
      <c r="T5601" s="270">
        <v>21900</v>
      </c>
      <c r="U5601" s="271" t="s">
        <v>3937</v>
      </c>
      <c r="V5601" s="267" t="s">
        <v>944</v>
      </c>
    </row>
    <row r="5602" spans="1:22" hidden="1" x14ac:dyDescent="0.25">
      <c r="A5602" s="266">
        <v>43733</v>
      </c>
      <c r="B5602" s="267">
        <v>2019</v>
      </c>
      <c r="C5602" s="267">
        <v>2020</v>
      </c>
      <c r="D5602" s="267">
        <v>1</v>
      </c>
      <c r="E5602" s="267">
        <v>1</v>
      </c>
      <c r="F5602" s="267" t="s">
        <v>944</v>
      </c>
      <c r="G5602" s="267" t="s">
        <v>3926</v>
      </c>
      <c r="H5602" s="267" t="s">
        <v>10277</v>
      </c>
      <c r="I5602" s="267" t="s">
        <v>4137</v>
      </c>
      <c r="J5602" s="267" t="s">
        <v>3928</v>
      </c>
      <c r="K5602" s="267">
        <v>6067</v>
      </c>
      <c r="L5602" s="267">
        <v>490100</v>
      </c>
      <c r="M5602" s="267" t="s">
        <v>3935</v>
      </c>
      <c r="N5602" s="267" t="s">
        <v>4103</v>
      </c>
      <c r="O5602" s="267">
        <v>1644.44</v>
      </c>
      <c r="P5602" s="267" t="s">
        <v>3930</v>
      </c>
      <c r="Q5602" s="267" t="s">
        <v>3931</v>
      </c>
      <c r="R5602" s="267">
        <v>6644.44</v>
      </c>
      <c r="S5602" s="267">
        <v>24145.599999999999</v>
      </c>
      <c r="T5602" s="267">
        <v>30790.04</v>
      </c>
      <c r="U5602" s="268" t="s">
        <v>3932</v>
      </c>
      <c r="V5602" s="267" t="s">
        <v>944</v>
      </c>
    </row>
    <row r="5603" spans="1:22" x14ac:dyDescent="0.25">
      <c r="A5603" s="269">
        <v>43733</v>
      </c>
      <c r="B5603" s="270">
        <v>2019</v>
      </c>
      <c r="C5603" s="270">
        <v>2020</v>
      </c>
      <c r="D5603" s="270">
        <v>1</v>
      </c>
      <c r="E5603" s="270">
        <v>1</v>
      </c>
      <c r="F5603" s="270" t="s">
        <v>944</v>
      </c>
      <c r="G5603" s="270" t="s">
        <v>3926</v>
      </c>
      <c r="H5603" s="270" t="s">
        <v>10278</v>
      </c>
      <c r="I5603" s="270" t="s">
        <v>3956</v>
      </c>
      <c r="J5603" s="270" t="s">
        <v>3928</v>
      </c>
      <c r="K5603" s="270">
        <v>6101</v>
      </c>
      <c r="L5603" s="270">
        <v>501800</v>
      </c>
      <c r="M5603" s="270">
        <v>-60</v>
      </c>
      <c r="N5603" s="270" t="s">
        <v>4053</v>
      </c>
      <c r="O5603" s="270">
        <v>2974.1</v>
      </c>
      <c r="P5603" s="270" t="s">
        <v>3930</v>
      </c>
      <c r="Q5603" s="270" t="s">
        <v>3931</v>
      </c>
      <c r="R5603" s="270">
        <v>7974.1</v>
      </c>
      <c r="S5603" s="270">
        <v>18603.2</v>
      </c>
      <c r="T5603" s="270">
        <v>26577.3</v>
      </c>
      <c r="U5603" s="271" t="s">
        <v>3932</v>
      </c>
      <c r="V5603" s="267" t="s">
        <v>936</v>
      </c>
    </row>
    <row r="5604" spans="1:22" hidden="1" x14ac:dyDescent="0.25">
      <c r="A5604" s="266">
        <v>43733</v>
      </c>
      <c r="B5604" s="267">
        <v>2019</v>
      </c>
      <c r="C5604" s="267">
        <v>2020</v>
      </c>
      <c r="D5604" s="267">
        <v>1</v>
      </c>
      <c r="E5604" s="267">
        <v>1</v>
      </c>
      <c r="F5604" s="267" t="s">
        <v>944</v>
      </c>
      <c r="G5604" s="267" t="s">
        <v>3926</v>
      </c>
      <c r="H5604" s="267" t="s">
        <v>10279</v>
      </c>
      <c r="I5604" s="267" t="s">
        <v>4137</v>
      </c>
      <c r="J5604" s="267" t="s">
        <v>3928</v>
      </c>
      <c r="K5604" s="267">
        <v>6067</v>
      </c>
      <c r="L5604" s="267">
        <v>490302</v>
      </c>
      <c r="M5604" s="267" t="s">
        <v>3960</v>
      </c>
      <c r="N5604" s="267" t="s">
        <v>10280</v>
      </c>
      <c r="O5604" s="267">
        <v>0</v>
      </c>
      <c r="P5604" s="267" t="s">
        <v>3930</v>
      </c>
      <c r="Q5604" s="267" t="s">
        <v>3930</v>
      </c>
      <c r="R5604" s="267">
        <v>0</v>
      </c>
      <c r="S5604" s="267">
        <v>26500</v>
      </c>
      <c r="T5604" s="267">
        <v>26500</v>
      </c>
      <c r="U5604" s="268" t="s">
        <v>3937</v>
      </c>
      <c r="V5604" s="267" t="s">
        <v>944</v>
      </c>
    </row>
    <row r="5605" spans="1:22" hidden="1" x14ac:dyDescent="0.25">
      <c r="A5605" s="269">
        <v>43733</v>
      </c>
      <c r="B5605" s="270">
        <v>2019</v>
      </c>
      <c r="C5605" s="270">
        <v>2020</v>
      </c>
      <c r="D5605" s="270">
        <v>1</v>
      </c>
      <c r="E5605" s="270">
        <v>1</v>
      </c>
      <c r="F5605" s="270" t="s">
        <v>944</v>
      </c>
      <c r="G5605" s="270" t="s">
        <v>3926</v>
      </c>
      <c r="H5605" s="270" t="s">
        <v>10281</v>
      </c>
      <c r="I5605" s="270" t="s">
        <v>4461</v>
      </c>
      <c r="J5605" s="270" t="s">
        <v>3928</v>
      </c>
      <c r="K5605" s="270">
        <v>6831</v>
      </c>
      <c r="L5605" s="270">
        <v>10101</v>
      </c>
      <c r="M5605" s="270" t="s">
        <v>3943</v>
      </c>
      <c r="N5605" s="270" t="s">
        <v>3944</v>
      </c>
      <c r="O5605" s="270">
        <v>8629</v>
      </c>
      <c r="P5605" s="270" t="s">
        <v>3944</v>
      </c>
      <c r="Q5605" s="270" t="s">
        <v>3944</v>
      </c>
      <c r="R5605" s="270">
        <v>8629</v>
      </c>
      <c r="S5605" s="270">
        <v>111503</v>
      </c>
      <c r="T5605" s="270">
        <v>120132</v>
      </c>
      <c r="U5605" s="271" t="s">
        <v>3945</v>
      </c>
      <c r="V5605" s="267" t="s">
        <v>944</v>
      </c>
    </row>
    <row r="5606" spans="1:22" hidden="1" x14ac:dyDescent="0.25">
      <c r="A5606" s="266">
        <v>43733</v>
      </c>
      <c r="B5606" s="267">
        <v>2019</v>
      </c>
      <c r="C5606" s="267">
        <v>2020</v>
      </c>
      <c r="D5606" s="267">
        <v>1</v>
      </c>
      <c r="E5606" s="267">
        <v>1</v>
      </c>
      <c r="F5606" s="267" t="s">
        <v>944</v>
      </c>
      <c r="G5606" s="267" t="s">
        <v>3926</v>
      </c>
      <c r="H5606" s="267" t="s">
        <v>10282</v>
      </c>
      <c r="I5606" s="267" t="s">
        <v>8451</v>
      </c>
      <c r="J5606" s="267" t="s">
        <v>3928</v>
      </c>
      <c r="K5606" s="267">
        <v>6757</v>
      </c>
      <c r="L5606" s="267">
        <v>266100</v>
      </c>
      <c r="M5606" s="267" t="s">
        <v>3935</v>
      </c>
      <c r="N5606" s="267" t="s">
        <v>3944</v>
      </c>
      <c r="O5606" s="267">
        <v>2600</v>
      </c>
      <c r="P5606" s="267" t="s">
        <v>3944</v>
      </c>
      <c r="Q5606" s="267" t="s">
        <v>3944</v>
      </c>
      <c r="R5606" s="267">
        <v>2600</v>
      </c>
      <c r="S5606" s="267">
        <v>15876</v>
      </c>
      <c r="T5606" s="267">
        <v>18476</v>
      </c>
      <c r="U5606" s="268" t="s">
        <v>3945</v>
      </c>
      <c r="V5606" s="267" t="s">
        <v>944</v>
      </c>
    </row>
    <row r="5607" spans="1:22" hidden="1" x14ac:dyDescent="0.25">
      <c r="A5607" s="269">
        <v>43733</v>
      </c>
      <c r="B5607" s="270">
        <v>2019</v>
      </c>
      <c r="C5607" s="270">
        <v>2020</v>
      </c>
      <c r="D5607" s="270">
        <v>1</v>
      </c>
      <c r="E5607" s="270">
        <v>1</v>
      </c>
      <c r="F5607" s="270" t="s">
        <v>944</v>
      </c>
      <c r="G5607" s="270" t="s">
        <v>3926</v>
      </c>
      <c r="H5607" s="270" t="s">
        <v>10283</v>
      </c>
      <c r="I5607" s="270" t="s">
        <v>2985</v>
      </c>
      <c r="J5607" s="270" t="s">
        <v>3928</v>
      </c>
      <c r="K5607" s="270">
        <v>6825</v>
      </c>
      <c r="L5607" s="270">
        <v>60300</v>
      </c>
      <c r="M5607" s="270" t="s">
        <v>3943</v>
      </c>
      <c r="N5607" s="270" t="s">
        <v>3944</v>
      </c>
      <c r="O5607" s="270">
        <v>2523</v>
      </c>
      <c r="P5607" s="270" t="s">
        <v>3944</v>
      </c>
      <c r="Q5607" s="270" t="s">
        <v>3944</v>
      </c>
      <c r="R5607" s="270">
        <v>2523</v>
      </c>
      <c r="S5607" s="270">
        <v>18078</v>
      </c>
      <c r="T5607" s="270">
        <v>20601</v>
      </c>
      <c r="U5607" s="271" t="s">
        <v>3945</v>
      </c>
      <c r="V5607" s="267" t="s">
        <v>944</v>
      </c>
    </row>
    <row r="5608" spans="1:22" hidden="1" x14ac:dyDescent="0.25">
      <c r="A5608" s="266">
        <v>43733</v>
      </c>
      <c r="B5608" s="267">
        <v>2019</v>
      </c>
      <c r="C5608" s="267">
        <v>2020</v>
      </c>
      <c r="D5608" s="267">
        <v>1</v>
      </c>
      <c r="E5608" s="267">
        <v>1</v>
      </c>
      <c r="F5608" s="267" t="s">
        <v>944</v>
      </c>
      <c r="G5608" s="267" t="s">
        <v>3926</v>
      </c>
      <c r="H5608" s="267" t="s">
        <v>10284</v>
      </c>
      <c r="I5608" s="267" t="s">
        <v>3939</v>
      </c>
      <c r="J5608" s="267" t="s">
        <v>3928</v>
      </c>
      <c r="K5608" s="267">
        <v>6513</v>
      </c>
      <c r="L5608" s="267">
        <v>180602</v>
      </c>
      <c r="M5608" s="267" t="s">
        <v>3935</v>
      </c>
      <c r="N5608" s="267" t="s">
        <v>3944</v>
      </c>
      <c r="O5608" s="267">
        <v>2896</v>
      </c>
      <c r="P5608" s="267" t="s">
        <v>3944</v>
      </c>
      <c r="Q5608" s="267" t="s">
        <v>3944</v>
      </c>
      <c r="R5608" s="267">
        <v>2896</v>
      </c>
      <c r="S5608" s="267">
        <v>19421.75</v>
      </c>
      <c r="T5608" s="267">
        <v>22317.75</v>
      </c>
      <c r="U5608" s="268" t="s">
        <v>3945</v>
      </c>
      <c r="V5608" s="267" t="s">
        <v>944</v>
      </c>
    </row>
    <row r="5609" spans="1:22" hidden="1" x14ac:dyDescent="0.25">
      <c r="A5609" s="269">
        <v>43733</v>
      </c>
      <c r="B5609" s="270">
        <v>2019</v>
      </c>
      <c r="C5609" s="270">
        <v>2020</v>
      </c>
      <c r="D5609" s="270">
        <v>1</v>
      </c>
      <c r="E5609" s="270">
        <v>1</v>
      </c>
      <c r="F5609" s="270" t="s">
        <v>944</v>
      </c>
      <c r="G5609" s="270" t="s">
        <v>3926</v>
      </c>
      <c r="H5609" s="270" t="s">
        <v>10285</v>
      </c>
      <c r="I5609" s="270" t="s">
        <v>4029</v>
      </c>
      <c r="J5609" s="270" t="s">
        <v>3928</v>
      </c>
      <c r="K5609" s="270">
        <v>6851</v>
      </c>
      <c r="L5609" s="270">
        <v>42600</v>
      </c>
      <c r="M5609" s="270" t="s">
        <v>3943</v>
      </c>
      <c r="N5609" s="270" t="s">
        <v>3944</v>
      </c>
      <c r="O5609" s="270">
        <v>2785</v>
      </c>
      <c r="P5609" s="270" t="s">
        <v>3944</v>
      </c>
      <c r="Q5609" s="270" t="s">
        <v>3944</v>
      </c>
      <c r="R5609" s="270">
        <v>2785</v>
      </c>
      <c r="S5609" s="270">
        <v>21191</v>
      </c>
      <c r="T5609" s="270">
        <v>23976</v>
      </c>
      <c r="U5609" s="271" t="s">
        <v>3945</v>
      </c>
      <c r="V5609" s="267" t="s">
        <v>944</v>
      </c>
    </row>
    <row r="5610" spans="1:22" hidden="1" x14ac:dyDescent="0.25">
      <c r="A5610" s="266">
        <v>43733</v>
      </c>
      <c r="B5610" s="267">
        <v>2019</v>
      </c>
      <c r="C5610" s="267">
        <v>2020</v>
      </c>
      <c r="D5610" s="267">
        <v>1</v>
      </c>
      <c r="E5610" s="267">
        <v>1</v>
      </c>
      <c r="F5610" s="267" t="s">
        <v>944</v>
      </c>
      <c r="G5610" s="267" t="s">
        <v>3926</v>
      </c>
      <c r="H5610" s="267" t="s">
        <v>10286</v>
      </c>
      <c r="I5610" s="267" t="s">
        <v>4035</v>
      </c>
      <c r="J5610" s="267" t="s">
        <v>3928</v>
      </c>
      <c r="K5610" s="267">
        <v>6074</v>
      </c>
      <c r="L5610" s="267">
        <v>487201</v>
      </c>
      <c r="M5610" s="267" t="s">
        <v>3943</v>
      </c>
      <c r="N5610" s="267" t="s">
        <v>3944</v>
      </c>
      <c r="O5610" s="267">
        <v>3768</v>
      </c>
      <c r="P5610" s="267" t="s">
        <v>3944</v>
      </c>
      <c r="Q5610" s="267" t="s">
        <v>3944</v>
      </c>
      <c r="R5610" s="267">
        <v>3768</v>
      </c>
      <c r="S5610" s="267">
        <v>26762.17</v>
      </c>
      <c r="T5610" s="267">
        <v>30530.17</v>
      </c>
      <c r="U5610" s="268" t="s">
        <v>3945</v>
      </c>
      <c r="V5610" s="267" t="s">
        <v>944</v>
      </c>
    </row>
    <row r="5611" spans="1:22" hidden="1" x14ac:dyDescent="0.25">
      <c r="A5611" s="269">
        <v>43733</v>
      </c>
      <c r="B5611" s="270">
        <v>2019</v>
      </c>
      <c r="C5611" s="270">
        <v>2020</v>
      </c>
      <c r="D5611" s="270">
        <v>1</v>
      </c>
      <c r="E5611" s="270">
        <v>1</v>
      </c>
      <c r="F5611" s="270" t="s">
        <v>944</v>
      </c>
      <c r="G5611" s="270" t="s">
        <v>3926</v>
      </c>
      <c r="H5611" s="270" t="s">
        <v>10287</v>
      </c>
      <c r="I5611" s="270" t="s">
        <v>4519</v>
      </c>
      <c r="J5611" s="270" t="s">
        <v>3928</v>
      </c>
      <c r="K5611" s="270">
        <v>6840</v>
      </c>
      <c r="L5611" s="270">
        <v>35400</v>
      </c>
      <c r="M5611" s="270" t="s">
        <v>3943</v>
      </c>
      <c r="N5611" s="270" t="s">
        <v>3944</v>
      </c>
      <c r="O5611" s="270">
        <v>4642</v>
      </c>
      <c r="P5611" s="270" t="s">
        <v>3944</v>
      </c>
      <c r="Q5611" s="270" t="s">
        <v>3944</v>
      </c>
      <c r="R5611" s="270">
        <v>4642</v>
      </c>
      <c r="S5611" s="270">
        <v>56631.6</v>
      </c>
      <c r="T5611" s="270">
        <v>61273.599999999999</v>
      </c>
      <c r="U5611" s="271" t="s">
        <v>3945</v>
      </c>
      <c r="V5611" s="267" t="s">
        <v>944</v>
      </c>
    </row>
    <row r="5612" spans="1:22" hidden="1" x14ac:dyDescent="0.25">
      <c r="A5612" s="266">
        <v>43733</v>
      </c>
      <c r="B5612" s="267">
        <v>2019</v>
      </c>
      <c r="C5612" s="267">
        <v>2020</v>
      </c>
      <c r="D5612" s="267">
        <v>1</v>
      </c>
      <c r="E5612" s="267">
        <v>1</v>
      </c>
      <c r="F5612" s="267" t="s">
        <v>944</v>
      </c>
      <c r="G5612" s="267" t="s">
        <v>3926</v>
      </c>
      <c r="H5612" s="267" t="s">
        <v>10288</v>
      </c>
      <c r="I5612" s="267" t="s">
        <v>3966</v>
      </c>
      <c r="J5612" s="267" t="s">
        <v>3928</v>
      </c>
      <c r="K5612" s="267">
        <v>6010</v>
      </c>
      <c r="L5612" s="267">
        <v>405900</v>
      </c>
      <c r="M5612" s="267" t="s">
        <v>3960</v>
      </c>
      <c r="N5612" s="267" t="s">
        <v>3944</v>
      </c>
      <c r="O5612" s="267">
        <v>3471</v>
      </c>
      <c r="P5612" s="267" t="s">
        <v>3944</v>
      </c>
      <c r="Q5612" s="267" t="s">
        <v>3944</v>
      </c>
      <c r="R5612" s="267">
        <v>3471</v>
      </c>
      <c r="S5612" s="267">
        <v>43297</v>
      </c>
      <c r="T5612" s="267">
        <v>46768</v>
      </c>
      <c r="U5612" s="268" t="s">
        <v>3945</v>
      </c>
      <c r="V5612" s="267" t="s">
        <v>944</v>
      </c>
    </row>
    <row r="5613" spans="1:22" hidden="1" x14ac:dyDescent="0.25">
      <c r="A5613" s="269">
        <v>43733</v>
      </c>
      <c r="B5613" s="270">
        <v>2019</v>
      </c>
      <c r="C5613" s="270">
        <v>2020</v>
      </c>
      <c r="D5613" s="270">
        <v>1</v>
      </c>
      <c r="E5613" s="270">
        <v>1</v>
      </c>
      <c r="F5613" s="270" t="s">
        <v>944</v>
      </c>
      <c r="G5613" s="270" t="s">
        <v>3926</v>
      </c>
      <c r="H5613" s="270" t="s">
        <v>10289</v>
      </c>
      <c r="I5613" s="270" t="s">
        <v>2987</v>
      </c>
      <c r="J5613" s="270" t="s">
        <v>3928</v>
      </c>
      <c r="K5613" s="270">
        <v>6611</v>
      </c>
      <c r="L5613" s="270">
        <v>90700</v>
      </c>
      <c r="M5613" s="270" t="s">
        <v>3943</v>
      </c>
      <c r="N5613" s="270" t="s">
        <v>3944</v>
      </c>
      <c r="O5613" s="270">
        <v>5977</v>
      </c>
      <c r="P5613" s="270" t="s">
        <v>3944</v>
      </c>
      <c r="Q5613" s="270" t="s">
        <v>3944</v>
      </c>
      <c r="R5613" s="270">
        <v>5977</v>
      </c>
      <c r="S5613" s="270">
        <v>51623</v>
      </c>
      <c r="T5613" s="270">
        <v>57600</v>
      </c>
      <c r="U5613" s="271" t="s">
        <v>3945</v>
      </c>
      <c r="V5613" s="267" t="s">
        <v>944</v>
      </c>
    </row>
    <row r="5614" spans="1:22" hidden="1" x14ac:dyDescent="0.25">
      <c r="A5614" s="266">
        <v>43733</v>
      </c>
      <c r="B5614" s="267">
        <v>2019</v>
      </c>
      <c r="C5614" s="267">
        <v>2020</v>
      </c>
      <c r="D5614" s="267">
        <v>1</v>
      </c>
      <c r="E5614" s="267">
        <v>1</v>
      </c>
      <c r="F5614" s="267" t="s">
        <v>944</v>
      </c>
      <c r="G5614" s="267" t="s">
        <v>3926</v>
      </c>
      <c r="H5614" s="267" t="s">
        <v>10290</v>
      </c>
      <c r="I5614" s="267" t="s">
        <v>5127</v>
      </c>
      <c r="J5614" s="267" t="s">
        <v>3928</v>
      </c>
      <c r="K5614" s="267">
        <v>6787</v>
      </c>
      <c r="L5614" s="267">
        <v>349100</v>
      </c>
      <c r="M5614" s="267" t="s">
        <v>3935</v>
      </c>
      <c r="N5614" s="267" t="s">
        <v>3944</v>
      </c>
      <c r="O5614" s="267">
        <v>2690</v>
      </c>
      <c r="P5614" s="267" t="s">
        <v>3944</v>
      </c>
      <c r="Q5614" s="267" t="s">
        <v>3944</v>
      </c>
      <c r="R5614" s="267">
        <v>2690</v>
      </c>
      <c r="S5614" s="267">
        <v>16097.5</v>
      </c>
      <c r="T5614" s="267">
        <v>18787.5</v>
      </c>
      <c r="U5614" s="268" t="s">
        <v>3945</v>
      </c>
      <c r="V5614" s="267" t="s">
        <v>944</v>
      </c>
    </row>
    <row r="5615" spans="1:22" hidden="1" x14ac:dyDescent="0.25">
      <c r="A5615" s="269">
        <v>43733</v>
      </c>
      <c r="B5615" s="270">
        <v>2019</v>
      </c>
      <c r="C5615" s="270">
        <v>2020</v>
      </c>
      <c r="D5615" s="270">
        <v>1</v>
      </c>
      <c r="E5615" s="270">
        <v>1</v>
      </c>
      <c r="F5615" s="270" t="s">
        <v>944</v>
      </c>
      <c r="G5615" s="270" t="s">
        <v>3926</v>
      </c>
      <c r="H5615" s="270" t="s">
        <v>10291</v>
      </c>
      <c r="I5615" s="270" t="s">
        <v>3996</v>
      </c>
      <c r="J5615" s="270" t="s">
        <v>3928</v>
      </c>
      <c r="K5615" s="270">
        <v>6790</v>
      </c>
      <c r="L5615" s="270">
        <v>310400</v>
      </c>
      <c r="M5615" s="270" t="s">
        <v>3935</v>
      </c>
      <c r="N5615" s="270" t="s">
        <v>3944</v>
      </c>
      <c r="O5615" s="270">
        <v>3084</v>
      </c>
      <c r="P5615" s="270" t="s">
        <v>3944</v>
      </c>
      <c r="Q5615" s="270" t="s">
        <v>3944</v>
      </c>
      <c r="R5615" s="270">
        <v>3084</v>
      </c>
      <c r="S5615" s="270">
        <v>24253.200000000001</v>
      </c>
      <c r="T5615" s="270">
        <v>27337.200000000001</v>
      </c>
      <c r="U5615" s="271" t="s">
        <v>3945</v>
      </c>
      <c r="V5615" s="267" t="s">
        <v>944</v>
      </c>
    </row>
    <row r="5616" spans="1:22" hidden="1" x14ac:dyDescent="0.25">
      <c r="A5616" s="266">
        <v>43733</v>
      </c>
      <c r="B5616" s="267">
        <v>2019</v>
      </c>
      <c r="C5616" s="267">
        <v>2020</v>
      </c>
      <c r="D5616" s="267">
        <v>1</v>
      </c>
      <c r="E5616" s="267">
        <v>1</v>
      </c>
      <c r="F5616" s="267" t="s">
        <v>944</v>
      </c>
      <c r="G5616" s="267" t="s">
        <v>3926</v>
      </c>
      <c r="H5616" s="267" t="s">
        <v>10292</v>
      </c>
      <c r="I5616" s="267" t="s">
        <v>7536</v>
      </c>
      <c r="J5616" s="267" t="s">
        <v>3928</v>
      </c>
      <c r="K5616" s="267">
        <v>6330</v>
      </c>
      <c r="L5616" s="267">
        <v>825000</v>
      </c>
      <c r="M5616" s="267" t="s">
        <v>3935</v>
      </c>
      <c r="N5616" s="267" t="s">
        <v>3944</v>
      </c>
      <c r="O5616" s="267">
        <v>1061.8699999999999</v>
      </c>
      <c r="P5616" s="267" t="s">
        <v>3944</v>
      </c>
      <c r="Q5616" s="267" t="s">
        <v>3944</v>
      </c>
      <c r="R5616" s="267">
        <v>1061.8699999999999</v>
      </c>
      <c r="S5616" s="267">
        <v>14659.69</v>
      </c>
      <c r="T5616" s="267">
        <v>15721.56</v>
      </c>
      <c r="U5616" s="268" t="s">
        <v>3945</v>
      </c>
      <c r="V5616" s="267" t="s">
        <v>944</v>
      </c>
    </row>
    <row r="5617" spans="1:22" hidden="1" x14ac:dyDescent="0.25">
      <c r="A5617" s="269">
        <v>43733</v>
      </c>
      <c r="B5617" s="270">
        <v>2019</v>
      </c>
      <c r="C5617" s="270">
        <v>2020</v>
      </c>
      <c r="D5617" s="270">
        <v>1</v>
      </c>
      <c r="E5617" s="270">
        <v>1</v>
      </c>
      <c r="F5617" s="270" t="s">
        <v>944</v>
      </c>
      <c r="G5617" s="270" t="s">
        <v>3926</v>
      </c>
      <c r="H5617" s="270" t="s">
        <v>10293</v>
      </c>
      <c r="I5617" s="270" t="s">
        <v>4213</v>
      </c>
      <c r="J5617" s="270" t="s">
        <v>3928</v>
      </c>
      <c r="K5617" s="270">
        <v>6053</v>
      </c>
      <c r="L5617" s="270">
        <v>416500</v>
      </c>
      <c r="M5617" s="270" t="s">
        <v>3940</v>
      </c>
      <c r="N5617" s="270" t="s">
        <v>3944</v>
      </c>
      <c r="O5617" s="270">
        <v>2036.41</v>
      </c>
      <c r="P5617" s="270" t="s">
        <v>3944</v>
      </c>
      <c r="Q5617" s="270" t="s">
        <v>3944</v>
      </c>
      <c r="R5617" s="270">
        <v>2036.41</v>
      </c>
      <c r="S5617" s="270">
        <v>29237</v>
      </c>
      <c r="T5617" s="270">
        <v>31273.41</v>
      </c>
      <c r="U5617" s="271" t="s">
        <v>3945</v>
      </c>
      <c r="V5617" s="267" t="s">
        <v>944</v>
      </c>
    </row>
    <row r="5618" spans="1:22" hidden="1" x14ac:dyDescent="0.25">
      <c r="A5618" s="266">
        <v>43733</v>
      </c>
      <c r="B5618" s="267">
        <v>2019</v>
      </c>
      <c r="C5618" s="267">
        <v>2020</v>
      </c>
      <c r="D5618" s="267">
        <v>1</v>
      </c>
      <c r="E5618" s="267">
        <v>1</v>
      </c>
      <c r="F5618" s="267" t="s">
        <v>944</v>
      </c>
      <c r="G5618" s="267" t="s">
        <v>3926</v>
      </c>
      <c r="H5618" s="267" t="s">
        <v>10294</v>
      </c>
      <c r="I5618" s="267" t="s">
        <v>3975</v>
      </c>
      <c r="J5618" s="267" t="s">
        <v>3928</v>
      </c>
      <c r="K5618" s="267">
        <v>6489</v>
      </c>
      <c r="L5618" s="267">
        <v>430100</v>
      </c>
      <c r="M5618" s="267" t="s">
        <v>3935</v>
      </c>
      <c r="N5618" s="267" t="s">
        <v>3944</v>
      </c>
      <c r="O5618" s="267">
        <v>1500.94</v>
      </c>
      <c r="P5618" s="267" t="s">
        <v>3944</v>
      </c>
      <c r="Q5618" s="267" t="s">
        <v>3944</v>
      </c>
      <c r="R5618" s="267">
        <v>1500.94</v>
      </c>
      <c r="S5618" s="267">
        <v>21367.24</v>
      </c>
      <c r="T5618" s="267">
        <v>22868.18</v>
      </c>
      <c r="U5618" s="268" t="s">
        <v>3945</v>
      </c>
      <c r="V5618" s="267" t="s">
        <v>944</v>
      </c>
    </row>
    <row r="5619" spans="1:22" hidden="1" x14ac:dyDescent="0.25">
      <c r="A5619" s="269">
        <v>43733</v>
      </c>
      <c r="B5619" s="270">
        <v>2019</v>
      </c>
      <c r="C5619" s="270">
        <v>2020</v>
      </c>
      <c r="D5619" s="270">
        <v>1</v>
      </c>
      <c r="E5619" s="270">
        <v>1</v>
      </c>
      <c r="F5619" s="270" t="s">
        <v>944</v>
      </c>
      <c r="G5619" s="270" t="s">
        <v>3926</v>
      </c>
      <c r="H5619" s="270" t="s">
        <v>10295</v>
      </c>
      <c r="I5619" s="270" t="s">
        <v>4019</v>
      </c>
      <c r="J5619" s="270" t="s">
        <v>3928</v>
      </c>
      <c r="K5619" s="270">
        <v>6708</v>
      </c>
      <c r="L5619" s="270">
        <v>352100</v>
      </c>
      <c r="M5619" s="270" t="s">
        <v>3940</v>
      </c>
      <c r="N5619" s="270" t="s">
        <v>3944</v>
      </c>
      <c r="O5619" s="270">
        <v>1600.06</v>
      </c>
      <c r="P5619" s="270" t="s">
        <v>3944</v>
      </c>
      <c r="Q5619" s="270" t="s">
        <v>3944</v>
      </c>
      <c r="R5619" s="270">
        <v>1600.06</v>
      </c>
      <c r="S5619" s="270">
        <v>21948.799999999999</v>
      </c>
      <c r="T5619" s="270">
        <v>23548.86</v>
      </c>
      <c r="U5619" s="271" t="s">
        <v>3945</v>
      </c>
      <c r="V5619" s="267" t="s">
        <v>944</v>
      </c>
    </row>
    <row r="5620" spans="1:22" hidden="1" x14ac:dyDescent="0.25">
      <c r="A5620" s="266">
        <v>43733</v>
      </c>
      <c r="B5620" s="267">
        <v>2019</v>
      </c>
      <c r="C5620" s="267">
        <v>2020</v>
      </c>
      <c r="D5620" s="267">
        <v>1</v>
      </c>
      <c r="E5620" s="267">
        <v>1</v>
      </c>
      <c r="F5620" s="267" t="s">
        <v>944</v>
      </c>
      <c r="G5620" s="267" t="s">
        <v>3926</v>
      </c>
      <c r="H5620" s="267" t="s">
        <v>10296</v>
      </c>
      <c r="I5620" s="267" t="s">
        <v>934</v>
      </c>
      <c r="J5620" s="267" t="s">
        <v>3928</v>
      </c>
      <c r="K5620" s="267">
        <v>6606</v>
      </c>
      <c r="L5620" s="267">
        <v>72700</v>
      </c>
      <c r="M5620" s="267" t="s">
        <v>3935</v>
      </c>
      <c r="N5620" s="267" t="s">
        <v>3944</v>
      </c>
      <c r="O5620" s="267">
        <v>1603.81</v>
      </c>
      <c r="P5620" s="267" t="s">
        <v>3944</v>
      </c>
      <c r="Q5620" s="267" t="s">
        <v>3944</v>
      </c>
      <c r="R5620" s="267">
        <v>1603.81</v>
      </c>
      <c r="S5620" s="267">
        <v>24573.09</v>
      </c>
      <c r="T5620" s="267">
        <v>26176.9</v>
      </c>
      <c r="U5620" s="268" t="s">
        <v>3945</v>
      </c>
      <c r="V5620" s="267" t="s">
        <v>944</v>
      </c>
    </row>
    <row r="5621" spans="1:22" hidden="1" x14ac:dyDescent="0.25">
      <c r="A5621" s="269">
        <v>43733</v>
      </c>
      <c r="B5621" s="270">
        <v>2019</v>
      </c>
      <c r="C5621" s="270">
        <v>2020</v>
      </c>
      <c r="D5621" s="270">
        <v>1</v>
      </c>
      <c r="E5621" s="270">
        <v>1</v>
      </c>
      <c r="F5621" s="270" t="s">
        <v>944</v>
      </c>
      <c r="G5621" s="270" t="s">
        <v>3926</v>
      </c>
      <c r="H5621" s="270" t="s">
        <v>10297</v>
      </c>
      <c r="I5621" s="270" t="s">
        <v>4947</v>
      </c>
      <c r="J5621" s="270" t="s">
        <v>3928</v>
      </c>
      <c r="K5621" s="270">
        <v>6787</v>
      </c>
      <c r="L5621" s="270">
        <v>349100</v>
      </c>
      <c r="M5621" s="270" t="s">
        <v>3935</v>
      </c>
      <c r="N5621" s="270" t="s">
        <v>3944</v>
      </c>
      <c r="O5621" s="270">
        <v>1804.78</v>
      </c>
      <c r="P5621" s="270" t="s">
        <v>3944</v>
      </c>
      <c r="Q5621" s="270" t="s">
        <v>3944</v>
      </c>
      <c r="R5621" s="270">
        <v>1804.78</v>
      </c>
      <c r="S5621" s="270">
        <v>24008.46</v>
      </c>
      <c r="T5621" s="270">
        <v>25813.24</v>
      </c>
      <c r="U5621" s="271" t="s">
        <v>3945</v>
      </c>
      <c r="V5621" s="267" t="s">
        <v>944</v>
      </c>
    </row>
    <row r="5622" spans="1:22" hidden="1" x14ac:dyDescent="0.25">
      <c r="A5622" s="266">
        <v>43733</v>
      </c>
      <c r="B5622" s="267">
        <v>2019</v>
      </c>
      <c r="C5622" s="267">
        <v>2020</v>
      </c>
      <c r="D5622" s="267">
        <v>1</v>
      </c>
      <c r="E5622" s="267">
        <v>1</v>
      </c>
      <c r="F5622" s="267" t="s">
        <v>944</v>
      </c>
      <c r="G5622" s="267" t="s">
        <v>3926</v>
      </c>
      <c r="H5622" s="267" t="s">
        <v>10298</v>
      </c>
      <c r="I5622" s="267" t="s">
        <v>4014</v>
      </c>
      <c r="J5622" s="267" t="s">
        <v>3928</v>
      </c>
      <c r="K5622" s="267">
        <v>6420</v>
      </c>
      <c r="L5622" s="267">
        <v>715100</v>
      </c>
      <c r="M5622" s="267" t="s">
        <v>3943</v>
      </c>
      <c r="N5622" s="267" t="s">
        <v>3944</v>
      </c>
      <c r="O5622" s="267">
        <v>2142.6</v>
      </c>
      <c r="P5622" s="267" t="s">
        <v>3944</v>
      </c>
      <c r="Q5622" s="267" t="s">
        <v>3944</v>
      </c>
      <c r="R5622" s="267">
        <v>2142.6</v>
      </c>
      <c r="S5622" s="267">
        <v>29289.11</v>
      </c>
      <c r="T5622" s="267">
        <v>31431.71</v>
      </c>
      <c r="U5622" s="268" t="s">
        <v>3945</v>
      </c>
      <c r="V5622" s="267" t="s">
        <v>944</v>
      </c>
    </row>
    <row r="5623" spans="1:22" hidden="1" x14ac:dyDescent="0.25">
      <c r="A5623" s="269">
        <v>43733</v>
      </c>
      <c r="B5623" s="270">
        <v>2019</v>
      </c>
      <c r="C5623" s="270">
        <v>2020</v>
      </c>
      <c r="D5623" s="270">
        <v>1</v>
      </c>
      <c r="E5623" s="270">
        <v>1</v>
      </c>
      <c r="F5623" s="270" t="s">
        <v>944</v>
      </c>
      <c r="G5623" s="270" t="s">
        <v>3926</v>
      </c>
      <c r="H5623" s="270" t="s">
        <v>10299</v>
      </c>
      <c r="I5623" s="270" t="s">
        <v>2985</v>
      </c>
      <c r="J5623" s="270" t="s">
        <v>3928</v>
      </c>
      <c r="K5623" s="270">
        <v>6825</v>
      </c>
      <c r="L5623" s="270">
        <v>60100</v>
      </c>
      <c r="M5623" s="270" t="s">
        <v>3943</v>
      </c>
      <c r="N5623" s="270" t="s">
        <v>3944</v>
      </c>
      <c r="O5623" s="270">
        <v>2097.41</v>
      </c>
      <c r="P5623" s="270" t="s">
        <v>3944</v>
      </c>
      <c r="Q5623" s="270" t="s">
        <v>3944</v>
      </c>
      <c r="R5623" s="270">
        <v>2097.41</v>
      </c>
      <c r="S5623" s="270">
        <v>34177.15</v>
      </c>
      <c r="T5623" s="270">
        <v>36274.559999999998</v>
      </c>
      <c r="U5623" s="271" t="s">
        <v>3945</v>
      </c>
      <c r="V5623" s="267" t="s">
        <v>944</v>
      </c>
    </row>
    <row r="5624" spans="1:22" hidden="1" x14ac:dyDescent="0.25">
      <c r="A5624" s="266">
        <v>43733</v>
      </c>
      <c r="B5624" s="267">
        <v>2019</v>
      </c>
      <c r="C5624" s="267">
        <v>2020</v>
      </c>
      <c r="D5624" s="267">
        <v>1</v>
      </c>
      <c r="E5624" s="267">
        <v>1</v>
      </c>
      <c r="F5624" s="267" t="s">
        <v>944</v>
      </c>
      <c r="G5624" s="267" t="s">
        <v>3926</v>
      </c>
      <c r="H5624" s="267" t="s">
        <v>10300</v>
      </c>
      <c r="I5624" s="267" t="s">
        <v>3011</v>
      </c>
      <c r="J5624" s="267" t="s">
        <v>3928</v>
      </c>
      <c r="K5624" s="267">
        <v>6418</v>
      </c>
      <c r="L5624" s="267">
        <v>120200</v>
      </c>
      <c r="M5624" s="267">
        <v>-60</v>
      </c>
      <c r="N5624" s="267" t="s">
        <v>3944</v>
      </c>
      <c r="O5624" s="267">
        <v>1860.15</v>
      </c>
      <c r="P5624" s="267" t="s">
        <v>3944</v>
      </c>
      <c r="Q5624" s="267" t="s">
        <v>3944</v>
      </c>
      <c r="R5624" s="267">
        <v>1860.15</v>
      </c>
      <c r="S5624" s="267">
        <v>26550.94</v>
      </c>
      <c r="T5624" s="267">
        <v>28411.09</v>
      </c>
      <c r="U5624" s="268" t="s">
        <v>3945</v>
      </c>
      <c r="V5624" s="267" t="s">
        <v>944</v>
      </c>
    </row>
    <row r="5625" spans="1:22" hidden="1" x14ac:dyDescent="0.25">
      <c r="A5625" s="269">
        <v>43733</v>
      </c>
      <c r="B5625" s="270">
        <v>2019</v>
      </c>
      <c r="C5625" s="270">
        <v>2020</v>
      </c>
      <c r="D5625" s="270">
        <v>1</v>
      </c>
      <c r="E5625" s="270">
        <v>1</v>
      </c>
      <c r="F5625" s="270" t="s">
        <v>944</v>
      </c>
      <c r="G5625" s="270" t="s">
        <v>3926</v>
      </c>
      <c r="H5625" s="270" t="s">
        <v>10301</v>
      </c>
      <c r="I5625" s="270" t="s">
        <v>4269</v>
      </c>
      <c r="J5625" s="270" t="s">
        <v>3928</v>
      </c>
      <c r="K5625" s="270">
        <v>6107</v>
      </c>
      <c r="L5625" s="270">
        <v>497600</v>
      </c>
      <c r="M5625" s="270" t="s">
        <v>3943</v>
      </c>
      <c r="N5625" s="270" t="s">
        <v>3944</v>
      </c>
      <c r="O5625" s="270">
        <v>1020.39</v>
      </c>
      <c r="P5625" s="270" t="s">
        <v>3944</v>
      </c>
      <c r="Q5625" s="270" t="s">
        <v>3944</v>
      </c>
      <c r="R5625" s="270">
        <v>1020.39</v>
      </c>
      <c r="S5625" s="270">
        <v>13514.34</v>
      </c>
      <c r="T5625" s="270">
        <v>14534.73</v>
      </c>
      <c r="U5625" s="271" t="s">
        <v>3945</v>
      </c>
      <c r="V5625" s="267" t="s">
        <v>944</v>
      </c>
    </row>
    <row r="5626" spans="1:22" hidden="1" x14ac:dyDescent="0.25">
      <c r="A5626" s="266">
        <v>43733</v>
      </c>
      <c r="B5626" s="267">
        <v>2019</v>
      </c>
      <c r="C5626" s="267">
        <v>2020</v>
      </c>
      <c r="D5626" s="267">
        <v>1</v>
      </c>
      <c r="E5626" s="267">
        <v>1</v>
      </c>
      <c r="F5626" s="267" t="s">
        <v>944</v>
      </c>
      <c r="G5626" s="267" t="s">
        <v>3926</v>
      </c>
      <c r="H5626" s="267" t="s">
        <v>10302</v>
      </c>
      <c r="I5626" s="267" t="s">
        <v>3939</v>
      </c>
      <c r="J5626" s="267" t="s">
        <v>3928</v>
      </c>
      <c r="K5626" s="267">
        <v>6513</v>
      </c>
      <c r="L5626" s="267">
        <v>180500</v>
      </c>
      <c r="M5626" s="267" t="s">
        <v>3935</v>
      </c>
      <c r="N5626" s="267" t="s">
        <v>3944</v>
      </c>
      <c r="O5626" s="267">
        <v>2049.08</v>
      </c>
      <c r="P5626" s="267" t="s">
        <v>3944</v>
      </c>
      <c r="Q5626" s="267" t="s">
        <v>3944</v>
      </c>
      <c r="R5626" s="267">
        <v>2049.08</v>
      </c>
      <c r="S5626" s="267">
        <v>31117.86</v>
      </c>
      <c r="T5626" s="267">
        <v>33166.94</v>
      </c>
      <c r="U5626" s="268" t="s">
        <v>3945</v>
      </c>
      <c r="V5626" s="267" t="s">
        <v>944</v>
      </c>
    </row>
    <row r="5627" spans="1:22" hidden="1" x14ac:dyDescent="0.25">
      <c r="A5627" s="269">
        <v>43733</v>
      </c>
      <c r="B5627" s="270">
        <v>2019</v>
      </c>
      <c r="C5627" s="270">
        <v>2020</v>
      </c>
      <c r="D5627" s="270">
        <v>1</v>
      </c>
      <c r="E5627" s="270">
        <v>1</v>
      </c>
      <c r="F5627" s="270" t="s">
        <v>944</v>
      </c>
      <c r="G5627" s="270" t="s">
        <v>3926</v>
      </c>
      <c r="H5627" s="270" t="s">
        <v>10303</v>
      </c>
      <c r="I5627" s="270" t="s">
        <v>4147</v>
      </c>
      <c r="J5627" s="270" t="s">
        <v>3928</v>
      </c>
      <c r="K5627" s="270">
        <v>6109</v>
      </c>
      <c r="L5627" s="270">
        <v>492400</v>
      </c>
      <c r="M5627" s="270" t="s">
        <v>3935</v>
      </c>
      <c r="N5627" s="270" t="s">
        <v>3944</v>
      </c>
      <c r="O5627" s="270">
        <v>1802.08</v>
      </c>
      <c r="P5627" s="270" t="s">
        <v>3944</v>
      </c>
      <c r="Q5627" s="270" t="s">
        <v>3944</v>
      </c>
      <c r="R5627" s="270">
        <v>1802.08</v>
      </c>
      <c r="S5627" s="270">
        <v>27395.9</v>
      </c>
      <c r="T5627" s="270">
        <v>29197.98</v>
      </c>
      <c r="U5627" s="271" t="s">
        <v>3945</v>
      </c>
      <c r="V5627" s="267" t="s">
        <v>944</v>
      </c>
    </row>
    <row r="5628" spans="1:22" hidden="1" x14ac:dyDescent="0.25">
      <c r="A5628" s="266">
        <v>43733</v>
      </c>
      <c r="B5628" s="267">
        <v>2019</v>
      </c>
      <c r="C5628" s="267">
        <v>2020</v>
      </c>
      <c r="D5628" s="267">
        <v>1</v>
      </c>
      <c r="E5628" s="267">
        <v>1</v>
      </c>
      <c r="F5628" s="267" t="s">
        <v>944</v>
      </c>
      <c r="G5628" s="267" t="s">
        <v>3926</v>
      </c>
      <c r="H5628" s="267" t="s">
        <v>10304</v>
      </c>
      <c r="I5628" s="267" t="s">
        <v>943</v>
      </c>
      <c r="J5628" s="267" t="s">
        <v>3928</v>
      </c>
      <c r="K5628" s="267">
        <v>6512</v>
      </c>
      <c r="L5628" s="267">
        <v>142800</v>
      </c>
      <c r="M5628" s="267" t="s">
        <v>3940</v>
      </c>
      <c r="N5628" s="267" t="s">
        <v>3944</v>
      </c>
      <c r="O5628" s="267">
        <v>1738.17</v>
      </c>
      <c r="P5628" s="267" t="s">
        <v>3944</v>
      </c>
      <c r="Q5628" s="267" t="s">
        <v>3944</v>
      </c>
      <c r="R5628" s="267">
        <v>1738.17</v>
      </c>
      <c r="S5628" s="267">
        <v>28388.43</v>
      </c>
      <c r="T5628" s="267">
        <v>30126.6</v>
      </c>
      <c r="U5628" s="268" t="s">
        <v>3945</v>
      </c>
      <c r="V5628" s="267" t="s">
        <v>944</v>
      </c>
    </row>
    <row r="5629" spans="1:22" hidden="1" x14ac:dyDescent="0.25">
      <c r="A5629" s="269">
        <v>43733</v>
      </c>
      <c r="B5629" s="270">
        <v>2019</v>
      </c>
      <c r="C5629" s="270">
        <v>2020</v>
      </c>
      <c r="D5629" s="270">
        <v>1</v>
      </c>
      <c r="E5629" s="270">
        <v>1</v>
      </c>
      <c r="F5629" s="270" t="s">
        <v>944</v>
      </c>
      <c r="G5629" s="270" t="s">
        <v>3926</v>
      </c>
      <c r="H5629" s="270" t="s">
        <v>10305</v>
      </c>
      <c r="I5629" s="270" t="s">
        <v>5032</v>
      </c>
      <c r="J5629" s="270" t="s">
        <v>3928</v>
      </c>
      <c r="K5629" s="270">
        <v>6062</v>
      </c>
      <c r="L5629" s="270">
        <v>420700</v>
      </c>
      <c r="M5629" s="270" t="s">
        <v>3935</v>
      </c>
      <c r="N5629" s="270" t="s">
        <v>3944</v>
      </c>
      <c r="O5629" s="270">
        <v>901.78</v>
      </c>
      <c r="P5629" s="270" t="s">
        <v>3944</v>
      </c>
      <c r="Q5629" s="270" t="s">
        <v>3944</v>
      </c>
      <c r="R5629" s="270">
        <v>901.78</v>
      </c>
      <c r="S5629" s="270">
        <v>12463.91</v>
      </c>
      <c r="T5629" s="270">
        <v>13365.69</v>
      </c>
      <c r="U5629" s="271" t="s">
        <v>3945</v>
      </c>
      <c r="V5629" s="267" t="s">
        <v>944</v>
      </c>
    </row>
    <row r="5630" spans="1:22" hidden="1" x14ac:dyDescent="0.25">
      <c r="A5630" s="266">
        <v>43733</v>
      </c>
      <c r="B5630" s="267">
        <v>2019</v>
      </c>
      <c r="C5630" s="267">
        <v>2020</v>
      </c>
      <c r="D5630" s="267">
        <v>1</v>
      </c>
      <c r="E5630" s="267">
        <v>1</v>
      </c>
      <c r="F5630" s="267" t="s">
        <v>944</v>
      </c>
      <c r="G5630" s="267" t="s">
        <v>3926</v>
      </c>
      <c r="H5630" s="267" t="s">
        <v>10306</v>
      </c>
      <c r="I5630" s="267" t="s">
        <v>956</v>
      </c>
      <c r="J5630" s="267" t="s">
        <v>3928</v>
      </c>
      <c r="K5630" s="267">
        <v>6614</v>
      </c>
      <c r="L5630" s="267">
        <v>80100</v>
      </c>
      <c r="M5630" s="267" t="s">
        <v>3935</v>
      </c>
      <c r="N5630" s="267" t="s">
        <v>3944</v>
      </c>
      <c r="O5630" s="267">
        <v>1571.22</v>
      </c>
      <c r="P5630" s="267" t="s">
        <v>3944</v>
      </c>
      <c r="Q5630" s="267" t="s">
        <v>3944</v>
      </c>
      <c r="R5630" s="267">
        <v>1571.22</v>
      </c>
      <c r="S5630" s="267">
        <v>23624.36</v>
      </c>
      <c r="T5630" s="267">
        <v>25195.58</v>
      </c>
      <c r="U5630" s="268" t="s">
        <v>3945</v>
      </c>
      <c r="V5630" s="267" t="s">
        <v>944</v>
      </c>
    </row>
    <row r="5631" spans="1:22" hidden="1" x14ac:dyDescent="0.25">
      <c r="A5631" s="269">
        <v>43733</v>
      </c>
      <c r="B5631" s="270">
        <v>2019</v>
      </c>
      <c r="C5631" s="270">
        <v>2020</v>
      </c>
      <c r="D5631" s="270">
        <v>1</v>
      </c>
      <c r="E5631" s="270">
        <v>1</v>
      </c>
      <c r="F5631" s="270" t="s">
        <v>944</v>
      </c>
      <c r="G5631" s="270" t="s">
        <v>3926</v>
      </c>
      <c r="H5631" s="270" t="s">
        <v>10307</v>
      </c>
      <c r="I5631" s="270" t="s">
        <v>3996</v>
      </c>
      <c r="J5631" s="270" t="s">
        <v>3928</v>
      </c>
      <c r="K5631" s="270">
        <v>6790</v>
      </c>
      <c r="L5631" s="270">
        <v>310700</v>
      </c>
      <c r="M5631" s="270" t="s">
        <v>3940</v>
      </c>
      <c r="N5631" s="270" t="s">
        <v>3944</v>
      </c>
      <c r="O5631" s="270">
        <v>1967.98</v>
      </c>
      <c r="P5631" s="270" t="s">
        <v>3944</v>
      </c>
      <c r="Q5631" s="270" t="s">
        <v>3944</v>
      </c>
      <c r="R5631" s="270">
        <v>1967.98</v>
      </c>
      <c r="S5631" s="270">
        <v>24884.29</v>
      </c>
      <c r="T5631" s="270">
        <v>26852.27</v>
      </c>
      <c r="U5631" s="271" t="s">
        <v>3945</v>
      </c>
      <c r="V5631" s="267" t="s">
        <v>944</v>
      </c>
    </row>
    <row r="5632" spans="1:22" hidden="1" x14ac:dyDescent="0.25">
      <c r="A5632" s="266">
        <v>43733</v>
      </c>
      <c r="B5632" s="267">
        <v>2019</v>
      </c>
      <c r="C5632" s="267">
        <v>2020</v>
      </c>
      <c r="D5632" s="267">
        <v>1</v>
      </c>
      <c r="E5632" s="267">
        <v>1</v>
      </c>
      <c r="F5632" s="267" t="s">
        <v>944</v>
      </c>
      <c r="G5632" s="267" t="s">
        <v>3926</v>
      </c>
      <c r="H5632" s="267" t="s">
        <v>10308</v>
      </c>
      <c r="I5632" s="267" t="s">
        <v>4014</v>
      </c>
      <c r="J5632" s="267" t="s">
        <v>3928</v>
      </c>
      <c r="K5632" s="267">
        <v>6415</v>
      </c>
      <c r="L5632" s="267">
        <v>715100</v>
      </c>
      <c r="M5632" s="267" t="s">
        <v>3943</v>
      </c>
      <c r="N5632" s="267" t="s">
        <v>3944</v>
      </c>
      <c r="O5632" s="267">
        <v>1595.3</v>
      </c>
      <c r="P5632" s="267" t="s">
        <v>3944</v>
      </c>
      <c r="Q5632" s="267" t="s">
        <v>3944</v>
      </c>
      <c r="R5632" s="267">
        <v>1595.3</v>
      </c>
      <c r="S5632" s="267">
        <v>25228.42</v>
      </c>
      <c r="T5632" s="267">
        <v>26823.72</v>
      </c>
      <c r="U5632" s="268" t="s">
        <v>3945</v>
      </c>
      <c r="V5632" s="267" t="s">
        <v>944</v>
      </c>
    </row>
    <row r="5633" spans="1:22" hidden="1" x14ac:dyDescent="0.25">
      <c r="A5633" s="269">
        <v>43733</v>
      </c>
      <c r="B5633" s="270">
        <v>2019</v>
      </c>
      <c r="C5633" s="270">
        <v>2020</v>
      </c>
      <c r="D5633" s="270">
        <v>1</v>
      </c>
      <c r="E5633" s="270">
        <v>1</v>
      </c>
      <c r="F5633" s="270" t="s">
        <v>944</v>
      </c>
      <c r="G5633" s="270" t="s">
        <v>3926</v>
      </c>
      <c r="H5633" s="270" t="s">
        <v>10309</v>
      </c>
      <c r="I5633" s="270" t="s">
        <v>950</v>
      </c>
      <c r="J5633" s="270" t="s">
        <v>3928</v>
      </c>
      <c r="K5633" s="270">
        <v>6516</v>
      </c>
      <c r="L5633" s="270">
        <v>154800</v>
      </c>
      <c r="M5633" s="270" t="s">
        <v>3960</v>
      </c>
      <c r="N5633" s="270" t="s">
        <v>3944</v>
      </c>
      <c r="O5633" s="270">
        <v>1487.85</v>
      </c>
      <c r="P5633" s="270" t="s">
        <v>3944</v>
      </c>
      <c r="Q5633" s="270" t="s">
        <v>3944</v>
      </c>
      <c r="R5633" s="270">
        <v>1487.85</v>
      </c>
      <c r="S5633" s="270">
        <v>23113.01</v>
      </c>
      <c r="T5633" s="270">
        <v>24600.86</v>
      </c>
      <c r="U5633" s="271" t="s">
        <v>3945</v>
      </c>
      <c r="V5633" s="267" t="s">
        <v>944</v>
      </c>
    </row>
    <row r="5634" spans="1:22" hidden="1" x14ac:dyDescent="0.25">
      <c r="A5634" s="266">
        <v>43733</v>
      </c>
      <c r="B5634" s="267">
        <v>2019</v>
      </c>
      <c r="C5634" s="267">
        <v>2020</v>
      </c>
      <c r="D5634" s="267">
        <v>1</v>
      </c>
      <c r="E5634" s="267">
        <v>1</v>
      </c>
      <c r="F5634" s="267" t="s">
        <v>944</v>
      </c>
      <c r="G5634" s="267" t="s">
        <v>3926</v>
      </c>
      <c r="H5634" s="267" t="s">
        <v>10310</v>
      </c>
      <c r="I5634" s="267" t="s">
        <v>4172</v>
      </c>
      <c r="J5634" s="267" t="s">
        <v>3928</v>
      </c>
      <c r="K5634" s="267">
        <v>6786</v>
      </c>
      <c r="L5634" s="267">
        <v>425300</v>
      </c>
      <c r="M5634" s="267" t="s">
        <v>3960</v>
      </c>
      <c r="N5634" s="267" t="s">
        <v>3944</v>
      </c>
      <c r="O5634" s="267">
        <v>1981.88</v>
      </c>
      <c r="P5634" s="267" t="s">
        <v>3944</v>
      </c>
      <c r="Q5634" s="267" t="s">
        <v>3944</v>
      </c>
      <c r="R5634" s="267">
        <v>1981.88</v>
      </c>
      <c r="S5634" s="267">
        <v>37532.019999999997</v>
      </c>
      <c r="T5634" s="267">
        <v>39513.9</v>
      </c>
      <c r="U5634" s="268" t="s">
        <v>3945</v>
      </c>
      <c r="V5634" s="267" t="s">
        <v>944</v>
      </c>
    </row>
    <row r="5635" spans="1:22" hidden="1" x14ac:dyDescent="0.25">
      <c r="A5635" s="269">
        <v>43734</v>
      </c>
      <c r="B5635" s="270">
        <v>2019</v>
      </c>
      <c r="C5635" s="270">
        <v>2020</v>
      </c>
      <c r="D5635" s="270">
        <v>1</v>
      </c>
      <c r="E5635" s="270">
        <v>1</v>
      </c>
      <c r="F5635" s="270" t="s">
        <v>944</v>
      </c>
      <c r="G5635" s="270" t="s">
        <v>3926</v>
      </c>
      <c r="H5635" s="270" t="s">
        <v>10311</v>
      </c>
      <c r="I5635" s="270" t="s">
        <v>3008</v>
      </c>
      <c r="J5635" s="270" t="s">
        <v>3928</v>
      </c>
      <c r="K5635" s="270">
        <v>6461</v>
      </c>
      <c r="L5635" s="270">
        <v>150600</v>
      </c>
      <c r="M5635" s="270" t="s">
        <v>3960</v>
      </c>
      <c r="N5635" s="270" t="s">
        <v>10312</v>
      </c>
      <c r="O5635" s="270">
        <v>0</v>
      </c>
      <c r="P5635" s="270" t="s">
        <v>3930</v>
      </c>
      <c r="Q5635" s="270" t="s">
        <v>3930</v>
      </c>
      <c r="R5635" s="270">
        <v>0</v>
      </c>
      <c r="S5635" s="270">
        <v>11560</v>
      </c>
      <c r="T5635" s="270">
        <v>11560</v>
      </c>
      <c r="U5635" s="271" t="s">
        <v>3937</v>
      </c>
      <c r="V5635" s="267" t="s">
        <v>944</v>
      </c>
    </row>
    <row r="5636" spans="1:22" hidden="1" x14ac:dyDescent="0.25">
      <c r="A5636" s="266">
        <v>43734</v>
      </c>
      <c r="B5636" s="267">
        <v>2019</v>
      </c>
      <c r="C5636" s="267">
        <v>2020</v>
      </c>
      <c r="D5636" s="267">
        <v>1</v>
      </c>
      <c r="E5636" s="267">
        <v>1</v>
      </c>
      <c r="F5636" s="267" t="s">
        <v>944</v>
      </c>
      <c r="G5636" s="267" t="s">
        <v>3926</v>
      </c>
      <c r="H5636" s="267" t="s">
        <v>10313</v>
      </c>
      <c r="I5636" s="267" t="s">
        <v>4079</v>
      </c>
      <c r="J5636" s="267" t="s">
        <v>3928</v>
      </c>
      <c r="K5636" s="267">
        <v>6111</v>
      </c>
      <c r="L5636" s="267">
        <v>494100</v>
      </c>
      <c r="M5636" s="267" t="s">
        <v>3935</v>
      </c>
      <c r="N5636" s="267" t="s">
        <v>10314</v>
      </c>
      <c r="O5636" s="267">
        <v>0</v>
      </c>
      <c r="P5636" s="267" t="s">
        <v>3930</v>
      </c>
      <c r="Q5636" s="267" t="s">
        <v>3930</v>
      </c>
      <c r="R5636" s="267">
        <v>0</v>
      </c>
      <c r="S5636" s="267">
        <v>14750</v>
      </c>
      <c r="T5636" s="267">
        <v>14750</v>
      </c>
      <c r="U5636" s="268" t="s">
        <v>3937</v>
      </c>
      <c r="V5636" s="267" t="s">
        <v>944</v>
      </c>
    </row>
    <row r="5637" spans="1:22" hidden="1" x14ac:dyDescent="0.25">
      <c r="A5637" s="269">
        <v>43734</v>
      </c>
      <c r="B5637" s="270">
        <v>2019</v>
      </c>
      <c r="C5637" s="270">
        <v>2020</v>
      </c>
      <c r="D5637" s="270">
        <v>1</v>
      </c>
      <c r="E5637" s="270">
        <v>1</v>
      </c>
      <c r="F5637" s="270" t="s">
        <v>944</v>
      </c>
      <c r="G5637" s="270" t="s">
        <v>3926</v>
      </c>
      <c r="H5637" s="270" t="s">
        <v>10315</v>
      </c>
      <c r="I5637" s="270" t="s">
        <v>934</v>
      </c>
      <c r="J5637" s="270" t="s">
        <v>3928</v>
      </c>
      <c r="K5637" s="270">
        <v>6606</v>
      </c>
      <c r="L5637" s="270">
        <v>72900</v>
      </c>
      <c r="M5637" s="270" t="s">
        <v>3940</v>
      </c>
      <c r="N5637" s="270" t="s">
        <v>4523</v>
      </c>
      <c r="O5637" s="270">
        <v>4002.15</v>
      </c>
      <c r="P5637" s="270" t="s">
        <v>3930</v>
      </c>
      <c r="Q5637" s="270" t="s">
        <v>3931</v>
      </c>
      <c r="R5637" s="270">
        <v>9002.15</v>
      </c>
      <c r="S5637" s="270">
        <v>25412.799999999999</v>
      </c>
      <c r="T5637" s="270">
        <v>34414.949999999997</v>
      </c>
      <c r="U5637" s="271" t="s">
        <v>3932</v>
      </c>
      <c r="V5637" s="267" t="s">
        <v>944</v>
      </c>
    </row>
    <row r="5638" spans="1:22" hidden="1" x14ac:dyDescent="0.25">
      <c r="A5638" s="266">
        <v>43734</v>
      </c>
      <c r="B5638" s="267">
        <v>2019</v>
      </c>
      <c r="C5638" s="267">
        <v>2020</v>
      </c>
      <c r="D5638" s="267">
        <v>1</v>
      </c>
      <c r="E5638" s="267">
        <v>1</v>
      </c>
      <c r="F5638" s="267" t="s">
        <v>944</v>
      </c>
      <c r="G5638" s="267" t="s">
        <v>3926</v>
      </c>
      <c r="H5638" s="267" t="s">
        <v>10316</v>
      </c>
      <c r="I5638" s="267" t="s">
        <v>7934</v>
      </c>
      <c r="J5638" s="267" t="s">
        <v>3928</v>
      </c>
      <c r="K5638" s="267">
        <v>6098</v>
      </c>
      <c r="L5638" s="267">
        <v>320100</v>
      </c>
      <c r="M5638" s="267" t="s">
        <v>3940</v>
      </c>
      <c r="N5638" s="267" t="s">
        <v>10317</v>
      </c>
      <c r="O5638" s="267">
        <v>0</v>
      </c>
      <c r="P5638" s="267" t="s">
        <v>3930</v>
      </c>
      <c r="Q5638" s="267" t="s">
        <v>3930</v>
      </c>
      <c r="R5638" s="267">
        <v>0</v>
      </c>
      <c r="S5638" s="267">
        <v>7668</v>
      </c>
      <c r="T5638" s="267">
        <v>7668</v>
      </c>
      <c r="U5638" s="268" t="s">
        <v>3937</v>
      </c>
      <c r="V5638" s="267" t="s">
        <v>944</v>
      </c>
    </row>
    <row r="5639" spans="1:22" hidden="1" x14ac:dyDescent="0.25">
      <c r="A5639" s="269">
        <v>43734</v>
      </c>
      <c r="B5639" s="270">
        <v>2019</v>
      </c>
      <c r="C5639" s="270">
        <v>2020</v>
      </c>
      <c r="D5639" s="270">
        <v>1</v>
      </c>
      <c r="E5639" s="270">
        <v>1</v>
      </c>
      <c r="F5639" s="270" t="s">
        <v>944</v>
      </c>
      <c r="G5639" s="270" t="s">
        <v>3926</v>
      </c>
      <c r="H5639" s="270" t="s">
        <v>10318</v>
      </c>
      <c r="I5639" s="270" t="s">
        <v>4947</v>
      </c>
      <c r="J5639" s="270" t="s">
        <v>3928</v>
      </c>
      <c r="K5639" s="270">
        <v>6787</v>
      </c>
      <c r="L5639" s="270">
        <v>349100</v>
      </c>
      <c r="M5639" s="270" t="s">
        <v>3935</v>
      </c>
      <c r="N5639" s="270" t="s">
        <v>4103</v>
      </c>
      <c r="O5639" s="270">
        <v>4830.12</v>
      </c>
      <c r="P5639" s="270" t="s">
        <v>3930</v>
      </c>
      <c r="Q5639" s="270" t="s">
        <v>3931</v>
      </c>
      <c r="R5639" s="270">
        <v>9830.1200000000008</v>
      </c>
      <c r="S5639" s="270">
        <v>24145.599999999999</v>
      </c>
      <c r="T5639" s="270">
        <v>33975.72</v>
      </c>
      <c r="U5639" s="271" t="s">
        <v>3932</v>
      </c>
      <c r="V5639" s="267" t="s">
        <v>944</v>
      </c>
    </row>
    <row r="5640" spans="1:22" hidden="1" x14ac:dyDescent="0.25">
      <c r="A5640" s="266">
        <v>43734</v>
      </c>
      <c r="B5640" s="267">
        <v>2019</v>
      </c>
      <c r="C5640" s="267">
        <v>2020</v>
      </c>
      <c r="D5640" s="267">
        <v>1</v>
      </c>
      <c r="E5640" s="267">
        <v>1</v>
      </c>
      <c r="F5640" s="267" t="s">
        <v>944</v>
      </c>
      <c r="G5640" s="267" t="s">
        <v>3926</v>
      </c>
      <c r="H5640" s="267" t="s">
        <v>10319</v>
      </c>
      <c r="I5640" s="267" t="s">
        <v>4087</v>
      </c>
      <c r="J5640" s="267" t="s">
        <v>3928</v>
      </c>
      <c r="K5640" s="267">
        <v>6340</v>
      </c>
      <c r="L5640" s="267">
        <v>702600</v>
      </c>
      <c r="M5640" s="267" t="s">
        <v>3935</v>
      </c>
      <c r="N5640" s="267" t="s">
        <v>5092</v>
      </c>
      <c r="O5640" s="267">
        <v>0</v>
      </c>
      <c r="P5640" s="267" t="s">
        <v>3930</v>
      </c>
      <c r="Q5640" s="267" t="s">
        <v>3930</v>
      </c>
      <c r="R5640" s="267">
        <v>0</v>
      </c>
      <c r="S5640" s="267">
        <v>7600</v>
      </c>
      <c r="T5640" s="267">
        <v>7600</v>
      </c>
      <c r="U5640" s="268" t="s">
        <v>3937</v>
      </c>
      <c r="V5640" s="267" t="s">
        <v>944</v>
      </c>
    </row>
    <row r="5641" spans="1:22" hidden="1" x14ac:dyDescent="0.25">
      <c r="A5641" s="269">
        <v>43734</v>
      </c>
      <c r="B5641" s="270">
        <v>2019</v>
      </c>
      <c r="C5641" s="270">
        <v>2020</v>
      </c>
      <c r="D5641" s="270">
        <v>1</v>
      </c>
      <c r="E5641" s="270">
        <v>1</v>
      </c>
      <c r="F5641" s="270" t="s">
        <v>944</v>
      </c>
      <c r="G5641" s="270" t="s">
        <v>3926</v>
      </c>
      <c r="H5641" s="270" t="s">
        <v>10320</v>
      </c>
      <c r="I5641" s="270" t="s">
        <v>2985</v>
      </c>
      <c r="J5641" s="270" t="s">
        <v>3928</v>
      </c>
      <c r="K5641" s="270">
        <v>6824</v>
      </c>
      <c r="L5641" s="270">
        <v>60400</v>
      </c>
      <c r="M5641" s="270" t="s">
        <v>3943</v>
      </c>
      <c r="N5641" s="270" t="s">
        <v>3944</v>
      </c>
      <c r="O5641" s="270">
        <v>3644</v>
      </c>
      <c r="P5641" s="270" t="s">
        <v>3944</v>
      </c>
      <c r="Q5641" s="270" t="s">
        <v>3944</v>
      </c>
      <c r="R5641" s="270">
        <v>3644</v>
      </c>
      <c r="S5641" s="270">
        <v>26997.21</v>
      </c>
      <c r="T5641" s="270">
        <v>30641.21</v>
      </c>
      <c r="U5641" s="271" t="s">
        <v>3945</v>
      </c>
      <c r="V5641" s="267" t="s">
        <v>944</v>
      </c>
    </row>
    <row r="5642" spans="1:22" hidden="1" x14ac:dyDescent="0.25">
      <c r="A5642" s="266">
        <v>43734</v>
      </c>
      <c r="B5642" s="267">
        <v>2019</v>
      </c>
      <c r="C5642" s="267">
        <v>2020</v>
      </c>
      <c r="D5642" s="267">
        <v>1</v>
      </c>
      <c r="E5642" s="267">
        <v>1</v>
      </c>
      <c r="F5642" s="267" t="s">
        <v>944</v>
      </c>
      <c r="G5642" s="267" t="s">
        <v>3997</v>
      </c>
      <c r="H5642" s="267" t="s">
        <v>10321</v>
      </c>
      <c r="I5642" s="267" t="s">
        <v>3008</v>
      </c>
      <c r="J5642" s="267" t="s">
        <v>3928</v>
      </c>
      <c r="K5642" s="267">
        <v>6460</v>
      </c>
      <c r="L5642" s="267">
        <v>151200</v>
      </c>
      <c r="M5642" s="267" t="s">
        <v>3935</v>
      </c>
      <c r="N5642" s="267" t="s">
        <v>3944</v>
      </c>
      <c r="O5642" s="267">
        <v>3945.31</v>
      </c>
      <c r="P5642" s="267" t="s">
        <v>3944</v>
      </c>
      <c r="Q5642" s="267" t="s">
        <v>3944</v>
      </c>
      <c r="R5642" s="267">
        <v>3945.31</v>
      </c>
      <c r="S5642" s="267">
        <v>59549.09</v>
      </c>
      <c r="T5642" s="267">
        <v>63494.400000000001</v>
      </c>
      <c r="U5642" s="268" t="s">
        <v>3945</v>
      </c>
      <c r="V5642" s="267" t="s">
        <v>944</v>
      </c>
    </row>
    <row r="5643" spans="1:22" hidden="1" x14ac:dyDescent="0.25">
      <c r="A5643" s="269">
        <v>43734</v>
      </c>
      <c r="B5643" s="270">
        <v>2019</v>
      </c>
      <c r="C5643" s="270">
        <v>2020</v>
      </c>
      <c r="D5643" s="270">
        <v>1</v>
      </c>
      <c r="E5643" s="270">
        <v>1</v>
      </c>
      <c r="F5643" s="270" t="s">
        <v>944</v>
      </c>
      <c r="G5643" s="270" t="s">
        <v>3926</v>
      </c>
      <c r="H5643" s="270" t="s">
        <v>10322</v>
      </c>
      <c r="I5643" s="270" t="s">
        <v>956</v>
      </c>
      <c r="J5643" s="270" t="s">
        <v>3928</v>
      </c>
      <c r="K5643" s="270">
        <v>6615</v>
      </c>
      <c r="L5643" s="270">
        <v>80700</v>
      </c>
      <c r="M5643" s="270" t="s">
        <v>3935</v>
      </c>
      <c r="N5643" s="270" t="s">
        <v>3944</v>
      </c>
      <c r="O5643" s="270">
        <v>3279</v>
      </c>
      <c r="P5643" s="270" t="s">
        <v>3944</v>
      </c>
      <c r="Q5643" s="270" t="s">
        <v>3944</v>
      </c>
      <c r="R5643" s="270">
        <v>3279</v>
      </c>
      <c r="S5643" s="270">
        <v>23075</v>
      </c>
      <c r="T5643" s="270">
        <v>26354</v>
      </c>
      <c r="U5643" s="271" t="s">
        <v>3945</v>
      </c>
      <c r="V5643" s="267" t="s">
        <v>944</v>
      </c>
    </row>
    <row r="5644" spans="1:22" hidden="1" x14ac:dyDescent="0.25">
      <c r="A5644" s="266">
        <v>43734</v>
      </c>
      <c r="B5644" s="267">
        <v>2019</v>
      </c>
      <c r="C5644" s="267">
        <v>2020</v>
      </c>
      <c r="D5644" s="267">
        <v>1</v>
      </c>
      <c r="E5644" s="267">
        <v>1</v>
      </c>
      <c r="F5644" s="267" t="s">
        <v>944</v>
      </c>
      <c r="G5644" s="267" t="s">
        <v>3926</v>
      </c>
      <c r="H5644" s="267" t="s">
        <v>10323</v>
      </c>
      <c r="I5644" s="267" t="s">
        <v>4073</v>
      </c>
      <c r="J5644" s="267" t="s">
        <v>3928</v>
      </c>
      <c r="K5644" s="267">
        <v>6776</v>
      </c>
      <c r="L5644" s="267">
        <v>253500</v>
      </c>
      <c r="M5644" s="267" t="s">
        <v>3943</v>
      </c>
      <c r="N5644" s="267" t="s">
        <v>3944</v>
      </c>
      <c r="O5644" s="267">
        <v>6132</v>
      </c>
      <c r="P5644" s="267" t="s">
        <v>3944</v>
      </c>
      <c r="Q5644" s="267" t="s">
        <v>3944</v>
      </c>
      <c r="R5644" s="267">
        <v>6132</v>
      </c>
      <c r="S5644" s="267">
        <v>44883.199999999997</v>
      </c>
      <c r="T5644" s="267">
        <v>51015.199999999997</v>
      </c>
      <c r="U5644" s="268" t="s">
        <v>3945</v>
      </c>
      <c r="V5644" s="267" t="s">
        <v>944</v>
      </c>
    </row>
    <row r="5645" spans="1:22" hidden="1" x14ac:dyDescent="0.25">
      <c r="A5645" s="269">
        <v>43734</v>
      </c>
      <c r="B5645" s="270">
        <v>2019</v>
      </c>
      <c r="C5645" s="270">
        <v>2020</v>
      </c>
      <c r="D5645" s="270">
        <v>1</v>
      </c>
      <c r="E5645" s="270">
        <v>1</v>
      </c>
      <c r="F5645" s="270" t="s">
        <v>944</v>
      </c>
      <c r="G5645" s="270" t="s">
        <v>3926</v>
      </c>
      <c r="H5645" s="270" t="s">
        <v>10324</v>
      </c>
      <c r="I5645" s="270" t="s">
        <v>2985</v>
      </c>
      <c r="J5645" s="270" t="s">
        <v>3928</v>
      </c>
      <c r="K5645" s="270">
        <v>6825</v>
      </c>
      <c r="L5645" s="270">
        <v>60100</v>
      </c>
      <c r="M5645" s="270" t="s">
        <v>3943</v>
      </c>
      <c r="N5645" s="270" t="s">
        <v>3944</v>
      </c>
      <c r="O5645" s="270">
        <v>3762</v>
      </c>
      <c r="P5645" s="270" t="s">
        <v>3944</v>
      </c>
      <c r="Q5645" s="270" t="s">
        <v>3944</v>
      </c>
      <c r="R5645" s="270">
        <v>3762</v>
      </c>
      <c r="S5645" s="270">
        <v>58284</v>
      </c>
      <c r="T5645" s="270">
        <v>62046</v>
      </c>
      <c r="U5645" s="271" t="s">
        <v>3945</v>
      </c>
      <c r="V5645" s="267" t="s">
        <v>944</v>
      </c>
    </row>
    <row r="5646" spans="1:22" hidden="1" x14ac:dyDescent="0.25">
      <c r="A5646" s="266">
        <v>43734</v>
      </c>
      <c r="B5646" s="267">
        <v>2019</v>
      </c>
      <c r="C5646" s="267">
        <v>2020</v>
      </c>
      <c r="D5646" s="267">
        <v>1</v>
      </c>
      <c r="E5646" s="267">
        <v>1</v>
      </c>
      <c r="F5646" s="267" t="s">
        <v>944</v>
      </c>
      <c r="G5646" s="267" t="s">
        <v>3997</v>
      </c>
      <c r="H5646" s="267" t="s">
        <v>10325</v>
      </c>
      <c r="I5646" s="267" t="s">
        <v>4029</v>
      </c>
      <c r="J5646" s="267" t="s">
        <v>3928</v>
      </c>
      <c r="K5646" s="267">
        <v>6850</v>
      </c>
      <c r="L5646" s="267">
        <v>43800</v>
      </c>
      <c r="M5646" s="267" t="s">
        <v>3935</v>
      </c>
      <c r="N5646" s="267" t="s">
        <v>3944</v>
      </c>
      <c r="O5646" s="267">
        <v>1181.74</v>
      </c>
      <c r="P5646" s="267" t="s">
        <v>3944</v>
      </c>
      <c r="Q5646" s="267" t="s">
        <v>3944</v>
      </c>
      <c r="R5646" s="267">
        <v>1181.74</v>
      </c>
      <c r="S5646" s="267">
        <v>17866.580000000002</v>
      </c>
      <c r="T5646" s="267">
        <v>19048.32</v>
      </c>
      <c r="U5646" s="268" t="s">
        <v>3945</v>
      </c>
      <c r="V5646" s="267" t="s">
        <v>944</v>
      </c>
    </row>
    <row r="5647" spans="1:22" hidden="1" x14ac:dyDescent="0.25">
      <c r="A5647" s="269">
        <v>43734</v>
      </c>
      <c r="B5647" s="270">
        <v>2019</v>
      </c>
      <c r="C5647" s="270">
        <v>2020</v>
      </c>
      <c r="D5647" s="270">
        <v>1</v>
      </c>
      <c r="E5647" s="270">
        <v>1</v>
      </c>
      <c r="F5647" s="270" t="s">
        <v>944</v>
      </c>
      <c r="G5647" s="270" t="s">
        <v>3926</v>
      </c>
      <c r="H5647" s="270" t="s">
        <v>10326</v>
      </c>
      <c r="I5647" s="270" t="s">
        <v>3947</v>
      </c>
      <c r="J5647" s="270" t="s">
        <v>3928</v>
      </c>
      <c r="K5647" s="270">
        <v>6035</v>
      </c>
      <c r="L5647" s="270">
        <v>468102</v>
      </c>
      <c r="M5647" s="270" t="s">
        <v>3943</v>
      </c>
      <c r="N5647" s="270" t="s">
        <v>3944</v>
      </c>
      <c r="O5647" s="270">
        <v>3449.43</v>
      </c>
      <c r="P5647" s="270" t="s">
        <v>3944</v>
      </c>
      <c r="Q5647" s="270" t="s">
        <v>3944</v>
      </c>
      <c r="R5647" s="270">
        <v>3449.43</v>
      </c>
      <c r="S5647" s="270">
        <v>47121.18</v>
      </c>
      <c r="T5647" s="270">
        <v>50570.61</v>
      </c>
      <c r="U5647" s="271" t="s">
        <v>3945</v>
      </c>
      <c r="V5647" s="267" t="s">
        <v>944</v>
      </c>
    </row>
    <row r="5648" spans="1:22" hidden="1" x14ac:dyDescent="0.25">
      <c r="A5648" s="266">
        <v>43734</v>
      </c>
      <c r="B5648" s="267">
        <v>2019</v>
      </c>
      <c r="C5648" s="267">
        <v>2020</v>
      </c>
      <c r="D5648" s="267">
        <v>1</v>
      </c>
      <c r="E5648" s="267">
        <v>1</v>
      </c>
      <c r="F5648" s="267" t="s">
        <v>944</v>
      </c>
      <c r="G5648" s="267" t="s">
        <v>3926</v>
      </c>
      <c r="H5648" s="267" t="s">
        <v>10327</v>
      </c>
      <c r="I5648" s="267" t="s">
        <v>943</v>
      </c>
      <c r="J5648" s="267" t="s">
        <v>3928</v>
      </c>
      <c r="K5648" s="267">
        <v>6515</v>
      </c>
      <c r="L5648" s="267">
        <v>141200</v>
      </c>
      <c r="M5648" s="267">
        <v>-60</v>
      </c>
      <c r="N5648" s="267" t="s">
        <v>3944</v>
      </c>
      <c r="O5648" s="267">
        <v>649.57000000000005</v>
      </c>
      <c r="P5648" s="267" t="s">
        <v>3944</v>
      </c>
      <c r="Q5648" s="267" t="s">
        <v>3944</v>
      </c>
      <c r="R5648" s="267">
        <v>649.57000000000005</v>
      </c>
      <c r="S5648" s="267">
        <v>12260.46</v>
      </c>
      <c r="T5648" s="267">
        <v>12910.03</v>
      </c>
      <c r="U5648" s="268" t="s">
        <v>3945</v>
      </c>
      <c r="V5648" s="267" t="s">
        <v>944</v>
      </c>
    </row>
    <row r="5649" spans="1:22" hidden="1" x14ac:dyDescent="0.25">
      <c r="A5649" s="269">
        <v>43734</v>
      </c>
      <c r="B5649" s="270">
        <v>2019</v>
      </c>
      <c r="C5649" s="270">
        <v>2020</v>
      </c>
      <c r="D5649" s="270">
        <v>1</v>
      </c>
      <c r="E5649" s="270">
        <v>1</v>
      </c>
      <c r="F5649" s="270" t="s">
        <v>944</v>
      </c>
      <c r="G5649" s="270" t="s">
        <v>3926</v>
      </c>
      <c r="H5649" s="270" t="s">
        <v>10328</v>
      </c>
      <c r="I5649" s="270" t="s">
        <v>4087</v>
      </c>
      <c r="J5649" s="270" t="s">
        <v>3928</v>
      </c>
      <c r="K5649" s="270">
        <v>6340</v>
      </c>
      <c r="L5649" s="270">
        <v>702800</v>
      </c>
      <c r="M5649" s="270" t="s">
        <v>3935</v>
      </c>
      <c r="N5649" s="270" t="s">
        <v>3944</v>
      </c>
      <c r="O5649" s="270">
        <v>1479.77</v>
      </c>
      <c r="P5649" s="270" t="s">
        <v>3944</v>
      </c>
      <c r="Q5649" s="270" t="s">
        <v>3944</v>
      </c>
      <c r="R5649" s="270">
        <v>1479.77</v>
      </c>
      <c r="S5649" s="270">
        <v>22865.56</v>
      </c>
      <c r="T5649" s="270">
        <v>24345.33</v>
      </c>
      <c r="U5649" s="271" t="s">
        <v>3945</v>
      </c>
      <c r="V5649" s="267" t="s">
        <v>944</v>
      </c>
    </row>
    <row r="5650" spans="1:22" hidden="1" x14ac:dyDescent="0.25">
      <c r="A5650" s="266">
        <v>43734</v>
      </c>
      <c r="B5650" s="267">
        <v>2019</v>
      </c>
      <c r="C5650" s="267">
        <v>2020</v>
      </c>
      <c r="D5650" s="267">
        <v>1</v>
      </c>
      <c r="E5650" s="267">
        <v>1</v>
      </c>
      <c r="F5650" s="267" t="s">
        <v>944</v>
      </c>
      <c r="G5650" s="267" t="s">
        <v>3926</v>
      </c>
      <c r="H5650" s="267" t="s">
        <v>10329</v>
      </c>
      <c r="I5650" s="267" t="s">
        <v>3008</v>
      </c>
      <c r="J5650" s="267" t="s">
        <v>3928</v>
      </c>
      <c r="K5650" s="267">
        <v>6460</v>
      </c>
      <c r="L5650" s="267">
        <v>151100</v>
      </c>
      <c r="M5650" s="267" t="s">
        <v>3960</v>
      </c>
      <c r="N5650" s="267" t="s">
        <v>3944</v>
      </c>
      <c r="O5650" s="267">
        <v>1481.62</v>
      </c>
      <c r="P5650" s="267" t="s">
        <v>3944</v>
      </c>
      <c r="Q5650" s="267" t="s">
        <v>3944</v>
      </c>
      <c r="R5650" s="267">
        <v>1481.62</v>
      </c>
      <c r="S5650" s="267">
        <v>23916.14</v>
      </c>
      <c r="T5650" s="267">
        <v>25397.759999999998</v>
      </c>
      <c r="U5650" s="268" t="s">
        <v>3945</v>
      </c>
      <c r="V5650" s="267" t="s">
        <v>944</v>
      </c>
    </row>
    <row r="5651" spans="1:22" hidden="1" x14ac:dyDescent="0.25">
      <c r="A5651" s="269">
        <v>43734</v>
      </c>
      <c r="B5651" s="270">
        <v>2019</v>
      </c>
      <c r="C5651" s="270">
        <v>2020</v>
      </c>
      <c r="D5651" s="270">
        <v>1</v>
      </c>
      <c r="E5651" s="270">
        <v>1</v>
      </c>
      <c r="F5651" s="270" t="s">
        <v>944</v>
      </c>
      <c r="G5651" s="270" t="s">
        <v>3926</v>
      </c>
      <c r="H5651" s="270" t="s">
        <v>10330</v>
      </c>
      <c r="I5651" s="270" t="s">
        <v>4019</v>
      </c>
      <c r="J5651" s="270" t="s">
        <v>3928</v>
      </c>
      <c r="K5651" s="270">
        <v>6705</v>
      </c>
      <c r="L5651" s="270">
        <v>352702</v>
      </c>
      <c r="M5651" s="270" t="s">
        <v>3940</v>
      </c>
      <c r="N5651" s="270" t="s">
        <v>3944</v>
      </c>
      <c r="O5651" s="270">
        <v>2061.92</v>
      </c>
      <c r="P5651" s="270" t="s">
        <v>3944</v>
      </c>
      <c r="Q5651" s="270" t="s">
        <v>3944</v>
      </c>
      <c r="R5651" s="270">
        <v>2061.92</v>
      </c>
      <c r="S5651" s="270">
        <v>28904.66</v>
      </c>
      <c r="T5651" s="270">
        <v>30966.58</v>
      </c>
      <c r="U5651" s="271" t="s">
        <v>3945</v>
      </c>
      <c r="V5651" s="267" t="s">
        <v>944</v>
      </c>
    </row>
    <row r="5652" spans="1:22" hidden="1" x14ac:dyDescent="0.25">
      <c r="A5652" s="266">
        <v>43734</v>
      </c>
      <c r="B5652" s="267">
        <v>2019</v>
      </c>
      <c r="C5652" s="267">
        <v>2020</v>
      </c>
      <c r="D5652" s="267">
        <v>1</v>
      </c>
      <c r="E5652" s="267">
        <v>1</v>
      </c>
      <c r="F5652" s="267" t="s">
        <v>944</v>
      </c>
      <c r="G5652" s="267" t="s">
        <v>3926</v>
      </c>
      <c r="H5652" s="267" t="s">
        <v>10331</v>
      </c>
      <c r="I5652" s="267" t="s">
        <v>4683</v>
      </c>
      <c r="J5652" s="267" t="s">
        <v>3928</v>
      </c>
      <c r="K5652" s="267">
        <v>6762</v>
      </c>
      <c r="L5652" s="267">
        <v>344100</v>
      </c>
      <c r="M5652" s="267" t="s">
        <v>3943</v>
      </c>
      <c r="N5652" s="267" t="s">
        <v>3944</v>
      </c>
      <c r="O5652" s="267">
        <v>1591.14</v>
      </c>
      <c r="P5652" s="267" t="s">
        <v>3944</v>
      </c>
      <c r="Q5652" s="267" t="s">
        <v>3944</v>
      </c>
      <c r="R5652" s="267">
        <v>1591.14</v>
      </c>
      <c r="S5652" s="267">
        <v>23087.47</v>
      </c>
      <c r="T5652" s="267">
        <v>24678.61</v>
      </c>
      <c r="U5652" s="268" t="s">
        <v>3945</v>
      </c>
      <c r="V5652" s="267" t="s">
        <v>944</v>
      </c>
    </row>
    <row r="5653" spans="1:22" hidden="1" x14ac:dyDescent="0.25">
      <c r="A5653" s="269">
        <v>43734</v>
      </c>
      <c r="B5653" s="270">
        <v>2019</v>
      </c>
      <c r="C5653" s="270">
        <v>2020</v>
      </c>
      <c r="D5653" s="270">
        <v>1</v>
      </c>
      <c r="E5653" s="270">
        <v>1</v>
      </c>
      <c r="F5653" s="270" t="s">
        <v>944</v>
      </c>
      <c r="G5653" s="270" t="s">
        <v>3926</v>
      </c>
      <c r="H5653" s="270" t="s">
        <v>10332</v>
      </c>
      <c r="I5653" s="270" t="s">
        <v>4424</v>
      </c>
      <c r="J5653" s="270" t="s">
        <v>3928</v>
      </c>
      <c r="K5653" s="270">
        <v>6417</v>
      </c>
      <c r="L5653" s="270">
        <v>620100</v>
      </c>
      <c r="M5653" s="270" t="s">
        <v>3935</v>
      </c>
      <c r="N5653" s="270" t="s">
        <v>3944</v>
      </c>
      <c r="O5653" s="270">
        <v>3346.35</v>
      </c>
      <c r="P5653" s="270" t="s">
        <v>3944</v>
      </c>
      <c r="Q5653" s="270" t="s">
        <v>3944</v>
      </c>
      <c r="R5653" s="270">
        <v>3346.35</v>
      </c>
      <c r="S5653" s="270">
        <v>47009.72</v>
      </c>
      <c r="T5653" s="270">
        <v>50356.07</v>
      </c>
      <c r="U5653" s="271" t="s">
        <v>3945</v>
      </c>
      <c r="V5653" s="267" t="s">
        <v>944</v>
      </c>
    </row>
    <row r="5654" spans="1:22" hidden="1" x14ac:dyDescent="0.25">
      <c r="A5654" s="266">
        <v>43734</v>
      </c>
      <c r="B5654" s="267">
        <v>2019</v>
      </c>
      <c r="C5654" s="267">
        <v>2020</v>
      </c>
      <c r="D5654" s="267">
        <v>1</v>
      </c>
      <c r="E5654" s="267">
        <v>1</v>
      </c>
      <c r="F5654" s="267" t="s">
        <v>944</v>
      </c>
      <c r="G5654" s="267" t="s">
        <v>3926</v>
      </c>
      <c r="H5654" s="267" t="s">
        <v>10333</v>
      </c>
      <c r="I5654" s="267" t="s">
        <v>4172</v>
      </c>
      <c r="J5654" s="267" t="s">
        <v>3928</v>
      </c>
      <c r="K5654" s="267">
        <v>6786</v>
      </c>
      <c r="L5654" s="267">
        <v>425300</v>
      </c>
      <c r="M5654" s="267" t="s">
        <v>3960</v>
      </c>
      <c r="N5654" s="267" t="s">
        <v>3944</v>
      </c>
      <c r="O5654" s="267">
        <v>2742.18</v>
      </c>
      <c r="P5654" s="267" t="s">
        <v>3944</v>
      </c>
      <c r="Q5654" s="267" t="s">
        <v>3944</v>
      </c>
      <c r="R5654" s="267">
        <v>2742.18</v>
      </c>
      <c r="S5654" s="267">
        <v>37718.18</v>
      </c>
      <c r="T5654" s="267">
        <v>40460.36</v>
      </c>
      <c r="U5654" s="268" t="s">
        <v>3945</v>
      </c>
      <c r="V5654" s="267" t="s">
        <v>944</v>
      </c>
    </row>
    <row r="5655" spans="1:22" hidden="1" x14ac:dyDescent="0.25">
      <c r="A5655" s="269">
        <v>43734</v>
      </c>
      <c r="B5655" s="270">
        <v>2019</v>
      </c>
      <c r="C5655" s="270">
        <v>2020</v>
      </c>
      <c r="D5655" s="270">
        <v>1</v>
      </c>
      <c r="E5655" s="270">
        <v>1</v>
      </c>
      <c r="F5655" s="270" t="s">
        <v>944</v>
      </c>
      <c r="G5655" s="270" t="s">
        <v>3926</v>
      </c>
      <c r="H5655" s="270" t="s">
        <v>10334</v>
      </c>
      <c r="I5655" s="270" t="s">
        <v>3999</v>
      </c>
      <c r="J5655" s="270" t="s">
        <v>3928</v>
      </c>
      <c r="K5655" s="270">
        <v>6450</v>
      </c>
      <c r="L5655" s="270">
        <v>171200</v>
      </c>
      <c r="M5655" s="270" t="s">
        <v>3960</v>
      </c>
      <c r="N5655" s="270" t="s">
        <v>3944</v>
      </c>
      <c r="O5655" s="270">
        <v>2183.06</v>
      </c>
      <c r="P5655" s="270" t="s">
        <v>3944</v>
      </c>
      <c r="Q5655" s="270" t="s">
        <v>3944</v>
      </c>
      <c r="R5655" s="270">
        <v>2183.06</v>
      </c>
      <c r="S5655" s="270">
        <v>32464.53</v>
      </c>
      <c r="T5655" s="270">
        <v>34647.589999999997</v>
      </c>
      <c r="U5655" s="271" t="s">
        <v>3945</v>
      </c>
      <c r="V5655" s="267" t="s">
        <v>944</v>
      </c>
    </row>
    <row r="5656" spans="1:22" hidden="1" x14ac:dyDescent="0.25">
      <c r="A5656" s="266">
        <v>43734</v>
      </c>
      <c r="B5656" s="267">
        <v>2019</v>
      </c>
      <c r="C5656" s="267">
        <v>2020</v>
      </c>
      <c r="D5656" s="267">
        <v>1</v>
      </c>
      <c r="E5656" s="267">
        <v>1</v>
      </c>
      <c r="F5656" s="267" t="s">
        <v>944</v>
      </c>
      <c r="G5656" s="267" t="s">
        <v>3926</v>
      </c>
      <c r="H5656" s="267" t="s">
        <v>10335</v>
      </c>
      <c r="I5656" s="267" t="s">
        <v>3008</v>
      </c>
      <c r="J5656" s="267" t="s">
        <v>3928</v>
      </c>
      <c r="K5656" s="267">
        <v>6460</v>
      </c>
      <c r="L5656" s="267">
        <v>150500</v>
      </c>
      <c r="M5656" s="267" t="s">
        <v>3960</v>
      </c>
      <c r="N5656" s="267" t="s">
        <v>3944</v>
      </c>
      <c r="O5656" s="267">
        <v>1934.8</v>
      </c>
      <c r="P5656" s="267" t="s">
        <v>3944</v>
      </c>
      <c r="Q5656" s="267" t="s">
        <v>3944</v>
      </c>
      <c r="R5656" s="267">
        <v>1934.8</v>
      </c>
      <c r="S5656" s="267">
        <v>34729.06</v>
      </c>
      <c r="T5656" s="267">
        <v>36663.86</v>
      </c>
      <c r="U5656" s="268" t="s">
        <v>3945</v>
      </c>
      <c r="V5656" s="267" t="s">
        <v>944</v>
      </c>
    </row>
    <row r="5657" spans="1:22" hidden="1" x14ac:dyDescent="0.25">
      <c r="A5657" s="269">
        <v>43734</v>
      </c>
      <c r="B5657" s="270">
        <v>2019</v>
      </c>
      <c r="C5657" s="270">
        <v>2020</v>
      </c>
      <c r="D5657" s="270">
        <v>1</v>
      </c>
      <c r="E5657" s="270">
        <v>1</v>
      </c>
      <c r="F5657" s="270" t="s">
        <v>944</v>
      </c>
      <c r="G5657" s="270" t="s">
        <v>3926</v>
      </c>
      <c r="H5657" s="270" t="s">
        <v>10336</v>
      </c>
      <c r="I5657" s="270" t="s">
        <v>3947</v>
      </c>
      <c r="J5657" s="270" t="s">
        <v>3928</v>
      </c>
      <c r="K5657" s="270">
        <v>6035</v>
      </c>
      <c r="L5657" s="270">
        <v>468101</v>
      </c>
      <c r="M5657" s="270" t="s">
        <v>3943</v>
      </c>
      <c r="N5657" s="270" t="s">
        <v>3944</v>
      </c>
      <c r="O5657" s="270">
        <v>2049.08</v>
      </c>
      <c r="P5657" s="270" t="s">
        <v>3944</v>
      </c>
      <c r="Q5657" s="270" t="s">
        <v>3944</v>
      </c>
      <c r="R5657" s="270">
        <v>2049.08</v>
      </c>
      <c r="S5657" s="270">
        <v>32689.51</v>
      </c>
      <c r="T5657" s="270">
        <v>34738.589999999997</v>
      </c>
      <c r="U5657" s="271" t="s">
        <v>3945</v>
      </c>
      <c r="V5657" s="267" t="s">
        <v>944</v>
      </c>
    </row>
    <row r="5658" spans="1:22" x14ac:dyDescent="0.25">
      <c r="A5658" s="266">
        <v>43734</v>
      </c>
      <c r="B5658" s="267">
        <v>2019</v>
      </c>
      <c r="C5658" s="267">
        <v>2020</v>
      </c>
      <c r="D5658" s="267">
        <v>1</v>
      </c>
      <c r="E5658" s="267">
        <v>1</v>
      </c>
      <c r="F5658" s="267" t="s">
        <v>944</v>
      </c>
      <c r="G5658" s="267" t="s">
        <v>3926</v>
      </c>
      <c r="H5658" s="267" t="s">
        <v>10337</v>
      </c>
      <c r="I5658" s="267" t="s">
        <v>943</v>
      </c>
      <c r="J5658" s="267" t="s">
        <v>3928</v>
      </c>
      <c r="K5658" s="267">
        <v>6513</v>
      </c>
      <c r="L5658" s="267">
        <v>142300</v>
      </c>
      <c r="M5658" s="267">
        <v>-60</v>
      </c>
      <c r="N5658" s="267" t="s">
        <v>3944</v>
      </c>
      <c r="O5658" s="267">
        <v>959.42</v>
      </c>
      <c r="P5658" s="267" t="s">
        <v>3944</v>
      </c>
      <c r="Q5658" s="267" t="s">
        <v>3944</v>
      </c>
      <c r="R5658" s="267">
        <v>959.42</v>
      </c>
      <c r="S5658" s="267">
        <v>13549.26</v>
      </c>
      <c r="T5658" s="267">
        <v>14508.68</v>
      </c>
      <c r="U5658" s="268" t="s">
        <v>3945</v>
      </c>
      <c r="V5658" s="276" t="s">
        <v>936</v>
      </c>
    </row>
    <row r="5659" spans="1:22" hidden="1" x14ac:dyDescent="0.25">
      <c r="A5659" s="269">
        <v>43734</v>
      </c>
      <c r="B5659" s="270">
        <v>2019</v>
      </c>
      <c r="C5659" s="270">
        <v>2020</v>
      </c>
      <c r="D5659" s="270">
        <v>1</v>
      </c>
      <c r="E5659" s="270">
        <v>1</v>
      </c>
      <c r="F5659" s="270" t="s">
        <v>944</v>
      </c>
      <c r="G5659" s="270" t="s">
        <v>3926</v>
      </c>
      <c r="H5659" s="270" t="s">
        <v>10338</v>
      </c>
      <c r="I5659" s="270" t="s">
        <v>3954</v>
      </c>
      <c r="J5659" s="270" t="s">
        <v>3928</v>
      </c>
      <c r="K5659" s="270">
        <v>6357</v>
      </c>
      <c r="L5659" s="270">
        <v>870703</v>
      </c>
      <c r="M5659" s="270" t="s">
        <v>3935</v>
      </c>
      <c r="N5659" s="270" t="s">
        <v>3944</v>
      </c>
      <c r="O5659" s="270">
        <v>649.99</v>
      </c>
      <c r="P5659" s="270" t="s">
        <v>3944</v>
      </c>
      <c r="Q5659" s="270" t="s">
        <v>3944</v>
      </c>
      <c r="R5659" s="270">
        <v>649.99</v>
      </c>
      <c r="S5659" s="270">
        <v>9659.27</v>
      </c>
      <c r="T5659" s="270">
        <v>10309.26</v>
      </c>
      <c r="U5659" s="271" t="s">
        <v>3945</v>
      </c>
      <c r="V5659" s="267" t="s">
        <v>944</v>
      </c>
    </row>
    <row r="5660" spans="1:22" hidden="1" x14ac:dyDescent="0.25">
      <c r="A5660" s="266">
        <v>43734</v>
      </c>
      <c r="B5660" s="267">
        <v>2019</v>
      </c>
      <c r="C5660" s="267">
        <v>2020</v>
      </c>
      <c r="D5660" s="267">
        <v>1</v>
      </c>
      <c r="E5660" s="267">
        <v>1</v>
      </c>
      <c r="F5660" s="267" t="s">
        <v>944</v>
      </c>
      <c r="G5660" s="267" t="s">
        <v>3926</v>
      </c>
      <c r="H5660" s="267" t="s">
        <v>10339</v>
      </c>
      <c r="I5660" s="267" t="s">
        <v>4269</v>
      </c>
      <c r="J5660" s="267" t="s">
        <v>3928</v>
      </c>
      <c r="K5660" s="267">
        <v>6119</v>
      </c>
      <c r="L5660" s="267">
        <v>496700</v>
      </c>
      <c r="M5660" s="267" t="s">
        <v>3940</v>
      </c>
      <c r="N5660" s="267" t="s">
        <v>3944</v>
      </c>
      <c r="O5660" s="267">
        <v>872.94</v>
      </c>
      <c r="P5660" s="267" t="s">
        <v>3944</v>
      </c>
      <c r="Q5660" s="267" t="s">
        <v>3944</v>
      </c>
      <c r="R5660" s="267">
        <v>872.94</v>
      </c>
      <c r="S5660" s="267">
        <v>12010.28</v>
      </c>
      <c r="T5660" s="267">
        <v>12883.22</v>
      </c>
      <c r="U5660" s="268" t="s">
        <v>3945</v>
      </c>
      <c r="V5660" s="267" t="s">
        <v>944</v>
      </c>
    </row>
    <row r="5661" spans="1:22" hidden="1" x14ac:dyDescent="0.25">
      <c r="A5661" s="269">
        <v>43734</v>
      </c>
      <c r="B5661" s="270">
        <v>2019</v>
      </c>
      <c r="C5661" s="270">
        <v>2020</v>
      </c>
      <c r="D5661" s="270">
        <v>1</v>
      </c>
      <c r="E5661" s="270">
        <v>1</v>
      </c>
      <c r="F5661" s="270" t="s">
        <v>944</v>
      </c>
      <c r="G5661" s="270" t="s">
        <v>3926</v>
      </c>
      <c r="H5661" s="270" t="s">
        <v>10340</v>
      </c>
      <c r="I5661" s="270" t="s">
        <v>3966</v>
      </c>
      <c r="J5661" s="270" t="s">
        <v>3928</v>
      </c>
      <c r="K5661" s="270">
        <v>6010</v>
      </c>
      <c r="L5661" s="270">
        <v>405900</v>
      </c>
      <c r="M5661" s="270" t="s">
        <v>3960</v>
      </c>
      <c r="N5661" s="270" t="s">
        <v>3944</v>
      </c>
      <c r="O5661" s="270">
        <v>1299.3399999999999</v>
      </c>
      <c r="P5661" s="270" t="s">
        <v>3944</v>
      </c>
      <c r="Q5661" s="270" t="s">
        <v>3944</v>
      </c>
      <c r="R5661" s="270">
        <v>1299.3399999999999</v>
      </c>
      <c r="S5661" s="270">
        <v>17893.259999999998</v>
      </c>
      <c r="T5661" s="270">
        <v>19192.599999999999</v>
      </c>
      <c r="U5661" s="271" t="s">
        <v>3945</v>
      </c>
      <c r="V5661" s="267" t="s">
        <v>944</v>
      </c>
    </row>
    <row r="5662" spans="1:22" hidden="1" x14ac:dyDescent="0.25">
      <c r="A5662" s="266">
        <v>43734</v>
      </c>
      <c r="B5662" s="267">
        <v>2019</v>
      </c>
      <c r="C5662" s="267">
        <v>2020</v>
      </c>
      <c r="D5662" s="267">
        <v>1</v>
      </c>
      <c r="E5662" s="267">
        <v>1</v>
      </c>
      <c r="F5662" s="267" t="s">
        <v>944</v>
      </c>
      <c r="G5662" s="267" t="s">
        <v>3926</v>
      </c>
      <c r="H5662" s="267" t="s">
        <v>10341</v>
      </c>
      <c r="I5662" s="267" t="s">
        <v>3962</v>
      </c>
      <c r="J5662" s="267" t="s">
        <v>3928</v>
      </c>
      <c r="K5662" s="267">
        <v>6355</v>
      </c>
      <c r="L5662" s="267">
        <v>703000</v>
      </c>
      <c r="M5662" s="267" t="s">
        <v>3960</v>
      </c>
      <c r="N5662" s="267" t="s">
        <v>3944</v>
      </c>
      <c r="O5662" s="267">
        <v>1868.02</v>
      </c>
      <c r="P5662" s="267" t="s">
        <v>3944</v>
      </c>
      <c r="Q5662" s="267" t="s">
        <v>3944</v>
      </c>
      <c r="R5662" s="267">
        <v>1868.02</v>
      </c>
      <c r="S5662" s="267">
        <v>27163.45</v>
      </c>
      <c r="T5662" s="267">
        <v>29031.47</v>
      </c>
      <c r="U5662" s="268" t="s">
        <v>3945</v>
      </c>
      <c r="V5662" s="267" t="s">
        <v>944</v>
      </c>
    </row>
    <row r="5663" spans="1:22" hidden="1" x14ac:dyDescent="0.25">
      <c r="A5663" s="269">
        <v>43734</v>
      </c>
      <c r="B5663" s="270">
        <v>2019</v>
      </c>
      <c r="C5663" s="270">
        <v>2020</v>
      </c>
      <c r="D5663" s="270">
        <v>1</v>
      </c>
      <c r="E5663" s="270">
        <v>1</v>
      </c>
      <c r="F5663" s="270" t="s">
        <v>944</v>
      </c>
      <c r="G5663" s="270" t="s">
        <v>3926</v>
      </c>
      <c r="H5663" s="270" t="s">
        <v>10342</v>
      </c>
      <c r="I5663" s="270" t="s">
        <v>3009</v>
      </c>
      <c r="J5663" s="270" t="s">
        <v>3928</v>
      </c>
      <c r="K5663" s="270">
        <v>6484</v>
      </c>
      <c r="L5663" s="270">
        <v>110201</v>
      </c>
      <c r="M5663" s="270" t="s">
        <v>3960</v>
      </c>
      <c r="N5663" s="270" t="s">
        <v>3944</v>
      </c>
      <c r="O5663" s="270">
        <v>720.9</v>
      </c>
      <c r="P5663" s="270" t="s">
        <v>3944</v>
      </c>
      <c r="Q5663" s="270" t="s">
        <v>3944</v>
      </c>
      <c r="R5663" s="270">
        <v>720.9</v>
      </c>
      <c r="S5663" s="270">
        <v>13050.79</v>
      </c>
      <c r="T5663" s="270">
        <v>13771.69</v>
      </c>
      <c r="U5663" s="271" t="s">
        <v>3945</v>
      </c>
      <c r="V5663" s="267" t="s">
        <v>944</v>
      </c>
    </row>
    <row r="5664" spans="1:22" hidden="1" x14ac:dyDescent="0.25">
      <c r="A5664" s="266">
        <v>43734</v>
      </c>
      <c r="B5664" s="267">
        <v>2019</v>
      </c>
      <c r="C5664" s="267">
        <v>2020</v>
      </c>
      <c r="D5664" s="267">
        <v>1</v>
      </c>
      <c r="E5664" s="267">
        <v>1</v>
      </c>
      <c r="F5664" s="267" t="s">
        <v>944</v>
      </c>
      <c r="G5664" s="267" t="s">
        <v>3926</v>
      </c>
      <c r="H5664" s="267" t="s">
        <v>10343</v>
      </c>
      <c r="I5664" s="267" t="s">
        <v>6426</v>
      </c>
      <c r="J5664" s="267" t="s">
        <v>3928</v>
      </c>
      <c r="K5664" s="267">
        <v>6422</v>
      </c>
      <c r="L5664" s="267">
        <v>585100</v>
      </c>
      <c r="M5664" s="267" t="s">
        <v>3943</v>
      </c>
      <c r="N5664" s="267" t="s">
        <v>3944</v>
      </c>
      <c r="O5664" s="267">
        <v>1197.49</v>
      </c>
      <c r="P5664" s="267" t="s">
        <v>3944</v>
      </c>
      <c r="Q5664" s="267" t="s">
        <v>3944</v>
      </c>
      <c r="R5664" s="267">
        <v>1197.49</v>
      </c>
      <c r="S5664" s="267">
        <v>17850.830000000002</v>
      </c>
      <c r="T5664" s="267">
        <v>19048.32</v>
      </c>
      <c r="U5664" s="268" t="s">
        <v>3945</v>
      </c>
      <c r="V5664" s="267" t="s">
        <v>944</v>
      </c>
    </row>
    <row r="5665" spans="1:22" hidden="1" x14ac:dyDescent="0.25">
      <c r="A5665" s="269">
        <v>43734</v>
      </c>
      <c r="B5665" s="270">
        <v>2019</v>
      </c>
      <c r="C5665" s="270">
        <v>2020</v>
      </c>
      <c r="D5665" s="270">
        <v>1</v>
      </c>
      <c r="E5665" s="270">
        <v>1</v>
      </c>
      <c r="F5665" s="270" t="s">
        <v>944</v>
      </c>
      <c r="G5665" s="270" t="s">
        <v>3926</v>
      </c>
      <c r="H5665" s="270" t="s">
        <v>10344</v>
      </c>
      <c r="I5665" s="270" t="s">
        <v>3996</v>
      </c>
      <c r="J5665" s="270" t="s">
        <v>3928</v>
      </c>
      <c r="K5665" s="270">
        <v>6790</v>
      </c>
      <c r="L5665" s="270">
        <v>310601</v>
      </c>
      <c r="M5665" s="270" t="s">
        <v>3960</v>
      </c>
      <c r="N5665" s="270" t="s">
        <v>3944</v>
      </c>
      <c r="O5665" s="270">
        <v>1478.75</v>
      </c>
      <c r="P5665" s="270" t="s">
        <v>3944</v>
      </c>
      <c r="Q5665" s="270" t="s">
        <v>3944</v>
      </c>
      <c r="R5665" s="270">
        <v>1478.75</v>
      </c>
      <c r="S5665" s="270">
        <v>19962.330000000002</v>
      </c>
      <c r="T5665" s="270">
        <v>21441.08</v>
      </c>
      <c r="U5665" s="271" t="s">
        <v>3945</v>
      </c>
      <c r="V5665" s="267" t="s">
        <v>944</v>
      </c>
    </row>
    <row r="5666" spans="1:22" hidden="1" x14ac:dyDescent="0.25">
      <c r="A5666" s="266">
        <v>43735</v>
      </c>
      <c r="B5666" s="267">
        <v>2019</v>
      </c>
      <c r="C5666" s="267">
        <v>2020</v>
      </c>
      <c r="D5666" s="267">
        <v>1</v>
      </c>
      <c r="E5666" s="267">
        <v>1</v>
      </c>
      <c r="F5666" s="267" t="s">
        <v>944</v>
      </c>
      <c r="G5666" s="267" t="s">
        <v>3926</v>
      </c>
      <c r="H5666" s="267" t="s">
        <v>10345</v>
      </c>
      <c r="I5666" s="267" t="s">
        <v>2985</v>
      </c>
      <c r="J5666" s="267" t="s">
        <v>3928</v>
      </c>
      <c r="K5666" s="267">
        <v>6825</v>
      </c>
      <c r="L5666" s="267">
        <v>61100</v>
      </c>
      <c r="M5666" s="267" t="s">
        <v>3943</v>
      </c>
      <c r="N5666" s="267" t="s">
        <v>10346</v>
      </c>
      <c r="O5666" s="267">
        <v>0</v>
      </c>
      <c r="P5666" s="267" t="s">
        <v>3930</v>
      </c>
      <c r="Q5666" s="267" t="s">
        <v>3930</v>
      </c>
      <c r="R5666" s="267">
        <v>0</v>
      </c>
      <c r="S5666" s="267">
        <v>11084</v>
      </c>
      <c r="T5666" s="267">
        <v>11084</v>
      </c>
      <c r="U5666" s="268" t="s">
        <v>3937</v>
      </c>
      <c r="V5666" s="267" t="s">
        <v>944</v>
      </c>
    </row>
    <row r="5667" spans="1:22" hidden="1" x14ac:dyDescent="0.25">
      <c r="A5667" s="269">
        <v>43735</v>
      </c>
      <c r="B5667" s="270">
        <v>2019</v>
      </c>
      <c r="C5667" s="270">
        <v>2020</v>
      </c>
      <c r="D5667" s="270">
        <v>1</v>
      </c>
      <c r="E5667" s="270">
        <v>1</v>
      </c>
      <c r="F5667" s="270" t="s">
        <v>944</v>
      </c>
      <c r="G5667" s="270" t="s">
        <v>3926</v>
      </c>
      <c r="H5667" s="270" t="s">
        <v>10347</v>
      </c>
      <c r="I5667" s="270" t="s">
        <v>4699</v>
      </c>
      <c r="J5667" s="270" t="s">
        <v>3928</v>
      </c>
      <c r="K5667" s="270">
        <v>6377</v>
      </c>
      <c r="L5667" s="270">
        <v>908100</v>
      </c>
      <c r="M5667" s="270" t="s">
        <v>3935</v>
      </c>
      <c r="N5667" s="270" t="s">
        <v>10348</v>
      </c>
      <c r="O5667" s="270">
        <v>5113</v>
      </c>
      <c r="P5667" s="270" t="s">
        <v>3930</v>
      </c>
      <c r="Q5667" s="270" t="s">
        <v>3930</v>
      </c>
      <c r="R5667" s="270">
        <v>5113</v>
      </c>
      <c r="S5667" s="270">
        <v>32514</v>
      </c>
      <c r="T5667" s="270">
        <v>37627</v>
      </c>
      <c r="U5667" s="271" t="s">
        <v>3937</v>
      </c>
      <c r="V5667" s="267" t="s">
        <v>944</v>
      </c>
    </row>
    <row r="5668" spans="1:22" hidden="1" x14ac:dyDescent="0.25">
      <c r="A5668" s="266">
        <v>43735</v>
      </c>
      <c r="B5668" s="267">
        <v>2019</v>
      </c>
      <c r="C5668" s="267">
        <v>2020</v>
      </c>
      <c r="D5668" s="267">
        <v>1</v>
      </c>
      <c r="E5668" s="267">
        <v>1</v>
      </c>
      <c r="F5668" s="267" t="s">
        <v>944</v>
      </c>
      <c r="G5668" s="267" t="s">
        <v>3926</v>
      </c>
      <c r="H5668" s="267" t="s">
        <v>10349</v>
      </c>
      <c r="I5668" s="267" t="s">
        <v>2985</v>
      </c>
      <c r="J5668" s="267" t="s">
        <v>3928</v>
      </c>
      <c r="K5668" s="267">
        <v>6825</v>
      </c>
      <c r="L5668" s="267">
        <v>61100</v>
      </c>
      <c r="M5668" s="267" t="s">
        <v>3943</v>
      </c>
      <c r="N5668" s="267" t="s">
        <v>10350</v>
      </c>
      <c r="O5668" s="267">
        <v>0</v>
      </c>
      <c r="P5668" s="267" t="s">
        <v>3930</v>
      </c>
      <c r="Q5668" s="267" t="s">
        <v>3930</v>
      </c>
      <c r="R5668" s="267">
        <v>0</v>
      </c>
      <c r="S5668" s="267">
        <v>7895</v>
      </c>
      <c r="T5668" s="267">
        <v>7895</v>
      </c>
      <c r="U5668" s="268" t="s">
        <v>3937</v>
      </c>
      <c r="V5668" s="267" t="s">
        <v>944</v>
      </c>
    </row>
    <row r="5669" spans="1:22" hidden="1" x14ac:dyDescent="0.25">
      <c r="A5669" s="269">
        <v>43735</v>
      </c>
      <c r="B5669" s="270">
        <v>2019</v>
      </c>
      <c r="C5669" s="270">
        <v>2020</v>
      </c>
      <c r="D5669" s="270">
        <v>1</v>
      </c>
      <c r="E5669" s="270">
        <v>1</v>
      </c>
      <c r="F5669" s="270" t="s">
        <v>944</v>
      </c>
      <c r="G5669" s="270" t="s">
        <v>3926</v>
      </c>
      <c r="H5669" s="270" t="s">
        <v>10351</v>
      </c>
      <c r="I5669" s="270" t="s">
        <v>3968</v>
      </c>
      <c r="J5669" s="270" t="s">
        <v>3928</v>
      </c>
      <c r="K5669" s="270">
        <v>6042</v>
      </c>
      <c r="L5669" s="270">
        <v>514300</v>
      </c>
      <c r="M5669" s="270" t="s">
        <v>3935</v>
      </c>
      <c r="N5669" s="270" t="s">
        <v>10352</v>
      </c>
      <c r="O5669" s="270">
        <v>0</v>
      </c>
      <c r="P5669" s="270" t="s">
        <v>3930</v>
      </c>
      <c r="Q5669" s="270" t="s">
        <v>3930</v>
      </c>
      <c r="R5669" s="270">
        <v>0</v>
      </c>
      <c r="S5669" s="270">
        <v>8290</v>
      </c>
      <c r="T5669" s="270">
        <v>8290</v>
      </c>
      <c r="U5669" s="271" t="s">
        <v>3937</v>
      </c>
      <c r="V5669" s="267" t="s">
        <v>944</v>
      </c>
    </row>
    <row r="5670" spans="1:22" hidden="1" x14ac:dyDescent="0.25">
      <c r="A5670" s="266">
        <v>43735</v>
      </c>
      <c r="B5670" s="267">
        <v>2019</v>
      </c>
      <c r="C5670" s="267">
        <v>2020</v>
      </c>
      <c r="D5670" s="267">
        <v>1</v>
      </c>
      <c r="E5670" s="267">
        <v>1</v>
      </c>
      <c r="F5670" s="267" t="s">
        <v>944</v>
      </c>
      <c r="G5670" s="267" t="s">
        <v>3997</v>
      </c>
      <c r="H5670" s="267" t="s">
        <v>10353</v>
      </c>
      <c r="I5670" s="267" t="s">
        <v>953</v>
      </c>
      <c r="J5670" s="267" t="s">
        <v>3928</v>
      </c>
      <c r="K5670" s="267">
        <v>6514</v>
      </c>
      <c r="L5670" s="267">
        <v>165600</v>
      </c>
      <c r="M5670" s="267" t="s">
        <v>3940</v>
      </c>
      <c r="N5670" s="267" t="s">
        <v>4053</v>
      </c>
      <c r="O5670" s="267">
        <v>2525.0700000000002</v>
      </c>
      <c r="P5670" s="267" t="s">
        <v>3930</v>
      </c>
      <c r="Q5670" s="267" t="s">
        <v>3931</v>
      </c>
      <c r="R5670" s="267">
        <v>7525.07</v>
      </c>
      <c r="S5670" s="267">
        <v>18603.2</v>
      </c>
      <c r="T5670" s="267">
        <v>26128.27</v>
      </c>
      <c r="U5670" s="268" t="s">
        <v>3932</v>
      </c>
      <c r="V5670" s="267" t="s">
        <v>944</v>
      </c>
    </row>
    <row r="5671" spans="1:22" hidden="1" x14ac:dyDescent="0.25">
      <c r="A5671" s="269">
        <v>43735</v>
      </c>
      <c r="B5671" s="270">
        <v>2019</v>
      </c>
      <c r="C5671" s="270">
        <v>2020</v>
      </c>
      <c r="D5671" s="270">
        <v>1</v>
      </c>
      <c r="E5671" s="270">
        <v>1</v>
      </c>
      <c r="F5671" s="270" t="s">
        <v>944</v>
      </c>
      <c r="G5671" s="270" t="s">
        <v>3926</v>
      </c>
      <c r="H5671" s="270" t="s">
        <v>10354</v>
      </c>
      <c r="I5671" s="270" t="s">
        <v>950</v>
      </c>
      <c r="J5671" s="270" t="s">
        <v>3928</v>
      </c>
      <c r="K5671" s="270">
        <v>6516</v>
      </c>
      <c r="L5671" s="270">
        <v>154700</v>
      </c>
      <c r="M5671" s="270" t="s">
        <v>3960</v>
      </c>
      <c r="N5671" s="270" t="s">
        <v>4701</v>
      </c>
      <c r="O5671" s="270">
        <v>2370.13</v>
      </c>
      <c r="P5671" s="270" t="s">
        <v>3930</v>
      </c>
      <c r="Q5671" s="270" t="s">
        <v>3931</v>
      </c>
      <c r="R5671" s="270">
        <v>7370.13</v>
      </c>
      <c r="S5671" s="270">
        <v>34648</v>
      </c>
      <c r="T5671" s="270">
        <v>42018.13</v>
      </c>
      <c r="U5671" s="271" t="s">
        <v>3932</v>
      </c>
      <c r="V5671" s="267" t="s">
        <v>944</v>
      </c>
    </row>
    <row r="5672" spans="1:22" hidden="1" x14ac:dyDescent="0.25">
      <c r="A5672" s="266">
        <v>43735</v>
      </c>
      <c r="B5672" s="267">
        <v>2019</v>
      </c>
      <c r="C5672" s="267">
        <v>2020</v>
      </c>
      <c r="D5672" s="267">
        <v>1</v>
      </c>
      <c r="E5672" s="267">
        <v>1</v>
      </c>
      <c r="F5672" s="267" t="s">
        <v>944</v>
      </c>
      <c r="G5672" s="267" t="s">
        <v>3926</v>
      </c>
      <c r="H5672" s="267" t="s">
        <v>10355</v>
      </c>
      <c r="I5672" s="267" t="s">
        <v>956</v>
      </c>
      <c r="J5672" s="267" t="s">
        <v>3928</v>
      </c>
      <c r="K5672" s="267">
        <v>6614</v>
      </c>
      <c r="L5672" s="267">
        <v>81100</v>
      </c>
      <c r="M5672" s="267" t="s">
        <v>3960</v>
      </c>
      <c r="N5672" s="267" t="s">
        <v>3983</v>
      </c>
      <c r="O5672" s="267">
        <v>3537.9</v>
      </c>
      <c r="P5672" s="267" t="s">
        <v>3930</v>
      </c>
      <c r="Q5672" s="267" t="s">
        <v>3931</v>
      </c>
      <c r="R5672" s="267">
        <v>8537.9</v>
      </c>
      <c r="S5672" s="267">
        <v>16504</v>
      </c>
      <c r="T5672" s="267">
        <v>25041.9</v>
      </c>
      <c r="U5672" s="268" t="s">
        <v>3932</v>
      </c>
      <c r="V5672" s="267" t="s">
        <v>944</v>
      </c>
    </row>
    <row r="5673" spans="1:22" hidden="1" x14ac:dyDescent="0.25">
      <c r="A5673" s="269">
        <v>43735</v>
      </c>
      <c r="B5673" s="270">
        <v>2019</v>
      </c>
      <c r="C5673" s="270">
        <v>2020</v>
      </c>
      <c r="D5673" s="270">
        <v>1</v>
      </c>
      <c r="E5673" s="270">
        <v>1</v>
      </c>
      <c r="F5673" s="270" t="s">
        <v>944</v>
      </c>
      <c r="G5673" s="270" t="s">
        <v>3926</v>
      </c>
      <c r="H5673" s="270" t="s">
        <v>10356</v>
      </c>
      <c r="I5673" s="270" t="s">
        <v>2985</v>
      </c>
      <c r="J5673" s="270" t="s">
        <v>3928</v>
      </c>
      <c r="K5673" s="270">
        <v>6824</v>
      </c>
      <c r="L5673" s="270">
        <v>60400</v>
      </c>
      <c r="M5673" s="270" t="s">
        <v>3943</v>
      </c>
      <c r="N5673" s="270" t="s">
        <v>3944</v>
      </c>
      <c r="O5673" s="270">
        <v>7850</v>
      </c>
      <c r="P5673" s="270" t="s">
        <v>3944</v>
      </c>
      <c r="Q5673" s="270" t="s">
        <v>3944</v>
      </c>
      <c r="R5673" s="270">
        <v>7850</v>
      </c>
      <c r="S5673" s="270">
        <v>50275.6</v>
      </c>
      <c r="T5673" s="270">
        <v>58125.599999999999</v>
      </c>
      <c r="U5673" s="271" t="s">
        <v>3945</v>
      </c>
      <c r="V5673" s="267" t="s">
        <v>944</v>
      </c>
    </row>
    <row r="5674" spans="1:22" hidden="1" x14ac:dyDescent="0.25">
      <c r="A5674" s="266">
        <v>43735</v>
      </c>
      <c r="B5674" s="267">
        <v>2019</v>
      </c>
      <c r="C5674" s="267">
        <v>2020</v>
      </c>
      <c r="D5674" s="267">
        <v>1</v>
      </c>
      <c r="E5674" s="267">
        <v>1</v>
      </c>
      <c r="F5674" s="267" t="s">
        <v>944</v>
      </c>
      <c r="G5674" s="267" t="s">
        <v>3926</v>
      </c>
      <c r="H5674" s="267" t="s">
        <v>10357</v>
      </c>
      <c r="I5674" s="267" t="s">
        <v>3966</v>
      </c>
      <c r="J5674" s="267" t="s">
        <v>3928</v>
      </c>
      <c r="K5674" s="267">
        <v>6010</v>
      </c>
      <c r="L5674" s="267">
        <v>405600</v>
      </c>
      <c r="M5674" s="267" t="s">
        <v>3940</v>
      </c>
      <c r="N5674" s="267" t="s">
        <v>3944</v>
      </c>
      <c r="O5674" s="267">
        <v>1731</v>
      </c>
      <c r="P5674" s="267" t="s">
        <v>3944</v>
      </c>
      <c r="Q5674" s="267" t="s">
        <v>3944</v>
      </c>
      <c r="R5674" s="267">
        <v>1731</v>
      </c>
      <c r="S5674" s="267">
        <v>26429</v>
      </c>
      <c r="T5674" s="267">
        <v>28160</v>
      </c>
      <c r="U5674" s="268" t="s">
        <v>3945</v>
      </c>
      <c r="V5674" s="267" t="s">
        <v>944</v>
      </c>
    </row>
    <row r="5675" spans="1:22" hidden="1" x14ac:dyDescent="0.25">
      <c r="A5675" s="269">
        <v>43735</v>
      </c>
      <c r="B5675" s="270">
        <v>2019</v>
      </c>
      <c r="C5675" s="270">
        <v>2020</v>
      </c>
      <c r="D5675" s="270">
        <v>1</v>
      </c>
      <c r="E5675" s="270">
        <v>1</v>
      </c>
      <c r="F5675" s="270" t="s">
        <v>944</v>
      </c>
      <c r="G5675" s="270" t="s">
        <v>3926</v>
      </c>
      <c r="H5675" s="270" t="s">
        <v>10358</v>
      </c>
      <c r="I5675" s="270" t="s">
        <v>5659</v>
      </c>
      <c r="J5675" s="270" t="s">
        <v>3928</v>
      </c>
      <c r="K5675" s="270">
        <v>6419</v>
      </c>
      <c r="L5675" s="270">
        <v>640100</v>
      </c>
      <c r="M5675" s="270" t="s">
        <v>3943</v>
      </c>
      <c r="N5675" s="270" t="s">
        <v>3944</v>
      </c>
      <c r="O5675" s="270">
        <v>5116</v>
      </c>
      <c r="P5675" s="270" t="s">
        <v>3944</v>
      </c>
      <c r="Q5675" s="270" t="s">
        <v>3944</v>
      </c>
      <c r="R5675" s="270">
        <v>5116</v>
      </c>
      <c r="S5675" s="270">
        <v>36741.1</v>
      </c>
      <c r="T5675" s="270">
        <v>41857.1</v>
      </c>
      <c r="U5675" s="271" t="s">
        <v>3945</v>
      </c>
      <c r="V5675" s="267" t="s">
        <v>944</v>
      </c>
    </row>
    <row r="5676" spans="1:22" hidden="1" x14ac:dyDescent="0.25">
      <c r="A5676" s="266">
        <v>43735</v>
      </c>
      <c r="B5676" s="267">
        <v>2019</v>
      </c>
      <c r="C5676" s="267">
        <v>2020</v>
      </c>
      <c r="D5676" s="267">
        <v>1</v>
      </c>
      <c r="E5676" s="267">
        <v>1</v>
      </c>
      <c r="F5676" s="267" t="s">
        <v>944</v>
      </c>
      <c r="G5676" s="267" t="s">
        <v>3926</v>
      </c>
      <c r="H5676" s="267" t="s">
        <v>10359</v>
      </c>
      <c r="I5676" s="267" t="s">
        <v>2985</v>
      </c>
      <c r="J5676" s="267" t="s">
        <v>3928</v>
      </c>
      <c r="K5676" s="267">
        <v>6825</v>
      </c>
      <c r="L5676" s="267">
        <v>61200</v>
      </c>
      <c r="M5676" s="267" t="s">
        <v>3935</v>
      </c>
      <c r="N5676" s="267" t="s">
        <v>3944</v>
      </c>
      <c r="O5676" s="267">
        <v>1777.37</v>
      </c>
      <c r="P5676" s="267" t="s">
        <v>3944</v>
      </c>
      <c r="Q5676" s="267" t="s">
        <v>3944</v>
      </c>
      <c r="R5676" s="267">
        <v>1777.37</v>
      </c>
      <c r="S5676" s="267">
        <v>28911.59</v>
      </c>
      <c r="T5676" s="267">
        <v>30688.959999999999</v>
      </c>
      <c r="U5676" s="268" t="s">
        <v>3945</v>
      </c>
      <c r="V5676" s="267" t="s">
        <v>944</v>
      </c>
    </row>
    <row r="5677" spans="1:22" hidden="1" x14ac:dyDescent="0.25">
      <c r="A5677" s="269">
        <v>43735</v>
      </c>
      <c r="B5677" s="270">
        <v>2019</v>
      </c>
      <c r="C5677" s="270">
        <v>2020</v>
      </c>
      <c r="D5677" s="270">
        <v>1</v>
      </c>
      <c r="E5677" s="270">
        <v>1</v>
      </c>
      <c r="F5677" s="270" t="s">
        <v>944</v>
      </c>
      <c r="G5677" s="270" t="s">
        <v>3926</v>
      </c>
      <c r="H5677" s="270" t="s">
        <v>10360</v>
      </c>
      <c r="I5677" s="270" t="s">
        <v>4019</v>
      </c>
      <c r="J5677" s="270" t="s">
        <v>3928</v>
      </c>
      <c r="K5677" s="270">
        <v>6708</v>
      </c>
      <c r="L5677" s="270">
        <v>352100</v>
      </c>
      <c r="M5677" s="270" t="s">
        <v>3940</v>
      </c>
      <c r="N5677" s="270" t="s">
        <v>3944</v>
      </c>
      <c r="O5677" s="270">
        <v>1130.1199999999999</v>
      </c>
      <c r="P5677" s="270" t="s">
        <v>3944</v>
      </c>
      <c r="Q5677" s="270" t="s">
        <v>3944</v>
      </c>
      <c r="R5677" s="270">
        <v>1130.1199999999999</v>
      </c>
      <c r="S5677" s="270">
        <v>13685.24</v>
      </c>
      <c r="T5677" s="270">
        <v>14815.36</v>
      </c>
      <c r="U5677" s="271" t="s">
        <v>3945</v>
      </c>
      <c r="V5677" s="267" t="s">
        <v>944</v>
      </c>
    </row>
    <row r="5678" spans="1:22" hidden="1" x14ac:dyDescent="0.25">
      <c r="A5678" s="266">
        <v>43735</v>
      </c>
      <c r="B5678" s="267">
        <v>2019</v>
      </c>
      <c r="C5678" s="267">
        <v>2020</v>
      </c>
      <c r="D5678" s="267">
        <v>1</v>
      </c>
      <c r="E5678" s="267">
        <v>1</v>
      </c>
      <c r="F5678" s="267" t="s">
        <v>944</v>
      </c>
      <c r="G5678" s="267" t="s">
        <v>3926</v>
      </c>
      <c r="H5678" s="267" t="s">
        <v>10361</v>
      </c>
      <c r="I5678" s="267" t="s">
        <v>4011</v>
      </c>
      <c r="J5678" s="267" t="s">
        <v>3928</v>
      </c>
      <c r="K5678" s="267">
        <v>6002</v>
      </c>
      <c r="L5678" s="267">
        <v>471100</v>
      </c>
      <c r="M5678" s="267" t="s">
        <v>3935</v>
      </c>
      <c r="N5678" s="267" t="s">
        <v>3944</v>
      </c>
      <c r="O5678" s="267">
        <v>1282.54</v>
      </c>
      <c r="P5678" s="267" t="s">
        <v>3944</v>
      </c>
      <c r="Q5678" s="267" t="s">
        <v>3944</v>
      </c>
      <c r="R5678" s="267">
        <v>1282.54</v>
      </c>
      <c r="S5678" s="267">
        <v>15649.3</v>
      </c>
      <c r="T5678" s="267">
        <v>16931.84</v>
      </c>
      <c r="U5678" s="268" t="s">
        <v>3945</v>
      </c>
      <c r="V5678" s="267" t="s">
        <v>944</v>
      </c>
    </row>
    <row r="5679" spans="1:22" hidden="1" x14ac:dyDescent="0.25">
      <c r="A5679" s="269">
        <v>43735</v>
      </c>
      <c r="B5679" s="270">
        <v>2019</v>
      </c>
      <c r="C5679" s="270">
        <v>2020</v>
      </c>
      <c r="D5679" s="270">
        <v>1</v>
      </c>
      <c r="E5679" s="270">
        <v>1</v>
      </c>
      <c r="F5679" s="270" t="s">
        <v>944</v>
      </c>
      <c r="G5679" s="270" t="s">
        <v>3926</v>
      </c>
      <c r="H5679" s="270" t="s">
        <v>10362</v>
      </c>
      <c r="I5679" s="270" t="s">
        <v>956</v>
      </c>
      <c r="J5679" s="270" t="s">
        <v>3928</v>
      </c>
      <c r="K5679" s="270">
        <v>6614</v>
      </c>
      <c r="L5679" s="270">
        <v>80800</v>
      </c>
      <c r="M5679" s="270" t="s">
        <v>3960</v>
      </c>
      <c r="N5679" s="270" t="s">
        <v>3944</v>
      </c>
      <c r="O5679" s="270">
        <v>959.84</v>
      </c>
      <c r="P5679" s="270" t="s">
        <v>3944</v>
      </c>
      <c r="Q5679" s="270" t="s">
        <v>3944</v>
      </c>
      <c r="R5679" s="270">
        <v>959.84</v>
      </c>
      <c r="S5679" s="270">
        <v>12797.28</v>
      </c>
      <c r="T5679" s="270">
        <v>13757.12</v>
      </c>
      <c r="U5679" s="271" t="s">
        <v>3945</v>
      </c>
      <c r="V5679" s="267" t="s">
        <v>944</v>
      </c>
    </row>
    <row r="5680" spans="1:22" hidden="1" x14ac:dyDescent="0.25">
      <c r="A5680" s="266">
        <v>43735</v>
      </c>
      <c r="B5680" s="267">
        <v>2019</v>
      </c>
      <c r="C5680" s="267">
        <v>2020</v>
      </c>
      <c r="D5680" s="267">
        <v>1</v>
      </c>
      <c r="E5680" s="267">
        <v>1</v>
      </c>
      <c r="F5680" s="267" t="s">
        <v>944</v>
      </c>
      <c r="G5680" s="267" t="s">
        <v>3926</v>
      </c>
      <c r="H5680" s="267" t="s">
        <v>10363</v>
      </c>
      <c r="I5680" s="267" t="s">
        <v>4040</v>
      </c>
      <c r="J5680" s="267" t="s">
        <v>3928</v>
      </c>
      <c r="K5680" s="267">
        <v>6339</v>
      </c>
      <c r="L5680" s="267">
        <v>701100</v>
      </c>
      <c r="M5680" s="267" t="s">
        <v>3960</v>
      </c>
      <c r="N5680" s="267" t="s">
        <v>3944</v>
      </c>
      <c r="O5680" s="267">
        <v>1890.21</v>
      </c>
      <c r="P5680" s="267" t="s">
        <v>3944</v>
      </c>
      <c r="Q5680" s="267" t="s">
        <v>3944</v>
      </c>
      <c r="R5680" s="267">
        <v>1890.21</v>
      </c>
      <c r="S5680" s="267">
        <v>31973.47</v>
      </c>
      <c r="T5680" s="267">
        <v>33863.68</v>
      </c>
      <c r="U5680" s="268" t="s">
        <v>3945</v>
      </c>
      <c r="V5680" s="267" t="s">
        <v>944</v>
      </c>
    </row>
    <row r="5681" spans="1:22" hidden="1" x14ac:dyDescent="0.25">
      <c r="A5681" s="269">
        <v>43735</v>
      </c>
      <c r="B5681" s="270">
        <v>2019</v>
      </c>
      <c r="C5681" s="270">
        <v>2020</v>
      </c>
      <c r="D5681" s="270">
        <v>1</v>
      </c>
      <c r="E5681" s="270">
        <v>1</v>
      </c>
      <c r="F5681" s="270" t="s">
        <v>944</v>
      </c>
      <c r="G5681" s="270" t="s">
        <v>3926</v>
      </c>
      <c r="H5681" s="270" t="s">
        <v>10364</v>
      </c>
      <c r="I5681" s="270" t="s">
        <v>3939</v>
      </c>
      <c r="J5681" s="270" t="s">
        <v>3928</v>
      </c>
      <c r="K5681" s="270">
        <v>6512</v>
      </c>
      <c r="L5681" s="270">
        <v>180400</v>
      </c>
      <c r="M5681" s="270" t="s">
        <v>3935</v>
      </c>
      <c r="N5681" s="270" t="s">
        <v>3944</v>
      </c>
      <c r="O5681" s="270">
        <v>929.36</v>
      </c>
      <c r="P5681" s="270" t="s">
        <v>3944</v>
      </c>
      <c r="Q5681" s="270" t="s">
        <v>3944</v>
      </c>
      <c r="R5681" s="270">
        <v>929.36</v>
      </c>
      <c r="S5681" s="270">
        <v>13886</v>
      </c>
      <c r="T5681" s="270">
        <v>14815.36</v>
      </c>
      <c r="U5681" s="271" t="s">
        <v>3945</v>
      </c>
      <c r="V5681" s="267" t="s">
        <v>944</v>
      </c>
    </row>
    <row r="5682" spans="1:22" hidden="1" x14ac:dyDescent="0.25">
      <c r="A5682" s="266">
        <v>43736</v>
      </c>
      <c r="B5682" s="267">
        <v>2019</v>
      </c>
      <c r="C5682" s="267">
        <v>2020</v>
      </c>
      <c r="D5682" s="267">
        <v>1</v>
      </c>
      <c r="E5682" s="267">
        <v>1</v>
      </c>
      <c r="F5682" s="267" t="s">
        <v>944</v>
      </c>
      <c r="G5682" s="267" t="s">
        <v>3926</v>
      </c>
      <c r="H5682" s="267" t="s">
        <v>10365</v>
      </c>
      <c r="I5682" s="267" t="s">
        <v>956</v>
      </c>
      <c r="J5682" s="267" t="s">
        <v>3928</v>
      </c>
      <c r="K5682" s="267">
        <v>6497</v>
      </c>
      <c r="L5682" s="267">
        <v>80800</v>
      </c>
      <c r="M5682" s="267" t="s">
        <v>3960</v>
      </c>
      <c r="N5682" s="267" t="s">
        <v>4053</v>
      </c>
      <c r="O5682" s="267">
        <v>2947.64</v>
      </c>
      <c r="P5682" s="267" t="s">
        <v>3930</v>
      </c>
      <c r="Q5682" s="267" t="s">
        <v>3931</v>
      </c>
      <c r="R5682" s="267">
        <v>7947.64</v>
      </c>
      <c r="S5682" s="267">
        <v>18603.2</v>
      </c>
      <c r="T5682" s="267">
        <v>26550.84</v>
      </c>
      <c r="U5682" s="268" t="s">
        <v>3932</v>
      </c>
      <c r="V5682" s="267" t="s">
        <v>944</v>
      </c>
    </row>
    <row r="5683" spans="1:22" hidden="1" x14ac:dyDescent="0.25">
      <c r="A5683" s="269">
        <v>43737</v>
      </c>
      <c r="B5683" s="270">
        <v>2019</v>
      </c>
      <c r="C5683" s="270">
        <v>2020</v>
      </c>
      <c r="D5683" s="270">
        <v>1</v>
      </c>
      <c r="E5683" s="270">
        <v>1</v>
      </c>
      <c r="F5683" s="270" t="s">
        <v>944</v>
      </c>
      <c r="G5683" s="270" t="s">
        <v>3926</v>
      </c>
      <c r="H5683" s="270" t="s">
        <v>10366</v>
      </c>
      <c r="I5683" s="270" t="s">
        <v>956</v>
      </c>
      <c r="J5683" s="270" t="s">
        <v>3928</v>
      </c>
      <c r="K5683" s="270">
        <v>6497</v>
      </c>
      <c r="L5683" s="270">
        <v>80800</v>
      </c>
      <c r="M5683" s="270" t="s">
        <v>3960</v>
      </c>
      <c r="N5683" s="270" t="s">
        <v>4103</v>
      </c>
      <c r="O5683" s="270">
        <v>1861.16</v>
      </c>
      <c r="P5683" s="270" t="s">
        <v>3930</v>
      </c>
      <c r="Q5683" s="270" t="s">
        <v>3931</v>
      </c>
      <c r="R5683" s="270">
        <v>6861.16</v>
      </c>
      <c r="S5683" s="270">
        <v>24145.599999999999</v>
      </c>
      <c r="T5683" s="270">
        <v>31006.76</v>
      </c>
      <c r="U5683" s="271" t="s">
        <v>3932</v>
      </c>
      <c r="V5683" s="267" t="s">
        <v>944</v>
      </c>
    </row>
    <row r="5684" spans="1:22" hidden="1" x14ac:dyDescent="0.25">
      <c r="A5684" s="266">
        <v>43738</v>
      </c>
      <c r="B5684" s="267">
        <v>2019</v>
      </c>
      <c r="C5684" s="267">
        <v>2020</v>
      </c>
      <c r="D5684" s="267">
        <v>1</v>
      </c>
      <c r="E5684" s="267">
        <v>1</v>
      </c>
      <c r="F5684" s="267" t="s">
        <v>944</v>
      </c>
      <c r="G5684" s="267" t="s">
        <v>3926</v>
      </c>
      <c r="H5684" s="267" t="s">
        <v>10367</v>
      </c>
      <c r="I5684" s="267" t="s">
        <v>4392</v>
      </c>
      <c r="J5684" s="267" t="s">
        <v>3928</v>
      </c>
      <c r="K5684" s="267">
        <v>6457</v>
      </c>
      <c r="L5684" s="267">
        <v>542000</v>
      </c>
      <c r="M5684" s="267" t="s">
        <v>3935</v>
      </c>
      <c r="N5684" s="267" t="s">
        <v>8536</v>
      </c>
      <c r="O5684" s="267">
        <v>1744.4</v>
      </c>
      <c r="P5684" s="267" t="s">
        <v>3930</v>
      </c>
      <c r="Q5684" s="267" t="s">
        <v>3931</v>
      </c>
      <c r="R5684" s="267">
        <v>6744.4</v>
      </c>
      <c r="S5684" s="267">
        <v>27804.2</v>
      </c>
      <c r="T5684" s="267">
        <v>34548.6</v>
      </c>
      <c r="U5684" s="268" t="s">
        <v>3932</v>
      </c>
      <c r="V5684" s="267" t="s">
        <v>944</v>
      </c>
    </row>
    <row r="5685" spans="1:22" x14ac:dyDescent="0.25">
      <c r="A5685" s="269">
        <v>43738</v>
      </c>
      <c r="B5685" s="270">
        <v>2019</v>
      </c>
      <c r="C5685" s="270">
        <v>2020</v>
      </c>
      <c r="D5685" s="270">
        <v>1</v>
      </c>
      <c r="E5685" s="270">
        <v>1</v>
      </c>
      <c r="F5685" s="270" t="s">
        <v>944</v>
      </c>
      <c r="G5685" s="270" t="s">
        <v>3926</v>
      </c>
      <c r="H5685" s="270" t="s">
        <v>10368</v>
      </c>
      <c r="I5685" s="270" t="s">
        <v>3956</v>
      </c>
      <c r="J5685" s="270" t="s">
        <v>3928</v>
      </c>
      <c r="K5685" s="270">
        <v>6101</v>
      </c>
      <c r="L5685" s="270">
        <v>501800</v>
      </c>
      <c r="M5685" s="270">
        <v>-60</v>
      </c>
      <c r="N5685" s="270" t="s">
        <v>3983</v>
      </c>
      <c r="O5685" s="270">
        <v>1183.81</v>
      </c>
      <c r="P5685" s="270" t="s">
        <v>3930</v>
      </c>
      <c r="Q5685" s="270" t="s">
        <v>3931</v>
      </c>
      <c r="R5685" s="270">
        <v>6183.81</v>
      </c>
      <c r="S5685" s="270">
        <v>16504</v>
      </c>
      <c r="T5685" s="270">
        <v>22687.81</v>
      </c>
      <c r="U5685" s="271" t="s">
        <v>3932</v>
      </c>
      <c r="V5685" s="267" t="s">
        <v>936</v>
      </c>
    </row>
    <row r="5686" spans="1:22" hidden="1" x14ac:dyDescent="0.25">
      <c r="A5686" s="266">
        <v>43738</v>
      </c>
      <c r="B5686" s="267">
        <v>2019</v>
      </c>
      <c r="C5686" s="267">
        <v>2020</v>
      </c>
      <c r="D5686" s="267">
        <v>1</v>
      </c>
      <c r="E5686" s="267">
        <v>1</v>
      </c>
      <c r="F5686" s="267" t="s">
        <v>944</v>
      </c>
      <c r="G5686" s="267" t="s">
        <v>3926</v>
      </c>
      <c r="H5686" s="267" t="s">
        <v>10369</v>
      </c>
      <c r="I5686" s="267" t="s">
        <v>3962</v>
      </c>
      <c r="J5686" s="267" t="s">
        <v>3928</v>
      </c>
      <c r="K5686" s="267">
        <v>6355</v>
      </c>
      <c r="L5686" s="267">
        <v>705300</v>
      </c>
      <c r="M5686" s="267" t="s">
        <v>3960</v>
      </c>
      <c r="N5686" s="267" t="s">
        <v>10370</v>
      </c>
      <c r="O5686" s="267">
        <v>0</v>
      </c>
      <c r="P5686" s="267" t="s">
        <v>3930</v>
      </c>
      <c r="Q5686" s="267" t="s">
        <v>3930</v>
      </c>
      <c r="R5686" s="267">
        <v>0</v>
      </c>
      <c r="S5686" s="267">
        <v>25930</v>
      </c>
      <c r="T5686" s="267">
        <v>25930</v>
      </c>
      <c r="U5686" s="268" t="s">
        <v>3937</v>
      </c>
      <c r="V5686" s="267" t="s">
        <v>944</v>
      </c>
    </row>
    <row r="5687" spans="1:22" hidden="1" x14ac:dyDescent="0.25">
      <c r="A5687" s="269">
        <v>43738</v>
      </c>
      <c r="B5687" s="270">
        <v>2019</v>
      </c>
      <c r="C5687" s="270">
        <v>2020</v>
      </c>
      <c r="D5687" s="270">
        <v>1</v>
      </c>
      <c r="E5687" s="270">
        <v>1</v>
      </c>
      <c r="F5687" s="270" t="s">
        <v>944</v>
      </c>
      <c r="G5687" s="270" t="s">
        <v>3926</v>
      </c>
      <c r="H5687" s="270" t="s">
        <v>10371</v>
      </c>
      <c r="I5687" s="270" t="s">
        <v>3968</v>
      </c>
      <c r="J5687" s="270" t="s">
        <v>3928</v>
      </c>
      <c r="K5687" s="270">
        <v>6040</v>
      </c>
      <c r="L5687" s="270">
        <v>515000</v>
      </c>
      <c r="M5687" s="270" t="s">
        <v>3943</v>
      </c>
      <c r="N5687" s="270" t="s">
        <v>10372</v>
      </c>
      <c r="O5687" s="270">
        <v>0</v>
      </c>
      <c r="P5687" s="270" t="s">
        <v>3930</v>
      </c>
      <c r="Q5687" s="270" t="s">
        <v>3930</v>
      </c>
      <c r="R5687" s="270">
        <v>0</v>
      </c>
      <c r="S5687" s="270">
        <v>4995</v>
      </c>
      <c r="T5687" s="270">
        <v>4995</v>
      </c>
      <c r="U5687" s="271" t="s">
        <v>3937</v>
      </c>
      <c r="V5687" s="267" t="s">
        <v>944</v>
      </c>
    </row>
    <row r="5688" spans="1:22" hidden="1" x14ac:dyDescent="0.25">
      <c r="A5688" s="266">
        <v>43738</v>
      </c>
      <c r="B5688" s="267">
        <v>2019</v>
      </c>
      <c r="C5688" s="267">
        <v>2020</v>
      </c>
      <c r="D5688" s="267">
        <v>1</v>
      </c>
      <c r="E5688" s="267">
        <v>1</v>
      </c>
      <c r="F5688" s="267" t="s">
        <v>944</v>
      </c>
      <c r="G5688" s="267" t="s">
        <v>3926</v>
      </c>
      <c r="H5688" s="267" t="s">
        <v>10373</v>
      </c>
      <c r="I5688" s="267" t="s">
        <v>6362</v>
      </c>
      <c r="J5688" s="267" t="s">
        <v>3928</v>
      </c>
      <c r="K5688" s="267">
        <v>6026</v>
      </c>
      <c r="L5688" s="267">
        <v>470100</v>
      </c>
      <c r="M5688" s="267" t="s">
        <v>3943</v>
      </c>
      <c r="N5688" s="267" t="s">
        <v>3944</v>
      </c>
      <c r="O5688" s="267">
        <v>4071</v>
      </c>
      <c r="P5688" s="267" t="s">
        <v>3944</v>
      </c>
      <c r="Q5688" s="267" t="s">
        <v>3944</v>
      </c>
      <c r="R5688" s="267">
        <v>4071</v>
      </c>
      <c r="S5688" s="267">
        <v>24279</v>
      </c>
      <c r="T5688" s="267">
        <v>28350</v>
      </c>
      <c r="U5688" s="268" t="s">
        <v>3945</v>
      </c>
      <c r="V5688" s="267" t="s">
        <v>944</v>
      </c>
    </row>
    <row r="5689" spans="1:22" hidden="1" x14ac:dyDescent="0.25">
      <c r="A5689" s="269">
        <v>43738</v>
      </c>
      <c r="B5689" s="270">
        <v>2019</v>
      </c>
      <c r="C5689" s="270">
        <v>2020</v>
      </c>
      <c r="D5689" s="270">
        <v>1</v>
      </c>
      <c r="E5689" s="270">
        <v>1</v>
      </c>
      <c r="F5689" s="270" t="s">
        <v>944</v>
      </c>
      <c r="G5689" s="270" t="s">
        <v>3926</v>
      </c>
      <c r="H5689" s="270" t="s">
        <v>10374</v>
      </c>
      <c r="I5689" s="270" t="s">
        <v>3956</v>
      </c>
      <c r="J5689" s="270" t="s">
        <v>3928</v>
      </c>
      <c r="K5689" s="270">
        <v>6106</v>
      </c>
      <c r="L5689" s="270">
        <v>524700</v>
      </c>
      <c r="M5689" s="270" t="s">
        <v>3935</v>
      </c>
      <c r="N5689" s="270" t="s">
        <v>3944</v>
      </c>
      <c r="O5689" s="270">
        <v>844</v>
      </c>
      <c r="P5689" s="270" t="s">
        <v>3944</v>
      </c>
      <c r="Q5689" s="270" t="s">
        <v>3944</v>
      </c>
      <c r="R5689" s="270">
        <v>844</v>
      </c>
      <c r="S5689" s="270">
        <v>12356</v>
      </c>
      <c r="T5689" s="270">
        <v>13200</v>
      </c>
      <c r="U5689" s="271" t="s">
        <v>3945</v>
      </c>
      <c r="V5689" s="267" t="s">
        <v>944</v>
      </c>
    </row>
    <row r="5690" spans="1:22" hidden="1" x14ac:dyDescent="0.25">
      <c r="A5690" s="266">
        <v>43738</v>
      </c>
      <c r="B5690" s="267">
        <v>2019</v>
      </c>
      <c r="C5690" s="267">
        <v>2020</v>
      </c>
      <c r="D5690" s="267">
        <v>1</v>
      </c>
      <c r="E5690" s="267">
        <v>1</v>
      </c>
      <c r="F5690" s="267" t="s">
        <v>944</v>
      </c>
      <c r="G5690" s="267" t="s">
        <v>3926</v>
      </c>
      <c r="H5690" s="267" t="s">
        <v>10375</v>
      </c>
      <c r="I5690" s="267" t="s">
        <v>943</v>
      </c>
      <c r="J5690" s="267" t="s">
        <v>3928</v>
      </c>
      <c r="K5690" s="267">
        <v>6515</v>
      </c>
      <c r="L5690" s="267">
        <v>141200</v>
      </c>
      <c r="M5690" s="267">
        <v>-60</v>
      </c>
      <c r="N5690" s="267" t="s">
        <v>3944</v>
      </c>
      <c r="O5690" s="267">
        <v>954</v>
      </c>
      <c r="P5690" s="267" t="s">
        <v>3944</v>
      </c>
      <c r="Q5690" s="267" t="s">
        <v>3944</v>
      </c>
      <c r="R5690" s="267">
        <v>954</v>
      </c>
      <c r="S5690" s="267">
        <v>12376</v>
      </c>
      <c r="T5690" s="267">
        <v>13330</v>
      </c>
      <c r="U5690" s="268" t="s">
        <v>3945</v>
      </c>
      <c r="V5690" s="267" t="s">
        <v>944</v>
      </c>
    </row>
    <row r="5691" spans="1:22" hidden="1" x14ac:dyDescent="0.25">
      <c r="A5691" s="269">
        <v>43738</v>
      </c>
      <c r="B5691" s="270">
        <v>2019</v>
      </c>
      <c r="C5691" s="270">
        <v>2020</v>
      </c>
      <c r="D5691" s="270">
        <v>1</v>
      </c>
      <c r="E5691" s="270">
        <v>1</v>
      </c>
      <c r="F5691" s="270" t="s">
        <v>944</v>
      </c>
      <c r="G5691" s="270" t="s">
        <v>3926</v>
      </c>
      <c r="H5691" s="270" t="s">
        <v>10376</v>
      </c>
      <c r="I5691" s="270" t="s">
        <v>4353</v>
      </c>
      <c r="J5691" s="270" t="s">
        <v>3928</v>
      </c>
      <c r="K5691" s="270">
        <v>6416</v>
      </c>
      <c r="L5691" s="270">
        <v>570100</v>
      </c>
      <c r="M5691" s="270" t="s">
        <v>3960</v>
      </c>
      <c r="N5691" s="270" t="s">
        <v>3944</v>
      </c>
      <c r="O5691" s="270">
        <v>1903.27</v>
      </c>
      <c r="P5691" s="270" t="s">
        <v>3944</v>
      </c>
      <c r="Q5691" s="270" t="s">
        <v>3944</v>
      </c>
      <c r="R5691" s="270">
        <v>1903.27</v>
      </c>
      <c r="S5691" s="270">
        <v>26778.6</v>
      </c>
      <c r="T5691" s="270">
        <v>28681.87</v>
      </c>
      <c r="U5691" s="271" t="s">
        <v>3945</v>
      </c>
      <c r="V5691" s="267" t="s">
        <v>944</v>
      </c>
    </row>
    <row r="5692" spans="1:22" hidden="1" x14ac:dyDescent="0.25">
      <c r="A5692" s="266">
        <v>43738</v>
      </c>
      <c r="B5692" s="267">
        <v>2019</v>
      </c>
      <c r="C5692" s="267">
        <v>2020</v>
      </c>
      <c r="D5692" s="267">
        <v>1</v>
      </c>
      <c r="E5692" s="267">
        <v>1</v>
      </c>
      <c r="F5692" s="267" t="s">
        <v>944</v>
      </c>
      <c r="G5692" s="267" t="s">
        <v>3926</v>
      </c>
      <c r="H5692" s="267" t="s">
        <v>10377</v>
      </c>
      <c r="I5692" s="267" t="s">
        <v>3971</v>
      </c>
      <c r="J5692" s="267" t="s">
        <v>3928</v>
      </c>
      <c r="K5692" s="267">
        <v>6084</v>
      </c>
      <c r="L5692" s="267">
        <v>533101</v>
      </c>
      <c r="M5692" s="267" t="s">
        <v>3943</v>
      </c>
      <c r="N5692" s="267" t="s">
        <v>3944</v>
      </c>
      <c r="O5692" s="267">
        <v>1524.78</v>
      </c>
      <c r="P5692" s="267" t="s">
        <v>3944</v>
      </c>
      <c r="Q5692" s="267" t="s">
        <v>3944</v>
      </c>
      <c r="R5692" s="267">
        <v>1524.78</v>
      </c>
      <c r="S5692" s="267">
        <v>23564.97</v>
      </c>
      <c r="T5692" s="267">
        <v>25089.75</v>
      </c>
      <c r="U5692" s="268" t="s">
        <v>3945</v>
      </c>
      <c r="V5692" s="267" t="s">
        <v>944</v>
      </c>
    </row>
    <row r="5693" spans="1:22" x14ac:dyDescent="0.25">
      <c r="A5693" s="269">
        <v>43738</v>
      </c>
      <c r="B5693" s="270">
        <v>2019</v>
      </c>
      <c r="C5693" s="270">
        <v>2020</v>
      </c>
      <c r="D5693" s="270">
        <v>1</v>
      </c>
      <c r="E5693" s="270">
        <v>1</v>
      </c>
      <c r="F5693" s="270" t="s">
        <v>944</v>
      </c>
      <c r="G5693" s="270" t="s">
        <v>3926</v>
      </c>
      <c r="H5693" s="270" t="s">
        <v>10378</v>
      </c>
      <c r="I5693" s="270" t="s">
        <v>943</v>
      </c>
      <c r="J5693" s="270" t="s">
        <v>3928</v>
      </c>
      <c r="K5693" s="270">
        <v>6513</v>
      </c>
      <c r="L5693" s="270">
        <v>142300</v>
      </c>
      <c r="M5693" s="270">
        <v>-60</v>
      </c>
      <c r="N5693" s="270" t="s">
        <v>3944</v>
      </c>
      <c r="O5693" s="270">
        <v>1421.7</v>
      </c>
      <c r="P5693" s="270" t="s">
        <v>3944</v>
      </c>
      <c r="Q5693" s="270" t="s">
        <v>3944</v>
      </c>
      <c r="R5693" s="270">
        <v>1421.7</v>
      </c>
      <c r="S5693" s="270">
        <v>18002.46</v>
      </c>
      <c r="T5693" s="270">
        <v>19424.16</v>
      </c>
      <c r="U5693" s="271" t="s">
        <v>3945</v>
      </c>
      <c r="V5693" s="276" t="s">
        <v>936</v>
      </c>
    </row>
    <row r="5694" spans="1:22" hidden="1" x14ac:dyDescent="0.25">
      <c r="A5694" s="266">
        <v>43738</v>
      </c>
      <c r="B5694" s="267">
        <v>2019</v>
      </c>
      <c r="C5694" s="267">
        <v>2020</v>
      </c>
      <c r="D5694" s="267">
        <v>1</v>
      </c>
      <c r="E5694" s="267">
        <v>1</v>
      </c>
      <c r="F5694" s="267" t="s">
        <v>944</v>
      </c>
      <c r="G5694" s="267" t="s">
        <v>3926</v>
      </c>
      <c r="H5694" s="267" t="s">
        <v>10379</v>
      </c>
      <c r="I5694" s="267" t="s">
        <v>3025</v>
      </c>
      <c r="J5694" s="267" t="s">
        <v>3928</v>
      </c>
      <c r="K5694" s="267">
        <v>6473</v>
      </c>
      <c r="L5694" s="267">
        <v>167201</v>
      </c>
      <c r="M5694" s="267" t="s">
        <v>3960</v>
      </c>
      <c r="N5694" s="267" t="s">
        <v>3944</v>
      </c>
      <c r="O5694" s="267">
        <v>4456.5200000000004</v>
      </c>
      <c r="P5694" s="267" t="s">
        <v>3944</v>
      </c>
      <c r="Q5694" s="267" t="s">
        <v>3944</v>
      </c>
      <c r="R5694" s="267">
        <v>4456.5200000000004</v>
      </c>
      <c r="S5694" s="267">
        <v>73380.27</v>
      </c>
      <c r="T5694" s="267">
        <v>77836.789999999994</v>
      </c>
      <c r="U5694" s="268" t="s">
        <v>3945</v>
      </c>
      <c r="V5694" s="267" t="s">
        <v>944</v>
      </c>
    </row>
    <row r="5695" spans="1:22" hidden="1" x14ac:dyDescent="0.25">
      <c r="A5695" s="269">
        <v>43738</v>
      </c>
      <c r="B5695" s="270">
        <v>2019</v>
      </c>
      <c r="C5695" s="270">
        <v>2020</v>
      </c>
      <c r="D5695" s="270">
        <v>1</v>
      </c>
      <c r="E5695" s="270">
        <v>1</v>
      </c>
      <c r="F5695" s="270" t="s">
        <v>944</v>
      </c>
      <c r="G5695" s="270" t="s">
        <v>3926</v>
      </c>
      <c r="H5695" s="270" t="s">
        <v>10380</v>
      </c>
      <c r="I5695" s="270" t="s">
        <v>6426</v>
      </c>
      <c r="J5695" s="270" t="s">
        <v>3928</v>
      </c>
      <c r="K5695" s="270">
        <v>6422</v>
      </c>
      <c r="L5695" s="270">
        <v>585100</v>
      </c>
      <c r="M5695" s="270" t="s">
        <v>3943</v>
      </c>
      <c r="N5695" s="270" t="s">
        <v>3944</v>
      </c>
      <c r="O5695" s="270">
        <v>3385.13</v>
      </c>
      <c r="P5695" s="270" t="s">
        <v>3944</v>
      </c>
      <c r="Q5695" s="270" t="s">
        <v>3944</v>
      </c>
      <c r="R5695" s="270">
        <v>3385.13</v>
      </c>
      <c r="S5695" s="270">
        <v>44757.2</v>
      </c>
      <c r="T5695" s="270">
        <v>48142.33</v>
      </c>
      <c r="U5695" s="271" t="s">
        <v>3945</v>
      </c>
      <c r="V5695" s="267" t="s">
        <v>944</v>
      </c>
    </row>
    <row r="5696" spans="1:22" hidden="1" x14ac:dyDescent="0.25">
      <c r="A5696" s="266">
        <v>43738</v>
      </c>
      <c r="B5696" s="267">
        <v>2019</v>
      </c>
      <c r="C5696" s="267">
        <v>2020</v>
      </c>
      <c r="D5696" s="267">
        <v>1</v>
      </c>
      <c r="E5696" s="267">
        <v>1</v>
      </c>
      <c r="F5696" s="267" t="s">
        <v>944</v>
      </c>
      <c r="G5696" s="267" t="s">
        <v>3926</v>
      </c>
      <c r="H5696" s="267" t="s">
        <v>10381</v>
      </c>
      <c r="I5696" s="267" t="s">
        <v>3012</v>
      </c>
      <c r="J5696" s="267" t="s">
        <v>3928</v>
      </c>
      <c r="K5696" s="267">
        <v>6477</v>
      </c>
      <c r="L5696" s="267">
        <v>157400</v>
      </c>
      <c r="M5696" s="267" t="s">
        <v>3943</v>
      </c>
      <c r="N5696" s="267" t="s">
        <v>3944</v>
      </c>
      <c r="O5696" s="267">
        <v>4017.9</v>
      </c>
      <c r="P5696" s="267" t="s">
        <v>3944</v>
      </c>
      <c r="Q5696" s="267" t="s">
        <v>3944</v>
      </c>
      <c r="R5696" s="267">
        <v>4017.9</v>
      </c>
      <c r="S5696" s="267">
        <v>55728.1</v>
      </c>
      <c r="T5696" s="267">
        <v>59746</v>
      </c>
      <c r="U5696" s="268" t="s">
        <v>3945</v>
      </c>
      <c r="V5696" s="267" t="s">
        <v>944</v>
      </c>
    </row>
    <row r="5697" spans="1:22" hidden="1" x14ac:dyDescent="0.25">
      <c r="A5697" s="269">
        <v>43738</v>
      </c>
      <c r="B5697" s="270">
        <v>2019</v>
      </c>
      <c r="C5697" s="270">
        <v>2020</v>
      </c>
      <c r="D5697" s="270">
        <v>1</v>
      </c>
      <c r="E5697" s="270">
        <v>1</v>
      </c>
      <c r="F5697" s="270" t="s">
        <v>944</v>
      </c>
      <c r="G5697" s="270" t="s">
        <v>3926</v>
      </c>
      <c r="H5697" s="270" t="s">
        <v>10382</v>
      </c>
      <c r="I5697" s="270" t="s">
        <v>3968</v>
      </c>
      <c r="J5697" s="270" t="s">
        <v>3928</v>
      </c>
      <c r="K5697" s="270">
        <v>6040</v>
      </c>
      <c r="L5697" s="270">
        <v>515101</v>
      </c>
      <c r="M5697" s="270" t="s">
        <v>3935</v>
      </c>
      <c r="N5697" s="270" t="s">
        <v>3944</v>
      </c>
      <c r="O5697" s="270">
        <v>1987.06</v>
      </c>
      <c r="P5697" s="270" t="s">
        <v>3944</v>
      </c>
      <c r="Q5697" s="270" t="s">
        <v>3944</v>
      </c>
      <c r="R5697" s="270">
        <v>1987.06</v>
      </c>
      <c r="S5697" s="270">
        <v>30335.599999999999</v>
      </c>
      <c r="T5697" s="270">
        <v>32322.66</v>
      </c>
      <c r="U5697" s="271" t="s">
        <v>3945</v>
      </c>
      <c r="V5697" s="267" t="s">
        <v>944</v>
      </c>
    </row>
    <row r="5698" spans="1:22" hidden="1" x14ac:dyDescent="0.25">
      <c r="A5698" s="266">
        <v>43738</v>
      </c>
      <c r="B5698" s="267">
        <v>2019</v>
      </c>
      <c r="C5698" s="267">
        <v>2020</v>
      </c>
      <c r="D5698" s="267">
        <v>1</v>
      </c>
      <c r="E5698" s="267">
        <v>1</v>
      </c>
      <c r="F5698" s="267" t="s">
        <v>944</v>
      </c>
      <c r="G5698" s="267" t="s">
        <v>3926</v>
      </c>
      <c r="H5698" s="267" t="s">
        <v>10383</v>
      </c>
      <c r="I5698" s="267" t="s">
        <v>3009</v>
      </c>
      <c r="J5698" s="267" t="s">
        <v>3928</v>
      </c>
      <c r="K5698" s="267">
        <v>6484</v>
      </c>
      <c r="L5698" s="267">
        <v>110202</v>
      </c>
      <c r="M5698" s="267" t="s">
        <v>3935</v>
      </c>
      <c r="N5698" s="267" t="s">
        <v>3944</v>
      </c>
      <c r="O5698" s="267">
        <v>1518.76</v>
      </c>
      <c r="P5698" s="267" t="s">
        <v>3944</v>
      </c>
      <c r="Q5698" s="267" t="s">
        <v>3944</v>
      </c>
      <c r="R5698" s="267">
        <v>1518.76</v>
      </c>
      <c r="S5698" s="267">
        <v>25661.22</v>
      </c>
      <c r="T5698" s="267">
        <v>27179.98</v>
      </c>
      <c r="U5698" s="268" t="s">
        <v>3945</v>
      </c>
      <c r="V5698" s="267" t="s">
        <v>944</v>
      </c>
    </row>
    <row r="5699" spans="1:22" hidden="1" x14ac:dyDescent="0.25">
      <c r="A5699" s="269">
        <v>43738</v>
      </c>
      <c r="B5699" s="270">
        <v>2019</v>
      </c>
      <c r="C5699" s="270">
        <v>2020</v>
      </c>
      <c r="D5699" s="270">
        <v>1</v>
      </c>
      <c r="E5699" s="270">
        <v>1</v>
      </c>
      <c r="F5699" s="270" t="s">
        <v>944</v>
      </c>
      <c r="G5699" s="270" t="s">
        <v>3926</v>
      </c>
      <c r="H5699" s="270" t="s">
        <v>10384</v>
      </c>
      <c r="I5699" s="270" t="s">
        <v>4073</v>
      </c>
      <c r="J5699" s="270" t="s">
        <v>3928</v>
      </c>
      <c r="K5699" s="270">
        <v>6776</v>
      </c>
      <c r="L5699" s="270">
        <v>253100</v>
      </c>
      <c r="M5699" s="270" t="s">
        <v>3940</v>
      </c>
      <c r="N5699" s="270" t="s">
        <v>3944</v>
      </c>
      <c r="O5699" s="270">
        <v>1665.79</v>
      </c>
      <c r="P5699" s="270" t="s">
        <v>3944</v>
      </c>
      <c r="Q5699" s="270" t="s">
        <v>3944</v>
      </c>
      <c r="R5699" s="270">
        <v>1665.79</v>
      </c>
      <c r="S5699" s="270">
        <v>25848.45</v>
      </c>
      <c r="T5699" s="270">
        <v>27514.240000000002</v>
      </c>
      <c r="U5699" s="271" t="s">
        <v>3945</v>
      </c>
      <c r="V5699" s="267" t="s">
        <v>944</v>
      </c>
    </row>
    <row r="5700" spans="1:22" hidden="1" x14ac:dyDescent="0.25">
      <c r="A5700" s="266">
        <v>43738</v>
      </c>
      <c r="B5700" s="267">
        <v>2019</v>
      </c>
      <c r="C5700" s="267">
        <v>2020</v>
      </c>
      <c r="D5700" s="267">
        <v>1</v>
      </c>
      <c r="E5700" s="267">
        <v>1</v>
      </c>
      <c r="F5700" s="267" t="s">
        <v>944</v>
      </c>
      <c r="G5700" s="267" t="s">
        <v>3926</v>
      </c>
      <c r="H5700" s="267" t="s">
        <v>10385</v>
      </c>
      <c r="I5700" s="267" t="s">
        <v>4947</v>
      </c>
      <c r="J5700" s="267" t="s">
        <v>3928</v>
      </c>
      <c r="K5700" s="267">
        <v>6787</v>
      </c>
      <c r="L5700" s="267">
        <v>349100</v>
      </c>
      <c r="M5700" s="267" t="s">
        <v>3935</v>
      </c>
      <c r="N5700" s="267" t="s">
        <v>3944</v>
      </c>
      <c r="O5700" s="267">
        <v>2553.88</v>
      </c>
      <c r="P5700" s="267" t="s">
        <v>3944</v>
      </c>
      <c r="Q5700" s="267" t="s">
        <v>3944</v>
      </c>
      <c r="R5700" s="267">
        <v>2553.88</v>
      </c>
      <c r="S5700" s="267">
        <v>33241.83</v>
      </c>
      <c r="T5700" s="267">
        <v>35795.71</v>
      </c>
      <c r="U5700" s="268" t="s">
        <v>3945</v>
      </c>
      <c r="V5700" s="267" t="s">
        <v>944</v>
      </c>
    </row>
    <row r="5701" spans="1:22" hidden="1" x14ac:dyDescent="0.25">
      <c r="A5701" s="269">
        <v>43738</v>
      </c>
      <c r="B5701" s="270">
        <v>2019</v>
      </c>
      <c r="C5701" s="270">
        <v>2020</v>
      </c>
      <c r="D5701" s="270">
        <v>1</v>
      </c>
      <c r="E5701" s="270">
        <v>1</v>
      </c>
      <c r="F5701" s="270" t="s">
        <v>944</v>
      </c>
      <c r="G5701" s="270" t="s">
        <v>3926</v>
      </c>
      <c r="H5701" s="270" t="s">
        <v>10386</v>
      </c>
      <c r="I5701" s="270" t="s">
        <v>4947</v>
      </c>
      <c r="J5701" s="270" t="s">
        <v>3928</v>
      </c>
      <c r="K5701" s="270">
        <v>6787</v>
      </c>
      <c r="L5701" s="270">
        <v>349200</v>
      </c>
      <c r="M5701" s="270" t="s">
        <v>3940</v>
      </c>
      <c r="N5701" s="270" t="s">
        <v>3944</v>
      </c>
      <c r="O5701" s="270">
        <v>1790.67</v>
      </c>
      <c r="P5701" s="270" t="s">
        <v>3944</v>
      </c>
      <c r="Q5701" s="270" t="s">
        <v>3944</v>
      </c>
      <c r="R5701" s="270">
        <v>1790.67</v>
      </c>
      <c r="S5701" s="270">
        <v>23422.16</v>
      </c>
      <c r="T5701" s="270">
        <v>25212.83</v>
      </c>
      <c r="U5701" s="271" t="s">
        <v>3945</v>
      </c>
      <c r="V5701" s="267" t="s">
        <v>944</v>
      </c>
    </row>
    <row r="5702" spans="1:22" hidden="1" x14ac:dyDescent="0.25">
      <c r="A5702" s="266">
        <v>43738</v>
      </c>
      <c r="B5702" s="267">
        <v>2019</v>
      </c>
      <c r="C5702" s="267">
        <v>2020</v>
      </c>
      <c r="D5702" s="267">
        <v>1</v>
      </c>
      <c r="E5702" s="267">
        <v>1</v>
      </c>
      <c r="F5702" s="267" t="s">
        <v>944</v>
      </c>
      <c r="G5702" s="267" t="s">
        <v>3926</v>
      </c>
      <c r="H5702" s="267" t="s">
        <v>10387</v>
      </c>
      <c r="I5702" s="267" t="s">
        <v>4147</v>
      </c>
      <c r="J5702" s="267" t="s">
        <v>3928</v>
      </c>
      <c r="K5702" s="267">
        <v>6109</v>
      </c>
      <c r="L5702" s="267">
        <v>492600</v>
      </c>
      <c r="M5702" s="267" t="s">
        <v>3960</v>
      </c>
      <c r="N5702" s="267" t="s">
        <v>3944</v>
      </c>
      <c r="O5702" s="267">
        <v>2791.95</v>
      </c>
      <c r="P5702" s="267" t="s">
        <v>3944</v>
      </c>
      <c r="Q5702" s="267" t="s">
        <v>3944</v>
      </c>
      <c r="R5702" s="267">
        <v>2791.95</v>
      </c>
      <c r="S5702" s="267">
        <v>40470.839999999997</v>
      </c>
      <c r="T5702" s="267">
        <v>43262.79</v>
      </c>
      <c r="U5702" s="268" t="s">
        <v>3945</v>
      </c>
      <c r="V5702" s="267" t="s">
        <v>944</v>
      </c>
    </row>
    <row r="5703" spans="1:22" hidden="1" x14ac:dyDescent="0.25">
      <c r="A5703" s="269">
        <v>43738</v>
      </c>
      <c r="B5703" s="270">
        <v>2019</v>
      </c>
      <c r="C5703" s="270">
        <v>2020</v>
      </c>
      <c r="D5703" s="270">
        <v>1</v>
      </c>
      <c r="E5703" s="270">
        <v>1</v>
      </c>
      <c r="F5703" s="270" t="s">
        <v>944</v>
      </c>
      <c r="G5703" s="270" t="s">
        <v>3926</v>
      </c>
      <c r="H5703" s="270" t="s">
        <v>10388</v>
      </c>
      <c r="I5703" s="270" t="s">
        <v>3939</v>
      </c>
      <c r="J5703" s="270" t="s">
        <v>3928</v>
      </c>
      <c r="K5703" s="270">
        <v>6512</v>
      </c>
      <c r="L5703" s="270">
        <v>180400</v>
      </c>
      <c r="M5703" s="270" t="s">
        <v>3935</v>
      </c>
      <c r="N5703" s="270" t="s">
        <v>3944</v>
      </c>
      <c r="O5703" s="270">
        <v>2709.21</v>
      </c>
      <c r="P5703" s="270" t="s">
        <v>3944</v>
      </c>
      <c r="Q5703" s="270" t="s">
        <v>3944</v>
      </c>
      <c r="R5703" s="270">
        <v>2709.21</v>
      </c>
      <c r="S5703" s="270">
        <v>40043.339999999997</v>
      </c>
      <c r="T5703" s="270">
        <v>42752.55</v>
      </c>
      <c r="U5703" s="271" t="s">
        <v>3945</v>
      </c>
      <c r="V5703" s="267" t="s">
        <v>944</v>
      </c>
    </row>
    <row r="5704" spans="1:22" hidden="1" x14ac:dyDescent="0.25">
      <c r="A5704" s="266">
        <v>43738</v>
      </c>
      <c r="B5704" s="267">
        <v>2019</v>
      </c>
      <c r="C5704" s="267">
        <v>2020</v>
      </c>
      <c r="D5704" s="267">
        <v>1</v>
      </c>
      <c r="E5704" s="267">
        <v>1</v>
      </c>
      <c r="F5704" s="267" t="s">
        <v>944</v>
      </c>
      <c r="G5704" s="267" t="s">
        <v>3926</v>
      </c>
      <c r="H5704" s="267" t="s">
        <v>10389</v>
      </c>
      <c r="I5704" s="267" t="s">
        <v>2985</v>
      </c>
      <c r="J5704" s="267" t="s">
        <v>3928</v>
      </c>
      <c r="K5704" s="267">
        <v>6825</v>
      </c>
      <c r="L5704" s="267">
        <v>61300</v>
      </c>
      <c r="M5704" s="267" t="s">
        <v>3960</v>
      </c>
      <c r="N5704" s="267" t="s">
        <v>3944</v>
      </c>
      <c r="O5704" s="267">
        <v>867.76</v>
      </c>
      <c r="P5704" s="267" t="s">
        <v>3944</v>
      </c>
      <c r="Q5704" s="267" t="s">
        <v>3944</v>
      </c>
      <c r="R5704" s="267">
        <v>867.76</v>
      </c>
      <c r="S5704" s="267">
        <v>12355.5</v>
      </c>
      <c r="T5704" s="267">
        <v>13223.26</v>
      </c>
      <c r="U5704" s="268" t="s">
        <v>3945</v>
      </c>
      <c r="V5704" s="267" t="s">
        <v>944</v>
      </c>
    </row>
    <row r="5705" spans="1:22" hidden="1" x14ac:dyDescent="0.25">
      <c r="A5705" s="269">
        <v>43738</v>
      </c>
      <c r="B5705" s="270">
        <v>2019</v>
      </c>
      <c r="C5705" s="270">
        <v>2020</v>
      </c>
      <c r="D5705" s="270">
        <v>1</v>
      </c>
      <c r="E5705" s="270">
        <v>1</v>
      </c>
      <c r="F5705" s="270" t="s">
        <v>944</v>
      </c>
      <c r="G5705" s="270" t="s">
        <v>3926</v>
      </c>
      <c r="H5705" s="270" t="s">
        <v>10390</v>
      </c>
      <c r="I5705" s="270" t="s">
        <v>943</v>
      </c>
      <c r="J5705" s="270" t="s">
        <v>3928</v>
      </c>
      <c r="K5705" s="270">
        <v>6519</v>
      </c>
      <c r="L5705" s="270">
        <v>361500</v>
      </c>
      <c r="M5705" s="270" t="s">
        <v>3940</v>
      </c>
      <c r="N5705" s="270" t="s">
        <v>3944</v>
      </c>
      <c r="O5705" s="270">
        <v>1352.44</v>
      </c>
      <c r="P5705" s="270" t="s">
        <v>3944</v>
      </c>
      <c r="Q5705" s="270" t="s">
        <v>3944</v>
      </c>
      <c r="R5705" s="270">
        <v>1352.44</v>
      </c>
      <c r="S5705" s="270">
        <v>22585.65</v>
      </c>
      <c r="T5705" s="270">
        <v>23938.09</v>
      </c>
      <c r="U5705" s="271" t="s">
        <v>3945</v>
      </c>
      <c r="V5705" s="267" t="s">
        <v>944</v>
      </c>
    </row>
    <row r="5706" spans="1:22" hidden="1" x14ac:dyDescent="0.25">
      <c r="A5706" s="266">
        <v>43738</v>
      </c>
      <c r="B5706" s="267">
        <v>2019</v>
      </c>
      <c r="C5706" s="267">
        <v>2020</v>
      </c>
      <c r="D5706" s="267">
        <v>1</v>
      </c>
      <c r="E5706" s="267">
        <v>1</v>
      </c>
      <c r="F5706" s="267" t="s">
        <v>944</v>
      </c>
      <c r="G5706" s="267" t="s">
        <v>3926</v>
      </c>
      <c r="H5706" s="267" t="s">
        <v>10391</v>
      </c>
      <c r="I5706" s="267" t="s">
        <v>4065</v>
      </c>
      <c r="J5706" s="267" t="s">
        <v>3928</v>
      </c>
      <c r="K5706" s="267">
        <v>6480</v>
      </c>
      <c r="L5706" s="267">
        <v>560100</v>
      </c>
      <c r="M5706" s="267" t="s">
        <v>3943</v>
      </c>
      <c r="N5706" s="267" t="s">
        <v>3944</v>
      </c>
      <c r="O5706" s="267">
        <v>1234.6300000000001</v>
      </c>
      <c r="P5706" s="267" t="s">
        <v>3944</v>
      </c>
      <c r="Q5706" s="267" t="s">
        <v>3944</v>
      </c>
      <c r="R5706" s="267">
        <v>1234.6300000000001</v>
      </c>
      <c r="S5706" s="267">
        <v>18239.62</v>
      </c>
      <c r="T5706" s="267">
        <v>19474.25</v>
      </c>
      <c r="U5706" s="268" t="s">
        <v>3945</v>
      </c>
      <c r="V5706" s="267" t="s">
        <v>944</v>
      </c>
    </row>
    <row r="5707" spans="1:22" hidden="1" x14ac:dyDescent="0.25">
      <c r="A5707" s="269">
        <v>43738</v>
      </c>
      <c r="B5707" s="270">
        <v>2019</v>
      </c>
      <c r="C5707" s="270">
        <v>2020</v>
      </c>
      <c r="D5707" s="270">
        <v>1</v>
      </c>
      <c r="E5707" s="270">
        <v>1</v>
      </c>
      <c r="F5707" s="270" t="s">
        <v>944</v>
      </c>
      <c r="G5707" s="270" t="s">
        <v>3926</v>
      </c>
      <c r="H5707" s="270" t="s">
        <v>10392</v>
      </c>
      <c r="I5707" s="270" t="s">
        <v>4011</v>
      </c>
      <c r="J5707" s="270" t="s">
        <v>3928</v>
      </c>
      <c r="K5707" s="270">
        <v>6002</v>
      </c>
      <c r="L5707" s="270">
        <v>471300</v>
      </c>
      <c r="M5707" s="270" t="s">
        <v>3935</v>
      </c>
      <c r="N5707" s="270" t="s">
        <v>3944</v>
      </c>
      <c r="O5707" s="270">
        <v>1448.65</v>
      </c>
      <c r="P5707" s="270" t="s">
        <v>3944</v>
      </c>
      <c r="Q5707" s="270" t="s">
        <v>3944</v>
      </c>
      <c r="R5707" s="270">
        <v>1448.65</v>
      </c>
      <c r="S5707" s="270">
        <v>21782.6</v>
      </c>
      <c r="T5707" s="270">
        <v>23231.25</v>
      </c>
      <c r="U5707" s="271" t="s">
        <v>3945</v>
      </c>
      <c r="V5707" s="267" t="s">
        <v>944</v>
      </c>
    </row>
    <row r="5708" spans="1:22" hidden="1" x14ac:dyDescent="0.25">
      <c r="A5708" s="266">
        <v>43738</v>
      </c>
      <c r="B5708" s="267">
        <v>2019</v>
      </c>
      <c r="C5708" s="267">
        <v>2020</v>
      </c>
      <c r="D5708" s="267">
        <v>1</v>
      </c>
      <c r="E5708" s="267">
        <v>1</v>
      </c>
      <c r="F5708" s="267" t="s">
        <v>944</v>
      </c>
      <c r="G5708" s="267" t="s">
        <v>3926</v>
      </c>
      <c r="H5708" s="267" t="s">
        <v>10393</v>
      </c>
      <c r="I5708" s="267" t="s">
        <v>3025</v>
      </c>
      <c r="J5708" s="267" t="s">
        <v>3928</v>
      </c>
      <c r="K5708" s="267">
        <v>6473</v>
      </c>
      <c r="L5708" s="267">
        <v>167202</v>
      </c>
      <c r="M5708" s="267" t="s">
        <v>3935</v>
      </c>
      <c r="N5708" s="267" t="s">
        <v>3944</v>
      </c>
      <c r="O5708" s="267">
        <v>1265.95</v>
      </c>
      <c r="P5708" s="267" t="s">
        <v>3944</v>
      </c>
      <c r="Q5708" s="267" t="s">
        <v>3944</v>
      </c>
      <c r="R5708" s="267">
        <v>1265.95</v>
      </c>
      <c r="S5708" s="267">
        <v>19405.5</v>
      </c>
      <c r="T5708" s="267">
        <v>20671.45</v>
      </c>
      <c r="U5708" s="268" t="s">
        <v>3945</v>
      </c>
      <c r="V5708" s="267" t="s">
        <v>944</v>
      </c>
    </row>
    <row r="5709" spans="1:22" hidden="1" x14ac:dyDescent="0.25">
      <c r="A5709" s="269">
        <v>43738</v>
      </c>
      <c r="B5709" s="270">
        <v>2019</v>
      </c>
      <c r="C5709" s="270">
        <v>2020</v>
      </c>
      <c r="D5709" s="270">
        <v>1</v>
      </c>
      <c r="E5709" s="270">
        <v>1</v>
      </c>
      <c r="F5709" s="270" t="s">
        <v>944</v>
      </c>
      <c r="G5709" s="270" t="s">
        <v>3926</v>
      </c>
      <c r="H5709" s="270" t="s">
        <v>10394</v>
      </c>
      <c r="I5709" s="270" t="s">
        <v>3939</v>
      </c>
      <c r="J5709" s="270" t="s">
        <v>3928</v>
      </c>
      <c r="K5709" s="270">
        <v>6512</v>
      </c>
      <c r="L5709" s="270">
        <v>180601</v>
      </c>
      <c r="M5709" s="270" t="s">
        <v>3940</v>
      </c>
      <c r="N5709" s="270" t="s">
        <v>3944</v>
      </c>
      <c r="O5709" s="270">
        <v>942.83</v>
      </c>
      <c r="P5709" s="270" t="s">
        <v>3944</v>
      </c>
      <c r="Q5709" s="270" t="s">
        <v>3944</v>
      </c>
      <c r="R5709" s="270">
        <v>942.83</v>
      </c>
      <c r="S5709" s="270">
        <v>15070.85</v>
      </c>
      <c r="T5709" s="270">
        <v>16013.68</v>
      </c>
      <c r="U5709" s="271" t="s">
        <v>3945</v>
      </c>
      <c r="V5709" s="267" t="s">
        <v>944</v>
      </c>
    </row>
    <row r="5710" spans="1:22" hidden="1" x14ac:dyDescent="0.25">
      <c r="A5710" s="266">
        <v>43738</v>
      </c>
      <c r="B5710" s="267">
        <v>2019</v>
      </c>
      <c r="C5710" s="267">
        <v>2020</v>
      </c>
      <c r="D5710" s="267">
        <v>1</v>
      </c>
      <c r="E5710" s="267">
        <v>1</v>
      </c>
      <c r="F5710" s="267" t="s">
        <v>944</v>
      </c>
      <c r="G5710" s="267" t="s">
        <v>3926</v>
      </c>
      <c r="H5710" s="267" t="s">
        <v>10395</v>
      </c>
      <c r="I5710" s="267" t="s">
        <v>3009</v>
      </c>
      <c r="J5710" s="267" t="s">
        <v>3928</v>
      </c>
      <c r="K5710" s="267">
        <v>6484</v>
      </c>
      <c r="L5710" s="267">
        <v>110202</v>
      </c>
      <c r="M5710" s="267" t="s">
        <v>3935</v>
      </c>
      <c r="N5710" s="267" t="s">
        <v>3944</v>
      </c>
      <c r="O5710" s="267">
        <v>2444.37</v>
      </c>
      <c r="P5710" s="267" t="s">
        <v>3944</v>
      </c>
      <c r="Q5710" s="267" t="s">
        <v>3944</v>
      </c>
      <c r="R5710" s="267">
        <v>2444.37</v>
      </c>
      <c r="S5710" s="267">
        <v>34864.300000000003</v>
      </c>
      <c r="T5710" s="267">
        <v>37308.67</v>
      </c>
      <c r="U5710" s="268" t="s">
        <v>3945</v>
      </c>
      <c r="V5710" s="267" t="s">
        <v>944</v>
      </c>
    </row>
    <row r="5711" spans="1:22" hidden="1" x14ac:dyDescent="0.25">
      <c r="A5711" s="269">
        <v>43738</v>
      </c>
      <c r="B5711" s="270">
        <v>2019</v>
      </c>
      <c r="C5711" s="270">
        <v>2020</v>
      </c>
      <c r="D5711" s="270">
        <v>1</v>
      </c>
      <c r="E5711" s="270">
        <v>1</v>
      </c>
      <c r="F5711" s="270" t="s">
        <v>944</v>
      </c>
      <c r="G5711" s="270" t="s">
        <v>3926</v>
      </c>
      <c r="H5711" s="270" t="s">
        <v>10396</v>
      </c>
      <c r="I5711" s="270" t="s">
        <v>4213</v>
      </c>
      <c r="J5711" s="270" t="s">
        <v>3928</v>
      </c>
      <c r="K5711" s="270">
        <v>6053</v>
      </c>
      <c r="L5711" s="270">
        <v>416600</v>
      </c>
      <c r="M5711" s="270">
        <v>-60</v>
      </c>
      <c r="N5711" s="270" t="s">
        <v>3944</v>
      </c>
      <c r="O5711" s="270">
        <v>1269.7</v>
      </c>
      <c r="P5711" s="270" t="s">
        <v>3944</v>
      </c>
      <c r="Q5711" s="270" t="s">
        <v>3944</v>
      </c>
      <c r="R5711" s="270">
        <v>1269.7</v>
      </c>
      <c r="S5711" s="270">
        <v>17942.02</v>
      </c>
      <c r="T5711" s="270">
        <v>19211.72</v>
      </c>
      <c r="U5711" s="271" t="s">
        <v>3945</v>
      </c>
      <c r="V5711" s="267" t="s">
        <v>944</v>
      </c>
    </row>
    <row r="5712" spans="1:22" hidden="1" x14ac:dyDescent="0.25">
      <c r="A5712" s="266">
        <v>43738</v>
      </c>
      <c r="B5712" s="267">
        <v>2019</v>
      </c>
      <c r="C5712" s="267">
        <v>2020</v>
      </c>
      <c r="D5712" s="267">
        <v>1</v>
      </c>
      <c r="E5712" s="267">
        <v>1</v>
      </c>
      <c r="F5712" s="267" t="s">
        <v>944</v>
      </c>
      <c r="G5712" s="267" t="s">
        <v>3926</v>
      </c>
      <c r="H5712" s="267" t="s">
        <v>10397</v>
      </c>
      <c r="I5712" s="267" t="s">
        <v>4269</v>
      </c>
      <c r="J5712" s="267" t="s">
        <v>3928</v>
      </c>
      <c r="K5712" s="267">
        <v>6119</v>
      </c>
      <c r="L5712" s="267">
        <v>496900</v>
      </c>
      <c r="M5712" s="267" t="s">
        <v>3960</v>
      </c>
      <c r="N5712" s="267" t="s">
        <v>3944</v>
      </c>
      <c r="O5712" s="267">
        <v>946.16</v>
      </c>
      <c r="P5712" s="267" t="s">
        <v>3944</v>
      </c>
      <c r="Q5712" s="267" t="s">
        <v>3944</v>
      </c>
      <c r="R5712" s="267">
        <v>946.16</v>
      </c>
      <c r="S5712" s="267">
        <v>13887.36</v>
      </c>
      <c r="T5712" s="267">
        <v>14833.52</v>
      </c>
      <c r="U5712" s="268" t="s">
        <v>3945</v>
      </c>
      <c r="V5712" s="267" t="s">
        <v>944</v>
      </c>
    </row>
    <row r="5713" spans="1:22" hidden="1" x14ac:dyDescent="0.25">
      <c r="A5713" s="269">
        <v>43738</v>
      </c>
      <c r="B5713" s="270">
        <v>2019</v>
      </c>
      <c r="C5713" s="270">
        <v>2020</v>
      </c>
      <c r="D5713" s="270">
        <v>1</v>
      </c>
      <c r="E5713" s="270">
        <v>1</v>
      </c>
      <c r="F5713" s="270" t="s">
        <v>944</v>
      </c>
      <c r="G5713" s="270" t="s">
        <v>3926</v>
      </c>
      <c r="H5713" s="270" t="s">
        <v>10398</v>
      </c>
      <c r="I5713" s="270" t="s">
        <v>4147</v>
      </c>
      <c r="J5713" s="270" t="s">
        <v>3928</v>
      </c>
      <c r="K5713" s="270">
        <v>6109</v>
      </c>
      <c r="L5713" s="270">
        <v>492600</v>
      </c>
      <c r="M5713" s="270" t="s">
        <v>3960</v>
      </c>
      <c r="N5713" s="270" t="s">
        <v>3944</v>
      </c>
      <c r="O5713" s="270">
        <v>5195.47</v>
      </c>
      <c r="P5713" s="270" t="s">
        <v>3944</v>
      </c>
      <c r="Q5713" s="270" t="s">
        <v>3944</v>
      </c>
      <c r="R5713" s="270">
        <v>5195.47</v>
      </c>
      <c r="S5713" s="270">
        <v>69910.81</v>
      </c>
      <c r="T5713" s="270">
        <v>75106.28</v>
      </c>
      <c r="U5713" s="271" t="s">
        <v>3945</v>
      </c>
      <c r="V5713" s="267" t="s">
        <v>944</v>
      </c>
    </row>
    <row r="5714" spans="1:22" hidden="1" x14ac:dyDescent="0.25">
      <c r="A5714" s="266">
        <v>43738</v>
      </c>
      <c r="B5714" s="267">
        <v>2019</v>
      </c>
      <c r="C5714" s="267">
        <v>2020</v>
      </c>
      <c r="D5714" s="267">
        <v>1</v>
      </c>
      <c r="E5714" s="267">
        <v>1</v>
      </c>
      <c r="F5714" s="267" t="s">
        <v>944</v>
      </c>
      <c r="G5714" s="267" t="s">
        <v>3926</v>
      </c>
      <c r="H5714" s="267" t="s">
        <v>10399</v>
      </c>
      <c r="I5714" s="267" t="s">
        <v>4947</v>
      </c>
      <c r="J5714" s="267" t="s">
        <v>3928</v>
      </c>
      <c r="K5714" s="267">
        <v>6787</v>
      </c>
      <c r="L5714" s="267">
        <v>349100</v>
      </c>
      <c r="M5714" s="267" t="s">
        <v>3935</v>
      </c>
      <c r="N5714" s="267" t="s">
        <v>3944</v>
      </c>
      <c r="O5714" s="267">
        <v>2027.52</v>
      </c>
      <c r="P5714" s="267" t="s">
        <v>3944</v>
      </c>
      <c r="Q5714" s="267" t="s">
        <v>3944</v>
      </c>
      <c r="R5714" s="267">
        <v>2027.52</v>
      </c>
      <c r="S5714" s="267">
        <v>27289.18</v>
      </c>
      <c r="T5714" s="267">
        <v>29316.7</v>
      </c>
      <c r="U5714" s="268" t="s">
        <v>3945</v>
      </c>
      <c r="V5714" s="267" t="s">
        <v>944</v>
      </c>
    </row>
    <row r="5715" spans="1:22" hidden="1" x14ac:dyDescent="0.25">
      <c r="A5715" s="269">
        <v>43738</v>
      </c>
      <c r="B5715" s="270">
        <v>2019</v>
      </c>
      <c r="C5715" s="270">
        <v>2020</v>
      </c>
      <c r="D5715" s="270">
        <v>1</v>
      </c>
      <c r="E5715" s="270">
        <v>1</v>
      </c>
      <c r="F5715" s="270" t="s">
        <v>944</v>
      </c>
      <c r="G5715" s="270" t="s">
        <v>3926</v>
      </c>
      <c r="H5715" s="270" t="s">
        <v>10400</v>
      </c>
      <c r="I5715" s="270" t="s">
        <v>4200</v>
      </c>
      <c r="J5715" s="270" t="s">
        <v>3928</v>
      </c>
      <c r="K5715" s="270">
        <v>6779</v>
      </c>
      <c r="L5715" s="270">
        <v>360300</v>
      </c>
      <c r="M5715" s="270" t="s">
        <v>3935</v>
      </c>
      <c r="N5715" s="270" t="s">
        <v>3944</v>
      </c>
      <c r="O5715" s="270">
        <v>1820.95</v>
      </c>
      <c r="P5715" s="270" t="s">
        <v>3944</v>
      </c>
      <c r="Q5715" s="270" t="s">
        <v>3944</v>
      </c>
      <c r="R5715" s="270">
        <v>1820.95</v>
      </c>
      <c r="S5715" s="270">
        <v>25165.94</v>
      </c>
      <c r="T5715" s="270">
        <v>26986.89</v>
      </c>
      <c r="U5715" s="271" t="s">
        <v>3945</v>
      </c>
      <c r="V5715" s="267" t="s">
        <v>944</v>
      </c>
    </row>
    <row r="5716" spans="1:22" hidden="1" x14ac:dyDescent="0.25">
      <c r="A5716" s="266">
        <v>43738</v>
      </c>
      <c r="B5716" s="267">
        <v>2019</v>
      </c>
      <c r="C5716" s="267">
        <v>2020</v>
      </c>
      <c r="D5716" s="267">
        <v>1</v>
      </c>
      <c r="E5716" s="267">
        <v>1</v>
      </c>
      <c r="F5716" s="267" t="s">
        <v>944</v>
      </c>
      <c r="G5716" s="267" t="s">
        <v>3926</v>
      </c>
      <c r="H5716" s="267" t="s">
        <v>10401</v>
      </c>
      <c r="I5716" s="267" t="s">
        <v>956</v>
      </c>
      <c r="J5716" s="267" t="s">
        <v>3928</v>
      </c>
      <c r="K5716" s="267">
        <v>6614</v>
      </c>
      <c r="L5716" s="267">
        <v>80900</v>
      </c>
      <c r="M5716" s="267" t="s">
        <v>3960</v>
      </c>
      <c r="N5716" s="267" t="s">
        <v>3944</v>
      </c>
      <c r="O5716" s="267">
        <v>1330.25</v>
      </c>
      <c r="P5716" s="267" t="s">
        <v>3944</v>
      </c>
      <c r="Q5716" s="267" t="s">
        <v>3944</v>
      </c>
      <c r="R5716" s="267">
        <v>1330.25</v>
      </c>
      <c r="S5716" s="267">
        <v>14543.35</v>
      </c>
      <c r="T5716" s="267">
        <v>15873.6</v>
      </c>
      <c r="U5716" s="268" t="s">
        <v>3945</v>
      </c>
      <c r="V5716" s="267" t="s">
        <v>944</v>
      </c>
    </row>
    <row r="5717" spans="1:22" hidden="1" x14ac:dyDescent="0.25">
      <c r="A5717" s="269">
        <v>43738</v>
      </c>
      <c r="B5717" s="270">
        <v>2019</v>
      </c>
      <c r="C5717" s="270">
        <v>2020</v>
      </c>
      <c r="D5717" s="270">
        <v>1</v>
      </c>
      <c r="E5717" s="270">
        <v>1</v>
      </c>
      <c r="F5717" s="270" t="s">
        <v>944</v>
      </c>
      <c r="G5717" s="270" t="s">
        <v>3926</v>
      </c>
      <c r="H5717" s="270" t="s">
        <v>10402</v>
      </c>
      <c r="I5717" s="270" t="s">
        <v>4947</v>
      </c>
      <c r="J5717" s="270" t="s">
        <v>3928</v>
      </c>
      <c r="K5717" s="270">
        <v>6787</v>
      </c>
      <c r="L5717" s="270">
        <v>349100</v>
      </c>
      <c r="M5717" s="270" t="s">
        <v>3935</v>
      </c>
      <c r="N5717" s="270" t="s">
        <v>3944</v>
      </c>
      <c r="O5717" s="270">
        <v>1503.43</v>
      </c>
      <c r="P5717" s="270" t="s">
        <v>3944</v>
      </c>
      <c r="Q5717" s="270" t="s">
        <v>3944</v>
      </c>
      <c r="R5717" s="270">
        <v>1503.43</v>
      </c>
      <c r="S5717" s="270">
        <v>21695.59</v>
      </c>
      <c r="T5717" s="270">
        <v>23199.02</v>
      </c>
      <c r="U5717" s="271" t="s">
        <v>3945</v>
      </c>
      <c r="V5717" s="267" t="s">
        <v>944</v>
      </c>
    </row>
    <row r="5718" spans="1:22" hidden="1" x14ac:dyDescent="0.25">
      <c r="A5718" s="266">
        <v>43738</v>
      </c>
      <c r="B5718" s="267">
        <v>2019</v>
      </c>
      <c r="C5718" s="267">
        <v>2020</v>
      </c>
      <c r="D5718" s="267">
        <v>1</v>
      </c>
      <c r="E5718" s="267">
        <v>1</v>
      </c>
      <c r="F5718" s="267" t="s">
        <v>944</v>
      </c>
      <c r="G5718" s="267" t="s">
        <v>3926</v>
      </c>
      <c r="H5718" s="267" t="s">
        <v>10403</v>
      </c>
      <c r="I5718" s="267" t="s">
        <v>4011</v>
      </c>
      <c r="J5718" s="267" t="s">
        <v>3928</v>
      </c>
      <c r="K5718" s="267">
        <v>6002</v>
      </c>
      <c r="L5718" s="267">
        <v>471400</v>
      </c>
      <c r="M5718" s="267" t="s">
        <v>3943</v>
      </c>
      <c r="N5718" s="267" t="s">
        <v>3944</v>
      </c>
      <c r="O5718" s="267">
        <v>2638.09</v>
      </c>
      <c r="P5718" s="267" t="s">
        <v>3944</v>
      </c>
      <c r="Q5718" s="267" t="s">
        <v>3944</v>
      </c>
      <c r="R5718" s="267">
        <v>2638.09</v>
      </c>
      <c r="S5718" s="267">
        <v>37940.53</v>
      </c>
      <c r="T5718" s="267">
        <v>40578.620000000003</v>
      </c>
      <c r="U5718" s="268" t="s">
        <v>3945</v>
      </c>
      <c r="V5718" s="267" t="s">
        <v>944</v>
      </c>
    </row>
    <row r="5719" spans="1:22" hidden="1" x14ac:dyDescent="0.25">
      <c r="A5719" s="269">
        <v>43738</v>
      </c>
      <c r="B5719" s="270">
        <v>2019</v>
      </c>
      <c r="C5719" s="270">
        <v>2020</v>
      </c>
      <c r="D5719" s="270">
        <v>1</v>
      </c>
      <c r="E5719" s="270">
        <v>1</v>
      </c>
      <c r="F5719" s="270" t="s">
        <v>944</v>
      </c>
      <c r="G5719" s="270" t="s">
        <v>3926</v>
      </c>
      <c r="H5719" s="270" t="s">
        <v>10404</v>
      </c>
      <c r="I5719" s="270" t="s">
        <v>3975</v>
      </c>
      <c r="J5719" s="270" t="s">
        <v>3928</v>
      </c>
      <c r="K5719" s="270">
        <v>6489</v>
      </c>
      <c r="L5719" s="270">
        <v>430602</v>
      </c>
      <c r="M5719" s="270" t="s">
        <v>3960</v>
      </c>
      <c r="N5719" s="270" t="s">
        <v>3944</v>
      </c>
      <c r="O5719" s="270">
        <v>1938.55</v>
      </c>
      <c r="P5719" s="270" t="s">
        <v>3944</v>
      </c>
      <c r="Q5719" s="270" t="s">
        <v>3944</v>
      </c>
      <c r="R5719" s="270">
        <v>1938.55</v>
      </c>
      <c r="S5719" s="270">
        <v>25895.8</v>
      </c>
      <c r="T5719" s="270">
        <v>27834.35</v>
      </c>
      <c r="U5719" s="271" t="s">
        <v>3945</v>
      </c>
      <c r="V5719" s="267" t="s">
        <v>944</v>
      </c>
    </row>
    <row r="5720" spans="1:22" hidden="1" x14ac:dyDescent="0.25">
      <c r="A5720" s="266">
        <v>43738</v>
      </c>
      <c r="B5720" s="267">
        <v>2019</v>
      </c>
      <c r="C5720" s="267">
        <v>2020</v>
      </c>
      <c r="D5720" s="267">
        <v>1</v>
      </c>
      <c r="E5720" s="267">
        <v>1</v>
      </c>
      <c r="F5720" s="267" t="s">
        <v>944</v>
      </c>
      <c r="G5720" s="267" t="s">
        <v>3926</v>
      </c>
      <c r="H5720" s="267" t="s">
        <v>10405</v>
      </c>
      <c r="I5720" s="267" t="s">
        <v>4016</v>
      </c>
      <c r="J5720" s="267" t="s">
        <v>3928</v>
      </c>
      <c r="K5720" s="267">
        <v>6770</v>
      </c>
      <c r="L5720" s="267">
        <v>345400</v>
      </c>
      <c r="M5720" s="267" t="s">
        <v>3935</v>
      </c>
      <c r="N5720" s="267" t="s">
        <v>3944</v>
      </c>
      <c r="O5720" s="267">
        <v>1496.36</v>
      </c>
      <c r="P5720" s="267" t="s">
        <v>3944</v>
      </c>
      <c r="Q5720" s="267" t="s">
        <v>3944</v>
      </c>
      <c r="R5720" s="267">
        <v>1496.36</v>
      </c>
      <c r="S5720" s="267">
        <v>23655.759999999998</v>
      </c>
      <c r="T5720" s="267">
        <v>25152.12</v>
      </c>
      <c r="U5720" s="268" t="s">
        <v>3945</v>
      </c>
      <c r="V5720" s="267" t="s">
        <v>944</v>
      </c>
    </row>
    <row r="5721" spans="1:22" hidden="1" x14ac:dyDescent="0.25">
      <c r="A5721" s="269">
        <v>43738</v>
      </c>
      <c r="B5721" s="270">
        <v>2019</v>
      </c>
      <c r="C5721" s="270">
        <v>2020</v>
      </c>
      <c r="D5721" s="270">
        <v>1</v>
      </c>
      <c r="E5721" s="270">
        <v>1</v>
      </c>
      <c r="F5721" s="270" t="s">
        <v>944</v>
      </c>
      <c r="G5721" s="270" t="s">
        <v>3926</v>
      </c>
      <c r="H5721" s="270" t="s">
        <v>10406</v>
      </c>
      <c r="I5721" s="270" t="s">
        <v>4172</v>
      </c>
      <c r="J5721" s="270" t="s">
        <v>3928</v>
      </c>
      <c r="K5721" s="270">
        <v>6786</v>
      </c>
      <c r="L5721" s="270">
        <v>425300</v>
      </c>
      <c r="M5721" s="270" t="s">
        <v>3960</v>
      </c>
      <c r="N5721" s="270" t="s">
        <v>3944</v>
      </c>
      <c r="O5721" s="270">
        <v>4254.1099999999997</v>
      </c>
      <c r="P5721" s="270" t="s">
        <v>3944</v>
      </c>
      <c r="Q5721" s="270" t="s">
        <v>3944</v>
      </c>
      <c r="R5721" s="270">
        <v>4254.1099999999997</v>
      </c>
      <c r="S5721" s="270">
        <v>47764.99</v>
      </c>
      <c r="T5721" s="270">
        <v>52019.1</v>
      </c>
      <c r="U5721" s="271" t="s">
        <v>3945</v>
      </c>
      <c r="V5721" s="267" t="s">
        <v>944</v>
      </c>
    </row>
    <row r="5722" spans="1:22" hidden="1" x14ac:dyDescent="0.25">
      <c r="A5722" s="266">
        <v>43738</v>
      </c>
      <c r="B5722" s="267">
        <v>2019</v>
      </c>
      <c r="C5722" s="267">
        <v>2020</v>
      </c>
      <c r="D5722" s="267">
        <v>1</v>
      </c>
      <c r="E5722" s="267">
        <v>1</v>
      </c>
      <c r="F5722" s="267" t="s">
        <v>944</v>
      </c>
      <c r="G5722" s="267" t="s">
        <v>3926</v>
      </c>
      <c r="H5722" s="267" t="s">
        <v>10407</v>
      </c>
      <c r="I5722" s="267" t="s">
        <v>4947</v>
      </c>
      <c r="J5722" s="267" t="s">
        <v>3928</v>
      </c>
      <c r="K5722" s="267">
        <v>6787</v>
      </c>
      <c r="L5722" s="267">
        <v>349100</v>
      </c>
      <c r="M5722" s="267" t="s">
        <v>3935</v>
      </c>
      <c r="N5722" s="267" t="s">
        <v>3944</v>
      </c>
      <c r="O5722" s="267">
        <v>2180.9899999999998</v>
      </c>
      <c r="P5722" s="267" t="s">
        <v>3944</v>
      </c>
      <c r="Q5722" s="267" t="s">
        <v>3944</v>
      </c>
      <c r="R5722" s="267">
        <v>2180.9899999999998</v>
      </c>
      <c r="S5722" s="267">
        <v>29412.92</v>
      </c>
      <c r="T5722" s="267">
        <v>31593.91</v>
      </c>
      <c r="U5722" s="268" t="s">
        <v>3945</v>
      </c>
      <c r="V5722" s="267" t="s">
        <v>944</v>
      </c>
    </row>
    <row r="5723" spans="1:22" hidden="1" x14ac:dyDescent="0.25">
      <c r="A5723" s="269">
        <v>43738</v>
      </c>
      <c r="B5723" s="270">
        <v>2019</v>
      </c>
      <c r="C5723" s="270">
        <v>2020</v>
      </c>
      <c r="D5723" s="270">
        <v>1</v>
      </c>
      <c r="E5723" s="270">
        <v>1</v>
      </c>
      <c r="F5723" s="270" t="s">
        <v>944</v>
      </c>
      <c r="G5723" s="270" t="s">
        <v>3926</v>
      </c>
      <c r="H5723" s="270" t="s">
        <v>10408</v>
      </c>
      <c r="I5723" s="270" t="s">
        <v>3009</v>
      </c>
      <c r="J5723" s="270" t="s">
        <v>3928</v>
      </c>
      <c r="K5723" s="270">
        <v>6484</v>
      </c>
      <c r="L5723" s="270">
        <v>110201</v>
      </c>
      <c r="M5723" s="270" t="s">
        <v>3960</v>
      </c>
      <c r="N5723" s="270" t="s">
        <v>3944</v>
      </c>
      <c r="O5723" s="270">
        <v>1841.88</v>
      </c>
      <c r="P5723" s="270" t="s">
        <v>3944</v>
      </c>
      <c r="Q5723" s="270" t="s">
        <v>3944</v>
      </c>
      <c r="R5723" s="270">
        <v>1841.88</v>
      </c>
      <c r="S5723" s="270">
        <v>26415.47</v>
      </c>
      <c r="T5723" s="270">
        <v>28257.35</v>
      </c>
      <c r="U5723" s="271" t="s">
        <v>3945</v>
      </c>
      <c r="V5723" s="267" t="s">
        <v>944</v>
      </c>
    </row>
    <row r="5724" spans="1:22" hidden="1" x14ac:dyDescent="0.25">
      <c r="A5724" s="266">
        <v>43738</v>
      </c>
      <c r="B5724" s="267">
        <v>2019</v>
      </c>
      <c r="C5724" s="267">
        <v>2020</v>
      </c>
      <c r="D5724" s="267">
        <v>1</v>
      </c>
      <c r="E5724" s="267">
        <v>1</v>
      </c>
      <c r="F5724" s="267" t="s">
        <v>944</v>
      </c>
      <c r="G5724" s="267" t="s">
        <v>3926</v>
      </c>
      <c r="H5724" s="267" t="s">
        <v>10409</v>
      </c>
      <c r="I5724" s="267" t="s">
        <v>4108</v>
      </c>
      <c r="J5724" s="267" t="s">
        <v>3928</v>
      </c>
      <c r="K5724" s="267">
        <v>6082</v>
      </c>
      <c r="L5724" s="267">
        <v>524300</v>
      </c>
      <c r="M5724" s="267" t="s">
        <v>3960</v>
      </c>
      <c r="N5724" s="267" t="s">
        <v>3944</v>
      </c>
      <c r="O5724" s="267">
        <v>1059.5899999999999</v>
      </c>
      <c r="P5724" s="267" t="s">
        <v>3944</v>
      </c>
      <c r="Q5724" s="267" t="s">
        <v>3944</v>
      </c>
      <c r="R5724" s="267">
        <v>1059.5899999999999</v>
      </c>
      <c r="S5724" s="267">
        <v>14717.87</v>
      </c>
      <c r="T5724" s="267">
        <v>15777.46</v>
      </c>
      <c r="U5724" s="268" t="s">
        <v>3945</v>
      </c>
      <c r="V5724" s="267" t="s">
        <v>944</v>
      </c>
    </row>
    <row r="5725" spans="1:22" hidden="1" x14ac:dyDescent="0.25">
      <c r="A5725" s="269">
        <v>43738</v>
      </c>
      <c r="B5725" s="270">
        <v>2019</v>
      </c>
      <c r="C5725" s="270">
        <v>2020</v>
      </c>
      <c r="D5725" s="270">
        <v>1</v>
      </c>
      <c r="E5725" s="270">
        <v>1</v>
      </c>
      <c r="F5725" s="270" t="s">
        <v>944</v>
      </c>
      <c r="G5725" s="270" t="s">
        <v>3926</v>
      </c>
      <c r="H5725" s="270" t="s">
        <v>10410</v>
      </c>
      <c r="I5725" s="270" t="s">
        <v>3996</v>
      </c>
      <c r="J5725" s="270" t="s">
        <v>3928</v>
      </c>
      <c r="K5725" s="270">
        <v>6790</v>
      </c>
      <c r="L5725" s="270">
        <v>310602</v>
      </c>
      <c r="M5725" s="270" t="s">
        <v>3935</v>
      </c>
      <c r="N5725" s="270" t="s">
        <v>3944</v>
      </c>
      <c r="O5725" s="270">
        <v>1701.88</v>
      </c>
      <c r="P5725" s="270" t="s">
        <v>3944</v>
      </c>
      <c r="Q5725" s="270" t="s">
        <v>3944</v>
      </c>
      <c r="R5725" s="270">
        <v>1701.88</v>
      </c>
      <c r="S5725" s="270">
        <v>24994.07</v>
      </c>
      <c r="T5725" s="270">
        <v>26695.95</v>
      </c>
      <c r="U5725" s="271" t="s">
        <v>3945</v>
      </c>
      <c r="V5725" s="267" t="s">
        <v>944</v>
      </c>
    </row>
    <row r="5726" spans="1:22" hidden="1" x14ac:dyDescent="0.25">
      <c r="A5726" s="266">
        <v>43738</v>
      </c>
      <c r="B5726" s="267">
        <v>2019</v>
      </c>
      <c r="C5726" s="267">
        <v>2020</v>
      </c>
      <c r="D5726" s="267">
        <v>1</v>
      </c>
      <c r="E5726" s="267">
        <v>1</v>
      </c>
      <c r="F5726" s="267" t="s">
        <v>944</v>
      </c>
      <c r="G5726" s="267" t="s">
        <v>3926</v>
      </c>
      <c r="H5726" s="267" t="s">
        <v>10411</v>
      </c>
      <c r="I5726" s="267" t="s">
        <v>4019</v>
      </c>
      <c r="J5726" s="267" t="s">
        <v>3928</v>
      </c>
      <c r="K5726" s="267">
        <v>6708</v>
      </c>
      <c r="L5726" s="267">
        <v>351602</v>
      </c>
      <c r="M5726" s="267" t="s">
        <v>3940</v>
      </c>
      <c r="N5726" s="267" t="s">
        <v>3944</v>
      </c>
      <c r="O5726" s="267">
        <v>652.89</v>
      </c>
      <c r="P5726" s="267" t="s">
        <v>3944</v>
      </c>
      <c r="Q5726" s="267" t="s">
        <v>3944</v>
      </c>
      <c r="R5726" s="267">
        <v>652.89</v>
      </c>
      <c r="S5726" s="267">
        <v>9568.86</v>
      </c>
      <c r="T5726" s="267">
        <v>10221.75</v>
      </c>
      <c r="U5726" s="268" t="s">
        <v>3945</v>
      </c>
      <c r="V5726" s="267" t="s">
        <v>944</v>
      </c>
    </row>
    <row r="5727" spans="1:22" hidden="1" x14ac:dyDescent="0.25">
      <c r="A5727" s="269">
        <v>43738</v>
      </c>
      <c r="B5727" s="270">
        <v>2019</v>
      </c>
      <c r="C5727" s="270">
        <v>2020</v>
      </c>
      <c r="D5727" s="270">
        <v>1</v>
      </c>
      <c r="E5727" s="270">
        <v>1</v>
      </c>
      <c r="F5727" s="270" t="s">
        <v>944</v>
      </c>
      <c r="G5727" s="270" t="s">
        <v>3926</v>
      </c>
      <c r="H5727" s="270" t="s">
        <v>10412</v>
      </c>
      <c r="I5727" s="270" t="s">
        <v>4111</v>
      </c>
      <c r="J5727" s="270" t="s">
        <v>3928</v>
      </c>
      <c r="K5727" s="270">
        <v>6095</v>
      </c>
      <c r="L5727" s="270">
        <v>473100</v>
      </c>
      <c r="M5727" s="270" t="s">
        <v>3960</v>
      </c>
      <c r="N5727" s="270" t="s">
        <v>3944</v>
      </c>
      <c r="O5727" s="270">
        <v>2016.53</v>
      </c>
      <c r="P5727" s="270" t="s">
        <v>3944</v>
      </c>
      <c r="Q5727" s="270" t="s">
        <v>3944</v>
      </c>
      <c r="R5727" s="270">
        <v>2016.53</v>
      </c>
      <c r="S5727" s="270">
        <v>26256.46</v>
      </c>
      <c r="T5727" s="270">
        <v>28272.99</v>
      </c>
      <c r="U5727" s="271" t="s">
        <v>3945</v>
      </c>
      <c r="V5727" s="267" t="s">
        <v>944</v>
      </c>
    </row>
    <row r="5728" spans="1:22" hidden="1" x14ac:dyDescent="0.25">
      <c r="A5728" s="266">
        <v>43738</v>
      </c>
      <c r="B5728" s="267">
        <v>2019</v>
      </c>
      <c r="C5728" s="267">
        <v>2020</v>
      </c>
      <c r="D5728" s="267">
        <v>1</v>
      </c>
      <c r="E5728" s="267">
        <v>1</v>
      </c>
      <c r="F5728" s="267" t="s">
        <v>944</v>
      </c>
      <c r="G5728" s="267" t="s">
        <v>3926</v>
      </c>
      <c r="H5728" s="267" t="s">
        <v>10413</v>
      </c>
      <c r="I5728" s="267" t="s">
        <v>3939</v>
      </c>
      <c r="J5728" s="267" t="s">
        <v>3928</v>
      </c>
      <c r="K5728" s="267">
        <v>6512</v>
      </c>
      <c r="L5728" s="267">
        <v>180500</v>
      </c>
      <c r="M5728" s="267" t="s">
        <v>3935</v>
      </c>
      <c r="N5728" s="267" t="s">
        <v>3944</v>
      </c>
      <c r="O5728" s="267">
        <v>2075.0100000000002</v>
      </c>
      <c r="P5728" s="267" t="s">
        <v>3944</v>
      </c>
      <c r="Q5728" s="267" t="s">
        <v>3944</v>
      </c>
      <c r="R5728" s="267">
        <v>2075.0100000000002</v>
      </c>
      <c r="S5728" s="267">
        <v>35687.19</v>
      </c>
      <c r="T5728" s="267">
        <v>37762.199999999997</v>
      </c>
      <c r="U5728" s="268" t="s">
        <v>3945</v>
      </c>
      <c r="V5728" s="267" t="s">
        <v>944</v>
      </c>
    </row>
    <row r="5729" spans="1:22" hidden="1" x14ac:dyDescent="0.25">
      <c r="A5729" s="269">
        <v>43738</v>
      </c>
      <c r="B5729" s="270">
        <v>2019</v>
      </c>
      <c r="C5729" s="270">
        <v>2020</v>
      </c>
      <c r="D5729" s="270">
        <v>1</v>
      </c>
      <c r="E5729" s="270">
        <v>1</v>
      </c>
      <c r="F5729" s="270" t="s">
        <v>944</v>
      </c>
      <c r="G5729" s="270" t="s">
        <v>3926</v>
      </c>
      <c r="H5729" s="270" t="s">
        <v>10414</v>
      </c>
      <c r="I5729" s="270" t="s">
        <v>2987</v>
      </c>
      <c r="J5729" s="270" t="s">
        <v>3928</v>
      </c>
      <c r="K5729" s="270">
        <v>6611</v>
      </c>
      <c r="L5729" s="270">
        <v>90700</v>
      </c>
      <c r="M5729" s="270" t="s">
        <v>3943</v>
      </c>
      <c r="N5729" s="270" t="s">
        <v>3944</v>
      </c>
      <c r="O5729" s="270">
        <v>1274.46</v>
      </c>
      <c r="P5729" s="270" t="s">
        <v>3944</v>
      </c>
      <c r="Q5729" s="270" t="s">
        <v>3944</v>
      </c>
      <c r="R5729" s="270">
        <v>1274.46</v>
      </c>
      <c r="S5729" s="270">
        <v>19890.34</v>
      </c>
      <c r="T5729" s="270">
        <v>21164.799999999999</v>
      </c>
      <c r="U5729" s="271" t="s">
        <v>3945</v>
      </c>
      <c r="V5729" s="267" t="s">
        <v>944</v>
      </c>
    </row>
    <row r="5730" spans="1:22" hidden="1" x14ac:dyDescent="0.25">
      <c r="A5730" s="266">
        <v>43738</v>
      </c>
      <c r="B5730" s="267">
        <v>2019</v>
      </c>
      <c r="C5730" s="267">
        <v>2020</v>
      </c>
      <c r="D5730" s="267">
        <v>1</v>
      </c>
      <c r="E5730" s="267">
        <v>1</v>
      </c>
      <c r="F5730" s="267" t="s">
        <v>944</v>
      </c>
      <c r="G5730" s="267" t="s">
        <v>3926</v>
      </c>
      <c r="H5730" s="267" t="s">
        <v>10415</v>
      </c>
      <c r="I5730" s="267" t="s">
        <v>4159</v>
      </c>
      <c r="J5730" s="267" t="s">
        <v>3928</v>
      </c>
      <c r="K5730" s="267">
        <v>6088</v>
      </c>
      <c r="L5730" s="267">
        <v>484100</v>
      </c>
      <c r="M5730" s="267" t="s">
        <v>3935</v>
      </c>
      <c r="N5730" s="267" t="s">
        <v>10416</v>
      </c>
      <c r="O5730" s="267"/>
      <c r="P5730" s="267" t="s">
        <v>3944</v>
      </c>
      <c r="Q5730" s="267" t="s">
        <v>10416</v>
      </c>
      <c r="R5730" s="267">
        <v>617193.02</v>
      </c>
      <c r="S5730" s="267">
        <v>44400</v>
      </c>
      <c r="T5730" s="267">
        <v>661593.02</v>
      </c>
      <c r="U5730" s="268" t="s">
        <v>4099</v>
      </c>
      <c r="V5730" s="267" t="s">
        <v>944</v>
      </c>
    </row>
    <row r="5731" spans="1:22" hidden="1" x14ac:dyDescent="0.25">
      <c r="A5731" s="269">
        <v>43738</v>
      </c>
      <c r="B5731" s="270">
        <v>2019</v>
      </c>
      <c r="C5731" s="270">
        <v>2020</v>
      </c>
      <c r="D5731" s="270">
        <v>1</v>
      </c>
      <c r="E5731" s="270">
        <v>1</v>
      </c>
      <c r="F5731" s="270" t="s">
        <v>944</v>
      </c>
      <c r="G5731" s="270" t="s">
        <v>3926</v>
      </c>
      <c r="H5731" s="270" t="s">
        <v>10417</v>
      </c>
      <c r="I5731" s="270" t="s">
        <v>4005</v>
      </c>
      <c r="J5731" s="270" t="s">
        <v>3928</v>
      </c>
      <c r="K5731" s="270">
        <v>6108</v>
      </c>
      <c r="L5731" s="270">
        <v>511300</v>
      </c>
      <c r="M5731" s="270">
        <v>-60</v>
      </c>
      <c r="N5731" s="270" t="s">
        <v>3944</v>
      </c>
      <c r="O5731" s="270">
        <v>1561.49</v>
      </c>
      <c r="P5731" s="270" t="s">
        <v>3944</v>
      </c>
      <c r="Q5731" s="270" t="s">
        <v>3944</v>
      </c>
      <c r="R5731" s="270">
        <v>1561.49</v>
      </c>
      <c r="S5731" s="270">
        <v>21725.86</v>
      </c>
      <c r="T5731" s="270">
        <v>23287.35</v>
      </c>
      <c r="U5731" s="271" t="s">
        <v>3945</v>
      </c>
      <c r="V5731" s="267" t="s">
        <v>944</v>
      </c>
    </row>
    <row r="5732" spans="1:22" hidden="1" x14ac:dyDescent="0.25">
      <c r="A5732" s="266">
        <v>43738</v>
      </c>
      <c r="B5732" s="267">
        <v>2019</v>
      </c>
      <c r="C5732" s="267">
        <v>2020</v>
      </c>
      <c r="D5732" s="267">
        <v>1</v>
      </c>
      <c r="E5732" s="267">
        <v>1</v>
      </c>
      <c r="F5732" s="267" t="s">
        <v>944</v>
      </c>
      <c r="G5732" s="267" t="s">
        <v>3926</v>
      </c>
      <c r="H5732" s="267" t="s">
        <v>10418</v>
      </c>
      <c r="I5732" s="267" t="s">
        <v>4168</v>
      </c>
      <c r="J5732" s="267" t="s">
        <v>3928</v>
      </c>
      <c r="K5732" s="267">
        <v>6475</v>
      </c>
      <c r="L5732" s="267">
        <v>670200</v>
      </c>
      <c r="M5732" s="267" t="s">
        <v>3935</v>
      </c>
      <c r="N5732" s="267" t="s">
        <v>3944</v>
      </c>
      <c r="O5732" s="267">
        <v>921.66</v>
      </c>
      <c r="P5732" s="267" t="s">
        <v>3944</v>
      </c>
      <c r="Q5732" s="267" t="s">
        <v>3944</v>
      </c>
      <c r="R5732" s="267">
        <v>921.66</v>
      </c>
      <c r="S5732" s="267">
        <v>13358.68</v>
      </c>
      <c r="T5732" s="267">
        <v>14280.34</v>
      </c>
      <c r="U5732" s="268" t="s">
        <v>3945</v>
      </c>
      <c r="V5732" s="267" t="s">
        <v>944</v>
      </c>
    </row>
    <row r="5733" spans="1:22" hidden="1" x14ac:dyDescent="0.25">
      <c r="A5733" s="269">
        <v>43738</v>
      </c>
      <c r="B5733" s="270">
        <v>2019</v>
      </c>
      <c r="C5733" s="270">
        <v>2020</v>
      </c>
      <c r="D5733" s="270">
        <v>1</v>
      </c>
      <c r="E5733" s="270">
        <v>1</v>
      </c>
      <c r="F5733" s="270" t="s">
        <v>944</v>
      </c>
      <c r="G5733" s="270" t="s">
        <v>3926</v>
      </c>
      <c r="H5733" s="270" t="s">
        <v>10419</v>
      </c>
      <c r="I5733" s="270" t="s">
        <v>4005</v>
      </c>
      <c r="J5733" s="270" t="s">
        <v>3928</v>
      </c>
      <c r="K5733" s="270">
        <v>6108</v>
      </c>
      <c r="L5733" s="270">
        <v>511400</v>
      </c>
      <c r="M5733" s="270" t="s">
        <v>3935</v>
      </c>
      <c r="N5733" s="270" t="s">
        <v>3944</v>
      </c>
      <c r="O5733" s="270">
        <v>2459.52</v>
      </c>
      <c r="P5733" s="270" t="s">
        <v>3944</v>
      </c>
      <c r="Q5733" s="270" t="s">
        <v>3944</v>
      </c>
      <c r="R5733" s="270">
        <v>2459.52</v>
      </c>
      <c r="S5733" s="270">
        <v>34157.22</v>
      </c>
      <c r="T5733" s="270">
        <v>36616.74</v>
      </c>
      <c r="U5733" s="271" t="s">
        <v>3945</v>
      </c>
      <c r="V5733" s="267" t="s">
        <v>944</v>
      </c>
    </row>
    <row r="5734" spans="1:22" hidden="1" x14ac:dyDescent="0.25">
      <c r="A5734" s="266">
        <v>43738</v>
      </c>
      <c r="B5734" s="267">
        <v>2019</v>
      </c>
      <c r="C5734" s="267">
        <v>2020</v>
      </c>
      <c r="D5734" s="267">
        <v>1</v>
      </c>
      <c r="E5734" s="267">
        <v>1</v>
      </c>
      <c r="F5734" s="267" t="s">
        <v>944</v>
      </c>
      <c r="G5734" s="267" t="s">
        <v>3926</v>
      </c>
      <c r="H5734" s="267" t="s">
        <v>10420</v>
      </c>
      <c r="I5734" s="267" t="s">
        <v>4008</v>
      </c>
      <c r="J5734" s="267" t="s">
        <v>3928</v>
      </c>
      <c r="K5734" s="267">
        <v>6320</v>
      </c>
      <c r="L5734" s="267">
        <v>690400</v>
      </c>
      <c r="M5734" s="267">
        <v>-60</v>
      </c>
      <c r="N5734" s="267" t="s">
        <v>3944</v>
      </c>
      <c r="O5734" s="267">
        <v>1402.42</v>
      </c>
      <c r="P5734" s="267" t="s">
        <v>3944</v>
      </c>
      <c r="Q5734" s="267" t="s">
        <v>3944</v>
      </c>
      <c r="R5734" s="267">
        <v>1402.42</v>
      </c>
      <c r="S5734" s="267">
        <v>21802.45</v>
      </c>
      <c r="T5734" s="267">
        <v>23204.87</v>
      </c>
      <c r="U5734" s="268" t="s">
        <v>3945</v>
      </c>
      <c r="V5734" s="267" t="s">
        <v>944</v>
      </c>
    </row>
    <row r="5735" spans="1:22" hidden="1" x14ac:dyDescent="0.25">
      <c r="A5735" s="269">
        <v>43739</v>
      </c>
      <c r="B5735" s="270">
        <v>2019</v>
      </c>
      <c r="C5735" s="270">
        <v>2020</v>
      </c>
      <c r="D5735" s="270">
        <v>1</v>
      </c>
      <c r="E5735" s="270">
        <v>1</v>
      </c>
      <c r="F5735" s="270" t="s">
        <v>944</v>
      </c>
      <c r="G5735" s="270" t="s">
        <v>3926</v>
      </c>
      <c r="H5735" s="270" t="s">
        <v>10421</v>
      </c>
      <c r="I5735" s="270" t="s">
        <v>3025</v>
      </c>
      <c r="J5735" s="270" t="s">
        <v>3928</v>
      </c>
      <c r="K5735" s="270">
        <v>6473</v>
      </c>
      <c r="L5735" s="270">
        <v>167300</v>
      </c>
      <c r="M5735" s="270" t="s">
        <v>3943</v>
      </c>
      <c r="N5735" s="270" t="s">
        <v>10422</v>
      </c>
      <c r="O5735" s="270">
        <v>0</v>
      </c>
      <c r="P5735" s="270" t="s">
        <v>3930</v>
      </c>
      <c r="Q5735" s="270" t="s">
        <v>3930</v>
      </c>
      <c r="R5735" s="270">
        <v>0</v>
      </c>
      <c r="S5735" s="270">
        <v>6595</v>
      </c>
      <c r="T5735" s="270">
        <v>6595</v>
      </c>
      <c r="U5735" s="271" t="s">
        <v>3937</v>
      </c>
      <c r="V5735" s="267" t="s">
        <v>944</v>
      </c>
    </row>
    <row r="5736" spans="1:22" hidden="1" x14ac:dyDescent="0.25">
      <c r="A5736" s="266">
        <v>43739</v>
      </c>
      <c r="B5736" s="267">
        <v>2019</v>
      </c>
      <c r="C5736" s="267">
        <v>2020</v>
      </c>
      <c r="D5736" s="267">
        <v>1</v>
      </c>
      <c r="E5736" s="267">
        <v>1</v>
      </c>
      <c r="F5736" s="267" t="s">
        <v>944</v>
      </c>
      <c r="G5736" s="267" t="s">
        <v>3926</v>
      </c>
      <c r="H5736" s="267" t="s">
        <v>10423</v>
      </c>
      <c r="I5736" s="267" t="s">
        <v>943</v>
      </c>
      <c r="J5736" s="267" t="s">
        <v>3928</v>
      </c>
      <c r="K5736" s="267">
        <v>6515</v>
      </c>
      <c r="L5736" s="267">
        <v>141100</v>
      </c>
      <c r="M5736" s="267" t="s">
        <v>3960</v>
      </c>
      <c r="N5736" s="267" t="s">
        <v>10424</v>
      </c>
      <c r="O5736" s="267">
        <v>0</v>
      </c>
      <c r="P5736" s="267" t="s">
        <v>3930</v>
      </c>
      <c r="Q5736" s="267" t="s">
        <v>3930</v>
      </c>
      <c r="R5736" s="267">
        <v>0</v>
      </c>
      <c r="S5736" s="267">
        <v>5696</v>
      </c>
      <c r="T5736" s="267">
        <v>5696</v>
      </c>
      <c r="U5736" s="268" t="s">
        <v>3937</v>
      </c>
      <c r="V5736" s="267" t="s">
        <v>944</v>
      </c>
    </row>
    <row r="5737" spans="1:22" hidden="1" x14ac:dyDescent="0.25">
      <c r="A5737" s="269">
        <v>43739</v>
      </c>
      <c r="B5737" s="270">
        <v>2019</v>
      </c>
      <c r="C5737" s="270">
        <v>2020</v>
      </c>
      <c r="D5737" s="270">
        <v>1</v>
      </c>
      <c r="E5737" s="270">
        <v>1</v>
      </c>
      <c r="F5737" s="270" t="s">
        <v>944</v>
      </c>
      <c r="G5737" s="270" t="s">
        <v>3926</v>
      </c>
      <c r="H5737" s="270" t="s">
        <v>10425</v>
      </c>
      <c r="I5737" s="270" t="s">
        <v>4019</v>
      </c>
      <c r="J5737" s="270" t="s">
        <v>3928</v>
      </c>
      <c r="K5737" s="270">
        <v>6708</v>
      </c>
      <c r="L5737" s="270">
        <v>352000</v>
      </c>
      <c r="M5737" s="270" t="s">
        <v>3935</v>
      </c>
      <c r="N5737" s="270" t="s">
        <v>10426</v>
      </c>
      <c r="O5737" s="270">
        <v>0</v>
      </c>
      <c r="P5737" s="270" t="s">
        <v>3930</v>
      </c>
      <c r="Q5737" s="270" t="s">
        <v>3930</v>
      </c>
      <c r="R5737" s="270">
        <v>0</v>
      </c>
      <c r="S5737" s="270">
        <v>19114.53</v>
      </c>
      <c r="T5737" s="270">
        <v>19114.53</v>
      </c>
      <c r="U5737" s="271" t="s">
        <v>3937</v>
      </c>
      <c r="V5737" s="267" t="s">
        <v>944</v>
      </c>
    </row>
    <row r="5738" spans="1:22" hidden="1" x14ac:dyDescent="0.25">
      <c r="A5738" s="266">
        <v>43739</v>
      </c>
      <c r="B5738" s="267">
        <v>2019</v>
      </c>
      <c r="C5738" s="267">
        <v>2020</v>
      </c>
      <c r="D5738" s="267">
        <v>1</v>
      </c>
      <c r="E5738" s="267">
        <v>1</v>
      </c>
      <c r="F5738" s="267" t="s">
        <v>944</v>
      </c>
      <c r="G5738" s="267" t="s">
        <v>3926</v>
      </c>
      <c r="H5738" s="267" t="s">
        <v>10427</v>
      </c>
      <c r="I5738" s="267" t="s">
        <v>934</v>
      </c>
      <c r="J5738" s="267" t="s">
        <v>3928</v>
      </c>
      <c r="K5738" s="267">
        <v>6606</v>
      </c>
      <c r="L5738" s="267">
        <v>72600</v>
      </c>
      <c r="M5738" s="267" t="s">
        <v>3940</v>
      </c>
      <c r="N5738" s="267" t="s">
        <v>6630</v>
      </c>
      <c r="O5738" s="267">
        <v>0</v>
      </c>
      <c r="P5738" s="267" t="s">
        <v>3930</v>
      </c>
      <c r="Q5738" s="267" t="s">
        <v>3930</v>
      </c>
      <c r="R5738" s="267">
        <v>0</v>
      </c>
      <c r="S5738" s="267">
        <v>13000</v>
      </c>
      <c r="T5738" s="267">
        <v>13000</v>
      </c>
      <c r="U5738" s="268" t="s">
        <v>3937</v>
      </c>
      <c r="V5738" s="267" t="s">
        <v>944</v>
      </c>
    </row>
    <row r="5739" spans="1:22" x14ac:dyDescent="0.25">
      <c r="A5739" s="269">
        <v>43739</v>
      </c>
      <c r="B5739" s="270">
        <v>2019</v>
      </c>
      <c r="C5739" s="270">
        <v>2020</v>
      </c>
      <c r="D5739" s="270">
        <v>1</v>
      </c>
      <c r="E5739" s="270">
        <v>1</v>
      </c>
      <c r="F5739" s="270" t="s">
        <v>944</v>
      </c>
      <c r="G5739" s="270" t="s">
        <v>3926</v>
      </c>
      <c r="H5739" s="270" t="s">
        <v>10428</v>
      </c>
      <c r="I5739" s="270" t="s">
        <v>4213</v>
      </c>
      <c r="J5739" s="270" t="s">
        <v>3928</v>
      </c>
      <c r="K5739" s="270">
        <v>6050</v>
      </c>
      <c r="L5739" s="270">
        <v>417100</v>
      </c>
      <c r="M5739" s="270">
        <v>-60</v>
      </c>
      <c r="N5739" s="270" t="s">
        <v>3983</v>
      </c>
      <c r="O5739" s="270">
        <v>1232.3499999999999</v>
      </c>
      <c r="P5739" s="270" t="s">
        <v>3930</v>
      </c>
      <c r="Q5739" s="270" t="s">
        <v>3931</v>
      </c>
      <c r="R5739" s="270">
        <v>6232.35</v>
      </c>
      <c r="S5739" s="270">
        <v>16504</v>
      </c>
      <c r="T5739" s="270">
        <v>22736.35</v>
      </c>
      <c r="U5739" s="271" t="s">
        <v>3932</v>
      </c>
      <c r="V5739" s="267" t="s">
        <v>936</v>
      </c>
    </row>
    <row r="5740" spans="1:22" hidden="1" x14ac:dyDescent="0.25">
      <c r="A5740" s="266">
        <v>43739</v>
      </c>
      <c r="B5740" s="267">
        <v>2019</v>
      </c>
      <c r="C5740" s="267">
        <v>2020</v>
      </c>
      <c r="D5740" s="267">
        <v>1</v>
      </c>
      <c r="E5740" s="267">
        <v>1</v>
      </c>
      <c r="F5740" s="267" t="s">
        <v>944</v>
      </c>
      <c r="G5740" s="267" t="s">
        <v>3926</v>
      </c>
      <c r="H5740" s="267" t="s">
        <v>10429</v>
      </c>
      <c r="I5740" s="267" t="s">
        <v>934</v>
      </c>
      <c r="J5740" s="267" t="s">
        <v>3928</v>
      </c>
      <c r="K5740" s="267">
        <v>6601</v>
      </c>
      <c r="L5740" s="267">
        <v>240200</v>
      </c>
      <c r="M5740" s="267" t="s">
        <v>3943</v>
      </c>
      <c r="N5740" s="267" t="s">
        <v>8223</v>
      </c>
      <c r="O5740" s="267">
        <v>827.51</v>
      </c>
      <c r="P5740" s="267" t="s">
        <v>3930</v>
      </c>
      <c r="Q5740" s="267" t="s">
        <v>3931</v>
      </c>
      <c r="R5740" s="267">
        <v>5827.51</v>
      </c>
      <c r="S5740" s="267">
        <v>12702.4</v>
      </c>
      <c r="T5740" s="267">
        <v>18529.91</v>
      </c>
      <c r="U5740" s="268" t="s">
        <v>3932</v>
      </c>
      <c r="V5740" s="267" t="s">
        <v>944</v>
      </c>
    </row>
    <row r="5741" spans="1:22" hidden="1" x14ac:dyDescent="0.25">
      <c r="A5741" s="269">
        <v>43739</v>
      </c>
      <c r="B5741" s="270">
        <v>2019</v>
      </c>
      <c r="C5741" s="270">
        <v>2020</v>
      </c>
      <c r="D5741" s="270">
        <v>1</v>
      </c>
      <c r="E5741" s="270">
        <v>1</v>
      </c>
      <c r="F5741" s="270" t="s">
        <v>944</v>
      </c>
      <c r="G5741" s="270" t="s">
        <v>3926</v>
      </c>
      <c r="H5741" s="270" t="s">
        <v>10430</v>
      </c>
      <c r="I5741" s="270" t="s">
        <v>3008</v>
      </c>
      <c r="J5741" s="270" t="s">
        <v>3928</v>
      </c>
      <c r="K5741" s="270">
        <v>6460</v>
      </c>
      <c r="L5741" s="270">
        <v>150100</v>
      </c>
      <c r="M5741" s="270" t="s">
        <v>3960</v>
      </c>
      <c r="N5741" s="270" t="s">
        <v>3983</v>
      </c>
      <c r="O5741" s="270">
        <v>1085.32</v>
      </c>
      <c r="P5741" s="270" t="s">
        <v>3930</v>
      </c>
      <c r="Q5741" s="270" t="s">
        <v>3931</v>
      </c>
      <c r="R5741" s="270">
        <v>6085.32</v>
      </c>
      <c r="S5741" s="270">
        <v>16504</v>
      </c>
      <c r="T5741" s="270">
        <v>22589.32</v>
      </c>
      <c r="U5741" s="271" t="s">
        <v>3932</v>
      </c>
      <c r="V5741" s="267" t="s">
        <v>944</v>
      </c>
    </row>
    <row r="5742" spans="1:22" hidden="1" x14ac:dyDescent="0.25">
      <c r="A5742" s="266">
        <v>43739</v>
      </c>
      <c r="B5742" s="267">
        <v>2019</v>
      </c>
      <c r="C5742" s="267">
        <v>2020</v>
      </c>
      <c r="D5742" s="267">
        <v>1</v>
      </c>
      <c r="E5742" s="267">
        <v>1</v>
      </c>
      <c r="F5742" s="267" t="s">
        <v>944</v>
      </c>
      <c r="G5742" s="267" t="s">
        <v>3997</v>
      </c>
      <c r="H5742" s="267" t="s">
        <v>10431</v>
      </c>
      <c r="I5742" s="267" t="s">
        <v>4079</v>
      </c>
      <c r="J5742" s="267" t="s">
        <v>3928</v>
      </c>
      <c r="K5742" s="267">
        <v>6111</v>
      </c>
      <c r="L5742" s="267">
        <v>494201</v>
      </c>
      <c r="M5742" s="267" t="s">
        <v>3935</v>
      </c>
      <c r="N5742" s="267" t="s">
        <v>10432</v>
      </c>
      <c r="O5742" s="267">
        <v>1323.66</v>
      </c>
      <c r="P5742" s="267" t="s">
        <v>3930</v>
      </c>
      <c r="Q5742" s="267" t="s">
        <v>3931</v>
      </c>
      <c r="R5742" s="267">
        <v>6323.66</v>
      </c>
      <c r="S5742" s="267">
        <v>23120</v>
      </c>
      <c r="T5742" s="267">
        <v>29443.66</v>
      </c>
      <c r="U5742" s="268" t="s">
        <v>3932</v>
      </c>
      <c r="V5742" s="267" t="s">
        <v>944</v>
      </c>
    </row>
    <row r="5743" spans="1:22" hidden="1" x14ac:dyDescent="0.25">
      <c r="A5743" s="269">
        <v>43739</v>
      </c>
      <c r="B5743" s="270">
        <v>2019</v>
      </c>
      <c r="C5743" s="270">
        <v>2020</v>
      </c>
      <c r="D5743" s="270">
        <v>1</v>
      </c>
      <c r="E5743" s="270">
        <v>1</v>
      </c>
      <c r="F5743" s="270" t="s">
        <v>944</v>
      </c>
      <c r="G5743" s="270" t="s">
        <v>3926</v>
      </c>
      <c r="H5743" s="270" t="s">
        <v>10433</v>
      </c>
      <c r="I5743" s="270" t="s">
        <v>4114</v>
      </c>
      <c r="J5743" s="270" t="s">
        <v>3928</v>
      </c>
      <c r="K5743" s="270">
        <v>6410</v>
      </c>
      <c r="L5743" s="270">
        <v>343400</v>
      </c>
      <c r="M5743" s="270" t="s">
        <v>3943</v>
      </c>
      <c r="N5743" s="270" t="s">
        <v>10434</v>
      </c>
      <c r="O5743" s="270">
        <v>0</v>
      </c>
      <c r="P5743" s="270" t="s">
        <v>3930</v>
      </c>
      <c r="Q5743" s="270" t="s">
        <v>3930</v>
      </c>
      <c r="R5743" s="270">
        <v>0</v>
      </c>
      <c r="S5743" s="270">
        <v>24155</v>
      </c>
      <c r="T5743" s="270">
        <v>24155</v>
      </c>
      <c r="U5743" s="271" t="s">
        <v>3937</v>
      </c>
      <c r="V5743" s="267" t="s">
        <v>944</v>
      </c>
    </row>
    <row r="5744" spans="1:22" hidden="1" x14ac:dyDescent="0.25">
      <c r="A5744" s="266">
        <v>43739</v>
      </c>
      <c r="B5744" s="267">
        <v>2019</v>
      </c>
      <c r="C5744" s="267">
        <v>2020</v>
      </c>
      <c r="D5744" s="267">
        <v>1</v>
      </c>
      <c r="E5744" s="267">
        <v>1</v>
      </c>
      <c r="F5744" s="267" t="s">
        <v>944</v>
      </c>
      <c r="G5744" s="267" t="s">
        <v>3926</v>
      </c>
      <c r="H5744" s="267" t="s">
        <v>10435</v>
      </c>
      <c r="I5744" s="267" t="s">
        <v>3962</v>
      </c>
      <c r="J5744" s="267" t="s">
        <v>3928</v>
      </c>
      <c r="K5744" s="267">
        <v>6355</v>
      </c>
      <c r="L5744" s="267">
        <v>703000</v>
      </c>
      <c r="M5744" s="267" t="s">
        <v>3960</v>
      </c>
      <c r="N5744" s="267" t="s">
        <v>3944</v>
      </c>
      <c r="O5744" s="267">
        <v>5197</v>
      </c>
      <c r="P5744" s="267" t="s">
        <v>3944</v>
      </c>
      <c r="Q5744" s="267" t="s">
        <v>3944</v>
      </c>
      <c r="R5744" s="267">
        <v>5197</v>
      </c>
      <c r="S5744" s="267">
        <v>70601.600000000006</v>
      </c>
      <c r="T5744" s="267">
        <v>75798.600000000006</v>
      </c>
      <c r="U5744" s="268" t="s">
        <v>3945</v>
      </c>
      <c r="V5744" s="267" t="s">
        <v>944</v>
      </c>
    </row>
    <row r="5745" spans="1:22" hidden="1" x14ac:dyDescent="0.25">
      <c r="A5745" s="269">
        <v>43739</v>
      </c>
      <c r="B5745" s="270">
        <v>2019</v>
      </c>
      <c r="C5745" s="270">
        <v>2020</v>
      </c>
      <c r="D5745" s="270">
        <v>1</v>
      </c>
      <c r="E5745" s="270">
        <v>1</v>
      </c>
      <c r="F5745" s="270" t="s">
        <v>944</v>
      </c>
      <c r="G5745" s="270" t="s">
        <v>3926</v>
      </c>
      <c r="H5745" s="270" t="s">
        <v>10436</v>
      </c>
      <c r="I5745" s="270" t="s">
        <v>4037</v>
      </c>
      <c r="J5745" s="270" t="s">
        <v>3928</v>
      </c>
      <c r="K5745" s="270">
        <v>6810</v>
      </c>
      <c r="L5745" s="270">
        <v>210300</v>
      </c>
      <c r="M5745" s="270" t="s">
        <v>3940</v>
      </c>
      <c r="N5745" s="270" t="s">
        <v>3944</v>
      </c>
      <c r="O5745" s="270">
        <v>3403</v>
      </c>
      <c r="P5745" s="270" t="s">
        <v>3944</v>
      </c>
      <c r="Q5745" s="270" t="s">
        <v>3944</v>
      </c>
      <c r="R5745" s="270">
        <v>3403</v>
      </c>
      <c r="S5745" s="270">
        <v>23841.8</v>
      </c>
      <c r="T5745" s="270">
        <v>27244.799999999999</v>
      </c>
      <c r="U5745" s="271" t="s">
        <v>3945</v>
      </c>
      <c r="V5745" s="267" t="s">
        <v>944</v>
      </c>
    </row>
    <row r="5746" spans="1:22" hidden="1" x14ac:dyDescent="0.25">
      <c r="A5746" s="266">
        <v>43739</v>
      </c>
      <c r="B5746" s="267">
        <v>2019</v>
      </c>
      <c r="C5746" s="267">
        <v>2020</v>
      </c>
      <c r="D5746" s="267">
        <v>1</v>
      </c>
      <c r="E5746" s="267">
        <v>1</v>
      </c>
      <c r="F5746" s="267" t="s">
        <v>944</v>
      </c>
      <c r="G5746" s="267" t="s">
        <v>3926</v>
      </c>
      <c r="H5746" s="267" t="s">
        <v>10437</v>
      </c>
      <c r="I5746" s="267" t="s">
        <v>4323</v>
      </c>
      <c r="J5746" s="267" t="s">
        <v>3928</v>
      </c>
      <c r="K5746" s="267">
        <v>6385</v>
      </c>
      <c r="L5746" s="267">
        <v>693700</v>
      </c>
      <c r="M5746" s="267" t="s">
        <v>3943</v>
      </c>
      <c r="N5746" s="267" t="s">
        <v>3944</v>
      </c>
      <c r="O5746" s="267">
        <v>4337</v>
      </c>
      <c r="P5746" s="267" t="s">
        <v>3944</v>
      </c>
      <c r="Q5746" s="267" t="s">
        <v>3944</v>
      </c>
      <c r="R5746" s="267">
        <v>4337</v>
      </c>
      <c r="S5746" s="267">
        <v>34563</v>
      </c>
      <c r="T5746" s="267">
        <v>38900</v>
      </c>
      <c r="U5746" s="268" t="s">
        <v>3945</v>
      </c>
      <c r="V5746" s="267" t="s">
        <v>944</v>
      </c>
    </row>
    <row r="5747" spans="1:22" hidden="1" x14ac:dyDescent="0.25">
      <c r="A5747" s="269">
        <v>43739</v>
      </c>
      <c r="B5747" s="270">
        <v>2019</v>
      </c>
      <c r="C5747" s="270">
        <v>2020</v>
      </c>
      <c r="D5747" s="270">
        <v>1</v>
      </c>
      <c r="E5747" s="270">
        <v>1</v>
      </c>
      <c r="F5747" s="270" t="s">
        <v>944</v>
      </c>
      <c r="G5747" s="270" t="s">
        <v>3926</v>
      </c>
      <c r="H5747" s="270" t="s">
        <v>10438</v>
      </c>
      <c r="I5747" s="270" t="s">
        <v>3975</v>
      </c>
      <c r="J5747" s="270" t="s">
        <v>3928</v>
      </c>
      <c r="K5747" s="270">
        <v>6489</v>
      </c>
      <c r="L5747" s="270">
        <v>430601</v>
      </c>
      <c r="M5747" s="270" t="s">
        <v>3940</v>
      </c>
      <c r="N5747" s="270" t="s">
        <v>3944</v>
      </c>
      <c r="O5747" s="270">
        <v>4747</v>
      </c>
      <c r="P5747" s="270" t="s">
        <v>3944</v>
      </c>
      <c r="Q5747" s="270" t="s">
        <v>3944</v>
      </c>
      <c r="R5747" s="270">
        <v>4747</v>
      </c>
      <c r="S5747" s="270">
        <v>39169.1</v>
      </c>
      <c r="T5747" s="270">
        <v>43916.1</v>
      </c>
      <c r="U5747" s="271" t="s">
        <v>3945</v>
      </c>
      <c r="V5747" s="267" t="s">
        <v>944</v>
      </c>
    </row>
    <row r="5748" spans="1:22" hidden="1" x14ac:dyDescent="0.25">
      <c r="A5748" s="266">
        <v>43739</v>
      </c>
      <c r="B5748" s="267">
        <v>2019</v>
      </c>
      <c r="C5748" s="267">
        <v>2020</v>
      </c>
      <c r="D5748" s="267">
        <v>1</v>
      </c>
      <c r="E5748" s="267">
        <v>1</v>
      </c>
      <c r="F5748" s="267" t="s">
        <v>944</v>
      </c>
      <c r="G5748" s="267" t="s">
        <v>3926</v>
      </c>
      <c r="H5748" s="267" t="s">
        <v>10439</v>
      </c>
      <c r="I5748" s="267" t="s">
        <v>3990</v>
      </c>
      <c r="J5748" s="267" t="s">
        <v>3928</v>
      </c>
      <c r="K5748" s="267">
        <v>6804</v>
      </c>
      <c r="L5748" s="267">
        <v>205200</v>
      </c>
      <c r="M5748" s="267" t="s">
        <v>3943</v>
      </c>
      <c r="N5748" s="267" t="s">
        <v>3944</v>
      </c>
      <c r="O5748" s="267">
        <v>6080</v>
      </c>
      <c r="P5748" s="267" t="s">
        <v>3944</v>
      </c>
      <c r="Q5748" s="267" t="s">
        <v>3944</v>
      </c>
      <c r="R5748" s="267">
        <v>6080</v>
      </c>
      <c r="S5748" s="267">
        <v>54251.5</v>
      </c>
      <c r="T5748" s="267">
        <v>60331.5</v>
      </c>
      <c r="U5748" s="268" t="s">
        <v>3945</v>
      </c>
      <c r="V5748" s="267" t="s">
        <v>944</v>
      </c>
    </row>
    <row r="5749" spans="1:22" hidden="1" x14ac:dyDescent="0.25">
      <c r="A5749" s="269">
        <v>43739</v>
      </c>
      <c r="B5749" s="270">
        <v>2019</v>
      </c>
      <c r="C5749" s="270">
        <v>2020</v>
      </c>
      <c r="D5749" s="270">
        <v>1</v>
      </c>
      <c r="E5749" s="270">
        <v>1</v>
      </c>
      <c r="F5749" s="270" t="s">
        <v>944</v>
      </c>
      <c r="G5749" s="270" t="s">
        <v>3926</v>
      </c>
      <c r="H5749" s="270" t="s">
        <v>10440</v>
      </c>
      <c r="I5749" s="270" t="s">
        <v>4993</v>
      </c>
      <c r="J5749" s="270" t="s">
        <v>3928</v>
      </c>
      <c r="K5749" s="270">
        <v>6237</v>
      </c>
      <c r="L5749" s="270">
        <v>860100</v>
      </c>
      <c r="M5749" s="270" t="s">
        <v>3943</v>
      </c>
      <c r="N5749" s="270" t="s">
        <v>3944</v>
      </c>
      <c r="O5749" s="270">
        <v>7041</v>
      </c>
      <c r="P5749" s="270" t="s">
        <v>3944</v>
      </c>
      <c r="Q5749" s="270" t="s">
        <v>3944</v>
      </c>
      <c r="R5749" s="270">
        <v>7041</v>
      </c>
      <c r="S5749" s="270">
        <v>48529</v>
      </c>
      <c r="T5749" s="270">
        <v>55570</v>
      </c>
      <c r="U5749" s="271" t="s">
        <v>3945</v>
      </c>
      <c r="V5749" s="267" t="s">
        <v>944</v>
      </c>
    </row>
    <row r="5750" spans="1:22" hidden="1" x14ac:dyDescent="0.25">
      <c r="A5750" s="266">
        <v>43739</v>
      </c>
      <c r="B5750" s="267">
        <v>2019</v>
      </c>
      <c r="C5750" s="267">
        <v>2020</v>
      </c>
      <c r="D5750" s="267">
        <v>1</v>
      </c>
      <c r="E5750" s="267">
        <v>1</v>
      </c>
      <c r="F5750" s="267" t="s">
        <v>944</v>
      </c>
      <c r="G5750" s="267" t="s">
        <v>3926</v>
      </c>
      <c r="H5750" s="267" t="s">
        <v>10441</v>
      </c>
      <c r="I5750" s="267" t="s">
        <v>4019</v>
      </c>
      <c r="J5750" s="267" t="s">
        <v>3928</v>
      </c>
      <c r="K5750" s="267">
        <v>6706</v>
      </c>
      <c r="L5750" s="267">
        <v>351500</v>
      </c>
      <c r="M5750" s="267" t="s">
        <v>3940</v>
      </c>
      <c r="N5750" s="267" t="s">
        <v>3944</v>
      </c>
      <c r="O5750" s="267">
        <v>1571</v>
      </c>
      <c r="P5750" s="267" t="s">
        <v>3944</v>
      </c>
      <c r="Q5750" s="267" t="s">
        <v>3944</v>
      </c>
      <c r="R5750" s="267">
        <v>1571</v>
      </c>
      <c r="S5750" s="267">
        <v>25629</v>
      </c>
      <c r="T5750" s="267">
        <v>27200</v>
      </c>
      <c r="U5750" s="268" t="s">
        <v>3945</v>
      </c>
      <c r="V5750" s="267" t="s">
        <v>944</v>
      </c>
    </row>
    <row r="5751" spans="1:22" hidden="1" x14ac:dyDescent="0.25">
      <c r="A5751" s="269">
        <v>43739</v>
      </c>
      <c r="B5751" s="270">
        <v>2019</v>
      </c>
      <c r="C5751" s="270">
        <v>2020</v>
      </c>
      <c r="D5751" s="270">
        <v>1</v>
      </c>
      <c r="E5751" s="270">
        <v>1</v>
      </c>
      <c r="F5751" s="270" t="s">
        <v>944</v>
      </c>
      <c r="G5751" s="270" t="s">
        <v>3926</v>
      </c>
      <c r="H5751" s="270" t="s">
        <v>10442</v>
      </c>
      <c r="I5751" s="270" t="s">
        <v>5659</v>
      </c>
      <c r="J5751" s="270" t="s">
        <v>3928</v>
      </c>
      <c r="K5751" s="270">
        <v>6419</v>
      </c>
      <c r="L5751" s="270">
        <v>640100</v>
      </c>
      <c r="M5751" s="270" t="s">
        <v>3943</v>
      </c>
      <c r="N5751" s="270" t="s">
        <v>3944</v>
      </c>
      <c r="O5751" s="270">
        <v>5185</v>
      </c>
      <c r="P5751" s="270" t="s">
        <v>3944</v>
      </c>
      <c r="Q5751" s="270" t="s">
        <v>3944</v>
      </c>
      <c r="R5751" s="270">
        <v>5185</v>
      </c>
      <c r="S5751" s="270">
        <v>32024</v>
      </c>
      <c r="T5751" s="270">
        <v>37209</v>
      </c>
      <c r="U5751" s="271" t="s">
        <v>3945</v>
      </c>
      <c r="V5751" s="267" t="s">
        <v>944</v>
      </c>
    </row>
    <row r="5752" spans="1:22" hidden="1" x14ac:dyDescent="0.25">
      <c r="A5752" s="266">
        <v>43739</v>
      </c>
      <c r="B5752" s="267">
        <v>2019</v>
      </c>
      <c r="C5752" s="267">
        <v>2020</v>
      </c>
      <c r="D5752" s="267">
        <v>1</v>
      </c>
      <c r="E5752" s="267">
        <v>1</v>
      </c>
      <c r="F5752" s="267" t="s">
        <v>944</v>
      </c>
      <c r="G5752" s="267" t="s">
        <v>3997</v>
      </c>
      <c r="H5752" s="267" t="s">
        <v>10443</v>
      </c>
      <c r="I5752" s="267" t="s">
        <v>950</v>
      </c>
      <c r="J5752" s="267" t="s">
        <v>3928</v>
      </c>
      <c r="K5752" s="267">
        <v>6516</v>
      </c>
      <c r="L5752" s="267">
        <v>154700</v>
      </c>
      <c r="M5752" s="267" t="s">
        <v>3960</v>
      </c>
      <c r="N5752" s="267" t="s">
        <v>3944</v>
      </c>
      <c r="O5752" s="267">
        <v>1445.96</v>
      </c>
      <c r="P5752" s="267" t="s">
        <v>3944</v>
      </c>
      <c r="Q5752" s="267" t="s">
        <v>3944</v>
      </c>
      <c r="R5752" s="267">
        <v>1445.96</v>
      </c>
      <c r="S5752" s="267">
        <v>23951.8</v>
      </c>
      <c r="T5752" s="267">
        <v>25397.759999999998</v>
      </c>
      <c r="U5752" s="268" t="s">
        <v>3945</v>
      </c>
      <c r="V5752" s="267" t="s">
        <v>944</v>
      </c>
    </row>
    <row r="5753" spans="1:22" hidden="1" x14ac:dyDescent="0.25">
      <c r="A5753" s="269">
        <v>43739</v>
      </c>
      <c r="B5753" s="270">
        <v>2019</v>
      </c>
      <c r="C5753" s="270">
        <v>2020</v>
      </c>
      <c r="D5753" s="270">
        <v>1</v>
      </c>
      <c r="E5753" s="270">
        <v>1</v>
      </c>
      <c r="F5753" s="270" t="s">
        <v>944</v>
      </c>
      <c r="G5753" s="270" t="s">
        <v>3926</v>
      </c>
      <c r="H5753" s="270" t="s">
        <v>10444</v>
      </c>
      <c r="I5753" s="270" t="s">
        <v>4323</v>
      </c>
      <c r="J5753" s="270" t="s">
        <v>3928</v>
      </c>
      <c r="K5753" s="270">
        <v>6385</v>
      </c>
      <c r="L5753" s="270">
        <v>693700</v>
      </c>
      <c r="M5753" s="270" t="s">
        <v>3943</v>
      </c>
      <c r="N5753" s="270" t="s">
        <v>3944</v>
      </c>
      <c r="O5753" s="270">
        <v>2103</v>
      </c>
      <c r="P5753" s="270" t="s">
        <v>3944</v>
      </c>
      <c r="Q5753" s="270" t="s">
        <v>3944</v>
      </c>
      <c r="R5753" s="270">
        <v>2103</v>
      </c>
      <c r="S5753" s="270">
        <v>16536</v>
      </c>
      <c r="T5753" s="270">
        <v>18639</v>
      </c>
      <c r="U5753" s="271" t="s">
        <v>3945</v>
      </c>
      <c r="V5753" s="267" t="s">
        <v>944</v>
      </c>
    </row>
    <row r="5754" spans="1:22" hidden="1" x14ac:dyDescent="0.25">
      <c r="A5754" s="266">
        <v>43739</v>
      </c>
      <c r="B5754" s="267">
        <v>2019</v>
      </c>
      <c r="C5754" s="267">
        <v>2020</v>
      </c>
      <c r="D5754" s="267">
        <v>1</v>
      </c>
      <c r="E5754" s="267">
        <v>1</v>
      </c>
      <c r="F5754" s="267" t="s">
        <v>944</v>
      </c>
      <c r="G5754" s="267" t="s">
        <v>3926</v>
      </c>
      <c r="H5754" s="267" t="s">
        <v>10445</v>
      </c>
      <c r="I5754" s="267" t="s">
        <v>2987</v>
      </c>
      <c r="J5754" s="267" t="s">
        <v>3928</v>
      </c>
      <c r="K5754" s="267">
        <v>6611</v>
      </c>
      <c r="L5754" s="267">
        <v>90600</v>
      </c>
      <c r="M5754" s="267" t="s">
        <v>3960</v>
      </c>
      <c r="N5754" s="267" t="s">
        <v>3944</v>
      </c>
      <c r="O5754" s="267">
        <v>3275</v>
      </c>
      <c r="P5754" s="267" t="s">
        <v>3944</v>
      </c>
      <c r="Q5754" s="267" t="s">
        <v>3944</v>
      </c>
      <c r="R5754" s="267">
        <v>3275</v>
      </c>
      <c r="S5754" s="267">
        <v>21772</v>
      </c>
      <c r="T5754" s="267">
        <v>25047</v>
      </c>
      <c r="U5754" s="268" t="s">
        <v>3945</v>
      </c>
      <c r="V5754" s="267" t="s">
        <v>944</v>
      </c>
    </row>
    <row r="5755" spans="1:22" hidden="1" x14ac:dyDescent="0.25">
      <c r="A5755" s="269">
        <v>43739</v>
      </c>
      <c r="B5755" s="270">
        <v>2019</v>
      </c>
      <c r="C5755" s="270">
        <v>2020</v>
      </c>
      <c r="D5755" s="270">
        <v>1</v>
      </c>
      <c r="E5755" s="270">
        <v>1</v>
      </c>
      <c r="F5755" s="270" t="s">
        <v>944</v>
      </c>
      <c r="G5755" s="270" t="s">
        <v>3926</v>
      </c>
      <c r="H5755" s="270" t="s">
        <v>10446</v>
      </c>
      <c r="I5755" s="270" t="s">
        <v>3968</v>
      </c>
      <c r="J5755" s="270" t="s">
        <v>3928</v>
      </c>
      <c r="K5755" s="270">
        <v>6040</v>
      </c>
      <c r="L5755" s="270">
        <v>515200</v>
      </c>
      <c r="M5755" s="270" t="s">
        <v>3943</v>
      </c>
      <c r="N5755" s="270" t="s">
        <v>3944</v>
      </c>
      <c r="O5755" s="270">
        <v>1145.03</v>
      </c>
      <c r="P5755" s="270" t="s">
        <v>3944</v>
      </c>
      <c r="Q5755" s="270" t="s">
        <v>3944</v>
      </c>
      <c r="R5755" s="270">
        <v>1145.03</v>
      </c>
      <c r="S5755" s="270">
        <v>22974.97</v>
      </c>
      <c r="T5755" s="270">
        <v>24120</v>
      </c>
      <c r="U5755" s="271" t="s">
        <v>3945</v>
      </c>
      <c r="V5755" s="267" t="s">
        <v>944</v>
      </c>
    </row>
    <row r="5756" spans="1:22" hidden="1" x14ac:dyDescent="0.25">
      <c r="A5756" s="266">
        <v>43739</v>
      </c>
      <c r="B5756" s="267">
        <v>2019</v>
      </c>
      <c r="C5756" s="267">
        <v>2020</v>
      </c>
      <c r="D5756" s="267">
        <v>1</v>
      </c>
      <c r="E5756" s="267">
        <v>1</v>
      </c>
      <c r="F5756" s="267" t="s">
        <v>944</v>
      </c>
      <c r="G5756" s="267" t="s">
        <v>3926</v>
      </c>
      <c r="H5756" s="267" t="s">
        <v>10447</v>
      </c>
      <c r="I5756" s="267" t="s">
        <v>4005</v>
      </c>
      <c r="J5756" s="267" t="s">
        <v>3928</v>
      </c>
      <c r="K5756" s="267">
        <v>6108</v>
      </c>
      <c r="L5756" s="267">
        <v>511300</v>
      </c>
      <c r="M5756" s="267">
        <v>-60</v>
      </c>
      <c r="N5756" s="267" t="s">
        <v>3944</v>
      </c>
      <c r="O5756" s="267">
        <v>1392.86</v>
      </c>
      <c r="P5756" s="267" t="s">
        <v>3944</v>
      </c>
      <c r="Q5756" s="267" t="s">
        <v>3944</v>
      </c>
      <c r="R5756" s="267">
        <v>1392.86</v>
      </c>
      <c r="S5756" s="267">
        <v>19742.830000000002</v>
      </c>
      <c r="T5756" s="267">
        <v>21135.69</v>
      </c>
      <c r="U5756" s="268" t="s">
        <v>3945</v>
      </c>
      <c r="V5756" s="267" t="s">
        <v>944</v>
      </c>
    </row>
    <row r="5757" spans="1:22" hidden="1" x14ac:dyDescent="0.25">
      <c r="A5757" s="269">
        <v>43739</v>
      </c>
      <c r="B5757" s="270">
        <v>2019</v>
      </c>
      <c r="C5757" s="270">
        <v>2020</v>
      </c>
      <c r="D5757" s="270">
        <v>1</v>
      </c>
      <c r="E5757" s="270">
        <v>1</v>
      </c>
      <c r="F5757" s="270" t="s">
        <v>944</v>
      </c>
      <c r="G5757" s="270" t="s">
        <v>3926</v>
      </c>
      <c r="H5757" s="270" t="s">
        <v>10448</v>
      </c>
      <c r="I5757" s="270" t="s">
        <v>4005</v>
      </c>
      <c r="J5757" s="270" t="s">
        <v>3928</v>
      </c>
      <c r="K5757" s="270">
        <v>6108</v>
      </c>
      <c r="L5757" s="270">
        <v>511300</v>
      </c>
      <c r="M5757" s="270">
        <v>-60</v>
      </c>
      <c r="N5757" s="270" t="s">
        <v>3944</v>
      </c>
      <c r="O5757" s="270">
        <v>1409.07</v>
      </c>
      <c r="P5757" s="270" t="s">
        <v>3944</v>
      </c>
      <c r="Q5757" s="270" t="s">
        <v>3944</v>
      </c>
      <c r="R5757" s="270">
        <v>1409.07</v>
      </c>
      <c r="S5757" s="270">
        <v>19889.78</v>
      </c>
      <c r="T5757" s="270">
        <v>21298.85</v>
      </c>
      <c r="U5757" s="271" t="s">
        <v>3945</v>
      </c>
      <c r="V5757" s="267" t="s">
        <v>944</v>
      </c>
    </row>
    <row r="5758" spans="1:22" hidden="1" x14ac:dyDescent="0.25">
      <c r="A5758" s="266">
        <v>43739</v>
      </c>
      <c r="B5758" s="267">
        <v>2019</v>
      </c>
      <c r="C5758" s="267">
        <v>2020</v>
      </c>
      <c r="D5758" s="267">
        <v>1</v>
      </c>
      <c r="E5758" s="267">
        <v>1</v>
      </c>
      <c r="F5758" s="267" t="s">
        <v>944</v>
      </c>
      <c r="G5758" s="267" t="s">
        <v>3926</v>
      </c>
      <c r="H5758" s="267" t="s">
        <v>10449</v>
      </c>
      <c r="I5758" s="267" t="s">
        <v>4019</v>
      </c>
      <c r="J5758" s="267" t="s">
        <v>3928</v>
      </c>
      <c r="K5758" s="267">
        <v>6704</v>
      </c>
      <c r="L5758" s="267">
        <v>352300</v>
      </c>
      <c r="M5758" s="267">
        <v>-60</v>
      </c>
      <c r="N5758" s="267" t="s">
        <v>3944</v>
      </c>
      <c r="O5758" s="267">
        <v>1951.39</v>
      </c>
      <c r="P5758" s="267" t="s">
        <v>3944</v>
      </c>
      <c r="Q5758" s="267" t="s">
        <v>3944</v>
      </c>
      <c r="R5758" s="267">
        <v>1951.39</v>
      </c>
      <c r="S5758" s="267">
        <v>30670.77</v>
      </c>
      <c r="T5758" s="267">
        <v>32622.16</v>
      </c>
      <c r="U5758" s="268" t="s">
        <v>3945</v>
      </c>
      <c r="V5758" s="267" t="s">
        <v>944</v>
      </c>
    </row>
    <row r="5759" spans="1:22" hidden="1" x14ac:dyDescent="0.25">
      <c r="A5759" s="269">
        <v>43739</v>
      </c>
      <c r="B5759" s="270">
        <v>2019</v>
      </c>
      <c r="C5759" s="270">
        <v>2020</v>
      </c>
      <c r="D5759" s="270">
        <v>1</v>
      </c>
      <c r="E5759" s="270">
        <v>1</v>
      </c>
      <c r="F5759" s="270" t="s">
        <v>944</v>
      </c>
      <c r="G5759" s="270" t="s">
        <v>3926</v>
      </c>
      <c r="H5759" s="270" t="s">
        <v>10450</v>
      </c>
      <c r="I5759" s="270" t="s">
        <v>953</v>
      </c>
      <c r="J5759" s="270" t="s">
        <v>3928</v>
      </c>
      <c r="K5759" s="270">
        <v>6517</v>
      </c>
      <c r="L5759" s="270">
        <v>165400</v>
      </c>
      <c r="M5759" s="270" t="s">
        <v>3935</v>
      </c>
      <c r="N5759" s="270" t="s">
        <v>3944</v>
      </c>
      <c r="O5759" s="270">
        <v>1279.01</v>
      </c>
      <c r="P5759" s="270" t="s">
        <v>3944</v>
      </c>
      <c r="Q5759" s="270" t="s">
        <v>3944</v>
      </c>
      <c r="R5759" s="270">
        <v>1279.01</v>
      </c>
      <c r="S5759" s="270">
        <v>16711.07</v>
      </c>
      <c r="T5759" s="270">
        <v>17990.080000000002</v>
      </c>
      <c r="U5759" s="271" t="s">
        <v>3945</v>
      </c>
      <c r="V5759" s="267" t="s">
        <v>944</v>
      </c>
    </row>
    <row r="5760" spans="1:22" hidden="1" x14ac:dyDescent="0.25">
      <c r="A5760" s="266">
        <v>43739</v>
      </c>
      <c r="B5760" s="267">
        <v>2019</v>
      </c>
      <c r="C5760" s="267">
        <v>2020</v>
      </c>
      <c r="D5760" s="267">
        <v>1</v>
      </c>
      <c r="E5760" s="267">
        <v>1</v>
      </c>
      <c r="F5760" s="267" t="s">
        <v>944</v>
      </c>
      <c r="G5760" s="267" t="s">
        <v>3926</v>
      </c>
      <c r="H5760" s="267" t="s">
        <v>10451</v>
      </c>
      <c r="I5760" s="267" t="s">
        <v>2987</v>
      </c>
      <c r="J5760" s="267" t="s">
        <v>3928</v>
      </c>
      <c r="K5760" s="267">
        <v>6611</v>
      </c>
      <c r="L5760" s="267">
        <v>90500</v>
      </c>
      <c r="M5760" s="267" t="s">
        <v>3943</v>
      </c>
      <c r="N5760" s="267" t="s">
        <v>3944</v>
      </c>
      <c r="O5760" s="267">
        <v>1661.66</v>
      </c>
      <c r="P5760" s="267" t="s">
        <v>3944</v>
      </c>
      <c r="Q5760" s="267" t="s">
        <v>3944</v>
      </c>
      <c r="R5760" s="267">
        <v>1661.66</v>
      </c>
      <c r="S5760" s="267">
        <v>20561.38</v>
      </c>
      <c r="T5760" s="267">
        <v>22223.040000000001</v>
      </c>
      <c r="U5760" s="268" t="s">
        <v>3945</v>
      </c>
      <c r="V5760" s="267" t="s">
        <v>944</v>
      </c>
    </row>
    <row r="5761" spans="1:22" hidden="1" x14ac:dyDescent="0.25">
      <c r="A5761" s="269">
        <v>43739</v>
      </c>
      <c r="B5761" s="270">
        <v>2019</v>
      </c>
      <c r="C5761" s="270">
        <v>2020</v>
      </c>
      <c r="D5761" s="270">
        <v>1</v>
      </c>
      <c r="E5761" s="270">
        <v>1</v>
      </c>
      <c r="F5761" s="270" t="s">
        <v>944</v>
      </c>
      <c r="G5761" s="270" t="s">
        <v>3926</v>
      </c>
      <c r="H5761" s="270" t="s">
        <v>10452</v>
      </c>
      <c r="I5761" s="270" t="s">
        <v>4042</v>
      </c>
      <c r="J5761" s="270" t="s">
        <v>3928</v>
      </c>
      <c r="K5761" s="270">
        <v>6382</v>
      </c>
      <c r="L5761" s="270">
        <v>695201</v>
      </c>
      <c r="M5761" s="270" t="s">
        <v>3935</v>
      </c>
      <c r="N5761" s="270" t="s">
        <v>3944</v>
      </c>
      <c r="O5761" s="270">
        <v>2797.76</v>
      </c>
      <c r="P5761" s="270" t="s">
        <v>3944</v>
      </c>
      <c r="Q5761" s="270" t="s">
        <v>3944</v>
      </c>
      <c r="R5761" s="270">
        <v>2797.76</v>
      </c>
      <c r="S5761" s="270">
        <v>43469.8</v>
      </c>
      <c r="T5761" s="270">
        <v>46267.56</v>
      </c>
      <c r="U5761" s="271" t="s">
        <v>3945</v>
      </c>
      <c r="V5761" s="267" t="s">
        <v>944</v>
      </c>
    </row>
    <row r="5762" spans="1:22" hidden="1" x14ac:dyDescent="0.25">
      <c r="A5762" s="266">
        <v>43739</v>
      </c>
      <c r="B5762" s="267">
        <v>2019</v>
      </c>
      <c r="C5762" s="267">
        <v>2020</v>
      </c>
      <c r="D5762" s="267">
        <v>1</v>
      </c>
      <c r="E5762" s="267">
        <v>1</v>
      </c>
      <c r="F5762" s="267" t="s">
        <v>944</v>
      </c>
      <c r="G5762" s="267" t="s">
        <v>3926</v>
      </c>
      <c r="H5762" s="267" t="s">
        <v>10453</v>
      </c>
      <c r="I5762" s="267" t="s">
        <v>4407</v>
      </c>
      <c r="J5762" s="267" t="s">
        <v>3928</v>
      </c>
      <c r="K5762" s="267">
        <v>6238</v>
      </c>
      <c r="L5762" s="267">
        <v>850200</v>
      </c>
      <c r="M5762" s="267" t="s">
        <v>3960</v>
      </c>
      <c r="N5762" s="267" t="s">
        <v>3944</v>
      </c>
      <c r="O5762" s="267">
        <v>1872.36</v>
      </c>
      <c r="P5762" s="267" t="s">
        <v>3944</v>
      </c>
      <c r="Q5762" s="267" t="s">
        <v>3944</v>
      </c>
      <c r="R5762" s="267">
        <v>1872.36</v>
      </c>
      <c r="S5762" s="267">
        <v>27557.64</v>
      </c>
      <c r="T5762" s="267">
        <v>29430</v>
      </c>
      <c r="U5762" s="268" t="s">
        <v>3945</v>
      </c>
      <c r="V5762" s="267" t="s">
        <v>944</v>
      </c>
    </row>
    <row r="5763" spans="1:22" hidden="1" x14ac:dyDescent="0.25">
      <c r="A5763" s="269">
        <v>43739</v>
      </c>
      <c r="B5763" s="270">
        <v>2019</v>
      </c>
      <c r="C5763" s="270">
        <v>2020</v>
      </c>
      <c r="D5763" s="270">
        <v>1</v>
      </c>
      <c r="E5763" s="270">
        <v>1</v>
      </c>
      <c r="F5763" s="270" t="s">
        <v>944</v>
      </c>
      <c r="G5763" s="270" t="s">
        <v>3926</v>
      </c>
      <c r="H5763" s="270" t="s">
        <v>10454</v>
      </c>
      <c r="I5763" s="270" t="s">
        <v>3966</v>
      </c>
      <c r="J5763" s="270" t="s">
        <v>3928</v>
      </c>
      <c r="K5763" s="270">
        <v>6010</v>
      </c>
      <c r="L5763" s="270">
        <v>405500</v>
      </c>
      <c r="M5763" s="270" t="s">
        <v>3935</v>
      </c>
      <c r="N5763" s="270" t="s">
        <v>3944</v>
      </c>
      <c r="O5763" s="270">
        <v>1313.87</v>
      </c>
      <c r="P5763" s="270" t="s">
        <v>3944</v>
      </c>
      <c r="Q5763" s="270" t="s">
        <v>3944</v>
      </c>
      <c r="R5763" s="270">
        <v>1313.87</v>
      </c>
      <c r="S5763" s="270">
        <v>19571.740000000002</v>
      </c>
      <c r="T5763" s="270">
        <v>20885.61</v>
      </c>
      <c r="U5763" s="271" t="s">
        <v>3945</v>
      </c>
      <c r="V5763" s="267" t="s">
        <v>944</v>
      </c>
    </row>
    <row r="5764" spans="1:22" hidden="1" x14ac:dyDescent="0.25">
      <c r="A5764" s="266">
        <v>43739</v>
      </c>
      <c r="B5764" s="267">
        <v>2019</v>
      </c>
      <c r="C5764" s="267">
        <v>2020</v>
      </c>
      <c r="D5764" s="267">
        <v>1</v>
      </c>
      <c r="E5764" s="267">
        <v>1</v>
      </c>
      <c r="F5764" s="267" t="s">
        <v>944</v>
      </c>
      <c r="G5764" s="267" t="s">
        <v>3926</v>
      </c>
      <c r="H5764" s="267" t="s">
        <v>10455</v>
      </c>
      <c r="I5764" s="267" t="s">
        <v>4019</v>
      </c>
      <c r="J5764" s="267" t="s">
        <v>3928</v>
      </c>
      <c r="K5764" s="267">
        <v>6710</v>
      </c>
      <c r="L5764" s="267">
        <v>350900</v>
      </c>
      <c r="M5764" s="267" t="s">
        <v>3935</v>
      </c>
      <c r="N5764" s="267" t="s">
        <v>3944</v>
      </c>
      <c r="O5764" s="267">
        <v>1405.74</v>
      </c>
      <c r="P5764" s="267" t="s">
        <v>3944</v>
      </c>
      <c r="Q5764" s="267" t="s">
        <v>3944</v>
      </c>
      <c r="R5764" s="267">
        <v>1405.74</v>
      </c>
      <c r="S5764" s="267">
        <v>22731.77</v>
      </c>
      <c r="T5764" s="267">
        <v>24137.51</v>
      </c>
      <c r="U5764" s="268" t="s">
        <v>3945</v>
      </c>
      <c r="V5764" s="267" t="s">
        <v>944</v>
      </c>
    </row>
    <row r="5765" spans="1:22" hidden="1" x14ac:dyDescent="0.25">
      <c r="A5765" s="269">
        <v>43739</v>
      </c>
      <c r="B5765" s="270">
        <v>2019</v>
      </c>
      <c r="C5765" s="270">
        <v>2020</v>
      </c>
      <c r="D5765" s="270">
        <v>1</v>
      </c>
      <c r="E5765" s="270">
        <v>1</v>
      </c>
      <c r="F5765" s="270" t="s">
        <v>944</v>
      </c>
      <c r="G5765" s="270" t="s">
        <v>3926</v>
      </c>
      <c r="H5765" s="270" t="s">
        <v>10456</v>
      </c>
      <c r="I5765" s="270" t="s">
        <v>3968</v>
      </c>
      <c r="J5765" s="270" t="s">
        <v>3928</v>
      </c>
      <c r="K5765" s="270">
        <v>6040</v>
      </c>
      <c r="L5765" s="270">
        <v>515000</v>
      </c>
      <c r="M5765" s="270" t="s">
        <v>3943</v>
      </c>
      <c r="N5765" s="270" t="s">
        <v>3944</v>
      </c>
      <c r="O5765" s="270">
        <v>1610.63</v>
      </c>
      <c r="P5765" s="270" t="s">
        <v>3944</v>
      </c>
      <c r="Q5765" s="270" t="s">
        <v>3944</v>
      </c>
      <c r="R5765" s="270">
        <v>1610.63</v>
      </c>
      <c r="S5765" s="270">
        <v>22438.92</v>
      </c>
      <c r="T5765" s="270">
        <v>24049.55</v>
      </c>
      <c r="U5765" s="271" t="s">
        <v>3945</v>
      </c>
      <c r="V5765" s="267" t="s">
        <v>944</v>
      </c>
    </row>
    <row r="5766" spans="1:22" hidden="1" x14ac:dyDescent="0.25">
      <c r="A5766" s="266">
        <v>43739</v>
      </c>
      <c r="B5766" s="267">
        <v>2019</v>
      </c>
      <c r="C5766" s="267">
        <v>2020</v>
      </c>
      <c r="D5766" s="267">
        <v>1</v>
      </c>
      <c r="E5766" s="267">
        <v>1</v>
      </c>
      <c r="F5766" s="267" t="s">
        <v>944</v>
      </c>
      <c r="G5766" s="267" t="s">
        <v>3926</v>
      </c>
      <c r="H5766" s="267" t="s">
        <v>10457</v>
      </c>
      <c r="I5766" s="267" t="s">
        <v>3939</v>
      </c>
      <c r="J5766" s="267" t="s">
        <v>3928</v>
      </c>
      <c r="K5766" s="267">
        <v>6512</v>
      </c>
      <c r="L5766" s="267">
        <v>180400</v>
      </c>
      <c r="M5766" s="267" t="s">
        <v>3935</v>
      </c>
      <c r="N5766" s="267" t="s">
        <v>3944</v>
      </c>
      <c r="O5766" s="267">
        <v>2230.9699999999998</v>
      </c>
      <c r="P5766" s="267" t="s">
        <v>3944</v>
      </c>
      <c r="Q5766" s="267" t="s">
        <v>3944</v>
      </c>
      <c r="R5766" s="267">
        <v>2230.9699999999998</v>
      </c>
      <c r="S5766" s="267">
        <v>34807.43</v>
      </c>
      <c r="T5766" s="267">
        <v>37038.400000000001</v>
      </c>
      <c r="U5766" s="268" t="s">
        <v>3945</v>
      </c>
      <c r="V5766" s="267" t="s">
        <v>944</v>
      </c>
    </row>
    <row r="5767" spans="1:22" hidden="1" x14ac:dyDescent="0.25">
      <c r="A5767" s="269">
        <v>43739</v>
      </c>
      <c r="B5767" s="270">
        <v>2019</v>
      </c>
      <c r="C5767" s="270">
        <v>2020</v>
      </c>
      <c r="D5767" s="270">
        <v>1</v>
      </c>
      <c r="E5767" s="270">
        <v>1</v>
      </c>
      <c r="F5767" s="270" t="s">
        <v>944</v>
      </c>
      <c r="G5767" s="270" t="s">
        <v>3926</v>
      </c>
      <c r="H5767" s="270" t="s">
        <v>10458</v>
      </c>
      <c r="I5767" s="270" t="s">
        <v>4062</v>
      </c>
      <c r="J5767" s="270" t="s">
        <v>3928</v>
      </c>
      <c r="K5767" s="270">
        <v>6763</v>
      </c>
      <c r="L5767" s="270">
        <v>303100</v>
      </c>
      <c r="M5767" s="270" t="s">
        <v>3960</v>
      </c>
      <c r="N5767" s="270" t="s">
        <v>3944</v>
      </c>
      <c r="O5767" s="270">
        <v>1152.0999999999999</v>
      </c>
      <c r="P5767" s="270" t="s">
        <v>3944</v>
      </c>
      <c r="Q5767" s="270" t="s">
        <v>3944</v>
      </c>
      <c r="R5767" s="270">
        <v>1152.0999999999999</v>
      </c>
      <c r="S5767" s="270">
        <v>21523.54</v>
      </c>
      <c r="T5767" s="270">
        <v>22675.64</v>
      </c>
      <c r="U5767" s="271" t="s">
        <v>3945</v>
      </c>
      <c r="V5767" s="267" t="s">
        <v>944</v>
      </c>
    </row>
    <row r="5768" spans="1:22" hidden="1" x14ac:dyDescent="0.25">
      <c r="A5768" s="266">
        <v>43739</v>
      </c>
      <c r="B5768" s="267">
        <v>2019</v>
      </c>
      <c r="C5768" s="267">
        <v>2020</v>
      </c>
      <c r="D5768" s="267">
        <v>1</v>
      </c>
      <c r="E5768" s="267">
        <v>1</v>
      </c>
      <c r="F5768" s="267" t="s">
        <v>944</v>
      </c>
      <c r="G5768" s="267" t="s">
        <v>3926</v>
      </c>
      <c r="H5768" s="267" t="s">
        <v>10459</v>
      </c>
      <c r="I5768" s="267" t="s">
        <v>4042</v>
      </c>
      <c r="J5768" s="267" t="s">
        <v>3928</v>
      </c>
      <c r="K5768" s="267">
        <v>6382</v>
      </c>
      <c r="L5768" s="267">
        <v>695201</v>
      </c>
      <c r="M5768" s="267" t="s">
        <v>3935</v>
      </c>
      <c r="N5768" s="267" t="s">
        <v>3944</v>
      </c>
      <c r="O5768" s="267">
        <v>3016.58</v>
      </c>
      <c r="P5768" s="267" t="s">
        <v>3944</v>
      </c>
      <c r="Q5768" s="267" t="s">
        <v>3944</v>
      </c>
      <c r="R5768" s="267">
        <v>3016.58</v>
      </c>
      <c r="S5768" s="267">
        <v>44394.239999999998</v>
      </c>
      <c r="T5768" s="267">
        <v>47410.82</v>
      </c>
      <c r="U5768" s="268" t="s">
        <v>3945</v>
      </c>
      <c r="V5768" s="267" t="s">
        <v>944</v>
      </c>
    </row>
    <row r="5769" spans="1:22" hidden="1" x14ac:dyDescent="0.25">
      <c r="A5769" s="269">
        <v>43739</v>
      </c>
      <c r="B5769" s="270">
        <v>2019</v>
      </c>
      <c r="C5769" s="270">
        <v>2020</v>
      </c>
      <c r="D5769" s="270">
        <v>1</v>
      </c>
      <c r="E5769" s="270">
        <v>1</v>
      </c>
      <c r="F5769" s="270" t="s">
        <v>944</v>
      </c>
      <c r="G5769" s="270" t="s">
        <v>3926</v>
      </c>
      <c r="H5769" s="270" t="s">
        <v>10460</v>
      </c>
      <c r="I5769" s="270" t="s">
        <v>3993</v>
      </c>
      <c r="J5769" s="270" t="s">
        <v>3928</v>
      </c>
      <c r="K5769" s="270">
        <v>6415</v>
      </c>
      <c r="L5769" s="270">
        <v>714103</v>
      </c>
      <c r="M5769" s="270" t="s">
        <v>3943</v>
      </c>
      <c r="N5769" s="270" t="s">
        <v>3944</v>
      </c>
      <c r="O5769" s="270">
        <v>1980.83</v>
      </c>
      <c r="P5769" s="270" t="s">
        <v>3944</v>
      </c>
      <c r="Q5769" s="270" t="s">
        <v>3944</v>
      </c>
      <c r="R5769" s="270">
        <v>1980.83</v>
      </c>
      <c r="S5769" s="270">
        <v>28543.34</v>
      </c>
      <c r="T5769" s="270">
        <v>30524.17</v>
      </c>
      <c r="U5769" s="271" t="s">
        <v>3945</v>
      </c>
      <c r="V5769" s="267" t="s">
        <v>944</v>
      </c>
    </row>
    <row r="5770" spans="1:22" hidden="1" x14ac:dyDescent="0.25">
      <c r="A5770" s="266">
        <v>43739</v>
      </c>
      <c r="B5770" s="267">
        <v>2019</v>
      </c>
      <c r="C5770" s="267">
        <v>2020</v>
      </c>
      <c r="D5770" s="267">
        <v>1</v>
      </c>
      <c r="E5770" s="267">
        <v>1</v>
      </c>
      <c r="F5770" s="267" t="s">
        <v>944</v>
      </c>
      <c r="G5770" s="267" t="s">
        <v>3926</v>
      </c>
      <c r="H5770" s="267" t="s">
        <v>10461</v>
      </c>
      <c r="I5770" s="267" t="s">
        <v>3008</v>
      </c>
      <c r="J5770" s="267" t="s">
        <v>3928</v>
      </c>
      <c r="K5770" s="267">
        <v>6461</v>
      </c>
      <c r="L5770" s="267">
        <v>150800</v>
      </c>
      <c r="M5770" s="267" t="s">
        <v>3960</v>
      </c>
      <c r="N5770" s="267" t="s">
        <v>3944</v>
      </c>
      <c r="O5770" s="267">
        <v>1203.51</v>
      </c>
      <c r="P5770" s="267" t="s">
        <v>3944</v>
      </c>
      <c r="Q5770" s="267" t="s">
        <v>3944</v>
      </c>
      <c r="R5770" s="267">
        <v>1203.51</v>
      </c>
      <c r="S5770" s="267">
        <v>20273.21</v>
      </c>
      <c r="T5770" s="267">
        <v>21476.720000000001</v>
      </c>
      <c r="U5770" s="268" t="s">
        <v>3945</v>
      </c>
      <c r="V5770" s="267" t="s">
        <v>944</v>
      </c>
    </row>
    <row r="5771" spans="1:22" hidden="1" x14ac:dyDescent="0.25">
      <c r="A5771" s="269">
        <v>43739</v>
      </c>
      <c r="B5771" s="270">
        <v>2019</v>
      </c>
      <c r="C5771" s="270">
        <v>2020</v>
      </c>
      <c r="D5771" s="270">
        <v>1</v>
      </c>
      <c r="E5771" s="270">
        <v>1</v>
      </c>
      <c r="F5771" s="270" t="s">
        <v>944</v>
      </c>
      <c r="G5771" s="270" t="s">
        <v>3926</v>
      </c>
      <c r="H5771" s="270" t="s">
        <v>10462</v>
      </c>
      <c r="I5771" s="270" t="s">
        <v>4147</v>
      </c>
      <c r="J5771" s="270" t="s">
        <v>3928</v>
      </c>
      <c r="K5771" s="270">
        <v>6109</v>
      </c>
      <c r="L5771" s="270">
        <v>492200</v>
      </c>
      <c r="M5771" s="270" t="s">
        <v>3960</v>
      </c>
      <c r="N5771" s="270" t="s">
        <v>3944</v>
      </c>
      <c r="O5771" s="270">
        <v>1943.94</v>
      </c>
      <c r="P5771" s="270" t="s">
        <v>3944</v>
      </c>
      <c r="Q5771" s="270" t="s">
        <v>3944</v>
      </c>
      <c r="R5771" s="270">
        <v>1943.94</v>
      </c>
      <c r="S5771" s="270">
        <v>26198.11</v>
      </c>
      <c r="T5771" s="270">
        <v>28142.05</v>
      </c>
      <c r="U5771" s="271" t="s">
        <v>3945</v>
      </c>
      <c r="V5771" s="267" t="s">
        <v>944</v>
      </c>
    </row>
    <row r="5772" spans="1:22" hidden="1" x14ac:dyDescent="0.25">
      <c r="A5772" s="266">
        <v>43739</v>
      </c>
      <c r="B5772" s="267">
        <v>2019</v>
      </c>
      <c r="C5772" s="267">
        <v>2020</v>
      </c>
      <c r="D5772" s="267">
        <v>1</v>
      </c>
      <c r="E5772" s="267">
        <v>1</v>
      </c>
      <c r="F5772" s="267" t="s">
        <v>944</v>
      </c>
      <c r="G5772" s="267" t="s">
        <v>3926</v>
      </c>
      <c r="H5772" s="267" t="s">
        <v>10463</v>
      </c>
      <c r="I5772" s="267" t="s">
        <v>3009</v>
      </c>
      <c r="J5772" s="267" t="s">
        <v>3928</v>
      </c>
      <c r="K5772" s="267">
        <v>6484</v>
      </c>
      <c r="L5772" s="267">
        <v>110301</v>
      </c>
      <c r="M5772" s="267" t="s">
        <v>3935</v>
      </c>
      <c r="N5772" s="267" t="s">
        <v>3944</v>
      </c>
      <c r="O5772" s="267">
        <v>3122.56</v>
      </c>
      <c r="P5772" s="267" t="s">
        <v>3944</v>
      </c>
      <c r="Q5772" s="267" t="s">
        <v>3944</v>
      </c>
      <c r="R5772" s="267">
        <v>3122.56</v>
      </c>
      <c r="S5772" s="267">
        <v>47577.91</v>
      </c>
      <c r="T5772" s="267">
        <v>50700.47</v>
      </c>
      <c r="U5772" s="268" t="s">
        <v>3945</v>
      </c>
      <c r="V5772" s="267" t="s">
        <v>944</v>
      </c>
    </row>
    <row r="5773" spans="1:22" hidden="1" x14ac:dyDescent="0.25">
      <c r="A5773" s="269">
        <v>43739</v>
      </c>
      <c r="B5773" s="270">
        <v>2019</v>
      </c>
      <c r="C5773" s="270">
        <v>2020</v>
      </c>
      <c r="D5773" s="270">
        <v>1</v>
      </c>
      <c r="E5773" s="270">
        <v>1</v>
      </c>
      <c r="F5773" s="270" t="s">
        <v>944</v>
      </c>
      <c r="G5773" s="270" t="s">
        <v>3926</v>
      </c>
      <c r="H5773" s="270" t="s">
        <v>10464</v>
      </c>
      <c r="I5773" s="270" t="s">
        <v>4147</v>
      </c>
      <c r="J5773" s="270" t="s">
        <v>3928</v>
      </c>
      <c r="K5773" s="270">
        <v>6109</v>
      </c>
      <c r="L5773" s="270">
        <v>492400</v>
      </c>
      <c r="M5773" s="270" t="s">
        <v>3935</v>
      </c>
      <c r="N5773" s="270" t="s">
        <v>3944</v>
      </c>
      <c r="O5773" s="270">
        <v>2537.08</v>
      </c>
      <c r="P5773" s="270" t="s">
        <v>3944</v>
      </c>
      <c r="Q5773" s="270" t="s">
        <v>3944</v>
      </c>
      <c r="R5773" s="270">
        <v>2537.08</v>
      </c>
      <c r="S5773" s="270">
        <v>36106.129999999997</v>
      </c>
      <c r="T5773" s="270">
        <v>38643.21</v>
      </c>
      <c r="U5773" s="271" t="s">
        <v>3945</v>
      </c>
      <c r="V5773" s="267" t="s">
        <v>944</v>
      </c>
    </row>
    <row r="5774" spans="1:22" hidden="1" x14ac:dyDescent="0.25">
      <c r="A5774" s="266">
        <v>43739</v>
      </c>
      <c r="B5774" s="267">
        <v>2019</v>
      </c>
      <c r="C5774" s="267">
        <v>2020</v>
      </c>
      <c r="D5774" s="267">
        <v>1</v>
      </c>
      <c r="E5774" s="267">
        <v>1</v>
      </c>
      <c r="F5774" s="267" t="s">
        <v>944</v>
      </c>
      <c r="G5774" s="267" t="s">
        <v>3926</v>
      </c>
      <c r="H5774" s="267" t="s">
        <v>10465</v>
      </c>
      <c r="I5774" s="267" t="s">
        <v>3939</v>
      </c>
      <c r="J5774" s="267" t="s">
        <v>3928</v>
      </c>
      <c r="K5774" s="267">
        <v>6513</v>
      </c>
      <c r="L5774" s="267">
        <v>180602</v>
      </c>
      <c r="M5774" s="267" t="s">
        <v>3935</v>
      </c>
      <c r="N5774" s="267" t="s">
        <v>3944</v>
      </c>
      <c r="O5774" s="267">
        <v>2136.4</v>
      </c>
      <c r="P5774" s="267" t="s">
        <v>3944</v>
      </c>
      <c r="Q5774" s="267" t="s">
        <v>3944</v>
      </c>
      <c r="R5774" s="267">
        <v>2136.4</v>
      </c>
      <c r="S5774" s="267">
        <v>31538.38</v>
      </c>
      <c r="T5774" s="267">
        <v>33674.78</v>
      </c>
      <c r="U5774" s="268" t="s">
        <v>3945</v>
      </c>
      <c r="V5774" s="267" t="s">
        <v>944</v>
      </c>
    </row>
    <row r="5775" spans="1:22" hidden="1" x14ac:dyDescent="0.25">
      <c r="A5775" s="269">
        <v>43739</v>
      </c>
      <c r="B5775" s="270">
        <v>2019</v>
      </c>
      <c r="C5775" s="270">
        <v>2020</v>
      </c>
      <c r="D5775" s="270">
        <v>1</v>
      </c>
      <c r="E5775" s="270">
        <v>1</v>
      </c>
      <c r="F5775" s="270" t="s">
        <v>944</v>
      </c>
      <c r="G5775" s="270" t="s">
        <v>3926</v>
      </c>
      <c r="H5775" s="270" t="s">
        <v>10466</v>
      </c>
      <c r="I5775" s="270" t="s">
        <v>4213</v>
      </c>
      <c r="J5775" s="270" t="s">
        <v>3928</v>
      </c>
      <c r="K5775" s="270">
        <v>6051</v>
      </c>
      <c r="L5775" s="270">
        <v>415400</v>
      </c>
      <c r="M5775" s="270">
        <v>-60</v>
      </c>
      <c r="N5775" s="270" t="s">
        <v>3944</v>
      </c>
      <c r="O5775" s="270">
        <v>671.55</v>
      </c>
      <c r="P5775" s="270" t="s">
        <v>3944</v>
      </c>
      <c r="Q5775" s="270" t="s">
        <v>3944</v>
      </c>
      <c r="R5775" s="270">
        <v>671.55</v>
      </c>
      <c r="S5775" s="270">
        <v>9561.85</v>
      </c>
      <c r="T5775" s="270">
        <v>10233.4</v>
      </c>
      <c r="U5775" s="271" t="s">
        <v>3945</v>
      </c>
      <c r="V5775" s="267" t="s">
        <v>944</v>
      </c>
    </row>
    <row r="5776" spans="1:22" hidden="1" x14ac:dyDescent="0.25">
      <c r="A5776" s="266">
        <v>43739</v>
      </c>
      <c r="B5776" s="267">
        <v>2019</v>
      </c>
      <c r="C5776" s="267">
        <v>2020</v>
      </c>
      <c r="D5776" s="267">
        <v>1</v>
      </c>
      <c r="E5776" s="267">
        <v>1</v>
      </c>
      <c r="F5776" s="267" t="s">
        <v>944</v>
      </c>
      <c r="G5776" s="267" t="s">
        <v>3926</v>
      </c>
      <c r="H5776" s="267" t="s">
        <v>10467</v>
      </c>
      <c r="I5776" s="267" t="s">
        <v>6268</v>
      </c>
      <c r="J5776" s="267" t="s">
        <v>3928</v>
      </c>
      <c r="K5776" s="267">
        <v>6371</v>
      </c>
      <c r="L5776" s="267">
        <v>660102</v>
      </c>
      <c r="M5776" s="267" t="s">
        <v>3960</v>
      </c>
      <c r="N5776" s="267" t="s">
        <v>3944</v>
      </c>
      <c r="O5776" s="267">
        <v>3484.88</v>
      </c>
      <c r="P5776" s="267" t="s">
        <v>3944</v>
      </c>
      <c r="Q5776" s="267" t="s">
        <v>3944</v>
      </c>
      <c r="R5776" s="267">
        <v>3484.88</v>
      </c>
      <c r="S5776" s="267">
        <v>52642.29</v>
      </c>
      <c r="T5776" s="267">
        <v>56127.17</v>
      </c>
      <c r="U5776" s="268" t="s">
        <v>3945</v>
      </c>
      <c r="V5776" s="267" t="s">
        <v>944</v>
      </c>
    </row>
    <row r="5777" spans="1:22" hidden="1" x14ac:dyDescent="0.25">
      <c r="A5777" s="269">
        <v>43739</v>
      </c>
      <c r="B5777" s="270">
        <v>2019</v>
      </c>
      <c r="C5777" s="270">
        <v>2020</v>
      </c>
      <c r="D5777" s="270">
        <v>1</v>
      </c>
      <c r="E5777" s="270">
        <v>1</v>
      </c>
      <c r="F5777" s="270" t="s">
        <v>944</v>
      </c>
      <c r="G5777" s="270" t="s">
        <v>3926</v>
      </c>
      <c r="H5777" s="270" t="s">
        <v>10468</v>
      </c>
      <c r="I5777" s="270" t="s">
        <v>953</v>
      </c>
      <c r="J5777" s="270" t="s">
        <v>3928</v>
      </c>
      <c r="K5777" s="270">
        <v>6518</v>
      </c>
      <c r="L5777" s="270">
        <v>166002</v>
      </c>
      <c r="M5777" s="270" t="s">
        <v>3960</v>
      </c>
      <c r="N5777" s="270" t="s">
        <v>3944</v>
      </c>
      <c r="O5777" s="270">
        <v>2202.13</v>
      </c>
      <c r="P5777" s="270" t="s">
        <v>3944</v>
      </c>
      <c r="Q5777" s="270" t="s">
        <v>3944</v>
      </c>
      <c r="R5777" s="270">
        <v>2202.13</v>
      </c>
      <c r="S5777" s="270">
        <v>43152.87</v>
      </c>
      <c r="T5777" s="270">
        <v>45355</v>
      </c>
      <c r="U5777" s="271" t="s">
        <v>3945</v>
      </c>
      <c r="V5777" s="267" t="s">
        <v>944</v>
      </c>
    </row>
    <row r="5778" spans="1:22" hidden="1" x14ac:dyDescent="0.25">
      <c r="A5778" s="266">
        <v>43739</v>
      </c>
      <c r="B5778" s="267">
        <v>2019</v>
      </c>
      <c r="C5778" s="267">
        <v>2020</v>
      </c>
      <c r="D5778" s="267">
        <v>1</v>
      </c>
      <c r="E5778" s="267">
        <v>1</v>
      </c>
      <c r="F5778" s="267" t="s">
        <v>944</v>
      </c>
      <c r="G5778" s="267" t="s">
        <v>3926</v>
      </c>
      <c r="H5778" s="267" t="s">
        <v>10469</v>
      </c>
      <c r="I5778" s="267" t="s">
        <v>3975</v>
      </c>
      <c r="J5778" s="267" t="s">
        <v>3928</v>
      </c>
      <c r="K5778" s="267">
        <v>6489</v>
      </c>
      <c r="L5778" s="267">
        <v>430500</v>
      </c>
      <c r="M5778" s="267" t="s">
        <v>3943</v>
      </c>
      <c r="N5778" s="267" t="s">
        <v>3944</v>
      </c>
      <c r="O5778" s="267">
        <v>2443.14</v>
      </c>
      <c r="P5778" s="267" t="s">
        <v>3944</v>
      </c>
      <c r="Q5778" s="267" t="s">
        <v>3944</v>
      </c>
      <c r="R5778" s="267">
        <v>2443.14</v>
      </c>
      <c r="S5778" s="267">
        <v>33182.080000000002</v>
      </c>
      <c r="T5778" s="267">
        <v>35625.22</v>
      </c>
      <c r="U5778" s="268" t="s">
        <v>3945</v>
      </c>
      <c r="V5778" s="267" t="s">
        <v>944</v>
      </c>
    </row>
    <row r="5779" spans="1:22" hidden="1" x14ac:dyDescent="0.25">
      <c r="A5779" s="269">
        <v>43739</v>
      </c>
      <c r="B5779" s="270">
        <v>2019</v>
      </c>
      <c r="C5779" s="270">
        <v>2020</v>
      </c>
      <c r="D5779" s="270">
        <v>1</v>
      </c>
      <c r="E5779" s="270">
        <v>1</v>
      </c>
      <c r="F5779" s="270" t="s">
        <v>944</v>
      </c>
      <c r="G5779" s="270" t="s">
        <v>3926</v>
      </c>
      <c r="H5779" s="270" t="s">
        <v>10470</v>
      </c>
      <c r="I5779" s="270" t="s">
        <v>3008</v>
      </c>
      <c r="J5779" s="270" t="s">
        <v>3928</v>
      </c>
      <c r="K5779" s="270">
        <v>6461</v>
      </c>
      <c r="L5779" s="270">
        <v>150600</v>
      </c>
      <c r="M5779" s="270" t="s">
        <v>3960</v>
      </c>
      <c r="N5779" s="270" t="s">
        <v>3944</v>
      </c>
      <c r="O5779" s="270">
        <v>1356.36</v>
      </c>
      <c r="P5779" s="270" t="s">
        <v>3944</v>
      </c>
      <c r="Q5779" s="270" t="s">
        <v>3944</v>
      </c>
      <c r="R5779" s="270">
        <v>1356.36</v>
      </c>
      <c r="S5779" s="270">
        <v>17691.96</v>
      </c>
      <c r="T5779" s="270">
        <v>19048.32</v>
      </c>
      <c r="U5779" s="271" t="s">
        <v>3945</v>
      </c>
      <c r="V5779" s="267" t="s">
        <v>944</v>
      </c>
    </row>
    <row r="5780" spans="1:22" hidden="1" x14ac:dyDescent="0.25">
      <c r="A5780" s="266">
        <v>43739</v>
      </c>
      <c r="B5780" s="267">
        <v>2019</v>
      </c>
      <c r="C5780" s="267">
        <v>2020</v>
      </c>
      <c r="D5780" s="267">
        <v>1</v>
      </c>
      <c r="E5780" s="267">
        <v>1</v>
      </c>
      <c r="F5780" s="267" t="s">
        <v>944</v>
      </c>
      <c r="G5780" s="267" t="s">
        <v>3926</v>
      </c>
      <c r="H5780" s="267" t="s">
        <v>10471</v>
      </c>
      <c r="I5780" s="267" t="s">
        <v>3934</v>
      </c>
      <c r="J5780" s="267" t="s">
        <v>3928</v>
      </c>
      <c r="K5780" s="267">
        <v>6405</v>
      </c>
      <c r="L5780" s="267">
        <v>184100</v>
      </c>
      <c r="M5780" s="267" t="s">
        <v>3940</v>
      </c>
      <c r="N5780" s="267" t="s">
        <v>3944</v>
      </c>
      <c r="O5780" s="267">
        <v>1045.07</v>
      </c>
      <c r="P5780" s="267" t="s">
        <v>3944</v>
      </c>
      <c r="Q5780" s="267" t="s">
        <v>3944</v>
      </c>
      <c r="R5780" s="267">
        <v>1045.07</v>
      </c>
      <c r="S5780" s="267">
        <v>15886.77</v>
      </c>
      <c r="T5780" s="267">
        <v>16931.84</v>
      </c>
      <c r="U5780" s="268" t="s">
        <v>3945</v>
      </c>
      <c r="V5780" s="267" t="s">
        <v>944</v>
      </c>
    </row>
    <row r="5781" spans="1:22" hidden="1" x14ac:dyDescent="0.25">
      <c r="A5781" s="269">
        <v>43739</v>
      </c>
      <c r="B5781" s="270">
        <v>2019</v>
      </c>
      <c r="C5781" s="270">
        <v>2020</v>
      </c>
      <c r="D5781" s="270">
        <v>1</v>
      </c>
      <c r="E5781" s="270">
        <v>1</v>
      </c>
      <c r="F5781" s="270" t="s">
        <v>944</v>
      </c>
      <c r="G5781" s="270" t="s">
        <v>3926</v>
      </c>
      <c r="H5781" s="270" t="s">
        <v>10472</v>
      </c>
      <c r="I5781" s="270" t="s">
        <v>953</v>
      </c>
      <c r="J5781" s="270" t="s">
        <v>3928</v>
      </c>
      <c r="K5781" s="270">
        <v>6517</v>
      </c>
      <c r="L5781" s="270">
        <v>165400</v>
      </c>
      <c r="M5781" s="270" t="s">
        <v>3935</v>
      </c>
      <c r="N5781" s="270" t="s">
        <v>3944</v>
      </c>
      <c r="O5781" s="270">
        <v>953.19</v>
      </c>
      <c r="P5781" s="270" t="s">
        <v>3944</v>
      </c>
      <c r="Q5781" s="270" t="s">
        <v>3944</v>
      </c>
      <c r="R5781" s="270">
        <v>953.19</v>
      </c>
      <c r="S5781" s="270">
        <v>17036.89</v>
      </c>
      <c r="T5781" s="270">
        <v>17990.080000000002</v>
      </c>
      <c r="U5781" s="271" t="s">
        <v>3945</v>
      </c>
      <c r="V5781" s="267" t="s">
        <v>944</v>
      </c>
    </row>
    <row r="5782" spans="1:22" hidden="1" x14ac:dyDescent="0.25">
      <c r="A5782" s="266">
        <v>43739</v>
      </c>
      <c r="B5782" s="267">
        <v>2019</v>
      </c>
      <c r="C5782" s="267">
        <v>2020</v>
      </c>
      <c r="D5782" s="267">
        <v>1</v>
      </c>
      <c r="E5782" s="267">
        <v>1</v>
      </c>
      <c r="F5782" s="267" t="s">
        <v>944</v>
      </c>
      <c r="G5782" s="267" t="s">
        <v>3926</v>
      </c>
      <c r="H5782" s="267" t="s">
        <v>10473</v>
      </c>
      <c r="I5782" s="267" t="s">
        <v>4019</v>
      </c>
      <c r="J5782" s="267" t="s">
        <v>3928</v>
      </c>
      <c r="K5782" s="267">
        <v>6706</v>
      </c>
      <c r="L5782" s="267">
        <v>352800</v>
      </c>
      <c r="M5782" s="267" t="s">
        <v>3940</v>
      </c>
      <c r="N5782" s="267" t="s">
        <v>3944</v>
      </c>
      <c r="O5782" s="267">
        <v>1293.1099999999999</v>
      </c>
      <c r="P5782" s="267" t="s">
        <v>3944</v>
      </c>
      <c r="Q5782" s="267" t="s">
        <v>3944</v>
      </c>
      <c r="R5782" s="267">
        <v>1293.1099999999999</v>
      </c>
      <c r="S5782" s="267">
        <v>20602.29</v>
      </c>
      <c r="T5782" s="267">
        <v>21895.4</v>
      </c>
      <c r="U5782" s="268" t="s">
        <v>3945</v>
      </c>
      <c r="V5782" s="267" t="s">
        <v>944</v>
      </c>
    </row>
    <row r="5783" spans="1:22" hidden="1" x14ac:dyDescent="0.25">
      <c r="A5783" s="269">
        <v>43739</v>
      </c>
      <c r="B5783" s="270">
        <v>2019</v>
      </c>
      <c r="C5783" s="270">
        <v>2020</v>
      </c>
      <c r="D5783" s="270">
        <v>1</v>
      </c>
      <c r="E5783" s="270">
        <v>1</v>
      </c>
      <c r="F5783" s="270" t="s">
        <v>944</v>
      </c>
      <c r="G5783" s="270" t="s">
        <v>3926</v>
      </c>
      <c r="H5783" s="270" t="s">
        <v>10474</v>
      </c>
      <c r="I5783" s="270" t="s">
        <v>4295</v>
      </c>
      <c r="J5783" s="270" t="s">
        <v>3928</v>
      </c>
      <c r="K5783" s="270">
        <v>6043</v>
      </c>
      <c r="L5783" s="270">
        <v>529100</v>
      </c>
      <c r="M5783" s="270" t="s">
        <v>3943</v>
      </c>
      <c r="N5783" s="270" t="s">
        <v>3944</v>
      </c>
      <c r="O5783" s="270">
        <v>1564.61</v>
      </c>
      <c r="P5783" s="270" t="s">
        <v>3944</v>
      </c>
      <c r="Q5783" s="270" t="s">
        <v>3944</v>
      </c>
      <c r="R5783" s="270">
        <v>1564.61</v>
      </c>
      <c r="S5783" s="270">
        <v>23117.87</v>
      </c>
      <c r="T5783" s="270">
        <v>24682.48</v>
      </c>
      <c r="U5783" s="271" t="s">
        <v>3945</v>
      </c>
      <c r="V5783" s="267" t="s">
        <v>944</v>
      </c>
    </row>
    <row r="5784" spans="1:22" hidden="1" x14ac:dyDescent="0.25">
      <c r="A5784" s="266">
        <v>43739</v>
      </c>
      <c r="B5784" s="267">
        <v>2019</v>
      </c>
      <c r="C5784" s="267">
        <v>2020</v>
      </c>
      <c r="D5784" s="267">
        <v>1</v>
      </c>
      <c r="E5784" s="267">
        <v>1</v>
      </c>
      <c r="F5784" s="267" t="s">
        <v>944</v>
      </c>
      <c r="G5784" s="267" t="s">
        <v>3926</v>
      </c>
      <c r="H5784" s="267" t="s">
        <v>10475</v>
      </c>
      <c r="I5784" s="267" t="s">
        <v>956</v>
      </c>
      <c r="J5784" s="267" t="s">
        <v>3928</v>
      </c>
      <c r="K5784" s="267">
        <v>6614</v>
      </c>
      <c r="L5784" s="267">
        <v>80900</v>
      </c>
      <c r="M5784" s="267" t="s">
        <v>3960</v>
      </c>
      <c r="N5784" s="267" t="s">
        <v>3944</v>
      </c>
      <c r="O5784" s="267">
        <v>2027.73</v>
      </c>
      <c r="P5784" s="267" t="s">
        <v>3944</v>
      </c>
      <c r="Q5784" s="267" t="s">
        <v>3944</v>
      </c>
      <c r="R5784" s="267">
        <v>2027.73</v>
      </c>
      <c r="S5784" s="267">
        <v>26633.759999999998</v>
      </c>
      <c r="T5784" s="267">
        <v>28661.49</v>
      </c>
      <c r="U5784" s="268" t="s">
        <v>3945</v>
      </c>
      <c r="V5784" s="267" t="s">
        <v>944</v>
      </c>
    </row>
    <row r="5785" spans="1:22" hidden="1" x14ac:dyDescent="0.25">
      <c r="A5785" s="269">
        <v>43739</v>
      </c>
      <c r="B5785" s="270">
        <v>2019</v>
      </c>
      <c r="C5785" s="270">
        <v>2020</v>
      </c>
      <c r="D5785" s="270">
        <v>1</v>
      </c>
      <c r="E5785" s="270">
        <v>1</v>
      </c>
      <c r="F5785" s="270" t="s">
        <v>944</v>
      </c>
      <c r="G5785" s="270" t="s">
        <v>3926</v>
      </c>
      <c r="H5785" s="270" t="s">
        <v>10476</v>
      </c>
      <c r="I5785" s="270" t="s">
        <v>3939</v>
      </c>
      <c r="J5785" s="270" t="s">
        <v>3928</v>
      </c>
      <c r="K5785" s="270">
        <v>6512</v>
      </c>
      <c r="L5785" s="270">
        <v>180601</v>
      </c>
      <c r="M5785" s="270" t="s">
        <v>3940</v>
      </c>
      <c r="N5785" s="270" t="s">
        <v>3944</v>
      </c>
      <c r="O5785" s="270">
        <v>1118.5</v>
      </c>
      <c r="P5785" s="270" t="s">
        <v>3944</v>
      </c>
      <c r="Q5785" s="270" t="s">
        <v>3944</v>
      </c>
      <c r="R5785" s="270">
        <v>1118.5</v>
      </c>
      <c r="S5785" s="270">
        <v>17954.04</v>
      </c>
      <c r="T5785" s="270">
        <v>19072.54</v>
      </c>
      <c r="U5785" s="271" t="s">
        <v>3945</v>
      </c>
      <c r="V5785" s="267" t="s">
        <v>944</v>
      </c>
    </row>
    <row r="5786" spans="1:22" hidden="1" x14ac:dyDescent="0.25">
      <c r="A5786" s="266">
        <v>43739</v>
      </c>
      <c r="B5786" s="267">
        <v>2019</v>
      </c>
      <c r="C5786" s="267">
        <v>2020</v>
      </c>
      <c r="D5786" s="267">
        <v>1</v>
      </c>
      <c r="E5786" s="267">
        <v>1</v>
      </c>
      <c r="F5786" s="267" t="s">
        <v>944</v>
      </c>
      <c r="G5786" s="267" t="s">
        <v>3926</v>
      </c>
      <c r="H5786" s="267" t="s">
        <v>10477</v>
      </c>
      <c r="I5786" s="267" t="s">
        <v>4042</v>
      </c>
      <c r="J5786" s="267" t="s">
        <v>3928</v>
      </c>
      <c r="K5786" s="267">
        <v>6382</v>
      </c>
      <c r="L5786" s="267">
        <v>870501</v>
      </c>
      <c r="M5786" s="267" t="s">
        <v>3935</v>
      </c>
      <c r="N5786" s="267" t="s">
        <v>3944</v>
      </c>
      <c r="O5786" s="267">
        <v>1441.62</v>
      </c>
      <c r="P5786" s="267" t="s">
        <v>3944</v>
      </c>
      <c r="Q5786" s="267" t="s">
        <v>3944</v>
      </c>
      <c r="R5786" s="267">
        <v>1441.62</v>
      </c>
      <c r="S5786" s="267">
        <v>22074.57</v>
      </c>
      <c r="T5786" s="267">
        <v>23516.19</v>
      </c>
      <c r="U5786" s="268" t="s">
        <v>3945</v>
      </c>
      <c r="V5786" s="267" t="s">
        <v>944</v>
      </c>
    </row>
    <row r="5787" spans="1:22" hidden="1" x14ac:dyDescent="0.25">
      <c r="A5787" s="269">
        <v>43740</v>
      </c>
      <c r="B5787" s="270">
        <v>2019</v>
      </c>
      <c r="C5787" s="270">
        <v>2020</v>
      </c>
      <c r="D5787" s="270">
        <v>1</v>
      </c>
      <c r="E5787" s="270">
        <v>1</v>
      </c>
      <c r="F5787" s="270" t="s">
        <v>944</v>
      </c>
      <c r="G5787" s="270" t="s">
        <v>3926</v>
      </c>
      <c r="H5787" s="270" t="s">
        <v>10478</v>
      </c>
      <c r="I5787" s="270" t="s">
        <v>3968</v>
      </c>
      <c r="J5787" s="270" t="s">
        <v>3928</v>
      </c>
      <c r="K5787" s="270">
        <v>6042</v>
      </c>
      <c r="L5787" s="270">
        <v>514300</v>
      </c>
      <c r="M5787" s="270" t="s">
        <v>3935</v>
      </c>
      <c r="N5787" s="270" t="s">
        <v>10479</v>
      </c>
      <c r="O5787" s="270">
        <v>0</v>
      </c>
      <c r="P5787" s="270" t="s">
        <v>3930</v>
      </c>
      <c r="Q5787" s="270" t="s">
        <v>3930</v>
      </c>
      <c r="R5787" s="270">
        <v>0</v>
      </c>
      <c r="S5787" s="270">
        <v>9800</v>
      </c>
      <c r="T5787" s="270">
        <v>9800</v>
      </c>
      <c r="U5787" s="271" t="s">
        <v>3937</v>
      </c>
      <c r="V5787" s="267" t="s">
        <v>944</v>
      </c>
    </row>
    <row r="5788" spans="1:22" hidden="1" x14ac:dyDescent="0.25">
      <c r="A5788" s="266">
        <v>43740</v>
      </c>
      <c r="B5788" s="267">
        <v>2019</v>
      </c>
      <c r="C5788" s="267">
        <v>2020</v>
      </c>
      <c r="D5788" s="267">
        <v>1</v>
      </c>
      <c r="E5788" s="267">
        <v>1</v>
      </c>
      <c r="F5788" s="267" t="s">
        <v>944</v>
      </c>
      <c r="G5788" s="267" t="s">
        <v>3926</v>
      </c>
      <c r="H5788" s="267" t="s">
        <v>10480</v>
      </c>
      <c r="I5788" s="267" t="s">
        <v>4035</v>
      </c>
      <c r="J5788" s="267" t="s">
        <v>3928</v>
      </c>
      <c r="K5788" s="267">
        <v>6074</v>
      </c>
      <c r="L5788" s="267">
        <v>487500</v>
      </c>
      <c r="M5788" s="267" t="s">
        <v>3935</v>
      </c>
      <c r="N5788" s="267" t="s">
        <v>10481</v>
      </c>
      <c r="O5788" s="267">
        <v>0</v>
      </c>
      <c r="P5788" s="267" t="s">
        <v>3930</v>
      </c>
      <c r="Q5788" s="267" t="s">
        <v>3930</v>
      </c>
      <c r="R5788" s="267">
        <v>0</v>
      </c>
      <c r="S5788" s="267">
        <v>55600</v>
      </c>
      <c r="T5788" s="267">
        <v>55600</v>
      </c>
      <c r="U5788" s="268" t="s">
        <v>3937</v>
      </c>
      <c r="V5788" s="267" t="s">
        <v>944</v>
      </c>
    </row>
    <row r="5789" spans="1:22" hidden="1" x14ac:dyDescent="0.25">
      <c r="A5789" s="269">
        <v>43740</v>
      </c>
      <c r="B5789" s="270">
        <v>2019</v>
      </c>
      <c r="C5789" s="270">
        <v>2020</v>
      </c>
      <c r="D5789" s="270">
        <v>1</v>
      </c>
      <c r="E5789" s="270">
        <v>1</v>
      </c>
      <c r="F5789" s="270" t="s">
        <v>944</v>
      </c>
      <c r="G5789" s="270" t="s">
        <v>3926</v>
      </c>
      <c r="H5789" s="270" t="s">
        <v>10482</v>
      </c>
      <c r="I5789" s="270" t="s">
        <v>4069</v>
      </c>
      <c r="J5789" s="270" t="s">
        <v>3928</v>
      </c>
      <c r="K5789" s="270">
        <v>6903</v>
      </c>
      <c r="L5789" s="270">
        <v>20200</v>
      </c>
      <c r="M5789" s="270" t="s">
        <v>3943</v>
      </c>
      <c r="N5789" s="270" t="s">
        <v>5313</v>
      </c>
      <c r="O5789" s="270">
        <v>8062</v>
      </c>
      <c r="P5789" s="270" t="s">
        <v>3930</v>
      </c>
      <c r="Q5789" s="270" t="s">
        <v>3930</v>
      </c>
      <c r="R5789" s="270">
        <v>8062</v>
      </c>
      <c r="S5789" s="270">
        <v>65094</v>
      </c>
      <c r="T5789" s="270">
        <v>73156</v>
      </c>
      <c r="U5789" s="271" t="s">
        <v>3937</v>
      </c>
      <c r="V5789" s="267" t="s">
        <v>944</v>
      </c>
    </row>
    <row r="5790" spans="1:22" hidden="1" x14ac:dyDescent="0.25">
      <c r="A5790" s="266">
        <v>43740</v>
      </c>
      <c r="B5790" s="267">
        <v>2019</v>
      </c>
      <c r="C5790" s="267">
        <v>2020</v>
      </c>
      <c r="D5790" s="267">
        <v>1</v>
      </c>
      <c r="E5790" s="267">
        <v>1</v>
      </c>
      <c r="F5790" s="267" t="s">
        <v>944</v>
      </c>
      <c r="G5790" s="267" t="s">
        <v>3926</v>
      </c>
      <c r="H5790" s="267" t="s">
        <v>10483</v>
      </c>
      <c r="I5790" s="267" t="s">
        <v>950</v>
      </c>
      <c r="J5790" s="267" t="s">
        <v>3928</v>
      </c>
      <c r="K5790" s="267">
        <v>6516</v>
      </c>
      <c r="L5790" s="267">
        <v>155000</v>
      </c>
      <c r="M5790" s="267" t="s">
        <v>3940</v>
      </c>
      <c r="N5790" s="267" t="s">
        <v>4701</v>
      </c>
      <c r="O5790" s="267">
        <v>2729.55</v>
      </c>
      <c r="P5790" s="267" t="s">
        <v>3930</v>
      </c>
      <c r="Q5790" s="267" t="s">
        <v>3931</v>
      </c>
      <c r="R5790" s="267">
        <v>7729.55</v>
      </c>
      <c r="S5790" s="267">
        <v>34648</v>
      </c>
      <c r="T5790" s="267">
        <v>42377.55</v>
      </c>
      <c r="U5790" s="268" t="s">
        <v>3932</v>
      </c>
      <c r="V5790" s="267" t="s">
        <v>944</v>
      </c>
    </row>
    <row r="5791" spans="1:22" hidden="1" x14ac:dyDescent="0.25">
      <c r="A5791" s="269">
        <v>43740</v>
      </c>
      <c r="B5791" s="270">
        <v>2019</v>
      </c>
      <c r="C5791" s="270">
        <v>2020</v>
      </c>
      <c r="D5791" s="270">
        <v>1</v>
      </c>
      <c r="E5791" s="270">
        <v>1</v>
      </c>
      <c r="F5791" s="270" t="s">
        <v>944</v>
      </c>
      <c r="G5791" s="270" t="s">
        <v>3926</v>
      </c>
      <c r="H5791" s="270" t="s">
        <v>10484</v>
      </c>
      <c r="I5791" s="270" t="s">
        <v>934</v>
      </c>
      <c r="J5791" s="270" t="s">
        <v>3928</v>
      </c>
      <c r="K5791" s="270">
        <v>6601</v>
      </c>
      <c r="L5791" s="270">
        <v>240200</v>
      </c>
      <c r="M5791" s="270" t="s">
        <v>3943</v>
      </c>
      <c r="N5791" s="270" t="s">
        <v>4053</v>
      </c>
      <c r="O5791" s="270">
        <v>3177.99</v>
      </c>
      <c r="P5791" s="270" t="s">
        <v>3930</v>
      </c>
      <c r="Q5791" s="270" t="s">
        <v>3931</v>
      </c>
      <c r="R5791" s="270">
        <v>8177.99</v>
      </c>
      <c r="S5791" s="270">
        <v>18603.2</v>
      </c>
      <c r="T5791" s="270">
        <v>26781.19</v>
      </c>
      <c r="U5791" s="271" t="s">
        <v>3932</v>
      </c>
      <c r="V5791" s="267" t="s">
        <v>944</v>
      </c>
    </row>
    <row r="5792" spans="1:22" hidden="1" x14ac:dyDescent="0.25">
      <c r="A5792" s="266">
        <v>43740</v>
      </c>
      <c r="B5792" s="267">
        <v>2019</v>
      </c>
      <c r="C5792" s="267">
        <v>2020</v>
      </c>
      <c r="D5792" s="267">
        <v>1</v>
      </c>
      <c r="E5792" s="267">
        <v>1</v>
      </c>
      <c r="F5792" s="267" t="s">
        <v>944</v>
      </c>
      <c r="G5792" s="267" t="s">
        <v>3926</v>
      </c>
      <c r="H5792" s="267" t="s">
        <v>10485</v>
      </c>
      <c r="I5792" s="267" t="s">
        <v>3012</v>
      </c>
      <c r="J5792" s="267" t="s">
        <v>3928</v>
      </c>
      <c r="K5792" s="267">
        <v>6477</v>
      </c>
      <c r="L5792" s="267">
        <v>157200</v>
      </c>
      <c r="M5792" s="267" t="s">
        <v>3943</v>
      </c>
      <c r="N5792" s="267" t="s">
        <v>3944</v>
      </c>
      <c r="O5792" s="267">
        <v>3622</v>
      </c>
      <c r="P5792" s="267" t="s">
        <v>3944</v>
      </c>
      <c r="Q5792" s="267" t="s">
        <v>3944</v>
      </c>
      <c r="R5792" s="267">
        <v>3622</v>
      </c>
      <c r="S5792" s="267">
        <v>29820.5</v>
      </c>
      <c r="T5792" s="267">
        <v>33442.5</v>
      </c>
      <c r="U5792" s="268" t="s">
        <v>3945</v>
      </c>
      <c r="V5792" s="267" t="s">
        <v>944</v>
      </c>
    </row>
    <row r="5793" spans="1:22" hidden="1" x14ac:dyDescent="0.25">
      <c r="A5793" s="269">
        <v>43740</v>
      </c>
      <c r="B5793" s="270">
        <v>2019</v>
      </c>
      <c r="C5793" s="270">
        <v>2020</v>
      </c>
      <c r="D5793" s="270">
        <v>1</v>
      </c>
      <c r="E5793" s="270">
        <v>1</v>
      </c>
      <c r="F5793" s="270" t="s">
        <v>944</v>
      </c>
      <c r="G5793" s="270" t="s">
        <v>3926</v>
      </c>
      <c r="H5793" s="270" t="s">
        <v>10486</v>
      </c>
      <c r="I5793" s="270" t="s">
        <v>4821</v>
      </c>
      <c r="J5793" s="270" t="s">
        <v>3928</v>
      </c>
      <c r="K5793" s="270">
        <v>6784</v>
      </c>
      <c r="L5793" s="270">
        <v>257100</v>
      </c>
      <c r="M5793" s="270" t="s">
        <v>3960</v>
      </c>
      <c r="N5793" s="270" t="s">
        <v>3944</v>
      </c>
      <c r="O5793" s="270">
        <v>4446</v>
      </c>
      <c r="P5793" s="270" t="s">
        <v>3944</v>
      </c>
      <c r="Q5793" s="270" t="s">
        <v>3944</v>
      </c>
      <c r="R5793" s="270">
        <v>4446</v>
      </c>
      <c r="S5793" s="270">
        <v>33582</v>
      </c>
      <c r="T5793" s="270">
        <v>38028</v>
      </c>
      <c r="U5793" s="271" t="s">
        <v>3945</v>
      </c>
      <c r="V5793" s="267" t="s">
        <v>944</v>
      </c>
    </row>
    <row r="5794" spans="1:22" hidden="1" x14ac:dyDescent="0.25">
      <c r="A5794" s="266">
        <v>43740</v>
      </c>
      <c r="B5794" s="267">
        <v>2019</v>
      </c>
      <c r="C5794" s="267">
        <v>2020</v>
      </c>
      <c r="D5794" s="267">
        <v>1</v>
      </c>
      <c r="E5794" s="267">
        <v>1</v>
      </c>
      <c r="F5794" s="267" t="s">
        <v>944</v>
      </c>
      <c r="G5794" s="267" t="s">
        <v>3926</v>
      </c>
      <c r="H5794" s="267" t="s">
        <v>10487</v>
      </c>
      <c r="I5794" s="267" t="s">
        <v>3999</v>
      </c>
      <c r="J5794" s="267" t="s">
        <v>3928</v>
      </c>
      <c r="K5794" s="267">
        <v>6450</v>
      </c>
      <c r="L5794" s="267">
        <v>171700</v>
      </c>
      <c r="M5794" s="267" t="s">
        <v>3935</v>
      </c>
      <c r="N5794" s="267" t="s">
        <v>3944</v>
      </c>
      <c r="O5794" s="267">
        <v>2733</v>
      </c>
      <c r="P5794" s="267" t="s">
        <v>3944</v>
      </c>
      <c r="Q5794" s="267" t="s">
        <v>3944</v>
      </c>
      <c r="R5794" s="267">
        <v>2733</v>
      </c>
      <c r="S5794" s="267">
        <v>29403</v>
      </c>
      <c r="T5794" s="267">
        <v>32136</v>
      </c>
      <c r="U5794" s="268" t="s">
        <v>3945</v>
      </c>
      <c r="V5794" s="267" t="s">
        <v>944</v>
      </c>
    </row>
    <row r="5795" spans="1:22" hidden="1" x14ac:dyDescent="0.25">
      <c r="A5795" s="269">
        <v>43740</v>
      </c>
      <c r="B5795" s="270">
        <v>2019</v>
      </c>
      <c r="C5795" s="270">
        <v>2020</v>
      </c>
      <c r="D5795" s="270">
        <v>1</v>
      </c>
      <c r="E5795" s="270">
        <v>1</v>
      </c>
      <c r="F5795" s="270" t="s">
        <v>944</v>
      </c>
      <c r="G5795" s="270" t="s">
        <v>3926</v>
      </c>
      <c r="H5795" s="270" t="s">
        <v>10488</v>
      </c>
      <c r="I5795" s="270" t="s">
        <v>2987</v>
      </c>
      <c r="J5795" s="270" t="s">
        <v>3928</v>
      </c>
      <c r="K5795" s="270">
        <v>6611</v>
      </c>
      <c r="L5795" s="270">
        <v>90200</v>
      </c>
      <c r="M5795" s="270" t="s">
        <v>3943</v>
      </c>
      <c r="N5795" s="270" t="s">
        <v>3944</v>
      </c>
      <c r="O5795" s="270">
        <v>1580</v>
      </c>
      <c r="P5795" s="270" t="s">
        <v>3944</v>
      </c>
      <c r="Q5795" s="270" t="s">
        <v>3944</v>
      </c>
      <c r="R5795" s="270">
        <v>1580</v>
      </c>
      <c r="S5795" s="270">
        <v>11404</v>
      </c>
      <c r="T5795" s="270">
        <v>12984</v>
      </c>
      <c r="U5795" s="271" t="s">
        <v>3945</v>
      </c>
      <c r="V5795" s="267" t="s">
        <v>944</v>
      </c>
    </row>
    <row r="5796" spans="1:22" hidden="1" x14ac:dyDescent="0.25">
      <c r="A5796" s="266">
        <v>43740</v>
      </c>
      <c r="B5796" s="267">
        <v>2019</v>
      </c>
      <c r="C5796" s="267">
        <v>2020</v>
      </c>
      <c r="D5796" s="267">
        <v>1</v>
      </c>
      <c r="E5796" s="267">
        <v>1</v>
      </c>
      <c r="F5796" s="267" t="s">
        <v>944</v>
      </c>
      <c r="G5796" s="267" t="s">
        <v>3926</v>
      </c>
      <c r="H5796" s="267" t="s">
        <v>10489</v>
      </c>
      <c r="I5796" s="267" t="s">
        <v>3949</v>
      </c>
      <c r="J5796" s="267" t="s">
        <v>3928</v>
      </c>
      <c r="K5796" s="267">
        <v>6437</v>
      </c>
      <c r="L5796" s="267">
        <v>190301</v>
      </c>
      <c r="M5796" s="267" t="s">
        <v>3943</v>
      </c>
      <c r="N5796" s="267" t="s">
        <v>3944</v>
      </c>
      <c r="O5796" s="267">
        <v>3718</v>
      </c>
      <c r="P5796" s="267" t="s">
        <v>3944</v>
      </c>
      <c r="Q5796" s="267" t="s">
        <v>3944</v>
      </c>
      <c r="R5796" s="267">
        <v>3718</v>
      </c>
      <c r="S5796" s="267">
        <v>36466.5</v>
      </c>
      <c r="T5796" s="267">
        <v>40184.5</v>
      </c>
      <c r="U5796" s="268" t="s">
        <v>3945</v>
      </c>
      <c r="V5796" s="267" t="s">
        <v>944</v>
      </c>
    </row>
    <row r="5797" spans="1:22" hidden="1" x14ac:dyDescent="0.25">
      <c r="A5797" s="269">
        <v>43741</v>
      </c>
      <c r="B5797" s="270">
        <v>2019</v>
      </c>
      <c r="C5797" s="270">
        <v>2020</v>
      </c>
      <c r="D5797" s="270">
        <v>1</v>
      </c>
      <c r="E5797" s="270">
        <v>1</v>
      </c>
      <c r="F5797" s="270" t="s">
        <v>944</v>
      </c>
      <c r="G5797" s="270" t="s">
        <v>3926</v>
      </c>
      <c r="H5797" s="270" t="s">
        <v>10490</v>
      </c>
      <c r="I5797" s="270" t="s">
        <v>4232</v>
      </c>
      <c r="J5797" s="270" t="s">
        <v>3928</v>
      </c>
      <c r="K5797" s="270">
        <v>6483</v>
      </c>
      <c r="L5797" s="270">
        <v>130102</v>
      </c>
      <c r="M5797" s="270" t="s">
        <v>3935</v>
      </c>
      <c r="N5797" s="270" t="s">
        <v>10491</v>
      </c>
      <c r="O5797" s="270">
        <v>0</v>
      </c>
      <c r="P5797" s="270" t="s">
        <v>3930</v>
      </c>
      <c r="Q5797" s="270" t="s">
        <v>3930</v>
      </c>
      <c r="R5797" s="270">
        <v>0</v>
      </c>
      <c r="S5797" s="270">
        <v>11769.57</v>
      </c>
      <c r="T5797" s="270">
        <v>11769.57</v>
      </c>
      <c r="U5797" s="271" t="s">
        <v>3937</v>
      </c>
      <c r="V5797" s="267" t="s">
        <v>944</v>
      </c>
    </row>
    <row r="5798" spans="1:22" x14ac:dyDescent="0.25">
      <c r="A5798" s="266">
        <v>43741</v>
      </c>
      <c r="B5798" s="267">
        <v>2019</v>
      </c>
      <c r="C5798" s="267">
        <v>2020</v>
      </c>
      <c r="D5798" s="267">
        <v>1</v>
      </c>
      <c r="E5798" s="267">
        <v>1</v>
      </c>
      <c r="F5798" s="267" t="s">
        <v>944</v>
      </c>
      <c r="G5798" s="267" t="s">
        <v>3926</v>
      </c>
      <c r="H5798" s="267" t="s">
        <v>10492</v>
      </c>
      <c r="I5798" s="267" t="s">
        <v>3956</v>
      </c>
      <c r="J5798" s="267" t="s">
        <v>3928</v>
      </c>
      <c r="K5798" s="267">
        <v>6101</v>
      </c>
      <c r="L5798" s="267">
        <v>501800</v>
      </c>
      <c r="M5798" s="267">
        <v>-60</v>
      </c>
      <c r="N5798" s="267" t="s">
        <v>4053</v>
      </c>
      <c r="O5798" s="267">
        <v>2995.56</v>
      </c>
      <c r="P5798" s="267" t="s">
        <v>3930</v>
      </c>
      <c r="Q5798" s="267" t="s">
        <v>3931</v>
      </c>
      <c r="R5798" s="267">
        <v>7995.56</v>
      </c>
      <c r="S5798" s="267">
        <v>18603.2</v>
      </c>
      <c r="T5798" s="267">
        <v>26598.76</v>
      </c>
      <c r="U5798" s="268" t="s">
        <v>3932</v>
      </c>
      <c r="V5798" s="267" t="s">
        <v>936</v>
      </c>
    </row>
    <row r="5799" spans="1:22" hidden="1" x14ac:dyDescent="0.25">
      <c r="A5799" s="269">
        <v>43741</v>
      </c>
      <c r="B5799" s="270">
        <v>2019</v>
      </c>
      <c r="C5799" s="270">
        <v>2020</v>
      </c>
      <c r="D5799" s="270">
        <v>1</v>
      </c>
      <c r="E5799" s="270">
        <v>1</v>
      </c>
      <c r="F5799" s="270" t="s">
        <v>944</v>
      </c>
      <c r="G5799" s="270" t="s">
        <v>3926</v>
      </c>
      <c r="H5799" s="270" t="s">
        <v>10493</v>
      </c>
      <c r="I5799" s="270" t="s">
        <v>956</v>
      </c>
      <c r="J5799" s="270" t="s">
        <v>3928</v>
      </c>
      <c r="K5799" s="270">
        <v>6497</v>
      </c>
      <c r="L5799" s="270">
        <v>80800</v>
      </c>
      <c r="M5799" s="270" t="s">
        <v>3960</v>
      </c>
      <c r="N5799" s="270" t="s">
        <v>7680</v>
      </c>
      <c r="O5799" s="270">
        <v>712.86</v>
      </c>
      <c r="P5799" s="270" t="s">
        <v>3930</v>
      </c>
      <c r="Q5799" s="270" t="s">
        <v>3931</v>
      </c>
      <c r="R5799" s="270">
        <v>5712.86</v>
      </c>
      <c r="S5799" s="270">
        <v>11128</v>
      </c>
      <c r="T5799" s="270">
        <v>16840.86</v>
      </c>
      <c r="U5799" s="271" t="s">
        <v>3932</v>
      </c>
      <c r="V5799" s="267" t="s">
        <v>944</v>
      </c>
    </row>
    <row r="5800" spans="1:22" hidden="1" x14ac:dyDescent="0.25">
      <c r="A5800" s="266">
        <v>43741</v>
      </c>
      <c r="B5800" s="267">
        <v>2019</v>
      </c>
      <c r="C5800" s="267">
        <v>2020</v>
      </c>
      <c r="D5800" s="267">
        <v>1</v>
      </c>
      <c r="E5800" s="267">
        <v>1</v>
      </c>
      <c r="F5800" s="267" t="s">
        <v>944</v>
      </c>
      <c r="G5800" s="267" t="s">
        <v>3926</v>
      </c>
      <c r="H5800" s="267" t="s">
        <v>10494</v>
      </c>
      <c r="I5800" s="267" t="s">
        <v>3964</v>
      </c>
      <c r="J5800" s="267" t="s">
        <v>3928</v>
      </c>
      <c r="K5800" s="267">
        <v>6033</v>
      </c>
      <c r="L5800" s="267">
        <v>520400</v>
      </c>
      <c r="M5800" s="267" t="s">
        <v>3943</v>
      </c>
      <c r="N5800" s="267" t="s">
        <v>9336</v>
      </c>
      <c r="O5800" s="267">
        <v>0</v>
      </c>
      <c r="P5800" s="267" t="s">
        <v>3930</v>
      </c>
      <c r="Q5800" s="267" t="s">
        <v>3930</v>
      </c>
      <c r="R5800" s="267">
        <v>0</v>
      </c>
      <c r="S5800" s="267">
        <v>13360.17</v>
      </c>
      <c r="T5800" s="267">
        <v>13360.17</v>
      </c>
      <c r="U5800" s="268" t="s">
        <v>3937</v>
      </c>
      <c r="V5800" s="267" t="s">
        <v>944</v>
      </c>
    </row>
    <row r="5801" spans="1:22" hidden="1" x14ac:dyDescent="0.25">
      <c r="A5801" s="269">
        <v>43741</v>
      </c>
      <c r="B5801" s="270">
        <v>2019</v>
      </c>
      <c r="C5801" s="270">
        <v>2020</v>
      </c>
      <c r="D5801" s="270">
        <v>1</v>
      </c>
      <c r="E5801" s="270">
        <v>1</v>
      </c>
      <c r="F5801" s="270" t="s">
        <v>944</v>
      </c>
      <c r="G5801" s="270" t="s">
        <v>3926</v>
      </c>
      <c r="H5801" s="270" t="s">
        <v>10495</v>
      </c>
      <c r="I5801" s="270" t="s">
        <v>4019</v>
      </c>
      <c r="J5801" s="270" t="s">
        <v>3928</v>
      </c>
      <c r="K5801" s="270">
        <v>6706</v>
      </c>
      <c r="L5801" s="270">
        <v>351500</v>
      </c>
      <c r="M5801" s="270" t="s">
        <v>3940</v>
      </c>
      <c r="N5801" s="270" t="s">
        <v>3944</v>
      </c>
      <c r="O5801" s="270">
        <v>1905</v>
      </c>
      <c r="P5801" s="270" t="s">
        <v>3944</v>
      </c>
      <c r="Q5801" s="270" t="s">
        <v>3944</v>
      </c>
      <c r="R5801" s="270">
        <v>1905</v>
      </c>
      <c r="S5801" s="270">
        <v>30095</v>
      </c>
      <c r="T5801" s="270">
        <v>32000</v>
      </c>
      <c r="U5801" s="271" t="s">
        <v>3945</v>
      </c>
      <c r="V5801" s="267" t="s">
        <v>944</v>
      </c>
    </row>
    <row r="5802" spans="1:22" hidden="1" x14ac:dyDescent="0.25">
      <c r="A5802" s="266">
        <v>43741</v>
      </c>
      <c r="B5802" s="267">
        <v>2019</v>
      </c>
      <c r="C5802" s="267">
        <v>2020</v>
      </c>
      <c r="D5802" s="267">
        <v>1</v>
      </c>
      <c r="E5802" s="267">
        <v>1</v>
      </c>
      <c r="F5802" s="267" t="s">
        <v>944</v>
      </c>
      <c r="G5802" s="267" t="s">
        <v>3926</v>
      </c>
      <c r="H5802" s="267" t="s">
        <v>10496</v>
      </c>
      <c r="I5802" s="267" t="s">
        <v>4108</v>
      </c>
      <c r="J5802" s="267" t="s">
        <v>3928</v>
      </c>
      <c r="K5802" s="267">
        <v>6082</v>
      </c>
      <c r="L5802" s="267">
        <v>480400</v>
      </c>
      <c r="M5802" s="267" t="s">
        <v>3935</v>
      </c>
      <c r="N5802" s="267" t="s">
        <v>3944</v>
      </c>
      <c r="O5802" s="267">
        <v>2963</v>
      </c>
      <c r="P5802" s="267" t="s">
        <v>3944</v>
      </c>
      <c r="Q5802" s="267" t="s">
        <v>3944</v>
      </c>
      <c r="R5802" s="267">
        <v>2963</v>
      </c>
      <c r="S5802" s="267">
        <v>32918</v>
      </c>
      <c r="T5802" s="267">
        <v>35881</v>
      </c>
      <c r="U5802" s="268" t="s">
        <v>3945</v>
      </c>
      <c r="V5802" s="267" t="s">
        <v>944</v>
      </c>
    </row>
    <row r="5803" spans="1:22" hidden="1" x14ac:dyDescent="0.25">
      <c r="A5803" s="269">
        <v>43741</v>
      </c>
      <c r="B5803" s="270">
        <v>2019</v>
      </c>
      <c r="C5803" s="270">
        <v>2020</v>
      </c>
      <c r="D5803" s="270">
        <v>1</v>
      </c>
      <c r="E5803" s="270">
        <v>1</v>
      </c>
      <c r="F5803" s="270" t="s">
        <v>944</v>
      </c>
      <c r="G5803" s="270" t="s">
        <v>3926</v>
      </c>
      <c r="H5803" s="270" t="s">
        <v>10497</v>
      </c>
      <c r="I5803" s="270" t="s">
        <v>4197</v>
      </c>
      <c r="J5803" s="270" t="s">
        <v>3928</v>
      </c>
      <c r="K5803" s="270">
        <v>6812</v>
      </c>
      <c r="L5803" s="270">
        <v>220200</v>
      </c>
      <c r="M5803" s="270" t="s">
        <v>3943</v>
      </c>
      <c r="N5803" s="270" t="s">
        <v>3944</v>
      </c>
      <c r="O5803" s="270">
        <v>3094</v>
      </c>
      <c r="P5803" s="270" t="s">
        <v>3944</v>
      </c>
      <c r="Q5803" s="270" t="s">
        <v>3944</v>
      </c>
      <c r="R5803" s="270">
        <v>3094</v>
      </c>
      <c r="S5803" s="270">
        <v>26510</v>
      </c>
      <c r="T5803" s="270">
        <v>29604</v>
      </c>
      <c r="U5803" s="271" t="s">
        <v>3945</v>
      </c>
      <c r="V5803" s="267" t="s">
        <v>944</v>
      </c>
    </row>
    <row r="5804" spans="1:22" hidden="1" x14ac:dyDescent="0.25">
      <c r="A5804" s="266">
        <v>43741</v>
      </c>
      <c r="B5804" s="267">
        <v>2019</v>
      </c>
      <c r="C5804" s="267">
        <v>2020</v>
      </c>
      <c r="D5804" s="267">
        <v>1</v>
      </c>
      <c r="E5804" s="267">
        <v>1</v>
      </c>
      <c r="F5804" s="267" t="s">
        <v>944</v>
      </c>
      <c r="G5804" s="267" t="s">
        <v>3997</v>
      </c>
      <c r="H5804" s="267" t="s">
        <v>10498</v>
      </c>
      <c r="I5804" s="267" t="s">
        <v>934</v>
      </c>
      <c r="J5804" s="267" t="s">
        <v>3928</v>
      </c>
      <c r="K5804" s="267">
        <v>6606</v>
      </c>
      <c r="L5804" s="267">
        <v>72700</v>
      </c>
      <c r="M5804" s="267" t="s">
        <v>3935</v>
      </c>
      <c r="N5804" s="267" t="s">
        <v>3944</v>
      </c>
      <c r="O5804" s="267">
        <v>1308.27</v>
      </c>
      <c r="P5804" s="267" t="s">
        <v>3944</v>
      </c>
      <c r="Q5804" s="267" t="s">
        <v>3944</v>
      </c>
      <c r="R5804" s="267">
        <v>1308.27</v>
      </c>
      <c r="S5804" s="267">
        <v>21973.01</v>
      </c>
      <c r="T5804" s="267">
        <v>23281.279999999999</v>
      </c>
      <c r="U5804" s="268" t="s">
        <v>3945</v>
      </c>
      <c r="V5804" s="267" t="s">
        <v>944</v>
      </c>
    </row>
    <row r="5805" spans="1:22" hidden="1" x14ac:dyDescent="0.25">
      <c r="A5805" s="269">
        <v>43741</v>
      </c>
      <c r="B5805" s="270">
        <v>2019</v>
      </c>
      <c r="C5805" s="270">
        <v>2020</v>
      </c>
      <c r="D5805" s="270">
        <v>1</v>
      </c>
      <c r="E5805" s="270">
        <v>1</v>
      </c>
      <c r="F5805" s="270" t="s">
        <v>944</v>
      </c>
      <c r="G5805" s="270" t="s">
        <v>3926</v>
      </c>
      <c r="H5805" s="270" t="s">
        <v>10499</v>
      </c>
      <c r="I5805" s="270" t="s">
        <v>4073</v>
      </c>
      <c r="J5805" s="270" t="s">
        <v>3928</v>
      </c>
      <c r="K5805" s="270">
        <v>6776</v>
      </c>
      <c r="L5805" s="270">
        <v>253600</v>
      </c>
      <c r="M5805" s="270" t="s">
        <v>3940</v>
      </c>
      <c r="N5805" s="270" t="s">
        <v>3944</v>
      </c>
      <c r="O5805" s="270">
        <v>2437</v>
      </c>
      <c r="P5805" s="270" t="s">
        <v>3944</v>
      </c>
      <c r="Q5805" s="270" t="s">
        <v>3944</v>
      </c>
      <c r="R5805" s="270">
        <v>2437</v>
      </c>
      <c r="S5805" s="270">
        <v>39652</v>
      </c>
      <c r="T5805" s="270">
        <v>42089</v>
      </c>
      <c r="U5805" s="271" t="s">
        <v>3945</v>
      </c>
      <c r="V5805" s="267" t="s">
        <v>944</v>
      </c>
    </row>
    <row r="5806" spans="1:22" hidden="1" x14ac:dyDescent="0.25">
      <c r="A5806" s="266">
        <v>43741</v>
      </c>
      <c r="B5806" s="267">
        <v>2019</v>
      </c>
      <c r="C5806" s="267">
        <v>2020</v>
      </c>
      <c r="D5806" s="267">
        <v>1</v>
      </c>
      <c r="E5806" s="267">
        <v>1</v>
      </c>
      <c r="F5806" s="267" t="s">
        <v>944</v>
      </c>
      <c r="G5806" s="267" t="s">
        <v>3926</v>
      </c>
      <c r="H5806" s="267" t="s">
        <v>10500</v>
      </c>
      <c r="I5806" s="267" t="s">
        <v>3964</v>
      </c>
      <c r="J5806" s="267" t="s">
        <v>3928</v>
      </c>
      <c r="K5806" s="267">
        <v>6033</v>
      </c>
      <c r="L5806" s="267">
        <v>520202</v>
      </c>
      <c r="M5806" s="267" t="s">
        <v>3943</v>
      </c>
      <c r="N5806" s="267" t="s">
        <v>3944</v>
      </c>
      <c r="O5806" s="267">
        <v>5334</v>
      </c>
      <c r="P5806" s="267" t="s">
        <v>3944</v>
      </c>
      <c r="Q5806" s="267" t="s">
        <v>3944</v>
      </c>
      <c r="R5806" s="267">
        <v>5334</v>
      </c>
      <c r="S5806" s="267">
        <v>53816</v>
      </c>
      <c r="T5806" s="267">
        <v>59150</v>
      </c>
      <c r="U5806" s="268" t="s">
        <v>3945</v>
      </c>
      <c r="V5806" s="267" t="s">
        <v>944</v>
      </c>
    </row>
    <row r="5807" spans="1:22" hidden="1" x14ac:dyDescent="0.25">
      <c r="A5807" s="269">
        <v>43741</v>
      </c>
      <c r="B5807" s="270">
        <v>2019</v>
      </c>
      <c r="C5807" s="270">
        <v>2020</v>
      </c>
      <c r="D5807" s="270">
        <v>1</v>
      </c>
      <c r="E5807" s="270">
        <v>1</v>
      </c>
      <c r="F5807" s="270" t="s">
        <v>944</v>
      </c>
      <c r="G5807" s="270" t="s">
        <v>3926</v>
      </c>
      <c r="H5807" s="270" t="s">
        <v>10501</v>
      </c>
      <c r="I5807" s="270" t="s">
        <v>953</v>
      </c>
      <c r="J5807" s="270" t="s">
        <v>3928</v>
      </c>
      <c r="K5807" s="270">
        <v>6517</v>
      </c>
      <c r="L5807" s="270">
        <v>165300</v>
      </c>
      <c r="M5807" s="270" t="s">
        <v>3943</v>
      </c>
      <c r="N5807" s="270" t="s">
        <v>3944</v>
      </c>
      <c r="O5807" s="270">
        <v>2012</v>
      </c>
      <c r="P5807" s="270" t="s">
        <v>3944</v>
      </c>
      <c r="Q5807" s="270" t="s">
        <v>3944</v>
      </c>
      <c r="R5807" s="270">
        <v>2012</v>
      </c>
      <c r="S5807" s="270">
        <v>21847</v>
      </c>
      <c r="T5807" s="270">
        <v>23859</v>
      </c>
      <c r="U5807" s="271" t="s">
        <v>3945</v>
      </c>
      <c r="V5807" s="267" t="s">
        <v>944</v>
      </c>
    </row>
    <row r="5808" spans="1:22" hidden="1" x14ac:dyDescent="0.25">
      <c r="A5808" s="266">
        <v>43741</v>
      </c>
      <c r="B5808" s="267">
        <v>2019</v>
      </c>
      <c r="C5808" s="267">
        <v>2020</v>
      </c>
      <c r="D5808" s="267">
        <v>1</v>
      </c>
      <c r="E5808" s="267">
        <v>1</v>
      </c>
      <c r="F5808" s="267" t="s">
        <v>944</v>
      </c>
      <c r="G5808" s="267" t="s">
        <v>3926</v>
      </c>
      <c r="H5808" s="267" t="s">
        <v>10502</v>
      </c>
      <c r="I5808" s="267" t="s">
        <v>4042</v>
      </c>
      <c r="J5808" s="267" t="s">
        <v>3928</v>
      </c>
      <c r="K5808" s="267">
        <v>6382</v>
      </c>
      <c r="L5808" s="267">
        <v>695201</v>
      </c>
      <c r="M5808" s="267" t="s">
        <v>3935</v>
      </c>
      <c r="N5808" s="267" t="s">
        <v>3944</v>
      </c>
      <c r="O5808" s="267">
        <v>2015.27</v>
      </c>
      <c r="P5808" s="267" t="s">
        <v>3944</v>
      </c>
      <c r="Q5808" s="267" t="s">
        <v>3944</v>
      </c>
      <c r="R5808" s="267">
        <v>2015.27</v>
      </c>
      <c r="S5808" s="267">
        <v>23382.49</v>
      </c>
      <c r="T5808" s="267">
        <v>25397.759999999998</v>
      </c>
      <c r="U5808" s="268" t="s">
        <v>3945</v>
      </c>
      <c r="V5808" s="267" t="s">
        <v>944</v>
      </c>
    </row>
    <row r="5809" spans="1:22" hidden="1" x14ac:dyDescent="0.25">
      <c r="A5809" s="269">
        <v>43741</v>
      </c>
      <c r="B5809" s="270">
        <v>2019</v>
      </c>
      <c r="C5809" s="270">
        <v>2020</v>
      </c>
      <c r="D5809" s="270">
        <v>1</v>
      </c>
      <c r="E5809" s="270">
        <v>1</v>
      </c>
      <c r="F5809" s="270" t="s">
        <v>944</v>
      </c>
      <c r="G5809" s="270" t="s">
        <v>3926</v>
      </c>
      <c r="H5809" s="270" t="s">
        <v>10503</v>
      </c>
      <c r="I5809" s="270" t="s">
        <v>3966</v>
      </c>
      <c r="J5809" s="270" t="s">
        <v>3928</v>
      </c>
      <c r="K5809" s="270">
        <v>6010</v>
      </c>
      <c r="L5809" s="270">
        <v>405500</v>
      </c>
      <c r="M5809" s="270" t="s">
        <v>3935</v>
      </c>
      <c r="N5809" s="270" t="s">
        <v>3944</v>
      </c>
      <c r="O5809" s="270">
        <v>2264.36</v>
      </c>
      <c r="P5809" s="270" t="s">
        <v>3944</v>
      </c>
      <c r="Q5809" s="270" t="s">
        <v>3944</v>
      </c>
      <c r="R5809" s="270">
        <v>2264.36</v>
      </c>
      <c r="S5809" s="270">
        <v>30541.08</v>
      </c>
      <c r="T5809" s="270">
        <v>32805.440000000002</v>
      </c>
      <c r="U5809" s="271" t="s">
        <v>3945</v>
      </c>
      <c r="V5809" s="267" t="s">
        <v>944</v>
      </c>
    </row>
    <row r="5810" spans="1:22" hidden="1" x14ac:dyDescent="0.25">
      <c r="A5810" s="266">
        <v>43741</v>
      </c>
      <c r="B5810" s="267">
        <v>2019</v>
      </c>
      <c r="C5810" s="267">
        <v>2020</v>
      </c>
      <c r="D5810" s="267">
        <v>1</v>
      </c>
      <c r="E5810" s="267">
        <v>1</v>
      </c>
      <c r="F5810" s="267" t="s">
        <v>944</v>
      </c>
      <c r="G5810" s="267" t="s">
        <v>3926</v>
      </c>
      <c r="H5810" s="267" t="s">
        <v>10504</v>
      </c>
      <c r="I5810" s="267" t="s">
        <v>4213</v>
      </c>
      <c r="J5810" s="267" t="s">
        <v>3928</v>
      </c>
      <c r="K5810" s="267">
        <v>6051</v>
      </c>
      <c r="L5810" s="267">
        <v>416100</v>
      </c>
      <c r="M5810" s="267">
        <v>-60</v>
      </c>
      <c r="N5810" s="267" t="s">
        <v>10505</v>
      </c>
      <c r="O5810" s="267"/>
      <c r="P5810" s="267" t="s">
        <v>3944</v>
      </c>
      <c r="Q5810" s="267" t="s">
        <v>3930</v>
      </c>
      <c r="R5810" s="267">
        <v>0</v>
      </c>
      <c r="S5810" s="267">
        <v>86091.5</v>
      </c>
      <c r="T5810" s="267">
        <v>86091.5</v>
      </c>
      <c r="U5810" s="268" t="s">
        <v>4099</v>
      </c>
      <c r="V5810" s="267" t="s">
        <v>944</v>
      </c>
    </row>
    <row r="5811" spans="1:22" x14ac:dyDescent="0.25">
      <c r="A5811" s="269">
        <v>43741</v>
      </c>
      <c r="B5811" s="270">
        <v>2019</v>
      </c>
      <c r="C5811" s="270">
        <v>2020</v>
      </c>
      <c r="D5811" s="270">
        <v>1</v>
      </c>
      <c r="E5811" s="270">
        <v>1</v>
      </c>
      <c r="F5811" s="270" t="s">
        <v>944</v>
      </c>
      <c r="G5811" s="270" t="s">
        <v>3926</v>
      </c>
      <c r="H5811" s="270" t="s">
        <v>10506</v>
      </c>
      <c r="I5811" s="270" t="s">
        <v>4213</v>
      </c>
      <c r="J5811" s="270" t="s">
        <v>3928</v>
      </c>
      <c r="K5811" s="270">
        <v>6051</v>
      </c>
      <c r="L5811" s="270">
        <v>417100</v>
      </c>
      <c r="M5811" s="270">
        <v>-60</v>
      </c>
      <c r="N5811" s="270" t="s">
        <v>10507</v>
      </c>
      <c r="O5811" s="270"/>
      <c r="P5811" s="270" t="s">
        <v>3944</v>
      </c>
      <c r="Q5811" s="270" t="s">
        <v>3930</v>
      </c>
      <c r="R5811" s="270">
        <v>0</v>
      </c>
      <c r="S5811" s="270">
        <v>194637.35</v>
      </c>
      <c r="T5811" s="270">
        <v>194637.35</v>
      </c>
      <c r="U5811" s="271" t="s">
        <v>4099</v>
      </c>
      <c r="V5811" s="267" t="s">
        <v>936</v>
      </c>
    </row>
    <row r="5812" spans="1:22" hidden="1" x14ac:dyDescent="0.25">
      <c r="A5812" s="266">
        <v>43741</v>
      </c>
      <c r="B5812" s="267">
        <v>2019</v>
      </c>
      <c r="C5812" s="267">
        <v>2020</v>
      </c>
      <c r="D5812" s="267">
        <v>1</v>
      </c>
      <c r="E5812" s="267">
        <v>1</v>
      </c>
      <c r="F5812" s="267" t="s">
        <v>944</v>
      </c>
      <c r="G5812" s="267" t="s">
        <v>3926</v>
      </c>
      <c r="H5812" s="267" t="s">
        <v>10508</v>
      </c>
      <c r="I5812" s="267" t="s">
        <v>5032</v>
      </c>
      <c r="J5812" s="267" t="s">
        <v>3928</v>
      </c>
      <c r="K5812" s="267">
        <v>6062</v>
      </c>
      <c r="L5812" s="267">
        <v>420500</v>
      </c>
      <c r="M5812" s="267" t="s">
        <v>3940</v>
      </c>
      <c r="N5812" s="267" t="s">
        <v>3944</v>
      </c>
      <c r="O5812" s="267">
        <v>1153.53</v>
      </c>
      <c r="P5812" s="267" t="s">
        <v>3944</v>
      </c>
      <c r="Q5812" s="267" t="s">
        <v>3944</v>
      </c>
      <c r="R5812" s="267">
        <v>1153.53</v>
      </c>
      <c r="S5812" s="267">
        <v>17894.79</v>
      </c>
      <c r="T5812" s="267">
        <v>19048.32</v>
      </c>
      <c r="U5812" s="268" t="s">
        <v>3945</v>
      </c>
      <c r="V5812" s="267" t="s">
        <v>944</v>
      </c>
    </row>
    <row r="5813" spans="1:22" x14ac:dyDescent="0.25">
      <c r="A5813" s="269">
        <v>43741</v>
      </c>
      <c r="B5813" s="270">
        <v>2019</v>
      </c>
      <c r="C5813" s="270">
        <v>2020</v>
      </c>
      <c r="D5813" s="270">
        <v>1</v>
      </c>
      <c r="E5813" s="270">
        <v>1</v>
      </c>
      <c r="F5813" s="270" t="s">
        <v>944</v>
      </c>
      <c r="G5813" s="270" t="s">
        <v>3926</v>
      </c>
      <c r="H5813" s="270" t="s">
        <v>10509</v>
      </c>
      <c r="I5813" s="270" t="s">
        <v>4213</v>
      </c>
      <c r="J5813" s="270" t="s">
        <v>3928</v>
      </c>
      <c r="K5813" s="270">
        <v>6051</v>
      </c>
      <c r="L5813" s="270">
        <v>417100</v>
      </c>
      <c r="M5813" s="270">
        <v>-60</v>
      </c>
      <c r="N5813" s="270" t="s">
        <v>10510</v>
      </c>
      <c r="O5813" s="270"/>
      <c r="P5813" s="270" t="s">
        <v>3944</v>
      </c>
      <c r="Q5813" s="270" t="s">
        <v>3930</v>
      </c>
      <c r="R5813" s="270">
        <v>0</v>
      </c>
      <c r="S5813" s="270">
        <v>120753.73</v>
      </c>
      <c r="T5813" s="270">
        <v>120753.73</v>
      </c>
      <c r="U5813" s="271" t="s">
        <v>4099</v>
      </c>
      <c r="V5813" s="267" t="s">
        <v>936</v>
      </c>
    </row>
    <row r="5814" spans="1:22" hidden="1" x14ac:dyDescent="0.25">
      <c r="A5814" s="266">
        <v>43742</v>
      </c>
      <c r="B5814" s="267">
        <v>2019</v>
      </c>
      <c r="C5814" s="267">
        <v>2020</v>
      </c>
      <c r="D5814" s="267">
        <v>1</v>
      </c>
      <c r="E5814" s="267">
        <v>1</v>
      </c>
      <c r="F5814" s="267" t="s">
        <v>944</v>
      </c>
      <c r="G5814" s="267" t="s">
        <v>3926</v>
      </c>
      <c r="H5814" s="267" t="s">
        <v>10511</v>
      </c>
      <c r="I5814" s="267" t="s">
        <v>4250</v>
      </c>
      <c r="J5814" s="267" t="s">
        <v>3928</v>
      </c>
      <c r="K5814" s="267">
        <v>6241</v>
      </c>
      <c r="L5814" s="267">
        <v>904100</v>
      </c>
      <c r="M5814" s="267" t="s">
        <v>3935</v>
      </c>
      <c r="N5814" s="267" t="s">
        <v>5725</v>
      </c>
      <c r="O5814" s="267">
        <v>0</v>
      </c>
      <c r="P5814" s="267" t="s">
        <v>3930</v>
      </c>
      <c r="Q5814" s="267" t="s">
        <v>3930</v>
      </c>
      <c r="R5814" s="267">
        <v>0</v>
      </c>
      <c r="S5814" s="267">
        <v>9470</v>
      </c>
      <c r="T5814" s="267">
        <v>9470</v>
      </c>
      <c r="U5814" s="268" t="s">
        <v>3937</v>
      </c>
      <c r="V5814" s="267" t="s">
        <v>944</v>
      </c>
    </row>
    <row r="5815" spans="1:22" hidden="1" x14ac:dyDescent="0.25">
      <c r="A5815" s="269">
        <v>43742</v>
      </c>
      <c r="B5815" s="270">
        <v>2019</v>
      </c>
      <c r="C5815" s="270">
        <v>2020</v>
      </c>
      <c r="D5815" s="270">
        <v>1</v>
      </c>
      <c r="E5815" s="270">
        <v>1</v>
      </c>
      <c r="F5815" s="270" t="s">
        <v>944</v>
      </c>
      <c r="G5815" s="270" t="s">
        <v>3926</v>
      </c>
      <c r="H5815" s="270" t="s">
        <v>10512</v>
      </c>
      <c r="I5815" s="270" t="s">
        <v>4323</v>
      </c>
      <c r="J5815" s="270" t="s">
        <v>3928</v>
      </c>
      <c r="K5815" s="270">
        <v>6385</v>
      </c>
      <c r="L5815" s="270">
        <v>693500</v>
      </c>
      <c r="M5815" s="270" t="s">
        <v>3943</v>
      </c>
      <c r="N5815" s="270" t="s">
        <v>10513</v>
      </c>
      <c r="O5815" s="270">
        <v>0</v>
      </c>
      <c r="P5815" s="270" t="s">
        <v>3930</v>
      </c>
      <c r="Q5815" s="270" t="s">
        <v>3930</v>
      </c>
      <c r="R5815" s="270">
        <v>0</v>
      </c>
      <c r="S5815" s="270">
        <v>9265.0499999999993</v>
      </c>
      <c r="T5815" s="270">
        <v>9265.0499999999993</v>
      </c>
      <c r="U5815" s="271" t="s">
        <v>3937</v>
      </c>
      <c r="V5815" s="267" t="s">
        <v>944</v>
      </c>
    </row>
    <row r="5816" spans="1:22" hidden="1" x14ac:dyDescent="0.25">
      <c r="A5816" s="266">
        <v>43742</v>
      </c>
      <c r="B5816" s="267">
        <v>2019</v>
      </c>
      <c r="C5816" s="267">
        <v>2020</v>
      </c>
      <c r="D5816" s="267">
        <v>1</v>
      </c>
      <c r="E5816" s="267">
        <v>1</v>
      </c>
      <c r="F5816" s="267" t="s">
        <v>944</v>
      </c>
      <c r="G5816" s="267" t="s">
        <v>3926</v>
      </c>
      <c r="H5816" s="267" t="s">
        <v>10514</v>
      </c>
      <c r="I5816" s="267" t="s">
        <v>3008</v>
      </c>
      <c r="J5816" s="267" t="s">
        <v>3928</v>
      </c>
      <c r="K5816" s="267">
        <v>6460</v>
      </c>
      <c r="L5816" s="267">
        <v>151100</v>
      </c>
      <c r="M5816" s="267" t="s">
        <v>3960</v>
      </c>
      <c r="N5816" s="267" t="s">
        <v>10515</v>
      </c>
      <c r="O5816" s="267">
        <v>0</v>
      </c>
      <c r="P5816" s="267" t="s">
        <v>3930</v>
      </c>
      <c r="Q5816" s="267" t="s">
        <v>3930</v>
      </c>
      <c r="R5816" s="267">
        <v>0</v>
      </c>
      <c r="S5816" s="267">
        <v>5245.28</v>
      </c>
      <c r="T5816" s="267">
        <v>5245.28</v>
      </c>
      <c r="U5816" s="268" t="s">
        <v>3937</v>
      </c>
      <c r="V5816" s="267" t="s">
        <v>944</v>
      </c>
    </row>
    <row r="5817" spans="1:22" hidden="1" x14ac:dyDescent="0.25">
      <c r="A5817" s="269">
        <v>43742</v>
      </c>
      <c r="B5817" s="270">
        <v>2019</v>
      </c>
      <c r="C5817" s="270">
        <v>2020</v>
      </c>
      <c r="D5817" s="270">
        <v>1</v>
      </c>
      <c r="E5817" s="270">
        <v>1</v>
      </c>
      <c r="F5817" s="270" t="s">
        <v>944</v>
      </c>
      <c r="G5817" s="270" t="s">
        <v>3926</v>
      </c>
      <c r="H5817" s="270" t="s">
        <v>10516</v>
      </c>
      <c r="I5817" s="270" t="s">
        <v>3985</v>
      </c>
      <c r="J5817" s="270" t="s">
        <v>3928</v>
      </c>
      <c r="K5817" s="270">
        <v>6256</v>
      </c>
      <c r="L5817" s="270">
        <v>800500</v>
      </c>
      <c r="M5817" s="270" t="s">
        <v>3940</v>
      </c>
      <c r="N5817" s="270" t="s">
        <v>10517</v>
      </c>
      <c r="O5817" s="270">
        <v>2654.03</v>
      </c>
      <c r="P5817" s="270" t="s">
        <v>3930</v>
      </c>
      <c r="Q5817" s="270" t="s">
        <v>3931</v>
      </c>
      <c r="R5817" s="270">
        <v>7654.03</v>
      </c>
      <c r="S5817" s="270">
        <v>10624</v>
      </c>
      <c r="T5817" s="270">
        <v>18278.03</v>
      </c>
      <c r="U5817" s="271" t="s">
        <v>3932</v>
      </c>
      <c r="V5817" s="267" t="s">
        <v>944</v>
      </c>
    </row>
    <row r="5818" spans="1:22" hidden="1" x14ac:dyDescent="0.25">
      <c r="A5818" s="266">
        <v>43742</v>
      </c>
      <c r="B5818" s="267">
        <v>2019</v>
      </c>
      <c r="C5818" s="267">
        <v>2020</v>
      </c>
      <c r="D5818" s="267">
        <v>1</v>
      </c>
      <c r="E5818" s="267">
        <v>1</v>
      </c>
      <c r="F5818" s="267" t="s">
        <v>944</v>
      </c>
      <c r="G5818" s="267" t="s">
        <v>3926</v>
      </c>
      <c r="H5818" s="267" t="s">
        <v>10518</v>
      </c>
      <c r="I5818" s="267" t="s">
        <v>4108</v>
      </c>
      <c r="J5818" s="267" t="s">
        <v>3928</v>
      </c>
      <c r="K5818" s="267">
        <v>6082</v>
      </c>
      <c r="L5818" s="267">
        <v>480700</v>
      </c>
      <c r="M5818" s="267" t="s">
        <v>3940</v>
      </c>
      <c r="N5818" s="267" t="s">
        <v>3983</v>
      </c>
      <c r="O5818" s="267">
        <v>926.52</v>
      </c>
      <c r="P5818" s="267" t="s">
        <v>3930</v>
      </c>
      <c r="Q5818" s="267" t="s">
        <v>3931</v>
      </c>
      <c r="R5818" s="267">
        <v>5926.52</v>
      </c>
      <c r="S5818" s="267">
        <v>16504</v>
      </c>
      <c r="T5818" s="267">
        <v>22430.52</v>
      </c>
      <c r="U5818" s="268" t="s">
        <v>3932</v>
      </c>
      <c r="V5818" s="267" t="s">
        <v>944</v>
      </c>
    </row>
    <row r="5819" spans="1:22" hidden="1" x14ac:dyDescent="0.25">
      <c r="A5819" s="269">
        <v>43742</v>
      </c>
      <c r="B5819" s="270">
        <v>2019</v>
      </c>
      <c r="C5819" s="270">
        <v>2020</v>
      </c>
      <c r="D5819" s="270">
        <v>1</v>
      </c>
      <c r="E5819" s="270">
        <v>1</v>
      </c>
      <c r="F5819" s="270" t="s">
        <v>944</v>
      </c>
      <c r="G5819" s="270" t="s">
        <v>3926</v>
      </c>
      <c r="H5819" s="270" t="s">
        <v>10519</v>
      </c>
      <c r="I5819" s="270" t="s">
        <v>943</v>
      </c>
      <c r="J5819" s="270" t="s">
        <v>3928</v>
      </c>
      <c r="K5819" s="270">
        <v>6501</v>
      </c>
      <c r="L5819" s="270">
        <v>165801</v>
      </c>
      <c r="M5819" s="270" t="s">
        <v>3935</v>
      </c>
      <c r="N5819" s="270" t="s">
        <v>10520</v>
      </c>
      <c r="O5819" s="270">
        <v>2535.4699999999998</v>
      </c>
      <c r="P5819" s="270" t="s">
        <v>3930</v>
      </c>
      <c r="Q5819" s="270" t="s">
        <v>3931</v>
      </c>
      <c r="R5819" s="270">
        <v>7535.47</v>
      </c>
      <c r="S5819" s="270">
        <v>10960</v>
      </c>
      <c r="T5819" s="270">
        <v>18495.47</v>
      </c>
      <c r="U5819" s="271" t="s">
        <v>3932</v>
      </c>
      <c r="V5819" s="267" t="s">
        <v>944</v>
      </c>
    </row>
    <row r="5820" spans="1:22" hidden="1" x14ac:dyDescent="0.25">
      <c r="A5820" s="266">
        <v>43742</v>
      </c>
      <c r="B5820" s="267">
        <v>2019</v>
      </c>
      <c r="C5820" s="267">
        <v>2020</v>
      </c>
      <c r="D5820" s="267">
        <v>1</v>
      </c>
      <c r="E5820" s="267">
        <v>1</v>
      </c>
      <c r="F5820" s="267" t="s">
        <v>944</v>
      </c>
      <c r="G5820" s="267" t="s">
        <v>3926</v>
      </c>
      <c r="H5820" s="267" t="s">
        <v>10521</v>
      </c>
      <c r="I5820" s="267" t="s">
        <v>953</v>
      </c>
      <c r="J5820" s="267" t="s">
        <v>3928</v>
      </c>
      <c r="K5820" s="267">
        <v>6514</v>
      </c>
      <c r="L5820" s="267">
        <v>165801</v>
      </c>
      <c r="M5820" s="267" t="s">
        <v>3935</v>
      </c>
      <c r="N5820" s="267" t="s">
        <v>4523</v>
      </c>
      <c r="O5820" s="267">
        <v>4333.66</v>
      </c>
      <c r="P5820" s="267" t="s">
        <v>3930</v>
      </c>
      <c r="Q5820" s="267" t="s">
        <v>3931</v>
      </c>
      <c r="R5820" s="267">
        <v>9333.66</v>
      </c>
      <c r="S5820" s="267">
        <v>25412.799999999999</v>
      </c>
      <c r="T5820" s="267">
        <v>34746.46</v>
      </c>
      <c r="U5820" s="268" t="s">
        <v>3932</v>
      </c>
      <c r="V5820" s="267" t="s">
        <v>944</v>
      </c>
    </row>
    <row r="5821" spans="1:22" hidden="1" x14ac:dyDescent="0.25">
      <c r="A5821" s="269">
        <v>43742</v>
      </c>
      <c r="B5821" s="270">
        <v>2019</v>
      </c>
      <c r="C5821" s="270">
        <v>2020</v>
      </c>
      <c r="D5821" s="270">
        <v>1</v>
      </c>
      <c r="E5821" s="270">
        <v>1</v>
      </c>
      <c r="F5821" s="270" t="s">
        <v>944</v>
      </c>
      <c r="G5821" s="270" t="s">
        <v>3926</v>
      </c>
      <c r="H5821" s="270" t="s">
        <v>10522</v>
      </c>
      <c r="I5821" s="270" t="s">
        <v>4687</v>
      </c>
      <c r="J5821" s="270" t="s">
        <v>3928</v>
      </c>
      <c r="K5821" s="270">
        <v>6424</v>
      </c>
      <c r="L5821" s="270">
        <v>550202</v>
      </c>
      <c r="M5821" s="270" t="s">
        <v>3960</v>
      </c>
      <c r="N5821" s="270" t="s">
        <v>10523</v>
      </c>
      <c r="O5821" s="270">
        <v>0</v>
      </c>
      <c r="P5821" s="270" t="s">
        <v>3930</v>
      </c>
      <c r="Q5821" s="270" t="s">
        <v>3930</v>
      </c>
      <c r="R5821" s="270">
        <v>0</v>
      </c>
      <c r="S5821" s="270">
        <v>15027</v>
      </c>
      <c r="T5821" s="270">
        <v>15027</v>
      </c>
      <c r="U5821" s="271" t="s">
        <v>3937</v>
      </c>
      <c r="V5821" s="267" t="s">
        <v>944</v>
      </c>
    </row>
    <row r="5822" spans="1:22" hidden="1" x14ac:dyDescent="0.25">
      <c r="A5822" s="266">
        <v>43742</v>
      </c>
      <c r="B5822" s="267">
        <v>2019</v>
      </c>
      <c r="C5822" s="267">
        <v>2020</v>
      </c>
      <c r="D5822" s="267">
        <v>1</v>
      </c>
      <c r="E5822" s="267">
        <v>1</v>
      </c>
      <c r="F5822" s="267" t="s">
        <v>944</v>
      </c>
      <c r="G5822" s="267" t="s">
        <v>3926</v>
      </c>
      <c r="H5822" s="267" t="s">
        <v>10524</v>
      </c>
      <c r="I5822" s="267" t="s">
        <v>4168</v>
      </c>
      <c r="J5822" s="267" t="s">
        <v>3928</v>
      </c>
      <c r="K5822" s="267">
        <v>6475</v>
      </c>
      <c r="L5822" s="267">
        <v>670100</v>
      </c>
      <c r="M5822" s="267" t="s">
        <v>3960</v>
      </c>
      <c r="N5822" s="267" t="s">
        <v>3944</v>
      </c>
      <c r="O5822" s="267">
        <v>3245</v>
      </c>
      <c r="P5822" s="267" t="s">
        <v>3944</v>
      </c>
      <c r="Q5822" s="267" t="s">
        <v>3944</v>
      </c>
      <c r="R5822" s="267">
        <v>3245</v>
      </c>
      <c r="S5822" s="267">
        <v>24100</v>
      </c>
      <c r="T5822" s="267">
        <v>27345</v>
      </c>
      <c r="U5822" s="268" t="s">
        <v>3945</v>
      </c>
      <c r="V5822" s="267" t="s">
        <v>944</v>
      </c>
    </row>
    <row r="5823" spans="1:22" hidden="1" x14ac:dyDescent="0.25">
      <c r="A5823" s="269">
        <v>43742</v>
      </c>
      <c r="B5823" s="270">
        <v>2019</v>
      </c>
      <c r="C5823" s="270">
        <v>2020</v>
      </c>
      <c r="D5823" s="270">
        <v>1</v>
      </c>
      <c r="E5823" s="270">
        <v>1</v>
      </c>
      <c r="F5823" s="270" t="s">
        <v>944</v>
      </c>
      <c r="G5823" s="270" t="s">
        <v>3926</v>
      </c>
      <c r="H5823" s="270" t="s">
        <v>10525</v>
      </c>
      <c r="I5823" s="270" t="s">
        <v>3934</v>
      </c>
      <c r="J5823" s="270" t="s">
        <v>3928</v>
      </c>
      <c r="K5823" s="270">
        <v>6405</v>
      </c>
      <c r="L5823" s="270">
        <v>184600</v>
      </c>
      <c r="M5823" s="270" t="s">
        <v>3943</v>
      </c>
      <c r="N5823" s="270" t="s">
        <v>3944</v>
      </c>
      <c r="O5823" s="270">
        <v>4631</v>
      </c>
      <c r="P5823" s="270" t="s">
        <v>3944</v>
      </c>
      <c r="Q5823" s="270" t="s">
        <v>3944</v>
      </c>
      <c r="R5823" s="270">
        <v>4631</v>
      </c>
      <c r="S5823" s="270">
        <v>40553.800000000003</v>
      </c>
      <c r="T5823" s="270">
        <v>45184.800000000003</v>
      </c>
      <c r="U5823" s="271" t="s">
        <v>3945</v>
      </c>
      <c r="V5823" s="267" t="s">
        <v>944</v>
      </c>
    </row>
    <row r="5824" spans="1:22" hidden="1" x14ac:dyDescent="0.25">
      <c r="A5824" s="266">
        <v>43742</v>
      </c>
      <c r="B5824" s="267">
        <v>2019</v>
      </c>
      <c r="C5824" s="267">
        <v>2020</v>
      </c>
      <c r="D5824" s="267">
        <v>1</v>
      </c>
      <c r="E5824" s="267">
        <v>1</v>
      </c>
      <c r="F5824" s="267" t="s">
        <v>944</v>
      </c>
      <c r="G5824" s="267" t="s">
        <v>3926</v>
      </c>
      <c r="H5824" s="267" t="s">
        <v>10526</v>
      </c>
      <c r="I5824" s="267" t="s">
        <v>4168</v>
      </c>
      <c r="J5824" s="267" t="s">
        <v>3928</v>
      </c>
      <c r="K5824" s="267">
        <v>6475</v>
      </c>
      <c r="L5824" s="267">
        <v>670200</v>
      </c>
      <c r="M5824" s="267" t="s">
        <v>3935</v>
      </c>
      <c r="N5824" s="267" t="s">
        <v>3944</v>
      </c>
      <c r="O5824" s="267">
        <v>3651</v>
      </c>
      <c r="P5824" s="267" t="s">
        <v>3944</v>
      </c>
      <c r="Q5824" s="267" t="s">
        <v>3944</v>
      </c>
      <c r="R5824" s="267">
        <v>3651</v>
      </c>
      <c r="S5824" s="267">
        <v>30369</v>
      </c>
      <c r="T5824" s="267">
        <v>34020</v>
      </c>
      <c r="U5824" s="268" t="s">
        <v>3945</v>
      </c>
      <c r="V5824" s="267" t="s">
        <v>944</v>
      </c>
    </row>
    <row r="5825" spans="1:22" hidden="1" x14ac:dyDescent="0.25">
      <c r="A5825" s="269">
        <v>43742</v>
      </c>
      <c r="B5825" s="270">
        <v>2019</v>
      </c>
      <c r="C5825" s="270">
        <v>2020</v>
      </c>
      <c r="D5825" s="270">
        <v>1</v>
      </c>
      <c r="E5825" s="270">
        <v>1</v>
      </c>
      <c r="F5825" s="270" t="s">
        <v>944</v>
      </c>
      <c r="G5825" s="270" t="s">
        <v>3926</v>
      </c>
      <c r="H5825" s="270" t="s">
        <v>10527</v>
      </c>
      <c r="I5825" s="270" t="s">
        <v>4079</v>
      </c>
      <c r="J5825" s="270" t="s">
        <v>3928</v>
      </c>
      <c r="K5825" s="270">
        <v>6111</v>
      </c>
      <c r="L5825" s="270">
        <v>494600</v>
      </c>
      <c r="M5825" s="270" t="s">
        <v>3935</v>
      </c>
      <c r="N5825" s="270" t="s">
        <v>3944</v>
      </c>
      <c r="O5825" s="270">
        <v>1206</v>
      </c>
      <c r="P5825" s="270" t="s">
        <v>3944</v>
      </c>
      <c r="Q5825" s="270" t="s">
        <v>3944</v>
      </c>
      <c r="R5825" s="270">
        <v>1206</v>
      </c>
      <c r="S5825" s="270">
        <v>25794</v>
      </c>
      <c r="T5825" s="270">
        <v>27000</v>
      </c>
      <c r="U5825" s="271" t="s">
        <v>3945</v>
      </c>
      <c r="V5825" s="267" t="s">
        <v>944</v>
      </c>
    </row>
    <row r="5826" spans="1:22" hidden="1" x14ac:dyDescent="0.25">
      <c r="A5826" s="266">
        <v>43742</v>
      </c>
      <c r="B5826" s="267">
        <v>2019</v>
      </c>
      <c r="C5826" s="267">
        <v>2020</v>
      </c>
      <c r="D5826" s="267">
        <v>1</v>
      </c>
      <c r="E5826" s="267">
        <v>1</v>
      </c>
      <c r="F5826" s="267" t="s">
        <v>944</v>
      </c>
      <c r="G5826" s="267" t="s">
        <v>3926</v>
      </c>
      <c r="H5826" s="267" t="s">
        <v>10528</v>
      </c>
      <c r="I5826" s="267" t="s">
        <v>4085</v>
      </c>
      <c r="J5826" s="267" t="s">
        <v>3928</v>
      </c>
      <c r="K5826" s="267">
        <v>6351</v>
      </c>
      <c r="L5826" s="267">
        <v>709100</v>
      </c>
      <c r="M5826" s="267" t="s">
        <v>3935</v>
      </c>
      <c r="N5826" s="267" t="s">
        <v>3944</v>
      </c>
      <c r="O5826" s="267">
        <v>4864</v>
      </c>
      <c r="P5826" s="267" t="s">
        <v>3944</v>
      </c>
      <c r="Q5826" s="267" t="s">
        <v>3944</v>
      </c>
      <c r="R5826" s="267">
        <v>4864</v>
      </c>
      <c r="S5826" s="267">
        <v>30673</v>
      </c>
      <c r="T5826" s="267">
        <v>35537</v>
      </c>
      <c r="U5826" s="268" t="s">
        <v>3945</v>
      </c>
      <c r="V5826" s="267" t="s">
        <v>944</v>
      </c>
    </row>
    <row r="5827" spans="1:22" hidden="1" x14ac:dyDescent="0.25">
      <c r="A5827" s="269">
        <v>43742</v>
      </c>
      <c r="B5827" s="270">
        <v>2019</v>
      </c>
      <c r="C5827" s="270">
        <v>2020</v>
      </c>
      <c r="D5827" s="270">
        <v>1</v>
      </c>
      <c r="E5827" s="270">
        <v>1</v>
      </c>
      <c r="F5827" s="270" t="s">
        <v>944</v>
      </c>
      <c r="G5827" s="270" t="s">
        <v>3926</v>
      </c>
      <c r="H5827" s="270" t="s">
        <v>10529</v>
      </c>
      <c r="I5827" s="270" t="s">
        <v>3966</v>
      </c>
      <c r="J5827" s="270" t="s">
        <v>3928</v>
      </c>
      <c r="K5827" s="270">
        <v>6010</v>
      </c>
      <c r="L5827" s="270">
        <v>406002</v>
      </c>
      <c r="M5827" s="270" t="s">
        <v>3935</v>
      </c>
      <c r="N5827" s="270" t="s">
        <v>3944</v>
      </c>
      <c r="O5827" s="270">
        <v>7525</v>
      </c>
      <c r="P5827" s="270" t="s">
        <v>3944</v>
      </c>
      <c r="Q5827" s="270" t="s">
        <v>3944</v>
      </c>
      <c r="R5827" s="270">
        <v>7525</v>
      </c>
      <c r="S5827" s="270">
        <v>60867.8</v>
      </c>
      <c r="T5827" s="270">
        <v>68392.800000000003</v>
      </c>
      <c r="U5827" s="271" t="s">
        <v>3945</v>
      </c>
      <c r="V5827" s="267" t="s">
        <v>944</v>
      </c>
    </row>
    <row r="5828" spans="1:22" hidden="1" x14ac:dyDescent="0.25">
      <c r="A5828" s="266">
        <v>43742</v>
      </c>
      <c r="B5828" s="267">
        <v>2019</v>
      </c>
      <c r="C5828" s="267">
        <v>2020</v>
      </c>
      <c r="D5828" s="267">
        <v>1</v>
      </c>
      <c r="E5828" s="267">
        <v>1</v>
      </c>
      <c r="F5828" s="267" t="s">
        <v>944</v>
      </c>
      <c r="G5828" s="267" t="s">
        <v>3997</v>
      </c>
      <c r="H5828" s="267" t="s">
        <v>10530</v>
      </c>
      <c r="I5828" s="267" t="s">
        <v>3999</v>
      </c>
      <c r="J5828" s="267" t="s">
        <v>3928</v>
      </c>
      <c r="K5828" s="267">
        <v>6450</v>
      </c>
      <c r="L5828" s="267">
        <v>171200</v>
      </c>
      <c r="M5828" s="267" t="s">
        <v>3960</v>
      </c>
      <c r="N5828" s="267" t="s">
        <v>3944</v>
      </c>
      <c r="O5828" s="267">
        <v>2700.92</v>
      </c>
      <c r="P5828" s="267" t="s">
        <v>3944</v>
      </c>
      <c r="Q5828" s="267" t="s">
        <v>3944</v>
      </c>
      <c r="R5828" s="267">
        <v>2700.92</v>
      </c>
      <c r="S5828" s="267">
        <v>41745.160000000003</v>
      </c>
      <c r="T5828" s="267">
        <v>44446.080000000002</v>
      </c>
      <c r="U5828" s="268" t="s">
        <v>3945</v>
      </c>
      <c r="V5828" s="267" t="s">
        <v>944</v>
      </c>
    </row>
    <row r="5829" spans="1:22" hidden="1" x14ac:dyDescent="0.25">
      <c r="A5829" s="269">
        <v>43742</v>
      </c>
      <c r="B5829" s="270">
        <v>2019</v>
      </c>
      <c r="C5829" s="270">
        <v>2020</v>
      </c>
      <c r="D5829" s="270">
        <v>1</v>
      </c>
      <c r="E5829" s="270">
        <v>1</v>
      </c>
      <c r="F5829" s="270" t="s">
        <v>944</v>
      </c>
      <c r="G5829" s="270" t="s">
        <v>3926</v>
      </c>
      <c r="H5829" s="270" t="s">
        <v>10531</v>
      </c>
      <c r="I5829" s="270" t="s">
        <v>3008</v>
      </c>
      <c r="J5829" s="270" t="s">
        <v>3928</v>
      </c>
      <c r="K5829" s="270">
        <v>6460</v>
      </c>
      <c r="L5829" s="270">
        <v>150200</v>
      </c>
      <c r="M5829" s="270" t="s">
        <v>3935</v>
      </c>
      <c r="N5829" s="270" t="s">
        <v>3944</v>
      </c>
      <c r="O5829" s="270">
        <v>2840</v>
      </c>
      <c r="P5829" s="270" t="s">
        <v>3944</v>
      </c>
      <c r="Q5829" s="270" t="s">
        <v>3944</v>
      </c>
      <c r="R5829" s="270">
        <v>2840</v>
      </c>
      <c r="S5829" s="270">
        <v>23620</v>
      </c>
      <c r="T5829" s="270">
        <v>26460</v>
      </c>
      <c r="U5829" s="271" t="s">
        <v>3945</v>
      </c>
      <c r="V5829" s="267" t="s">
        <v>944</v>
      </c>
    </row>
    <row r="5830" spans="1:22" hidden="1" x14ac:dyDescent="0.25">
      <c r="A5830" s="266">
        <v>43742</v>
      </c>
      <c r="B5830" s="267">
        <v>2019</v>
      </c>
      <c r="C5830" s="267">
        <v>2020</v>
      </c>
      <c r="D5830" s="267">
        <v>1</v>
      </c>
      <c r="E5830" s="267">
        <v>1</v>
      </c>
      <c r="F5830" s="267" t="s">
        <v>944</v>
      </c>
      <c r="G5830" s="267" t="s">
        <v>3926</v>
      </c>
      <c r="H5830" s="267" t="s">
        <v>10532</v>
      </c>
      <c r="I5830" s="267" t="s">
        <v>4687</v>
      </c>
      <c r="J5830" s="267" t="s">
        <v>3928</v>
      </c>
      <c r="K5830" s="267">
        <v>6424</v>
      </c>
      <c r="L5830" s="267">
        <v>550100</v>
      </c>
      <c r="M5830" s="267" t="s">
        <v>3960</v>
      </c>
      <c r="N5830" s="267" t="s">
        <v>3944</v>
      </c>
      <c r="O5830" s="267">
        <v>3330</v>
      </c>
      <c r="P5830" s="267" t="s">
        <v>3944</v>
      </c>
      <c r="Q5830" s="267" t="s">
        <v>3944</v>
      </c>
      <c r="R5830" s="267">
        <v>3330</v>
      </c>
      <c r="S5830" s="267">
        <v>43920</v>
      </c>
      <c r="T5830" s="267">
        <v>47250</v>
      </c>
      <c r="U5830" s="268" t="s">
        <v>3945</v>
      </c>
      <c r="V5830" s="267" t="s">
        <v>944</v>
      </c>
    </row>
    <row r="5831" spans="1:22" hidden="1" x14ac:dyDescent="0.25">
      <c r="A5831" s="269">
        <v>43742</v>
      </c>
      <c r="B5831" s="270">
        <v>2019</v>
      </c>
      <c r="C5831" s="270">
        <v>2020</v>
      </c>
      <c r="D5831" s="270">
        <v>1</v>
      </c>
      <c r="E5831" s="270">
        <v>1</v>
      </c>
      <c r="F5831" s="270" t="s">
        <v>944</v>
      </c>
      <c r="G5831" s="270" t="s">
        <v>3926</v>
      </c>
      <c r="H5831" s="270" t="s">
        <v>10533</v>
      </c>
      <c r="I5831" s="270" t="s">
        <v>2981</v>
      </c>
      <c r="J5831" s="270" t="s">
        <v>3928</v>
      </c>
      <c r="K5831" s="270">
        <v>6612</v>
      </c>
      <c r="L5831" s="270">
        <v>105200</v>
      </c>
      <c r="M5831" s="270" t="s">
        <v>3943</v>
      </c>
      <c r="N5831" s="270" t="s">
        <v>3944</v>
      </c>
      <c r="O5831" s="270">
        <v>2427.15</v>
      </c>
      <c r="P5831" s="270" t="s">
        <v>3944</v>
      </c>
      <c r="Q5831" s="270" t="s">
        <v>3944</v>
      </c>
      <c r="R5831" s="270">
        <v>2427.15</v>
      </c>
      <c r="S5831" s="270">
        <v>23149.85</v>
      </c>
      <c r="T5831" s="270">
        <v>25577</v>
      </c>
      <c r="U5831" s="271" t="s">
        <v>3945</v>
      </c>
      <c r="V5831" s="267" t="s">
        <v>944</v>
      </c>
    </row>
    <row r="5832" spans="1:22" hidden="1" x14ac:dyDescent="0.25">
      <c r="A5832" s="266">
        <v>43742</v>
      </c>
      <c r="B5832" s="267">
        <v>2019</v>
      </c>
      <c r="C5832" s="267">
        <v>2020</v>
      </c>
      <c r="D5832" s="267">
        <v>1</v>
      </c>
      <c r="E5832" s="267">
        <v>1</v>
      </c>
      <c r="F5832" s="267" t="s">
        <v>944</v>
      </c>
      <c r="G5832" s="267" t="s">
        <v>3926</v>
      </c>
      <c r="H5832" s="267" t="s">
        <v>10534</v>
      </c>
      <c r="I5832" s="267" t="s">
        <v>4008</v>
      </c>
      <c r="J5832" s="267" t="s">
        <v>3928</v>
      </c>
      <c r="K5832" s="267">
        <v>6320</v>
      </c>
      <c r="L5832" s="267">
        <v>870300</v>
      </c>
      <c r="M5832" s="267">
        <v>-60</v>
      </c>
      <c r="N5832" s="267" t="s">
        <v>3944</v>
      </c>
      <c r="O5832" s="267">
        <v>3134.99</v>
      </c>
      <c r="P5832" s="267" t="s">
        <v>3944</v>
      </c>
      <c r="Q5832" s="267" t="s">
        <v>3944</v>
      </c>
      <c r="R5832" s="267">
        <v>3134.99</v>
      </c>
      <c r="S5832" s="267">
        <v>43545.29</v>
      </c>
      <c r="T5832" s="267">
        <v>46680.28</v>
      </c>
      <c r="U5832" s="268" t="s">
        <v>3945</v>
      </c>
      <c r="V5832" s="267" t="s">
        <v>944</v>
      </c>
    </row>
    <row r="5833" spans="1:22" hidden="1" x14ac:dyDescent="0.25">
      <c r="A5833" s="269">
        <v>43742</v>
      </c>
      <c r="B5833" s="270">
        <v>2019</v>
      </c>
      <c r="C5833" s="270">
        <v>2020</v>
      </c>
      <c r="D5833" s="270">
        <v>1</v>
      </c>
      <c r="E5833" s="270">
        <v>1</v>
      </c>
      <c r="F5833" s="270" t="s">
        <v>944</v>
      </c>
      <c r="G5833" s="270" t="s">
        <v>3926</v>
      </c>
      <c r="H5833" s="270" t="s">
        <v>10535</v>
      </c>
      <c r="I5833" s="270" t="s">
        <v>4687</v>
      </c>
      <c r="J5833" s="270" t="s">
        <v>3928</v>
      </c>
      <c r="K5833" s="270">
        <v>6424</v>
      </c>
      <c r="L5833" s="270">
        <v>550201</v>
      </c>
      <c r="M5833" s="270" t="s">
        <v>3943</v>
      </c>
      <c r="N5833" s="270" t="s">
        <v>3944</v>
      </c>
      <c r="O5833" s="270">
        <v>1714.55</v>
      </c>
      <c r="P5833" s="270" t="s">
        <v>3944</v>
      </c>
      <c r="Q5833" s="270" t="s">
        <v>3944</v>
      </c>
      <c r="R5833" s="270">
        <v>1714.55</v>
      </c>
      <c r="S5833" s="270">
        <v>24354.07</v>
      </c>
      <c r="T5833" s="270">
        <v>26068.62</v>
      </c>
      <c r="U5833" s="271" t="s">
        <v>3945</v>
      </c>
      <c r="V5833" s="267" t="s">
        <v>944</v>
      </c>
    </row>
    <row r="5834" spans="1:22" x14ac:dyDescent="0.25">
      <c r="A5834" s="266">
        <v>43742</v>
      </c>
      <c r="B5834" s="267">
        <v>2019</v>
      </c>
      <c r="C5834" s="267">
        <v>2020</v>
      </c>
      <c r="D5834" s="267">
        <v>1</v>
      </c>
      <c r="E5834" s="267">
        <v>1</v>
      </c>
      <c r="F5834" s="267" t="s">
        <v>944</v>
      </c>
      <c r="G5834" s="267" t="s">
        <v>3926</v>
      </c>
      <c r="H5834" s="267" t="s">
        <v>10536</v>
      </c>
      <c r="I5834" s="267" t="s">
        <v>943</v>
      </c>
      <c r="J5834" s="267" t="s">
        <v>3928</v>
      </c>
      <c r="K5834" s="267">
        <v>6513</v>
      </c>
      <c r="L5834" s="267">
        <v>142400</v>
      </c>
      <c r="M5834" s="267">
        <v>-60</v>
      </c>
      <c r="N5834" s="267" t="s">
        <v>3944</v>
      </c>
      <c r="O5834" s="267">
        <v>1333.96</v>
      </c>
      <c r="P5834" s="267" t="s">
        <v>3944</v>
      </c>
      <c r="Q5834" s="267" t="s">
        <v>3944</v>
      </c>
      <c r="R5834" s="267">
        <v>1333.96</v>
      </c>
      <c r="S5834" s="267">
        <v>22793.57</v>
      </c>
      <c r="T5834" s="267">
        <v>24127.53</v>
      </c>
      <c r="U5834" s="268" t="s">
        <v>3945</v>
      </c>
      <c r="V5834" s="276" t="s">
        <v>936</v>
      </c>
    </row>
    <row r="5835" spans="1:22" hidden="1" x14ac:dyDescent="0.25">
      <c r="A5835" s="269">
        <v>43742</v>
      </c>
      <c r="B5835" s="270">
        <v>2019</v>
      </c>
      <c r="C5835" s="270">
        <v>2020</v>
      </c>
      <c r="D5835" s="270">
        <v>1</v>
      </c>
      <c r="E5835" s="270">
        <v>1</v>
      </c>
      <c r="F5835" s="270" t="s">
        <v>944</v>
      </c>
      <c r="G5835" s="270" t="s">
        <v>3926</v>
      </c>
      <c r="H5835" s="270" t="s">
        <v>10537</v>
      </c>
      <c r="I5835" s="270" t="s">
        <v>943</v>
      </c>
      <c r="J5835" s="270" t="s">
        <v>3928</v>
      </c>
      <c r="K5835" s="270">
        <v>6512</v>
      </c>
      <c r="L5835" s="270">
        <v>142800</v>
      </c>
      <c r="M5835" s="270" t="s">
        <v>3940</v>
      </c>
      <c r="N5835" s="270" t="s">
        <v>3944</v>
      </c>
      <c r="O5835" s="270">
        <v>712.6</v>
      </c>
      <c r="P5835" s="270" t="s">
        <v>3944</v>
      </c>
      <c r="Q5835" s="270" t="s">
        <v>3944</v>
      </c>
      <c r="R5835" s="270">
        <v>712.6</v>
      </c>
      <c r="S5835" s="270">
        <v>12519.68</v>
      </c>
      <c r="T5835" s="270">
        <v>13232.28</v>
      </c>
      <c r="U5835" s="271" t="s">
        <v>3945</v>
      </c>
      <c r="V5835" s="267" t="s">
        <v>944</v>
      </c>
    </row>
    <row r="5836" spans="1:22" hidden="1" x14ac:dyDescent="0.25">
      <c r="A5836" s="266">
        <v>43742</v>
      </c>
      <c r="B5836" s="267">
        <v>2019</v>
      </c>
      <c r="C5836" s="267">
        <v>2020</v>
      </c>
      <c r="D5836" s="267">
        <v>1</v>
      </c>
      <c r="E5836" s="267">
        <v>1</v>
      </c>
      <c r="F5836" s="267" t="s">
        <v>944</v>
      </c>
      <c r="G5836" s="267" t="s">
        <v>3926</v>
      </c>
      <c r="H5836" s="267" t="s">
        <v>10538</v>
      </c>
      <c r="I5836" s="267" t="s">
        <v>4005</v>
      </c>
      <c r="J5836" s="267" t="s">
        <v>3928</v>
      </c>
      <c r="K5836" s="267">
        <v>6118</v>
      </c>
      <c r="L5836" s="267">
        <v>510700</v>
      </c>
      <c r="M5836" s="267" t="s">
        <v>3940</v>
      </c>
      <c r="N5836" s="267" t="s">
        <v>3944</v>
      </c>
      <c r="O5836" s="267">
        <v>1437.03</v>
      </c>
      <c r="P5836" s="267" t="s">
        <v>3944</v>
      </c>
      <c r="Q5836" s="267" t="s">
        <v>3944</v>
      </c>
      <c r="R5836" s="267">
        <v>1437.03</v>
      </c>
      <c r="S5836" s="267">
        <v>20939.93</v>
      </c>
      <c r="T5836" s="267">
        <v>22376.959999999999</v>
      </c>
      <c r="U5836" s="268" t="s">
        <v>3945</v>
      </c>
      <c r="V5836" s="267" t="s">
        <v>944</v>
      </c>
    </row>
    <row r="5837" spans="1:22" hidden="1" x14ac:dyDescent="0.25">
      <c r="A5837" s="269">
        <v>43742</v>
      </c>
      <c r="B5837" s="270">
        <v>2019</v>
      </c>
      <c r="C5837" s="270">
        <v>2020</v>
      </c>
      <c r="D5837" s="270">
        <v>1</v>
      </c>
      <c r="E5837" s="270">
        <v>1</v>
      </c>
      <c r="F5837" s="270" t="s">
        <v>944</v>
      </c>
      <c r="G5837" s="270" t="s">
        <v>3926</v>
      </c>
      <c r="H5837" s="270" t="s">
        <v>10539</v>
      </c>
      <c r="I5837" s="270" t="s">
        <v>3008</v>
      </c>
      <c r="J5837" s="270" t="s">
        <v>3928</v>
      </c>
      <c r="K5837" s="270">
        <v>6460</v>
      </c>
      <c r="L5837" s="270">
        <v>150500</v>
      </c>
      <c r="M5837" s="270" t="s">
        <v>3960</v>
      </c>
      <c r="N5837" s="270" t="s">
        <v>3944</v>
      </c>
      <c r="O5837" s="270">
        <v>1042.58</v>
      </c>
      <c r="P5837" s="270" t="s">
        <v>3944</v>
      </c>
      <c r="Q5837" s="270" t="s">
        <v>3944</v>
      </c>
      <c r="R5837" s="270">
        <v>1042.58</v>
      </c>
      <c r="S5837" s="270">
        <v>18380.91</v>
      </c>
      <c r="T5837" s="270">
        <v>19423.490000000002</v>
      </c>
      <c r="U5837" s="271" t="s">
        <v>3945</v>
      </c>
      <c r="V5837" s="267" t="s">
        <v>944</v>
      </c>
    </row>
    <row r="5838" spans="1:22" hidden="1" x14ac:dyDescent="0.25">
      <c r="A5838" s="266">
        <v>43742</v>
      </c>
      <c r="B5838" s="267">
        <v>2019</v>
      </c>
      <c r="C5838" s="267">
        <v>2020</v>
      </c>
      <c r="D5838" s="267">
        <v>1</v>
      </c>
      <c r="E5838" s="267">
        <v>1</v>
      </c>
      <c r="F5838" s="267" t="s">
        <v>944</v>
      </c>
      <c r="G5838" s="267" t="s">
        <v>3926</v>
      </c>
      <c r="H5838" s="267" t="s">
        <v>10540</v>
      </c>
      <c r="I5838" s="267" t="s">
        <v>4200</v>
      </c>
      <c r="J5838" s="267" t="s">
        <v>3928</v>
      </c>
      <c r="K5838" s="267">
        <v>6795</v>
      </c>
      <c r="L5838" s="267">
        <v>360400</v>
      </c>
      <c r="M5838" s="267" t="s">
        <v>3940</v>
      </c>
      <c r="N5838" s="267" t="s">
        <v>3944</v>
      </c>
      <c r="O5838" s="267">
        <v>2592.87</v>
      </c>
      <c r="P5838" s="267" t="s">
        <v>3944</v>
      </c>
      <c r="Q5838" s="267" t="s">
        <v>3944</v>
      </c>
      <c r="R5838" s="267">
        <v>2592.87</v>
      </c>
      <c r="S5838" s="267">
        <v>23791.19</v>
      </c>
      <c r="T5838" s="267">
        <v>26384.06</v>
      </c>
      <c r="U5838" s="268" t="s">
        <v>3945</v>
      </c>
      <c r="V5838" s="267" t="s">
        <v>944</v>
      </c>
    </row>
    <row r="5839" spans="1:22" x14ac:dyDescent="0.25">
      <c r="A5839" s="269">
        <v>43742</v>
      </c>
      <c r="B5839" s="270">
        <v>2019</v>
      </c>
      <c r="C5839" s="270">
        <v>2020</v>
      </c>
      <c r="D5839" s="270">
        <v>1</v>
      </c>
      <c r="E5839" s="270">
        <v>1</v>
      </c>
      <c r="F5839" s="270" t="s">
        <v>944</v>
      </c>
      <c r="G5839" s="270" t="s">
        <v>3926</v>
      </c>
      <c r="H5839" s="270" t="s">
        <v>10541</v>
      </c>
      <c r="I5839" s="270" t="s">
        <v>943</v>
      </c>
      <c r="J5839" s="270" t="s">
        <v>3928</v>
      </c>
      <c r="K5839" s="270">
        <v>6519</v>
      </c>
      <c r="L5839" s="270">
        <v>140600</v>
      </c>
      <c r="M5839" s="270">
        <v>-60</v>
      </c>
      <c r="N5839" s="270" t="s">
        <v>3944</v>
      </c>
      <c r="O5839" s="270">
        <v>1461.74</v>
      </c>
      <c r="P5839" s="270" t="s">
        <v>3944</v>
      </c>
      <c r="Q5839" s="270" t="s">
        <v>3944</v>
      </c>
      <c r="R5839" s="270">
        <v>1461.74</v>
      </c>
      <c r="S5839" s="270">
        <v>21520.21</v>
      </c>
      <c r="T5839" s="270">
        <v>22981.95</v>
      </c>
      <c r="U5839" s="271" t="s">
        <v>3945</v>
      </c>
      <c r="V5839" s="276" t="s">
        <v>936</v>
      </c>
    </row>
    <row r="5840" spans="1:22" hidden="1" x14ac:dyDescent="0.25">
      <c r="A5840" s="266">
        <v>43742</v>
      </c>
      <c r="B5840" s="267">
        <v>2019</v>
      </c>
      <c r="C5840" s="267">
        <v>2020</v>
      </c>
      <c r="D5840" s="267">
        <v>1</v>
      </c>
      <c r="E5840" s="267">
        <v>1</v>
      </c>
      <c r="F5840" s="267" t="s">
        <v>944</v>
      </c>
      <c r="G5840" s="267" t="s">
        <v>3926</v>
      </c>
      <c r="H5840" s="267" t="s">
        <v>10542</v>
      </c>
      <c r="I5840" s="267" t="s">
        <v>4019</v>
      </c>
      <c r="J5840" s="267" t="s">
        <v>3928</v>
      </c>
      <c r="K5840" s="267">
        <v>6708</v>
      </c>
      <c r="L5840" s="267">
        <v>352100</v>
      </c>
      <c r="M5840" s="267" t="s">
        <v>3940</v>
      </c>
      <c r="N5840" s="267" t="s">
        <v>3944</v>
      </c>
      <c r="O5840" s="267">
        <v>1028.27</v>
      </c>
      <c r="P5840" s="267" t="s">
        <v>3944</v>
      </c>
      <c r="Q5840" s="267" t="s">
        <v>3944</v>
      </c>
      <c r="R5840" s="267">
        <v>1028.27</v>
      </c>
      <c r="S5840" s="267">
        <v>15114.22</v>
      </c>
      <c r="T5840" s="267">
        <v>16142.49</v>
      </c>
      <c r="U5840" s="268" t="s">
        <v>3945</v>
      </c>
      <c r="V5840" s="267" t="s">
        <v>944</v>
      </c>
    </row>
    <row r="5841" spans="1:22" hidden="1" x14ac:dyDescent="0.25">
      <c r="A5841" s="269">
        <v>43742</v>
      </c>
      <c r="B5841" s="270">
        <v>2019</v>
      </c>
      <c r="C5841" s="270">
        <v>2020</v>
      </c>
      <c r="D5841" s="270">
        <v>1</v>
      </c>
      <c r="E5841" s="270">
        <v>1</v>
      </c>
      <c r="F5841" s="270" t="s">
        <v>944</v>
      </c>
      <c r="G5841" s="270" t="s">
        <v>3926</v>
      </c>
      <c r="H5841" s="270" t="s">
        <v>10543</v>
      </c>
      <c r="I5841" s="270" t="s">
        <v>4269</v>
      </c>
      <c r="J5841" s="270" t="s">
        <v>3928</v>
      </c>
      <c r="K5841" s="270">
        <v>6119</v>
      </c>
      <c r="L5841" s="270">
        <v>496900</v>
      </c>
      <c r="M5841" s="270" t="s">
        <v>3960</v>
      </c>
      <c r="N5841" s="270" t="s">
        <v>3944</v>
      </c>
      <c r="O5841" s="270">
        <v>855.93</v>
      </c>
      <c r="P5841" s="270" t="s">
        <v>3944</v>
      </c>
      <c r="Q5841" s="270" t="s">
        <v>3944</v>
      </c>
      <c r="R5841" s="270">
        <v>855.93</v>
      </c>
      <c r="S5841" s="270">
        <v>13197.62</v>
      </c>
      <c r="T5841" s="270">
        <v>14053.55</v>
      </c>
      <c r="U5841" s="271" t="s">
        <v>3945</v>
      </c>
      <c r="V5841" s="267" t="s">
        <v>944</v>
      </c>
    </row>
    <row r="5842" spans="1:22" hidden="1" x14ac:dyDescent="0.25">
      <c r="A5842" s="266">
        <v>43742</v>
      </c>
      <c r="B5842" s="267">
        <v>2019</v>
      </c>
      <c r="C5842" s="267">
        <v>2020</v>
      </c>
      <c r="D5842" s="267">
        <v>1</v>
      </c>
      <c r="E5842" s="267">
        <v>1</v>
      </c>
      <c r="F5842" s="267" t="s">
        <v>944</v>
      </c>
      <c r="G5842" s="267" t="s">
        <v>3926</v>
      </c>
      <c r="H5842" s="267" t="s">
        <v>10544</v>
      </c>
      <c r="I5842" s="267" t="s">
        <v>4069</v>
      </c>
      <c r="J5842" s="267" t="s">
        <v>3928</v>
      </c>
      <c r="K5842" s="267">
        <v>6902</v>
      </c>
      <c r="L5842" s="267">
        <v>21400</v>
      </c>
      <c r="M5842" s="267">
        <v>-60</v>
      </c>
      <c r="N5842" s="267" t="s">
        <v>3944</v>
      </c>
      <c r="O5842" s="267">
        <v>1996.61</v>
      </c>
      <c r="P5842" s="267" t="s">
        <v>3944</v>
      </c>
      <c r="Q5842" s="267" t="s">
        <v>3944</v>
      </c>
      <c r="R5842" s="267">
        <v>1996.61</v>
      </c>
      <c r="S5842" s="267">
        <v>29512.95</v>
      </c>
      <c r="T5842" s="267">
        <v>31509.56</v>
      </c>
      <c r="U5842" s="268" t="s">
        <v>3945</v>
      </c>
      <c r="V5842" s="267" t="s">
        <v>944</v>
      </c>
    </row>
    <row r="5843" spans="1:22" hidden="1" x14ac:dyDescent="0.25">
      <c r="A5843" s="269">
        <v>43742</v>
      </c>
      <c r="B5843" s="270">
        <v>2019</v>
      </c>
      <c r="C5843" s="270">
        <v>2020</v>
      </c>
      <c r="D5843" s="270">
        <v>1</v>
      </c>
      <c r="E5843" s="270">
        <v>1</v>
      </c>
      <c r="F5843" s="270" t="s">
        <v>944</v>
      </c>
      <c r="G5843" s="270" t="s">
        <v>3926</v>
      </c>
      <c r="H5843" s="270" t="s">
        <v>10545</v>
      </c>
      <c r="I5843" s="270" t="s">
        <v>3008</v>
      </c>
      <c r="J5843" s="270" t="s">
        <v>3928</v>
      </c>
      <c r="K5843" s="270">
        <v>6460</v>
      </c>
      <c r="L5843" s="270">
        <v>150500</v>
      </c>
      <c r="M5843" s="270" t="s">
        <v>3960</v>
      </c>
      <c r="N5843" s="270" t="s">
        <v>3944</v>
      </c>
      <c r="O5843" s="270">
        <v>1175.0899999999999</v>
      </c>
      <c r="P5843" s="270" t="s">
        <v>3944</v>
      </c>
      <c r="Q5843" s="270" t="s">
        <v>3944</v>
      </c>
      <c r="R5843" s="270">
        <v>1175.0899999999999</v>
      </c>
      <c r="S5843" s="270">
        <v>17997.04</v>
      </c>
      <c r="T5843" s="270">
        <v>19172.13</v>
      </c>
      <c r="U5843" s="271" t="s">
        <v>3945</v>
      </c>
      <c r="V5843" s="267" t="s">
        <v>944</v>
      </c>
    </row>
    <row r="5844" spans="1:22" hidden="1" x14ac:dyDescent="0.25">
      <c r="A5844" s="266">
        <v>43742</v>
      </c>
      <c r="B5844" s="267">
        <v>2019</v>
      </c>
      <c r="C5844" s="267">
        <v>2020</v>
      </c>
      <c r="D5844" s="267">
        <v>1</v>
      </c>
      <c r="E5844" s="267">
        <v>1</v>
      </c>
      <c r="F5844" s="267" t="s">
        <v>944</v>
      </c>
      <c r="G5844" s="267" t="s">
        <v>3926</v>
      </c>
      <c r="H5844" s="267" t="s">
        <v>10546</v>
      </c>
      <c r="I5844" s="267" t="s">
        <v>4250</v>
      </c>
      <c r="J5844" s="267" t="s">
        <v>3928</v>
      </c>
      <c r="K5844" s="267">
        <v>6239</v>
      </c>
      <c r="L5844" s="267">
        <v>904400</v>
      </c>
      <c r="M5844" s="267" t="s">
        <v>3940</v>
      </c>
      <c r="N5844" s="267" t="s">
        <v>3944</v>
      </c>
      <c r="O5844" s="267">
        <v>1670.38</v>
      </c>
      <c r="P5844" s="267" t="s">
        <v>3944</v>
      </c>
      <c r="Q5844" s="267" t="s">
        <v>3944</v>
      </c>
      <c r="R5844" s="267">
        <v>1670.38</v>
      </c>
      <c r="S5844" s="267">
        <v>22808.66</v>
      </c>
      <c r="T5844" s="267">
        <v>24479.040000000001</v>
      </c>
      <c r="U5844" s="268" t="s">
        <v>3945</v>
      </c>
      <c r="V5844" s="267" t="s">
        <v>944</v>
      </c>
    </row>
    <row r="5845" spans="1:22" hidden="1" x14ac:dyDescent="0.25">
      <c r="A5845" s="269">
        <v>43742</v>
      </c>
      <c r="B5845" s="270">
        <v>2019</v>
      </c>
      <c r="C5845" s="270">
        <v>2020</v>
      </c>
      <c r="D5845" s="270">
        <v>1</v>
      </c>
      <c r="E5845" s="270">
        <v>1</v>
      </c>
      <c r="F5845" s="270" t="s">
        <v>944</v>
      </c>
      <c r="G5845" s="270" t="s">
        <v>3926</v>
      </c>
      <c r="H5845" s="270" t="s">
        <v>10547</v>
      </c>
      <c r="I5845" s="270" t="s">
        <v>3009</v>
      </c>
      <c r="J5845" s="270" t="s">
        <v>3928</v>
      </c>
      <c r="K5845" s="270">
        <v>6484</v>
      </c>
      <c r="L5845" s="270">
        <v>110600</v>
      </c>
      <c r="M5845" s="270" t="s">
        <v>3943</v>
      </c>
      <c r="N5845" s="270" t="s">
        <v>3944</v>
      </c>
      <c r="O5845" s="270">
        <v>2037.46</v>
      </c>
      <c r="P5845" s="270" t="s">
        <v>3944</v>
      </c>
      <c r="Q5845" s="270" t="s">
        <v>3944</v>
      </c>
      <c r="R5845" s="270">
        <v>2037.46</v>
      </c>
      <c r="S5845" s="270">
        <v>28570.799999999999</v>
      </c>
      <c r="T5845" s="270">
        <v>30608.26</v>
      </c>
      <c r="U5845" s="271" t="s">
        <v>3945</v>
      </c>
      <c r="V5845" s="267" t="s">
        <v>944</v>
      </c>
    </row>
    <row r="5846" spans="1:22" hidden="1" x14ac:dyDescent="0.25">
      <c r="A5846" s="266">
        <v>43742</v>
      </c>
      <c r="B5846" s="267">
        <v>2019</v>
      </c>
      <c r="C5846" s="267">
        <v>2020</v>
      </c>
      <c r="D5846" s="267">
        <v>1</v>
      </c>
      <c r="E5846" s="267">
        <v>1</v>
      </c>
      <c r="F5846" s="267" t="s">
        <v>944</v>
      </c>
      <c r="G5846" s="267" t="s">
        <v>3926</v>
      </c>
      <c r="H5846" s="267" t="s">
        <v>10548</v>
      </c>
      <c r="I5846" s="267" t="s">
        <v>4019</v>
      </c>
      <c r="J5846" s="267" t="s">
        <v>3928</v>
      </c>
      <c r="K5846" s="267">
        <v>6708</v>
      </c>
      <c r="L5846" s="267">
        <v>351601</v>
      </c>
      <c r="M5846" s="267">
        <v>-60</v>
      </c>
      <c r="N5846" s="267" t="s">
        <v>3944</v>
      </c>
      <c r="O5846" s="267">
        <v>2191.77</v>
      </c>
      <c r="P5846" s="267" t="s">
        <v>3944</v>
      </c>
      <c r="Q5846" s="267" t="s">
        <v>3944</v>
      </c>
      <c r="R5846" s="267">
        <v>2191.77</v>
      </c>
      <c r="S5846" s="267">
        <v>30112.7</v>
      </c>
      <c r="T5846" s="267">
        <v>32304.47</v>
      </c>
      <c r="U5846" s="268" t="s">
        <v>3945</v>
      </c>
      <c r="V5846" s="267" t="s">
        <v>944</v>
      </c>
    </row>
    <row r="5847" spans="1:22" hidden="1" x14ac:dyDescent="0.25">
      <c r="A5847" s="269">
        <v>43742</v>
      </c>
      <c r="B5847" s="270">
        <v>2019</v>
      </c>
      <c r="C5847" s="270">
        <v>2020</v>
      </c>
      <c r="D5847" s="270">
        <v>1</v>
      </c>
      <c r="E5847" s="270">
        <v>1</v>
      </c>
      <c r="F5847" s="270" t="s">
        <v>944</v>
      </c>
      <c r="G5847" s="270" t="s">
        <v>3926</v>
      </c>
      <c r="H5847" s="270" t="s">
        <v>10549</v>
      </c>
      <c r="I5847" s="270" t="s">
        <v>4016</v>
      </c>
      <c r="J5847" s="270" t="s">
        <v>3928</v>
      </c>
      <c r="K5847" s="270">
        <v>6770</v>
      </c>
      <c r="L5847" s="270">
        <v>345201</v>
      </c>
      <c r="M5847" s="270" t="s">
        <v>3935</v>
      </c>
      <c r="N5847" s="270" t="s">
        <v>3944</v>
      </c>
      <c r="O5847" s="270">
        <v>1181.95</v>
      </c>
      <c r="P5847" s="270" t="s">
        <v>3944</v>
      </c>
      <c r="Q5847" s="270" t="s">
        <v>3944</v>
      </c>
      <c r="R5847" s="270">
        <v>1181.95</v>
      </c>
      <c r="S5847" s="270">
        <v>16283.38</v>
      </c>
      <c r="T5847" s="270">
        <v>17465.330000000002</v>
      </c>
      <c r="U5847" s="271" t="s">
        <v>3945</v>
      </c>
      <c r="V5847" s="267" t="s">
        <v>944</v>
      </c>
    </row>
    <row r="5848" spans="1:22" hidden="1" x14ac:dyDescent="0.25">
      <c r="A5848" s="266">
        <v>43742</v>
      </c>
      <c r="B5848" s="267">
        <v>2019</v>
      </c>
      <c r="C5848" s="267">
        <v>2020</v>
      </c>
      <c r="D5848" s="267">
        <v>1</v>
      </c>
      <c r="E5848" s="267">
        <v>1</v>
      </c>
      <c r="F5848" s="267" t="s">
        <v>944</v>
      </c>
      <c r="G5848" s="267" t="s">
        <v>3926</v>
      </c>
      <c r="H5848" s="267" t="s">
        <v>10550</v>
      </c>
      <c r="I5848" s="267" t="s">
        <v>4944</v>
      </c>
      <c r="J5848" s="267" t="s">
        <v>3928</v>
      </c>
      <c r="K5848" s="267">
        <v>6232</v>
      </c>
      <c r="L5848" s="267">
        <v>528100</v>
      </c>
      <c r="M5848" s="267" t="s">
        <v>3943</v>
      </c>
      <c r="N5848" s="267" t="s">
        <v>3944</v>
      </c>
      <c r="O5848" s="267">
        <v>905.07</v>
      </c>
      <c r="P5848" s="267" t="s">
        <v>3944</v>
      </c>
      <c r="Q5848" s="267" t="s">
        <v>3944</v>
      </c>
      <c r="R5848" s="267">
        <v>905.07</v>
      </c>
      <c r="S5848" s="267">
        <v>7734.93</v>
      </c>
      <c r="T5848" s="267">
        <v>8640</v>
      </c>
      <c r="U5848" s="268" t="s">
        <v>3945</v>
      </c>
      <c r="V5848" s="267" t="s">
        <v>944</v>
      </c>
    </row>
    <row r="5849" spans="1:22" hidden="1" x14ac:dyDescent="0.25">
      <c r="A5849" s="269">
        <v>43742</v>
      </c>
      <c r="B5849" s="270">
        <v>2019</v>
      </c>
      <c r="C5849" s="270">
        <v>2020</v>
      </c>
      <c r="D5849" s="270">
        <v>1</v>
      </c>
      <c r="E5849" s="270">
        <v>1</v>
      </c>
      <c r="F5849" s="270" t="s">
        <v>944</v>
      </c>
      <c r="G5849" s="270" t="s">
        <v>3926</v>
      </c>
      <c r="H5849" s="270" t="s">
        <v>10551</v>
      </c>
      <c r="I5849" s="270" t="s">
        <v>6426</v>
      </c>
      <c r="J5849" s="270" t="s">
        <v>3928</v>
      </c>
      <c r="K5849" s="270">
        <v>6422</v>
      </c>
      <c r="L5849" s="270">
        <v>585100</v>
      </c>
      <c r="M5849" s="270" t="s">
        <v>3943</v>
      </c>
      <c r="N5849" s="270" t="s">
        <v>3944</v>
      </c>
      <c r="O5849" s="270">
        <v>2157.96</v>
      </c>
      <c r="P5849" s="270" t="s">
        <v>3944</v>
      </c>
      <c r="Q5849" s="270" t="s">
        <v>3944</v>
      </c>
      <c r="R5849" s="270">
        <v>2157.96</v>
      </c>
      <c r="S5849" s="270">
        <v>30689.07</v>
      </c>
      <c r="T5849" s="270">
        <v>32847.03</v>
      </c>
      <c r="U5849" s="271" t="s">
        <v>3945</v>
      </c>
      <c r="V5849" s="267" t="s">
        <v>944</v>
      </c>
    </row>
    <row r="5850" spans="1:22" hidden="1" x14ac:dyDescent="0.25">
      <c r="A5850" s="266">
        <v>43742</v>
      </c>
      <c r="B5850" s="267">
        <v>2019</v>
      </c>
      <c r="C5850" s="267">
        <v>2020</v>
      </c>
      <c r="D5850" s="267">
        <v>1</v>
      </c>
      <c r="E5850" s="267">
        <v>1</v>
      </c>
      <c r="F5850" s="267" t="s">
        <v>944</v>
      </c>
      <c r="G5850" s="267" t="s">
        <v>3926</v>
      </c>
      <c r="H5850" s="267" t="s">
        <v>10552</v>
      </c>
      <c r="I5850" s="267" t="s">
        <v>3996</v>
      </c>
      <c r="J5850" s="267" t="s">
        <v>3928</v>
      </c>
      <c r="K5850" s="267">
        <v>6790</v>
      </c>
      <c r="L5850" s="267">
        <v>310804</v>
      </c>
      <c r="M5850" s="267" t="s">
        <v>3935</v>
      </c>
      <c r="N5850" s="267" t="s">
        <v>3944</v>
      </c>
      <c r="O5850" s="267">
        <v>1632.02</v>
      </c>
      <c r="P5850" s="267" t="s">
        <v>3944</v>
      </c>
      <c r="Q5850" s="267" t="s">
        <v>3944</v>
      </c>
      <c r="R5850" s="267">
        <v>1632.02</v>
      </c>
      <c r="S5850" s="267">
        <v>23190.38</v>
      </c>
      <c r="T5850" s="267">
        <v>24822.400000000001</v>
      </c>
      <c r="U5850" s="268" t="s">
        <v>3945</v>
      </c>
      <c r="V5850" s="267" t="s">
        <v>944</v>
      </c>
    </row>
    <row r="5851" spans="1:22" hidden="1" x14ac:dyDescent="0.25">
      <c r="A5851" s="269">
        <v>43742</v>
      </c>
      <c r="B5851" s="270">
        <v>2019</v>
      </c>
      <c r="C5851" s="270">
        <v>2020</v>
      </c>
      <c r="D5851" s="270">
        <v>1</v>
      </c>
      <c r="E5851" s="270">
        <v>1</v>
      </c>
      <c r="F5851" s="270" t="s">
        <v>944</v>
      </c>
      <c r="G5851" s="270" t="s">
        <v>3926</v>
      </c>
      <c r="H5851" s="270" t="s">
        <v>10553</v>
      </c>
      <c r="I5851" s="270" t="s">
        <v>3939</v>
      </c>
      <c r="J5851" s="270" t="s">
        <v>3928</v>
      </c>
      <c r="K5851" s="270">
        <v>6512</v>
      </c>
      <c r="L5851" s="270">
        <v>180400</v>
      </c>
      <c r="M5851" s="270" t="s">
        <v>3935</v>
      </c>
      <c r="N5851" s="270" t="s">
        <v>3944</v>
      </c>
      <c r="O5851" s="270">
        <v>2429.25</v>
      </c>
      <c r="P5851" s="270" t="s">
        <v>3944</v>
      </c>
      <c r="Q5851" s="270" t="s">
        <v>3944</v>
      </c>
      <c r="R5851" s="270">
        <v>2429.25</v>
      </c>
      <c r="S5851" s="270">
        <v>38130.15</v>
      </c>
      <c r="T5851" s="270">
        <v>40559.4</v>
      </c>
      <c r="U5851" s="271" t="s">
        <v>3945</v>
      </c>
      <c r="V5851" s="267" t="s">
        <v>944</v>
      </c>
    </row>
    <row r="5852" spans="1:22" hidden="1" x14ac:dyDescent="0.25">
      <c r="A5852" s="266">
        <v>43742</v>
      </c>
      <c r="B5852" s="267">
        <v>2019</v>
      </c>
      <c r="C5852" s="267">
        <v>2020</v>
      </c>
      <c r="D5852" s="267">
        <v>1</v>
      </c>
      <c r="E5852" s="267">
        <v>1</v>
      </c>
      <c r="F5852" s="267" t="s">
        <v>944</v>
      </c>
      <c r="G5852" s="267" t="s">
        <v>3926</v>
      </c>
      <c r="H5852" s="267" t="s">
        <v>10554</v>
      </c>
      <c r="I5852" s="267" t="s">
        <v>4269</v>
      </c>
      <c r="J5852" s="267" t="s">
        <v>3928</v>
      </c>
      <c r="K5852" s="267">
        <v>6117</v>
      </c>
      <c r="L5852" s="267">
        <v>497500</v>
      </c>
      <c r="M5852" s="267" t="s">
        <v>3960</v>
      </c>
      <c r="N5852" s="267" t="s">
        <v>3944</v>
      </c>
      <c r="O5852" s="267">
        <v>1956.36</v>
      </c>
      <c r="P5852" s="267" t="s">
        <v>3944</v>
      </c>
      <c r="Q5852" s="267" t="s">
        <v>3944</v>
      </c>
      <c r="R5852" s="267">
        <v>1956.36</v>
      </c>
      <c r="S5852" s="267">
        <v>29412.15</v>
      </c>
      <c r="T5852" s="267">
        <v>31368.51</v>
      </c>
      <c r="U5852" s="268" t="s">
        <v>3945</v>
      </c>
      <c r="V5852" s="267" t="s">
        <v>944</v>
      </c>
    </row>
    <row r="5853" spans="1:22" hidden="1" x14ac:dyDescent="0.25">
      <c r="A5853" s="269">
        <v>43742</v>
      </c>
      <c r="B5853" s="270">
        <v>2019</v>
      </c>
      <c r="C5853" s="270">
        <v>2020</v>
      </c>
      <c r="D5853" s="270">
        <v>1</v>
      </c>
      <c r="E5853" s="270">
        <v>1</v>
      </c>
      <c r="F5853" s="270" t="s">
        <v>944</v>
      </c>
      <c r="G5853" s="270" t="s">
        <v>3926</v>
      </c>
      <c r="H5853" s="270" t="s">
        <v>10555</v>
      </c>
      <c r="I5853" s="270" t="s">
        <v>4235</v>
      </c>
      <c r="J5853" s="270" t="s">
        <v>3928</v>
      </c>
      <c r="K5853" s="270">
        <v>6066</v>
      </c>
      <c r="L5853" s="270">
        <v>530200</v>
      </c>
      <c r="M5853" s="270">
        <v>-60</v>
      </c>
      <c r="N5853" s="270" t="s">
        <v>3944</v>
      </c>
      <c r="O5853" s="270">
        <v>1378.55</v>
      </c>
      <c r="P5853" s="270" t="s">
        <v>3944</v>
      </c>
      <c r="Q5853" s="270" t="s">
        <v>3944</v>
      </c>
      <c r="R5853" s="270">
        <v>1378.55</v>
      </c>
      <c r="S5853" s="270">
        <v>20036.8</v>
      </c>
      <c r="T5853" s="270">
        <v>21415.35</v>
      </c>
      <c r="U5853" s="271" t="s">
        <v>3945</v>
      </c>
      <c r="V5853" s="267" t="s">
        <v>944</v>
      </c>
    </row>
    <row r="5854" spans="1:22" hidden="1" x14ac:dyDescent="0.25">
      <c r="A5854" s="266">
        <v>43742</v>
      </c>
      <c r="B5854" s="267">
        <v>2019</v>
      </c>
      <c r="C5854" s="267">
        <v>2020</v>
      </c>
      <c r="D5854" s="267">
        <v>1</v>
      </c>
      <c r="E5854" s="267">
        <v>1</v>
      </c>
      <c r="F5854" s="267" t="s">
        <v>944</v>
      </c>
      <c r="G5854" s="267" t="s">
        <v>3926</v>
      </c>
      <c r="H5854" s="267" t="s">
        <v>10556</v>
      </c>
      <c r="I5854" s="267" t="s">
        <v>4200</v>
      </c>
      <c r="J5854" s="267" t="s">
        <v>3928</v>
      </c>
      <c r="K5854" s="267">
        <v>6795</v>
      </c>
      <c r="L5854" s="267">
        <v>360100</v>
      </c>
      <c r="M5854" s="267" t="s">
        <v>3935</v>
      </c>
      <c r="N5854" s="267" t="s">
        <v>3944</v>
      </c>
      <c r="O5854" s="267">
        <v>2778.48</v>
      </c>
      <c r="P5854" s="267" t="s">
        <v>3944</v>
      </c>
      <c r="Q5854" s="267" t="s">
        <v>3944</v>
      </c>
      <c r="R5854" s="267">
        <v>2778.48</v>
      </c>
      <c r="S5854" s="267">
        <v>37832.199999999997</v>
      </c>
      <c r="T5854" s="267">
        <v>40610.68</v>
      </c>
      <c r="U5854" s="268" t="s">
        <v>3945</v>
      </c>
      <c r="V5854" s="267" t="s">
        <v>944</v>
      </c>
    </row>
    <row r="5855" spans="1:22" hidden="1" x14ac:dyDescent="0.25">
      <c r="A5855" s="269">
        <v>43742</v>
      </c>
      <c r="B5855" s="270">
        <v>2019</v>
      </c>
      <c r="C5855" s="270">
        <v>2020</v>
      </c>
      <c r="D5855" s="270">
        <v>1</v>
      </c>
      <c r="E5855" s="270">
        <v>1</v>
      </c>
      <c r="F5855" s="270" t="s">
        <v>944</v>
      </c>
      <c r="G5855" s="270" t="s">
        <v>3926</v>
      </c>
      <c r="H5855" s="270" t="s">
        <v>10557</v>
      </c>
      <c r="I5855" s="270" t="s">
        <v>4269</v>
      </c>
      <c r="J5855" s="270" t="s">
        <v>3928</v>
      </c>
      <c r="K5855" s="270">
        <v>6117</v>
      </c>
      <c r="L5855" s="270">
        <v>497300</v>
      </c>
      <c r="M5855" s="270" t="s">
        <v>3943</v>
      </c>
      <c r="N5855" s="270" t="s">
        <v>3944</v>
      </c>
      <c r="O5855" s="270">
        <v>1528.94</v>
      </c>
      <c r="P5855" s="270" t="s">
        <v>3944</v>
      </c>
      <c r="Q5855" s="270" t="s">
        <v>3944</v>
      </c>
      <c r="R5855" s="270">
        <v>1528.94</v>
      </c>
      <c r="S5855" s="270">
        <v>22171.84</v>
      </c>
      <c r="T5855" s="270">
        <v>23700.78</v>
      </c>
      <c r="U5855" s="271" t="s">
        <v>3945</v>
      </c>
      <c r="V5855" s="267" t="s">
        <v>944</v>
      </c>
    </row>
    <row r="5856" spans="1:22" hidden="1" x14ac:dyDescent="0.25">
      <c r="A5856" s="266">
        <v>43742</v>
      </c>
      <c r="B5856" s="267">
        <v>2019</v>
      </c>
      <c r="C5856" s="267">
        <v>2020</v>
      </c>
      <c r="D5856" s="267">
        <v>1</v>
      </c>
      <c r="E5856" s="267">
        <v>1</v>
      </c>
      <c r="F5856" s="267" t="s">
        <v>944</v>
      </c>
      <c r="G5856" s="267" t="s">
        <v>3926</v>
      </c>
      <c r="H5856" s="267" t="s">
        <v>10558</v>
      </c>
      <c r="I5856" s="267" t="s">
        <v>3985</v>
      </c>
      <c r="J5856" s="267" t="s">
        <v>3928</v>
      </c>
      <c r="K5856" s="267">
        <v>6280</v>
      </c>
      <c r="L5856" s="267">
        <v>800500</v>
      </c>
      <c r="M5856" s="267" t="s">
        <v>3940</v>
      </c>
      <c r="N5856" s="267" t="s">
        <v>3944</v>
      </c>
      <c r="O5856" s="267">
        <v>1628.48</v>
      </c>
      <c r="P5856" s="267" t="s">
        <v>3944</v>
      </c>
      <c r="Q5856" s="267" t="s">
        <v>3944</v>
      </c>
      <c r="R5856" s="267">
        <v>1628.48</v>
      </c>
      <c r="S5856" s="267">
        <v>23576.76</v>
      </c>
      <c r="T5856" s="267">
        <v>25205.24</v>
      </c>
      <c r="U5856" s="268" t="s">
        <v>3945</v>
      </c>
      <c r="V5856" s="267" t="s">
        <v>944</v>
      </c>
    </row>
    <row r="5857" spans="1:22" hidden="1" x14ac:dyDescent="0.25">
      <c r="A5857" s="269">
        <v>43742</v>
      </c>
      <c r="B5857" s="270">
        <v>2019</v>
      </c>
      <c r="C5857" s="270">
        <v>2020</v>
      </c>
      <c r="D5857" s="270">
        <v>1</v>
      </c>
      <c r="E5857" s="270">
        <v>1</v>
      </c>
      <c r="F5857" s="270" t="s">
        <v>944</v>
      </c>
      <c r="G5857" s="270" t="s">
        <v>3926</v>
      </c>
      <c r="H5857" s="270" t="s">
        <v>10559</v>
      </c>
      <c r="I5857" s="270" t="s">
        <v>4683</v>
      </c>
      <c r="J5857" s="270" t="s">
        <v>3928</v>
      </c>
      <c r="K5857" s="270">
        <v>6762</v>
      </c>
      <c r="L5857" s="270">
        <v>344100</v>
      </c>
      <c r="M5857" s="270" t="s">
        <v>3943</v>
      </c>
      <c r="N5857" s="270" t="s">
        <v>3944</v>
      </c>
      <c r="O5857" s="270">
        <v>888.27</v>
      </c>
      <c r="P5857" s="270" t="s">
        <v>3944</v>
      </c>
      <c r="Q5857" s="270" t="s">
        <v>3944</v>
      </c>
      <c r="R5857" s="270">
        <v>888.27</v>
      </c>
      <c r="S5857" s="270">
        <v>13011.55</v>
      </c>
      <c r="T5857" s="270">
        <v>13899.82</v>
      </c>
      <c r="U5857" s="271" t="s">
        <v>3945</v>
      </c>
      <c r="V5857" s="267" t="s">
        <v>944</v>
      </c>
    </row>
    <row r="5858" spans="1:22" hidden="1" x14ac:dyDescent="0.25">
      <c r="A5858" s="266">
        <v>43742</v>
      </c>
      <c r="B5858" s="267">
        <v>2019</v>
      </c>
      <c r="C5858" s="267">
        <v>2020</v>
      </c>
      <c r="D5858" s="267">
        <v>1</v>
      </c>
      <c r="E5858" s="267">
        <v>1</v>
      </c>
      <c r="F5858" s="267" t="s">
        <v>944</v>
      </c>
      <c r="G5858" s="267" t="s">
        <v>3926</v>
      </c>
      <c r="H5858" s="267" t="s">
        <v>10560</v>
      </c>
      <c r="I5858" s="267" t="s">
        <v>4392</v>
      </c>
      <c r="J5858" s="267" t="s">
        <v>3928</v>
      </c>
      <c r="K5858" s="267">
        <v>6457</v>
      </c>
      <c r="L5858" s="267">
        <v>541200</v>
      </c>
      <c r="M5858" s="267" t="s">
        <v>3935</v>
      </c>
      <c r="N5858" s="267" t="s">
        <v>3944</v>
      </c>
      <c r="O5858" s="267">
        <v>2198.81</v>
      </c>
      <c r="P5858" s="267" t="s">
        <v>3944</v>
      </c>
      <c r="Q5858" s="267" t="s">
        <v>3944</v>
      </c>
      <c r="R5858" s="267">
        <v>2198.81</v>
      </c>
      <c r="S5858" s="267">
        <v>29870.639999999999</v>
      </c>
      <c r="T5858" s="267">
        <v>32069.45</v>
      </c>
      <c r="U5858" s="268" t="s">
        <v>3945</v>
      </c>
      <c r="V5858" s="267" t="s">
        <v>944</v>
      </c>
    </row>
    <row r="5859" spans="1:22" hidden="1" x14ac:dyDescent="0.25">
      <c r="A5859" s="269">
        <v>43742</v>
      </c>
      <c r="B5859" s="270">
        <v>2019</v>
      </c>
      <c r="C5859" s="270">
        <v>2020</v>
      </c>
      <c r="D5859" s="270">
        <v>1</v>
      </c>
      <c r="E5859" s="270">
        <v>1</v>
      </c>
      <c r="F5859" s="270" t="s">
        <v>944</v>
      </c>
      <c r="G5859" s="270" t="s">
        <v>3926</v>
      </c>
      <c r="H5859" s="270" t="s">
        <v>10561</v>
      </c>
      <c r="I5859" s="270" t="s">
        <v>3008</v>
      </c>
      <c r="J5859" s="270" t="s">
        <v>3928</v>
      </c>
      <c r="K5859" s="270">
        <v>6460</v>
      </c>
      <c r="L5859" s="270">
        <v>150400</v>
      </c>
      <c r="M5859" s="270" t="s">
        <v>3940</v>
      </c>
      <c r="N5859" s="270" t="s">
        <v>3944</v>
      </c>
      <c r="O5859" s="270">
        <v>2245.46</v>
      </c>
      <c r="P5859" s="270" t="s">
        <v>3944</v>
      </c>
      <c r="Q5859" s="270" t="s">
        <v>3944</v>
      </c>
      <c r="R5859" s="270">
        <v>2245.46</v>
      </c>
      <c r="S5859" s="270">
        <v>38187.01</v>
      </c>
      <c r="T5859" s="270">
        <v>40432.47</v>
      </c>
      <c r="U5859" s="271" t="s">
        <v>3945</v>
      </c>
      <c r="V5859" s="267" t="s">
        <v>944</v>
      </c>
    </row>
    <row r="5860" spans="1:22" hidden="1" x14ac:dyDescent="0.25">
      <c r="A5860" s="266">
        <v>43742</v>
      </c>
      <c r="B5860" s="267">
        <v>2019</v>
      </c>
      <c r="C5860" s="267">
        <v>2020</v>
      </c>
      <c r="D5860" s="267">
        <v>1</v>
      </c>
      <c r="E5860" s="267">
        <v>1</v>
      </c>
      <c r="F5860" s="267" t="s">
        <v>944</v>
      </c>
      <c r="G5860" s="267" t="s">
        <v>3926</v>
      </c>
      <c r="H5860" s="267" t="s">
        <v>10562</v>
      </c>
      <c r="I5860" s="267" t="s">
        <v>4288</v>
      </c>
      <c r="J5860" s="267" t="s">
        <v>3928</v>
      </c>
      <c r="K5860" s="267">
        <v>6883</v>
      </c>
      <c r="L5860" s="267">
        <v>55100</v>
      </c>
      <c r="M5860" s="267" t="s">
        <v>3943</v>
      </c>
      <c r="N5860" s="267" t="s">
        <v>3944</v>
      </c>
      <c r="O5860" s="267">
        <v>1636.36</v>
      </c>
      <c r="P5860" s="267" t="s">
        <v>3944</v>
      </c>
      <c r="Q5860" s="267" t="s">
        <v>3944</v>
      </c>
      <c r="R5860" s="267">
        <v>1636.36</v>
      </c>
      <c r="S5860" s="267">
        <v>17064.64</v>
      </c>
      <c r="T5860" s="267">
        <v>18701</v>
      </c>
      <c r="U5860" s="268" t="s">
        <v>3945</v>
      </c>
      <c r="V5860" s="267" t="s">
        <v>944</v>
      </c>
    </row>
    <row r="5861" spans="1:22" x14ac:dyDescent="0.25">
      <c r="A5861" s="269">
        <v>43742</v>
      </c>
      <c r="B5861" s="270">
        <v>2019</v>
      </c>
      <c r="C5861" s="270">
        <v>2020</v>
      </c>
      <c r="D5861" s="270">
        <v>1</v>
      </c>
      <c r="E5861" s="270">
        <v>1</v>
      </c>
      <c r="F5861" s="270" t="s">
        <v>944</v>
      </c>
      <c r="G5861" s="270" t="s">
        <v>3926</v>
      </c>
      <c r="H5861" s="270" t="s">
        <v>10563</v>
      </c>
      <c r="I5861" s="270" t="s">
        <v>943</v>
      </c>
      <c r="J5861" s="270" t="s">
        <v>3928</v>
      </c>
      <c r="K5861" s="270">
        <v>6513</v>
      </c>
      <c r="L5861" s="270">
        <v>142400</v>
      </c>
      <c r="M5861" s="270">
        <v>-60</v>
      </c>
      <c r="N5861" s="270" t="s">
        <v>3944</v>
      </c>
      <c r="O5861" s="270">
        <v>1432.69</v>
      </c>
      <c r="P5861" s="270" t="s">
        <v>3944</v>
      </c>
      <c r="Q5861" s="270" t="s">
        <v>3944</v>
      </c>
      <c r="R5861" s="270">
        <v>1432.69</v>
      </c>
      <c r="S5861" s="270">
        <v>11677.31</v>
      </c>
      <c r="T5861" s="270">
        <v>13110</v>
      </c>
      <c r="U5861" s="271" t="s">
        <v>3945</v>
      </c>
      <c r="V5861" s="276" t="s">
        <v>936</v>
      </c>
    </row>
    <row r="5862" spans="1:22" hidden="1" x14ac:dyDescent="0.25">
      <c r="A5862" s="266">
        <v>43742</v>
      </c>
      <c r="B5862" s="267">
        <v>2019</v>
      </c>
      <c r="C5862" s="267">
        <v>2020</v>
      </c>
      <c r="D5862" s="267">
        <v>1</v>
      </c>
      <c r="E5862" s="267">
        <v>1</v>
      </c>
      <c r="F5862" s="267" t="s">
        <v>944</v>
      </c>
      <c r="G5862" s="267" t="s">
        <v>3926</v>
      </c>
      <c r="H5862" s="267" t="s">
        <v>10564</v>
      </c>
      <c r="I5862" s="267" t="s">
        <v>3975</v>
      </c>
      <c r="J5862" s="267" t="s">
        <v>3928</v>
      </c>
      <c r="K5862" s="267">
        <v>6479</v>
      </c>
      <c r="L5862" s="267">
        <v>430400</v>
      </c>
      <c r="M5862" s="267" t="s">
        <v>3960</v>
      </c>
      <c r="N5862" s="267" t="s">
        <v>3944</v>
      </c>
      <c r="O5862" s="267">
        <v>1832.15</v>
      </c>
      <c r="P5862" s="267" t="s">
        <v>3944</v>
      </c>
      <c r="Q5862" s="267" t="s">
        <v>3944</v>
      </c>
      <c r="R5862" s="267">
        <v>1832.15</v>
      </c>
      <c r="S5862" s="267">
        <v>12591.85</v>
      </c>
      <c r="T5862" s="267">
        <v>14424</v>
      </c>
      <c r="U5862" s="268" t="s">
        <v>3945</v>
      </c>
      <c r="V5862" s="267" t="s">
        <v>944</v>
      </c>
    </row>
    <row r="5863" spans="1:22" hidden="1" x14ac:dyDescent="0.25">
      <c r="A5863" s="269">
        <v>43742</v>
      </c>
      <c r="B5863" s="270">
        <v>2019</v>
      </c>
      <c r="C5863" s="270">
        <v>2020</v>
      </c>
      <c r="D5863" s="270">
        <v>1</v>
      </c>
      <c r="E5863" s="270">
        <v>1</v>
      </c>
      <c r="F5863" s="270" t="s">
        <v>944</v>
      </c>
      <c r="G5863" s="270" t="s">
        <v>3926</v>
      </c>
      <c r="H5863" s="270" t="s">
        <v>10565</v>
      </c>
      <c r="I5863" s="270" t="s">
        <v>4035</v>
      </c>
      <c r="J5863" s="270" t="s">
        <v>3928</v>
      </c>
      <c r="K5863" s="270">
        <v>6074</v>
      </c>
      <c r="L5863" s="270">
        <v>487100</v>
      </c>
      <c r="M5863" s="270" t="s">
        <v>3943</v>
      </c>
      <c r="N5863" s="270" t="s">
        <v>3944</v>
      </c>
      <c r="O5863" s="270">
        <v>907.38</v>
      </c>
      <c r="P5863" s="270" t="s">
        <v>3944</v>
      </c>
      <c r="Q5863" s="270" t="s">
        <v>3944</v>
      </c>
      <c r="R5863" s="270">
        <v>907.38</v>
      </c>
      <c r="S5863" s="270">
        <v>13955</v>
      </c>
      <c r="T5863" s="270">
        <v>14862.38</v>
      </c>
      <c r="U5863" s="271" t="s">
        <v>3945</v>
      </c>
      <c r="V5863" s="267" t="s">
        <v>944</v>
      </c>
    </row>
    <row r="5864" spans="1:22" hidden="1" x14ac:dyDescent="0.25">
      <c r="A5864" s="266">
        <v>43742</v>
      </c>
      <c r="B5864" s="267">
        <v>2019</v>
      </c>
      <c r="C5864" s="267">
        <v>2020</v>
      </c>
      <c r="D5864" s="267">
        <v>1</v>
      </c>
      <c r="E5864" s="267">
        <v>1</v>
      </c>
      <c r="F5864" s="267" t="s">
        <v>944</v>
      </c>
      <c r="G5864" s="267" t="s">
        <v>3926</v>
      </c>
      <c r="H5864" s="267" t="s">
        <v>10566</v>
      </c>
      <c r="I5864" s="267" t="s">
        <v>3990</v>
      </c>
      <c r="J5864" s="267" t="s">
        <v>3928</v>
      </c>
      <c r="K5864" s="267">
        <v>6804</v>
      </c>
      <c r="L5864" s="267">
        <v>205200</v>
      </c>
      <c r="M5864" s="267" t="s">
        <v>3943</v>
      </c>
      <c r="N5864" s="267" t="s">
        <v>3944</v>
      </c>
      <c r="O5864" s="267">
        <v>1492.82</v>
      </c>
      <c r="P5864" s="267" t="s">
        <v>3944</v>
      </c>
      <c r="Q5864" s="267" t="s">
        <v>3944</v>
      </c>
      <c r="R5864" s="267">
        <v>1492.82</v>
      </c>
      <c r="S5864" s="267">
        <v>11923.18</v>
      </c>
      <c r="T5864" s="267">
        <v>13416</v>
      </c>
      <c r="U5864" s="268" t="s">
        <v>3945</v>
      </c>
      <c r="V5864" s="267" t="s">
        <v>944</v>
      </c>
    </row>
    <row r="5865" spans="1:22" hidden="1" x14ac:dyDescent="0.25">
      <c r="A5865" s="269">
        <v>43742</v>
      </c>
      <c r="B5865" s="270">
        <v>2019</v>
      </c>
      <c r="C5865" s="270">
        <v>2020</v>
      </c>
      <c r="D5865" s="270">
        <v>1</v>
      </c>
      <c r="E5865" s="270">
        <v>1</v>
      </c>
      <c r="F5865" s="270" t="s">
        <v>944</v>
      </c>
      <c r="G5865" s="270" t="s">
        <v>3926</v>
      </c>
      <c r="H5865" s="270" t="s">
        <v>10567</v>
      </c>
      <c r="I5865" s="270" t="s">
        <v>3956</v>
      </c>
      <c r="J5865" s="270" t="s">
        <v>3928</v>
      </c>
      <c r="K5865" s="270">
        <v>6112</v>
      </c>
      <c r="L5865" s="270">
        <v>501500</v>
      </c>
      <c r="M5865" s="270">
        <v>-60</v>
      </c>
      <c r="N5865" s="270" t="s">
        <v>3944</v>
      </c>
      <c r="O5865" s="270">
        <v>812.98</v>
      </c>
      <c r="P5865" s="270" t="s">
        <v>3944</v>
      </c>
      <c r="Q5865" s="270" t="s">
        <v>3944</v>
      </c>
      <c r="R5865" s="270">
        <v>812.98</v>
      </c>
      <c r="S5865" s="270">
        <v>8220.02</v>
      </c>
      <c r="T5865" s="270">
        <v>9033</v>
      </c>
      <c r="U5865" s="271" t="s">
        <v>3945</v>
      </c>
      <c r="V5865" s="267" t="s">
        <v>944</v>
      </c>
    </row>
    <row r="5866" spans="1:22" hidden="1" x14ac:dyDescent="0.25">
      <c r="A5866" s="266">
        <v>43742</v>
      </c>
      <c r="B5866" s="267">
        <v>2019</v>
      </c>
      <c r="C5866" s="267">
        <v>2020</v>
      </c>
      <c r="D5866" s="267">
        <v>1</v>
      </c>
      <c r="E5866" s="267">
        <v>1</v>
      </c>
      <c r="F5866" s="267" t="s">
        <v>944</v>
      </c>
      <c r="G5866" s="267" t="s">
        <v>3926</v>
      </c>
      <c r="H5866" s="267" t="s">
        <v>10568</v>
      </c>
      <c r="I5866" s="267" t="s">
        <v>4005</v>
      </c>
      <c r="J5866" s="267" t="s">
        <v>3928</v>
      </c>
      <c r="K5866" s="267">
        <v>6108</v>
      </c>
      <c r="L5866" s="267">
        <v>511400</v>
      </c>
      <c r="M5866" s="267" t="s">
        <v>3935</v>
      </c>
      <c r="N5866" s="267" t="s">
        <v>3944</v>
      </c>
      <c r="O5866" s="267">
        <v>2041.62</v>
      </c>
      <c r="P5866" s="267" t="s">
        <v>3944</v>
      </c>
      <c r="Q5866" s="267" t="s">
        <v>3944</v>
      </c>
      <c r="R5866" s="267">
        <v>2041.62</v>
      </c>
      <c r="S5866" s="267">
        <v>21635.38</v>
      </c>
      <c r="T5866" s="267">
        <v>23677</v>
      </c>
      <c r="U5866" s="268" t="s">
        <v>3945</v>
      </c>
      <c r="V5866" s="267" t="s">
        <v>944</v>
      </c>
    </row>
    <row r="5867" spans="1:22" hidden="1" x14ac:dyDescent="0.25">
      <c r="A5867" s="269">
        <v>43742</v>
      </c>
      <c r="B5867" s="270">
        <v>2019</v>
      </c>
      <c r="C5867" s="270">
        <v>2020</v>
      </c>
      <c r="D5867" s="270">
        <v>1</v>
      </c>
      <c r="E5867" s="270">
        <v>1</v>
      </c>
      <c r="F5867" s="270" t="s">
        <v>944</v>
      </c>
      <c r="G5867" s="270" t="s">
        <v>3926</v>
      </c>
      <c r="H5867" s="270" t="s">
        <v>10569</v>
      </c>
      <c r="I5867" s="270" t="s">
        <v>4005</v>
      </c>
      <c r="J5867" s="270" t="s">
        <v>3928</v>
      </c>
      <c r="K5867" s="270">
        <v>6108</v>
      </c>
      <c r="L5867" s="270">
        <v>510100</v>
      </c>
      <c r="M5867" s="270" t="s">
        <v>3940</v>
      </c>
      <c r="N5867" s="270" t="s">
        <v>3944</v>
      </c>
      <c r="O5867" s="270">
        <v>2242.59</v>
      </c>
      <c r="P5867" s="270" t="s">
        <v>3944</v>
      </c>
      <c r="Q5867" s="270" t="s">
        <v>3944</v>
      </c>
      <c r="R5867" s="270">
        <v>2242.59</v>
      </c>
      <c r="S5867" s="270">
        <v>28677.040000000001</v>
      </c>
      <c r="T5867" s="270">
        <v>30919.63</v>
      </c>
      <c r="U5867" s="271" t="s">
        <v>3945</v>
      </c>
      <c r="V5867" s="267" t="s">
        <v>944</v>
      </c>
    </row>
    <row r="5868" spans="1:22" hidden="1" x14ac:dyDescent="0.25">
      <c r="A5868" s="266">
        <v>43742</v>
      </c>
      <c r="B5868" s="267">
        <v>2019</v>
      </c>
      <c r="C5868" s="267">
        <v>2020</v>
      </c>
      <c r="D5868" s="267">
        <v>1</v>
      </c>
      <c r="E5868" s="267">
        <v>1</v>
      </c>
      <c r="F5868" s="267" t="s">
        <v>944</v>
      </c>
      <c r="G5868" s="267" t="s">
        <v>3926</v>
      </c>
      <c r="H5868" s="267" t="s">
        <v>10570</v>
      </c>
      <c r="I5868" s="267" t="s">
        <v>4085</v>
      </c>
      <c r="J5868" s="267" t="s">
        <v>3928</v>
      </c>
      <c r="K5868" s="267">
        <v>6351</v>
      </c>
      <c r="L5868" s="267">
        <v>709100</v>
      </c>
      <c r="M5868" s="267" t="s">
        <v>3935</v>
      </c>
      <c r="N5868" s="267" t="s">
        <v>3944</v>
      </c>
      <c r="O5868" s="267">
        <v>2309.37</v>
      </c>
      <c r="P5868" s="267" t="s">
        <v>3944</v>
      </c>
      <c r="Q5868" s="267" t="s">
        <v>3944</v>
      </c>
      <c r="R5868" s="267">
        <v>2309.37</v>
      </c>
      <c r="S5868" s="267">
        <v>17332.63</v>
      </c>
      <c r="T5868" s="267">
        <v>19642</v>
      </c>
      <c r="U5868" s="268" t="s">
        <v>3945</v>
      </c>
      <c r="V5868" s="267" t="s">
        <v>944</v>
      </c>
    </row>
    <row r="5869" spans="1:22" hidden="1" x14ac:dyDescent="0.25">
      <c r="A5869" s="269">
        <v>43742</v>
      </c>
      <c r="B5869" s="270">
        <v>2019</v>
      </c>
      <c r="C5869" s="270">
        <v>2020</v>
      </c>
      <c r="D5869" s="270">
        <v>1</v>
      </c>
      <c r="E5869" s="270">
        <v>1</v>
      </c>
      <c r="F5869" s="270" t="s">
        <v>944</v>
      </c>
      <c r="G5869" s="270" t="s">
        <v>3926</v>
      </c>
      <c r="H5869" s="270" t="s">
        <v>10571</v>
      </c>
      <c r="I5869" s="270" t="s">
        <v>4016</v>
      </c>
      <c r="J5869" s="270" t="s">
        <v>3928</v>
      </c>
      <c r="K5869" s="270">
        <v>6770</v>
      </c>
      <c r="L5869" s="270">
        <v>345300</v>
      </c>
      <c r="M5869" s="270" t="s">
        <v>3940</v>
      </c>
      <c r="N5869" s="270" t="s">
        <v>3944</v>
      </c>
      <c r="O5869" s="270">
        <v>1070.3699999999999</v>
      </c>
      <c r="P5869" s="270" t="s">
        <v>3944</v>
      </c>
      <c r="Q5869" s="270" t="s">
        <v>3944</v>
      </c>
      <c r="R5869" s="270">
        <v>1070.3699999999999</v>
      </c>
      <c r="S5869" s="270">
        <v>16585.38</v>
      </c>
      <c r="T5869" s="270">
        <v>17655.75</v>
      </c>
      <c r="U5869" s="271" t="s">
        <v>3945</v>
      </c>
      <c r="V5869" s="267" t="s">
        <v>944</v>
      </c>
    </row>
    <row r="5870" spans="1:22" x14ac:dyDescent="0.25">
      <c r="A5870" s="266">
        <v>43742</v>
      </c>
      <c r="B5870" s="267">
        <v>2019</v>
      </c>
      <c r="C5870" s="267">
        <v>2020</v>
      </c>
      <c r="D5870" s="267">
        <v>1</v>
      </c>
      <c r="E5870" s="267">
        <v>1</v>
      </c>
      <c r="F5870" s="267" t="s">
        <v>944</v>
      </c>
      <c r="G5870" s="267" t="s">
        <v>3926</v>
      </c>
      <c r="H5870" s="267" t="s">
        <v>10572</v>
      </c>
      <c r="I5870" s="267" t="s">
        <v>950</v>
      </c>
      <c r="J5870" s="267" t="s">
        <v>3928</v>
      </c>
      <c r="K5870" s="267">
        <v>6516</v>
      </c>
      <c r="L5870" s="267">
        <v>154500</v>
      </c>
      <c r="M5870" s="267">
        <v>-60</v>
      </c>
      <c r="N5870" s="267" t="s">
        <v>3944</v>
      </c>
      <c r="O5870" s="267">
        <v>2682.05</v>
      </c>
      <c r="P5870" s="267" t="s">
        <v>3944</v>
      </c>
      <c r="Q5870" s="267" t="s">
        <v>3944</v>
      </c>
      <c r="R5870" s="267">
        <v>2682.05</v>
      </c>
      <c r="S5870" s="267">
        <v>31181.63</v>
      </c>
      <c r="T5870" s="267">
        <v>33863.68</v>
      </c>
      <c r="U5870" s="268" t="s">
        <v>3945</v>
      </c>
      <c r="V5870" s="276" t="s">
        <v>936</v>
      </c>
    </row>
    <row r="5871" spans="1:22" hidden="1" x14ac:dyDescent="0.25">
      <c r="A5871" s="269">
        <v>43742</v>
      </c>
      <c r="B5871" s="270">
        <v>2019</v>
      </c>
      <c r="C5871" s="270">
        <v>2020</v>
      </c>
      <c r="D5871" s="270">
        <v>1</v>
      </c>
      <c r="E5871" s="270">
        <v>1</v>
      </c>
      <c r="F5871" s="270" t="s">
        <v>944</v>
      </c>
      <c r="G5871" s="270" t="s">
        <v>3926</v>
      </c>
      <c r="H5871" s="270" t="s">
        <v>10573</v>
      </c>
      <c r="I5871" s="270" t="s">
        <v>4079</v>
      </c>
      <c r="J5871" s="270" t="s">
        <v>3928</v>
      </c>
      <c r="K5871" s="270">
        <v>6111</v>
      </c>
      <c r="L5871" s="270">
        <v>494201</v>
      </c>
      <c r="M5871" s="270" t="s">
        <v>3935</v>
      </c>
      <c r="N5871" s="270" t="s">
        <v>10574</v>
      </c>
      <c r="O5871" s="270"/>
      <c r="P5871" s="270" t="s">
        <v>3944</v>
      </c>
      <c r="Q5871" s="270" t="s">
        <v>10574</v>
      </c>
      <c r="R5871" s="270">
        <v>418028.62</v>
      </c>
      <c r="S5871" s="270">
        <v>200</v>
      </c>
      <c r="T5871" s="270">
        <v>418228.62</v>
      </c>
      <c r="U5871" s="271" t="s">
        <v>4099</v>
      </c>
      <c r="V5871" s="267" t="s">
        <v>944</v>
      </c>
    </row>
    <row r="5872" spans="1:22" hidden="1" x14ac:dyDescent="0.25">
      <c r="A5872" s="266">
        <v>43743</v>
      </c>
      <c r="B5872" s="267">
        <v>2019</v>
      </c>
      <c r="C5872" s="267">
        <v>2020</v>
      </c>
      <c r="D5872" s="267">
        <v>1</v>
      </c>
      <c r="E5872" s="267">
        <v>1</v>
      </c>
      <c r="F5872" s="267" t="s">
        <v>944</v>
      </c>
      <c r="G5872" s="267" t="s">
        <v>3926</v>
      </c>
      <c r="H5872" s="267" t="s">
        <v>10575</v>
      </c>
      <c r="I5872" s="267" t="s">
        <v>943</v>
      </c>
      <c r="J5872" s="267" t="s">
        <v>3928</v>
      </c>
      <c r="K5872" s="267">
        <v>6501</v>
      </c>
      <c r="L5872" s="267">
        <v>165801</v>
      </c>
      <c r="M5872" s="267" t="s">
        <v>3935</v>
      </c>
      <c r="N5872" s="267" t="s">
        <v>4053</v>
      </c>
      <c r="O5872" s="267">
        <v>2961.99</v>
      </c>
      <c r="P5872" s="267" t="s">
        <v>3930</v>
      </c>
      <c r="Q5872" s="267" t="s">
        <v>3931</v>
      </c>
      <c r="R5872" s="267">
        <v>7961.99</v>
      </c>
      <c r="S5872" s="267">
        <v>18603.2</v>
      </c>
      <c r="T5872" s="267">
        <v>26565.19</v>
      </c>
      <c r="U5872" s="268" t="s">
        <v>3932</v>
      </c>
      <c r="V5872" s="267" t="s">
        <v>944</v>
      </c>
    </row>
    <row r="5873" spans="1:22" hidden="1" x14ac:dyDescent="0.25">
      <c r="A5873" s="269">
        <v>43744</v>
      </c>
      <c r="B5873" s="270">
        <v>2019</v>
      </c>
      <c r="C5873" s="270">
        <v>2020</v>
      </c>
      <c r="D5873" s="270">
        <v>1</v>
      </c>
      <c r="E5873" s="270">
        <v>1</v>
      </c>
      <c r="F5873" s="270" t="s">
        <v>944</v>
      </c>
      <c r="G5873" s="270" t="s">
        <v>3926</v>
      </c>
      <c r="H5873" s="270" t="s">
        <v>10576</v>
      </c>
      <c r="I5873" s="270" t="s">
        <v>3966</v>
      </c>
      <c r="J5873" s="270" t="s">
        <v>3928</v>
      </c>
      <c r="K5873" s="270">
        <v>6010</v>
      </c>
      <c r="L5873" s="270">
        <v>405500</v>
      </c>
      <c r="M5873" s="270" t="s">
        <v>3935</v>
      </c>
      <c r="N5873" s="270" t="s">
        <v>5313</v>
      </c>
      <c r="O5873" s="270">
        <v>8629</v>
      </c>
      <c r="P5873" s="270" t="s">
        <v>3930</v>
      </c>
      <c r="Q5873" s="270" t="s">
        <v>3930</v>
      </c>
      <c r="R5873" s="270">
        <v>8629</v>
      </c>
      <c r="S5873" s="270">
        <v>57433</v>
      </c>
      <c r="T5873" s="270">
        <v>66062</v>
      </c>
      <c r="U5873" s="271" t="s">
        <v>3937</v>
      </c>
      <c r="V5873" s="267" t="s">
        <v>944</v>
      </c>
    </row>
    <row r="5874" spans="1:22" hidden="1" x14ac:dyDescent="0.25">
      <c r="A5874" s="266">
        <v>43744</v>
      </c>
      <c r="B5874" s="267">
        <v>2019</v>
      </c>
      <c r="C5874" s="267">
        <v>2020</v>
      </c>
      <c r="D5874" s="267">
        <v>1</v>
      </c>
      <c r="E5874" s="267">
        <v>1</v>
      </c>
      <c r="F5874" s="267" t="s">
        <v>944</v>
      </c>
      <c r="G5874" s="267" t="s">
        <v>3926</v>
      </c>
      <c r="H5874" s="267" t="s">
        <v>10577</v>
      </c>
      <c r="I5874" s="267" t="s">
        <v>953</v>
      </c>
      <c r="J5874" s="267" t="s">
        <v>3928</v>
      </c>
      <c r="K5874" s="267">
        <v>6514</v>
      </c>
      <c r="L5874" s="267">
        <v>165801</v>
      </c>
      <c r="M5874" s="267" t="s">
        <v>3935</v>
      </c>
      <c r="N5874" s="267" t="s">
        <v>7680</v>
      </c>
      <c r="O5874" s="267">
        <v>2311.38</v>
      </c>
      <c r="P5874" s="267" t="s">
        <v>3930</v>
      </c>
      <c r="Q5874" s="267" t="s">
        <v>3931</v>
      </c>
      <c r="R5874" s="267">
        <v>7311.38</v>
      </c>
      <c r="S5874" s="267">
        <v>11128</v>
      </c>
      <c r="T5874" s="267">
        <v>18439.38</v>
      </c>
      <c r="U5874" s="268" t="s">
        <v>3932</v>
      </c>
      <c r="V5874" s="267" t="s">
        <v>944</v>
      </c>
    </row>
    <row r="5875" spans="1:22" hidden="1" x14ac:dyDescent="0.25">
      <c r="A5875" s="269">
        <v>43745</v>
      </c>
      <c r="B5875" s="270">
        <v>2019</v>
      </c>
      <c r="C5875" s="270">
        <v>2020</v>
      </c>
      <c r="D5875" s="270">
        <v>1</v>
      </c>
      <c r="E5875" s="270">
        <v>1</v>
      </c>
      <c r="F5875" s="270" t="s">
        <v>944</v>
      </c>
      <c r="G5875" s="270" t="s">
        <v>3997</v>
      </c>
      <c r="H5875" s="270" t="s">
        <v>10578</v>
      </c>
      <c r="I5875" s="270" t="s">
        <v>934</v>
      </c>
      <c r="J5875" s="270" t="s">
        <v>3928</v>
      </c>
      <c r="K5875" s="270">
        <v>6601</v>
      </c>
      <c r="L5875" s="270">
        <v>240200</v>
      </c>
      <c r="M5875" s="270" t="s">
        <v>3943</v>
      </c>
      <c r="N5875" s="270" t="s">
        <v>3983</v>
      </c>
      <c r="O5875" s="270">
        <v>2757.82</v>
      </c>
      <c r="P5875" s="270" t="s">
        <v>3930</v>
      </c>
      <c r="Q5875" s="270" t="s">
        <v>3931</v>
      </c>
      <c r="R5875" s="270">
        <v>7757.82</v>
      </c>
      <c r="S5875" s="270">
        <v>16504</v>
      </c>
      <c r="T5875" s="270">
        <v>24261.82</v>
      </c>
      <c r="U5875" s="271" t="s">
        <v>3932</v>
      </c>
      <c r="V5875" s="267" t="s">
        <v>944</v>
      </c>
    </row>
    <row r="5876" spans="1:22" hidden="1" x14ac:dyDescent="0.25">
      <c r="A5876" s="266">
        <v>43745</v>
      </c>
      <c r="B5876" s="267">
        <v>2019</v>
      </c>
      <c r="C5876" s="267">
        <v>2020</v>
      </c>
      <c r="D5876" s="267">
        <v>1</v>
      </c>
      <c r="E5876" s="267">
        <v>1</v>
      </c>
      <c r="F5876" s="267" t="s">
        <v>944</v>
      </c>
      <c r="G5876" s="267" t="s">
        <v>3926</v>
      </c>
      <c r="H5876" s="267" t="s">
        <v>10579</v>
      </c>
      <c r="I5876" s="267" t="s">
        <v>950</v>
      </c>
      <c r="J5876" s="267" t="s">
        <v>3928</v>
      </c>
      <c r="K5876" s="267">
        <v>6516</v>
      </c>
      <c r="L5876" s="267">
        <v>155000</v>
      </c>
      <c r="M5876" s="267" t="s">
        <v>3940</v>
      </c>
      <c r="N5876" s="267" t="s">
        <v>7680</v>
      </c>
      <c r="O5876" s="267">
        <v>2079.06</v>
      </c>
      <c r="P5876" s="267" t="s">
        <v>3930</v>
      </c>
      <c r="Q5876" s="267" t="s">
        <v>3931</v>
      </c>
      <c r="R5876" s="267">
        <v>7079.06</v>
      </c>
      <c r="S5876" s="267">
        <v>11128</v>
      </c>
      <c r="T5876" s="267">
        <v>18207.060000000001</v>
      </c>
      <c r="U5876" s="268" t="s">
        <v>3932</v>
      </c>
      <c r="V5876" s="267" t="s">
        <v>944</v>
      </c>
    </row>
    <row r="5877" spans="1:22" x14ac:dyDescent="0.25">
      <c r="A5877" s="269">
        <v>43745</v>
      </c>
      <c r="B5877" s="270">
        <v>2019</v>
      </c>
      <c r="C5877" s="270">
        <v>2020</v>
      </c>
      <c r="D5877" s="270">
        <v>1</v>
      </c>
      <c r="E5877" s="270">
        <v>1</v>
      </c>
      <c r="F5877" s="270" t="s">
        <v>944</v>
      </c>
      <c r="G5877" s="270" t="s">
        <v>3926</v>
      </c>
      <c r="H5877" s="270" t="s">
        <v>10580</v>
      </c>
      <c r="I5877" s="270" t="s">
        <v>3956</v>
      </c>
      <c r="J5877" s="270" t="s">
        <v>3928</v>
      </c>
      <c r="K5877" s="270">
        <v>6101</v>
      </c>
      <c r="L5877" s="270">
        <v>501800</v>
      </c>
      <c r="M5877" s="270">
        <v>-60</v>
      </c>
      <c r="N5877" s="270" t="s">
        <v>10517</v>
      </c>
      <c r="O5877" s="270">
        <v>2565.7199999999998</v>
      </c>
      <c r="P5877" s="270" t="s">
        <v>3930</v>
      </c>
      <c r="Q5877" s="270" t="s">
        <v>3931</v>
      </c>
      <c r="R5877" s="270">
        <v>7565.72</v>
      </c>
      <c r="S5877" s="270">
        <v>10624</v>
      </c>
      <c r="T5877" s="270">
        <v>18189.72</v>
      </c>
      <c r="U5877" s="271" t="s">
        <v>3932</v>
      </c>
      <c r="V5877" s="267" t="s">
        <v>936</v>
      </c>
    </row>
    <row r="5878" spans="1:22" hidden="1" x14ac:dyDescent="0.25">
      <c r="A5878" s="266">
        <v>43745</v>
      </c>
      <c r="B5878" s="267">
        <v>2019</v>
      </c>
      <c r="C5878" s="267">
        <v>2020</v>
      </c>
      <c r="D5878" s="267">
        <v>1</v>
      </c>
      <c r="E5878" s="267">
        <v>1</v>
      </c>
      <c r="F5878" s="267" t="s">
        <v>944</v>
      </c>
      <c r="G5878" s="267" t="s">
        <v>3926</v>
      </c>
      <c r="H5878" s="267" t="s">
        <v>10581</v>
      </c>
      <c r="I5878" s="267" t="s">
        <v>4046</v>
      </c>
      <c r="J5878" s="267" t="s">
        <v>3928</v>
      </c>
      <c r="K5878" s="267">
        <v>6281</v>
      </c>
      <c r="L5878" s="267">
        <v>901100</v>
      </c>
      <c r="M5878" s="267" t="s">
        <v>3960</v>
      </c>
      <c r="N5878" s="267" t="s">
        <v>6084</v>
      </c>
      <c r="O5878" s="267">
        <v>0</v>
      </c>
      <c r="P5878" s="267" t="s">
        <v>3930</v>
      </c>
      <c r="Q5878" s="267" t="s">
        <v>3930</v>
      </c>
      <c r="R5878" s="267">
        <v>0</v>
      </c>
      <c r="S5878" s="267">
        <v>14800</v>
      </c>
      <c r="T5878" s="267">
        <v>14800</v>
      </c>
      <c r="U5878" s="268" t="s">
        <v>3937</v>
      </c>
      <c r="V5878" s="267" t="s">
        <v>944</v>
      </c>
    </row>
    <row r="5879" spans="1:22" hidden="1" x14ac:dyDescent="0.25">
      <c r="A5879" s="269">
        <v>43745</v>
      </c>
      <c r="B5879" s="270">
        <v>2019</v>
      </c>
      <c r="C5879" s="270">
        <v>2020</v>
      </c>
      <c r="D5879" s="270">
        <v>1</v>
      </c>
      <c r="E5879" s="270">
        <v>1</v>
      </c>
      <c r="F5879" s="270" t="s">
        <v>944</v>
      </c>
      <c r="G5879" s="270" t="s">
        <v>3926</v>
      </c>
      <c r="H5879" s="270" t="s">
        <v>10582</v>
      </c>
      <c r="I5879" s="270" t="s">
        <v>4108</v>
      </c>
      <c r="J5879" s="270" t="s">
        <v>3928</v>
      </c>
      <c r="K5879" s="270">
        <v>6082</v>
      </c>
      <c r="L5879" s="270">
        <v>480800</v>
      </c>
      <c r="M5879" s="270" t="s">
        <v>3935</v>
      </c>
      <c r="N5879" s="270" t="s">
        <v>3983</v>
      </c>
      <c r="O5879" s="270">
        <v>2937.42</v>
      </c>
      <c r="P5879" s="270" t="s">
        <v>3930</v>
      </c>
      <c r="Q5879" s="270" t="s">
        <v>3931</v>
      </c>
      <c r="R5879" s="270">
        <v>7937.42</v>
      </c>
      <c r="S5879" s="270">
        <v>16504</v>
      </c>
      <c r="T5879" s="270">
        <v>24441.42</v>
      </c>
      <c r="U5879" s="271" t="s">
        <v>3932</v>
      </c>
      <c r="V5879" s="267" t="s">
        <v>944</v>
      </c>
    </row>
    <row r="5880" spans="1:22" hidden="1" x14ac:dyDescent="0.25">
      <c r="A5880" s="266">
        <v>43745</v>
      </c>
      <c r="B5880" s="267">
        <v>2019</v>
      </c>
      <c r="C5880" s="267">
        <v>2020</v>
      </c>
      <c r="D5880" s="267">
        <v>1</v>
      </c>
      <c r="E5880" s="267">
        <v>1</v>
      </c>
      <c r="F5880" s="267" t="s">
        <v>944</v>
      </c>
      <c r="G5880" s="267" t="s">
        <v>3926</v>
      </c>
      <c r="H5880" s="267" t="s">
        <v>10583</v>
      </c>
      <c r="I5880" s="267" t="s">
        <v>4037</v>
      </c>
      <c r="J5880" s="267" t="s">
        <v>3928</v>
      </c>
      <c r="K5880" s="267">
        <v>6810</v>
      </c>
      <c r="L5880" s="267">
        <v>210600</v>
      </c>
      <c r="M5880" s="267" t="s">
        <v>3940</v>
      </c>
      <c r="N5880" s="267" t="s">
        <v>4701</v>
      </c>
      <c r="O5880" s="267">
        <v>2416.79</v>
      </c>
      <c r="P5880" s="267" t="s">
        <v>3930</v>
      </c>
      <c r="Q5880" s="267" t="s">
        <v>3931</v>
      </c>
      <c r="R5880" s="267">
        <v>7416.79</v>
      </c>
      <c r="S5880" s="267">
        <v>34648</v>
      </c>
      <c r="T5880" s="267">
        <v>42064.79</v>
      </c>
      <c r="U5880" s="268" t="s">
        <v>3932</v>
      </c>
      <c r="V5880" s="267" t="s">
        <v>944</v>
      </c>
    </row>
    <row r="5881" spans="1:22" hidden="1" x14ac:dyDescent="0.25">
      <c r="A5881" s="269">
        <v>43745</v>
      </c>
      <c r="B5881" s="270">
        <v>2019</v>
      </c>
      <c r="C5881" s="270">
        <v>2020</v>
      </c>
      <c r="D5881" s="270">
        <v>1</v>
      </c>
      <c r="E5881" s="270">
        <v>1</v>
      </c>
      <c r="F5881" s="270" t="s">
        <v>944</v>
      </c>
      <c r="G5881" s="270" t="s">
        <v>3926</v>
      </c>
      <c r="H5881" s="270" t="s">
        <v>10584</v>
      </c>
      <c r="I5881" s="270" t="s">
        <v>943</v>
      </c>
      <c r="J5881" s="270" t="s">
        <v>3928</v>
      </c>
      <c r="K5881" s="270">
        <v>6501</v>
      </c>
      <c r="L5881" s="270">
        <v>165801</v>
      </c>
      <c r="M5881" s="270" t="s">
        <v>3935</v>
      </c>
      <c r="N5881" s="270" t="s">
        <v>8223</v>
      </c>
      <c r="O5881" s="270">
        <v>2517.75</v>
      </c>
      <c r="P5881" s="270" t="s">
        <v>3930</v>
      </c>
      <c r="Q5881" s="270" t="s">
        <v>3931</v>
      </c>
      <c r="R5881" s="270">
        <v>7517.75</v>
      </c>
      <c r="S5881" s="270">
        <v>12702.4</v>
      </c>
      <c r="T5881" s="270">
        <v>20220.150000000001</v>
      </c>
      <c r="U5881" s="271" t="s">
        <v>3932</v>
      </c>
      <c r="V5881" s="267" t="s">
        <v>944</v>
      </c>
    </row>
    <row r="5882" spans="1:22" hidden="1" x14ac:dyDescent="0.25">
      <c r="A5882" s="266">
        <v>43745</v>
      </c>
      <c r="B5882" s="267">
        <v>2019</v>
      </c>
      <c r="C5882" s="267">
        <v>2020</v>
      </c>
      <c r="D5882" s="267">
        <v>1</v>
      </c>
      <c r="E5882" s="267">
        <v>1</v>
      </c>
      <c r="F5882" s="267" t="s">
        <v>944</v>
      </c>
      <c r="G5882" s="267" t="s">
        <v>3926</v>
      </c>
      <c r="H5882" s="267" t="s">
        <v>10585</v>
      </c>
      <c r="I5882" s="267" t="s">
        <v>4094</v>
      </c>
      <c r="J5882" s="267" t="s">
        <v>3928</v>
      </c>
      <c r="K5882" s="267">
        <v>6096</v>
      </c>
      <c r="L5882" s="267">
        <v>476200</v>
      </c>
      <c r="M5882" s="267" t="s">
        <v>3935</v>
      </c>
      <c r="N5882" s="267" t="s">
        <v>10586</v>
      </c>
      <c r="O5882" s="267">
        <v>0</v>
      </c>
      <c r="P5882" s="267" t="s">
        <v>3930</v>
      </c>
      <c r="Q5882" s="267" t="s">
        <v>3930</v>
      </c>
      <c r="R5882" s="267">
        <v>0</v>
      </c>
      <c r="S5882" s="267">
        <v>16200</v>
      </c>
      <c r="T5882" s="267">
        <v>16200</v>
      </c>
      <c r="U5882" s="268" t="s">
        <v>3937</v>
      </c>
      <c r="V5882" s="267" t="s">
        <v>944</v>
      </c>
    </row>
    <row r="5883" spans="1:22" hidden="1" x14ac:dyDescent="0.25">
      <c r="A5883" s="269">
        <v>43745</v>
      </c>
      <c r="B5883" s="270">
        <v>2019</v>
      </c>
      <c r="C5883" s="270">
        <v>2020</v>
      </c>
      <c r="D5883" s="270">
        <v>1</v>
      </c>
      <c r="E5883" s="270">
        <v>1</v>
      </c>
      <c r="F5883" s="270" t="s">
        <v>944</v>
      </c>
      <c r="G5883" s="270" t="s">
        <v>3926</v>
      </c>
      <c r="H5883" s="270" t="s">
        <v>10587</v>
      </c>
      <c r="I5883" s="270" t="s">
        <v>6565</v>
      </c>
      <c r="J5883" s="270" t="s">
        <v>3928</v>
      </c>
      <c r="K5883" s="270">
        <v>6065</v>
      </c>
      <c r="L5883" s="270">
        <v>293100</v>
      </c>
      <c r="M5883" s="270" t="s">
        <v>3960</v>
      </c>
      <c r="N5883" s="270" t="s">
        <v>3944</v>
      </c>
      <c r="O5883" s="270">
        <v>2271</v>
      </c>
      <c r="P5883" s="270" t="s">
        <v>3944</v>
      </c>
      <c r="Q5883" s="270" t="s">
        <v>3944</v>
      </c>
      <c r="R5883" s="270">
        <v>2271</v>
      </c>
      <c r="S5883" s="270">
        <v>69320.009999999995</v>
      </c>
      <c r="T5883" s="270">
        <v>71591.009999999995</v>
      </c>
      <c r="U5883" s="271" t="s">
        <v>3945</v>
      </c>
      <c r="V5883" s="267" t="s">
        <v>944</v>
      </c>
    </row>
    <row r="5884" spans="1:22" hidden="1" x14ac:dyDescent="0.25">
      <c r="A5884" s="266">
        <v>43745</v>
      </c>
      <c r="B5884" s="267">
        <v>2019</v>
      </c>
      <c r="C5884" s="267">
        <v>2020</v>
      </c>
      <c r="D5884" s="267">
        <v>1</v>
      </c>
      <c r="E5884" s="267">
        <v>1</v>
      </c>
      <c r="F5884" s="267" t="s">
        <v>944</v>
      </c>
      <c r="G5884" s="267" t="s">
        <v>3926</v>
      </c>
      <c r="H5884" s="267" t="s">
        <v>10588</v>
      </c>
      <c r="I5884" s="267" t="s">
        <v>4016</v>
      </c>
      <c r="J5884" s="267" t="s">
        <v>3928</v>
      </c>
      <c r="K5884" s="267">
        <v>6770</v>
      </c>
      <c r="L5884" s="267">
        <v>345201</v>
      </c>
      <c r="M5884" s="267" t="s">
        <v>3935</v>
      </c>
      <c r="N5884" s="267" t="s">
        <v>3944</v>
      </c>
      <c r="O5884" s="267">
        <v>1379.39</v>
      </c>
      <c r="P5884" s="267" t="s">
        <v>3944</v>
      </c>
      <c r="Q5884" s="267" t="s">
        <v>3944</v>
      </c>
      <c r="R5884" s="267">
        <v>1379.39</v>
      </c>
      <c r="S5884" s="267">
        <v>19479.330000000002</v>
      </c>
      <c r="T5884" s="267">
        <v>20858.72</v>
      </c>
      <c r="U5884" s="268" t="s">
        <v>3945</v>
      </c>
      <c r="V5884" s="267" t="s">
        <v>944</v>
      </c>
    </row>
    <row r="5885" spans="1:22" hidden="1" x14ac:dyDescent="0.25">
      <c r="A5885" s="269">
        <v>43745</v>
      </c>
      <c r="B5885" s="270">
        <v>2019</v>
      </c>
      <c r="C5885" s="270">
        <v>2020</v>
      </c>
      <c r="D5885" s="270">
        <v>1</v>
      </c>
      <c r="E5885" s="270">
        <v>1</v>
      </c>
      <c r="F5885" s="270" t="s">
        <v>944</v>
      </c>
      <c r="G5885" s="270" t="s">
        <v>3926</v>
      </c>
      <c r="H5885" s="270" t="s">
        <v>10589</v>
      </c>
      <c r="I5885" s="270" t="s">
        <v>3985</v>
      </c>
      <c r="J5885" s="270" t="s">
        <v>3928</v>
      </c>
      <c r="K5885" s="270">
        <v>6280</v>
      </c>
      <c r="L5885" s="270">
        <v>800500</v>
      </c>
      <c r="M5885" s="270" t="s">
        <v>3940</v>
      </c>
      <c r="N5885" s="270" t="s">
        <v>3944</v>
      </c>
      <c r="O5885" s="270">
        <v>2533.13</v>
      </c>
      <c r="P5885" s="270" t="s">
        <v>3944</v>
      </c>
      <c r="Q5885" s="270" t="s">
        <v>3944</v>
      </c>
      <c r="R5885" s="270">
        <v>2533.13</v>
      </c>
      <c r="S5885" s="270">
        <v>29971.24</v>
      </c>
      <c r="T5885" s="270">
        <v>32504.37</v>
      </c>
      <c r="U5885" s="271" t="s">
        <v>3945</v>
      </c>
      <c r="V5885" s="267" t="s">
        <v>944</v>
      </c>
    </row>
    <row r="5886" spans="1:22" hidden="1" x14ac:dyDescent="0.25">
      <c r="A5886" s="266">
        <v>43745</v>
      </c>
      <c r="B5886" s="267">
        <v>2019</v>
      </c>
      <c r="C5886" s="267">
        <v>2020</v>
      </c>
      <c r="D5886" s="267">
        <v>1</v>
      </c>
      <c r="E5886" s="267">
        <v>1</v>
      </c>
      <c r="F5886" s="267" t="s">
        <v>944</v>
      </c>
      <c r="G5886" s="267" t="s">
        <v>3926</v>
      </c>
      <c r="H5886" s="267" t="s">
        <v>10590</v>
      </c>
      <c r="I5886" s="267" t="s">
        <v>4392</v>
      </c>
      <c r="J5886" s="267" t="s">
        <v>3928</v>
      </c>
      <c r="K5886" s="267">
        <v>6457</v>
      </c>
      <c r="L5886" s="267">
        <v>542000</v>
      </c>
      <c r="M5886" s="267" t="s">
        <v>3935</v>
      </c>
      <c r="N5886" s="267" t="s">
        <v>3944</v>
      </c>
      <c r="O5886" s="267">
        <v>704.73</v>
      </c>
      <c r="P5886" s="267" t="s">
        <v>3944</v>
      </c>
      <c r="Q5886" s="267" t="s">
        <v>3944</v>
      </c>
      <c r="R5886" s="267">
        <v>704.73</v>
      </c>
      <c r="S5886" s="267">
        <v>9744.27</v>
      </c>
      <c r="T5886" s="267">
        <v>10449</v>
      </c>
      <c r="U5886" s="268" t="s">
        <v>3945</v>
      </c>
      <c r="V5886" s="267" t="s">
        <v>944</v>
      </c>
    </row>
    <row r="5887" spans="1:22" hidden="1" x14ac:dyDescent="0.25">
      <c r="A5887" s="269">
        <v>43745</v>
      </c>
      <c r="B5887" s="270">
        <v>2019</v>
      </c>
      <c r="C5887" s="270">
        <v>2020</v>
      </c>
      <c r="D5887" s="270">
        <v>1</v>
      </c>
      <c r="E5887" s="270">
        <v>1</v>
      </c>
      <c r="F5887" s="270" t="s">
        <v>944</v>
      </c>
      <c r="G5887" s="270" t="s">
        <v>3926</v>
      </c>
      <c r="H5887" s="270" t="s">
        <v>10591</v>
      </c>
      <c r="I5887" s="270" t="s">
        <v>4016</v>
      </c>
      <c r="J5887" s="270" t="s">
        <v>3928</v>
      </c>
      <c r="K5887" s="270">
        <v>6770</v>
      </c>
      <c r="L5887" s="270">
        <v>345300</v>
      </c>
      <c r="M5887" s="270" t="s">
        <v>3940</v>
      </c>
      <c r="N5887" s="270" t="s">
        <v>3944</v>
      </c>
      <c r="O5887" s="270">
        <v>1127</v>
      </c>
      <c r="P5887" s="270" t="s">
        <v>3944</v>
      </c>
      <c r="Q5887" s="270" t="s">
        <v>3944</v>
      </c>
      <c r="R5887" s="270">
        <v>1127</v>
      </c>
      <c r="S5887" s="270">
        <v>13264</v>
      </c>
      <c r="T5887" s="270">
        <v>14391</v>
      </c>
      <c r="U5887" s="271" t="s">
        <v>3945</v>
      </c>
      <c r="V5887" s="267" t="s">
        <v>944</v>
      </c>
    </row>
    <row r="5888" spans="1:22" hidden="1" x14ac:dyDescent="0.25">
      <c r="A5888" s="266">
        <v>43745</v>
      </c>
      <c r="B5888" s="267">
        <v>2019</v>
      </c>
      <c r="C5888" s="267">
        <v>2020</v>
      </c>
      <c r="D5888" s="267">
        <v>1</v>
      </c>
      <c r="E5888" s="267">
        <v>1</v>
      </c>
      <c r="F5888" s="267" t="s">
        <v>944</v>
      </c>
      <c r="G5888" s="267" t="s">
        <v>3926</v>
      </c>
      <c r="H5888" s="267" t="s">
        <v>10592</v>
      </c>
      <c r="I5888" s="267" t="s">
        <v>3939</v>
      </c>
      <c r="J5888" s="267" t="s">
        <v>3928</v>
      </c>
      <c r="K5888" s="267">
        <v>6512</v>
      </c>
      <c r="L5888" s="267">
        <v>180601</v>
      </c>
      <c r="M5888" s="267" t="s">
        <v>3940</v>
      </c>
      <c r="N5888" s="267" t="s">
        <v>3944</v>
      </c>
      <c r="O5888" s="267">
        <v>2306.85</v>
      </c>
      <c r="P5888" s="267" t="s">
        <v>3944</v>
      </c>
      <c r="Q5888" s="267" t="s">
        <v>3944</v>
      </c>
      <c r="R5888" s="267">
        <v>2306.85</v>
      </c>
      <c r="S5888" s="267">
        <v>17669.150000000001</v>
      </c>
      <c r="T5888" s="267">
        <v>19976</v>
      </c>
      <c r="U5888" s="268" t="s">
        <v>3945</v>
      </c>
      <c r="V5888" s="267" t="s">
        <v>944</v>
      </c>
    </row>
    <row r="5889" spans="1:22" hidden="1" x14ac:dyDescent="0.25">
      <c r="A5889" s="269">
        <v>43745</v>
      </c>
      <c r="B5889" s="270">
        <v>2019</v>
      </c>
      <c r="C5889" s="270">
        <v>2020</v>
      </c>
      <c r="D5889" s="270">
        <v>1</v>
      </c>
      <c r="E5889" s="270">
        <v>1</v>
      </c>
      <c r="F5889" s="270" t="s">
        <v>944</v>
      </c>
      <c r="G5889" s="270" t="s">
        <v>3926</v>
      </c>
      <c r="H5889" s="270" t="s">
        <v>10593</v>
      </c>
      <c r="I5889" s="270" t="s">
        <v>3026</v>
      </c>
      <c r="J5889" s="270" t="s">
        <v>3928</v>
      </c>
      <c r="K5889" s="270">
        <v>6471</v>
      </c>
      <c r="L5889" s="270">
        <v>186100</v>
      </c>
      <c r="M5889" s="270" t="s">
        <v>3935</v>
      </c>
      <c r="N5889" s="270" t="s">
        <v>3944</v>
      </c>
      <c r="O5889" s="270">
        <v>1067.68</v>
      </c>
      <c r="P5889" s="270" t="s">
        <v>3944</v>
      </c>
      <c r="Q5889" s="270" t="s">
        <v>3944</v>
      </c>
      <c r="R5889" s="270">
        <v>1067.68</v>
      </c>
      <c r="S5889" s="270">
        <v>9336.32</v>
      </c>
      <c r="T5889" s="270">
        <v>10404</v>
      </c>
      <c r="U5889" s="271" t="s">
        <v>3945</v>
      </c>
      <c r="V5889" s="267" t="s">
        <v>944</v>
      </c>
    </row>
    <row r="5890" spans="1:22" hidden="1" x14ac:dyDescent="0.25">
      <c r="A5890" s="266">
        <v>43745</v>
      </c>
      <c r="B5890" s="267">
        <v>2019</v>
      </c>
      <c r="C5890" s="267">
        <v>2020</v>
      </c>
      <c r="D5890" s="267">
        <v>1</v>
      </c>
      <c r="E5890" s="267">
        <v>1</v>
      </c>
      <c r="F5890" s="267" t="s">
        <v>944</v>
      </c>
      <c r="G5890" s="267" t="s">
        <v>3926</v>
      </c>
      <c r="H5890" s="267" t="s">
        <v>10594</v>
      </c>
      <c r="I5890" s="267" t="s">
        <v>5659</v>
      </c>
      <c r="J5890" s="267" t="s">
        <v>3928</v>
      </c>
      <c r="K5890" s="267">
        <v>6419</v>
      </c>
      <c r="L5890" s="267">
        <v>640100</v>
      </c>
      <c r="M5890" s="267" t="s">
        <v>3943</v>
      </c>
      <c r="N5890" s="267" t="s">
        <v>3930</v>
      </c>
      <c r="O5890" s="267"/>
      <c r="P5890" s="267" t="s">
        <v>3944</v>
      </c>
      <c r="Q5890" s="267" t="s">
        <v>3930</v>
      </c>
      <c r="R5890" s="267">
        <v>0</v>
      </c>
      <c r="S5890" s="267">
        <v>482524.86</v>
      </c>
      <c r="T5890" s="267">
        <v>482524.86</v>
      </c>
      <c r="U5890" s="268" t="s">
        <v>4099</v>
      </c>
      <c r="V5890" s="267" t="s">
        <v>944</v>
      </c>
    </row>
    <row r="5891" spans="1:22" hidden="1" x14ac:dyDescent="0.25">
      <c r="A5891" s="269">
        <v>43746</v>
      </c>
      <c r="B5891" s="270">
        <v>2019</v>
      </c>
      <c r="C5891" s="270">
        <v>2020</v>
      </c>
      <c r="D5891" s="270">
        <v>1</v>
      </c>
      <c r="E5891" s="270">
        <v>1</v>
      </c>
      <c r="F5891" s="270" t="s">
        <v>944</v>
      </c>
      <c r="G5891" s="270" t="s">
        <v>3926</v>
      </c>
      <c r="H5891" s="270" t="s">
        <v>10595</v>
      </c>
      <c r="I5891" s="270" t="s">
        <v>4172</v>
      </c>
      <c r="J5891" s="270" t="s">
        <v>3928</v>
      </c>
      <c r="K5891" s="270">
        <v>6786</v>
      </c>
      <c r="L5891" s="270">
        <v>425400</v>
      </c>
      <c r="M5891" s="270" t="s">
        <v>3935</v>
      </c>
      <c r="N5891" s="270" t="s">
        <v>10596</v>
      </c>
      <c r="O5891" s="270">
        <v>0</v>
      </c>
      <c r="P5891" s="270" t="s">
        <v>3930</v>
      </c>
      <c r="Q5891" s="270" t="s">
        <v>3930</v>
      </c>
      <c r="R5891" s="270">
        <v>0</v>
      </c>
      <c r="S5891" s="270">
        <v>7246</v>
      </c>
      <c r="T5891" s="270">
        <v>7246</v>
      </c>
      <c r="U5891" s="271" t="s">
        <v>3937</v>
      </c>
      <c r="V5891" s="267" t="s">
        <v>944</v>
      </c>
    </row>
    <row r="5892" spans="1:22" hidden="1" x14ac:dyDescent="0.25">
      <c r="A5892" s="266">
        <v>43746</v>
      </c>
      <c r="B5892" s="267">
        <v>2019</v>
      </c>
      <c r="C5892" s="267">
        <v>2020</v>
      </c>
      <c r="D5892" s="267">
        <v>1</v>
      </c>
      <c r="E5892" s="267">
        <v>1</v>
      </c>
      <c r="F5892" s="267" t="s">
        <v>944</v>
      </c>
      <c r="G5892" s="267" t="s">
        <v>3926</v>
      </c>
      <c r="H5892" s="267" t="s">
        <v>10597</v>
      </c>
      <c r="I5892" s="267" t="s">
        <v>4005</v>
      </c>
      <c r="J5892" s="267" t="s">
        <v>3928</v>
      </c>
      <c r="K5892" s="267">
        <v>6118</v>
      </c>
      <c r="L5892" s="267">
        <v>511100</v>
      </c>
      <c r="M5892" s="267" t="s">
        <v>3960</v>
      </c>
      <c r="N5892" s="267" t="s">
        <v>10598</v>
      </c>
      <c r="O5892" s="267">
        <v>0</v>
      </c>
      <c r="P5892" s="267" t="s">
        <v>3930</v>
      </c>
      <c r="Q5892" s="267" t="s">
        <v>3930</v>
      </c>
      <c r="R5892" s="267">
        <v>0</v>
      </c>
      <c r="S5892" s="267">
        <v>9943.73</v>
      </c>
      <c r="T5892" s="267">
        <v>9943.73</v>
      </c>
      <c r="U5892" s="268" t="s">
        <v>3937</v>
      </c>
      <c r="V5892" s="267" t="s">
        <v>944</v>
      </c>
    </row>
    <row r="5893" spans="1:22" hidden="1" x14ac:dyDescent="0.25">
      <c r="A5893" s="269">
        <v>43746</v>
      </c>
      <c r="B5893" s="270">
        <v>2019</v>
      </c>
      <c r="C5893" s="270">
        <v>2020</v>
      </c>
      <c r="D5893" s="270">
        <v>1</v>
      </c>
      <c r="E5893" s="270">
        <v>1</v>
      </c>
      <c r="F5893" s="270" t="s">
        <v>944</v>
      </c>
      <c r="G5893" s="270" t="s">
        <v>3926</v>
      </c>
      <c r="H5893" s="270" t="s">
        <v>10599</v>
      </c>
      <c r="I5893" s="270" t="s">
        <v>934</v>
      </c>
      <c r="J5893" s="270" t="s">
        <v>3928</v>
      </c>
      <c r="K5893" s="270">
        <v>6601</v>
      </c>
      <c r="L5893" s="270">
        <v>240200</v>
      </c>
      <c r="M5893" s="270" t="s">
        <v>3943</v>
      </c>
      <c r="N5893" s="270" t="s">
        <v>7680</v>
      </c>
      <c r="O5893" s="270">
        <v>856.56</v>
      </c>
      <c r="P5893" s="270" t="s">
        <v>3930</v>
      </c>
      <c r="Q5893" s="270" t="s">
        <v>3931</v>
      </c>
      <c r="R5893" s="270">
        <v>5856.56</v>
      </c>
      <c r="S5893" s="270">
        <v>11128</v>
      </c>
      <c r="T5893" s="270">
        <v>16984.560000000001</v>
      </c>
      <c r="U5893" s="271" t="s">
        <v>3932</v>
      </c>
      <c r="V5893" s="267" t="s">
        <v>944</v>
      </c>
    </row>
    <row r="5894" spans="1:22" hidden="1" x14ac:dyDescent="0.25">
      <c r="A5894" s="266">
        <v>43746</v>
      </c>
      <c r="B5894" s="267">
        <v>2019</v>
      </c>
      <c r="C5894" s="267">
        <v>2020</v>
      </c>
      <c r="D5894" s="267">
        <v>1</v>
      </c>
      <c r="E5894" s="267">
        <v>1</v>
      </c>
      <c r="F5894" s="267" t="s">
        <v>944</v>
      </c>
      <c r="G5894" s="267" t="s">
        <v>3926</v>
      </c>
      <c r="H5894" s="267" t="s">
        <v>10600</v>
      </c>
      <c r="I5894" s="267" t="s">
        <v>4306</v>
      </c>
      <c r="J5894" s="267" t="s">
        <v>3928</v>
      </c>
      <c r="K5894" s="267">
        <v>6716</v>
      </c>
      <c r="L5894" s="267">
        <v>361200</v>
      </c>
      <c r="M5894" s="267" t="s">
        <v>3960</v>
      </c>
      <c r="N5894" s="267" t="s">
        <v>4701</v>
      </c>
      <c r="O5894" s="267">
        <v>2408.2800000000002</v>
      </c>
      <c r="P5894" s="267" t="s">
        <v>3930</v>
      </c>
      <c r="Q5894" s="267" t="s">
        <v>3931</v>
      </c>
      <c r="R5894" s="267">
        <v>7408.28</v>
      </c>
      <c r="S5894" s="267">
        <v>34648</v>
      </c>
      <c r="T5894" s="267">
        <v>42056.28</v>
      </c>
      <c r="U5894" s="268" t="s">
        <v>3932</v>
      </c>
      <c r="V5894" s="267" t="s">
        <v>944</v>
      </c>
    </row>
    <row r="5895" spans="1:22" hidden="1" x14ac:dyDescent="0.25">
      <c r="A5895" s="269">
        <v>43746</v>
      </c>
      <c r="B5895" s="270">
        <v>2019</v>
      </c>
      <c r="C5895" s="270">
        <v>2020</v>
      </c>
      <c r="D5895" s="270">
        <v>1</v>
      </c>
      <c r="E5895" s="270">
        <v>1</v>
      </c>
      <c r="F5895" s="270" t="s">
        <v>944</v>
      </c>
      <c r="G5895" s="270" t="s">
        <v>3926</v>
      </c>
      <c r="H5895" s="270" t="s">
        <v>10601</v>
      </c>
      <c r="I5895" s="270" t="s">
        <v>4019</v>
      </c>
      <c r="J5895" s="270" t="s">
        <v>3928</v>
      </c>
      <c r="K5895" s="270">
        <v>6701</v>
      </c>
      <c r="L5895" s="270">
        <v>165801</v>
      </c>
      <c r="M5895" s="270" t="s">
        <v>3935</v>
      </c>
      <c r="N5895" s="270" t="s">
        <v>10517</v>
      </c>
      <c r="O5895" s="270">
        <v>942.83</v>
      </c>
      <c r="P5895" s="270" t="s">
        <v>3930</v>
      </c>
      <c r="Q5895" s="270" t="s">
        <v>3931</v>
      </c>
      <c r="R5895" s="270">
        <v>5942.83</v>
      </c>
      <c r="S5895" s="270">
        <v>10624</v>
      </c>
      <c r="T5895" s="270">
        <v>16566.830000000002</v>
      </c>
      <c r="U5895" s="271" t="s">
        <v>3932</v>
      </c>
      <c r="V5895" s="267" t="s">
        <v>944</v>
      </c>
    </row>
    <row r="5896" spans="1:22" hidden="1" x14ac:dyDescent="0.25">
      <c r="A5896" s="266">
        <v>43746</v>
      </c>
      <c r="B5896" s="267">
        <v>2019</v>
      </c>
      <c r="C5896" s="267">
        <v>2020</v>
      </c>
      <c r="D5896" s="267">
        <v>1</v>
      </c>
      <c r="E5896" s="267">
        <v>1</v>
      </c>
      <c r="F5896" s="267" t="s">
        <v>944</v>
      </c>
      <c r="G5896" s="267" t="s">
        <v>3926</v>
      </c>
      <c r="H5896" s="267" t="s">
        <v>10602</v>
      </c>
      <c r="I5896" s="267" t="s">
        <v>4301</v>
      </c>
      <c r="J5896" s="267" t="s">
        <v>3928</v>
      </c>
      <c r="K5896" s="267">
        <v>6359</v>
      </c>
      <c r="L5896" s="267">
        <v>707100</v>
      </c>
      <c r="M5896" s="267" t="s">
        <v>3935</v>
      </c>
      <c r="N5896" s="267" t="s">
        <v>10603</v>
      </c>
      <c r="O5896" s="267">
        <v>5664</v>
      </c>
      <c r="P5896" s="267" t="s">
        <v>3930</v>
      </c>
      <c r="Q5896" s="267" t="s">
        <v>3930</v>
      </c>
      <c r="R5896" s="267">
        <v>5664</v>
      </c>
      <c r="S5896" s="267">
        <v>36535</v>
      </c>
      <c r="T5896" s="267">
        <v>42199</v>
      </c>
      <c r="U5896" s="268" t="s">
        <v>3937</v>
      </c>
      <c r="V5896" s="267" t="s">
        <v>944</v>
      </c>
    </row>
    <row r="5897" spans="1:22" hidden="1" x14ac:dyDescent="0.25">
      <c r="A5897" s="269">
        <v>43746</v>
      </c>
      <c r="B5897" s="270">
        <v>2019</v>
      </c>
      <c r="C5897" s="270">
        <v>2020</v>
      </c>
      <c r="D5897" s="270">
        <v>1</v>
      </c>
      <c r="E5897" s="270">
        <v>1</v>
      </c>
      <c r="F5897" s="270" t="s">
        <v>944</v>
      </c>
      <c r="G5897" s="270" t="s">
        <v>3926</v>
      </c>
      <c r="H5897" s="270" t="s">
        <v>10604</v>
      </c>
      <c r="I5897" s="270" t="s">
        <v>4213</v>
      </c>
      <c r="J5897" s="270" t="s">
        <v>3928</v>
      </c>
      <c r="K5897" s="270">
        <v>6053</v>
      </c>
      <c r="L5897" s="270">
        <v>416600</v>
      </c>
      <c r="M5897" s="270">
        <v>-60</v>
      </c>
      <c r="N5897" s="270" t="s">
        <v>10605</v>
      </c>
      <c r="O5897" s="270">
        <v>0</v>
      </c>
      <c r="P5897" s="270" t="s">
        <v>3930</v>
      </c>
      <c r="Q5897" s="270" t="s">
        <v>3930</v>
      </c>
      <c r="R5897" s="270">
        <v>0</v>
      </c>
      <c r="S5897" s="270">
        <v>6284.19</v>
      </c>
      <c r="T5897" s="270">
        <v>6284.19</v>
      </c>
      <c r="U5897" s="271" t="s">
        <v>3937</v>
      </c>
      <c r="V5897" s="267" t="s">
        <v>944</v>
      </c>
    </row>
    <row r="5898" spans="1:22" hidden="1" x14ac:dyDescent="0.25">
      <c r="A5898" s="266">
        <v>43746</v>
      </c>
      <c r="B5898" s="267">
        <v>2019</v>
      </c>
      <c r="C5898" s="267">
        <v>2020</v>
      </c>
      <c r="D5898" s="267">
        <v>1</v>
      </c>
      <c r="E5898" s="267">
        <v>1</v>
      </c>
      <c r="F5898" s="267" t="s">
        <v>944</v>
      </c>
      <c r="G5898" s="267" t="s">
        <v>3926</v>
      </c>
      <c r="H5898" s="267" t="s">
        <v>10606</v>
      </c>
      <c r="I5898" s="267" t="s">
        <v>4392</v>
      </c>
      <c r="J5898" s="267" t="s">
        <v>3928</v>
      </c>
      <c r="K5898" s="267">
        <v>6457</v>
      </c>
      <c r="L5898" s="267">
        <v>541500</v>
      </c>
      <c r="M5898" s="267" t="s">
        <v>3940</v>
      </c>
      <c r="N5898" s="267" t="s">
        <v>7680</v>
      </c>
      <c r="O5898" s="267">
        <v>1039.47</v>
      </c>
      <c r="P5898" s="267" t="s">
        <v>3930</v>
      </c>
      <c r="Q5898" s="267" t="s">
        <v>3931</v>
      </c>
      <c r="R5898" s="267">
        <v>6039.47</v>
      </c>
      <c r="S5898" s="267">
        <v>11128</v>
      </c>
      <c r="T5898" s="267">
        <v>17167.47</v>
      </c>
      <c r="U5898" s="268" t="s">
        <v>3932</v>
      </c>
      <c r="V5898" s="267" t="s">
        <v>944</v>
      </c>
    </row>
    <row r="5899" spans="1:22" hidden="1" x14ac:dyDescent="0.25">
      <c r="A5899" s="269">
        <v>43746</v>
      </c>
      <c r="B5899" s="270">
        <v>2019</v>
      </c>
      <c r="C5899" s="270">
        <v>2020</v>
      </c>
      <c r="D5899" s="270">
        <v>1</v>
      </c>
      <c r="E5899" s="270">
        <v>1</v>
      </c>
      <c r="F5899" s="270" t="s">
        <v>944</v>
      </c>
      <c r="G5899" s="270" t="s">
        <v>3926</v>
      </c>
      <c r="H5899" s="270" t="s">
        <v>10607</v>
      </c>
      <c r="I5899" s="270" t="s">
        <v>4213</v>
      </c>
      <c r="J5899" s="270" t="s">
        <v>3928</v>
      </c>
      <c r="K5899" s="270">
        <v>6053</v>
      </c>
      <c r="L5899" s="270">
        <v>416600</v>
      </c>
      <c r="M5899" s="270">
        <v>-60</v>
      </c>
      <c r="N5899" s="270" t="s">
        <v>10608</v>
      </c>
      <c r="O5899" s="270">
        <v>0</v>
      </c>
      <c r="P5899" s="270" t="s">
        <v>3930</v>
      </c>
      <c r="Q5899" s="270" t="s">
        <v>3930</v>
      </c>
      <c r="R5899" s="270">
        <v>0</v>
      </c>
      <c r="S5899" s="270">
        <v>13918.03</v>
      </c>
      <c r="T5899" s="270">
        <v>13918.03</v>
      </c>
      <c r="U5899" s="271" t="s">
        <v>3937</v>
      </c>
      <c r="V5899" s="267" t="s">
        <v>944</v>
      </c>
    </row>
    <row r="5900" spans="1:22" hidden="1" x14ac:dyDescent="0.25">
      <c r="A5900" s="266">
        <v>43746</v>
      </c>
      <c r="B5900" s="267">
        <v>2019</v>
      </c>
      <c r="C5900" s="267">
        <v>2020</v>
      </c>
      <c r="D5900" s="267">
        <v>1</v>
      </c>
      <c r="E5900" s="267">
        <v>1</v>
      </c>
      <c r="F5900" s="267" t="s">
        <v>944</v>
      </c>
      <c r="G5900" s="267" t="s">
        <v>3926</v>
      </c>
      <c r="H5900" s="267" t="s">
        <v>10609</v>
      </c>
      <c r="I5900" s="267" t="s">
        <v>6135</v>
      </c>
      <c r="J5900" s="267" t="s">
        <v>3928</v>
      </c>
      <c r="K5900" s="267">
        <v>6492</v>
      </c>
      <c r="L5900" s="267">
        <v>175800</v>
      </c>
      <c r="M5900" s="267" t="s">
        <v>3943</v>
      </c>
      <c r="N5900" s="267" t="s">
        <v>6363</v>
      </c>
      <c r="O5900" s="267">
        <v>0</v>
      </c>
      <c r="P5900" s="267" t="s">
        <v>3930</v>
      </c>
      <c r="Q5900" s="267" t="s">
        <v>3930</v>
      </c>
      <c r="R5900" s="267">
        <v>0</v>
      </c>
      <c r="S5900" s="267">
        <v>25203</v>
      </c>
      <c r="T5900" s="267">
        <v>25203</v>
      </c>
      <c r="U5900" s="268" t="s">
        <v>3937</v>
      </c>
      <c r="V5900" s="267" t="s">
        <v>944</v>
      </c>
    </row>
    <row r="5901" spans="1:22" hidden="1" x14ac:dyDescent="0.25">
      <c r="A5901" s="269">
        <v>43746</v>
      </c>
      <c r="B5901" s="270">
        <v>2019</v>
      </c>
      <c r="C5901" s="270">
        <v>2020</v>
      </c>
      <c r="D5901" s="270">
        <v>1</v>
      </c>
      <c r="E5901" s="270">
        <v>1</v>
      </c>
      <c r="F5901" s="270" t="s">
        <v>944</v>
      </c>
      <c r="G5901" s="270" t="s">
        <v>3926</v>
      </c>
      <c r="H5901" s="270" t="s">
        <v>10610</v>
      </c>
      <c r="I5901" s="270" t="s">
        <v>4269</v>
      </c>
      <c r="J5901" s="270" t="s">
        <v>3928</v>
      </c>
      <c r="K5901" s="270">
        <v>6117</v>
      </c>
      <c r="L5901" s="270">
        <v>497200</v>
      </c>
      <c r="M5901" s="270" t="s">
        <v>3943</v>
      </c>
      <c r="N5901" s="270" t="s">
        <v>3944</v>
      </c>
      <c r="O5901" s="270">
        <v>4023</v>
      </c>
      <c r="P5901" s="270" t="s">
        <v>3944</v>
      </c>
      <c r="Q5901" s="270" t="s">
        <v>3944</v>
      </c>
      <c r="R5901" s="270">
        <v>4023</v>
      </c>
      <c r="S5901" s="270">
        <v>65632</v>
      </c>
      <c r="T5901" s="270">
        <v>69655</v>
      </c>
      <c r="U5901" s="271" t="s">
        <v>3945</v>
      </c>
      <c r="V5901" s="267" t="s">
        <v>944</v>
      </c>
    </row>
    <row r="5902" spans="1:22" hidden="1" x14ac:dyDescent="0.25">
      <c r="A5902" s="266">
        <v>43746</v>
      </c>
      <c r="B5902" s="267">
        <v>2019</v>
      </c>
      <c r="C5902" s="267">
        <v>2020</v>
      </c>
      <c r="D5902" s="267">
        <v>1</v>
      </c>
      <c r="E5902" s="267">
        <v>1</v>
      </c>
      <c r="F5902" s="267" t="s">
        <v>944</v>
      </c>
      <c r="G5902" s="267" t="s">
        <v>3926</v>
      </c>
      <c r="H5902" s="267" t="s">
        <v>10611</v>
      </c>
      <c r="I5902" s="267" t="s">
        <v>3012</v>
      </c>
      <c r="J5902" s="267" t="s">
        <v>3928</v>
      </c>
      <c r="K5902" s="267">
        <v>6477</v>
      </c>
      <c r="L5902" s="267">
        <v>157200</v>
      </c>
      <c r="M5902" s="267" t="s">
        <v>3943</v>
      </c>
      <c r="N5902" s="267" t="s">
        <v>3944</v>
      </c>
      <c r="O5902" s="267">
        <v>2489</v>
      </c>
      <c r="P5902" s="267" t="s">
        <v>3944</v>
      </c>
      <c r="Q5902" s="267" t="s">
        <v>3944</v>
      </c>
      <c r="R5902" s="267">
        <v>2489</v>
      </c>
      <c r="S5902" s="267">
        <v>51271</v>
      </c>
      <c r="T5902" s="267">
        <v>53760</v>
      </c>
      <c r="U5902" s="268" t="s">
        <v>3945</v>
      </c>
      <c r="V5902" s="267" t="s">
        <v>944</v>
      </c>
    </row>
    <row r="5903" spans="1:22" hidden="1" x14ac:dyDescent="0.25">
      <c r="A5903" s="269">
        <v>43746</v>
      </c>
      <c r="B5903" s="270">
        <v>2019</v>
      </c>
      <c r="C5903" s="270">
        <v>2020</v>
      </c>
      <c r="D5903" s="270">
        <v>1</v>
      </c>
      <c r="E5903" s="270">
        <v>1</v>
      </c>
      <c r="F5903" s="270" t="s">
        <v>944</v>
      </c>
      <c r="G5903" s="270" t="s">
        <v>3926</v>
      </c>
      <c r="H5903" s="270" t="s">
        <v>10612</v>
      </c>
      <c r="I5903" s="270" t="s">
        <v>3934</v>
      </c>
      <c r="J5903" s="270" t="s">
        <v>3928</v>
      </c>
      <c r="K5903" s="270">
        <v>6405</v>
      </c>
      <c r="L5903" s="270">
        <v>184300</v>
      </c>
      <c r="M5903" s="270" t="s">
        <v>3960</v>
      </c>
      <c r="N5903" s="270" t="s">
        <v>3944</v>
      </c>
      <c r="O5903" s="270">
        <v>1730</v>
      </c>
      <c r="P5903" s="270" t="s">
        <v>3944</v>
      </c>
      <c r="Q5903" s="270" t="s">
        <v>3944</v>
      </c>
      <c r="R5903" s="270">
        <v>1730</v>
      </c>
      <c r="S5903" s="270">
        <v>14286</v>
      </c>
      <c r="T5903" s="270">
        <v>16016</v>
      </c>
      <c r="U5903" s="271" t="s">
        <v>3945</v>
      </c>
      <c r="V5903" s="267" t="s">
        <v>944</v>
      </c>
    </row>
    <row r="5904" spans="1:22" hidden="1" x14ac:dyDescent="0.25">
      <c r="A5904" s="266">
        <v>43746</v>
      </c>
      <c r="B5904" s="267">
        <v>2019</v>
      </c>
      <c r="C5904" s="267">
        <v>2020</v>
      </c>
      <c r="D5904" s="267">
        <v>1</v>
      </c>
      <c r="E5904" s="267">
        <v>1</v>
      </c>
      <c r="F5904" s="267" t="s">
        <v>944</v>
      </c>
      <c r="G5904" s="267" t="s">
        <v>3926</v>
      </c>
      <c r="H5904" s="267" t="s">
        <v>10613</v>
      </c>
      <c r="I5904" s="267" t="s">
        <v>4269</v>
      </c>
      <c r="J5904" s="267" t="s">
        <v>3928</v>
      </c>
      <c r="K5904" s="267">
        <v>6117</v>
      </c>
      <c r="L5904" s="267">
        <v>497400</v>
      </c>
      <c r="M5904" s="267" t="s">
        <v>3943</v>
      </c>
      <c r="N5904" s="267" t="s">
        <v>3944</v>
      </c>
      <c r="O5904" s="267">
        <v>3790</v>
      </c>
      <c r="P5904" s="267" t="s">
        <v>3944</v>
      </c>
      <c r="Q5904" s="267" t="s">
        <v>3944</v>
      </c>
      <c r="R5904" s="267">
        <v>3790</v>
      </c>
      <c r="S5904" s="267">
        <v>30860</v>
      </c>
      <c r="T5904" s="267">
        <v>34650</v>
      </c>
      <c r="U5904" s="268" t="s">
        <v>3945</v>
      </c>
      <c r="V5904" s="267" t="s">
        <v>944</v>
      </c>
    </row>
    <row r="5905" spans="1:22" hidden="1" x14ac:dyDescent="0.25">
      <c r="A5905" s="269">
        <v>43746</v>
      </c>
      <c r="B5905" s="270">
        <v>2019</v>
      </c>
      <c r="C5905" s="270">
        <v>2020</v>
      </c>
      <c r="D5905" s="270">
        <v>1</v>
      </c>
      <c r="E5905" s="270">
        <v>1</v>
      </c>
      <c r="F5905" s="270" t="s">
        <v>944</v>
      </c>
      <c r="G5905" s="270" t="s">
        <v>3926</v>
      </c>
      <c r="H5905" s="270" t="s">
        <v>10614</v>
      </c>
      <c r="I5905" s="270" t="s">
        <v>3990</v>
      </c>
      <c r="J5905" s="270" t="s">
        <v>3928</v>
      </c>
      <c r="K5905" s="270">
        <v>6804</v>
      </c>
      <c r="L5905" s="270">
        <v>205300</v>
      </c>
      <c r="M5905" s="270" t="s">
        <v>3960</v>
      </c>
      <c r="N5905" s="270" t="s">
        <v>3944</v>
      </c>
      <c r="O5905" s="270">
        <v>4957</v>
      </c>
      <c r="P5905" s="270" t="s">
        <v>3944</v>
      </c>
      <c r="Q5905" s="270" t="s">
        <v>3944</v>
      </c>
      <c r="R5905" s="270">
        <v>4957</v>
      </c>
      <c r="S5905" s="270">
        <v>37316</v>
      </c>
      <c r="T5905" s="270">
        <v>42273</v>
      </c>
      <c r="U5905" s="271" t="s">
        <v>3945</v>
      </c>
      <c r="V5905" s="267" t="s">
        <v>944</v>
      </c>
    </row>
    <row r="5906" spans="1:22" hidden="1" x14ac:dyDescent="0.25">
      <c r="A5906" s="266">
        <v>43746</v>
      </c>
      <c r="B5906" s="267">
        <v>2019</v>
      </c>
      <c r="C5906" s="267">
        <v>2020</v>
      </c>
      <c r="D5906" s="267">
        <v>1</v>
      </c>
      <c r="E5906" s="267">
        <v>1</v>
      </c>
      <c r="F5906" s="267" t="s">
        <v>944</v>
      </c>
      <c r="G5906" s="267" t="s">
        <v>3926</v>
      </c>
      <c r="H5906" s="267" t="s">
        <v>10615</v>
      </c>
      <c r="I5906" s="267" t="s">
        <v>3996</v>
      </c>
      <c r="J5906" s="267" t="s">
        <v>3928</v>
      </c>
      <c r="K5906" s="267">
        <v>6790</v>
      </c>
      <c r="L5906" s="267">
        <v>310804</v>
      </c>
      <c r="M5906" s="267" t="s">
        <v>3935</v>
      </c>
      <c r="N5906" s="267" t="s">
        <v>3944</v>
      </c>
      <c r="O5906" s="267">
        <v>3184</v>
      </c>
      <c r="P5906" s="267" t="s">
        <v>3944</v>
      </c>
      <c r="Q5906" s="267" t="s">
        <v>3944</v>
      </c>
      <c r="R5906" s="267">
        <v>3184</v>
      </c>
      <c r="S5906" s="267">
        <v>44288</v>
      </c>
      <c r="T5906" s="267">
        <v>47472</v>
      </c>
      <c r="U5906" s="268" t="s">
        <v>3945</v>
      </c>
      <c r="V5906" s="267" t="s">
        <v>944</v>
      </c>
    </row>
    <row r="5907" spans="1:22" hidden="1" x14ac:dyDescent="0.25">
      <c r="A5907" s="269">
        <v>43746</v>
      </c>
      <c r="B5907" s="270">
        <v>2019</v>
      </c>
      <c r="C5907" s="270">
        <v>2020</v>
      </c>
      <c r="D5907" s="270">
        <v>1</v>
      </c>
      <c r="E5907" s="270">
        <v>1</v>
      </c>
      <c r="F5907" s="270" t="s">
        <v>944</v>
      </c>
      <c r="G5907" s="270" t="s">
        <v>3997</v>
      </c>
      <c r="H5907" s="270" t="s">
        <v>10616</v>
      </c>
      <c r="I5907" s="270" t="s">
        <v>4213</v>
      </c>
      <c r="J5907" s="270" t="s">
        <v>3928</v>
      </c>
      <c r="K5907" s="270">
        <v>6051</v>
      </c>
      <c r="L5907" s="270">
        <v>416300</v>
      </c>
      <c r="M5907" s="270">
        <v>-60</v>
      </c>
      <c r="N5907" s="270" t="s">
        <v>3944</v>
      </c>
      <c r="O5907" s="270">
        <v>1993.92</v>
      </c>
      <c r="P5907" s="270" t="s">
        <v>3944</v>
      </c>
      <c r="Q5907" s="270" t="s">
        <v>3944</v>
      </c>
      <c r="R5907" s="270">
        <v>1993.92</v>
      </c>
      <c r="S5907" s="270">
        <v>28695.040000000001</v>
      </c>
      <c r="T5907" s="270">
        <v>30688.959999999999</v>
      </c>
      <c r="U5907" s="271" t="s">
        <v>3945</v>
      </c>
      <c r="V5907" s="267" t="s">
        <v>944</v>
      </c>
    </row>
    <row r="5908" spans="1:22" hidden="1" x14ac:dyDescent="0.25">
      <c r="A5908" s="266">
        <v>43746</v>
      </c>
      <c r="B5908" s="267">
        <v>2019</v>
      </c>
      <c r="C5908" s="267">
        <v>2020</v>
      </c>
      <c r="D5908" s="267">
        <v>1</v>
      </c>
      <c r="E5908" s="267">
        <v>1</v>
      </c>
      <c r="F5908" s="267" t="s">
        <v>944</v>
      </c>
      <c r="G5908" s="267" t="s">
        <v>3997</v>
      </c>
      <c r="H5908" s="267" t="s">
        <v>10617</v>
      </c>
      <c r="I5908" s="267" t="s">
        <v>953</v>
      </c>
      <c r="J5908" s="267" t="s">
        <v>3928</v>
      </c>
      <c r="K5908" s="267">
        <v>6514</v>
      </c>
      <c r="L5908" s="267">
        <v>165900</v>
      </c>
      <c r="M5908" s="267" t="s">
        <v>3943</v>
      </c>
      <c r="N5908" s="267" t="s">
        <v>3944</v>
      </c>
      <c r="O5908" s="267">
        <v>1798.34</v>
      </c>
      <c r="P5908" s="267" t="s">
        <v>3944</v>
      </c>
      <c r="Q5908" s="267" t="s">
        <v>3944</v>
      </c>
      <c r="R5908" s="267">
        <v>1798.34</v>
      </c>
      <c r="S5908" s="267">
        <v>23599.42</v>
      </c>
      <c r="T5908" s="267">
        <v>25397.759999999998</v>
      </c>
      <c r="U5908" s="268" t="s">
        <v>3945</v>
      </c>
      <c r="V5908" s="267" t="s">
        <v>944</v>
      </c>
    </row>
    <row r="5909" spans="1:22" hidden="1" x14ac:dyDescent="0.25">
      <c r="A5909" s="269">
        <v>43746</v>
      </c>
      <c r="B5909" s="270">
        <v>2019</v>
      </c>
      <c r="C5909" s="270">
        <v>2020</v>
      </c>
      <c r="D5909" s="270">
        <v>1</v>
      </c>
      <c r="E5909" s="270">
        <v>1</v>
      </c>
      <c r="F5909" s="270" t="s">
        <v>944</v>
      </c>
      <c r="G5909" s="270" t="s">
        <v>3926</v>
      </c>
      <c r="H5909" s="270" t="s">
        <v>10618</v>
      </c>
      <c r="I5909" s="270" t="s">
        <v>2985</v>
      </c>
      <c r="J5909" s="270" t="s">
        <v>3928</v>
      </c>
      <c r="K5909" s="270">
        <v>6825</v>
      </c>
      <c r="L5909" s="270">
        <v>61100</v>
      </c>
      <c r="M5909" s="270" t="s">
        <v>3943</v>
      </c>
      <c r="N5909" s="270" t="s">
        <v>3944</v>
      </c>
      <c r="O5909" s="270">
        <v>4932</v>
      </c>
      <c r="P5909" s="270" t="s">
        <v>3944</v>
      </c>
      <c r="Q5909" s="270" t="s">
        <v>3944</v>
      </c>
      <c r="R5909" s="270">
        <v>4932</v>
      </c>
      <c r="S5909" s="270">
        <v>37116</v>
      </c>
      <c r="T5909" s="270">
        <v>42048</v>
      </c>
      <c r="U5909" s="271" t="s">
        <v>3945</v>
      </c>
      <c r="V5909" s="267" t="s">
        <v>944</v>
      </c>
    </row>
    <row r="5910" spans="1:22" hidden="1" x14ac:dyDescent="0.25">
      <c r="A5910" s="266">
        <v>43746</v>
      </c>
      <c r="B5910" s="267">
        <v>2019</v>
      </c>
      <c r="C5910" s="267">
        <v>2020</v>
      </c>
      <c r="D5910" s="267">
        <v>1</v>
      </c>
      <c r="E5910" s="267">
        <v>1</v>
      </c>
      <c r="F5910" s="267" t="s">
        <v>944</v>
      </c>
      <c r="G5910" s="267" t="s">
        <v>3926</v>
      </c>
      <c r="H5910" s="267" t="s">
        <v>10619</v>
      </c>
      <c r="I5910" s="267" t="s">
        <v>4168</v>
      </c>
      <c r="J5910" s="267" t="s">
        <v>3928</v>
      </c>
      <c r="K5910" s="267">
        <v>6475</v>
      </c>
      <c r="L5910" s="267">
        <v>670200</v>
      </c>
      <c r="M5910" s="267" t="s">
        <v>3935</v>
      </c>
      <c r="N5910" s="267" t="s">
        <v>3944</v>
      </c>
      <c r="O5910" s="267">
        <v>7171</v>
      </c>
      <c r="P5910" s="267" t="s">
        <v>3944</v>
      </c>
      <c r="Q5910" s="267" t="s">
        <v>3944</v>
      </c>
      <c r="R5910" s="267">
        <v>7171</v>
      </c>
      <c r="S5910" s="267">
        <v>49362</v>
      </c>
      <c r="T5910" s="267">
        <v>56533</v>
      </c>
      <c r="U5910" s="268" t="s">
        <v>3945</v>
      </c>
      <c r="V5910" s="267" t="s">
        <v>944</v>
      </c>
    </row>
    <row r="5911" spans="1:22" hidden="1" x14ac:dyDescent="0.25">
      <c r="A5911" s="269">
        <v>43746</v>
      </c>
      <c r="B5911" s="270">
        <v>2019</v>
      </c>
      <c r="C5911" s="270">
        <v>2020</v>
      </c>
      <c r="D5911" s="270">
        <v>1</v>
      </c>
      <c r="E5911" s="270">
        <v>1</v>
      </c>
      <c r="F5911" s="270" t="s">
        <v>944</v>
      </c>
      <c r="G5911" s="270" t="s">
        <v>3926</v>
      </c>
      <c r="H5911" s="270" t="s">
        <v>10620</v>
      </c>
      <c r="I5911" s="270" t="s">
        <v>5147</v>
      </c>
      <c r="J5911" s="270" t="s">
        <v>3928</v>
      </c>
      <c r="K5911" s="270">
        <v>6468</v>
      </c>
      <c r="L5911" s="270">
        <v>100200</v>
      </c>
      <c r="M5911" s="270" t="s">
        <v>3943</v>
      </c>
      <c r="N5911" s="270" t="s">
        <v>3944</v>
      </c>
      <c r="O5911" s="270">
        <v>4942</v>
      </c>
      <c r="P5911" s="270" t="s">
        <v>3944</v>
      </c>
      <c r="Q5911" s="270" t="s">
        <v>3944</v>
      </c>
      <c r="R5911" s="270">
        <v>4942</v>
      </c>
      <c r="S5911" s="270">
        <v>65618</v>
      </c>
      <c r="T5911" s="270">
        <v>70560</v>
      </c>
      <c r="U5911" s="271" t="s">
        <v>3945</v>
      </c>
      <c r="V5911" s="267" t="s">
        <v>944</v>
      </c>
    </row>
    <row r="5912" spans="1:22" hidden="1" x14ac:dyDescent="0.25">
      <c r="A5912" s="266">
        <v>43746</v>
      </c>
      <c r="B5912" s="267">
        <v>2019</v>
      </c>
      <c r="C5912" s="267">
        <v>2020</v>
      </c>
      <c r="D5912" s="267">
        <v>1</v>
      </c>
      <c r="E5912" s="267">
        <v>1</v>
      </c>
      <c r="F5912" s="267" t="s">
        <v>944</v>
      </c>
      <c r="G5912" s="267" t="s">
        <v>3926</v>
      </c>
      <c r="H5912" s="267" t="s">
        <v>10621</v>
      </c>
      <c r="I5912" s="267" t="s">
        <v>3956</v>
      </c>
      <c r="J5912" s="267" t="s">
        <v>3928</v>
      </c>
      <c r="K5912" s="267">
        <v>6120</v>
      </c>
      <c r="L5912" s="267">
        <v>524400</v>
      </c>
      <c r="M5912" s="267">
        <v>-60</v>
      </c>
      <c r="N5912" s="267" t="s">
        <v>3944</v>
      </c>
      <c r="O5912" s="267">
        <v>968.73</v>
      </c>
      <c r="P5912" s="267" t="s">
        <v>3944</v>
      </c>
      <c r="Q5912" s="267" t="s">
        <v>3944</v>
      </c>
      <c r="R5912" s="267">
        <v>968.73</v>
      </c>
      <c r="S5912" s="267">
        <v>13933.26</v>
      </c>
      <c r="T5912" s="267">
        <v>14901.99</v>
      </c>
      <c r="U5912" s="268" t="s">
        <v>3945</v>
      </c>
      <c r="V5912" s="267" t="s">
        <v>944</v>
      </c>
    </row>
    <row r="5913" spans="1:22" hidden="1" x14ac:dyDescent="0.25">
      <c r="A5913" s="269">
        <v>43746</v>
      </c>
      <c r="B5913" s="270">
        <v>2019</v>
      </c>
      <c r="C5913" s="270">
        <v>2020</v>
      </c>
      <c r="D5913" s="270">
        <v>1</v>
      </c>
      <c r="E5913" s="270">
        <v>1</v>
      </c>
      <c r="F5913" s="270" t="s">
        <v>944</v>
      </c>
      <c r="G5913" s="270" t="s">
        <v>3926</v>
      </c>
      <c r="H5913" s="270" t="s">
        <v>10622</v>
      </c>
      <c r="I5913" s="270" t="s">
        <v>3939</v>
      </c>
      <c r="J5913" s="270" t="s">
        <v>3928</v>
      </c>
      <c r="K5913" s="270">
        <v>6512</v>
      </c>
      <c r="L5913" s="270">
        <v>180300</v>
      </c>
      <c r="M5913" s="270">
        <v>-60</v>
      </c>
      <c r="N5913" s="270" t="s">
        <v>3944</v>
      </c>
      <c r="O5913" s="270">
        <v>978.29</v>
      </c>
      <c r="P5913" s="270" t="s">
        <v>3944</v>
      </c>
      <c r="Q5913" s="270" t="s">
        <v>3944</v>
      </c>
      <c r="R5913" s="270">
        <v>978.29</v>
      </c>
      <c r="S5913" s="270">
        <v>14710.07</v>
      </c>
      <c r="T5913" s="270">
        <v>15688.36</v>
      </c>
      <c r="U5913" s="271" t="s">
        <v>3945</v>
      </c>
      <c r="V5913" s="267" t="s">
        <v>944</v>
      </c>
    </row>
    <row r="5914" spans="1:22" hidden="1" x14ac:dyDescent="0.25">
      <c r="A5914" s="266">
        <v>43746</v>
      </c>
      <c r="B5914" s="267">
        <v>2019</v>
      </c>
      <c r="C5914" s="267">
        <v>2020</v>
      </c>
      <c r="D5914" s="267">
        <v>1</v>
      </c>
      <c r="E5914" s="267">
        <v>1</v>
      </c>
      <c r="F5914" s="267" t="s">
        <v>944</v>
      </c>
      <c r="G5914" s="267" t="s">
        <v>3926</v>
      </c>
      <c r="H5914" s="267" t="s">
        <v>10623</v>
      </c>
      <c r="I5914" s="267" t="s">
        <v>3008</v>
      </c>
      <c r="J5914" s="267" t="s">
        <v>3928</v>
      </c>
      <c r="K5914" s="267">
        <v>6461</v>
      </c>
      <c r="L5914" s="267">
        <v>150800</v>
      </c>
      <c r="M5914" s="267" t="s">
        <v>3960</v>
      </c>
      <c r="N5914" s="267" t="s">
        <v>3944</v>
      </c>
      <c r="O5914" s="267">
        <v>1191.68</v>
      </c>
      <c r="P5914" s="267" t="s">
        <v>3944</v>
      </c>
      <c r="Q5914" s="267" t="s">
        <v>3944</v>
      </c>
      <c r="R5914" s="267">
        <v>1191.68</v>
      </c>
      <c r="S5914" s="267">
        <v>13623.68</v>
      </c>
      <c r="T5914" s="267">
        <v>14815.36</v>
      </c>
      <c r="U5914" s="268" t="s">
        <v>3945</v>
      </c>
      <c r="V5914" s="267" t="s">
        <v>944</v>
      </c>
    </row>
    <row r="5915" spans="1:22" hidden="1" x14ac:dyDescent="0.25">
      <c r="A5915" s="269">
        <v>43746</v>
      </c>
      <c r="B5915" s="270">
        <v>2019</v>
      </c>
      <c r="C5915" s="270">
        <v>2020</v>
      </c>
      <c r="D5915" s="270">
        <v>1</v>
      </c>
      <c r="E5915" s="270">
        <v>1</v>
      </c>
      <c r="F5915" s="270" t="s">
        <v>944</v>
      </c>
      <c r="G5915" s="270" t="s">
        <v>3926</v>
      </c>
      <c r="H5915" s="270" t="s">
        <v>10624</v>
      </c>
      <c r="I5915" s="270" t="s">
        <v>4330</v>
      </c>
      <c r="J5915" s="270" t="s">
        <v>3928</v>
      </c>
      <c r="K5915" s="270">
        <v>6413</v>
      </c>
      <c r="L5915" s="270">
        <v>610400</v>
      </c>
      <c r="M5915" s="270" t="s">
        <v>3960</v>
      </c>
      <c r="N5915" s="270" t="s">
        <v>3944</v>
      </c>
      <c r="O5915" s="270">
        <v>1845.62</v>
      </c>
      <c r="P5915" s="270" t="s">
        <v>3944</v>
      </c>
      <c r="Q5915" s="270" t="s">
        <v>3944</v>
      </c>
      <c r="R5915" s="270">
        <v>1845.62</v>
      </c>
      <c r="S5915" s="270">
        <v>28021.1</v>
      </c>
      <c r="T5915" s="270">
        <v>29866.720000000001</v>
      </c>
      <c r="U5915" s="271" t="s">
        <v>3945</v>
      </c>
      <c r="V5915" s="267" t="s">
        <v>944</v>
      </c>
    </row>
    <row r="5916" spans="1:22" hidden="1" x14ac:dyDescent="0.25">
      <c r="A5916" s="266">
        <v>43746</v>
      </c>
      <c r="B5916" s="267">
        <v>2019</v>
      </c>
      <c r="C5916" s="267">
        <v>2020</v>
      </c>
      <c r="D5916" s="267">
        <v>1</v>
      </c>
      <c r="E5916" s="267">
        <v>1</v>
      </c>
      <c r="F5916" s="267" t="s">
        <v>944</v>
      </c>
      <c r="G5916" s="267" t="s">
        <v>3926</v>
      </c>
      <c r="H5916" s="267" t="s">
        <v>10625</v>
      </c>
      <c r="I5916" s="267" t="s">
        <v>4213</v>
      </c>
      <c r="J5916" s="267" t="s">
        <v>3928</v>
      </c>
      <c r="K5916" s="267">
        <v>6053</v>
      </c>
      <c r="L5916" s="267">
        <v>416500</v>
      </c>
      <c r="M5916" s="267" t="s">
        <v>3940</v>
      </c>
      <c r="N5916" s="267" t="s">
        <v>3944</v>
      </c>
      <c r="O5916" s="267">
        <v>1199.17</v>
      </c>
      <c r="P5916" s="267" t="s">
        <v>3944</v>
      </c>
      <c r="Q5916" s="267" t="s">
        <v>3944</v>
      </c>
      <c r="R5916" s="267">
        <v>1199.17</v>
      </c>
      <c r="S5916" s="267">
        <v>16900.25</v>
      </c>
      <c r="T5916" s="267">
        <v>18099.419999999998</v>
      </c>
      <c r="U5916" s="268" t="s">
        <v>3945</v>
      </c>
      <c r="V5916" s="267" t="s">
        <v>944</v>
      </c>
    </row>
    <row r="5917" spans="1:22" hidden="1" x14ac:dyDescent="0.25">
      <c r="A5917" s="269">
        <v>43746</v>
      </c>
      <c r="B5917" s="270">
        <v>2019</v>
      </c>
      <c r="C5917" s="270">
        <v>2020</v>
      </c>
      <c r="D5917" s="270">
        <v>1</v>
      </c>
      <c r="E5917" s="270">
        <v>1</v>
      </c>
      <c r="F5917" s="270" t="s">
        <v>944</v>
      </c>
      <c r="G5917" s="270" t="s">
        <v>3926</v>
      </c>
      <c r="H5917" s="270" t="s">
        <v>10626</v>
      </c>
      <c r="I5917" s="270" t="s">
        <v>3996</v>
      </c>
      <c r="J5917" s="270" t="s">
        <v>3928</v>
      </c>
      <c r="K5917" s="270">
        <v>6790</v>
      </c>
      <c r="L5917" s="270">
        <v>310601</v>
      </c>
      <c r="M5917" s="270" t="s">
        <v>3960</v>
      </c>
      <c r="N5917" s="270" t="s">
        <v>3944</v>
      </c>
      <c r="O5917" s="270">
        <v>2438.14</v>
      </c>
      <c r="P5917" s="270" t="s">
        <v>3944</v>
      </c>
      <c r="Q5917" s="270" t="s">
        <v>3944</v>
      </c>
      <c r="R5917" s="270">
        <v>2438.14</v>
      </c>
      <c r="S5917" s="270">
        <v>34731.86</v>
      </c>
      <c r="T5917" s="270">
        <v>37170</v>
      </c>
      <c r="U5917" s="271" t="s">
        <v>3945</v>
      </c>
      <c r="V5917" s="267" t="s">
        <v>944</v>
      </c>
    </row>
    <row r="5918" spans="1:22" hidden="1" x14ac:dyDescent="0.25">
      <c r="A5918" s="266">
        <v>43746</v>
      </c>
      <c r="B5918" s="267">
        <v>2019</v>
      </c>
      <c r="C5918" s="267">
        <v>2020</v>
      </c>
      <c r="D5918" s="267">
        <v>1</v>
      </c>
      <c r="E5918" s="267">
        <v>1</v>
      </c>
      <c r="F5918" s="267" t="s">
        <v>944</v>
      </c>
      <c r="G5918" s="267" t="s">
        <v>3926</v>
      </c>
      <c r="H5918" s="267" t="s">
        <v>10627</v>
      </c>
      <c r="I5918" s="267" t="s">
        <v>6209</v>
      </c>
      <c r="J5918" s="267" t="s">
        <v>3928</v>
      </c>
      <c r="K5918" s="267">
        <v>6403</v>
      </c>
      <c r="L5918" s="267">
        <v>341100</v>
      </c>
      <c r="M5918" s="267" t="s">
        <v>3935</v>
      </c>
      <c r="N5918" s="267" t="s">
        <v>3944</v>
      </c>
      <c r="O5918" s="267">
        <v>4070.78</v>
      </c>
      <c r="P5918" s="267" t="s">
        <v>3944</v>
      </c>
      <c r="Q5918" s="267" t="s">
        <v>3944</v>
      </c>
      <c r="R5918" s="267">
        <v>4070.78</v>
      </c>
      <c r="S5918" s="267">
        <v>60024.480000000003</v>
      </c>
      <c r="T5918" s="267">
        <v>64095.26</v>
      </c>
      <c r="U5918" s="268" t="s">
        <v>3945</v>
      </c>
      <c r="V5918" s="267" t="s">
        <v>944</v>
      </c>
    </row>
    <row r="5919" spans="1:22" hidden="1" x14ac:dyDescent="0.25">
      <c r="A5919" s="269">
        <v>43746</v>
      </c>
      <c r="B5919" s="270">
        <v>2019</v>
      </c>
      <c r="C5919" s="270">
        <v>2020</v>
      </c>
      <c r="D5919" s="270">
        <v>1</v>
      </c>
      <c r="E5919" s="270">
        <v>1</v>
      </c>
      <c r="F5919" s="270" t="s">
        <v>944</v>
      </c>
      <c r="G5919" s="270" t="s">
        <v>3926</v>
      </c>
      <c r="H5919" s="270" t="s">
        <v>10628</v>
      </c>
      <c r="I5919" s="270" t="s">
        <v>4269</v>
      </c>
      <c r="J5919" s="270" t="s">
        <v>3928</v>
      </c>
      <c r="K5919" s="270">
        <v>6119</v>
      </c>
      <c r="L5919" s="270">
        <v>496900</v>
      </c>
      <c r="M5919" s="270" t="s">
        <v>3960</v>
      </c>
      <c r="N5919" s="270" t="s">
        <v>3944</v>
      </c>
      <c r="O5919" s="270">
        <v>1059.17</v>
      </c>
      <c r="P5919" s="270" t="s">
        <v>3944</v>
      </c>
      <c r="Q5919" s="270" t="s">
        <v>3944</v>
      </c>
      <c r="R5919" s="270">
        <v>1059.17</v>
      </c>
      <c r="S5919" s="270">
        <v>14604.61</v>
      </c>
      <c r="T5919" s="270">
        <v>15663.78</v>
      </c>
      <c r="U5919" s="271" t="s">
        <v>3945</v>
      </c>
      <c r="V5919" s="267" t="s">
        <v>944</v>
      </c>
    </row>
    <row r="5920" spans="1:22" hidden="1" x14ac:dyDescent="0.25">
      <c r="A5920" s="266">
        <v>43746</v>
      </c>
      <c r="B5920" s="267">
        <v>2019</v>
      </c>
      <c r="C5920" s="267">
        <v>2020</v>
      </c>
      <c r="D5920" s="267">
        <v>1</v>
      </c>
      <c r="E5920" s="267">
        <v>1</v>
      </c>
      <c r="F5920" s="267" t="s">
        <v>944</v>
      </c>
      <c r="G5920" s="267" t="s">
        <v>3926</v>
      </c>
      <c r="H5920" s="267" t="s">
        <v>10629</v>
      </c>
      <c r="I5920" s="267" t="s">
        <v>4005</v>
      </c>
      <c r="J5920" s="267" t="s">
        <v>3928</v>
      </c>
      <c r="K5920" s="267">
        <v>6108</v>
      </c>
      <c r="L5920" s="267">
        <v>511300</v>
      </c>
      <c r="M5920" s="267">
        <v>-60</v>
      </c>
      <c r="N5920" s="267" t="s">
        <v>3944</v>
      </c>
      <c r="O5920" s="267">
        <v>2157.33</v>
      </c>
      <c r="P5920" s="267" t="s">
        <v>3944</v>
      </c>
      <c r="Q5920" s="267" t="s">
        <v>3944</v>
      </c>
      <c r="R5920" s="267">
        <v>2157.33</v>
      </c>
      <c r="S5920" s="267">
        <v>31413.99</v>
      </c>
      <c r="T5920" s="267">
        <v>33571.32</v>
      </c>
      <c r="U5920" s="268" t="s">
        <v>3945</v>
      </c>
      <c r="V5920" s="267" t="s">
        <v>944</v>
      </c>
    </row>
    <row r="5921" spans="1:22" hidden="1" x14ac:dyDescent="0.25">
      <c r="A5921" s="269">
        <v>43746</v>
      </c>
      <c r="B5921" s="270">
        <v>2019</v>
      </c>
      <c r="C5921" s="270">
        <v>2020</v>
      </c>
      <c r="D5921" s="270">
        <v>1</v>
      </c>
      <c r="E5921" s="270">
        <v>1</v>
      </c>
      <c r="F5921" s="270" t="s">
        <v>944</v>
      </c>
      <c r="G5921" s="270" t="s">
        <v>3926</v>
      </c>
      <c r="H5921" s="270" t="s">
        <v>10630</v>
      </c>
      <c r="I5921" s="270" t="s">
        <v>3008</v>
      </c>
      <c r="J5921" s="270" t="s">
        <v>3928</v>
      </c>
      <c r="K5921" s="270">
        <v>6460</v>
      </c>
      <c r="L5921" s="270">
        <v>150200</v>
      </c>
      <c r="M5921" s="270" t="s">
        <v>3935</v>
      </c>
      <c r="N5921" s="270" t="s">
        <v>3944</v>
      </c>
      <c r="O5921" s="270">
        <v>1530.17</v>
      </c>
      <c r="P5921" s="270" t="s">
        <v>3944</v>
      </c>
      <c r="Q5921" s="270" t="s">
        <v>3944</v>
      </c>
      <c r="R5921" s="270">
        <v>1530.17</v>
      </c>
      <c r="S5921" s="270">
        <v>22508.15</v>
      </c>
      <c r="T5921" s="270">
        <v>24038.32</v>
      </c>
      <c r="U5921" s="271" t="s">
        <v>3945</v>
      </c>
      <c r="V5921" s="267" t="s">
        <v>944</v>
      </c>
    </row>
    <row r="5922" spans="1:22" x14ac:dyDescent="0.25">
      <c r="A5922" s="266">
        <v>43746</v>
      </c>
      <c r="B5922" s="267">
        <v>2019</v>
      </c>
      <c r="C5922" s="267">
        <v>2020</v>
      </c>
      <c r="D5922" s="267">
        <v>1</v>
      </c>
      <c r="E5922" s="267">
        <v>1</v>
      </c>
      <c r="F5922" s="267" t="s">
        <v>944</v>
      </c>
      <c r="G5922" s="267" t="s">
        <v>3926</v>
      </c>
      <c r="H5922" s="267" t="s">
        <v>10631</v>
      </c>
      <c r="I5922" s="267" t="s">
        <v>943</v>
      </c>
      <c r="J5922" s="267" t="s">
        <v>3928</v>
      </c>
      <c r="K5922" s="267">
        <v>6513</v>
      </c>
      <c r="L5922" s="267">
        <v>142400</v>
      </c>
      <c r="M5922" s="267">
        <v>-60</v>
      </c>
      <c r="N5922" s="267" t="s">
        <v>3944</v>
      </c>
      <c r="O5922" s="267">
        <v>894.5</v>
      </c>
      <c r="P5922" s="267" t="s">
        <v>3944</v>
      </c>
      <c r="Q5922" s="267" t="s">
        <v>3944</v>
      </c>
      <c r="R5922" s="267">
        <v>894.5</v>
      </c>
      <c r="S5922" s="267">
        <v>13076.94</v>
      </c>
      <c r="T5922" s="267">
        <v>13971.44</v>
      </c>
      <c r="U5922" s="268" t="s">
        <v>3945</v>
      </c>
      <c r="V5922" s="276" t="s">
        <v>936</v>
      </c>
    </row>
    <row r="5923" spans="1:22" hidden="1" x14ac:dyDescent="0.25">
      <c r="A5923" s="269">
        <v>43746</v>
      </c>
      <c r="B5923" s="270">
        <v>2019</v>
      </c>
      <c r="C5923" s="270">
        <v>2020</v>
      </c>
      <c r="D5923" s="270">
        <v>1</v>
      </c>
      <c r="E5923" s="270">
        <v>1</v>
      </c>
      <c r="F5923" s="270" t="s">
        <v>944</v>
      </c>
      <c r="G5923" s="270" t="s">
        <v>3926</v>
      </c>
      <c r="H5923" s="270" t="s">
        <v>10632</v>
      </c>
      <c r="I5923" s="270" t="s">
        <v>3999</v>
      </c>
      <c r="J5923" s="270" t="s">
        <v>3928</v>
      </c>
      <c r="K5923" s="270">
        <v>6451</v>
      </c>
      <c r="L5923" s="270">
        <v>170300</v>
      </c>
      <c r="M5923" s="270">
        <v>-60</v>
      </c>
      <c r="N5923" s="270" t="s">
        <v>3944</v>
      </c>
      <c r="O5923" s="270">
        <v>1032.82</v>
      </c>
      <c r="P5923" s="270" t="s">
        <v>3944</v>
      </c>
      <c r="Q5923" s="270" t="s">
        <v>3944</v>
      </c>
      <c r="R5923" s="270">
        <v>1032.82</v>
      </c>
      <c r="S5923" s="270">
        <v>14537.63</v>
      </c>
      <c r="T5923" s="270">
        <v>15570.45</v>
      </c>
      <c r="U5923" s="271" t="s">
        <v>3945</v>
      </c>
      <c r="V5923" s="267" t="s">
        <v>944</v>
      </c>
    </row>
    <row r="5924" spans="1:22" hidden="1" x14ac:dyDescent="0.25">
      <c r="A5924" s="266">
        <v>43746</v>
      </c>
      <c r="B5924" s="267">
        <v>2019</v>
      </c>
      <c r="C5924" s="267">
        <v>2020</v>
      </c>
      <c r="D5924" s="267">
        <v>1</v>
      </c>
      <c r="E5924" s="267">
        <v>1</v>
      </c>
      <c r="F5924" s="267" t="s">
        <v>944</v>
      </c>
      <c r="G5924" s="267" t="s">
        <v>3926</v>
      </c>
      <c r="H5924" s="267" t="s">
        <v>10633</v>
      </c>
      <c r="I5924" s="267" t="s">
        <v>3009</v>
      </c>
      <c r="J5924" s="267" t="s">
        <v>3928</v>
      </c>
      <c r="K5924" s="267">
        <v>6484</v>
      </c>
      <c r="L5924" s="267">
        <v>110201</v>
      </c>
      <c r="M5924" s="267" t="s">
        <v>3960</v>
      </c>
      <c r="N5924" s="267" t="s">
        <v>3944</v>
      </c>
      <c r="O5924" s="267">
        <v>1778.63</v>
      </c>
      <c r="P5924" s="267" t="s">
        <v>3944</v>
      </c>
      <c r="Q5924" s="267" t="s">
        <v>3944</v>
      </c>
      <c r="R5924" s="267">
        <v>1778.63</v>
      </c>
      <c r="S5924" s="267">
        <v>26381.81</v>
      </c>
      <c r="T5924" s="267">
        <v>28160.44</v>
      </c>
      <c r="U5924" s="268" t="s">
        <v>3945</v>
      </c>
      <c r="V5924" s="267" t="s">
        <v>944</v>
      </c>
    </row>
    <row r="5925" spans="1:22" hidden="1" x14ac:dyDescent="0.25">
      <c r="A5925" s="269">
        <v>43746</v>
      </c>
      <c r="B5925" s="270">
        <v>2019</v>
      </c>
      <c r="C5925" s="270">
        <v>2020</v>
      </c>
      <c r="D5925" s="270">
        <v>1</v>
      </c>
      <c r="E5925" s="270">
        <v>1</v>
      </c>
      <c r="F5925" s="270" t="s">
        <v>944</v>
      </c>
      <c r="G5925" s="270" t="s">
        <v>3926</v>
      </c>
      <c r="H5925" s="270" t="s">
        <v>10634</v>
      </c>
      <c r="I5925" s="270" t="s">
        <v>4005</v>
      </c>
      <c r="J5925" s="270" t="s">
        <v>3928</v>
      </c>
      <c r="K5925" s="270">
        <v>6108</v>
      </c>
      <c r="L5925" s="270">
        <v>510100</v>
      </c>
      <c r="M5925" s="270" t="s">
        <v>3940</v>
      </c>
      <c r="N5925" s="270" t="s">
        <v>3944</v>
      </c>
      <c r="O5925" s="270">
        <v>1271.1300000000001</v>
      </c>
      <c r="P5925" s="270" t="s">
        <v>3944</v>
      </c>
      <c r="Q5925" s="270" t="s">
        <v>3944</v>
      </c>
      <c r="R5925" s="270">
        <v>1271.1300000000001</v>
      </c>
      <c r="S5925" s="270">
        <v>17898.599999999999</v>
      </c>
      <c r="T5925" s="270">
        <v>19169.73</v>
      </c>
      <c r="U5925" s="271" t="s">
        <v>3945</v>
      </c>
      <c r="V5925" s="267" t="s">
        <v>944</v>
      </c>
    </row>
    <row r="5926" spans="1:22" hidden="1" x14ac:dyDescent="0.25">
      <c r="A5926" s="266">
        <v>43746</v>
      </c>
      <c r="B5926" s="267">
        <v>2019</v>
      </c>
      <c r="C5926" s="267">
        <v>2020</v>
      </c>
      <c r="D5926" s="267">
        <v>1</v>
      </c>
      <c r="E5926" s="267">
        <v>1</v>
      </c>
      <c r="F5926" s="267" t="s">
        <v>944</v>
      </c>
      <c r="G5926" s="267" t="s">
        <v>3926</v>
      </c>
      <c r="H5926" s="267" t="s">
        <v>10635</v>
      </c>
      <c r="I5926" s="267" t="s">
        <v>3009</v>
      </c>
      <c r="J5926" s="267" t="s">
        <v>3928</v>
      </c>
      <c r="K5926" s="267">
        <v>6484</v>
      </c>
      <c r="L5926" s="267">
        <v>110201</v>
      </c>
      <c r="M5926" s="267" t="s">
        <v>3960</v>
      </c>
      <c r="N5926" s="267" t="s">
        <v>3944</v>
      </c>
      <c r="O5926" s="267">
        <v>1102.5</v>
      </c>
      <c r="P5926" s="267" t="s">
        <v>3944</v>
      </c>
      <c r="Q5926" s="267" t="s">
        <v>3944</v>
      </c>
      <c r="R5926" s="267">
        <v>1102.5</v>
      </c>
      <c r="S5926" s="267">
        <v>16353.2</v>
      </c>
      <c r="T5926" s="267">
        <v>17455.7</v>
      </c>
      <c r="U5926" s="268" t="s">
        <v>3945</v>
      </c>
      <c r="V5926" s="267" t="s">
        <v>944</v>
      </c>
    </row>
    <row r="5927" spans="1:22" hidden="1" x14ac:dyDescent="0.25">
      <c r="A5927" s="269">
        <v>43746</v>
      </c>
      <c r="B5927" s="270">
        <v>2019</v>
      </c>
      <c r="C5927" s="270">
        <v>2020</v>
      </c>
      <c r="D5927" s="270">
        <v>1</v>
      </c>
      <c r="E5927" s="270">
        <v>1</v>
      </c>
      <c r="F5927" s="270" t="s">
        <v>944</v>
      </c>
      <c r="G5927" s="270" t="s">
        <v>3926</v>
      </c>
      <c r="H5927" s="270" t="s">
        <v>10636</v>
      </c>
      <c r="I5927" s="270" t="s">
        <v>956</v>
      </c>
      <c r="J5927" s="270" t="s">
        <v>3928</v>
      </c>
      <c r="K5927" s="270">
        <v>6614</v>
      </c>
      <c r="L5927" s="270">
        <v>81100</v>
      </c>
      <c r="M5927" s="270" t="s">
        <v>3960</v>
      </c>
      <c r="N5927" s="270" t="s">
        <v>3944</v>
      </c>
      <c r="O5927" s="270">
        <v>1895.6</v>
      </c>
      <c r="P5927" s="270" t="s">
        <v>3944</v>
      </c>
      <c r="Q5927" s="270" t="s">
        <v>3944</v>
      </c>
      <c r="R5927" s="270">
        <v>1895.6</v>
      </c>
      <c r="S5927" s="270">
        <v>31427.599999999999</v>
      </c>
      <c r="T5927" s="270">
        <v>33323.199999999997</v>
      </c>
      <c r="U5927" s="271" t="s">
        <v>3945</v>
      </c>
      <c r="V5927" s="267" t="s">
        <v>944</v>
      </c>
    </row>
    <row r="5928" spans="1:22" hidden="1" x14ac:dyDescent="0.25">
      <c r="A5928" s="266">
        <v>43746</v>
      </c>
      <c r="B5928" s="267">
        <v>2019</v>
      </c>
      <c r="C5928" s="267">
        <v>2020</v>
      </c>
      <c r="D5928" s="267">
        <v>1</v>
      </c>
      <c r="E5928" s="267">
        <v>1</v>
      </c>
      <c r="F5928" s="267" t="s">
        <v>944</v>
      </c>
      <c r="G5928" s="267" t="s">
        <v>3926</v>
      </c>
      <c r="H5928" s="267" t="s">
        <v>10637</v>
      </c>
      <c r="I5928" s="267" t="s">
        <v>4269</v>
      </c>
      <c r="J5928" s="267" t="s">
        <v>3928</v>
      </c>
      <c r="K5928" s="267">
        <v>6107</v>
      </c>
      <c r="L5928" s="267">
        <v>496600</v>
      </c>
      <c r="M5928" s="267" t="s">
        <v>3943</v>
      </c>
      <c r="N5928" s="267" t="s">
        <v>3944</v>
      </c>
      <c r="O5928" s="267">
        <v>1533.91</v>
      </c>
      <c r="P5928" s="267" t="s">
        <v>3944</v>
      </c>
      <c r="Q5928" s="267" t="s">
        <v>3944</v>
      </c>
      <c r="R5928" s="267">
        <v>1533.91</v>
      </c>
      <c r="S5928" s="267">
        <v>22290.92</v>
      </c>
      <c r="T5928" s="267">
        <v>23824.83</v>
      </c>
      <c r="U5928" s="268" t="s">
        <v>3945</v>
      </c>
      <c r="V5928" s="267" t="s">
        <v>944</v>
      </c>
    </row>
    <row r="5929" spans="1:22" hidden="1" x14ac:dyDescent="0.25">
      <c r="A5929" s="269">
        <v>43746</v>
      </c>
      <c r="B5929" s="270">
        <v>2019</v>
      </c>
      <c r="C5929" s="270">
        <v>2020</v>
      </c>
      <c r="D5929" s="270">
        <v>1</v>
      </c>
      <c r="E5929" s="270">
        <v>1</v>
      </c>
      <c r="F5929" s="270" t="s">
        <v>944</v>
      </c>
      <c r="G5929" s="270" t="s">
        <v>3926</v>
      </c>
      <c r="H5929" s="270" t="s">
        <v>10638</v>
      </c>
      <c r="I5929" s="270" t="s">
        <v>4213</v>
      </c>
      <c r="J5929" s="270" t="s">
        <v>3928</v>
      </c>
      <c r="K5929" s="270">
        <v>6051</v>
      </c>
      <c r="L5929" s="270">
        <v>415500</v>
      </c>
      <c r="M5929" s="270">
        <v>-60</v>
      </c>
      <c r="N5929" s="270" t="s">
        <v>3944</v>
      </c>
      <c r="O5929" s="270">
        <v>1851.64</v>
      </c>
      <c r="P5929" s="270" t="s">
        <v>3944</v>
      </c>
      <c r="Q5929" s="270" t="s">
        <v>3944</v>
      </c>
      <c r="R5929" s="270">
        <v>1851.64</v>
      </c>
      <c r="S5929" s="270">
        <v>25838.52</v>
      </c>
      <c r="T5929" s="270">
        <v>27690.16</v>
      </c>
      <c r="U5929" s="271" t="s">
        <v>3945</v>
      </c>
      <c r="V5929" s="267" t="s">
        <v>944</v>
      </c>
    </row>
    <row r="5930" spans="1:22" hidden="1" x14ac:dyDescent="0.25">
      <c r="A5930" s="266">
        <v>43746</v>
      </c>
      <c r="B5930" s="267">
        <v>2019</v>
      </c>
      <c r="C5930" s="267">
        <v>2020</v>
      </c>
      <c r="D5930" s="267">
        <v>1</v>
      </c>
      <c r="E5930" s="267">
        <v>1</v>
      </c>
      <c r="F5930" s="267" t="s">
        <v>944</v>
      </c>
      <c r="G5930" s="267" t="s">
        <v>3926</v>
      </c>
      <c r="H5930" s="267" t="s">
        <v>10639</v>
      </c>
      <c r="I5930" s="267" t="s">
        <v>3008</v>
      </c>
      <c r="J5930" s="267" t="s">
        <v>3928</v>
      </c>
      <c r="K5930" s="267">
        <v>6461</v>
      </c>
      <c r="L5930" s="267">
        <v>150700</v>
      </c>
      <c r="M5930" s="267" t="s">
        <v>3943</v>
      </c>
      <c r="N5930" s="267" t="s">
        <v>3944</v>
      </c>
      <c r="O5930" s="267">
        <v>2729.97</v>
      </c>
      <c r="P5930" s="267" t="s">
        <v>3944</v>
      </c>
      <c r="Q5930" s="267" t="s">
        <v>3944</v>
      </c>
      <c r="R5930" s="267">
        <v>2729.97</v>
      </c>
      <c r="S5930" s="267">
        <v>32191.95</v>
      </c>
      <c r="T5930" s="267">
        <v>34921.919999999998</v>
      </c>
      <c r="U5930" s="268" t="s">
        <v>3945</v>
      </c>
      <c r="V5930" s="267" t="s">
        <v>944</v>
      </c>
    </row>
    <row r="5931" spans="1:22" hidden="1" x14ac:dyDescent="0.25">
      <c r="A5931" s="269">
        <v>43746</v>
      </c>
      <c r="B5931" s="270">
        <v>2019</v>
      </c>
      <c r="C5931" s="270">
        <v>2020</v>
      </c>
      <c r="D5931" s="270">
        <v>1</v>
      </c>
      <c r="E5931" s="270">
        <v>1</v>
      </c>
      <c r="F5931" s="270" t="s">
        <v>944</v>
      </c>
      <c r="G5931" s="270" t="s">
        <v>3926</v>
      </c>
      <c r="H5931" s="270" t="s">
        <v>10640</v>
      </c>
      <c r="I5931" s="270" t="s">
        <v>3971</v>
      </c>
      <c r="J5931" s="270" t="s">
        <v>3928</v>
      </c>
      <c r="K5931" s="270">
        <v>6084</v>
      </c>
      <c r="L5931" s="270">
        <v>533101</v>
      </c>
      <c r="M5931" s="270" t="s">
        <v>3943</v>
      </c>
      <c r="N5931" s="270" t="s">
        <v>3944</v>
      </c>
      <c r="O5931" s="270">
        <v>4523.72</v>
      </c>
      <c r="P5931" s="270" t="s">
        <v>3944</v>
      </c>
      <c r="Q5931" s="270" t="s">
        <v>3944</v>
      </c>
      <c r="R5931" s="270">
        <v>4523.72</v>
      </c>
      <c r="S5931" s="270">
        <v>61741.62</v>
      </c>
      <c r="T5931" s="270">
        <v>66265.34</v>
      </c>
      <c r="U5931" s="271" t="s">
        <v>3945</v>
      </c>
      <c r="V5931" s="267" t="s">
        <v>944</v>
      </c>
    </row>
    <row r="5932" spans="1:22" hidden="1" x14ac:dyDescent="0.25">
      <c r="A5932" s="266">
        <v>43746</v>
      </c>
      <c r="B5932" s="267">
        <v>2019</v>
      </c>
      <c r="C5932" s="267">
        <v>2020</v>
      </c>
      <c r="D5932" s="267">
        <v>1</v>
      </c>
      <c r="E5932" s="267">
        <v>1</v>
      </c>
      <c r="F5932" s="267" t="s">
        <v>944</v>
      </c>
      <c r="G5932" s="267" t="s">
        <v>3926</v>
      </c>
      <c r="H5932" s="267" t="s">
        <v>10641</v>
      </c>
      <c r="I5932" s="267" t="s">
        <v>4014</v>
      </c>
      <c r="J5932" s="267" t="s">
        <v>3928</v>
      </c>
      <c r="K5932" s="267">
        <v>6420</v>
      </c>
      <c r="L5932" s="267">
        <v>715100</v>
      </c>
      <c r="M5932" s="267" t="s">
        <v>3943</v>
      </c>
      <c r="N5932" s="267" t="s">
        <v>3944</v>
      </c>
      <c r="O5932" s="267">
        <v>3619.67</v>
      </c>
      <c r="P5932" s="267" t="s">
        <v>3944</v>
      </c>
      <c r="Q5932" s="267" t="s">
        <v>3944</v>
      </c>
      <c r="R5932" s="267">
        <v>3619.67</v>
      </c>
      <c r="S5932" s="267">
        <v>52084.89</v>
      </c>
      <c r="T5932" s="267">
        <v>55704.56</v>
      </c>
      <c r="U5932" s="268" t="s">
        <v>3945</v>
      </c>
      <c r="V5932" s="267" t="s">
        <v>944</v>
      </c>
    </row>
    <row r="5933" spans="1:22" hidden="1" x14ac:dyDescent="0.25">
      <c r="A5933" s="269">
        <v>43746</v>
      </c>
      <c r="B5933" s="270">
        <v>2019</v>
      </c>
      <c r="C5933" s="270">
        <v>2020</v>
      </c>
      <c r="D5933" s="270">
        <v>1</v>
      </c>
      <c r="E5933" s="270">
        <v>1</v>
      </c>
      <c r="F5933" s="270" t="s">
        <v>944</v>
      </c>
      <c r="G5933" s="270" t="s">
        <v>3926</v>
      </c>
      <c r="H5933" s="270" t="s">
        <v>10642</v>
      </c>
      <c r="I5933" s="270" t="s">
        <v>4016</v>
      </c>
      <c r="J5933" s="270" t="s">
        <v>3928</v>
      </c>
      <c r="K5933" s="270">
        <v>6770</v>
      </c>
      <c r="L5933" s="270">
        <v>345400</v>
      </c>
      <c r="M5933" s="270" t="s">
        <v>3935</v>
      </c>
      <c r="N5933" s="270" t="s">
        <v>3944</v>
      </c>
      <c r="O5933" s="270">
        <v>1167.01</v>
      </c>
      <c r="P5933" s="270" t="s">
        <v>3944</v>
      </c>
      <c r="Q5933" s="270" t="s">
        <v>3944</v>
      </c>
      <c r="R5933" s="270">
        <v>1167.01</v>
      </c>
      <c r="S5933" s="270">
        <v>15764.83</v>
      </c>
      <c r="T5933" s="270">
        <v>16931.84</v>
      </c>
      <c r="U5933" s="271" t="s">
        <v>3945</v>
      </c>
      <c r="V5933" s="267" t="s">
        <v>944</v>
      </c>
    </row>
    <row r="5934" spans="1:22" hidden="1" x14ac:dyDescent="0.25">
      <c r="A5934" s="266">
        <v>43747</v>
      </c>
      <c r="B5934" s="267">
        <v>2019</v>
      </c>
      <c r="C5934" s="267">
        <v>2020</v>
      </c>
      <c r="D5934" s="267">
        <v>1</v>
      </c>
      <c r="E5934" s="267">
        <v>1</v>
      </c>
      <c r="F5934" s="267" t="s">
        <v>944</v>
      </c>
      <c r="G5934" s="267" t="s">
        <v>3926</v>
      </c>
      <c r="H5934" s="267" t="s">
        <v>10643</v>
      </c>
      <c r="I5934" s="267" t="s">
        <v>4035</v>
      </c>
      <c r="J5934" s="267" t="s">
        <v>3928</v>
      </c>
      <c r="K5934" s="267">
        <v>6074</v>
      </c>
      <c r="L5934" s="267">
        <v>487500</v>
      </c>
      <c r="M5934" s="267" t="s">
        <v>3935</v>
      </c>
      <c r="N5934" s="267" t="s">
        <v>5035</v>
      </c>
      <c r="O5934" s="267">
        <v>0</v>
      </c>
      <c r="P5934" s="267" t="s">
        <v>3930</v>
      </c>
      <c r="Q5934" s="267" t="s">
        <v>3930</v>
      </c>
      <c r="R5934" s="267">
        <v>0</v>
      </c>
      <c r="S5934" s="267">
        <v>8600</v>
      </c>
      <c r="T5934" s="267">
        <v>8600</v>
      </c>
      <c r="U5934" s="268" t="s">
        <v>3937</v>
      </c>
      <c r="V5934" s="267" t="s">
        <v>944</v>
      </c>
    </row>
    <row r="5935" spans="1:22" hidden="1" x14ac:dyDescent="0.25">
      <c r="A5935" s="269">
        <v>43747</v>
      </c>
      <c r="B5935" s="270">
        <v>2019</v>
      </c>
      <c r="C5935" s="270">
        <v>2020</v>
      </c>
      <c r="D5935" s="270">
        <v>1</v>
      </c>
      <c r="E5935" s="270">
        <v>1</v>
      </c>
      <c r="F5935" s="270" t="s">
        <v>944</v>
      </c>
      <c r="G5935" s="270" t="s">
        <v>3926</v>
      </c>
      <c r="H5935" s="270" t="s">
        <v>10644</v>
      </c>
      <c r="I5935" s="270" t="s">
        <v>5122</v>
      </c>
      <c r="J5935" s="270" t="s">
        <v>3928</v>
      </c>
      <c r="K5935" s="270">
        <v>6019</v>
      </c>
      <c r="L5935" s="270">
        <v>464101</v>
      </c>
      <c r="M5935" s="270" t="s">
        <v>3943</v>
      </c>
      <c r="N5935" s="270" t="s">
        <v>10645</v>
      </c>
      <c r="O5935" s="270">
        <v>0</v>
      </c>
      <c r="P5935" s="270" t="s">
        <v>3930</v>
      </c>
      <c r="Q5935" s="270" t="s">
        <v>3930</v>
      </c>
      <c r="R5935" s="270">
        <v>0</v>
      </c>
      <c r="S5935" s="270">
        <v>31990</v>
      </c>
      <c r="T5935" s="270">
        <v>31990</v>
      </c>
      <c r="U5935" s="271" t="s">
        <v>3937</v>
      </c>
      <c r="V5935" s="267" t="s">
        <v>944</v>
      </c>
    </row>
    <row r="5936" spans="1:22" hidden="1" x14ac:dyDescent="0.25">
      <c r="A5936" s="266">
        <v>43747</v>
      </c>
      <c r="B5936" s="267">
        <v>2019</v>
      </c>
      <c r="C5936" s="267">
        <v>2020</v>
      </c>
      <c r="D5936" s="267">
        <v>1</v>
      </c>
      <c r="E5936" s="267">
        <v>1</v>
      </c>
      <c r="F5936" s="267" t="s">
        <v>944</v>
      </c>
      <c r="G5936" s="267" t="s">
        <v>3926</v>
      </c>
      <c r="H5936" s="267" t="s">
        <v>10646</v>
      </c>
      <c r="I5936" s="267" t="s">
        <v>4029</v>
      </c>
      <c r="J5936" s="267" t="s">
        <v>3928</v>
      </c>
      <c r="K5936" s="267">
        <v>6851</v>
      </c>
      <c r="L5936" s="267">
        <v>43600</v>
      </c>
      <c r="M5936" s="267" t="s">
        <v>3960</v>
      </c>
      <c r="N5936" s="267" t="s">
        <v>6262</v>
      </c>
      <c r="O5936" s="267">
        <v>0</v>
      </c>
      <c r="P5936" s="267" t="s">
        <v>3930</v>
      </c>
      <c r="Q5936" s="267" t="s">
        <v>3930</v>
      </c>
      <c r="R5936" s="267">
        <v>0</v>
      </c>
      <c r="S5936" s="267">
        <v>10700</v>
      </c>
      <c r="T5936" s="267">
        <v>10700</v>
      </c>
      <c r="U5936" s="268" t="s">
        <v>3937</v>
      </c>
      <c r="V5936" s="267" t="s">
        <v>944</v>
      </c>
    </row>
    <row r="5937" spans="1:22" hidden="1" x14ac:dyDescent="0.25">
      <c r="A5937" s="269">
        <v>43747</v>
      </c>
      <c r="B5937" s="270">
        <v>2019</v>
      </c>
      <c r="C5937" s="270">
        <v>2020</v>
      </c>
      <c r="D5937" s="270">
        <v>1</v>
      </c>
      <c r="E5937" s="270">
        <v>1</v>
      </c>
      <c r="F5937" s="270" t="s">
        <v>944</v>
      </c>
      <c r="G5937" s="270" t="s">
        <v>3926</v>
      </c>
      <c r="H5937" s="270" t="s">
        <v>10647</v>
      </c>
      <c r="I5937" s="270" t="s">
        <v>943</v>
      </c>
      <c r="J5937" s="270" t="s">
        <v>3928</v>
      </c>
      <c r="K5937" s="270">
        <v>6501</v>
      </c>
      <c r="L5937" s="270">
        <v>165801</v>
      </c>
      <c r="M5937" s="270" t="s">
        <v>3935</v>
      </c>
      <c r="N5937" s="270" t="s">
        <v>4495</v>
      </c>
      <c r="O5937" s="270">
        <v>2221.63</v>
      </c>
      <c r="P5937" s="270" t="s">
        <v>3930</v>
      </c>
      <c r="Q5937" s="270" t="s">
        <v>3931</v>
      </c>
      <c r="R5937" s="270">
        <v>7221.63</v>
      </c>
      <c r="S5937" s="270">
        <v>33976</v>
      </c>
      <c r="T5937" s="270">
        <v>41197.629999999997</v>
      </c>
      <c r="U5937" s="271" t="s">
        <v>3932</v>
      </c>
      <c r="V5937" s="267" t="s">
        <v>944</v>
      </c>
    </row>
    <row r="5938" spans="1:22" hidden="1" x14ac:dyDescent="0.25">
      <c r="A5938" s="266">
        <v>43747</v>
      </c>
      <c r="B5938" s="267">
        <v>2019</v>
      </c>
      <c r="C5938" s="267">
        <v>2020</v>
      </c>
      <c r="D5938" s="267">
        <v>1</v>
      </c>
      <c r="E5938" s="267">
        <v>1</v>
      </c>
      <c r="F5938" s="267" t="s">
        <v>944</v>
      </c>
      <c r="G5938" s="267" t="s">
        <v>3926</v>
      </c>
      <c r="H5938" s="267" t="s">
        <v>10648</v>
      </c>
      <c r="I5938" s="267" t="s">
        <v>4037</v>
      </c>
      <c r="J5938" s="267" t="s">
        <v>3928</v>
      </c>
      <c r="K5938" s="267">
        <v>6810</v>
      </c>
      <c r="L5938" s="267">
        <v>210600</v>
      </c>
      <c r="M5938" s="267" t="s">
        <v>3940</v>
      </c>
      <c r="N5938" s="267" t="s">
        <v>4103</v>
      </c>
      <c r="O5938" s="267">
        <v>1428.56</v>
      </c>
      <c r="P5938" s="267" t="s">
        <v>3930</v>
      </c>
      <c r="Q5938" s="267" t="s">
        <v>3931</v>
      </c>
      <c r="R5938" s="267">
        <v>6428.56</v>
      </c>
      <c r="S5938" s="267">
        <v>24145.599999999999</v>
      </c>
      <c r="T5938" s="267">
        <v>30574.16</v>
      </c>
      <c r="U5938" s="268" t="s">
        <v>3932</v>
      </c>
      <c r="V5938" s="267" t="s">
        <v>944</v>
      </c>
    </row>
    <row r="5939" spans="1:22" hidden="1" x14ac:dyDescent="0.25">
      <c r="A5939" s="269">
        <v>43747</v>
      </c>
      <c r="B5939" s="270">
        <v>2019</v>
      </c>
      <c r="C5939" s="270">
        <v>2020</v>
      </c>
      <c r="D5939" s="270">
        <v>1</v>
      </c>
      <c r="E5939" s="270">
        <v>1</v>
      </c>
      <c r="F5939" s="270" t="s">
        <v>944</v>
      </c>
      <c r="G5939" s="270" t="s">
        <v>3926</v>
      </c>
      <c r="H5939" s="270" t="s">
        <v>10649</v>
      </c>
      <c r="I5939" s="270" t="s">
        <v>4111</v>
      </c>
      <c r="J5939" s="270" t="s">
        <v>3928</v>
      </c>
      <c r="K5939" s="270">
        <v>6095</v>
      </c>
      <c r="L5939" s="270">
        <v>473100</v>
      </c>
      <c r="M5939" s="270" t="s">
        <v>3960</v>
      </c>
      <c r="N5939" s="270" t="s">
        <v>10650</v>
      </c>
      <c r="O5939" s="270">
        <v>0</v>
      </c>
      <c r="P5939" s="270" t="s">
        <v>3930</v>
      </c>
      <c r="Q5939" s="270" t="s">
        <v>3930</v>
      </c>
      <c r="R5939" s="270">
        <v>0</v>
      </c>
      <c r="S5939" s="270">
        <v>4030</v>
      </c>
      <c r="T5939" s="270">
        <v>4030</v>
      </c>
      <c r="U5939" s="271" t="s">
        <v>3937</v>
      </c>
      <c r="V5939" s="267" t="s">
        <v>944</v>
      </c>
    </row>
    <row r="5940" spans="1:22" hidden="1" x14ac:dyDescent="0.25">
      <c r="A5940" s="266">
        <v>43747</v>
      </c>
      <c r="B5940" s="267">
        <v>2019</v>
      </c>
      <c r="C5940" s="267">
        <v>2020</v>
      </c>
      <c r="D5940" s="267">
        <v>1</v>
      </c>
      <c r="E5940" s="267">
        <v>1</v>
      </c>
      <c r="F5940" s="267" t="s">
        <v>944</v>
      </c>
      <c r="G5940" s="267" t="s">
        <v>3926</v>
      </c>
      <c r="H5940" s="267" t="s">
        <v>10651</v>
      </c>
      <c r="I5940" s="267" t="s">
        <v>5156</v>
      </c>
      <c r="J5940" s="267" t="s">
        <v>3928</v>
      </c>
      <c r="K5940" s="267">
        <v>6360</v>
      </c>
      <c r="L5940" s="267">
        <v>696600</v>
      </c>
      <c r="M5940" s="267" t="s">
        <v>3960</v>
      </c>
      <c r="N5940" s="267" t="s">
        <v>4534</v>
      </c>
      <c r="O5940" s="267">
        <v>0</v>
      </c>
      <c r="P5940" s="267" t="s">
        <v>3930</v>
      </c>
      <c r="Q5940" s="267" t="s">
        <v>3930</v>
      </c>
      <c r="R5940" s="267">
        <v>0</v>
      </c>
      <c r="S5940" s="267">
        <v>10000</v>
      </c>
      <c r="T5940" s="267">
        <v>10000</v>
      </c>
      <c r="U5940" s="268" t="s">
        <v>3937</v>
      </c>
      <c r="V5940" s="267" t="s">
        <v>944</v>
      </c>
    </row>
    <row r="5941" spans="1:22" hidden="1" x14ac:dyDescent="0.25">
      <c r="A5941" s="269">
        <v>43747</v>
      </c>
      <c r="B5941" s="270">
        <v>2019</v>
      </c>
      <c r="C5941" s="270">
        <v>2020</v>
      </c>
      <c r="D5941" s="270">
        <v>1</v>
      </c>
      <c r="E5941" s="270">
        <v>1</v>
      </c>
      <c r="F5941" s="270" t="s">
        <v>944</v>
      </c>
      <c r="G5941" s="270" t="s">
        <v>3926</v>
      </c>
      <c r="H5941" s="270" t="s">
        <v>10652</v>
      </c>
      <c r="I5941" s="270" t="s">
        <v>4269</v>
      </c>
      <c r="J5941" s="270" t="s">
        <v>3928</v>
      </c>
      <c r="K5941" s="270">
        <v>6119</v>
      </c>
      <c r="L5941" s="270">
        <v>497000</v>
      </c>
      <c r="M5941" s="270" t="s">
        <v>3943</v>
      </c>
      <c r="N5941" s="270" t="s">
        <v>3944</v>
      </c>
      <c r="O5941" s="270">
        <v>2147</v>
      </c>
      <c r="P5941" s="270" t="s">
        <v>3944</v>
      </c>
      <c r="Q5941" s="270" t="s">
        <v>3944</v>
      </c>
      <c r="R5941" s="270">
        <v>2147</v>
      </c>
      <c r="S5941" s="270">
        <v>24727.38</v>
      </c>
      <c r="T5941" s="270">
        <v>26874.38</v>
      </c>
      <c r="U5941" s="271" t="s">
        <v>3945</v>
      </c>
      <c r="V5941" s="267" t="s">
        <v>944</v>
      </c>
    </row>
    <row r="5942" spans="1:22" hidden="1" x14ac:dyDescent="0.25">
      <c r="A5942" s="266">
        <v>43747</v>
      </c>
      <c r="B5942" s="267">
        <v>2019</v>
      </c>
      <c r="C5942" s="267">
        <v>2020</v>
      </c>
      <c r="D5942" s="267">
        <v>1</v>
      </c>
      <c r="E5942" s="267">
        <v>1</v>
      </c>
      <c r="F5942" s="267" t="s">
        <v>944</v>
      </c>
      <c r="G5942" s="267" t="s">
        <v>3926</v>
      </c>
      <c r="H5942" s="267" t="s">
        <v>10653</v>
      </c>
      <c r="I5942" s="267" t="s">
        <v>953</v>
      </c>
      <c r="J5942" s="267" t="s">
        <v>3928</v>
      </c>
      <c r="K5942" s="267">
        <v>6517</v>
      </c>
      <c r="L5942" s="267">
        <v>165100</v>
      </c>
      <c r="M5942" s="267" t="s">
        <v>3935</v>
      </c>
      <c r="N5942" s="267" t="s">
        <v>3944</v>
      </c>
      <c r="O5942" s="267">
        <v>1136</v>
      </c>
      <c r="P5942" s="267" t="s">
        <v>3944</v>
      </c>
      <c r="Q5942" s="267" t="s">
        <v>3944</v>
      </c>
      <c r="R5942" s="267">
        <v>1136</v>
      </c>
      <c r="S5942" s="267">
        <v>13686</v>
      </c>
      <c r="T5942" s="267">
        <v>14822</v>
      </c>
      <c r="U5942" s="268" t="s">
        <v>3945</v>
      </c>
      <c r="V5942" s="267" t="s">
        <v>944</v>
      </c>
    </row>
    <row r="5943" spans="1:22" hidden="1" x14ac:dyDescent="0.25">
      <c r="A5943" s="269">
        <v>43747</v>
      </c>
      <c r="B5943" s="270">
        <v>2019</v>
      </c>
      <c r="C5943" s="270">
        <v>2020</v>
      </c>
      <c r="D5943" s="270">
        <v>1</v>
      </c>
      <c r="E5943" s="270">
        <v>1</v>
      </c>
      <c r="F5943" s="270" t="s">
        <v>944</v>
      </c>
      <c r="G5943" s="270" t="s">
        <v>3926</v>
      </c>
      <c r="H5943" s="270" t="s">
        <v>10654</v>
      </c>
      <c r="I5943" s="270" t="s">
        <v>4114</v>
      </c>
      <c r="J5943" s="270" t="s">
        <v>3928</v>
      </c>
      <c r="K5943" s="270">
        <v>6410</v>
      </c>
      <c r="L5943" s="270">
        <v>343102</v>
      </c>
      <c r="M5943" s="270" t="s">
        <v>3943</v>
      </c>
      <c r="N5943" s="270" t="s">
        <v>3944</v>
      </c>
      <c r="O5943" s="270">
        <v>4863</v>
      </c>
      <c r="P5943" s="270" t="s">
        <v>3944</v>
      </c>
      <c r="Q5943" s="270" t="s">
        <v>3944</v>
      </c>
      <c r="R5943" s="270">
        <v>4863</v>
      </c>
      <c r="S5943" s="270">
        <v>38742</v>
      </c>
      <c r="T5943" s="270">
        <v>43605</v>
      </c>
      <c r="U5943" s="271" t="s">
        <v>3945</v>
      </c>
      <c r="V5943" s="267" t="s">
        <v>944</v>
      </c>
    </row>
    <row r="5944" spans="1:22" hidden="1" x14ac:dyDescent="0.25">
      <c r="A5944" s="266">
        <v>43747</v>
      </c>
      <c r="B5944" s="267">
        <v>2019</v>
      </c>
      <c r="C5944" s="267">
        <v>2020</v>
      </c>
      <c r="D5944" s="267">
        <v>1</v>
      </c>
      <c r="E5944" s="267">
        <v>1</v>
      </c>
      <c r="F5944" s="267" t="s">
        <v>944</v>
      </c>
      <c r="G5944" s="267" t="s">
        <v>3926</v>
      </c>
      <c r="H5944" s="267" t="s">
        <v>10655</v>
      </c>
      <c r="I5944" s="267" t="s">
        <v>3962</v>
      </c>
      <c r="J5944" s="267" t="s">
        <v>3928</v>
      </c>
      <c r="K5944" s="267">
        <v>6355</v>
      </c>
      <c r="L5944" s="267">
        <v>703000</v>
      </c>
      <c r="M5944" s="267" t="s">
        <v>3960</v>
      </c>
      <c r="N5944" s="267" t="s">
        <v>3944</v>
      </c>
      <c r="O5944" s="267">
        <v>4747</v>
      </c>
      <c r="P5944" s="267" t="s">
        <v>3944</v>
      </c>
      <c r="Q5944" s="267" t="s">
        <v>3944</v>
      </c>
      <c r="R5944" s="267">
        <v>4747</v>
      </c>
      <c r="S5944" s="267">
        <v>32498</v>
      </c>
      <c r="T5944" s="267">
        <v>37245</v>
      </c>
      <c r="U5944" s="268" t="s">
        <v>3945</v>
      </c>
      <c r="V5944" s="267" t="s">
        <v>944</v>
      </c>
    </row>
    <row r="5945" spans="1:22" hidden="1" x14ac:dyDescent="0.25">
      <c r="A5945" s="269">
        <v>43747</v>
      </c>
      <c r="B5945" s="270">
        <v>2019</v>
      </c>
      <c r="C5945" s="270">
        <v>2020</v>
      </c>
      <c r="D5945" s="270">
        <v>1</v>
      </c>
      <c r="E5945" s="270">
        <v>1</v>
      </c>
      <c r="F5945" s="270" t="s">
        <v>944</v>
      </c>
      <c r="G5945" s="270" t="s">
        <v>3926</v>
      </c>
      <c r="H5945" s="270" t="s">
        <v>10656</v>
      </c>
      <c r="I5945" s="270" t="s">
        <v>4040</v>
      </c>
      <c r="J5945" s="270" t="s">
        <v>3928</v>
      </c>
      <c r="K5945" s="270">
        <v>6339</v>
      </c>
      <c r="L5945" s="270">
        <v>701100</v>
      </c>
      <c r="M5945" s="270" t="s">
        <v>3960</v>
      </c>
      <c r="N5945" s="270" t="s">
        <v>3944</v>
      </c>
      <c r="O5945" s="270">
        <v>3757</v>
      </c>
      <c r="P5945" s="270" t="s">
        <v>3944</v>
      </c>
      <c r="Q5945" s="270" t="s">
        <v>3944</v>
      </c>
      <c r="R5945" s="270">
        <v>3757</v>
      </c>
      <c r="S5945" s="270">
        <v>30665.5</v>
      </c>
      <c r="T5945" s="270">
        <v>34422.5</v>
      </c>
      <c r="U5945" s="271" t="s">
        <v>3945</v>
      </c>
      <c r="V5945" s="267" t="s">
        <v>944</v>
      </c>
    </row>
    <row r="5946" spans="1:22" hidden="1" x14ac:dyDescent="0.25">
      <c r="A5946" s="266">
        <v>43747</v>
      </c>
      <c r="B5946" s="267">
        <v>2019</v>
      </c>
      <c r="C5946" s="267">
        <v>2020</v>
      </c>
      <c r="D5946" s="267">
        <v>1</v>
      </c>
      <c r="E5946" s="267">
        <v>1</v>
      </c>
      <c r="F5946" s="267" t="s">
        <v>944</v>
      </c>
      <c r="G5946" s="267" t="s">
        <v>3926</v>
      </c>
      <c r="H5946" s="267" t="s">
        <v>10657</v>
      </c>
      <c r="I5946" s="267" t="s">
        <v>5497</v>
      </c>
      <c r="J5946" s="267" t="s">
        <v>3928</v>
      </c>
      <c r="K5946" s="267">
        <v>6897</v>
      </c>
      <c r="L5946" s="267">
        <v>45400</v>
      </c>
      <c r="M5946" s="267" t="s">
        <v>3943</v>
      </c>
      <c r="N5946" s="267" t="s">
        <v>3944</v>
      </c>
      <c r="O5946" s="267">
        <v>5920</v>
      </c>
      <c r="P5946" s="267" t="s">
        <v>3944</v>
      </c>
      <c r="Q5946" s="267" t="s">
        <v>3944</v>
      </c>
      <c r="R5946" s="267">
        <v>5920</v>
      </c>
      <c r="S5946" s="267">
        <v>68713</v>
      </c>
      <c r="T5946" s="267">
        <v>74633</v>
      </c>
      <c r="U5946" s="268" t="s">
        <v>3945</v>
      </c>
      <c r="V5946" s="267" t="s">
        <v>944</v>
      </c>
    </row>
    <row r="5947" spans="1:22" hidden="1" x14ac:dyDescent="0.25">
      <c r="A5947" s="269">
        <v>43747</v>
      </c>
      <c r="B5947" s="270">
        <v>2019</v>
      </c>
      <c r="C5947" s="270">
        <v>2020</v>
      </c>
      <c r="D5947" s="270">
        <v>1</v>
      </c>
      <c r="E5947" s="270">
        <v>1</v>
      </c>
      <c r="F5947" s="270" t="s">
        <v>944</v>
      </c>
      <c r="G5947" s="270" t="s">
        <v>3926</v>
      </c>
      <c r="H5947" s="270" t="s">
        <v>10658</v>
      </c>
      <c r="I5947" s="270" t="s">
        <v>4306</v>
      </c>
      <c r="J5947" s="270" t="s">
        <v>3928</v>
      </c>
      <c r="K5947" s="270">
        <v>6716</v>
      </c>
      <c r="L5947" s="270">
        <v>361200</v>
      </c>
      <c r="M5947" s="270" t="s">
        <v>3960</v>
      </c>
      <c r="N5947" s="270" t="s">
        <v>3944</v>
      </c>
      <c r="O5947" s="270">
        <v>1865</v>
      </c>
      <c r="P5947" s="270" t="s">
        <v>3944</v>
      </c>
      <c r="Q5947" s="270" t="s">
        <v>3944</v>
      </c>
      <c r="R5947" s="270">
        <v>1865</v>
      </c>
      <c r="S5947" s="270">
        <v>14893</v>
      </c>
      <c r="T5947" s="270">
        <v>16758</v>
      </c>
      <c r="U5947" s="271" t="s">
        <v>3945</v>
      </c>
      <c r="V5947" s="267" t="s">
        <v>944</v>
      </c>
    </row>
    <row r="5948" spans="1:22" hidden="1" x14ac:dyDescent="0.25">
      <c r="A5948" s="266">
        <v>43747</v>
      </c>
      <c r="B5948" s="267">
        <v>2019</v>
      </c>
      <c r="C5948" s="267">
        <v>2020</v>
      </c>
      <c r="D5948" s="267">
        <v>1</v>
      </c>
      <c r="E5948" s="267">
        <v>1</v>
      </c>
      <c r="F5948" s="267" t="s">
        <v>944</v>
      </c>
      <c r="G5948" s="267" t="s">
        <v>3926</v>
      </c>
      <c r="H5948" s="267" t="s">
        <v>10659</v>
      </c>
      <c r="I5948" s="267" t="s">
        <v>4306</v>
      </c>
      <c r="J5948" s="267" t="s">
        <v>3928</v>
      </c>
      <c r="K5948" s="267">
        <v>6716</v>
      </c>
      <c r="L5948" s="267">
        <v>361200</v>
      </c>
      <c r="M5948" s="267" t="s">
        <v>3960</v>
      </c>
      <c r="N5948" s="267" t="s">
        <v>3944</v>
      </c>
      <c r="O5948" s="267">
        <v>2942</v>
      </c>
      <c r="P5948" s="267" t="s">
        <v>3944</v>
      </c>
      <c r="Q5948" s="267" t="s">
        <v>3944</v>
      </c>
      <c r="R5948" s="267">
        <v>2942</v>
      </c>
      <c r="S5948" s="267">
        <v>23045.5</v>
      </c>
      <c r="T5948" s="267">
        <v>25987.5</v>
      </c>
      <c r="U5948" s="268" t="s">
        <v>3945</v>
      </c>
      <c r="V5948" s="267" t="s">
        <v>944</v>
      </c>
    </row>
    <row r="5949" spans="1:22" hidden="1" x14ac:dyDescent="0.25">
      <c r="A5949" s="269">
        <v>43747</v>
      </c>
      <c r="B5949" s="270">
        <v>2019</v>
      </c>
      <c r="C5949" s="270">
        <v>2020</v>
      </c>
      <c r="D5949" s="270">
        <v>1</v>
      </c>
      <c r="E5949" s="270">
        <v>1</v>
      </c>
      <c r="F5949" s="270" t="s">
        <v>944</v>
      </c>
      <c r="G5949" s="270" t="s">
        <v>3926</v>
      </c>
      <c r="H5949" s="270" t="s">
        <v>10660</v>
      </c>
      <c r="I5949" s="270" t="s">
        <v>4225</v>
      </c>
      <c r="J5949" s="270" t="s">
        <v>3928</v>
      </c>
      <c r="K5949" s="270">
        <v>6896</v>
      </c>
      <c r="L5949" s="270">
        <v>240200</v>
      </c>
      <c r="M5949" s="270" t="s">
        <v>3943</v>
      </c>
      <c r="N5949" s="270" t="s">
        <v>3944</v>
      </c>
      <c r="O5949" s="270">
        <v>3768</v>
      </c>
      <c r="P5949" s="270" t="s">
        <v>3944</v>
      </c>
      <c r="Q5949" s="270" t="s">
        <v>3944</v>
      </c>
      <c r="R5949" s="270">
        <v>3768</v>
      </c>
      <c r="S5949" s="270">
        <v>23910</v>
      </c>
      <c r="T5949" s="270">
        <v>27678</v>
      </c>
      <c r="U5949" s="271" t="s">
        <v>3945</v>
      </c>
      <c r="V5949" s="267" t="s">
        <v>944</v>
      </c>
    </row>
    <row r="5950" spans="1:22" hidden="1" x14ac:dyDescent="0.25">
      <c r="A5950" s="266">
        <v>43747</v>
      </c>
      <c r="B5950" s="267">
        <v>2019</v>
      </c>
      <c r="C5950" s="267">
        <v>2020</v>
      </c>
      <c r="D5950" s="267">
        <v>1</v>
      </c>
      <c r="E5950" s="267">
        <v>1</v>
      </c>
      <c r="F5950" s="267" t="s">
        <v>944</v>
      </c>
      <c r="G5950" s="267" t="s">
        <v>3926</v>
      </c>
      <c r="H5950" s="267" t="s">
        <v>10661</v>
      </c>
      <c r="I5950" s="267" t="s">
        <v>3956</v>
      </c>
      <c r="J5950" s="267" t="s">
        <v>3928</v>
      </c>
      <c r="K5950" s="267">
        <v>6106</v>
      </c>
      <c r="L5950" s="267">
        <v>524700</v>
      </c>
      <c r="M5950" s="267" t="s">
        <v>3935</v>
      </c>
      <c r="N5950" s="267" t="s">
        <v>3944</v>
      </c>
      <c r="O5950" s="267">
        <v>2025</v>
      </c>
      <c r="P5950" s="267" t="s">
        <v>3944</v>
      </c>
      <c r="Q5950" s="267" t="s">
        <v>3944</v>
      </c>
      <c r="R5950" s="267">
        <v>2025</v>
      </c>
      <c r="S5950" s="267">
        <v>23694.75</v>
      </c>
      <c r="T5950" s="267">
        <v>25719.75</v>
      </c>
      <c r="U5950" s="268" t="s">
        <v>3945</v>
      </c>
      <c r="V5950" s="267" t="s">
        <v>944</v>
      </c>
    </row>
    <row r="5951" spans="1:22" hidden="1" x14ac:dyDescent="0.25">
      <c r="A5951" s="269">
        <v>43747</v>
      </c>
      <c r="B5951" s="270">
        <v>2019</v>
      </c>
      <c r="C5951" s="270">
        <v>2020</v>
      </c>
      <c r="D5951" s="270">
        <v>1</v>
      </c>
      <c r="E5951" s="270">
        <v>1</v>
      </c>
      <c r="F5951" s="270" t="s">
        <v>944</v>
      </c>
      <c r="G5951" s="270" t="s">
        <v>3926</v>
      </c>
      <c r="H5951" s="270" t="s">
        <v>10662</v>
      </c>
      <c r="I5951" s="270" t="s">
        <v>956</v>
      </c>
      <c r="J5951" s="270" t="s">
        <v>3928</v>
      </c>
      <c r="K5951" s="270">
        <v>6614</v>
      </c>
      <c r="L5951" s="270">
        <v>81100</v>
      </c>
      <c r="M5951" s="270" t="s">
        <v>3960</v>
      </c>
      <c r="N5951" s="270" t="s">
        <v>3944</v>
      </c>
      <c r="O5951" s="270">
        <v>4508</v>
      </c>
      <c r="P5951" s="270" t="s">
        <v>3944</v>
      </c>
      <c r="Q5951" s="270" t="s">
        <v>3944</v>
      </c>
      <c r="R5951" s="270">
        <v>4508</v>
      </c>
      <c r="S5951" s="270">
        <v>37377</v>
      </c>
      <c r="T5951" s="270">
        <v>41885</v>
      </c>
      <c r="U5951" s="271" t="s">
        <v>3945</v>
      </c>
      <c r="V5951" s="267" t="s">
        <v>944</v>
      </c>
    </row>
    <row r="5952" spans="1:22" hidden="1" x14ac:dyDescent="0.25">
      <c r="A5952" s="266">
        <v>43747</v>
      </c>
      <c r="B5952" s="267">
        <v>2019</v>
      </c>
      <c r="C5952" s="267">
        <v>2020</v>
      </c>
      <c r="D5952" s="267">
        <v>1</v>
      </c>
      <c r="E5952" s="267">
        <v>1</v>
      </c>
      <c r="F5952" s="267" t="s">
        <v>944</v>
      </c>
      <c r="G5952" s="267" t="s">
        <v>3997</v>
      </c>
      <c r="H5952" s="267" t="s">
        <v>10663</v>
      </c>
      <c r="I5952" s="267" t="s">
        <v>950</v>
      </c>
      <c r="J5952" s="267" t="s">
        <v>3928</v>
      </c>
      <c r="K5952" s="267">
        <v>6516</v>
      </c>
      <c r="L5952" s="267">
        <v>154800</v>
      </c>
      <c r="M5952" s="267" t="s">
        <v>3960</v>
      </c>
      <c r="N5952" s="267" t="s">
        <v>3944</v>
      </c>
      <c r="O5952" s="267">
        <v>668.22</v>
      </c>
      <c r="P5952" s="267" t="s">
        <v>3944</v>
      </c>
      <c r="Q5952" s="267" t="s">
        <v>3944</v>
      </c>
      <c r="R5952" s="267">
        <v>668.22</v>
      </c>
      <c r="S5952" s="267">
        <v>9914.18</v>
      </c>
      <c r="T5952" s="267">
        <v>10582.4</v>
      </c>
      <c r="U5952" s="268" t="s">
        <v>3945</v>
      </c>
      <c r="V5952" s="267" t="s">
        <v>944</v>
      </c>
    </row>
    <row r="5953" spans="1:22" hidden="1" x14ac:dyDescent="0.25">
      <c r="A5953" s="269">
        <v>43747</v>
      </c>
      <c r="B5953" s="270">
        <v>2019</v>
      </c>
      <c r="C5953" s="270">
        <v>2020</v>
      </c>
      <c r="D5953" s="270">
        <v>1</v>
      </c>
      <c r="E5953" s="270">
        <v>1</v>
      </c>
      <c r="F5953" s="270" t="s">
        <v>944</v>
      </c>
      <c r="G5953" s="270" t="s">
        <v>3997</v>
      </c>
      <c r="H5953" s="270" t="s">
        <v>10664</v>
      </c>
      <c r="I5953" s="270" t="s">
        <v>4019</v>
      </c>
      <c r="J5953" s="270" t="s">
        <v>3928</v>
      </c>
      <c r="K5953" s="270">
        <v>6708</v>
      </c>
      <c r="L5953" s="270">
        <v>351601</v>
      </c>
      <c r="M5953" s="270">
        <v>-60</v>
      </c>
      <c r="N5953" s="270" t="s">
        <v>3944</v>
      </c>
      <c r="O5953" s="270">
        <v>2370.34</v>
      </c>
      <c r="P5953" s="270" t="s">
        <v>3944</v>
      </c>
      <c r="Q5953" s="270" t="s">
        <v>3944</v>
      </c>
      <c r="R5953" s="270">
        <v>2370.34</v>
      </c>
      <c r="S5953" s="270">
        <v>31493.34</v>
      </c>
      <c r="T5953" s="270">
        <v>33863.68</v>
      </c>
      <c r="U5953" s="271" t="s">
        <v>3945</v>
      </c>
      <c r="V5953" s="267" t="s">
        <v>944</v>
      </c>
    </row>
    <row r="5954" spans="1:22" hidden="1" x14ac:dyDescent="0.25">
      <c r="A5954" s="266">
        <v>43747</v>
      </c>
      <c r="B5954" s="267">
        <v>2019</v>
      </c>
      <c r="C5954" s="267">
        <v>2020</v>
      </c>
      <c r="D5954" s="267">
        <v>1</v>
      </c>
      <c r="E5954" s="267">
        <v>1</v>
      </c>
      <c r="F5954" s="267" t="s">
        <v>944</v>
      </c>
      <c r="G5954" s="267" t="s">
        <v>3926</v>
      </c>
      <c r="H5954" s="267" t="s">
        <v>10665</v>
      </c>
      <c r="I5954" s="267" t="s">
        <v>4168</v>
      </c>
      <c r="J5954" s="267" t="s">
        <v>3928</v>
      </c>
      <c r="K5954" s="267">
        <v>6475</v>
      </c>
      <c r="L5954" s="267">
        <v>670200</v>
      </c>
      <c r="M5954" s="267" t="s">
        <v>3935</v>
      </c>
      <c r="N5954" s="267" t="s">
        <v>3944</v>
      </c>
      <c r="O5954" s="267">
        <v>1993</v>
      </c>
      <c r="P5954" s="267" t="s">
        <v>3944</v>
      </c>
      <c r="Q5954" s="267" t="s">
        <v>3944</v>
      </c>
      <c r="R5954" s="267">
        <v>1993</v>
      </c>
      <c r="S5954" s="267">
        <v>19007</v>
      </c>
      <c r="T5954" s="267">
        <v>21000</v>
      </c>
      <c r="U5954" s="268" t="s">
        <v>3945</v>
      </c>
      <c r="V5954" s="267" t="s">
        <v>944</v>
      </c>
    </row>
    <row r="5955" spans="1:22" hidden="1" x14ac:dyDescent="0.25">
      <c r="A5955" s="269">
        <v>43747</v>
      </c>
      <c r="B5955" s="270">
        <v>2019</v>
      </c>
      <c r="C5955" s="270">
        <v>2020</v>
      </c>
      <c r="D5955" s="270">
        <v>1</v>
      </c>
      <c r="E5955" s="270">
        <v>1</v>
      </c>
      <c r="F5955" s="270" t="s">
        <v>944</v>
      </c>
      <c r="G5955" s="270" t="s">
        <v>3926</v>
      </c>
      <c r="H5955" s="270" t="s">
        <v>10666</v>
      </c>
      <c r="I5955" s="270" t="s">
        <v>4003</v>
      </c>
      <c r="J5955" s="270" t="s">
        <v>3928</v>
      </c>
      <c r="K5955" s="270">
        <v>6354</v>
      </c>
      <c r="L5955" s="270">
        <v>907200</v>
      </c>
      <c r="M5955" s="270" t="s">
        <v>3940</v>
      </c>
      <c r="N5955" s="270" t="s">
        <v>3944</v>
      </c>
      <c r="O5955" s="270">
        <v>2628</v>
      </c>
      <c r="P5955" s="270" t="s">
        <v>3944</v>
      </c>
      <c r="Q5955" s="270" t="s">
        <v>3944</v>
      </c>
      <c r="R5955" s="270">
        <v>2628</v>
      </c>
      <c r="S5955" s="270">
        <v>30269</v>
      </c>
      <c r="T5955" s="270">
        <v>32897</v>
      </c>
      <c r="U5955" s="271" t="s">
        <v>3945</v>
      </c>
      <c r="V5955" s="267" t="s">
        <v>944</v>
      </c>
    </row>
    <row r="5956" spans="1:22" hidden="1" x14ac:dyDescent="0.25">
      <c r="A5956" s="266">
        <v>43747</v>
      </c>
      <c r="B5956" s="267">
        <v>2019</v>
      </c>
      <c r="C5956" s="267">
        <v>2020</v>
      </c>
      <c r="D5956" s="267">
        <v>1</v>
      </c>
      <c r="E5956" s="267">
        <v>1</v>
      </c>
      <c r="F5956" s="267" t="s">
        <v>944</v>
      </c>
      <c r="G5956" s="267" t="s">
        <v>3926</v>
      </c>
      <c r="H5956" s="267" t="s">
        <v>10667</v>
      </c>
      <c r="I5956" s="267" t="s">
        <v>4040</v>
      </c>
      <c r="J5956" s="267" t="s">
        <v>3928</v>
      </c>
      <c r="K5956" s="267">
        <v>6335</v>
      </c>
      <c r="L5956" s="267">
        <v>701200</v>
      </c>
      <c r="M5956" s="267" t="s">
        <v>3960</v>
      </c>
      <c r="N5956" s="267" t="s">
        <v>3944</v>
      </c>
      <c r="O5956" s="267">
        <v>2486</v>
      </c>
      <c r="P5956" s="267" t="s">
        <v>3944</v>
      </c>
      <c r="Q5956" s="267" t="s">
        <v>3944</v>
      </c>
      <c r="R5956" s="267">
        <v>2486</v>
      </c>
      <c r="S5956" s="267">
        <v>27045.25</v>
      </c>
      <c r="T5956" s="267">
        <v>29531.25</v>
      </c>
      <c r="U5956" s="268" t="s">
        <v>3945</v>
      </c>
      <c r="V5956" s="267" t="s">
        <v>944</v>
      </c>
    </row>
    <row r="5957" spans="1:22" x14ac:dyDescent="0.25">
      <c r="A5957" s="269">
        <v>43747</v>
      </c>
      <c r="B5957" s="270">
        <v>2019</v>
      </c>
      <c r="C5957" s="270">
        <v>2020</v>
      </c>
      <c r="D5957" s="270">
        <v>1</v>
      </c>
      <c r="E5957" s="270">
        <v>1</v>
      </c>
      <c r="F5957" s="270" t="s">
        <v>944</v>
      </c>
      <c r="G5957" s="270" t="s">
        <v>3926</v>
      </c>
      <c r="H5957" s="270" t="s">
        <v>10668</v>
      </c>
      <c r="I5957" s="270" t="s">
        <v>934</v>
      </c>
      <c r="J5957" s="270" t="s">
        <v>3928</v>
      </c>
      <c r="K5957" s="270">
        <v>6606</v>
      </c>
      <c r="L5957" s="270">
        <v>72200</v>
      </c>
      <c r="M5957" s="270">
        <v>-60</v>
      </c>
      <c r="N5957" s="270" t="s">
        <v>3944</v>
      </c>
      <c r="O5957" s="270">
        <v>1276.52</v>
      </c>
      <c r="P5957" s="270" t="s">
        <v>3944</v>
      </c>
      <c r="Q5957" s="270" t="s">
        <v>3944</v>
      </c>
      <c r="R5957" s="270">
        <v>1276.52</v>
      </c>
      <c r="S5957" s="270">
        <v>23266.61</v>
      </c>
      <c r="T5957" s="270">
        <v>24543.13</v>
      </c>
      <c r="U5957" s="271" t="s">
        <v>3945</v>
      </c>
      <c r="V5957" s="276" t="s">
        <v>936</v>
      </c>
    </row>
    <row r="5958" spans="1:22" hidden="1" x14ac:dyDescent="0.25">
      <c r="A5958" s="266">
        <v>43747</v>
      </c>
      <c r="B5958" s="267">
        <v>2019</v>
      </c>
      <c r="C5958" s="267">
        <v>2020</v>
      </c>
      <c r="D5958" s="267">
        <v>1</v>
      </c>
      <c r="E5958" s="267">
        <v>1</v>
      </c>
      <c r="F5958" s="267" t="s">
        <v>944</v>
      </c>
      <c r="G5958" s="267" t="s">
        <v>3926</v>
      </c>
      <c r="H5958" s="267" t="s">
        <v>10669</v>
      </c>
      <c r="I5958" s="267" t="s">
        <v>3009</v>
      </c>
      <c r="J5958" s="267" t="s">
        <v>3928</v>
      </c>
      <c r="K5958" s="267">
        <v>6484</v>
      </c>
      <c r="L5958" s="267">
        <v>110201</v>
      </c>
      <c r="M5958" s="267" t="s">
        <v>3960</v>
      </c>
      <c r="N5958" s="267" t="s">
        <v>3944</v>
      </c>
      <c r="O5958" s="267">
        <v>3047.28</v>
      </c>
      <c r="P5958" s="267" t="s">
        <v>3944</v>
      </c>
      <c r="Q5958" s="267" t="s">
        <v>3944</v>
      </c>
      <c r="R5958" s="267">
        <v>3047.28</v>
      </c>
      <c r="S5958" s="267">
        <v>54987.78</v>
      </c>
      <c r="T5958" s="267">
        <v>58035.06</v>
      </c>
      <c r="U5958" s="268" t="s">
        <v>3945</v>
      </c>
      <c r="V5958" s="267" t="s">
        <v>944</v>
      </c>
    </row>
    <row r="5959" spans="1:22" x14ac:dyDescent="0.25">
      <c r="A5959" s="269">
        <v>43747</v>
      </c>
      <c r="B5959" s="270">
        <v>2019</v>
      </c>
      <c r="C5959" s="270">
        <v>2020</v>
      </c>
      <c r="D5959" s="270">
        <v>1</v>
      </c>
      <c r="E5959" s="270">
        <v>1</v>
      </c>
      <c r="F5959" s="270" t="s">
        <v>944</v>
      </c>
      <c r="G5959" s="270" t="s">
        <v>3926</v>
      </c>
      <c r="H5959" s="270" t="s">
        <v>10670</v>
      </c>
      <c r="I5959" s="270" t="s">
        <v>934</v>
      </c>
      <c r="J5959" s="270" t="s">
        <v>3928</v>
      </c>
      <c r="K5959" s="270">
        <v>6606</v>
      </c>
      <c r="L5959" s="270">
        <v>72000</v>
      </c>
      <c r="M5959" s="270" t="s">
        <v>3940</v>
      </c>
      <c r="N5959" s="270" t="s">
        <v>3944</v>
      </c>
      <c r="O5959" s="270">
        <v>881.02</v>
      </c>
      <c r="P5959" s="270" t="s">
        <v>3944</v>
      </c>
      <c r="Q5959" s="270" t="s">
        <v>3944</v>
      </c>
      <c r="R5959" s="270">
        <v>881.02</v>
      </c>
      <c r="S5959" s="270">
        <v>15902.18</v>
      </c>
      <c r="T5959" s="270">
        <v>16783.2</v>
      </c>
      <c r="U5959" s="271" t="s">
        <v>3945</v>
      </c>
      <c r="V5959" s="276" t="s">
        <v>936</v>
      </c>
    </row>
    <row r="5960" spans="1:22" hidden="1" x14ac:dyDescent="0.25">
      <c r="A5960" s="266">
        <v>43747</v>
      </c>
      <c r="B5960" s="267">
        <v>2019</v>
      </c>
      <c r="C5960" s="267">
        <v>2020</v>
      </c>
      <c r="D5960" s="267">
        <v>1</v>
      </c>
      <c r="E5960" s="267">
        <v>1</v>
      </c>
      <c r="F5960" s="267" t="s">
        <v>944</v>
      </c>
      <c r="G5960" s="267" t="s">
        <v>3926</v>
      </c>
      <c r="H5960" s="267" t="s">
        <v>10671</v>
      </c>
      <c r="I5960" s="267" t="s">
        <v>3025</v>
      </c>
      <c r="J5960" s="267" t="s">
        <v>3928</v>
      </c>
      <c r="K5960" s="267">
        <v>6473</v>
      </c>
      <c r="L5960" s="267">
        <v>167202</v>
      </c>
      <c r="M5960" s="267" t="s">
        <v>3935</v>
      </c>
      <c r="N5960" s="267" t="s">
        <v>3944</v>
      </c>
      <c r="O5960" s="267">
        <v>2000.32</v>
      </c>
      <c r="P5960" s="267" t="s">
        <v>3944</v>
      </c>
      <c r="Q5960" s="267" t="s">
        <v>3944</v>
      </c>
      <c r="R5960" s="267">
        <v>2000.32</v>
      </c>
      <c r="S5960" s="267">
        <v>25513.919999999998</v>
      </c>
      <c r="T5960" s="267">
        <v>27514.240000000002</v>
      </c>
      <c r="U5960" s="268" t="s">
        <v>3945</v>
      </c>
      <c r="V5960" s="267" t="s">
        <v>944</v>
      </c>
    </row>
    <row r="5961" spans="1:22" hidden="1" x14ac:dyDescent="0.25">
      <c r="A5961" s="269">
        <v>43747</v>
      </c>
      <c r="B5961" s="270">
        <v>2019</v>
      </c>
      <c r="C5961" s="270">
        <v>2020</v>
      </c>
      <c r="D5961" s="270">
        <v>1</v>
      </c>
      <c r="E5961" s="270">
        <v>1</v>
      </c>
      <c r="F5961" s="270" t="s">
        <v>944</v>
      </c>
      <c r="G5961" s="270" t="s">
        <v>3926</v>
      </c>
      <c r="H5961" s="270" t="s">
        <v>10672</v>
      </c>
      <c r="I5961" s="270" t="s">
        <v>4213</v>
      </c>
      <c r="J5961" s="270" t="s">
        <v>3928</v>
      </c>
      <c r="K5961" s="270">
        <v>6052</v>
      </c>
      <c r="L5961" s="270">
        <v>416400</v>
      </c>
      <c r="M5961" s="270" t="s">
        <v>3960</v>
      </c>
      <c r="N5961" s="270" t="s">
        <v>3944</v>
      </c>
      <c r="O5961" s="270">
        <v>954.45</v>
      </c>
      <c r="P5961" s="270" t="s">
        <v>3944</v>
      </c>
      <c r="Q5961" s="270" t="s">
        <v>3944</v>
      </c>
      <c r="R5961" s="270">
        <v>954.45</v>
      </c>
      <c r="S5961" s="270">
        <v>14648.17</v>
      </c>
      <c r="T5961" s="270">
        <v>15602.62</v>
      </c>
      <c r="U5961" s="271" t="s">
        <v>3945</v>
      </c>
      <c r="V5961" s="267" t="s">
        <v>944</v>
      </c>
    </row>
    <row r="5962" spans="1:22" hidden="1" x14ac:dyDescent="0.25">
      <c r="A5962" s="266">
        <v>43747</v>
      </c>
      <c r="B5962" s="267">
        <v>2019</v>
      </c>
      <c r="C5962" s="267">
        <v>2020</v>
      </c>
      <c r="D5962" s="267">
        <v>1</v>
      </c>
      <c r="E5962" s="267">
        <v>1</v>
      </c>
      <c r="F5962" s="267" t="s">
        <v>944</v>
      </c>
      <c r="G5962" s="267" t="s">
        <v>3926</v>
      </c>
      <c r="H5962" s="267" t="s">
        <v>10673</v>
      </c>
      <c r="I5962" s="267" t="s">
        <v>4147</v>
      </c>
      <c r="J5962" s="267" t="s">
        <v>3928</v>
      </c>
      <c r="K5962" s="267">
        <v>6109</v>
      </c>
      <c r="L5962" s="267">
        <v>492500</v>
      </c>
      <c r="M5962" s="267" t="s">
        <v>3960</v>
      </c>
      <c r="N5962" s="267" t="s">
        <v>3944</v>
      </c>
      <c r="O5962" s="267">
        <v>2224.11</v>
      </c>
      <c r="P5962" s="267" t="s">
        <v>3944</v>
      </c>
      <c r="Q5962" s="267" t="s">
        <v>3944</v>
      </c>
      <c r="R5962" s="267">
        <v>2224.11</v>
      </c>
      <c r="S5962" s="267">
        <v>30503.56</v>
      </c>
      <c r="T5962" s="267">
        <v>32727.67</v>
      </c>
      <c r="U5962" s="268" t="s">
        <v>3945</v>
      </c>
      <c r="V5962" s="267" t="s">
        <v>944</v>
      </c>
    </row>
    <row r="5963" spans="1:22" hidden="1" x14ac:dyDescent="0.25">
      <c r="A5963" s="269">
        <v>43747</v>
      </c>
      <c r="B5963" s="270">
        <v>2019</v>
      </c>
      <c r="C5963" s="270">
        <v>2020</v>
      </c>
      <c r="D5963" s="270">
        <v>1</v>
      </c>
      <c r="E5963" s="270">
        <v>1</v>
      </c>
      <c r="F5963" s="270" t="s">
        <v>944</v>
      </c>
      <c r="G5963" s="270" t="s">
        <v>3926</v>
      </c>
      <c r="H5963" s="270" t="s">
        <v>10674</v>
      </c>
      <c r="I5963" s="270" t="s">
        <v>4147</v>
      </c>
      <c r="J5963" s="270" t="s">
        <v>3928</v>
      </c>
      <c r="K5963" s="270">
        <v>6109</v>
      </c>
      <c r="L5963" s="270">
        <v>492500</v>
      </c>
      <c r="M5963" s="270" t="s">
        <v>3960</v>
      </c>
      <c r="N5963" s="270" t="s">
        <v>3944</v>
      </c>
      <c r="O5963" s="270">
        <v>1115.5899999999999</v>
      </c>
      <c r="P5963" s="270" t="s">
        <v>3944</v>
      </c>
      <c r="Q5963" s="270" t="s">
        <v>3944</v>
      </c>
      <c r="R5963" s="270">
        <v>1115.5899999999999</v>
      </c>
      <c r="S5963" s="270">
        <v>15656.47</v>
      </c>
      <c r="T5963" s="270">
        <v>16772.060000000001</v>
      </c>
      <c r="U5963" s="271" t="s">
        <v>3945</v>
      </c>
      <c r="V5963" s="267" t="s">
        <v>944</v>
      </c>
    </row>
    <row r="5964" spans="1:22" hidden="1" x14ac:dyDescent="0.25">
      <c r="A5964" s="266">
        <v>43747</v>
      </c>
      <c r="B5964" s="267">
        <v>2019</v>
      </c>
      <c r="C5964" s="267">
        <v>2020</v>
      </c>
      <c r="D5964" s="267">
        <v>1</v>
      </c>
      <c r="E5964" s="267">
        <v>1</v>
      </c>
      <c r="F5964" s="267" t="s">
        <v>944</v>
      </c>
      <c r="G5964" s="267" t="s">
        <v>3926</v>
      </c>
      <c r="H5964" s="267" t="s">
        <v>10675</v>
      </c>
      <c r="I5964" s="267" t="s">
        <v>4016</v>
      </c>
      <c r="J5964" s="267" t="s">
        <v>3928</v>
      </c>
      <c r="K5964" s="267">
        <v>6770</v>
      </c>
      <c r="L5964" s="267">
        <v>345100</v>
      </c>
      <c r="M5964" s="267" t="s">
        <v>3940</v>
      </c>
      <c r="N5964" s="267" t="s">
        <v>3944</v>
      </c>
      <c r="O5964" s="267">
        <v>1119.3</v>
      </c>
      <c r="P5964" s="267" t="s">
        <v>3944</v>
      </c>
      <c r="Q5964" s="267" t="s">
        <v>3944</v>
      </c>
      <c r="R5964" s="267">
        <v>1119.3</v>
      </c>
      <c r="S5964" s="267">
        <v>18042.349999999999</v>
      </c>
      <c r="T5964" s="267">
        <v>19161.650000000001</v>
      </c>
      <c r="U5964" s="268" t="s">
        <v>3945</v>
      </c>
      <c r="V5964" s="267" t="s">
        <v>944</v>
      </c>
    </row>
    <row r="5965" spans="1:22" hidden="1" x14ac:dyDescent="0.25">
      <c r="A5965" s="269">
        <v>43747</v>
      </c>
      <c r="B5965" s="270">
        <v>2019</v>
      </c>
      <c r="C5965" s="270">
        <v>2020</v>
      </c>
      <c r="D5965" s="270">
        <v>1</v>
      </c>
      <c r="E5965" s="270">
        <v>1</v>
      </c>
      <c r="F5965" s="270" t="s">
        <v>944</v>
      </c>
      <c r="G5965" s="270" t="s">
        <v>3926</v>
      </c>
      <c r="H5965" s="270" t="s">
        <v>10676</v>
      </c>
      <c r="I5965" s="270" t="s">
        <v>4269</v>
      </c>
      <c r="J5965" s="270" t="s">
        <v>3928</v>
      </c>
      <c r="K5965" s="270">
        <v>6110</v>
      </c>
      <c r="L5965" s="270">
        <v>496400</v>
      </c>
      <c r="M5965" s="270" t="s">
        <v>3943</v>
      </c>
      <c r="N5965" s="270" t="s">
        <v>3944</v>
      </c>
      <c r="O5965" s="270">
        <v>1549.66</v>
      </c>
      <c r="P5965" s="270" t="s">
        <v>3944</v>
      </c>
      <c r="Q5965" s="270" t="s">
        <v>3944</v>
      </c>
      <c r="R5965" s="270">
        <v>1549.66</v>
      </c>
      <c r="S5965" s="270">
        <v>21570.47</v>
      </c>
      <c r="T5965" s="270">
        <v>23120.13</v>
      </c>
      <c r="U5965" s="271" t="s">
        <v>3945</v>
      </c>
      <c r="V5965" s="267" t="s">
        <v>944</v>
      </c>
    </row>
    <row r="5966" spans="1:22" hidden="1" x14ac:dyDescent="0.25">
      <c r="A5966" s="266">
        <v>43747</v>
      </c>
      <c r="B5966" s="267">
        <v>2019</v>
      </c>
      <c r="C5966" s="267">
        <v>2020</v>
      </c>
      <c r="D5966" s="267">
        <v>1</v>
      </c>
      <c r="E5966" s="267">
        <v>1</v>
      </c>
      <c r="F5966" s="267" t="s">
        <v>944</v>
      </c>
      <c r="G5966" s="267" t="s">
        <v>3926</v>
      </c>
      <c r="H5966" s="267" t="s">
        <v>10677</v>
      </c>
      <c r="I5966" s="267" t="s">
        <v>934</v>
      </c>
      <c r="J5966" s="267" t="s">
        <v>3928</v>
      </c>
      <c r="K5966" s="267">
        <v>6606</v>
      </c>
      <c r="L5966" s="267">
        <v>72400</v>
      </c>
      <c r="M5966" s="267" t="s">
        <v>3940</v>
      </c>
      <c r="N5966" s="267" t="s">
        <v>3944</v>
      </c>
      <c r="O5966" s="267">
        <v>848.68</v>
      </c>
      <c r="P5966" s="267" t="s">
        <v>3944</v>
      </c>
      <c r="Q5966" s="267" t="s">
        <v>3944</v>
      </c>
      <c r="R5966" s="267">
        <v>848.68</v>
      </c>
      <c r="S5966" s="267">
        <v>9733.7199999999993</v>
      </c>
      <c r="T5966" s="267">
        <v>10582.4</v>
      </c>
      <c r="U5966" s="268" t="s">
        <v>3945</v>
      </c>
      <c r="V5966" s="267" t="s">
        <v>944</v>
      </c>
    </row>
    <row r="5967" spans="1:22" hidden="1" x14ac:dyDescent="0.25">
      <c r="A5967" s="269">
        <v>43747</v>
      </c>
      <c r="B5967" s="270">
        <v>2019</v>
      </c>
      <c r="C5967" s="270">
        <v>2020</v>
      </c>
      <c r="D5967" s="270">
        <v>1</v>
      </c>
      <c r="E5967" s="270">
        <v>1</v>
      </c>
      <c r="F5967" s="270" t="s">
        <v>944</v>
      </c>
      <c r="G5967" s="270" t="s">
        <v>3926</v>
      </c>
      <c r="H5967" s="270" t="s">
        <v>10678</v>
      </c>
      <c r="I5967" s="270" t="s">
        <v>4306</v>
      </c>
      <c r="J5967" s="270" t="s">
        <v>3928</v>
      </c>
      <c r="K5967" s="270">
        <v>6716</v>
      </c>
      <c r="L5967" s="270">
        <v>361200</v>
      </c>
      <c r="M5967" s="270" t="s">
        <v>3960</v>
      </c>
      <c r="N5967" s="270" t="s">
        <v>3944</v>
      </c>
      <c r="O5967" s="270">
        <v>1635.73</v>
      </c>
      <c r="P5967" s="270" t="s">
        <v>3944</v>
      </c>
      <c r="Q5967" s="270" t="s">
        <v>3944</v>
      </c>
      <c r="R5967" s="270">
        <v>1635.73</v>
      </c>
      <c r="S5967" s="270">
        <v>23012.81</v>
      </c>
      <c r="T5967" s="270">
        <v>24648.54</v>
      </c>
      <c r="U5967" s="271" t="s">
        <v>3945</v>
      </c>
      <c r="V5967" s="267" t="s">
        <v>944</v>
      </c>
    </row>
    <row r="5968" spans="1:22" hidden="1" x14ac:dyDescent="0.25">
      <c r="A5968" s="266">
        <v>43747</v>
      </c>
      <c r="B5968" s="267">
        <v>2019</v>
      </c>
      <c r="C5968" s="267">
        <v>2020</v>
      </c>
      <c r="D5968" s="267">
        <v>1</v>
      </c>
      <c r="E5968" s="267">
        <v>1</v>
      </c>
      <c r="F5968" s="267" t="s">
        <v>944</v>
      </c>
      <c r="G5968" s="267" t="s">
        <v>3926</v>
      </c>
      <c r="H5968" s="267" t="s">
        <v>10679</v>
      </c>
      <c r="I5968" s="267" t="s">
        <v>4011</v>
      </c>
      <c r="J5968" s="267" t="s">
        <v>3928</v>
      </c>
      <c r="K5968" s="267">
        <v>6002</v>
      </c>
      <c r="L5968" s="267">
        <v>471200</v>
      </c>
      <c r="M5968" s="267" t="s">
        <v>3940</v>
      </c>
      <c r="N5968" s="267" t="s">
        <v>3944</v>
      </c>
      <c r="O5968" s="267">
        <v>1538.88</v>
      </c>
      <c r="P5968" s="267" t="s">
        <v>3944</v>
      </c>
      <c r="Q5968" s="267" t="s">
        <v>3944</v>
      </c>
      <c r="R5968" s="267">
        <v>1538.88</v>
      </c>
      <c r="S5968" s="267">
        <v>19754.689999999999</v>
      </c>
      <c r="T5968" s="267">
        <v>21293.57</v>
      </c>
      <c r="U5968" s="268" t="s">
        <v>3945</v>
      </c>
      <c r="V5968" s="267" t="s">
        <v>944</v>
      </c>
    </row>
    <row r="5969" spans="1:22" hidden="1" x14ac:dyDescent="0.25">
      <c r="A5969" s="269">
        <v>43747</v>
      </c>
      <c r="B5969" s="270">
        <v>2019</v>
      </c>
      <c r="C5969" s="270">
        <v>2020</v>
      </c>
      <c r="D5969" s="270">
        <v>1</v>
      </c>
      <c r="E5969" s="270">
        <v>1</v>
      </c>
      <c r="F5969" s="270" t="s">
        <v>944</v>
      </c>
      <c r="G5969" s="270" t="s">
        <v>3926</v>
      </c>
      <c r="H5969" s="270" t="s">
        <v>10680</v>
      </c>
      <c r="I5969" s="270" t="s">
        <v>4168</v>
      </c>
      <c r="J5969" s="270" t="s">
        <v>3928</v>
      </c>
      <c r="K5969" s="270">
        <v>6475</v>
      </c>
      <c r="L5969" s="270">
        <v>670200</v>
      </c>
      <c r="M5969" s="270" t="s">
        <v>3935</v>
      </c>
      <c r="N5969" s="270" t="s">
        <v>3944</v>
      </c>
      <c r="O5969" s="270">
        <v>2342.5500000000002</v>
      </c>
      <c r="P5969" s="270" t="s">
        <v>3944</v>
      </c>
      <c r="Q5969" s="270" t="s">
        <v>3944</v>
      </c>
      <c r="R5969" s="270">
        <v>2342.5500000000002</v>
      </c>
      <c r="S5969" s="270">
        <v>35419.65</v>
      </c>
      <c r="T5969" s="270">
        <v>37762.199999999997</v>
      </c>
      <c r="U5969" s="271" t="s">
        <v>3945</v>
      </c>
      <c r="V5969" s="267" t="s">
        <v>944</v>
      </c>
    </row>
    <row r="5970" spans="1:22" hidden="1" x14ac:dyDescent="0.25">
      <c r="A5970" s="266">
        <v>43747</v>
      </c>
      <c r="B5970" s="267">
        <v>2019</v>
      </c>
      <c r="C5970" s="267">
        <v>2020</v>
      </c>
      <c r="D5970" s="267">
        <v>1</v>
      </c>
      <c r="E5970" s="267">
        <v>1</v>
      </c>
      <c r="F5970" s="267" t="s">
        <v>944</v>
      </c>
      <c r="G5970" s="267" t="s">
        <v>3926</v>
      </c>
      <c r="H5970" s="267" t="s">
        <v>10681</v>
      </c>
      <c r="I5970" s="267" t="s">
        <v>4269</v>
      </c>
      <c r="J5970" s="267" t="s">
        <v>3928</v>
      </c>
      <c r="K5970" s="267">
        <v>6117</v>
      </c>
      <c r="L5970" s="267">
        <v>497200</v>
      </c>
      <c r="M5970" s="267" t="s">
        <v>3943</v>
      </c>
      <c r="N5970" s="267" t="s">
        <v>3944</v>
      </c>
      <c r="O5970" s="267">
        <v>1909.08</v>
      </c>
      <c r="P5970" s="267" t="s">
        <v>3944</v>
      </c>
      <c r="Q5970" s="267" t="s">
        <v>3944</v>
      </c>
      <c r="R5970" s="267">
        <v>1909.08</v>
      </c>
      <c r="S5970" s="267">
        <v>26109.34</v>
      </c>
      <c r="T5970" s="267">
        <v>28018.42</v>
      </c>
      <c r="U5970" s="268" t="s">
        <v>3945</v>
      </c>
      <c r="V5970" s="267" t="s">
        <v>944</v>
      </c>
    </row>
    <row r="5971" spans="1:22" hidden="1" x14ac:dyDescent="0.25">
      <c r="A5971" s="269">
        <v>43747</v>
      </c>
      <c r="B5971" s="270">
        <v>2019</v>
      </c>
      <c r="C5971" s="270">
        <v>2020</v>
      </c>
      <c r="D5971" s="270">
        <v>1</v>
      </c>
      <c r="E5971" s="270">
        <v>1</v>
      </c>
      <c r="F5971" s="270" t="s">
        <v>944</v>
      </c>
      <c r="G5971" s="270" t="s">
        <v>3926</v>
      </c>
      <c r="H5971" s="270" t="s">
        <v>10682</v>
      </c>
      <c r="I5971" s="270" t="s">
        <v>3996</v>
      </c>
      <c r="J5971" s="270" t="s">
        <v>3928</v>
      </c>
      <c r="K5971" s="270">
        <v>6790</v>
      </c>
      <c r="L5971" s="270">
        <v>310801</v>
      </c>
      <c r="M5971" s="270" t="s">
        <v>3940</v>
      </c>
      <c r="N5971" s="270" t="s">
        <v>3944</v>
      </c>
      <c r="O5971" s="270">
        <v>1984.78</v>
      </c>
      <c r="P5971" s="270" t="s">
        <v>3944</v>
      </c>
      <c r="Q5971" s="270" t="s">
        <v>3944</v>
      </c>
      <c r="R5971" s="270">
        <v>1984.78</v>
      </c>
      <c r="S5971" s="270">
        <v>28704.18</v>
      </c>
      <c r="T5971" s="270">
        <v>30688.959999999999</v>
      </c>
      <c r="U5971" s="271" t="s">
        <v>3945</v>
      </c>
      <c r="V5971" s="267" t="s">
        <v>944</v>
      </c>
    </row>
    <row r="5972" spans="1:22" hidden="1" x14ac:dyDescent="0.25">
      <c r="A5972" s="266">
        <v>43747</v>
      </c>
      <c r="B5972" s="267">
        <v>2019</v>
      </c>
      <c r="C5972" s="267">
        <v>2020</v>
      </c>
      <c r="D5972" s="267">
        <v>1</v>
      </c>
      <c r="E5972" s="267">
        <v>1</v>
      </c>
      <c r="F5972" s="267" t="s">
        <v>944</v>
      </c>
      <c r="G5972" s="267" t="s">
        <v>3926</v>
      </c>
      <c r="H5972" s="267" t="s">
        <v>10683</v>
      </c>
      <c r="I5972" s="267" t="s">
        <v>4005</v>
      </c>
      <c r="J5972" s="267" t="s">
        <v>3928</v>
      </c>
      <c r="K5972" s="267">
        <v>6108</v>
      </c>
      <c r="L5972" s="267">
        <v>510100</v>
      </c>
      <c r="M5972" s="267" t="s">
        <v>3940</v>
      </c>
      <c r="N5972" s="267" t="s">
        <v>3944</v>
      </c>
      <c r="O5972" s="267">
        <v>1865.12</v>
      </c>
      <c r="P5972" s="267" t="s">
        <v>3944</v>
      </c>
      <c r="Q5972" s="267" t="s">
        <v>3944</v>
      </c>
      <c r="R5972" s="267">
        <v>1865.12</v>
      </c>
      <c r="S5972" s="267">
        <v>27894.880000000001</v>
      </c>
      <c r="T5972" s="267">
        <v>29760</v>
      </c>
      <c r="U5972" s="268" t="s">
        <v>3945</v>
      </c>
      <c r="V5972" s="267" t="s">
        <v>944</v>
      </c>
    </row>
    <row r="5973" spans="1:22" hidden="1" x14ac:dyDescent="0.25">
      <c r="A5973" s="269">
        <v>43747</v>
      </c>
      <c r="B5973" s="270">
        <v>2019</v>
      </c>
      <c r="C5973" s="270">
        <v>2020</v>
      </c>
      <c r="D5973" s="270">
        <v>1</v>
      </c>
      <c r="E5973" s="270">
        <v>1</v>
      </c>
      <c r="F5973" s="270" t="s">
        <v>944</v>
      </c>
      <c r="G5973" s="270" t="s">
        <v>3926</v>
      </c>
      <c r="H5973" s="270" t="s">
        <v>10684</v>
      </c>
      <c r="I5973" s="270" t="s">
        <v>4124</v>
      </c>
      <c r="J5973" s="270" t="s">
        <v>3928</v>
      </c>
      <c r="K5973" s="270">
        <v>6482</v>
      </c>
      <c r="L5973" s="270">
        <v>230501</v>
      </c>
      <c r="M5973" s="270" t="s">
        <v>3943</v>
      </c>
      <c r="N5973" s="270" t="s">
        <v>3944</v>
      </c>
      <c r="O5973" s="270">
        <v>3469.13</v>
      </c>
      <c r="P5973" s="270" t="s">
        <v>3944</v>
      </c>
      <c r="Q5973" s="270" t="s">
        <v>3944</v>
      </c>
      <c r="R5973" s="270">
        <v>3469.13</v>
      </c>
      <c r="S5973" s="270">
        <v>50292.82</v>
      </c>
      <c r="T5973" s="270">
        <v>53761.95</v>
      </c>
      <c r="U5973" s="271" t="s">
        <v>3945</v>
      </c>
      <c r="V5973" s="267" t="s">
        <v>944</v>
      </c>
    </row>
    <row r="5974" spans="1:22" hidden="1" x14ac:dyDescent="0.25">
      <c r="A5974" s="266">
        <v>43747</v>
      </c>
      <c r="B5974" s="267">
        <v>2019</v>
      </c>
      <c r="C5974" s="267">
        <v>2020</v>
      </c>
      <c r="D5974" s="267">
        <v>1</v>
      </c>
      <c r="E5974" s="267">
        <v>1</v>
      </c>
      <c r="F5974" s="267" t="s">
        <v>944</v>
      </c>
      <c r="G5974" s="267" t="s">
        <v>3926</v>
      </c>
      <c r="H5974" s="267" t="s">
        <v>10685</v>
      </c>
      <c r="I5974" s="267" t="s">
        <v>4213</v>
      </c>
      <c r="J5974" s="267" t="s">
        <v>3928</v>
      </c>
      <c r="K5974" s="267">
        <v>6053</v>
      </c>
      <c r="L5974" s="267">
        <v>416500</v>
      </c>
      <c r="M5974" s="267" t="s">
        <v>3940</v>
      </c>
      <c r="N5974" s="267" t="s">
        <v>3944</v>
      </c>
      <c r="O5974" s="267">
        <v>921.06</v>
      </c>
      <c r="P5974" s="267" t="s">
        <v>3944</v>
      </c>
      <c r="Q5974" s="267" t="s">
        <v>3944</v>
      </c>
      <c r="R5974" s="267">
        <v>921.06</v>
      </c>
      <c r="S5974" s="267">
        <v>13025.8</v>
      </c>
      <c r="T5974" s="267">
        <v>13946.86</v>
      </c>
      <c r="U5974" s="268" t="s">
        <v>3945</v>
      </c>
      <c r="V5974" s="267" t="s">
        <v>944</v>
      </c>
    </row>
    <row r="5975" spans="1:22" hidden="1" x14ac:dyDescent="0.25">
      <c r="A5975" s="269">
        <v>43747</v>
      </c>
      <c r="B5975" s="270">
        <v>2019</v>
      </c>
      <c r="C5975" s="270">
        <v>2020</v>
      </c>
      <c r="D5975" s="270">
        <v>1</v>
      </c>
      <c r="E5975" s="270">
        <v>1</v>
      </c>
      <c r="F5975" s="270" t="s">
        <v>944</v>
      </c>
      <c r="G5975" s="270" t="s">
        <v>3926</v>
      </c>
      <c r="H5975" s="270" t="s">
        <v>10686</v>
      </c>
      <c r="I5975" s="270" t="s">
        <v>4548</v>
      </c>
      <c r="J5975" s="270" t="s">
        <v>3928</v>
      </c>
      <c r="K5975" s="270">
        <v>6037</v>
      </c>
      <c r="L5975" s="270">
        <v>400200</v>
      </c>
      <c r="M5975" s="270" t="s">
        <v>3943</v>
      </c>
      <c r="N5975" s="270" t="s">
        <v>3944</v>
      </c>
      <c r="O5975" s="270">
        <v>2957.68</v>
      </c>
      <c r="P5975" s="270" t="s">
        <v>3944</v>
      </c>
      <c r="Q5975" s="270" t="s">
        <v>3944</v>
      </c>
      <c r="R5975" s="270">
        <v>2957.68</v>
      </c>
      <c r="S5975" s="270">
        <v>42862.53</v>
      </c>
      <c r="T5975" s="270">
        <v>45820.21</v>
      </c>
      <c r="U5975" s="271" t="s">
        <v>3945</v>
      </c>
      <c r="V5975" s="267" t="s">
        <v>944</v>
      </c>
    </row>
    <row r="5976" spans="1:22" hidden="1" x14ac:dyDescent="0.25">
      <c r="A5976" s="266">
        <v>43747</v>
      </c>
      <c r="B5976" s="267">
        <v>2019</v>
      </c>
      <c r="C5976" s="267">
        <v>2020</v>
      </c>
      <c r="D5976" s="267">
        <v>1</v>
      </c>
      <c r="E5976" s="267">
        <v>1</v>
      </c>
      <c r="F5976" s="267" t="s">
        <v>944</v>
      </c>
      <c r="G5976" s="267" t="s">
        <v>3926</v>
      </c>
      <c r="H5976" s="267" t="s">
        <v>10687</v>
      </c>
      <c r="I5976" s="267" t="s">
        <v>4323</v>
      </c>
      <c r="J5976" s="267" t="s">
        <v>3928</v>
      </c>
      <c r="K5976" s="267">
        <v>6385</v>
      </c>
      <c r="L5976" s="267">
        <v>693400</v>
      </c>
      <c r="M5976" s="267" t="s">
        <v>3940</v>
      </c>
      <c r="N5976" s="267" t="s">
        <v>3944</v>
      </c>
      <c r="O5976" s="267">
        <v>1208.69</v>
      </c>
      <c r="P5976" s="267" t="s">
        <v>3944</v>
      </c>
      <c r="Q5976" s="267" t="s">
        <v>3944</v>
      </c>
      <c r="R5976" s="267">
        <v>1208.69</v>
      </c>
      <c r="S5976" s="267">
        <v>19038.990000000002</v>
      </c>
      <c r="T5976" s="267">
        <v>20247.68</v>
      </c>
      <c r="U5976" s="268" t="s">
        <v>3945</v>
      </c>
      <c r="V5976" s="267" t="s">
        <v>944</v>
      </c>
    </row>
    <row r="5977" spans="1:22" hidden="1" x14ac:dyDescent="0.25">
      <c r="A5977" s="269">
        <v>43748</v>
      </c>
      <c r="B5977" s="270">
        <v>2019</v>
      </c>
      <c r="C5977" s="270">
        <v>2020</v>
      </c>
      <c r="D5977" s="270">
        <v>1</v>
      </c>
      <c r="E5977" s="270">
        <v>1</v>
      </c>
      <c r="F5977" s="270" t="s">
        <v>944</v>
      </c>
      <c r="G5977" s="270" t="s">
        <v>3926</v>
      </c>
      <c r="H5977" s="270" t="s">
        <v>10688</v>
      </c>
      <c r="I5977" s="270" t="s">
        <v>4055</v>
      </c>
      <c r="J5977" s="270" t="s">
        <v>3928</v>
      </c>
      <c r="K5977" s="270">
        <v>6070</v>
      </c>
      <c r="L5977" s="270">
        <v>466201</v>
      </c>
      <c r="M5977" s="270" t="s">
        <v>3960</v>
      </c>
      <c r="N5977" s="270" t="s">
        <v>5313</v>
      </c>
      <c r="O5977" s="270">
        <v>0</v>
      </c>
      <c r="P5977" s="270" t="s">
        <v>3930</v>
      </c>
      <c r="Q5977" s="270" t="s">
        <v>3930</v>
      </c>
      <c r="R5977" s="270">
        <v>0</v>
      </c>
      <c r="S5977" s="270">
        <v>57420</v>
      </c>
      <c r="T5977" s="270">
        <v>57420</v>
      </c>
      <c r="U5977" s="271" t="s">
        <v>3937</v>
      </c>
      <c r="V5977" s="267" t="s">
        <v>944</v>
      </c>
    </row>
    <row r="5978" spans="1:22" hidden="1" x14ac:dyDescent="0.25">
      <c r="A5978" s="266">
        <v>43748</v>
      </c>
      <c r="B5978" s="267">
        <v>2019</v>
      </c>
      <c r="C5978" s="267">
        <v>2020</v>
      </c>
      <c r="D5978" s="267">
        <v>1</v>
      </c>
      <c r="E5978" s="267">
        <v>1</v>
      </c>
      <c r="F5978" s="267" t="s">
        <v>944</v>
      </c>
      <c r="G5978" s="267" t="s">
        <v>3926</v>
      </c>
      <c r="H5978" s="267" t="s">
        <v>10689</v>
      </c>
      <c r="I5978" s="267" t="s">
        <v>3975</v>
      </c>
      <c r="J5978" s="267" t="s">
        <v>3928</v>
      </c>
      <c r="K5978" s="267">
        <v>6489</v>
      </c>
      <c r="L5978" s="267">
        <v>430202</v>
      </c>
      <c r="M5978" s="267" t="s">
        <v>3943</v>
      </c>
      <c r="N5978" s="267" t="s">
        <v>10690</v>
      </c>
      <c r="O5978" s="267">
        <v>0</v>
      </c>
      <c r="P5978" s="267" t="s">
        <v>3930</v>
      </c>
      <c r="Q5978" s="267" t="s">
        <v>3930</v>
      </c>
      <c r="R5978" s="267">
        <v>0</v>
      </c>
      <c r="S5978" s="267">
        <v>13388</v>
      </c>
      <c r="T5978" s="267">
        <v>13388</v>
      </c>
      <c r="U5978" s="268" t="s">
        <v>3937</v>
      </c>
      <c r="V5978" s="267" t="s">
        <v>944</v>
      </c>
    </row>
    <row r="5979" spans="1:22" hidden="1" x14ac:dyDescent="0.25">
      <c r="A5979" s="269">
        <v>43748</v>
      </c>
      <c r="B5979" s="270">
        <v>2019</v>
      </c>
      <c r="C5979" s="270">
        <v>2020</v>
      </c>
      <c r="D5979" s="270">
        <v>1</v>
      </c>
      <c r="E5979" s="270">
        <v>1</v>
      </c>
      <c r="F5979" s="270" t="s">
        <v>944</v>
      </c>
      <c r="G5979" s="270" t="s">
        <v>3926</v>
      </c>
      <c r="H5979" s="270" t="s">
        <v>10691</v>
      </c>
      <c r="I5979" s="270" t="s">
        <v>4055</v>
      </c>
      <c r="J5979" s="270" t="s">
        <v>3928</v>
      </c>
      <c r="K5979" s="270">
        <v>6070</v>
      </c>
      <c r="L5979" s="270">
        <v>466102</v>
      </c>
      <c r="M5979" s="270" t="s">
        <v>3943</v>
      </c>
      <c r="N5979" s="270" t="s">
        <v>8674</v>
      </c>
      <c r="O5979" s="270">
        <v>0</v>
      </c>
      <c r="P5979" s="270" t="s">
        <v>3930</v>
      </c>
      <c r="Q5979" s="270" t="s">
        <v>3930</v>
      </c>
      <c r="R5979" s="270">
        <v>0</v>
      </c>
      <c r="S5979" s="270">
        <v>8400</v>
      </c>
      <c r="T5979" s="270">
        <v>8400</v>
      </c>
      <c r="U5979" s="271" t="s">
        <v>3937</v>
      </c>
      <c r="V5979" s="267" t="s">
        <v>944</v>
      </c>
    </row>
    <row r="5980" spans="1:22" hidden="1" x14ac:dyDescent="0.25">
      <c r="A5980" s="266">
        <v>43748</v>
      </c>
      <c r="B5980" s="267">
        <v>2019</v>
      </c>
      <c r="C5980" s="267">
        <v>2020</v>
      </c>
      <c r="D5980" s="267">
        <v>1</v>
      </c>
      <c r="E5980" s="267">
        <v>1</v>
      </c>
      <c r="F5980" s="267" t="s">
        <v>944</v>
      </c>
      <c r="G5980" s="267" t="s">
        <v>3926</v>
      </c>
      <c r="H5980" s="267" t="s">
        <v>10692</v>
      </c>
      <c r="I5980" s="267" t="s">
        <v>2985</v>
      </c>
      <c r="J5980" s="267" t="s">
        <v>3928</v>
      </c>
      <c r="K5980" s="267">
        <v>6824</v>
      </c>
      <c r="L5980" s="267">
        <v>61500</v>
      </c>
      <c r="M5980" s="267" t="s">
        <v>3943</v>
      </c>
      <c r="N5980" s="267" t="s">
        <v>10693</v>
      </c>
      <c r="O5980" s="267">
        <v>0</v>
      </c>
      <c r="P5980" s="267" t="s">
        <v>3930</v>
      </c>
      <c r="Q5980" s="267" t="s">
        <v>3930</v>
      </c>
      <c r="R5980" s="267">
        <v>0</v>
      </c>
      <c r="S5980" s="267">
        <v>8568</v>
      </c>
      <c r="T5980" s="267">
        <v>8568</v>
      </c>
      <c r="U5980" s="268" t="s">
        <v>3937</v>
      </c>
      <c r="V5980" s="267" t="s">
        <v>944</v>
      </c>
    </row>
    <row r="5981" spans="1:22" hidden="1" x14ac:dyDescent="0.25">
      <c r="A5981" s="269">
        <v>43748</v>
      </c>
      <c r="B5981" s="270">
        <v>2019</v>
      </c>
      <c r="C5981" s="270">
        <v>2020</v>
      </c>
      <c r="D5981" s="270">
        <v>1</v>
      </c>
      <c r="E5981" s="270">
        <v>1</v>
      </c>
      <c r="F5981" s="270" t="s">
        <v>944</v>
      </c>
      <c r="G5981" s="270" t="s">
        <v>3926</v>
      </c>
      <c r="H5981" s="270" t="s">
        <v>10694</v>
      </c>
      <c r="I5981" s="270" t="s">
        <v>953</v>
      </c>
      <c r="J5981" s="270" t="s">
        <v>3928</v>
      </c>
      <c r="K5981" s="270">
        <v>6514</v>
      </c>
      <c r="L5981" s="270">
        <v>165802</v>
      </c>
      <c r="M5981" s="270" t="s">
        <v>3943</v>
      </c>
      <c r="N5981" s="270" t="s">
        <v>10695</v>
      </c>
      <c r="O5981" s="270">
        <v>0</v>
      </c>
      <c r="P5981" s="270" t="s">
        <v>3930</v>
      </c>
      <c r="Q5981" s="270" t="s">
        <v>3930</v>
      </c>
      <c r="R5981" s="270">
        <v>0</v>
      </c>
      <c r="S5981" s="270">
        <v>10810</v>
      </c>
      <c r="T5981" s="270">
        <v>10810</v>
      </c>
      <c r="U5981" s="271" t="s">
        <v>3937</v>
      </c>
      <c r="V5981" s="267" t="s">
        <v>944</v>
      </c>
    </row>
    <row r="5982" spans="1:22" hidden="1" x14ac:dyDescent="0.25">
      <c r="A5982" s="266">
        <v>43748</v>
      </c>
      <c r="B5982" s="267">
        <v>2019</v>
      </c>
      <c r="C5982" s="267">
        <v>2020</v>
      </c>
      <c r="D5982" s="267">
        <v>1</v>
      </c>
      <c r="E5982" s="267">
        <v>1</v>
      </c>
      <c r="F5982" s="267" t="s">
        <v>944</v>
      </c>
      <c r="G5982" s="267" t="s">
        <v>3997</v>
      </c>
      <c r="H5982" s="267" t="s">
        <v>10696</v>
      </c>
      <c r="I5982" s="267" t="s">
        <v>934</v>
      </c>
      <c r="J5982" s="267" t="s">
        <v>3928</v>
      </c>
      <c r="K5982" s="267">
        <v>6601</v>
      </c>
      <c r="L5982" s="267">
        <v>240200</v>
      </c>
      <c r="M5982" s="267" t="s">
        <v>3943</v>
      </c>
      <c r="N5982" s="267" t="s">
        <v>3983</v>
      </c>
      <c r="O5982" s="267">
        <v>2846.44</v>
      </c>
      <c r="P5982" s="267" t="s">
        <v>3930</v>
      </c>
      <c r="Q5982" s="267" t="s">
        <v>3931</v>
      </c>
      <c r="R5982" s="267">
        <v>7846.44</v>
      </c>
      <c r="S5982" s="267">
        <v>16504</v>
      </c>
      <c r="T5982" s="267">
        <v>24350.44</v>
      </c>
      <c r="U5982" s="268" t="s">
        <v>3932</v>
      </c>
      <c r="V5982" s="267" t="s">
        <v>944</v>
      </c>
    </row>
    <row r="5983" spans="1:22" hidden="1" x14ac:dyDescent="0.25">
      <c r="A5983" s="269">
        <v>43748</v>
      </c>
      <c r="B5983" s="270">
        <v>2019</v>
      </c>
      <c r="C5983" s="270">
        <v>2020</v>
      </c>
      <c r="D5983" s="270">
        <v>1</v>
      </c>
      <c r="E5983" s="270">
        <v>1</v>
      </c>
      <c r="F5983" s="270" t="s">
        <v>944</v>
      </c>
      <c r="G5983" s="270" t="s">
        <v>3926</v>
      </c>
      <c r="H5983" s="270" t="s">
        <v>10697</v>
      </c>
      <c r="I5983" s="270" t="s">
        <v>2987</v>
      </c>
      <c r="J5983" s="270" t="s">
        <v>3928</v>
      </c>
      <c r="K5983" s="270">
        <v>6611</v>
      </c>
      <c r="L5983" s="270">
        <v>90700</v>
      </c>
      <c r="M5983" s="270" t="s">
        <v>3943</v>
      </c>
      <c r="N5983" s="270" t="s">
        <v>4053</v>
      </c>
      <c r="O5983" s="270">
        <v>1129.28</v>
      </c>
      <c r="P5983" s="270" t="s">
        <v>3930</v>
      </c>
      <c r="Q5983" s="270" t="s">
        <v>3931</v>
      </c>
      <c r="R5983" s="270">
        <v>6129.28</v>
      </c>
      <c r="S5983" s="270">
        <v>18603.2</v>
      </c>
      <c r="T5983" s="270">
        <v>24732.48</v>
      </c>
      <c r="U5983" s="271" t="s">
        <v>3932</v>
      </c>
      <c r="V5983" s="267" t="s">
        <v>944</v>
      </c>
    </row>
    <row r="5984" spans="1:22" hidden="1" x14ac:dyDescent="0.25">
      <c r="A5984" s="266">
        <v>43748</v>
      </c>
      <c r="B5984" s="267">
        <v>2019</v>
      </c>
      <c r="C5984" s="267">
        <v>2020</v>
      </c>
      <c r="D5984" s="267">
        <v>1</v>
      </c>
      <c r="E5984" s="267">
        <v>1</v>
      </c>
      <c r="F5984" s="267" t="s">
        <v>944</v>
      </c>
      <c r="G5984" s="267" t="s">
        <v>3926</v>
      </c>
      <c r="H5984" s="267" t="s">
        <v>10698</v>
      </c>
      <c r="I5984" s="267" t="s">
        <v>934</v>
      </c>
      <c r="J5984" s="267" t="s">
        <v>3928</v>
      </c>
      <c r="K5984" s="267">
        <v>6601</v>
      </c>
      <c r="L5984" s="267">
        <v>240200</v>
      </c>
      <c r="M5984" s="267" t="s">
        <v>3943</v>
      </c>
      <c r="N5984" s="267" t="s">
        <v>10699</v>
      </c>
      <c r="O5984" s="267">
        <v>797.02</v>
      </c>
      <c r="P5984" s="267" t="s">
        <v>3930</v>
      </c>
      <c r="Q5984" s="267" t="s">
        <v>3931</v>
      </c>
      <c r="R5984" s="267">
        <v>5797.02</v>
      </c>
      <c r="S5984" s="267">
        <v>10540</v>
      </c>
      <c r="T5984" s="267">
        <v>16337.02</v>
      </c>
      <c r="U5984" s="268" t="s">
        <v>3932</v>
      </c>
      <c r="V5984" s="267" t="s">
        <v>944</v>
      </c>
    </row>
    <row r="5985" spans="1:22" hidden="1" x14ac:dyDescent="0.25">
      <c r="A5985" s="269">
        <v>43748</v>
      </c>
      <c r="B5985" s="270">
        <v>2019</v>
      </c>
      <c r="C5985" s="270">
        <v>2020</v>
      </c>
      <c r="D5985" s="270">
        <v>1</v>
      </c>
      <c r="E5985" s="270">
        <v>1</v>
      </c>
      <c r="F5985" s="270" t="s">
        <v>944</v>
      </c>
      <c r="G5985" s="270" t="s">
        <v>3926</v>
      </c>
      <c r="H5985" s="270" t="s">
        <v>10700</v>
      </c>
      <c r="I5985" s="270" t="s">
        <v>3996</v>
      </c>
      <c r="J5985" s="270" t="s">
        <v>3928</v>
      </c>
      <c r="K5985" s="270">
        <v>6790</v>
      </c>
      <c r="L5985" s="270">
        <v>310602</v>
      </c>
      <c r="M5985" s="270" t="s">
        <v>3935</v>
      </c>
      <c r="N5985" s="270" t="s">
        <v>10701</v>
      </c>
      <c r="O5985" s="270">
        <v>0</v>
      </c>
      <c r="P5985" s="270" t="s">
        <v>3930</v>
      </c>
      <c r="Q5985" s="270" t="s">
        <v>3930</v>
      </c>
      <c r="R5985" s="270">
        <v>0</v>
      </c>
      <c r="S5985" s="270">
        <v>13800</v>
      </c>
      <c r="T5985" s="270">
        <v>13800</v>
      </c>
      <c r="U5985" s="271" t="s">
        <v>3937</v>
      </c>
      <c r="V5985" s="267" t="s">
        <v>944</v>
      </c>
    </row>
    <row r="5986" spans="1:22" hidden="1" x14ac:dyDescent="0.25">
      <c r="A5986" s="266">
        <v>43748</v>
      </c>
      <c r="B5986" s="267">
        <v>2019</v>
      </c>
      <c r="C5986" s="267">
        <v>2020</v>
      </c>
      <c r="D5986" s="267">
        <v>1</v>
      </c>
      <c r="E5986" s="267">
        <v>1</v>
      </c>
      <c r="F5986" s="267" t="s">
        <v>944</v>
      </c>
      <c r="G5986" s="267" t="s">
        <v>3926</v>
      </c>
      <c r="H5986" s="267" t="s">
        <v>10702</v>
      </c>
      <c r="I5986" s="267" t="s">
        <v>943</v>
      </c>
      <c r="J5986" s="267" t="s">
        <v>3928</v>
      </c>
      <c r="K5986" s="267">
        <v>6501</v>
      </c>
      <c r="L5986" s="267">
        <v>165801</v>
      </c>
      <c r="M5986" s="267" t="s">
        <v>3935</v>
      </c>
      <c r="N5986" s="267" t="s">
        <v>7680</v>
      </c>
      <c r="O5986" s="267">
        <v>989.07</v>
      </c>
      <c r="P5986" s="267" t="s">
        <v>3930</v>
      </c>
      <c r="Q5986" s="267" t="s">
        <v>3931</v>
      </c>
      <c r="R5986" s="267">
        <v>5989.07</v>
      </c>
      <c r="S5986" s="267">
        <v>11128</v>
      </c>
      <c r="T5986" s="267">
        <v>17117.07</v>
      </c>
      <c r="U5986" s="268" t="s">
        <v>3932</v>
      </c>
      <c r="V5986" s="267" t="s">
        <v>944</v>
      </c>
    </row>
    <row r="5987" spans="1:22" hidden="1" x14ac:dyDescent="0.25">
      <c r="A5987" s="269">
        <v>43748</v>
      </c>
      <c r="B5987" s="270">
        <v>2019</v>
      </c>
      <c r="C5987" s="270">
        <v>2020</v>
      </c>
      <c r="D5987" s="270">
        <v>1</v>
      </c>
      <c r="E5987" s="270">
        <v>1</v>
      </c>
      <c r="F5987" s="270" t="s">
        <v>944</v>
      </c>
      <c r="G5987" s="270" t="s">
        <v>3926</v>
      </c>
      <c r="H5987" s="270" t="s">
        <v>10703</v>
      </c>
      <c r="I5987" s="270" t="s">
        <v>4003</v>
      </c>
      <c r="J5987" s="270" t="s">
        <v>3928</v>
      </c>
      <c r="K5987" s="270">
        <v>6354</v>
      </c>
      <c r="L5987" s="270">
        <v>907200</v>
      </c>
      <c r="M5987" s="270" t="s">
        <v>3940</v>
      </c>
      <c r="N5987" s="270" t="s">
        <v>10704</v>
      </c>
      <c r="O5987" s="270">
        <v>0</v>
      </c>
      <c r="P5987" s="270" t="s">
        <v>3930</v>
      </c>
      <c r="Q5987" s="270" t="s">
        <v>3930</v>
      </c>
      <c r="R5987" s="270">
        <v>0</v>
      </c>
      <c r="S5987" s="270">
        <v>12380</v>
      </c>
      <c r="T5987" s="270">
        <v>12380</v>
      </c>
      <c r="U5987" s="271" t="s">
        <v>3937</v>
      </c>
      <c r="V5987" s="267" t="s">
        <v>944</v>
      </c>
    </row>
    <row r="5988" spans="1:22" hidden="1" x14ac:dyDescent="0.25">
      <c r="A5988" s="266">
        <v>43748</v>
      </c>
      <c r="B5988" s="267">
        <v>2019</v>
      </c>
      <c r="C5988" s="267">
        <v>2020</v>
      </c>
      <c r="D5988" s="267">
        <v>1</v>
      </c>
      <c r="E5988" s="267">
        <v>1</v>
      </c>
      <c r="F5988" s="267" t="s">
        <v>944</v>
      </c>
      <c r="G5988" s="267" t="s">
        <v>3926</v>
      </c>
      <c r="H5988" s="267" t="s">
        <v>10705</v>
      </c>
      <c r="I5988" s="267" t="s">
        <v>4008</v>
      </c>
      <c r="J5988" s="267" t="s">
        <v>3928</v>
      </c>
      <c r="K5988" s="267">
        <v>6320</v>
      </c>
      <c r="L5988" s="267">
        <v>690900</v>
      </c>
      <c r="M5988" s="267" t="s">
        <v>3935</v>
      </c>
      <c r="N5988" s="267" t="s">
        <v>5725</v>
      </c>
      <c r="O5988" s="267">
        <v>0</v>
      </c>
      <c r="P5988" s="267" t="s">
        <v>3930</v>
      </c>
      <c r="Q5988" s="267" t="s">
        <v>3930</v>
      </c>
      <c r="R5988" s="267">
        <v>0</v>
      </c>
      <c r="S5988" s="267">
        <v>5096</v>
      </c>
      <c r="T5988" s="267">
        <v>5096</v>
      </c>
      <c r="U5988" s="268" t="s">
        <v>3937</v>
      </c>
      <c r="V5988" s="267" t="s">
        <v>944</v>
      </c>
    </row>
    <row r="5989" spans="1:22" hidden="1" x14ac:dyDescent="0.25">
      <c r="A5989" s="269">
        <v>43748</v>
      </c>
      <c r="B5989" s="270">
        <v>2019</v>
      </c>
      <c r="C5989" s="270">
        <v>2020</v>
      </c>
      <c r="D5989" s="270">
        <v>1</v>
      </c>
      <c r="E5989" s="270">
        <v>1</v>
      </c>
      <c r="F5989" s="270" t="s">
        <v>944</v>
      </c>
      <c r="G5989" s="270" t="s">
        <v>3926</v>
      </c>
      <c r="H5989" s="270" t="s">
        <v>10706</v>
      </c>
      <c r="I5989" s="270" t="s">
        <v>3008</v>
      </c>
      <c r="J5989" s="270" t="s">
        <v>3928</v>
      </c>
      <c r="K5989" s="270">
        <v>6460</v>
      </c>
      <c r="L5989" s="270">
        <v>150900</v>
      </c>
      <c r="M5989" s="270" t="s">
        <v>3943</v>
      </c>
      <c r="N5989" s="270" t="s">
        <v>3944</v>
      </c>
      <c r="O5989" s="270">
        <v>2249</v>
      </c>
      <c r="P5989" s="270" t="s">
        <v>3944</v>
      </c>
      <c r="Q5989" s="270" t="s">
        <v>3944</v>
      </c>
      <c r="R5989" s="270">
        <v>2249</v>
      </c>
      <c r="S5989" s="270">
        <v>18241</v>
      </c>
      <c r="T5989" s="270">
        <v>20490</v>
      </c>
      <c r="U5989" s="271" t="s">
        <v>3945</v>
      </c>
      <c r="V5989" s="267" t="s">
        <v>944</v>
      </c>
    </row>
    <row r="5990" spans="1:22" hidden="1" x14ac:dyDescent="0.25">
      <c r="A5990" s="266">
        <v>43748</v>
      </c>
      <c r="B5990" s="267">
        <v>2019</v>
      </c>
      <c r="C5990" s="267">
        <v>2020</v>
      </c>
      <c r="D5990" s="267">
        <v>1</v>
      </c>
      <c r="E5990" s="267">
        <v>1</v>
      </c>
      <c r="F5990" s="267" t="s">
        <v>944</v>
      </c>
      <c r="G5990" s="267" t="s">
        <v>3926</v>
      </c>
      <c r="H5990" s="267" t="s">
        <v>10707</v>
      </c>
      <c r="I5990" s="267" t="s">
        <v>4079</v>
      </c>
      <c r="J5990" s="267" t="s">
        <v>3928</v>
      </c>
      <c r="K5990" s="267">
        <v>6111</v>
      </c>
      <c r="L5990" s="267">
        <v>494600</v>
      </c>
      <c r="M5990" s="267" t="s">
        <v>3935</v>
      </c>
      <c r="N5990" s="267" t="s">
        <v>3944</v>
      </c>
      <c r="O5990" s="267">
        <v>5116</v>
      </c>
      <c r="P5990" s="267" t="s">
        <v>3944</v>
      </c>
      <c r="Q5990" s="267" t="s">
        <v>3944</v>
      </c>
      <c r="R5990" s="267">
        <v>5116</v>
      </c>
      <c r="S5990" s="267">
        <v>30168</v>
      </c>
      <c r="T5990" s="267">
        <v>35284</v>
      </c>
      <c r="U5990" s="268" t="s">
        <v>3945</v>
      </c>
      <c r="V5990" s="267" t="s">
        <v>944</v>
      </c>
    </row>
    <row r="5991" spans="1:22" hidden="1" x14ac:dyDescent="0.25">
      <c r="A5991" s="269">
        <v>43748</v>
      </c>
      <c r="B5991" s="270">
        <v>2019</v>
      </c>
      <c r="C5991" s="270">
        <v>2020</v>
      </c>
      <c r="D5991" s="270">
        <v>1</v>
      </c>
      <c r="E5991" s="270">
        <v>1</v>
      </c>
      <c r="F5991" s="270" t="s">
        <v>944</v>
      </c>
      <c r="G5991" s="270" t="s">
        <v>3926</v>
      </c>
      <c r="H5991" s="270" t="s">
        <v>10708</v>
      </c>
      <c r="I5991" s="270" t="s">
        <v>4297</v>
      </c>
      <c r="J5991" s="270" t="s">
        <v>3928</v>
      </c>
      <c r="K5991" s="270">
        <v>6231</v>
      </c>
      <c r="L5991" s="270">
        <v>526101</v>
      </c>
      <c r="M5991" s="270" t="s">
        <v>3943</v>
      </c>
      <c r="N5991" s="270" t="s">
        <v>3944</v>
      </c>
      <c r="O5991" s="270">
        <v>2279</v>
      </c>
      <c r="P5991" s="270" t="s">
        <v>3944</v>
      </c>
      <c r="Q5991" s="270" t="s">
        <v>3944</v>
      </c>
      <c r="R5991" s="270">
        <v>2279</v>
      </c>
      <c r="S5991" s="270">
        <v>22075</v>
      </c>
      <c r="T5991" s="270">
        <v>24354</v>
      </c>
      <c r="U5991" s="271" t="s">
        <v>3945</v>
      </c>
      <c r="V5991" s="267" t="s">
        <v>944</v>
      </c>
    </row>
    <row r="5992" spans="1:22" hidden="1" x14ac:dyDescent="0.25">
      <c r="A5992" s="266">
        <v>43749</v>
      </c>
      <c r="B5992" s="267">
        <v>2019</v>
      </c>
      <c r="C5992" s="267">
        <v>2020</v>
      </c>
      <c r="D5992" s="267">
        <v>1</v>
      </c>
      <c r="E5992" s="267">
        <v>1</v>
      </c>
      <c r="F5992" s="267" t="s">
        <v>944</v>
      </c>
      <c r="G5992" s="267" t="s">
        <v>3926</v>
      </c>
      <c r="H5992" s="267" t="s">
        <v>10709</v>
      </c>
      <c r="I5992" s="267" t="s">
        <v>4323</v>
      </c>
      <c r="J5992" s="267" t="s">
        <v>3928</v>
      </c>
      <c r="K5992" s="267">
        <v>6385</v>
      </c>
      <c r="L5992" s="267">
        <v>693500</v>
      </c>
      <c r="M5992" s="267" t="s">
        <v>3943</v>
      </c>
      <c r="N5992" s="267" t="s">
        <v>10710</v>
      </c>
      <c r="O5992" s="267">
        <v>0</v>
      </c>
      <c r="P5992" s="267" t="s">
        <v>3930</v>
      </c>
      <c r="Q5992" s="267" t="s">
        <v>3930</v>
      </c>
      <c r="R5992" s="267">
        <v>0</v>
      </c>
      <c r="S5992" s="267">
        <v>15244</v>
      </c>
      <c r="T5992" s="267">
        <v>15244</v>
      </c>
      <c r="U5992" s="268" t="s">
        <v>3937</v>
      </c>
      <c r="V5992" s="267" t="s">
        <v>944</v>
      </c>
    </row>
    <row r="5993" spans="1:22" hidden="1" x14ac:dyDescent="0.25">
      <c r="A5993" s="269">
        <v>43749</v>
      </c>
      <c r="B5993" s="270">
        <v>2019</v>
      </c>
      <c r="C5993" s="270">
        <v>2020</v>
      </c>
      <c r="D5993" s="270">
        <v>1</v>
      </c>
      <c r="E5993" s="270">
        <v>1</v>
      </c>
      <c r="F5993" s="270" t="s">
        <v>944</v>
      </c>
      <c r="G5993" s="270" t="s">
        <v>3926</v>
      </c>
      <c r="H5993" s="270" t="s">
        <v>10711</v>
      </c>
      <c r="I5993" s="270" t="s">
        <v>956</v>
      </c>
      <c r="J5993" s="270" t="s">
        <v>3928</v>
      </c>
      <c r="K5993" s="270">
        <v>6614</v>
      </c>
      <c r="L5993" s="270">
        <v>80800</v>
      </c>
      <c r="M5993" s="270" t="s">
        <v>3960</v>
      </c>
      <c r="N5993" s="270" t="s">
        <v>10712</v>
      </c>
      <c r="O5993" s="270">
        <v>0</v>
      </c>
      <c r="P5993" s="270" t="s">
        <v>3930</v>
      </c>
      <c r="Q5993" s="270" t="s">
        <v>3930</v>
      </c>
      <c r="R5993" s="270">
        <v>0</v>
      </c>
      <c r="S5993" s="270">
        <v>9766</v>
      </c>
      <c r="T5993" s="270">
        <v>9766</v>
      </c>
      <c r="U5993" s="271" t="s">
        <v>3937</v>
      </c>
      <c r="V5993" s="267" t="s">
        <v>944</v>
      </c>
    </row>
    <row r="5994" spans="1:22" hidden="1" x14ac:dyDescent="0.25">
      <c r="A5994" s="266">
        <v>43749</v>
      </c>
      <c r="B5994" s="267">
        <v>2019</v>
      </c>
      <c r="C5994" s="267">
        <v>2020</v>
      </c>
      <c r="D5994" s="267">
        <v>1</v>
      </c>
      <c r="E5994" s="267">
        <v>1</v>
      </c>
      <c r="F5994" s="267" t="s">
        <v>944</v>
      </c>
      <c r="G5994" s="267" t="s">
        <v>3926</v>
      </c>
      <c r="H5994" s="267" t="s">
        <v>10713</v>
      </c>
      <c r="I5994" s="267" t="s">
        <v>4548</v>
      </c>
      <c r="J5994" s="267" t="s">
        <v>3928</v>
      </c>
      <c r="K5994" s="267">
        <v>6037</v>
      </c>
      <c r="L5994" s="267">
        <v>400100</v>
      </c>
      <c r="M5994" s="267" t="s">
        <v>3935</v>
      </c>
      <c r="N5994" s="267" t="s">
        <v>10714</v>
      </c>
      <c r="O5994" s="267">
        <v>0</v>
      </c>
      <c r="P5994" s="267" t="s">
        <v>3930</v>
      </c>
      <c r="Q5994" s="267" t="s">
        <v>3930</v>
      </c>
      <c r="R5994" s="267">
        <v>0</v>
      </c>
      <c r="S5994" s="267">
        <v>8969.85</v>
      </c>
      <c r="T5994" s="267">
        <v>8969.85</v>
      </c>
      <c r="U5994" s="268" t="s">
        <v>3937</v>
      </c>
      <c r="V5994" s="267" t="s">
        <v>944</v>
      </c>
    </row>
    <row r="5995" spans="1:22" hidden="1" x14ac:dyDescent="0.25">
      <c r="A5995" s="269">
        <v>43749</v>
      </c>
      <c r="B5995" s="270">
        <v>2019</v>
      </c>
      <c r="C5995" s="270">
        <v>2020</v>
      </c>
      <c r="D5995" s="270">
        <v>1</v>
      </c>
      <c r="E5995" s="270">
        <v>1</v>
      </c>
      <c r="F5995" s="270" t="s">
        <v>944</v>
      </c>
      <c r="G5995" s="270" t="s">
        <v>3926</v>
      </c>
      <c r="H5995" s="270" t="s">
        <v>10715</v>
      </c>
      <c r="I5995" s="270" t="s">
        <v>4124</v>
      </c>
      <c r="J5995" s="270" t="s">
        <v>3928</v>
      </c>
      <c r="K5995" s="270">
        <v>6470</v>
      </c>
      <c r="L5995" s="270">
        <v>230200</v>
      </c>
      <c r="M5995" s="270" t="s">
        <v>3943</v>
      </c>
      <c r="N5995" s="270" t="s">
        <v>10716</v>
      </c>
      <c r="O5995" s="270">
        <v>0</v>
      </c>
      <c r="P5995" s="270" t="s">
        <v>3930</v>
      </c>
      <c r="Q5995" s="270" t="s">
        <v>3930</v>
      </c>
      <c r="R5995" s="270">
        <v>0</v>
      </c>
      <c r="S5995" s="270">
        <v>24276</v>
      </c>
      <c r="T5995" s="270">
        <v>24276</v>
      </c>
      <c r="U5995" s="271" t="s">
        <v>3937</v>
      </c>
      <c r="V5995" s="267" t="s">
        <v>944</v>
      </c>
    </row>
    <row r="5996" spans="1:22" hidden="1" x14ac:dyDescent="0.25">
      <c r="A5996" s="266">
        <v>43749</v>
      </c>
      <c r="B5996" s="267">
        <v>2019</v>
      </c>
      <c r="C5996" s="267">
        <v>2020</v>
      </c>
      <c r="D5996" s="267">
        <v>1</v>
      </c>
      <c r="E5996" s="267">
        <v>1</v>
      </c>
      <c r="F5996" s="267" t="s">
        <v>944</v>
      </c>
      <c r="G5996" s="267" t="s">
        <v>3926</v>
      </c>
      <c r="H5996" s="267" t="s">
        <v>10717</v>
      </c>
      <c r="I5996" s="267" t="s">
        <v>3990</v>
      </c>
      <c r="J5996" s="267" t="s">
        <v>3928</v>
      </c>
      <c r="K5996" s="267">
        <v>6804</v>
      </c>
      <c r="L5996" s="267">
        <v>205200</v>
      </c>
      <c r="M5996" s="267" t="s">
        <v>3943</v>
      </c>
      <c r="N5996" s="267" t="s">
        <v>10718</v>
      </c>
      <c r="O5996" s="267">
        <v>4320</v>
      </c>
      <c r="P5996" s="267" t="s">
        <v>3930</v>
      </c>
      <c r="Q5996" s="267" t="s">
        <v>3930</v>
      </c>
      <c r="R5996" s="267">
        <v>4320</v>
      </c>
      <c r="S5996" s="267">
        <v>37494</v>
      </c>
      <c r="T5996" s="267">
        <v>41814</v>
      </c>
      <c r="U5996" s="268" t="s">
        <v>3937</v>
      </c>
      <c r="V5996" s="267" t="s">
        <v>944</v>
      </c>
    </row>
    <row r="5997" spans="1:22" hidden="1" x14ac:dyDescent="0.25">
      <c r="A5997" s="269">
        <v>43749</v>
      </c>
      <c r="B5997" s="270">
        <v>2019</v>
      </c>
      <c r="C5997" s="270">
        <v>2020</v>
      </c>
      <c r="D5997" s="270">
        <v>1</v>
      </c>
      <c r="E5997" s="270">
        <v>1</v>
      </c>
      <c r="F5997" s="270" t="s">
        <v>944</v>
      </c>
      <c r="G5997" s="270" t="s">
        <v>3926</v>
      </c>
      <c r="H5997" s="270" t="s">
        <v>10719</v>
      </c>
      <c r="I5997" s="270" t="s">
        <v>4037</v>
      </c>
      <c r="J5997" s="270" t="s">
        <v>3928</v>
      </c>
      <c r="K5997" s="270">
        <v>6811</v>
      </c>
      <c r="L5997" s="270">
        <v>210900</v>
      </c>
      <c r="M5997" s="270" t="s">
        <v>3943</v>
      </c>
      <c r="N5997" s="270" t="s">
        <v>10720</v>
      </c>
      <c r="O5997" s="270">
        <v>2293</v>
      </c>
      <c r="P5997" s="270" t="s">
        <v>3930</v>
      </c>
      <c r="Q5997" s="270" t="s">
        <v>3930</v>
      </c>
      <c r="R5997" s="270">
        <v>2293</v>
      </c>
      <c r="S5997" s="270">
        <v>18555.099999999999</v>
      </c>
      <c r="T5997" s="270">
        <v>20848.099999999999</v>
      </c>
      <c r="U5997" s="271" t="s">
        <v>3937</v>
      </c>
      <c r="V5997" s="267" t="s">
        <v>944</v>
      </c>
    </row>
    <row r="5998" spans="1:22" hidden="1" x14ac:dyDescent="0.25">
      <c r="A5998" s="266">
        <v>43749</v>
      </c>
      <c r="B5998" s="267">
        <v>2019</v>
      </c>
      <c r="C5998" s="267">
        <v>2020</v>
      </c>
      <c r="D5998" s="267">
        <v>1</v>
      </c>
      <c r="E5998" s="267">
        <v>1</v>
      </c>
      <c r="F5998" s="267" t="s">
        <v>944</v>
      </c>
      <c r="G5998" s="267" t="s">
        <v>3926</v>
      </c>
      <c r="H5998" s="267" t="s">
        <v>10721</v>
      </c>
      <c r="I5998" s="267" t="s">
        <v>5156</v>
      </c>
      <c r="J5998" s="267" t="s">
        <v>3928</v>
      </c>
      <c r="K5998" s="267">
        <v>6360</v>
      </c>
      <c r="L5998" s="267">
        <v>696200</v>
      </c>
      <c r="M5998" s="267" t="s">
        <v>3935</v>
      </c>
      <c r="N5998" s="267" t="s">
        <v>7638</v>
      </c>
      <c r="O5998" s="267">
        <v>0</v>
      </c>
      <c r="P5998" s="267" t="s">
        <v>3930</v>
      </c>
      <c r="Q5998" s="267" t="s">
        <v>3930</v>
      </c>
      <c r="R5998" s="267">
        <v>0</v>
      </c>
      <c r="S5998" s="267">
        <v>10850</v>
      </c>
      <c r="T5998" s="267">
        <v>10850</v>
      </c>
      <c r="U5998" s="268" t="s">
        <v>3937</v>
      </c>
      <c r="V5998" s="267" t="s">
        <v>944</v>
      </c>
    </row>
    <row r="5999" spans="1:22" hidden="1" x14ac:dyDescent="0.25">
      <c r="A5999" s="269">
        <v>43749</v>
      </c>
      <c r="B5999" s="270">
        <v>2019</v>
      </c>
      <c r="C5999" s="270">
        <v>2020</v>
      </c>
      <c r="D5999" s="270">
        <v>1</v>
      </c>
      <c r="E5999" s="270">
        <v>1</v>
      </c>
      <c r="F5999" s="270" t="s">
        <v>944</v>
      </c>
      <c r="G5999" s="270" t="s">
        <v>3926</v>
      </c>
      <c r="H5999" s="270" t="s">
        <v>10722</v>
      </c>
      <c r="I5999" s="270" t="s">
        <v>5147</v>
      </c>
      <c r="J5999" s="270" t="s">
        <v>3928</v>
      </c>
      <c r="K5999" s="270">
        <v>6468</v>
      </c>
      <c r="L5999" s="270">
        <v>100200</v>
      </c>
      <c r="M5999" s="270" t="s">
        <v>3943</v>
      </c>
      <c r="N5999" s="270" t="s">
        <v>3944</v>
      </c>
      <c r="O5999" s="270">
        <v>3595</v>
      </c>
      <c r="P5999" s="270" t="s">
        <v>3944</v>
      </c>
      <c r="Q5999" s="270" t="s">
        <v>3944</v>
      </c>
      <c r="R5999" s="270">
        <v>3595</v>
      </c>
      <c r="S5999" s="270">
        <v>27548.83</v>
      </c>
      <c r="T5999" s="270">
        <v>31143.83</v>
      </c>
      <c r="U5999" s="271" t="s">
        <v>3945</v>
      </c>
      <c r="V5999" s="267" t="s">
        <v>944</v>
      </c>
    </row>
    <row r="6000" spans="1:22" hidden="1" x14ac:dyDescent="0.25">
      <c r="A6000" s="266">
        <v>43749</v>
      </c>
      <c r="B6000" s="267">
        <v>2019</v>
      </c>
      <c r="C6000" s="267">
        <v>2020</v>
      </c>
      <c r="D6000" s="267">
        <v>1</v>
      </c>
      <c r="E6000" s="267">
        <v>1</v>
      </c>
      <c r="F6000" s="267" t="s">
        <v>944</v>
      </c>
      <c r="G6000" s="267" t="s">
        <v>3926</v>
      </c>
      <c r="H6000" s="267" t="s">
        <v>10723</v>
      </c>
      <c r="I6000" s="267" t="s">
        <v>4042</v>
      </c>
      <c r="J6000" s="267" t="s">
        <v>3928</v>
      </c>
      <c r="K6000" s="267">
        <v>6382</v>
      </c>
      <c r="L6000" s="267">
        <v>870502</v>
      </c>
      <c r="M6000" s="267" t="s">
        <v>3940</v>
      </c>
      <c r="N6000" s="267" t="s">
        <v>3944</v>
      </c>
      <c r="O6000" s="267">
        <v>2993</v>
      </c>
      <c r="P6000" s="267" t="s">
        <v>3944</v>
      </c>
      <c r="Q6000" s="267" t="s">
        <v>3944</v>
      </c>
      <c r="R6000" s="267">
        <v>2993</v>
      </c>
      <c r="S6000" s="267">
        <v>36952.67</v>
      </c>
      <c r="T6000" s="267">
        <v>39945.67</v>
      </c>
      <c r="U6000" s="268" t="s">
        <v>3945</v>
      </c>
      <c r="V6000" s="267" t="s">
        <v>944</v>
      </c>
    </row>
    <row r="6001" spans="1:22" hidden="1" x14ac:dyDescent="0.25">
      <c r="A6001" s="269">
        <v>43749</v>
      </c>
      <c r="B6001" s="270">
        <v>2019</v>
      </c>
      <c r="C6001" s="270">
        <v>2020</v>
      </c>
      <c r="D6001" s="270">
        <v>1</v>
      </c>
      <c r="E6001" s="270">
        <v>1</v>
      </c>
      <c r="F6001" s="270" t="s">
        <v>944</v>
      </c>
      <c r="G6001" s="270" t="s">
        <v>3926</v>
      </c>
      <c r="H6001" s="270" t="s">
        <v>10724</v>
      </c>
      <c r="I6001" s="270" t="s">
        <v>4239</v>
      </c>
      <c r="J6001" s="270" t="s">
        <v>3928</v>
      </c>
      <c r="K6001" s="270">
        <v>6032</v>
      </c>
      <c r="L6001" s="270">
        <v>460301</v>
      </c>
      <c r="M6001" s="270" t="s">
        <v>3943</v>
      </c>
      <c r="N6001" s="270" t="s">
        <v>3944</v>
      </c>
      <c r="O6001" s="270">
        <v>2258</v>
      </c>
      <c r="P6001" s="270" t="s">
        <v>3944</v>
      </c>
      <c r="Q6001" s="270" t="s">
        <v>3944</v>
      </c>
      <c r="R6001" s="270">
        <v>2258</v>
      </c>
      <c r="S6001" s="270">
        <v>31825.439999999999</v>
      </c>
      <c r="T6001" s="270">
        <v>34083.440000000002</v>
      </c>
      <c r="U6001" s="271" t="s">
        <v>3945</v>
      </c>
      <c r="V6001" s="267" t="s">
        <v>944</v>
      </c>
    </row>
    <row r="6002" spans="1:22" hidden="1" x14ac:dyDescent="0.25">
      <c r="A6002" s="266">
        <v>43749</v>
      </c>
      <c r="B6002" s="267">
        <v>2019</v>
      </c>
      <c r="C6002" s="267">
        <v>2020</v>
      </c>
      <c r="D6002" s="267">
        <v>1</v>
      </c>
      <c r="E6002" s="267">
        <v>1</v>
      </c>
      <c r="F6002" s="267" t="s">
        <v>944</v>
      </c>
      <c r="G6002" s="267" t="s">
        <v>3926</v>
      </c>
      <c r="H6002" s="267" t="s">
        <v>10725</v>
      </c>
      <c r="I6002" s="267" t="s">
        <v>3954</v>
      </c>
      <c r="J6002" s="267" t="s">
        <v>3928</v>
      </c>
      <c r="K6002" s="267">
        <v>6357</v>
      </c>
      <c r="L6002" s="267">
        <v>870704</v>
      </c>
      <c r="M6002" s="267" t="s">
        <v>3935</v>
      </c>
      <c r="N6002" s="267" t="s">
        <v>3944</v>
      </c>
      <c r="O6002" s="267">
        <v>1084</v>
      </c>
      <c r="P6002" s="267" t="s">
        <v>3944</v>
      </c>
      <c r="Q6002" s="267" t="s">
        <v>3944</v>
      </c>
      <c r="R6002" s="267">
        <v>1084</v>
      </c>
      <c r="S6002" s="267">
        <v>15747</v>
      </c>
      <c r="T6002" s="267">
        <v>16831</v>
      </c>
      <c r="U6002" s="268" t="s">
        <v>3945</v>
      </c>
      <c r="V6002" s="267" t="s">
        <v>944</v>
      </c>
    </row>
    <row r="6003" spans="1:22" hidden="1" x14ac:dyDescent="0.25">
      <c r="A6003" s="269">
        <v>43749</v>
      </c>
      <c r="B6003" s="270">
        <v>2019</v>
      </c>
      <c r="C6003" s="270">
        <v>2020</v>
      </c>
      <c r="D6003" s="270">
        <v>1</v>
      </c>
      <c r="E6003" s="270">
        <v>1</v>
      </c>
      <c r="F6003" s="270" t="s">
        <v>944</v>
      </c>
      <c r="G6003" s="270" t="s">
        <v>3926</v>
      </c>
      <c r="H6003" s="270" t="s">
        <v>10726</v>
      </c>
      <c r="I6003" s="270" t="s">
        <v>4035</v>
      </c>
      <c r="J6003" s="270" t="s">
        <v>3928</v>
      </c>
      <c r="K6003" s="270">
        <v>6074</v>
      </c>
      <c r="L6003" s="270">
        <v>487500</v>
      </c>
      <c r="M6003" s="270" t="s">
        <v>3935</v>
      </c>
      <c r="N6003" s="270" t="s">
        <v>3944</v>
      </c>
      <c r="O6003" s="270">
        <v>1543</v>
      </c>
      <c r="P6003" s="270" t="s">
        <v>3944</v>
      </c>
      <c r="Q6003" s="270" t="s">
        <v>3944</v>
      </c>
      <c r="R6003" s="270">
        <v>1543</v>
      </c>
      <c r="S6003" s="270">
        <v>14887.69</v>
      </c>
      <c r="T6003" s="270">
        <v>16430.689999999999</v>
      </c>
      <c r="U6003" s="271" t="s">
        <v>3945</v>
      </c>
      <c r="V6003" s="267" t="s">
        <v>944</v>
      </c>
    </row>
    <row r="6004" spans="1:22" hidden="1" x14ac:dyDescent="0.25">
      <c r="A6004" s="266">
        <v>43749</v>
      </c>
      <c r="B6004" s="267">
        <v>2019</v>
      </c>
      <c r="C6004" s="267">
        <v>2020</v>
      </c>
      <c r="D6004" s="267">
        <v>1</v>
      </c>
      <c r="E6004" s="267">
        <v>1</v>
      </c>
      <c r="F6004" s="267" t="s">
        <v>944</v>
      </c>
      <c r="G6004" s="267" t="s">
        <v>3926</v>
      </c>
      <c r="H6004" s="267" t="s">
        <v>10727</v>
      </c>
      <c r="I6004" s="267" t="s">
        <v>4422</v>
      </c>
      <c r="J6004" s="267" t="s">
        <v>3928</v>
      </c>
      <c r="K6004" s="267">
        <v>6801</v>
      </c>
      <c r="L6004" s="267">
        <v>200302</v>
      </c>
      <c r="M6004" s="267" t="s">
        <v>3943</v>
      </c>
      <c r="N6004" s="267" t="s">
        <v>3944</v>
      </c>
      <c r="O6004" s="267">
        <v>1734.88</v>
      </c>
      <c r="P6004" s="267" t="s">
        <v>3944</v>
      </c>
      <c r="Q6004" s="267" t="s">
        <v>3944</v>
      </c>
      <c r="R6004" s="267">
        <v>1734.88</v>
      </c>
      <c r="S6004" s="267">
        <v>12677.12</v>
      </c>
      <c r="T6004" s="267">
        <v>14412</v>
      </c>
      <c r="U6004" s="268" t="s">
        <v>3945</v>
      </c>
      <c r="V6004" s="267" t="s">
        <v>944</v>
      </c>
    </row>
    <row r="6005" spans="1:22" hidden="1" x14ac:dyDescent="0.25">
      <c r="A6005" s="269">
        <v>43749</v>
      </c>
      <c r="B6005" s="270">
        <v>2019</v>
      </c>
      <c r="C6005" s="270">
        <v>2020</v>
      </c>
      <c r="D6005" s="270">
        <v>1</v>
      </c>
      <c r="E6005" s="270">
        <v>1</v>
      </c>
      <c r="F6005" s="270" t="s">
        <v>944</v>
      </c>
      <c r="G6005" s="270" t="s">
        <v>3926</v>
      </c>
      <c r="H6005" s="270" t="s">
        <v>10728</v>
      </c>
      <c r="I6005" s="270" t="s">
        <v>3934</v>
      </c>
      <c r="J6005" s="270" t="s">
        <v>3928</v>
      </c>
      <c r="K6005" s="270">
        <v>6405</v>
      </c>
      <c r="L6005" s="270">
        <v>184500</v>
      </c>
      <c r="M6005" s="270" t="s">
        <v>3935</v>
      </c>
      <c r="N6005" s="270" t="s">
        <v>3944</v>
      </c>
      <c r="O6005" s="270">
        <v>1410.29</v>
      </c>
      <c r="P6005" s="270" t="s">
        <v>3944</v>
      </c>
      <c r="Q6005" s="270" t="s">
        <v>3944</v>
      </c>
      <c r="R6005" s="270">
        <v>1410.29</v>
      </c>
      <c r="S6005" s="270">
        <v>12284.71</v>
      </c>
      <c r="T6005" s="270">
        <v>13695</v>
      </c>
      <c r="U6005" s="271" t="s">
        <v>3945</v>
      </c>
      <c r="V6005" s="267" t="s">
        <v>944</v>
      </c>
    </row>
    <row r="6006" spans="1:22" hidden="1" x14ac:dyDescent="0.25">
      <c r="A6006" s="266">
        <v>43749</v>
      </c>
      <c r="B6006" s="267">
        <v>2019</v>
      </c>
      <c r="C6006" s="267">
        <v>2020</v>
      </c>
      <c r="D6006" s="267">
        <v>1</v>
      </c>
      <c r="E6006" s="267">
        <v>1</v>
      </c>
      <c r="F6006" s="267" t="s">
        <v>944</v>
      </c>
      <c r="G6006" s="267" t="s">
        <v>3926</v>
      </c>
      <c r="H6006" s="267" t="s">
        <v>10729</v>
      </c>
      <c r="I6006" s="267" t="s">
        <v>2987</v>
      </c>
      <c r="J6006" s="267" t="s">
        <v>3928</v>
      </c>
      <c r="K6006" s="267">
        <v>6611</v>
      </c>
      <c r="L6006" s="267">
        <v>90200</v>
      </c>
      <c r="M6006" s="267" t="s">
        <v>3943</v>
      </c>
      <c r="N6006" s="267" t="s">
        <v>3944</v>
      </c>
      <c r="O6006" s="267">
        <v>2354.98</v>
      </c>
      <c r="P6006" s="267" t="s">
        <v>3944</v>
      </c>
      <c r="Q6006" s="267" t="s">
        <v>3944</v>
      </c>
      <c r="R6006" s="267">
        <v>2354.98</v>
      </c>
      <c r="S6006" s="267">
        <v>15090.02</v>
      </c>
      <c r="T6006" s="267">
        <v>17445</v>
      </c>
      <c r="U6006" s="268" t="s">
        <v>3945</v>
      </c>
      <c r="V6006" s="267" t="s">
        <v>944</v>
      </c>
    </row>
    <row r="6007" spans="1:22" hidden="1" x14ac:dyDescent="0.25">
      <c r="A6007" s="269">
        <v>43749</v>
      </c>
      <c r="B6007" s="270">
        <v>2019</v>
      </c>
      <c r="C6007" s="270">
        <v>2020</v>
      </c>
      <c r="D6007" s="270">
        <v>1</v>
      </c>
      <c r="E6007" s="270">
        <v>1</v>
      </c>
      <c r="F6007" s="270" t="s">
        <v>944</v>
      </c>
      <c r="G6007" s="270" t="s">
        <v>3926</v>
      </c>
      <c r="H6007" s="270" t="s">
        <v>10730</v>
      </c>
      <c r="I6007" s="270" t="s">
        <v>4124</v>
      </c>
      <c r="J6007" s="270" t="s">
        <v>3928</v>
      </c>
      <c r="K6007" s="270">
        <v>6482</v>
      </c>
      <c r="L6007" s="270">
        <v>230502</v>
      </c>
      <c r="M6007" s="270" t="s">
        <v>3943</v>
      </c>
      <c r="N6007" s="270" t="s">
        <v>3944</v>
      </c>
      <c r="O6007" s="270">
        <v>2171.65</v>
      </c>
      <c r="P6007" s="270" t="s">
        <v>3944</v>
      </c>
      <c r="Q6007" s="270" t="s">
        <v>3944</v>
      </c>
      <c r="R6007" s="270">
        <v>2171.65</v>
      </c>
      <c r="S6007" s="270">
        <v>32084.66</v>
      </c>
      <c r="T6007" s="270">
        <v>34256.31</v>
      </c>
      <c r="U6007" s="271" t="s">
        <v>3945</v>
      </c>
      <c r="V6007" s="267" t="s">
        <v>944</v>
      </c>
    </row>
    <row r="6008" spans="1:22" hidden="1" x14ac:dyDescent="0.25">
      <c r="A6008" s="266">
        <v>43749</v>
      </c>
      <c r="B6008" s="267">
        <v>2019</v>
      </c>
      <c r="C6008" s="267">
        <v>2020</v>
      </c>
      <c r="D6008" s="267">
        <v>1</v>
      </c>
      <c r="E6008" s="267">
        <v>1</v>
      </c>
      <c r="F6008" s="267" t="s">
        <v>944</v>
      </c>
      <c r="G6008" s="267" t="s">
        <v>3926</v>
      </c>
      <c r="H6008" s="267" t="s">
        <v>10731</v>
      </c>
      <c r="I6008" s="267" t="s">
        <v>4269</v>
      </c>
      <c r="J6008" s="267" t="s">
        <v>3928</v>
      </c>
      <c r="K6008" s="267">
        <v>6117</v>
      </c>
      <c r="L6008" s="267">
        <v>497300</v>
      </c>
      <c r="M6008" s="267" t="s">
        <v>3943</v>
      </c>
      <c r="N6008" s="267" t="s">
        <v>3944</v>
      </c>
      <c r="O6008" s="267">
        <v>2222.6799999999998</v>
      </c>
      <c r="P6008" s="267" t="s">
        <v>3944</v>
      </c>
      <c r="Q6008" s="267" t="s">
        <v>3944</v>
      </c>
      <c r="R6008" s="267">
        <v>2222.6799999999998</v>
      </c>
      <c r="S6008" s="267">
        <v>30060.05</v>
      </c>
      <c r="T6008" s="267">
        <v>32282.73</v>
      </c>
      <c r="U6008" s="268" t="s">
        <v>3945</v>
      </c>
      <c r="V6008" s="267" t="s">
        <v>944</v>
      </c>
    </row>
    <row r="6009" spans="1:22" hidden="1" x14ac:dyDescent="0.25">
      <c r="A6009" s="269">
        <v>43749</v>
      </c>
      <c r="B6009" s="270">
        <v>2019</v>
      </c>
      <c r="C6009" s="270">
        <v>2020</v>
      </c>
      <c r="D6009" s="270">
        <v>1</v>
      </c>
      <c r="E6009" s="270">
        <v>1</v>
      </c>
      <c r="F6009" s="270" t="s">
        <v>944</v>
      </c>
      <c r="G6009" s="270" t="s">
        <v>3926</v>
      </c>
      <c r="H6009" s="270" t="s">
        <v>10732</v>
      </c>
      <c r="I6009" s="270" t="s">
        <v>934</v>
      </c>
      <c r="J6009" s="270" t="s">
        <v>3928</v>
      </c>
      <c r="K6009" s="270">
        <v>6606</v>
      </c>
      <c r="L6009" s="270">
        <v>72800</v>
      </c>
      <c r="M6009" s="270" t="s">
        <v>3940</v>
      </c>
      <c r="N6009" s="270" t="s">
        <v>3944</v>
      </c>
      <c r="O6009" s="270">
        <v>767.17</v>
      </c>
      <c r="P6009" s="270" t="s">
        <v>3944</v>
      </c>
      <c r="Q6009" s="270" t="s">
        <v>3944</v>
      </c>
      <c r="R6009" s="270">
        <v>767.17</v>
      </c>
      <c r="S6009" s="270">
        <v>9224.83</v>
      </c>
      <c r="T6009" s="270">
        <v>9992</v>
      </c>
      <c r="U6009" s="271" t="s">
        <v>3945</v>
      </c>
      <c r="V6009" s="267" t="s">
        <v>944</v>
      </c>
    </row>
    <row r="6010" spans="1:22" hidden="1" x14ac:dyDescent="0.25">
      <c r="A6010" s="266">
        <v>43749</v>
      </c>
      <c r="B6010" s="267">
        <v>2019</v>
      </c>
      <c r="C6010" s="267">
        <v>2020</v>
      </c>
      <c r="D6010" s="267">
        <v>1</v>
      </c>
      <c r="E6010" s="267">
        <v>1</v>
      </c>
      <c r="F6010" s="267" t="s">
        <v>944</v>
      </c>
      <c r="G6010" s="267" t="s">
        <v>3926</v>
      </c>
      <c r="H6010" s="267" t="s">
        <v>10733</v>
      </c>
      <c r="I6010" s="267" t="s">
        <v>4040</v>
      </c>
      <c r="J6010" s="267" t="s">
        <v>3928</v>
      </c>
      <c r="K6010" s="267">
        <v>6339</v>
      </c>
      <c r="L6010" s="267">
        <v>701100</v>
      </c>
      <c r="M6010" s="267" t="s">
        <v>3960</v>
      </c>
      <c r="N6010" s="267" t="s">
        <v>3944</v>
      </c>
      <c r="O6010" s="267">
        <v>3405.64</v>
      </c>
      <c r="P6010" s="267" t="s">
        <v>3944</v>
      </c>
      <c r="Q6010" s="267" t="s">
        <v>3944</v>
      </c>
      <c r="R6010" s="267">
        <v>3405.64</v>
      </c>
      <c r="S6010" s="267">
        <v>21154.36</v>
      </c>
      <c r="T6010" s="267">
        <v>24560</v>
      </c>
      <c r="U6010" s="268" t="s">
        <v>3945</v>
      </c>
      <c r="V6010" s="267" t="s">
        <v>944</v>
      </c>
    </row>
    <row r="6011" spans="1:22" hidden="1" x14ac:dyDescent="0.25">
      <c r="A6011" s="269">
        <v>43749</v>
      </c>
      <c r="B6011" s="270">
        <v>2019</v>
      </c>
      <c r="C6011" s="270">
        <v>2020</v>
      </c>
      <c r="D6011" s="270">
        <v>1</v>
      </c>
      <c r="E6011" s="270">
        <v>1</v>
      </c>
      <c r="F6011" s="270" t="s">
        <v>944</v>
      </c>
      <c r="G6011" s="270" t="s">
        <v>3926</v>
      </c>
      <c r="H6011" s="270" t="s">
        <v>10734</v>
      </c>
      <c r="I6011" s="270" t="s">
        <v>4040</v>
      </c>
      <c r="J6011" s="270" t="s">
        <v>3928</v>
      </c>
      <c r="K6011" s="270">
        <v>6339</v>
      </c>
      <c r="L6011" s="270">
        <v>701100</v>
      </c>
      <c r="M6011" s="270" t="s">
        <v>3960</v>
      </c>
      <c r="N6011" s="270" t="s">
        <v>3944</v>
      </c>
      <c r="O6011" s="270">
        <v>2300.4499999999998</v>
      </c>
      <c r="P6011" s="270" t="s">
        <v>3944</v>
      </c>
      <c r="Q6011" s="270" t="s">
        <v>3944</v>
      </c>
      <c r="R6011" s="270">
        <v>2300.4499999999998</v>
      </c>
      <c r="S6011" s="270">
        <v>19322.55</v>
      </c>
      <c r="T6011" s="270">
        <v>21623</v>
      </c>
      <c r="U6011" s="271" t="s">
        <v>3945</v>
      </c>
      <c r="V6011" s="267" t="s">
        <v>944</v>
      </c>
    </row>
    <row r="6012" spans="1:22" hidden="1" x14ac:dyDescent="0.25">
      <c r="A6012" s="266">
        <v>43749</v>
      </c>
      <c r="B6012" s="267">
        <v>2019</v>
      </c>
      <c r="C6012" s="267">
        <v>2020</v>
      </c>
      <c r="D6012" s="267">
        <v>1</v>
      </c>
      <c r="E6012" s="267">
        <v>1</v>
      </c>
      <c r="F6012" s="267" t="s">
        <v>944</v>
      </c>
      <c r="G6012" s="267" t="s">
        <v>3926</v>
      </c>
      <c r="H6012" s="267" t="s">
        <v>10735</v>
      </c>
      <c r="I6012" s="267" t="s">
        <v>4422</v>
      </c>
      <c r="J6012" s="267" t="s">
        <v>3928</v>
      </c>
      <c r="K6012" s="267">
        <v>6801</v>
      </c>
      <c r="L6012" s="267">
        <v>200100</v>
      </c>
      <c r="M6012" s="267" t="s">
        <v>3935</v>
      </c>
      <c r="N6012" s="267" t="s">
        <v>3944</v>
      </c>
      <c r="O6012" s="267">
        <v>1315.93</v>
      </c>
      <c r="P6012" s="267" t="s">
        <v>3944</v>
      </c>
      <c r="Q6012" s="267" t="s">
        <v>3944</v>
      </c>
      <c r="R6012" s="267">
        <v>1315.93</v>
      </c>
      <c r="S6012" s="267">
        <v>19338.3</v>
      </c>
      <c r="T6012" s="267">
        <v>20654.23</v>
      </c>
      <c r="U6012" s="268" t="s">
        <v>3945</v>
      </c>
      <c r="V6012" s="267" t="s">
        <v>944</v>
      </c>
    </row>
    <row r="6013" spans="1:22" hidden="1" x14ac:dyDescent="0.25">
      <c r="A6013" s="269">
        <v>43749</v>
      </c>
      <c r="B6013" s="270">
        <v>2019</v>
      </c>
      <c r="C6013" s="270">
        <v>2020</v>
      </c>
      <c r="D6013" s="270">
        <v>1</v>
      </c>
      <c r="E6013" s="270">
        <v>1</v>
      </c>
      <c r="F6013" s="270" t="s">
        <v>944</v>
      </c>
      <c r="G6013" s="270" t="s">
        <v>3926</v>
      </c>
      <c r="H6013" s="270" t="s">
        <v>10736</v>
      </c>
      <c r="I6013" s="270" t="s">
        <v>3999</v>
      </c>
      <c r="J6013" s="270" t="s">
        <v>3928</v>
      </c>
      <c r="K6013" s="270">
        <v>6450</v>
      </c>
      <c r="L6013" s="270">
        <v>171200</v>
      </c>
      <c r="M6013" s="270" t="s">
        <v>3960</v>
      </c>
      <c r="N6013" s="270" t="s">
        <v>3944</v>
      </c>
      <c r="O6013" s="270">
        <v>1756.65</v>
      </c>
      <c r="P6013" s="270" t="s">
        <v>3944</v>
      </c>
      <c r="Q6013" s="270" t="s">
        <v>3944</v>
      </c>
      <c r="R6013" s="270">
        <v>1756.65</v>
      </c>
      <c r="S6013" s="270">
        <v>13277.35</v>
      </c>
      <c r="T6013" s="270">
        <v>15034</v>
      </c>
      <c r="U6013" s="271" t="s">
        <v>3945</v>
      </c>
      <c r="V6013" s="267" t="s">
        <v>944</v>
      </c>
    </row>
    <row r="6014" spans="1:22" hidden="1" x14ac:dyDescent="0.25">
      <c r="A6014" s="266">
        <v>43749</v>
      </c>
      <c r="B6014" s="267">
        <v>2019</v>
      </c>
      <c r="C6014" s="267">
        <v>2020</v>
      </c>
      <c r="D6014" s="267">
        <v>1</v>
      </c>
      <c r="E6014" s="267">
        <v>1</v>
      </c>
      <c r="F6014" s="267" t="s">
        <v>944</v>
      </c>
      <c r="G6014" s="267" t="s">
        <v>3926</v>
      </c>
      <c r="H6014" s="267" t="s">
        <v>10737</v>
      </c>
      <c r="I6014" s="267" t="s">
        <v>4037</v>
      </c>
      <c r="J6014" s="267" t="s">
        <v>3928</v>
      </c>
      <c r="K6014" s="267">
        <v>6811</v>
      </c>
      <c r="L6014" s="267">
        <v>210900</v>
      </c>
      <c r="M6014" s="267" t="s">
        <v>3943</v>
      </c>
      <c r="N6014" s="267" t="s">
        <v>3944</v>
      </c>
      <c r="O6014" s="267">
        <v>3086.48</v>
      </c>
      <c r="P6014" s="267" t="s">
        <v>3944</v>
      </c>
      <c r="Q6014" s="267" t="s">
        <v>3944</v>
      </c>
      <c r="R6014" s="267">
        <v>3086.48</v>
      </c>
      <c r="S6014" s="267">
        <v>24585.52</v>
      </c>
      <c r="T6014" s="267">
        <v>27672</v>
      </c>
      <c r="U6014" s="268" t="s">
        <v>3945</v>
      </c>
      <c r="V6014" s="267" t="s">
        <v>944</v>
      </c>
    </row>
    <row r="6015" spans="1:22" hidden="1" x14ac:dyDescent="0.25">
      <c r="A6015" s="269">
        <v>43749</v>
      </c>
      <c r="B6015" s="270">
        <v>2019</v>
      </c>
      <c r="C6015" s="270">
        <v>2020</v>
      </c>
      <c r="D6015" s="270">
        <v>1</v>
      </c>
      <c r="E6015" s="270">
        <v>1</v>
      </c>
      <c r="F6015" s="270" t="s">
        <v>944</v>
      </c>
      <c r="G6015" s="270" t="s">
        <v>3926</v>
      </c>
      <c r="H6015" s="270" t="s">
        <v>10738</v>
      </c>
      <c r="I6015" s="270" t="s">
        <v>3968</v>
      </c>
      <c r="J6015" s="270" t="s">
        <v>3928</v>
      </c>
      <c r="K6015" s="270">
        <v>6040</v>
      </c>
      <c r="L6015" s="270">
        <v>514400</v>
      </c>
      <c r="M6015" s="270" t="s">
        <v>3940</v>
      </c>
      <c r="N6015" s="270" t="s">
        <v>3944</v>
      </c>
      <c r="O6015" s="270">
        <v>716.14</v>
      </c>
      <c r="P6015" s="270" t="s">
        <v>3944</v>
      </c>
      <c r="Q6015" s="270" t="s">
        <v>3944</v>
      </c>
      <c r="R6015" s="270">
        <v>716.14</v>
      </c>
      <c r="S6015" s="270">
        <v>7210.86</v>
      </c>
      <c r="T6015" s="270">
        <v>7927</v>
      </c>
      <c r="U6015" s="271" t="s">
        <v>3945</v>
      </c>
      <c r="V6015" s="267" t="s">
        <v>944</v>
      </c>
    </row>
    <row r="6016" spans="1:22" hidden="1" x14ac:dyDescent="0.25">
      <c r="A6016" s="266">
        <v>43749</v>
      </c>
      <c r="B6016" s="267">
        <v>2019</v>
      </c>
      <c r="C6016" s="267">
        <v>2020</v>
      </c>
      <c r="D6016" s="267">
        <v>1</v>
      </c>
      <c r="E6016" s="267">
        <v>1</v>
      </c>
      <c r="F6016" s="267" t="s">
        <v>944</v>
      </c>
      <c r="G6016" s="267" t="s">
        <v>3926</v>
      </c>
      <c r="H6016" s="267" t="s">
        <v>10739</v>
      </c>
      <c r="I6016" s="267" t="s">
        <v>4029</v>
      </c>
      <c r="J6016" s="267" t="s">
        <v>3928</v>
      </c>
      <c r="K6016" s="267">
        <v>6850</v>
      </c>
      <c r="L6016" s="267">
        <v>43100</v>
      </c>
      <c r="M6016" s="267" t="s">
        <v>3943</v>
      </c>
      <c r="N6016" s="267" t="s">
        <v>3944</v>
      </c>
      <c r="O6016" s="267">
        <v>1036.3499999999999</v>
      </c>
      <c r="P6016" s="267" t="s">
        <v>3944</v>
      </c>
      <c r="Q6016" s="267" t="s">
        <v>3944</v>
      </c>
      <c r="R6016" s="267">
        <v>1036.3499999999999</v>
      </c>
      <c r="S6016" s="267">
        <v>10861.65</v>
      </c>
      <c r="T6016" s="267">
        <v>11898</v>
      </c>
      <c r="U6016" s="268" t="s">
        <v>3945</v>
      </c>
      <c r="V6016" s="267" t="s">
        <v>944</v>
      </c>
    </row>
    <row r="6017" spans="1:22" hidden="1" x14ac:dyDescent="0.25">
      <c r="A6017" s="269">
        <v>43749</v>
      </c>
      <c r="B6017" s="270">
        <v>2019</v>
      </c>
      <c r="C6017" s="270">
        <v>2020</v>
      </c>
      <c r="D6017" s="270">
        <v>1</v>
      </c>
      <c r="E6017" s="270">
        <v>1</v>
      </c>
      <c r="F6017" s="270" t="s">
        <v>944</v>
      </c>
      <c r="G6017" s="270" t="s">
        <v>3926</v>
      </c>
      <c r="H6017" s="270" t="s">
        <v>10740</v>
      </c>
      <c r="I6017" s="270" t="s">
        <v>5401</v>
      </c>
      <c r="J6017" s="270" t="s">
        <v>3928</v>
      </c>
      <c r="K6017" s="270">
        <v>6820</v>
      </c>
      <c r="L6017" s="270">
        <v>30100</v>
      </c>
      <c r="M6017" s="270" t="s">
        <v>3943</v>
      </c>
      <c r="N6017" s="270" t="s">
        <v>3944</v>
      </c>
      <c r="O6017" s="270">
        <v>1616.86</v>
      </c>
      <c r="P6017" s="270" t="s">
        <v>3944</v>
      </c>
      <c r="Q6017" s="270" t="s">
        <v>3944</v>
      </c>
      <c r="R6017" s="270">
        <v>1616.86</v>
      </c>
      <c r="S6017" s="270">
        <v>13069.14</v>
      </c>
      <c r="T6017" s="270">
        <v>14686</v>
      </c>
      <c r="U6017" s="271" t="s">
        <v>3945</v>
      </c>
      <c r="V6017" s="267" t="s">
        <v>944</v>
      </c>
    </row>
    <row r="6018" spans="1:22" hidden="1" x14ac:dyDescent="0.25">
      <c r="A6018" s="266">
        <v>43749</v>
      </c>
      <c r="B6018" s="267">
        <v>2019</v>
      </c>
      <c r="C6018" s="267">
        <v>2020</v>
      </c>
      <c r="D6018" s="267">
        <v>1</v>
      </c>
      <c r="E6018" s="267">
        <v>1</v>
      </c>
      <c r="F6018" s="267" t="s">
        <v>944</v>
      </c>
      <c r="G6018" s="267" t="s">
        <v>3926</v>
      </c>
      <c r="H6018" s="267" t="s">
        <v>10741</v>
      </c>
      <c r="I6018" s="267" t="s">
        <v>7536</v>
      </c>
      <c r="J6018" s="267" t="s">
        <v>3928</v>
      </c>
      <c r="K6018" s="267">
        <v>6330</v>
      </c>
      <c r="L6018" s="267">
        <v>711100</v>
      </c>
      <c r="M6018" s="267" t="s">
        <v>3940</v>
      </c>
      <c r="N6018" s="267" t="s">
        <v>3944</v>
      </c>
      <c r="O6018" s="267">
        <v>2241.96</v>
      </c>
      <c r="P6018" s="267" t="s">
        <v>3944</v>
      </c>
      <c r="Q6018" s="267" t="s">
        <v>3944</v>
      </c>
      <c r="R6018" s="267">
        <v>2241.96</v>
      </c>
      <c r="S6018" s="267">
        <v>19385.04</v>
      </c>
      <c r="T6018" s="267">
        <v>21627</v>
      </c>
      <c r="U6018" s="268" t="s">
        <v>3945</v>
      </c>
      <c r="V6018" s="267" t="s">
        <v>944</v>
      </c>
    </row>
    <row r="6019" spans="1:22" hidden="1" x14ac:dyDescent="0.25">
      <c r="A6019" s="269">
        <v>43749</v>
      </c>
      <c r="B6019" s="270">
        <v>2019</v>
      </c>
      <c r="C6019" s="270">
        <v>2020</v>
      </c>
      <c r="D6019" s="270">
        <v>1</v>
      </c>
      <c r="E6019" s="270">
        <v>1</v>
      </c>
      <c r="F6019" s="270" t="s">
        <v>944</v>
      </c>
      <c r="G6019" s="270" t="s">
        <v>3926</v>
      </c>
      <c r="H6019" s="270" t="s">
        <v>10742</v>
      </c>
      <c r="I6019" s="270" t="s">
        <v>4003</v>
      </c>
      <c r="J6019" s="270" t="s">
        <v>3928</v>
      </c>
      <c r="K6019" s="270">
        <v>6374</v>
      </c>
      <c r="L6019" s="270">
        <v>907300</v>
      </c>
      <c r="M6019" s="270" t="s">
        <v>3935</v>
      </c>
      <c r="N6019" s="270" t="s">
        <v>3944</v>
      </c>
      <c r="O6019" s="270">
        <v>1436.65</v>
      </c>
      <c r="P6019" s="270" t="s">
        <v>3944</v>
      </c>
      <c r="Q6019" s="270" t="s">
        <v>3944</v>
      </c>
      <c r="R6019" s="270">
        <v>1436.65</v>
      </c>
      <c r="S6019" s="270">
        <v>15198.35</v>
      </c>
      <c r="T6019" s="270">
        <v>16635</v>
      </c>
      <c r="U6019" s="271" t="s">
        <v>3945</v>
      </c>
      <c r="V6019" s="267" t="s">
        <v>944</v>
      </c>
    </row>
    <row r="6020" spans="1:22" hidden="1" x14ac:dyDescent="0.25">
      <c r="A6020" s="266">
        <v>43749</v>
      </c>
      <c r="B6020" s="267">
        <v>2019</v>
      </c>
      <c r="C6020" s="267">
        <v>2020</v>
      </c>
      <c r="D6020" s="267">
        <v>1</v>
      </c>
      <c r="E6020" s="267">
        <v>1</v>
      </c>
      <c r="F6020" s="267" t="s">
        <v>944</v>
      </c>
      <c r="G6020" s="267" t="s">
        <v>3926</v>
      </c>
      <c r="H6020" s="267" t="s">
        <v>10743</v>
      </c>
      <c r="I6020" s="267" t="s">
        <v>4290</v>
      </c>
      <c r="J6020" s="267" t="s">
        <v>3928</v>
      </c>
      <c r="K6020" s="267">
        <v>6798</v>
      </c>
      <c r="L6020" s="267">
        <v>362101</v>
      </c>
      <c r="M6020" s="267" t="s">
        <v>3935</v>
      </c>
      <c r="N6020" s="267" t="s">
        <v>3944</v>
      </c>
      <c r="O6020" s="267">
        <v>916.9</v>
      </c>
      <c r="P6020" s="267" t="s">
        <v>3944</v>
      </c>
      <c r="Q6020" s="267" t="s">
        <v>3944</v>
      </c>
      <c r="R6020" s="267">
        <v>916.9</v>
      </c>
      <c r="S6020" s="267">
        <v>10623.1</v>
      </c>
      <c r="T6020" s="267">
        <v>11540</v>
      </c>
      <c r="U6020" s="268" t="s">
        <v>3945</v>
      </c>
      <c r="V6020" s="267" t="s">
        <v>944</v>
      </c>
    </row>
    <row r="6021" spans="1:22" hidden="1" x14ac:dyDescent="0.25">
      <c r="A6021" s="269">
        <v>43749</v>
      </c>
      <c r="B6021" s="270">
        <v>2019</v>
      </c>
      <c r="C6021" s="270">
        <v>2020</v>
      </c>
      <c r="D6021" s="270">
        <v>1</v>
      </c>
      <c r="E6021" s="270">
        <v>1</v>
      </c>
      <c r="F6021" s="270" t="s">
        <v>944</v>
      </c>
      <c r="G6021" s="270" t="s">
        <v>3926</v>
      </c>
      <c r="H6021" s="270" t="s">
        <v>10744</v>
      </c>
      <c r="I6021" s="270" t="s">
        <v>4699</v>
      </c>
      <c r="J6021" s="270" t="s">
        <v>3928</v>
      </c>
      <c r="K6021" s="270">
        <v>6354</v>
      </c>
      <c r="L6021" s="270">
        <v>908100</v>
      </c>
      <c r="M6021" s="270" t="s">
        <v>3935</v>
      </c>
      <c r="N6021" s="270" t="s">
        <v>3944</v>
      </c>
      <c r="O6021" s="270">
        <v>832.69</v>
      </c>
      <c r="P6021" s="270" t="s">
        <v>3944</v>
      </c>
      <c r="Q6021" s="270" t="s">
        <v>3944</v>
      </c>
      <c r="R6021" s="270">
        <v>832.69</v>
      </c>
      <c r="S6021" s="270">
        <v>10985.31</v>
      </c>
      <c r="T6021" s="270">
        <v>11818</v>
      </c>
      <c r="U6021" s="271" t="s">
        <v>3945</v>
      </c>
      <c r="V6021" s="267" t="s">
        <v>944</v>
      </c>
    </row>
    <row r="6022" spans="1:22" hidden="1" x14ac:dyDescent="0.25">
      <c r="A6022" s="266">
        <v>43749</v>
      </c>
      <c r="B6022" s="267">
        <v>2019</v>
      </c>
      <c r="C6022" s="267">
        <v>2020</v>
      </c>
      <c r="D6022" s="267">
        <v>1</v>
      </c>
      <c r="E6022" s="267">
        <v>1</v>
      </c>
      <c r="F6022" s="267" t="s">
        <v>944</v>
      </c>
      <c r="G6022" s="267" t="s">
        <v>3926</v>
      </c>
      <c r="H6022" s="267" t="s">
        <v>10745</v>
      </c>
      <c r="I6022" s="267" t="s">
        <v>4042</v>
      </c>
      <c r="J6022" s="267" t="s">
        <v>3928</v>
      </c>
      <c r="K6022" s="267">
        <v>6382</v>
      </c>
      <c r="L6022" s="267">
        <v>695201</v>
      </c>
      <c r="M6022" s="267" t="s">
        <v>3935</v>
      </c>
      <c r="N6022" s="267" t="s">
        <v>3944</v>
      </c>
      <c r="O6022" s="267">
        <v>1409.87</v>
      </c>
      <c r="P6022" s="267" t="s">
        <v>3944</v>
      </c>
      <c r="Q6022" s="267" t="s">
        <v>3944</v>
      </c>
      <c r="R6022" s="267">
        <v>1409.87</v>
      </c>
      <c r="S6022" s="267">
        <v>11048.13</v>
      </c>
      <c r="T6022" s="267">
        <v>12458</v>
      </c>
      <c r="U6022" s="268" t="s">
        <v>3945</v>
      </c>
      <c r="V6022" s="267" t="s">
        <v>944</v>
      </c>
    </row>
    <row r="6023" spans="1:22" hidden="1" x14ac:dyDescent="0.25">
      <c r="A6023" s="269">
        <v>43749</v>
      </c>
      <c r="B6023" s="270">
        <v>2019</v>
      </c>
      <c r="C6023" s="270">
        <v>2020</v>
      </c>
      <c r="D6023" s="270">
        <v>1</v>
      </c>
      <c r="E6023" s="270">
        <v>1</v>
      </c>
      <c r="F6023" s="270" t="s">
        <v>944</v>
      </c>
      <c r="G6023" s="270" t="s">
        <v>3926</v>
      </c>
      <c r="H6023" s="270" t="s">
        <v>10746</v>
      </c>
      <c r="I6023" s="270" t="s">
        <v>4147</v>
      </c>
      <c r="J6023" s="270" t="s">
        <v>3928</v>
      </c>
      <c r="K6023" s="270">
        <v>6109</v>
      </c>
      <c r="L6023" s="270">
        <v>492500</v>
      </c>
      <c r="M6023" s="270" t="s">
        <v>3960</v>
      </c>
      <c r="N6023" s="270" t="s">
        <v>3944</v>
      </c>
      <c r="O6023" s="270">
        <v>2779.74</v>
      </c>
      <c r="P6023" s="270" t="s">
        <v>3944</v>
      </c>
      <c r="Q6023" s="270" t="s">
        <v>3944</v>
      </c>
      <c r="R6023" s="270">
        <v>2779.74</v>
      </c>
      <c r="S6023" s="270">
        <v>20920.259999999998</v>
      </c>
      <c r="T6023" s="270">
        <v>23700</v>
      </c>
      <c r="U6023" s="271" t="s">
        <v>3945</v>
      </c>
      <c r="V6023" s="267" t="s">
        <v>944</v>
      </c>
    </row>
    <row r="6024" spans="1:22" hidden="1" x14ac:dyDescent="0.25">
      <c r="A6024" s="266">
        <v>43749</v>
      </c>
      <c r="B6024" s="267">
        <v>2019</v>
      </c>
      <c r="C6024" s="267">
        <v>2020</v>
      </c>
      <c r="D6024" s="267">
        <v>1</v>
      </c>
      <c r="E6024" s="267">
        <v>1</v>
      </c>
      <c r="F6024" s="267" t="s">
        <v>944</v>
      </c>
      <c r="G6024" s="267" t="s">
        <v>3926</v>
      </c>
      <c r="H6024" s="267" t="s">
        <v>10747</v>
      </c>
      <c r="I6024" s="267" t="s">
        <v>4306</v>
      </c>
      <c r="J6024" s="267" t="s">
        <v>3928</v>
      </c>
      <c r="K6024" s="267">
        <v>6716</v>
      </c>
      <c r="L6024" s="267">
        <v>361300</v>
      </c>
      <c r="M6024" s="267" t="s">
        <v>3960</v>
      </c>
      <c r="N6024" s="267" t="s">
        <v>3944</v>
      </c>
      <c r="O6024" s="267">
        <v>2013.41</v>
      </c>
      <c r="P6024" s="267" t="s">
        <v>3944</v>
      </c>
      <c r="Q6024" s="267" t="s">
        <v>3944</v>
      </c>
      <c r="R6024" s="267">
        <v>2013.41</v>
      </c>
      <c r="S6024" s="267">
        <v>18113.59</v>
      </c>
      <c r="T6024" s="267">
        <v>20127</v>
      </c>
      <c r="U6024" s="268" t="s">
        <v>3945</v>
      </c>
      <c r="V6024" s="267" t="s">
        <v>944</v>
      </c>
    </row>
    <row r="6025" spans="1:22" hidden="1" x14ac:dyDescent="0.25">
      <c r="A6025" s="269">
        <v>43749</v>
      </c>
      <c r="B6025" s="270">
        <v>2019</v>
      </c>
      <c r="C6025" s="270">
        <v>2020</v>
      </c>
      <c r="D6025" s="270">
        <v>1</v>
      </c>
      <c r="E6025" s="270">
        <v>1</v>
      </c>
      <c r="F6025" s="270" t="s">
        <v>944</v>
      </c>
      <c r="G6025" s="270" t="s">
        <v>3926</v>
      </c>
      <c r="H6025" s="270" t="s">
        <v>10748</v>
      </c>
      <c r="I6025" s="270" t="s">
        <v>3962</v>
      </c>
      <c r="J6025" s="270" t="s">
        <v>3928</v>
      </c>
      <c r="K6025" s="270">
        <v>6379</v>
      </c>
      <c r="L6025" s="270">
        <v>705101</v>
      </c>
      <c r="M6025" s="270" t="s">
        <v>3935</v>
      </c>
      <c r="N6025" s="270" t="s">
        <v>3944</v>
      </c>
      <c r="O6025" s="270">
        <v>943.25</v>
      </c>
      <c r="P6025" s="270" t="s">
        <v>3944</v>
      </c>
      <c r="Q6025" s="270" t="s">
        <v>3944</v>
      </c>
      <c r="R6025" s="270">
        <v>943.25</v>
      </c>
      <c r="S6025" s="270">
        <v>9760.75</v>
      </c>
      <c r="T6025" s="270">
        <v>10704</v>
      </c>
      <c r="U6025" s="271" t="s">
        <v>3945</v>
      </c>
      <c r="V6025" s="267" t="s">
        <v>944</v>
      </c>
    </row>
    <row r="6026" spans="1:22" x14ac:dyDescent="0.25">
      <c r="A6026" s="266">
        <v>43749</v>
      </c>
      <c r="B6026" s="267">
        <v>2019</v>
      </c>
      <c r="C6026" s="267">
        <v>2020</v>
      </c>
      <c r="D6026" s="267">
        <v>1</v>
      </c>
      <c r="E6026" s="267">
        <v>1</v>
      </c>
      <c r="F6026" s="267" t="s">
        <v>944</v>
      </c>
      <c r="G6026" s="267" t="s">
        <v>3926</v>
      </c>
      <c r="H6026" s="267" t="s">
        <v>10749</v>
      </c>
      <c r="I6026" s="267" t="s">
        <v>3956</v>
      </c>
      <c r="J6026" s="267" t="s">
        <v>3928</v>
      </c>
      <c r="K6026" s="267">
        <v>6120</v>
      </c>
      <c r="L6026" s="267">
        <v>501800</v>
      </c>
      <c r="M6026" s="267">
        <v>-60</v>
      </c>
      <c r="N6026" s="267" t="s">
        <v>3944</v>
      </c>
      <c r="O6026" s="267">
        <v>977.45</v>
      </c>
      <c r="P6026" s="267" t="s">
        <v>3944</v>
      </c>
      <c r="Q6026" s="267" t="s">
        <v>3944</v>
      </c>
      <c r="R6026" s="267">
        <v>977.45</v>
      </c>
      <c r="S6026" s="267">
        <v>8584.5499999999993</v>
      </c>
      <c r="T6026" s="267">
        <v>9562</v>
      </c>
      <c r="U6026" s="268" t="s">
        <v>3945</v>
      </c>
      <c r="V6026" s="267" t="s">
        <v>936</v>
      </c>
    </row>
    <row r="6027" spans="1:22" hidden="1" x14ac:dyDescent="0.25">
      <c r="A6027" s="269">
        <v>43749</v>
      </c>
      <c r="B6027" s="270">
        <v>2019</v>
      </c>
      <c r="C6027" s="270">
        <v>2020</v>
      </c>
      <c r="D6027" s="270">
        <v>1</v>
      </c>
      <c r="E6027" s="270">
        <v>1</v>
      </c>
      <c r="F6027" s="270" t="s">
        <v>944</v>
      </c>
      <c r="G6027" s="270" t="s">
        <v>3926</v>
      </c>
      <c r="H6027" s="270" t="s">
        <v>10750</v>
      </c>
      <c r="I6027" s="270" t="s">
        <v>4323</v>
      </c>
      <c r="J6027" s="270" t="s">
        <v>3928</v>
      </c>
      <c r="K6027" s="270">
        <v>6385</v>
      </c>
      <c r="L6027" s="270">
        <v>693300</v>
      </c>
      <c r="M6027" s="270" t="s">
        <v>3935</v>
      </c>
      <c r="N6027" s="270" t="s">
        <v>3944</v>
      </c>
      <c r="O6027" s="270">
        <v>1492.65</v>
      </c>
      <c r="P6027" s="270" t="s">
        <v>3944</v>
      </c>
      <c r="Q6027" s="270" t="s">
        <v>3944</v>
      </c>
      <c r="R6027" s="270">
        <v>1492.65</v>
      </c>
      <c r="S6027" s="270">
        <v>18524.349999999999</v>
      </c>
      <c r="T6027" s="270">
        <v>20017</v>
      </c>
      <c r="U6027" s="271" t="s">
        <v>3945</v>
      </c>
      <c r="V6027" s="267" t="s">
        <v>944</v>
      </c>
    </row>
    <row r="6028" spans="1:22" hidden="1" x14ac:dyDescent="0.25">
      <c r="A6028" s="266">
        <v>43749</v>
      </c>
      <c r="B6028" s="267">
        <v>2019</v>
      </c>
      <c r="C6028" s="267">
        <v>2020</v>
      </c>
      <c r="D6028" s="267">
        <v>1</v>
      </c>
      <c r="E6028" s="267">
        <v>1</v>
      </c>
      <c r="F6028" s="267" t="s">
        <v>944</v>
      </c>
      <c r="G6028" s="267" t="s">
        <v>3926</v>
      </c>
      <c r="H6028" s="267" t="s">
        <v>10751</v>
      </c>
      <c r="I6028" s="267" t="s">
        <v>4042</v>
      </c>
      <c r="J6028" s="267" t="s">
        <v>3928</v>
      </c>
      <c r="K6028" s="267">
        <v>6370</v>
      </c>
      <c r="L6028" s="267">
        <v>695202</v>
      </c>
      <c r="M6028" s="267" t="s">
        <v>3935</v>
      </c>
      <c r="N6028" s="267" t="s">
        <v>3944</v>
      </c>
      <c r="O6028" s="267">
        <v>1616.44</v>
      </c>
      <c r="P6028" s="267" t="s">
        <v>3944</v>
      </c>
      <c r="Q6028" s="267" t="s">
        <v>3944</v>
      </c>
      <c r="R6028" s="267">
        <v>1616.44</v>
      </c>
      <c r="S6028" s="267">
        <v>12024.56</v>
      </c>
      <c r="T6028" s="267">
        <v>13641</v>
      </c>
      <c r="U6028" s="268" t="s">
        <v>3945</v>
      </c>
      <c r="V6028" s="267" t="s">
        <v>944</v>
      </c>
    </row>
    <row r="6029" spans="1:22" hidden="1" x14ac:dyDescent="0.25">
      <c r="A6029" s="269">
        <v>43749</v>
      </c>
      <c r="B6029" s="270">
        <v>2019</v>
      </c>
      <c r="C6029" s="270">
        <v>2020</v>
      </c>
      <c r="D6029" s="270">
        <v>1</v>
      </c>
      <c r="E6029" s="270">
        <v>1</v>
      </c>
      <c r="F6029" s="270" t="s">
        <v>944</v>
      </c>
      <c r="G6029" s="270" t="s">
        <v>3926</v>
      </c>
      <c r="H6029" s="270" t="s">
        <v>10752</v>
      </c>
      <c r="I6029" s="270" t="s">
        <v>2987</v>
      </c>
      <c r="J6029" s="270" t="s">
        <v>3928</v>
      </c>
      <c r="K6029" s="270">
        <v>6611</v>
      </c>
      <c r="L6029" s="270">
        <v>90200</v>
      </c>
      <c r="M6029" s="270" t="s">
        <v>3943</v>
      </c>
      <c r="N6029" s="270" t="s">
        <v>3944</v>
      </c>
      <c r="O6029" s="270">
        <v>1450.33</v>
      </c>
      <c r="P6029" s="270" t="s">
        <v>3944</v>
      </c>
      <c r="Q6029" s="270" t="s">
        <v>3944</v>
      </c>
      <c r="R6029" s="270">
        <v>1450.33</v>
      </c>
      <c r="S6029" s="270">
        <v>12514.67</v>
      </c>
      <c r="T6029" s="270">
        <v>13965</v>
      </c>
      <c r="U6029" s="271" t="s">
        <v>3945</v>
      </c>
      <c r="V6029" s="267" t="s">
        <v>944</v>
      </c>
    </row>
    <row r="6030" spans="1:22" hidden="1" x14ac:dyDescent="0.25">
      <c r="A6030" s="266">
        <v>43749</v>
      </c>
      <c r="B6030" s="267">
        <v>2019</v>
      </c>
      <c r="C6030" s="267">
        <v>2020</v>
      </c>
      <c r="D6030" s="267">
        <v>1</v>
      </c>
      <c r="E6030" s="267">
        <v>1</v>
      </c>
      <c r="F6030" s="267" t="s">
        <v>944</v>
      </c>
      <c r="G6030" s="267" t="s">
        <v>3926</v>
      </c>
      <c r="H6030" s="267" t="s">
        <v>10753</v>
      </c>
      <c r="I6030" s="267" t="s">
        <v>4079</v>
      </c>
      <c r="J6030" s="267" t="s">
        <v>3928</v>
      </c>
      <c r="K6030" s="267">
        <v>6111</v>
      </c>
      <c r="L6030" s="267">
        <v>494201</v>
      </c>
      <c r="M6030" s="267" t="s">
        <v>3935</v>
      </c>
      <c r="N6030" s="267" t="s">
        <v>3944</v>
      </c>
      <c r="O6030" s="267">
        <v>962.75</v>
      </c>
      <c r="P6030" s="267" t="s">
        <v>3944</v>
      </c>
      <c r="Q6030" s="267" t="s">
        <v>3944</v>
      </c>
      <c r="R6030" s="267">
        <v>962.75</v>
      </c>
      <c r="S6030" s="267">
        <v>10751.25</v>
      </c>
      <c r="T6030" s="267">
        <v>11714</v>
      </c>
      <c r="U6030" s="268" t="s">
        <v>3945</v>
      </c>
      <c r="V6030" s="267" t="s">
        <v>944</v>
      </c>
    </row>
    <row r="6031" spans="1:22" hidden="1" x14ac:dyDescent="0.25">
      <c r="A6031" s="269">
        <v>43749</v>
      </c>
      <c r="B6031" s="270">
        <v>2019</v>
      </c>
      <c r="C6031" s="270">
        <v>2020</v>
      </c>
      <c r="D6031" s="270">
        <v>1</v>
      </c>
      <c r="E6031" s="270">
        <v>1</v>
      </c>
      <c r="F6031" s="270" t="s">
        <v>944</v>
      </c>
      <c r="G6031" s="270" t="s">
        <v>3926</v>
      </c>
      <c r="H6031" s="270" t="s">
        <v>10754</v>
      </c>
      <c r="I6031" s="270" t="s">
        <v>4069</v>
      </c>
      <c r="J6031" s="270" t="s">
        <v>3928</v>
      </c>
      <c r="K6031" s="270">
        <v>6905</v>
      </c>
      <c r="L6031" s="270">
        <v>20700</v>
      </c>
      <c r="M6031" s="270" t="s">
        <v>3943</v>
      </c>
      <c r="N6031" s="270" t="s">
        <v>3944</v>
      </c>
      <c r="O6031" s="270">
        <v>2023.35</v>
      </c>
      <c r="P6031" s="270" t="s">
        <v>3944</v>
      </c>
      <c r="Q6031" s="270" t="s">
        <v>3944</v>
      </c>
      <c r="R6031" s="270">
        <v>2023.35</v>
      </c>
      <c r="S6031" s="270">
        <v>16834.650000000001</v>
      </c>
      <c r="T6031" s="270">
        <v>18858</v>
      </c>
      <c r="U6031" s="271" t="s">
        <v>3945</v>
      </c>
      <c r="V6031" s="267" t="s">
        <v>944</v>
      </c>
    </row>
    <row r="6032" spans="1:22" hidden="1" x14ac:dyDescent="0.25">
      <c r="A6032" s="266">
        <v>43749</v>
      </c>
      <c r="B6032" s="267">
        <v>2019</v>
      </c>
      <c r="C6032" s="267">
        <v>2020</v>
      </c>
      <c r="D6032" s="267">
        <v>1</v>
      </c>
      <c r="E6032" s="267">
        <v>1</v>
      </c>
      <c r="F6032" s="267" t="s">
        <v>944</v>
      </c>
      <c r="G6032" s="267" t="s">
        <v>3926</v>
      </c>
      <c r="H6032" s="267" t="s">
        <v>10755</v>
      </c>
      <c r="I6032" s="267" t="s">
        <v>3011</v>
      </c>
      <c r="J6032" s="267" t="s">
        <v>3928</v>
      </c>
      <c r="K6032" s="267">
        <v>6418</v>
      </c>
      <c r="L6032" s="267">
        <v>120100</v>
      </c>
      <c r="M6032" s="267" t="s">
        <v>3940</v>
      </c>
      <c r="N6032" s="267" t="s">
        <v>3944</v>
      </c>
      <c r="O6032" s="267">
        <v>2013.83</v>
      </c>
      <c r="P6032" s="267" t="s">
        <v>3944</v>
      </c>
      <c r="Q6032" s="267" t="s">
        <v>3944</v>
      </c>
      <c r="R6032" s="267">
        <v>2013.83</v>
      </c>
      <c r="S6032" s="267">
        <v>15431.17</v>
      </c>
      <c r="T6032" s="267">
        <v>17445</v>
      </c>
      <c r="U6032" s="268" t="s">
        <v>3945</v>
      </c>
      <c r="V6032" s="267" t="s">
        <v>944</v>
      </c>
    </row>
    <row r="6033" spans="1:22" hidden="1" x14ac:dyDescent="0.25">
      <c r="A6033" s="269">
        <v>43749</v>
      </c>
      <c r="B6033" s="270">
        <v>2019</v>
      </c>
      <c r="C6033" s="270">
        <v>2020</v>
      </c>
      <c r="D6033" s="270">
        <v>1</v>
      </c>
      <c r="E6033" s="270">
        <v>1</v>
      </c>
      <c r="F6033" s="270" t="s">
        <v>944</v>
      </c>
      <c r="G6033" s="270" t="s">
        <v>3926</v>
      </c>
      <c r="H6033" s="270" t="s">
        <v>10756</v>
      </c>
      <c r="I6033" s="270" t="s">
        <v>3954</v>
      </c>
      <c r="J6033" s="270" t="s">
        <v>3928</v>
      </c>
      <c r="K6033" s="270">
        <v>6357</v>
      </c>
      <c r="L6033" s="270">
        <v>870704</v>
      </c>
      <c r="M6033" s="270" t="s">
        <v>3935</v>
      </c>
      <c r="N6033" s="270" t="s">
        <v>3944</v>
      </c>
      <c r="O6033" s="270">
        <v>1110.2</v>
      </c>
      <c r="P6033" s="270" t="s">
        <v>3944</v>
      </c>
      <c r="Q6033" s="270" t="s">
        <v>3944</v>
      </c>
      <c r="R6033" s="270">
        <v>1110.2</v>
      </c>
      <c r="S6033" s="270">
        <v>8274.7999999999993</v>
      </c>
      <c r="T6033" s="270">
        <v>9385</v>
      </c>
      <c r="U6033" s="271" t="s">
        <v>3945</v>
      </c>
      <c r="V6033" s="267" t="s">
        <v>944</v>
      </c>
    </row>
    <row r="6034" spans="1:22" hidden="1" x14ac:dyDescent="0.25">
      <c r="A6034" s="266">
        <v>43749</v>
      </c>
      <c r="B6034" s="267">
        <v>2019</v>
      </c>
      <c r="C6034" s="267">
        <v>2020</v>
      </c>
      <c r="D6034" s="267">
        <v>1</v>
      </c>
      <c r="E6034" s="267">
        <v>1</v>
      </c>
      <c r="F6034" s="267" t="s">
        <v>944</v>
      </c>
      <c r="G6034" s="267" t="s">
        <v>3926</v>
      </c>
      <c r="H6034" s="267" t="s">
        <v>10757</v>
      </c>
      <c r="I6034" s="267" t="s">
        <v>4087</v>
      </c>
      <c r="J6034" s="267" t="s">
        <v>3928</v>
      </c>
      <c r="K6034" s="267">
        <v>6340</v>
      </c>
      <c r="L6034" s="267">
        <v>702900</v>
      </c>
      <c r="M6034" s="267" t="s">
        <v>3943</v>
      </c>
      <c r="N6034" s="267" t="s">
        <v>3944</v>
      </c>
      <c r="O6034" s="267">
        <v>1844.57</v>
      </c>
      <c r="P6034" s="267" t="s">
        <v>3944</v>
      </c>
      <c r="Q6034" s="267" t="s">
        <v>3944</v>
      </c>
      <c r="R6034" s="267">
        <v>1844.57</v>
      </c>
      <c r="S6034" s="267">
        <v>29481.58</v>
      </c>
      <c r="T6034" s="267">
        <v>31326.15</v>
      </c>
      <c r="U6034" s="268" t="s">
        <v>3945</v>
      </c>
      <c r="V6034" s="267" t="s">
        <v>944</v>
      </c>
    </row>
    <row r="6035" spans="1:22" hidden="1" x14ac:dyDescent="0.25">
      <c r="A6035" s="269">
        <v>43749</v>
      </c>
      <c r="B6035" s="270">
        <v>2019</v>
      </c>
      <c r="C6035" s="270">
        <v>2020</v>
      </c>
      <c r="D6035" s="270">
        <v>1</v>
      </c>
      <c r="E6035" s="270">
        <v>1</v>
      </c>
      <c r="F6035" s="270" t="s">
        <v>944</v>
      </c>
      <c r="G6035" s="270" t="s">
        <v>3926</v>
      </c>
      <c r="H6035" s="270" t="s">
        <v>10758</v>
      </c>
      <c r="I6035" s="270" t="s">
        <v>3008</v>
      </c>
      <c r="J6035" s="270" t="s">
        <v>3928</v>
      </c>
      <c r="K6035" s="270">
        <v>6460</v>
      </c>
      <c r="L6035" s="270">
        <v>150500</v>
      </c>
      <c r="M6035" s="270" t="s">
        <v>3960</v>
      </c>
      <c r="N6035" s="270" t="s">
        <v>3944</v>
      </c>
      <c r="O6035" s="270">
        <v>2345.46</v>
      </c>
      <c r="P6035" s="270" t="s">
        <v>3944</v>
      </c>
      <c r="Q6035" s="270" t="s">
        <v>3944</v>
      </c>
      <c r="R6035" s="270">
        <v>2345.46</v>
      </c>
      <c r="S6035" s="270">
        <v>36644.629999999997</v>
      </c>
      <c r="T6035" s="270">
        <v>38990.089999999997</v>
      </c>
      <c r="U6035" s="271" t="s">
        <v>3945</v>
      </c>
      <c r="V6035" s="267" t="s">
        <v>944</v>
      </c>
    </row>
    <row r="6036" spans="1:22" hidden="1" x14ac:dyDescent="0.25">
      <c r="A6036" s="266">
        <v>43749</v>
      </c>
      <c r="B6036" s="267">
        <v>2019</v>
      </c>
      <c r="C6036" s="267">
        <v>2020</v>
      </c>
      <c r="D6036" s="267">
        <v>1</v>
      </c>
      <c r="E6036" s="267">
        <v>1</v>
      </c>
      <c r="F6036" s="267" t="s">
        <v>944</v>
      </c>
      <c r="G6036" s="267" t="s">
        <v>3926</v>
      </c>
      <c r="H6036" s="267" t="s">
        <v>10759</v>
      </c>
      <c r="I6036" s="267" t="s">
        <v>3954</v>
      </c>
      <c r="J6036" s="267" t="s">
        <v>3928</v>
      </c>
      <c r="K6036" s="267">
        <v>6357</v>
      </c>
      <c r="L6036" s="267">
        <v>716101</v>
      </c>
      <c r="M6036" s="267" t="s">
        <v>3935</v>
      </c>
      <c r="N6036" s="267" t="s">
        <v>3944</v>
      </c>
      <c r="O6036" s="267">
        <v>1554.04</v>
      </c>
      <c r="P6036" s="267" t="s">
        <v>3944</v>
      </c>
      <c r="Q6036" s="267" t="s">
        <v>3944</v>
      </c>
      <c r="R6036" s="267">
        <v>1554.04</v>
      </c>
      <c r="S6036" s="267">
        <v>24601.47</v>
      </c>
      <c r="T6036" s="267">
        <v>26155.51</v>
      </c>
      <c r="U6036" s="268" t="s">
        <v>3945</v>
      </c>
      <c r="V6036" s="267" t="s">
        <v>944</v>
      </c>
    </row>
    <row r="6037" spans="1:22" hidden="1" x14ac:dyDescent="0.25">
      <c r="A6037" s="269">
        <v>43749</v>
      </c>
      <c r="B6037" s="270">
        <v>2019</v>
      </c>
      <c r="C6037" s="270">
        <v>2020</v>
      </c>
      <c r="D6037" s="270">
        <v>1</v>
      </c>
      <c r="E6037" s="270">
        <v>1</v>
      </c>
      <c r="F6037" s="270" t="s">
        <v>944</v>
      </c>
      <c r="G6037" s="270" t="s">
        <v>3926</v>
      </c>
      <c r="H6037" s="270" t="s">
        <v>10760</v>
      </c>
      <c r="I6037" s="270" t="s">
        <v>3009</v>
      </c>
      <c r="J6037" s="270" t="s">
        <v>3928</v>
      </c>
      <c r="K6037" s="270">
        <v>6484</v>
      </c>
      <c r="L6037" s="270">
        <v>110202</v>
      </c>
      <c r="M6037" s="270" t="s">
        <v>3935</v>
      </c>
      <c r="N6037" s="270" t="s">
        <v>3944</v>
      </c>
      <c r="O6037" s="270">
        <v>796.18</v>
      </c>
      <c r="P6037" s="270" t="s">
        <v>3944</v>
      </c>
      <c r="Q6037" s="270" t="s">
        <v>3944</v>
      </c>
      <c r="R6037" s="270">
        <v>796.18</v>
      </c>
      <c r="S6037" s="270">
        <v>8763.82</v>
      </c>
      <c r="T6037" s="270">
        <v>9560</v>
      </c>
      <c r="U6037" s="271" t="s">
        <v>3945</v>
      </c>
      <c r="V6037" s="267" t="s">
        <v>944</v>
      </c>
    </row>
    <row r="6038" spans="1:22" hidden="1" x14ac:dyDescent="0.25">
      <c r="A6038" s="266">
        <v>43749</v>
      </c>
      <c r="B6038" s="267">
        <v>2019</v>
      </c>
      <c r="C6038" s="267">
        <v>2020</v>
      </c>
      <c r="D6038" s="267">
        <v>1</v>
      </c>
      <c r="E6038" s="267">
        <v>1</v>
      </c>
      <c r="F6038" s="267" t="s">
        <v>944</v>
      </c>
      <c r="G6038" s="267" t="s">
        <v>3926</v>
      </c>
      <c r="H6038" s="267" t="s">
        <v>10761</v>
      </c>
      <c r="I6038" s="267" t="s">
        <v>3996</v>
      </c>
      <c r="J6038" s="267" t="s">
        <v>3928</v>
      </c>
      <c r="K6038" s="267">
        <v>6790</v>
      </c>
      <c r="L6038" s="267">
        <v>310804</v>
      </c>
      <c r="M6038" s="267" t="s">
        <v>3935</v>
      </c>
      <c r="N6038" s="267" t="s">
        <v>3944</v>
      </c>
      <c r="O6038" s="267">
        <v>837.27</v>
      </c>
      <c r="P6038" s="267" t="s">
        <v>3944</v>
      </c>
      <c r="Q6038" s="267" t="s">
        <v>3944</v>
      </c>
      <c r="R6038" s="267">
        <v>837.27</v>
      </c>
      <c r="S6038" s="267">
        <v>9678.73</v>
      </c>
      <c r="T6038" s="267">
        <v>10516</v>
      </c>
      <c r="U6038" s="268" t="s">
        <v>3945</v>
      </c>
      <c r="V6038" s="267" t="s">
        <v>944</v>
      </c>
    </row>
    <row r="6039" spans="1:22" hidden="1" x14ac:dyDescent="0.25">
      <c r="A6039" s="269">
        <v>43749</v>
      </c>
      <c r="B6039" s="270">
        <v>2019</v>
      </c>
      <c r="C6039" s="270">
        <v>2020</v>
      </c>
      <c r="D6039" s="270">
        <v>1</v>
      </c>
      <c r="E6039" s="270">
        <v>1</v>
      </c>
      <c r="F6039" s="270" t="s">
        <v>944</v>
      </c>
      <c r="G6039" s="270" t="s">
        <v>3926</v>
      </c>
      <c r="H6039" s="270" t="s">
        <v>10762</v>
      </c>
      <c r="I6039" s="270" t="s">
        <v>4200</v>
      </c>
      <c r="J6039" s="270" t="s">
        <v>3928</v>
      </c>
      <c r="K6039" s="270">
        <v>6795</v>
      </c>
      <c r="L6039" s="270">
        <v>360100</v>
      </c>
      <c r="M6039" s="270" t="s">
        <v>3935</v>
      </c>
      <c r="N6039" s="270" t="s">
        <v>3944</v>
      </c>
      <c r="O6039" s="270">
        <v>741.02</v>
      </c>
      <c r="P6039" s="270" t="s">
        <v>3944</v>
      </c>
      <c r="Q6039" s="270" t="s">
        <v>3944</v>
      </c>
      <c r="R6039" s="270">
        <v>741.02</v>
      </c>
      <c r="S6039" s="270">
        <v>7514.98</v>
      </c>
      <c r="T6039" s="270">
        <v>8256</v>
      </c>
      <c r="U6039" s="271" t="s">
        <v>3945</v>
      </c>
      <c r="V6039" s="267" t="s">
        <v>944</v>
      </c>
    </row>
    <row r="6040" spans="1:22" hidden="1" x14ac:dyDescent="0.25">
      <c r="A6040" s="266">
        <v>43749</v>
      </c>
      <c r="B6040" s="267">
        <v>2019</v>
      </c>
      <c r="C6040" s="267">
        <v>2020</v>
      </c>
      <c r="D6040" s="267">
        <v>1</v>
      </c>
      <c r="E6040" s="267">
        <v>1</v>
      </c>
      <c r="F6040" s="267" t="s">
        <v>944</v>
      </c>
      <c r="G6040" s="267" t="s">
        <v>3926</v>
      </c>
      <c r="H6040" s="267" t="s">
        <v>10763</v>
      </c>
      <c r="I6040" s="267" t="s">
        <v>4552</v>
      </c>
      <c r="J6040" s="267" t="s">
        <v>3928</v>
      </c>
      <c r="K6040" s="267">
        <v>6423</v>
      </c>
      <c r="L6040" s="267">
        <v>595101</v>
      </c>
      <c r="M6040" s="267" t="s">
        <v>3943</v>
      </c>
      <c r="N6040" s="267" t="s">
        <v>3944</v>
      </c>
      <c r="O6040" s="267">
        <v>1754.38</v>
      </c>
      <c r="P6040" s="267" t="s">
        <v>3944</v>
      </c>
      <c r="Q6040" s="267" t="s">
        <v>3944</v>
      </c>
      <c r="R6040" s="267">
        <v>1754.38</v>
      </c>
      <c r="S6040" s="267">
        <v>15838.62</v>
      </c>
      <c r="T6040" s="267">
        <v>17593</v>
      </c>
      <c r="U6040" s="268" t="s">
        <v>3945</v>
      </c>
      <c r="V6040" s="267" t="s">
        <v>944</v>
      </c>
    </row>
    <row r="6041" spans="1:22" hidden="1" x14ac:dyDescent="0.25">
      <c r="A6041" s="269">
        <v>43749</v>
      </c>
      <c r="B6041" s="270">
        <v>2019</v>
      </c>
      <c r="C6041" s="270">
        <v>2020</v>
      </c>
      <c r="D6041" s="270">
        <v>1</v>
      </c>
      <c r="E6041" s="270">
        <v>1</v>
      </c>
      <c r="F6041" s="270" t="s">
        <v>944</v>
      </c>
      <c r="G6041" s="270" t="s">
        <v>3926</v>
      </c>
      <c r="H6041" s="270" t="s">
        <v>10764</v>
      </c>
      <c r="I6041" s="270" t="s">
        <v>4016</v>
      </c>
      <c r="J6041" s="270" t="s">
        <v>3928</v>
      </c>
      <c r="K6041" s="270">
        <v>6770</v>
      </c>
      <c r="L6041" s="270">
        <v>345400</v>
      </c>
      <c r="M6041" s="270" t="s">
        <v>3935</v>
      </c>
      <c r="N6041" s="270" t="s">
        <v>3944</v>
      </c>
      <c r="O6041" s="270">
        <v>1890</v>
      </c>
      <c r="P6041" s="270" t="s">
        <v>3944</v>
      </c>
      <c r="Q6041" s="270" t="s">
        <v>3944</v>
      </c>
      <c r="R6041" s="270">
        <v>1890</v>
      </c>
      <c r="S6041" s="270">
        <v>19814</v>
      </c>
      <c r="T6041" s="270">
        <v>21704</v>
      </c>
      <c r="U6041" s="271" t="s">
        <v>3945</v>
      </c>
      <c r="V6041" s="267" t="s">
        <v>944</v>
      </c>
    </row>
    <row r="6042" spans="1:22" hidden="1" x14ac:dyDescent="0.25">
      <c r="A6042" s="266">
        <v>43750</v>
      </c>
      <c r="B6042" s="267">
        <v>2019</v>
      </c>
      <c r="C6042" s="267">
        <v>2020</v>
      </c>
      <c r="D6042" s="267">
        <v>1</v>
      </c>
      <c r="E6042" s="267">
        <v>1</v>
      </c>
      <c r="F6042" s="267" t="s">
        <v>944</v>
      </c>
      <c r="G6042" s="267" t="s">
        <v>3926</v>
      </c>
      <c r="H6042" s="267" t="s">
        <v>10765</v>
      </c>
      <c r="I6042" s="267" t="s">
        <v>4288</v>
      </c>
      <c r="J6042" s="267" t="s">
        <v>3928</v>
      </c>
      <c r="K6042" s="267">
        <v>6883</v>
      </c>
      <c r="L6042" s="267">
        <v>55200</v>
      </c>
      <c r="M6042" s="267" t="s">
        <v>3943</v>
      </c>
      <c r="N6042" s="267" t="s">
        <v>10766</v>
      </c>
      <c r="O6042" s="267">
        <v>0</v>
      </c>
      <c r="P6042" s="267" t="s">
        <v>3930</v>
      </c>
      <c r="Q6042" s="267" t="s">
        <v>3930</v>
      </c>
      <c r="R6042" s="267">
        <v>0</v>
      </c>
      <c r="S6042" s="267">
        <v>24525</v>
      </c>
      <c r="T6042" s="267">
        <v>24525</v>
      </c>
      <c r="U6042" s="268" t="s">
        <v>3937</v>
      </c>
      <c r="V6042" s="267" t="s">
        <v>944</v>
      </c>
    </row>
    <row r="6043" spans="1:22" x14ac:dyDescent="0.25">
      <c r="A6043" s="269">
        <v>43750</v>
      </c>
      <c r="B6043" s="270">
        <v>2019</v>
      </c>
      <c r="C6043" s="270">
        <v>2020</v>
      </c>
      <c r="D6043" s="270">
        <v>1</v>
      </c>
      <c r="E6043" s="270">
        <v>1</v>
      </c>
      <c r="F6043" s="270" t="s">
        <v>944</v>
      </c>
      <c r="G6043" s="270" t="s">
        <v>3997</v>
      </c>
      <c r="H6043" s="270" t="s">
        <v>10767</v>
      </c>
      <c r="I6043" s="270" t="s">
        <v>3956</v>
      </c>
      <c r="J6043" s="270" t="s">
        <v>3928</v>
      </c>
      <c r="K6043" s="270">
        <v>6101</v>
      </c>
      <c r="L6043" s="270">
        <v>501800</v>
      </c>
      <c r="M6043" s="270">
        <v>-60</v>
      </c>
      <c r="N6043" s="270" t="s">
        <v>10768</v>
      </c>
      <c r="O6043" s="270">
        <v>1892.33</v>
      </c>
      <c r="P6043" s="270" t="s">
        <v>3930</v>
      </c>
      <c r="Q6043" s="270" t="s">
        <v>3931</v>
      </c>
      <c r="R6043" s="270">
        <v>6892.33</v>
      </c>
      <c r="S6043" s="270">
        <v>10897.6</v>
      </c>
      <c r="T6043" s="270">
        <v>17789.93</v>
      </c>
      <c r="U6043" s="271" t="s">
        <v>3932</v>
      </c>
      <c r="V6043" s="267" t="s">
        <v>936</v>
      </c>
    </row>
    <row r="6044" spans="1:22" hidden="1" x14ac:dyDescent="0.25">
      <c r="A6044" s="266">
        <v>43750</v>
      </c>
      <c r="B6044" s="267">
        <v>2019</v>
      </c>
      <c r="C6044" s="267">
        <v>2020</v>
      </c>
      <c r="D6044" s="267">
        <v>1</v>
      </c>
      <c r="E6044" s="267">
        <v>1</v>
      </c>
      <c r="F6044" s="267" t="s">
        <v>944</v>
      </c>
      <c r="G6044" s="267" t="s">
        <v>3997</v>
      </c>
      <c r="H6044" s="267" t="s">
        <v>10769</v>
      </c>
      <c r="I6044" s="267" t="s">
        <v>934</v>
      </c>
      <c r="J6044" s="267" t="s">
        <v>3928</v>
      </c>
      <c r="K6044" s="267">
        <v>6601</v>
      </c>
      <c r="L6044" s="267">
        <v>240200</v>
      </c>
      <c r="M6044" s="267" t="s">
        <v>3943</v>
      </c>
      <c r="N6044" s="267" t="s">
        <v>8223</v>
      </c>
      <c r="O6044" s="267">
        <v>2054.56</v>
      </c>
      <c r="P6044" s="267" t="s">
        <v>3930</v>
      </c>
      <c r="Q6044" s="267" t="s">
        <v>3931</v>
      </c>
      <c r="R6044" s="267">
        <v>7054.56</v>
      </c>
      <c r="S6044" s="267">
        <v>12702.4</v>
      </c>
      <c r="T6044" s="267">
        <v>19756.96</v>
      </c>
      <c r="U6044" s="268" t="s">
        <v>3932</v>
      </c>
      <c r="V6044" s="267" t="s">
        <v>944</v>
      </c>
    </row>
    <row r="6045" spans="1:22" hidden="1" x14ac:dyDescent="0.25">
      <c r="A6045" s="269">
        <v>43750</v>
      </c>
      <c r="B6045" s="270">
        <v>2019</v>
      </c>
      <c r="C6045" s="270">
        <v>2020</v>
      </c>
      <c r="D6045" s="270">
        <v>1</v>
      </c>
      <c r="E6045" s="270">
        <v>1</v>
      </c>
      <c r="F6045" s="270" t="s">
        <v>944</v>
      </c>
      <c r="G6045" s="270" t="s">
        <v>3926</v>
      </c>
      <c r="H6045" s="270" t="s">
        <v>10770</v>
      </c>
      <c r="I6045" s="270" t="s">
        <v>3966</v>
      </c>
      <c r="J6045" s="270" t="s">
        <v>3928</v>
      </c>
      <c r="K6045" s="270">
        <v>6010</v>
      </c>
      <c r="L6045" s="270">
        <v>405100</v>
      </c>
      <c r="M6045" s="270" t="s">
        <v>3935</v>
      </c>
      <c r="N6045" s="270" t="s">
        <v>4495</v>
      </c>
      <c r="O6045" s="270">
        <v>2116.6799999999998</v>
      </c>
      <c r="P6045" s="270" t="s">
        <v>3930</v>
      </c>
      <c r="Q6045" s="270" t="s">
        <v>3931</v>
      </c>
      <c r="R6045" s="270">
        <v>7116.68</v>
      </c>
      <c r="S6045" s="270">
        <v>33976</v>
      </c>
      <c r="T6045" s="270">
        <v>41092.68</v>
      </c>
      <c r="U6045" s="271" t="s">
        <v>3932</v>
      </c>
      <c r="V6045" s="267" t="s">
        <v>944</v>
      </c>
    </row>
    <row r="6046" spans="1:22" hidden="1" x14ac:dyDescent="0.25">
      <c r="A6046" s="266">
        <v>43750</v>
      </c>
      <c r="B6046" s="267">
        <v>2019</v>
      </c>
      <c r="C6046" s="267">
        <v>2020</v>
      </c>
      <c r="D6046" s="267">
        <v>1</v>
      </c>
      <c r="E6046" s="267">
        <v>1</v>
      </c>
      <c r="F6046" s="267" t="s">
        <v>944</v>
      </c>
      <c r="G6046" s="267" t="s">
        <v>3926</v>
      </c>
      <c r="H6046" s="267" t="s">
        <v>10771</v>
      </c>
      <c r="I6046" s="267" t="s">
        <v>956</v>
      </c>
      <c r="J6046" s="267" t="s">
        <v>3928</v>
      </c>
      <c r="K6046" s="267">
        <v>6615</v>
      </c>
      <c r="L6046" s="267">
        <v>80200</v>
      </c>
      <c r="M6046" s="267" t="s">
        <v>3935</v>
      </c>
      <c r="N6046" s="267" t="s">
        <v>10772</v>
      </c>
      <c r="O6046" s="267">
        <v>1581</v>
      </c>
      <c r="P6046" s="267" t="s">
        <v>3930</v>
      </c>
      <c r="Q6046" s="267" t="s">
        <v>3930</v>
      </c>
      <c r="R6046" s="267">
        <v>1581</v>
      </c>
      <c r="S6046" s="267">
        <v>13758</v>
      </c>
      <c r="T6046" s="267">
        <v>15339</v>
      </c>
      <c r="U6046" s="268" t="s">
        <v>3937</v>
      </c>
      <c r="V6046" s="267" t="s">
        <v>944</v>
      </c>
    </row>
    <row r="6047" spans="1:22" hidden="1" x14ac:dyDescent="0.25">
      <c r="A6047" s="269">
        <v>43751</v>
      </c>
      <c r="B6047" s="270">
        <v>2019</v>
      </c>
      <c r="C6047" s="270">
        <v>2020</v>
      </c>
      <c r="D6047" s="270">
        <v>1</v>
      </c>
      <c r="E6047" s="270">
        <v>1</v>
      </c>
      <c r="F6047" s="270" t="s">
        <v>944</v>
      </c>
      <c r="G6047" s="270" t="s">
        <v>3926</v>
      </c>
      <c r="H6047" s="270" t="s">
        <v>10773</v>
      </c>
      <c r="I6047" s="270" t="s">
        <v>934</v>
      </c>
      <c r="J6047" s="270" t="s">
        <v>3928</v>
      </c>
      <c r="K6047" s="270">
        <v>6601</v>
      </c>
      <c r="L6047" s="270">
        <v>240200</v>
      </c>
      <c r="M6047" s="270" t="s">
        <v>3943</v>
      </c>
      <c r="N6047" s="270" t="s">
        <v>3983</v>
      </c>
      <c r="O6047" s="270">
        <v>2742.45</v>
      </c>
      <c r="P6047" s="270" t="s">
        <v>3930</v>
      </c>
      <c r="Q6047" s="270" t="s">
        <v>3931</v>
      </c>
      <c r="R6047" s="270">
        <v>7742.45</v>
      </c>
      <c r="S6047" s="270">
        <v>16504</v>
      </c>
      <c r="T6047" s="270">
        <v>24246.45</v>
      </c>
      <c r="U6047" s="271" t="s">
        <v>3932</v>
      </c>
      <c r="V6047" s="267" t="s">
        <v>944</v>
      </c>
    </row>
    <row r="6048" spans="1:22" hidden="1" x14ac:dyDescent="0.25">
      <c r="A6048" s="266">
        <v>43751</v>
      </c>
      <c r="B6048" s="267">
        <v>2019</v>
      </c>
      <c r="C6048" s="267">
        <v>2020</v>
      </c>
      <c r="D6048" s="267">
        <v>1</v>
      </c>
      <c r="E6048" s="267">
        <v>1</v>
      </c>
      <c r="F6048" s="267" t="s">
        <v>944</v>
      </c>
      <c r="G6048" s="267" t="s">
        <v>3926</v>
      </c>
      <c r="H6048" s="267" t="s">
        <v>10774</v>
      </c>
      <c r="I6048" s="267" t="s">
        <v>4019</v>
      </c>
      <c r="J6048" s="267" t="s">
        <v>3928</v>
      </c>
      <c r="K6048" s="267">
        <v>6701</v>
      </c>
      <c r="L6048" s="267">
        <v>165801</v>
      </c>
      <c r="M6048" s="267" t="s">
        <v>3935</v>
      </c>
      <c r="N6048" s="267" t="s">
        <v>10517</v>
      </c>
      <c r="O6048" s="267">
        <v>1021.23</v>
      </c>
      <c r="P6048" s="267" t="s">
        <v>3930</v>
      </c>
      <c r="Q6048" s="267" t="s">
        <v>3931</v>
      </c>
      <c r="R6048" s="267">
        <v>6021.23</v>
      </c>
      <c r="S6048" s="267">
        <v>10624</v>
      </c>
      <c r="T6048" s="267">
        <v>16645.23</v>
      </c>
      <c r="U6048" s="268" t="s">
        <v>3932</v>
      </c>
      <c r="V6048" s="267" t="s">
        <v>944</v>
      </c>
    </row>
    <row r="6049" spans="1:22" hidden="1" x14ac:dyDescent="0.25">
      <c r="A6049" s="269">
        <v>43752</v>
      </c>
      <c r="B6049" s="270">
        <v>2019</v>
      </c>
      <c r="C6049" s="270">
        <v>2020</v>
      </c>
      <c r="D6049" s="270">
        <v>1</v>
      </c>
      <c r="E6049" s="270">
        <v>1</v>
      </c>
      <c r="F6049" s="270" t="s">
        <v>944</v>
      </c>
      <c r="G6049" s="270" t="s">
        <v>3926</v>
      </c>
      <c r="H6049" s="270" t="s">
        <v>10775</v>
      </c>
      <c r="I6049" s="270" t="s">
        <v>4119</v>
      </c>
      <c r="J6049" s="270" t="s">
        <v>3928</v>
      </c>
      <c r="K6049" s="270">
        <v>6078</v>
      </c>
      <c r="L6049" s="270">
        <v>477102</v>
      </c>
      <c r="M6049" s="270" t="s">
        <v>3943</v>
      </c>
      <c r="N6049" s="270" t="s">
        <v>10776</v>
      </c>
      <c r="O6049" s="270">
        <v>0</v>
      </c>
      <c r="P6049" s="270" t="s">
        <v>3930</v>
      </c>
      <c r="Q6049" s="270" t="s">
        <v>3930</v>
      </c>
      <c r="R6049" s="270">
        <v>0</v>
      </c>
      <c r="S6049" s="270">
        <v>12614.66</v>
      </c>
      <c r="T6049" s="270">
        <v>12614.66</v>
      </c>
      <c r="U6049" s="271" t="s">
        <v>3937</v>
      </c>
      <c r="V6049" s="267" t="s">
        <v>944</v>
      </c>
    </row>
    <row r="6050" spans="1:22" hidden="1" x14ac:dyDescent="0.25">
      <c r="A6050" s="266">
        <v>43752</v>
      </c>
      <c r="B6050" s="267">
        <v>2019</v>
      </c>
      <c r="C6050" s="267">
        <v>2020</v>
      </c>
      <c r="D6050" s="267">
        <v>1</v>
      </c>
      <c r="E6050" s="267">
        <v>1</v>
      </c>
      <c r="F6050" s="267" t="s">
        <v>944</v>
      </c>
      <c r="G6050" s="267" t="s">
        <v>3926</v>
      </c>
      <c r="H6050" s="267" t="s">
        <v>10777</v>
      </c>
      <c r="I6050" s="267" t="s">
        <v>4269</v>
      </c>
      <c r="J6050" s="267" t="s">
        <v>3928</v>
      </c>
      <c r="K6050" s="267">
        <v>6110</v>
      </c>
      <c r="L6050" s="267">
        <v>496800</v>
      </c>
      <c r="M6050" s="267" t="s">
        <v>3935</v>
      </c>
      <c r="N6050" s="267" t="s">
        <v>8674</v>
      </c>
      <c r="O6050" s="267">
        <v>0</v>
      </c>
      <c r="P6050" s="267" t="s">
        <v>3930</v>
      </c>
      <c r="Q6050" s="267" t="s">
        <v>3930</v>
      </c>
      <c r="R6050" s="267">
        <v>0</v>
      </c>
      <c r="S6050" s="267">
        <v>8400</v>
      </c>
      <c r="T6050" s="267">
        <v>8400</v>
      </c>
      <c r="U6050" s="268" t="s">
        <v>3937</v>
      </c>
      <c r="V6050" s="267" t="s">
        <v>944</v>
      </c>
    </row>
    <row r="6051" spans="1:22" hidden="1" x14ac:dyDescent="0.25">
      <c r="A6051" s="269">
        <v>43752</v>
      </c>
      <c r="B6051" s="270">
        <v>2019</v>
      </c>
      <c r="C6051" s="270">
        <v>2020</v>
      </c>
      <c r="D6051" s="270">
        <v>1</v>
      </c>
      <c r="E6051" s="270">
        <v>1</v>
      </c>
      <c r="F6051" s="270" t="s">
        <v>944</v>
      </c>
      <c r="G6051" s="270" t="s">
        <v>3926</v>
      </c>
      <c r="H6051" s="270" t="s">
        <v>10778</v>
      </c>
      <c r="I6051" s="270" t="s">
        <v>4124</v>
      </c>
      <c r="J6051" s="270" t="s">
        <v>3928</v>
      </c>
      <c r="K6051" s="270">
        <v>6470</v>
      </c>
      <c r="L6051" s="270">
        <v>230300</v>
      </c>
      <c r="M6051" s="270" t="s">
        <v>3943</v>
      </c>
      <c r="N6051" s="270" t="s">
        <v>10779</v>
      </c>
      <c r="O6051" s="270">
        <v>0</v>
      </c>
      <c r="P6051" s="270" t="s">
        <v>3930</v>
      </c>
      <c r="Q6051" s="270" t="s">
        <v>3930</v>
      </c>
      <c r="R6051" s="270">
        <v>0</v>
      </c>
      <c r="S6051" s="270">
        <v>29100</v>
      </c>
      <c r="T6051" s="270">
        <v>29100</v>
      </c>
      <c r="U6051" s="271" t="s">
        <v>3937</v>
      </c>
      <c r="V6051" s="267" t="s">
        <v>944</v>
      </c>
    </row>
    <row r="6052" spans="1:22" hidden="1" x14ac:dyDescent="0.25">
      <c r="A6052" s="266">
        <v>43752</v>
      </c>
      <c r="B6052" s="267">
        <v>2019</v>
      </c>
      <c r="C6052" s="267">
        <v>2020</v>
      </c>
      <c r="D6052" s="267">
        <v>1</v>
      </c>
      <c r="E6052" s="267">
        <v>1</v>
      </c>
      <c r="F6052" s="267" t="s">
        <v>944</v>
      </c>
      <c r="G6052" s="267" t="s">
        <v>3926</v>
      </c>
      <c r="H6052" s="267" t="s">
        <v>10780</v>
      </c>
      <c r="I6052" s="267" t="s">
        <v>934</v>
      </c>
      <c r="J6052" s="267" t="s">
        <v>3928</v>
      </c>
      <c r="K6052" s="267">
        <v>6601</v>
      </c>
      <c r="L6052" s="267">
        <v>240200</v>
      </c>
      <c r="M6052" s="267" t="s">
        <v>3943</v>
      </c>
      <c r="N6052" s="267" t="s">
        <v>7680</v>
      </c>
      <c r="O6052" s="267">
        <v>848.49</v>
      </c>
      <c r="P6052" s="267" t="s">
        <v>3930</v>
      </c>
      <c r="Q6052" s="267" t="s">
        <v>3931</v>
      </c>
      <c r="R6052" s="267">
        <v>5848.49</v>
      </c>
      <c r="S6052" s="267">
        <v>11128</v>
      </c>
      <c r="T6052" s="267">
        <v>16976.490000000002</v>
      </c>
      <c r="U6052" s="268" t="s">
        <v>3932</v>
      </c>
      <c r="V6052" s="267" t="s">
        <v>944</v>
      </c>
    </row>
    <row r="6053" spans="1:22" hidden="1" x14ac:dyDescent="0.25">
      <c r="A6053" s="269">
        <v>43752</v>
      </c>
      <c r="B6053" s="270">
        <v>2019</v>
      </c>
      <c r="C6053" s="270">
        <v>2020</v>
      </c>
      <c r="D6053" s="270">
        <v>1</v>
      </c>
      <c r="E6053" s="270">
        <v>1</v>
      </c>
      <c r="F6053" s="270" t="s">
        <v>944</v>
      </c>
      <c r="G6053" s="270" t="s">
        <v>3926</v>
      </c>
      <c r="H6053" s="270" t="s">
        <v>10781</v>
      </c>
      <c r="I6053" s="270" t="s">
        <v>3008</v>
      </c>
      <c r="J6053" s="270" t="s">
        <v>3928</v>
      </c>
      <c r="K6053" s="270">
        <v>6460</v>
      </c>
      <c r="L6053" s="270">
        <v>150100</v>
      </c>
      <c r="M6053" s="270" t="s">
        <v>3960</v>
      </c>
      <c r="N6053" s="270" t="s">
        <v>4701</v>
      </c>
      <c r="O6053" s="270">
        <v>5518.62</v>
      </c>
      <c r="P6053" s="270" t="s">
        <v>3930</v>
      </c>
      <c r="Q6053" s="270" t="s">
        <v>3931</v>
      </c>
      <c r="R6053" s="270">
        <v>10518.62</v>
      </c>
      <c r="S6053" s="270">
        <v>34648</v>
      </c>
      <c r="T6053" s="270">
        <v>45166.62</v>
      </c>
      <c r="U6053" s="271" t="s">
        <v>3932</v>
      </c>
      <c r="V6053" s="267" t="s">
        <v>944</v>
      </c>
    </row>
    <row r="6054" spans="1:22" hidden="1" x14ac:dyDescent="0.25">
      <c r="A6054" s="266">
        <v>43752</v>
      </c>
      <c r="B6054" s="267">
        <v>2019</v>
      </c>
      <c r="C6054" s="267">
        <v>2020</v>
      </c>
      <c r="D6054" s="267">
        <v>1</v>
      </c>
      <c r="E6054" s="267">
        <v>1</v>
      </c>
      <c r="F6054" s="267" t="s">
        <v>944</v>
      </c>
      <c r="G6054" s="267" t="s">
        <v>3926</v>
      </c>
      <c r="H6054" s="267" t="s">
        <v>10782</v>
      </c>
      <c r="I6054" s="267" t="s">
        <v>4019</v>
      </c>
      <c r="J6054" s="267" t="s">
        <v>3928</v>
      </c>
      <c r="K6054" s="267">
        <v>6701</v>
      </c>
      <c r="L6054" s="267">
        <v>165801</v>
      </c>
      <c r="M6054" s="267" t="s">
        <v>3935</v>
      </c>
      <c r="N6054" s="267" t="s">
        <v>4701</v>
      </c>
      <c r="O6054" s="267">
        <v>2272.87</v>
      </c>
      <c r="P6054" s="267" t="s">
        <v>3930</v>
      </c>
      <c r="Q6054" s="267" t="s">
        <v>3931</v>
      </c>
      <c r="R6054" s="267">
        <v>7272.87</v>
      </c>
      <c r="S6054" s="267">
        <v>34648</v>
      </c>
      <c r="T6054" s="267">
        <v>41920.870000000003</v>
      </c>
      <c r="U6054" s="268" t="s">
        <v>3932</v>
      </c>
      <c r="V6054" s="267" t="s">
        <v>944</v>
      </c>
    </row>
    <row r="6055" spans="1:22" hidden="1" x14ac:dyDescent="0.25">
      <c r="A6055" s="269">
        <v>43752</v>
      </c>
      <c r="B6055" s="270">
        <v>2019</v>
      </c>
      <c r="C6055" s="270">
        <v>2020</v>
      </c>
      <c r="D6055" s="270">
        <v>1</v>
      </c>
      <c r="E6055" s="270">
        <v>1</v>
      </c>
      <c r="F6055" s="270" t="s">
        <v>944</v>
      </c>
      <c r="G6055" s="270" t="s">
        <v>3926</v>
      </c>
      <c r="H6055" s="270" t="s">
        <v>10783</v>
      </c>
      <c r="I6055" s="270" t="s">
        <v>934</v>
      </c>
      <c r="J6055" s="270" t="s">
        <v>3928</v>
      </c>
      <c r="K6055" s="270">
        <v>6601</v>
      </c>
      <c r="L6055" s="270">
        <v>240200</v>
      </c>
      <c r="M6055" s="270" t="s">
        <v>3943</v>
      </c>
      <c r="N6055" s="270" t="s">
        <v>3983</v>
      </c>
      <c r="O6055" s="270">
        <v>3652.11</v>
      </c>
      <c r="P6055" s="270" t="s">
        <v>3930</v>
      </c>
      <c r="Q6055" s="270" t="s">
        <v>3931</v>
      </c>
      <c r="R6055" s="270">
        <v>8652.11</v>
      </c>
      <c r="S6055" s="270">
        <v>16504</v>
      </c>
      <c r="T6055" s="270">
        <v>25156.11</v>
      </c>
      <c r="U6055" s="271" t="s">
        <v>3932</v>
      </c>
      <c r="V6055" s="267" t="s">
        <v>944</v>
      </c>
    </row>
    <row r="6056" spans="1:22" x14ac:dyDescent="0.25">
      <c r="A6056" s="266">
        <v>43753</v>
      </c>
      <c r="B6056" s="267">
        <v>2019</v>
      </c>
      <c r="C6056" s="267">
        <v>2020</v>
      </c>
      <c r="D6056" s="267">
        <v>1</v>
      </c>
      <c r="E6056" s="267">
        <v>1</v>
      </c>
      <c r="F6056" s="267" t="s">
        <v>944</v>
      </c>
      <c r="G6056" s="267" t="s">
        <v>3997</v>
      </c>
      <c r="H6056" s="267" t="s">
        <v>10784</v>
      </c>
      <c r="I6056" s="267" t="s">
        <v>3956</v>
      </c>
      <c r="J6056" s="267" t="s">
        <v>3928</v>
      </c>
      <c r="K6056" s="267">
        <v>6101</v>
      </c>
      <c r="L6056" s="267">
        <v>501800</v>
      </c>
      <c r="M6056" s="267">
        <v>-60</v>
      </c>
      <c r="N6056" s="267" t="s">
        <v>8223</v>
      </c>
      <c r="O6056" s="267">
        <v>893.27</v>
      </c>
      <c r="P6056" s="267" t="s">
        <v>3930</v>
      </c>
      <c r="Q6056" s="267" t="s">
        <v>3931</v>
      </c>
      <c r="R6056" s="267">
        <v>5893.27</v>
      </c>
      <c r="S6056" s="267">
        <v>12702.4</v>
      </c>
      <c r="T6056" s="267">
        <v>18595.669999999998</v>
      </c>
      <c r="U6056" s="268" t="s">
        <v>3932</v>
      </c>
      <c r="V6056" s="267" t="s">
        <v>936</v>
      </c>
    </row>
    <row r="6057" spans="1:22" hidden="1" x14ac:dyDescent="0.25">
      <c r="A6057" s="269">
        <v>43753</v>
      </c>
      <c r="B6057" s="270">
        <v>2019</v>
      </c>
      <c r="C6057" s="270">
        <v>2020</v>
      </c>
      <c r="D6057" s="270">
        <v>1</v>
      </c>
      <c r="E6057" s="270">
        <v>1</v>
      </c>
      <c r="F6057" s="270" t="s">
        <v>944</v>
      </c>
      <c r="G6057" s="270" t="s">
        <v>3997</v>
      </c>
      <c r="H6057" s="270" t="s">
        <v>10785</v>
      </c>
      <c r="I6057" s="270" t="s">
        <v>3999</v>
      </c>
      <c r="J6057" s="270" t="s">
        <v>3928</v>
      </c>
      <c r="K6057" s="270">
        <v>6450</v>
      </c>
      <c r="L6057" s="270">
        <v>171000</v>
      </c>
      <c r="M6057" s="270">
        <v>-60</v>
      </c>
      <c r="N6057" s="270" t="s">
        <v>10520</v>
      </c>
      <c r="O6057" s="270">
        <v>2332.71</v>
      </c>
      <c r="P6057" s="270" t="s">
        <v>3930</v>
      </c>
      <c r="Q6057" s="270" t="s">
        <v>3931</v>
      </c>
      <c r="R6057" s="270">
        <v>7332.71</v>
      </c>
      <c r="S6057" s="270">
        <v>10960</v>
      </c>
      <c r="T6057" s="270">
        <v>18292.71</v>
      </c>
      <c r="U6057" s="271" t="s">
        <v>3932</v>
      </c>
      <c r="V6057" s="267" t="s">
        <v>944</v>
      </c>
    </row>
    <row r="6058" spans="1:22" hidden="1" x14ac:dyDescent="0.25">
      <c r="A6058" s="266">
        <v>43753</v>
      </c>
      <c r="B6058" s="267">
        <v>2019</v>
      </c>
      <c r="C6058" s="267">
        <v>2020</v>
      </c>
      <c r="D6058" s="267">
        <v>1</v>
      </c>
      <c r="E6058" s="267">
        <v>1</v>
      </c>
      <c r="F6058" s="267" t="s">
        <v>944</v>
      </c>
      <c r="G6058" s="267" t="s">
        <v>3997</v>
      </c>
      <c r="H6058" s="267" t="s">
        <v>10786</v>
      </c>
      <c r="I6058" s="267" t="s">
        <v>956</v>
      </c>
      <c r="J6058" s="267" t="s">
        <v>3928</v>
      </c>
      <c r="K6058" s="267">
        <v>6497</v>
      </c>
      <c r="L6058" s="267">
        <v>80800</v>
      </c>
      <c r="M6058" s="267" t="s">
        <v>3960</v>
      </c>
      <c r="N6058" s="267" t="s">
        <v>4103</v>
      </c>
      <c r="O6058" s="267">
        <v>1717.87</v>
      </c>
      <c r="P6058" s="267" t="s">
        <v>3930</v>
      </c>
      <c r="Q6058" s="267" t="s">
        <v>3931</v>
      </c>
      <c r="R6058" s="267">
        <v>6717.87</v>
      </c>
      <c r="S6058" s="267">
        <v>24145.599999999999</v>
      </c>
      <c r="T6058" s="267">
        <v>30863.47</v>
      </c>
      <c r="U6058" s="268" t="s">
        <v>3932</v>
      </c>
      <c r="V6058" s="267" t="s">
        <v>944</v>
      </c>
    </row>
    <row r="6059" spans="1:22" x14ac:dyDescent="0.25">
      <c r="A6059" s="269">
        <v>43753</v>
      </c>
      <c r="B6059" s="270">
        <v>2019</v>
      </c>
      <c r="C6059" s="270">
        <v>2020</v>
      </c>
      <c r="D6059" s="270">
        <v>1</v>
      </c>
      <c r="E6059" s="270">
        <v>1</v>
      </c>
      <c r="F6059" s="270" t="s">
        <v>944</v>
      </c>
      <c r="G6059" s="270" t="s">
        <v>3926</v>
      </c>
      <c r="H6059" s="270" t="s">
        <v>10787</v>
      </c>
      <c r="I6059" s="270" t="s">
        <v>3956</v>
      </c>
      <c r="J6059" s="270" t="s">
        <v>3928</v>
      </c>
      <c r="K6059" s="270">
        <v>6101</v>
      </c>
      <c r="L6059" s="270">
        <v>501800</v>
      </c>
      <c r="M6059" s="270">
        <v>-60</v>
      </c>
      <c r="N6059" s="270" t="s">
        <v>9149</v>
      </c>
      <c r="O6059" s="270">
        <v>6256.14</v>
      </c>
      <c r="P6059" s="270" t="s">
        <v>3930</v>
      </c>
      <c r="Q6059" s="270" t="s">
        <v>3931</v>
      </c>
      <c r="R6059" s="270">
        <v>11256.14</v>
      </c>
      <c r="S6059" s="270">
        <v>32364</v>
      </c>
      <c r="T6059" s="270">
        <v>43620.14</v>
      </c>
      <c r="U6059" s="271" t="s">
        <v>3932</v>
      </c>
      <c r="V6059" s="267" t="s">
        <v>936</v>
      </c>
    </row>
    <row r="6060" spans="1:22" hidden="1" x14ac:dyDescent="0.25">
      <c r="A6060" s="266">
        <v>43753</v>
      </c>
      <c r="B6060" s="267">
        <v>2019</v>
      </c>
      <c r="C6060" s="267">
        <v>2020</v>
      </c>
      <c r="D6060" s="267">
        <v>1</v>
      </c>
      <c r="E6060" s="267">
        <v>1</v>
      </c>
      <c r="F6060" s="267" t="s">
        <v>944</v>
      </c>
      <c r="G6060" s="267" t="s">
        <v>3926</v>
      </c>
      <c r="H6060" s="267" t="s">
        <v>10788</v>
      </c>
      <c r="I6060" s="267" t="s">
        <v>4019</v>
      </c>
      <c r="J6060" s="267" t="s">
        <v>3928</v>
      </c>
      <c r="K6060" s="267">
        <v>6701</v>
      </c>
      <c r="L6060" s="267">
        <v>165801</v>
      </c>
      <c r="M6060" s="267" t="s">
        <v>3935</v>
      </c>
      <c r="N6060" s="267" t="s">
        <v>3983</v>
      </c>
      <c r="O6060" s="267">
        <v>1311.17</v>
      </c>
      <c r="P6060" s="267" t="s">
        <v>3930</v>
      </c>
      <c r="Q6060" s="267" t="s">
        <v>3931</v>
      </c>
      <c r="R6060" s="267">
        <v>6311.17</v>
      </c>
      <c r="S6060" s="267">
        <v>16504</v>
      </c>
      <c r="T6060" s="267">
        <v>22815.17</v>
      </c>
      <c r="U6060" s="268" t="s">
        <v>3932</v>
      </c>
      <c r="V6060" s="267" t="s">
        <v>944</v>
      </c>
    </row>
    <row r="6061" spans="1:22" x14ac:dyDescent="0.25">
      <c r="A6061" s="269">
        <v>43753</v>
      </c>
      <c r="B6061" s="270">
        <v>2019</v>
      </c>
      <c r="C6061" s="270">
        <v>2020</v>
      </c>
      <c r="D6061" s="270">
        <v>1</v>
      </c>
      <c r="E6061" s="270">
        <v>1</v>
      </c>
      <c r="F6061" s="270" t="s">
        <v>944</v>
      </c>
      <c r="G6061" s="270" t="s">
        <v>3926</v>
      </c>
      <c r="H6061" s="270" t="s">
        <v>10789</v>
      </c>
      <c r="I6061" s="270" t="s">
        <v>4085</v>
      </c>
      <c r="J6061" s="270" t="s">
        <v>3928</v>
      </c>
      <c r="K6061" s="270">
        <v>6511</v>
      </c>
      <c r="L6061" s="270">
        <v>361402</v>
      </c>
      <c r="M6061" s="270">
        <v>-60</v>
      </c>
      <c r="N6061" s="270" t="s">
        <v>4103</v>
      </c>
      <c r="O6061" s="270">
        <v>4311.72</v>
      </c>
      <c r="P6061" s="270" t="s">
        <v>3930</v>
      </c>
      <c r="Q6061" s="270" t="s">
        <v>3931</v>
      </c>
      <c r="R6061" s="270">
        <v>9311.7199999999993</v>
      </c>
      <c r="S6061" s="270">
        <v>24145.599999999999</v>
      </c>
      <c r="T6061" s="270">
        <v>33457.32</v>
      </c>
      <c r="U6061" s="271" t="s">
        <v>3932</v>
      </c>
      <c r="V6061" s="276" t="s">
        <v>936</v>
      </c>
    </row>
    <row r="6062" spans="1:22" hidden="1" x14ac:dyDescent="0.25">
      <c r="A6062" s="266">
        <v>43753</v>
      </c>
      <c r="B6062" s="267">
        <v>2019</v>
      </c>
      <c r="C6062" s="267">
        <v>2020</v>
      </c>
      <c r="D6062" s="267">
        <v>1</v>
      </c>
      <c r="E6062" s="267">
        <v>1</v>
      </c>
      <c r="F6062" s="267" t="s">
        <v>944</v>
      </c>
      <c r="G6062" s="267" t="s">
        <v>3926</v>
      </c>
      <c r="H6062" s="267" t="s">
        <v>10790</v>
      </c>
      <c r="I6062" s="267" t="s">
        <v>4330</v>
      </c>
      <c r="J6062" s="267" t="s">
        <v>3928</v>
      </c>
      <c r="K6062" s="267">
        <v>6413</v>
      </c>
      <c r="L6062" s="267">
        <v>610200</v>
      </c>
      <c r="M6062" s="267" t="s">
        <v>3940</v>
      </c>
      <c r="N6062" s="267" t="s">
        <v>10791</v>
      </c>
      <c r="O6062" s="267">
        <v>0</v>
      </c>
      <c r="P6062" s="267" t="s">
        <v>3930</v>
      </c>
      <c r="Q6062" s="267" t="s">
        <v>3930</v>
      </c>
      <c r="R6062" s="267">
        <v>0</v>
      </c>
      <c r="S6062" s="267">
        <v>8132.69</v>
      </c>
      <c r="T6062" s="267">
        <v>8132.69</v>
      </c>
      <c r="U6062" s="268" t="s">
        <v>3937</v>
      </c>
      <c r="V6062" s="267" t="s">
        <v>944</v>
      </c>
    </row>
    <row r="6063" spans="1:22" hidden="1" x14ac:dyDescent="0.25">
      <c r="A6063" s="269">
        <v>43753</v>
      </c>
      <c r="B6063" s="270">
        <v>2019</v>
      </c>
      <c r="C6063" s="270">
        <v>2020</v>
      </c>
      <c r="D6063" s="270">
        <v>1</v>
      </c>
      <c r="E6063" s="270">
        <v>1</v>
      </c>
      <c r="F6063" s="270" t="s">
        <v>944</v>
      </c>
      <c r="G6063" s="270" t="s">
        <v>3997</v>
      </c>
      <c r="H6063" s="270" t="s">
        <v>10792</v>
      </c>
      <c r="I6063" s="270" t="s">
        <v>3966</v>
      </c>
      <c r="J6063" s="270" t="s">
        <v>3928</v>
      </c>
      <c r="K6063" s="270">
        <v>6010</v>
      </c>
      <c r="L6063" s="270">
        <v>405900</v>
      </c>
      <c r="M6063" s="270" t="s">
        <v>3960</v>
      </c>
      <c r="N6063" s="270" t="s">
        <v>3944</v>
      </c>
      <c r="O6063" s="270">
        <v>5027</v>
      </c>
      <c r="P6063" s="270" t="s">
        <v>3944</v>
      </c>
      <c r="Q6063" s="270" t="s">
        <v>3944</v>
      </c>
      <c r="R6063" s="270">
        <v>5027</v>
      </c>
      <c r="S6063" s="270">
        <v>47880.4</v>
      </c>
      <c r="T6063" s="270">
        <v>52907.4</v>
      </c>
      <c r="U6063" s="271" t="s">
        <v>3945</v>
      </c>
      <c r="V6063" s="267" t="s">
        <v>944</v>
      </c>
    </row>
    <row r="6064" spans="1:22" hidden="1" x14ac:dyDescent="0.25">
      <c r="A6064" s="266">
        <v>43753</v>
      </c>
      <c r="B6064" s="267">
        <v>2019</v>
      </c>
      <c r="C6064" s="267">
        <v>2020</v>
      </c>
      <c r="D6064" s="267">
        <v>1</v>
      </c>
      <c r="E6064" s="267">
        <v>1</v>
      </c>
      <c r="F6064" s="267" t="s">
        <v>944</v>
      </c>
      <c r="G6064" s="267" t="s">
        <v>3926</v>
      </c>
      <c r="H6064" s="267" t="s">
        <v>10793</v>
      </c>
      <c r="I6064" s="267" t="s">
        <v>3012</v>
      </c>
      <c r="J6064" s="267" t="s">
        <v>3928</v>
      </c>
      <c r="K6064" s="267">
        <v>6477</v>
      </c>
      <c r="L6064" s="267">
        <v>157200</v>
      </c>
      <c r="M6064" s="267" t="s">
        <v>3943</v>
      </c>
      <c r="N6064" s="267" t="s">
        <v>3944</v>
      </c>
      <c r="O6064" s="267">
        <v>5007</v>
      </c>
      <c r="P6064" s="267" t="s">
        <v>3944</v>
      </c>
      <c r="Q6064" s="267" t="s">
        <v>3944</v>
      </c>
      <c r="R6064" s="267">
        <v>5007</v>
      </c>
      <c r="S6064" s="267">
        <v>30336</v>
      </c>
      <c r="T6064" s="267">
        <v>35343</v>
      </c>
      <c r="U6064" s="268" t="s">
        <v>3945</v>
      </c>
      <c r="V6064" s="267" t="s">
        <v>944</v>
      </c>
    </row>
    <row r="6065" spans="1:22" hidden="1" x14ac:dyDescent="0.25">
      <c r="A6065" s="269">
        <v>43753</v>
      </c>
      <c r="B6065" s="270">
        <v>2019</v>
      </c>
      <c r="C6065" s="270">
        <v>2020</v>
      </c>
      <c r="D6065" s="270">
        <v>1</v>
      </c>
      <c r="E6065" s="270">
        <v>1</v>
      </c>
      <c r="F6065" s="270" t="s">
        <v>944</v>
      </c>
      <c r="G6065" s="270" t="s">
        <v>3926</v>
      </c>
      <c r="H6065" s="270" t="s">
        <v>10794</v>
      </c>
      <c r="I6065" s="270" t="s">
        <v>3009</v>
      </c>
      <c r="J6065" s="270" t="s">
        <v>3928</v>
      </c>
      <c r="K6065" s="270">
        <v>6484</v>
      </c>
      <c r="L6065" s="270">
        <v>110301</v>
      </c>
      <c r="M6065" s="270" t="s">
        <v>3935</v>
      </c>
      <c r="N6065" s="270" t="s">
        <v>3944</v>
      </c>
      <c r="O6065" s="270">
        <v>2558</v>
      </c>
      <c r="P6065" s="270" t="s">
        <v>3944</v>
      </c>
      <c r="Q6065" s="270" t="s">
        <v>3944</v>
      </c>
      <c r="R6065" s="270">
        <v>2558</v>
      </c>
      <c r="S6065" s="270">
        <v>18981</v>
      </c>
      <c r="T6065" s="270">
        <v>21539</v>
      </c>
      <c r="U6065" s="271" t="s">
        <v>3945</v>
      </c>
      <c r="V6065" s="267" t="s">
        <v>944</v>
      </c>
    </row>
    <row r="6066" spans="1:22" hidden="1" x14ac:dyDescent="0.25">
      <c r="A6066" s="266">
        <v>43753</v>
      </c>
      <c r="B6066" s="267">
        <v>2019</v>
      </c>
      <c r="C6066" s="267">
        <v>2020</v>
      </c>
      <c r="D6066" s="267">
        <v>1</v>
      </c>
      <c r="E6066" s="267">
        <v>1</v>
      </c>
      <c r="F6066" s="267" t="s">
        <v>944</v>
      </c>
      <c r="G6066" s="267" t="s">
        <v>3997</v>
      </c>
      <c r="H6066" s="267" t="s">
        <v>10795</v>
      </c>
      <c r="I6066" s="267" t="s">
        <v>3008</v>
      </c>
      <c r="J6066" s="267" t="s">
        <v>3928</v>
      </c>
      <c r="K6066" s="267">
        <v>6461</v>
      </c>
      <c r="L6066" s="267">
        <v>150600</v>
      </c>
      <c r="M6066" s="267" t="s">
        <v>3960</v>
      </c>
      <c r="N6066" s="267" t="s">
        <v>3944</v>
      </c>
      <c r="O6066" s="267">
        <v>1984.78</v>
      </c>
      <c r="P6066" s="267" t="s">
        <v>3944</v>
      </c>
      <c r="Q6066" s="267" t="s">
        <v>3944</v>
      </c>
      <c r="R6066" s="267">
        <v>1984.78</v>
      </c>
      <c r="S6066" s="267">
        <v>33995.379999999997</v>
      </c>
      <c r="T6066" s="267">
        <v>35980.160000000003</v>
      </c>
      <c r="U6066" s="268" t="s">
        <v>3945</v>
      </c>
      <c r="V6066" s="267" t="s">
        <v>944</v>
      </c>
    </row>
    <row r="6067" spans="1:22" hidden="1" x14ac:dyDescent="0.25">
      <c r="A6067" s="269">
        <v>43753</v>
      </c>
      <c r="B6067" s="270">
        <v>2019</v>
      </c>
      <c r="C6067" s="270">
        <v>2020</v>
      </c>
      <c r="D6067" s="270">
        <v>1</v>
      </c>
      <c r="E6067" s="270">
        <v>1</v>
      </c>
      <c r="F6067" s="270" t="s">
        <v>944</v>
      </c>
      <c r="G6067" s="270" t="s">
        <v>3926</v>
      </c>
      <c r="H6067" s="270" t="s">
        <v>10796</v>
      </c>
      <c r="I6067" s="270" t="s">
        <v>4871</v>
      </c>
      <c r="J6067" s="270" t="s">
        <v>3928</v>
      </c>
      <c r="K6067" s="270">
        <v>6877</v>
      </c>
      <c r="L6067" s="270">
        <v>245100</v>
      </c>
      <c r="M6067" s="270" t="s">
        <v>3943</v>
      </c>
      <c r="N6067" s="270" t="s">
        <v>3944</v>
      </c>
      <c r="O6067" s="270">
        <v>4812</v>
      </c>
      <c r="P6067" s="270" t="s">
        <v>3944</v>
      </c>
      <c r="Q6067" s="270" t="s">
        <v>3944</v>
      </c>
      <c r="R6067" s="270">
        <v>4812</v>
      </c>
      <c r="S6067" s="270">
        <v>28389</v>
      </c>
      <c r="T6067" s="270">
        <v>33201</v>
      </c>
      <c r="U6067" s="271" t="s">
        <v>3945</v>
      </c>
      <c r="V6067" s="267" t="s">
        <v>944</v>
      </c>
    </row>
    <row r="6068" spans="1:22" hidden="1" x14ac:dyDescent="0.25">
      <c r="A6068" s="266">
        <v>43753</v>
      </c>
      <c r="B6068" s="267">
        <v>2019</v>
      </c>
      <c r="C6068" s="267">
        <v>2020</v>
      </c>
      <c r="D6068" s="267">
        <v>1</v>
      </c>
      <c r="E6068" s="267">
        <v>1</v>
      </c>
      <c r="F6068" s="267" t="s">
        <v>944</v>
      </c>
      <c r="G6068" s="267" t="s">
        <v>3926</v>
      </c>
      <c r="H6068" s="267" t="s">
        <v>10797</v>
      </c>
      <c r="I6068" s="267" t="s">
        <v>3996</v>
      </c>
      <c r="J6068" s="267" t="s">
        <v>3928</v>
      </c>
      <c r="K6068" s="267">
        <v>6790</v>
      </c>
      <c r="L6068" s="267">
        <v>310700</v>
      </c>
      <c r="M6068" s="267" t="s">
        <v>3940</v>
      </c>
      <c r="N6068" s="267" t="s">
        <v>3944</v>
      </c>
      <c r="O6068" s="267">
        <v>3698.91</v>
      </c>
      <c r="P6068" s="267" t="s">
        <v>3944</v>
      </c>
      <c r="Q6068" s="267" t="s">
        <v>3944</v>
      </c>
      <c r="R6068" s="267">
        <v>3698.91</v>
      </c>
      <c r="S6068" s="267">
        <v>49301.06</v>
      </c>
      <c r="T6068" s="267">
        <v>52999.97</v>
      </c>
      <c r="U6068" s="268" t="s">
        <v>3945</v>
      </c>
      <c r="V6068" s="267" t="s">
        <v>944</v>
      </c>
    </row>
    <row r="6069" spans="1:22" hidden="1" x14ac:dyDescent="0.25">
      <c r="A6069" s="269">
        <v>43753</v>
      </c>
      <c r="B6069" s="270">
        <v>2019</v>
      </c>
      <c r="C6069" s="270">
        <v>2020</v>
      </c>
      <c r="D6069" s="270">
        <v>1</v>
      </c>
      <c r="E6069" s="270">
        <v>1</v>
      </c>
      <c r="F6069" s="270" t="s">
        <v>944</v>
      </c>
      <c r="G6069" s="270" t="s">
        <v>3926</v>
      </c>
      <c r="H6069" s="270" t="s">
        <v>10798</v>
      </c>
      <c r="I6069" s="270" t="s">
        <v>956</v>
      </c>
      <c r="J6069" s="270" t="s">
        <v>3928</v>
      </c>
      <c r="K6069" s="270">
        <v>6614</v>
      </c>
      <c r="L6069" s="270">
        <v>80100</v>
      </c>
      <c r="M6069" s="270" t="s">
        <v>3935</v>
      </c>
      <c r="N6069" s="270" t="s">
        <v>3944</v>
      </c>
      <c r="O6069" s="270">
        <v>1783.18</v>
      </c>
      <c r="P6069" s="270" t="s">
        <v>3944</v>
      </c>
      <c r="Q6069" s="270" t="s">
        <v>3944</v>
      </c>
      <c r="R6069" s="270">
        <v>1783.18</v>
      </c>
      <c r="S6069" s="270">
        <v>24273.119999999999</v>
      </c>
      <c r="T6069" s="270">
        <v>26056.3</v>
      </c>
      <c r="U6069" s="271" t="s">
        <v>3945</v>
      </c>
      <c r="V6069" s="267" t="s">
        <v>944</v>
      </c>
    </row>
    <row r="6070" spans="1:22" hidden="1" x14ac:dyDescent="0.25">
      <c r="A6070" s="266">
        <v>43753</v>
      </c>
      <c r="B6070" s="267">
        <v>2019</v>
      </c>
      <c r="C6070" s="267">
        <v>2020</v>
      </c>
      <c r="D6070" s="267">
        <v>1</v>
      </c>
      <c r="E6070" s="267">
        <v>1</v>
      </c>
      <c r="F6070" s="267" t="s">
        <v>944</v>
      </c>
      <c r="G6070" s="267" t="s">
        <v>3926</v>
      </c>
      <c r="H6070" s="267" t="s">
        <v>10799</v>
      </c>
      <c r="I6070" s="267" t="s">
        <v>4422</v>
      </c>
      <c r="J6070" s="267" t="s">
        <v>3928</v>
      </c>
      <c r="K6070" s="267">
        <v>6801</v>
      </c>
      <c r="L6070" s="267">
        <v>200301</v>
      </c>
      <c r="M6070" s="267" t="s">
        <v>3943</v>
      </c>
      <c r="N6070" s="267" t="s">
        <v>3944</v>
      </c>
      <c r="O6070" s="267">
        <v>1530.38</v>
      </c>
      <c r="P6070" s="267" t="s">
        <v>3944</v>
      </c>
      <c r="Q6070" s="267" t="s">
        <v>3944</v>
      </c>
      <c r="R6070" s="267">
        <v>1530.38</v>
      </c>
      <c r="S6070" s="267">
        <v>18211.22</v>
      </c>
      <c r="T6070" s="267">
        <v>19741.599999999999</v>
      </c>
      <c r="U6070" s="268" t="s">
        <v>3945</v>
      </c>
      <c r="V6070" s="267" t="s">
        <v>944</v>
      </c>
    </row>
    <row r="6071" spans="1:22" hidden="1" x14ac:dyDescent="0.25">
      <c r="A6071" s="269">
        <v>43753</v>
      </c>
      <c r="B6071" s="270">
        <v>2019</v>
      </c>
      <c r="C6071" s="270">
        <v>2020</v>
      </c>
      <c r="D6071" s="270">
        <v>1</v>
      </c>
      <c r="E6071" s="270">
        <v>1</v>
      </c>
      <c r="F6071" s="270" t="s">
        <v>944</v>
      </c>
      <c r="G6071" s="270" t="s">
        <v>3926</v>
      </c>
      <c r="H6071" s="270" t="s">
        <v>10800</v>
      </c>
      <c r="I6071" s="270" t="s">
        <v>4839</v>
      </c>
      <c r="J6071" s="270" t="s">
        <v>3928</v>
      </c>
      <c r="K6071" s="270">
        <v>6524</v>
      </c>
      <c r="L6071" s="270">
        <v>161100</v>
      </c>
      <c r="M6071" s="270" t="s">
        <v>3943</v>
      </c>
      <c r="N6071" s="270" t="s">
        <v>3944</v>
      </c>
      <c r="O6071" s="270">
        <v>1833.16</v>
      </c>
      <c r="P6071" s="270" t="s">
        <v>3944</v>
      </c>
      <c r="Q6071" s="270" t="s">
        <v>3944</v>
      </c>
      <c r="R6071" s="270">
        <v>1833.16</v>
      </c>
      <c r="S6071" s="270">
        <v>28855.8</v>
      </c>
      <c r="T6071" s="270">
        <v>30688.959999999999</v>
      </c>
      <c r="U6071" s="271" t="s">
        <v>3945</v>
      </c>
      <c r="V6071" s="267" t="s">
        <v>944</v>
      </c>
    </row>
    <row r="6072" spans="1:22" hidden="1" x14ac:dyDescent="0.25">
      <c r="A6072" s="266">
        <v>43753</v>
      </c>
      <c r="B6072" s="267">
        <v>2019</v>
      </c>
      <c r="C6072" s="267">
        <v>2020</v>
      </c>
      <c r="D6072" s="267">
        <v>1</v>
      </c>
      <c r="E6072" s="267">
        <v>1</v>
      </c>
      <c r="F6072" s="267" t="s">
        <v>944</v>
      </c>
      <c r="G6072" s="267" t="s">
        <v>3926</v>
      </c>
      <c r="H6072" s="267" t="s">
        <v>10801</v>
      </c>
      <c r="I6072" s="267" t="s">
        <v>8657</v>
      </c>
      <c r="J6072" s="267" t="s">
        <v>3928</v>
      </c>
      <c r="K6072" s="267">
        <v>6264</v>
      </c>
      <c r="L6072" s="267">
        <v>825000</v>
      </c>
      <c r="M6072" s="267" t="s">
        <v>3935</v>
      </c>
      <c r="N6072" s="267" t="s">
        <v>3944</v>
      </c>
      <c r="O6072" s="267">
        <v>3547.29</v>
      </c>
      <c r="P6072" s="267" t="s">
        <v>3944</v>
      </c>
      <c r="Q6072" s="267" t="s">
        <v>3944</v>
      </c>
      <c r="R6072" s="267">
        <v>3547.29</v>
      </c>
      <c r="S6072" s="267">
        <v>42726.26</v>
      </c>
      <c r="T6072" s="267">
        <v>46273.55</v>
      </c>
      <c r="U6072" s="268" t="s">
        <v>3945</v>
      </c>
      <c r="V6072" s="267" t="s">
        <v>944</v>
      </c>
    </row>
    <row r="6073" spans="1:22" hidden="1" x14ac:dyDescent="0.25">
      <c r="A6073" s="269">
        <v>43754</v>
      </c>
      <c r="B6073" s="270">
        <v>2019</v>
      </c>
      <c r="C6073" s="270">
        <v>2020</v>
      </c>
      <c r="D6073" s="270">
        <v>1</v>
      </c>
      <c r="E6073" s="270">
        <v>1</v>
      </c>
      <c r="F6073" s="270" t="s">
        <v>944</v>
      </c>
      <c r="G6073" s="270" t="s">
        <v>3926</v>
      </c>
      <c r="H6073" s="270" t="s">
        <v>10802</v>
      </c>
      <c r="I6073" s="270" t="s">
        <v>3956</v>
      </c>
      <c r="J6073" s="270" t="s">
        <v>3928</v>
      </c>
      <c r="K6073" s="270">
        <v>6112</v>
      </c>
      <c r="L6073" s="270">
        <v>504000</v>
      </c>
      <c r="M6073" s="270" t="s">
        <v>3940</v>
      </c>
      <c r="N6073" s="270" t="s">
        <v>10803</v>
      </c>
      <c r="O6073" s="270">
        <v>0</v>
      </c>
      <c r="P6073" s="270" t="s">
        <v>3930</v>
      </c>
      <c r="Q6073" s="270" t="s">
        <v>3930</v>
      </c>
      <c r="R6073" s="270">
        <v>0</v>
      </c>
      <c r="S6073" s="270">
        <v>40000</v>
      </c>
      <c r="T6073" s="270">
        <v>40000</v>
      </c>
      <c r="U6073" s="271" t="s">
        <v>3937</v>
      </c>
      <c r="V6073" s="267" t="s">
        <v>944</v>
      </c>
    </row>
    <row r="6074" spans="1:22" hidden="1" x14ac:dyDescent="0.25">
      <c r="A6074" s="266">
        <v>43754</v>
      </c>
      <c r="B6074" s="267">
        <v>2019</v>
      </c>
      <c r="C6074" s="267">
        <v>2020</v>
      </c>
      <c r="D6074" s="267">
        <v>1</v>
      </c>
      <c r="E6074" s="267">
        <v>1</v>
      </c>
      <c r="F6074" s="267" t="s">
        <v>944</v>
      </c>
      <c r="G6074" s="267" t="s">
        <v>3926</v>
      </c>
      <c r="H6074" s="267" t="s">
        <v>10804</v>
      </c>
      <c r="I6074" s="267" t="s">
        <v>4079</v>
      </c>
      <c r="J6074" s="267" t="s">
        <v>3928</v>
      </c>
      <c r="K6074" s="267">
        <v>6111</v>
      </c>
      <c r="L6074" s="267">
        <v>494100</v>
      </c>
      <c r="M6074" s="267" t="s">
        <v>3935</v>
      </c>
      <c r="N6074" s="267" t="s">
        <v>6327</v>
      </c>
      <c r="O6074" s="267">
        <v>0</v>
      </c>
      <c r="P6074" s="267" t="s">
        <v>3930</v>
      </c>
      <c r="Q6074" s="267" t="s">
        <v>3930</v>
      </c>
      <c r="R6074" s="267">
        <v>0</v>
      </c>
      <c r="S6074" s="267">
        <v>11900</v>
      </c>
      <c r="T6074" s="267">
        <v>11900</v>
      </c>
      <c r="U6074" s="268" t="s">
        <v>3937</v>
      </c>
      <c r="V6074" s="267" t="s">
        <v>944</v>
      </c>
    </row>
    <row r="6075" spans="1:22" hidden="1" x14ac:dyDescent="0.25">
      <c r="A6075" s="269">
        <v>43754</v>
      </c>
      <c r="B6075" s="270">
        <v>2019</v>
      </c>
      <c r="C6075" s="270">
        <v>2020</v>
      </c>
      <c r="D6075" s="270">
        <v>1</v>
      </c>
      <c r="E6075" s="270">
        <v>1</v>
      </c>
      <c r="F6075" s="270" t="s">
        <v>944</v>
      </c>
      <c r="G6075" s="270" t="s">
        <v>3926</v>
      </c>
      <c r="H6075" s="270" t="s">
        <v>10805</v>
      </c>
      <c r="I6075" s="270" t="s">
        <v>3009</v>
      </c>
      <c r="J6075" s="270" t="s">
        <v>3928</v>
      </c>
      <c r="K6075" s="270">
        <v>6484</v>
      </c>
      <c r="L6075" s="270">
        <v>110500</v>
      </c>
      <c r="M6075" s="270" t="s">
        <v>3943</v>
      </c>
      <c r="N6075" s="270" t="s">
        <v>10806</v>
      </c>
      <c r="O6075" s="270">
        <v>4063.4</v>
      </c>
      <c r="P6075" s="270" t="s">
        <v>3930</v>
      </c>
      <c r="Q6075" s="270" t="s">
        <v>3931</v>
      </c>
      <c r="R6075" s="270">
        <v>9063.4</v>
      </c>
      <c r="S6075" s="270">
        <v>23704</v>
      </c>
      <c r="T6075" s="270">
        <v>32767.4</v>
      </c>
      <c r="U6075" s="271" t="s">
        <v>3932</v>
      </c>
      <c r="V6075" s="267" t="s">
        <v>944</v>
      </c>
    </row>
    <row r="6076" spans="1:22" hidden="1" x14ac:dyDescent="0.25">
      <c r="A6076" s="266">
        <v>43754</v>
      </c>
      <c r="B6076" s="267">
        <v>2019</v>
      </c>
      <c r="C6076" s="267">
        <v>2020</v>
      </c>
      <c r="D6076" s="267">
        <v>1</v>
      </c>
      <c r="E6076" s="267">
        <v>1</v>
      </c>
      <c r="F6076" s="267" t="s">
        <v>944</v>
      </c>
      <c r="G6076" s="267" t="s">
        <v>3926</v>
      </c>
      <c r="H6076" s="267" t="s">
        <v>10807</v>
      </c>
      <c r="I6076" s="267" t="s">
        <v>4005</v>
      </c>
      <c r="J6076" s="267" t="s">
        <v>3928</v>
      </c>
      <c r="K6076" s="267">
        <v>6108</v>
      </c>
      <c r="L6076" s="267">
        <v>510400</v>
      </c>
      <c r="M6076" s="267">
        <v>-60</v>
      </c>
      <c r="N6076" s="267" t="s">
        <v>7680</v>
      </c>
      <c r="O6076" s="267">
        <v>1946.27</v>
      </c>
      <c r="P6076" s="267" t="s">
        <v>3930</v>
      </c>
      <c r="Q6076" s="267" t="s">
        <v>3931</v>
      </c>
      <c r="R6076" s="267">
        <v>6946.27</v>
      </c>
      <c r="S6076" s="267">
        <v>11128</v>
      </c>
      <c r="T6076" s="267">
        <v>18074.27</v>
      </c>
      <c r="U6076" s="268" t="s">
        <v>3932</v>
      </c>
      <c r="V6076" s="267" t="s">
        <v>944</v>
      </c>
    </row>
    <row r="6077" spans="1:22" hidden="1" x14ac:dyDescent="0.25">
      <c r="A6077" s="269">
        <v>43754</v>
      </c>
      <c r="B6077" s="270">
        <v>2019</v>
      </c>
      <c r="C6077" s="270">
        <v>2020</v>
      </c>
      <c r="D6077" s="270">
        <v>1</v>
      </c>
      <c r="E6077" s="270">
        <v>1</v>
      </c>
      <c r="F6077" s="270" t="s">
        <v>944</v>
      </c>
      <c r="G6077" s="270" t="s">
        <v>3926</v>
      </c>
      <c r="H6077" s="270" t="s">
        <v>10808</v>
      </c>
      <c r="I6077" s="270" t="s">
        <v>3939</v>
      </c>
      <c r="J6077" s="270" t="s">
        <v>3928</v>
      </c>
      <c r="K6077" s="270">
        <v>6512</v>
      </c>
      <c r="L6077" s="270">
        <v>180400</v>
      </c>
      <c r="M6077" s="270" t="s">
        <v>3935</v>
      </c>
      <c r="N6077" s="270" t="s">
        <v>4103</v>
      </c>
      <c r="O6077" s="270">
        <v>1621.2</v>
      </c>
      <c r="P6077" s="270" t="s">
        <v>3930</v>
      </c>
      <c r="Q6077" s="270" t="s">
        <v>3931</v>
      </c>
      <c r="R6077" s="270">
        <v>6621.2</v>
      </c>
      <c r="S6077" s="270">
        <v>24145.599999999999</v>
      </c>
      <c r="T6077" s="270">
        <v>30766.799999999999</v>
      </c>
      <c r="U6077" s="271" t="s">
        <v>3932</v>
      </c>
      <c r="V6077" s="267" t="s">
        <v>944</v>
      </c>
    </row>
    <row r="6078" spans="1:22" hidden="1" x14ac:dyDescent="0.25">
      <c r="A6078" s="266">
        <v>43754</v>
      </c>
      <c r="B6078" s="267">
        <v>2019</v>
      </c>
      <c r="C6078" s="267">
        <v>2020</v>
      </c>
      <c r="D6078" s="267">
        <v>1</v>
      </c>
      <c r="E6078" s="267">
        <v>1</v>
      </c>
      <c r="F6078" s="267" t="s">
        <v>944</v>
      </c>
      <c r="G6078" s="267" t="s">
        <v>3926</v>
      </c>
      <c r="H6078" s="267" t="s">
        <v>10809</v>
      </c>
      <c r="I6078" s="267" t="s">
        <v>5147</v>
      </c>
      <c r="J6078" s="267" t="s">
        <v>3928</v>
      </c>
      <c r="K6078" s="267">
        <v>6468</v>
      </c>
      <c r="L6078" s="267">
        <v>100100</v>
      </c>
      <c r="M6078" s="267" t="s">
        <v>3943</v>
      </c>
      <c r="N6078" s="267" t="s">
        <v>10810</v>
      </c>
      <c r="O6078" s="267">
        <v>0</v>
      </c>
      <c r="P6078" s="267" t="s">
        <v>3930</v>
      </c>
      <c r="Q6078" s="267" t="s">
        <v>3930</v>
      </c>
      <c r="R6078" s="267">
        <v>0</v>
      </c>
      <c r="S6078" s="267">
        <v>2400</v>
      </c>
      <c r="T6078" s="267">
        <v>2400</v>
      </c>
      <c r="U6078" s="268" t="s">
        <v>3937</v>
      </c>
      <c r="V6078" s="267" t="s">
        <v>944</v>
      </c>
    </row>
    <row r="6079" spans="1:22" hidden="1" x14ac:dyDescent="0.25">
      <c r="A6079" s="269">
        <v>43754</v>
      </c>
      <c r="B6079" s="270">
        <v>2019</v>
      </c>
      <c r="C6079" s="270">
        <v>2020</v>
      </c>
      <c r="D6079" s="270">
        <v>1</v>
      </c>
      <c r="E6079" s="270">
        <v>1</v>
      </c>
      <c r="F6079" s="270" t="s">
        <v>944</v>
      </c>
      <c r="G6079" s="270" t="s">
        <v>3926</v>
      </c>
      <c r="H6079" s="270" t="s">
        <v>10811</v>
      </c>
      <c r="I6079" s="270" t="s">
        <v>4269</v>
      </c>
      <c r="J6079" s="270" t="s">
        <v>3928</v>
      </c>
      <c r="K6079" s="270">
        <v>6105</v>
      </c>
      <c r="L6079" s="270">
        <v>497300</v>
      </c>
      <c r="M6079" s="270" t="s">
        <v>3943</v>
      </c>
      <c r="N6079" s="270" t="s">
        <v>5313</v>
      </c>
      <c r="O6079" s="270">
        <v>0</v>
      </c>
      <c r="P6079" s="270" t="s">
        <v>3930</v>
      </c>
      <c r="Q6079" s="270" t="s">
        <v>3930</v>
      </c>
      <c r="R6079" s="270">
        <v>0</v>
      </c>
      <c r="S6079" s="270">
        <v>45706</v>
      </c>
      <c r="T6079" s="270">
        <v>45706</v>
      </c>
      <c r="U6079" s="271" t="s">
        <v>3937</v>
      </c>
      <c r="V6079" s="267" t="s">
        <v>944</v>
      </c>
    </row>
    <row r="6080" spans="1:22" hidden="1" x14ac:dyDescent="0.25">
      <c r="A6080" s="266">
        <v>43754</v>
      </c>
      <c r="B6080" s="267">
        <v>2019</v>
      </c>
      <c r="C6080" s="267">
        <v>2020</v>
      </c>
      <c r="D6080" s="267">
        <v>1</v>
      </c>
      <c r="E6080" s="267">
        <v>1</v>
      </c>
      <c r="F6080" s="267" t="s">
        <v>944</v>
      </c>
      <c r="G6080" s="267" t="s">
        <v>3926</v>
      </c>
      <c r="H6080" s="267" t="s">
        <v>10812</v>
      </c>
      <c r="I6080" s="267" t="s">
        <v>4548</v>
      </c>
      <c r="J6080" s="267" t="s">
        <v>3928</v>
      </c>
      <c r="K6080" s="267">
        <v>6037</v>
      </c>
      <c r="L6080" s="267">
        <v>400200</v>
      </c>
      <c r="M6080" s="267" t="s">
        <v>3943</v>
      </c>
      <c r="N6080" s="267" t="s">
        <v>5035</v>
      </c>
      <c r="O6080" s="267">
        <v>0</v>
      </c>
      <c r="P6080" s="267" t="s">
        <v>3930</v>
      </c>
      <c r="Q6080" s="267" t="s">
        <v>3930</v>
      </c>
      <c r="R6080" s="267">
        <v>0</v>
      </c>
      <c r="S6080" s="267">
        <v>8600</v>
      </c>
      <c r="T6080" s="267">
        <v>8600</v>
      </c>
      <c r="U6080" s="268" t="s">
        <v>3937</v>
      </c>
      <c r="V6080" s="267" t="s">
        <v>944</v>
      </c>
    </row>
    <row r="6081" spans="1:22" hidden="1" x14ac:dyDescent="0.25">
      <c r="A6081" s="269">
        <v>43754</v>
      </c>
      <c r="B6081" s="270">
        <v>2019</v>
      </c>
      <c r="C6081" s="270">
        <v>2020</v>
      </c>
      <c r="D6081" s="270">
        <v>1</v>
      </c>
      <c r="E6081" s="270">
        <v>1</v>
      </c>
      <c r="F6081" s="270" t="s">
        <v>944</v>
      </c>
      <c r="G6081" s="270" t="s">
        <v>3926</v>
      </c>
      <c r="H6081" s="270" t="s">
        <v>10813</v>
      </c>
      <c r="I6081" s="270" t="s">
        <v>4548</v>
      </c>
      <c r="J6081" s="270" t="s">
        <v>3928</v>
      </c>
      <c r="K6081" s="270">
        <v>6037</v>
      </c>
      <c r="L6081" s="270">
        <v>400300</v>
      </c>
      <c r="M6081" s="270" t="s">
        <v>3960</v>
      </c>
      <c r="N6081" s="270" t="s">
        <v>3944</v>
      </c>
      <c r="O6081" s="270">
        <v>3333</v>
      </c>
      <c r="P6081" s="270" t="s">
        <v>3944</v>
      </c>
      <c r="Q6081" s="270" t="s">
        <v>3944</v>
      </c>
      <c r="R6081" s="270">
        <v>3333</v>
      </c>
      <c r="S6081" s="270">
        <v>26198.25</v>
      </c>
      <c r="T6081" s="270">
        <v>29531.25</v>
      </c>
      <c r="U6081" s="271" t="s">
        <v>3945</v>
      </c>
      <c r="V6081" s="267" t="s">
        <v>944</v>
      </c>
    </row>
    <row r="6082" spans="1:22" hidden="1" x14ac:dyDescent="0.25">
      <c r="A6082" s="266">
        <v>43754</v>
      </c>
      <c r="B6082" s="267">
        <v>2019</v>
      </c>
      <c r="C6082" s="267">
        <v>2020</v>
      </c>
      <c r="D6082" s="267">
        <v>1</v>
      </c>
      <c r="E6082" s="267">
        <v>1</v>
      </c>
      <c r="F6082" s="267" t="s">
        <v>944</v>
      </c>
      <c r="G6082" s="267" t="s">
        <v>3926</v>
      </c>
      <c r="H6082" s="267" t="s">
        <v>10814</v>
      </c>
      <c r="I6082" s="267" t="s">
        <v>3968</v>
      </c>
      <c r="J6082" s="267" t="s">
        <v>3928</v>
      </c>
      <c r="K6082" s="267">
        <v>6042</v>
      </c>
      <c r="L6082" s="267">
        <v>514400</v>
      </c>
      <c r="M6082" s="267" t="s">
        <v>3940</v>
      </c>
      <c r="N6082" s="267" t="s">
        <v>3944</v>
      </c>
      <c r="O6082" s="267">
        <v>2526</v>
      </c>
      <c r="P6082" s="267" t="s">
        <v>3944</v>
      </c>
      <c r="Q6082" s="267" t="s">
        <v>3944</v>
      </c>
      <c r="R6082" s="267">
        <v>2526</v>
      </c>
      <c r="S6082" s="267">
        <v>19917.75</v>
      </c>
      <c r="T6082" s="267">
        <v>22443.75</v>
      </c>
      <c r="U6082" s="268" t="s">
        <v>3945</v>
      </c>
      <c r="V6082" s="267" t="s">
        <v>944</v>
      </c>
    </row>
    <row r="6083" spans="1:22" hidden="1" x14ac:dyDescent="0.25">
      <c r="A6083" s="269">
        <v>43754</v>
      </c>
      <c r="B6083" s="270">
        <v>2019</v>
      </c>
      <c r="C6083" s="270">
        <v>2020</v>
      </c>
      <c r="D6083" s="270">
        <v>1</v>
      </c>
      <c r="E6083" s="270">
        <v>1</v>
      </c>
      <c r="F6083" s="270" t="s">
        <v>944</v>
      </c>
      <c r="G6083" s="270" t="s">
        <v>3926</v>
      </c>
      <c r="H6083" s="270" t="s">
        <v>10815</v>
      </c>
      <c r="I6083" s="270" t="s">
        <v>4235</v>
      </c>
      <c r="J6083" s="270" t="s">
        <v>3928</v>
      </c>
      <c r="K6083" s="270">
        <v>6066</v>
      </c>
      <c r="L6083" s="270">
        <v>530301</v>
      </c>
      <c r="M6083" s="270" t="s">
        <v>3940</v>
      </c>
      <c r="N6083" s="270" t="s">
        <v>3944</v>
      </c>
      <c r="O6083" s="270">
        <v>1565</v>
      </c>
      <c r="P6083" s="270" t="s">
        <v>3944</v>
      </c>
      <c r="Q6083" s="270" t="s">
        <v>3944</v>
      </c>
      <c r="R6083" s="270">
        <v>1565</v>
      </c>
      <c r="S6083" s="270">
        <v>20923.37</v>
      </c>
      <c r="T6083" s="270">
        <v>22488.37</v>
      </c>
      <c r="U6083" s="271" t="s">
        <v>3945</v>
      </c>
      <c r="V6083" s="267" t="s">
        <v>944</v>
      </c>
    </row>
    <row r="6084" spans="1:22" hidden="1" x14ac:dyDescent="0.25">
      <c r="A6084" s="266">
        <v>43754</v>
      </c>
      <c r="B6084" s="267">
        <v>2019</v>
      </c>
      <c r="C6084" s="267">
        <v>2020</v>
      </c>
      <c r="D6084" s="267">
        <v>1</v>
      </c>
      <c r="E6084" s="267">
        <v>1</v>
      </c>
      <c r="F6084" s="267" t="s">
        <v>944</v>
      </c>
      <c r="G6084" s="267" t="s">
        <v>3926</v>
      </c>
      <c r="H6084" s="267" t="s">
        <v>10816</v>
      </c>
      <c r="I6084" s="267" t="s">
        <v>4042</v>
      </c>
      <c r="J6084" s="267" t="s">
        <v>3928</v>
      </c>
      <c r="K6084" s="267">
        <v>6382</v>
      </c>
      <c r="L6084" s="267">
        <v>695201</v>
      </c>
      <c r="M6084" s="267" t="s">
        <v>3935</v>
      </c>
      <c r="N6084" s="267" t="s">
        <v>3944</v>
      </c>
      <c r="O6084" s="267">
        <v>1302.8800000000001</v>
      </c>
      <c r="P6084" s="267" t="s">
        <v>3944</v>
      </c>
      <c r="Q6084" s="267" t="s">
        <v>3944</v>
      </c>
      <c r="R6084" s="267">
        <v>1302.8800000000001</v>
      </c>
      <c r="S6084" s="267">
        <v>18328.63</v>
      </c>
      <c r="T6084" s="267">
        <v>19631.509999999998</v>
      </c>
      <c r="U6084" s="268" t="s">
        <v>3945</v>
      </c>
      <c r="V6084" s="267" t="s">
        <v>944</v>
      </c>
    </row>
    <row r="6085" spans="1:22" hidden="1" x14ac:dyDescent="0.25">
      <c r="A6085" s="269">
        <v>43754</v>
      </c>
      <c r="B6085" s="270">
        <v>2019</v>
      </c>
      <c r="C6085" s="270">
        <v>2020</v>
      </c>
      <c r="D6085" s="270">
        <v>1</v>
      </c>
      <c r="E6085" s="270">
        <v>1</v>
      </c>
      <c r="F6085" s="270" t="s">
        <v>944</v>
      </c>
      <c r="G6085" s="270" t="s">
        <v>3926</v>
      </c>
      <c r="H6085" s="270" t="s">
        <v>10817</v>
      </c>
      <c r="I6085" s="270" t="s">
        <v>4019</v>
      </c>
      <c r="J6085" s="270" t="s">
        <v>3928</v>
      </c>
      <c r="K6085" s="270">
        <v>6705</v>
      </c>
      <c r="L6085" s="270">
        <v>351300</v>
      </c>
      <c r="M6085" s="270">
        <v>-60</v>
      </c>
      <c r="N6085" s="270" t="s">
        <v>3944</v>
      </c>
      <c r="O6085" s="270">
        <v>938.88</v>
      </c>
      <c r="P6085" s="270" t="s">
        <v>3944</v>
      </c>
      <c r="Q6085" s="270" t="s">
        <v>3944</v>
      </c>
      <c r="R6085" s="270">
        <v>938.88</v>
      </c>
      <c r="S6085" s="270">
        <v>10237.73</v>
      </c>
      <c r="T6085" s="270">
        <v>11176.61</v>
      </c>
      <c r="U6085" s="271" t="s">
        <v>3945</v>
      </c>
      <c r="V6085" s="267" t="s">
        <v>944</v>
      </c>
    </row>
    <row r="6086" spans="1:22" hidden="1" x14ac:dyDescent="0.25">
      <c r="A6086" s="266">
        <v>43754</v>
      </c>
      <c r="B6086" s="267">
        <v>2019</v>
      </c>
      <c r="C6086" s="267">
        <v>2020</v>
      </c>
      <c r="D6086" s="267">
        <v>1</v>
      </c>
      <c r="E6086" s="267">
        <v>1</v>
      </c>
      <c r="F6086" s="267" t="s">
        <v>944</v>
      </c>
      <c r="G6086" s="267" t="s">
        <v>3926</v>
      </c>
      <c r="H6086" s="267" t="s">
        <v>10818</v>
      </c>
      <c r="I6086" s="267" t="s">
        <v>4124</v>
      </c>
      <c r="J6086" s="267" t="s">
        <v>3928</v>
      </c>
      <c r="K6086" s="267">
        <v>6482</v>
      </c>
      <c r="L6086" s="267">
        <v>230501</v>
      </c>
      <c r="M6086" s="267" t="s">
        <v>3943</v>
      </c>
      <c r="N6086" s="267" t="s">
        <v>3944</v>
      </c>
      <c r="O6086" s="267">
        <v>2009.67</v>
      </c>
      <c r="P6086" s="267" t="s">
        <v>3944</v>
      </c>
      <c r="Q6086" s="267" t="s">
        <v>3944</v>
      </c>
      <c r="R6086" s="267">
        <v>2009.67</v>
      </c>
      <c r="S6086" s="267">
        <v>30396.93</v>
      </c>
      <c r="T6086" s="267">
        <v>32406.6</v>
      </c>
      <c r="U6086" s="268" t="s">
        <v>3945</v>
      </c>
      <c r="V6086" s="267" t="s">
        <v>944</v>
      </c>
    </row>
    <row r="6087" spans="1:22" hidden="1" x14ac:dyDescent="0.25">
      <c r="A6087" s="269">
        <v>43754</v>
      </c>
      <c r="B6087" s="270">
        <v>2019</v>
      </c>
      <c r="C6087" s="270">
        <v>2020</v>
      </c>
      <c r="D6087" s="270">
        <v>1</v>
      </c>
      <c r="E6087" s="270">
        <v>1</v>
      </c>
      <c r="F6087" s="270" t="s">
        <v>944</v>
      </c>
      <c r="G6087" s="270" t="s">
        <v>3926</v>
      </c>
      <c r="H6087" s="270" t="s">
        <v>10819</v>
      </c>
      <c r="I6087" s="270" t="s">
        <v>3010</v>
      </c>
      <c r="J6087" s="270" t="s">
        <v>3928</v>
      </c>
      <c r="K6087" s="270">
        <v>6401</v>
      </c>
      <c r="L6087" s="270">
        <v>125100</v>
      </c>
      <c r="M6087" s="270" t="s">
        <v>3960</v>
      </c>
      <c r="N6087" s="270" t="s">
        <v>3944</v>
      </c>
      <c r="O6087" s="270">
        <v>1207.68</v>
      </c>
      <c r="P6087" s="270" t="s">
        <v>3944</v>
      </c>
      <c r="Q6087" s="270" t="s">
        <v>3944</v>
      </c>
      <c r="R6087" s="270">
        <v>1207.68</v>
      </c>
      <c r="S6087" s="270">
        <v>18514.11</v>
      </c>
      <c r="T6087" s="270">
        <v>19721.79</v>
      </c>
      <c r="U6087" s="271" t="s">
        <v>3945</v>
      </c>
      <c r="V6087" s="267" t="s">
        <v>944</v>
      </c>
    </row>
    <row r="6088" spans="1:22" hidden="1" x14ac:dyDescent="0.25">
      <c r="A6088" s="266">
        <v>43754</v>
      </c>
      <c r="B6088" s="267">
        <v>2019</v>
      </c>
      <c r="C6088" s="267">
        <v>2020</v>
      </c>
      <c r="D6088" s="267">
        <v>1</v>
      </c>
      <c r="E6088" s="267">
        <v>1</v>
      </c>
      <c r="F6088" s="267" t="s">
        <v>944</v>
      </c>
      <c r="G6088" s="267" t="s">
        <v>3926</v>
      </c>
      <c r="H6088" s="267" t="s">
        <v>10820</v>
      </c>
      <c r="I6088" s="267" t="s">
        <v>4387</v>
      </c>
      <c r="J6088" s="267" t="s">
        <v>3928</v>
      </c>
      <c r="K6088" s="267">
        <v>6751</v>
      </c>
      <c r="L6088" s="267">
        <v>342100</v>
      </c>
      <c r="M6088" s="267" t="s">
        <v>3960</v>
      </c>
      <c r="N6088" s="267" t="s">
        <v>3944</v>
      </c>
      <c r="O6088" s="267">
        <v>2357.25</v>
      </c>
      <c r="P6088" s="267" t="s">
        <v>3944</v>
      </c>
      <c r="Q6088" s="267" t="s">
        <v>3944</v>
      </c>
      <c r="R6088" s="267">
        <v>2357.25</v>
      </c>
      <c r="S6088" s="267">
        <v>29722.02</v>
      </c>
      <c r="T6088" s="267">
        <v>32079.27</v>
      </c>
      <c r="U6088" s="268" t="s">
        <v>3945</v>
      </c>
      <c r="V6088" s="267" t="s">
        <v>944</v>
      </c>
    </row>
    <row r="6089" spans="1:22" hidden="1" x14ac:dyDescent="0.25">
      <c r="A6089" s="269">
        <v>43754</v>
      </c>
      <c r="B6089" s="270">
        <v>2019</v>
      </c>
      <c r="C6089" s="270">
        <v>2020</v>
      </c>
      <c r="D6089" s="270">
        <v>1</v>
      </c>
      <c r="E6089" s="270">
        <v>1</v>
      </c>
      <c r="F6089" s="270" t="s">
        <v>944</v>
      </c>
      <c r="G6089" s="270" t="s">
        <v>3926</v>
      </c>
      <c r="H6089" s="270" t="s">
        <v>10821</v>
      </c>
      <c r="I6089" s="270" t="s">
        <v>4137</v>
      </c>
      <c r="J6089" s="270" t="s">
        <v>3928</v>
      </c>
      <c r="K6089" s="270">
        <v>6117</v>
      </c>
      <c r="L6089" s="270">
        <v>497700</v>
      </c>
      <c r="M6089" s="270" t="s">
        <v>3943</v>
      </c>
      <c r="N6089" s="270" t="s">
        <v>3944</v>
      </c>
      <c r="O6089" s="270">
        <v>2008.83</v>
      </c>
      <c r="P6089" s="270" t="s">
        <v>3944</v>
      </c>
      <c r="Q6089" s="270" t="s">
        <v>3944</v>
      </c>
      <c r="R6089" s="270">
        <v>2008.83</v>
      </c>
      <c r="S6089" s="270">
        <v>24617.43</v>
      </c>
      <c r="T6089" s="270">
        <v>26626.26</v>
      </c>
      <c r="U6089" s="271" t="s">
        <v>3945</v>
      </c>
      <c r="V6089" s="267" t="s">
        <v>944</v>
      </c>
    </row>
    <row r="6090" spans="1:22" hidden="1" x14ac:dyDescent="0.25">
      <c r="A6090" s="266">
        <v>43754</v>
      </c>
      <c r="B6090" s="267">
        <v>2019</v>
      </c>
      <c r="C6090" s="267">
        <v>2020</v>
      </c>
      <c r="D6090" s="267">
        <v>1</v>
      </c>
      <c r="E6090" s="267">
        <v>1</v>
      </c>
      <c r="F6090" s="267" t="s">
        <v>944</v>
      </c>
      <c r="G6090" s="267" t="s">
        <v>3926</v>
      </c>
      <c r="H6090" s="267" t="s">
        <v>10822</v>
      </c>
      <c r="I6090" s="267" t="s">
        <v>2987</v>
      </c>
      <c r="J6090" s="267" t="s">
        <v>3928</v>
      </c>
      <c r="K6090" s="267">
        <v>6611</v>
      </c>
      <c r="L6090" s="267">
        <v>90700</v>
      </c>
      <c r="M6090" s="267" t="s">
        <v>3943</v>
      </c>
      <c r="N6090" s="267" t="s">
        <v>3944</v>
      </c>
      <c r="O6090" s="267">
        <v>2796.12</v>
      </c>
      <c r="P6090" s="267" t="s">
        <v>3944</v>
      </c>
      <c r="Q6090" s="267" t="s">
        <v>3944</v>
      </c>
      <c r="R6090" s="267">
        <v>2796.12</v>
      </c>
      <c r="S6090" s="267">
        <v>39860.480000000003</v>
      </c>
      <c r="T6090" s="267">
        <v>42656.6</v>
      </c>
      <c r="U6090" s="268" t="s">
        <v>3945</v>
      </c>
      <c r="V6090" s="267" t="s">
        <v>944</v>
      </c>
    </row>
    <row r="6091" spans="1:22" x14ac:dyDescent="0.25">
      <c r="A6091" s="269">
        <v>43754</v>
      </c>
      <c r="B6091" s="270">
        <v>2019</v>
      </c>
      <c r="C6091" s="270">
        <v>2020</v>
      </c>
      <c r="D6091" s="270">
        <v>1</v>
      </c>
      <c r="E6091" s="270">
        <v>1</v>
      </c>
      <c r="F6091" s="270" t="s">
        <v>944</v>
      </c>
      <c r="G6091" s="270" t="s">
        <v>3926</v>
      </c>
      <c r="H6091" s="270" t="s">
        <v>10823</v>
      </c>
      <c r="I6091" s="270" t="s">
        <v>934</v>
      </c>
      <c r="J6091" s="270" t="s">
        <v>3928</v>
      </c>
      <c r="K6091" s="270">
        <v>6610</v>
      </c>
      <c r="L6091" s="270">
        <v>73100</v>
      </c>
      <c r="M6091" s="270">
        <v>-60</v>
      </c>
      <c r="N6091" s="270" t="s">
        <v>3944</v>
      </c>
      <c r="O6091" s="270">
        <v>1251.8499999999999</v>
      </c>
      <c r="P6091" s="270" t="s">
        <v>3944</v>
      </c>
      <c r="Q6091" s="270" t="s">
        <v>3944</v>
      </c>
      <c r="R6091" s="270">
        <v>1251.8499999999999</v>
      </c>
      <c r="S6091" s="270">
        <v>17640.14</v>
      </c>
      <c r="T6091" s="270">
        <v>18891.990000000002</v>
      </c>
      <c r="U6091" s="271" t="s">
        <v>3945</v>
      </c>
      <c r="V6091" s="276" t="s">
        <v>936</v>
      </c>
    </row>
    <row r="6092" spans="1:22" hidden="1" x14ac:dyDescent="0.25">
      <c r="A6092" s="266">
        <v>43754</v>
      </c>
      <c r="B6092" s="267">
        <v>2019</v>
      </c>
      <c r="C6092" s="267">
        <v>2020</v>
      </c>
      <c r="D6092" s="267">
        <v>1</v>
      </c>
      <c r="E6092" s="267">
        <v>1</v>
      </c>
      <c r="F6092" s="267" t="s">
        <v>944</v>
      </c>
      <c r="G6092" s="267" t="s">
        <v>3926</v>
      </c>
      <c r="H6092" s="267" t="s">
        <v>10824</v>
      </c>
      <c r="I6092" s="267" t="s">
        <v>4005</v>
      </c>
      <c r="J6092" s="267" t="s">
        <v>3928</v>
      </c>
      <c r="K6092" s="267">
        <v>6108</v>
      </c>
      <c r="L6092" s="267">
        <v>510500</v>
      </c>
      <c r="M6092" s="267" t="s">
        <v>3940</v>
      </c>
      <c r="N6092" s="267" t="s">
        <v>3944</v>
      </c>
      <c r="O6092" s="267">
        <v>1577.87</v>
      </c>
      <c r="P6092" s="267" t="s">
        <v>3944</v>
      </c>
      <c r="Q6092" s="267" t="s">
        <v>3944</v>
      </c>
      <c r="R6092" s="267">
        <v>1577.87</v>
      </c>
      <c r="S6092" s="267">
        <v>21147.49</v>
      </c>
      <c r="T6092" s="267">
        <v>22725.360000000001</v>
      </c>
      <c r="U6092" s="268" t="s">
        <v>3945</v>
      </c>
      <c r="V6092" s="267" t="s">
        <v>944</v>
      </c>
    </row>
    <row r="6093" spans="1:22" hidden="1" x14ac:dyDescent="0.25">
      <c r="A6093" s="269">
        <v>43754</v>
      </c>
      <c r="B6093" s="270">
        <v>2019</v>
      </c>
      <c r="C6093" s="270">
        <v>2020</v>
      </c>
      <c r="D6093" s="270">
        <v>1</v>
      </c>
      <c r="E6093" s="270">
        <v>1</v>
      </c>
      <c r="F6093" s="270" t="s">
        <v>944</v>
      </c>
      <c r="G6093" s="270" t="s">
        <v>3926</v>
      </c>
      <c r="H6093" s="270" t="s">
        <v>10825</v>
      </c>
      <c r="I6093" s="270" t="s">
        <v>4213</v>
      </c>
      <c r="J6093" s="270" t="s">
        <v>3928</v>
      </c>
      <c r="K6093" s="270">
        <v>6052</v>
      </c>
      <c r="L6093" s="270">
        <v>416400</v>
      </c>
      <c r="M6093" s="270" t="s">
        <v>3960</v>
      </c>
      <c r="N6093" s="270" t="s">
        <v>3944</v>
      </c>
      <c r="O6093" s="270">
        <v>1161.83</v>
      </c>
      <c r="P6093" s="270" t="s">
        <v>3944</v>
      </c>
      <c r="Q6093" s="270" t="s">
        <v>3944</v>
      </c>
      <c r="R6093" s="270">
        <v>1161.83</v>
      </c>
      <c r="S6093" s="270">
        <v>17037.89</v>
      </c>
      <c r="T6093" s="270">
        <v>18199.72</v>
      </c>
      <c r="U6093" s="271" t="s">
        <v>3945</v>
      </c>
      <c r="V6093" s="267" t="s">
        <v>944</v>
      </c>
    </row>
    <row r="6094" spans="1:22" hidden="1" x14ac:dyDescent="0.25">
      <c r="A6094" s="266">
        <v>43754</v>
      </c>
      <c r="B6094" s="267">
        <v>2019</v>
      </c>
      <c r="C6094" s="267">
        <v>2020</v>
      </c>
      <c r="D6094" s="267">
        <v>1</v>
      </c>
      <c r="E6094" s="267">
        <v>1</v>
      </c>
      <c r="F6094" s="267" t="s">
        <v>944</v>
      </c>
      <c r="G6094" s="267" t="s">
        <v>3926</v>
      </c>
      <c r="H6094" s="267" t="s">
        <v>10826</v>
      </c>
      <c r="I6094" s="267" t="s">
        <v>3962</v>
      </c>
      <c r="J6094" s="267" t="s">
        <v>3928</v>
      </c>
      <c r="K6094" s="267">
        <v>6355</v>
      </c>
      <c r="L6094" s="267">
        <v>703000</v>
      </c>
      <c r="M6094" s="267" t="s">
        <v>3960</v>
      </c>
      <c r="N6094" s="267" t="s">
        <v>3944</v>
      </c>
      <c r="O6094" s="267">
        <v>2349.38</v>
      </c>
      <c r="P6094" s="267" t="s">
        <v>3944</v>
      </c>
      <c r="Q6094" s="267" t="s">
        <v>3944</v>
      </c>
      <c r="R6094" s="267">
        <v>2349.38</v>
      </c>
      <c r="S6094" s="267">
        <v>35595.99</v>
      </c>
      <c r="T6094" s="267">
        <v>37945.370000000003</v>
      </c>
      <c r="U6094" s="268" t="s">
        <v>3945</v>
      </c>
      <c r="V6094" s="267" t="s">
        <v>944</v>
      </c>
    </row>
    <row r="6095" spans="1:22" hidden="1" x14ac:dyDescent="0.25">
      <c r="A6095" s="269">
        <v>43754</v>
      </c>
      <c r="B6095" s="270">
        <v>2019</v>
      </c>
      <c r="C6095" s="270">
        <v>2020</v>
      </c>
      <c r="D6095" s="270">
        <v>1</v>
      </c>
      <c r="E6095" s="270">
        <v>1</v>
      </c>
      <c r="F6095" s="270" t="s">
        <v>944</v>
      </c>
      <c r="G6095" s="270" t="s">
        <v>3926</v>
      </c>
      <c r="H6095" s="270" t="s">
        <v>10827</v>
      </c>
      <c r="I6095" s="270" t="s">
        <v>953</v>
      </c>
      <c r="J6095" s="270" t="s">
        <v>3928</v>
      </c>
      <c r="K6095" s="270">
        <v>6514</v>
      </c>
      <c r="L6095" s="270">
        <v>165700</v>
      </c>
      <c r="M6095" s="270" t="s">
        <v>3935</v>
      </c>
      <c r="N6095" s="270" t="s">
        <v>3944</v>
      </c>
      <c r="O6095" s="270">
        <v>675.92</v>
      </c>
      <c r="P6095" s="270" t="s">
        <v>3944</v>
      </c>
      <c r="Q6095" s="270" t="s">
        <v>3944</v>
      </c>
      <c r="R6095" s="270">
        <v>675.92</v>
      </c>
      <c r="S6095" s="270">
        <v>11188.4</v>
      </c>
      <c r="T6095" s="270">
        <v>11864.32</v>
      </c>
      <c r="U6095" s="271" t="s">
        <v>3945</v>
      </c>
      <c r="V6095" s="267" t="s">
        <v>944</v>
      </c>
    </row>
    <row r="6096" spans="1:22" hidden="1" x14ac:dyDescent="0.25">
      <c r="A6096" s="266">
        <v>43754</v>
      </c>
      <c r="B6096" s="267">
        <v>2019</v>
      </c>
      <c r="C6096" s="267">
        <v>2020</v>
      </c>
      <c r="D6096" s="267">
        <v>1</v>
      </c>
      <c r="E6096" s="267">
        <v>1</v>
      </c>
      <c r="F6096" s="267" t="s">
        <v>944</v>
      </c>
      <c r="G6096" s="267" t="s">
        <v>3926</v>
      </c>
      <c r="H6096" s="267" t="s">
        <v>10828</v>
      </c>
      <c r="I6096" s="267" t="s">
        <v>4019</v>
      </c>
      <c r="J6096" s="267" t="s">
        <v>3928</v>
      </c>
      <c r="K6096" s="267">
        <v>6706</v>
      </c>
      <c r="L6096" s="267">
        <v>352800</v>
      </c>
      <c r="M6096" s="267" t="s">
        <v>3940</v>
      </c>
      <c r="N6096" s="267" t="s">
        <v>3944</v>
      </c>
      <c r="O6096" s="267">
        <v>4238.96</v>
      </c>
      <c r="P6096" s="267" t="s">
        <v>3944</v>
      </c>
      <c r="Q6096" s="267" t="s">
        <v>3944</v>
      </c>
      <c r="R6096" s="267">
        <v>4238.96</v>
      </c>
      <c r="S6096" s="267">
        <v>64604.37</v>
      </c>
      <c r="T6096" s="267">
        <v>68843.33</v>
      </c>
      <c r="U6096" s="268" t="s">
        <v>3945</v>
      </c>
      <c r="V6096" s="267" t="s">
        <v>944</v>
      </c>
    </row>
    <row r="6097" spans="1:22" hidden="1" x14ac:dyDescent="0.25">
      <c r="A6097" s="269">
        <v>43754</v>
      </c>
      <c r="B6097" s="270">
        <v>2019</v>
      </c>
      <c r="C6097" s="270">
        <v>2020</v>
      </c>
      <c r="D6097" s="270">
        <v>1</v>
      </c>
      <c r="E6097" s="270">
        <v>1</v>
      </c>
      <c r="F6097" s="270" t="s">
        <v>944</v>
      </c>
      <c r="G6097" s="270" t="s">
        <v>3926</v>
      </c>
      <c r="H6097" s="270" t="s">
        <v>10829</v>
      </c>
      <c r="I6097" s="270" t="s">
        <v>4147</v>
      </c>
      <c r="J6097" s="270" t="s">
        <v>3928</v>
      </c>
      <c r="K6097" s="270">
        <v>6109</v>
      </c>
      <c r="L6097" s="270">
        <v>492300</v>
      </c>
      <c r="M6097" s="270" t="s">
        <v>3940</v>
      </c>
      <c r="N6097" s="270" t="s">
        <v>3944</v>
      </c>
      <c r="O6097" s="270">
        <v>786.24</v>
      </c>
      <c r="P6097" s="270" t="s">
        <v>3944</v>
      </c>
      <c r="Q6097" s="270" t="s">
        <v>3944</v>
      </c>
      <c r="R6097" s="270">
        <v>786.24</v>
      </c>
      <c r="S6097" s="270">
        <v>11453.8</v>
      </c>
      <c r="T6097" s="270">
        <v>12240.04</v>
      </c>
      <c r="U6097" s="271" t="s">
        <v>3945</v>
      </c>
      <c r="V6097" s="267" t="s">
        <v>944</v>
      </c>
    </row>
    <row r="6098" spans="1:22" hidden="1" x14ac:dyDescent="0.25">
      <c r="A6098" s="266">
        <v>43754</v>
      </c>
      <c r="B6098" s="267">
        <v>2019</v>
      </c>
      <c r="C6098" s="267">
        <v>2020</v>
      </c>
      <c r="D6098" s="267">
        <v>1</v>
      </c>
      <c r="E6098" s="267">
        <v>1</v>
      </c>
      <c r="F6098" s="267" t="s">
        <v>944</v>
      </c>
      <c r="G6098" s="267" t="s">
        <v>3926</v>
      </c>
      <c r="H6098" s="267" t="s">
        <v>10830</v>
      </c>
      <c r="I6098" s="267" t="s">
        <v>3996</v>
      </c>
      <c r="J6098" s="267" t="s">
        <v>3928</v>
      </c>
      <c r="K6098" s="267">
        <v>6790</v>
      </c>
      <c r="L6098" s="267">
        <v>310100</v>
      </c>
      <c r="M6098" s="267" t="s">
        <v>3940</v>
      </c>
      <c r="N6098" s="267" t="s">
        <v>3944</v>
      </c>
      <c r="O6098" s="267">
        <v>1461.95</v>
      </c>
      <c r="P6098" s="267" t="s">
        <v>3944</v>
      </c>
      <c r="Q6098" s="267" t="s">
        <v>3944</v>
      </c>
      <c r="R6098" s="267">
        <v>1461.95</v>
      </c>
      <c r="S6098" s="267">
        <v>20249.009999999998</v>
      </c>
      <c r="T6098" s="267">
        <v>21710.959999999999</v>
      </c>
      <c r="U6098" s="268" t="s">
        <v>3945</v>
      </c>
      <c r="V6098" s="267" t="s">
        <v>944</v>
      </c>
    </row>
    <row r="6099" spans="1:22" hidden="1" x14ac:dyDescent="0.25">
      <c r="A6099" s="269">
        <v>43754</v>
      </c>
      <c r="B6099" s="270">
        <v>2019</v>
      </c>
      <c r="C6099" s="270">
        <v>2020</v>
      </c>
      <c r="D6099" s="270">
        <v>1</v>
      </c>
      <c r="E6099" s="270">
        <v>1</v>
      </c>
      <c r="F6099" s="270" t="s">
        <v>944</v>
      </c>
      <c r="G6099" s="270" t="s">
        <v>3926</v>
      </c>
      <c r="H6099" s="270" t="s">
        <v>10831</v>
      </c>
      <c r="I6099" s="270" t="s">
        <v>4137</v>
      </c>
      <c r="J6099" s="270" t="s">
        <v>3928</v>
      </c>
      <c r="K6099" s="270">
        <v>6067</v>
      </c>
      <c r="L6099" s="270">
        <v>524200</v>
      </c>
      <c r="M6099" s="270" t="s">
        <v>3960</v>
      </c>
      <c r="N6099" s="270" t="s">
        <v>3944</v>
      </c>
      <c r="O6099" s="270">
        <v>1415.89</v>
      </c>
      <c r="P6099" s="270" t="s">
        <v>3944</v>
      </c>
      <c r="Q6099" s="270" t="s">
        <v>3944</v>
      </c>
      <c r="R6099" s="270">
        <v>1415.89</v>
      </c>
      <c r="S6099" s="270">
        <v>19825.330000000002</v>
      </c>
      <c r="T6099" s="270">
        <v>21241.22</v>
      </c>
      <c r="U6099" s="271" t="s">
        <v>3945</v>
      </c>
      <c r="V6099" s="267" t="s">
        <v>944</v>
      </c>
    </row>
    <row r="6100" spans="1:22" hidden="1" x14ac:dyDescent="0.25">
      <c r="A6100" s="266">
        <v>43754</v>
      </c>
      <c r="B6100" s="267">
        <v>2019</v>
      </c>
      <c r="C6100" s="267">
        <v>2020</v>
      </c>
      <c r="D6100" s="267">
        <v>1</v>
      </c>
      <c r="E6100" s="267">
        <v>1</v>
      </c>
      <c r="F6100" s="267" t="s">
        <v>944</v>
      </c>
      <c r="G6100" s="267" t="s">
        <v>3926</v>
      </c>
      <c r="H6100" s="267" t="s">
        <v>10832</v>
      </c>
      <c r="I6100" s="267" t="s">
        <v>4392</v>
      </c>
      <c r="J6100" s="267" t="s">
        <v>3928</v>
      </c>
      <c r="K6100" s="267">
        <v>6457</v>
      </c>
      <c r="L6100" s="267">
        <v>680200</v>
      </c>
      <c r="M6100" s="267" t="s">
        <v>3935</v>
      </c>
      <c r="N6100" s="267" t="s">
        <v>3944</v>
      </c>
      <c r="O6100" s="267">
        <v>3530.31</v>
      </c>
      <c r="P6100" s="267" t="s">
        <v>3944</v>
      </c>
      <c r="Q6100" s="267" t="s">
        <v>3944</v>
      </c>
      <c r="R6100" s="267">
        <v>3530.31</v>
      </c>
      <c r="S6100" s="267">
        <v>50053.65</v>
      </c>
      <c r="T6100" s="267">
        <v>53583.96</v>
      </c>
      <c r="U6100" s="268" t="s">
        <v>3945</v>
      </c>
      <c r="V6100" s="267" t="s">
        <v>944</v>
      </c>
    </row>
    <row r="6101" spans="1:22" hidden="1" x14ac:dyDescent="0.25">
      <c r="A6101" s="269">
        <v>43754</v>
      </c>
      <c r="B6101" s="270">
        <v>2019</v>
      </c>
      <c r="C6101" s="270">
        <v>2020</v>
      </c>
      <c r="D6101" s="270">
        <v>1</v>
      </c>
      <c r="E6101" s="270">
        <v>1</v>
      </c>
      <c r="F6101" s="270" t="s">
        <v>944</v>
      </c>
      <c r="G6101" s="270" t="s">
        <v>3926</v>
      </c>
      <c r="H6101" s="270" t="s">
        <v>10833</v>
      </c>
      <c r="I6101" s="270" t="s">
        <v>3956</v>
      </c>
      <c r="J6101" s="270" t="s">
        <v>3928</v>
      </c>
      <c r="K6101" s="270">
        <v>6106</v>
      </c>
      <c r="L6101" s="270">
        <v>524700</v>
      </c>
      <c r="M6101" s="270" t="s">
        <v>3935</v>
      </c>
      <c r="N6101" s="270" t="s">
        <v>3944</v>
      </c>
      <c r="O6101" s="270">
        <v>1132.5999999999999</v>
      </c>
      <c r="P6101" s="270" t="s">
        <v>3944</v>
      </c>
      <c r="Q6101" s="270" t="s">
        <v>3944</v>
      </c>
      <c r="R6101" s="270">
        <v>1132.5999999999999</v>
      </c>
      <c r="S6101" s="270">
        <v>14998.04</v>
      </c>
      <c r="T6101" s="270">
        <v>16130.64</v>
      </c>
      <c r="U6101" s="271" t="s">
        <v>3945</v>
      </c>
      <c r="V6101" s="267" t="s">
        <v>944</v>
      </c>
    </row>
    <row r="6102" spans="1:22" x14ac:dyDescent="0.25">
      <c r="A6102" s="266">
        <v>43754</v>
      </c>
      <c r="B6102" s="267">
        <v>2019</v>
      </c>
      <c r="C6102" s="267">
        <v>2020</v>
      </c>
      <c r="D6102" s="267">
        <v>1</v>
      </c>
      <c r="E6102" s="267">
        <v>1</v>
      </c>
      <c r="F6102" s="267" t="s">
        <v>944</v>
      </c>
      <c r="G6102" s="267" t="s">
        <v>3926</v>
      </c>
      <c r="H6102" s="267" t="s">
        <v>10834</v>
      </c>
      <c r="I6102" s="267" t="s">
        <v>943</v>
      </c>
      <c r="J6102" s="267" t="s">
        <v>3928</v>
      </c>
      <c r="K6102" s="267">
        <v>6513</v>
      </c>
      <c r="L6102" s="267">
        <v>142400</v>
      </c>
      <c r="M6102" s="267">
        <v>-60</v>
      </c>
      <c r="N6102" s="267" t="s">
        <v>3944</v>
      </c>
      <c r="O6102" s="267">
        <v>2081.84</v>
      </c>
      <c r="P6102" s="267" t="s">
        <v>3944</v>
      </c>
      <c r="Q6102" s="267" t="s">
        <v>3944</v>
      </c>
      <c r="R6102" s="267">
        <v>2081.84</v>
      </c>
      <c r="S6102" s="267">
        <v>34245.660000000003</v>
      </c>
      <c r="T6102" s="267">
        <v>36327.5</v>
      </c>
      <c r="U6102" s="268" t="s">
        <v>3945</v>
      </c>
      <c r="V6102" s="276" t="s">
        <v>936</v>
      </c>
    </row>
    <row r="6103" spans="1:22" hidden="1" x14ac:dyDescent="0.25">
      <c r="A6103" s="269">
        <v>43754</v>
      </c>
      <c r="B6103" s="270">
        <v>2019</v>
      </c>
      <c r="C6103" s="270">
        <v>2020</v>
      </c>
      <c r="D6103" s="270">
        <v>1</v>
      </c>
      <c r="E6103" s="270">
        <v>1</v>
      </c>
      <c r="F6103" s="270" t="s">
        <v>944</v>
      </c>
      <c r="G6103" s="270" t="s">
        <v>3926</v>
      </c>
      <c r="H6103" s="270" t="s">
        <v>10835</v>
      </c>
      <c r="I6103" s="270" t="s">
        <v>3975</v>
      </c>
      <c r="J6103" s="270" t="s">
        <v>3928</v>
      </c>
      <c r="K6103" s="270">
        <v>6489</v>
      </c>
      <c r="L6103" s="270">
        <v>430601</v>
      </c>
      <c r="M6103" s="270" t="s">
        <v>3940</v>
      </c>
      <c r="N6103" s="270" t="s">
        <v>3944</v>
      </c>
      <c r="O6103" s="270">
        <v>3395.07</v>
      </c>
      <c r="P6103" s="270" t="s">
        <v>3944</v>
      </c>
      <c r="Q6103" s="270" t="s">
        <v>3944</v>
      </c>
      <c r="R6103" s="270">
        <v>3395.07</v>
      </c>
      <c r="S6103" s="270">
        <v>47742.62</v>
      </c>
      <c r="T6103" s="270">
        <v>51137.69</v>
      </c>
      <c r="U6103" s="271" t="s">
        <v>3945</v>
      </c>
      <c r="V6103" s="267" t="s">
        <v>944</v>
      </c>
    </row>
    <row r="6104" spans="1:22" hidden="1" x14ac:dyDescent="0.25">
      <c r="A6104" s="266">
        <v>43754</v>
      </c>
      <c r="B6104" s="267">
        <v>2019</v>
      </c>
      <c r="C6104" s="267">
        <v>2020</v>
      </c>
      <c r="D6104" s="267">
        <v>1</v>
      </c>
      <c r="E6104" s="267">
        <v>1</v>
      </c>
      <c r="F6104" s="267" t="s">
        <v>944</v>
      </c>
      <c r="G6104" s="267" t="s">
        <v>3926</v>
      </c>
      <c r="H6104" s="267" t="s">
        <v>10836</v>
      </c>
      <c r="I6104" s="267" t="s">
        <v>4019</v>
      </c>
      <c r="J6104" s="267" t="s">
        <v>3928</v>
      </c>
      <c r="K6104" s="267">
        <v>6708</v>
      </c>
      <c r="L6104" s="267">
        <v>351900</v>
      </c>
      <c r="M6104" s="267" t="s">
        <v>3935</v>
      </c>
      <c r="N6104" s="267" t="s">
        <v>3944</v>
      </c>
      <c r="O6104" s="267">
        <v>1810.38</v>
      </c>
      <c r="P6104" s="267" t="s">
        <v>3944</v>
      </c>
      <c r="Q6104" s="267" t="s">
        <v>3944</v>
      </c>
      <c r="R6104" s="267">
        <v>1810.38</v>
      </c>
      <c r="S6104" s="267">
        <v>15155.51</v>
      </c>
      <c r="T6104" s="267">
        <v>16965.89</v>
      </c>
      <c r="U6104" s="268" t="s">
        <v>3945</v>
      </c>
      <c r="V6104" s="267" t="s">
        <v>944</v>
      </c>
    </row>
    <row r="6105" spans="1:22" hidden="1" x14ac:dyDescent="0.25">
      <c r="A6105" s="269">
        <v>43754</v>
      </c>
      <c r="B6105" s="270">
        <v>2019</v>
      </c>
      <c r="C6105" s="270">
        <v>2020</v>
      </c>
      <c r="D6105" s="270">
        <v>1</v>
      </c>
      <c r="E6105" s="270">
        <v>1</v>
      </c>
      <c r="F6105" s="270" t="s">
        <v>944</v>
      </c>
      <c r="G6105" s="270" t="s">
        <v>3926</v>
      </c>
      <c r="H6105" s="270" t="s">
        <v>10837</v>
      </c>
      <c r="I6105" s="270" t="s">
        <v>3968</v>
      </c>
      <c r="J6105" s="270" t="s">
        <v>3928</v>
      </c>
      <c r="K6105" s="270">
        <v>6042</v>
      </c>
      <c r="L6105" s="270">
        <v>514400</v>
      </c>
      <c r="M6105" s="270" t="s">
        <v>3940</v>
      </c>
      <c r="N6105" s="270" t="s">
        <v>3944</v>
      </c>
      <c r="O6105" s="270">
        <v>1128.44</v>
      </c>
      <c r="P6105" s="270" t="s">
        <v>3944</v>
      </c>
      <c r="Q6105" s="270" t="s">
        <v>3944</v>
      </c>
      <c r="R6105" s="270">
        <v>1128.44</v>
      </c>
      <c r="S6105" s="270">
        <v>14805.66</v>
      </c>
      <c r="T6105" s="270">
        <v>15934.1</v>
      </c>
      <c r="U6105" s="271" t="s">
        <v>3945</v>
      </c>
      <c r="V6105" s="267" t="s">
        <v>944</v>
      </c>
    </row>
    <row r="6106" spans="1:22" hidden="1" x14ac:dyDescent="0.25">
      <c r="A6106" s="266">
        <v>43754</v>
      </c>
      <c r="B6106" s="267">
        <v>2019</v>
      </c>
      <c r="C6106" s="267">
        <v>2020</v>
      </c>
      <c r="D6106" s="267">
        <v>1</v>
      </c>
      <c r="E6106" s="267">
        <v>1</v>
      </c>
      <c r="F6106" s="267" t="s">
        <v>944</v>
      </c>
      <c r="G6106" s="267" t="s">
        <v>3926</v>
      </c>
      <c r="H6106" s="267" t="s">
        <v>10838</v>
      </c>
      <c r="I6106" s="267" t="s">
        <v>4005</v>
      </c>
      <c r="J6106" s="267" t="s">
        <v>3928</v>
      </c>
      <c r="K6106" s="267">
        <v>6118</v>
      </c>
      <c r="L6106" s="267">
        <v>511000</v>
      </c>
      <c r="M6106" s="267" t="s">
        <v>3935</v>
      </c>
      <c r="N6106" s="267" t="s">
        <v>3944</v>
      </c>
      <c r="O6106" s="267">
        <v>1224.06</v>
      </c>
      <c r="P6106" s="267" t="s">
        <v>3944</v>
      </c>
      <c r="Q6106" s="267" t="s">
        <v>3944</v>
      </c>
      <c r="R6106" s="267">
        <v>1224.06</v>
      </c>
      <c r="S6106" s="267">
        <v>17745.400000000001</v>
      </c>
      <c r="T6106" s="267">
        <v>18969.46</v>
      </c>
      <c r="U6106" s="268" t="s">
        <v>3945</v>
      </c>
      <c r="V6106" s="267" t="s">
        <v>944</v>
      </c>
    </row>
    <row r="6107" spans="1:22" hidden="1" x14ac:dyDescent="0.25">
      <c r="A6107" s="269">
        <v>43754</v>
      </c>
      <c r="B6107" s="270">
        <v>2019</v>
      </c>
      <c r="C6107" s="270">
        <v>2020</v>
      </c>
      <c r="D6107" s="270">
        <v>1</v>
      </c>
      <c r="E6107" s="270">
        <v>1</v>
      </c>
      <c r="F6107" s="270" t="s">
        <v>944</v>
      </c>
      <c r="G6107" s="270" t="s">
        <v>3926</v>
      </c>
      <c r="H6107" s="270" t="s">
        <v>10839</v>
      </c>
      <c r="I6107" s="270" t="s">
        <v>4306</v>
      </c>
      <c r="J6107" s="270" t="s">
        <v>3928</v>
      </c>
      <c r="K6107" s="270">
        <v>6716</v>
      </c>
      <c r="L6107" s="270">
        <v>361200</v>
      </c>
      <c r="M6107" s="270" t="s">
        <v>3960</v>
      </c>
      <c r="N6107" s="270" t="s">
        <v>3944</v>
      </c>
      <c r="O6107" s="270">
        <v>1808.7</v>
      </c>
      <c r="P6107" s="270" t="s">
        <v>3944</v>
      </c>
      <c r="Q6107" s="270" t="s">
        <v>3944</v>
      </c>
      <c r="R6107" s="270">
        <v>1808.7</v>
      </c>
      <c r="S6107" s="270">
        <v>24443.55</v>
      </c>
      <c r="T6107" s="270">
        <v>26252.25</v>
      </c>
      <c r="U6107" s="271" t="s">
        <v>3945</v>
      </c>
      <c r="V6107" s="267" t="s">
        <v>944</v>
      </c>
    </row>
    <row r="6108" spans="1:22" hidden="1" x14ac:dyDescent="0.25">
      <c r="A6108" s="266">
        <v>43754</v>
      </c>
      <c r="B6108" s="267">
        <v>2019</v>
      </c>
      <c r="C6108" s="267">
        <v>2020</v>
      </c>
      <c r="D6108" s="267">
        <v>1</v>
      </c>
      <c r="E6108" s="267">
        <v>1</v>
      </c>
      <c r="F6108" s="267" t="s">
        <v>944</v>
      </c>
      <c r="G6108" s="267" t="s">
        <v>3926</v>
      </c>
      <c r="H6108" s="267" t="s">
        <v>10840</v>
      </c>
      <c r="I6108" s="267" t="s">
        <v>4147</v>
      </c>
      <c r="J6108" s="267" t="s">
        <v>3928</v>
      </c>
      <c r="K6108" s="267">
        <v>6109</v>
      </c>
      <c r="L6108" s="267">
        <v>492300</v>
      </c>
      <c r="M6108" s="267" t="s">
        <v>3940</v>
      </c>
      <c r="N6108" s="267" t="s">
        <v>3944</v>
      </c>
      <c r="O6108" s="267">
        <v>1384.15</v>
      </c>
      <c r="P6108" s="267" t="s">
        <v>3944</v>
      </c>
      <c r="Q6108" s="267" t="s">
        <v>3944</v>
      </c>
      <c r="R6108" s="267">
        <v>1384.15</v>
      </c>
      <c r="S6108" s="267">
        <v>20917.849999999999</v>
      </c>
      <c r="T6108" s="267">
        <v>22302</v>
      </c>
      <c r="U6108" s="268" t="s">
        <v>3945</v>
      </c>
      <c r="V6108" s="267" t="s">
        <v>944</v>
      </c>
    </row>
    <row r="6109" spans="1:22" hidden="1" x14ac:dyDescent="0.25">
      <c r="A6109" s="269">
        <v>43754</v>
      </c>
      <c r="B6109" s="270">
        <v>2019</v>
      </c>
      <c r="C6109" s="270">
        <v>2020</v>
      </c>
      <c r="D6109" s="270">
        <v>1</v>
      </c>
      <c r="E6109" s="270">
        <v>1</v>
      </c>
      <c r="F6109" s="270" t="s">
        <v>944</v>
      </c>
      <c r="G6109" s="270" t="s">
        <v>3926</v>
      </c>
      <c r="H6109" s="270" t="s">
        <v>10841</v>
      </c>
      <c r="I6109" s="270" t="s">
        <v>5147</v>
      </c>
      <c r="J6109" s="270" t="s">
        <v>3928</v>
      </c>
      <c r="K6109" s="270">
        <v>6468</v>
      </c>
      <c r="L6109" s="270">
        <v>100100</v>
      </c>
      <c r="M6109" s="270" t="s">
        <v>3943</v>
      </c>
      <c r="N6109" s="270" t="s">
        <v>3944</v>
      </c>
      <c r="O6109" s="270">
        <v>2345.84</v>
      </c>
      <c r="P6109" s="270" t="s">
        <v>3944</v>
      </c>
      <c r="Q6109" s="270" t="s">
        <v>3944</v>
      </c>
      <c r="R6109" s="270">
        <v>2345.84</v>
      </c>
      <c r="S6109" s="270">
        <v>30607.35</v>
      </c>
      <c r="T6109" s="270">
        <v>32953.19</v>
      </c>
      <c r="U6109" s="271" t="s">
        <v>3945</v>
      </c>
      <c r="V6109" s="267" t="s">
        <v>944</v>
      </c>
    </row>
    <row r="6110" spans="1:22" hidden="1" x14ac:dyDescent="0.25">
      <c r="A6110" s="266">
        <v>43754</v>
      </c>
      <c r="B6110" s="267">
        <v>2019</v>
      </c>
      <c r="C6110" s="267">
        <v>2020</v>
      </c>
      <c r="D6110" s="267">
        <v>1</v>
      </c>
      <c r="E6110" s="267">
        <v>1</v>
      </c>
      <c r="F6110" s="267" t="s">
        <v>944</v>
      </c>
      <c r="G6110" s="267" t="s">
        <v>3926</v>
      </c>
      <c r="H6110" s="267" t="s">
        <v>10842</v>
      </c>
      <c r="I6110" s="267" t="s">
        <v>2987</v>
      </c>
      <c r="J6110" s="267" t="s">
        <v>3928</v>
      </c>
      <c r="K6110" s="267">
        <v>6611</v>
      </c>
      <c r="L6110" s="267">
        <v>90200</v>
      </c>
      <c r="M6110" s="267" t="s">
        <v>3943</v>
      </c>
      <c r="N6110" s="267" t="s">
        <v>3944</v>
      </c>
      <c r="O6110" s="267">
        <v>4268.6400000000003</v>
      </c>
      <c r="P6110" s="267" t="s">
        <v>3944</v>
      </c>
      <c r="Q6110" s="267" t="s">
        <v>3944</v>
      </c>
      <c r="R6110" s="267">
        <v>4268.6400000000003</v>
      </c>
      <c r="S6110" s="267">
        <v>65047.94</v>
      </c>
      <c r="T6110" s="267">
        <v>69316.58</v>
      </c>
      <c r="U6110" s="268" t="s">
        <v>3945</v>
      </c>
      <c r="V6110" s="267" t="s">
        <v>944</v>
      </c>
    </row>
    <row r="6111" spans="1:22" hidden="1" x14ac:dyDescent="0.25">
      <c r="A6111" s="269">
        <v>43754</v>
      </c>
      <c r="B6111" s="270">
        <v>2019</v>
      </c>
      <c r="C6111" s="270">
        <v>2020</v>
      </c>
      <c r="D6111" s="270">
        <v>1</v>
      </c>
      <c r="E6111" s="270">
        <v>1</v>
      </c>
      <c r="F6111" s="270" t="s">
        <v>944</v>
      </c>
      <c r="G6111" s="270" t="s">
        <v>3926</v>
      </c>
      <c r="H6111" s="270" t="s">
        <v>10843</v>
      </c>
      <c r="I6111" s="270" t="s">
        <v>4235</v>
      </c>
      <c r="J6111" s="270" t="s">
        <v>3928</v>
      </c>
      <c r="K6111" s="270">
        <v>6066</v>
      </c>
      <c r="L6111" s="270">
        <v>530200</v>
      </c>
      <c r="M6111" s="270">
        <v>-60</v>
      </c>
      <c r="N6111" s="270" t="s">
        <v>3944</v>
      </c>
      <c r="O6111" s="270">
        <v>3096.42</v>
      </c>
      <c r="P6111" s="270" t="s">
        <v>3944</v>
      </c>
      <c r="Q6111" s="270" t="s">
        <v>3944</v>
      </c>
      <c r="R6111" s="270">
        <v>3096.42</v>
      </c>
      <c r="S6111" s="270">
        <v>44877.82</v>
      </c>
      <c r="T6111" s="270">
        <v>47974.239999999998</v>
      </c>
      <c r="U6111" s="271" t="s">
        <v>3945</v>
      </c>
      <c r="V6111" s="267" t="s">
        <v>944</v>
      </c>
    </row>
    <row r="6112" spans="1:22" hidden="1" x14ac:dyDescent="0.25">
      <c r="A6112" s="266">
        <v>43754</v>
      </c>
      <c r="B6112" s="267">
        <v>2019</v>
      </c>
      <c r="C6112" s="267">
        <v>2020</v>
      </c>
      <c r="D6112" s="267">
        <v>1</v>
      </c>
      <c r="E6112" s="267">
        <v>1</v>
      </c>
      <c r="F6112" s="267" t="s">
        <v>944</v>
      </c>
      <c r="G6112" s="267" t="s">
        <v>3926</v>
      </c>
      <c r="H6112" s="267" t="s">
        <v>10844</v>
      </c>
      <c r="I6112" s="267" t="s">
        <v>3956</v>
      </c>
      <c r="J6112" s="267" t="s">
        <v>3928</v>
      </c>
      <c r="K6112" s="267">
        <v>6120</v>
      </c>
      <c r="L6112" s="267">
        <v>524400</v>
      </c>
      <c r="M6112" s="267">
        <v>-60</v>
      </c>
      <c r="N6112" s="267" t="s">
        <v>3944</v>
      </c>
      <c r="O6112" s="267">
        <v>910.07</v>
      </c>
      <c r="P6112" s="267" t="s">
        <v>3944</v>
      </c>
      <c r="Q6112" s="267" t="s">
        <v>3944</v>
      </c>
      <c r="R6112" s="267">
        <v>910.07</v>
      </c>
      <c r="S6112" s="267">
        <v>14251.42</v>
      </c>
      <c r="T6112" s="267">
        <v>15161.49</v>
      </c>
      <c r="U6112" s="268" t="s">
        <v>3945</v>
      </c>
      <c r="V6112" s="267" t="s">
        <v>944</v>
      </c>
    </row>
    <row r="6113" spans="1:22" hidden="1" x14ac:dyDescent="0.25">
      <c r="A6113" s="269">
        <v>43754</v>
      </c>
      <c r="B6113" s="270">
        <v>2019</v>
      </c>
      <c r="C6113" s="270">
        <v>2020</v>
      </c>
      <c r="D6113" s="270">
        <v>1</v>
      </c>
      <c r="E6113" s="270">
        <v>1</v>
      </c>
      <c r="F6113" s="270" t="s">
        <v>944</v>
      </c>
      <c r="G6113" s="270" t="s">
        <v>3926</v>
      </c>
      <c r="H6113" s="270" t="s">
        <v>10845</v>
      </c>
      <c r="I6113" s="270" t="s">
        <v>3014</v>
      </c>
      <c r="J6113" s="270" t="s">
        <v>3928</v>
      </c>
      <c r="K6113" s="270">
        <v>6525</v>
      </c>
      <c r="L6113" s="270">
        <v>160100</v>
      </c>
      <c r="M6113" s="270" t="s">
        <v>3943</v>
      </c>
      <c r="N6113" s="270" t="s">
        <v>3944</v>
      </c>
      <c r="O6113" s="270">
        <v>1214.5</v>
      </c>
      <c r="P6113" s="270" t="s">
        <v>3944</v>
      </c>
      <c r="Q6113" s="270" t="s">
        <v>3944</v>
      </c>
      <c r="R6113" s="270">
        <v>1214.5</v>
      </c>
      <c r="S6113" s="270">
        <v>15738.8</v>
      </c>
      <c r="T6113" s="270">
        <v>16953.3</v>
      </c>
      <c r="U6113" s="271" t="s">
        <v>3945</v>
      </c>
      <c r="V6113" s="267" t="s">
        <v>944</v>
      </c>
    </row>
    <row r="6114" spans="1:22" hidden="1" x14ac:dyDescent="0.25">
      <c r="A6114" s="266">
        <v>43754</v>
      </c>
      <c r="B6114" s="267">
        <v>2019</v>
      </c>
      <c r="C6114" s="267">
        <v>2020</v>
      </c>
      <c r="D6114" s="267">
        <v>1</v>
      </c>
      <c r="E6114" s="267">
        <v>1</v>
      </c>
      <c r="F6114" s="267" t="s">
        <v>944</v>
      </c>
      <c r="G6114" s="267" t="s">
        <v>3926</v>
      </c>
      <c r="H6114" s="267" t="s">
        <v>10846</v>
      </c>
      <c r="I6114" s="267" t="s">
        <v>934</v>
      </c>
      <c r="J6114" s="267" t="s">
        <v>3928</v>
      </c>
      <c r="K6114" s="267">
        <v>6606</v>
      </c>
      <c r="L6114" s="267">
        <v>72600</v>
      </c>
      <c r="M6114" s="267" t="s">
        <v>3940</v>
      </c>
      <c r="N6114" s="267" t="s">
        <v>3944</v>
      </c>
      <c r="O6114" s="267">
        <v>1905.96</v>
      </c>
      <c r="P6114" s="267" t="s">
        <v>3944</v>
      </c>
      <c r="Q6114" s="267" t="s">
        <v>3944</v>
      </c>
      <c r="R6114" s="267">
        <v>1905.96</v>
      </c>
      <c r="S6114" s="267">
        <v>26380.1</v>
      </c>
      <c r="T6114" s="267">
        <v>28286.06</v>
      </c>
      <c r="U6114" s="268" t="s">
        <v>3945</v>
      </c>
      <c r="V6114" s="267" t="s">
        <v>944</v>
      </c>
    </row>
    <row r="6115" spans="1:22" hidden="1" x14ac:dyDescent="0.25">
      <c r="A6115" s="269">
        <v>43754</v>
      </c>
      <c r="B6115" s="270">
        <v>2019</v>
      </c>
      <c r="C6115" s="270">
        <v>2020</v>
      </c>
      <c r="D6115" s="270">
        <v>1</v>
      </c>
      <c r="E6115" s="270">
        <v>1</v>
      </c>
      <c r="F6115" s="270" t="s">
        <v>944</v>
      </c>
      <c r="G6115" s="270" t="s">
        <v>3926</v>
      </c>
      <c r="H6115" s="270" t="s">
        <v>10847</v>
      </c>
      <c r="I6115" s="270" t="s">
        <v>3966</v>
      </c>
      <c r="J6115" s="270" t="s">
        <v>3928</v>
      </c>
      <c r="K6115" s="270">
        <v>6010</v>
      </c>
      <c r="L6115" s="270">
        <v>406001</v>
      </c>
      <c r="M6115" s="270">
        <v>-60</v>
      </c>
      <c r="N6115" s="270" t="s">
        <v>3944</v>
      </c>
      <c r="O6115" s="270">
        <v>2265.8000000000002</v>
      </c>
      <c r="P6115" s="270" t="s">
        <v>3944</v>
      </c>
      <c r="Q6115" s="270" t="s">
        <v>3944</v>
      </c>
      <c r="R6115" s="270">
        <v>2265.8000000000002</v>
      </c>
      <c r="S6115" s="270">
        <v>32609.119999999999</v>
      </c>
      <c r="T6115" s="270">
        <v>34874.92</v>
      </c>
      <c r="U6115" s="271" t="s">
        <v>3945</v>
      </c>
      <c r="V6115" s="267" t="s">
        <v>944</v>
      </c>
    </row>
    <row r="6116" spans="1:22" hidden="1" x14ac:dyDescent="0.25">
      <c r="A6116" s="266">
        <v>43754</v>
      </c>
      <c r="B6116" s="267">
        <v>2019</v>
      </c>
      <c r="C6116" s="267">
        <v>2020</v>
      </c>
      <c r="D6116" s="267">
        <v>1</v>
      </c>
      <c r="E6116" s="267">
        <v>1</v>
      </c>
      <c r="F6116" s="267" t="s">
        <v>944</v>
      </c>
      <c r="G6116" s="267" t="s">
        <v>3926</v>
      </c>
      <c r="H6116" s="267" t="s">
        <v>10848</v>
      </c>
      <c r="I6116" s="267" t="s">
        <v>953</v>
      </c>
      <c r="J6116" s="267" t="s">
        <v>3928</v>
      </c>
      <c r="K6116" s="267">
        <v>6518</v>
      </c>
      <c r="L6116" s="267">
        <v>165900</v>
      </c>
      <c r="M6116" s="267" t="s">
        <v>3943</v>
      </c>
      <c r="N6116" s="267" t="s">
        <v>3944</v>
      </c>
      <c r="O6116" s="267">
        <v>897.4</v>
      </c>
      <c r="P6116" s="267" t="s">
        <v>3944</v>
      </c>
      <c r="Q6116" s="267" t="s">
        <v>3944</v>
      </c>
      <c r="R6116" s="267">
        <v>897.4</v>
      </c>
      <c r="S6116" s="267">
        <v>14752.1</v>
      </c>
      <c r="T6116" s="267">
        <v>15649.5</v>
      </c>
      <c r="U6116" s="268" t="s">
        <v>3945</v>
      </c>
      <c r="V6116" s="267" t="s">
        <v>944</v>
      </c>
    </row>
    <row r="6117" spans="1:22" hidden="1" x14ac:dyDescent="0.25">
      <c r="A6117" s="269">
        <v>43754</v>
      </c>
      <c r="B6117" s="270">
        <v>2019</v>
      </c>
      <c r="C6117" s="270">
        <v>2020</v>
      </c>
      <c r="D6117" s="270">
        <v>1</v>
      </c>
      <c r="E6117" s="270">
        <v>1</v>
      </c>
      <c r="F6117" s="270" t="s">
        <v>944</v>
      </c>
      <c r="G6117" s="270" t="s">
        <v>3926</v>
      </c>
      <c r="H6117" s="270" t="s">
        <v>10849</v>
      </c>
      <c r="I6117" s="270" t="s">
        <v>4037</v>
      </c>
      <c r="J6117" s="270" t="s">
        <v>3928</v>
      </c>
      <c r="K6117" s="270">
        <v>6811</v>
      </c>
      <c r="L6117" s="270">
        <v>211000</v>
      </c>
      <c r="M6117" s="270" t="s">
        <v>3960</v>
      </c>
      <c r="N6117" s="270" t="s">
        <v>3944</v>
      </c>
      <c r="O6117" s="270">
        <v>2108.19</v>
      </c>
      <c r="P6117" s="270" t="s">
        <v>3944</v>
      </c>
      <c r="Q6117" s="270" t="s">
        <v>3944</v>
      </c>
      <c r="R6117" s="270">
        <v>2108.19</v>
      </c>
      <c r="S6117" s="270">
        <v>25284.09</v>
      </c>
      <c r="T6117" s="270">
        <v>27392.28</v>
      </c>
      <c r="U6117" s="271" t="s">
        <v>3945</v>
      </c>
      <c r="V6117" s="267" t="s">
        <v>944</v>
      </c>
    </row>
    <row r="6118" spans="1:22" hidden="1" x14ac:dyDescent="0.25">
      <c r="A6118" s="266">
        <v>43754</v>
      </c>
      <c r="B6118" s="267">
        <v>2019</v>
      </c>
      <c r="C6118" s="267">
        <v>2020</v>
      </c>
      <c r="D6118" s="267">
        <v>1</v>
      </c>
      <c r="E6118" s="267">
        <v>1</v>
      </c>
      <c r="F6118" s="267" t="s">
        <v>944</v>
      </c>
      <c r="G6118" s="267" t="s">
        <v>3926</v>
      </c>
      <c r="H6118" s="267" t="s">
        <v>10850</v>
      </c>
      <c r="I6118" s="267" t="s">
        <v>4871</v>
      </c>
      <c r="J6118" s="267" t="s">
        <v>3928</v>
      </c>
      <c r="K6118" s="267">
        <v>6877</v>
      </c>
      <c r="L6118" s="267">
        <v>245600</v>
      </c>
      <c r="M6118" s="267" t="s">
        <v>3943</v>
      </c>
      <c r="N6118" s="267" t="s">
        <v>3944</v>
      </c>
      <c r="O6118" s="267">
        <v>1958.85</v>
      </c>
      <c r="P6118" s="267" t="s">
        <v>3944</v>
      </c>
      <c r="Q6118" s="267" t="s">
        <v>3944</v>
      </c>
      <c r="R6118" s="267">
        <v>1958.85</v>
      </c>
      <c r="S6118" s="267">
        <v>27085.65</v>
      </c>
      <c r="T6118" s="267">
        <v>29044.5</v>
      </c>
      <c r="U6118" s="268" t="s">
        <v>3945</v>
      </c>
      <c r="V6118" s="267" t="s">
        <v>944</v>
      </c>
    </row>
    <row r="6119" spans="1:22" hidden="1" x14ac:dyDescent="0.25">
      <c r="A6119" s="269">
        <v>43754</v>
      </c>
      <c r="B6119" s="270">
        <v>2019</v>
      </c>
      <c r="C6119" s="270">
        <v>2020</v>
      </c>
      <c r="D6119" s="270">
        <v>1</v>
      </c>
      <c r="E6119" s="270">
        <v>1</v>
      </c>
      <c r="F6119" s="270" t="s">
        <v>944</v>
      </c>
      <c r="G6119" s="270" t="s">
        <v>3926</v>
      </c>
      <c r="H6119" s="270" t="s">
        <v>10851</v>
      </c>
      <c r="I6119" s="270" t="s">
        <v>4232</v>
      </c>
      <c r="J6119" s="270" t="s">
        <v>3928</v>
      </c>
      <c r="K6119" s="270">
        <v>6483</v>
      </c>
      <c r="L6119" s="270">
        <v>130200</v>
      </c>
      <c r="M6119" s="270" t="s">
        <v>3935</v>
      </c>
      <c r="N6119" s="270" t="s">
        <v>3944</v>
      </c>
      <c r="O6119" s="270">
        <v>3768.8</v>
      </c>
      <c r="P6119" s="270" t="s">
        <v>3944</v>
      </c>
      <c r="Q6119" s="270" t="s">
        <v>3944</v>
      </c>
      <c r="R6119" s="270">
        <v>3768.8</v>
      </c>
      <c r="S6119" s="270">
        <v>50984.08</v>
      </c>
      <c r="T6119" s="270">
        <v>54752.88</v>
      </c>
      <c r="U6119" s="271" t="s">
        <v>3945</v>
      </c>
      <c r="V6119" s="267" t="s">
        <v>944</v>
      </c>
    </row>
    <row r="6120" spans="1:22" hidden="1" x14ac:dyDescent="0.25">
      <c r="A6120" s="266">
        <v>43754</v>
      </c>
      <c r="B6120" s="267">
        <v>2019</v>
      </c>
      <c r="C6120" s="267">
        <v>2020</v>
      </c>
      <c r="D6120" s="267">
        <v>1</v>
      </c>
      <c r="E6120" s="267">
        <v>1</v>
      </c>
      <c r="F6120" s="267" t="s">
        <v>944</v>
      </c>
      <c r="G6120" s="267" t="s">
        <v>3926</v>
      </c>
      <c r="H6120" s="267" t="s">
        <v>10852</v>
      </c>
      <c r="I6120" s="267" t="s">
        <v>3993</v>
      </c>
      <c r="J6120" s="267" t="s">
        <v>3928</v>
      </c>
      <c r="K6120" s="267">
        <v>6415</v>
      </c>
      <c r="L6120" s="267">
        <v>714104</v>
      </c>
      <c r="M6120" s="267" t="s">
        <v>3960</v>
      </c>
      <c r="N6120" s="267" t="s">
        <v>3944</v>
      </c>
      <c r="O6120" s="267">
        <v>2067.94</v>
      </c>
      <c r="P6120" s="267" t="s">
        <v>3944</v>
      </c>
      <c r="Q6120" s="267" t="s">
        <v>3944</v>
      </c>
      <c r="R6120" s="267">
        <v>2067.94</v>
      </c>
      <c r="S6120" s="267">
        <v>27674.86</v>
      </c>
      <c r="T6120" s="267">
        <v>29742.799999999999</v>
      </c>
      <c r="U6120" s="268" t="s">
        <v>3945</v>
      </c>
      <c r="V6120" s="267" t="s">
        <v>944</v>
      </c>
    </row>
    <row r="6121" spans="1:22" x14ac:dyDescent="0.25">
      <c r="A6121" s="269">
        <v>43754</v>
      </c>
      <c r="B6121" s="270">
        <v>2019</v>
      </c>
      <c r="C6121" s="270">
        <v>2020</v>
      </c>
      <c r="D6121" s="270">
        <v>1</v>
      </c>
      <c r="E6121" s="270">
        <v>1</v>
      </c>
      <c r="F6121" s="270" t="s">
        <v>944</v>
      </c>
      <c r="G6121" s="270" t="s">
        <v>3926</v>
      </c>
      <c r="H6121" s="270" t="s">
        <v>10853</v>
      </c>
      <c r="I6121" s="270" t="s">
        <v>953</v>
      </c>
      <c r="J6121" s="270" t="s">
        <v>3928</v>
      </c>
      <c r="K6121" s="270">
        <v>6514</v>
      </c>
      <c r="L6121" s="270">
        <v>165500</v>
      </c>
      <c r="M6121" s="270">
        <v>-60</v>
      </c>
      <c r="N6121" s="270" t="s">
        <v>3944</v>
      </c>
      <c r="O6121" s="270">
        <v>2041.83</v>
      </c>
      <c r="P6121" s="270" t="s">
        <v>3944</v>
      </c>
      <c r="Q6121" s="270" t="s">
        <v>3944</v>
      </c>
      <c r="R6121" s="270">
        <v>2041.83</v>
      </c>
      <c r="S6121" s="270">
        <v>27174.41</v>
      </c>
      <c r="T6121" s="270">
        <v>29216.240000000002</v>
      </c>
      <c r="U6121" s="271" t="s">
        <v>3945</v>
      </c>
      <c r="V6121" s="276" t="s">
        <v>936</v>
      </c>
    </row>
    <row r="6122" spans="1:22" x14ac:dyDescent="0.25">
      <c r="A6122" s="266">
        <v>43754</v>
      </c>
      <c r="B6122" s="267">
        <v>2019</v>
      </c>
      <c r="C6122" s="267">
        <v>2020</v>
      </c>
      <c r="D6122" s="267">
        <v>1</v>
      </c>
      <c r="E6122" s="267">
        <v>1</v>
      </c>
      <c r="F6122" s="267" t="s">
        <v>944</v>
      </c>
      <c r="G6122" s="267" t="s">
        <v>3926</v>
      </c>
      <c r="H6122" s="267" t="s">
        <v>10854</v>
      </c>
      <c r="I6122" s="267" t="s">
        <v>934</v>
      </c>
      <c r="J6122" s="267" t="s">
        <v>3928</v>
      </c>
      <c r="K6122" s="267">
        <v>6610</v>
      </c>
      <c r="L6122" s="267">
        <v>74300</v>
      </c>
      <c r="M6122" s="267">
        <v>-60</v>
      </c>
      <c r="N6122" s="267" t="s">
        <v>3944</v>
      </c>
      <c r="O6122" s="267">
        <v>2332.58</v>
      </c>
      <c r="P6122" s="267" t="s">
        <v>3944</v>
      </c>
      <c r="Q6122" s="267" t="s">
        <v>3944</v>
      </c>
      <c r="R6122" s="267">
        <v>2332.58</v>
      </c>
      <c r="S6122" s="267">
        <v>30785.86</v>
      </c>
      <c r="T6122" s="267">
        <v>33118.44</v>
      </c>
      <c r="U6122" s="268" t="s">
        <v>3945</v>
      </c>
      <c r="V6122" s="276" t="s">
        <v>936</v>
      </c>
    </row>
    <row r="6123" spans="1:22" hidden="1" x14ac:dyDescent="0.25">
      <c r="A6123" s="269">
        <v>43754</v>
      </c>
      <c r="B6123" s="270">
        <v>2019</v>
      </c>
      <c r="C6123" s="270">
        <v>2020</v>
      </c>
      <c r="D6123" s="270">
        <v>1</v>
      </c>
      <c r="E6123" s="270">
        <v>1</v>
      </c>
      <c r="F6123" s="270" t="s">
        <v>944</v>
      </c>
      <c r="G6123" s="270" t="s">
        <v>3926</v>
      </c>
      <c r="H6123" s="270" t="s">
        <v>10855</v>
      </c>
      <c r="I6123" s="270" t="s">
        <v>4019</v>
      </c>
      <c r="J6123" s="270" t="s">
        <v>3928</v>
      </c>
      <c r="K6123" s="270">
        <v>6704</v>
      </c>
      <c r="L6123" s="270">
        <v>352200</v>
      </c>
      <c r="M6123" s="270">
        <v>-60</v>
      </c>
      <c r="N6123" s="270" t="s">
        <v>3944</v>
      </c>
      <c r="O6123" s="270">
        <v>1187.1300000000001</v>
      </c>
      <c r="P6123" s="270" t="s">
        <v>3944</v>
      </c>
      <c r="Q6123" s="270" t="s">
        <v>3944</v>
      </c>
      <c r="R6123" s="270">
        <v>1187.1300000000001</v>
      </c>
      <c r="S6123" s="270">
        <v>14809.84</v>
      </c>
      <c r="T6123" s="270">
        <v>15996.97</v>
      </c>
      <c r="U6123" s="271" t="s">
        <v>3945</v>
      </c>
      <c r="V6123" s="267" t="s">
        <v>944</v>
      </c>
    </row>
    <row r="6124" spans="1:22" hidden="1" x14ac:dyDescent="0.25">
      <c r="A6124" s="266">
        <v>43754</v>
      </c>
      <c r="B6124" s="267">
        <v>2019</v>
      </c>
      <c r="C6124" s="267">
        <v>2020</v>
      </c>
      <c r="D6124" s="267">
        <v>1</v>
      </c>
      <c r="E6124" s="267">
        <v>1</v>
      </c>
      <c r="F6124" s="267" t="s">
        <v>944</v>
      </c>
      <c r="G6124" s="267" t="s">
        <v>3926</v>
      </c>
      <c r="H6124" s="267" t="s">
        <v>10856</v>
      </c>
      <c r="I6124" s="267" t="s">
        <v>956</v>
      </c>
      <c r="J6124" s="267" t="s">
        <v>3928</v>
      </c>
      <c r="K6124" s="267">
        <v>6615</v>
      </c>
      <c r="L6124" s="267">
        <v>80400</v>
      </c>
      <c r="M6124" s="267" t="s">
        <v>3940</v>
      </c>
      <c r="N6124" s="267" t="s">
        <v>3944</v>
      </c>
      <c r="O6124" s="267">
        <v>976.43</v>
      </c>
      <c r="P6124" s="267" t="s">
        <v>3944</v>
      </c>
      <c r="Q6124" s="267" t="s">
        <v>3944</v>
      </c>
      <c r="R6124" s="267">
        <v>976.43</v>
      </c>
      <c r="S6124" s="267">
        <v>13354.87</v>
      </c>
      <c r="T6124" s="267">
        <v>14331.3</v>
      </c>
      <c r="U6124" s="268" t="s">
        <v>3945</v>
      </c>
      <c r="V6124" s="267" t="s">
        <v>944</v>
      </c>
    </row>
    <row r="6125" spans="1:22" hidden="1" x14ac:dyDescent="0.25">
      <c r="A6125" s="269">
        <v>43754</v>
      </c>
      <c r="B6125" s="270">
        <v>2019</v>
      </c>
      <c r="C6125" s="270">
        <v>2020</v>
      </c>
      <c r="D6125" s="270">
        <v>1</v>
      </c>
      <c r="E6125" s="270">
        <v>1</v>
      </c>
      <c r="F6125" s="270" t="s">
        <v>944</v>
      </c>
      <c r="G6125" s="270" t="s">
        <v>3926</v>
      </c>
      <c r="H6125" s="270" t="s">
        <v>10857</v>
      </c>
      <c r="I6125" s="270" t="s">
        <v>3014</v>
      </c>
      <c r="J6125" s="270" t="s">
        <v>3928</v>
      </c>
      <c r="K6125" s="270">
        <v>6525</v>
      </c>
      <c r="L6125" s="270">
        <v>160200</v>
      </c>
      <c r="M6125" s="270" t="s">
        <v>3943</v>
      </c>
      <c r="N6125" s="270" t="s">
        <v>3944</v>
      </c>
      <c r="O6125" s="270">
        <v>1198.75</v>
      </c>
      <c r="P6125" s="270" t="s">
        <v>3944</v>
      </c>
      <c r="Q6125" s="270" t="s">
        <v>3944</v>
      </c>
      <c r="R6125" s="270">
        <v>1198.75</v>
      </c>
      <c r="S6125" s="270">
        <v>17035.54</v>
      </c>
      <c r="T6125" s="270">
        <v>18234.29</v>
      </c>
      <c r="U6125" s="271" t="s">
        <v>3945</v>
      </c>
      <c r="V6125" s="267" t="s">
        <v>944</v>
      </c>
    </row>
    <row r="6126" spans="1:22" hidden="1" x14ac:dyDescent="0.25">
      <c r="A6126" s="266">
        <v>43754</v>
      </c>
      <c r="B6126" s="267">
        <v>2019</v>
      </c>
      <c r="C6126" s="267">
        <v>2020</v>
      </c>
      <c r="D6126" s="267">
        <v>1</v>
      </c>
      <c r="E6126" s="267">
        <v>1</v>
      </c>
      <c r="F6126" s="267" t="s">
        <v>944</v>
      </c>
      <c r="G6126" s="267" t="s">
        <v>3926</v>
      </c>
      <c r="H6126" s="267" t="s">
        <v>10858</v>
      </c>
      <c r="I6126" s="267" t="s">
        <v>4019</v>
      </c>
      <c r="J6126" s="267" t="s">
        <v>3928</v>
      </c>
      <c r="K6126" s="267">
        <v>6704</v>
      </c>
      <c r="L6126" s="267">
        <v>352400</v>
      </c>
      <c r="M6126" s="267">
        <v>-60</v>
      </c>
      <c r="N6126" s="267" t="s">
        <v>3944</v>
      </c>
      <c r="O6126" s="267">
        <v>1723.68</v>
      </c>
      <c r="P6126" s="267" t="s">
        <v>3944</v>
      </c>
      <c r="Q6126" s="267" t="s">
        <v>3944</v>
      </c>
      <c r="R6126" s="267">
        <v>1723.68</v>
      </c>
      <c r="S6126" s="267">
        <v>19481.82</v>
      </c>
      <c r="T6126" s="267">
        <v>21205.5</v>
      </c>
      <c r="U6126" s="268" t="s">
        <v>3945</v>
      </c>
      <c r="V6126" s="267" t="s">
        <v>944</v>
      </c>
    </row>
    <row r="6127" spans="1:22" hidden="1" x14ac:dyDescent="0.25">
      <c r="A6127" s="269">
        <v>43754</v>
      </c>
      <c r="B6127" s="270">
        <v>2019</v>
      </c>
      <c r="C6127" s="270">
        <v>2020</v>
      </c>
      <c r="D6127" s="270">
        <v>1</v>
      </c>
      <c r="E6127" s="270">
        <v>1</v>
      </c>
      <c r="F6127" s="270" t="s">
        <v>944</v>
      </c>
      <c r="G6127" s="270" t="s">
        <v>3926</v>
      </c>
      <c r="H6127" s="270" t="s">
        <v>10859</v>
      </c>
      <c r="I6127" s="270" t="s">
        <v>4687</v>
      </c>
      <c r="J6127" s="270" t="s">
        <v>3928</v>
      </c>
      <c r="K6127" s="270">
        <v>6424</v>
      </c>
      <c r="L6127" s="270">
        <v>550100</v>
      </c>
      <c r="M6127" s="270" t="s">
        <v>3960</v>
      </c>
      <c r="N6127" s="270" t="s">
        <v>3944</v>
      </c>
      <c r="O6127" s="270">
        <v>2132.87</v>
      </c>
      <c r="P6127" s="270" t="s">
        <v>3944</v>
      </c>
      <c r="Q6127" s="270" t="s">
        <v>3944</v>
      </c>
      <c r="R6127" s="270">
        <v>2132.87</v>
      </c>
      <c r="S6127" s="270">
        <v>27972.73</v>
      </c>
      <c r="T6127" s="270">
        <v>30105.599999999999</v>
      </c>
      <c r="U6127" s="271" t="s">
        <v>3945</v>
      </c>
      <c r="V6127" s="267" t="s">
        <v>944</v>
      </c>
    </row>
    <row r="6128" spans="1:22" hidden="1" x14ac:dyDescent="0.25">
      <c r="A6128" s="266">
        <v>43754</v>
      </c>
      <c r="B6128" s="267">
        <v>2019</v>
      </c>
      <c r="C6128" s="267">
        <v>2020</v>
      </c>
      <c r="D6128" s="267">
        <v>1</v>
      </c>
      <c r="E6128" s="267">
        <v>1</v>
      </c>
      <c r="F6128" s="267" t="s">
        <v>944</v>
      </c>
      <c r="G6128" s="267" t="s">
        <v>3926</v>
      </c>
      <c r="H6128" s="267" t="s">
        <v>10860</v>
      </c>
      <c r="I6128" s="267" t="s">
        <v>4232</v>
      </c>
      <c r="J6128" s="267" t="s">
        <v>3928</v>
      </c>
      <c r="K6128" s="267">
        <v>6483</v>
      </c>
      <c r="L6128" s="267">
        <v>130200</v>
      </c>
      <c r="M6128" s="267" t="s">
        <v>3935</v>
      </c>
      <c r="N6128" s="267" t="s">
        <v>3944</v>
      </c>
      <c r="O6128" s="267">
        <v>1947.44</v>
      </c>
      <c r="P6128" s="267" t="s">
        <v>3944</v>
      </c>
      <c r="Q6128" s="267" t="s">
        <v>3944</v>
      </c>
      <c r="R6128" s="267">
        <v>1947.44</v>
      </c>
      <c r="S6128" s="267">
        <v>38660.050000000003</v>
      </c>
      <c r="T6128" s="267">
        <v>40607.49</v>
      </c>
      <c r="U6128" s="268" t="s">
        <v>3945</v>
      </c>
      <c r="V6128" s="267" t="s">
        <v>944</v>
      </c>
    </row>
    <row r="6129" spans="1:22" hidden="1" x14ac:dyDescent="0.25">
      <c r="A6129" s="269">
        <v>43754</v>
      </c>
      <c r="B6129" s="270">
        <v>2019</v>
      </c>
      <c r="C6129" s="270">
        <v>2020</v>
      </c>
      <c r="D6129" s="270">
        <v>1</v>
      </c>
      <c r="E6129" s="270">
        <v>1</v>
      </c>
      <c r="F6129" s="270" t="s">
        <v>944</v>
      </c>
      <c r="G6129" s="270" t="s">
        <v>3926</v>
      </c>
      <c r="H6129" s="270" t="s">
        <v>10861</v>
      </c>
      <c r="I6129" s="270" t="s">
        <v>6565</v>
      </c>
      <c r="J6129" s="270" t="s">
        <v>3928</v>
      </c>
      <c r="K6129" s="270">
        <v>6021</v>
      </c>
      <c r="L6129" s="270">
        <v>293100</v>
      </c>
      <c r="M6129" s="270" t="s">
        <v>3960</v>
      </c>
      <c r="N6129" s="270" t="s">
        <v>3944</v>
      </c>
      <c r="O6129" s="270">
        <v>1994.34</v>
      </c>
      <c r="P6129" s="270" t="s">
        <v>3944</v>
      </c>
      <c r="Q6129" s="270" t="s">
        <v>3944</v>
      </c>
      <c r="R6129" s="270">
        <v>1994.34</v>
      </c>
      <c r="S6129" s="270">
        <v>26688.36</v>
      </c>
      <c r="T6129" s="270">
        <v>28682.7</v>
      </c>
      <c r="U6129" s="271" t="s">
        <v>3945</v>
      </c>
      <c r="V6129" s="267" t="s">
        <v>944</v>
      </c>
    </row>
    <row r="6130" spans="1:22" hidden="1" x14ac:dyDescent="0.25">
      <c r="A6130" s="266">
        <v>43754</v>
      </c>
      <c r="B6130" s="267">
        <v>2019</v>
      </c>
      <c r="C6130" s="267">
        <v>2020</v>
      </c>
      <c r="D6130" s="267">
        <v>1</v>
      </c>
      <c r="E6130" s="267">
        <v>1</v>
      </c>
      <c r="F6130" s="267" t="s">
        <v>944</v>
      </c>
      <c r="G6130" s="267" t="s">
        <v>3926</v>
      </c>
      <c r="H6130" s="267" t="s">
        <v>10862</v>
      </c>
      <c r="I6130" s="267" t="s">
        <v>4269</v>
      </c>
      <c r="J6130" s="267" t="s">
        <v>3928</v>
      </c>
      <c r="K6130" s="267">
        <v>6110</v>
      </c>
      <c r="L6130" s="267">
        <v>496200</v>
      </c>
      <c r="M6130" s="267" t="s">
        <v>3935</v>
      </c>
      <c r="N6130" s="267" t="s">
        <v>3944</v>
      </c>
      <c r="O6130" s="267">
        <v>2697.17</v>
      </c>
      <c r="P6130" s="267" t="s">
        <v>3944</v>
      </c>
      <c r="Q6130" s="267" t="s">
        <v>3944</v>
      </c>
      <c r="R6130" s="267">
        <v>2697.17</v>
      </c>
      <c r="S6130" s="267">
        <v>32047.09</v>
      </c>
      <c r="T6130" s="267">
        <v>34744.26</v>
      </c>
      <c r="U6130" s="268" t="s">
        <v>3945</v>
      </c>
      <c r="V6130" s="267" t="s">
        <v>944</v>
      </c>
    </row>
    <row r="6131" spans="1:22" hidden="1" x14ac:dyDescent="0.25">
      <c r="A6131" s="269">
        <v>43754</v>
      </c>
      <c r="B6131" s="270">
        <v>2019</v>
      </c>
      <c r="C6131" s="270">
        <v>2020</v>
      </c>
      <c r="D6131" s="270">
        <v>1</v>
      </c>
      <c r="E6131" s="270">
        <v>1</v>
      </c>
      <c r="F6131" s="270" t="s">
        <v>944</v>
      </c>
      <c r="G6131" s="270" t="s">
        <v>3926</v>
      </c>
      <c r="H6131" s="270" t="s">
        <v>10863</v>
      </c>
      <c r="I6131" s="270" t="s">
        <v>953</v>
      </c>
      <c r="J6131" s="270" t="s">
        <v>3928</v>
      </c>
      <c r="K6131" s="270">
        <v>6514</v>
      </c>
      <c r="L6131" s="270">
        <v>165700</v>
      </c>
      <c r="M6131" s="270" t="s">
        <v>3935</v>
      </c>
      <c r="N6131" s="270" t="s">
        <v>3944</v>
      </c>
      <c r="O6131" s="270">
        <v>1770.55</v>
      </c>
      <c r="P6131" s="270" t="s">
        <v>3944</v>
      </c>
      <c r="Q6131" s="270" t="s">
        <v>3944</v>
      </c>
      <c r="R6131" s="270">
        <v>1770.55</v>
      </c>
      <c r="S6131" s="270">
        <v>21755.81</v>
      </c>
      <c r="T6131" s="270">
        <v>23526.36</v>
      </c>
      <c r="U6131" s="271" t="s">
        <v>3945</v>
      </c>
      <c r="V6131" s="267" t="s">
        <v>944</v>
      </c>
    </row>
    <row r="6132" spans="1:22" hidden="1" x14ac:dyDescent="0.25">
      <c r="A6132" s="266">
        <v>43754</v>
      </c>
      <c r="B6132" s="267">
        <v>2019</v>
      </c>
      <c r="C6132" s="267">
        <v>2020</v>
      </c>
      <c r="D6132" s="267">
        <v>1</v>
      </c>
      <c r="E6132" s="267">
        <v>1</v>
      </c>
      <c r="F6132" s="267" t="s">
        <v>944</v>
      </c>
      <c r="G6132" s="267" t="s">
        <v>3926</v>
      </c>
      <c r="H6132" s="267" t="s">
        <v>10864</v>
      </c>
      <c r="I6132" s="267" t="s">
        <v>4422</v>
      </c>
      <c r="J6132" s="267" t="s">
        <v>3928</v>
      </c>
      <c r="K6132" s="267">
        <v>6801</v>
      </c>
      <c r="L6132" s="267">
        <v>200200</v>
      </c>
      <c r="M6132" s="267" t="s">
        <v>3940</v>
      </c>
      <c r="N6132" s="267" t="s">
        <v>3944</v>
      </c>
      <c r="O6132" s="267">
        <v>1313.03</v>
      </c>
      <c r="P6132" s="267" t="s">
        <v>3944</v>
      </c>
      <c r="Q6132" s="267" t="s">
        <v>3944</v>
      </c>
      <c r="R6132" s="267">
        <v>1313.03</v>
      </c>
      <c r="S6132" s="267">
        <v>16103.62</v>
      </c>
      <c r="T6132" s="267">
        <v>17416.650000000001</v>
      </c>
      <c r="U6132" s="268" t="s">
        <v>3945</v>
      </c>
      <c r="V6132" s="267" t="s">
        <v>944</v>
      </c>
    </row>
    <row r="6133" spans="1:22" hidden="1" x14ac:dyDescent="0.25">
      <c r="A6133" s="269">
        <v>43754</v>
      </c>
      <c r="B6133" s="270">
        <v>2019</v>
      </c>
      <c r="C6133" s="270">
        <v>2020</v>
      </c>
      <c r="D6133" s="270">
        <v>1</v>
      </c>
      <c r="E6133" s="270">
        <v>1</v>
      </c>
      <c r="F6133" s="270" t="s">
        <v>944</v>
      </c>
      <c r="G6133" s="270" t="s">
        <v>3926</v>
      </c>
      <c r="H6133" s="270" t="s">
        <v>10865</v>
      </c>
      <c r="I6133" s="270" t="s">
        <v>6426</v>
      </c>
      <c r="J6133" s="270" t="s">
        <v>3928</v>
      </c>
      <c r="K6133" s="270">
        <v>6422</v>
      </c>
      <c r="L6133" s="270">
        <v>585100</v>
      </c>
      <c r="M6133" s="270" t="s">
        <v>3943</v>
      </c>
      <c r="N6133" s="270" t="s">
        <v>3944</v>
      </c>
      <c r="O6133" s="270">
        <v>2666.69</v>
      </c>
      <c r="P6133" s="270" t="s">
        <v>3944</v>
      </c>
      <c r="Q6133" s="270" t="s">
        <v>3944</v>
      </c>
      <c r="R6133" s="270">
        <v>2666.69</v>
      </c>
      <c r="S6133" s="270">
        <v>37127.870000000003</v>
      </c>
      <c r="T6133" s="270">
        <v>39794.559999999998</v>
      </c>
      <c r="U6133" s="271" t="s">
        <v>3945</v>
      </c>
      <c r="V6133" s="267" t="s">
        <v>944</v>
      </c>
    </row>
    <row r="6134" spans="1:22" hidden="1" x14ac:dyDescent="0.25">
      <c r="A6134" s="266">
        <v>43754</v>
      </c>
      <c r="B6134" s="267">
        <v>2019</v>
      </c>
      <c r="C6134" s="267">
        <v>2020</v>
      </c>
      <c r="D6134" s="267">
        <v>1</v>
      </c>
      <c r="E6134" s="267">
        <v>1</v>
      </c>
      <c r="F6134" s="267" t="s">
        <v>944</v>
      </c>
      <c r="G6134" s="267" t="s">
        <v>3926</v>
      </c>
      <c r="H6134" s="267" t="s">
        <v>10866</v>
      </c>
      <c r="I6134" s="267" t="s">
        <v>4005</v>
      </c>
      <c r="J6134" s="267" t="s">
        <v>3928</v>
      </c>
      <c r="K6134" s="267">
        <v>6118</v>
      </c>
      <c r="L6134" s="267">
        <v>510700</v>
      </c>
      <c r="M6134" s="267" t="s">
        <v>3940</v>
      </c>
      <c r="N6134" s="267" t="s">
        <v>3944</v>
      </c>
      <c r="O6134" s="267">
        <v>1277.99</v>
      </c>
      <c r="P6134" s="267" t="s">
        <v>3944</v>
      </c>
      <c r="Q6134" s="267" t="s">
        <v>3944</v>
      </c>
      <c r="R6134" s="267">
        <v>1277.99</v>
      </c>
      <c r="S6134" s="267">
        <v>18819.62</v>
      </c>
      <c r="T6134" s="267">
        <v>20097.61</v>
      </c>
      <c r="U6134" s="268" t="s">
        <v>3945</v>
      </c>
      <c r="V6134" s="267" t="s">
        <v>944</v>
      </c>
    </row>
    <row r="6135" spans="1:22" hidden="1" x14ac:dyDescent="0.25">
      <c r="A6135" s="269">
        <v>43754</v>
      </c>
      <c r="B6135" s="270">
        <v>2019</v>
      </c>
      <c r="C6135" s="270">
        <v>2020</v>
      </c>
      <c r="D6135" s="270">
        <v>1</v>
      </c>
      <c r="E6135" s="270">
        <v>1</v>
      </c>
      <c r="F6135" s="270" t="s">
        <v>944</v>
      </c>
      <c r="G6135" s="270" t="s">
        <v>3926</v>
      </c>
      <c r="H6135" s="270" t="s">
        <v>10867</v>
      </c>
      <c r="I6135" s="270" t="s">
        <v>4147</v>
      </c>
      <c r="J6135" s="270" t="s">
        <v>3928</v>
      </c>
      <c r="K6135" s="270">
        <v>6109</v>
      </c>
      <c r="L6135" s="270">
        <v>492400</v>
      </c>
      <c r="M6135" s="270" t="s">
        <v>3935</v>
      </c>
      <c r="N6135" s="270" t="s">
        <v>3944</v>
      </c>
      <c r="O6135" s="270">
        <v>3166.94</v>
      </c>
      <c r="P6135" s="270" t="s">
        <v>3944</v>
      </c>
      <c r="Q6135" s="270" t="s">
        <v>3944</v>
      </c>
      <c r="R6135" s="270">
        <v>3166.94</v>
      </c>
      <c r="S6135" s="270">
        <v>37853.21</v>
      </c>
      <c r="T6135" s="270">
        <v>41020.15</v>
      </c>
      <c r="U6135" s="271" t="s">
        <v>3945</v>
      </c>
      <c r="V6135" s="267" t="s">
        <v>944</v>
      </c>
    </row>
    <row r="6136" spans="1:22" hidden="1" x14ac:dyDescent="0.25">
      <c r="A6136" s="266">
        <v>43755</v>
      </c>
      <c r="B6136" s="267">
        <v>2019</v>
      </c>
      <c r="C6136" s="267">
        <v>2020</v>
      </c>
      <c r="D6136" s="267">
        <v>1</v>
      </c>
      <c r="E6136" s="267">
        <v>1</v>
      </c>
      <c r="F6136" s="267" t="s">
        <v>944</v>
      </c>
      <c r="G6136" s="267" t="s">
        <v>3926</v>
      </c>
      <c r="H6136" s="267" t="s">
        <v>10868</v>
      </c>
      <c r="I6136" s="267" t="s">
        <v>4269</v>
      </c>
      <c r="J6136" s="267" t="s">
        <v>3928</v>
      </c>
      <c r="K6136" s="267">
        <v>6107</v>
      </c>
      <c r="L6136" s="267">
        <v>496600</v>
      </c>
      <c r="M6136" s="267" t="s">
        <v>3943</v>
      </c>
      <c r="N6136" s="267" t="s">
        <v>10869</v>
      </c>
      <c r="O6136" s="267">
        <v>0</v>
      </c>
      <c r="P6136" s="267" t="s">
        <v>3930</v>
      </c>
      <c r="Q6136" s="267" t="s">
        <v>3930</v>
      </c>
      <c r="R6136" s="267">
        <v>0</v>
      </c>
      <c r="S6136" s="267">
        <v>11215</v>
      </c>
      <c r="T6136" s="267">
        <v>11215</v>
      </c>
      <c r="U6136" s="268" t="s">
        <v>3937</v>
      </c>
      <c r="V6136" s="267" t="s">
        <v>944</v>
      </c>
    </row>
    <row r="6137" spans="1:22" hidden="1" x14ac:dyDescent="0.25">
      <c r="A6137" s="269">
        <v>43755</v>
      </c>
      <c r="B6137" s="270">
        <v>2019</v>
      </c>
      <c r="C6137" s="270">
        <v>2020</v>
      </c>
      <c r="D6137" s="270">
        <v>1</v>
      </c>
      <c r="E6137" s="270">
        <v>1</v>
      </c>
      <c r="F6137" s="270" t="s">
        <v>944</v>
      </c>
      <c r="G6137" s="270" t="s">
        <v>3926</v>
      </c>
      <c r="H6137" s="270" t="s">
        <v>10870</v>
      </c>
      <c r="I6137" s="270" t="s">
        <v>4392</v>
      </c>
      <c r="J6137" s="270" t="s">
        <v>3928</v>
      </c>
      <c r="K6137" s="270">
        <v>6457</v>
      </c>
      <c r="L6137" s="270">
        <v>541500</v>
      </c>
      <c r="M6137" s="270" t="s">
        <v>3940</v>
      </c>
      <c r="N6137" s="270" t="s">
        <v>8223</v>
      </c>
      <c r="O6137" s="270">
        <v>1081.99</v>
      </c>
      <c r="P6137" s="270" t="s">
        <v>3930</v>
      </c>
      <c r="Q6137" s="270" t="s">
        <v>3931</v>
      </c>
      <c r="R6137" s="270">
        <v>6081.99</v>
      </c>
      <c r="S6137" s="270">
        <v>12702.4</v>
      </c>
      <c r="T6137" s="270">
        <v>18784.39</v>
      </c>
      <c r="U6137" s="271" t="s">
        <v>3932</v>
      </c>
      <c r="V6137" s="267" t="s">
        <v>944</v>
      </c>
    </row>
    <row r="6138" spans="1:22" hidden="1" x14ac:dyDescent="0.25">
      <c r="A6138" s="266">
        <v>43755</v>
      </c>
      <c r="B6138" s="267">
        <v>2019</v>
      </c>
      <c r="C6138" s="267">
        <v>2020</v>
      </c>
      <c r="D6138" s="267">
        <v>1</v>
      </c>
      <c r="E6138" s="267">
        <v>1</v>
      </c>
      <c r="F6138" s="267" t="s">
        <v>944</v>
      </c>
      <c r="G6138" s="267" t="s">
        <v>3926</v>
      </c>
      <c r="H6138" s="267" t="s">
        <v>10871</v>
      </c>
      <c r="I6138" s="267" t="s">
        <v>4005</v>
      </c>
      <c r="J6138" s="267" t="s">
        <v>3928</v>
      </c>
      <c r="K6138" s="267">
        <v>6108</v>
      </c>
      <c r="L6138" s="267">
        <v>510400</v>
      </c>
      <c r="M6138" s="267">
        <v>-60</v>
      </c>
      <c r="N6138" s="267" t="s">
        <v>4103</v>
      </c>
      <c r="O6138" s="267">
        <v>4671.51</v>
      </c>
      <c r="P6138" s="267" t="s">
        <v>3930</v>
      </c>
      <c r="Q6138" s="267" t="s">
        <v>3931</v>
      </c>
      <c r="R6138" s="267">
        <v>9671.51</v>
      </c>
      <c r="S6138" s="267">
        <v>24145.599999999999</v>
      </c>
      <c r="T6138" s="267">
        <v>33817.11</v>
      </c>
      <c r="U6138" s="268" t="s">
        <v>3932</v>
      </c>
      <c r="V6138" s="267" t="s">
        <v>944</v>
      </c>
    </row>
    <row r="6139" spans="1:22" hidden="1" x14ac:dyDescent="0.25">
      <c r="A6139" s="269">
        <v>43755</v>
      </c>
      <c r="B6139" s="270">
        <v>2019</v>
      </c>
      <c r="C6139" s="270">
        <v>2020</v>
      </c>
      <c r="D6139" s="270">
        <v>1</v>
      </c>
      <c r="E6139" s="270">
        <v>1</v>
      </c>
      <c r="F6139" s="270" t="s">
        <v>944</v>
      </c>
      <c r="G6139" s="270" t="s">
        <v>3926</v>
      </c>
      <c r="H6139" s="270" t="s">
        <v>10872</v>
      </c>
      <c r="I6139" s="270" t="s">
        <v>3956</v>
      </c>
      <c r="J6139" s="270" t="s">
        <v>3928</v>
      </c>
      <c r="K6139" s="270">
        <v>6112</v>
      </c>
      <c r="L6139" s="270">
        <v>503900</v>
      </c>
      <c r="M6139" s="270">
        <v>-60</v>
      </c>
      <c r="N6139" s="270" t="s">
        <v>4701</v>
      </c>
      <c r="O6139" s="270">
        <v>5669.55</v>
      </c>
      <c r="P6139" s="270" t="s">
        <v>3930</v>
      </c>
      <c r="Q6139" s="270" t="s">
        <v>3931</v>
      </c>
      <c r="R6139" s="270">
        <v>10669.55</v>
      </c>
      <c r="S6139" s="270">
        <v>34648</v>
      </c>
      <c r="T6139" s="270">
        <v>45317.55</v>
      </c>
      <c r="U6139" s="271" t="s">
        <v>3932</v>
      </c>
      <c r="V6139" s="267" t="s">
        <v>944</v>
      </c>
    </row>
    <row r="6140" spans="1:22" hidden="1" x14ac:dyDescent="0.25">
      <c r="A6140" s="266">
        <v>43755</v>
      </c>
      <c r="B6140" s="267">
        <v>2019</v>
      </c>
      <c r="C6140" s="267">
        <v>2020</v>
      </c>
      <c r="D6140" s="267">
        <v>1</v>
      </c>
      <c r="E6140" s="267">
        <v>1</v>
      </c>
      <c r="F6140" s="267" t="s">
        <v>944</v>
      </c>
      <c r="G6140" s="267" t="s">
        <v>3926</v>
      </c>
      <c r="H6140" s="267" t="s">
        <v>10873</v>
      </c>
      <c r="I6140" s="267" t="s">
        <v>6426</v>
      </c>
      <c r="J6140" s="267" t="s">
        <v>3928</v>
      </c>
      <c r="K6140" s="267">
        <v>6422</v>
      </c>
      <c r="L6140" s="267">
        <v>585100</v>
      </c>
      <c r="M6140" s="267" t="s">
        <v>3943</v>
      </c>
      <c r="N6140" s="267" t="s">
        <v>3944</v>
      </c>
      <c r="O6140" s="267">
        <v>3706</v>
      </c>
      <c r="P6140" s="267" t="s">
        <v>3944</v>
      </c>
      <c r="Q6140" s="267" t="s">
        <v>3944</v>
      </c>
      <c r="R6140" s="267">
        <v>3706</v>
      </c>
      <c r="S6140" s="267">
        <v>41780</v>
      </c>
      <c r="T6140" s="267">
        <v>45486</v>
      </c>
      <c r="U6140" s="268" t="s">
        <v>3945</v>
      </c>
      <c r="V6140" s="267" t="s">
        <v>944</v>
      </c>
    </row>
    <row r="6141" spans="1:22" hidden="1" x14ac:dyDescent="0.25">
      <c r="A6141" s="269">
        <v>43755</v>
      </c>
      <c r="B6141" s="270">
        <v>2019</v>
      </c>
      <c r="C6141" s="270">
        <v>2020</v>
      </c>
      <c r="D6141" s="270">
        <v>1</v>
      </c>
      <c r="E6141" s="270">
        <v>1</v>
      </c>
      <c r="F6141" s="270" t="s">
        <v>944</v>
      </c>
      <c r="G6141" s="270" t="s">
        <v>3926</v>
      </c>
      <c r="H6141" s="270" t="s">
        <v>10874</v>
      </c>
      <c r="I6141" s="270" t="s">
        <v>4269</v>
      </c>
      <c r="J6141" s="270" t="s">
        <v>3928</v>
      </c>
      <c r="K6141" s="270">
        <v>6107</v>
      </c>
      <c r="L6141" s="270">
        <v>497700</v>
      </c>
      <c r="M6141" s="270" t="s">
        <v>3943</v>
      </c>
      <c r="N6141" s="270" t="s">
        <v>3944</v>
      </c>
      <c r="O6141" s="270">
        <v>5440</v>
      </c>
      <c r="P6141" s="270" t="s">
        <v>3944</v>
      </c>
      <c r="Q6141" s="270" t="s">
        <v>3944</v>
      </c>
      <c r="R6141" s="270">
        <v>5440</v>
      </c>
      <c r="S6141" s="270">
        <v>33560</v>
      </c>
      <c r="T6141" s="270">
        <v>39000</v>
      </c>
      <c r="U6141" s="271" t="s">
        <v>3945</v>
      </c>
      <c r="V6141" s="267" t="s">
        <v>944</v>
      </c>
    </row>
    <row r="6142" spans="1:22" hidden="1" x14ac:dyDescent="0.25">
      <c r="A6142" s="266">
        <v>43755</v>
      </c>
      <c r="B6142" s="267">
        <v>2019</v>
      </c>
      <c r="C6142" s="267">
        <v>2020</v>
      </c>
      <c r="D6142" s="267">
        <v>1</v>
      </c>
      <c r="E6142" s="267">
        <v>1</v>
      </c>
      <c r="F6142" s="267" t="s">
        <v>944</v>
      </c>
      <c r="G6142" s="267" t="s">
        <v>3926</v>
      </c>
      <c r="H6142" s="267" t="s">
        <v>10875</v>
      </c>
      <c r="I6142" s="267" t="s">
        <v>3949</v>
      </c>
      <c r="J6142" s="267" t="s">
        <v>3928</v>
      </c>
      <c r="K6142" s="267">
        <v>6437</v>
      </c>
      <c r="L6142" s="267">
        <v>190301</v>
      </c>
      <c r="M6142" s="267" t="s">
        <v>3943</v>
      </c>
      <c r="N6142" s="267" t="s">
        <v>3944</v>
      </c>
      <c r="O6142" s="267">
        <v>4518</v>
      </c>
      <c r="P6142" s="267" t="s">
        <v>3944</v>
      </c>
      <c r="Q6142" s="267" t="s">
        <v>3944</v>
      </c>
      <c r="R6142" s="267">
        <v>4518</v>
      </c>
      <c r="S6142" s="267">
        <v>29292</v>
      </c>
      <c r="T6142" s="267">
        <v>33810</v>
      </c>
      <c r="U6142" s="268" t="s">
        <v>3945</v>
      </c>
      <c r="V6142" s="267" t="s">
        <v>944</v>
      </c>
    </row>
    <row r="6143" spans="1:22" hidden="1" x14ac:dyDescent="0.25">
      <c r="A6143" s="269">
        <v>43755</v>
      </c>
      <c r="B6143" s="270">
        <v>2019</v>
      </c>
      <c r="C6143" s="270">
        <v>2020</v>
      </c>
      <c r="D6143" s="270">
        <v>1</v>
      </c>
      <c r="E6143" s="270">
        <v>1</v>
      </c>
      <c r="F6143" s="270" t="s">
        <v>944</v>
      </c>
      <c r="G6143" s="270" t="s">
        <v>3926</v>
      </c>
      <c r="H6143" s="270" t="s">
        <v>10876</v>
      </c>
      <c r="I6143" s="270" t="s">
        <v>3962</v>
      </c>
      <c r="J6143" s="270" t="s">
        <v>3928</v>
      </c>
      <c r="K6143" s="270">
        <v>6378</v>
      </c>
      <c r="L6143" s="270">
        <v>705400</v>
      </c>
      <c r="M6143" s="270" t="s">
        <v>3943</v>
      </c>
      <c r="N6143" s="270" t="s">
        <v>3944</v>
      </c>
      <c r="O6143" s="270">
        <v>7102</v>
      </c>
      <c r="P6143" s="270" t="s">
        <v>3944</v>
      </c>
      <c r="Q6143" s="270" t="s">
        <v>3944</v>
      </c>
      <c r="R6143" s="270">
        <v>7102</v>
      </c>
      <c r="S6143" s="270">
        <v>51867</v>
      </c>
      <c r="T6143" s="270">
        <v>58969</v>
      </c>
      <c r="U6143" s="271" t="s">
        <v>3945</v>
      </c>
      <c r="V6143" s="267" t="s">
        <v>944</v>
      </c>
    </row>
    <row r="6144" spans="1:22" hidden="1" x14ac:dyDescent="0.25">
      <c r="A6144" s="266">
        <v>43755</v>
      </c>
      <c r="B6144" s="267">
        <v>2019</v>
      </c>
      <c r="C6144" s="267">
        <v>2020</v>
      </c>
      <c r="D6144" s="267">
        <v>1</v>
      </c>
      <c r="E6144" s="267">
        <v>1</v>
      </c>
      <c r="F6144" s="267" t="s">
        <v>944</v>
      </c>
      <c r="G6144" s="267" t="s">
        <v>3926</v>
      </c>
      <c r="H6144" s="267" t="s">
        <v>10877</v>
      </c>
      <c r="I6144" s="267" t="s">
        <v>4213</v>
      </c>
      <c r="J6144" s="267" t="s">
        <v>3928</v>
      </c>
      <c r="K6144" s="267">
        <v>6052</v>
      </c>
      <c r="L6144" s="267">
        <v>415800</v>
      </c>
      <c r="M6144" s="267">
        <v>-60</v>
      </c>
      <c r="N6144" s="267" t="s">
        <v>3944</v>
      </c>
      <c r="O6144" s="267">
        <v>6493</v>
      </c>
      <c r="P6144" s="267" t="s">
        <v>3944</v>
      </c>
      <c r="Q6144" s="267" t="s">
        <v>3944</v>
      </c>
      <c r="R6144" s="267">
        <v>6493</v>
      </c>
      <c r="S6144" s="267">
        <v>67987</v>
      </c>
      <c r="T6144" s="267">
        <v>74480</v>
      </c>
      <c r="U6144" s="268" t="s">
        <v>3945</v>
      </c>
      <c r="V6144" s="267" t="s">
        <v>944</v>
      </c>
    </row>
    <row r="6145" spans="1:22" hidden="1" x14ac:dyDescent="0.25">
      <c r="A6145" s="269">
        <v>43755</v>
      </c>
      <c r="B6145" s="270">
        <v>2019</v>
      </c>
      <c r="C6145" s="270">
        <v>2020</v>
      </c>
      <c r="D6145" s="270">
        <v>1</v>
      </c>
      <c r="E6145" s="270">
        <v>1</v>
      </c>
      <c r="F6145" s="270" t="s">
        <v>944</v>
      </c>
      <c r="G6145" s="270" t="s">
        <v>3926</v>
      </c>
      <c r="H6145" s="270" t="s">
        <v>10878</v>
      </c>
      <c r="I6145" s="270" t="s">
        <v>4168</v>
      </c>
      <c r="J6145" s="270" t="s">
        <v>3928</v>
      </c>
      <c r="K6145" s="270">
        <v>6475</v>
      </c>
      <c r="L6145" s="270">
        <v>670200</v>
      </c>
      <c r="M6145" s="270" t="s">
        <v>3935</v>
      </c>
      <c r="N6145" s="270" t="s">
        <v>3944</v>
      </c>
      <c r="O6145" s="270">
        <v>5637</v>
      </c>
      <c r="P6145" s="270" t="s">
        <v>3944</v>
      </c>
      <c r="Q6145" s="270" t="s">
        <v>3944</v>
      </c>
      <c r="R6145" s="270">
        <v>5637</v>
      </c>
      <c r="S6145" s="270">
        <v>20251</v>
      </c>
      <c r="T6145" s="270">
        <v>25888</v>
      </c>
      <c r="U6145" s="271" t="s">
        <v>3945</v>
      </c>
      <c r="V6145" s="267" t="s">
        <v>944</v>
      </c>
    </row>
    <row r="6146" spans="1:22" hidden="1" x14ac:dyDescent="0.25">
      <c r="A6146" s="266">
        <v>43755</v>
      </c>
      <c r="B6146" s="267">
        <v>2019</v>
      </c>
      <c r="C6146" s="267">
        <v>2020</v>
      </c>
      <c r="D6146" s="267">
        <v>1</v>
      </c>
      <c r="E6146" s="267">
        <v>1</v>
      </c>
      <c r="F6146" s="267" t="s">
        <v>944</v>
      </c>
      <c r="G6146" s="267" t="s">
        <v>3926</v>
      </c>
      <c r="H6146" s="267" t="s">
        <v>10879</v>
      </c>
      <c r="I6146" s="267" t="s">
        <v>4037</v>
      </c>
      <c r="J6146" s="267" t="s">
        <v>3928</v>
      </c>
      <c r="K6146" s="267">
        <v>6811</v>
      </c>
      <c r="L6146" s="267">
        <v>211400</v>
      </c>
      <c r="M6146" s="267" t="s">
        <v>3935</v>
      </c>
      <c r="N6146" s="267" t="s">
        <v>3944</v>
      </c>
      <c r="O6146" s="267">
        <v>3862</v>
      </c>
      <c r="P6146" s="267" t="s">
        <v>3944</v>
      </c>
      <c r="Q6146" s="267" t="s">
        <v>3944</v>
      </c>
      <c r="R6146" s="267">
        <v>3862</v>
      </c>
      <c r="S6146" s="267">
        <v>24698.36</v>
      </c>
      <c r="T6146" s="267">
        <v>28560.36</v>
      </c>
      <c r="U6146" s="268" t="s">
        <v>3945</v>
      </c>
      <c r="V6146" s="267" t="s">
        <v>944</v>
      </c>
    </row>
    <row r="6147" spans="1:22" hidden="1" x14ac:dyDescent="0.25">
      <c r="A6147" s="269">
        <v>43755</v>
      </c>
      <c r="B6147" s="270">
        <v>2019</v>
      </c>
      <c r="C6147" s="270">
        <v>2020</v>
      </c>
      <c r="D6147" s="270">
        <v>1</v>
      </c>
      <c r="E6147" s="270">
        <v>1</v>
      </c>
      <c r="F6147" s="270" t="s">
        <v>944</v>
      </c>
      <c r="G6147" s="270" t="s">
        <v>3926</v>
      </c>
      <c r="H6147" s="270" t="s">
        <v>10880</v>
      </c>
      <c r="I6147" s="270" t="s">
        <v>6268</v>
      </c>
      <c r="J6147" s="270" t="s">
        <v>3928</v>
      </c>
      <c r="K6147" s="270">
        <v>6371</v>
      </c>
      <c r="L6147" s="270">
        <v>660101</v>
      </c>
      <c r="M6147" s="270" t="s">
        <v>3960</v>
      </c>
      <c r="N6147" s="270" t="s">
        <v>3944</v>
      </c>
      <c r="O6147" s="270">
        <v>3455</v>
      </c>
      <c r="P6147" s="270" t="s">
        <v>3944</v>
      </c>
      <c r="Q6147" s="270" t="s">
        <v>3944</v>
      </c>
      <c r="R6147" s="270">
        <v>3455</v>
      </c>
      <c r="S6147" s="270">
        <v>24753</v>
      </c>
      <c r="T6147" s="270">
        <v>28208</v>
      </c>
      <c r="U6147" s="271" t="s">
        <v>3945</v>
      </c>
      <c r="V6147" s="267" t="s">
        <v>944</v>
      </c>
    </row>
    <row r="6148" spans="1:22" hidden="1" x14ac:dyDescent="0.25">
      <c r="A6148" s="266">
        <v>43755</v>
      </c>
      <c r="B6148" s="267">
        <v>2019</v>
      </c>
      <c r="C6148" s="267">
        <v>2020</v>
      </c>
      <c r="D6148" s="267">
        <v>1</v>
      </c>
      <c r="E6148" s="267">
        <v>1</v>
      </c>
      <c r="F6148" s="267" t="s">
        <v>944</v>
      </c>
      <c r="G6148" s="267" t="s">
        <v>3926</v>
      </c>
      <c r="H6148" s="267" t="s">
        <v>10881</v>
      </c>
      <c r="I6148" s="267" t="s">
        <v>3996</v>
      </c>
      <c r="J6148" s="267" t="s">
        <v>3928</v>
      </c>
      <c r="K6148" s="267">
        <v>6790</v>
      </c>
      <c r="L6148" s="267">
        <v>310801</v>
      </c>
      <c r="M6148" s="267" t="s">
        <v>3940</v>
      </c>
      <c r="N6148" s="267" t="s">
        <v>3944</v>
      </c>
      <c r="O6148" s="267">
        <v>2031.23</v>
      </c>
      <c r="P6148" s="267" t="s">
        <v>3944</v>
      </c>
      <c r="Q6148" s="267" t="s">
        <v>3944</v>
      </c>
      <c r="R6148" s="267">
        <v>2031.23</v>
      </c>
      <c r="S6148" s="267">
        <v>25625.34</v>
      </c>
      <c r="T6148" s="267">
        <v>27656.57</v>
      </c>
      <c r="U6148" s="268" t="s">
        <v>3945</v>
      </c>
      <c r="V6148" s="267" t="s">
        <v>944</v>
      </c>
    </row>
    <row r="6149" spans="1:22" hidden="1" x14ac:dyDescent="0.25">
      <c r="A6149" s="269">
        <v>43755</v>
      </c>
      <c r="B6149" s="270">
        <v>2019</v>
      </c>
      <c r="C6149" s="270">
        <v>2020</v>
      </c>
      <c r="D6149" s="270">
        <v>1</v>
      </c>
      <c r="E6149" s="270">
        <v>1</v>
      </c>
      <c r="F6149" s="270" t="s">
        <v>944</v>
      </c>
      <c r="G6149" s="270" t="s">
        <v>3926</v>
      </c>
      <c r="H6149" s="270" t="s">
        <v>10882</v>
      </c>
      <c r="I6149" s="270" t="s">
        <v>6268</v>
      </c>
      <c r="J6149" s="270" t="s">
        <v>3928</v>
      </c>
      <c r="K6149" s="270">
        <v>6371</v>
      </c>
      <c r="L6149" s="270">
        <v>660101</v>
      </c>
      <c r="M6149" s="270" t="s">
        <v>3960</v>
      </c>
      <c r="N6149" s="270" t="s">
        <v>3944</v>
      </c>
      <c r="O6149" s="270">
        <v>1611.68</v>
      </c>
      <c r="P6149" s="270" t="s">
        <v>3944</v>
      </c>
      <c r="Q6149" s="270" t="s">
        <v>3944</v>
      </c>
      <c r="R6149" s="270">
        <v>1611.68</v>
      </c>
      <c r="S6149" s="270">
        <v>21880.87</v>
      </c>
      <c r="T6149" s="270">
        <v>23492.55</v>
      </c>
      <c r="U6149" s="271" t="s">
        <v>3945</v>
      </c>
      <c r="V6149" s="267" t="s">
        <v>944</v>
      </c>
    </row>
    <row r="6150" spans="1:22" hidden="1" x14ac:dyDescent="0.25">
      <c r="A6150" s="266">
        <v>43755</v>
      </c>
      <c r="B6150" s="267">
        <v>2019</v>
      </c>
      <c r="C6150" s="267">
        <v>2020</v>
      </c>
      <c r="D6150" s="267">
        <v>1</v>
      </c>
      <c r="E6150" s="267">
        <v>1</v>
      </c>
      <c r="F6150" s="267" t="s">
        <v>944</v>
      </c>
      <c r="G6150" s="267" t="s">
        <v>3926</v>
      </c>
      <c r="H6150" s="267" t="s">
        <v>10883</v>
      </c>
      <c r="I6150" s="267" t="s">
        <v>3996</v>
      </c>
      <c r="J6150" s="267" t="s">
        <v>3928</v>
      </c>
      <c r="K6150" s="267">
        <v>6790</v>
      </c>
      <c r="L6150" s="267">
        <v>310100</v>
      </c>
      <c r="M6150" s="267" t="s">
        <v>3940</v>
      </c>
      <c r="N6150" s="267" t="s">
        <v>3944</v>
      </c>
      <c r="O6150" s="267">
        <v>951.97</v>
      </c>
      <c r="P6150" s="267" t="s">
        <v>3944</v>
      </c>
      <c r="Q6150" s="267" t="s">
        <v>3944</v>
      </c>
      <c r="R6150" s="267">
        <v>951.97</v>
      </c>
      <c r="S6150" s="267">
        <v>12807.39</v>
      </c>
      <c r="T6150" s="267">
        <v>13759.36</v>
      </c>
      <c r="U6150" s="268" t="s">
        <v>3945</v>
      </c>
      <c r="V6150" s="267" t="s">
        <v>944</v>
      </c>
    </row>
    <row r="6151" spans="1:22" hidden="1" x14ac:dyDescent="0.25">
      <c r="A6151" s="269">
        <v>43755</v>
      </c>
      <c r="B6151" s="270">
        <v>2019</v>
      </c>
      <c r="C6151" s="270">
        <v>2020</v>
      </c>
      <c r="D6151" s="270">
        <v>1</v>
      </c>
      <c r="E6151" s="270">
        <v>1</v>
      </c>
      <c r="F6151" s="270" t="s">
        <v>944</v>
      </c>
      <c r="G6151" s="270" t="s">
        <v>3926</v>
      </c>
      <c r="H6151" s="270" t="s">
        <v>10884</v>
      </c>
      <c r="I6151" s="270" t="s">
        <v>4239</v>
      </c>
      <c r="J6151" s="270" t="s">
        <v>3928</v>
      </c>
      <c r="K6151" s="270">
        <v>6085</v>
      </c>
      <c r="L6151" s="270">
        <v>460302</v>
      </c>
      <c r="M6151" s="270" t="s">
        <v>3960</v>
      </c>
      <c r="N6151" s="270" t="s">
        <v>3944</v>
      </c>
      <c r="O6151" s="270">
        <v>1133.2</v>
      </c>
      <c r="P6151" s="270" t="s">
        <v>3944</v>
      </c>
      <c r="Q6151" s="270" t="s">
        <v>3944</v>
      </c>
      <c r="R6151" s="270">
        <v>1133.2</v>
      </c>
      <c r="S6151" s="270">
        <v>19386.04</v>
      </c>
      <c r="T6151" s="270">
        <v>20519.240000000002</v>
      </c>
      <c r="U6151" s="271" t="s">
        <v>3945</v>
      </c>
      <c r="V6151" s="267" t="s">
        <v>944</v>
      </c>
    </row>
    <row r="6152" spans="1:22" hidden="1" x14ac:dyDescent="0.25">
      <c r="A6152" s="266">
        <v>43755</v>
      </c>
      <c r="B6152" s="267">
        <v>2019</v>
      </c>
      <c r="C6152" s="267">
        <v>2020</v>
      </c>
      <c r="D6152" s="267">
        <v>1</v>
      </c>
      <c r="E6152" s="267">
        <v>1</v>
      </c>
      <c r="F6152" s="267" t="s">
        <v>944</v>
      </c>
      <c r="G6152" s="267" t="s">
        <v>3926</v>
      </c>
      <c r="H6152" s="267" t="s">
        <v>10885</v>
      </c>
      <c r="I6152" s="267" t="s">
        <v>3999</v>
      </c>
      <c r="J6152" s="267" t="s">
        <v>3928</v>
      </c>
      <c r="K6152" s="267">
        <v>6450</v>
      </c>
      <c r="L6152" s="267">
        <v>171200</v>
      </c>
      <c r="M6152" s="267" t="s">
        <v>3960</v>
      </c>
      <c r="N6152" s="267" t="s">
        <v>3944</v>
      </c>
      <c r="O6152" s="267">
        <v>1650.04</v>
      </c>
      <c r="P6152" s="267" t="s">
        <v>3944</v>
      </c>
      <c r="Q6152" s="267" t="s">
        <v>3944</v>
      </c>
      <c r="R6152" s="267">
        <v>1650.04</v>
      </c>
      <c r="S6152" s="267">
        <v>19955.21</v>
      </c>
      <c r="T6152" s="267">
        <v>21605.25</v>
      </c>
      <c r="U6152" s="268" t="s">
        <v>3945</v>
      </c>
      <c r="V6152" s="267" t="s">
        <v>944</v>
      </c>
    </row>
    <row r="6153" spans="1:22" hidden="1" x14ac:dyDescent="0.25">
      <c r="A6153" s="269">
        <v>43755</v>
      </c>
      <c r="B6153" s="270">
        <v>2019</v>
      </c>
      <c r="C6153" s="270">
        <v>2020</v>
      </c>
      <c r="D6153" s="270">
        <v>1</v>
      </c>
      <c r="E6153" s="270">
        <v>1</v>
      </c>
      <c r="F6153" s="270" t="s">
        <v>944</v>
      </c>
      <c r="G6153" s="270" t="s">
        <v>3926</v>
      </c>
      <c r="H6153" s="270" t="s">
        <v>10886</v>
      </c>
      <c r="I6153" s="270" t="s">
        <v>3999</v>
      </c>
      <c r="J6153" s="270" t="s">
        <v>3928</v>
      </c>
      <c r="K6153" s="270">
        <v>6450</v>
      </c>
      <c r="L6153" s="270">
        <v>171100</v>
      </c>
      <c r="M6153" s="270" t="s">
        <v>3940</v>
      </c>
      <c r="N6153" s="270" t="s">
        <v>3944</v>
      </c>
      <c r="O6153" s="270">
        <v>1138.6199999999999</v>
      </c>
      <c r="P6153" s="270" t="s">
        <v>3944</v>
      </c>
      <c r="Q6153" s="270" t="s">
        <v>3944</v>
      </c>
      <c r="R6153" s="270">
        <v>1138.6199999999999</v>
      </c>
      <c r="S6153" s="270">
        <v>16072.98</v>
      </c>
      <c r="T6153" s="270">
        <v>17211.599999999999</v>
      </c>
      <c r="U6153" s="271" t="s">
        <v>3945</v>
      </c>
      <c r="V6153" s="267" t="s">
        <v>944</v>
      </c>
    </row>
    <row r="6154" spans="1:22" hidden="1" x14ac:dyDescent="0.25">
      <c r="A6154" s="266">
        <v>43755</v>
      </c>
      <c r="B6154" s="267">
        <v>2019</v>
      </c>
      <c r="C6154" s="267">
        <v>2020</v>
      </c>
      <c r="D6154" s="267">
        <v>1</v>
      </c>
      <c r="E6154" s="267">
        <v>1</v>
      </c>
      <c r="F6154" s="267" t="s">
        <v>944</v>
      </c>
      <c r="G6154" s="267" t="s">
        <v>3926</v>
      </c>
      <c r="H6154" s="267" t="s">
        <v>10887</v>
      </c>
      <c r="I6154" s="267" t="s">
        <v>3999</v>
      </c>
      <c r="J6154" s="267" t="s">
        <v>3928</v>
      </c>
      <c r="K6154" s="267">
        <v>6450</v>
      </c>
      <c r="L6154" s="267">
        <v>171700</v>
      </c>
      <c r="M6154" s="267" t="s">
        <v>3935</v>
      </c>
      <c r="N6154" s="267" t="s">
        <v>3944</v>
      </c>
      <c r="O6154" s="267">
        <v>1920.28</v>
      </c>
      <c r="P6154" s="267" t="s">
        <v>3944</v>
      </c>
      <c r="Q6154" s="267" t="s">
        <v>3944</v>
      </c>
      <c r="R6154" s="267">
        <v>1920.28</v>
      </c>
      <c r="S6154" s="267">
        <v>24894.85</v>
      </c>
      <c r="T6154" s="267">
        <v>26815.13</v>
      </c>
      <c r="U6154" s="268" t="s">
        <v>3945</v>
      </c>
      <c r="V6154" s="267" t="s">
        <v>944</v>
      </c>
    </row>
    <row r="6155" spans="1:22" hidden="1" x14ac:dyDescent="0.25">
      <c r="A6155" s="269">
        <v>43755</v>
      </c>
      <c r="B6155" s="270">
        <v>2019</v>
      </c>
      <c r="C6155" s="270">
        <v>2020</v>
      </c>
      <c r="D6155" s="270">
        <v>1</v>
      </c>
      <c r="E6155" s="270">
        <v>1</v>
      </c>
      <c r="F6155" s="270" t="s">
        <v>944</v>
      </c>
      <c r="G6155" s="270" t="s">
        <v>3926</v>
      </c>
      <c r="H6155" s="270" t="s">
        <v>10888</v>
      </c>
      <c r="I6155" s="270" t="s">
        <v>7934</v>
      </c>
      <c r="J6155" s="270" t="s">
        <v>3928</v>
      </c>
      <c r="K6155" s="270">
        <v>6098</v>
      </c>
      <c r="L6155" s="270">
        <v>320200</v>
      </c>
      <c r="M6155" s="270" t="s">
        <v>3935</v>
      </c>
      <c r="N6155" s="270" t="s">
        <v>3944</v>
      </c>
      <c r="O6155" s="270">
        <v>1645.07</v>
      </c>
      <c r="P6155" s="270" t="s">
        <v>3944</v>
      </c>
      <c r="Q6155" s="270" t="s">
        <v>3944</v>
      </c>
      <c r="R6155" s="270">
        <v>1645.07</v>
      </c>
      <c r="S6155" s="270">
        <v>19984.54</v>
      </c>
      <c r="T6155" s="270">
        <v>21629.61</v>
      </c>
      <c r="U6155" s="271" t="s">
        <v>3945</v>
      </c>
      <c r="V6155" s="267" t="s">
        <v>944</v>
      </c>
    </row>
    <row r="6156" spans="1:22" hidden="1" x14ac:dyDescent="0.25">
      <c r="A6156" s="266">
        <v>43755</v>
      </c>
      <c r="B6156" s="267">
        <v>2019</v>
      </c>
      <c r="C6156" s="267">
        <v>2020</v>
      </c>
      <c r="D6156" s="267">
        <v>1</v>
      </c>
      <c r="E6156" s="267">
        <v>1</v>
      </c>
      <c r="F6156" s="267" t="s">
        <v>944</v>
      </c>
      <c r="G6156" s="267" t="s">
        <v>3926</v>
      </c>
      <c r="H6156" s="267" t="s">
        <v>10889</v>
      </c>
      <c r="I6156" s="267" t="s">
        <v>4019</v>
      </c>
      <c r="J6156" s="267" t="s">
        <v>3928</v>
      </c>
      <c r="K6156" s="267">
        <v>6704</v>
      </c>
      <c r="L6156" s="267">
        <v>352400</v>
      </c>
      <c r="M6156" s="267">
        <v>-60</v>
      </c>
      <c r="N6156" s="267" t="s">
        <v>3944</v>
      </c>
      <c r="O6156" s="267">
        <v>2443.5300000000002</v>
      </c>
      <c r="P6156" s="267" t="s">
        <v>3944</v>
      </c>
      <c r="Q6156" s="267" t="s">
        <v>3944</v>
      </c>
      <c r="R6156" s="267">
        <v>2443.5300000000002</v>
      </c>
      <c r="S6156" s="267">
        <v>31256.57</v>
      </c>
      <c r="T6156" s="267">
        <v>33700.1</v>
      </c>
      <c r="U6156" s="268" t="s">
        <v>3945</v>
      </c>
      <c r="V6156" s="267" t="s">
        <v>944</v>
      </c>
    </row>
    <row r="6157" spans="1:22" x14ac:dyDescent="0.25">
      <c r="A6157" s="269">
        <v>43755</v>
      </c>
      <c r="B6157" s="270">
        <v>2019</v>
      </c>
      <c r="C6157" s="270">
        <v>2020</v>
      </c>
      <c r="D6157" s="270">
        <v>1</v>
      </c>
      <c r="E6157" s="270">
        <v>1</v>
      </c>
      <c r="F6157" s="270" t="s">
        <v>944</v>
      </c>
      <c r="G6157" s="270" t="s">
        <v>3926</v>
      </c>
      <c r="H6157" s="270" t="s">
        <v>10890</v>
      </c>
      <c r="I6157" s="270" t="s">
        <v>943</v>
      </c>
      <c r="J6157" s="270" t="s">
        <v>3928</v>
      </c>
      <c r="K6157" s="270">
        <v>6513</v>
      </c>
      <c r="L6157" s="270">
        <v>142300</v>
      </c>
      <c r="M6157" s="270">
        <v>-60</v>
      </c>
      <c r="N6157" s="270" t="s">
        <v>3944</v>
      </c>
      <c r="O6157" s="270">
        <v>967.93</v>
      </c>
      <c r="P6157" s="270" t="s">
        <v>3944</v>
      </c>
      <c r="Q6157" s="270" t="s">
        <v>3944</v>
      </c>
      <c r="R6157" s="270">
        <v>967.93</v>
      </c>
      <c r="S6157" s="270">
        <v>20329.27</v>
      </c>
      <c r="T6157" s="270">
        <v>21297.200000000001</v>
      </c>
      <c r="U6157" s="271" t="s">
        <v>3945</v>
      </c>
      <c r="V6157" s="276" t="s">
        <v>936</v>
      </c>
    </row>
    <row r="6158" spans="1:22" hidden="1" x14ac:dyDescent="0.25">
      <c r="A6158" s="266">
        <v>43755</v>
      </c>
      <c r="B6158" s="267">
        <v>2019</v>
      </c>
      <c r="C6158" s="267">
        <v>2020</v>
      </c>
      <c r="D6158" s="267">
        <v>1</v>
      </c>
      <c r="E6158" s="267">
        <v>1</v>
      </c>
      <c r="F6158" s="267" t="s">
        <v>944</v>
      </c>
      <c r="G6158" s="267" t="s">
        <v>3926</v>
      </c>
      <c r="H6158" s="267" t="s">
        <v>10891</v>
      </c>
      <c r="I6158" s="267" t="s">
        <v>4392</v>
      </c>
      <c r="J6158" s="267" t="s">
        <v>3928</v>
      </c>
      <c r="K6158" s="267">
        <v>6457</v>
      </c>
      <c r="L6158" s="267">
        <v>541300</v>
      </c>
      <c r="M6158" s="267" t="s">
        <v>3940</v>
      </c>
      <c r="N6158" s="267" t="s">
        <v>3944</v>
      </c>
      <c r="O6158" s="267">
        <v>2171.44</v>
      </c>
      <c r="P6158" s="267" t="s">
        <v>3944</v>
      </c>
      <c r="Q6158" s="267" t="s">
        <v>3944</v>
      </c>
      <c r="R6158" s="267">
        <v>2171.44</v>
      </c>
      <c r="S6158" s="267">
        <v>27083.18</v>
      </c>
      <c r="T6158" s="267">
        <v>29254.62</v>
      </c>
      <c r="U6158" s="268" t="s">
        <v>3945</v>
      </c>
      <c r="V6158" s="267" t="s">
        <v>944</v>
      </c>
    </row>
    <row r="6159" spans="1:22" hidden="1" x14ac:dyDescent="0.25">
      <c r="A6159" s="269">
        <v>43755</v>
      </c>
      <c r="B6159" s="270">
        <v>2019</v>
      </c>
      <c r="C6159" s="270">
        <v>2020</v>
      </c>
      <c r="D6159" s="270">
        <v>1</v>
      </c>
      <c r="E6159" s="270">
        <v>1</v>
      </c>
      <c r="F6159" s="270" t="s">
        <v>944</v>
      </c>
      <c r="G6159" s="270" t="s">
        <v>3926</v>
      </c>
      <c r="H6159" s="270" t="s">
        <v>10892</v>
      </c>
      <c r="I6159" s="270" t="s">
        <v>934</v>
      </c>
      <c r="J6159" s="270" t="s">
        <v>3928</v>
      </c>
      <c r="K6159" s="270">
        <v>6606</v>
      </c>
      <c r="L6159" s="270">
        <v>72800</v>
      </c>
      <c r="M6159" s="270" t="s">
        <v>3940</v>
      </c>
      <c r="N6159" s="270" t="s">
        <v>3944</v>
      </c>
      <c r="O6159" s="270">
        <v>1201.6600000000001</v>
      </c>
      <c r="P6159" s="270" t="s">
        <v>3944</v>
      </c>
      <c r="Q6159" s="270" t="s">
        <v>3944</v>
      </c>
      <c r="R6159" s="270">
        <v>1201.6600000000001</v>
      </c>
      <c r="S6159" s="270">
        <v>17495.27</v>
      </c>
      <c r="T6159" s="270">
        <v>18696.93</v>
      </c>
      <c r="U6159" s="271" t="s">
        <v>3945</v>
      </c>
      <c r="V6159" s="267" t="s">
        <v>944</v>
      </c>
    </row>
    <row r="6160" spans="1:22" hidden="1" x14ac:dyDescent="0.25">
      <c r="A6160" s="266">
        <v>43755</v>
      </c>
      <c r="B6160" s="267">
        <v>2019</v>
      </c>
      <c r="C6160" s="267">
        <v>2020</v>
      </c>
      <c r="D6160" s="267">
        <v>1</v>
      </c>
      <c r="E6160" s="267">
        <v>1</v>
      </c>
      <c r="F6160" s="267" t="s">
        <v>944</v>
      </c>
      <c r="G6160" s="267" t="s">
        <v>3926</v>
      </c>
      <c r="H6160" s="267" t="s">
        <v>10893</v>
      </c>
      <c r="I6160" s="267" t="s">
        <v>4019</v>
      </c>
      <c r="J6160" s="267" t="s">
        <v>3928</v>
      </c>
      <c r="K6160" s="267">
        <v>6704</v>
      </c>
      <c r="L6160" s="267">
        <v>351000</v>
      </c>
      <c r="M6160" s="267" t="s">
        <v>3940</v>
      </c>
      <c r="N6160" s="267" t="s">
        <v>3944</v>
      </c>
      <c r="O6160" s="267">
        <v>1480.82</v>
      </c>
      <c r="P6160" s="267" t="s">
        <v>3944</v>
      </c>
      <c r="Q6160" s="267" t="s">
        <v>3944</v>
      </c>
      <c r="R6160" s="267">
        <v>1480.82</v>
      </c>
      <c r="S6160" s="267">
        <v>17828.14</v>
      </c>
      <c r="T6160" s="267">
        <v>19308.96</v>
      </c>
      <c r="U6160" s="268" t="s">
        <v>3945</v>
      </c>
      <c r="V6160" s="267" t="s">
        <v>944</v>
      </c>
    </row>
    <row r="6161" spans="1:22" hidden="1" x14ac:dyDescent="0.25">
      <c r="A6161" s="269">
        <v>43755</v>
      </c>
      <c r="B6161" s="270">
        <v>2019</v>
      </c>
      <c r="C6161" s="270">
        <v>2020</v>
      </c>
      <c r="D6161" s="270">
        <v>1</v>
      </c>
      <c r="E6161" s="270">
        <v>1</v>
      </c>
      <c r="F6161" s="270" t="s">
        <v>944</v>
      </c>
      <c r="G6161" s="270" t="s">
        <v>3926</v>
      </c>
      <c r="H6161" s="270" t="s">
        <v>10894</v>
      </c>
      <c r="I6161" s="270" t="s">
        <v>4353</v>
      </c>
      <c r="J6161" s="270" t="s">
        <v>3928</v>
      </c>
      <c r="K6161" s="270">
        <v>6416</v>
      </c>
      <c r="L6161" s="270">
        <v>570300</v>
      </c>
      <c r="M6161" s="270" t="s">
        <v>3940</v>
      </c>
      <c r="N6161" s="270" t="s">
        <v>3944</v>
      </c>
      <c r="O6161" s="270">
        <v>1348.27</v>
      </c>
      <c r="P6161" s="270" t="s">
        <v>3944</v>
      </c>
      <c r="Q6161" s="270" t="s">
        <v>3944</v>
      </c>
      <c r="R6161" s="270">
        <v>1348.27</v>
      </c>
      <c r="S6161" s="270">
        <v>16526.189999999999</v>
      </c>
      <c r="T6161" s="270">
        <v>17874.46</v>
      </c>
      <c r="U6161" s="271" t="s">
        <v>3945</v>
      </c>
      <c r="V6161" s="267" t="s">
        <v>944</v>
      </c>
    </row>
    <row r="6162" spans="1:22" hidden="1" x14ac:dyDescent="0.25">
      <c r="A6162" s="266">
        <v>43755</v>
      </c>
      <c r="B6162" s="267">
        <v>2019</v>
      </c>
      <c r="C6162" s="267">
        <v>2020</v>
      </c>
      <c r="D6162" s="267">
        <v>1</v>
      </c>
      <c r="E6162" s="267">
        <v>1</v>
      </c>
      <c r="F6162" s="267" t="s">
        <v>944</v>
      </c>
      <c r="G6162" s="267" t="s">
        <v>3926</v>
      </c>
      <c r="H6162" s="267" t="s">
        <v>10895</v>
      </c>
      <c r="I6162" s="267" t="s">
        <v>4005</v>
      </c>
      <c r="J6162" s="267" t="s">
        <v>3928</v>
      </c>
      <c r="K6162" s="267">
        <v>6118</v>
      </c>
      <c r="L6162" s="267">
        <v>510900</v>
      </c>
      <c r="M6162" s="267" t="s">
        <v>3960</v>
      </c>
      <c r="N6162" s="267" t="s">
        <v>3944</v>
      </c>
      <c r="O6162" s="267">
        <v>648.73</v>
      </c>
      <c r="P6162" s="267" t="s">
        <v>3944</v>
      </c>
      <c r="Q6162" s="267" t="s">
        <v>3944</v>
      </c>
      <c r="R6162" s="267">
        <v>648.73</v>
      </c>
      <c r="S6162" s="267">
        <v>9345.93</v>
      </c>
      <c r="T6162" s="267">
        <v>9994.66</v>
      </c>
      <c r="U6162" s="268" t="s">
        <v>3945</v>
      </c>
      <c r="V6162" s="267" t="s">
        <v>944</v>
      </c>
    </row>
    <row r="6163" spans="1:22" hidden="1" x14ac:dyDescent="0.25">
      <c r="A6163" s="269">
        <v>43755</v>
      </c>
      <c r="B6163" s="270">
        <v>2019</v>
      </c>
      <c r="C6163" s="270">
        <v>2020</v>
      </c>
      <c r="D6163" s="270">
        <v>1</v>
      </c>
      <c r="E6163" s="270">
        <v>1</v>
      </c>
      <c r="F6163" s="270" t="s">
        <v>944</v>
      </c>
      <c r="G6163" s="270" t="s">
        <v>3926</v>
      </c>
      <c r="H6163" s="270" t="s">
        <v>10896</v>
      </c>
      <c r="I6163" s="270" t="s">
        <v>4172</v>
      </c>
      <c r="J6163" s="270" t="s">
        <v>3928</v>
      </c>
      <c r="K6163" s="270">
        <v>6786</v>
      </c>
      <c r="L6163" s="270">
        <v>425300</v>
      </c>
      <c r="M6163" s="270" t="s">
        <v>3960</v>
      </c>
      <c r="N6163" s="270" t="s">
        <v>3944</v>
      </c>
      <c r="O6163" s="270">
        <v>1659.18</v>
      </c>
      <c r="P6163" s="270" t="s">
        <v>3944</v>
      </c>
      <c r="Q6163" s="270" t="s">
        <v>3944</v>
      </c>
      <c r="R6163" s="270">
        <v>1659.18</v>
      </c>
      <c r="S6163" s="270">
        <v>29840.82</v>
      </c>
      <c r="T6163" s="270">
        <v>31500</v>
      </c>
      <c r="U6163" s="271" t="s">
        <v>3945</v>
      </c>
      <c r="V6163" s="267" t="s">
        <v>944</v>
      </c>
    </row>
    <row r="6164" spans="1:22" hidden="1" x14ac:dyDescent="0.25">
      <c r="A6164" s="266">
        <v>43755</v>
      </c>
      <c r="B6164" s="267">
        <v>2019</v>
      </c>
      <c r="C6164" s="267">
        <v>2020</v>
      </c>
      <c r="D6164" s="267">
        <v>1</v>
      </c>
      <c r="E6164" s="267">
        <v>1</v>
      </c>
      <c r="F6164" s="267" t="s">
        <v>944</v>
      </c>
      <c r="G6164" s="267" t="s">
        <v>3926</v>
      </c>
      <c r="H6164" s="267" t="s">
        <v>10897</v>
      </c>
      <c r="I6164" s="267" t="s">
        <v>4005</v>
      </c>
      <c r="J6164" s="267" t="s">
        <v>3928</v>
      </c>
      <c r="K6164" s="267">
        <v>6108</v>
      </c>
      <c r="L6164" s="267">
        <v>510400</v>
      </c>
      <c r="M6164" s="267">
        <v>-60</v>
      </c>
      <c r="N6164" s="267" t="s">
        <v>3944</v>
      </c>
      <c r="O6164" s="267">
        <v>1327.34</v>
      </c>
      <c r="P6164" s="267" t="s">
        <v>3944</v>
      </c>
      <c r="Q6164" s="267" t="s">
        <v>3944</v>
      </c>
      <c r="R6164" s="267">
        <v>1327.34</v>
      </c>
      <c r="S6164" s="267">
        <v>14142.66</v>
      </c>
      <c r="T6164" s="267">
        <v>15470</v>
      </c>
      <c r="U6164" s="268" t="s">
        <v>3945</v>
      </c>
      <c r="V6164" s="267" t="s">
        <v>944</v>
      </c>
    </row>
    <row r="6165" spans="1:22" hidden="1" x14ac:dyDescent="0.25">
      <c r="A6165" s="269">
        <v>43755</v>
      </c>
      <c r="B6165" s="270">
        <v>2019</v>
      </c>
      <c r="C6165" s="270">
        <v>2020</v>
      </c>
      <c r="D6165" s="270">
        <v>1</v>
      </c>
      <c r="E6165" s="270">
        <v>1</v>
      </c>
      <c r="F6165" s="270" t="s">
        <v>944</v>
      </c>
      <c r="G6165" s="270" t="s">
        <v>3926</v>
      </c>
      <c r="H6165" s="270" t="s">
        <v>10898</v>
      </c>
      <c r="I6165" s="270" t="s">
        <v>3996</v>
      </c>
      <c r="J6165" s="270" t="s">
        <v>3928</v>
      </c>
      <c r="K6165" s="270">
        <v>6790</v>
      </c>
      <c r="L6165" s="270">
        <v>310602</v>
      </c>
      <c r="M6165" s="270" t="s">
        <v>3935</v>
      </c>
      <c r="N6165" s="270" t="s">
        <v>3944</v>
      </c>
      <c r="O6165" s="270">
        <v>1418.38</v>
      </c>
      <c r="P6165" s="270" t="s">
        <v>3944</v>
      </c>
      <c r="Q6165" s="270" t="s">
        <v>3944</v>
      </c>
      <c r="R6165" s="270">
        <v>1418.38</v>
      </c>
      <c r="S6165" s="270">
        <v>18390.830000000002</v>
      </c>
      <c r="T6165" s="270">
        <v>19809.21</v>
      </c>
      <c r="U6165" s="271" t="s">
        <v>3945</v>
      </c>
      <c r="V6165" s="267" t="s">
        <v>944</v>
      </c>
    </row>
    <row r="6166" spans="1:22" hidden="1" x14ac:dyDescent="0.25">
      <c r="A6166" s="266">
        <v>43755</v>
      </c>
      <c r="B6166" s="267">
        <v>2019</v>
      </c>
      <c r="C6166" s="267">
        <v>2020</v>
      </c>
      <c r="D6166" s="267">
        <v>1</v>
      </c>
      <c r="E6166" s="267">
        <v>1</v>
      </c>
      <c r="F6166" s="267" t="s">
        <v>944</v>
      </c>
      <c r="G6166" s="267" t="s">
        <v>3926</v>
      </c>
      <c r="H6166" s="267" t="s">
        <v>10899</v>
      </c>
      <c r="I6166" s="267" t="s">
        <v>4108</v>
      </c>
      <c r="J6166" s="267" t="s">
        <v>3928</v>
      </c>
      <c r="K6166" s="267">
        <v>6082</v>
      </c>
      <c r="L6166" s="267">
        <v>480400</v>
      </c>
      <c r="M6166" s="267" t="s">
        <v>3935</v>
      </c>
      <c r="N6166" s="267" t="s">
        <v>3944</v>
      </c>
      <c r="O6166" s="267">
        <v>2235.1</v>
      </c>
      <c r="P6166" s="267" t="s">
        <v>3944</v>
      </c>
      <c r="Q6166" s="267" t="s">
        <v>3944</v>
      </c>
      <c r="R6166" s="267">
        <v>2235.1</v>
      </c>
      <c r="S6166" s="267">
        <v>31628.58</v>
      </c>
      <c r="T6166" s="267">
        <v>33863.68</v>
      </c>
      <c r="U6166" s="268" t="s">
        <v>3945</v>
      </c>
      <c r="V6166" s="267" t="s">
        <v>944</v>
      </c>
    </row>
    <row r="6167" spans="1:22" hidden="1" x14ac:dyDescent="0.25">
      <c r="A6167" s="269">
        <v>43755</v>
      </c>
      <c r="B6167" s="270">
        <v>2019</v>
      </c>
      <c r="C6167" s="270">
        <v>2020</v>
      </c>
      <c r="D6167" s="270">
        <v>1</v>
      </c>
      <c r="E6167" s="270">
        <v>1</v>
      </c>
      <c r="F6167" s="270" t="s">
        <v>944</v>
      </c>
      <c r="G6167" s="270" t="s">
        <v>3926</v>
      </c>
      <c r="H6167" s="270" t="s">
        <v>10900</v>
      </c>
      <c r="I6167" s="270" t="s">
        <v>4011</v>
      </c>
      <c r="J6167" s="270" t="s">
        <v>3928</v>
      </c>
      <c r="K6167" s="270">
        <v>6002</v>
      </c>
      <c r="L6167" s="270">
        <v>471200</v>
      </c>
      <c r="M6167" s="270" t="s">
        <v>3940</v>
      </c>
      <c r="N6167" s="270" t="s">
        <v>3944</v>
      </c>
      <c r="O6167" s="270">
        <v>1508.82</v>
      </c>
      <c r="P6167" s="270" t="s">
        <v>3944</v>
      </c>
      <c r="Q6167" s="270" t="s">
        <v>3944</v>
      </c>
      <c r="R6167" s="270">
        <v>1508.82</v>
      </c>
      <c r="S6167" s="270">
        <v>22830.7</v>
      </c>
      <c r="T6167" s="270">
        <v>24339.52</v>
      </c>
      <c r="U6167" s="271" t="s">
        <v>3945</v>
      </c>
      <c r="V6167" s="267" t="s">
        <v>944</v>
      </c>
    </row>
    <row r="6168" spans="1:22" hidden="1" x14ac:dyDescent="0.25">
      <c r="A6168" s="266">
        <v>43755</v>
      </c>
      <c r="B6168" s="267">
        <v>2019</v>
      </c>
      <c r="C6168" s="267">
        <v>2020</v>
      </c>
      <c r="D6168" s="267">
        <v>1</v>
      </c>
      <c r="E6168" s="267">
        <v>1</v>
      </c>
      <c r="F6168" s="267" t="s">
        <v>944</v>
      </c>
      <c r="G6168" s="267" t="s">
        <v>3926</v>
      </c>
      <c r="H6168" s="267" t="s">
        <v>10901</v>
      </c>
      <c r="I6168" s="267" t="s">
        <v>953</v>
      </c>
      <c r="J6168" s="267" t="s">
        <v>3928</v>
      </c>
      <c r="K6168" s="267">
        <v>6514</v>
      </c>
      <c r="L6168" s="267">
        <v>165900</v>
      </c>
      <c r="M6168" s="267" t="s">
        <v>3943</v>
      </c>
      <c r="N6168" s="267" t="s">
        <v>3944</v>
      </c>
      <c r="O6168" s="267">
        <v>2433.17</v>
      </c>
      <c r="P6168" s="267" t="s">
        <v>3944</v>
      </c>
      <c r="Q6168" s="267" t="s">
        <v>3944</v>
      </c>
      <c r="R6168" s="267">
        <v>2433.17</v>
      </c>
      <c r="S6168" s="267">
        <v>28255.79</v>
      </c>
      <c r="T6168" s="267">
        <v>30688.959999999999</v>
      </c>
      <c r="U6168" s="268" t="s">
        <v>3945</v>
      </c>
      <c r="V6168" s="267" t="s">
        <v>944</v>
      </c>
    </row>
    <row r="6169" spans="1:22" hidden="1" x14ac:dyDescent="0.25">
      <c r="A6169" s="269">
        <v>43755</v>
      </c>
      <c r="B6169" s="270">
        <v>2019</v>
      </c>
      <c r="C6169" s="270">
        <v>2020</v>
      </c>
      <c r="D6169" s="270">
        <v>1</v>
      </c>
      <c r="E6169" s="270">
        <v>1</v>
      </c>
      <c r="F6169" s="270" t="s">
        <v>944</v>
      </c>
      <c r="G6169" s="270" t="s">
        <v>3926</v>
      </c>
      <c r="H6169" s="270" t="s">
        <v>10902</v>
      </c>
      <c r="I6169" s="270" t="s">
        <v>4037</v>
      </c>
      <c r="J6169" s="270" t="s">
        <v>3928</v>
      </c>
      <c r="K6169" s="270">
        <v>6810</v>
      </c>
      <c r="L6169" s="270">
        <v>210500</v>
      </c>
      <c r="M6169" s="270" t="s">
        <v>3960</v>
      </c>
      <c r="N6169" s="270" t="s">
        <v>3944</v>
      </c>
      <c r="O6169" s="270">
        <v>4067.46</v>
      </c>
      <c r="P6169" s="270" t="s">
        <v>3944</v>
      </c>
      <c r="Q6169" s="270" t="s">
        <v>3944</v>
      </c>
      <c r="R6169" s="270">
        <v>4067.46</v>
      </c>
      <c r="S6169" s="270">
        <v>48161.33</v>
      </c>
      <c r="T6169" s="270">
        <v>52228.79</v>
      </c>
      <c r="U6169" s="271" t="s">
        <v>3945</v>
      </c>
      <c r="V6169" s="267" t="s">
        <v>944</v>
      </c>
    </row>
    <row r="6170" spans="1:22" hidden="1" x14ac:dyDescent="0.25">
      <c r="A6170" s="266">
        <v>43756</v>
      </c>
      <c r="B6170" s="267">
        <v>2019</v>
      </c>
      <c r="C6170" s="267">
        <v>2020</v>
      </c>
      <c r="D6170" s="267">
        <v>1</v>
      </c>
      <c r="E6170" s="267">
        <v>1</v>
      </c>
      <c r="F6170" s="267" t="s">
        <v>944</v>
      </c>
      <c r="G6170" s="267" t="s">
        <v>3926</v>
      </c>
      <c r="H6170" s="267" t="s">
        <v>10903</v>
      </c>
      <c r="I6170" s="267" t="s">
        <v>4687</v>
      </c>
      <c r="J6170" s="267" t="s">
        <v>3928</v>
      </c>
      <c r="K6170" s="267">
        <v>6424</v>
      </c>
      <c r="L6170" s="267">
        <v>550201</v>
      </c>
      <c r="M6170" s="267" t="s">
        <v>3943</v>
      </c>
      <c r="N6170" s="267" t="s">
        <v>10904</v>
      </c>
      <c r="O6170" s="267">
        <v>0</v>
      </c>
      <c r="P6170" s="267" t="s">
        <v>3930</v>
      </c>
      <c r="Q6170" s="267" t="s">
        <v>3930</v>
      </c>
      <c r="R6170" s="267">
        <v>0</v>
      </c>
      <c r="S6170" s="267">
        <v>17999</v>
      </c>
      <c r="T6170" s="267">
        <v>17999</v>
      </c>
      <c r="U6170" s="268" t="s">
        <v>3937</v>
      </c>
      <c r="V6170" s="267" t="s">
        <v>944</v>
      </c>
    </row>
    <row r="6171" spans="1:22" hidden="1" x14ac:dyDescent="0.25">
      <c r="A6171" s="269">
        <v>43756</v>
      </c>
      <c r="B6171" s="270">
        <v>2019</v>
      </c>
      <c r="C6171" s="270">
        <v>2020</v>
      </c>
      <c r="D6171" s="270">
        <v>1</v>
      </c>
      <c r="E6171" s="270">
        <v>1</v>
      </c>
      <c r="F6171" s="270" t="s">
        <v>944</v>
      </c>
      <c r="G6171" s="270" t="s">
        <v>3926</v>
      </c>
      <c r="H6171" s="270" t="s">
        <v>10905</v>
      </c>
      <c r="I6171" s="270" t="s">
        <v>4069</v>
      </c>
      <c r="J6171" s="270" t="s">
        <v>3928</v>
      </c>
      <c r="K6171" s="270">
        <v>6902</v>
      </c>
      <c r="L6171" s="270">
        <v>20500</v>
      </c>
      <c r="M6171" s="270" t="s">
        <v>3943</v>
      </c>
      <c r="N6171" s="270" t="s">
        <v>5313</v>
      </c>
      <c r="O6171" s="270">
        <v>0</v>
      </c>
      <c r="P6171" s="270" t="s">
        <v>3930</v>
      </c>
      <c r="Q6171" s="270" t="s">
        <v>3930</v>
      </c>
      <c r="R6171" s="270">
        <v>0</v>
      </c>
      <c r="S6171" s="270">
        <v>78300</v>
      </c>
      <c r="T6171" s="270">
        <v>78300</v>
      </c>
      <c r="U6171" s="271" t="s">
        <v>3937</v>
      </c>
      <c r="V6171" s="267" t="s">
        <v>944</v>
      </c>
    </row>
    <row r="6172" spans="1:22" hidden="1" x14ac:dyDescent="0.25">
      <c r="A6172" s="266">
        <v>43756</v>
      </c>
      <c r="B6172" s="267">
        <v>2019</v>
      </c>
      <c r="C6172" s="267">
        <v>2020</v>
      </c>
      <c r="D6172" s="267">
        <v>1</v>
      </c>
      <c r="E6172" s="267">
        <v>1</v>
      </c>
      <c r="F6172" s="267" t="s">
        <v>944</v>
      </c>
      <c r="G6172" s="267" t="s">
        <v>3926</v>
      </c>
      <c r="H6172" s="267" t="s">
        <v>10906</v>
      </c>
      <c r="I6172" s="267" t="s">
        <v>3990</v>
      </c>
      <c r="J6172" s="267" t="s">
        <v>3928</v>
      </c>
      <c r="K6172" s="267">
        <v>6804</v>
      </c>
      <c r="L6172" s="267">
        <v>205200</v>
      </c>
      <c r="M6172" s="267" t="s">
        <v>3943</v>
      </c>
      <c r="N6172" s="267" t="s">
        <v>4534</v>
      </c>
      <c r="O6172" s="267">
        <v>0</v>
      </c>
      <c r="P6172" s="267" t="s">
        <v>3930</v>
      </c>
      <c r="Q6172" s="267" t="s">
        <v>3930</v>
      </c>
      <c r="R6172" s="267">
        <v>0</v>
      </c>
      <c r="S6172" s="267">
        <v>14350</v>
      </c>
      <c r="T6172" s="267">
        <v>14350</v>
      </c>
      <c r="U6172" s="268" t="s">
        <v>3937</v>
      </c>
      <c r="V6172" s="267" t="s">
        <v>944</v>
      </c>
    </row>
    <row r="6173" spans="1:22" hidden="1" x14ac:dyDescent="0.25">
      <c r="A6173" s="269">
        <v>43756</v>
      </c>
      <c r="B6173" s="270">
        <v>2019</v>
      </c>
      <c r="C6173" s="270">
        <v>2020</v>
      </c>
      <c r="D6173" s="270">
        <v>1</v>
      </c>
      <c r="E6173" s="270">
        <v>1</v>
      </c>
      <c r="F6173" s="270" t="s">
        <v>944</v>
      </c>
      <c r="G6173" s="270" t="s">
        <v>3926</v>
      </c>
      <c r="H6173" s="270" t="s">
        <v>10907</v>
      </c>
      <c r="I6173" s="270" t="s">
        <v>3008</v>
      </c>
      <c r="J6173" s="270" t="s">
        <v>3928</v>
      </c>
      <c r="K6173" s="270">
        <v>6460</v>
      </c>
      <c r="L6173" s="270">
        <v>150800</v>
      </c>
      <c r="M6173" s="270" t="s">
        <v>3960</v>
      </c>
      <c r="N6173" s="270" t="s">
        <v>5725</v>
      </c>
      <c r="O6173" s="270">
        <v>2440</v>
      </c>
      <c r="P6173" s="270" t="s">
        <v>3930</v>
      </c>
      <c r="Q6173" s="270" t="s">
        <v>3930</v>
      </c>
      <c r="R6173" s="270">
        <v>2440</v>
      </c>
      <c r="S6173" s="270">
        <v>17157.5</v>
      </c>
      <c r="T6173" s="270">
        <v>19597.5</v>
      </c>
      <c r="U6173" s="271" t="s">
        <v>3937</v>
      </c>
      <c r="V6173" s="267" t="s">
        <v>944</v>
      </c>
    </row>
    <row r="6174" spans="1:22" hidden="1" x14ac:dyDescent="0.25">
      <c r="A6174" s="266">
        <v>43756</v>
      </c>
      <c r="B6174" s="267">
        <v>2019</v>
      </c>
      <c r="C6174" s="267">
        <v>2020</v>
      </c>
      <c r="D6174" s="267">
        <v>1</v>
      </c>
      <c r="E6174" s="267">
        <v>1</v>
      </c>
      <c r="F6174" s="267" t="s">
        <v>944</v>
      </c>
      <c r="G6174" s="267" t="s">
        <v>3926</v>
      </c>
      <c r="H6174" s="267" t="s">
        <v>10908</v>
      </c>
      <c r="I6174" s="267" t="s">
        <v>4016</v>
      </c>
      <c r="J6174" s="267" t="s">
        <v>3928</v>
      </c>
      <c r="K6174" s="267">
        <v>6770</v>
      </c>
      <c r="L6174" s="267">
        <v>345400</v>
      </c>
      <c r="M6174" s="267" t="s">
        <v>3935</v>
      </c>
      <c r="N6174" s="267" t="s">
        <v>5313</v>
      </c>
      <c r="O6174" s="267">
        <v>5811</v>
      </c>
      <c r="P6174" s="267" t="s">
        <v>3930</v>
      </c>
      <c r="Q6174" s="267" t="s">
        <v>3930</v>
      </c>
      <c r="R6174" s="267">
        <v>5811</v>
      </c>
      <c r="S6174" s="267">
        <v>42200</v>
      </c>
      <c r="T6174" s="267">
        <v>48011</v>
      </c>
      <c r="U6174" s="268" t="s">
        <v>3937</v>
      </c>
      <c r="V6174" s="267" t="s">
        <v>944</v>
      </c>
    </row>
    <row r="6175" spans="1:22" hidden="1" x14ac:dyDescent="0.25">
      <c r="A6175" s="269">
        <v>43756</v>
      </c>
      <c r="B6175" s="270">
        <v>2019</v>
      </c>
      <c r="C6175" s="270">
        <v>2020</v>
      </c>
      <c r="D6175" s="270">
        <v>1</v>
      </c>
      <c r="E6175" s="270">
        <v>1</v>
      </c>
      <c r="F6175" s="270" t="s">
        <v>944</v>
      </c>
      <c r="G6175" s="270" t="s">
        <v>3926</v>
      </c>
      <c r="H6175" s="270" t="s">
        <v>10909</v>
      </c>
      <c r="I6175" s="270" t="s">
        <v>956</v>
      </c>
      <c r="J6175" s="270" t="s">
        <v>3928</v>
      </c>
      <c r="K6175" s="270">
        <v>6497</v>
      </c>
      <c r="L6175" s="270">
        <v>80800</v>
      </c>
      <c r="M6175" s="270" t="s">
        <v>3960</v>
      </c>
      <c r="N6175" s="270" t="s">
        <v>3983</v>
      </c>
      <c r="O6175" s="270">
        <v>1471.68</v>
      </c>
      <c r="P6175" s="270" t="s">
        <v>3930</v>
      </c>
      <c r="Q6175" s="270" t="s">
        <v>3931</v>
      </c>
      <c r="R6175" s="270">
        <v>6471.68</v>
      </c>
      <c r="S6175" s="270">
        <v>16504</v>
      </c>
      <c r="T6175" s="270">
        <v>22975.68</v>
      </c>
      <c r="U6175" s="271" t="s">
        <v>3932</v>
      </c>
      <c r="V6175" s="267" t="s">
        <v>944</v>
      </c>
    </row>
    <row r="6176" spans="1:22" hidden="1" x14ac:dyDescent="0.25">
      <c r="A6176" s="266">
        <v>43756</v>
      </c>
      <c r="B6176" s="267">
        <v>2019</v>
      </c>
      <c r="C6176" s="267">
        <v>2020</v>
      </c>
      <c r="D6176" s="267">
        <v>1</v>
      </c>
      <c r="E6176" s="267">
        <v>1</v>
      </c>
      <c r="F6176" s="267" t="s">
        <v>944</v>
      </c>
      <c r="G6176" s="267" t="s">
        <v>3926</v>
      </c>
      <c r="H6176" s="267" t="s">
        <v>10910</v>
      </c>
      <c r="I6176" s="267" t="s">
        <v>3010</v>
      </c>
      <c r="J6176" s="267" t="s">
        <v>3928</v>
      </c>
      <c r="K6176" s="267">
        <v>6401</v>
      </c>
      <c r="L6176" s="267">
        <v>125200</v>
      </c>
      <c r="M6176" s="267">
        <v>-60</v>
      </c>
      <c r="N6176" s="267" t="s">
        <v>10911</v>
      </c>
      <c r="O6176" s="267">
        <v>0</v>
      </c>
      <c r="P6176" s="267" t="s">
        <v>3930</v>
      </c>
      <c r="Q6176" s="267" t="s">
        <v>3930</v>
      </c>
      <c r="R6176" s="267">
        <v>0</v>
      </c>
      <c r="S6176" s="267">
        <v>8930</v>
      </c>
      <c r="T6176" s="267">
        <v>8930</v>
      </c>
      <c r="U6176" s="268" t="s">
        <v>3937</v>
      </c>
      <c r="V6176" s="267" t="s">
        <v>944</v>
      </c>
    </row>
    <row r="6177" spans="1:22" hidden="1" x14ac:dyDescent="0.25">
      <c r="A6177" s="269">
        <v>43756</v>
      </c>
      <c r="B6177" s="270">
        <v>2019</v>
      </c>
      <c r="C6177" s="270">
        <v>2020</v>
      </c>
      <c r="D6177" s="270">
        <v>1</v>
      </c>
      <c r="E6177" s="270">
        <v>1</v>
      </c>
      <c r="F6177" s="270" t="s">
        <v>944</v>
      </c>
      <c r="G6177" s="270" t="s">
        <v>5623</v>
      </c>
      <c r="H6177" s="270" t="s">
        <v>10912</v>
      </c>
      <c r="I6177" s="270" t="s">
        <v>4168</v>
      </c>
      <c r="J6177" s="270" t="s">
        <v>3928</v>
      </c>
      <c r="K6177" s="270">
        <v>6475</v>
      </c>
      <c r="L6177" s="270">
        <v>670100</v>
      </c>
      <c r="M6177" s="270" t="s">
        <v>3960</v>
      </c>
      <c r="N6177" s="270" t="s">
        <v>10913</v>
      </c>
      <c r="O6177" s="270">
        <v>0</v>
      </c>
      <c r="P6177" s="270" t="s">
        <v>3930</v>
      </c>
      <c r="Q6177" s="270" t="s">
        <v>3930</v>
      </c>
      <c r="R6177" s="270">
        <v>0</v>
      </c>
      <c r="S6177" s="270">
        <v>15683</v>
      </c>
      <c r="T6177" s="270">
        <v>15683</v>
      </c>
      <c r="U6177" s="271" t="s">
        <v>3937</v>
      </c>
      <c r="V6177" s="267" t="s">
        <v>944</v>
      </c>
    </row>
    <row r="6178" spans="1:22" hidden="1" x14ac:dyDescent="0.25">
      <c r="A6178" s="266">
        <v>43756</v>
      </c>
      <c r="B6178" s="267">
        <v>2019</v>
      </c>
      <c r="C6178" s="267">
        <v>2020</v>
      </c>
      <c r="D6178" s="267">
        <v>1</v>
      </c>
      <c r="E6178" s="267">
        <v>1</v>
      </c>
      <c r="F6178" s="267" t="s">
        <v>944</v>
      </c>
      <c r="G6178" s="267" t="s">
        <v>3926</v>
      </c>
      <c r="H6178" s="267" t="s">
        <v>10914</v>
      </c>
      <c r="I6178" s="267" t="s">
        <v>4147</v>
      </c>
      <c r="J6178" s="267" t="s">
        <v>3928</v>
      </c>
      <c r="K6178" s="267">
        <v>6109</v>
      </c>
      <c r="L6178" s="267">
        <v>492200</v>
      </c>
      <c r="M6178" s="267" t="s">
        <v>3960</v>
      </c>
      <c r="N6178" s="267" t="s">
        <v>3944</v>
      </c>
      <c r="O6178" s="267">
        <v>5041</v>
      </c>
      <c r="P6178" s="267" t="s">
        <v>3944</v>
      </c>
      <c r="Q6178" s="267" t="s">
        <v>3944</v>
      </c>
      <c r="R6178" s="267">
        <v>5041</v>
      </c>
      <c r="S6178" s="267">
        <v>38078</v>
      </c>
      <c r="T6178" s="267">
        <v>43119</v>
      </c>
      <c r="U6178" s="268" t="s">
        <v>3945</v>
      </c>
      <c r="V6178" s="267" t="s">
        <v>944</v>
      </c>
    </row>
    <row r="6179" spans="1:22" hidden="1" x14ac:dyDescent="0.25">
      <c r="A6179" s="269">
        <v>43756</v>
      </c>
      <c r="B6179" s="270">
        <v>2019</v>
      </c>
      <c r="C6179" s="270">
        <v>2020</v>
      </c>
      <c r="D6179" s="270">
        <v>1</v>
      </c>
      <c r="E6179" s="270">
        <v>1</v>
      </c>
      <c r="F6179" s="270" t="s">
        <v>944</v>
      </c>
      <c r="G6179" s="270" t="s">
        <v>3926</v>
      </c>
      <c r="H6179" s="270" t="s">
        <v>10915</v>
      </c>
      <c r="I6179" s="270" t="s">
        <v>5485</v>
      </c>
      <c r="J6179" s="270" t="s">
        <v>3928</v>
      </c>
      <c r="K6179" s="270">
        <v>6001</v>
      </c>
      <c r="L6179" s="270">
        <v>462202</v>
      </c>
      <c r="M6179" s="270" t="s">
        <v>3943</v>
      </c>
      <c r="N6179" s="270" t="s">
        <v>3944</v>
      </c>
      <c r="O6179" s="270">
        <v>6045</v>
      </c>
      <c r="P6179" s="270" t="s">
        <v>3944</v>
      </c>
      <c r="Q6179" s="270" t="s">
        <v>3944</v>
      </c>
      <c r="R6179" s="270">
        <v>6045</v>
      </c>
      <c r="S6179" s="270">
        <v>70704.89</v>
      </c>
      <c r="T6179" s="270">
        <v>76749.89</v>
      </c>
      <c r="U6179" s="271" t="s">
        <v>3945</v>
      </c>
      <c r="V6179" s="267" t="s">
        <v>944</v>
      </c>
    </row>
    <row r="6180" spans="1:22" hidden="1" x14ac:dyDescent="0.25">
      <c r="A6180" s="266">
        <v>43756</v>
      </c>
      <c r="B6180" s="267">
        <v>2019</v>
      </c>
      <c r="C6180" s="267">
        <v>2020</v>
      </c>
      <c r="D6180" s="267">
        <v>1</v>
      </c>
      <c r="E6180" s="267">
        <v>1</v>
      </c>
      <c r="F6180" s="267" t="s">
        <v>944</v>
      </c>
      <c r="G6180" s="267" t="s">
        <v>3997</v>
      </c>
      <c r="H6180" s="267" t="s">
        <v>10916</v>
      </c>
      <c r="I6180" s="267" t="s">
        <v>4200</v>
      </c>
      <c r="J6180" s="267" t="s">
        <v>3928</v>
      </c>
      <c r="K6180" s="267">
        <v>6779</v>
      </c>
      <c r="L6180" s="267">
        <v>360300</v>
      </c>
      <c r="M6180" s="267" t="s">
        <v>3935</v>
      </c>
      <c r="N6180" s="267" t="s">
        <v>3944</v>
      </c>
      <c r="O6180" s="267">
        <v>1486.42</v>
      </c>
      <c r="P6180" s="267" t="s">
        <v>3944</v>
      </c>
      <c r="Q6180" s="267" t="s">
        <v>3944</v>
      </c>
      <c r="R6180" s="267">
        <v>1486.42</v>
      </c>
      <c r="S6180" s="267">
        <v>21794.86</v>
      </c>
      <c r="T6180" s="267">
        <v>23281.279999999999</v>
      </c>
      <c r="U6180" s="268" t="s">
        <v>3945</v>
      </c>
      <c r="V6180" s="267" t="s">
        <v>944</v>
      </c>
    </row>
    <row r="6181" spans="1:22" hidden="1" x14ac:dyDescent="0.25">
      <c r="A6181" s="269">
        <v>43756</v>
      </c>
      <c r="B6181" s="270">
        <v>2019</v>
      </c>
      <c r="C6181" s="270">
        <v>2020</v>
      </c>
      <c r="D6181" s="270">
        <v>1</v>
      </c>
      <c r="E6181" s="270">
        <v>1</v>
      </c>
      <c r="F6181" s="270" t="s">
        <v>944</v>
      </c>
      <c r="G6181" s="270" t="s">
        <v>3926</v>
      </c>
      <c r="H6181" s="270" t="s">
        <v>10917</v>
      </c>
      <c r="I6181" s="270" t="s">
        <v>2985</v>
      </c>
      <c r="J6181" s="270" t="s">
        <v>3928</v>
      </c>
      <c r="K6181" s="270">
        <v>6824</v>
      </c>
      <c r="L6181" s="270">
        <v>61600</v>
      </c>
      <c r="M6181" s="270" t="s">
        <v>3943</v>
      </c>
      <c r="N6181" s="270" t="s">
        <v>3944</v>
      </c>
      <c r="O6181" s="270">
        <v>3377</v>
      </c>
      <c r="P6181" s="270" t="s">
        <v>3944</v>
      </c>
      <c r="Q6181" s="270" t="s">
        <v>3944</v>
      </c>
      <c r="R6181" s="270">
        <v>3377</v>
      </c>
      <c r="S6181" s="270">
        <v>27895</v>
      </c>
      <c r="T6181" s="270">
        <v>31272</v>
      </c>
      <c r="U6181" s="271" t="s">
        <v>3945</v>
      </c>
      <c r="V6181" s="267" t="s">
        <v>944</v>
      </c>
    </row>
    <row r="6182" spans="1:22" x14ac:dyDescent="0.25">
      <c r="A6182" s="266">
        <v>43756</v>
      </c>
      <c r="B6182" s="267">
        <v>2019</v>
      </c>
      <c r="C6182" s="267">
        <v>2020</v>
      </c>
      <c r="D6182" s="267">
        <v>1</v>
      </c>
      <c r="E6182" s="267">
        <v>1</v>
      </c>
      <c r="F6182" s="267" t="s">
        <v>944</v>
      </c>
      <c r="G6182" s="267" t="s">
        <v>3926</v>
      </c>
      <c r="H6182" s="267" t="s">
        <v>10918</v>
      </c>
      <c r="I6182" s="267" t="s">
        <v>943</v>
      </c>
      <c r="J6182" s="267" t="s">
        <v>3928</v>
      </c>
      <c r="K6182" s="267">
        <v>6519</v>
      </c>
      <c r="L6182" s="267">
        <v>140500</v>
      </c>
      <c r="M6182" s="267">
        <v>-60</v>
      </c>
      <c r="N6182" s="267" t="s">
        <v>3944</v>
      </c>
      <c r="O6182" s="267">
        <v>1358.67</v>
      </c>
      <c r="P6182" s="267" t="s">
        <v>3944</v>
      </c>
      <c r="Q6182" s="267" t="s">
        <v>3944</v>
      </c>
      <c r="R6182" s="267">
        <v>1358.67</v>
      </c>
      <c r="S6182" s="267">
        <v>23773.47</v>
      </c>
      <c r="T6182" s="267">
        <v>25132.14</v>
      </c>
      <c r="U6182" s="268" t="s">
        <v>3945</v>
      </c>
      <c r="V6182" s="276" t="s">
        <v>936</v>
      </c>
    </row>
    <row r="6183" spans="1:22" hidden="1" x14ac:dyDescent="0.25">
      <c r="A6183" s="269">
        <v>43756</v>
      </c>
      <c r="B6183" s="270">
        <v>2019</v>
      </c>
      <c r="C6183" s="270">
        <v>2020</v>
      </c>
      <c r="D6183" s="270">
        <v>1</v>
      </c>
      <c r="E6183" s="270">
        <v>1</v>
      </c>
      <c r="F6183" s="270" t="s">
        <v>944</v>
      </c>
      <c r="G6183" s="270" t="s">
        <v>3926</v>
      </c>
      <c r="H6183" s="270" t="s">
        <v>10919</v>
      </c>
      <c r="I6183" s="270" t="s">
        <v>3990</v>
      </c>
      <c r="J6183" s="270" t="s">
        <v>3928</v>
      </c>
      <c r="K6183" s="270">
        <v>6804</v>
      </c>
      <c r="L6183" s="270">
        <v>205100</v>
      </c>
      <c r="M6183" s="270" t="s">
        <v>3943</v>
      </c>
      <c r="N6183" s="270" t="s">
        <v>3944</v>
      </c>
      <c r="O6183" s="270">
        <v>1442.25</v>
      </c>
      <c r="P6183" s="270" t="s">
        <v>3944</v>
      </c>
      <c r="Q6183" s="270" t="s">
        <v>3944</v>
      </c>
      <c r="R6183" s="270">
        <v>1442.25</v>
      </c>
      <c r="S6183" s="270">
        <v>21839.03</v>
      </c>
      <c r="T6183" s="270">
        <v>23281.279999999999</v>
      </c>
      <c r="U6183" s="271" t="s">
        <v>3945</v>
      </c>
      <c r="V6183" s="267" t="s">
        <v>944</v>
      </c>
    </row>
    <row r="6184" spans="1:22" hidden="1" x14ac:dyDescent="0.25">
      <c r="A6184" s="266">
        <v>43756</v>
      </c>
      <c r="B6184" s="267">
        <v>2019</v>
      </c>
      <c r="C6184" s="267">
        <v>2020</v>
      </c>
      <c r="D6184" s="267">
        <v>1</v>
      </c>
      <c r="E6184" s="267">
        <v>1</v>
      </c>
      <c r="F6184" s="267" t="s">
        <v>944</v>
      </c>
      <c r="G6184" s="267" t="s">
        <v>3926</v>
      </c>
      <c r="H6184" s="267" t="s">
        <v>10920</v>
      </c>
      <c r="I6184" s="267" t="s">
        <v>4323</v>
      </c>
      <c r="J6184" s="267" t="s">
        <v>3928</v>
      </c>
      <c r="K6184" s="267">
        <v>6385</v>
      </c>
      <c r="L6184" s="267">
        <v>693400</v>
      </c>
      <c r="M6184" s="267" t="s">
        <v>3940</v>
      </c>
      <c r="N6184" s="267" t="s">
        <v>3944</v>
      </c>
      <c r="O6184" s="267">
        <v>1790.46</v>
      </c>
      <c r="P6184" s="267" t="s">
        <v>3944</v>
      </c>
      <c r="Q6184" s="267" t="s">
        <v>3944</v>
      </c>
      <c r="R6184" s="267">
        <v>1790.46</v>
      </c>
      <c r="S6184" s="267">
        <v>26935.87</v>
      </c>
      <c r="T6184" s="267">
        <v>28726.33</v>
      </c>
      <c r="U6184" s="268" t="s">
        <v>3945</v>
      </c>
      <c r="V6184" s="267" t="s">
        <v>944</v>
      </c>
    </row>
    <row r="6185" spans="1:22" hidden="1" x14ac:dyDescent="0.25">
      <c r="A6185" s="269">
        <v>43756</v>
      </c>
      <c r="B6185" s="270">
        <v>2019</v>
      </c>
      <c r="C6185" s="270">
        <v>2020</v>
      </c>
      <c r="D6185" s="270">
        <v>1</v>
      </c>
      <c r="E6185" s="270">
        <v>1</v>
      </c>
      <c r="F6185" s="270" t="s">
        <v>944</v>
      </c>
      <c r="G6185" s="270" t="s">
        <v>3926</v>
      </c>
      <c r="H6185" s="270" t="s">
        <v>10921</v>
      </c>
      <c r="I6185" s="270" t="s">
        <v>3934</v>
      </c>
      <c r="J6185" s="270" t="s">
        <v>3928</v>
      </c>
      <c r="K6185" s="270">
        <v>6405</v>
      </c>
      <c r="L6185" s="270">
        <v>184600</v>
      </c>
      <c r="M6185" s="270" t="s">
        <v>3943</v>
      </c>
      <c r="N6185" s="270" t="s">
        <v>3944</v>
      </c>
      <c r="O6185" s="270">
        <v>1590.93</v>
      </c>
      <c r="P6185" s="270" t="s">
        <v>3944</v>
      </c>
      <c r="Q6185" s="270" t="s">
        <v>3944</v>
      </c>
      <c r="R6185" s="270">
        <v>1590.93</v>
      </c>
      <c r="S6185" s="270">
        <v>24865.07</v>
      </c>
      <c r="T6185" s="270">
        <v>26456</v>
      </c>
      <c r="U6185" s="271" t="s">
        <v>3945</v>
      </c>
      <c r="V6185" s="267" t="s">
        <v>944</v>
      </c>
    </row>
    <row r="6186" spans="1:22" hidden="1" x14ac:dyDescent="0.25">
      <c r="A6186" s="266">
        <v>43757</v>
      </c>
      <c r="B6186" s="267">
        <v>2019</v>
      </c>
      <c r="C6186" s="267">
        <v>2020</v>
      </c>
      <c r="D6186" s="267">
        <v>1</v>
      </c>
      <c r="E6186" s="267">
        <v>1</v>
      </c>
      <c r="F6186" s="267" t="s">
        <v>944</v>
      </c>
      <c r="G6186" s="267" t="s">
        <v>3926</v>
      </c>
      <c r="H6186" s="267" t="s">
        <v>10922</v>
      </c>
      <c r="I6186" s="267" t="s">
        <v>4005</v>
      </c>
      <c r="J6186" s="267" t="s">
        <v>3928</v>
      </c>
      <c r="K6186" s="267">
        <v>6108</v>
      </c>
      <c r="L6186" s="267">
        <v>510400</v>
      </c>
      <c r="M6186" s="267">
        <v>-60</v>
      </c>
      <c r="N6186" s="267" t="s">
        <v>7680</v>
      </c>
      <c r="O6186" s="267">
        <v>900.57</v>
      </c>
      <c r="P6186" s="267" t="s">
        <v>3930</v>
      </c>
      <c r="Q6186" s="267" t="s">
        <v>3931</v>
      </c>
      <c r="R6186" s="267">
        <v>5900.57</v>
      </c>
      <c r="S6186" s="267">
        <v>11128</v>
      </c>
      <c r="T6186" s="267">
        <v>17028.57</v>
      </c>
      <c r="U6186" s="268" t="s">
        <v>3932</v>
      </c>
      <c r="V6186" s="267" t="s">
        <v>944</v>
      </c>
    </row>
    <row r="6187" spans="1:22" hidden="1" x14ac:dyDescent="0.25">
      <c r="A6187" s="269">
        <v>43757</v>
      </c>
      <c r="B6187" s="270">
        <v>2019</v>
      </c>
      <c r="C6187" s="270">
        <v>2020</v>
      </c>
      <c r="D6187" s="270">
        <v>1</v>
      </c>
      <c r="E6187" s="270">
        <v>1</v>
      </c>
      <c r="F6187" s="270" t="s">
        <v>944</v>
      </c>
      <c r="G6187" s="270" t="s">
        <v>3926</v>
      </c>
      <c r="H6187" s="270" t="s">
        <v>10923</v>
      </c>
      <c r="I6187" s="270" t="s">
        <v>934</v>
      </c>
      <c r="J6187" s="270" t="s">
        <v>3928</v>
      </c>
      <c r="K6187" s="270">
        <v>6601</v>
      </c>
      <c r="L6187" s="270">
        <v>240200</v>
      </c>
      <c r="M6187" s="270" t="s">
        <v>3943</v>
      </c>
      <c r="N6187" s="270" t="s">
        <v>3983</v>
      </c>
      <c r="O6187" s="270">
        <v>1114.54</v>
      </c>
      <c r="P6187" s="270" t="s">
        <v>3930</v>
      </c>
      <c r="Q6187" s="270" t="s">
        <v>3931</v>
      </c>
      <c r="R6187" s="270">
        <v>6114.54</v>
      </c>
      <c r="S6187" s="270">
        <v>16504</v>
      </c>
      <c r="T6187" s="270">
        <v>22618.54</v>
      </c>
      <c r="U6187" s="271" t="s">
        <v>3932</v>
      </c>
      <c r="V6187" s="267" t="s">
        <v>944</v>
      </c>
    </row>
    <row r="6188" spans="1:22" hidden="1" x14ac:dyDescent="0.25">
      <c r="A6188" s="266">
        <v>43757</v>
      </c>
      <c r="B6188" s="267">
        <v>2019</v>
      </c>
      <c r="C6188" s="267">
        <v>2020</v>
      </c>
      <c r="D6188" s="267">
        <v>1</v>
      </c>
      <c r="E6188" s="267">
        <v>1</v>
      </c>
      <c r="F6188" s="267" t="s">
        <v>944</v>
      </c>
      <c r="G6188" s="267" t="s">
        <v>3926</v>
      </c>
      <c r="H6188" s="267" t="s">
        <v>10924</v>
      </c>
      <c r="I6188" s="267" t="s">
        <v>934</v>
      </c>
      <c r="J6188" s="267" t="s">
        <v>3928</v>
      </c>
      <c r="K6188" s="267">
        <v>6601</v>
      </c>
      <c r="L6188" s="267">
        <v>240200</v>
      </c>
      <c r="M6188" s="267" t="s">
        <v>3943</v>
      </c>
      <c r="N6188" s="267" t="s">
        <v>3983</v>
      </c>
      <c r="O6188" s="267">
        <v>3260.07</v>
      </c>
      <c r="P6188" s="267" t="s">
        <v>3930</v>
      </c>
      <c r="Q6188" s="267" t="s">
        <v>3931</v>
      </c>
      <c r="R6188" s="267">
        <v>8260.07</v>
      </c>
      <c r="S6188" s="267">
        <v>16504</v>
      </c>
      <c r="T6188" s="267">
        <v>24764.07</v>
      </c>
      <c r="U6188" s="268" t="s">
        <v>3932</v>
      </c>
      <c r="V6188" s="267" t="s">
        <v>944</v>
      </c>
    </row>
    <row r="6189" spans="1:22" hidden="1" x14ac:dyDescent="0.25">
      <c r="A6189" s="269">
        <v>43757</v>
      </c>
      <c r="B6189" s="270">
        <v>2019</v>
      </c>
      <c r="C6189" s="270">
        <v>2020</v>
      </c>
      <c r="D6189" s="270">
        <v>1</v>
      </c>
      <c r="E6189" s="270">
        <v>1</v>
      </c>
      <c r="F6189" s="270" t="s">
        <v>944</v>
      </c>
      <c r="G6189" s="270" t="s">
        <v>3926</v>
      </c>
      <c r="H6189" s="270" t="s">
        <v>10925</v>
      </c>
      <c r="I6189" s="270" t="s">
        <v>4005</v>
      </c>
      <c r="J6189" s="270" t="s">
        <v>3928</v>
      </c>
      <c r="K6189" s="270">
        <v>6118</v>
      </c>
      <c r="L6189" s="270">
        <v>510600</v>
      </c>
      <c r="M6189" s="270">
        <v>-60</v>
      </c>
      <c r="N6189" s="270" t="s">
        <v>10926</v>
      </c>
      <c r="O6189" s="270">
        <v>0</v>
      </c>
      <c r="P6189" s="270" t="s">
        <v>3930</v>
      </c>
      <c r="Q6189" s="270" t="s">
        <v>3930</v>
      </c>
      <c r="R6189" s="270">
        <v>0</v>
      </c>
      <c r="S6189" s="270">
        <v>6061.95</v>
      </c>
      <c r="T6189" s="270">
        <v>6061.95</v>
      </c>
      <c r="U6189" s="271" t="s">
        <v>3937</v>
      </c>
      <c r="V6189" s="267" t="s">
        <v>944</v>
      </c>
    </row>
    <row r="6190" spans="1:22" hidden="1" x14ac:dyDescent="0.25">
      <c r="A6190" s="266">
        <v>43757</v>
      </c>
      <c r="B6190" s="267">
        <v>2019</v>
      </c>
      <c r="C6190" s="267">
        <v>2020</v>
      </c>
      <c r="D6190" s="267">
        <v>1</v>
      </c>
      <c r="E6190" s="267">
        <v>1</v>
      </c>
      <c r="F6190" s="267" t="s">
        <v>944</v>
      </c>
      <c r="G6190" s="267" t="s">
        <v>3997</v>
      </c>
      <c r="H6190" s="267" t="s">
        <v>10927</v>
      </c>
      <c r="I6190" s="267" t="s">
        <v>3954</v>
      </c>
      <c r="J6190" s="267" t="s">
        <v>3928</v>
      </c>
      <c r="K6190" s="267">
        <v>6357</v>
      </c>
      <c r="L6190" s="267">
        <v>716101</v>
      </c>
      <c r="M6190" s="267" t="s">
        <v>3935</v>
      </c>
      <c r="N6190" s="267" t="s">
        <v>10928</v>
      </c>
      <c r="O6190" s="267">
        <v>1411.55</v>
      </c>
      <c r="P6190" s="267" t="s">
        <v>3930</v>
      </c>
      <c r="Q6190" s="267" t="s">
        <v>3931</v>
      </c>
      <c r="R6190" s="267">
        <v>6411.55</v>
      </c>
      <c r="S6190" s="267">
        <v>34432</v>
      </c>
      <c r="T6190" s="267">
        <v>40843.550000000003</v>
      </c>
      <c r="U6190" s="268" t="s">
        <v>3932</v>
      </c>
      <c r="V6190" s="267" t="s">
        <v>944</v>
      </c>
    </row>
    <row r="6191" spans="1:22" hidden="1" x14ac:dyDescent="0.25">
      <c r="A6191" s="269">
        <v>43758</v>
      </c>
      <c r="B6191" s="270">
        <v>2019</v>
      </c>
      <c r="C6191" s="270">
        <v>2020</v>
      </c>
      <c r="D6191" s="270">
        <v>1</v>
      </c>
      <c r="E6191" s="270">
        <v>1</v>
      </c>
      <c r="F6191" s="270" t="s">
        <v>944</v>
      </c>
      <c r="G6191" s="270" t="s">
        <v>3926</v>
      </c>
      <c r="H6191" s="270" t="s">
        <v>10929</v>
      </c>
      <c r="I6191" s="270" t="s">
        <v>953</v>
      </c>
      <c r="J6191" s="270" t="s">
        <v>3928</v>
      </c>
      <c r="K6191" s="270">
        <v>6514</v>
      </c>
      <c r="L6191" s="270">
        <v>165802</v>
      </c>
      <c r="M6191" s="270" t="s">
        <v>3943</v>
      </c>
      <c r="N6191" s="270" t="s">
        <v>4053</v>
      </c>
      <c r="O6191" s="270">
        <v>1167.6400000000001</v>
      </c>
      <c r="P6191" s="270" t="s">
        <v>3930</v>
      </c>
      <c r="Q6191" s="270" t="s">
        <v>3931</v>
      </c>
      <c r="R6191" s="270">
        <v>6167.64</v>
      </c>
      <c r="S6191" s="270">
        <v>18603.2</v>
      </c>
      <c r="T6191" s="270">
        <v>24770.84</v>
      </c>
      <c r="U6191" s="271" t="s">
        <v>3932</v>
      </c>
      <c r="V6191" s="267" t="s">
        <v>944</v>
      </c>
    </row>
    <row r="6192" spans="1:22" hidden="1" x14ac:dyDescent="0.25">
      <c r="A6192" s="266">
        <v>43759</v>
      </c>
      <c r="B6192" s="267">
        <v>2019</v>
      </c>
      <c r="C6192" s="267">
        <v>2020</v>
      </c>
      <c r="D6192" s="267">
        <v>1</v>
      </c>
      <c r="E6192" s="267">
        <v>1</v>
      </c>
      <c r="F6192" s="267" t="s">
        <v>944</v>
      </c>
      <c r="G6192" s="267" t="s">
        <v>3926</v>
      </c>
      <c r="H6192" s="267" t="s">
        <v>10930</v>
      </c>
      <c r="I6192" s="267" t="s">
        <v>4114</v>
      </c>
      <c r="J6192" s="267" t="s">
        <v>3928</v>
      </c>
      <c r="K6192" s="267">
        <v>6410</v>
      </c>
      <c r="L6192" s="267">
        <v>343300</v>
      </c>
      <c r="M6192" s="267" t="s">
        <v>3943</v>
      </c>
      <c r="N6192" s="267" t="s">
        <v>10931</v>
      </c>
      <c r="O6192" s="267">
        <v>0</v>
      </c>
      <c r="P6192" s="267" t="s">
        <v>3930</v>
      </c>
      <c r="Q6192" s="267" t="s">
        <v>3930</v>
      </c>
      <c r="R6192" s="267">
        <v>0</v>
      </c>
      <c r="S6192" s="267">
        <v>1100</v>
      </c>
      <c r="T6192" s="267">
        <v>1100</v>
      </c>
      <c r="U6192" s="268" t="s">
        <v>3937</v>
      </c>
      <c r="V6192" s="267" t="s">
        <v>944</v>
      </c>
    </row>
    <row r="6193" spans="1:22" hidden="1" x14ac:dyDescent="0.25">
      <c r="A6193" s="269">
        <v>43759</v>
      </c>
      <c r="B6193" s="270">
        <v>2019</v>
      </c>
      <c r="C6193" s="270">
        <v>2020</v>
      </c>
      <c r="D6193" s="270">
        <v>1</v>
      </c>
      <c r="E6193" s="270">
        <v>1</v>
      </c>
      <c r="F6193" s="270" t="s">
        <v>944</v>
      </c>
      <c r="G6193" s="270" t="s">
        <v>3926</v>
      </c>
      <c r="H6193" s="270" t="s">
        <v>10932</v>
      </c>
      <c r="I6193" s="270" t="s">
        <v>4323</v>
      </c>
      <c r="J6193" s="270" t="s">
        <v>3928</v>
      </c>
      <c r="K6193" s="270">
        <v>6385</v>
      </c>
      <c r="L6193" s="270">
        <v>693300</v>
      </c>
      <c r="M6193" s="270" t="s">
        <v>3935</v>
      </c>
      <c r="N6193" s="270" t="s">
        <v>10933</v>
      </c>
      <c r="O6193" s="270">
        <v>0</v>
      </c>
      <c r="P6193" s="270" t="s">
        <v>3930</v>
      </c>
      <c r="Q6193" s="270" t="s">
        <v>3930</v>
      </c>
      <c r="R6193" s="270">
        <v>0</v>
      </c>
      <c r="S6193" s="270">
        <v>11911.47</v>
      </c>
      <c r="T6193" s="270">
        <v>11911.47</v>
      </c>
      <c r="U6193" s="271" t="s">
        <v>3937</v>
      </c>
      <c r="V6193" s="267" t="s">
        <v>944</v>
      </c>
    </row>
    <row r="6194" spans="1:22" hidden="1" x14ac:dyDescent="0.25">
      <c r="A6194" s="266">
        <v>43759</v>
      </c>
      <c r="B6194" s="267">
        <v>2019</v>
      </c>
      <c r="C6194" s="267">
        <v>2020</v>
      </c>
      <c r="D6194" s="267">
        <v>1</v>
      </c>
      <c r="E6194" s="267">
        <v>1</v>
      </c>
      <c r="F6194" s="267" t="s">
        <v>944</v>
      </c>
      <c r="G6194" s="267" t="s">
        <v>3926</v>
      </c>
      <c r="H6194" s="267" t="s">
        <v>10934</v>
      </c>
      <c r="I6194" s="267" t="s">
        <v>4040</v>
      </c>
      <c r="J6194" s="267" t="s">
        <v>3928</v>
      </c>
      <c r="K6194" s="267">
        <v>6339</v>
      </c>
      <c r="L6194" s="267">
        <v>701100</v>
      </c>
      <c r="M6194" s="267" t="s">
        <v>3960</v>
      </c>
      <c r="N6194" s="267" t="s">
        <v>6084</v>
      </c>
      <c r="O6194" s="267">
        <v>3171</v>
      </c>
      <c r="P6194" s="267" t="s">
        <v>3930</v>
      </c>
      <c r="Q6194" s="267" t="s">
        <v>3930</v>
      </c>
      <c r="R6194" s="267">
        <v>3171</v>
      </c>
      <c r="S6194" s="267">
        <v>20273</v>
      </c>
      <c r="T6194" s="267">
        <v>23444</v>
      </c>
      <c r="U6194" s="268" t="s">
        <v>3937</v>
      </c>
      <c r="V6194" s="267" t="s">
        <v>944</v>
      </c>
    </row>
    <row r="6195" spans="1:22" hidden="1" x14ac:dyDescent="0.25">
      <c r="A6195" s="269">
        <v>43759</v>
      </c>
      <c r="B6195" s="270">
        <v>2019</v>
      </c>
      <c r="C6195" s="270">
        <v>2020</v>
      </c>
      <c r="D6195" s="270">
        <v>1</v>
      </c>
      <c r="E6195" s="270">
        <v>1</v>
      </c>
      <c r="F6195" s="270" t="s">
        <v>944</v>
      </c>
      <c r="G6195" s="270" t="s">
        <v>3926</v>
      </c>
      <c r="H6195" s="270" t="s">
        <v>10935</v>
      </c>
      <c r="I6195" s="270" t="s">
        <v>3954</v>
      </c>
      <c r="J6195" s="270" t="s">
        <v>3928</v>
      </c>
      <c r="K6195" s="270">
        <v>6333</v>
      </c>
      <c r="L6195" s="270">
        <v>716101</v>
      </c>
      <c r="M6195" s="270" t="s">
        <v>3935</v>
      </c>
      <c r="N6195" s="270" t="s">
        <v>10936</v>
      </c>
      <c r="O6195" s="270">
        <v>5059</v>
      </c>
      <c r="P6195" s="270" t="s">
        <v>3930</v>
      </c>
      <c r="Q6195" s="270" t="s">
        <v>3930</v>
      </c>
      <c r="R6195" s="270">
        <v>5059</v>
      </c>
      <c r="S6195" s="270">
        <v>43097</v>
      </c>
      <c r="T6195" s="270">
        <v>48156</v>
      </c>
      <c r="U6195" s="271" t="s">
        <v>3937</v>
      </c>
      <c r="V6195" s="267" t="s">
        <v>944</v>
      </c>
    </row>
    <row r="6196" spans="1:22" hidden="1" x14ac:dyDescent="0.25">
      <c r="A6196" s="266">
        <v>43759</v>
      </c>
      <c r="B6196" s="267">
        <v>2019</v>
      </c>
      <c r="C6196" s="267">
        <v>2020</v>
      </c>
      <c r="D6196" s="267">
        <v>1</v>
      </c>
      <c r="E6196" s="267">
        <v>1</v>
      </c>
      <c r="F6196" s="267" t="s">
        <v>944</v>
      </c>
      <c r="G6196" s="267" t="s">
        <v>3926</v>
      </c>
      <c r="H6196" s="267" t="s">
        <v>10937</v>
      </c>
      <c r="I6196" s="267" t="s">
        <v>4392</v>
      </c>
      <c r="J6196" s="267" t="s">
        <v>3928</v>
      </c>
      <c r="K6196" s="267">
        <v>6457</v>
      </c>
      <c r="L6196" s="267">
        <v>541402</v>
      </c>
      <c r="M6196" s="267" t="s">
        <v>3935</v>
      </c>
      <c r="N6196" s="267" t="s">
        <v>3944</v>
      </c>
      <c r="O6196" s="267">
        <v>4835</v>
      </c>
      <c r="P6196" s="267" t="s">
        <v>3944</v>
      </c>
      <c r="Q6196" s="267" t="s">
        <v>3944</v>
      </c>
      <c r="R6196" s="267">
        <v>4835</v>
      </c>
      <c r="S6196" s="267">
        <v>35989</v>
      </c>
      <c r="T6196" s="267">
        <v>40824</v>
      </c>
      <c r="U6196" s="268" t="s">
        <v>3945</v>
      </c>
      <c r="V6196" s="267" t="s">
        <v>944</v>
      </c>
    </row>
    <row r="6197" spans="1:22" hidden="1" x14ac:dyDescent="0.25">
      <c r="A6197" s="269">
        <v>43759</v>
      </c>
      <c r="B6197" s="270">
        <v>2019</v>
      </c>
      <c r="C6197" s="270">
        <v>2020</v>
      </c>
      <c r="D6197" s="270">
        <v>1</v>
      </c>
      <c r="E6197" s="270">
        <v>1</v>
      </c>
      <c r="F6197" s="270" t="s">
        <v>944</v>
      </c>
      <c r="G6197" s="270" t="s">
        <v>3926</v>
      </c>
      <c r="H6197" s="270" t="s">
        <v>10938</v>
      </c>
      <c r="I6197" s="270" t="s">
        <v>950</v>
      </c>
      <c r="J6197" s="270" t="s">
        <v>3928</v>
      </c>
      <c r="K6197" s="270">
        <v>6516</v>
      </c>
      <c r="L6197" s="270">
        <v>154700</v>
      </c>
      <c r="M6197" s="270" t="s">
        <v>3960</v>
      </c>
      <c r="N6197" s="270" t="s">
        <v>3944</v>
      </c>
      <c r="O6197" s="270">
        <v>4222</v>
      </c>
      <c r="P6197" s="270" t="s">
        <v>3944</v>
      </c>
      <c r="Q6197" s="270" t="s">
        <v>3944</v>
      </c>
      <c r="R6197" s="270">
        <v>4222</v>
      </c>
      <c r="S6197" s="270">
        <v>24688</v>
      </c>
      <c r="T6197" s="270">
        <v>28910</v>
      </c>
      <c r="U6197" s="271" t="s">
        <v>3945</v>
      </c>
      <c r="V6197" s="267" t="s">
        <v>944</v>
      </c>
    </row>
    <row r="6198" spans="1:22" hidden="1" x14ac:dyDescent="0.25">
      <c r="A6198" s="266">
        <v>43759</v>
      </c>
      <c r="B6198" s="267">
        <v>2019</v>
      </c>
      <c r="C6198" s="267">
        <v>2020</v>
      </c>
      <c r="D6198" s="267">
        <v>1</v>
      </c>
      <c r="E6198" s="267">
        <v>1</v>
      </c>
      <c r="F6198" s="267" t="s">
        <v>944</v>
      </c>
      <c r="G6198" s="267" t="s">
        <v>3926</v>
      </c>
      <c r="H6198" s="267" t="s">
        <v>10939</v>
      </c>
      <c r="I6198" s="267" t="s">
        <v>4392</v>
      </c>
      <c r="J6198" s="267" t="s">
        <v>3928</v>
      </c>
      <c r="K6198" s="267">
        <v>6457</v>
      </c>
      <c r="L6198" s="267">
        <v>541401</v>
      </c>
      <c r="M6198" s="267" t="s">
        <v>3943</v>
      </c>
      <c r="N6198" s="267" t="s">
        <v>3944</v>
      </c>
      <c r="O6198" s="267">
        <v>2840</v>
      </c>
      <c r="P6198" s="267" t="s">
        <v>3944</v>
      </c>
      <c r="Q6198" s="267" t="s">
        <v>3944</v>
      </c>
      <c r="R6198" s="267">
        <v>2840</v>
      </c>
      <c r="S6198" s="267">
        <v>24337</v>
      </c>
      <c r="T6198" s="267">
        <v>27177</v>
      </c>
      <c r="U6198" s="268" t="s">
        <v>3945</v>
      </c>
      <c r="V6198" s="267" t="s">
        <v>944</v>
      </c>
    </row>
    <row r="6199" spans="1:22" hidden="1" x14ac:dyDescent="0.25">
      <c r="A6199" s="269">
        <v>43759</v>
      </c>
      <c r="B6199" s="270">
        <v>2019</v>
      </c>
      <c r="C6199" s="270">
        <v>2020</v>
      </c>
      <c r="D6199" s="270">
        <v>1</v>
      </c>
      <c r="E6199" s="270">
        <v>1</v>
      </c>
      <c r="F6199" s="270" t="s">
        <v>944</v>
      </c>
      <c r="G6199" s="270" t="s">
        <v>3926</v>
      </c>
      <c r="H6199" s="270" t="s">
        <v>10940</v>
      </c>
      <c r="I6199" s="270" t="s">
        <v>4232</v>
      </c>
      <c r="J6199" s="270" t="s">
        <v>3928</v>
      </c>
      <c r="K6199" s="270">
        <v>6483</v>
      </c>
      <c r="L6199" s="270">
        <v>130101</v>
      </c>
      <c r="M6199" s="270" t="s">
        <v>3940</v>
      </c>
      <c r="N6199" s="270" t="s">
        <v>3944</v>
      </c>
      <c r="O6199" s="270">
        <v>3700</v>
      </c>
      <c r="P6199" s="270" t="s">
        <v>3944</v>
      </c>
      <c r="Q6199" s="270" t="s">
        <v>3944</v>
      </c>
      <c r="R6199" s="270">
        <v>3700</v>
      </c>
      <c r="S6199" s="270">
        <v>39496</v>
      </c>
      <c r="T6199" s="270">
        <v>43196</v>
      </c>
      <c r="U6199" s="271" t="s">
        <v>3945</v>
      </c>
      <c r="V6199" s="267" t="s">
        <v>944</v>
      </c>
    </row>
    <row r="6200" spans="1:22" hidden="1" x14ac:dyDescent="0.25">
      <c r="A6200" s="266">
        <v>43759</v>
      </c>
      <c r="B6200" s="267">
        <v>2019</v>
      </c>
      <c r="C6200" s="267">
        <v>2020</v>
      </c>
      <c r="D6200" s="267">
        <v>1</v>
      </c>
      <c r="E6200" s="267">
        <v>1</v>
      </c>
      <c r="F6200" s="267" t="s">
        <v>944</v>
      </c>
      <c r="G6200" s="267" t="s">
        <v>3926</v>
      </c>
      <c r="H6200" s="267" t="s">
        <v>10941</v>
      </c>
      <c r="I6200" s="267" t="s">
        <v>3025</v>
      </c>
      <c r="J6200" s="267" t="s">
        <v>3928</v>
      </c>
      <c r="K6200" s="267">
        <v>6473</v>
      </c>
      <c r="L6200" s="267">
        <v>167100</v>
      </c>
      <c r="M6200" s="267" t="s">
        <v>3943</v>
      </c>
      <c r="N6200" s="267" t="s">
        <v>3944</v>
      </c>
      <c r="O6200" s="267">
        <v>2001</v>
      </c>
      <c r="P6200" s="267" t="s">
        <v>3944</v>
      </c>
      <c r="Q6200" s="267" t="s">
        <v>3944</v>
      </c>
      <c r="R6200" s="267">
        <v>2001</v>
      </c>
      <c r="S6200" s="267">
        <v>28682</v>
      </c>
      <c r="T6200" s="267">
        <v>30683</v>
      </c>
      <c r="U6200" s="268" t="s">
        <v>3945</v>
      </c>
      <c r="V6200" s="267" t="s">
        <v>944</v>
      </c>
    </row>
    <row r="6201" spans="1:22" hidden="1" x14ac:dyDescent="0.25">
      <c r="A6201" s="269">
        <v>43759</v>
      </c>
      <c r="B6201" s="270">
        <v>2019</v>
      </c>
      <c r="C6201" s="270">
        <v>2020</v>
      </c>
      <c r="D6201" s="270">
        <v>1</v>
      </c>
      <c r="E6201" s="270">
        <v>1</v>
      </c>
      <c r="F6201" s="270" t="s">
        <v>944</v>
      </c>
      <c r="G6201" s="270" t="s">
        <v>3926</v>
      </c>
      <c r="H6201" s="270" t="s">
        <v>10942</v>
      </c>
      <c r="I6201" s="270" t="s">
        <v>953</v>
      </c>
      <c r="J6201" s="270" t="s">
        <v>3928</v>
      </c>
      <c r="K6201" s="270">
        <v>6514</v>
      </c>
      <c r="L6201" s="270">
        <v>165802</v>
      </c>
      <c r="M6201" s="270" t="s">
        <v>3943</v>
      </c>
      <c r="N6201" s="270" t="s">
        <v>3944</v>
      </c>
      <c r="O6201" s="270">
        <v>2152</v>
      </c>
      <c r="P6201" s="270" t="s">
        <v>3944</v>
      </c>
      <c r="Q6201" s="270" t="s">
        <v>3944</v>
      </c>
      <c r="R6201" s="270">
        <v>2152</v>
      </c>
      <c r="S6201" s="270">
        <v>41812</v>
      </c>
      <c r="T6201" s="270">
        <v>43964</v>
      </c>
      <c r="U6201" s="271" t="s">
        <v>3945</v>
      </c>
      <c r="V6201" s="267" t="s">
        <v>944</v>
      </c>
    </row>
    <row r="6202" spans="1:22" hidden="1" x14ac:dyDescent="0.25">
      <c r="A6202" s="266">
        <v>43759</v>
      </c>
      <c r="B6202" s="267">
        <v>2019</v>
      </c>
      <c r="C6202" s="267">
        <v>2020</v>
      </c>
      <c r="D6202" s="267">
        <v>1</v>
      </c>
      <c r="E6202" s="267">
        <v>1</v>
      </c>
      <c r="F6202" s="267" t="s">
        <v>944</v>
      </c>
      <c r="G6202" s="267" t="s">
        <v>3926</v>
      </c>
      <c r="H6202" s="267" t="s">
        <v>10943</v>
      </c>
      <c r="I6202" s="267" t="s">
        <v>4297</v>
      </c>
      <c r="J6202" s="267" t="s">
        <v>3928</v>
      </c>
      <c r="K6202" s="267">
        <v>6231</v>
      </c>
      <c r="L6202" s="267">
        <v>526101</v>
      </c>
      <c r="M6202" s="267" t="s">
        <v>3943</v>
      </c>
      <c r="N6202" s="267" t="s">
        <v>3944</v>
      </c>
      <c r="O6202" s="267">
        <v>7575</v>
      </c>
      <c r="P6202" s="267" t="s">
        <v>3944</v>
      </c>
      <c r="Q6202" s="267" t="s">
        <v>3944</v>
      </c>
      <c r="R6202" s="267">
        <v>7575</v>
      </c>
      <c r="S6202" s="267">
        <v>44697</v>
      </c>
      <c r="T6202" s="267">
        <v>52272</v>
      </c>
      <c r="U6202" s="268" t="s">
        <v>3945</v>
      </c>
      <c r="V6202" s="267" t="s">
        <v>944</v>
      </c>
    </row>
    <row r="6203" spans="1:22" hidden="1" x14ac:dyDescent="0.25">
      <c r="A6203" s="269">
        <v>43759</v>
      </c>
      <c r="B6203" s="270">
        <v>2019</v>
      </c>
      <c r="C6203" s="270">
        <v>2020</v>
      </c>
      <c r="D6203" s="270">
        <v>1</v>
      </c>
      <c r="E6203" s="270">
        <v>1</v>
      </c>
      <c r="F6203" s="270" t="s">
        <v>944</v>
      </c>
      <c r="G6203" s="270" t="s">
        <v>3926</v>
      </c>
      <c r="H6203" s="270" t="s">
        <v>10944</v>
      </c>
      <c r="I6203" s="270" t="s">
        <v>3026</v>
      </c>
      <c r="J6203" s="270" t="s">
        <v>3928</v>
      </c>
      <c r="K6203" s="270">
        <v>6471</v>
      </c>
      <c r="L6203" s="270">
        <v>186100</v>
      </c>
      <c r="M6203" s="270" t="s">
        <v>3935</v>
      </c>
      <c r="N6203" s="270" t="s">
        <v>3944</v>
      </c>
      <c r="O6203" s="270">
        <v>2900</v>
      </c>
      <c r="P6203" s="270" t="s">
        <v>3944</v>
      </c>
      <c r="Q6203" s="270" t="s">
        <v>3944</v>
      </c>
      <c r="R6203" s="270">
        <v>2900</v>
      </c>
      <c r="S6203" s="270">
        <v>55975</v>
      </c>
      <c r="T6203" s="270">
        <v>58875</v>
      </c>
      <c r="U6203" s="271" t="s">
        <v>3945</v>
      </c>
      <c r="V6203" s="267" t="s">
        <v>944</v>
      </c>
    </row>
    <row r="6204" spans="1:22" hidden="1" x14ac:dyDescent="0.25">
      <c r="A6204" s="266">
        <v>43759</v>
      </c>
      <c r="B6204" s="267">
        <v>2019</v>
      </c>
      <c r="C6204" s="267">
        <v>2020</v>
      </c>
      <c r="D6204" s="267">
        <v>1</v>
      </c>
      <c r="E6204" s="267">
        <v>1</v>
      </c>
      <c r="F6204" s="267" t="s">
        <v>944</v>
      </c>
      <c r="G6204" s="267" t="s">
        <v>3997</v>
      </c>
      <c r="H6204" s="267" t="s">
        <v>10945</v>
      </c>
      <c r="I6204" s="267" t="s">
        <v>3939</v>
      </c>
      <c r="J6204" s="267" t="s">
        <v>3928</v>
      </c>
      <c r="K6204" s="267">
        <v>6512</v>
      </c>
      <c r="L6204" s="267">
        <v>180100</v>
      </c>
      <c r="M6204" s="267" t="s">
        <v>3940</v>
      </c>
      <c r="N6204" s="267" t="s">
        <v>3944</v>
      </c>
      <c r="O6204" s="267">
        <v>1571.43</v>
      </c>
      <c r="P6204" s="267" t="s">
        <v>3944</v>
      </c>
      <c r="Q6204" s="267" t="s">
        <v>3944</v>
      </c>
      <c r="R6204" s="267">
        <v>1571.43</v>
      </c>
      <c r="S6204" s="267">
        <v>24884.57</v>
      </c>
      <c r="T6204" s="267">
        <v>26456</v>
      </c>
      <c r="U6204" s="268" t="s">
        <v>3945</v>
      </c>
      <c r="V6204" s="267" t="s">
        <v>944</v>
      </c>
    </row>
    <row r="6205" spans="1:22" hidden="1" x14ac:dyDescent="0.25">
      <c r="A6205" s="269">
        <v>43759</v>
      </c>
      <c r="B6205" s="270">
        <v>2019</v>
      </c>
      <c r="C6205" s="270">
        <v>2020</v>
      </c>
      <c r="D6205" s="270">
        <v>1</v>
      </c>
      <c r="E6205" s="270">
        <v>1</v>
      </c>
      <c r="F6205" s="270" t="s">
        <v>944</v>
      </c>
      <c r="G6205" s="270" t="s">
        <v>3997</v>
      </c>
      <c r="H6205" s="270" t="s">
        <v>10946</v>
      </c>
      <c r="I6205" s="270" t="s">
        <v>3009</v>
      </c>
      <c r="J6205" s="270" t="s">
        <v>3928</v>
      </c>
      <c r="K6205" s="270">
        <v>6484</v>
      </c>
      <c r="L6205" s="270">
        <v>110400</v>
      </c>
      <c r="M6205" s="270" t="s">
        <v>3943</v>
      </c>
      <c r="N6205" s="270" t="s">
        <v>3944</v>
      </c>
      <c r="O6205" s="270">
        <v>2618.6</v>
      </c>
      <c r="P6205" s="270" t="s">
        <v>3944</v>
      </c>
      <c r="Q6205" s="270" t="s">
        <v>3944</v>
      </c>
      <c r="R6205" s="270">
        <v>2618.6</v>
      </c>
      <c r="S6205" s="270">
        <v>40769.24</v>
      </c>
      <c r="T6205" s="270">
        <v>43387.839999999997</v>
      </c>
      <c r="U6205" s="271" t="s">
        <v>3945</v>
      </c>
      <c r="V6205" s="267" t="s">
        <v>944</v>
      </c>
    </row>
    <row r="6206" spans="1:22" hidden="1" x14ac:dyDescent="0.25">
      <c r="A6206" s="266">
        <v>43759</v>
      </c>
      <c r="B6206" s="267">
        <v>2019</v>
      </c>
      <c r="C6206" s="267">
        <v>2020</v>
      </c>
      <c r="D6206" s="267">
        <v>1</v>
      </c>
      <c r="E6206" s="267">
        <v>1</v>
      </c>
      <c r="F6206" s="267" t="s">
        <v>944</v>
      </c>
      <c r="G6206" s="267" t="s">
        <v>3926</v>
      </c>
      <c r="H6206" s="267" t="s">
        <v>10947</v>
      </c>
      <c r="I6206" s="267" t="s">
        <v>3009</v>
      </c>
      <c r="J6206" s="267" t="s">
        <v>3928</v>
      </c>
      <c r="K6206" s="267">
        <v>6484</v>
      </c>
      <c r="L6206" s="267">
        <v>110600</v>
      </c>
      <c r="M6206" s="267" t="s">
        <v>3943</v>
      </c>
      <c r="N6206" s="267" t="s">
        <v>3944</v>
      </c>
      <c r="O6206" s="267">
        <v>3522</v>
      </c>
      <c r="P6206" s="267" t="s">
        <v>3944</v>
      </c>
      <c r="Q6206" s="267" t="s">
        <v>3944</v>
      </c>
      <c r="R6206" s="267">
        <v>3522</v>
      </c>
      <c r="S6206" s="267">
        <v>41883</v>
      </c>
      <c r="T6206" s="267">
        <v>45405</v>
      </c>
      <c r="U6206" s="268" t="s">
        <v>3945</v>
      </c>
      <c r="V6206" s="267" t="s">
        <v>944</v>
      </c>
    </row>
    <row r="6207" spans="1:22" hidden="1" x14ac:dyDescent="0.25">
      <c r="A6207" s="269">
        <v>43759</v>
      </c>
      <c r="B6207" s="270">
        <v>2019</v>
      </c>
      <c r="C6207" s="270">
        <v>2020</v>
      </c>
      <c r="D6207" s="270">
        <v>1</v>
      </c>
      <c r="E6207" s="270">
        <v>1</v>
      </c>
      <c r="F6207" s="270" t="s">
        <v>944</v>
      </c>
      <c r="G6207" s="270" t="s">
        <v>3926</v>
      </c>
      <c r="H6207" s="270" t="s">
        <v>10948</v>
      </c>
      <c r="I6207" s="270" t="s">
        <v>4040</v>
      </c>
      <c r="J6207" s="270" t="s">
        <v>3928</v>
      </c>
      <c r="K6207" s="270">
        <v>6339</v>
      </c>
      <c r="L6207" s="270">
        <v>701100</v>
      </c>
      <c r="M6207" s="270" t="s">
        <v>3960</v>
      </c>
      <c r="N6207" s="270" t="s">
        <v>3944</v>
      </c>
      <c r="O6207" s="270">
        <v>3311</v>
      </c>
      <c r="P6207" s="270" t="s">
        <v>3944</v>
      </c>
      <c r="Q6207" s="270" t="s">
        <v>3944</v>
      </c>
      <c r="R6207" s="270">
        <v>3311</v>
      </c>
      <c r="S6207" s="270">
        <v>33642.25</v>
      </c>
      <c r="T6207" s="270">
        <v>36953.25</v>
      </c>
      <c r="U6207" s="271" t="s">
        <v>3945</v>
      </c>
      <c r="V6207" s="267" t="s">
        <v>944</v>
      </c>
    </row>
    <row r="6208" spans="1:22" hidden="1" x14ac:dyDescent="0.25">
      <c r="A6208" s="266">
        <v>43759</v>
      </c>
      <c r="B6208" s="267">
        <v>2019</v>
      </c>
      <c r="C6208" s="267">
        <v>2020</v>
      </c>
      <c r="D6208" s="267">
        <v>1</v>
      </c>
      <c r="E6208" s="267">
        <v>1</v>
      </c>
      <c r="F6208" s="267" t="s">
        <v>944</v>
      </c>
      <c r="G6208" s="267" t="s">
        <v>3997</v>
      </c>
      <c r="H6208" s="267" t="s">
        <v>10949</v>
      </c>
      <c r="I6208" s="267" t="s">
        <v>4011</v>
      </c>
      <c r="J6208" s="267" t="s">
        <v>3928</v>
      </c>
      <c r="K6208" s="267">
        <v>6002</v>
      </c>
      <c r="L6208" s="267">
        <v>471100</v>
      </c>
      <c r="M6208" s="267" t="s">
        <v>3935</v>
      </c>
      <c r="N6208" s="267" t="s">
        <v>3944</v>
      </c>
      <c r="O6208" s="267">
        <v>1360.73</v>
      </c>
      <c r="P6208" s="267" t="s">
        <v>3944</v>
      </c>
      <c r="Q6208" s="267" t="s">
        <v>3944</v>
      </c>
      <c r="R6208" s="267">
        <v>1360.73</v>
      </c>
      <c r="S6208" s="267">
        <v>18745.830000000002</v>
      </c>
      <c r="T6208" s="267">
        <v>20106.560000000001</v>
      </c>
      <c r="U6208" s="268" t="s">
        <v>3945</v>
      </c>
      <c r="V6208" s="267" t="s">
        <v>944</v>
      </c>
    </row>
    <row r="6209" spans="1:22" hidden="1" x14ac:dyDescent="0.25">
      <c r="A6209" s="269">
        <v>43759</v>
      </c>
      <c r="B6209" s="270">
        <v>2019</v>
      </c>
      <c r="C6209" s="270">
        <v>2020</v>
      </c>
      <c r="D6209" s="270">
        <v>1</v>
      </c>
      <c r="E6209" s="270">
        <v>1</v>
      </c>
      <c r="F6209" s="270" t="s">
        <v>944</v>
      </c>
      <c r="G6209" s="270" t="s">
        <v>3926</v>
      </c>
      <c r="H6209" s="270" t="s">
        <v>10950</v>
      </c>
      <c r="I6209" s="270" t="s">
        <v>3985</v>
      </c>
      <c r="J6209" s="270" t="s">
        <v>3928</v>
      </c>
      <c r="K6209" s="270">
        <v>6226</v>
      </c>
      <c r="L6209" s="270">
        <v>800400</v>
      </c>
      <c r="M6209" s="270" t="s">
        <v>3940</v>
      </c>
      <c r="N6209" s="270" t="s">
        <v>3944</v>
      </c>
      <c r="O6209" s="270">
        <v>1963.01</v>
      </c>
      <c r="P6209" s="270" t="s">
        <v>3944</v>
      </c>
      <c r="Q6209" s="270" t="s">
        <v>3944</v>
      </c>
      <c r="R6209" s="270">
        <v>1963.01</v>
      </c>
      <c r="S6209" s="270">
        <v>30604.44</v>
      </c>
      <c r="T6209" s="270">
        <v>32567.45</v>
      </c>
      <c r="U6209" s="271" t="s">
        <v>3945</v>
      </c>
      <c r="V6209" s="267" t="s">
        <v>944</v>
      </c>
    </row>
    <row r="6210" spans="1:22" hidden="1" x14ac:dyDescent="0.25">
      <c r="A6210" s="266">
        <v>43759</v>
      </c>
      <c r="B6210" s="267">
        <v>2019</v>
      </c>
      <c r="C6210" s="267">
        <v>2020</v>
      </c>
      <c r="D6210" s="267">
        <v>1</v>
      </c>
      <c r="E6210" s="267">
        <v>1</v>
      </c>
      <c r="F6210" s="267" t="s">
        <v>944</v>
      </c>
      <c r="G6210" s="267" t="s">
        <v>3926</v>
      </c>
      <c r="H6210" s="267" t="s">
        <v>10951</v>
      </c>
      <c r="I6210" s="267" t="s">
        <v>6362</v>
      </c>
      <c r="J6210" s="267" t="s">
        <v>3928</v>
      </c>
      <c r="K6210" s="267">
        <v>6026</v>
      </c>
      <c r="L6210" s="267">
        <v>470100</v>
      </c>
      <c r="M6210" s="267" t="s">
        <v>3943</v>
      </c>
      <c r="N6210" s="267" t="s">
        <v>3944</v>
      </c>
      <c r="O6210" s="267">
        <v>2989.81</v>
      </c>
      <c r="P6210" s="267" t="s">
        <v>3944</v>
      </c>
      <c r="Q6210" s="267" t="s">
        <v>3944</v>
      </c>
      <c r="R6210" s="267">
        <v>2989.81</v>
      </c>
      <c r="S6210" s="267">
        <v>38814</v>
      </c>
      <c r="T6210" s="267">
        <v>41803.81</v>
      </c>
      <c r="U6210" s="268" t="s">
        <v>3945</v>
      </c>
      <c r="V6210" s="267" t="s">
        <v>944</v>
      </c>
    </row>
    <row r="6211" spans="1:22" hidden="1" x14ac:dyDescent="0.25">
      <c r="A6211" s="269">
        <v>43759</v>
      </c>
      <c r="B6211" s="270">
        <v>2019</v>
      </c>
      <c r="C6211" s="270">
        <v>2020</v>
      </c>
      <c r="D6211" s="270">
        <v>1</v>
      </c>
      <c r="E6211" s="270">
        <v>1</v>
      </c>
      <c r="F6211" s="270" t="s">
        <v>944</v>
      </c>
      <c r="G6211" s="270" t="s">
        <v>3926</v>
      </c>
      <c r="H6211" s="270" t="s">
        <v>10952</v>
      </c>
      <c r="I6211" s="270" t="s">
        <v>4295</v>
      </c>
      <c r="J6211" s="270" t="s">
        <v>3928</v>
      </c>
      <c r="K6211" s="270">
        <v>6043</v>
      </c>
      <c r="L6211" s="270">
        <v>529100</v>
      </c>
      <c r="M6211" s="270" t="s">
        <v>3943</v>
      </c>
      <c r="N6211" s="270" t="s">
        <v>3944</v>
      </c>
      <c r="O6211" s="270">
        <v>3918.32</v>
      </c>
      <c r="P6211" s="270" t="s">
        <v>3944</v>
      </c>
      <c r="Q6211" s="270" t="s">
        <v>3944</v>
      </c>
      <c r="R6211" s="270">
        <v>3918.32</v>
      </c>
      <c r="S6211" s="270">
        <v>58842.66</v>
      </c>
      <c r="T6211" s="270">
        <v>62760.98</v>
      </c>
      <c r="U6211" s="271" t="s">
        <v>3945</v>
      </c>
      <c r="V6211" s="267" t="s">
        <v>944</v>
      </c>
    </row>
    <row r="6212" spans="1:22" hidden="1" x14ac:dyDescent="0.25">
      <c r="A6212" s="266">
        <v>43759</v>
      </c>
      <c r="B6212" s="267">
        <v>2019</v>
      </c>
      <c r="C6212" s="267">
        <v>2020</v>
      </c>
      <c r="D6212" s="267">
        <v>1</v>
      </c>
      <c r="E6212" s="267">
        <v>1</v>
      </c>
      <c r="F6212" s="267" t="s">
        <v>944</v>
      </c>
      <c r="G6212" s="267" t="s">
        <v>3926</v>
      </c>
      <c r="H6212" s="267" t="s">
        <v>10953</v>
      </c>
      <c r="I6212" s="267" t="s">
        <v>3939</v>
      </c>
      <c r="J6212" s="267" t="s">
        <v>3928</v>
      </c>
      <c r="K6212" s="267">
        <v>6512</v>
      </c>
      <c r="L6212" s="267">
        <v>180200</v>
      </c>
      <c r="M6212" s="267" t="s">
        <v>3940</v>
      </c>
      <c r="N6212" s="267" t="s">
        <v>3944</v>
      </c>
      <c r="O6212" s="267">
        <v>1013.53</v>
      </c>
      <c r="P6212" s="267" t="s">
        <v>3944</v>
      </c>
      <c r="Q6212" s="267" t="s">
        <v>3944</v>
      </c>
      <c r="R6212" s="267">
        <v>1013.53</v>
      </c>
      <c r="S6212" s="267">
        <v>16574.07</v>
      </c>
      <c r="T6212" s="267">
        <v>17587.599999999999</v>
      </c>
      <c r="U6212" s="268" t="s">
        <v>3945</v>
      </c>
      <c r="V6212" s="267" t="s">
        <v>944</v>
      </c>
    </row>
    <row r="6213" spans="1:22" hidden="1" x14ac:dyDescent="0.25">
      <c r="A6213" s="269">
        <v>43759</v>
      </c>
      <c r="B6213" s="270">
        <v>2019</v>
      </c>
      <c r="C6213" s="270">
        <v>2020</v>
      </c>
      <c r="D6213" s="270">
        <v>1</v>
      </c>
      <c r="E6213" s="270">
        <v>1</v>
      </c>
      <c r="F6213" s="270" t="s">
        <v>944</v>
      </c>
      <c r="G6213" s="270" t="s">
        <v>3926</v>
      </c>
      <c r="H6213" s="270" t="s">
        <v>10954</v>
      </c>
      <c r="I6213" s="270" t="s">
        <v>4040</v>
      </c>
      <c r="J6213" s="270" t="s">
        <v>3928</v>
      </c>
      <c r="K6213" s="270">
        <v>6335</v>
      </c>
      <c r="L6213" s="270">
        <v>701200</v>
      </c>
      <c r="M6213" s="270" t="s">
        <v>3960</v>
      </c>
      <c r="N6213" s="270" t="s">
        <v>3944</v>
      </c>
      <c r="O6213" s="270">
        <v>1012.1</v>
      </c>
      <c r="P6213" s="270" t="s">
        <v>3944</v>
      </c>
      <c r="Q6213" s="270" t="s">
        <v>3944</v>
      </c>
      <c r="R6213" s="270">
        <v>1012.1</v>
      </c>
      <c r="S6213" s="270">
        <v>15988.65</v>
      </c>
      <c r="T6213" s="270">
        <v>17000.75</v>
      </c>
      <c r="U6213" s="271" t="s">
        <v>3945</v>
      </c>
      <c r="V6213" s="267" t="s">
        <v>944</v>
      </c>
    </row>
    <row r="6214" spans="1:22" hidden="1" x14ac:dyDescent="0.25">
      <c r="A6214" s="266">
        <v>43759</v>
      </c>
      <c r="B6214" s="267">
        <v>2019</v>
      </c>
      <c r="C6214" s="267">
        <v>2020</v>
      </c>
      <c r="D6214" s="267">
        <v>1</v>
      </c>
      <c r="E6214" s="267">
        <v>1</v>
      </c>
      <c r="F6214" s="267" t="s">
        <v>944</v>
      </c>
      <c r="G6214" s="267" t="s">
        <v>3926</v>
      </c>
      <c r="H6214" s="267" t="s">
        <v>10955</v>
      </c>
      <c r="I6214" s="267" t="s">
        <v>4042</v>
      </c>
      <c r="J6214" s="267" t="s">
        <v>3928</v>
      </c>
      <c r="K6214" s="267">
        <v>6370</v>
      </c>
      <c r="L6214" s="267">
        <v>695201</v>
      </c>
      <c r="M6214" s="267" t="s">
        <v>3935</v>
      </c>
      <c r="N6214" s="267" t="s">
        <v>3944</v>
      </c>
      <c r="O6214" s="267">
        <v>2699.06</v>
      </c>
      <c r="P6214" s="267" t="s">
        <v>3944</v>
      </c>
      <c r="Q6214" s="267" t="s">
        <v>3944</v>
      </c>
      <c r="R6214" s="267">
        <v>2699.06</v>
      </c>
      <c r="S6214" s="267">
        <v>40735.519999999997</v>
      </c>
      <c r="T6214" s="267">
        <v>43434.58</v>
      </c>
      <c r="U6214" s="268" t="s">
        <v>3945</v>
      </c>
      <c r="V6214" s="267" t="s">
        <v>944</v>
      </c>
    </row>
    <row r="6215" spans="1:22" hidden="1" x14ac:dyDescent="0.25">
      <c r="A6215" s="269">
        <v>43759</v>
      </c>
      <c r="B6215" s="270">
        <v>2019</v>
      </c>
      <c r="C6215" s="270">
        <v>2020</v>
      </c>
      <c r="D6215" s="270">
        <v>1</v>
      </c>
      <c r="E6215" s="270">
        <v>1</v>
      </c>
      <c r="F6215" s="270" t="s">
        <v>944</v>
      </c>
      <c r="G6215" s="270" t="s">
        <v>3926</v>
      </c>
      <c r="H6215" s="270" t="s">
        <v>10956</v>
      </c>
      <c r="I6215" s="270" t="s">
        <v>956</v>
      </c>
      <c r="J6215" s="270" t="s">
        <v>3928</v>
      </c>
      <c r="K6215" s="270">
        <v>6614</v>
      </c>
      <c r="L6215" s="270">
        <v>80100</v>
      </c>
      <c r="M6215" s="270" t="s">
        <v>3935</v>
      </c>
      <c r="N6215" s="270" t="s">
        <v>3944</v>
      </c>
      <c r="O6215" s="270">
        <v>951.55</v>
      </c>
      <c r="P6215" s="270" t="s">
        <v>3944</v>
      </c>
      <c r="Q6215" s="270" t="s">
        <v>3944</v>
      </c>
      <c r="R6215" s="270">
        <v>951.55</v>
      </c>
      <c r="S6215" s="270">
        <v>16800.93</v>
      </c>
      <c r="T6215" s="270">
        <v>17752.48</v>
      </c>
      <c r="U6215" s="271" t="s">
        <v>3945</v>
      </c>
      <c r="V6215" s="267" t="s">
        <v>944</v>
      </c>
    </row>
    <row r="6216" spans="1:22" hidden="1" x14ac:dyDescent="0.25">
      <c r="A6216" s="266">
        <v>43759</v>
      </c>
      <c r="B6216" s="267">
        <v>2019</v>
      </c>
      <c r="C6216" s="267">
        <v>2020</v>
      </c>
      <c r="D6216" s="267">
        <v>1</v>
      </c>
      <c r="E6216" s="267">
        <v>1</v>
      </c>
      <c r="F6216" s="267" t="s">
        <v>944</v>
      </c>
      <c r="G6216" s="267" t="s">
        <v>3926</v>
      </c>
      <c r="H6216" s="267" t="s">
        <v>10957</v>
      </c>
      <c r="I6216" s="267" t="s">
        <v>953</v>
      </c>
      <c r="J6216" s="267" t="s">
        <v>3928</v>
      </c>
      <c r="K6216" s="267">
        <v>6514</v>
      </c>
      <c r="L6216" s="267">
        <v>165600</v>
      </c>
      <c r="M6216" s="267" t="s">
        <v>3940</v>
      </c>
      <c r="N6216" s="267" t="s">
        <v>3944</v>
      </c>
      <c r="O6216" s="267">
        <v>397.57</v>
      </c>
      <c r="P6216" s="267" t="s">
        <v>3944</v>
      </c>
      <c r="Q6216" s="267" t="s">
        <v>3944</v>
      </c>
      <c r="R6216" s="267">
        <v>397.57</v>
      </c>
      <c r="S6216" s="267">
        <v>6464.65</v>
      </c>
      <c r="T6216" s="267">
        <v>6862.22</v>
      </c>
      <c r="U6216" s="268" t="s">
        <v>3945</v>
      </c>
      <c r="V6216" s="267" t="s">
        <v>944</v>
      </c>
    </row>
    <row r="6217" spans="1:22" hidden="1" x14ac:dyDescent="0.25">
      <c r="A6217" s="269">
        <v>43759</v>
      </c>
      <c r="B6217" s="270">
        <v>2019</v>
      </c>
      <c r="C6217" s="270">
        <v>2020</v>
      </c>
      <c r="D6217" s="270">
        <v>1</v>
      </c>
      <c r="E6217" s="270">
        <v>1</v>
      </c>
      <c r="F6217" s="270" t="s">
        <v>944</v>
      </c>
      <c r="G6217" s="270" t="s">
        <v>3926</v>
      </c>
      <c r="H6217" s="270" t="s">
        <v>10958</v>
      </c>
      <c r="I6217" s="270" t="s">
        <v>4042</v>
      </c>
      <c r="J6217" s="270" t="s">
        <v>3928</v>
      </c>
      <c r="K6217" s="270">
        <v>6370</v>
      </c>
      <c r="L6217" s="270">
        <v>695202</v>
      </c>
      <c r="M6217" s="270" t="s">
        <v>3935</v>
      </c>
      <c r="N6217" s="270" t="s">
        <v>3944</v>
      </c>
      <c r="O6217" s="270">
        <v>1435.6</v>
      </c>
      <c r="P6217" s="270" t="s">
        <v>3944</v>
      </c>
      <c r="Q6217" s="270" t="s">
        <v>3944</v>
      </c>
      <c r="R6217" s="270">
        <v>1435.6</v>
      </c>
      <c r="S6217" s="270">
        <v>21781.03</v>
      </c>
      <c r="T6217" s="270">
        <v>23216.63</v>
      </c>
      <c r="U6217" s="271" t="s">
        <v>3945</v>
      </c>
      <c r="V6217" s="267" t="s">
        <v>944</v>
      </c>
    </row>
    <row r="6218" spans="1:22" hidden="1" x14ac:dyDescent="0.25">
      <c r="A6218" s="266">
        <v>43759</v>
      </c>
      <c r="B6218" s="267">
        <v>2019</v>
      </c>
      <c r="C6218" s="267">
        <v>2020</v>
      </c>
      <c r="D6218" s="267">
        <v>1</v>
      </c>
      <c r="E6218" s="267">
        <v>1</v>
      </c>
      <c r="F6218" s="267" t="s">
        <v>944</v>
      </c>
      <c r="G6218" s="267" t="s">
        <v>3926</v>
      </c>
      <c r="H6218" s="267" t="s">
        <v>10959</v>
      </c>
      <c r="I6218" s="267" t="s">
        <v>3962</v>
      </c>
      <c r="J6218" s="267" t="s">
        <v>3928</v>
      </c>
      <c r="K6218" s="267">
        <v>6378</v>
      </c>
      <c r="L6218" s="267">
        <v>705400</v>
      </c>
      <c r="M6218" s="267" t="s">
        <v>3943</v>
      </c>
      <c r="N6218" s="267" t="s">
        <v>3944</v>
      </c>
      <c r="O6218" s="267">
        <v>1859.52</v>
      </c>
      <c r="P6218" s="267" t="s">
        <v>3944</v>
      </c>
      <c r="Q6218" s="267" t="s">
        <v>3944</v>
      </c>
      <c r="R6218" s="267">
        <v>1859.52</v>
      </c>
      <c r="S6218" s="267">
        <v>27289.7</v>
      </c>
      <c r="T6218" s="267">
        <v>29149.22</v>
      </c>
      <c r="U6218" s="268" t="s">
        <v>3945</v>
      </c>
      <c r="V6218" s="267" t="s">
        <v>944</v>
      </c>
    </row>
    <row r="6219" spans="1:22" hidden="1" x14ac:dyDescent="0.25">
      <c r="A6219" s="269">
        <v>43759</v>
      </c>
      <c r="B6219" s="270">
        <v>2019</v>
      </c>
      <c r="C6219" s="270">
        <v>2020</v>
      </c>
      <c r="D6219" s="270">
        <v>1</v>
      </c>
      <c r="E6219" s="270">
        <v>1</v>
      </c>
      <c r="F6219" s="270" t="s">
        <v>944</v>
      </c>
      <c r="G6219" s="270" t="s">
        <v>3926</v>
      </c>
      <c r="H6219" s="270" t="s">
        <v>10960</v>
      </c>
      <c r="I6219" s="270" t="s">
        <v>4250</v>
      </c>
      <c r="J6219" s="270" t="s">
        <v>3928</v>
      </c>
      <c r="K6219" s="270">
        <v>6239</v>
      </c>
      <c r="L6219" s="270">
        <v>904400</v>
      </c>
      <c r="M6219" s="270" t="s">
        <v>3940</v>
      </c>
      <c r="N6219" s="270" t="s">
        <v>3944</v>
      </c>
      <c r="O6219" s="270">
        <v>1969.03</v>
      </c>
      <c r="P6219" s="270" t="s">
        <v>3944</v>
      </c>
      <c r="Q6219" s="270" t="s">
        <v>3944</v>
      </c>
      <c r="R6219" s="270">
        <v>1969.03</v>
      </c>
      <c r="S6219" s="270">
        <v>25436.959999999999</v>
      </c>
      <c r="T6219" s="270">
        <v>27405.99</v>
      </c>
      <c r="U6219" s="271" t="s">
        <v>3945</v>
      </c>
      <c r="V6219" s="267" t="s">
        <v>944</v>
      </c>
    </row>
    <row r="6220" spans="1:22" hidden="1" x14ac:dyDescent="0.25">
      <c r="A6220" s="266">
        <v>43759</v>
      </c>
      <c r="B6220" s="267">
        <v>2019</v>
      </c>
      <c r="C6220" s="267">
        <v>2020</v>
      </c>
      <c r="D6220" s="267">
        <v>1</v>
      </c>
      <c r="E6220" s="267">
        <v>1</v>
      </c>
      <c r="F6220" s="267" t="s">
        <v>944</v>
      </c>
      <c r="G6220" s="267" t="s">
        <v>3926</v>
      </c>
      <c r="H6220" s="267" t="s">
        <v>10961</v>
      </c>
      <c r="I6220" s="267" t="s">
        <v>3008</v>
      </c>
      <c r="J6220" s="267" t="s">
        <v>3928</v>
      </c>
      <c r="K6220" s="267">
        <v>6461</v>
      </c>
      <c r="L6220" s="267">
        <v>150300</v>
      </c>
      <c r="M6220" s="267" t="s">
        <v>3960</v>
      </c>
      <c r="N6220" s="267" t="s">
        <v>3944</v>
      </c>
      <c r="O6220" s="267">
        <v>2220.79</v>
      </c>
      <c r="P6220" s="267" t="s">
        <v>3944</v>
      </c>
      <c r="Q6220" s="267" t="s">
        <v>3944</v>
      </c>
      <c r="R6220" s="267">
        <v>2220.79</v>
      </c>
      <c r="S6220" s="267">
        <v>37887.82</v>
      </c>
      <c r="T6220" s="267">
        <v>40108.61</v>
      </c>
      <c r="U6220" s="268" t="s">
        <v>3945</v>
      </c>
      <c r="V6220" s="267" t="s">
        <v>944</v>
      </c>
    </row>
    <row r="6221" spans="1:22" hidden="1" x14ac:dyDescent="0.25">
      <c r="A6221" s="269">
        <v>43759</v>
      </c>
      <c r="B6221" s="270">
        <v>2019</v>
      </c>
      <c r="C6221" s="270">
        <v>2020</v>
      </c>
      <c r="D6221" s="270">
        <v>1</v>
      </c>
      <c r="E6221" s="270">
        <v>1</v>
      </c>
      <c r="F6221" s="270" t="s">
        <v>944</v>
      </c>
      <c r="G6221" s="270" t="s">
        <v>3926</v>
      </c>
      <c r="H6221" s="270" t="s">
        <v>10962</v>
      </c>
      <c r="I6221" s="270" t="s">
        <v>4200</v>
      </c>
      <c r="J6221" s="270" t="s">
        <v>3928</v>
      </c>
      <c r="K6221" s="270">
        <v>6795</v>
      </c>
      <c r="L6221" s="270">
        <v>360200</v>
      </c>
      <c r="M6221" s="270" t="s">
        <v>3943</v>
      </c>
      <c r="N6221" s="270" t="s">
        <v>3944</v>
      </c>
      <c r="O6221" s="270">
        <v>2116.6999999999998</v>
      </c>
      <c r="P6221" s="270" t="s">
        <v>3944</v>
      </c>
      <c r="Q6221" s="270" t="s">
        <v>3944</v>
      </c>
      <c r="R6221" s="270">
        <v>2116.6999999999998</v>
      </c>
      <c r="S6221" s="270">
        <v>29324.79</v>
      </c>
      <c r="T6221" s="270">
        <v>31441.49</v>
      </c>
      <c r="U6221" s="271" t="s">
        <v>3945</v>
      </c>
      <c r="V6221" s="267" t="s">
        <v>944</v>
      </c>
    </row>
    <row r="6222" spans="1:22" hidden="1" x14ac:dyDescent="0.25">
      <c r="A6222" s="266">
        <v>43759</v>
      </c>
      <c r="B6222" s="267">
        <v>2019</v>
      </c>
      <c r="C6222" s="267">
        <v>2020</v>
      </c>
      <c r="D6222" s="267">
        <v>1</v>
      </c>
      <c r="E6222" s="267">
        <v>1</v>
      </c>
      <c r="F6222" s="267" t="s">
        <v>944</v>
      </c>
      <c r="G6222" s="267" t="s">
        <v>3926</v>
      </c>
      <c r="H6222" s="267" t="s">
        <v>10963</v>
      </c>
      <c r="I6222" s="267" t="s">
        <v>3962</v>
      </c>
      <c r="J6222" s="267" t="s">
        <v>3928</v>
      </c>
      <c r="K6222" s="267">
        <v>6355</v>
      </c>
      <c r="L6222" s="267">
        <v>703000</v>
      </c>
      <c r="M6222" s="267" t="s">
        <v>3960</v>
      </c>
      <c r="N6222" s="267" t="s">
        <v>3944</v>
      </c>
      <c r="O6222" s="267">
        <v>1393.49</v>
      </c>
      <c r="P6222" s="267" t="s">
        <v>3944</v>
      </c>
      <c r="Q6222" s="267" t="s">
        <v>3944</v>
      </c>
      <c r="R6222" s="267">
        <v>1393.49</v>
      </c>
      <c r="S6222" s="267">
        <v>20458.55</v>
      </c>
      <c r="T6222" s="267">
        <v>21852.04</v>
      </c>
      <c r="U6222" s="268" t="s">
        <v>3945</v>
      </c>
      <c r="V6222" s="267" t="s">
        <v>944</v>
      </c>
    </row>
    <row r="6223" spans="1:22" hidden="1" x14ac:dyDescent="0.25">
      <c r="A6223" s="269">
        <v>43759</v>
      </c>
      <c r="B6223" s="270">
        <v>2019</v>
      </c>
      <c r="C6223" s="270">
        <v>2020</v>
      </c>
      <c r="D6223" s="270">
        <v>1</v>
      </c>
      <c r="E6223" s="270">
        <v>1</v>
      </c>
      <c r="F6223" s="270" t="s">
        <v>944</v>
      </c>
      <c r="G6223" s="270" t="s">
        <v>3926</v>
      </c>
      <c r="H6223" s="270" t="s">
        <v>10964</v>
      </c>
      <c r="I6223" s="270" t="s">
        <v>3962</v>
      </c>
      <c r="J6223" s="270" t="s">
        <v>3928</v>
      </c>
      <c r="K6223" s="270">
        <v>6379</v>
      </c>
      <c r="L6223" s="270">
        <v>705101</v>
      </c>
      <c r="M6223" s="270" t="s">
        <v>3935</v>
      </c>
      <c r="N6223" s="270" t="s">
        <v>3944</v>
      </c>
      <c r="O6223" s="270">
        <v>1898.09</v>
      </c>
      <c r="P6223" s="270" t="s">
        <v>3944</v>
      </c>
      <c r="Q6223" s="270" t="s">
        <v>3944</v>
      </c>
      <c r="R6223" s="270">
        <v>1898.09</v>
      </c>
      <c r="S6223" s="270">
        <v>28148.05</v>
      </c>
      <c r="T6223" s="270">
        <v>30046.14</v>
      </c>
      <c r="U6223" s="271" t="s">
        <v>3945</v>
      </c>
      <c r="V6223" s="267" t="s">
        <v>944</v>
      </c>
    </row>
    <row r="6224" spans="1:22" hidden="1" x14ac:dyDescent="0.25">
      <c r="A6224" s="266">
        <v>43759</v>
      </c>
      <c r="B6224" s="267">
        <v>2019</v>
      </c>
      <c r="C6224" s="267">
        <v>2020</v>
      </c>
      <c r="D6224" s="267">
        <v>1</v>
      </c>
      <c r="E6224" s="267">
        <v>1</v>
      </c>
      <c r="F6224" s="267" t="s">
        <v>944</v>
      </c>
      <c r="G6224" s="267" t="s">
        <v>3926</v>
      </c>
      <c r="H6224" s="267" t="s">
        <v>10965</v>
      </c>
      <c r="I6224" s="267" t="s">
        <v>3985</v>
      </c>
      <c r="J6224" s="267" t="s">
        <v>3928</v>
      </c>
      <c r="K6224" s="267">
        <v>6256</v>
      </c>
      <c r="L6224" s="267">
        <v>800500</v>
      </c>
      <c r="M6224" s="267" t="s">
        <v>3940</v>
      </c>
      <c r="N6224" s="267" t="s">
        <v>3944</v>
      </c>
      <c r="O6224" s="267">
        <v>2521.7199999999998</v>
      </c>
      <c r="P6224" s="267" t="s">
        <v>3944</v>
      </c>
      <c r="Q6224" s="267" t="s">
        <v>3944</v>
      </c>
      <c r="R6224" s="267">
        <v>2521.7199999999998</v>
      </c>
      <c r="S6224" s="267">
        <v>36934.47</v>
      </c>
      <c r="T6224" s="267">
        <v>39456.19</v>
      </c>
      <c r="U6224" s="268" t="s">
        <v>3945</v>
      </c>
      <c r="V6224" s="267" t="s">
        <v>944</v>
      </c>
    </row>
    <row r="6225" spans="1:22" hidden="1" x14ac:dyDescent="0.25">
      <c r="A6225" s="269">
        <v>43759</v>
      </c>
      <c r="B6225" s="270">
        <v>2019</v>
      </c>
      <c r="C6225" s="270">
        <v>2020</v>
      </c>
      <c r="D6225" s="270">
        <v>1</v>
      </c>
      <c r="E6225" s="270">
        <v>1</v>
      </c>
      <c r="F6225" s="270" t="s">
        <v>944</v>
      </c>
      <c r="G6225" s="270" t="s">
        <v>3926</v>
      </c>
      <c r="H6225" s="270" t="s">
        <v>10966</v>
      </c>
      <c r="I6225" s="270" t="s">
        <v>956</v>
      </c>
      <c r="J6225" s="270" t="s">
        <v>3928</v>
      </c>
      <c r="K6225" s="270">
        <v>6614</v>
      </c>
      <c r="L6225" s="270">
        <v>80900</v>
      </c>
      <c r="M6225" s="270" t="s">
        <v>3960</v>
      </c>
      <c r="N6225" s="270" t="s">
        <v>3944</v>
      </c>
      <c r="O6225" s="270">
        <v>1687.98</v>
      </c>
      <c r="P6225" s="270" t="s">
        <v>3944</v>
      </c>
      <c r="Q6225" s="270" t="s">
        <v>3944</v>
      </c>
      <c r="R6225" s="270">
        <v>1687.98</v>
      </c>
      <c r="S6225" s="270">
        <v>28922.68</v>
      </c>
      <c r="T6225" s="270">
        <v>30610.66</v>
      </c>
      <c r="U6225" s="271" t="s">
        <v>3945</v>
      </c>
      <c r="V6225" s="267" t="s">
        <v>944</v>
      </c>
    </row>
    <row r="6226" spans="1:22" hidden="1" x14ac:dyDescent="0.25">
      <c r="A6226" s="266">
        <v>43759</v>
      </c>
      <c r="B6226" s="267">
        <v>2019</v>
      </c>
      <c r="C6226" s="267">
        <v>2020</v>
      </c>
      <c r="D6226" s="267">
        <v>1</v>
      </c>
      <c r="E6226" s="267">
        <v>1</v>
      </c>
      <c r="F6226" s="267" t="s">
        <v>944</v>
      </c>
      <c r="G6226" s="267" t="s">
        <v>3926</v>
      </c>
      <c r="H6226" s="267" t="s">
        <v>10967</v>
      </c>
      <c r="I6226" s="267" t="s">
        <v>3939</v>
      </c>
      <c r="J6226" s="267" t="s">
        <v>3928</v>
      </c>
      <c r="K6226" s="267">
        <v>6513</v>
      </c>
      <c r="L6226" s="267">
        <v>180500</v>
      </c>
      <c r="M6226" s="267" t="s">
        <v>3935</v>
      </c>
      <c r="N6226" s="267" t="s">
        <v>3944</v>
      </c>
      <c r="O6226" s="267">
        <v>2064.41</v>
      </c>
      <c r="P6226" s="267" t="s">
        <v>3944</v>
      </c>
      <c r="Q6226" s="267" t="s">
        <v>3944</v>
      </c>
      <c r="R6226" s="267">
        <v>2064.41</v>
      </c>
      <c r="S6226" s="267">
        <v>29523.03</v>
      </c>
      <c r="T6226" s="267">
        <v>31587.439999999999</v>
      </c>
      <c r="U6226" s="268" t="s">
        <v>3945</v>
      </c>
      <c r="V6226" s="267" t="s">
        <v>944</v>
      </c>
    </row>
    <row r="6227" spans="1:22" hidden="1" x14ac:dyDescent="0.25">
      <c r="A6227" s="269">
        <v>43759</v>
      </c>
      <c r="B6227" s="270">
        <v>2019</v>
      </c>
      <c r="C6227" s="270">
        <v>2020</v>
      </c>
      <c r="D6227" s="270">
        <v>1</v>
      </c>
      <c r="E6227" s="270">
        <v>1</v>
      </c>
      <c r="F6227" s="270" t="s">
        <v>944</v>
      </c>
      <c r="G6227" s="270" t="s">
        <v>3926</v>
      </c>
      <c r="H6227" s="270" t="s">
        <v>10968</v>
      </c>
      <c r="I6227" s="270" t="s">
        <v>3968</v>
      </c>
      <c r="J6227" s="270" t="s">
        <v>3928</v>
      </c>
      <c r="K6227" s="270">
        <v>6042</v>
      </c>
      <c r="L6227" s="270">
        <v>514101</v>
      </c>
      <c r="M6227" s="270" t="s">
        <v>3960</v>
      </c>
      <c r="N6227" s="270" t="s">
        <v>3944</v>
      </c>
      <c r="O6227" s="270">
        <v>1457.58</v>
      </c>
      <c r="P6227" s="270" t="s">
        <v>3944</v>
      </c>
      <c r="Q6227" s="270" t="s">
        <v>3944</v>
      </c>
      <c r="R6227" s="270">
        <v>1457.58</v>
      </c>
      <c r="S6227" s="270">
        <v>24134.2</v>
      </c>
      <c r="T6227" s="270">
        <v>25591.78</v>
      </c>
      <c r="U6227" s="271" t="s">
        <v>3945</v>
      </c>
      <c r="V6227" s="267" t="s">
        <v>944</v>
      </c>
    </row>
    <row r="6228" spans="1:22" hidden="1" x14ac:dyDescent="0.25">
      <c r="A6228" s="266">
        <v>43759</v>
      </c>
      <c r="B6228" s="267">
        <v>2019</v>
      </c>
      <c r="C6228" s="267">
        <v>2020</v>
      </c>
      <c r="D6228" s="267">
        <v>1</v>
      </c>
      <c r="E6228" s="267">
        <v>1</v>
      </c>
      <c r="F6228" s="267" t="s">
        <v>944</v>
      </c>
      <c r="G6228" s="267" t="s">
        <v>3926</v>
      </c>
      <c r="H6228" s="267" t="s">
        <v>10969</v>
      </c>
      <c r="I6228" s="267" t="s">
        <v>2985</v>
      </c>
      <c r="J6228" s="267" t="s">
        <v>3928</v>
      </c>
      <c r="K6228" s="267">
        <v>6825</v>
      </c>
      <c r="L6228" s="267">
        <v>60100</v>
      </c>
      <c r="M6228" s="267" t="s">
        <v>3943</v>
      </c>
      <c r="N6228" s="267" t="s">
        <v>3944</v>
      </c>
      <c r="O6228" s="267">
        <v>1861.16</v>
      </c>
      <c r="P6228" s="267" t="s">
        <v>3944</v>
      </c>
      <c r="Q6228" s="267" t="s">
        <v>3944</v>
      </c>
      <c r="R6228" s="267">
        <v>1861.16</v>
      </c>
      <c r="S6228" s="267">
        <v>32297.79</v>
      </c>
      <c r="T6228" s="267">
        <v>34158.949999999997</v>
      </c>
      <c r="U6228" s="268" t="s">
        <v>3945</v>
      </c>
      <c r="V6228" s="267" t="s">
        <v>944</v>
      </c>
    </row>
    <row r="6229" spans="1:22" hidden="1" x14ac:dyDescent="0.25">
      <c r="A6229" s="269">
        <v>43759</v>
      </c>
      <c r="B6229" s="270">
        <v>2019</v>
      </c>
      <c r="C6229" s="270">
        <v>2020</v>
      </c>
      <c r="D6229" s="270">
        <v>1</v>
      </c>
      <c r="E6229" s="270">
        <v>1</v>
      </c>
      <c r="F6229" s="270" t="s">
        <v>944</v>
      </c>
      <c r="G6229" s="270" t="s">
        <v>3926</v>
      </c>
      <c r="H6229" s="270" t="s">
        <v>10970</v>
      </c>
      <c r="I6229" s="270" t="s">
        <v>4276</v>
      </c>
      <c r="J6229" s="270" t="s">
        <v>3928</v>
      </c>
      <c r="K6229" s="270">
        <v>6331</v>
      </c>
      <c r="L6229" s="270">
        <v>906100</v>
      </c>
      <c r="M6229" s="270" t="s">
        <v>3960</v>
      </c>
      <c r="N6229" s="270" t="s">
        <v>3944</v>
      </c>
      <c r="O6229" s="270">
        <v>2196.7399999999998</v>
      </c>
      <c r="P6229" s="270" t="s">
        <v>3944</v>
      </c>
      <c r="Q6229" s="270" t="s">
        <v>3944</v>
      </c>
      <c r="R6229" s="270">
        <v>2196.7399999999998</v>
      </c>
      <c r="S6229" s="270">
        <v>29382.959999999999</v>
      </c>
      <c r="T6229" s="270">
        <v>31579.7</v>
      </c>
      <c r="U6229" s="271" t="s">
        <v>3945</v>
      </c>
      <c r="V6229" s="267" t="s">
        <v>944</v>
      </c>
    </row>
    <row r="6230" spans="1:22" hidden="1" x14ac:dyDescent="0.25">
      <c r="A6230" s="266">
        <v>43759</v>
      </c>
      <c r="B6230" s="267">
        <v>2019</v>
      </c>
      <c r="C6230" s="267">
        <v>2020</v>
      </c>
      <c r="D6230" s="267">
        <v>1</v>
      </c>
      <c r="E6230" s="267">
        <v>1</v>
      </c>
      <c r="F6230" s="267" t="s">
        <v>944</v>
      </c>
      <c r="G6230" s="267" t="s">
        <v>3926</v>
      </c>
      <c r="H6230" s="267" t="s">
        <v>10971</v>
      </c>
      <c r="I6230" s="267" t="s">
        <v>4003</v>
      </c>
      <c r="J6230" s="267" t="s">
        <v>3928</v>
      </c>
      <c r="K6230" s="267">
        <v>6354</v>
      </c>
      <c r="L6230" s="267">
        <v>907200</v>
      </c>
      <c r="M6230" s="267" t="s">
        <v>3940</v>
      </c>
      <c r="N6230" s="267" t="s">
        <v>3944</v>
      </c>
      <c r="O6230" s="267">
        <v>1828.19</v>
      </c>
      <c r="P6230" s="267" t="s">
        <v>3944</v>
      </c>
      <c r="Q6230" s="267" t="s">
        <v>3944</v>
      </c>
      <c r="R6230" s="267">
        <v>1828.19</v>
      </c>
      <c r="S6230" s="267">
        <v>26012.240000000002</v>
      </c>
      <c r="T6230" s="267">
        <v>27840.43</v>
      </c>
      <c r="U6230" s="268" t="s">
        <v>3945</v>
      </c>
      <c r="V6230" s="267" t="s">
        <v>944</v>
      </c>
    </row>
    <row r="6231" spans="1:22" hidden="1" x14ac:dyDescent="0.25">
      <c r="A6231" s="269">
        <v>43759</v>
      </c>
      <c r="B6231" s="270">
        <v>2019</v>
      </c>
      <c r="C6231" s="270">
        <v>2020</v>
      </c>
      <c r="D6231" s="270">
        <v>1</v>
      </c>
      <c r="E6231" s="270">
        <v>1</v>
      </c>
      <c r="F6231" s="270" t="s">
        <v>944</v>
      </c>
      <c r="G6231" s="270" t="s">
        <v>3926</v>
      </c>
      <c r="H6231" s="270" t="s">
        <v>10972</v>
      </c>
      <c r="I6231" s="270" t="s">
        <v>6362</v>
      </c>
      <c r="J6231" s="270" t="s">
        <v>3928</v>
      </c>
      <c r="K6231" s="270">
        <v>6026</v>
      </c>
      <c r="L6231" s="270">
        <v>470100</v>
      </c>
      <c r="M6231" s="270" t="s">
        <v>3943</v>
      </c>
      <c r="N6231" s="270" t="s">
        <v>3944</v>
      </c>
      <c r="O6231" s="270">
        <v>2506.6</v>
      </c>
      <c r="P6231" s="270" t="s">
        <v>3944</v>
      </c>
      <c r="Q6231" s="270" t="s">
        <v>3944</v>
      </c>
      <c r="R6231" s="270">
        <v>2506.6</v>
      </c>
      <c r="S6231" s="270">
        <v>34850.89</v>
      </c>
      <c r="T6231" s="270">
        <v>37357.49</v>
      </c>
      <c r="U6231" s="271" t="s">
        <v>3945</v>
      </c>
      <c r="V6231" s="267" t="s">
        <v>944</v>
      </c>
    </row>
    <row r="6232" spans="1:22" hidden="1" x14ac:dyDescent="0.25">
      <c r="A6232" s="266">
        <v>43759</v>
      </c>
      <c r="B6232" s="267">
        <v>2019</v>
      </c>
      <c r="C6232" s="267">
        <v>2020</v>
      </c>
      <c r="D6232" s="267">
        <v>1</v>
      </c>
      <c r="E6232" s="267">
        <v>1</v>
      </c>
      <c r="F6232" s="267" t="s">
        <v>944</v>
      </c>
      <c r="G6232" s="267" t="s">
        <v>3926</v>
      </c>
      <c r="H6232" s="267" t="s">
        <v>10973</v>
      </c>
      <c r="I6232" s="267" t="s">
        <v>4035</v>
      </c>
      <c r="J6232" s="267" t="s">
        <v>3928</v>
      </c>
      <c r="K6232" s="267">
        <v>6074</v>
      </c>
      <c r="L6232" s="267">
        <v>487100</v>
      </c>
      <c r="M6232" s="267" t="s">
        <v>3943</v>
      </c>
      <c r="N6232" s="267" t="s">
        <v>3944</v>
      </c>
      <c r="O6232" s="267">
        <v>1315.93</v>
      </c>
      <c r="P6232" s="267" t="s">
        <v>3944</v>
      </c>
      <c r="Q6232" s="267" t="s">
        <v>3944</v>
      </c>
      <c r="R6232" s="267">
        <v>1315.93</v>
      </c>
      <c r="S6232" s="267">
        <v>19470.45</v>
      </c>
      <c r="T6232" s="267">
        <v>20786.38</v>
      </c>
      <c r="U6232" s="268" t="s">
        <v>3945</v>
      </c>
      <c r="V6232" s="267" t="s">
        <v>944</v>
      </c>
    </row>
    <row r="6233" spans="1:22" hidden="1" x14ac:dyDescent="0.25">
      <c r="A6233" s="269">
        <v>43759</v>
      </c>
      <c r="B6233" s="270">
        <v>2019</v>
      </c>
      <c r="C6233" s="270">
        <v>2020</v>
      </c>
      <c r="D6233" s="270">
        <v>1</v>
      </c>
      <c r="E6233" s="270">
        <v>1</v>
      </c>
      <c r="F6233" s="270" t="s">
        <v>944</v>
      </c>
      <c r="G6233" s="270" t="s">
        <v>3926</v>
      </c>
      <c r="H6233" s="270" t="s">
        <v>10974</v>
      </c>
      <c r="I6233" s="270" t="s">
        <v>934</v>
      </c>
      <c r="J6233" s="270" t="s">
        <v>3928</v>
      </c>
      <c r="K6233" s="270">
        <v>6606</v>
      </c>
      <c r="L6233" s="270">
        <v>72700</v>
      </c>
      <c r="M6233" s="270" t="s">
        <v>3935</v>
      </c>
      <c r="N6233" s="270" t="s">
        <v>3944</v>
      </c>
      <c r="O6233" s="270">
        <v>1337.7</v>
      </c>
      <c r="P6233" s="270" t="s">
        <v>3944</v>
      </c>
      <c r="Q6233" s="270" t="s">
        <v>3944</v>
      </c>
      <c r="R6233" s="270">
        <v>1337.7</v>
      </c>
      <c r="S6233" s="270">
        <v>17779.97</v>
      </c>
      <c r="T6233" s="270">
        <v>19117.669999999998</v>
      </c>
      <c r="U6233" s="271" t="s">
        <v>3945</v>
      </c>
      <c r="V6233" s="267" t="s">
        <v>944</v>
      </c>
    </row>
    <row r="6234" spans="1:22" hidden="1" x14ac:dyDescent="0.25">
      <c r="A6234" s="266">
        <v>43759</v>
      </c>
      <c r="B6234" s="267">
        <v>2019</v>
      </c>
      <c r="C6234" s="267">
        <v>2020</v>
      </c>
      <c r="D6234" s="267">
        <v>1</v>
      </c>
      <c r="E6234" s="267">
        <v>1</v>
      </c>
      <c r="F6234" s="267" t="s">
        <v>944</v>
      </c>
      <c r="G6234" s="267" t="s">
        <v>3926</v>
      </c>
      <c r="H6234" s="267" t="s">
        <v>10975</v>
      </c>
      <c r="I6234" s="267" t="s">
        <v>3008</v>
      </c>
      <c r="J6234" s="267" t="s">
        <v>3928</v>
      </c>
      <c r="K6234" s="267">
        <v>6460</v>
      </c>
      <c r="L6234" s="267">
        <v>150100</v>
      </c>
      <c r="M6234" s="267" t="s">
        <v>3960</v>
      </c>
      <c r="N6234" s="267" t="s">
        <v>3944</v>
      </c>
      <c r="O6234" s="267">
        <v>2058.63</v>
      </c>
      <c r="P6234" s="267" t="s">
        <v>3944</v>
      </c>
      <c r="Q6234" s="267" t="s">
        <v>3944</v>
      </c>
      <c r="R6234" s="267">
        <v>2058.63</v>
      </c>
      <c r="S6234" s="267">
        <v>30746.81</v>
      </c>
      <c r="T6234" s="267">
        <v>32805.440000000002</v>
      </c>
      <c r="U6234" s="268" t="s">
        <v>3945</v>
      </c>
      <c r="V6234" s="267" t="s">
        <v>944</v>
      </c>
    </row>
    <row r="6235" spans="1:22" hidden="1" x14ac:dyDescent="0.25">
      <c r="A6235" s="269">
        <v>43759</v>
      </c>
      <c r="B6235" s="270">
        <v>2019</v>
      </c>
      <c r="C6235" s="270">
        <v>2020</v>
      </c>
      <c r="D6235" s="270">
        <v>1</v>
      </c>
      <c r="E6235" s="270">
        <v>1</v>
      </c>
      <c r="F6235" s="270" t="s">
        <v>944</v>
      </c>
      <c r="G6235" s="270" t="s">
        <v>3926</v>
      </c>
      <c r="H6235" s="270" t="s">
        <v>10976</v>
      </c>
      <c r="I6235" s="270" t="s">
        <v>3975</v>
      </c>
      <c r="J6235" s="270" t="s">
        <v>3928</v>
      </c>
      <c r="K6235" s="270">
        <v>6489</v>
      </c>
      <c r="L6235" s="270">
        <v>430602</v>
      </c>
      <c r="M6235" s="270" t="s">
        <v>3960</v>
      </c>
      <c r="N6235" s="270" t="s">
        <v>3944</v>
      </c>
      <c r="O6235" s="270">
        <v>1407.81</v>
      </c>
      <c r="P6235" s="270" t="s">
        <v>3944</v>
      </c>
      <c r="Q6235" s="270" t="s">
        <v>3944</v>
      </c>
      <c r="R6235" s="270">
        <v>1407.81</v>
      </c>
      <c r="S6235" s="270">
        <v>20000.18</v>
      </c>
      <c r="T6235" s="270">
        <v>21407.99</v>
      </c>
      <c r="U6235" s="271" t="s">
        <v>3945</v>
      </c>
      <c r="V6235" s="267" t="s">
        <v>944</v>
      </c>
    </row>
    <row r="6236" spans="1:22" hidden="1" x14ac:dyDescent="0.25">
      <c r="A6236" s="266">
        <v>43759</v>
      </c>
      <c r="B6236" s="267">
        <v>2019</v>
      </c>
      <c r="C6236" s="267">
        <v>2020</v>
      </c>
      <c r="D6236" s="267">
        <v>1</v>
      </c>
      <c r="E6236" s="267">
        <v>1</v>
      </c>
      <c r="F6236" s="267" t="s">
        <v>944</v>
      </c>
      <c r="G6236" s="267" t="s">
        <v>3926</v>
      </c>
      <c r="H6236" s="267" t="s">
        <v>10977</v>
      </c>
      <c r="I6236" s="267" t="s">
        <v>3009</v>
      </c>
      <c r="J6236" s="267" t="s">
        <v>3928</v>
      </c>
      <c r="K6236" s="267">
        <v>6484</v>
      </c>
      <c r="L6236" s="267">
        <v>110600</v>
      </c>
      <c r="M6236" s="267" t="s">
        <v>3943</v>
      </c>
      <c r="N6236" s="267" t="s">
        <v>3944</v>
      </c>
      <c r="O6236" s="267">
        <v>907.97</v>
      </c>
      <c r="P6236" s="267" t="s">
        <v>3944</v>
      </c>
      <c r="Q6236" s="267" t="s">
        <v>3944</v>
      </c>
      <c r="R6236" s="267">
        <v>907.97</v>
      </c>
      <c r="S6236" s="267">
        <v>14897.14</v>
      </c>
      <c r="T6236" s="267">
        <v>15805.11</v>
      </c>
      <c r="U6236" s="268" t="s">
        <v>3945</v>
      </c>
      <c r="V6236" s="267" t="s">
        <v>944</v>
      </c>
    </row>
    <row r="6237" spans="1:22" hidden="1" x14ac:dyDescent="0.25">
      <c r="A6237" s="269">
        <v>43759</v>
      </c>
      <c r="B6237" s="270">
        <v>2019</v>
      </c>
      <c r="C6237" s="270">
        <v>2020</v>
      </c>
      <c r="D6237" s="270">
        <v>1</v>
      </c>
      <c r="E6237" s="270">
        <v>1</v>
      </c>
      <c r="F6237" s="270" t="s">
        <v>944</v>
      </c>
      <c r="G6237" s="270" t="s">
        <v>3926</v>
      </c>
      <c r="H6237" s="270" t="s">
        <v>10978</v>
      </c>
      <c r="I6237" s="270" t="s">
        <v>4003</v>
      </c>
      <c r="J6237" s="270" t="s">
        <v>3928</v>
      </c>
      <c r="K6237" s="270">
        <v>6374</v>
      </c>
      <c r="L6237" s="270">
        <v>907300</v>
      </c>
      <c r="M6237" s="270" t="s">
        <v>3935</v>
      </c>
      <c r="N6237" s="270" t="s">
        <v>3944</v>
      </c>
      <c r="O6237" s="270">
        <v>2222.0500000000002</v>
      </c>
      <c r="P6237" s="270" t="s">
        <v>3944</v>
      </c>
      <c r="Q6237" s="270" t="s">
        <v>3944</v>
      </c>
      <c r="R6237" s="270">
        <v>2222.0500000000002</v>
      </c>
      <c r="S6237" s="270">
        <v>29449.64</v>
      </c>
      <c r="T6237" s="270">
        <v>31671.69</v>
      </c>
      <c r="U6237" s="271" t="s">
        <v>3945</v>
      </c>
      <c r="V6237" s="267" t="s">
        <v>944</v>
      </c>
    </row>
    <row r="6238" spans="1:22" hidden="1" x14ac:dyDescent="0.25">
      <c r="A6238" s="266">
        <v>43759</v>
      </c>
      <c r="B6238" s="267">
        <v>2019</v>
      </c>
      <c r="C6238" s="267">
        <v>2020</v>
      </c>
      <c r="D6238" s="267">
        <v>1</v>
      </c>
      <c r="E6238" s="267">
        <v>1</v>
      </c>
      <c r="F6238" s="267" t="s">
        <v>944</v>
      </c>
      <c r="G6238" s="267" t="s">
        <v>3926</v>
      </c>
      <c r="H6238" s="267" t="s">
        <v>10979</v>
      </c>
      <c r="I6238" s="267" t="s">
        <v>4548</v>
      </c>
      <c r="J6238" s="267" t="s">
        <v>3928</v>
      </c>
      <c r="K6238" s="267">
        <v>6037</v>
      </c>
      <c r="L6238" s="267">
        <v>400300</v>
      </c>
      <c r="M6238" s="267" t="s">
        <v>3960</v>
      </c>
      <c r="N6238" s="267" t="s">
        <v>3944</v>
      </c>
      <c r="O6238" s="267">
        <v>3156.79</v>
      </c>
      <c r="P6238" s="267" t="s">
        <v>3944</v>
      </c>
      <c r="Q6238" s="267" t="s">
        <v>3944</v>
      </c>
      <c r="R6238" s="267">
        <v>3156.79</v>
      </c>
      <c r="S6238" s="267">
        <v>46991.02</v>
      </c>
      <c r="T6238" s="267">
        <v>50147.81</v>
      </c>
      <c r="U6238" s="268" t="s">
        <v>3945</v>
      </c>
      <c r="V6238" s="267" t="s">
        <v>944</v>
      </c>
    </row>
    <row r="6239" spans="1:22" hidden="1" x14ac:dyDescent="0.25">
      <c r="A6239" s="269">
        <v>43759</v>
      </c>
      <c r="B6239" s="270">
        <v>2019</v>
      </c>
      <c r="C6239" s="270">
        <v>2020</v>
      </c>
      <c r="D6239" s="270">
        <v>1</v>
      </c>
      <c r="E6239" s="270">
        <v>1</v>
      </c>
      <c r="F6239" s="270" t="s">
        <v>944</v>
      </c>
      <c r="G6239" s="270" t="s">
        <v>3926</v>
      </c>
      <c r="H6239" s="270" t="s">
        <v>10980</v>
      </c>
      <c r="I6239" s="270" t="s">
        <v>4306</v>
      </c>
      <c r="J6239" s="270" t="s">
        <v>3928</v>
      </c>
      <c r="K6239" s="270">
        <v>6716</v>
      </c>
      <c r="L6239" s="270">
        <v>361200</v>
      </c>
      <c r="M6239" s="270" t="s">
        <v>3960</v>
      </c>
      <c r="N6239" s="270" t="s">
        <v>3944</v>
      </c>
      <c r="O6239" s="270">
        <v>2735.15</v>
      </c>
      <c r="P6239" s="270" t="s">
        <v>3944</v>
      </c>
      <c r="Q6239" s="270" t="s">
        <v>3944</v>
      </c>
      <c r="R6239" s="270">
        <v>2735.15</v>
      </c>
      <c r="S6239" s="270">
        <v>42265.9</v>
      </c>
      <c r="T6239" s="270">
        <v>45001.05</v>
      </c>
      <c r="U6239" s="271" t="s">
        <v>3945</v>
      </c>
      <c r="V6239" s="267" t="s">
        <v>944</v>
      </c>
    </row>
    <row r="6240" spans="1:22" hidden="1" x14ac:dyDescent="0.25">
      <c r="A6240" s="266">
        <v>43759</v>
      </c>
      <c r="B6240" s="267">
        <v>2019</v>
      </c>
      <c r="C6240" s="267">
        <v>2020</v>
      </c>
      <c r="D6240" s="267">
        <v>1</v>
      </c>
      <c r="E6240" s="267">
        <v>1</v>
      </c>
      <c r="F6240" s="267" t="s">
        <v>944</v>
      </c>
      <c r="G6240" s="267" t="s">
        <v>3926</v>
      </c>
      <c r="H6240" s="267" t="s">
        <v>10981</v>
      </c>
      <c r="I6240" s="267" t="s">
        <v>956</v>
      </c>
      <c r="J6240" s="267" t="s">
        <v>3928</v>
      </c>
      <c r="K6240" s="267">
        <v>6615</v>
      </c>
      <c r="L6240" s="267">
        <v>80200</v>
      </c>
      <c r="M6240" s="267" t="s">
        <v>3935</v>
      </c>
      <c r="N6240" s="267" t="s">
        <v>3944</v>
      </c>
      <c r="O6240" s="267">
        <v>1124.52</v>
      </c>
      <c r="P6240" s="267" t="s">
        <v>3944</v>
      </c>
      <c r="Q6240" s="267" t="s">
        <v>3944</v>
      </c>
      <c r="R6240" s="267">
        <v>1124.52</v>
      </c>
      <c r="S6240" s="267">
        <v>17057.28</v>
      </c>
      <c r="T6240" s="267">
        <v>18181.8</v>
      </c>
      <c r="U6240" s="268" t="s">
        <v>3945</v>
      </c>
      <c r="V6240" s="267" t="s">
        <v>944</v>
      </c>
    </row>
    <row r="6241" spans="1:22" hidden="1" x14ac:dyDescent="0.25">
      <c r="A6241" s="269">
        <v>43759</v>
      </c>
      <c r="B6241" s="270">
        <v>2019</v>
      </c>
      <c r="C6241" s="270">
        <v>2020</v>
      </c>
      <c r="D6241" s="270">
        <v>1</v>
      </c>
      <c r="E6241" s="270">
        <v>1</v>
      </c>
      <c r="F6241" s="270" t="s">
        <v>944</v>
      </c>
      <c r="G6241" s="270" t="s">
        <v>3926</v>
      </c>
      <c r="H6241" s="270" t="s">
        <v>10982</v>
      </c>
      <c r="I6241" s="270" t="s">
        <v>4297</v>
      </c>
      <c r="J6241" s="270" t="s">
        <v>3928</v>
      </c>
      <c r="K6241" s="270">
        <v>6248</v>
      </c>
      <c r="L6241" s="270">
        <v>526101</v>
      </c>
      <c r="M6241" s="270" t="s">
        <v>3943</v>
      </c>
      <c r="N6241" s="270" t="s">
        <v>3944</v>
      </c>
      <c r="O6241" s="270">
        <v>1955.52</v>
      </c>
      <c r="P6241" s="270" t="s">
        <v>3944</v>
      </c>
      <c r="Q6241" s="270" t="s">
        <v>3944</v>
      </c>
      <c r="R6241" s="270">
        <v>1955.52</v>
      </c>
      <c r="S6241" s="270">
        <v>27736.99</v>
      </c>
      <c r="T6241" s="270">
        <v>29692.51</v>
      </c>
      <c r="U6241" s="271" t="s">
        <v>3945</v>
      </c>
      <c r="V6241" s="267" t="s">
        <v>944</v>
      </c>
    </row>
    <row r="6242" spans="1:22" hidden="1" x14ac:dyDescent="0.25">
      <c r="A6242" s="266">
        <v>43759</v>
      </c>
      <c r="B6242" s="267">
        <v>2019</v>
      </c>
      <c r="C6242" s="267">
        <v>2020</v>
      </c>
      <c r="D6242" s="267">
        <v>1</v>
      </c>
      <c r="E6242" s="267">
        <v>1</v>
      </c>
      <c r="F6242" s="267" t="s">
        <v>944</v>
      </c>
      <c r="G6242" s="267" t="s">
        <v>3926</v>
      </c>
      <c r="H6242" s="267" t="s">
        <v>10983</v>
      </c>
      <c r="I6242" s="267" t="s">
        <v>4019</v>
      </c>
      <c r="J6242" s="267" t="s">
        <v>3928</v>
      </c>
      <c r="K6242" s="267">
        <v>6704</v>
      </c>
      <c r="L6242" s="267">
        <v>352400</v>
      </c>
      <c r="M6242" s="267">
        <v>-60</v>
      </c>
      <c r="N6242" s="267" t="s">
        <v>3944</v>
      </c>
      <c r="O6242" s="267">
        <v>2565.92</v>
      </c>
      <c r="P6242" s="267" t="s">
        <v>3944</v>
      </c>
      <c r="Q6242" s="267" t="s">
        <v>3944</v>
      </c>
      <c r="R6242" s="267">
        <v>2565.92</v>
      </c>
      <c r="S6242" s="267">
        <v>38673.74</v>
      </c>
      <c r="T6242" s="267">
        <v>41239.660000000003</v>
      </c>
      <c r="U6242" s="268" t="s">
        <v>3945</v>
      </c>
      <c r="V6242" s="267" t="s">
        <v>944</v>
      </c>
    </row>
    <row r="6243" spans="1:22" hidden="1" x14ac:dyDescent="0.25">
      <c r="A6243" s="269">
        <v>43759</v>
      </c>
      <c r="B6243" s="270">
        <v>2019</v>
      </c>
      <c r="C6243" s="270">
        <v>2020</v>
      </c>
      <c r="D6243" s="270">
        <v>1</v>
      </c>
      <c r="E6243" s="270">
        <v>1</v>
      </c>
      <c r="F6243" s="270" t="s">
        <v>944</v>
      </c>
      <c r="G6243" s="270" t="s">
        <v>3926</v>
      </c>
      <c r="H6243" s="270" t="s">
        <v>10984</v>
      </c>
      <c r="I6243" s="270" t="s">
        <v>953</v>
      </c>
      <c r="J6243" s="270" t="s">
        <v>3928</v>
      </c>
      <c r="K6243" s="270">
        <v>6518</v>
      </c>
      <c r="L6243" s="270">
        <v>165900</v>
      </c>
      <c r="M6243" s="270" t="s">
        <v>3943</v>
      </c>
      <c r="N6243" s="270" t="s">
        <v>3944</v>
      </c>
      <c r="O6243" s="270">
        <v>1660.19</v>
      </c>
      <c r="P6243" s="270" t="s">
        <v>3944</v>
      </c>
      <c r="Q6243" s="270" t="s">
        <v>3944</v>
      </c>
      <c r="R6243" s="270">
        <v>1660.19</v>
      </c>
      <c r="S6243" s="270">
        <v>26515.59</v>
      </c>
      <c r="T6243" s="270">
        <v>28175.78</v>
      </c>
      <c r="U6243" s="271" t="s">
        <v>3945</v>
      </c>
      <c r="V6243" s="267" t="s">
        <v>944</v>
      </c>
    </row>
    <row r="6244" spans="1:22" hidden="1" x14ac:dyDescent="0.25">
      <c r="A6244" s="266">
        <v>43759</v>
      </c>
      <c r="B6244" s="267">
        <v>2019</v>
      </c>
      <c r="C6244" s="267">
        <v>2020</v>
      </c>
      <c r="D6244" s="267">
        <v>1</v>
      </c>
      <c r="E6244" s="267">
        <v>1</v>
      </c>
      <c r="F6244" s="267" t="s">
        <v>944</v>
      </c>
      <c r="G6244" s="267" t="s">
        <v>3926</v>
      </c>
      <c r="H6244" s="267" t="s">
        <v>10985</v>
      </c>
      <c r="I6244" s="267" t="s">
        <v>3025</v>
      </c>
      <c r="J6244" s="267" t="s">
        <v>3928</v>
      </c>
      <c r="K6244" s="267">
        <v>6473</v>
      </c>
      <c r="L6244" s="267">
        <v>167300</v>
      </c>
      <c r="M6244" s="267" t="s">
        <v>3943</v>
      </c>
      <c r="N6244" s="267" t="s">
        <v>3944</v>
      </c>
      <c r="O6244" s="267">
        <v>1177.79</v>
      </c>
      <c r="P6244" s="267" t="s">
        <v>3944</v>
      </c>
      <c r="Q6244" s="267" t="s">
        <v>3944</v>
      </c>
      <c r="R6244" s="267">
        <v>1177.79</v>
      </c>
      <c r="S6244" s="267">
        <v>17767.18</v>
      </c>
      <c r="T6244" s="267">
        <v>18944.97</v>
      </c>
      <c r="U6244" s="268" t="s">
        <v>3945</v>
      </c>
      <c r="V6244" s="267" t="s">
        <v>944</v>
      </c>
    </row>
    <row r="6245" spans="1:22" hidden="1" x14ac:dyDescent="0.25">
      <c r="A6245" s="269">
        <v>43759</v>
      </c>
      <c r="B6245" s="270">
        <v>2019</v>
      </c>
      <c r="C6245" s="270">
        <v>2020</v>
      </c>
      <c r="D6245" s="270">
        <v>1</v>
      </c>
      <c r="E6245" s="270">
        <v>1</v>
      </c>
      <c r="F6245" s="270" t="s">
        <v>944</v>
      </c>
      <c r="G6245" s="270" t="s">
        <v>3926</v>
      </c>
      <c r="H6245" s="270" t="s">
        <v>10986</v>
      </c>
      <c r="I6245" s="270" t="s">
        <v>4213</v>
      </c>
      <c r="J6245" s="270" t="s">
        <v>3928</v>
      </c>
      <c r="K6245" s="270">
        <v>6053</v>
      </c>
      <c r="L6245" s="270">
        <v>416500</v>
      </c>
      <c r="M6245" s="270" t="s">
        <v>3940</v>
      </c>
      <c r="N6245" s="270" t="s">
        <v>3944</v>
      </c>
      <c r="O6245" s="270">
        <v>717.82</v>
      </c>
      <c r="P6245" s="270" t="s">
        <v>3944</v>
      </c>
      <c r="Q6245" s="270" t="s">
        <v>3944</v>
      </c>
      <c r="R6245" s="270">
        <v>717.82</v>
      </c>
      <c r="S6245" s="270">
        <v>9803.76</v>
      </c>
      <c r="T6245" s="270">
        <v>10521.58</v>
      </c>
      <c r="U6245" s="271" t="s">
        <v>3945</v>
      </c>
      <c r="V6245" s="267" t="s">
        <v>944</v>
      </c>
    </row>
    <row r="6246" spans="1:22" hidden="1" x14ac:dyDescent="0.25">
      <c r="A6246" s="266">
        <v>43759</v>
      </c>
      <c r="B6246" s="267">
        <v>2019</v>
      </c>
      <c r="C6246" s="267">
        <v>2020</v>
      </c>
      <c r="D6246" s="267">
        <v>1</v>
      </c>
      <c r="E6246" s="267">
        <v>1</v>
      </c>
      <c r="F6246" s="267" t="s">
        <v>944</v>
      </c>
      <c r="G6246" s="267" t="s">
        <v>3926</v>
      </c>
      <c r="H6246" s="267" t="s">
        <v>10987</v>
      </c>
      <c r="I6246" s="267" t="s">
        <v>934</v>
      </c>
      <c r="J6246" s="267" t="s">
        <v>3928</v>
      </c>
      <c r="K6246" s="267">
        <v>6604</v>
      </c>
      <c r="L6246" s="267">
        <v>72100</v>
      </c>
      <c r="M6246" s="267" t="s">
        <v>3940</v>
      </c>
      <c r="N6246" s="267" t="s">
        <v>3944</v>
      </c>
      <c r="O6246" s="267">
        <v>1774.89</v>
      </c>
      <c r="P6246" s="267" t="s">
        <v>3944</v>
      </c>
      <c r="Q6246" s="267" t="s">
        <v>3944</v>
      </c>
      <c r="R6246" s="267">
        <v>1774.89</v>
      </c>
      <c r="S6246" s="267">
        <v>28144.37</v>
      </c>
      <c r="T6246" s="267">
        <v>29919.26</v>
      </c>
      <c r="U6246" s="268" t="s">
        <v>3945</v>
      </c>
      <c r="V6246" s="267" t="s">
        <v>944</v>
      </c>
    </row>
    <row r="6247" spans="1:22" hidden="1" x14ac:dyDescent="0.25">
      <c r="A6247" s="269">
        <v>43759</v>
      </c>
      <c r="B6247" s="270">
        <v>2019</v>
      </c>
      <c r="C6247" s="270">
        <v>2020</v>
      </c>
      <c r="D6247" s="270">
        <v>1</v>
      </c>
      <c r="E6247" s="270">
        <v>1</v>
      </c>
      <c r="F6247" s="270" t="s">
        <v>944</v>
      </c>
      <c r="G6247" s="270" t="s">
        <v>3926</v>
      </c>
      <c r="H6247" s="270" t="s">
        <v>10988</v>
      </c>
      <c r="I6247" s="270" t="s">
        <v>4235</v>
      </c>
      <c r="J6247" s="270" t="s">
        <v>3928</v>
      </c>
      <c r="K6247" s="270">
        <v>6066</v>
      </c>
      <c r="L6247" s="270">
        <v>530200</v>
      </c>
      <c r="M6247" s="270">
        <v>-60</v>
      </c>
      <c r="N6247" s="270" t="s">
        <v>3944</v>
      </c>
      <c r="O6247" s="270">
        <v>1047.1300000000001</v>
      </c>
      <c r="P6247" s="270" t="s">
        <v>3944</v>
      </c>
      <c r="Q6247" s="270" t="s">
        <v>3944</v>
      </c>
      <c r="R6247" s="270">
        <v>1047.1300000000001</v>
      </c>
      <c r="S6247" s="270">
        <v>14500.58</v>
      </c>
      <c r="T6247" s="270">
        <v>15547.71</v>
      </c>
      <c r="U6247" s="271" t="s">
        <v>3945</v>
      </c>
      <c r="V6247" s="267" t="s">
        <v>944</v>
      </c>
    </row>
    <row r="6248" spans="1:22" hidden="1" x14ac:dyDescent="0.25">
      <c r="A6248" s="266">
        <v>43759</v>
      </c>
      <c r="B6248" s="267">
        <v>2019</v>
      </c>
      <c r="C6248" s="267">
        <v>2020</v>
      </c>
      <c r="D6248" s="267">
        <v>1</v>
      </c>
      <c r="E6248" s="267">
        <v>1</v>
      </c>
      <c r="F6248" s="267" t="s">
        <v>944</v>
      </c>
      <c r="G6248" s="267" t="s">
        <v>3926</v>
      </c>
      <c r="H6248" s="267" t="s">
        <v>10989</v>
      </c>
      <c r="I6248" s="267" t="s">
        <v>3962</v>
      </c>
      <c r="J6248" s="267" t="s">
        <v>3928</v>
      </c>
      <c r="K6248" s="267">
        <v>6378</v>
      </c>
      <c r="L6248" s="267">
        <v>705200</v>
      </c>
      <c r="M6248" s="267" t="s">
        <v>3960</v>
      </c>
      <c r="N6248" s="267" t="s">
        <v>3944</v>
      </c>
      <c r="O6248" s="267">
        <v>1588.86</v>
      </c>
      <c r="P6248" s="267" t="s">
        <v>3944</v>
      </c>
      <c r="Q6248" s="267" t="s">
        <v>3944</v>
      </c>
      <c r="R6248" s="267">
        <v>1588.86</v>
      </c>
      <c r="S6248" s="267">
        <v>23175.55</v>
      </c>
      <c r="T6248" s="267">
        <v>24764.41</v>
      </c>
      <c r="U6248" s="268" t="s">
        <v>3945</v>
      </c>
      <c r="V6248" s="267" t="s">
        <v>944</v>
      </c>
    </row>
    <row r="6249" spans="1:22" hidden="1" x14ac:dyDescent="0.25">
      <c r="A6249" s="269">
        <v>43759</v>
      </c>
      <c r="B6249" s="270">
        <v>2019</v>
      </c>
      <c r="C6249" s="270">
        <v>2020</v>
      </c>
      <c r="D6249" s="270">
        <v>1</v>
      </c>
      <c r="E6249" s="270">
        <v>1</v>
      </c>
      <c r="F6249" s="270" t="s">
        <v>944</v>
      </c>
      <c r="G6249" s="270" t="s">
        <v>3926</v>
      </c>
      <c r="H6249" s="270" t="s">
        <v>10990</v>
      </c>
      <c r="I6249" s="270" t="s">
        <v>3996</v>
      </c>
      <c r="J6249" s="270" t="s">
        <v>3928</v>
      </c>
      <c r="K6249" s="270">
        <v>6790</v>
      </c>
      <c r="L6249" s="270">
        <v>310803</v>
      </c>
      <c r="M6249" s="270">
        <v>-60</v>
      </c>
      <c r="N6249" s="270" t="s">
        <v>3944</v>
      </c>
      <c r="O6249" s="270">
        <v>1462.34</v>
      </c>
      <c r="P6249" s="270" t="s">
        <v>3944</v>
      </c>
      <c r="Q6249" s="270" t="s">
        <v>3944</v>
      </c>
      <c r="R6249" s="270">
        <v>1462.34</v>
      </c>
      <c r="S6249" s="270">
        <v>20366.71</v>
      </c>
      <c r="T6249" s="270">
        <v>21829.05</v>
      </c>
      <c r="U6249" s="271" t="s">
        <v>3945</v>
      </c>
      <c r="V6249" s="267" t="s">
        <v>944</v>
      </c>
    </row>
    <row r="6250" spans="1:22" hidden="1" x14ac:dyDescent="0.25">
      <c r="A6250" s="266">
        <v>43759</v>
      </c>
      <c r="B6250" s="267">
        <v>2019</v>
      </c>
      <c r="C6250" s="267">
        <v>2020</v>
      </c>
      <c r="D6250" s="267">
        <v>1</v>
      </c>
      <c r="E6250" s="267">
        <v>1</v>
      </c>
      <c r="F6250" s="267" t="s">
        <v>944</v>
      </c>
      <c r="G6250" s="267" t="s">
        <v>3926</v>
      </c>
      <c r="H6250" s="267" t="s">
        <v>10991</v>
      </c>
      <c r="I6250" s="267" t="s">
        <v>4269</v>
      </c>
      <c r="J6250" s="267" t="s">
        <v>3928</v>
      </c>
      <c r="K6250" s="267">
        <v>6110</v>
      </c>
      <c r="L6250" s="267">
        <v>496800</v>
      </c>
      <c r="M6250" s="267" t="s">
        <v>3935</v>
      </c>
      <c r="N6250" s="267" t="s">
        <v>3944</v>
      </c>
      <c r="O6250" s="267">
        <v>1104.5999999999999</v>
      </c>
      <c r="P6250" s="267" t="s">
        <v>3944</v>
      </c>
      <c r="Q6250" s="267" t="s">
        <v>3944</v>
      </c>
      <c r="R6250" s="267">
        <v>1104.5999999999999</v>
      </c>
      <c r="S6250" s="267">
        <v>14941.05</v>
      </c>
      <c r="T6250" s="267">
        <v>16045.65</v>
      </c>
      <c r="U6250" s="268" t="s">
        <v>3945</v>
      </c>
      <c r="V6250" s="267" t="s">
        <v>944</v>
      </c>
    </row>
    <row r="6251" spans="1:22" hidden="1" x14ac:dyDescent="0.25">
      <c r="A6251" s="269">
        <v>43759</v>
      </c>
      <c r="B6251" s="270">
        <v>2019</v>
      </c>
      <c r="C6251" s="270">
        <v>2020</v>
      </c>
      <c r="D6251" s="270">
        <v>1</v>
      </c>
      <c r="E6251" s="270">
        <v>1</v>
      </c>
      <c r="F6251" s="270" t="s">
        <v>944</v>
      </c>
      <c r="G6251" s="270" t="s">
        <v>3926</v>
      </c>
      <c r="H6251" s="270" t="s">
        <v>10992</v>
      </c>
      <c r="I6251" s="270" t="s">
        <v>3993</v>
      </c>
      <c r="J6251" s="270" t="s">
        <v>3928</v>
      </c>
      <c r="K6251" s="270">
        <v>6415</v>
      </c>
      <c r="L6251" s="270">
        <v>714103</v>
      </c>
      <c r="M6251" s="270" t="s">
        <v>3943</v>
      </c>
      <c r="N6251" s="270" t="s">
        <v>3944</v>
      </c>
      <c r="O6251" s="270">
        <v>2485.84</v>
      </c>
      <c r="P6251" s="270" t="s">
        <v>3944</v>
      </c>
      <c r="Q6251" s="270" t="s">
        <v>3944</v>
      </c>
      <c r="R6251" s="270">
        <v>2485.84</v>
      </c>
      <c r="S6251" s="270">
        <v>37298.730000000003</v>
      </c>
      <c r="T6251" s="270">
        <v>39784.57</v>
      </c>
      <c r="U6251" s="271" t="s">
        <v>3945</v>
      </c>
      <c r="V6251" s="267" t="s">
        <v>944</v>
      </c>
    </row>
    <row r="6252" spans="1:22" hidden="1" x14ac:dyDescent="0.25">
      <c r="A6252" s="266">
        <v>43759</v>
      </c>
      <c r="B6252" s="267">
        <v>2019</v>
      </c>
      <c r="C6252" s="267">
        <v>2020</v>
      </c>
      <c r="D6252" s="267">
        <v>1</v>
      </c>
      <c r="E6252" s="267">
        <v>1</v>
      </c>
      <c r="F6252" s="267" t="s">
        <v>944</v>
      </c>
      <c r="G6252" s="267" t="s">
        <v>3926</v>
      </c>
      <c r="H6252" s="267" t="s">
        <v>10993</v>
      </c>
      <c r="I6252" s="267" t="s">
        <v>4213</v>
      </c>
      <c r="J6252" s="267" t="s">
        <v>3928</v>
      </c>
      <c r="K6252" s="267">
        <v>6052</v>
      </c>
      <c r="L6252" s="267">
        <v>416400</v>
      </c>
      <c r="M6252" s="267" t="s">
        <v>3960</v>
      </c>
      <c r="N6252" s="267" t="s">
        <v>3944</v>
      </c>
      <c r="O6252" s="267">
        <v>869.61</v>
      </c>
      <c r="P6252" s="267" t="s">
        <v>3944</v>
      </c>
      <c r="Q6252" s="267" t="s">
        <v>3944</v>
      </c>
      <c r="R6252" s="267">
        <v>869.61</v>
      </c>
      <c r="S6252" s="267">
        <v>12238.84</v>
      </c>
      <c r="T6252" s="267">
        <v>13108.45</v>
      </c>
      <c r="U6252" s="268" t="s">
        <v>3945</v>
      </c>
      <c r="V6252" s="267" t="s">
        <v>944</v>
      </c>
    </row>
    <row r="6253" spans="1:22" hidden="1" x14ac:dyDescent="0.25">
      <c r="A6253" s="269">
        <v>43759</v>
      </c>
      <c r="B6253" s="270">
        <v>2019</v>
      </c>
      <c r="C6253" s="270">
        <v>2020</v>
      </c>
      <c r="D6253" s="270">
        <v>1</v>
      </c>
      <c r="E6253" s="270">
        <v>1</v>
      </c>
      <c r="F6253" s="270" t="s">
        <v>944</v>
      </c>
      <c r="G6253" s="270" t="s">
        <v>3926</v>
      </c>
      <c r="H6253" s="270" t="s">
        <v>10994</v>
      </c>
      <c r="I6253" s="270" t="s">
        <v>4035</v>
      </c>
      <c r="J6253" s="270" t="s">
        <v>3928</v>
      </c>
      <c r="K6253" s="270">
        <v>6074</v>
      </c>
      <c r="L6253" s="270">
        <v>487100</v>
      </c>
      <c r="M6253" s="270" t="s">
        <v>3943</v>
      </c>
      <c r="N6253" s="270" t="s">
        <v>3944</v>
      </c>
      <c r="O6253" s="270">
        <v>1095.26</v>
      </c>
      <c r="P6253" s="270" t="s">
        <v>3944</v>
      </c>
      <c r="Q6253" s="270" t="s">
        <v>3944</v>
      </c>
      <c r="R6253" s="270">
        <v>1095.26</v>
      </c>
      <c r="S6253" s="270">
        <v>15101.28</v>
      </c>
      <c r="T6253" s="270">
        <v>16196.54</v>
      </c>
      <c r="U6253" s="271" t="s">
        <v>3945</v>
      </c>
      <c r="V6253" s="267" t="s">
        <v>944</v>
      </c>
    </row>
    <row r="6254" spans="1:22" hidden="1" x14ac:dyDescent="0.25">
      <c r="A6254" s="266">
        <v>43759</v>
      </c>
      <c r="B6254" s="267">
        <v>2019</v>
      </c>
      <c r="C6254" s="267">
        <v>2020</v>
      </c>
      <c r="D6254" s="267">
        <v>1</v>
      </c>
      <c r="E6254" s="267">
        <v>1</v>
      </c>
      <c r="F6254" s="267" t="s">
        <v>944</v>
      </c>
      <c r="G6254" s="267" t="s">
        <v>3926</v>
      </c>
      <c r="H6254" s="267" t="s">
        <v>10995</v>
      </c>
      <c r="I6254" s="267" t="s">
        <v>4019</v>
      </c>
      <c r="J6254" s="267" t="s">
        <v>3928</v>
      </c>
      <c r="K6254" s="267">
        <v>6708</v>
      </c>
      <c r="L6254" s="267">
        <v>352000</v>
      </c>
      <c r="M6254" s="267" t="s">
        <v>3935</v>
      </c>
      <c r="N6254" s="267" t="s">
        <v>3944</v>
      </c>
      <c r="O6254" s="267">
        <v>949.24</v>
      </c>
      <c r="P6254" s="267" t="s">
        <v>3944</v>
      </c>
      <c r="Q6254" s="267" t="s">
        <v>3944</v>
      </c>
      <c r="R6254" s="267">
        <v>949.24</v>
      </c>
      <c r="S6254" s="267">
        <v>15167.4</v>
      </c>
      <c r="T6254" s="267">
        <v>16116.64</v>
      </c>
      <c r="U6254" s="268" t="s">
        <v>3945</v>
      </c>
      <c r="V6254" s="267" t="s">
        <v>944</v>
      </c>
    </row>
    <row r="6255" spans="1:22" hidden="1" x14ac:dyDescent="0.25">
      <c r="A6255" s="269">
        <v>43759</v>
      </c>
      <c r="B6255" s="270">
        <v>2019</v>
      </c>
      <c r="C6255" s="270">
        <v>2020</v>
      </c>
      <c r="D6255" s="270">
        <v>1</v>
      </c>
      <c r="E6255" s="270">
        <v>1</v>
      </c>
      <c r="F6255" s="270" t="s">
        <v>944</v>
      </c>
      <c r="G6255" s="270" t="s">
        <v>3926</v>
      </c>
      <c r="H6255" s="270" t="s">
        <v>10996</v>
      </c>
      <c r="I6255" s="270" t="s">
        <v>6209</v>
      </c>
      <c r="J6255" s="270" t="s">
        <v>3928</v>
      </c>
      <c r="K6255" s="270">
        <v>6403</v>
      </c>
      <c r="L6255" s="270">
        <v>341100</v>
      </c>
      <c r="M6255" s="270" t="s">
        <v>3935</v>
      </c>
      <c r="N6255" s="270" t="s">
        <v>3944</v>
      </c>
      <c r="O6255" s="270">
        <v>4008.13</v>
      </c>
      <c r="P6255" s="270" t="s">
        <v>3944</v>
      </c>
      <c r="Q6255" s="270" t="s">
        <v>3944</v>
      </c>
      <c r="R6255" s="270">
        <v>4008.13</v>
      </c>
      <c r="S6255" s="270">
        <v>59411.87</v>
      </c>
      <c r="T6255" s="270">
        <v>63420</v>
      </c>
      <c r="U6255" s="271" t="s">
        <v>3945</v>
      </c>
      <c r="V6255" s="267" t="s">
        <v>944</v>
      </c>
    </row>
    <row r="6256" spans="1:22" hidden="1" x14ac:dyDescent="0.25">
      <c r="A6256" s="266">
        <v>43759</v>
      </c>
      <c r="B6256" s="267">
        <v>2019</v>
      </c>
      <c r="C6256" s="267">
        <v>2020</v>
      </c>
      <c r="D6256" s="267">
        <v>1</v>
      </c>
      <c r="E6256" s="267">
        <v>1</v>
      </c>
      <c r="F6256" s="267" t="s">
        <v>944</v>
      </c>
      <c r="G6256" s="267" t="s">
        <v>3926</v>
      </c>
      <c r="H6256" s="267" t="s">
        <v>10997</v>
      </c>
      <c r="I6256" s="267" t="s">
        <v>4993</v>
      </c>
      <c r="J6256" s="267" t="s">
        <v>3928</v>
      </c>
      <c r="K6256" s="267">
        <v>6237</v>
      </c>
      <c r="L6256" s="267">
        <v>860100</v>
      </c>
      <c r="M6256" s="267" t="s">
        <v>3943</v>
      </c>
      <c r="N6256" s="267" t="s">
        <v>3944</v>
      </c>
      <c r="O6256" s="267">
        <v>2464.2800000000002</v>
      </c>
      <c r="P6256" s="267" t="s">
        <v>3944</v>
      </c>
      <c r="Q6256" s="267" t="s">
        <v>3944</v>
      </c>
      <c r="R6256" s="267">
        <v>2464.2800000000002</v>
      </c>
      <c r="S6256" s="267">
        <v>33934.1</v>
      </c>
      <c r="T6256" s="267">
        <v>36398.379999999997</v>
      </c>
      <c r="U6256" s="268" t="s">
        <v>3945</v>
      </c>
      <c r="V6256" s="267" t="s">
        <v>944</v>
      </c>
    </row>
    <row r="6257" spans="1:22" hidden="1" x14ac:dyDescent="0.25">
      <c r="A6257" s="269">
        <v>43759</v>
      </c>
      <c r="B6257" s="270">
        <v>2019</v>
      </c>
      <c r="C6257" s="270">
        <v>2020</v>
      </c>
      <c r="D6257" s="270">
        <v>1</v>
      </c>
      <c r="E6257" s="270">
        <v>1</v>
      </c>
      <c r="F6257" s="270" t="s">
        <v>944</v>
      </c>
      <c r="G6257" s="270" t="s">
        <v>3926</v>
      </c>
      <c r="H6257" s="270" t="s">
        <v>10998</v>
      </c>
      <c r="I6257" s="270" t="s">
        <v>3939</v>
      </c>
      <c r="J6257" s="270" t="s">
        <v>3928</v>
      </c>
      <c r="K6257" s="270">
        <v>6512</v>
      </c>
      <c r="L6257" s="270">
        <v>180200</v>
      </c>
      <c r="M6257" s="270" t="s">
        <v>3940</v>
      </c>
      <c r="N6257" s="270" t="s">
        <v>3944</v>
      </c>
      <c r="O6257" s="270">
        <v>941.36</v>
      </c>
      <c r="P6257" s="270" t="s">
        <v>3944</v>
      </c>
      <c r="Q6257" s="270" t="s">
        <v>3944</v>
      </c>
      <c r="R6257" s="270">
        <v>941.36</v>
      </c>
      <c r="S6257" s="270">
        <v>16254.59</v>
      </c>
      <c r="T6257" s="270">
        <v>17195.95</v>
      </c>
      <c r="U6257" s="271" t="s">
        <v>3945</v>
      </c>
      <c r="V6257" s="267" t="s">
        <v>944</v>
      </c>
    </row>
    <row r="6258" spans="1:22" hidden="1" x14ac:dyDescent="0.25">
      <c r="A6258" s="266">
        <v>43759</v>
      </c>
      <c r="B6258" s="267">
        <v>2019</v>
      </c>
      <c r="C6258" s="267">
        <v>2020</v>
      </c>
      <c r="D6258" s="267">
        <v>1</v>
      </c>
      <c r="E6258" s="267">
        <v>1</v>
      </c>
      <c r="F6258" s="267" t="s">
        <v>944</v>
      </c>
      <c r="G6258" s="267" t="s">
        <v>3926</v>
      </c>
      <c r="H6258" s="267" t="s">
        <v>10999</v>
      </c>
      <c r="I6258" s="267" t="s">
        <v>4035</v>
      </c>
      <c r="J6258" s="267" t="s">
        <v>3928</v>
      </c>
      <c r="K6258" s="267">
        <v>6074</v>
      </c>
      <c r="L6258" s="267">
        <v>487400</v>
      </c>
      <c r="M6258" s="267" t="s">
        <v>3943</v>
      </c>
      <c r="N6258" s="267" t="s">
        <v>3944</v>
      </c>
      <c r="O6258" s="267">
        <v>1634.5</v>
      </c>
      <c r="P6258" s="267" t="s">
        <v>3944</v>
      </c>
      <c r="Q6258" s="267" t="s">
        <v>3944</v>
      </c>
      <c r="R6258" s="267">
        <v>1634.5</v>
      </c>
      <c r="S6258" s="267">
        <v>23224.17</v>
      </c>
      <c r="T6258" s="267">
        <v>24858.67</v>
      </c>
      <c r="U6258" s="268" t="s">
        <v>3945</v>
      </c>
      <c r="V6258" s="267" t="s">
        <v>944</v>
      </c>
    </row>
    <row r="6259" spans="1:22" hidden="1" x14ac:dyDescent="0.25">
      <c r="A6259" s="269">
        <v>43759</v>
      </c>
      <c r="B6259" s="270">
        <v>2019</v>
      </c>
      <c r="C6259" s="270">
        <v>2020</v>
      </c>
      <c r="D6259" s="270">
        <v>1</v>
      </c>
      <c r="E6259" s="270">
        <v>1</v>
      </c>
      <c r="F6259" s="270" t="s">
        <v>944</v>
      </c>
      <c r="G6259" s="270" t="s">
        <v>3926</v>
      </c>
      <c r="H6259" s="270" t="s">
        <v>11000</v>
      </c>
      <c r="I6259" s="270" t="s">
        <v>4003</v>
      </c>
      <c r="J6259" s="270" t="s">
        <v>3928</v>
      </c>
      <c r="K6259" s="270">
        <v>6374</v>
      </c>
      <c r="L6259" s="270">
        <v>907100</v>
      </c>
      <c r="M6259" s="270" t="s">
        <v>3935</v>
      </c>
      <c r="N6259" s="270" t="s">
        <v>3944</v>
      </c>
      <c r="O6259" s="270">
        <v>1310.54</v>
      </c>
      <c r="P6259" s="270" t="s">
        <v>3944</v>
      </c>
      <c r="Q6259" s="270" t="s">
        <v>3944</v>
      </c>
      <c r="R6259" s="270">
        <v>1310.54</v>
      </c>
      <c r="S6259" s="270">
        <v>17740.93</v>
      </c>
      <c r="T6259" s="270">
        <v>19051.47</v>
      </c>
      <c r="U6259" s="271" t="s">
        <v>3945</v>
      </c>
      <c r="V6259" s="267" t="s">
        <v>944</v>
      </c>
    </row>
    <row r="6260" spans="1:22" hidden="1" x14ac:dyDescent="0.25">
      <c r="A6260" s="266">
        <v>43759</v>
      </c>
      <c r="B6260" s="267">
        <v>2019</v>
      </c>
      <c r="C6260" s="267">
        <v>2020</v>
      </c>
      <c r="D6260" s="267">
        <v>1</v>
      </c>
      <c r="E6260" s="267">
        <v>1</v>
      </c>
      <c r="F6260" s="267" t="s">
        <v>944</v>
      </c>
      <c r="G6260" s="267" t="s">
        <v>3926</v>
      </c>
      <c r="H6260" s="267" t="s">
        <v>11001</v>
      </c>
      <c r="I6260" s="267" t="s">
        <v>4005</v>
      </c>
      <c r="J6260" s="267" t="s">
        <v>3928</v>
      </c>
      <c r="K6260" s="267">
        <v>6118</v>
      </c>
      <c r="L6260" s="267">
        <v>510800</v>
      </c>
      <c r="M6260" s="267" t="s">
        <v>3940</v>
      </c>
      <c r="N6260" s="267" t="s">
        <v>3944</v>
      </c>
      <c r="O6260" s="267">
        <v>1869.67</v>
      </c>
      <c r="P6260" s="267" t="s">
        <v>3944</v>
      </c>
      <c r="Q6260" s="267" t="s">
        <v>3944</v>
      </c>
      <c r="R6260" s="267">
        <v>1869.67</v>
      </c>
      <c r="S6260" s="267">
        <v>27195.7</v>
      </c>
      <c r="T6260" s="267">
        <v>29065.37</v>
      </c>
      <c r="U6260" s="268" t="s">
        <v>3945</v>
      </c>
      <c r="V6260" s="267" t="s">
        <v>944</v>
      </c>
    </row>
    <row r="6261" spans="1:22" hidden="1" x14ac:dyDescent="0.25">
      <c r="A6261" s="269">
        <v>43759</v>
      </c>
      <c r="B6261" s="270">
        <v>2019</v>
      </c>
      <c r="C6261" s="270">
        <v>2020</v>
      </c>
      <c r="D6261" s="270">
        <v>1</v>
      </c>
      <c r="E6261" s="270">
        <v>1</v>
      </c>
      <c r="F6261" s="270" t="s">
        <v>944</v>
      </c>
      <c r="G6261" s="270" t="s">
        <v>3926</v>
      </c>
      <c r="H6261" s="270" t="s">
        <v>11002</v>
      </c>
      <c r="I6261" s="270" t="s">
        <v>4111</v>
      </c>
      <c r="J6261" s="270" t="s">
        <v>3928</v>
      </c>
      <c r="K6261" s="270">
        <v>6095</v>
      </c>
      <c r="L6261" s="270">
        <v>473400</v>
      </c>
      <c r="M6261" s="270" t="s">
        <v>3935</v>
      </c>
      <c r="N6261" s="270" t="s">
        <v>3944</v>
      </c>
      <c r="O6261" s="270">
        <v>1667.89</v>
      </c>
      <c r="P6261" s="270" t="s">
        <v>3944</v>
      </c>
      <c r="Q6261" s="270" t="s">
        <v>3944</v>
      </c>
      <c r="R6261" s="270">
        <v>1667.89</v>
      </c>
      <c r="S6261" s="270">
        <v>24993.41</v>
      </c>
      <c r="T6261" s="270">
        <v>26661.3</v>
      </c>
      <c r="U6261" s="271" t="s">
        <v>3945</v>
      </c>
      <c r="V6261" s="267" t="s">
        <v>944</v>
      </c>
    </row>
    <row r="6262" spans="1:22" hidden="1" x14ac:dyDescent="0.25">
      <c r="A6262" s="266">
        <v>43759</v>
      </c>
      <c r="B6262" s="267">
        <v>2019</v>
      </c>
      <c r="C6262" s="267">
        <v>2020</v>
      </c>
      <c r="D6262" s="267">
        <v>1</v>
      </c>
      <c r="E6262" s="267">
        <v>1</v>
      </c>
      <c r="F6262" s="267" t="s">
        <v>944</v>
      </c>
      <c r="G6262" s="267" t="s">
        <v>3926</v>
      </c>
      <c r="H6262" s="267" t="s">
        <v>11003</v>
      </c>
      <c r="I6262" s="267" t="s">
        <v>4011</v>
      </c>
      <c r="J6262" s="267" t="s">
        <v>3928</v>
      </c>
      <c r="K6262" s="267">
        <v>6002</v>
      </c>
      <c r="L6262" s="267">
        <v>471300</v>
      </c>
      <c r="M6262" s="267" t="s">
        <v>3935</v>
      </c>
      <c r="N6262" s="267" t="s">
        <v>3944</v>
      </c>
      <c r="O6262" s="267">
        <v>939.51</v>
      </c>
      <c r="P6262" s="267" t="s">
        <v>3944</v>
      </c>
      <c r="Q6262" s="267" t="s">
        <v>3944</v>
      </c>
      <c r="R6262" s="267">
        <v>939.51</v>
      </c>
      <c r="S6262" s="267">
        <v>12752.92</v>
      </c>
      <c r="T6262" s="267">
        <v>13692.43</v>
      </c>
      <c r="U6262" s="268" t="s">
        <v>3945</v>
      </c>
      <c r="V6262" s="267" t="s">
        <v>944</v>
      </c>
    </row>
    <row r="6263" spans="1:22" hidden="1" x14ac:dyDescent="0.25">
      <c r="A6263" s="269">
        <v>43759</v>
      </c>
      <c r="B6263" s="270">
        <v>2019</v>
      </c>
      <c r="C6263" s="270">
        <v>2020</v>
      </c>
      <c r="D6263" s="270">
        <v>1</v>
      </c>
      <c r="E6263" s="270">
        <v>1</v>
      </c>
      <c r="F6263" s="270" t="s">
        <v>944</v>
      </c>
      <c r="G6263" s="270" t="s">
        <v>3926</v>
      </c>
      <c r="H6263" s="270" t="s">
        <v>11004</v>
      </c>
      <c r="I6263" s="270" t="s">
        <v>4552</v>
      </c>
      <c r="J6263" s="270" t="s">
        <v>3928</v>
      </c>
      <c r="K6263" s="270">
        <v>6469</v>
      </c>
      <c r="L6263" s="270">
        <v>595102</v>
      </c>
      <c r="M6263" s="270" t="s">
        <v>3960</v>
      </c>
      <c r="N6263" s="270" t="s">
        <v>3944</v>
      </c>
      <c r="O6263" s="270">
        <v>1538.04</v>
      </c>
      <c r="P6263" s="270" t="s">
        <v>3944</v>
      </c>
      <c r="Q6263" s="270" t="s">
        <v>3944</v>
      </c>
      <c r="R6263" s="270">
        <v>1538.04</v>
      </c>
      <c r="S6263" s="270">
        <v>22407.78</v>
      </c>
      <c r="T6263" s="270">
        <v>23945.82</v>
      </c>
      <c r="U6263" s="271" t="s">
        <v>3945</v>
      </c>
      <c r="V6263" s="267" t="s">
        <v>944</v>
      </c>
    </row>
    <row r="6264" spans="1:22" hidden="1" x14ac:dyDescent="0.25">
      <c r="A6264" s="266">
        <v>43759</v>
      </c>
      <c r="B6264" s="267">
        <v>2019</v>
      </c>
      <c r="C6264" s="267">
        <v>2020</v>
      </c>
      <c r="D6264" s="267">
        <v>1</v>
      </c>
      <c r="E6264" s="267">
        <v>1</v>
      </c>
      <c r="F6264" s="267" t="s">
        <v>944</v>
      </c>
      <c r="G6264" s="267" t="s">
        <v>3926</v>
      </c>
      <c r="H6264" s="267" t="s">
        <v>11005</v>
      </c>
      <c r="I6264" s="267" t="s">
        <v>4269</v>
      </c>
      <c r="J6264" s="267" t="s">
        <v>3928</v>
      </c>
      <c r="K6264" s="267">
        <v>6110</v>
      </c>
      <c r="L6264" s="267">
        <v>496100</v>
      </c>
      <c r="M6264" s="267" t="s">
        <v>3940</v>
      </c>
      <c r="N6264" s="267" t="s">
        <v>3944</v>
      </c>
      <c r="O6264" s="267">
        <v>1891.05</v>
      </c>
      <c r="P6264" s="267" t="s">
        <v>3944</v>
      </c>
      <c r="Q6264" s="267" t="s">
        <v>3944</v>
      </c>
      <c r="R6264" s="267">
        <v>1891.05</v>
      </c>
      <c r="S6264" s="267">
        <v>26744.43</v>
      </c>
      <c r="T6264" s="267">
        <v>28635.48</v>
      </c>
      <c r="U6264" s="268" t="s">
        <v>3945</v>
      </c>
      <c r="V6264" s="267" t="s">
        <v>944</v>
      </c>
    </row>
    <row r="6265" spans="1:22" hidden="1" x14ac:dyDescent="0.25">
      <c r="A6265" s="269">
        <v>43759</v>
      </c>
      <c r="B6265" s="270">
        <v>2019</v>
      </c>
      <c r="C6265" s="270">
        <v>2020</v>
      </c>
      <c r="D6265" s="270">
        <v>1</v>
      </c>
      <c r="E6265" s="270">
        <v>1</v>
      </c>
      <c r="F6265" s="270" t="s">
        <v>944</v>
      </c>
      <c r="G6265" s="270" t="s">
        <v>3926</v>
      </c>
      <c r="H6265" s="270" t="s">
        <v>11006</v>
      </c>
      <c r="I6265" s="270" t="s">
        <v>3025</v>
      </c>
      <c r="J6265" s="270" t="s">
        <v>3928</v>
      </c>
      <c r="K6265" s="270">
        <v>6473</v>
      </c>
      <c r="L6265" s="270">
        <v>167300</v>
      </c>
      <c r="M6265" s="270" t="s">
        <v>3943</v>
      </c>
      <c r="N6265" s="270" t="s">
        <v>3944</v>
      </c>
      <c r="O6265" s="270">
        <v>4100.22</v>
      </c>
      <c r="P6265" s="270" t="s">
        <v>3944</v>
      </c>
      <c r="Q6265" s="270" t="s">
        <v>3944</v>
      </c>
      <c r="R6265" s="270">
        <v>4100.22</v>
      </c>
      <c r="S6265" s="270">
        <v>70168.75</v>
      </c>
      <c r="T6265" s="270">
        <v>74268.97</v>
      </c>
      <c r="U6265" s="271" t="s">
        <v>3945</v>
      </c>
      <c r="V6265" s="267" t="s">
        <v>944</v>
      </c>
    </row>
    <row r="6266" spans="1:22" hidden="1" x14ac:dyDescent="0.25">
      <c r="A6266" s="266">
        <v>43759</v>
      </c>
      <c r="B6266" s="267">
        <v>2019</v>
      </c>
      <c r="C6266" s="267">
        <v>2020</v>
      </c>
      <c r="D6266" s="267">
        <v>1</v>
      </c>
      <c r="E6266" s="267">
        <v>1</v>
      </c>
      <c r="F6266" s="267" t="s">
        <v>944</v>
      </c>
      <c r="G6266" s="267" t="s">
        <v>3926</v>
      </c>
      <c r="H6266" s="267" t="s">
        <v>11007</v>
      </c>
      <c r="I6266" s="267" t="s">
        <v>953</v>
      </c>
      <c r="J6266" s="267" t="s">
        <v>3928</v>
      </c>
      <c r="K6266" s="267">
        <v>6514</v>
      </c>
      <c r="L6266" s="267">
        <v>165700</v>
      </c>
      <c r="M6266" s="267" t="s">
        <v>3935</v>
      </c>
      <c r="N6266" s="267" t="s">
        <v>3944</v>
      </c>
      <c r="O6266" s="267">
        <v>2297.12</v>
      </c>
      <c r="P6266" s="267" t="s">
        <v>3944</v>
      </c>
      <c r="Q6266" s="267" t="s">
        <v>3944</v>
      </c>
      <c r="R6266" s="267">
        <v>2297.12</v>
      </c>
      <c r="S6266" s="267">
        <v>35812.089999999997</v>
      </c>
      <c r="T6266" s="267">
        <v>38109.21</v>
      </c>
      <c r="U6266" s="268" t="s">
        <v>3945</v>
      </c>
      <c r="V6266" s="267" t="s">
        <v>944</v>
      </c>
    </row>
    <row r="6267" spans="1:22" hidden="1" x14ac:dyDescent="0.25">
      <c r="A6267" s="269">
        <v>43759</v>
      </c>
      <c r="B6267" s="270">
        <v>2019</v>
      </c>
      <c r="C6267" s="270">
        <v>2020</v>
      </c>
      <c r="D6267" s="270">
        <v>1</v>
      </c>
      <c r="E6267" s="270">
        <v>1</v>
      </c>
      <c r="F6267" s="270" t="s">
        <v>944</v>
      </c>
      <c r="G6267" s="270" t="s">
        <v>3926</v>
      </c>
      <c r="H6267" s="270" t="s">
        <v>11008</v>
      </c>
      <c r="I6267" s="270" t="s">
        <v>6426</v>
      </c>
      <c r="J6267" s="270" t="s">
        <v>3928</v>
      </c>
      <c r="K6267" s="270">
        <v>6422</v>
      </c>
      <c r="L6267" s="270">
        <v>585100</v>
      </c>
      <c r="M6267" s="270" t="s">
        <v>3943</v>
      </c>
      <c r="N6267" s="270" t="s">
        <v>3944</v>
      </c>
      <c r="O6267" s="270">
        <v>1603.6</v>
      </c>
      <c r="P6267" s="270" t="s">
        <v>3944</v>
      </c>
      <c r="Q6267" s="270" t="s">
        <v>3944</v>
      </c>
      <c r="R6267" s="270">
        <v>1603.6</v>
      </c>
      <c r="S6267" s="270">
        <v>23333.68</v>
      </c>
      <c r="T6267" s="270">
        <v>24937.279999999999</v>
      </c>
      <c r="U6267" s="271" t="s">
        <v>3945</v>
      </c>
      <c r="V6267" s="267" t="s">
        <v>944</v>
      </c>
    </row>
    <row r="6268" spans="1:22" hidden="1" x14ac:dyDescent="0.25">
      <c r="A6268" s="266">
        <v>43759</v>
      </c>
      <c r="B6268" s="267">
        <v>2019</v>
      </c>
      <c r="C6268" s="267">
        <v>2020</v>
      </c>
      <c r="D6268" s="267">
        <v>1</v>
      </c>
      <c r="E6268" s="267">
        <v>1</v>
      </c>
      <c r="F6268" s="267" t="s">
        <v>944</v>
      </c>
      <c r="G6268" s="267" t="s">
        <v>3926</v>
      </c>
      <c r="H6268" s="267" t="s">
        <v>11009</v>
      </c>
      <c r="I6268" s="267" t="s">
        <v>4213</v>
      </c>
      <c r="J6268" s="267" t="s">
        <v>3928</v>
      </c>
      <c r="K6268" s="267">
        <v>6053</v>
      </c>
      <c r="L6268" s="267">
        <v>417500</v>
      </c>
      <c r="M6268" s="267" t="s">
        <v>3940</v>
      </c>
      <c r="N6268" s="267" t="s">
        <v>3944</v>
      </c>
      <c r="O6268" s="267">
        <v>1305.78</v>
      </c>
      <c r="P6268" s="267" t="s">
        <v>3944</v>
      </c>
      <c r="Q6268" s="267" t="s">
        <v>3944</v>
      </c>
      <c r="R6268" s="267">
        <v>1305.78</v>
      </c>
      <c r="S6268" s="267">
        <v>19326.96</v>
      </c>
      <c r="T6268" s="267">
        <v>20632.740000000002</v>
      </c>
      <c r="U6268" s="268" t="s">
        <v>3945</v>
      </c>
      <c r="V6268" s="267" t="s">
        <v>944</v>
      </c>
    </row>
    <row r="6269" spans="1:22" hidden="1" x14ac:dyDescent="0.25">
      <c r="A6269" s="269">
        <v>43759</v>
      </c>
      <c r="B6269" s="270">
        <v>2019</v>
      </c>
      <c r="C6269" s="270">
        <v>2020</v>
      </c>
      <c r="D6269" s="270">
        <v>1</v>
      </c>
      <c r="E6269" s="270">
        <v>1</v>
      </c>
      <c r="F6269" s="270" t="s">
        <v>944</v>
      </c>
      <c r="G6269" s="270" t="s">
        <v>3926</v>
      </c>
      <c r="H6269" s="270" t="s">
        <v>11010</v>
      </c>
      <c r="I6269" s="270" t="s">
        <v>4035</v>
      </c>
      <c r="J6269" s="270" t="s">
        <v>3928</v>
      </c>
      <c r="K6269" s="270">
        <v>6074</v>
      </c>
      <c r="L6269" s="270">
        <v>487201</v>
      </c>
      <c r="M6269" s="270" t="s">
        <v>3943</v>
      </c>
      <c r="N6269" s="270" t="s">
        <v>3944</v>
      </c>
      <c r="O6269" s="270">
        <v>1932.32</v>
      </c>
      <c r="P6269" s="270" t="s">
        <v>3944</v>
      </c>
      <c r="Q6269" s="270" t="s">
        <v>3944</v>
      </c>
      <c r="R6269" s="270">
        <v>1932.32</v>
      </c>
      <c r="S6269" s="270">
        <v>29041.54</v>
      </c>
      <c r="T6269" s="270">
        <v>30973.86</v>
      </c>
      <c r="U6269" s="271" t="s">
        <v>3945</v>
      </c>
      <c r="V6269" s="267" t="s">
        <v>944</v>
      </c>
    </row>
    <row r="6270" spans="1:22" hidden="1" x14ac:dyDescent="0.25">
      <c r="A6270" s="266">
        <v>43759</v>
      </c>
      <c r="B6270" s="267">
        <v>2019</v>
      </c>
      <c r="C6270" s="267">
        <v>2020</v>
      </c>
      <c r="D6270" s="267">
        <v>1</v>
      </c>
      <c r="E6270" s="267">
        <v>1</v>
      </c>
      <c r="F6270" s="267" t="s">
        <v>944</v>
      </c>
      <c r="G6270" s="267" t="s">
        <v>3926</v>
      </c>
      <c r="H6270" s="267" t="s">
        <v>11011</v>
      </c>
      <c r="I6270" s="267" t="s">
        <v>3985</v>
      </c>
      <c r="J6270" s="267" t="s">
        <v>3928</v>
      </c>
      <c r="K6270" s="267">
        <v>6226</v>
      </c>
      <c r="L6270" s="267">
        <v>800400</v>
      </c>
      <c r="M6270" s="267" t="s">
        <v>3940</v>
      </c>
      <c r="N6270" s="267" t="s">
        <v>3944</v>
      </c>
      <c r="O6270" s="267">
        <v>2310.39</v>
      </c>
      <c r="P6270" s="267" t="s">
        <v>3944</v>
      </c>
      <c r="Q6270" s="267" t="s">
        <v>3944</v>
      </c>
      <c r="R6270" s="267">
        <v>2310.39</v>
      </c>
      <c r="S6270" s="267">
        <v>33419.21</v>
      </c>
      <c r="T6270" s="267">
        <v>35729.599999999999</v>
      </c>
      <c r="U6270" s="268" t="s">
        <v>3945</v>
      </c>
      <c r="V6270" s="267" t="s">
        <v>944</v>
      </c>
    </row>
    <row r="6271" spans="1:22" hidden="1" x14ac:dyDescent="0.25">
      <c r="A6271" s="269">
        <v>43759</v>
      </c>
      <c r="B6271" s="270">
        <v>2019</v>
      </c>
      <c r="C6271" s="270">
        <v>2020</v>
      </c>
      <c r="D6271" s="270">
        <v>1</v>
      </c>
      <c r="E6271" s="270">
        <v>1</v>
      </c>
      <c r="F6271" s="270" t="s">
        <v>944</v>
      </c>
      <c r="G6271" s="270" t="s">
        <v>3926</v>
      </c>
      <c r="H6271" s="270" t="s">
        <v>11012</v>
      </c>
      <c r="I6271" s="270" t="s">
        <v>3996</v>
      </c>
      <c r="J6271" s="270" t="s">
        <v>3928</v>
      </c>
      <c r="K6271" s="270">
        <v>6790</v>
      </c>
      <c r="L6271" s="270">
        <v>310700</v>
      </c>
      <c r="M6271" s="270" t="s">
        <v>3940</v>
      </c>
      <c r="N6271" s="270" t="s">
        <v>3944</v>
      </c>
      <c r="O6271" s="270">
        <v>1352.02</v>
      </c>
      <c r="P6271" s="270" t="s">
        <v>3944</v>
      </c>
      <c r="Q6271" s="270" t="s">
        <v>3944</v>
      </c>
      <c r="R6271" s="270">
        <v>1352.02</v>
      </c>
      <c r="S6271" s="270">
        <v>19226.189999999999</v>
      </c>
      <c r="T6271" s="270">
        <v>20578.21</v>
      </c>
      <c r="U6271" s="271" t="s">
        <v>3945</v>
      </c>
      <c r="V6271" s="267" t="s">
        <v>944</v>
      </c>
    </row>
    <row r="6272" spans="1:22" hidden="1" x14ac:dyDescent="0.25">
      <c r="A6272" s="266">
        <v>43759</v>
      </c>
      <c r="B6272" s="267">
        <v>2019</v>
      </c>
      <c r="C6272" s="267">
        <v>2020</v>
      </c>
      <c r="D6272" s="267">
        <v>1</v>
      </c>
      <c r="E6272" s="267">
        <v>1</v>
      </c>
      <c r="F6272" s="267" t="s">
        <v>944</v>
      </c>
      <c r="G6272" s="267" t="s">
        <v>3926</v>
      </c>
      <c r="H6272" s="267" t="s">
        <v>11013</v>
      </c>
      <c r="I6272" s="267" t="s">
        <v>4168</v>
      </c>
      <c r="J6272" s="267" t="s">
        <v>3928</v>
      </c>
      <c r="K6272" s="267">
        <v>6475</v>
      </c>
      <c r="L6272" s="267">
        <v>670200</v>
      </c>
      <c r="M6272" s="267" t="s">
        <v>3935</v>
      </c>
      <c r="N6272" s="267" t="s">
        <v>3944</v>
      </c>
      <c r="O6272" s="267">
        <v>932.65</v>
      </c>
      <c r="P6272" s="267" t="s">
        <v>3944</v>
      </c>
      <c r="Q6272" s="267" t="s">
        <v>3944</v>
      </c>
      <c r="R6272" s="267">
        <v>932.65</v>
      </c>
      <c r="S6272" s="267">
        <v>14105.41</v>
      </c>
      <c r="T6272" s="267">
        <v>15038.06</v>
      </c>
      <c r="U6272" s="268" t="s">
        <v>3945</v>
      </c>
      <c r="V6272" s="267" t="s">
        <v>944</v>
      </c>
    </row>
    <row r="6273" spans="1:22" hidden="1" x14ac:dyDescent="0.25">
      <c r="A6273" s="269">
        <v>43759</v>
      </c>
      <c r="B6273" s="270">
        <v>2019</v>
      </c>
      <c r="C6273" s="270">
        <v>2020</v>
      </c>
      <c r="D6273" s="270">
        <v>1</v>
      </c>
      <c r="E6273" s="270">
        <v>1</v>
      </c>
      <c r="F6273" s="270" t="s">
        <v>944</v>
      </c>
      <c r="G6273" s="270" t="s">
        <v>3926</v>
      </c>
      <c r="H6273" s="270" t="s">
        <v>11014</v>
      </c>
      <c r="I6273" s="270" t="s">
        <v>4213</v>
      </c>
      <c r="J6273" s="270" t="s">
        <v>3928</v>
      </c>
      <c r="K6273" s="270">
        <v>6052</v>
      </c>
      <c r="L6273" s="270">
        <v>416400</v>
      </c>
      <c r="M6273" s="270" t="s">
        <v>3960</v>
      </c>
      <c r="N6273" s="270" t="s">
        <v>3944</v>
      </c>
      <c r="O6273" s="270">
        <v>1330.88</v>
      </c>
      <c r="P6273" s="270" t="s">
        <v>3944</v>
      </c>
      <c r="Q6273" s="270" t="s">
        <v>3944</v>
      </c>
      <c r="R6273" s="270">
        <v>1330.88</v>
      </c>
      <c r="S6273" s="270">
        <v>18427.400000000001</v>
      </c>
      <c r="T6273" s="270">
        <v>19758.28</v>
      </c>
      <c r="U6273" s="271" t="s">
        <v>3945</v>
      </c>
      <c r="V6273" s="267" t="s">
        <v>944</v>
      </c>
    </row>
    <row r="6274" spans="1:22" hidden="1" x14ac:dyDescent="0.25">
      <c r="A6274" s="266">
        <v>43759</v>
      </c>
      <c r="B6274" s="267">
        <v>2019</v>
      </c>
      <c r="C6274" s="267">
        <v>2020</v>
      </c>
      <c r="D6274" s="267">
        <v>1</v>
      </c>
      <c r="E6274" s="267">
        <v>1</v>
      </c>
      <c r="F6274" s="267" t="s">
        <v>944</v>
      </c>
      <c r="G6274" s="267" t="s">
        <v>3926</v>
      </c>
      <c r="H6274" s="267" t="s">
        <v>11015</v>
      </c>
      <c r="I6274" s="267" t="s">
        <v>4011</v>
      </c>
      <c r="J6274" s="267" t="s">
        <v>3928</v>
      </c>
      <c r="K6274" s="267">
        <v>6002</v>
      </c>
      <c r="L6274" s="267">
        <v>471200</v>
      </c>
      <c r="M6274" s="267" t="s">
        <v>3940</v>
      </c>
      <c r="N6274" s="267" t="s">
        <v>3944</v>
      </c>
      <c r="O6274" s="267">
        <v>1438.29</v>
      </c>
      <c r="P6274" s="267" t="s">
        <v>3944</v>
      </c>
      <c r="Q6274" s="267" t="s">
        <v>3944</v>
      </c>
      <c r="R6274" s="267">
        <v>1438.29</v>
      </c>
      <c r="S6274" s="267">
        <v>20863.71</v>
      </c>
      <c r="T6274" s="267">
        <v>22302</v>
      </c>
      <c r="U6274" s="268" t="s">
        <v>3945</v>
      </c>
      <c r="V6274" s="267" t="s">
        <v>944</v>
      </c>
    </row>
    <row r="6275" spans="1:22" hidden="1" x14ac:dyDescent="0.25">
      <c r="A6275" s="269">
        <v>43759</v>
      </c>
      <c r="B6275" s="270">
        <v>2019</v>
      </c>
      <c r="C6275" s="270">
        <v>2020</v>
      </c>
      <c r="D6275" s="270">
        <v>1</v>
      </c>
      <c r="E6275" s="270">
        <v>1</v>
      </c>
      <c r="F6275" s="270" t="s">
        <v>944</v>
      </c>
      <c r="G6275" s="270" t="s">
        <v>3926</v>
      </c>
      <c r="H6275" s="270" t="s">
        <v>11016</v>
      </c>
      <c r="I6275" s="270" t="s">
        <v>5010</v>
      </c>
      <c r="J6275" s="270" t="s">
        <v>3928</v>
      </c>
      <c r="K6275" s="270">
        <v>6365</v>
      </c>
      <c r="L6275" s="270">
        <v>700100</v>
      </c>
      <c r="M6275" s="270" t="s">
        <v>3935</v>
      </c>
      <c r="N6275" s="270" t="s">
        <v>3944</v>
      </c>
      <c r="O6275" s="270">
        <v>2424.66</v>
      </c>
      <c r="P6275" s="270" t="s">
        <v>3944</v>
      </c>
      <c r="Q6275" s="270" t="s">
        <v>3944</v>
      </c>
      <c r="R6275" s="270">
        <v>2424.66</v>
      </c>
      <c r="S6275" s="270">
        <v>38323.449999999997</v>
      </c>
      <c r="T6275" s="270">
        <v>40748.11</v>
      </c>
      <c r="U6275" s="271" t="s">
        <v>3945</v>
      </c>
      <c r="V6275" s="267" t="s">
        <v>944</v>
      </c>
    </row>
    <row r="6276" spans="1:22" hidden="1" x14ac:dyDescent="0.25">
      <c r="A6276" s="266">
        <v>43759</v>
      </c>
      <c r="B6276" s="267">
        <v>2019</v>
      </c>
      <c r="C6276" s="267">
        <v>2020</v>
      </c>
      <c r="D6276" s="267">
        <v>1</v>
      </c>
      <c r="E6276" s="267">
        <v>1</v>
      </c>
      <c r="F6276" s="267" t="s">
        <v>944</v>
      </c>
      <c r="G6276" s="267" t="s">
        <v>3926</v>
      </c>
      <c r="H6276" s="267" t="s">
        <v>11017</v>
      </c>
      <c r="I6276" s="267" t="s">
        <v>4392</v>
      </c>
      <c r="J6276" s="267" t="s">
        <v>3928</v>
      </c>
      <c r="K6276" s="267">
        <v>6457</v>
      </c>
      <c r="L6276" s="267">
        <v>542000</v>
      </c>
      <c r="M6276" s="267" t="s">
        <v>3935</v>
      </c>
      <c r="N6276" s="267" t="s">
        <v>3944</v>
      </c>
      <c r="O6276" s="267">
        <v>1619.35</v>
      </c>
      <c r="P6276" s="267" t="s">
        <v>3944</v>
      </c>
      <c r="Q6276" s="267" t="s">
        <v>3944</v>
      </c>
      <c r="R6276" s="267">
        <v>1619.35</v>
      </c>
      <c r="S6276" s="267">
        <v>22586.02</v>
      </c>
      <c r="T6276" s="267">
        <v>24205.37</v>
      </c>
      <c r="U6276" s="268" t="s">
        <v>3945</v>
      </c>
      <c r="V6276" s="267" t="s">
        <v>944</v>
      </c>
    </row>
    <row r="6277" spans="1:22" hidden="1" x14ac:dyDescent="0.25">
      <c r="A6277" s="269">
        <v>43759</v>
      </c>
      <c r="B6277" s="270">
        <v>2019</v>
      </c>
      <c r="C6277" s="270">
        <v>2020</v>
      </c>
      <c r="D6277" s="270">
        <v>1</v>
      </c>
      <c r="E6277" s="270">
        <v>1</v>
      </c>
      <c r="F6277" s="270" t="s">
        <v>944</v>
      </c>
      <c r="G6277" s="270" t="s">
        <v>3926</v>
      </c>
      <c r="H6277" s="270" t="s">
        <v>11018</v>
      </c>
      <c r="I6277" s="270" t="s">
        <v>934</v>
      </c>
      <c r="J6277" s="270" t="s">
        <v>3928</v>
      </c>
      <c r="K6277" s="270">
        <v>6604</v>
      </c>
      <c r="L6277" s="270">
        <v>72100</v>
      </c>
      <c r="M6277" s="270" t="s">
        <v>3940</v>
      </c>
      <c r="N6277" s="270" t="s">
        <v>3944</v>
      </c>
      <c r="O6277" s="270">
        <v>726.11</v>
      </c>
      <c r="P6277" s="270" t="s">
        <v>3944</v>
      </c>
      <c r="Q6277" s="270" t="s">
        <v>3944</v>
      </c>
      <c r="R6277" s="270">
        <v>726.11</v>
      </c>
      <c r="S6277" s="270">
        <v>12499.76</v>
      </c>
      <c r="T6277" s="270">
        <v>13225.87</v>
      </c>
      <c r="U6277" s="271" t="s">
        <v>3945</v>
      </c>
      <c r="V6277" s="267" t="s">
        <v>944</v>
      </c>
    </row>
    <row r="6278" spans="1:22" hidden="1" x14ac:dyDescent="0.25">
      <c r="A6278" s="266">
        <v>43759</v>
      </c>
      <c r="B6278" s="267">
        <v>2019</v>
      </c>
      <c r="C6278" s="267">
        <v>2020</v>
      </c>
      <c r="D6278" s="267">
        <v>1</v>
      </c>
      <c r="E6278" s="267">
        <v>1</v>
      </c>
      <c r="F6278" s="267" t="s">
        <v>944</v>
      </c>
      <c r="G6278" s="267" t="s">
        <v>3926</v>
      </c>
      <c r="H6278" s="267" t="s">
        <v>11019</v>
      </c>
      <c r="I6278" s="267" t="s">
        <v>4213</v>
      </c>
      <c r="J6278" s="267" t="s">
        <v>3928</v>
      </c>
      <c r="K6278" s="267">
        <v>6051</v>
      </c>
      <c r="L6278" s="267">
        <v>415400</v>
      </c>
      <c r="M6278" s="267">
        <v>-60</v>
      </c>
      <c r="N6278" s="267" t="s">
        <v>3944</v>
      </c>
      <c r="O6278" s="267">
        <v>2255.44</v>
      </c>
      <c r="P6278" s="267" t="s">
        <v>3944</v>
      </c>
      <c r="Q6278" s="267" t="s">
        <v>3944</v>
      </c>
      <c r="R6278" s="267">
        <v>2255.44</v>
      </c>
      <c r="S6278" s="267">
        <v>36192.639999999999</v>
      </c>
      <c r="T6278" s="267">
        <v>38448.080000000002</v>
      </c>
      <c r="U6278" s="268" t="s">
        <v>3945</v>
      </c>
      <c r="V6278" s="267" t="s">
        <v>944</v>
      </c>
    </row>
    <row r="6279" spans="1:22" hidden="1" x14ac:dyDescent="0.25">
      <c r="A6279" s="269">
        <v>43759</v>
      </c>
      <c r="B6279" s="270">
        <v>2019</v>
      </c>
      <c r="C6279" s="270">
        <v>2020</v>
      </c>
      <c r="D6279" s="270">
        <v>1</v>
      </c>
      <c r="E6279" s="270">
        <v>1</v>
      </c>
      <c r="F6279" s="270" t="s">
        <v>944</v>
      </c>
      <c r="G6279" s="270" t="s">
        <v>3926</v>
      </c>
      <c r="H6279" s="270" t="s">
        <v>11020</v>
      </c>
      <c r="I6279" s="270" t="s">
        <v>956</v>
      </c>
      <c r="J6279" s="270" t="s">
        <v>3928</v>
      </c>
      <c r="K6279" s="270">
        <v>6615</v>
      </c>
      <c r="L6279" s="270">
        <v>80400</v>
      </c>
      <c r="M6279" s="270" t="s">
        <v>3940</v>
      </c>
      <c r="N6279" s="270" t="s">
        <v>3944</v>
      </c>
      <c r="O6279" s="270">
        <v>1741.92</v>
      </c>
      <c r="P6279" s="270" t="s">
        <v>3944</v>
      </c>
      <c r="Q6279" s="270" t="s">
        <v>3944</v>
      </c>
      <c r="R6279" s="270">
        <v>1741.92</v>
      </c>
      <c r="S6279" s="270">
        <v>29403.31</v>
      </c>
      <c r="T6279" s="270">
        <v>31145.23</v>
      </c>
      <c r="U6279" s="271" t="s">
        <v>3945</v>
      </c>
      <c r="V6279" s="267" t="s">
        <v>944</v>
      </c>
    </row>
    <row r="6280" spans="1:22" hidden="1" x14ac:dyDescent="0.25">
      <c r="A6280" s="266">
        <v>43759</v>
      </c>
      <c r="B6280" s="267">
        <v>2019</v>
      </c>
      <c r="C6280" s="267">
        <v>2020</v>
      </c>
      <c r="D6280" s="267">
        <v>1</v>
      </c>
      <c r="E6280" s="267">
        <v>1</v>
      </c>
      <c r="F6280" s="267" t="s">
        <v>944</v>
      </c>
      <c r="G6280" s="267" t="s">
        <v>3926</v>
      </c>
      <c r="H6280" s="267" t="s">
        <v>11021</v>
      </c>
      <c r="I6280" s="267" t="s">
        <v>2985</v>
      </c>
      <c r="J6280" s="267" t="s">
        <v>3928</v>
      </c>
      <c r="K6280" s="267">
        <v>6824</v>
      </c>
      <c r="L6280" s="267">
        <v>60800</v>
      </c>
      <c r="M6280" s="267" t="s">
        <v>3943</v>
      </c>
      <c r="N6280" s="267" t="s">
        <v>3944</v>
      </c>
      <c r="O6280" s="267">
        <v>1456.53</v>
      </c>
      <c r="P6280" s="267" t="s">
        <v>3944</v>
      </c>
      <c r="Q6280" s="267" t="s">
        <v>3944</v>
      </c>
      <c r="R6280" s="267">
        <v>1456.53</v>
      </c>
      <c r="S6280" s="267">
        <v>20809.47</v>
      </c>
      <c r="T6280" s="267">
        <v>22266</v>
      </c>
      <c r="U6280" s="268" t="s">
        <v>3945</v>
      </c>
      <c r="V6280" s="267" t="s">
        <v>944</v>
      </c>
    </row>
    <row r="6281" spans="1:22" hidden="1" x14ac:dyDescent="0.25">
      <c r="A6281" s="269">
        <v>43760</v>
      </c>
      <c r="B6281" s="270">
        <v>2019</v>
      </c>
      <c r="C6281" s="270">
        <v>2020</v>
      </c>
      <c r="D6281" s="270">
        <v>1</v>
      </c>
      <c r="E6281" s="270">
        <v>1</v>
      </c>
      <c r="F6281" s="270" t="s">
        <v>944</v>
      </c>
      <c r="G6281" s="270" t="s">
        <v>3926</v>
      </c>
      <c r="H6281" s="270" t="s">
        <v>11022</v>
      </c>
      <c r="I6281" s="270" t="s">
        <v>4019</v>
      </c>
      <c r="J6281" s="270" t="s">
        <v>3928</v>
      </c>
      <c r="K6281" s="270">
        <v>6701</v>
      </c>
      <c r="L6281" s="270">
        <v>165801</v>
      </c>
      <c r="M6281" s="270" t="s">
        <v>3935</v>
      </c>
      <c r="N6281" s="270" t="s">
        <v>3983</v>
      </c>
      <c r="O6281" s="270">
        <v>1084.48</v>
      </c>
      <c r="P6281" s="270" t="s">
        <v>3930</v>
      </c>
      <c r="Q6281" s="270" t="s">
        <v>3931</v>
      </c>
      <c r="R6281" s="270">
        <v>6084.48</v>
      </c>
      <c r="S6281" s="270">
        <v>16504</v>
      </c>
      <c r="T6281" s="270">
        <v>22588.48</v>
      </c>
      <c r="U6281" s="271" t="s">
        <v>3932</v>
      </c>
      <c r="V6281" s="267" t="s">
        <v>944</v>
      </c>
    </row>
    <row r="6282" spans="1:22" hidden="1" x14ac:dyDescent="0.25">
      <c r="A6282" s="266">
        <v>43760</v>
      </c>
      <c r="B6282" s="267">
        <v>2019</v>
      </c>
      <c r="C6282" s="267">
        <v>2020</v>
      </c>
      <c r="D6282" s="267">
        <v>1</v>
      </c>
      <c r="E6282" s="267">
        <v>1</v>
      </c>
      <c r="F6282" s="267" t="s">
        <v>944</v>
      </c>
      <c r="G6282" s="267" t="s">
        <v>3926</v>
      </c>
      <c r="H6282" s="267" t="s">
        <v>11023</v>
      </c>
      <c r="I6282" s="267" t="s">
        <v>4019</v>
      </c>
      <c r="J6282" s="267" t="s">
        <v>3928</v>
      </c>
      <c r="K6282" s="267">
        <v>6701</v>
      </c>
      <c r="L6282" s="267">
        <v>165801</v>
      </c>
      <c r="M6282" s="267" t="s">
        <v>3935</v>
      </c>
      <c r="N6282" s="267" t="s">
        <v>4103</v>
      </c>
      <c r="O6282" s="267">
        <v>1707.9</v>
      </c>
      <c r="P6282" s="267" t="s">
        <v>3930</v>
      </c>
      <c r="Q6282" s="267" t="s">
        <v>3931</v>
      </c>
      <c r="R6282" s="267">
        <v>6707.9</v>
      </c>
      <c r="S6282" s="267">
        <v>24145.599999999999</v>
      </c>
      <c r="T6282" s="267">
        <v>30853.5</v>
      </c>
      <c r="U6282" s="268" t="s">
        <v>3932</v>
      </c>
      <c r="V6282" s="267" t="s">
        <v>944</v>
      </c>
    </row>
    <row r="6283" spans="1:22" hidden="1" x14ac:dyDescent="0.25">
      <c r="A6283" s="269">
        <v>43760</v>
      </c>
      <c r="B6283" s="270">
        <v>2019</v>
      </c>
      <c r="C6283" s="270">
        <v>2020</v>
      </c>
      <c r="D6283" s="270">
        <v>1</v>
      </c>
      <c r="E6283" s="270">
        <v>1</v>
      </c>
      <c r="F6283" s="270" t="s">
        <v>944</v>
      </c>
      <c r="G6283" s="270" t="s">
        <v>3926</v>
      </c>
      <c r="H6283" s="270" t="s">
        <v>11024</v>
      </c>
      <c r="I6283" s="270" t="s">
        <v>4200</v>
      </c>
      <c r="J6283" s="270" t="s">
        <v>3928</v>
      </c>
      <c r="K6283" s="270">
        <v>6779</v>
      </c>
      <c r="L6283" s="270">
        <v>360400</v>
      </c>
      <c r="M6283" s="270" t="s">
        <v>3940</v>
      </c>
      <c r="N6283" s="270" t="s">
        <v>11025</v>
      </c>
      <c r="O6283" s="270">
        <v>983.05</v>
      </c>
      <c r="P6283" s="270" t="s">
        <v>3930</v>
      </c>
      <c r="Q6283" s="270" t="s">
        <v>3931</v>
      </c>
      <c r="R6283" s="270">
        <v>5983.05</v>
      </c>
      <c r="S6283" s="270">
        <v>18857.599999999999</v>
      </c>
      <c r="T6283" s="270">
        <v>24840.65</v>
      </c>
      <c r="U6283" s="271" t="s">
        <v>3932</v>
      </c>
      <c r="V6283" s="267" t="s">
        <v>944</v>
      </c>
    </row>
    <row r="6284" spans="1:22" hidden="1" x14ac:dyDescent="0.25">
      <c r="A6284" s="266">
        <v>43760</v>
      </c>
      <c r="B6284" s="267">
        <v>2019</v>
      </c>
      <c r="C6284" s="267">
        <v>2020</v>
      </c>
      <c r="D6284" s="267">
        <v>1</v>
      </c>
      <c r="E6284" s="267">
        <v>1</v>
      </c>
      <c r="F6284" s="267" t="s">
        <v>944</v>
      </c>
      <c r="G6284" s="267" t="s">
        <v>3926</v>
      </c>
      <c r="H6284" s="267" t="s">
        <v>11026</v>
      </c>
      <c r="I6284" s="267" t="s">
        <v>3966</v>
      </c>
      <c r="J6284" s="267" t="s">
        <v>3928</v>
      </c>
      <c r="K6284" s="267">
        <v>6010</v>
      </c>
      <c r="L6284" s="267">
        <v>405100</v>
      </c>
      <c r="M6284" s="267" t="s">
        <v>3935</v>
      </c>
      <c r="N6284" s="267" t="s">
        <v>10520</v>
      </c>
      <c r="O6284" s="267">
        <v>2848.41</v>
      </c>
      <c r="P6284" s="267" t="s">
        <v>3930</v>
      </c>
      <c r="Q6284" s="267" t="s">
        <v>3931</v>
      </c>
      <c r="R6284" s="267">
        <v>7848.41</v>
      </c>
      <c r="S6284" s="267">
        <v>10960</v>
      </c>
      <c r="T6284" s="267">
        <v>18808.41</v>
      </c>
      <c r="U6284" s="268" t="s">
        <v>3932</v>
      </c>
      <c r="V6284" s="267" t="s">
        <v>944</v>
      </c>
    </row>
    <row r="6285" spans="1:22" hidden="1" x14ac:dyDescent="0.25">
      <c r="A6285" s="269">
        <v>43760</v>
      </c>
      <c r="B6285" s="270">
        <v>2019</v>
      </c>
      <c r="C6285" s="270">
        <v>2020</v>
      </c>
      <c r="D6285" s="270">
        <v>1</v>
      </c>
      <c r="E6285" s="270">
        <v>1</v>
      </c>
      <c r="F6285" s="270" t="s">
        <v>944</v>
      </c>
      <c r="G6285" s="270" t="s">
        <v>3926</v>
      </c>
      <c r="H6285" s="270" t="s">
        <v>11027</v>
      </c>
      <c r="I6285" s="270" t="s">
        <v>953</v>
      </c>
      <c r="J6285" s="270" t="s">
        <v>3928</v>
      </c>
      <c r="K6285" s="270">
        <v>6514</v>
      </c>
      <c r="L6285" s="270">
        <v>165801</v>
      </c>
      <c r="M6285" s="270" t="s">
        <v>3935</v>
      </c>
      <c r="N6285" s="270" t="s">
        <v>4053</v>
      </c>
      <c r="O6285" s="270">
        <v>1261.19</v>
      </c>
      <c r="P6285" s="270" t="s">
        <v>3930</v>
      </c>
      <c r="Q6285" s="270" t="s">
        <v>3931</v>
      </c>
      <c r="R6285" s="270">
        <v>6261.19</v>
      </c>
      <c r="S6285" s="270">
        <v>18603.2</v>
      </c>
      <c r="T6285" s="270">
        <v>24864.39</v>
      </c>
      <c r="U6285" s="271" t="s">
        <v>3932</v>
      </c>
      <c r="V6285" s="267" t="s">
        <v>944</v>
      </c>
    </row>
    <row r="6286" spans="1:22" hidden="1" x14ac:dyDescent="0.25">
      <c r="A6286" s="266">
        <v>43760</v>
      </c>
      <c r="B6286" s="267">
        <v>2019</v>
      </c>
      <c r="C6286" s="267">
        <v>2020</v>
      </c>
      <c r="D6286" s="267">
        <v>1</v>
      </c>
      <c r="E6286" s="267">
        <v>1</v>
      </c>
      <c r="F6286" s="267" t="s">
        <v>944</v>
      </c>
      <c r="G6286" s="267" t="s">
        <v>3926</v>
      </c>
      <c r="H6286" s="267" t="s">
        <v>11028</v>
      </c>
      <c r="I6286" s="267" t="s">
        <v>4200</v>
      </c>
      <c r="J6286" s="267" t="s">
        <v>3928</v>
      </c>
      <c r="K6286" s="267">
        <v>6795</v>
      </c>
      <c r="L6286" s="267">
        <v>360100</v>
      </c>
      <c r="M6286" s="267" t="s">
        <v>3935</v>
      </c>
      <c r="N6286" s="267" t="s">
        <v>4103</v>
      </c>
      <c r="O6286" s="267">
        <v>1821.37</v>
      </c>
      <c r="P6286" s="267" t="s">
        <v>3930</v>
      </c>
      <c r="Q6286" s="267" t="s">
        <v>3931</v>
      </c>
      <c r="R6286" s="267">
        <v>6821.37</v>
      </c>
      <c r="S6286" s="267">
        <v>24145.599999999999</v>
      </c>
      <c r="T6286" s="267">
        <v>30966.97</v>
      </c>
      <c r="U6286" s="268" t="s">
        <v>3932</v>
      </c>
      <c r="V6286" s="267" t="s">
        <v>944</v>
      </c>
    </row>
    <row r="6287" spans="1:22" hidden="1" x14ac:dyDescent="0.25">
      <c r="A6287" s="269">
        <v>43760</v>
      </c>
      <c r="B6287" s="270">
        <v>2019</v>
      </c>
      <c r="C6287" s="270">
        <v>2020</v>
      </c>
      <c r="D6287" s="270">
        <v>1</v>
      </c>
      <c r="E6287" s="270">
        <v>1</v>
      </c>
      <c r="F6287" s="270" t="s">
        <v>944</v>
      </c>
      <c r="G6287" s="270" t="s">
        <v>3926</v>
      </c>
      <c r="H6287" s="270" t="s">
        <v>11029</v>
      </c>
      <c r="I6287" s="270" t="s">
        <v>4871</v>
      </c>
      <c r="J6287" s="270" t="s">
        <v>3928</v>
      </c>
      <c r="K6287" s="270">
        <v>6877</v>
      </c>
      <c r="L6287" s="270">
        <v>245100</v>
      </c>
      <c r="M6287" s="270" t="s">
        <v>3943</v>
      </c>
      <c r="N6287" s="270" t="s">
        <v>3941</v>
      </c>
      <c r="O6287" s="270">
        <v>0</v>
      </c>
      <c r="P6287" s="270" t="s">
        <v>3930</v>
      </c>
      <c r="Q6287" s="270" t="s">
        <v>3930</v>
      </c>
      <c r="R6287" s="270">
        <v>0</v>
      </c>
      <c r="S6287" s="270">
        <v>14850</v>
      </c>
      <c r="T6287" s="270">
        <v>14850</v>
      </c>
      <c r="U6287" s="271" t="s">
        <v>3937</v>
      </c>
      <c r="V6287" s="267" t="s">
        <v>944</v>
      </c>
    </row>
    <row r="6288" spans="1:22" hidden="1" x14ac:dyDescent="0.25">
      <c r="A6288" s="266">
        <v>43760</v>
      </c>
      <c r="B6288" s="267">
        <v>2019</v>
      </c>
      <c r="C6288" s="267">
        <v>2020</v>
      </c>
      <c r="D6288" s="267">
        <v>1</v>
      </c>
      <c r="E6288" s="267">
        <v>1</v>
      </c>
      <c r="F6288" s="267" t="s">
        <v>944</v>
      </c>
      <c r="G6288" s="267" t="s">
        <v>3926</v>
      </c>
      <c r="H6288" s="267" t="s">
        <v>11030</v>
      </c>
      <c r="I6288" s="267" t="s">
        <v>4269</v>
      </c>
      <c r="J6288" s="267" t="s">
        <v>3928</v>
      </c>
      <c r="K6288" s="267">
        <v>6119</v>
      </c>
      <c r="L6288" s="267">
        <v>497000</v>
      </c>
      <c r="M6288" s="267" t="s">
        <v>3943</v>
      </c>
      <c r="N6288" s="267" t="s">
        <v>11031</v>
      </c>
      <c r="O6288" s="267">
        <v>0</v>
      </c>
      <c r="P6288" s="267" t="s">
        <v>3930</v>
      </c>
      <c r="Q6288" s="267" t="s">
        <v>3930</v>
      </c>
      <c r="R6288" s="267">
        <v>0</v>
      </c>
      <c r="S6288" s="267">
        <v>7056</v>
      </c>
      <c r="T6288" s="267">
        <v>7056</v>
      </c>
      <c r="U6288" s="268" t="s">
        <v>3937</v>
      </c>
      <c r="V6288" s="267" t="s">
        <v>944</v>
      </c>
    </row>
    <row r="6289" spans="1:22" hidden="1" x14ac:dyDescent="0.25">
      <c r="A6289" s="269">
        <v>43760</v>
      </c>
      <c r="B6289" s="270">
        <v>2019</v>
      </c>
      <c r="C6289" s="270">
        <v>2020</v>
      </c>
      <c r="D6289" s="270">
        <v>1</v>
      </c>
      <c r="E6289" s="270">
        <v>1</v>
      </c>
      <c r="F6289" s="270" t="s">
        <v>944</v>
      </c>
      <c r="G6289" s="270" t="s">
        <v>3997</v>
      </c>
      <c r="H6289" s="270" t="s">
        <v>11032</v>
      </c>
      <c r="I6289" s="270" t="s">
        <v>4269</v>
      </c>
      <c r="J6289" s="270" t="s">
        <v>3928</v>
      </c>
      <c r="K6289" s="270">
        <v>6110</v>
      </c>
      <c r="L6289" s="270">
        <v>496200</v>
      </c>
      <c r="M6289" s="270" t="s">
        <v>3935</v>
      </c>
      <c r="N6289" s="270" t="s">
        <v>3944</v>
      </c>
      <c r="O6289" s="270">
        <v>1011</v>
      </c>
      <c r="P6289" s="270" t="s">
        <v>3944</v>
      </c>
      <c r="Q6289" s="270" t="s">
        <v>3944</v>
      </c>
      <c r="R6289" s="270">
        <v>1011</v>
      </c>
      <c r="S6289" s="270">
        <v>8034</v>
      </c>
      <c r="T6289" s="270">
        <v>9045</v>
      </c>
      <c r="U6289" s="271" t="s">
        <v>3945</v>
      </c>
      <c r="V6289" s="267" t="s">
        <v>944</v>
      </c>
    </row>
    <row r="6290" spans="1:22" hidden="1" x14ac:dyDescent="0.25">
      <c r="A6290" s="266">
        <v>43760</v>
      </c>
      <c r="B6290" s="267">
        <v>2019</v>
      </c>
      <c r="C6290" s="267">
        <v>2020</v>
      </c>
      <c r="D6290" s="267">
        <v>1</v>
      </c>
      <c r="E6290" s="267">
        <v>1</v>
      </c>
      <c r="F6290" s="267" t="s">
        <v>944</v>
      </c>
      <c r="G6290" s="267" t="s">
        <v>3926</v>
      </c>
      <c r="H6290" s="267" t="s">
        <v>11033</v>
      </c>
      <c r="I6290" s="267" t="s">
        <v>4119</v>
      </c>
      <c r="J6290" s="267" t="s">
        <v>3928</v>
      </c>
      <c r="K6290" s="267">
        <v>6093</v>
      </c>
      <c r="L6290" s="267">
        <v>477200</v>
      </c>
      <c r="M6290" s="267" t="s">
        <v>3943</v>
      </c>
      <c r="N6290" s="267" t="s">
        <v>3944</v>
      </c>
      <c r="O6290" s="267">
        <v>6493</v>
      </c>
      <c r="P6290" s="267" t="s">
        <v>3944</v>
      </c>
      <c r="Q6290" s="267" t="s">
        <v>3944</v>
      </c>
      <c r="R6290" s="267">
        <v>6493</v>
      </c>
      <c r="S6290" s="267">
        <v>39655</v>
      </c>
      <c r="T6290" s="267">
        <v>46148</v>
      </c>
      <c r="U6290" s="268" t="s">
        <v>3945</v>
      </c>
      <c r="V6290" s="267" t="s">
        <v>944</v>
      </c>
    </row>
    <row r="6291" spans="1:22" hidden="1" x14ac:dyDescent="0.25">
      <c r="A6291" s="269">
        <v>43760</v>
      </c>
      <c r="B6291" s="270">
        <v>2019</v>
      </c>
      <c r="C6291" s="270">
        <v>2020</v>
      </c>
      <c r="D6291" s="270">
        <v>1</v>
      </c>
      <c r="E6291" s="270">
        <v>1</v>
      </c>
      <c r="F6291" s="270" t="s">
        <v>944</v>
      </c>
      <c r="G6291" s="270" t="s">
        <v>3926</v>
      </c>
      <c r="H6291" s="270" t="s">
        <v>11034</v>
      </c>
      <c r="I6291" s="270" t="s">
        <v>4137</v>
      </c>
      <c r="J6291" s="270" t="s">
        <v>3928</v>
      </c>
      <c r="K6291" s="270">
        <v>6067</v>
      </c>
      <c r="L6291" s="270">
        <v>490302</v>
      </c>
      <c r="M6291" s="270" t="s">
        <v>3960</v>
      </c>
      <c r="N6291" s="270" t="s">
        <v>3944</v>
      </c>
      <c r="O6291" s="270">
        <v>3764</v>
      </c>
      <c r="P6291" s="270" t="s">
        <v>3944</v>
      </c>
      <c r="Q6291" s="270" t="s">
        <v>3944</v>
      </c>
      <c r="R6291" s="270">
        <v>3764</v>
      </c>
      <c r="S6291" s="270">
        <v>24286</v>
      </c>
      <c r="T6291" s="270">
        <v>28050</v>
      </c>
      <c r="U6291" s="271" t="s">
        <v>3945</v>
      </c>
      <c r="V6291" s="267" t="s">
        <v>944</v>
      </c>
    </row>
    <row r="6292" spans="1:22" hidden="1" x14ac:dyDescent="0.25">
      <c r="A6292" s="266">
        <v>43760</v>
      </c>
      <c r="B6292" s="267">
        <v>2019</v>
      </c>
      <c r="C6292" s="267">
        <v>2020</v>
      </c>
      <c r="D6292" s="267">
        <v>1</v>
      </c>
      <c r="E6292" s="267">
        <v>1</v>
      </c>
      <c r="F6292" s="267" t="s">
        <v>944</v>
      </c>
      <c r="G6292" s="267" t="s">
        <v>3926</v>
      </c>
      <c r="H6292" s="267" t="s">
        <v>11035</v>
      </c>
      <c r="I6292" s="267" t="s">
        <v>3962</v>
      </c>
      <c r="J6292" s="267" t="s">
        <v>3928</v>
      </c>
      <c r="K6292" s="267">
        <v>6355</v>
      </c>
      <c r="L6292" s="267">
        <v>702800</v>
      </c>
      <c r="M6292" s="267" t="s">
        <v>3935</v>
      </c>
      <c r="N6292" s="267" t="s">
        <v>3944</v>
      </c>
      <c r="O6292" s="267">
        <v>3460</v>
      </c>
      <c r="P6292" s="267" t="s">
        <v>3944</v>
      </c>
      <c r="Q6292" s="267" t="s">
        <v>3944</v>
      </c>
      <c r="R6292" s="267">
        <v>3460</v>
      </c>
      <c r="S6292" s="267">
        <v>26406</v>
      </c>
      <c r="T6292" s="267">
        <v>29866</v>
      </c>
      <c r="U6292" s="268" t="s">
        <v>3945</v>
      </c>
      <c r="V6292" s="267" t="s">
        <v>944</v>
      </c>
    </row>
    <row r="6293" spans="1:22" hidden="1" x14ac:dyDescent="0.25">
      <c r="A6293" s="269">
        <v>43760</v>
      </c>
      <c r="B6293" s="270">
        <v>2019</v>
      </c>
      <c r="C6293" s="270">
        <v>2020</v>
      </c>
      <c r="D6293" s="270">
        <v>1</v>
      </c>
      <c r="E6293" s="270">
        <v>1</v>
      </c>
      <c r="F6293" s="270" t="s">
        <v>944</v>
      </c>
      <c r="G6293" s="270" t="s">
        <v>3926</v>
      </c>
      <c r="H6293" s="270" t="s">
        <v>11036</v>
      </c>
      <c r="I6293" s="270" t="s">
        <v>6268</v>
      </c>
      <c r="J6293" s="270" t="s">
        <v>3928</v>
      </c>
      <c r="K6293" s="270">
        <v>6371</v>
      </c>
      <c r="L6293" s="270">
        <v>660102</v>
      </c>
      <c r="M6293" s="270" t="s">
        <v>3960</v>
      </c>
      <c r="N6293" s="270" t="s">
        <v>3944</v>
      </c>
      <c r="O6293" s="270">
        <v>3138</v>
      </c>
      <c r="P6293" s="270" t="s">
        <v>3944</v>
      </c>
      <c r="Q6293" s="270" t="s">
        <v>3944</v>
      </c>
      <c r="R6293" s="270">
        <v>3138</v>
      </c>
      <c r="S6293" s="270">
        <v>22242.91</v>
      </c>
      <c r="T6293" s="270">
        <v>25380.91</v>
      </c>
      <c r="U6293" s="271" t="s">
        <v>3945</v>
      </c>
      <c r="V6293" s="267" t="s">
        <v>944</v>
      </c>
    </row>
    <row r="6294" spans="1:22" hidden="1" x14ac:dyDescent="0.25">
      <c r="A6294" s="266">
        <v>43760</v>
      </c>
      <c r="B6294" s="267">
        <v>2019</v>
      </c>
      <c r="C6294" s="267">
        <v>2020</v>
      </c>
      <c r="D6294" s="267">
        <v>1</v>
      </c>
      <c r="E6294" s="267">
        <v>1</v>
      </c>
      <c r="F6294" s="267" t="s">
        <v>944</v>
      </c>
      <c r="G6294" s="267" t="s">
        <v>3926</v>
      </c>
      <c r="H6294" s="267" t="s">
        <v>11037</v>
      </c>
      <c r="I6294" s="267" t="s">
        <v>3009</v>
      </c>
      <c r="J6294" s="267" t="s">
        <v>3928</v>
      </c>
      <c r="K6294" s="267">
        <v>6484</v>
      </c>
      <c r="L6294" s="267">
        <v>110201</v>
      </c>
      <c r="M6294" s="267" t="s">
        <v>3960</v>
      </c>
      <c r="N6294" s="267" t="s">
        <v>3944</v>
      </c>
      <c r="O6294" s="267">
        <v>2000</v>
      </c>
      <c r="P6294" s="267" t="s">
        <v>3944</v>
      </c>
      <c r="Q6294" s="267" t="s">
        <v>3944</v>
      </c>
      <c r="R6294" s="267">
        <v>2000</v>
      </c>
      <c r="S6294" s="267">
        <v>15955</v>
      </c>
      <c r="T6294" s="267">
        <v>17955</v>
      </c>
      <c r="U6294" s="268" t="s">
        <v>3945</v>
      </c>
      <c r="V6294" s="267" t="s">
        <v>944</v>
      </c>
    </row>
    <row r="6295" spans="1:22" hidden="1" x14ac:dyDescent="0.25">
      <c r="A6295" s="269">
        <v>43760</v>
      </c>
      <c r="B6295" s="270">
        <v>2019</v>
      </c>
      <c r="C6295" s="270">
        <v>2020</v>
      </c>
      <c r="D6295" s="270">
        <v>1</v>
      </c>
      <c r="E6295" s="270">
        <v>1</v>
      </c>
      <c r="F6295" s="270" t="s">
        <v>944</v>
      </c>
      <c r="G6295" s="270" t="s">
        <v>3926</v>
      </c>
      <c r="H6295" s="270" t="s">
        <v>11038</v>
      </c>
      <c r="I6295" s="270" t="s">
        <v>6362</v>
      </c>
      <c r="J6295" s="270" t="s">
        <v>3928</v>
      </c>
      <c r="K6295" s="270">
        <v>6026</v>
      </c>
      <c r="L6295" s="270">
        <v>470100</v>
      </c>
      <c r="M6295" s="270" t="s">
        <v>3943</v>
      </c>
      <c r="N6295" s="270" t="s">
        <v>3944</v>
      </c>
      <c r="O6295" s="270">
        <v>1419.85</v>
      </c>
      <c r="P6295" s="270" t="s">
        <v>3944</v>
      </c>
      <c r="Q6295" s="270" t="s">
        <v>3944</v>
      </c>
      <c r="R6295" s="270">
        <v>1419.85</v>
      </c>
      <c r="S6295" s="270">
        <v>21487.19</v>
      </c>
      <c r="T6295" s="270">
        <v>22907.040000000001</v>
      </c>
      <c r="U6295" s="271" t="s">
        <v>3945</v>
      </c>
      <c r="V6295" s="267" t="s">
        <v>944</v>
      </c>
    </row>
    <row r="6296" spans="1:22" hidden="1" x14ac:dyDescent="0.25">
      <c r="A6296" s="266">
        <v>43760</v>
      </c>
      <c r="B6296" s="267">
        <v>2019</v>
      </c>
      <c r="C6296" s="267">
        <v>2020</v>
      </c>
      <c r="D6296" s="267">
        <v>1</v>
      </c>
      <c r="E6296" s="267">
        <v>1</v>
      </c>
      <c r="F6296" s="267" t="s">
        <v>944</v>
      </c>
      <c r="G6296" s="267" t="s">
        <v>3926</v>
      </c>
      <c r="H6296" s="267" t="s">
        <v>11039</v>
      </c>
      <c r="I6296" s="267" t="s">
        <v>3993</v>
      </c>
      <c r="J6296" s="267" t="s">
        <v>3928</v>
      </c>
      <c r="K6296" s="267">
        <v>6415</v>
      </c>
      <c r="L6296" s="267">
        <v>714103</v>
      </c>
      <c r="M6296" s="267" t="s">
        <v>3943</v>
      </c>
      <c r="N6296" s="267" t="s">
        <v>3944</v>
      </c>
      <c r="O6296" s="267">
        <v>1599.43</v>
      </c>
      <c r="P6296" s="267" t="s">
        <v>3944</v>
      </c>
      <c r="Q6296" s="267" t="s">
        <v>3944</v>
      </c>
      <c r="R6296" s="267">
        <v>1599.43</v>
      </c>
      <c r="S6296" s="267">
        <v>28101.43</v>
      </c>
      <c r="T6296" s="267">
        <v>29700.86</v>
      </c>
      <c r="U6296" s="268" t="s">
        <v>3945</v>
      </c>
      <c r="V6296" s="267" t="s">
        <v>944</v>
      </c>
    </row>
    <row r="6297" spans="1:22" hidden="1" x14ac:dyDescent="0.25">
      <c r="A6297" s="269">
        <v>43760</v>
      </c>
      <c r="B6297" s="270">
        <v>2019</v>
      </c>
      <c r="C6297" s="270">
        <v>2020</v>
      </c>
      <c r="D6297" s="270">
        <v>1</v>
      </c>
      <c r="E6297" s="270">
        <v>1</v>
      </c>
      <c r="F6297" s="270" t="s">
        <v>944</v>
      </c>
      <c r="G6297" s="270" t="s">
        <v>3926</v>
      </c>
      <c r="H6297" s="270" t="s">
        <v>11040</v>
      </c>
      <c r="I6297" s="270" t="s">
        <v>4392</v>
      </c>
      <c r="J6297" s="270" t="s">
        <v>3928</v>
      </c>
      <c r="K6297" s="270">
        <v>6457</v>
      </c>
      <c r="L6297" s="270">
        <v>542100</v>
      </c>
      <c r="M6297" s="270" t="s">
        <v>3940</v>
      </c>
      <c r="N6297" s="270" t="s">
        <v>3944</v>
      </c>
      <c r="O6297" s="270">
        <v>1163.0899999999999</v>
      </c>
      <c r="P6297" s="270" t="s">
        <v>3944</v>
      </c>
      <c r="Q6297" s="270" t="s">
        <v>3944</v>
      </c>
      <c r="R6297" s="270">
        <v>1163.0899999999999</v>
      </c>
      <c r="S6297" s="270">
        <v>10508.91</v>
      </c>
      <c r="T6297" s="270">
        <v>11672</v>
      </c>
      <c r="U6297" s="271" t="s">
        <v>3945</v>
      </c>
      <c r="V6297" s="267" t="s">
        <v>944</v>
      </c>
    </row>
    <row r="6298" spans="1:22" hidden="1" x14ac:dyDescent="0.25">
      <c r="A6298" s="266">
        <v>43760</v>
      </c>
      <c r="B6298" s="267">
        <v>2019</v>
      </c>
      <c r="C6298" s="267">
        <v>2020</v>
      </c>
      <c r="D6298" s="267">
        <v>1</v>
      </c>
      <c r="E6298" s="267">
        <v>1</v>
      </c>
      <c r="F6298" s="267" t="s">
        <v>944</v>
      </c>
      <c r="G6298" s="267" t="s">
        <v>3926</v>
      </c>
      <c r="H6298" s="267" t="s">
        <v>11041</v>
      </c>
      <c r="I6298" s="267" t="s">
        <v>3949</v>
      </c>
      <c r="J6298" s="267" t="s">
        <v>3928</v>
      </c>
      <c r="K6298" s="267">
        <v>6437</v>
      </c>
      <c r="L6298" s="267">
        <v>190302</v>
      </c>
      <c r="M6298" s="267" t="s">
        <v>3943</v>
      </c>
      <c r="N6298" s="267" t="s">
        <v>3944</v>
      </c>
      <c r="O6298" s="267">
        <v>2366.1799999999998</v>
      </c>
      <c r="P6298" s="267" t="s">
        <v>3944</v>
      </c>
      <c r="Q6298" s="267" t="s">
        <v>3944</v>
      </c>
      <c r="R6298" s="267">
        <v>2366.1799999999998</v>
      </c>
      <c r="S6298" s="267">
        <v>19908.82</v>
      </c>
      <c r="T6298" s="267">
        <v>22275</v>
      </c>
      <c r="U6298" s="268" t="s">
        <v>3945</v>
      </c>
      <c r="V6298" s="267" t="s">
        <v>944</v>
      </c>
    </row>
    <row r="6299" spans="1:22" hidden="1" x14ac:dyDescent="0.25">
      <c r="A6299" s="269">
        <v>43760</v>
      </c>
      <c r="B6299" s="270">
        <v>2019</v>
      </c>
      <c r="C6299" s="270">
        <v>2020</v>
      </c>
      <c r="D6299" s="270">
        <v>1</v>
      </c>
      <c r="E6299" s="270">
        <v>1</v>
      </c>
      <c r="F6299" s="270" t="s">
        <v>944</v>
      </c>
      <c r="G6299" s="270" t="s">
        <v>3926</v>
      </c>
      <c r="H6299" s="270" t="s">
        <v>11042</v>
      </c>
      <c r="I6299" s="270" t="s">
        <v>3939</v>
      </c>
      <c r="J6299" s="270" t="s">
        <v>3928</v>
      </c>
      <c r="K6299" s="270">
        <v>6513</v>
      </c>
      <c r="L6299" s="270">
        <v>180602</v>
      </c>
      <c r="M6299" s="270" t="s">
        <v>3935</v>
      </c>
      <c r="N6299" s="270" t="s">
        <v>3944</v>
      </c>
      <c r="O6299" s="270">
        <v>1525.41</v>
      </c>
      <c r="P6299" s="270" t="s">
        <v>3944</v>
      </c>
      <c r="Q6299" s="270" t="s">
        <v>3944</v>
      </c>
      <c r="R6299" s="270">
        <v>1525.41</v>
      </c>
      <c r="S6299" s="270">
        <v>25876.09</v>
      </c>
      <c r="T6299" s="270">
        <v>27401.5</v>
      </c>
      <c r="U6299" s="271" t="s">
        <v>3945</v>
      </c>
      <c r="V6299" s="267" t="s">
        <v>944</v>
      </c>
    </row>
    <row r="6300" spans="1:22" x14ac:dyDescent="0.25">
      <c r="A6300" s="266">
        <v>43760</v>
      </c>
      <c r="B6300" s="267">
        <v>2019</v>
      </c>
      <c r="C6300" s="267">
        <v>2020</v>
      </c>
      <c r="D6300" s="267">
        <v>1</v>
      </c>
      <c r="E6300" s="267">
        <v>1</v>
      </c>
      <c r="F6300" s="267" t="s">
        <v>944</v>
      </c>
      <c r="G6300" s="267" t="s">
        <v>3926</v>
      </c>
      <c r="H6300" s="267" t="s">
        <v>11043</v>
      </c>
      <c r="I6300" s="267" t="s">
        <v>943</v>
      </c>
      <c r="J6300" s="267" t="s">
        <v>3928</v>
      </c>
      <c r="K6300" s="267">
        <v>6515</v>
      </c>
      <c r="L6300" s="267">
        <v>141300</v>
      </c>
      <c r="M6300" s="267">
        <v>-60</v>
      </c>
      <c r="N6300" s="267" t="s">
        <v>3944</v>
      </c>
      <c r="O6300" s="267">
        <v>988.05</v>
      </c>
      <c r="P6300" s="267" t="s">
        <v>3944</v>
      </c>
      <c r="Q6300" s="267" t="s">
        <v>3944</v>
      </c>
      <c r="R6300" s="267">
        <v>988.05</v>
      </c>
      <c r="S6300" s="267">
        <v>11665.95</v>
      </c>
      <c r="T6300" s="267">
        <v>12654</v>
      </c>
      <c r="U6300" s="268" t="s">
        <v>3945</v>
      </c>
      <c r="V6300" s="276" t="s">
        <v>936</v>
      </c>
    </row>
    <row r="6301" spans="1:22" hidden="1" x14ac:dyDescent="0.25">
      <c r="A6301" s="269">
        <v>43760</v>
      </c>
      <c r="B6301" s="270">
        <v>2019</v>
      </c>
      <c r="C6301" s="270">
        <v>2020</v>
      </c>
      <c r="D6301" s="270">
        <v>1</v>
      </c>
      <c r="E6301" s="270">
        <v>1</v>
      </c>
      <c r="F6301" s="270" t="s">
        <v>944</v>
      </c>
      <c r="G6301" s="270" t="s">
        <v>3926</v>
      </c>
      <c r="H6301" s="270" t="s">
        <v>11044</v>
      </c>
      <c r="I6301" s="270" t="s">
        <v>3025</v>
      </c>
      <c r="J6301" s="270" t="s">
        <v>3928</v>
      </c>
      <c r="K6301" s="270">
        <v>6473</v>
      </c>
      <c r="L6301" s="270">
        <v>167100</v>
      </c>
      <c r="M6301" s="270" t="s">
        <v>3943</v>
      </c>
      <c r="N6301" s="270" t="s">
        <v>3944</v>
      </c>
      <c r="O6301" s="270">
        <v>2496.2399999999998</v>
      </c>
      <c r="P6301" s="270" t="s">
        <v>3944</v>
      </c>
      <c r="Q6301" s="270" t="s">
        <v>3944</v>
      </c>
      <c r="R6301" s="270">
        <v>2496.2399999999998</v>
      </c>
      <c r="S6301" s="270">
        <v>20902.759999999998</v>
      </c>
      <c r="T6301" s="270">
        <v>23399</v>
      </c>
      <c r="U6301" s="271" t="s">
        <v>3945</v>
      </c>
      <c r="V6301" s="267" t="s">
        <v>944</v>
      </c>
    </row>
    <row r="6302" spans="1:22" hidden="1" x14ac:dyDescent="0.25">
      <c r="A6302" s="266">
        <v>43760</v>
      </c>
      <c r="B6302" s="267">
        <v>2019</v>
      </c>
      <c r="C6302" s="267">
        <v>2020</v>
      </c>
      <c r="D6302" s="267">
        <v>1</v>
      </c>
      <c r="E6302" s="267">
        <v>1</v>
      </c>
      <c r="F6302" s="267" t="s">
        <v>944</v>
      </c>
      <c r="G6302" s="267" t="s">
        <v>3926</v>
      </c>
      <c r="H6302" s="267" t="s">
        <v>11045</v>
      </c>
      <c r="I6302" s="267" t="s">
        <v>4213</v>
      </c>
      <c r="J6302" s="267" t="s">
        <v>3928</v>
      </c>
      <c r="K6302" s="267">
        <v>6053</v>
      </c>
      <c r="L6302" s="267">
        <v>416500</v>
      </c>
      <c r="M6302" s="267" t="s">
        <v>3940</v>
      </c>
      <c r="N6302" s="267" t="s">
        <v>3944</v>
      </c>
      <c r="O6302" s="267">
        <v>996.14</v>
      </c>
      <c r="P6302" s="267" t="s">
        <v>3944</v>
      </c>
      <c r="Q6302" s="267" t="s">
        <v>3944</v>
      </c>
      <c r="R6302" s="267">
        <v>996.14</v>
      </c>
      <c r="S6302" s="267">
        <v>10668.07</v>
      </c>
      <c r="T6302" s="267">
        <v>11664.21</v>
      </c>
      <c r="U6302" s="268" t="s">
        <v>3945</v>
      </c>
      <c r="V6302" s="267" t="s">
        <v>944</v>
      </c>
    </row>
    <row r="6303" spans="1:22" hidden="1" x14ac:dyDescent="0.25">
      <c r="A6303" s="269">
        <v>43760</v>
      </c>
      <c r="B6303" s="270">
        <v>2019</v>
      </c>
      <c r="C6303" s="270">
        <v>2020</v>
      </c>
      <c r="D6303" s="270">
        <v>1</v>
      </c>
      <c r="E6303" s="270">
        <v>1</v>
      </c>
      <c r="F6303" s="270" t="s">
        <v>944</v>
      </c>
      <c r="G6303" s="270" t="s">
        <v>3926</v>
      </c>
      <c r="H6303" s="270" t="s">
        <v>11046</v>
      </c>
      <c r="I6303" s="270" t="s">
        <v>3968</v>
      </c>
      <c r="J6303" s="270" t="s">
        <v>3928</v>
      </c>
      <c r="K6303" s="270">
        <v>6040</v>
      </c>
      <c r="L6303" s="270">
        <v>515200</v>
      </c>
      <c r="M6303" s="270" t="s">
        <v>3943</v>
      </c>
      <c r="N6303" s="270" t="s">
        <v>3944</v>
      </c>
      <c r="O6303" s="270">
        <v>2000.74</v>
      </c>
      <c r="P6303" s="270" t="s">
        <v>3944</v>
      </c>
      <c r="Q6303" s="270" t="s">
        <v>3944</v>
      </c>
      <c r="R6303" s="270">
        <v>2000.74</v>
      </c>
      <c r="S6303" s="270">
        <v>19827.259999999998</v>
      </c>
      <c r="T6303" s="270">
        <v>21828</v>
      </c>
      <c r="U6303" s="271" t="s">
        <v>3945</v>
      </c>
      <c r="V6303" s="267" t="s">
        <v>944</v>
      </c>
    </row>
    <row r="6304" spans="1:22" x14ac:dyDescent="0.25">
      <c r="A6304" s="266">
        <v>43760</v>
      </c>
      <c r="B6304" s="267">
        <v>2019</v>
      </c>
      <c r="C6304" s="267">
        <v>2020</v>
      </c>
      <c r="D6304" s="267">
        <v>1</v>
      </c>
      <c r="E6304" s="267">
        <v>1</v>
      </c>
      <c r="F6304" s="267" t="s">
        <v>944</v>
      </c>
      <c r="G6304" s="267" t="s">
        <v>3926</v>
      </c>
      <c r="H6304" s="267" t="s">
        <v>11047</v>
      </c>
      <c r="I6304" s="267" t="s">
        <v>953</v>
      </c>
      <c r="J6304" s="267" t="s">
        <v>3928</v>
      </c>
      <c r="K6304" s="267">
        <v>6514</v>
      </c>
      <c r="L6304" s="267">
        <v>165500</v>
      </c>
      <c r="M6304" s="267">
        <v>-60</v>
      </c>
      <c r="N6304" s="267" t="s">
        <v>3944</v>
      </c>
      <c r="O6304" s="267">
        <v>1564.19</v>
      </c>
      <c r="P6304" s="267" t="s">
        <v>3944</v>
      </c>
      <c r="Q6304" s="267" t="s">
        <v>3944</v>
      </c>
      <c r="R6304" s="267">
        <v>1564.19</v>
      </c>
      <c r="S6304" s="267">
        <v>12983.81</v>
      </c>
      <c r="T6304" s="267">
        <v>14548</v>
      </c>
      <c r="U6304" s="268" t="s">
        <v>3945</v>
      </c>
      <c r="V6304" s="276" t="s">
        <v>936</v>
      </c>
    </row>
    <row r="6305" spans="1:22" hidden="1" x14ac:dyDescent="0.25">
      <c r="A6305" s="269">
        <v>43760</v>
      </c>
      <c r="B6305" s="270">
        <v>2019</v>
      </c>
      <c r="C6305" s="270">
        <v>2020</v>
      </c>
      <c r="D6305" s="270">
        <v>1</v>
      </c>
      <c r="E6305" s="270">
        <v>1</v>
      </c>
      <c r="F6305" s="270" t="s">
        <v>944</v>
      </c>
      <c r="G6305" s="270" t="s">
        <v>3926</v>
      </c>
      <c r="H6305" s="270" t="s">
        <v>11048</v>
      </c>
      <c r="I6305" s="270" t="s">
        <v>3999</v>
      </c>
      <c r="J6305" s="270" t="s">
        <v>3928</v>
      </c>
      <c r="K6305" s="270">
        <v>6450</v>
      </c>
      <c r="L6305" s="270">
        <v>171200</v>
      </c>
      <c r="M6305" s="270" t="s">
        <v>3960</v>
      </c>
      <c r="N6305" s="270" t="s">
        <v>3944</v>
      </c>
      <c r="O6305" s="270">
        <v>2300.2399999999998</v>
      </c>
      <c r="P6305" s="270" t="s">
        <v>3944</v>
      </c>
      <c r="Q6305" s="270" t="s">
        <v>3944</v>
      </c>
      <c r="R6305" s="270">
        <v>2300.2399999999998</v>
      </c>
      <c r="S6305" s="270">
        <v>40029.360000000001</v>
      </c>
      <c r="T6305" s="270">
        <v>42329.599999999999</v>
      </c>
      <c r="U6305" s="271" t="s">
        <v>3945</v>
      </c>
      <c r="V6305" s="267" t="s">
        <v>944</v>
      </c>
    </row>
    <row r="6306" spans="1:22" hidden="1" x14ac:dyDescent="0.25">
      <c r="A6306" s="266">
        <v>43760</v>
      </c>
      <c r="B6306" s="267">
        <v>2019</v>
      </c>
      <c r="C6306" s="267">
        <v>2020</v>
      </c>
      <c r="D6306" s="267">
        <v>1</v>
      </c>
      <c r="E6306" s="267">
        <v>1</v>
      </c>
      <c r="F6306" s="267" t="s">
        <v>944</v>
      </c>
      <c r="G6306" s="267" t="s">
        <v>3926</v>
      </c>
      <c r="H6306" s="267" t="s">
        <v>11049</v>
      </c>
      <c r="I6306" s="267" t="s">
        <v>3010</v>
      </c>
      <c r="J6306" s="267" t="s">
        <v>3928</v>
      </c>
      <c r="K6306" s="267">
        <v>6401</v>
      </c>
      <c r="L6306" s="267">
        <v>125100</v>
      </c>
      <c r="M6306" s="267" t="s">
        <v>3960</v>
      </c>
      <c r="N6306" s="267" t="s">
        <v>3944</v>
      </c>
      <c r="O6306" s="267">
        <v>2476.7399999999998</v>
      </c>
      <c r="P6306" s="267" t="s">
        <v>3944</v>
      </c>
      <c r="Q6306" s="267" t="s">
        <v>3944</v>
      </c>
      <c r="R6306" s="267">
        <v>2476.7399999999998</v>
      </c>
      <c r="S6306" s="267">
        <v>38385.370000000003</v>
      </c>
      <c r="T6306" s="267">
        <v>40862.11</v>
      </c>
      <c r="U6306" s="268" t="s">
        <v>3945</v>
      </c>
      <c r="V6306" s="267" t="s">
        <v>944</v>
      </c>
    </row>
    <row r="6307" spans="1:22" hidden="1" x14ac:dyDescent="0.25">
      <c r="A6307" s="269">
        <v>43760</v>
      </c>
      <c r="B6307" s="270">
        <v>2019</v>
      </c>
      <c r="C6307" s="270">
        <v>2020</v>
      </c>
      <c r="D6307" s="270">
        <v>1</v>
      </c>
      <c r="E6307" s="270">
        <v>1</v>
      </c>
      <c r="F6307" s="270" t="s">
        <v>944</v>
      </c>
      <c r="G6307" s="270" t="s">
        <v>3926</v>
      </c>
      <c r="H6307" s="270" t="s">
        <v>11050</v>
      </c>
      <c r="I6307" s="270" t="s">
        <v>3985</v>
      </c>
      <c r="J6307" s="270" t="s">
        <v>3928</v>
      </c>
      <c r="K6307" s="270">
        <v>6226</v>
      </c>
      <c r="L6307" s="270">
        <v>800400</v>
      </c>
      <c r="M6307" s="270" t="s">
        <v>3940</v>
      </c>
      <c r="N6307" s="270" t="s">
        <v>3944</v>
      </c>
      <c r="O6307" s="270">
        <v>1176.56</v>
      </c>
      <c r="P6307" s="270" t="s">
        <v>3944</v>
      </c>
      <c r="Q6307" s="270" t="s">
        <v>3944</v>
      </c>
      <c r="R6307" s="270">
        <v>1176.56</v>
      </c>
      <c r="S6307" s="270">
        <v>13352.44</v>
      </c>
      <c r="T6307" s="270">
        <v>14529</v>
      </c>
      <c r="U6307" s="271" t="s">
        <v>3945</v>
      </c>
      <c r="V6307" s="267" t="s">
        <v>944</v>
      </c>
    </row>
    <row r="6308" spans="1:22" hidden="1" x14ac:dyDescent="0.25">
      <c r="A6308" s="266">
        <v>43760</v>
      </c>
      <c r="B6308" s="267">
        <v>2019</v>
      </c>
      <c r="C6308" s="267">
        <v>2020</v>
      </c>
      <c r="D6308" s="267">
        <v>1</v>
      </c>
      <c r="E6308" s="267">
        <v>1</v>
      </c>
      <c r="F6308" s="267" t="s">
        <v>944</v>
      </c>
      <c r="G6308" s="267" t="s">
        <v>3926</v>
      </c>
      <c r="H6308" s="267" t="s">
        <v>11051</v>
      </c>
      <c r="I6308" s="267" t="s">
        <v>4073</v>
      </c>
      <c r="J6308" s="267" t="s">
        <v>3928</v>
      </c>
      <c r="K6308" s="267">
        <v>6776</v>
      </c>
      <c r="L6308" s="267">
        <v>253400</v>
      </c>
      <c r="M6308" s="267" t="s">
        <v>3943</v>
      </c>
      <c r="N6308" s="267" t="s">
        <v>3944</v>
      </c>
      <c r="O6308" s="267">
        <v>1884.19</v>
      </c>
      <c r="P6308" s="267" t="s">
        <v>3944</v>
      </c>
      <c r="Q6308" s="267" t="s">
        <v>3944</v>
      </c>
      <c r="R6308" s="267">
        <v>1884.19</v>
      </c>
      <c r="S6308" s="267">
        <v>18268.810000000001</v>
      </c>
      <c r="T6308" s="267">
        <v>20153</v>
      </c>
      <c r="U6308" s="268" t="s">
        <v>3945</v>
      </c>
      <c r="V6308" s="267" t="s">
        <v>944</v>
      </c>
    </row>
    <row r="6309" spans="1:22" hidden="1" x14ac:dyDescent="0.25">
      <c r="A6309" s="269">
        <v>43760</v>
      </c>
      <c r="B6309" s="270">
        <v>2019</v>
      </c>
      <c r="C6309" s="270">
        <v>2020</v>
      </c>
      <c r="D6309" s="270">
        <v>1</v>
      </c>
      <c r="E6309" s="270">
        <v>1</v>
      </c>
      <c r="F6309" s="270" t="s">
        <v>944</v>
      </c>
      <c r="G6309" s="270" t="s">
        <v>3926</v>
      </c>
      <c r="H6309" s="270" t="s">
        <v>11052</v>
      </c>
      <c r="I6309" s="270" t="s">
        <v>956</v>
      </c>
      <c r="J6309" s="270" t="s">
        <v>3928</v>
      </c>
      <c r="K6309" s="270">
        <v>6615</v>
      </c>
      <c r="L6309" s="270">
        <v>80400</v>
      </c>
      <c r="M6309" s="270" t="s">
        <v>3940</v>
      </c>
      <c r="N6309" s="270" t="s">
        <v>3944</v>
      </c>
      <c r="O6309" s="270">
        <v>1353.66</v>
      </c>
      <c r="P6309" s="270" t="s">
        <v>3944</v>
      </c>
      <c r="Q6309" s="270" t="s">
        <v>3944</v>
      </c>
      <c r="R6309" s="270">
        <v>1353.66</v>
      </c>
      <c r="S6309" s="270">
        <v>23256.48</v>
      </c>
      <c r="T6309" s="270">
        <v>24610.14</v>
      </c>
      <c r="U6309" s="271" t="s">
        <v>3945</v>
      </c>
      <c r="V6309" s="267" t="s">
        <v>944</v>
      </c>
    </row>
    <row r="6310" spans="1:22" hidden="1" x14ac:dyDescent="0.25">
      <c r="A6310" s="266">
        <v>43760</v>
      </c>
      <c r="B6310" s="267">
        <v>2019</v>
      </c>
      <c r="C6310" s="267">
        <v>2020</v>
      </c>
      <c r="D6310" s="267">
        <v>1</v>
      </c>
      <c r="E6310" s="267">
        <v>1</v>
      </c>
      <c r="F6310" s="267" t="s">
        <v>944</v>
      </c>
      <c r="G6310" s="267" t="s">
        <v>3926</v>
      </c>
      <c r="H6310" s="267" t="s">
        <v>11053</v>
      </c>
      <c r="I6310" s="267" t="s">
        <v>953</v>
      </c>
      <c r="J6310" s="267" t="s">
        <v>3928</v>
      </c>
      <c r="K6310" s="267">
        <v>6518</v>
      </c>
      <c r="L6310" s="267">
        <v>166001</v>
      </c>
      <c r="M6310" s="267" t="s">
        <v>3935</v>
      </c>
      <c r="N6310" s="267" t="s">
        <v>3944</v>
      </c>
      <c r="O6310" s="267">
        <v>1554.04</v>
      </c>
      <c r="P6310" s="267" t="s">
        <v>3944</v>
      </c>
      <c r="Q6310" s="267" t="s">
        <v>3944</v>
      </c>
      <c r="R6310" s="267">
        <v>1554.04</v>
      </c>
      <c r="S6310" s="267">
        <v>12027.96</v>
      </c>
      <c r="T6310" s="267">
        <v>13582</v>
      </c>
      <c r="U6310" s="268" t="s">
        <v>3945</v>
      </c>
      <c r="V6310" s="267" t="s">
        <v>944</v>
      </c>
    </row>
    <row r="6311" spans="1:22" hidden="1" x14ac:dyDescent="0.25">
      <c r="A6311" s="269">
        <v>43760</v>
      </c>
      <c r="B6311" s="270">
        <v>2019</v>
      </c>
      <c r="C6311" s="270">
        <v>2020</v>
      </c>
      <c r="D6311" s="270">
        <v>1</v>
      </c>
      <c r="E6311" s="270">
        <v>1</v>
      </c>
      <c r="F6311" s="270" t="s">
        <v>944</v>
      </c>
      <c r="G6311" s="270" t="s">
        <v>3926</v>
      </c>
      <c r="H6311" s="270" t="s">
        <v>11054</v>
      </c>
      <c r="I6311" s="270" t="s">
        <v>3008</v>
      </c>
      <c r="J6311" s="270" t="s">
        <v>3928</v>
      </c>
      <c r="K6311" s="270">
        <v>6461</v>
      </c>
      <c r="L6311" s="270">
        <v>150600</v>
      </c>
      <c r="M6311" s="270" t="s">
        <v>3960</v>
      </c>
      <c r="N6311" s="270" t="s">
        <v>3944</v>
      </c>
      <c r="O6311" s="270">
        <v>1945.79</v>
      </c>
      <c r="P6311" s="270" t="s">
        <v>3944</v>
      </c>
      <c r="Q6311" s="270" t="s">
        <v>3944</v>
      </c>
      <c r="R6311" s="270">
        <v>1945.79</v>
      </c>
      <c r="S6311" s="270">
        <v>31917.89</v>
      </c>
      <c r="T6311" s="270">
        <v>33863.68</v>
      </c>
      <c r="U6311" s="271" t="s">
        <v>3945</v>
      </c>
      <c r="V6311" s="267" t="s">
        <v>944</v>
      </c>
    </row>
    <row r="6312" spans="1:22" hidden="1" x14ac:dyDescent="0.25">
      <c r="A6312" s="266">
        <v>43760</v>
      </c>
      <c r="B6312" s="267">
        <v>2019</v>
      </c>
      <c r="C6312" s="267">
        <v>2020</v>
      </c>
      <c r="D6312" s="267">
        <v>1</v>
      </c>
      <c r="E6312" s="267">
        <v>1</v>
      </c>
      <c r="F6312" s="267" t="s">
        <v>944</v>
      </c>
      <c r="G6312" s="267" t="s">
        <v>3926</v>
      </c>
      <c r="H6312" s="267" t="s">
        <v>11055</v>
      </c>
      <c r="I6312" s="267" t="s">
        <v>4306</v>
      </c>
      <c r="J6312" s="267" t="s">
        <v>3928</v>
      </c>
      <c r="K6312" s="267">
        <v>6716</v>
      </c>
      <c r="L6312" s="267">
        <v>361200</v>
      </c>
      <c r="M6312" s="267" t="s">
        <v>3960</v>
      </c>
      <c r="N6312" s="267" t="s">
        <v>3944</v>
      </c>
      <c r="O6312" s="267">
        <v>2371.5700000000002</v>
      </c>
      <c r="P6312" s="267" t="s">
        <v>3944</v>
      </c>
      <c r="Q6312" s="267" t="s">
        <v>3944</v>
      </c>
      <c r="R6312" s="267">
        <v>2371.5700000000002</v>
      </c>
      <c r="S6312" s="267">
        <v>32589.53</v>
      </c>
      <c r="T6312" s="267">
        <v>34961.1</v>
      </c>
      <c r="U6312" s="268" t="s">
        <v>3945</v>
      </c>
      <c r="V6312" s="267" t="s">
        <v>944</v>
      </c>
    </row>
    <row r="6313" spans="1:22" hidden="1" x14ac:dyDescent="0.25">
      <c r="A6313" s="269">
        <v>43760</v>
      </c>
      <c r="B6313" s="270">
        <v>2019</v>
      </c>
      <c r="C6313" s="270">
        <v>2020</v>
      </c>
      <c r="D6313" s="270">
        <v>1</v>
      </c>
      <c r="E6313" s="270">
        <v>1</v>
      </c>
      <c r="F6313" s="270" t="s">
        <v>944</v>
      </c>
      <c r="G6313" s="270" t="s">
        <v>3926</v>
      </c>
      <c r="H6313" s="270" t="s">
        <v>11056</v>
      </c>
      <c r="I6313" s="270" t="s">
        <v>953</v>
      </c>
      <c r="J6313" s="270" t="s">
        <v>3928</v>
      </c>
      <c r="K6313" s="270">
        <v>6514</v>
      </c>
      <c r="L6313" s="270">
        <v>165600</v>
      </c>
      <c r="M6313" s="270" t="s">
        <v>3940</v>
      </c>
      <c r="N6313" s="270" t="s">
        <v>3944</v>
      </c>
      <c r="O6313" s="270">
        <v>948.43</v>
      </c>
      <c r="P6313" s="270" t="s">
        <v>3944</v>
      </c>
      <c r="Q6313" s="270" t="s">
        <v>3944</v>
      </c>
      <c r="R6313" s="270">
        <v>948.43</v>
      </c>
      <c r="S6313" s="270">
        <v>14406.02</v>
      </c>
      <c r="T6313" s="270">
        <v>15354.45</v>
      </c>
      <c r="U6313" s="271" t="s">
        <v>3945</v>
      </c>
      <c r="V6313" s="267" t="s">
        <v>944</v>
      </c>
    </row>
    <row r="6314" spans="1:22" hidden="1" x14ac:dyDescent="0.25">
      <c r="A6314" s="266">
        <v>43760</v>
      </c>
      <c r="B6314" s="267">
        <v>2019</v>
      </c>
      <c r="C6314" s="267">
        <v>2020</v>
      </c>
      <c r="D6314" s="267">
        <v>1</v>
      </c>
      <c r="E6314" s="267">
        <v>1</v>
      </c>
      <c r="F6314" s="267" t="s">
        <v>944</v>
      </c>
      <c r="G6314" s="267" t="s">
        <v>3926</v>
      </c>
      <c r="H6314" s="267" t="s">
        <v>11057</v>
      </c>
      <c r="I6314" s="267" t="s">
        <v>950</v>
      </c>
      <c r="J6314" s="267" t="s">
        <v>3928</v>
      </c>
      <c r="K6314" s="267">
        <v>6516</v>
      </c>
      <c r="L6314" s="267">
        <v>154700</v>
      </c>
      <c r="M6314" s="267" t="s">
        <v>3960</v>
      </c>
      <c r="N6314" s="267" t="s">
        <v>3944</v>
      </c>
      <c r="O6314" s="267">
        <v>1281.49</v>
      </c>
      <c r="P6314" s="267" t="s">
        <v>3944</v>
      </c>
      <c r="Q6314" s="267" t="s">
        <v>3944</v>
      </c>
      <c r="R6314" s="267">
        <v>1281.49</v>
      </c>
      <c r="S6314" s="267">
        <v>19196.77</v>
      </c>
      <c r="T6314" s="267">
        <v>20478.259999999998</v>
      </c>
      <c r="U6314" s="268" t="s">
        <v>3945</v>
      </c>
      <c r="V6314" s="267" t="s">
        <v>944</v>
      </c>
    </row>
    <row r="6315" spans="1:22" hidden="1" x14ac:dyDescent="0.25">
      <c r="A6315" s="269">
        <v>43760</v>
      </c>
      <c r="B6315" s="270">
        <v>2019</v>
      </c>
      <c r="C6315" s="270">
        <v>2020</v>
      </c>
      <c r="D6315" s="270">
        <v>1</v>
      </c>
      <c r="E6315" s="270">
        <v>1</v>
      </c>
      <c r="F6315" s="270" t="s">
        <v>944</v>
      </c>
      <c r="G6315" s="270" t="s">
        <v>3926</v>
      </c>
      <c r="H6315" s="270" t="s">
        <v>11058</v>
      </c>
      <c r="I6315" s="270" t="s">
        <v>3008</v>
      </c>
      <c r="J6315" s="270" t="s">
        <v>3928</v>
      </c>
      <c r="K6315" s="270">
        <v>6461</v>
      </c>
      <c r="L6315" s="270">
        <v>150800</v>
      </c>
      <c r="M6315" s="270" t="s">
        <v>3960</v>
      </c>
      <c r="N6315" s="270" t="s">
        <v>3944</v>
      </c>
      <c r="O6315" s="270">
        <v>1767.01</v>
      </c>
      <c r="P6315" s="270" t="s">
        <v>3944</v>
      </c>
      <c r="Q6315" s="270" t="s">
        <v>3944</v>
      </c>
      <c r="R6315" s="270">
        <v>1767.01</v>
      </c>
      <c r="S6315" s="270">
        <v>20456.03</v>
      </c>
      <c r="T6315" s="270">
        <v>22223.040000000001</v>
      </c>
      <c r="U6315" s="271" t="s">
        <v>3945</v>
      </c>
      <c r="V6315" s="267" t="s">
        <v>944</v>
      </c>
    </row>
    <row r="6316" spans="1:22" hidden="1" x14ac:dyDescent="0.25">
      <c r="A6316" s="266">
        <v>43760</v>
      </c>
      <c r="B6316" s="267">
        <v>2019</v>
      </c>
      <c r="C6316" s="267">
        <v>2020</v>
      </c>
      <c r="D6316" s="267">
        <v>1</v>
      </c>
      <c r="E6316" s="267">
        <v>1</v>
      </c>
      <c r="F6316" s="267" t="s">
        <v>944</v>
      </c>
      <c r="G6316" s="267" t="s">
        <v>3926</v>
      </c>
      <c r="H6316" s="267" t="s">
        <v>11059</v>
      </c>
      <c r="I6316" s="267" t="s">
        <v>3939</v>
      </c>
      <c r="J6316" s="267" t="s">
        <v>3928</v>
      </c>
      <c r="K6316" s="267">
        <v>6513</v>
      </c>
      <c r="L6316" s="267">
        <v>180602</v>
      </c>
      <c r="M6316" s="267" t="s">
        <v>3935</v>
      </c>
      <c r="N6316" s="267" t="s">
        <v>3944</v>
      </c>
      <c r="O6316" s="267">
        <v>1166.8</v>
      </c>
      <c r="P6316" s="267" t="s">
        <v>3944</v>
      </c>
      <c r="Q6316" s="267" t="s">
        <v>3944</v>
      </c>
      <c r="R6316" s="267">
        <v>1166.8</v>
      </c>
      <c r="S6316" s="267">
        <v>16823.28</v>
      </c>
      <c r="T6316" s="267">
        <v>17990.080000000002</v>
      </c>
      <c r="U6316" s="268" t="s">
        <v>3945</v>
      </c>
      <c r="V6316" s="267" t="s">
        <v>944</v>
      </c>
    </row>
    <row r="6317" spans="1:22" hidden="1" x14ac:dyDescent="0.25">
      <c r="A6317" s="269">
        <v>43760</v>
      </c>
      <c r="B6317" s="270">
        <v>2019</v>
      </c>
      <c r="C6317" s="270">
        <v>2020</v>
      </c>
      <c r="D6317" s="270">
        <v>1</v>
      </c>
      <c r="E6317" s="270">
        <v>1</v>
      </c>
      <c r="F6317" s="270" t="s">
        <v>944</v>
      </c>
      <c r="G6317" s="270" t="s">
        <v>3926</v>
      </c>
      <c r="H6317" s="270" t="s">
        <v>11060</v>
      </c>
      <c r="I6317" s="270" t="s">
        <v>4019</v>
      </c>
      <c r="J6317" s="270" t="s">
        <v>3928</v>
      </c>
      <c r="K6317" s="270">
        <v>6708</v>
      </c>
      <c r="L6317" s="270">
        <v>351800</v>
      </c>
      <c r="M6317" s="270" t="s">
        <v>3940</v>
      </c>
      <c r="N6317" s="270" t="s">
        <v>3944</v>
      </c>
      <c r="O6317" s="270">
        <v>1798.97</v>
      </c>
      <c r="P6317" s="270" t="s">
        <v>3944</v>
      </c>
      <c r="Q6317" s="270" t="s">
        <v>3944</v>
      </c>
      <c r="R6317" s="270">
        <v>1798.97</v>
      </c>
      <c r="S6317" s="270">
        <v>28228.67</v>
      </c>
      <c r="T6317" s="270">
        <v>30027.64</v>
      </c>
      <c r="U6317" s="271" t="s">
        <v>3945</v>
      </c>
      <c r="V6317" s="267" t="s">
        <v>944</v>
      </c>
    </row>
    <row r="6318" spans="1:22" hidden="1" x14ac:dyDescent="0.25">
      <c r="A6318" s="266">
        <v>43760</v>
      </c>
      <c r="B6318" s="267">
        <v>2019</v>
      </c>
      <c r="C6318" s="267">
        <v>2020</v>
      </c>
      <c r="D6318" s="267">
        <v>1</v>
      </c>
      <c r="E6318" s="267">
        <v>1</v>
      </c>
      <c r="F6318" s="267" t="s">
        <v>944</v>
      </c>
      <c r="G6318" s="267" t="s">
        <v>3926</v>
      </c>
      <c r="H6318" s="267" t="s">
        <v>11061</v>
      </c>
      <c r="I6318" s="267" t="s">
        <v>6209</v>
      </c>
      <c r="J6318" s="267" t="s">
        <v>3928</v>
      </c>
      <c r="K6318" s="267">
        <v>6403</v>
      </c>
      <c r="L6318" s="267">
        <v>341100</v>
      </c>
      <c r="M6318" s="267" t="s">
        <v>3935</v>
      </c>
      <c r="N6318" s="267" t="s">
        <v>3944</v>
      </c>
      <c r="O6318" s="267">
        <v>1192.52</v>
      </c>
      <c r="P6318" s="267" t="s">
        <v>3944</v>
      </c>
      <c r="Q6318" s="267" t="s">
        <v>3944</v>
      </c>
      <c r="R6318" s="267">
        <v>1192.52</v>
      </c>
      <c r="S6318" s="267">
        <v>19238.580000000002</v>
      </c>
      <c r="T6318" s="267">
        <v>20431.099999999999</v>
      </c>
      <c r="U6318" s="268" t="s">
        <v>3945</v>
      </c>
      <c r="V6318" s="267" t="s">
        <v>944</v>
      </c>
    </row>
    <row r="6319" spans="1:22" hidden="1" x14ac:dyDescent="0.25">
      <c r="A6319" s="269">
        <v>43760</v>
      </c>
      <c r="B6319" s="270">
        <v>2019</v>
      </c>
      <c r="C6319" s="270">
        <v>2020</v>
      </c>
      <c r="D6319" s="270">
        <v>1</v>
      </c>
      <c r="E6319" s="270">
        <v>1</v>
      </c>
      <c r="F6319" s="270" t="s">
        <v>944</v>
      </c>
      <c r="G6319" s="270" t="s">
        <v>3926</v>
      </c>
      <c r="H6319" s="270" t="s">
        <v>11062</v>
      </c>
      <c r="I6319" s="270" t="s">
        <v>3999</v>
      </c>
      <c r="J6319" s="270" t="s">
        <v>3928</v>
      </c>
      <c r="K6319" s="270">
        <v>6451</v>
      </c>
      <c r="L6319" s="270">
        <v>170800</v>
      </c>
      <c r="M6319" s="270" t="s">
        <v>3940</v>
      </c>
      <c r="N6319" s="270" t="s">
        <v>3944</v>
      </c>
      <c r="O6319" s="270">
        <v>2294.4299999999998</v>
      </c>
      <c r="P6319" s="270" t="s">
        <v>3944</v>
      </c>
      <c r="Q6319" s="270" t="s">
        <v>3944</v>
      </c>
      <c r="R6319" s="270">
        <v>2294.4299999999998</v>
      </c>
      <c r="S6319" s="270">
        <v>34877.17</v>
      </c>
      <c r="T6319" s="270">
        <v>37171.599999999999</v>
      </c>
      <c r="U6319" s="271" t="s">
        <v>3945</v>
      </c>
      <c r="V6319" s="267" t="s">
        <v>944</v>
      </c>
    </row>
    <row r="6320" spans="1:22" hidden="1" x14ac:dyDescent="0.25">
      <c r="A6320" s="266">
        <v>43760</v>
      </c>
      <c r="B6320" s="267">
        <v>2019</v>
      </c>
      <c r="C6320" s="267">
        <v>2020</v>
      </c>
      <c r="D6320" s="267">
        <v>1</v>
      </c>
      <c r="E6320" s="267">
        <v>1</v>
      </c>
      <c r="F6320" s="267" t="s">
        <v>944</v>
      </c>
      <c r="G6320" s="267" t="s">
        <v>3926</v>
      </c>
      <c r="H6320" s="267" t="s">
        <v>11063</v>
      </c>
      <c r="I6320" s="267" t="s">
        <v>4114</v>
      </c>
      <c r="J6320" s="267" t="s">
        <v>3928</v>
      </c>
      <c r="K6320" s="267">
        <v>6410</v>
      </c>
      <c r="L6320" s="267">
        <v>343200</v>
      </c>
      <c r="M6320" s="267" t="s">
        <v>3943</v>
      </c>
      <c r="N6320" s="267" t="s">
        <v>3944</v>
      </c>
      <c r="O6320" s="267">
        <v>2217.29</v>
      </c>
      <c r="P6320" s="267" t="s">
        <v>3944</v>
      </c>
      <c r="Q6320" s="267" t="s">
        <v>3944</v>
      </c>
      <c r="R6320" s="267">
        <v>2217.29</v>
      </c>
      <c r="S6320" s="267">
        <v>32440.18</v>
      </c>
      <c r="T6320" s="267">
        <v>34657.47</v>
      </c>
      <c r="U6320" s="268" t="s">
        <v>3945</v>
      </c>
      <c r="V6320" s="267" t="s">
        <v>944</v>
      </c>
    </row>
    <row r="6321" spans="1:22" hidden="1" x14ac:dyDescent="0.25">
      <c r="A6321" s="269">
        <v>43760</v>
      </c>
      <c r="B6321" s="270">
        <v>2019</v>
      </c>
      <c r="C6321" s="270">
        <v>2020</v>
      </c>
      <c r="D6321" s="270">
        <v>1</v>
      </c>
      <c r="E6321" s="270">
        <v>1</v>
      </c>
      <c r="F6321" s="270" t="s">
        <v>944</v>
      </c>
      <c r="G6321" s="270" t="s">
        <v>3926</v>
      </c>
      <c r="H6321" s="270" t="s">
        <v>11064</v>
      </c>
      <c r="I6321" s="270" t="s">
        <v>3996</v>
      </c>
      <c r="J6321" s="270" t="s">
        <v>3928</v>
      </c>
      <c r="K6321" s="270">
        <v>6790</v>
      </c>
      <c r="L6321" s="270">
        <v>310803</v>
      </c>
      <c r="M6321" s="270">
        <v>-60</v>
      </c>
      <c r="N6321" s="270" t="s">
        <v>3944</v>
      </c>
      <c r="O6321" s="270">
        <v>1731.77</v>
      </c>
      <c r="P6321" s="270" t="s">
        <v>3944</v>
      </c>
      <c r="Q6321" s="270" t="s">
        <v>3944</v>
      </c>
      <c r="R6321" s="270">
        <v>1731.77</v>
      </c>
      <c r="S6321" s="270">
        <v>24385.71</v>
      </c>
      <c r="T6321" s="270">
        <v>26117.48</v>
      </c>
      <c r="U6321" s="271" t="s">
        <v>3945</v>
      </c>
      <c r="V6321" s="267" t="s">
        <v>944</v>
      </c>
    </row>
    <row r="6322" spans="1:22" hidden="1" x14ac:dyDescent="0.25">
      <c r="A6322" s="266">
        <v>43760</v>
      </c>
      <c r="B6322" s="267">
        <v>2019</v>
      </c>
      <c r="C6322" s="267">
        <v>2020</v>
      </c>
      <c r="D6322" s="267">
        <v>1</v>
      </c>
      <c r="E6322" s="267">
        <v>1</v>
      </c>
      <c r="F6322" s="267" t="s">
        <v>944</v>
      </c>
      <c r="G6322" s="267" t="s">
        <v>3926</v>
      </c>
      <c r="H6322" s="267" t="s">
        <v>11065</v>
      </c>
      <c r="I6322" s="267" t="s">
        <v>4019</v>
      </c>
      <c r="J6322" s="267" t="s">
        <v>3928</v>
      </c>
      <c r="K6322" s="267">
        <v>6708</v>
      </c>
      <c r="L6322" s="267">
        <v>352100</v>
      </c>
      <c r="M6322" s="267" t="s">
        <v>3940</v>
      </c>
      <c r="N6322" s="267" t="s">
        <v>3944</v>
      </c>
      <c r="O6322" s="267">
        <v>1649.41</v>
      </c>
      <c r="P6322" s="267" t="s">
        <v>3944</v>
      </c>
      <c r="Q6322" s="267" t="s">
        <v>3944</v>
      </c>
      <c r="R6322" s="267">
        <v>1649.41</v>
      </c>
      <c r="S6322" s="267">
        <v>24225.040000000001</v>
      </c>
      <c r="T6322" s="267">
        <v>25874.45</v>
      </c>
      <c r="U6322" s="268" t="s">
        <v>3945</v>
      </c>
      <c r="V6322" s="267" t="s">
        <v>944</v>
      </c>
    </row>
    <row r="6323" spans="1:22" hidden="1" x14ac:dyDescent="0.25">
      <c r="A6323" s="269">
        <v>43760</v>
      </c>
      <c r="B6323" s="270">
        <v>2019</v>
      </c>
      <c r="C6323" s="270">
        <v>2020</v>
      </c>
      <c r="D6323" s="270">
        <v>1</v>
      </c>
      <c r="E6323" s="270">
        <v>1</v>
      </c>
      <c r="F6323" s="270" t="s">
        <v>944</v>
      </c>
      <c r="G6323" s="270" t="s">
        <v>3926</v>
      </c>
      <c r="H6323" s="270" t="s">
        <v>11066</v>
      </c>
      <c r="I6323" s="270" t="s">
        <v>3956</v>
      </c>
      <c r="J6323" s="270" t="s">
        <v>3928</v>
      </c>
      <c r="K6323" s="270">
        <v>6112</v>
      </c>
      <c r="L6323" s="270">
        <v>503900</v>
      </c>
      <c r="M6323" s="270">
        <v>-60</v>
      </c>
      <c r="N6323" s="270" t="s">
        <v>3944</v>
      </c>
      <c r="O6323" s="270">
        <v>2141.16</v>
      </c>
      <c r="P6323" s="270" t="s">
        <v>3944</v>
      </c>
      <c r="Q6323" s="270" t="s">
        <v>3944</v>
      </c>
      <c r="R6323" s="270">
        <v>2141.16</v>
      </c>
      <c r="S6323" s="270">
        <v>31485.09</v>
      </c>
      <c r="T6323" s="270">
        <v>33626.25</v>
      </c>
      <c r="U6323" s="271" t="s">
        <v>3945</v>
      </c>
      <c r="V6323" s="267" t="s">
        <v>944</v>
      </c>
    </row>
    <row r="6324" spans="1:22" x14ac:dyDescent="0.25">
      <c r="A6324" s="266">
        <v>43760</v>
      </c>
      <c r="B6324" s="267">
        <v>2019</v>
      </c>
      <c r="C6324" s="267">
        <v>2020</v>
      </c>
      <c r="D6324" s="267">
        <v>1</v>
      </c>
      <c r="E6324" s="267">
        <v>1</v>
      </c>
      <c r="F6324" s="267" t="s">
        <v>944</v>
      </c>
      <c r="G6324" s="267" t="s">
        <v>3926</v>
      </c>
      <c r="H6324" s="267" t="s">
        <v>11067</v>
      </c>
      <c r="I6324" s="267" t="s">
        <v>950</v>
      </c>
      <c r="J6324" s="267" t="s">
        <v>3928</v>
      </c>
      <c r="K6324" s="267">
        <v>6516</v>
      </c>
      <c r="L6324" s="267">
        <v>154500</v>
      </c>
      <c r="M6324" s="267">
        <v>-60</v>
      </c>
      <c r="N6324" s="267" t="s">
        <v>3944</v>
      </c>
      <c r="O6324" s="267">
        <v>1336.48</v>
      </c>
      <c r="P6324" s="267" t="s">
        <v>3944</v>
      </c>
      <c r="Q6324" s="267" t="s">
        <v>3944</v>
      </c>
      <c r="R6324" s="267">
        <v>1336.48</v>
      </c>
      <c r="S6324" s="267">
        <v>21041.119999999999</v>
      </c>
      <c r="T6324" s="267">
        <v>22377.599999999999</v>
      </c>
      <c r="U6324" s="268" t="s">
        <v>3945</v>
      </c>
      <c r="V6324" s="276" t="s">
        <v>936</v>
      </c>
    </row>
    <row r="6325" spans="1:22" hidden="1" x14ac:dyDescent="0.25">
      <c r="A6325" s="269">
        <v>43760</v>
      </c>
      <c r="B6325" s="270">
        <v>2019</v>
      </c>
      <c r="C6325" s="270">
        <v>2020</v>
      </c>
      <c r="D6325" s="270">
        <v>1</v>
      </c>
      <c r="E6325" s="270">
        <v>1</v>
      </c>
      <c r="F6325" s="270" t="s">
        <v>944</v>
      </c>
      <c r="G6325" s="270" t="s">
        <v>3926</v>
      </c>
      <c r="H6325" s="270" t="s">
        <v>11068</v>
      </c>
      <c r="I6325" s="270" t="s">
        <v>3999</v>
      </c>
      <c r="J6325" s="270" t="s">
        <v>3928</v>
      </c>
      <c r="K6325" s="270">
        <v>6450</v>
      </c>
      <c r="L6325" s="270">
        <v>171100</v>
      </c>
      <c r="M6325" s="270" t="s">
        <v>3940</v>
      </c>
      <c r="N6325" s="270" t="s">
        <v>3944</v>
      </c>
      <c r="O6325" s="270">
        <v>1386.46</v>
      </c>
      <c r="P6325" s="270" t="s">
        <v>3944</v>
      </c>
      <c r="Q6325" s="270" t="s">
        <v>3944</v>
      </c>
      <c r="R6325" s="270">
        <v>1386.46</v>
      </c>
      <c r="S6325" s="270">
        <v>12359.81</v>
      </c>
      <c r="T6325" s="270">
        <v>13746.27</v>
      </c>
      <c r="U6325" s="271" t="s">
        <v>3945</v>
      </c>
      <c r="V6325" s="267" t="s">
        <v>944</v>
      </c>
    </row>
    <row r="6326" spans="1:22" hidden="1" x14ac:dyDescent="0.25">
      <c r="A6326" s="266">
        <v>43760</v>
      </c>
      <c r="B6326" s="267">
        <v>2019</v>
      </c>
      <c r="C6326" s="267">
        <v>2020</v>
      </c>
      <c r="D6326" s="267">
        <v>1</v>
      </c>
      <c r="E6326" s="267">
        <v>1</v>
      </c>
      <c r="F6326" s="267" t="s">
        <v>944</v>
      </c>
      <c r="G6326" s="267" t="s">
        <v>3926</v>
      </c>
      <c r="H6326" s="267" t="s">
        <v>11069</v>
      </c>
      <c r="I6326" s="267" t="s">
        <v>3026</v>
      </c>
      <c r="J6326" s="267" t="s">
        <v>3928</v>
      </c>
      <c r="K6326" s="267">
        <v>6471</v>
      </c>
      <c r="L6326" s="267">
        <v>186100</v>
      </c>
      <c r="M6326" s="267" t="s">
        <v>3935</v>
      </c>
      <c r="N6326" s="267" t="s">
        <v>3944</v>
      </c>
      <c r="O6326" s="267">
        <v>1658.34</v>
      </c>
      <c r="P6326" s="267" t="s">
        <v>3944</v>
      </c>
      <c r="Q6326" s="267" t="s">
        <v>3944</v>
      </c>
      <c r="R6326" s="267">
        <v>1658.34</v>
      </c>
      <c r="S6326" s="267">
        <v>12378.66</v>
      </c>
      <c r="T6326" s="267">
        <v>14037</v>
      </c>
      <c r="U6326" s="268" t="s">
        <v>3945</v>
      </c>
      <c r="V6326" s="267" t="s">
        <v>944</v>
      </c>
    </row>
    <row r="6327" spans="1:22" hidden="1" x14ac:dyDescent="0.25">
      <c r="A6327" s="269">
        <v>43760</v>
      </c>
      <c r="B6327" s="270">
        <v>2019</v>
      </c>
      <c r="C6327" s="270">
        <v>2020</v>
      </c>
      <c r="D6327" s="270">
        <v>1</v>
      </c>
      <c r="E6327" s="270">
        <v>1</v>
      </c>
      <c r="F6327" s="270" t="s">
        <v>944</v>
      </c>
      <c r="G6327" s="270" t="s">
        <v>3926</v>
      </c>
      <c r="H6327" s="270" t="s">
        <v>11070</v>
      </c>
      <c r="I6327" s="270" t="s">
        <v>4239</v>
      </c>
      <c r="J6327" s="270" t="s">
        <v>3928</v>
      </c>
      <c r="K6327" s="270">
        <v>6032</v>
      </c>
      <c r="L6327" s="270">
        <v>460202</v>
      </c>
      <c r="M6327" s="270" t="s">
        <v>3960</v>
      </c>
      <c r="N6327" s="270" t="s">
        <v>3944</v>
      </c>
      <c r="O6327" s="270">
        <v>1960.74</v>
      </c>
      <c r="P6327" s="270" t="s">
        <v>3944</v>
      </c>
      <c r="Q6327" s="270" t="s">
        <v>3944</v>
      </c>
      <c r="R6327" s="270">
        <v>1960.74</v>
      </c>
      <c r="S6327" s="270">
        <v>14296.26</v>
      </c>
      <c r="T6327" s="270">
        <v>16257</v>
      </c>
      <c r="U6327" s="271" t="s">
        <v>3945</v>
      </c>
      <c r="V6327" s="267" t="s">
        <v>944</v>
      </c>
    </row>
    <row r="6328" spans="1:22" hidden="1" x14ac:dyDescent="0.25">
      <c r="A6328" s="266">
        <v>43760</v>
      </c>
      <c r="B6328" s="267">
        <v>2019</v>
      </c>
      <c r="C6328" s="267">
        <v>2020</v>
      </c>
      <c r="D6328" s="267">
        <v>1</v>
      </c>
      <c r="E6328" s="267">
        <v>1</v>
      </c>
      <c r="F6328" s="267" t="s">
        <v>944</v>
      </c>
      <c r="G6328" s="267" t="s">
        <v>3926</v>
      </c>
      <c r="H6328" s="267" t="s">
        <v>11071</v>
      </c>
      <c r="I6328" s="267" t="s">
        <v>4108</v>
      </c>
      <c r="J6328" s="267" t="s">
        <v>3928</v>
      </c>
      <c r="K6328" s="267">
        <v>6082</v>
      </c>
      <c r="L6328" s="267">
        <v>480900</v>
      </c>
      <c r="M6328" s="267" t="s">
        <v>3960</v>
      </c>
      <c r="N6328" s="267" t="s">
        <v>3944</v>
      </c>
      <c r="O6328" s="267">
        <v>2103.2199999999998</v>
      </c>
      <c r="P6328" s="267" t="s">
        <v>3944</v>
      </c>
      <c r="Q6328" s="267" t="s">
        <v>3944</v>
      </c>
      <c r="R6328" s="267">
        <v>2103.2199999999998</v>
      </c>
      <c r="S6328" s="267">
        <v>18970.78</v>
      </c>
      <c r="T6328" s="267">
        <v>21074</v>
      </c>
      <c r="U6328" s="268" t="s">
        <v>3945</v>
      </c>
      <c r="V6328" s="267" t="s">
        <v>944</v>
      </c>
    </row>
    <row r="6329" spans="1:22" hidden="1" x14ac:dyDescent="0.25">
      <c r="A6329" s="269">
        <v>43760</v>
      </c>
      <c r="B6329" s="270">
        <v>2019</v>
      </c>
      <c r="C6329" s="270">
        <v>2020</v>
      </c>
      <c r="D6329" s="270">
        <v>1</v>
      </c>
      <c r="E6329" s="270">
        <v>1</v>
      </c>
      <c r="F6329" s="270" t="s">
        <v>944</v>
      </c>
      <c r="G6329" s="270" t="s">
        <v>3926</v>
      </c>
      <c r="H6329" s="270" t="s">
        <v>11072</v>
      </c>
      <c r="I6329" s="270" t="s">
        <v>956</v>
      </c>
      <c r="J6329" s="270" t="s">
        <v>3928</v>
      </c>
      <c r="K6329" s="270">
        <v>6615</v>
      </c>
      <c r="L6329" s="270">
        <v>80700</v>
      </c>
      <c r="M6329" s="270" t="s">
        <v>3935</v>
      </c>
      <c r="N6329" s="270" t="s">
        <v>3944</v>
      </c>
      <c r="O6329" s="270">
        <v>1797.29</v>
      </c>
      <c r="P6329" s="270" t="s">
        <v>3944</v>
      </c>
      <c r="Q6329" s="270" t="s">
        <v>3944</v>
      </c>
      <c r="R6329" s="270">
        <v>1797.29</v>
      </c>
      <c r="S6329" s="270">
        <v>26174.71</v>
      </c>
      <c r="T6329" s="270">
        <v>27972</v>
      </c>
      <c r="U6329" s="271" t="s">
        <v>3945</v>
      </c>
      <c r="V6329" s="267" t="s">
        <v>944</v>
      </c>
    </row>
    <row r="6330" spans="1:22" hidden="1" x14ac:dyDescent="0.25">
      <c r="A6330" s="266">
        <v>43760</v>
      </c>
      <c r="B6330" s="267">
        <v>2019</v>
      </c>
      <c r="C6330" s="267">
        <v>2020</v>
      </c>
      <c r="D6330" s="267">
        <v>1</v>
      </c>
      <c r="E6330" s="267">
        <v>1</v>
      </c>
      <c r="F6330" s="267" t="s">
        <v>944</v>
      </c>
      <c r="G6330" s="267" t="s">
        <v>3926</v>
      </c>
      <c r="H6330" s="267" t="s">
        <v>11073</v>
      </c>
      <c r="I6330" s="267" t="s">
        <v>4019</v>
      </c>
      <c r="J6330" s="267" t="s">
        <v>3928</v>
      </c>
      <c r="K6330" s="267">
        <v>6710</v>
      </c>
      <c r="L6330" s="267">
        <v>350900</v>
      </c>
      <c r="M6330" s="267" t="s">
        <v>3935</v>
      </c>
      <c r="N6330" s="267" t="s">
        <v>3944</v>
      </c>
      <c r="O6330" s="267">
        <v>1156.44</v>
      </c>
      <c r="P6330" s="267" t="s">
        <v>3944</v>
      </c>
      <c r="Q6330" s="267" t="s">
        <v>3944</v>
      </c>
      <c r="R6330" s="267">
        <v>1156.44</v>
      </c>
      <c r="S6330" s="267">
        <v>16184.93</v>
      </c>
      <c r="T6330" s="267">
        <v>17341.37</v>
      </c>
      <c r="U6330" s="268" t="s">
        <v>3945</v>
      </c>
      <c r="V6330" s="267" t="s">
        <v>944</v>
      </c>
    </row>
    <row r="6331" spans="1:22" hidden="1" x14ac:dyDescent="0.25">
      <c r="A6331" s="269">
        <v>43760</v>
      </c>
      <c r="B6331" s="270">
        <v>2019</v>
      </c>
      <c r="C6331" s="270">
        <v>2020</v>
      </c>
      <c r="D6331" s="270">
        <v>1</v>
      </c>
      <c r="E6331" s="270">
        <v>1</v>
      </c>
      <c r="F6331" s="270" t="s">
        <v>944</v>
      </c>
      <c r="G6331" s="270" t="s">
        <v>3926</v>
      </c>
      <c r="H6331" s="270" t="s">
        <v>11074</v>
      </c>
      <c r="I6331" s="270" t="s">
        <v>3934</v>
      </c>
      <c r="J6331" s="270" t="s">
        <v>3928</v>
      </c>
      <c r="K6331" s="270">
        <v>6405</v>
      </c>
      <c r="L6331" s="270">
        <v>184100</v>
      </c>
      <c r="M6331" s="270" t="s">
        <v>3940</v>
      </c>
      <c r="N6331" s="270" t="s">
        <v>3944</v>
      </c>
      <c r="O6331" s="270">
        <v>1372.14</v>
      </c>
      <c r="P6331" s="270" t="s">
        <v>3944</v>
      </c>
      <c r="Q6331" s="270" t="s">
        <v>3944</v>
      </c>
      <c r="R6331" s="270">
        <v>1372.14</v>
      </c>
      <c r="S6331" s="270">
        <v>11510.86</v>
      </c>
      <c r="T6331" s="270">
        <v>12883</v>
      </c>
      <c r="U6331" s="271" t="s">
        <v>3945</v>
      </c>
      <c r="V6331" s="267" t="s">
        <v>944</v>
      </c>
    </row>
    <row r="6332" spans="1:22" hidden="1" x14ac:dyDescent="0.25">
      <c r="A6332" s="266">
        <v>43761</v>
      </c>
      <c r="B6332" s="267">
        <v>2019</v>
      </c>
      <c r="C6332" s="267">
        <v>2020</v>
      </c>
      <c r="D6332" s="267">
        <v>1</v>
      </c>
      <c r="E6332" s="267">
        <v>1</v>
      </c>
      <c r="F6332" s="267" t="s">
        <v>944</v>
      </c>
      <c r="G6332" s="267" t="s">
        <v>3926</v>
      </c>
      <c r="H6332" s="267" t="s">
        <v>11075</v>
      </c>
      <c r="I6332" s="267" t="s">
        <v>943</v>
      </c>
      <c r="J6332" s="267" t="s">
        <v>3928</v>
      </c>
      <c r="K6332" s="267">
        <v>6512</v>
      </c>
      <c r="L6332" s="267">
        <v>142700</v>
      </c>
      <c r="M6332" s="267">
        <v>-60</v>
      </c>
      <c r="N6332" s="267" t="s">
        <v>11076</v>
      </c>
      <c r="O6332" s="267">
        <v>2996</v>
      </c>
      <c r="P6332" s="267" t="s">
        <v>3930</v>
      </c>
      <c r="Q6332" s="267" t="s">
        <v>3930</v>
      </c>
      <c r="R6332" s="267">
        <v>2996</v>
      </c>
      <c r="S6332" s="267">
        <v>23807</v>
      </c>
      <c r="T6332" s="267">
        <v>26803</v>
      </c>
      <c r="U6332" s="268" t="s">
        <v>3937</v>
      </c>
      <c r="V6332" s="267" t="s">
        <v>944</v>
      </c>
    </row>
    <row r="6333" spans="1:22" hidden="1" x14ac:dyDescent="0.25">
      <c r="A6333" s="269">
        <v>43761</v>
      </c>
      <c r="B6333" s="270">
        <v>2019</v>
      </c>
      <c r="C6333" s="270">
        <v>2020</v>
      </c>
      <c r="D6333" s="270">
        <v>1</v>
      </c>
      <c r="E6333" s="270">
        <v>1</v>
      </c>
      <c r="F6333" s="270" t="s">
        <v>944</v>
      </c>
      <c r="G6333" s="270" t="s">
        <v>3926</v>
      </c>
      <c r="H6333" s="270" t="s">
        <v>11077</v>
      </c>
      <c r="I6333" s="270" t="s">
        <v>3026</v>
      </c>
      <c r="J6333" s="270" t="s">
        <v>3928</v>
      </c>
      <c r="K6333" s="270">
        <v>6471</v>
      </c>
      <c r="L6333" s="270">
        <v>186100</v>
      </c>
      <c r="M6333" s="270" t="s">
        <v>3935</v>
      </c>
      <c r="N6333" s="270" t="s">
        <v>11078</v>
      </c>
      <c r="O6333" s="270">
        <v>0</v>
      </c>
      <c r="P6333" s="270" t="s">
        <v>3930</v>
      </c>
      <c r="Q6333" s="270" t="s">
        <v>3930</v>
      </c>
      <c r="R6333" s="270">
        <v>0</v>
      </c>
      <c r="S6333" s="270">
        <v>18512</v>
      </c>
      <c r="T6333" s="270">
        <v>18512</v>
      </c>
      <c r="U6333" s="271" t="s">
        <v>3937</v>
      </c>
      <c r="V6333" s="267" t="s">
        <v>944</v>
      </c>
    </row>
    <row r="6334" spans="1:22" hidden="1" x14ac:dyDescent="0.25">
      <c r="A6334" s="266">
        <v>43761</v>
      </c>
      <c r="B6334" s="267">
        <v>2019</v>
      </c>
      <c r="C6334" s="267">
        <v>2020</v>
      </c>
      <c r="D6334" s="267">
        <v>1</v>
      </c>
      <c r="E6334" s="267">
        <v>1</v>
      </c>
      <c r="F6334" s="267" t="s">
        <v>944</v>
      </c>
      <c r="G6334" s="267" t="s">
        <v>3926</v>
      </c>
      <c r="H6334" s="267" t="s">
        <v>11079</v>
      </c>
      <c r="I6334" s="267" t="s">
        <v>3966</v>
      </c>
      <c r="J6334" s="267" t="s">
        <v>3928</v>
      </c>
      <c r="K6334" s="267">
        <v>6010</v>
      </c>
      <c r="L6334" s="267">
        <v>406002</v>
      </c>
      <c r="M6334" s="267" t="s">
        <v>3935</v>
      </c>
      <c r="N6334" s="267" t="s">
        <v>11080</v>
      </c>
      <c r="O6334" s="267">
        <v>0</v>
      </c>
      <c r="P6334" s="267" t="s">
        <v>3930</v>
      </c>
      <c r="Q6334" s="267" t="s">
        <v>3930</v>
      </c>
      <c r="R6334" s="267">
        <v>0</v>
      </c>
      <c r="S6334" s="267">
        <v>12645.91</v>
      </c>
      <c r="T6334" s="267">
        <v>12645.91</v>
      </c>
      <c r="U6334" s="268" t="s">
        <v>3937</v>
      </c>
      <c r="V6334" s="267" t="s">
        <v>944</v>
      </c>
    </row>
    <row r="6335" spans="1:22" hidden="1" x14ac:dyDescent="0.25">
      <c r="A6335" s="269">
        <v>43761</v>
      </c>
      <c r="B6335" s="270">
        <v>2019</v>
      </c>
      <c r="C6335" s="270">
        <v>2020</v>
      </c>
      <c r="D6335" s="270">
        <v>1</v>
      </c>
      <c r="E6335" s="270">
        <v>1</v>
      </c>
      <c r="F6335" s="270" t="s">
        <v>944</v>
      </c>
      <c r="G6335" s="270" t="s">
        <v>3926</v>
      </c>
      <c r="H6335" s="270" t="s">
        <v>11081</v>
      </c>
      <c r="I6335" s="270" t="s">
        <v>4005</v>
      </c>
      <c r="J6335" s="270" t="s">
        <v>3928</v>
      </c>
      <c r="K6335" s="270">
        <v>6108</v>
      </c>
      <c r="L6335" s="270">
        <v>511200</v>
      </c>
      <c r="M6335" s="270">
        <v>-60</v>
      </c>
      <c r="N6335" s="270" t="s">
        <v>8223</v>
      </c>
      <c r="O6335" s="270">
        <v>957.53</v>
      </c>
      <c r="P6335" s="270" t="s">
        <v>3930</v>
      </c>
      <c r="Q6335" s="270" t="s">
        <v>3931</v>
      </c>
      <c r="R6335" s="270">
        <v>5957.53</v>
      </c>
      <c r="S6335" s="270">
        <v>12702.4</v>
      </c>
      <c r="T6335" s="270">
        <v>18659.93</v>
      </c>
      <c r="U6335" s="271" t="s">
        <v>3932</v>
      </c>
      <c r="V6335" s="267" t="s">
        <v>944</v>
      </c>
    </row>
    <row r="6336" spans="1:22" hidden="1" x14ac:dyDescent="0.25">
      <c r="A6336" s="266">
        <v>43761</v>
      </c>
      <c r="B6336" s="267">
        <v>2019</v>
      </c>
      <c r="C6336" s="267">
        <v>2020</v>
      </c>
      <c r="D6336" s="267">
        <v>1</v>
      </c>
      <c r="E6336" s="267">
        <v>1</v>
      </c>
      <c r="F6336" s="267" t="s">
        <v>944</v>
      </c>
      <c r="G6336" s="267" t="s">
        <v>3926</v>
      </c>
      <c r="H6336" s="267" t="s">
        <v>11082</v>
      </c>
      <c r="I6336" s="267" t="s">
        <v>4016</v>
      </c>
      <c r="J6336" s="267" t="s">
        <v>3928</v>
      </c>
      <c r="K6336" s="267">
        <v>6770</v>
      </c>
      <c r="L6336" s="267">
        <v>345300</v>
      </c>
      <c r="M6336" s="267" t="s">
        <v>3940</v>
      </c>
      <c r="N6336" s="267" t="s">
        <v>4103</v>
      </c>
      <c r="O6336" s="267">
        <v>1751.26</v>
      </c>
      <c r="P6336" s="267" t="s">
        <v>3930</v>
      </c>
      <c r="Q6336" s="267" t="s">
        <v>3931</v>
      </c>
      <c r="R6336" s="267">
        <v>6751.26</v>
      </c>
      <c r="S6336" s="267">
        <v>24145.599999999999</v>
      </c>
      <c r="T6336" s="267">
        <v>30896.86</v>
      </c>
      <c r="U6336" s="268" t="s">
        <v>3932</v>
      </c>
      <c r="V6336" s="267" t="s">
        <v>944</v>
      </c>
    </row>
    <row r="6337" spans="1:22" hidden="1" x14ac:dyDescent="0.25">
      <c r="A6337" s="269">
        <v>43761</v>
      </c>
      <c r="B6337" s="270">
        <v>2019</v>
      </c>
      <c r="C6337" s="270">
        <v>2020</v>
      </c>
      <c r="D6337" s="270">
        <v>1</v>
      </c>
      <c r="E6337" s="270">
        <v>1</v>
      </c>
      <c r="F6337" s="270" t="s">
        <v>944</v>
      </c>
      <c r="G6337" s="270" t="s">
        <v>3926</v>
      </c>
      <c r="H6337" s="270" t="s">
        <v>11083</v>
      </c>
      <c r="I6337" s="270" t="s">
        <v>3966</v>
      </c>
      <c r="J6337" s="270" t="s">
        <v>3928</v>
      </c>
      <c r="K6337" s="270">
        <v>6010</v>
      </c>
      <c r="L6337" s="270">
        <v>405100</v>
      </c>
      <c r="M6337" s="270" t="s">
        <v>3935</v>
      </c>
      <c r="N6337" s="270" t="s">
        <v>4103</v>
      </c>
      <c r="O6337" s="270">
        <v>1771.77</v>
      </c>
      <c r="P6337" s="270" t="s">
        <v>3930</v>
      </c>
      <c r="Q6337" s="270" t="s">
        <v>3931</v>
      </c>
      <c r="R6337" s="270">
        <v>6771.77</v>
      </c>
      <c r="S6337" s="270">
        <v>24145.599999999999</v>
      </c>
      <c r="T6337" s="270">
        <v>30917.37</v>
      </c>
      <c r="U6337" s="271" t="s">
        <v>3932</v>
      </c>
      <c r="V6337" s="267" t="s">
        <v>944</v>
      </c>
    </row>
    <row r="6338" spans="1:22" hidden="1" x14ac:dyDescent="0.25">
      <c r="A6338" s="266">
        <v>43761</v>
      </c>
      <c r="B6338" s="267">
        <v>2019</v>
      </c>
      <c r="C6338" s="267">
        <v>2020</v>
      </c>
      <c r="D6338" s="267">
        <v>1</v>
      </c>
      <c r="E6338" s="267">
        <v>1</v>
      </c>
      <c r="F6338" s="267" t="s">
        <v>944</v>
      </c>
      <c r="G6338" s="267" t="s">
        <v>3926</v>
      </c>
      <c r="H6338" s="267" t="s">
        <v>11084</v>
      </c>
      <c r="I6338" s="267" t="s">
        <v>6135</v>
      </c>
      <c r="J6338" s="267" t="s">
        <v>3928</v>
      </c>
      <c r="K6338" s="267">
        <v>6405</v>
      </c>
      <c r="L6338" s="267">
        <v>184100</v>
      </c>
      <c r="M6338" s="267" t="s">
        <v>3940</v>
      </c>
      <c r="N6338" s="267" t="s">
        <v>6901</v>
      </c>
      <c r="O6338" s="267">
        <v>0</v>
      </c>
      <c r="P6338" s="267" t="s">
        <v>3930</v>
      </c>
      <c r="Q6338" s="267" t="s">
        <v>3930</v>
      </c>
      <c r="R6338" s="267">
        <v>0</v>
      </c>
      <c r="S6338" s="267">
        <v>7500</v>
      </c>
      <c r="T6338" s="267">
        <v>7500</v>
      </c>
      <c r="U6338" s="268" t="s">
        <v>3937</v>
      </c>
      <c r="V6338" s="267" t="s">
        <v>944</v>
      </c>
    </row>
    <row r="6339" spans="1:22" hidden="1" x14ac:dyDescent="0.25">
      <c r="A6339" s="269">
        <v>43761</v>
      </c>
      <c r="B6339" s="270">
        <v>2019</v>
      </c>
      <c r="C6339" s="270">
        <v>2020</v>
      </c>
      <c r="D6339" s="270">
        <v>1</v>
      </c>
      <c r="E6339" s="270">
        <v>1</v>
      </c>
      <c r="F6339" s="270" t="s">
        <v>944</v>
      </c>
      <c r="G6339" s="270" t="s">
        <v>3926</v>
      </c>
      <c r="H6339" s="270" t="s">
        <v>11085</v>
      </c>
      <c r="I6339" s="270" t="s">
        <v>4323</v>
      </c>
      <c r="J6339" s="270" t="s">
        <v>3928</v>
      </c>
      <c r="K6339" s="270">
        <v>6385</v>
      </c>
      <c r="L6339" s="270">
        <v>693700</v>
      </c>
      <c r="M6339" s="270" t="s">
        <v>3943</v>
      </c>
      <c r="N6339" s="270" t="s">
        <v>3944</v>
      </c>
      <c r="O6339" s="270">
        <v>5442</v>
      </c>
      <c r="P6339" s="270" t="s">
        <v>3944</v>
      </c>
      <c r="Q6339" s="270" t="s">
        <v>3944</v>
      </c>
      <c r="R6339" s="270">
        <v>5442</v>
      </c>
      <c r="S6339" s="270">
        <v>41862</v>
      </c>
      <c r="T6339" s="270">
        <v>47304</v>
      </c>
      <c r="U6339" s="271" t="s">
        <v>3945</v>
      </c>
      <c r="V6339" s="267" t="s">
        <v>944</v>
      </c>
    </row>
    <row r="6340" spans="1:22" hidden="1" x14ac:dyDescent="0.25">
      <c r="A6340" s="266">
        <v>43761</v>
      </c>
      <c r="B6340" s="267">
        <v>2019</v>
      </c>
      <c r="C6340" s="267">
        <v>2020</v>
      </c>
      <c r="D6340" s="267">
        <v>1</v>
      </c>
      <c r="E6340" s="267">
        <v>1</v>
      </c>
      <c r="F6340" s="267" t="s">
        <v>944</v>
      </c>
      <c r="G6340" s="267" t="s">
        <v>3926</v>
      </c>
      <c r="H6340" s="267" t="s">
        <v>11086</v>
      </c>
      <c r="I6340" s="267" t="s">
        <v>4073</v>
      </c>
      <c r="J6340" s="267" t="s">
        <v>3928</v>
      </c>
      <c r="K6340" s="267">
        <v>6776</v>
      </c>
      <c r="L6340" s="267">
        <v>253400</v>
      </c>
      <c r="M6340" s="267" t="s">
        <v>3943</v>
      </c>
      <c r="N6340" s="267" t="s">
        <v>3944</v>
      </c>
      <c r="O6340" s="267">
        <v>4392</v>
      </c>
      <c r="P6340" s="267" t="s">
        <v>3944</v>
      </c>
      <c r="Q6340" s="267" t="s">
        <v>3944</v>
      </c>
      <c r="R6340" s="267">
        <v>4392</v>
      </c>
      <c r="S6340" s="267">
        <v>34934.9</v>
      </c>
      <c r="T6340" s="267">
        <v>39326.9</v>
      </c>
      <c r="U6340" s="268" t="s">
        <v>3945</v>
      </c>
      <c r="V6340" s="267" t="s">
        <v>944</v>
      </c>
    </row>
    <row r="6341" spans="1:22" hidden="1" x14ac:dyDescent="0.25">
      <c r="A6341" s="269">
        <v>43761</v>
      </c>
      <c r="B6341" s="270">
        <v>2019</v>
      </c>
      <c r="C6341" s="270">
        <v>2020</v>
      </c>
      <c r="D6341" s="270">
        <v>1</v>
      </c>
      <c r="E6341" s="270">
        <v>1</v>
      </c>
      <c r="F6341" s="270" t="s">
        <v>944</v>
      </c>
      <c r="G6341" s="270" t="s">
        <v>3926</v>
      </c>
      <c r="H6341" s="270" t="s">
        <v>11087</v>
      </c>
      <c r="I6341" s="270" t="s">
        <v>4269</v>
      </c>
      <c r="J6341" s="270" t="s">
        <v>3928</v>
      </c>
      <c r="K6341" s="270">
        <v>6107</v>
      </c>
      <c r="L6341" s="270">
        <v>496500</v>
      </c>
      <c r="M6341" s="270" t="s">
        <v>3943</v>
      </c>
      <c r="N6341" s="270" t="s">
        <v>3944</v>
      </c>
      <c r="O6341" s="270">
        <v>3546</v>
      </c>
      <c r="P6341" s="270" t="s">
        <v>3944</v>
      </c>
      <c r="Q6341" s="270" t="s">
        <v>3944</v>
      </c>
      <c r="R6341" s="270">
        <v>3546</v>
      </c>
      <c r="S6341" s="270">
        <v>49902</v>
      </c>
      <c r="T6341" s="270">
        <v>53448</v>
      </c>
      <c r="U6341" s="271" t="s">
        <v>3945</v>
      </c>
      <c r="V6341" s="267" t="s">
        <v>944</v>
      </c>
    </row>
    <row r="6342" spans="1:22" hidden="1" x14ac:dyDescent="0.25">
      <c r="A6342" s="266">
        <v>43761</v>
      </c>
      <c r="B6342" s="267">
        <v>2019</v>
      </c>
      <c r="C6342" s="267">
        <v>2020</v>
      </c>
      <c r="D6342" s="267">
        <v>1</v>
      </c>
      <c r="E6342" s="267">
        <v>1</v>
      </c>
      <c r="F6342" s="267" t="s">
        <v>944</v>
      </c>
      <c r="G6342" s="267" t="s">
        <v>3926</v>
      </c>
      <c r="H6342" s="267" t="s">
        <v>11088</v>
      </c>
      <c r="I6342" s="267" t="s">
        <v>4087</v>
      </c>
      <c r="J6342" s="267" t="s">
        <v>3928</v>
      </c>
      <c r="K6342" s="267">
        <v>6340</v>
      </c>
      <c r="L6342" s="267">
        <v>702100</v>
      </c>
      <c r="M6342" s="267" t="s">
        <v>3960</v>
      </c>
      <c r="N6342" s="267" t="s">
        <v>3944</v>
      </c>
      <c r="O6342" s="267">
        <v>2590.81</v>
      </c>
      <c r="P6342" s="267" t="s">
        <v>3944</v>
      </c>
      <c r="Q6342" s="267" t="s">
        <v>3944</v>
      </c>
      <c r="R6342" s="267">
        <v>2590.81</v>
      </c>
      <c r="S6342" s="267">
        <v>46415.64</v>
      </c>
      <c r="T6342" s="267">
        <v>49006.45</v>
      </c>
      <c r="U6342" s="268" t="s">
        <v>3945</v>
      </c>
      <c r="V6342" s="267" t="s">
        <v>944</v>
      </c>
    </row>
    <row r="6343" spans="1:22" hidden="1" x14ac:dyDescent="0.25">
      <c r="A6343" s="269">
        <v>43761</v>
      </c>
      <c r="B6343" s="270">
        <v>2019</v>
      </c>
      <c r="C6343" s="270">
        <v>2020</v>
      </c>
      <c r="D6343" s="270">
        <v>1</v>
      </c>
      <c r="E6343" s="270">
        <v>1</v>
      </c>
      <c r="F6343" s="270" t="s">
        <v>944</v>
      </c>
      <c r="G6343" s="270" t="s">
        <v>3926</v>
      </c>
      <c r="H6343" s="270" t="s">
        <v>11089</v>
      </c>
      <c r="I6343" s="270" t="s">
        <v>4353</v>
      </c>
      <c r="J6343" s="270" t="s">
        <v>3928</v>
      </c>
      <c r="K6343" s="270">
        <v>6416</v>
      </c>
      <c r="L6343" s="270">
        <v>570100</v>
      </c>
      <c r="M6343" s="270" t="s">
        <v>3960</v>
      </c>
      <c r="N6343" s="270" t="s">
        <v>3944</v>
      </c>
      <c r="O6343" s="270">
        <v>1925.88</v>
      </c>
      <c r="P6343" s="270" t="s">
        <v>3944</v>
      </c>
      <c r="Q6343" s="270" t="s">
        <v>3944</v>
      </c>
      <c r="R6343" s="270">
        <v>1925.88</v>
      </c>
      <c r="S6343" s="270">
        <v>25107.57</v>
      </c>
      <c r="T6343" s="270">
        <v>27033.45</v>
      </c>
      <c r="U6343" s="271" t="s">
        <v>3945</v>
      </c>
      <c r="V6343" s="267" t="s">
        <v>944</v>
      </c>
    </row>
    <row r="6344" spans="1:22" hidden="1" x14ac:dyDescent="0.25">
      <c r="A6344" s="266">
        <v>43761</v>
      </c>
      <c r="B6344" s="267">
        <v>2019</v>
      </c>
      <c r="C6344" s="267">
        <v>2020</v>
      </c>
      <c r="D6344" s="267">
        <v>1</v>
      </c>
      <c r="E6344" s="267">
        <v>1</v>
      </c>
      <c r="F6344" s="267" t="s">
        <v>944</v>
      </c>
      <c r="G6344" s="267" t="s">
        <v>3926</v>
      </c>
      <c r="H6344" s="267" t="s">
        <v>11090</v>
      </c>
      <c r="I6344" s="267" t="s">
        <v>3025</v>
      </c>
      <c r="J6344" s="267" t="s">
        <v>3928</v>
      </c>
      <c r="K6344" s="267">
        <v>6473</v>
      </c>
      <c r="L6344" s="267">
        <v>167100</v>
      </c>
      <c r="M6344" s="267" t="s">
        <v>3943</v>
      </c>
      <c r="N6344" s="267" t="s">
        <v>3944</v>
      </c>
      <c r="O6344" s="267">
        <v>2210.0100000000002</v>
      </c>
      <c r="P6344" s="267" t="s">
        <v>3944</v>
      </c>
      <c r="Q6344" s="267" t="s">
        <v>3944</v>
      </c>
      <c r="R6344" s="267">
        <v>2210.0100000000002</v>
      </c>
      <c r="S6344" s="267">
        <v>19800.990000000002</v>
      </c>
      <c r="T6344" s="267">
        <v>22011</v>
      </c>
      <c r="U6344" s="268" t="s">
        <v>3945</v>
      </c>
      <c r="V6344" s="267" t="s">
        <v>944</v>
      </c>
    </row>
    <row r="6345" spans="1:22" hidden="1" x14ac:dyDescent="0.25">
      <c r="A6345" s="269">
        <v>43761</v>
      </c>
      <c r="B6345" s="270">
        <v>2019</v>
      </c>
      <c r="C6345" s="270">
        <v>2020</v>
      </c>
      <c r="D6345" s="270">
        <v>1</v>
      </c>
      <c r="E6345" s="270">
        <v>1</v>
      </c>
      <c r="F6345" s="270" t="s">
        <v>944</v>
      </c>
      <c r="G6345" s="270" t="s">
        <v>3926</v>
      </c>
      <c r="H6345" s="270" t="s">
        <v>11091</v>
      </c>
      <c r="I6345" s="270" t="s">
        <v>3968</v>
      </c>
      <c r="J6345" s="270" t="s">
        <v>3928</v>
      </c>
      <c r="K6345" s="270">
        <v>6040</v>
      </c>
      <c r="L6345" s="270">
        <v>515200</v>
      </c>
      <c r="M6345" s="270" t="s">
        <v>3943</v>
      </c>
      <c r="N6345" s="270" t="s">
        <v>3944</v>
      </c>
      <c r="O6345" s="270">
        <v>3304.46</v>
      </c>
      <c r="P6345" s="270" t="s">
        <v>3944</v>
      </c>
      <c r="Q6345" s="270" t="s">
        <v>3944</v>
      </c>
      <c r="R6345" s="270">
        <v>3304.46</v>
      </c>
      <c r="S6345" s="270">
        <v>29558.54</v>
      </c>
      <c r="T6345" s="270">
        <v>32863</v>
      </c>
      <c r="U6345" s="271" t="s">
        <v>3945</v>
      </c>
      <c r="V6345" s="267" t="s">
        <v>944</v>
      </c>
    </row>
    <row r="6346" spans="1:22" hidden="1" x14ac:dyDescent="0.25">
      <c r="A6346" s="266">
        <v>43761</v>
      </c>
      <c r="B6346" s="267">
        <v>2019</v>
      </c>
      <c r="C6346" s="267">
        <v>2020</v>
      </c>
      <c r="D6346" s="267">
        <v>1</v>
      </c>
      <c r="E6346" s="267">
        <v>1</v>
      </c>
      <c r="F6346" s="267" t="s">
        <v>944</v>
      </c>
      <c r="G6346" s="267" t="s">
        <v>3926</v>
      </c>
      <c r="H6346" s="267" t="s">
        <v>11092</v>
      </c>
      <c r="I6346" s="267" t="s">
        <v>4019</v>
      </c>
      <c r="J6346" s="267" t="s">
        <v>3928</v>
      </c>
      <c r="K6346" s="267">
        <v>6706</v>
      </c>
      <c r="L6346" s="267">
        <v>351400</v>
      </c>
      <c r="M6346" s="267">
        <v>-60</v>
      </c>
      <c r="N6346" s="267" t="s">
        <v>3944</v>
      </c>
      <c r="O6346" s="267">
        <v>959</v>
      </c>
      <c r="P6346" s="267" t="s">
        <v>3944</v>
      </c>
      <c r="Q6346" s="267" t="s">
        <v>3944</v>
      </c>
      <c r="R6346" s="267">
        <v>959</v>
      </c>
      <c r="S6346" s="267">
        <v>12213.24</v>
      </c>
      <c r="T6346" s="267">
        <v>13172.24</v>
      </c>
      <c r="U6346" s="268" t="s">
        <v>3945</v>
      </c>
      <c r="V6346" s="267" t="s">
        <v>944</v>
      </c>
    </row>
    <row r="6347" spans="1:22" x14ac:dyDescent="0.25">
      <c r="A6347" s="269">
        <v>43761</v>
      </c>
      <c r="B6347" s="270">
        <v>2019</v>
      </c>
      <c r="C6347" s="270">
        <v>2020</v>
      </c>
      <c r="D6347" s="270">
        <v>1</v>
      </c>
      <c r="E6347" s="270">
        <v>1</v>
      </c>
      <c r="F6347" s="270" t="s">
        <v>944</v>
      </c>
      <c r="G6347" s="270" t="s">
        <v>3926</v>
      </c>
      <c r="H6347" s="270" t="s">
        <v>11093</v>
      </c>
      <c r="I6347" s="270" t="s">
        <v>934</v>
      </c>
      <c r="J6347" s="270" t="s">
        <v>3928</v>
      </c>
      <c r="K6347" s="270">
        <v>6610</v>
      </c>
      <c r="L6347" s="270">
        <v>73700</v>
      </c>
      <c r="M6347" s="270">
        <v>-60</v>
      </c>
      <c r="N6347" s="270" t="s">
        <v>3944</v>
      </c>
      <c r="O6347" s="270">
        <v>1161.02</v>
      </c>
      <c r="P6347" s="270" t="s">
        <v>3944</v>
      </c>
      <c r="Q6347" s="270" t="s">
        <v>3944</v>
      </c>
      <c r="R6347" s="270">
        <v>1161.02</v>
      </c>
      <c r="S6347" s="270">
        <v>16210.42</v>
      </c>
      <c r="T6347" s="270">
        <v>17371.439999999999</v>
      </c>
      <c r="U6347" s="271" t="s">
        <v>3945</v>
      </c>
      <c r="V6347" s="276" t="s">
        <v>936</v>
      </c>
    </row>
    <row r="6348" spans="1:22" hidden="1" x14ac:dyDescent="0.25">
      <c r="A6348" s="266">
        <v>43761</v>
      </c>
      <c r="B6348" s="267">
        <v>2019</v>
      </c>
      <c r="C6348" s="267">
        <v>2020</v>
      </c>
      <c r="D6348" s="267">
        <v>1</v>
      </c>
      <c r="E6348" s="267">
        <v>1</v>
      </c>
      <c r="F6348" s="267" t="s">
        <v>944</v>
      </c>
      <c r="G6348" s="267" t="s">
        <v>3926</v>
      </c>
      <c r="H6348" s="267" t="s">
        <v>11094</v>
      </c>
      <c r="I6348" s="267" t="s">
        <v>3956</v>
      </c>
      <c r="J6348" s="267" t="s">
        <v>3928</v>
      </c>
      <c r="K6348" s="267">
        <v>6110</v>
      </c>
      <c r="L6348" s="267">
        <v>524700</v>
      </c>
      <c r="M6348" s="267" t="s">
        <v>3935</v>
      </c>
      <c r="N6348" s="267" t="s">
        <v>3944</v>
      </c>
      <c r="O6348" s="267">
        <v>1946</v>
      </c>
      <c r="P6348" s="267" t="s">
        <v>3944</v>
      </c>
      <c r="Q6348" s="267" t="s">
        <v>3944</v>
      </c>
      <c r="R6348" s="267">
        <v>1946</v>
      </c>
      <c r="S6348" s="267">
        <v>29644.639999999999</v>
      </c>
      <c r="T6348" s="267">
        <v>31590.639999999999</v>
      </c>
      <c r="U6348" s="268" t="s">
        <v>3945</v>
      </c>
      <c r="V6348" s="267" t="s">
        <v>944</v>
      </c>
    </row>
    <row r="6349" spans="1:22" hidden="1" x14ac:dyDescent="0.25">
      <c r="A6349" s="269">
        <v>43761</v>
      </c>
      <c r="B6349" s="270">
        <v>2019</v>
      </c>
      <c r="C6349" s="270">
        <v>2020</v>
      </c>
      <c r="D6349" s="270">
        <v>1</v>
      </c>
      <c r="E6349" s="270">
        <v>1</v>
      </c>
      <c r="F6349" s="270" t="s">
        <v>944</v>
      </c>
      <c r="G6349" s="270" t="s">
        <v>3926</v>
      </c>
      <c r="H6349" s="270" t="s">
        <v>11095</v>
      </c>
      <c r="I6349" s="270" t="s">
        <v>4042</v>
      </c>
      <c r="J6349" s="270" t="s">
        <v>3928</v>
      </c>
      <c r="K6349" s="270">
        <v>6370</v>
      </c>
      <c r="L6349" s="270">
        <v>695202</v>
      </c>
      <c r="M6349" s="270" t="s">
        <v>3935</v>
      </c>
      <c r="N6349" s="270" t="s">
        <v>3944</v>
      </c>
      <c r="O6349" s="270">
        <v>1124.73</v>
      </c>
      <c r="P6349" s="270" t="s">
        <v>3944</v>
      </c>
      <c r="Q6349" s="270" t="s">
        <v>3944</v>
      </c>
      <c r="R6349" s="270">
        <v>1124.73</v>
      </c>
      <c r="S6349" s="270">
        <v>11304.27</v>
      </c>
      <c r="T6349" s="270">
        <v>12429</v>
      </c>
      <c r="U6349" s="271" t="s">
        <v>3945</v>
      </c>
      <c r="V6349" s="267" t="s">
        <v>944</v>
      </c>
    </row>
    <row r="6350" spans="1:22" hidden="1" x14ac:dyDescent="0.25">
      <c r="A6350" s="266">
        <v>43761</v>
      </c>
      <c r="B6350" s="267">
        <v>2019</v>
      </c>
      <c r="C6350" s="267">
        <v>2020</v>
      </c>
      <c r="D6350" s="267">
        <v>1</v>
      </c>
      <c r="E6350" s="267">
        <v>1</v>
      </c>
      <c r="F6350" s="267" t="s">
        <v>944</v>
      </c>
      <c r="G6350" s="267" t="s">
        <v>3926</v>
      </c>
      <c r="H6350" s="267" t="s">
        <v>11096</v>
      </c>
      <c r="I6350" s="267" t="s">
        <v>4269</v>
      </c>
      <c r="J6350" s="267" t="s">
        <v>3928</v>
      </c>
      <c r="K6350" s="267">
        <v>6110</v>
      </c>
      <c r="L6350" s="267">
        <v>496800</v>
      </c>
      <c r="M6350" s="267" t="s">
        <v>3935</v>
      </c>
      <c r="N6350" s="267" t="s">
        <v>3944</v>
      </c>
      <c r="O6350" s="267">
        <v>1440.78</v>
      </c>
      <c r="P6350" s="267" t="s">
        <v>3944</v>
      </c>
      <c r="Q6350" s="267" t="s">
        <v>3944</v>
      </c>
      <c r="R6350" s="267">
        <v>1440.78</v>
      </c>
      <c r="S6350" s="267">
        <v>22331.42</v>
      </c>
      <c r="T6350" s="267">
        <v>23772.2</v>
      </c>
      <c r="U6350" s="268" t="s">
        <v>3945</v>
      </c>
      <c r="V6350" s="267" t="s">
        <v>944</v>
      </c>
    </row>
    <row r="6351" spans="1:22" hidden="1" x14ac:dyDescent="0.25">
      <c r="A6351" s="269">
        <v>43761</v>
      </c>
      <c r="B6351" s="270">
        <v>2019</v>
      </c>
      <c r="C6351" s="270">
        <v>2020</v>
      </c>
      <c r="D6351" s="270">
        <v>1</v>
      </c>
      <c r="E6351" s="270">
        <v>1</v>
      </c>
      <c r="F6351" s="270" t="s">
        <v>944</v>
      </c>
      <c r="G6351" s="270" t="s">
        <v>3926</v>
      </c>
      <c r="H6351" s="270" t="s">
        <v>11097</v>
      </c>
      <c r="I6351" s="270" t="s">
        <v>4019</v>
      </c>
      <c r="J6351" s="270" t="s">
        <v>3928</v>
      </c>
      <c r="K6351" s="270">
        <v>6704</v>
      </c>
      <c r="L6351" s="270">
        <v>352400</v>
      </c>
      <c r="M6351" s="270">
        <v>-60</v>
      </c>
      <c r="N6351" s="270" t="s">
        <v>3944</v>
      </c>
      <c r="O6351" s="270">
        <v>2028.11</v>
      </c>
      <c r="P6351" s="270" t="s">
        <v>3944</v>
      </c>
      <c r="Q6351" s="270" t="s">
        <v>3944</v>
      </c>
      <c r="R6351" s="270">
        <v>2028.11</v>
      </c>
      <c r="S6351" s="270">
        <v>20626.89</v>
      </c>
      <c r="T6351" s="270">
        <v>22655</v>
      </c>
      <c r="U6351" s="271" t="s">
        <v>3945</v>
      </c>
      <c r="V6351" s="267" t="s">
        <v>944</v>
      </c>
    </row>
    <row r="6352" spans="1:22" hidden="1" x14ac:dyDescent="0.25">
      <c r="A6352" s="266">
        <v>43761</v>
      </c>
      <c r="B6352" s="267">
        <v>2019</v>
      </c>
      <c r="C6352" s="267">
        <v>2020</v>
      </c>
      <c r="D6352" s="267">
        <v>1</v>
      </c>
      <c r="E6352" s="267">
        <v>1</v>
      </c>
      <c r="F6352" s="267" t="s">
        <v>944</v>
      </c>
      <c r="G6352" s="267" t="s">
        <v>3926</v>
      </c>
      <c r="H6352" s="267" t="s">
        <v>11098</v>
      </c>
      <c r="I6352" s="267" t="s">
        <v>4392</v>
      </c>
      <c r="J6352" s="267" t="s">
        <v>3928</v>
      </c>
      <c r="K6352" s="267">
        <v>6457</v>
      </c>
      <c r="L6352" s="267">
        <v>541402</v>
      </c>
      <c r="M6352" s="267" t="s">
        <v>3935</v>
      </c>
      <c r="N6352" s="267" t="s">
        <v>3944</v>
      </c>
      <c r="O6352" s="267">
        <v>1575.6</v>
      </c>
      <c r="P6352" s="267" t="s">
        <v>3944</v>
      </c>
      <c r="Q6352" s="267" t="s">
        <v>3944</v>
      </c>
      <c r="R6352" s="267">
        <v>1575.6</v>
      </c>
      <c r="S6352" s="267">
        <v>22363.58</v>
      </c>
      <c r="T6352" s="267">
        <v>23939.18</v>
      </c>
      <c r="U6352" s="268" t="s">
        <v>3945</v>
      </c>
      <c r="V6352" s="267" t="s">
        <v>944</v>
      </c>
    </row>
    <row r="6353" spans="1:22" hidden="1" x14ac:dyDescent="0.25">
      <c r="A6353" s="269">
        <v>43761</v>
      </c>
      <c r="B6353" s="270">
        <v>2019</v>
      </c>
      <c r="C6353" s="270">
        <v>2020</v>
      </c>
      <c r="D6353" s="270">
        <v>1</v>
      </c>
      <c r="E6353" s="270">
        <v>1</v>
      </c>
      <c r="F6353" s="270" t="s">
        <v>944</v>
      </c>
      <c r="G6353" s="270" t="s">
        <v>3926</v>
      </c>
      <c r="H6353" s="270" t="s">
        <v>11099</v>
      </c>
      <c r="I6353" s="270" t="s">
        <v>4016</v>
      </c>
      <c r="J6353" s="270" t="s">
        <v>3928</v>
      </c>
      <c r="K6353" s="270">
        <v>6770</v>
      </c>
      <c r="L6353" s="270">
        <v>345400</v>
      </c>
      <c r="M6353" s="270" t="s">
        <v>3935</v>
      </c>
      <c r="N6353" s="270" t="s">
        <v>3944</v>
      </c>
      <c r="O6353" s="270">
        <v>1833.58</v>
      </c>
      <c r="P6353" s="270" t="s">
        <v>3944</v>
      </c>
      <c r="Q6353" s="270" t="s">
        <v>3944</v>
      </c>
      <c r="R6353" s="270">
        <v>1833.58</v>
      </c>
      <c r="S6353" s="270">
        <v>14437.42</v>
      </c>
      <c r="T6353" s="270">
        <v>16271</v>
      </c>
      <c r="U6353" s="271" t="s">
        <v>3945</v>
      </c>
      <c r="V6353" s="267" t="s">
        <v>944</v>
      </c>
    </row>
    <row r="6354" spans="1:22" hidden="1" x14ac:dyDescent="0.25">
      <c r="A6354" s="266">
        <v>43761</v>
      </c>
      <c r="B6354" s="267">
        <v>2019</v>
      </c>
      <c r="C6354" s="267">
        <v>2020</v>
      </c>
      <c r="D6354" s="267">
        <v>1</v>
      </c>
      <c r="E6354" s="267">
        <v>1</v>
      </c>
      <c r="F6354" s="267" t="s">
        <v>944</v>
      </c>
      <c r="G6354" s="267" t="s">
        <v>3926</v>
      </c>
      <c r="H6354" s="267" t="s">
        <v>11100</v>
      </c>
      <c r="I6354" s="267" t="s">
        <v>3008</v>
      </c>
      <c r="J6354" s="267" t="s">
        <v>3928</v>
      </c>
      <c r="K6354" s="267">
        <v>6460</v>
      </c>
      <c r="L6354" s="267">
        <v>150500</v>
      </c>
      <c r="M6354" s="267" t="s">
        <v>3960</v>
      </c>
      <c r="N6354" s="267" t="s">
        <v>3944</v>
      </c>
      <c r="O6354" s="267">
        <v>1328.99</v>
      </c>
      <c r="P6354" s="267" t="s">
        <v>3944</v>
      </c>
      <c r="Q6354" s="267" t="s">
        <v>3944</v>
      </c>
      <c r="R6354" s="267">
        <v>1328.99</v>
      </c>
      <c r="S6354" s="267">
        <v>12114.01</v>
      </c>
      <c r="T6354" s="267">
        <v>13443</v>
      </c>
      <c r="U6354" s="268" t="s">
        <v>3945</v>
      </c>
      <c r="V6354" s="267" t="s">
        <v>944</v>
      </c>
    </row>
    <row r="6355" spans="1:22" hidden="1" x14ac:dyDescent="0.25">
      <c r="A6355" s="269">
        <v>43761</v>
      </c>
      <c r="B6355" s="270">
        <v>2019</v>
      </c>
      <c r="C6355" s="270">
        <v>2020</v>
      </c>
      <c r="D6355" s="270">
        <v>1</v>
      </c>
      <c r="E6355" s="270">
        <v>1</v>
      </c>
      <c r="F6355" s="270" t="s">
        <v>944</v>
      </c>
      <c r="G6355" s="270" t="s">
        <v>3926</v>
      </c>
      <c r="H6355" s="270" t="s">
        <v>11101</v>
      </c>
      <c r="I6355" s="270" t="s">
        <v>3956</v>
      </c>
      <c r="J6355" s="270" t="s">
        <v>3928</v>
      </c>
      <c r="K6355" s="270">
        <v>6112</v>
      </c>
      <c r="L6355" s="270">
        <v>503900</v>
      </c>
      <c r="M6355" s="270">
        <v>-60</v>
      </c>
      <c r="N6355" s="270" t="s">
        <v>3944</v>
      </c>
      <c r="O6355" s="270">
        <v>1367.98</v>
      </c>
      <c r="P6355" s="270" t="s">
        <v>3944</v>
      </c>
      <c r="Q6355" s="270" t="s">
        <v>3944</v>
      </c>
      <c r="R6355" s="270">
        <v>1367.98</v>
      </c>
      <c r="S6355" s="270">
        <v>20765.63</v>
      </c>
      <c r="T6355" s="270">
        <v>22133.61</v>
      </c>
      <c r="U6355" s="271" t="s">
        <v>3945</v>
      </c>
      <c r="V6355" s="267" t="s">
        <v>944</v>
      </c>
    </row>
    <row r="6356" spans="1:22" hidden="1" x14ac:dyDescent="0.25">
      <c r="A6356" s="266">
        <v>43761</v>
      </c>
      <c r="B6356" s="267">
        <v>2019</v>
      </c>
      <c r="C6356" s="267">
        <v>2020</v>
      </c>
      <c r="D6356" s="267">
        <v>1</v>
      </c>
      <c r="E6356" s="267">
        <v>1</v>
      </c>
      <c r="F6356" s="267" t="s">
        <v>944</v>
      </c>
      <c r="G6356" s="267" t="s">
        <v>3926</v>
      </c>
      <c r="H6356" s="267" t="s">
        <v>11102</v>
      </c>
      <c r="I6356" s="267" t="s">
        <v>4323</v>
      </c>
      <c r="J6356" s="267" t="s">
        <v>3928</v>
      </c>
      <c r="K6356" s="267">
        <v>6385</v>
      </c>
      <c r="L6356" s="267">
        <v>693400</v>
      </c>
      <c r="M6356" s="267" t="s">
        <v>3940</v>
      </c>
      <c r="N6356" s="267" t="s">
        <v>3944</v>
      </c>
      <c r="O6356" s="267">
        <v>1311.17</v>
      </c>
      <c r="P6356" s="267" t="s">
        <v>3944</v>
      </c>
      <c r="Q6356" s="267" t="s">
        <v>3944</v>
      </c>
      <c r="R6356" s="267">
        <v>1311.17</v>
      </c>
      <c r="S6356" s="267">
        <v>18822.46</v>
      </c>
      <c r="T6356" s="267">
        <v>20133.63</v>
      </c>
      <c r="U6356" s="268" t="s">
        <v>3945</v>
      </c>
      <c r="V6356" s="267" t="s">
        <v>944</v>
      </c>
    </row>
    <row r="6357" spans="1:22" hidden="1" x14ac:dyDescent="0.25">
      <c r="A6357" s="269">
        <v>43761</v>
      </c>
      <c r="B6357" s="270">
        <v>2019</v>
      </c>
      <c r="C6357" s="270">
        <v>2020</v>
      </c>
      <c r="D6357" s="270">
        <v>1</v>
      </c>
      <c r="E6357" s="270">
        <v>1</v>
      </c>
      <c r="F6357" s="270" t="s">
        <v>944</v>
      </c>
      <c r="G6357" s="270" t="s">
        <v>3926</v>
      </c>
      <c r="H6357" s="270" t="s">
        <v>11103</v>
      </c>
      <c r="I6357" s="270" t="s">
        <v>4944</v>
      </c>
      <c r="J6357" s="270" t="s">
        <v>3928</v>
      </c>
      <c r="K6357" s="270">
        <v>6232</v>
      </c>
      <c r="L6357" s="270">
        <v>528100</v>
      </c>
      <c r="M6357" s="270" t="s">
        <v>3943</v>
      </c>
      <c r="N6357" s="270" t="s">
        <v>3944</v>
      </c>
      <c r="O6357" s="270">
        <v>3018.44</v>
      </c>
      <c r="P6357" s="270" t="s">
        <v>3944</v>
      </c>
      <c r="Q6357" s="270" t="s">
        <v>3944</v>
      </c>
      <c r="R6357" s="270">
        <v>3018.44</v>
      </c>
      <c r="S6357" s="270">
        <v>41331.11</v>
      </c>
      <c r="T6357" s="270">
        <v>44349.55</v>
      </c>
      <c r="U6357" s="271" t="s">
        <v>3945</v>
      </c>
      <c r="V6357" s="267" t="s">
        <v>944</v>
      </c>
    </row>
    <row r="6358" spans="1:22" hidden="1" x14ac:dyDescent="0.25">
      <c r="A6358" s="266">
        <v>43761</v>
      </c>
      <c r="B6358" s="267">
        <v>2019</v>
      </c>
      <c r="C6358" s="267">
        <v>2020</v>
      </c>
      <c r="D6358" s="267">
        <v>1</v>
      </c>
      <c r="E6358" s="267">
        <v>1</v>
      </c>
      <c r="F6358" s="267" t="s">
        <v>944</v>
      </c>
      <c r="G6358" s="267" t="s">
        <v>3926</v>
      </c>
      <c r="H6358" s="267" t="s">
        <v>11104</v>
      </c>
      <c r="I6358" s="267" t="s">
        <v>950</v>
      </c>
      <c r="J6358" s="267" t="s">
        <v>3928</v>
      </c>
      <c r="K6358" s="267">
        <v>6516</v>
      </c>
      <c r="L6358" s="267">
        <v>154700</v>
      </c>
      <c r="M6358" s="267" t="s">
        <v>3960</v>
      </c>
      <c r="N6358" s="267" t="s">
        <v>3944</v>
      </c>
      <c r="O6358" s="267">
        <v>3627.58</v>
      </c>
      <c r="P6358" s="267" t="s">
        <v>3944</v>
      </c>
      <c r="Q6358" s="267" t="s">
        <v>3944</v>
      </c>
      <c r="R6358" s="267">
        <v>3627.58</v>
      </c>
      <c r="S6358" s="267">
        <v>48810.9</v>
      </c>
      <c r="T6358" s="267">
        <v>52438.48</v>
      </c>
      <c r="U6358" s="268" t="s">
        <v>3945</v>
      </c>
      <c r="V6358" s="267" t="s">
        <v>944</v>
      </c>
    </row>
    <row r="6359" spans="1:22" hidden="1" x14ac:dyDescent="0.25">
      <c r="A6359" s="269">
        <v>43761</v>
      </c>
      <c r="B6359" s="270">
        <v>2019</v>
      </c>
      <c r="C6359" s="270">
        <v>2020</v>
      </c>
      <c r="D6359" s="270">
        <v>1</v>
      </c>
      <c r="E6359" s="270">
        <v>1</v>
      </c>
      <c r="F6359" s="270" t="s">
        <v>944</v>
      </c>
      <c r="G6359" s="270" t="s">
        <v>3926</v>
      </c>
      <c r="H6359" s="270" t="s">
        <v>11105</v>
      </c>
      <c r="I6359" s="270" t="s">
        <v>3996</v>
      </c>
      <c r="J6359" s="270" t="s">
        <v>3928</v>
      </c>
      <c r="K6359" s="270">
        <v>6790</v>
      </c>
      <c r="L6359" s="270">
        <v>310601</v>
      </c>
      <c r="M6359" s="270" t="s">
        <v>3960</v>
      </c>
      <c r="N6359" s="270" t="s">
        <v>3944</v>
      </c>
      <c r="O6359" s="270">
        <v>2065.25</v>
      </c>
      <c r="P6359" s="270" t="s">
        <v>3944</v>
      </c>
      <c r="Q6359" s="270" t="s">
        <v>3944</v>
      </c>
      <c r="R6359" s="270">
        <v>2065.25</v>
      </c>
      <c r="S6359" s="270">
        <v>13856.75</v>
      </c>
      <c r="T6359" s="270">
        <v>15922</v>
      </c>
      <c r="U6359" s="271" t="s">
        <v>3945</v>
      </c>
      <c r="V6359" s="267" t="s">
        <v>944</v>
      </c>
    </row>
    <row r="6360" spans="1:22" hidden="1" x14ac:dyDescent="0.25">
      <c r="A6360" s="266">
        <v>43761</v>
      </c>
      <c r="B6360" s="267">
        <v>2019</v>
      </c>
      <c r="C6360" s="267">
        <v>2020</v>
      </c>
      <c r="D6360" s="267">
        <v>1</v>
      </c>
      <c r="E6360" s="267">
        <v>1</v>
      </c>
      <c r="F6360" s="267" t="s">
        <v>944</v>
      </c>
      <c r="G6360" s="267" t="s">
        <v>3926</v>
      </c>
      <c r="H6360" s="267" t="s">
        <v>11106</v>
      </c>
      <c r="I6360" s="267" t="s">
        <v>4220</v>
      </c>
      <c r="J6360" s="267" t="s">
        <v>3928</v>
      </c>
      <c r="K6360" s="267">
        <v>6455</v>
      </c>
      <c r="L6360" s="267">
        <v>580100</v>
      </c>
      <c r="M6360" s="267" t="s">
        <v>3960</v>
      </c>
      <c r="N6360" s="267" t="s">
        <v>3944</v>
      </c>
      <c r="O6360" s="267">
        <v>2203.39</v>
      </c>
      <c r="P6360" s="267" t="s">
        <v>3944</v>
      </c>
      <c r="Q6360" s="267" t="s">
        <v>3944</v>
      </c>
      <c r="R6360" s="267">
        <v>2203.39</v>
      </c>
      <c r="S6360" s="267">
        <v>14661.61</v>
      </c>
      <c r="T6360" s="267">
        <v>16865</v>
      </c>
      <c r="U6360" s="268" t="s">
        <v>3945</v>
      </c>
      <c r="V6360" s="267" t="s">
        <v>944</v>
      </c>
    </row>
    <row r="6361" spans="1:22" x14ac:dyDescent="0.25">
      <c r="A6361" s="269">
        <v>43761</v>
      </c>
      <c r="B6361" s="270">
        <v>2019</v>
      </c>
      <c r="C6361" s="270">
        <v>2020</v>
      </c>
      <c r="D6361" s="270">
        <v>1</v>
      </c>
      <c r="E6361" s="270">
        <v>1</v>
      </c>
      <c r="F6361" s="270" t="s">
        <v>944</v>
      </c>
      <c r="G6361" s="270" t="s">
        <v>3926</v>
      </c>
      <c r="H6361" s="270" t="s">
        <v>11107</v>
      </c>
      <c r="I6361" s="270" t="s">
        <v>934</v>
      </c>
      <c r="J6361" s="270" t="s">
        <v>3928</v>
      </c>
      <c r="K6361" s="270">
        <v>6610</v>
      </c>
      <c r="L6361" s="270">
        <v>73700</v>
      </c>
      <c r="M6361" s="270">
        <v>-60</v>
      </c>
      <c r="N6361" s="270" t="s">
        <v>3944</v>
      </c>
      <c r="O6361" s="270">
        <v>1482.04</v>
      </c>
      <c r="P6361" s="270" t="s">
        <v>3944</v>
      </c>
      <c r="Q6361" s="270" t="s">
        <v>3944</v>
      </c>
      <c r="R6361" s="270">
        <v>1482.04</v>
      </c>
      <c r="S6361" s="270">
        <v>27559.89</v>
      </c>
      <c r="T6361" s="270">
        <v>29041.93</v>
      </c>
      <c r="U6361" s="271" t="s">
        <v>3945</v>
      </c>
      <c r="V6361" s="276" t="s">
        <v>936</v>
      </c>
    </row>
    <row r="6362" spans="1:22" hidden="1" x14ac:dyDescent="0.25">
      <c r="A6362" s="266">
        <v>43761</v>
      </c>
      <c r="B6362" s="267">
        <v>2019</v>
      </c>
      <c r="C6362" s="267">
        <v>2020</v>
      </c>
      <c r="D6362" s="267">
        <v>1</v>
      </c>
      <c r="E6362" s="267">
        <v>1</v>
      </c>
      <c r="F6362" s="267" t="s">
        <v>944</v>
      </c>
      <c r="G6362" s="267" t="s">
        <v>3926</v>
      </c>
      <c r="H6362" s="267" t="s">
        <v>11108</v>
      </c>
      <c r="I6362" s="267" t="s">
        <v>4323</v>
      </c>
      <c r="J6362" s="267" t="s">
        <v>3928</v>
      </c>
      <c r="K6362" s="267">
        <v>6375</v>
      </c>
      <c r="L6362" s="267">
        <v>693700</v>
      </c>
      <c r="M6362" s="267" t="s">
        <v>3943</v>
      </c>
      <c r="N6362" s="267" t="s">
        <v>3944</v>
      </c>
      <c r="O6362" s="267">
        <v>2419.27</v>
      </c>
      <c r="P6362" s="267" t="s">
        <v>3944</v>
      </c>
      <c r="Q6362" s="267" t="s">
        <v>3944</v>
      </c>
      <c r="R6362" s="267">
        <v>2419.27</v>
      </c>
      <c r="S6362" s="267">
        <v>17155.73</v>
      </c>
      <c r="T6362" s="267">
        <v>19575</v>
      </c>
      <c r="U6362" s="268" t="s">
        <v>3945</v>
      </c>
      <c r="V6362" s="267" t="s">
        <v>944</v>
      </c>
    </row>
    <row r="6363" spans="1:22" hidden="1" x14ac:dyDescent="0.25">
      <c r="A6363" s="269">
        <v>43761</v>
      </c>
      <c r="B6363" s="270">
        <v>2019</v>
      </c>
      <c r="C6363" s="270">
        <v>2020</v>
      </c>
      <c r="D6363" s="270">
        <v>1</v>
      </c>
      <c r="E6363" s="270">
        <v>1</v>
      </c>
      <c r="F6363" s="270" t="s">
        <v>944</v>
      </c>
      <c r="G6363" s="270" t="s">
        <v>3926</v>
      </c>
      <c r="H6363" s="270" t="s">
        <v>11109</v>
      </c>
      <c r="I6363" s="270" t="s">
        <v>4353</v>
      </c>
      <c r="J6363" s="270" t="s">
        <v>3928</v>
      </c>
      <c r="K6363" s="270">
        <v>6416</v>
      </c>
      <c r="L6363" s="270">
        <v>570100</v>
      </c>
      <c r="M6363" s="270" t="s">
        <v>3960</v>
      </c>
      <c r="N6363" s="270" t="s">
        <v>3944</v>
      </c>
      <c r="O6363" s="270">
        <v>1526.84</v>
      </c>
      <c r="P6363" s="270" t="s">
        <v>3944</v>
      </c>
      <c r="Q6363" s="270" t="s">
        <v>3944</v>
      </c>
      <c r="R6363" s="270">
        <v>1526.84</v>
      </c>
      <c r="S6363" s="270">
        <v>13441.16</v>
      </c>
      <c r="T6363" s="270">
        <v>14968</v>
      </c>
      <c r="U6363" s="271" t="s">
        <v>3945</v>
      </c>
      <c r="V6363" s="267" t="s">
        <v>944</v>
      </c>
    </row>
    <row r="6364" spans="1:22" hidden="1" x14ac:dyDescent="0.25">
      <c r="A6364" s="266">
        <v>43761</v>
      </c>
      <c r="B6364" s="267">
        <v>2019</v>
      </c>
      <c r="C6364" s="267">
        <v>2020</v>
      </c>
      <c r="D6364" s="267">
        <v>1</v>
      </c>
      <c r="E6364" s="267">
        <v>1</v>
      </c>
      <c r="F6364" s="267" t="s">
        <v>944</v>
      </c>
      <c r="G6364" s="267" t="s">
        <v>3926</v>
      </c>
      <c r="H6364" s="267" t="s">
        <v>11110</v>
      </c>
      <c r="I6364" s="267" t="s">
        <v>4005</v>
      </c>
      <c r="J6364" s="267" t="s">
        <v>3928</v>
      </c>
      <c r="K6364" s="267">
        <v>6118</v>
      </c>
      <c r="L6364" s="267">
        <v>510900</v>
      </c>
      <c r="M6364" s="267" t="s">
        <v>3960</v>
      </c>
      <c r="N6364" s="267" t="s">
        <v>3944</v>
      </c>
      <c r="O6364" s="267">
        <v>790.79</v>
      </c>
      <c r="P6364" s="267" t="s">
        <v>3944</v>
      </c>
      <c r="Q6364" s="267" t="s">
        <v>3944</v>
      </c>
      <c r="R6364" s="267">
        <v>790.79</v>
      </c>
      <c r="S6364" s="267">
        <v>9866.2099999999991</v>
      </c>
      <c r="T6364" s="267">
        <v>10657</v>
      </c>
      <c r="U6364" s="268" t="s">
        <v>3945</v>
      </c>
      <c r="V6364" s="267" t="s">
        <v>944</v>
      </c>
    </row>
    <row r="6365" spans="1:22" hidden="1" x14ac:dyDescent="0.25">
      <c r="A6365" s="269">
        <v>43761</v>
      </c>
      <c r="B6365" s="270">
        <v>2019</v>
      </c>
      <c r="C6365" s="270">
        <v>2020</v>
      </c>
      <c r="D6365" s="270">
        <v>1</v>
      </c>
      <c r="E6365" s="270">
        <v>1</v>
      </c>
      <c r="F6365" s="270" t="s">
        <v>944</v>
      </c>
      <c r="G6365" s="270" t="s">
        <v>3926</v>
      </c>
      <c r="H6365" s="270" t="s">
        <v>11111</v>
      </c>
      <c r="I6365" s="270" t="s">
        <v>4016</v>
      </c>
      <c r="J6365" s="270" t="s">
        <v>3928</v>
      </c>
      <c r="K6365" s="270">
        <v>6770</v>
      </c>
      <c r="L6365" s="270">
        <v>345201</v>
      </c>
      <c r="M6365" s="270" t="s">
        <v>3935</v>
      </c>
      <c r="N6365" s="270" t="s">
        <v>3944</v>
      </c>
      <c r="O6365" s="270">
        <v>1133.02</v>
      </c>
      <c r="P6365" s="270" t="s">
        <v>3944</v>
      </c>
      <c r="Q6365" s="270" t="s">
        <v>3944</v>
      </c>
      <c r="R6365" s="270">
        <v>1133.02</v>
      </c>
      <c r="S6365" s="270">
        <v>11604.98</v>
      </c>
      <c r="T6365" s="270">
        <v>12738</v>
      </c>
      <c r="U6365" s="271" t="s">
        <v>3945</v>
      </c>
      <c r="V6365" s="267" t="s">
        <v>944</v>
      </c>
    </row>
    <row r="6366" spans="1:22" hidden="1" x14ac:dyDescent="0.25">
      <c r="A6366" s="266">
        <v>43761</v>
      </c>
      <c r="B6366" s="267">
        <v>2019</v>
      </c>
      <c r="C6366" s="267">
        <v>2020</v>
      </c>
      <c r="D6366" s="267">
        <v>1</v>
      </c>
      <c r="E6366" s="267">
        <v>1</v>
      </c>
      <c r="F6366" s="267" t="s">
        <v>944</v>
      </c>
      <c r="G6366" s="267" t="s">
        <v>3926</v>
      </c>
      <c r="H6366" s="267" t="s">
        <v>11112</v>
      </c>
      <c r="I6366" s="267" t="s">
        <v>4005</v>
      </c>
      <c r="J6366" s="267" t="s">
        <v>3928</v>
      </c>
      <c r="K6366" s="267">
        <v>6118</v>
      </c>
      <c r="L6366" s="267">
        <v>511000</v>
      </c>
      <c r="M6366" s="267" t="s">
        <v>3935</v>
      </c>
      <c r="N6366" s="267" t="s">
        <v>3944</v>
      </c>
      <c r="O6366" s="267">
        <v>1020.18</v>
      </c>
      <c r="P6366" s="267" t="s">
        <v>3944</v>
      </c>
      <c r="Q6366" s="267" t="s">
        <v>3944</v>
      </c>
      <c r="R6366" s="267">
        <v>1020.18</v>
      </c>
      <c r="S6366" s="267">
        <v>14676.82</v>
      </c>
      <c r="T6366" s="267">
        <v>15697</v>
      </c>
      <c r="U6366" s="268" t="s">
        <v>3945</v>
      </c>
      <c r="V6366" s="267" t="s">
        <v>944</v>
      </c>
    </row>
    <row r="6367" spans="1:22" hidden="1" x14ac:dyDescent="0.25">
      <c r="A6367" s="269">
        <v>43761</v>
      </c>
      <c r="B6367" s="270">
        <v>2019</v>
      </c>
      <c r="C6367" s="270">
        <v>2020</v>
      </c>
      <c r="D6367" s="270">
        <v>1</v>
      </c>
      <c r="E6367" s="270">
        <v>1</v>
      </c>
      <c r="F6367" s="270" t="s">
        <v>944</v>
      </c>
      <c r="G6367" s="270" t="s">
        <v>3926</v>
      </c>
      <c r="H6367" s="270" t="s">
        <v>11113</v>
      </c>
      <c r="I6367" s="270" t="s">
        <v>4069</v>
      </c>
      <c r="J6367" s="270" t="s">
        <v>3928</v>
      </c>
      <c r="K6367" s="270">
        <v>6907</v>
      </c>
      <c r="L6367" s="270">
        <v>21000</v>
      </c>
      <c r="M6367" s="270" t="s">
        <v>3943</v>
      </c>
      <c r="N6367" s="270" t="s">
        <v>3944</v>
      </c>
      <c r="O6367" s="270">
        <v>1579.31</v>
      </c>
      <c r="P6367" s="270" t="s">
        <v>3944</v>
      </c>
      <c r="Q6367" s="270" t="s">
        <v>3944</v>
      </c>
      <c r="R6367" s="270">
        <v>1579.31</v>
      </c>
      <c r="S6367" s="270">
        <v>20527.400000000001</v>
      </c>
      <c r="T6367" s="270">
        <v>22106.71</v>
      </c>
      <c r="U6367" s="271" t="s">
        <v>3945</v>
      </c>
      <c r="V6367" s="267" t="s">
        <v>944</v>
      </c>
    </row>
    <row r="6368" spans="1:22" hidden="1" x14ac:dyDescent="0.25">
      <c r="A6368" s="266">
        <v>43761</v>
      </c>
      <c r="B6368" s="267">
        <v>2019</v>
      </c>
      <c r="C6368" s="267">
        <v>2020</v>
      </c>
      <c r="D6368" s="267">
        <v>1</v>
      </c>
      <c r="E6368" s="267">
        <v>1</v>
      </c>
      <c r="F6368" s="267" t="s">
        <v>944</v>
      </c>
      <c r="G6368" s="267" t="s">
        <v>3926</v>
      </c>
      <c r="H6368" s="267" t="s">
        <v>11114</v>
      </c>
      <c r="I6368" s="267" t="s">
        <v>3009</v>
      </c>
      <c r="J6368" s="267" t="s">
        <v>3928</v>
      </c>
      <c r="K6368" s="267">
        <v>6484</v>
      </c>
      <c r="L6368" s="267">
        <v>110500</v>
      </c>
      <c r="M6368" s="267" t="s">
        <v>3943</v>
      </c>
      <c r="N6368" s="267" t="s">
        <v>3944</v>
      </c>
      <c r="O6368" s="267">
        <v>2216.2399999999998</v>
      </c>
      <c r="P6368" s="267" t="s">
        <v>3944</v>
      </c>
      <c r="Q6368" s="267" t="s">
        <v>3944</v>
      </c>
      <c r="R6368" s="267">
        <v>2216.2399999999998</v>
      </c>
      <c r="S6368" s="267">
        <v>19938.759999999998</v>
      </c>
      <c r="T6368" s="267">
        <v>22155</v>
      </c>
      <c r="U6368" s="268" t="s">
        <v>3945</v>
      </c>
      <c r="V6368" s="267" t="s">
        <v>944</v>
      </c>
    </row>
    <row r="6369" spans="1:22" hidden="1" x14ac:dyDescent="0.25">
      <c r="A6369" s="269">
        <v>43761</v>
      </c>
      <c r="B6369" s="270">
        <v>2019</v>
      </c>
      <c r="C6369" s="270">
        <v>2020</v>
      </c>
      <c r="D6369" s="270">
        <v>1</v>
      </c>
      <c r="E6369" s="270">
        <v>1</v>
      </c>
      <c r="F6369" s="270" t="s">
        <v>944</v>
      </c>
      <c r="G6369" s="270" t="s">
        <v>3926</v>
      </c>
      <c r="H6369" s="270" t="s">
        <v>11115</v>
      </c>
      <c r="I6369" s="270" t="s">
        <v>4087</v>
      </c>
      <c r="J6369" s="270" t="s">
        <v>3928</v>
      </c>
      <c r="K6369" s="270">
        <v>6355</v>
      </c>
      <c r="L6369" s="270">
        <v>703000</v>
      </c>
      <c r="M6369" s="270" t="s">
        <v>3960</v>
      </c>
      <c r="N6369" s="270" t="s">
        <v>3944</v>
      </c>
      <c r="O6369" s="270">
        <v>1598.21</v>
      </c>
      <c r="P6369" s="270" t="s">
        <v>3944</v>
      </c>
      <c r="Q6369" s="270" t="s">
        <v>3944</v>
      </c>
      <c r="R6369" s="270">
        <v>1598.21</v>
      </c>
      <c r="S6369" s="270">
        <v>14300.79</v>
      </c>
      <c r="T6369" s="270">
        <v>15899</v>
      </c>
      <c r="U6369" s="271" t="s">
        <v>3945</v>
      </c>
      <c r="V6369" s="267" t="s">
        <v>944</v>
      </c>
    </row>
    <row r="6370" spans="1:22" hidden="1" x14ac:dyDescent="0.25">
      <c r="A6370" s="266">
        <v>43762</v>
      </c>
      <c r="B6370" s="267">
        <v>2019</v>
      </c>
      <c r="C6370" s="267">
        <v>2020</v>
      </c>
      <c r="D6370" s="267">
        <v>1</v>
      </c>
      <c r="E6370" s="267">
        <v>1</v>
      </c>
      <c r="F6370" s="267" t="s">
        <v>944</v>
      </c>
      <c r="G6370" s="267" t="s">
        <v>3926</v>
      </c>
      <c r="H6370" s="267" t="s">
        <v>11116</v>
      </c>
      <c r="I6370" s="267" t="s">
        <v>3949</v>
      </c>
      <c r="J6370" s="267" t="s">
        <v>3928</v>
      </c>
      <c r="K6370" s="267">
        <v>6437</v>
      </c>
      <c r="L6370" s="267">
        <v>190302</v>
      </c>
      <c r="M6370" s="267" t="s">
        <v>3943</v>
      </c>
      <c r="N6370" s="267" t="s">
        <v>11117</v>
      </c>
      <c r="O6370" s="267">
        <v>0</v>
      </c>
      <c r="P6370" s="267" t="s">
        <v>3930</v>
      </c>
      <c r="Q6370" s="267" t="s">
        <v>3930</v>
      </c>
      <c r="R6370" s="267">
        <v>0</v>
      </c>
      <c r="S6370" s="267">
        <v>5760</v>
      </c>
      <c r="T6370" s="267">
        <v>5760</v>
      </c>
      <c r="U6370" s="268" t="s">
        <v>3937</v>
      </c>
      <c r="V6370" s="267" t="s">
        <v>944</v>
      </c>
    </row>
    <row r="6371" spans="1:22" hidden="1" x14ac:dyDescent="0.25">
      <c r="A6371" s="269">
        <v>43762</v>
      </c>
      <c r="B6371" s="270">
        <v>2019</v>
      </c>
      <c r="C6371" s="270">
        <v>2020</v>
      </c>
      <c r="D6371" s="270">
        <v>1</v>
      </c>
      <c r="E6371" s="270">
        <v>1</v>
      </c>
      <c r="F6371" s="270" t="s">
        <v>944</v>
      </c>
      <c r="G6371" s="270" t="s">
        <v>3926</v>
      </c>
      <c r="H6371" s="270" t="s">
        <v>11118</v>
      </c>
      <c r="I6371" s="270" t="s">
        <v>4269</v>
      </c>
      <c r="J6371" s="270" t="s">
        <v>3928</v>
      </c>
      <c r="K6371" s="270">
        <v>6117</v>
      </c>
      <c r="L6371" s="270">
        <v>497500</v>
      </c>
      <c r="M6371" s="270" t="s">
        <v>3960</v>
      </c>
      <c r="N6371" s="270" t="s">
        <v>11119</v>
      </c>
      <c r="O6371" s="270">
        <v>0</v>
      </c>
      <c r="P6371" s="270" t="s">
        <v>3930</v>
      </c>
      <c r="Q6371" s="270" t="s">
        <v>3930</v>
      </c>
      <c r="R6371" s="270">
        <v>0</v>
      </c>
      <c r="S6371" s="270">
        <v>4250</v>
      </c>
      <c r="T6371" s="270">
        <v>4250</v>
      </c>
      <c r="U6371" s="271" t="s">
        <v>3937</v>
      </c>
      <c r="V6371" s="267" t="s">
        <v>944</v>
      </c>
    </row>
    <row r="6372" spans="1:22" hidden="1" x14ac:dyDescent="0.25">
      <c r="A6372" s="266">
        <v>43762</v>
      </c>
      <c r="B6372" s="267">
        <v>2019</v>
      </c>
      <c r="C6372" s="267">
        <v>2020</v>
      </c>
      <c r="D6372" s="267">
        <v>1</v>
      </c>
      <c r="E6372" s="267">
        <v>1</v>
      </c>
      <c r="F6372" s="267" t="s">
        <v>944</v>
      </c>
      <c r="G6372" s="267" t="s">
        <v>3926</v>
      </c>
      <c r="H6372" s="267" t="s">
        <v>11120</v>
      </c>
      <c r="I6372" s="267" t="s">
        <v>4046</v>
      </c>
      <c r="J6372" s="267" t="s">
        <v>3928</v>
      </c>
      <c r="K6372" s="267">
        <v>6282</v>
      </c>
      <c r="L6372" s="267">
        <v>901100</v>
      </c>
      <c r="M6372" s="267" t="s">
        <v>3960</v>
      </c>
      <c r="N6372" s="267" t="s">
        <v>11121</v>
      </c>
      <c r="O6372" s="267">
        <v>2902</v>
      </c>
      <c r="P6372" s="267" t="s">
        <v>3930</v>
      </c>
      <c r="Q6372" s="267" t="s">
        <v>3930</v>
      </c>
      <c r="R6372" s="267">
        <v>2902</v>
      </c>
      <c r="S6372" s="267">
        <v>21325</v>
      </c>
      <c r="T6372" s="267">
        <v>24227</v>
      </c>
      <c r="U6372" s="268" t="s">
        <v>3937</v>
      </c>
      <c r="V6372" s="267" t="s">
        <v>944</v>
      </c>
    </row>
    <row r="6373" spans="1:22" hidden="1" x14ac:dyDescent="0.25">
      <c r="A6373" s="269">
        <v>43762</v>
      </c>
      <c r="B6373" s="270">
        <v>2019</v>
      </c>
      <c r="C6373" s="270">
        <v>2020</v>
      </c>
      <c r="D6373" s="270">
        <v>1</v>
      </c>
      <c r="E6373" s="270">
        <v>1</v>
      </c>
      <c r="F6373" s="270" t="s">
        <v>944</v>
      </c>
      <c r="G6373" s="270" t="s">
        <v>3926</v>
      </c>
      <c r="H6373" s="270" t="s">
        <v>11122</v>
      </c>
      <c r="I6373" s="270" t="s">
        <v>4079</v>
      </c>
      <c r="J6373" s="270" t="s">
        <v>3928</v>
      </c>
      <c r="K6373" s="270">
        <v>6111</v>
      </c>
      <c r="L6373" s="270">
        <v>494100</v>
      </c>
      <c r="M6373" s="270" t="s">
        <v>3935</v>
      </c>
      <c r="N6373" s="270" t="s">
        <v>11123</v>
      </c>
      <c r="O6373" s="270">
        <v>3012</v>
      </c>
      <c r="P6373" s="270" t="s">
        <v>3930</v>
      </c>
      <c r="Q6373" s="270" t="s">
        <v>3930</v>
      </c>
      <c r="R6373" s="270">
        <v>3012</v>
      </c>
      <c r="S6373" s="270">
        <v>13472</v>
      </c>
      <c r="T6373" s="270">
        <v>16484</v>
      </c>
      <c r="U6373" s="271" t="s">
        <v>3937</v>
      </c>
      <c r="V6373" s="267" t="s">
        <v>944</v>
      </c>
    </row>
    <row r="6374" spans="1:22" hidden="1" x14ac:dyDescent="0.25">
      <c r="A6374" s="266">
        <v>43762</v>
      </c>
      <c r="B6374" s="267">
        <v>2019</v>
      </c>
      <c r="C6374" s="267">
        <v>2020</v>
      </c>
      <c r="D6374" s="267">
        <v>1</v>
      </c>
      <c r="E6374" s="267">
        <v>1</v>
      </c>
      <c r="F6374" s="267" t="s">
        <v>944</v>
      </c>
      <c r="G6374" s="267" t="s">
        <v>3926</v>
      </c>
      <c r="H6374" s="267" t="s">
        <v>11124</v>
      </c>
      <c r="I6374" s="267" t="s">
        <v>956</v>
      </c>
      <c r="J6374" s="267" t="s">
        <v>3928</v>
      </c>
      <c r="K6374" s="267">
        <v>6614</v>
      </c>
      <c r="L6374" s="267">
        <v>81300</v>
      </c>
      <c r="M6374" s="267" t="s">
        <v>3935</v>
      </c>
      <c r="N6374" s="267" t="s">
        <v>3944</v>
      </c>
      <c r="O6374" s="267">
        <v>1893</v>
      </c>
      <c r="P6374" s="267" t="s">
        <v>3944</v>
      </c>
      <c r="Q6374" s="267" t="s">
        <v>3944</v>
      </c>
      <c r="R6374" s="267">
        <v>1893</v>
      </c>
      <c r="S6374" s="267">
        <v>16849.5</v>
      </c>
      <c r="T6374" s="267">
        <v>18742.5</v>
      </c>
      <c r="U6374" s="268" t="s">
        <v>3945</v>
      </c>
      <c r="V6374" s="267" t="s">
        <v>944</v>
      </c>
    </row>
    <row r="6375" spans="1:22" hidden="1" x14ac:dyDescent="0.25">
      <c r="A6375" s="269">
        <v>43762</v>
      </c>
      <c r="B6375" s="270">
        <v>2019</v>
      </c>
      <c r="C6375" s="270">
        <v>2020</v>
      </c>
      <c r="D6375" s="270">
        <v>1</v>
      </c>
      <c r="E6375" s="270">
        <v>1</v>
      </c>
      <c r="F6375" s="270" t="s">
        <v>944</v>
      </c>
      <c r="G6375" s="270" t="s">
        <v>3926</v>
      </c>
      <c r="H6375" s="270" t="s">
        <v>11125</v>
      </c>
      <c r="I6375" s="270" t="s">
        <v>3025</v>
      </c>
      <c r="J6375" s="270" t="s">
        <v>3928</v>
      </c>
      <c r="K6375" s="270">
        <v>6473</v>
      </c>
      <c r="L6375" s="270">
        <v>167300</v>
      </c>
      <c r="M6375" s="270" t="s">
        <v>3943</v>
      </c>
      <c r="N6375" s="270" t="s">
        <v>3944</v>
      </c>
      <c r="O6375" s="270">
        <v>4928</v>
      </c>
      <c r="P6375" s="270" t="s">
        <v>3944</v>
      </c>
      <c r="Q6375" s="270" t="s">
        <v>3944</v>
      </c>
      <c r="R6375" s="270">
        <v>4928</v>
      </c>
      <c r="S6375" s="270">
        <v>28150</v>
      </c>
      <c r="T6375" s="270">
        <v>33078</v>
      </c>
      <c r="U6375" s="271" t="s">
        <v>3945</v>
      </c>
      <c r="V6375" s="267" t="s">
        <v>944</v>
      </c>
    </row>
    <row r="6376" spans="1:22" hidden="1" x14ac:dyDescent="0.25">
      <c r="A6376" s="266">
        <v>43762</v>
      </c>
      <c r="B6376" s="267">
        <v>2019</v>
      </c>
      <c r="C6376" s="267">
        <v>2020</v>
      </c>
      <c r="D6376" s="267">
        <v>1</v>
      </c>
      <c r="E6376" s="267">
        <v>1</v>
      </c>
      <c r="F6376" s="267" t="s">
        <v>944</v>
      </c>
      <c r="G6376" s="267" t="s">
        <v>3926</v>
      </c>
      <c r="H6376" s="267" t="s">
        <v>11126</v>
      </c>
      <c r="I6376" s="267" t="s">
        <v>956</v>
      </c>
      <c r="J6376" s="267" t="s">
        <v>3928</v>
      </c>
      <c r="K6376" s="267">
        <v>6614</v>
      </c>
      <c r="L6376" s="267">
        <v>81000</v>
      </c>
      <c r="M6376" s="267" t="s">
        <v>3940</v>
      </c>
      <c r="N6376" s="267" t="s">
        <v>3944</v>
      </c>
      <c r="O6376" s="267">
        <v>1947.05</v>
      </c>
      <c r="P6376" s="267" t="s">
        <v>3944</v>
      </c>
      <c r="Q6376" s="267" t="s">
        <v>3944</v>
      </c>
      <c r="R6376" s="267">
        <v>1947.05</v>
      </c>
      <c r="S6376" s="267">
        <v>27008.34</v>
      </c>
      <c r="T6376" s="267">
        <v>28955.39</v>
      </c>
      <c r="U6376" s="268" t="s">
        <v>3945</v>
      </c>
      <c r="V6376" s="267" t="s">
        <v>944</v>
      </c>
    </row>
    <row r="6377" spans="1:22" hidden="1" x14ac:dyDescent="0.25">
      <c r="A6377" s="269">
        <v>43762</v>
      </c>
      <c r="B6377" s="270">
        <v>2019</v>
      </c>
      <c r="C6377" s="270">
        <v>2020</v>
      </c>
      <c r="D6377" s="270">
        <v>1</v>
      </c>
      <c r="E6377" s="270">
        <v>1</v>
      </c>
      <c r="F6377" s="270" t="s">
        <v>944</v>
      </c>
      <c r="G6377" s="270" t="s">
        <v>3926</v>
      </c>
      <c r="H6377" s="270" t="s">
        <v>11127</v>
      </c>
      <c r="I6377" s="270" t="s">
        <v>4065</v>
      </c>
      <c r="J6377" s="270" t="s">
        <v>3928</v>
      </c>
      <c r="K6377" s="270">
        <v>6480</v>
      </c>
      <c r="L6377" s="270">
        <v>560200</v>
      </c>
      <c r="M6377" s="270" t="s">
        <v>3935</v>
      </c>
      <c r="N6377" s="270" t="s">
        <v>3944</v>
      </c>
      <c r="O6377" s="270">
        <v>2324.2800000000002</v>
      </c>
      <c r="P6377" s="270" t="s">
        <v>3944</v>
      </c>
      <c r="Q6377" s="270" t="s">
        <v>3944</v>
      </c>
      <c r="R6377" s="270">
        <v>2324.2800000000002</v>
      </c>
      <c r="S6377" s="270">
        <v>31036.36</v>
      </c>
      <c r="T6377" s="270">
        <v>33360.639999999999</v>
      </c>
      <c r="U6377" s="271" t="s">
        <v>3945</v>
      </c>
      <c r="V6377" s="267" t="s">
        <v>944</v>
      </c>
    </row>
    <row r="6378" spans="1:22" hidden="1" x14ac:dyDescent="0.25">
      <c r="A6378" s="266">
        <v>43762</v>
      </c>
      <c r="B6378" s="267">
        <v>2019</v>
      </c>
      <c r="C6378" s="267">
        <v>2020</v>
      </c>
      <c r="D6378" s="267">
        <v>1</v>
      </c>
      <c r="E6378" s="267">
        <v>1</v>
      </c>
      <c r="F6378" s="267" t="s">
        <v>944</v>
      </c>
      <c r="G6378" s="267" t="s">
        <v>3926</v>
      </c>
      <c r="H6378" s="267" t="s">
        <v>11128</v>
      </c>
      <c r="I6378" s="267" t="s">
        <v>3999</v>
      </c>
      <c r="J6378" s="267" t="s">
        <v>3928</v>
      </c>
      <c r="K6378" s="267">
        <v>6451</v>
      </c>
      <c r="L6378" s="267">
        <v>170500</v>
      </c>
      <c r="M6378" s="267" t="s">
        <v>3935</v>
      </c>
      <c r="N6378" s="267" t="s">
        <v>3944</v>
      </c>
      <c r="O6378" s="267">
        <v>1336.48</v>
      </c>
      <c r="P6378" s="267" t="s">
        <v>3944</v>
      </c>
      <c r="Q6378" s="267" t="s">
        <v>3944</v>
      </c>
      <c r="R6378" s="267">
        <v>1336.48</v>
      </c>
      <c r="S6378" s="267">
        <v>14537.12</v>
      </c>
      <c r="T6378" s="267">
        <v>15873.6</v>
      </c>
      <c r="U6378" s="268" t="s">
        <v>3945</v>
      </c>
      <c r="V6378" s="267" t="s">
        <v>944</v>
      </c>
    </row>
    <row r="6379" spans="1:22" hidden="1" x14ac:dyDescent="0.25">
      <c r="A6379" s="269">
        <v>43762</v>
      </c>
      <c r="B6379" s="270">
        <v>2019</v>
      </c>
      <c r="C6379" s="270">
        <v>2020</v>
      </c>
      <c r="D6379" s="270">
        <v>1</v>
      </c>
      <c r="E6379" s="270">
        <v>1</v>
      </c>
      <c r="F6379" s="270" t="s">
        <v>944</v>
      </c>
      <c r="G6379" s="270" t="s">
        <v>3926</v>
      </c>
      <c r="H6379" s="270" t="s">
        <v>11129</v>
      </c>
      <c r="I6379" s="270" t="s">
        <v>4213</v>
      </c>
      <c r="J6379" s="270" t="s">
        <v>3928</v>
      </c>
      <c r="K6379" s="270">
        <v>6051</v>
      </c>
      <c r="L6379" s="270">
        <v>415700</v>
      </c>
      <c r="M6379" s="270">
        <v>-60</v>
      </c>
      <c r="N6379" s="270" t="s">
        <v>3944</v>
      </c>
      <c r="O6379" s="270">
        <v>3269.6</v>
      </c>
      <c r="P6379" s="270" t="s">
        <v>3944</v>
      </c>
      <c r="Q6379" s="270" t="s">
        <v>3944</v>
      </c>
      <c r="R6379" s="270">
        <v>3269.6</v>
      </c>
      <c r="S6379" s="270">
        <v>47525.919999999998</v>
      </c>
      <c r="T6379" s="270">
        <v>50795.519999999997</v>
      </c>
      <c r="U6379" s="271" t="s">
        <v>3945</v>
      </c>
      <c r="V6379" s="267" t="s">
        <v>944</v>
      </c>
    </row>
    <row r="6380" spans="1:22" hidden="1" x14ac:dyDescent="0.25">
      <c r="A6380" s="266">
        <v>43762</v>
      </c>
      <c r="B6380" s="267">
        <v>2019</v>
      </c>
      <c r="C6380" s="267">
        <v>2020</v>
      </c>
      <c r="D6380" s="267">
        <v>1</v>
      </c>
      <c r="E6380" s="267">
        <v>1</v>
      </c>
      <c r="F6380" s="267" t="s">
        <v>944</v>
      </c>
      <c r="G6380" s="267" t="s">
        <v>3926</v>
      </c>
      <c r="H6380" s="267" t="s">
        <v>11130</v>
      </c>
      <c r="I6380" s="267" t="s">
        <v>4947</v>
      </c>
      <c r="J6380" s="267" t="s">
        <v>3928</v>
      </c>
      <c r="K6380" s="267">
        <v>6787</v>
      </c>
      <c r="L6380" s="267">
        <v>349200</v>
      </c>
      <c r="M6380" s="267" t="s">
        <v>3940</v>
      </c>
      <c r="N6380" s="267" t="s">
        <v>3944</v>
      </c>
      <c r="O6380" s="267">
        <v>1862.84</v>
      </c>
      <c r="P6380" s="267" t="s">
        <v>3944</v>
      </c>
      <c r="Q6380" s="267" t="s">
        <v>3944</v>
      </c>
      <c r="R6380" s="267">
        <v>1862.84</v>
      </c>
      <c r="S6380" s="267">
        <v>26711.53</v>
      </c>
      <c r="T6380" s="267">
        <v>28574.37</v>
      </c>
      <c r="U6380" s="268" t="s">
        <v>3945</v>
      </c>
      <c r="V6380" s="267" t="s">
        <v>944</v>
      </c>
    </row>
    <row r="6381" spans="1:22" x14ac:dyDescent="0.25">
      <c r="A6381" s="269">
        <v>43762</v>
      </c>
      <c r="B6381" s="270">
        <v>2019</v>
      </c>
      <c r="C6381" s="270">
        <v>2020</v>
      </c>
      <c r="D6381" s="270">
        <v>1</v>
      </c>
      <c r="E6381" s="270">
        <v>1</v>
      </c>
      <c r="F6381" s="270" t="s">
        <v>944</v>
      </c>
      <c r="G6381" s="270" t="s">
        <v>3926</v>
      </c>
      <c r="H6381" s="270" t="s">
        <v>11131</v>
      </c>
      <c r="I6381" s="270" t="s">
        <v>934</v>
      </c>
      <c r="J6381" s="270" t="s">
        <v>3928</v>
      </c>
      <c r="K6381" s="270">
        <v>6607</v>
      </c>
      <c r="L6381" s="270">
        <v>74400</v>
      </c>
      <c r="M6381" s="270">
        <v>-60</v>
      </c>
      <c r="N6381" s="270" t="s">
        <v>3944</v>
      </c>
      <c r="O6381" s="270">
        <v>1577.87</v>
      </c>
      <c r="P6381" s="270" t="s">
        <v>3944</v>
      </c>
      <c r="Q6381" s="270" t="s">
        <v>3944</v>
      </c>
      <c r="R6381" s="270">
        <v>1577.87</v>
      </c>
      <c r="S6381" s="270">
        <v>25322.58</v>
      </c>
      <c r="T6381" s="270">
        <v>26900.45</v>
      </c>
      <c r="U6381" s="271" t="s">
        <v>3945</v>
      </c>
      <c r="V6381" s="276" t="s">
        <v>936</v>
      </c>
    </row>
    <row r="6382" spans="1:22" hidden="1" x14ac:dyDescent="0.25">
      <c r="A6382" s="266">
        <v>43762</v>
      </c>
      <c r="B6382" s="267">
        <v>2019</v>
      </c>
      <c r="C6382" s="267">
        <v>2020</v>
      </c>
      <c r="D6382" s="267">
        <v>1</v>
      </c>
      <c r="E6382" s="267">
        <v>1</v>
      </c>
      <c r="F6382" s="267" t="s">
        <v>944</v>
      </c>
      <c r="G6382" s="267" t="s">
        <v>3926</v>
      </c>
      <c r="H6382" s="267" t="s">
        <v>11132</v>
      </c>
      <c r="I6382" s="267" t="s">
        <v>3996</v>
      </c>
      <c r="J6382" s="267" t="s">
        <v>3928</v>
      </c>
      <c r="K6382" s="267">
        <v>6790</v>
      </c>
      <c r="L6382" s="267">
        <v>310400</v>
      </c>
      <c r="M6382" s="267" t="s">
        <v>3935</v>
      </c>
      <c r="N6382" s="267" t="s">
        <v>3944</v>
      </c>
      <c r="O6382" s="267">
        <v>1383.76</v>
      </c>
      <c r="P6382" s="267" t="s">
        <v>3944</v>
      </c>
      <c r="Q6382" s="267" t="s">
        <v>3944</v>
      </c>
      <c r="R6382" s="267">
        <v>1383.76</v>
      </c>
      <c r="S6382" s="267">
        <v>16704.25</v>
      </c>
      <c r="T6382" s="267">
        <v>18088.009999999998</v>
      </c>
      <c r="U6382" s="268" t="s">
        <v>3945</v>
      </c>
      <c r="V6382" s="267" t="s">
        <v>944</v>
      </c>
    </row>
    <row r="6383" spans="1:22" hidden="1" x14ac:dyDescent="0.25">
      <c r="A6383" s="269">
        <v>43762</v>
      </c>
      <c r="B6383" s="270">
        <v>2019</v>
      </c>
      <c r="C6383" s="270">
        <v>2020</v>
      </c>
      <c r="D6383" s="270">
        <v>1</v>
      </c>
      <c r="E6383" s="270">
        <v>1</v>
      </c>
      <c r="F6383" s="270" t="s">
        <v>944</v>
      </c>
      <c r="G6383" s="270" t="s">
        <v>3926</v>
      </c>
      <c r="H6383" s="270" t="s">
        <v>11133</v>
      </c>
      <c r="I6383" s="270" t="s">
        <v>3996</v>
      </c>
      <c r="J6383" s="270" t="s">
        <v>3928</v>
      </c>
      <c r="K6383" s="270">
        <v>6790</v>
      </c>
      <c r="L6383" s="270">
        <v>310803</v>
      </c>
      <c r="M6383" s="270">
        <v>-60</v>
      </c>
      <c r="N6383" s="270" t="s">
        <v>3944</v>
      </c>
      <c r="O6383" s="270">
        <v>1933.16</v>
      </c>
      <c r="P6383" s="270" t="s">
        <v>3944</v>
      </c>
      <c r="Q6383" s="270" t="s">
        <v>3944</v>
      </c>
      <c r="R6383" s="270">
        <v>1933.16</v>
      </c>
      <c r="S6383" s="270">
        <v>25980.55</v>
      </c>
      <c r="T6383" s="270">
        <v>27913.71</v>
      </c>
      <c r="U6383" s="271" t="s">
        <v>3945</v>
      </c>
      <c r="V6383" s="267" t="s">
        <v>944</v>
      </c>
    </row>
    <row r="6384" spans="1:22" hidden="1" x14ac:dyDescent="0.25">
      <c r="A6384" s="266">
        <v>43762</v>
      </c>
      <c r="B6384" s="267">
        <v>2019</v>
      </c>
      <c r="C6384" s="267">
        <v>2020</v>
      </c>
      <c r="D6384" s="267">
        <v>1</v>
      </c>
      <c r="E6384" s="267">
        <v>1</v>
      </c>
      <c r="F6384" s="267" t="s">
        <v>944</v>
      </c>
      <c r="G6384" s="267" t="s">
        <v>3926</v>
      </c>
      <c r="H6384" s="267" t="s">
        <v>11134</v>
      </c>
      <c r="I6384" s="267" t="s">
        <v>4392</v>
      </c>
      <c r="J6384" s="267" t="s">
        <v>3928</v>
      </c>
      <c r="K6384" s="267">
        <v>6457</v>
      </c>
      <c r="L6384" s="267">
        <v>680200</v>
      </c>
      <c r="M6384" s="267" t="s">
        <v>3935</v>
      </c>
      <c r="N6384" s="267" t="s">
        <v>3944</v>
      </c>
      <c r="O6384" s="267">
        <v>4051.5</v>
      </c>
      <c r="P6384" s="267" t="s">
        <v>3944</v>
      </c>
      <c r="Q6384" s="267" t="s">
        <v>3944</v>
      </c>
      <c r="R6384" s="267">
        <v>4051.5</v>
      </c>
      <c r="S6384" s="267">
        <v>48148.2</v>
      </c>
      <c r="T6384" s="267">
        <v>52199.7</v>
      </c>
      <c r="U6384" s="268" t="s">
        <v>3945</v>
      </c>
      <c r="V6384" s="267" t="s">
        <v>944</v>
      </c>
    </row>
    <row r="6385" spans="1:22" hidden="1" x14ac:dyDescent="0.25">
      <c r="A6385" s="269">
        <v>43762</v>
      </c>
      <c r="B6385" s="270">
        <v>2019</v>
      </c>
      <c r="C6385" s="270">
        <v>2020</v>
      </c>
      <c r="D6385" s="270">
        <v>1</v>
      </c>
      <c r="E6385" s="270">
        <v>1</v>
      </c>
      <c r="F6385" s="270" t="s">
        <v>944</v>
      </c>
      <c r="G6385" s="270" t="s">
        <v>3926</v>
      </c>
      <c r="H6385" s="270" t="s">
        <v>11135</v>
      </c>
      <c r="I6385" s="270" t="s">
        <v>934</v>
      </c>
      <c r="J6385" s="270" t="s">
        <v>3928</v>
      </c>
      <c r="K6385" s="270">
        <v>6606</v>
      </c>
      <c r="L6385" s="270">
        <v>72300</v>
      </c>
      <c r="M6385" s="270" t="s">
        <v>3940</v>
      </c>
      <c r="N6385" s="270" t="s">
        <v>3944</v>
      </c>
      <c r="O6385" s="270">
        <v>1280.48</v>
      </c>
      <c r="P6385" s="270" t="s">
        <v>3944</v>
      </c>
      <c r="Q6385" s="270" t="s">
        <v>3944</v>
      </c>
      <c r="R6385" s="270">
        <v>1280.48</v>
      </c>
      <c r="S6385" s="270">
        <v>17282.939999999999</v>
      </c>
      <c r="T6385" s="270">
        <v>18563.419999999998</v>
      </c>
      <c r="U6385" s="271" t="s">
        <v>3945</v>
      </c>
      <c r="V6385" s="267" t="s">
        <v>944</v>
      </c>
    </row>
    <row r="6386" spans="1:22" hidden="1" x14ac:dyDescent="0.25">
      <c r="A6386" s="266">
        <v>43762</v>
      </c>
      <c r="B6386" s="267">
        <v>2019</v>
      </c>
      <c r="C6386" s="267">
        <v>2020</v>
      </c>
      <c r="D6386" s="267">
        <v>1</v>
      </c>
      <c r="E6386" s="267">
        <v>1</v>
      </c>
      <c r="F6386" s="267" t="s">
        <v>944</v>
      </c>
      <c r="G6386" s="267" t="s">
        <v>3926</v>
      </c>
      <c r="H6386" s="267" t="s">
        <v>11136</v>
      </c>
      <c r="I6386" s="267" t="s">
        <v>3975</v>
      </c>
      <c r="J6386" s="267" t="s">
        <v>3928</v>
      </c>
      <c r="K6386" s="267">
        <v>6489</v>
      </c>
      <c r="L6386" s="267">
        <v>430602</v>
      </c>
      <c r="M6386" s="267" t="s">
        <v>3960</v>
      </c>
      <c r="N6386" s="267" t="s">
        <v>3944</v>
      </c>
      <c r="O6386" s="267">
        <v>1082.4100000000001</v>
      </c>
      <c r="P6386" s="267" t="s">
        <v>3944</v>
      </c>
      <c r="Q6386" s="267" t="s">
        <v>3944</v>
      </c>
      <c r="R6386" s="267">
        <v>1082.4100000000001</v>
      </c>
      <c r="S6386" s="267">
        <v>13685.83</v>
      </c>
      <c r="T6386" s="267">
        <v>14768.24</v>
      </c>
      <c r="U6386" s="268" t="s">
        <v>3945</v>
      </c>
      <c r="V6386" s="267" t="s">
        <v>944</v>
      </c>
    </row>
    <row r="6387" spans="1:22" hidden="1" x14ac:dyDescent="0.25">
      <c r="A6387" s="269">
        <v>43762</v>
      </c>
      <c r="B6387" s="270">
        <v>2019</v>
      </c>
      <c r="C6387" s="270">
        <v>2020</v>
      </c>
      <c r="D6387" s="270">
        <v>1</v>
      </c>
      <c r="E6387" s="270">
        <v>1</v>
      </c>
      <c r="F6387" s="270" t="s">
        <v>944</v>
      </c>
      <c r="G6387" s="270" t="s">
        <v>3926</v>
      </c>
      <c r="H6387" s="270" t="s">
        <v>11137</v>
      </c>
      <c r="I6387" s="270" t="s">
        <v>3962</v>
      </c>
      <c r="J6387" s="270" t="s">
        <v>3928</v>
      </c>
      <c r="K6387" s="270">
        <v>6379</v>
      </c>
      <c r="L6387" s="270">
        <v>705101</v>
      </c>
      <c r="M6387" s="270" t="s">
        <v>3935</v>
      </c>
      <c r="N6387" s="270" t="s">
        <v>3944</v>
      </c>
      <c r="O6387" s="270">
        <v>1829.45</v>
      </c>
      <c r="P6387" s="270" t="s">
        <v>3944</v>
      </c>
      <c r="Q6387" s="270" t="s">
        <v>3944</v>
      </c>
      <c r="R6387" s="270">
        <v>1829.45</v>
      </c>
      <c r="S6387" s="270">
        <v>22109.5</v>
      </c>
      <c r="T6387" s="270">
        <v>23938.95</v>
      </c>
      <c r="U6387" s="271" t="s">
        <v>3945</v>
      </c>
      <c r="V6387" s="267" t="s">
        <v>944</v>
      </c>
    </row>
    <row r="6388" spans="1:22" hidden="1" x14ac:dyDescent="0.25">
      <c r="A6388" s="266">
        <v>43762</v>
      </c>
      <c r="B6388" s="267">
        <v>2019</v>
      </c>
      <c r="C6388" s="267">
        <v>2020</v>
      </c>
      <c r="D6388" s="267">
        <v>1</v>
      </c>
      <c r="E6388" s="267">
        <v>1</v>
      </c>
      <c r="F6388" s="267" t="s">
        <v>944</v>
      </c>
      <c r="G6388" s="267" t="s">
        <v>3926</v>
      </c>
      <c r="H6388" s="267" t="s">
        <v>11138</v>
      </c>
      <c r="I6388" s="267" t="s">
        <v>3012</v>
      </c>
      <c r="J6388" s="267" t="s">
        <v>3928</v>
      </c>
      <c r="K6388" s="267">
        <v>6477</v>
      </c>
      <c r="L6388" s="267">
        <v>157200</v>
      </c>
      <c r="M6388" s="267" t="s">
        <v>3943</v>
      </c>
      <c r="N6388" s="267" t="s">
        <v>3944</v>
      </c>
      <c r="O6388" s="267">
        <v>3689.77</v>
      </c>
      <c r="P6388" s="267" t="s">
        <v>3944</v>
      </c>
      <c r="Q6388" s="267" t="s">
        <v>3944</v>
      </c>
      <c r="R6388" s="267">
        <v>3689.77</v>
      </c>
      <c r="S6388" s="267">
        <v>53779.88</v>
      </c>
      <c r="T6388" s="267">
        <v>57469.65</v>
      </c>
      <c r="U6388" s="268" t="s">
        <v>3945</v>
      </c>
      <c r="V6388" s="267" t="s">
        <v>944</v>
      </c>
    </row>
    <row r="6389" spans="1:22" hidden="1" x14ac:dyDescent="0.25">
      <c r="A6389" s="269">
        <v>43763</v>
      </c>
      <c r="B6389" s="270">
        <v>2019</v>
      </c>
      <c r="C6389" s="270">
        <v>2020</v>
      </c>
      <c r="D6389" s="270">
        <v>1</v>
      </c>
      <c r="E6389" s="270">
        <v>1</v>
      </c>
      <c r="F6389" s="270" t="s">
        <v>944</v>
      </c>
      <c r="G6389" s="270" t="s">
        <v>3926</v>
      </c>
      <c r="H6389" s="270" t="s">
        <v>11139</v>
      </c>
      <c r="I6389" s="270" t="s">
        <v>7934</v>
      </c>
      <c r="J6389" s="270" t="s">
        <v>3928</v>
      </c>
      <c r="K6389" s="270">
        <v>6098</v>
      </c>
      <c r="L6389" s="270">
        <v>320200</v>
      </c>
      <c r="M6389" s="270" t="s">
        <v>3935</v>
      </c>
      <c r="N6389" s="270" t="s">
        <v>11140</v>
      </c>
      <c r="O6389" s="270">
        <v>0</v>
      </c>
      <c r="P6389" s="270" t="s">
        <v>3930</v>
      </c>
      <c r="Q6389" s="270" t="s">
        <v>3930</v>
      </c>
      <c r="R6389" s="270">
        <v>0</v>
      </c>
      <c r="S6389" s="270">
        <v>13790</v>
      </c>
      <c r="T6389" s="270">
        <v>13790</v>
      </c>
      <c r="U6389" s="271" t="s">
        <v>3937</v>
      </c>
      <c r="V6389" s="267" t="s">
        <v>944</v>
      </c>
    </row>
    <row r="6390" spans="1:22" x14ac:dyDescent="0.25">
      <c r="A6390" s="266">
        <v>43763</v>
      </c>
      <c r="B6390" s="267">
        <v>2019</v>
      </c>
      <c r="C6390" s="267">
        <v>2020</v>
      </c>
      <c r="D6390" s="267">
        <v>1</v>
      </c>
      <c r="E6390" s="267">
        <v>1</v>
      </c>
      <c r="F6390" s="267" t="s">
        <v>944</v>
      </c>
      <c r="G6390" s="267" t="s">
        <v>3997</v>
      </c>
      <c r="H6390" s="267" t="s">
        <v>11141</v>
      </c>
      <c r="I6390" s="267" t="s">
        <v>934</v>
      </c>
      <c r="J6390" s="267" t="s">
        <v>3928</v>
      </c>
      <c r="K6390" s="267">
        <v>6608</v>
      </c>
      <c r="L6390" s="267">
        <v>73500</v>
      </c>
      <c r="M6390" s="267">
        <v>-60</v>
      </c>
      <c r="N6390" s="267" t="s">
        <v>8223</v>
      </c>
      <c r="O6390" s="267">
        <v>825.86</v>
      </c>
      <c r="P6390" s="267" t="s">
        <v>3930</v>
      </c>
      <c r="Q6390" s="267" t="s">
        <v>3931</v>
      </c>
      <c r="R6390" s="267">
        <v>5825.86</v>
      </c>
      <c r="S6390" s="267">
        <v>12702.4</v>
      </c>
      <c r="T6390" s="267">
        <v>18528.259999999998</v>
      </c>
      <c r="U6390" s="268" t="s">
        <v>3932</v>
      </c>
      <c r="V6390" s="276" t="s">
        <v>936</v>
      </c>
    </row>
    <row r="6391" spans="1:22" hidden="1" x14ac:dyDescent="0.25">
      <c r="A6391" s="269">
        <v>43763</v>
      </c>
      <c r="B6391" s="270">
        <v>2019</v>
      </c>
      <c r="C6391" s="270">
        <v>2020</v>
      </c>
      <c r="D6391" s="270">
        <v>1</v>
      </c>
      <c r="E6391" s="270">
        <v>1</v>
      </c>
      <c r="F6391" s="270" t="s">
        <v>944</v>
      </c>
      <c r="G6391" s="270" t="s">
        <v>3926</v>
      </c>
      <c r="H6391" s="270" t="s">
        <v>11142</v>
      </c>
      <c r="I6391" s="270" t="s">
        <v>953</v>
      </c>
      <c r="J6391" s="270" t="s">
        <v>3928</v>
      </c>
      <c r="K6391" s="270">
        <v>6517</v>
      </c>
      <c r="L6391" s="270">
        <v>165400</v>
      </c>
      <c r="M6391" s="270" t="s">
        <v>3935</v>
      </c>
      <c r="N6391" s="270" t="s">
        <v>11143</v>
      </c>
      <c r="O6391" s="270">
        <v>1774</v>
      </c>
      <c r="P6391" s="270" t="s">
        <v>3930</v>
      </c>
      <c r="Q6391" s="270" t="s">
        <v>3930</v>
      </c>
      <c r="R6391" s="270">
        <v>1774</v>
      </c>
      <c r="S6391" s="270">
        <v>10700</v>
      </c>
      <c r="T6391" s="270">
        <v>12474</v>
      </c>
      <c r="U6391" s="271" t="s">
        <v>3937</v>
      </c>
      <c r="V6391" s="267" t="s">
        <v>944</v>
      </c>
    </row>
    <row r="6392" spans="1:22" hidden="1" x14ac:dyDescent="0.25">
      <c r="A6392" s="266">
        <v>43763</v>
      </c>
      <c r="B6392" s="267">
        <v>2019</v>
      </c>
      <c r="C6392" s="267">
        <v>2020</v>
      </c>
      <c r="D6392" s="267">
        <v>1</v>
      </c>
      <c r="E6392" s="267">
        <v>1</v>
      </c>
      <c r="F6392" s="267" t="s">
        <v>944</v>
      </c>
      <c r="G6392" s="267" t="s">
        <v>3926</v>
      </c>
      <c r="H6392" s="267" t="s">
        <v>11144</v>
      </c>
      <c r="I6392" s="267" t="s">
        <v>4111</v>
      </c>
      <c r="J6392" s="267" t="s">
        <v>3928</v>
      </c>
      <c r="K6392" s="267">
        <v>6006</v>
      </c>
      <c r="L6392" s="267">
        <v>473501</v>
      </c>
      <c r="M6392" s="267" t="s">
        <v>3943</v>
      </c>
      <c r="N6392" s="267" t="s">
        <v>4103</v>
      </c>
      <c r="O6392" s="267">
        <v>4289.3999999999996</v>
      </c>
      <c r="P6392" s="267" t="s">
        <v>3930</v>
      </c>
      <c r="Q6392" s="267" t="s">
        <v>3931</v>
      </c>
      <c r="R6392" s="267">
        <v>9289.4</v>
      </c>
      <c r="S6392" s="267">
        <v>24145.599999999999</v>
      </c>
      <c r="T6392" s="267">
        <v>33435</v>
      </c>
      <c r="U6392" s="268" t="s">
        <v>3932</v>
      </c>
      <c r="V6392" s="267" t="s">
        <v>944</v>
      </c>
    </row>
    <row r="6393" spans="1:22" x14ac:dyDescent="0.25">
      <c r="A6393" s="269">
        <v>43763</v>
      </c>
      <c r="B6393" s="270">
        <v>2019</v>
      </c>
      <c r="C6393" s="270">
        <v>2020</v>
      </c>
      <c r="D6393" s="270">
        <v>1</v>
      </c>
      <c r="E6393" s="270">
        <v>1</v>
      </c>
      <c r="F6393" s="270" t="s">
        <v>944</v>
      </c>
      <c r="G6393" s="270" t="s">
        <v>3926</v>
      </c>
      <c r="H6393" s="270" t="s">
        <v>11145</v>
      </c>
      <c r="I6393" s="270" t="s">
        <v>3956</v>
      </c>
      <c r="J6393" s="270" t="s">
        <v>3928</v>
      </c>
      <c r="K6393" s="270">
        <v>6101</v>
      </c>
      <c r="L6393" s="270">
        <v>501800</v>
      </c>
      <c r="M6393" s="270">
        <v>-60</v>
      </c>
      <c r="N6393" s="270" t="s">
        <v>7680</v>
      </c>
      <c r="O6393" s="270">
        <v>2110</v>
      </c>
      <c r="P6393" s="270" t="s">
        <v>3930</v>
      </c>
      <c r="Q6393" s="270" t="s">
        <v>3931</v>
      </c>
      <c r="R6393" s="270">
        <v>7110</v>
      </c>
      <c r="S6393" s="270">
        <v>11128</v>
      </c>
      <c r="T6393" s="270">
        <v>18238</v>
      </c>
      <c r="U6393" s="271" t="s">
        <v>3932</v>
      </c>
      <c r="V6393" s="267" t="s">
        <v>936</v>
      </c>
    </row>
    <row r="6394" spans="1:22" hidden="1" x14ac:dyDescent="0.25">
      <c r="A6394" s="266">
        <v>43763</v>
      </c>
      <c r="B6394" s="267">
        <v>2019</v>
      </c>
      <c r="C6394" s="267">
        <v>2020</v>
      </c>
      <c r="D6394" s="267">
        <v>1</v>
      </c>
      <c r="E6394" s="267">
        <v>1</v>
      </c>
      <c r="F6394" s="267" t="s">
        <v>944</v>
      </c>
      <c r="G6394" s="267" t="s">
        <v>3926</v>
      </c>
      <c r="H6394" s="267" t="s">
        <v>11146</v>
      </c>
      <c r="I6394" s="267" t="s">
        <v>5156</v>
      </c>
      <c r="J6394" s="267" t="s">
        <v>3928</v>
      </c>
      <c r="K6394" s="267">
        <v>6360</v>
      </c>
      <c r="L6394" s="267">
        <v>696500</v>
      </c>
      <c r="M6394" s="267" t="s">
        <v>3940</v>
      </c>
      <c r="N6394" s="267" t="s">
        <v>11147</v>
      </c>
      <c r="O6394" s="267">
        <v>0</v>
      </c>
      <c r="P6394" s="267" t="s">
        <v>3930</v>
      </c>
      <c r="Q6394" s="267" t="s">
        <v>3930</v>
      </c>
      <c r="R6394" s="267">
        <v>0</v>
      </c>
      <c r="S6394" s="267">
        <v>12141.06</v>
      </c>
      <c r="T6394" s="267">
        <v>12141.06</v>
      </c>
      <c r="U6394" s="268" t="s">
        <v>3937</v>
      </c>
      <c r="V6394" s="267" t="s">
        <v>944</v>
      </c>
    </row>
    <row r="6395" spans="1:22" hidden="1" x14ac:dyDescent="0.25">
      <c r="A6395" s="269">
        <v>43763</v>
      </c>
      <c r="B6395" s="270">
        <v>2019</v>
      </c>
      <c r="C6395" s="270">
        <v>2020</v>
      </c>
      <c r="D6395" s="270">
        <v>1</v>
      </c>
      <c r="E6395" s="270">
        <v>1</v>
      </c>
      <c r="F6395" s="270" t="s">
        <v>944</v>
      </c>
      <c r="G6395" s="270" t="s">
        <v>3997</v>
      </c>
      <c r="H6395" s="270" t="s">
        <v>11148</v>
      </c>
      <c r="I6395" s="270" t="s">
        <v>953</v>
      </c>
      <c r="J6395" s="270" t="s">
        <v>3928</v>
      </c>
      <c r="K6395" s="270">
        <v>6514</v>
      </c>
      <c r="L6395" s="270">
        <v>165801</v>
      </c>
      <c r="M6395" s="270" t="s">
        <v>3935</v>
      </c>
      <c r="N6395" s="270" t="s">
        <v>7680</v>
      </c>
      <c r="O6395" s="270">
        <v>876.68</v>
      </c>
      <c r="P6395" s="270" t="s">
        <v>3930</v>
      </c>
      <c r="Q6395" s="270" t="s">
        <v>3931</v>
      </c>
      <c r="R6395" s="270">
        <v>5876.68</v>
      </c>
      <c r="S6395" s="270">
        <v>11128</v>
      </c>
      <c r="T6395" s="270">
        <v>17004.68</v>
      </c>
      <c r="U6395" s="271" t="s">
        <v>3932</v>
      </c>
      <c r="V6395" s="267" t="s">
        <v>944</v>
      </c>
    </row>
    <row r="6396" spans="1:22" hidden="1" x14ac:dyDescent="0.25">
      <c r="A6396" s="266">
        <v>43763</v>
      </c>
      <c r="B6396" s="267">
        <v>2019</v>
      </c>
      <c r="C6396" s="267">
        <v>2020</v>
      </c>
      <c r="D6396" s="267">
        <v>1</v>
      </c>
      <c r="E6396" s="267">
        <v>1</v>
      </c>
      <c r="F6396" s="267" t="s">
        <v>944</v>
      </c>
      <c r="G6396" s="267" t="s">
        <v>3926</v>
      </c>
      <c r="H6396" s="267" t="s">
        <v>11149</v>
      </c>
      <c r="I6396" s="267" t="s">
        <v>956</v>
      </c>
      <c r="J6396" s="267" t="s">
        <v>3928</v>
      </c>
      <c r="K6396" s="267">
        <v>6497</v>
      </c>
      <c r="L6396" s="267">
        <v>80800</v>
      </c>
      <c r="M6396" s="267" t="s">
        <v>3960</v>
      </c>
      <c r="N6396" s="267" t="s">
        <v>10520</v>
      </c>
      <c r="O6396" s="267">
        <v>950.29</v>
      </c>
      <c r="P6396" s="267" t="s">
        <v>3930</v>
      </c>
      <c r="Q6396" s="267" t="s">
        <v>3931</v>
      </c>
      <c r="R6396" s="267">
        <v>5950.29</v>
      </c>
      <c r="S6396" s="267">
        <v>10960</v>
      </c>
      <c r="T6396" s="267">
        <v>16910.29</v>
      </c>
      <c r="U6396" s="268" t="s">
        <v>3932</v>
      </c>
      <c r="V6396" s="267" t="s">
        <v>944</v>
      </c>
    </row>
    <row r="6397" spans="1:22" hidden="1" x14ac:dyDescent="0.25">
      <c r="A6397" s="269">
        <v>43763</v>
      </c>
      <c r="B6397" s="270">
        <v>2019</v>
      </c>
      <c r="C6397" s="270">
        <v>2020</v>
      </c>
      <c r="D6397" s="270">
        <v>1</v>
      </c>
      <c r="E6397" s="270">
        <v>1</v>
      </c>
      <c r="F6397" s="270" t="s">
        <v>944</v>
      </c>
      <c r="G6397" s="270" t="s">
        <v>3926</v>
      </c>
      <c r="H6397" s="270" t="s">
        <v>11150</v>
      </c>
      <c r="I6397" s="270" t="s">
        <v>5480</v>
      </c>
      <c r="J6397" s="270" t="s">
        <v>3928</v>
      </c>
      <c r="K6397" s="270">
        <v>6783</v>
      </c>
      <c r="L6397" s="270">
        <v>268100</v>
      </c>
      <c r="M6397" s="270" t="s">
        <v>3943</v>
      </c>
      <c r="N6397" s="270" t="s">
        <v>3944</v>
      </c>
      <c r="O6397" s="270">
        <v>2268</v>
      </c>
      <c r="P6397" s="270" t="s">
        <v>3944</v>
      </c>
      <c r="Q6397" s="270" t="s">
        <v>3944</v>
      </c>
      <c r="R6397" s="270">
        <v>2268</v>
      </c>
      <c r="S6397" s="270">
        <v>20450.12</v>
      </c>
      <c r="T6397" s="270">
        <v>22718.12</v>
      </c>
      <c r="U6397" s="271" t="s">
        <v>3945</v>
      </c>
      <c r="V6397" s="267" t="s">
        <v>944</v>
      </c>
    </row>
    <row r="6398" spans="1:22" hidden="1" x14ac:dyDescent="0.25">
      <c r="A6398" s="266">
        <v>43763</v>
      </c>
      <c r="B6398" s="267">
        <v>2019</v>
      </c>
      <c r="C6398" s="267">
        <v>2020</v>
      </c>
      <c r="D6398" s="267">
        <v>1</v>
      </c>
      <c r="E6398" s="267">
        <v>1</v>
      </c>
      <c r="F6398" s="267" t="s">
        <v>944</v>
      </c>
      <c r="G6398" s="267" t="s">
        <v>3926</v>
      </c>
      <c r="H6398" s="267" t="s">
        <v>11151</v>
      </c>
      <c r="I6398" s="267" t="s">
        <v>4687</v>
      </c>
      <c r="J6398" s="267" t="s">
        <v>3928</v>
      </c>
      <c r="K6398" s="267">
        <v>6424</v>
      </c>
      <c r="L6398" s="267">
        <v>550202</v>
      </c>
      <c r="M6398" s="267" t="s">
        <v>3960</v>
      </c>
      <c r="N6398" s="267" t="s">
        <v>3944</v>
      </c>
      <c r="O6398" s="267">
        <v>1924</v>
      </c>
      <c r="P6398" s="267" t="s">
        <v>3944</v>
      </c>
      <c r="Q6398" s="267" t="s">
        <v>3944</v>
      </c>
      <c r="R6398" s="267">
        <v>1924</v>
      </c>
      <c r="S6398" s="267">
        <v>7023.21</v>
      </c>
      <c r="T6398" s="267">
        <v>8947.2099999999991</v>
      </c>
      <c r="U6398" s="268" t="s">
        <v>3945</v>
      </c>
      <c r="V6398" s="267" t="s">
        <v>944</v>
      </c>
    </row>
    <row r="6399" spans="1:22" hidden="1" x14ac:dyDescent="0.25">
      <c r="A6399" s="269">
        <v>43763</v>
      </c>
      <c r="B6399" s="270">
        <v>2019</v>
      </c>
      <c r="C6399" s="270">
        <v>2020</v>
      </c>
      <c r="D6399" s="270">
        <v>1</v>
      </c>
      <c r="E6399" s="270">
        <v>1</v>
      </c>
      <c r="F6399" s="270" t="s">
        <v>944</v>
      </c>
      <c r="G6399" s="270" t="s">
        <v>3926</v>
      </c>
      <c r="H6399" s="270" t="s">
        <v>11152</v>
      </c>
      <c r="I6399" s="270" t="s">
        <v>4871</v>
      </c>
      <c r="J6399" s="270" t="s">
        <v>3928</v>
      </c>
      <c r="K6399" s="270">
        <v>6877</v>
      </c>
      <c r="L6399" s="270">
        <v>245200</v>
      </c>
      <c r="M6399" s="270" t="s">
        <v>3943</v>
      </c>
      <c r="N6399" s="270" t="s">
        <v>3944</v>
      </c>
      <c r="O6399" s="270">
        <v>6196</v>
      </c>
      <c r="P6399" s="270" t="s">
        <v>3944</v>
      </c>
      <c r="Q6399" s="270" t="s">
        <v>3944</v>
      </c>
      <c r="R6399" s="270">
        <v>6196</v>
      </c>
      <c r="S6399" s="270">
        <v>81416</v>
      </c>
      <c r="T6399" s="270">
        <v>87612</v>
      </c>
      <c r="U6399" s="271" t="s">
        <v>3945</v>
      </c>
      <c r="V6399" s="267" t="s">
        <v>944</v>
      </c>
    </row>
    <row r="6400" spans="1:22" hidden="1" x14ac:dyDescent="0.25">
      <c r="A6400" s="266">
        <v>43763</v>
      </c>
      <c r="B6400" s="267">
        <v>2019</v>
      </c>
      <c r="C6400" s="267">
        <v>2020</v>
      </c>
      <c r="D6400" s="267">
        <v>1</v>
      </c>
      <c r="E6400" s="267">
        <v>1</v>
      </c>
      <c r="F6400" s="267" t="s">
        <v>944</v>
      </c>
      <c r="G6400" s="267" t="s">
        <v>3926</v>
      </c>
      <c r="H6400" s="267" t="s">
        <v>11153</v>
      </c>
      <c r="I6400" s="267" t="s">
        <v>2985</v>
      </c>
      <c r="J6400" s="267" t="s">
        <v>3928</v>
      </c>
      <c r="K6400" s="267">
        <v>6824</v>
      </c>
      <c r="L6400" s="267">
        <v>60900</v>
      </c>
      <c r="M6400" s="267" t="s">
        <v>3943</v>
      </c>
      <c r="N6400" s="267" t="s">
        <v>3944</v>
      </c>
      <c r="O6400" s="267">
        <v>3937</v>
      </c>
      <c r="P6400" s="267" t="s">
        <v>3944</v>
      </c>
      <c r="Q6400" s="267" t="s">
        <v>3944</v>
      </c>
      <c r="R6400" s="267">
        <v>3937</v>
      </c>
      <c r="S6400" s="267">
        <v>39319</v>
      </c>
      <c r="T6400" s="267">
        <v>43256</v>
      </c>
      <c r="U6400" s="268" t="s">
        <v>3945</v>
      </c>
      <c r="V6400" s="267" t="s">
        <v>944</v>
      </c>
    </row>
    <row r="6401" spans="1:22" hidden="1" x14ac:dyDescent="0.25">
      <c r="A6401" s="269">
        <v>43763</v>
      </c>
      <c r="B6401" s="270">
        <v>2019</v>
      </c>
      <c r="C6401" s="270">
        <v>2020</v>
      </c>
      <c r="D6401" s="270">
        <v>1</v>
      </c>
      <c r="E6401" s="270">
        <v>1</v>
      </c>
      <c r="F6401" s="270" t="s">
        <v>944</v>
      </c>
      <c r="G6401" s="270" t="s">
        <v>3926</v>
      </c>
      <c r="H6401" s="270" t="s">
        <v>11154</v>
      </c>
      <c r="I6401" s="270" t="s">
        <v>956</v>
      </c>
      <c r="J6401" s="270" t="s">
        <v>3928</v>
      </c>
      <c r="K6401" s="270">
        <v>6614</v>
      </c>
      <c r="L6401" s="270">
        <v>80800</v>
      </c>
      <c r="M6401" s="270" t="s">
        <v>3960</v>
      </c>
      <c r="N6401" s="270" t="s">
        <v>3944</v>
      </c>
      <c r="O6401" s="270">
        <v>3728</v>
      </c>
      <c r="P6401" s="270" t="s">
        <v>3944</v>
      </c>
      <c r="Q6401" s="270" t="s">
        <v>3944</v>
      </c>
      <c r="R6401" s="270">
        <v>3728</v>
      </c>
      <c r="S6401" s="270">
        <v>35148</v>
      </c>
      <c r="T6401" s="270">
        <v>38876</v>
      </c>
      <c r="U6401" s="271" t="s">
        <v>3945</v>
      </c>
      <c r="V6401" s="267" t="s">
        <v>944</v>
      </c>
    </row>
    <row r="6402" spans="1:22" hidden="1" x14ac:dyDescent="0.25">
      <c r="A6402" s="266">
        <v>43763</v>
      </c>
      <c r="B6402" s="267">
        <v>2019</v>
      </c>
      <c r="C6402" s="267">
        <v>2020</v>
      </c>
      <c r="D6402" s="267">
        <v>1</v>
      </c>
      <c r="E6402" s="267">
        <v>1</v>
      </c>
      <c r="F6402" s="267" t="s">
        <v>944</v>
      </c>
      <c r="G6402" s="267" t="s">
        <v>3926</v>
      </c>
      <c r="H6402" s="267" t="s">
        <v>11155</v>
      </c>
      <c r="I6402" s="267" t="s">
        <v>4269</v>
      </c>
      <c r="J6402" s="267" t="s">
        <v>3928</v>
      </c>
      <c r="K6402" s="267">
        <v>6117</v>
      </c>
      <c r="L6402" s="267">
        <v>497200</v>
      </c>
      <c r="M6402" s="267" t="s">
        <v>3943</v>
      </c>
      <c r="N6402" s="267" t="s">
        <v>3944</v>
      </c>
      <c r="O6402" s="267">
        <v>3709</v>
      </c>
      <c r="P6402" s="267" t="s">
        <v>3944</v>
      </c>
      <c r="Q6402" s="267" t="s">
        <v>3944</v>
      </c>
      <c r="R6402" s="267">
        <v>3709</v>
      </c>
      <c r="S6402" s="267">
        <v>31010</v>
      </c>
      <c r="T6402" s="267">
        <v>34719</v>
      </c>
      <c r="U6402" s="268" t="s">
        <v>3945</v>
      </c>
      <c r="V6402" s="267" t="s">
        <v>944</v>
      </c>
    </row>
    <row r="6403" spans="1:22" hidden="1" x14ac:dyDescent="0.25">
      <c r="A6403" s="269">
        <v>43763</v>
      </c>
      <c r="B6403" s="270">
        <v>2019</v>
      </c>
      <c r="C6403" s="270">
        <v>2020</v>
      </c>
      <c r="D6403" s="270">
        <v>1</v>
      </c>
      <c r="E6403" s="270">
        <v>1</v>
      </c>
      <c r="F6403" s="270" t="s">
        <v>944</v>
      </c>
      <c r="G6403" s="270" t="s">
        <v>3997</v>
      </c>
      <c r="H6403" s="270" t="s">
        <v>11156</v>
      </c>
      <c r="I6403" s="270" t="s">
        <v>3939</v>
      </c>
      <c r="J6403" s="270" t="s">
        <v>3928</v>
      </c>
      <c r="K6403" s="270">
        <v>6512</v>
      </c>
      <c r="L6403" s="270">
        <v>180300</v>
      </c>
      <c r="M6403" s="270">
        <v>-60</v>
      </c>
      <c r="N6403" s="270" t="s">
        <v>3944</v>
      </c>
      <c r="O6403" s="270">
        <v>1137.78</v>
      </c>
      <c r="P6403" s="270" t="s">
        <v>3944</v>
      </c>
      <c r="Q6403" s="270" t="s">
        <v>3944</v>
      </c>
      <c r="R6403" s="270">
        <v>1137.78</v>
      </c>
      <c r="S6403" s="270">
        <v>17910.54</v>
      </c>
      <c r="T6403" s="270">
        <v>19048.32</v>
      </c>
      <c r="U6403" s="271" t="s">
        <v>3945</v>
      </c>
      <c r="V6403" s="267" t="s">
        <v>944</v>
      </c>
    </row>
    <row r="6404" spans="1:22" hidden="1" x14ac:dyDescent="0.25">
      <c r="A6404" s="266">
        <v>43763</v>
      </c>
      <c r="B6404" s="267">
        <v>2019</v>
      </c>
      <c r="C6404" s="267">
        <v>2020</v>
      </c>
      <c r="D6404" s="267">
        <v>1</v>
      </c>
      <c r="E6404" s="267">
        <v>1</v>
      </c>
      <c r="F6404" s="267" t="s">
        <v>944</v>
      </c>
      <c r="G6404" s="267" t="s">
        <v>3926</v>
      </c>
      <c r="H6404" s="267" t="s">
        <v>11157</v>
      </c>
      <c r="I6404" s="267" t="s">
        <v>2987</v>
      </c>
      <c r="J6404" s="267" t="s">
        <v>3928</v>
      </c>
      <c r="K6404" s="267">
        <v>6611</v>
      </c>
      <c r="L6404" s="267">
        <v>90500</v>
      </c>
      <c r="M6404" s="267" t="s">
        <v>3943</v>
      </c>
      <c r="N6404" s="267" t="s">
        <v>3944</v>
      </c>
      <c r="O6404" s="267">
        <v>2011</v>
      </c>
      <c r="P6404" s="267" t="s">
        <v>3944</v>
      </c>
      <c r="Q6404" s="267" t="s">
        <v>3944</v>
      </c>
      <c r="R6404" s="267">
        <v>2011</v>
      </c>
      <c r="S6404" s="267">
        <v>17739</v>
      </c>
      <c r="T6404" s="267">
        <v>19750</v>
      </c>
      <c r="U6404" s="268" t="s">
        <v>3945</v>
      </c>
      <c r="V6404" s="267" t="s">
        <v>944</v>
      </c>
    </row>
    <row r="6405" spans="1:22" hidden="1" x14ac:dyDescent="0.25">
      <c r="A6405" s="269">
        <v>43763</v>
      </c>
      <c r="B6405" s="270">
        <v>2019</v>
      </c>
      <c r="C6405" s="270">
        <v>2020</v>
      </c>
      <c r="D6405" s="270">
        <v>1</v>
      </c>
      <c r="E6405" s="270">
        <v>1</v>
      </c>
      <c r="F6405" s="270" t="s">
        <v>944</v>
      </c>
      <c r="G6405" s="270" t="s">
        <v>3997</v>
      </c>
      <c r="H6405" s="270" t="s">
        <v>11158</v>
      </c>
      <c r="I6405" s="270" t="s">
        <v>4213</v>
      </c>
      <c r="J6405" s="270" t="s">
        <v>3928</v>
      </c>
      <c r="K6405" s="270">
        <v>6051</v>
      </c>
      <c r="L6405" s="270">
        <v>415400</v>
      </c>
      <c r="M6405" s="270">
        <v>-60</v>
      </c>
      <c r="N6405" s="270" t="s">
        <v>3944</v>
      </c>
      <c r="O6405" s="270">
        <v>1271.76</v>
      </c>
      <c r="P6405" s="270" t="s">
        <v>3944</v>
      </c>
      <c r="Q6405" s="270" t="s">
        <v>3944</v>
      </c>
      <c r="R6405" s="270">
        <v>1271.76</v>
      </c>
      <c r="S6405" s="270">
        <v>20951.28</v>
      </c>
      <c r="T6405" s="270">
        <v>22223.040000000001</v>
      </c>
      <c r="U6405" s="271" t="s">
        <v>3945</v>
      </c>
      <c r="V6405" s="267" t="s">
        <v>944</v>
      </c>
    </row>
    <row r="6406" spans="1:22" hidden="1" x14ac:dyDescent="0.25">
      <c r="A6406" s="266">
        <v>43763</v>
      </c>
      <c r="B6406" s="267">
        <v>2019</v>
      </c>
      <c r="C6406" s="267">
        <v>2020</v>
      </c>
      <c r="D6406" s="267">
        <v>1</v>
      </c>
      <c r="E6406" s="267">
        <v>1</v>
      </c>
      <c r="F6406" s="267" t="s">
        <v>944</v>
      </c>
      <c r="G6406" s="267" t="s">
        <v>3926</v>
      </c>
      <c r="H6406" s="267" t="s">
        <v>11159</v>
      </c>
      <c r="I6406" s="267" t="s">
        <v>3962</v>
      </c>
      <c r="J6406" s="267" t="s">
        <v>3928</v>
      </c>
      <c r="K6406" s="267">
        <v>6378</v>
      </c>
      <c r="L6406" s="267">
        <v>705400</v>
      </c>
      <c r="M6406" s="267" t="s">
        <v>3943</v>
      </c>
      <c r="N6406" s="267" t="s">
        <v>3944</v>
      </c>
      <c r="O6406" s="267">
        <v>4386.62</v>
      </c>
      <c r="P6406" s="267" t="s">
        <v>3944</v>
      </c>
      <c r="Q6406" s="267" t="s">
        <v>3944</v>
      </c>
      <c r="R6406" s="267">
        <v>4386.62</v>
      </c>
      <c r="S6406" s="267">
        <v>65545.95</v>
      </c>
      <c r="T6406" s="267">
        <v>69932.570000000007</v>
      </c>
      <c r="U6406" s="268" t="s">
        <v>3945</v>
      </c>
      <c r="V6406" s="267" t="s">
        <v>944</v>
      </c>
    </row>
    <row r="6407" spans="1:22" hidden="1" x14ac:dyDescent="0.25">
      <c r="A6407" s="269">
        <v>43763</v>
      </c>
      <c r="B6407" s="270">
        <v>2019</v>
      </c>
      <c r="C6407" s="270">
        <v>2020</v>
      </c>
      <c r="D6407" s="270">
        <v>1</v>
      </c>
      <c r="E6407" s="270">
        <v>1</v>
      </c>
      <c r="F6407" s="270" t="s">
        <v>944</v>
      </c>
      <c r="G6407" s="270" t="s">
        <v>3926</v>
      </c>
      <c r="H6407" s="270" t="s">
        <v>11160</v>
      </c>
      <c r="I6407" s="270" t="s">
        <v>4085</v>
      </c>
      <c r="J6407" s="270" t="s">
        <v>3928</v>
      </c>
      <c r="K6407" s="270">
        <v>6351</v>
      </c>
      <c r="L6407" s="270">
        <v>709100</v>
      </c>
      <c r="M6407" s="270" t="s">
        <v>3935</v>
      </c>
      <c r="N6407" s="270" t="s">
        <v>3944</v>
      </c>
      <c r="O6407" s="270">
        <v>3913.56</v>
      </c>
      <c r="P6407" s="270" t="s">
        <v>3944</v>
      </c>
      <c r="Q6407" s="270" t="s">
        <v>3944</v>
      </c>
      <c r="R6407" s="270">
        <v>3913.56</v>
      </c>
      <c r="S6407" s="270">
        <v>54268.81</v>
      </c>
      <c r="T6407" s="270">
        <v>58182.37</v>
      </c>
      <c r="U6407" s="271" t="s">
        <v>3945</v>
      </c>
      <c r="V6407" s="267" t="s">
        <v>944</v>
      </c>
    </row>
    <row r="6408" spans="1:22" hidden="1" x14ac:dyDescent="0.25">
      <c r="A6408" s="266">
        <v>43763</v>
      </c>
      <c r="B6408" s="267">
        <v>2019</v>
      </c>
      <c r="C6408" s="267">
        <v>2020</v>
      </c>
      <c r="D6408" s="267">
        <v>1</v>
      </c>
      <c r="E6408" s="267">
        <v>1</v>
      </c>
      <c r="F6408" s="267" t="s">
        <v>944</v>
      </c>
      <c r="G6408" s="267" t="s">
        <v>3926</v>
      </c>
      <c r="H6408" s="267" t="s">
        <v>11161</v>
      </c>
      <c r="I6408" s="267" t="s">
        <v>953</v>
      </c>
      <c r="J6408" s="267" t="s">
        <v>3928</v>
      </c>
      <c r="K6408" s="267">
        <v>6517</v>
      </c>
      <c r="L6408" s="267">
        <v>165300</v>
      </c>
      <c r="M6408" s="267" t="s">
        <v>3943</v>
      </c>
      <c r="N6408" s="267" t="s">
        <v>3944</v>
      </c>
      <c r="O6408" s="267">
        <v>1417.15</v>
      </c>
      <c r="P6408" s="267" t="s">
        <v>3944</v>
      </c>
      <c r="Q6408" s="267" t="s">
        <v>3944</v>
      </c>
      <c r="R6408" s="267">
        <v>1417.15</v>
      </c>
      <c r="S6408" s="267">
        <v>22073.32</v>
      </c>
      <c r="T6408" s="267">
        <v>23490.47</v>
      </c>
      <c r="U6408" s="268" t="s">
        <v>3945</v>
      </c>
      <c r="V6408" s="267" t="s">
        <v>944</v>
      </c>
    </row>
    <row r="6409" spans="1:22" x14ac:dyDescent="0.25">
      <c r="A6409" s="269">
        <v>43763</v>
      </c>
      <c r="B6409" s="270">
        <v>2019</v>
      </c>
      <c r="C6409" s="270">
        <v>2020</v>
      </c>
      <c r="D6409" s="270">
        <v>1</v>
      </c>
      <c r="E6409" s="270">
        <v>1</v>
      </c>
      <c r="F6409" s="270" t="s">
        <v>944</v>
      </c>
      <c r="G6409" s="270" t="s">
        <v>3926</v>
      </c>
      <c r="H6409" s="270" t="s">
        <v>11162</v>
      </c>
      <c r="I6409" s="270" t="s">
        <v>934</v>
      </c>
      <c r="J6409" s="270" t="s">
        <v>3928</v>
      </c>
      <c r="K6409" s="270">
        <v>6610</v>
      </c>
      <c r="L6409" s="270">
        <v>73700</v>
      </c>
      <c r="M6409" s="270">
        <v>-60</v>
      </c>
      <c r="N6409" s="270" t="s">
        <v>3944</v>
      </c>
      <c r="O6409" s="270">
        <v>1707.9</v>
      </c>
      <c r="P6409" s="270" t="s">
        <v>3944</v>
      </c>
      <c r="Q6409" s="270" t="s">
        <v>3944</v>
      </c>
      <c r="R6409" s="270">
        <v>1707.9</v>
      </c>
      <c r="S6409" s="270">
        <v>24362.51</v>
      </c>
      <c r="T6409" s="270">
        <v>26070.41</v>
      </c>
      <c r="U6409" s="271" t="s">
        <v>3945</v>
      </c>
      <c r="V6409" s="276" t="s">
        <v>936</v>
      </c>
    </row>
    <row r="6410" spans="1:22" hidden="1" x14ac:dyDescent="0.25">
      <c r="A6410" s="266">
        <v>43763</v>
      </c>
      <c r="B6410" s="267">
        <v>2019</v>
      </c>
      <c r="C6410" s="267">
        <v>2020</v>
      </c>
      <c r="D6410" s="267">
        <v>1</v>
      </c>
      <c r="E6410" s="267">
        <v>1</v>
      </c>
      <c r="F6410" s="267" t="s">
        <v>944</v>
      </c>
      <c r="G6410" s="267" t="s">
        <v>3926</v>
      </c>
      <c r="H6410" s="267" t="s">
        <v>11163</v>
      </c>
      <c r="I6410" s="267" t="s">
        <v>4269</v>
      </c>
      <c r="J6410" s="267" t="s">
        <v>3928</v>
      </c>
      <c r="K6410" s="267">
        <v>6119</v>
      </c>
      <c r="L6410" s="267">
        <v>496900</v>
      </c>
      <c r="M6410" s="267" t="s">
        <v>3960</v>
      </c>
      <c r="N6410" s="267" t="s">
        <v>3944</v>
      </c>
      <c r="O6410" s="267">
        <v>2768.96</v>
      </c>
      <c r="P6410" s="267" t="s">
        <v>3944</v>
      </c>
      <c r="Q6410" s="267" t="s">
        <v>3944</v>
      </c>
      <c r="R6410" s="267">
        <v>2768.96</v>
      </c>
      <c r="S6410" s="267">
        <v>40013.360000000001</v>
      </c>
      <c r="T6410" s="267">
        <v>42782.32</v>
      </c>
      <c r="U6410" s="268" t="s">
        <v>3945</v>
      </c>
      <c r="V6410" s="267" t="s">
        <v>944</v>
      </c>
    </row>
    <row r="6411" spans="1:22" hidden="1" x14ac:dyDescent="0.25">
      <c r="A6411" s="269">
        <v>43763</v>
      </c>
      <c r="B6411" s="270">
        <v>2019</v>
      </c>
      <c r="C6411" s="270">
        <v>2020</v>
      </c>
      <c r="D6411" s="270">
        <v>1</v>
      </c>
      <c r="E6411" s="270">
        <v>1</v>
      </c>
      <c r="F6411" s="270" t="s">
        <v>944</v>
      </c>
      <c r="G6411" s="270" t="s">
        <v>3926</v>
      </c>
      <c r="H6411" s="270" t="s">
        <v>11164</v>
      </c>
      <c r="I6411" s="270" t="s">
        <v>4005</v>
      </c>
      <c r="J6411" s="270" t="s">
        <v>3928</v>
      </c>
      <c r="K6411" s="270">
        <v>6108</v>
      </c>
      <c r="L6411" s="270">
        <v>511400</v>
      </c>
      <c r="M6411" s="270" t="s">
        <v>3935</v>
      </c>
      <c r="N6411" s="270" t="s">
        <v>3944</v>
      </c>
      <c r="O6411" s="270">
        <v>2465.7199999999998</v>
      </c>
      <c r="P6411" s="270" t="s">
        <v>3944</v>
      </c>
      <c r="Q6411" s="270" t="s">
        <v>3944</v>
      </c>
      <c r="R6411" s="270">
        <v>2465.7199999999998</v>
      </c>
      <c r="S6411" s="270">
        <v>37876.300000000003</v>
      </c>
      <c r="T6411" s="270">
        <v>40342.019999999997</v>
      </c>
      <c r="U6411" s="271" t="s">
        <v>3945</v>
      </c>
      <c r="V6411" s="267" t="s">
        <v>944</v>
      </c>
    </row>
    <row r="6412" spans="1:22" hidden="1" x14ac:dyDescent="0.25">
      <c r="A6412" s="266">
        <v>43763</v>
      </c>
      <c r="B6412" s="267">
        <v>2019</v>
      </c>
      <c r="C6412" s="267">
        <v>2020</v>
      </c>
      <c r="D6412" s="267">
        <v>1</v>
      </c>
      <c r="E6412" s="267">
        <v>1</v>
      </c>
      <c r="F6412" s="267" t="s">
        <v>944</v>
      </c>
      <c r="G6412" s="267" t="s">
        <v>3926</v>
      </c>
      <c r="H6412" s="267" t="s">
        <v>11165</v>
      </c>
      <c r="I6412" s="267" t="s">
        <v>6426</v>
      </c>
      <c r="J6412" s="267" t="s">
        <v>3928</v>
      </c>
      <c r="K6412" s="267">
        <v>6422</v>
      </c>
      <c r="L6412" s="267">
        <v>585100</v>
      </c>
      <c r="M6412" s="267" t="s">
        <v>3943</v>
      </c>
      <c r="N6412" s="267" t="s">
        <v>3944</v>
      </c>
      <c r="O6412" s="267">
        <v>3045.81</v>
      </c>
      <c r="P6412" s="267" t="s">
        <v>3944</v>
      </c>
      <c r="Q6412" s="267" t="s">
        <v>3944</v>
      </c>
      <c r="R6412" s="267">
        <v>3045.81</v>
      </c>
      <c r="S6412" s="267">
        <v>48250.49</v>
      </c>
      <c r="T6412" s="267">
        <v>51296.3</v>
      </c>
      <c r="U6412" s="268" t="s">
        <v>3945</v>
      </c>
      <c r="V6412" s="267" t="s">
        <v>944</v>
      </c>
    </row>
    <row r="6413" spans="1:22" hidden="1" x14ac:dyDescent="0.25">
      <c r="A6413" s="269">
        <v>43763</v>
      </c>
      <c r="B6413" s="270">
        <v>2019</v>
      </c>
      <c r="C6413" s="270">
        <v>2020</v>
      </c>
      <c r="D6413" s="270">
        <v>1</v>
      </c>
      <c r="E6413" s="270">
        <v>1</v>
      </c>
      <c r="F6413" s="270" t="s">
        <v>944</v>
      </c>
      <c r="G6413" s="270" t="s">
        <v>3926</v>
      </c>
      <c r="H6413" s="270" t="s">
        <v>11166</v>
      </c>
      <c r="I6413" s="270" t="s">
        <v>3968</v>
      </c>
      <c r="J6413" s="270" t="s">
        <v>3928</v>
      </c>
      <c r="K6413" s="270">
        <v>6042</v>
      </c>
      <c r="L6413" s="270">
        <v>514300</v>
      </c>
      <c r="M6413" s="270" t="s">
        <v>3935</v>
      </c>
      <c r="N6413" s="270" t="s">
        <v>3944</v>
      </c>
      <c r="O6413" s="270">
        <v>1192.31</v>
      </c>
      <c r="P6413" s="270" t="s">
        <v>3944</v>
      </c>
      <c r="Q6413" s="270" t="s">
        <v>3944</v>
      </c>
      <c r="R6413" s="270">
        <v>1192.31</v>
      </c>
      <c r="S6413" s="270">
        <v>16764.55</v>
      </c>
      <c r="T6413" s="270">
        <v>17956.86</v>
      </c>
      <c r="U6413" s="271" t="s">
        <v>3945</v>
      </c>
      <c r="V6413" s="267" t="s">
        <v>944</v>
      </c>
    </row>
    <row r="6414" spans="1:22" hidden="1" x14ac:dyDescent="0.25">
      <c r="A6414" s="266">
        <v>43763</v>
      </c>
      <c r="B6414" s="267">
        <v>2019</v>
      </c>
      <c r="C6414" s="267">
        <v>2020</v>
      </c>
      <c r="D6414" s="267">
        <v>1</v>
      </c>
      <c r="E6414" s="267">
        <v>1</v>
      </c>
      <c r="F6414" s="267" t="s">
        <v>944</v>
      </c>
      <c r="G6414" s="267" t="s">
        <v>3926</v>
      </c>
      <c r="H6414" s="267" t="s">
        <v>11167</v>
      </c>
      <c r="I6414" s="267" t="s">
        <v>4005</v>
      </c>
      <c r="J6414" s="267" t="s">
        <v>3928</v>
      </c>
      <c r="K6414" s="267">
        <v>6108</v>
      </c>
      <c r="L6414" s="267">
        <v>511300</v>
      </c>
      <c r="M6414" s="267">
        <v>-60</v>
      </c>
      <c r="N6414" s="267" t="s">
        <v>3944</v>
      </c>
      <c r="O6414" s="267">
        <v>1239.81</v>
      </c>
      <c r="P6414" s="267" t="s">
        <v>3944</v>
      </c>
      <c r="Q6414" s="267" t="s">
        <v>3944</v>
      </c>
      <c r="R6414" s="267">
        <v>1239.81</v>
      </c>
      <c r="S6414" s="267">
        <v>18243.849999999999</v>
      </c>
      <c r="T6414" s="267">
        <v>19483.66</v>
      </c>
      <c r="U6414" s="268" t="s">
        <v>3945</v>
      </c>
      <c r="V6414" s="267" t="s">
        <v>944</v>
      </c>
    </row>
    <row r="6415" spans="1:22" hidden="1" x14ac:dyDescent="0.25">
      <c r="A6415" s="269">
        <v>43763</v>
      </c>
      <c r="B6415" s="270">
        <v>2019</v>
      </c>
      <c r="C6415" s="270">
        <v>2020</v>
      </c>
      <c r="D6415" s="270">
        <v>1</v>
      </c>
      <c r="E6415" s="270">
        <v>1</v>
      </c>
      <c r="F6415" s="270" t="s">
        <v>944</v>
      </c>
      <c r="G6415" s="270" t="s">
        <v>3926</v>
      </c>
      <c r="H6415" s="270" t="s">
        <v>11168</v>
      </c>
      <c r="I6415" s="270" t="s">
        <v>4035</v>
      </c>
      <c r="J6415" s="270" t="s">
        <v>3928</v>
      </c>
      <c r="K6415" s="270">
        <v>6074</v>
      </c>
      <c r="L6415" s="270">
        <v>487100</v>
      </c>
      <c r="M6415" s="270" t="s">
        <v>3943</v>
      </c>
      <c r="N6415" s="270" t="s">
        <v>3944</v>
      </c>
      <c r="O6415" s="270">
        <v>2262.09</v>
      </c>
      <c r="P6415" s="270" t="s">
        <v>3944</v>
      </c>
      <c r="Q6415" s="270" t="s">
        <v>3944</v>
      </c>
      <c r="R6415" s="270">
        <v>2262.09</v>
      </c>
      <c r="S6415" s="270">
        <v>33559.339999999997</v>
      </c>
      <c r="T6415" s="270">
        <v>35821.43</v>
      </c>
      <c r="U6415" s="271" t="s">
        <v>3945</v>
      </c>
      <c r="V6415" s="267" t="s">
        <v>944</v>
      </c>
    </row>
    <row r="6416" spans="1:22" hidden="1" x14ac:dyDescent="0.25">
      <c r="A6416" s="266">
        <v>43763</v>
      </c>
      <c r="B6416" s="267">
        <v>2019</v>
      </c>
      <c r="C6416" s="267">
        <v>2020</v>
      </c>
      <c r="D6416" s="267">
        <v>1</v>
      </c>
      <c r="E6416" s="267">
        <v>1</v>
      </c>
      <c r="F6416" s="267" t="s">
        <v>944</v>
      </c>
      <c r="G6416" s="267" t="s">
        <v>3926</v>
      </c>
      <c r="H6416" s="267" t="s">
        <v>11169</v>
      </c>
      <c r="I6416" s="267" t="s">
        <v>4016</v>
      </c>
      <c r="J6416" s="267" t="s">
        <v>3928</v>
      </c>
      <c r="K6416" s="267">
        <v>6770</v>
      </c>
      <c r="L6416" s="267">
        <v>345300</v>
      </c>
      <c r="M6416" s="267" t="s">
        <v>3940</v>
      </c>
      <c r="N6416" s="267" t="s">
        <v>3944</v>
      </c>
      <c r="O6416" s="267">
        <v>1402.84</v>
      </c>
      <c r="P6416" s="267" t="s">
        <v>3944</v>
      </c>
      <c r="Q6416" s="267" t="s">
        <v>3944</v>
      </c>
      <c r="R6416" s="267">
        <v>1402.84</v>
      </c>
      <c r="S6416" s="267">
        <v>16956.03</v>
      </c>
      <c r="T6416" s="267">
        <v>18358.87</v>
      </c>
      <c r="U6416" s="268" t="s">
        <v>3945</v>
      </c>
      <c r="V6416" s="267" t="s">
        <v>944</v>
      </c>
    </row>
    <row r="6417" spans="1:22" hidden="1" x14ac:dyDescent="0.25">
      <c r="A6417" s="269">
        <v>43763</v>
      </c>
      <c r="B6417" s="270">
        <v>2019</v>
      </c>
      <c r="C6417" s="270">
        <v>2020</v>
      </c>
      <c r="D6417" s="270">
        <v>1</v>
      </c>
      <c r="E6417" s="270">
        <v>1</v>
      </c>
      <c r="F6417" s="270" t="s">
        <v>944</v>
      </c>
      <c r="G6417" s="270" t="s">
        <v>3926</v>
      </c>
      <c r="H6417" s="270" t="s">
        <v>11170</v>
      </c>
      <c r="I6417" s="270" t="s">
        <v>4254</v>
      </c>
      <c r="J6417" s="270" t="s">
        <v>3928</v>
      </c>
      <c r="K6417" s="270">
        <v>6076</v>
      </c>
      <c r="L6417" s="270">
        <v>890201</v>
      </c>
      <c r="M6417" s="270" t="s">
        <v>3960</v>
      </c>
      <c r="N6417" s="270" t="s">
        <v>3944</v>
      </c>
      <c r="O6417" s="270">
        <v>2412.0300000000002</v>
      </c>
      <c r="P6417" s="270" t="s">
        <v>3944</v>
      </c>
      <c r="Q6417" s="270" t="s">
        <v>3944</v>
      </c>
      <c r="R6417" s="270">
        <v>2412.0300000000002</v>
      </c>
      <c r="S6417" s="270">
        <v>33408.14</v>
      </c>
      <c r="T6417" s="270">
        <v>35820.17</v>
      </c>
      <c r="U6417" s="271" t="s">
        <v>3945</v>
      </c>
      <c r="V6417" s="267" t="s">
        <v>944</v>
      </c>
    </row>
    <row r="6418" spans="1:22" hidden="1" x14ac:dyDescent="0.25">
      <c r="A6418" s="266">
        <v>43763</v>
      </c>
      <c r="B6418" s="267">
        <v>2019</v>
      </c>
      <c r="C6418" s="267">
        <v>2020</v>
      </c>
      <c r="D6418" s="267">
        <v>1</v>
      </c>
      <c r="E6418" s="267">
        <v>1</v>
      </c>
      <c r="F6418" s="267" t="s">
        <v>944</v>
      </c>
      <c r="G6418" s="267" t="s">
        <v>3926</v>
      </c>
      <c r="H6418" s="267" t="s">
        <v>11171</v>
      </c>
      <c r="I6418" s="267" t="s">
        <v>950</v>
      </c>
      <c r="J6418" s="267" t="s">
        <v>3928</v>
      </c>
      <c r="K6418" s="267">
        <v>6516</v>
      </c>
      <c r="L6418" s="267">
        <v>154800</v>
      </c>
      <c r="M6418" s="267" t="s">
        <v>3960</v>
      </c>
      <c r="N6418" s="267" t="s">
        <v>3944</v>
      </c>
      <c r="O6418" s="267">
        <v>1032.01</v>
      </c>
      <c r="P6418" s="267" t="s">
        <v>3944</v>
      </c>
      <c r="Q6418" s="267" t="s">
        <v>3944</v>
      </c>
      <c r="R6418" s="267">
        <v>1032.01</v>
      </c>
      <c r="S6418" s="267">
        <v>17946.61</v>
      </c>
      <c r="T6418" s="267">
        <v>18978.62</v>
      </c>
      <c r="U6418" s="268" t="s">
        <v>3945</v>
      </c>
      <c r="V6418" s="267" t="s">
        <v>944</v>
      </c>
    </row>
    <row r="6419" spans="1:22" hidden="1" x14ac:dyDescent="0.25">
      <c r="A6419" s="269">
        <v>43763</v>
      </c>
      <c r="B6419" s="270">
        <v>2019</v>
      </c>
      <c r="C6419" s="270">
        <v>2020</v>
      </c>
      <c r="D6419" s="270">
        <v>1</v>
      </c>
      <c r="E6419" s="270">
        <v>1</v>
      </c>
      <c r="F6419" s="270" t="s">
        <v>944</v>
      </c>
      <c r="G6419" s="270" t="s">
        <v>3926</v>
      </c>
      <c r="H6419" s="270" t="s">
        <v>11172</v>
      </c>
      <c r="I6419" s="270" t="s">
        <v>3025</v>
      </c>
      <c r="J6419" s="270" t="s">
        <v>3928</v>
      </c>
      <c r="K6419" s="270">
        <v>6473</v>
      </c>
      <c r="L6419" s="270">
        <v>167202</v>
      </c>
      <c r="M6419" s="270" t="s">
        <v>3935</v>
      </c>
      <c r="N6419" s="270" t="s">
        <v>3944</v>
      </c>
      <c r="O6419" s="270">
        <v>1842.51</v>
      </c>
      <c r="P6419" s="270" t="s">
        <v>3944</v>
      </c>
      <c r="Q6419" s="270" t="s">
        <v>3944</v>
      </c>
      <c r="R6419" s="270">
        <v>1842.51</v>
      </c>
      <c r="S6419" s="270">
        <v>27528.5</v>
      </c>
      <c r="T6419" s="270">
        <v>29371.01</v>
      </c>
      <c r="U6419" s="271" t="s">
        <v>3945</v>
      </c>
      <c r="V6419" s="267" t="s">
        <v>944</v>
      </c>
    </row>
    <row r="6420" spans="1:22" hidden="1" x14ac:dyDescent="0.25">
      <c r="A6420" s="266">
        <v>43763</v>
      </c>
      <c r="B6420" s="267">
        <v>2019</v>
      </c>
      <c r="C6420" s="267">
        <v>2020</v>
      </c>
      <c r="D6420" s="267">
        <v>1</v>
      </c>
      <c r="E6420" s="267">
        <v>1</v>
      </c>
      <c r="F6420" s="267" t="s">
        <v>944</v>
      </c>
      <c r="G6420" s="267" t="s">
        <v>3926</v>
      </c>
      <c r="H6420" s="267" t="s">
        <v>11173</v>
      </c>
      <c r="I6420" s="267" t="s">
        <v>956</v>
      </c>
      <c r="J6420" s="267" t="s">
        <v>3928</v>
      </c>
      <c r="K6420" s="267">
        <v>6614</v>
      </c>
      <c r="L6420" s="267">
        <v>80800</v>
      </c>
      <c r="M6420" s="267" t="s">
        <v>3960</v>
      </c>
      <c r="N6420" s="267" t="s">
        <v>3944</v>
      </c>
      <c r="O6420" s="267">
        <v>1970.89</v>
      </c>
      <c r="P6420" s="267" t="s">
        <v>3944</v>
      </c>
      <c r="Q6420" s="267" t="s">
        <v>3944</v>
      </c>
      <c r="R6420" s="267">
        <v>1970.89</v>
      </c>
      <c r="S6420" s="267">
        <v>29618</v>
      </c>
      <c r="T6420" s="267">
        <v>31588.89</v>
      </c>
      <c r="U6420" s="268" t="s">
        <v>3945</v>
      </c>
      <c r="V6420" s="267" t="s">
        <v>944</v>
      </c>
    </row>
    <row r="6421" spans="1:22" hidden="1" x14ac:dyDescent="0.25">
      <c r="A6421" s="269">
        <v>43763</v>
      </c>
      <c r="B6421" s="270">
        <v>2019</v>
      </c>
      <c r="C6421" s="270">
        <v>2020</v>
      </c>
      <c r="D6421" s="270">
        <v>1</v>
      </c>
      <c r="E6421" s="270">
        <v>1</v>
      </c>
      <c r="F6421" s="270" t="s">
        <v>944</v>
      </c>
      <c r="G6421" s="270" t="s">
        <v>3926</v>
      </c>
      <c r="H6421" s="270" t="s">
        <v>11174</v>
      </c>
      <c r="I6421" s="270" t="s">
        <v>3939</v>
      </c>
      <c r="J6421" s="270" t="s">
        <v>3928</v>
      </c>
      <c r="K6421" s="270">
        <v>6512</v>
      </c>
      <c r="L6421" s="270">
        <v>180200</v>
      </c>
      <c r="M6421" s="270" t="s">
        <v>3940</v>
      </c>
      <c r="N6421" s="270" t="s">
        <v>3944</v>
      </c>
      <c r="O6421" s="270">
        <v>1427.09</v>
      </c>
      <c r="P6421" s="270" t="s">
        <v>3944</v>
      </c>
      <c r="Q6421" s="270" t="s">
        <v>3944</v>
      </c>
      <c r="R6421" s="270">
        <v>1427.09</v>
      </c>
      <c r="S6421" s="270">
        <v>18513.259999999998</v>
      </c>
      <c r="T6421" s="270">
        <v>19940.349999999999</v>
      </c>
      <c r="U6421" s="271" t="s">
        <v>3945</v>
      </c>
      <c r="V6421" s="267" t="s">
        <v>944</v>
      </c>
    </row>
    <row r="6422" spans="1:22" hidden="1" x14ac:dyDescent="0.25">
      <c r="A6422" s="266">
        <v>43763</v>
      </c>
      <c r="B6422" s="267">
        <v>2019</v>
      </c>
      <c r="C6422" s="267">
        <v>2020</v>
      </c>
      <c r="D6422" s="267">
        <v>1</v>
      </c>
      <c r="E6422" s="267">
        <v>1</v>
      </c>
      <c r="F6422" s="267" t="s">
        <v>944</v>
      </c>
      <c r="G6422" s="267" t="s">
        <v>3926</v>
      </c>
      <c r="H6422" s="267" t="s">
        <v>11175</v>
      </c>
      <c r="I6422" s="267" t="s">
        <v>3939</v>
      </c>
      <c r="J6422" s="267" t="s">
        <v>3928</v>
      </c>
      <c r="K6422" s="267">
        <v>6512</v>
      </c>
      <c r="L6422" s="267">
        <v>180601</v>
      </c>
      <c r="M6422" s="267" t="s">
        <v>3940</v>
      </c>
      <c r="N6422" s="267" t="s">
        <v>3944</v>
      </c>
      <c r="O6422" s="267">
        <v>1678.46</v>
      </c>
      <c r="P6422" s="267" t="s">
        <v>3944</v>
      </c>
      <c r="Q6422" s="267" t="s">
        <v>3944</v>
      </c>
      <c r="R6422" s="267">
        <v>1678.46</v>
      </c>
      <c r="S6422" s="267">
        <v>24917.07</v>
      </c>
      <c r="T6422" s="267">
        <v>26595.53</v>
      </c>
      <c r="U6422" s="268" t="s">
        <v>3945</v>
      </c>
      <c r="V6422" s="267" t="s">
        <v>944</v>
      </c>
    </row>
    <row r="6423" spans="1:22" hidden="1" x14ac:dyDescent="0.25">
      <c r="A6423" s="269">
        <v>43764</v>
      </c>
      <c r="B6423" s="270">
        <v>2019</v>
      </c>
      <c r="C6423" s="270">
        <v>2020</v>
      </c>
      <c r="D6423" s="270">
        <v>1</v>
      </c>
      <c r="E6423" s="270">
        <v>1</v>
      </c>
      <c r="F6423" s="270" t="s">
        <v>944</v>
      </c>
      <c r="G6423" s="270" t="s">
        <v>3926</v>
      </c>
      <c r="H6423" s="270" t="s">
        <v>11176</v>
      </c>
      <c r="I6423" s="270" t="s">
        <v>2987</v>
      </c>
      <c r="J6423" s="270" t="s">
        <v>3928</v>
      </c>
      <c r="K6423" s="270">
        <v>6611</v>
      </c>
      <c r="L6423" s="270">
        <v>90700</v>
      </c>
      <c r="M6423" s="270" t="s">
        <v>3943</v>
      </c>
      <c r="N6423" s="270" t="s">
        <v>3983</v>
      </c>
      <c r="O6423" s="270">
        <v>1257.24</v>
      </c>
      <c r="P6423" s="270" t="s">
        <v>3930</v>
      </c>
      <c r="Q6423" s="270" t="s">
        <v>3931</v>
      </c>
      <c r="R6423" s="270">
        <v>6257.24</v>
      </c>
      <c r="S6423" s="270">
        <v>16504</v>
      </c>
      <c r="T6423" s="270">
        <v>22761.24</v>
      </c>
      <c r="U6423" s="271" t="s">
        <v>3932</v>
      </c>
      <c r="V6423" s="267" t="s">
        <v>944</v>
      </c>
    </row>
    <row r="6424" spans="1:22" hidden="1" x14ac:dyDescent="0.25">
      <c r="A6424" s="266">
        <v>43764</v>
      </c>
      <c r="B6424" s="267">
        <v>2019</v>
      </c>
      <c r="C6424" s="267">
        <v>2020</v>
      </c>
      <c r="D6424" s="267">
        <v>1</v>
      </c>
      <c r="E6424" s="267">
        <v>1</v>
      </c>
      <c r="F6424" s="267" t="s">
        <v>944</v>
      </c>
      <c r="G6424" s="267" t="s">
        <v>3926</v>
      </c>
      <c r="H6424" s="267" t="s">
        <v>11177</v>
      </c>
      <c r="I6424" s="267" t="s">
        <v>3996</v>
      </c>
      <c r="J6424" s="267" t="s">
        <v>3928</v>
      </c>
      <c r="K6424" s="267">
        <v>6790</v>
      </c>
      <c r="L6424" s="267">
        <v>310700</v>
      </c>
      <c r="M6424" s="267" t="s">
        <v>3940</v>
      </c>
      <c r="N6424" s="267" t="s">
        <v>4523</v>
      </c>
      <c r="O6424" s="267">
        <v>1623.09</v>
      </c>
      <c r="P6424" s="267" t="s">
        <v>3930</v>
      </c>
      <c r="Q6424" s="267" t="s">
        <v>3931</v>
      </c>
      <c r="R6424" s="267">
        <v>6623.09</v>
      </c>
      <c r="S6424" s="267">
        <v>25412.799999999999</v>
      </c>
      <c r="T6424" s="267">
        <v>32035.89</v>
      </c>
      <c r="U6424" s="268" t="s">
        <v>3932</v>
      </c>
      <c r="V6424" s="267" t="s">
        <v>944</v>
      </c>
    </row>
    <row r="6425" spans="1:22" hidden="1" x14ac:dyDescent="0.25">
      <c r="A6425" s="269">
        <v>43765</v>
      </c>
      <c r="B6425" s="270">
        <v>2019</v>
      </c>
      <c r="C6425" s="270">
        <v>2020</v>
      </c>
      <c r="D6425" s="270">
        <v>1</v>
      </c>
      <c r="E6425" s="270">
        <v>1</v>
      </c>
      <c r="F6425" s="270" t="s">
        <v>944</v>
      </c>
      <c r="G6425" s="270" t="s">
        <v>3926</v>
      </c>
      <c r="H6425" s="270" t="s">
        <v>11178</v>
      </c>
      <c r="I6425" s="270" t="s">
        <v>934</v>
      </c>
      <c r="J6425" s="270" t="s">
        <v>3928</v>
      </c>
      <c r="K6425" s="270">
        <v>6601</v>
      </c>
      <c r="L6425" s="270">
        <v>240200</v>
      </c>
      <c r="M6425" s="270" t="s">
        <v>3943</v>
      </c>
      <c r="N6425" s="270" t="s">
        <v>3983</v>
      </c>
      <c r="O6425" s="270">
        <v>1467.73</v>
      </c>
      <c r="P6425" s="270" t="s">
        <v>3930</v>
      </c>
      <c r="Q6425" s="270" t="s">
        <v>3931</v>
      </c>
      <c r="R6425" s="270">
        <v>6467.73</v>
      </c>
      <c r="S6425" s="270">
        <v>16504</v>
      </c>
      <c r="T6425" s="270">
        <v>22971.73</v>
      </c>
      <c r="U6425" s="271" t="s">
        <v>3932</v>
      </c>
      <c r="V6425" s="267" t="s">
        <v>944</v>
      </c>
    </row>
    <row r="6426" spans="1:22" x14ac:dyDescent="0.25">
      <c r="A6426" s="266">
        <v>43766</v>
      </c>
      <c r="B6426" s="267">
        <v>2019</v>
      </c>
      <c r="C6426" s="267">
        <v>2020</v>
      </c>
      <c r="D6426" s="267">
        <v>1</v>
      </c>
      <c r="E6426" s="267">
        <v>1</v>
      </c>
      <c r="F6426" s="267" t="s">
        <v>944</v>
      </c>
      <c r="G6426" s="267" t="s">
        <v>3926</v>
      </c>
      <c r="H6426" s="267" t="s">
        <v>11179</v>
      </c>
      <c r="I6426" s="267" t="s">
        <v>943</v>
      </c>
      <c r="J6426" s="267" t="s">
        <v>3928</v>
      </c>
      <c r="K6426" s="267">
        <v>6511</v>
      </c>
      <c r="L6426" s="267">
        <v>140700</v>
      </c>
      <c r="M6426" s="267">
        <v>-60</v>
      </c>
      <c r="N6426" s="267" t="s">
        <v>11180</v>
      </c>
      <c r="O6426" s="267">
        <v>0</v>
      </c>
      <c r="P6426" s="267" t="s">
        <v>3930</v>
      </c>
      <c r="Q6426" s="267" t="s">
        <v>3930</v>
      </c>
      <c r="R6426" s="267">
        <v>0</v>
      </c>
      <c r="S6426" s="267">
        <v>40000</v>
      </c>
      <c r="T6426" s="267">
        <v>40000</v>
      </c>
      <c r="U6426" s="268" t="s">
        <v>3937</v>
      </c>
      <c r="V6426" s="276" t="s">
        <v>936</v>
      </c>
    </row>
    <row r="6427" spans="1:22" hidden="1" x14ac:dyDescent="0.25">
      <c r="A6427" s="269">
        <v>43766</v>
      </c>
      <c r="B6427" s="270">
        <v>2019</v>
      </c>
      <c r="C6427" s="270">
        <v>2020</v>
      </c>
      <c r="D6427" s="270">
        <v>1</v>
      </c>
      <c r="E6427" s="270">
        <v>1</v>
      </c>
      <c r="F6427" s="270" t="s">
        <v>944</v>
      </c>
      <c r="G6427" s="270" t="s">
        <v>3997</v>
      </c>
      <c r="H6427" s="270" t="s">
        <v>11181</v>
      </c>
      <c r="I6427" s="270" t="s">
        <v>934</v>
      </c>
      <c r="J6427" s="270" t="s">
        <v>3928</v>
      </c>
      <c r="K6427" s="270">
        <v>6601</v>
      </c>
      <c r="L6427" s="270">
        <v>240200</v>
      </c>
      <c r="M6427" s="270" t="s">
        <v>3943</v>
      </c>
      <c r="N6427" s="270" t="s">
        <v>4701</v>
      </c>
      <c r="O6427" s="270">
        <v>6327.09</v>
      </c>
      <c r="P6427" s="270" t="s">
        <v>3930</v>
      </c>
      <c r="Q6427" s="270" t="s">
        <v>3931</v>
      </c>
      <c r="R6427" s="270">
        <v>11327.09</v>
      </c>
      <c r="S6427" s="270">
        <v>34648</v>
      </c>
      <c r="T6427" s="270">
        <v>45975.09</v>
      </c>
      <c r="U6427" s="271" t="s">
        <v>3932</v>
      </c>
      <c r="V6427" s="267" t="s">
        <v>944</v>
      </c>
    </row>
    <row r="6428" spans="1:22" hidden="1" x14ac:dyDescent="0.25">
      <c r="A6428" s="266">
        <v>43766</v>
      </c>
      <c r="B6428" s="267">
        <v>2019</v>
      </c>
      <c r="C6428" s="267">
        <v>2020</v>
      </c>
      <c r="D6428" s="267">
        <v>1</v>
      </c>
      <c r="E6428" s="267">
        <v>1</v>
      </c>
      <c r="F6428" s="267" t="s">
        <v>944</v>
      </c>
      <c r="G6428" s="267" t="s">
        <v>3926</v>
      </c>
      <c r="H6428" s="267" t="s">
        <v>11182</v>
      </c>
      <c r="I6428" s="267" t="s">
        <v>4147</v>
      </c>
      <c r="J6428" s="267" t="s">
        <v>3928</v>
      </c>
      <c r="K6428" s="267">
        <v>6109</v>
      </c>
      <c r="L6428" s="267">
        <v>492300</v>
      </c>
      <c r="M6428" s="267" t="s">
        <v>3940</v>
      </c>
      <c r="N6428" s="267" t="s">
        <v>4534</v>
      </c>
      <c r="O6428" s="267">
        <v>0</v>
      </c>
      <c r="P6428" s="267" t="s">
        <v>3930</v>
      </c>
      <c r="Q6428" s="267" t="s">
        <v>3930</v>
      </c>
      <c r="R6428" s="267">
        <v>0</v>
      </c>
      <c r="S6428" s="267">
        <v>8155</v>
      </c>
      <c r="T6428" s="267">
        <v>8155</v>
      </c>
      <c r="U6428" s="268" t="s">
        <v>3937</v>
      </c>
      <c r="V6428" s="267" t="s">
        <v>944</v>
      </c>
    </row>
    <row r="6429" spans="1:22" hidden="1" x14ac:dyDescent="0.25">
      <c r="A6429" s="269">
        <v>43766</v>
      </c>
      <c r="B6429" s="270">
        <v>2019</v>
      </c>
      <c r="C6429" s="270">
        <v>2020</v>
      </c>
      <c r="D6429" s="270">
        <v>1</v>
      </c>
      <c r="E6429" s="270">
        <v>1</v>
      </c>
      <c r="F6429" s="270" t="s">
        <v>944</v>
      </c>
      <c r="G6429" s="270" t="s">
        <v>3926</v>
      </c>
      <c r="H6429" s="270" t="s">
        <v>11183</v>
      </c>
      <c r="I6429" s="270" t="s">
        <v>5032</v>
      </c>
      <c r="J6429" s="270" t="s">
        <v>3928</v>
      </c>
      <c r="K6429" s="270">
        <v>6062</v>
      </c>
      <c r="L6429" s="270">
        <v>420400</v>
      </c>
      <c r="M6429" s="270" t="s">
        <v>3960</v>
      </c>
      <c r="N6429" s="270" t="s">
        <v>11184</v>
      </c>
      <c r="O6429" s="270">
        <v>4449</v>
      </c>
      <c r="P6429" s="270" t="s">
        <v>3930</v>
      </c>
      <c r="Q6429" s="270" t="s">
        <v>3930</v>
      </c>
      <c r="R6429" s="270">
        <v>4449</v>
      </c>
      <c r="S6429" s="270">
        <v>26032</v>
      </c>
      <c r="T6429" s="270">
        <v>30481</v>
      </c>
      <c r="U6429" s="271" t="s">
        <v>3937</v>
      </c>
      <c r="V6429" s="267" t="s">
        <v>944</v>
      </c>
    </row>
    <row r="6430" spans="1:22" hidden="1" x14ac:dyDescent="0.25">
      <c r="A6430" s="266">
        <v>43766</v>
      </c>
      <c r="B6430" s="267">
        <v>2019</v>
      </c>
      <c r="C6430" s="267">
        <v>2020</v>
      </c>
      <c r="D6430" s="267">
        <v>1</v>
      </c>
      <c r="E6430" s="267">
        <v>1</v>
      </c>
      <c r="F6430" s="267" t="s">
        <v>944</v>
      </c>
      <c r="G6430" s="267" t="s">
        <v>3926</v>
      </c>
      <c r="H6430" s="267" t="s">
        <v>11185</v>
      </c>
      <c r="I6430" s="267" t="s">
        <v>3939</v>
      </c>
      <c r="J6430" s="267" t="s">
        <v>3928</v>
      </c>
      <c r="K6430" s="267">
        <v>6513</v>
      </c>
      <c r="L6430" s="267">
        <v>180602</v>
      </c>
      <c r="M6430" s="267" t="s">
        <v>3935</v>
      </c>
      <c r="N6430" s="267" t="s">
        <v>3944</v>
      </c>
      <c r="O6430" s="267">
        <v>1497</v>
      </c>
      <c r="P6430" s="267" t="s">
        <v>3944</v>
      </c>
      <c r="Q6430" s="267" t="s">
        <v>3944</v>
      </c>
      <c r="R6430" s="267">
        <v>1497</v>
      </c>
      <c r="S6430" s="267">
        <v>16103</v>
      </c>
      <c r="T6430" s="267">
        <v>17600</v>
      </c>
      <c r="U6430" s="268" t="s">
        <v>3945</v>
      </c>
      <c r="V6430" s="267" t="s">
        <v>944</v>
      </c>
    </row>
    <row r="6431" spans="1:22" hidden="1" x14ac:dyDescent="0.25">
      <c r="A6431" s="269">
        <v>43766</v>
      </c>
      <c r="B6431" s="270">
        <v>2019</v>
      </c>
      <c r="C6431" s="270">
        <v>2020</v>
      </c>
      <c r="D6431" s="270">
        <v>1</v>
      </c>
      <c r="E6431" s="270">
        <v>1</v>
      </c>
      <c r="F6431" s="270" t="s">
        <v>944</v>
      </c>
      <c r="G6431" s="270" t="s">
        <v>3926</v>
      </c>
      <c r="H6431" s="270" t="s">
        <v>11186</v>
      </c>
      <c r="I6431" s="270" t="s">
        <v>4392</v>
      </c>
      <c r="J6431" s="270" t="s">
        <v>3928</v>
      </c>
      <c r="K6431" s="270">
        <v>6457</v>
      </c>
      <c r="L6431" s="270">
        <v>541500</v>
      </c>
      <c r="M6431" s="270" t="s">
        <v>3940</v>
      </c>
      <c r="N6431" s="270" t="s">
        <v>3944</v>
      </c>
      <c r="O6431" s="270">
        <v>2431</v>
      </c>
      <c r="P6431" s="270" t="s">
        <v>3944</v>
      </c>
      <c r="Q6431" s="270" t="s">
        <v>3944</v>
      </c>
      <c r="R6431" s="270">
        <v>2431</v>
      </c>
      <c r="S6431" s="270">
        <v>17867.599999999999</v>
      </c>
      <c r="T6431" s="270">
        <v>20298.599999999999</v>
      </c>
      <c r="U6431" s="271" t="s">
        <v>3945</v>
      </c>
      <c r="V6431" s="267" t="s">
        <v>944</v>
      </c>
    </row>
    <row r="6432" spans="1:22" hidden="1" x14ac:dyDescent="0.25">
      <c r="A6432" s="266">
        <v>43766</v>
      </c>
      <c r="B6432" s="267">
        <v>2019</v>
      </c>
      <c r="C6432" s="267">
        <v>2020</v>
      </c>
      <c r="D6432" s="267">
        <v>1</v>
      </c>
      <c r="E6432" s="267">
        <v>1</v>
      </c>
      <c r="F6432" s="267" t="s">
        <v>944</v>
      </c>
      <c r="G6432" s="267" t="s">
        <v>3926</v>
      </c>
      <c r="H6432" s="267" t="s">
        <v>11187</v>
      </c>
      <c r="I6432" s="267" t="s">
        <v>4461</v>
      </c>
      <c r="J6432" s="267" t="s">
        <v>3928</v>
      </c>
      <c r="K6432" s="267">
        <v>6807</v>
      </c>
      <c r="L6432" s="267">
        <v>10800</v>
      </c>
      <c r="M6432" s="267" t="s">
        <v>3943</v>
      </c>
      <c r="N6432" s="267" t="s">
        <v>3944</v>
      </c>
      <c r="O6432" s="267">
        <v>1704</v>
      </c>
      <c r="P6432" s="267" t="s">
        <v>3944</v>
      </c>
      <c r="Q6432" s="267" t="s">
        <v>3944</v>
      </c>
      <c r="R6432" s="267">
        <v>1704</v>
      </c>
      <c r="S6432" s="267">
        <v>29328</v>
      </c>
      <c r="T6432" s="267">
        <v>31032</v>
      </c>
      <c r="U6432" s="268" t="s">
        <v>3945</v>
      </c>
      <c r="V6432" s="267" t="s">
        <v>944</v>
      </c>
    </row>
    <row r="6433" spans="1:22" hidden="1" x14ac:dyDescent="0.25">
      <c r="A6433" s="269">
        <v>43766</v>
      </c>
      <c r="B6433" s="270">
        <v>2019</v>
      </c>
      <c r="C6433" s="270">
        <v>2020</v>
      </c>
      <c r="D6433" s="270">
        <v>1</v>
      </c>
      <c r="E6433" s="270">
        <v>1</v>
      </c>
      <c r="F6433" s="270" t="s">
        <v>944</v>
      </c>
      <c r="G6433" s="270" t="s">
        <v>3926</v>
      </c>
      <c r="H6433" s="270" t="s">
        <v>11188</v>
      </c>
      <c r="I6433" s="270" t="s">
        <v>4029</v>
      </c>
      <c r="J6433" s="270" t="s">
        <v>3928</v>
      </c>
      <c r="K6433" s="270">
        <v>6851</v>
      </c>
      <c r="L6433" s="270">
        <v>43500</v>
      </c>
      <c r="M6433" s="270" t="s">
        <v>3943</v>
      </c>
      <c r="N6433" s="270" t="s">
        <v>3944</v>
      </c>
      <c r="O6433" s="270">
        <v>1872.36</v>
      </c>
      <c r="P6433" s="270" t="s">
        <v>3944</v>
      </c>
      <c r="Q6433" s="270" t="s">
        <v>3944</v>
      </c>
      <c r="R6433" s="270">
        <v>1872.36</v>
      </c>
      <c r="S6433" s="270">
        <v>27573.17</v>
      </c>
      <c r="T6433" s="270">
        <v>29445.53</v>
      </c>
      <c r="U6433" s="271" t="s">
        <v>3945</v>
      </c>
      <c r="V6433" s="267" t="s">
        <v>944</v>
      </c>
    </row>
    <row r="6434" spans="1:22" hidden="1" x14ac:dyDescent="0.25">
      <c r="A6434" s="266">
        <v>43766</v>
      </c>
      <c r="B6434" s="267">
        <v>2019</v>
      </c>
      <c r="C6434" s="267">
        <v>2020</v>
      </c>
      <c r="D6434" s="267">
        <v>1</v>
      </c>
      <c r="E6434" s="267">
        <v>1</v>
      </c>
      <c r="F6434" s="267" t="s">
        <v>944</v>
      </c>
      <c r="G6434" s="267" t="s">
        <v>3926</v>
      </c>
      <c r="H6434" s="267" t="s">
        <v>11189</v>
      </c>
      <c r="I6434" s="267" t="s">
        <v>6330</v>
      </c>
      <c r="J6434" s="267" t="s">
        <v>3928</v>
      </c>
      <c r="K6434" s="267">
        <v>6791</v>
      </c>
      <c r="L6434" s="267">
        <v>298400</v>
      </c>
      <c r="M6434" s="267" t="s">
        <v>3943</v>
      </c>
      <c r="N6434" s="267" t="s">
        <v>3944</v>
      </c>
      <c r="O6434" s="267">
        <v>1168.48</v>
      </c>
      <c r="P6434" s="267" t="s">
        <v>3944</v>
      </c>
      <c r="Q6434" s="267" t="s">
        <v>3944</v>
      </c>
      <c r="R6434" s="267">
        <v>1168.48</v>
      </c>
      <c r="S6434" s="267">
        <v>18301.11</v>
      </c>
      <c r="T6434" s="267">
        <v>19469.59</v>
      </c>
      <c r="U6434" s="268" t="s">
        <v>3945</v>
      </c>
      <c r="V6434" s="267" t="s">
        <v>944</v>
      </c>
    </row>
    <row r="6435" spans="1:22" hidden="1" x14ac:dyDescent="0.25">
      <c r="A6435" s="269">
        <v>43766</v>
      </c>
      <c r="B6435" s="270">
        <v>2019</v>
      </c>
      <c r="C6435" s="270">
        <v>2020</v>
      </c>
      <c r="D6435" s="270">
        <v>1</v>
      </c>
      <c r="E6435" s="270">
        <v>1</v>
      </c>
      <c r="F6435" s="270" t="s">
        <v>944</v>
      </c>
      <c r="G6435" s="270" t="s">
        <v>3926</v>
      </c>
      <c r="H6435" s="270" t="s">
        <v>11190</v>
      </c>
      <c r="I6435" s="270" t="s">
        <v>6268</v>
      </c>
      <c r="J6435" s="270" t="s">
        <v>3928</v>
      </c>
      <c r="K6435" s="270">
        <v>6371</v>
      </c>
      <c r="L6435" s="270">
        <v>660102</v>
      </c>
      <c r="M6435" s="270" t="s">
        <v>3960</v>
      </c>
      <c r="N6435" s="270" t="s">
        <v>3944</v>
      </c>
      <c r="O6435" s="270">
        <v>1464.65</v>
      </c>
      <c r="P6435" s="270" t="s">
        <v>3944</v>
      </c>
      <c r="Q6435" s="270" t="s">
        <v>3944</v>
      </c>
      <c r="R6435" s="270">
        <v>1464.65</v>
      </c>
      <c r="S6435" s="270">
        <v>22473.46</v>
      </c>
      <c r="T6435" s="270">
        <v>23938.11</v>
      </c>
      <c r="U6435" s="271" t="s">
        <v>3945</v>
      </c>
      <c r="V6435" s="267" t="s">
        <v>944</v>
      </c>
    </row>
    <row r="6436" spans="1:22" hidden="1" x14ac:dyDescent="0.25">
      <c r="A6436" s="266">
        <v>43766</v>
      </c>
      <c r="B6436" s="267">
        <v>2019</v>
      </c>
      <c r="C6436" s="267">
        <v>2020</v>
      </c>
      <c r="D6436" s="267">
        <v>1</v>
      </c>
      <c r="E6436" s="267">
        <v>1</v>
      </c>
      <c r="F6436" s="267" t="s">
        <v>944</v>
      </c>
      <c r="G6436" s="267" t="s">
        <v>3926</v>
      </c>
      <c r="H6436" s="267" t="s">
        <v>11191</v>
      </c>
      <c r="I6436" s="267" t="s">
        <v>3939</v>
      </c>
      <c r="J6436" s="267" t="s">
        <v>3928</v>
      </c>
      <c r="K6436" s="267">
        <v>6512</v>
      </c>
      <c r="L6436" s="267">
        <v>180200</v>
      </c>
      <c r="M6436" s="267" t="s">
        <v>3940</v>
      </c>
      <c r="N6436" s="267" t="s">
        <v>3944</v>
      </c>
      <c r="O6436" s="267">
        <v>2273.08</v>
      </c>
      <c r="P6436" s="267" t="s">
        <v>3944</v>
      </c>
      <c r="Q6436" s="267" t="s">
        <v>3944</v>
      </c>
      <c r="R6436" s="267">
        <v>2273.08</v>
      </c>
      <c r="S6436" s="267">
        <v>36605.18</v>
      </c>
      <c r="T6436" s="267">
        <v>38878.26</v>
      </c>
      <c r="U6436" s="268" t="s">
        <v>3945</v>
      </c>
      <c r="V6436" s="267" t="s">
        <v>944</v>
      </c>
    </row>
    <row r="6437" spans="1:22" hidden="1" x14ac:dyDescent="0.25">
      <c r="A6437" s="269">
        <v>43766</v>
      </c>
      <c r="B6437" s="270">
        <v>2019</v>
      </c>
      <c r="C6437" s="270">
        <v>2020</v>
      </c>
      <c r="D6437" s="270">
        <v>1</v>
      </c>
      <c r="E6437" s="270">
        <v>1</v>
      </c>
      <c r="F6437" s="270" t="s">
        <v>944</v>
      </c>
      <c r="G6437" s="270" t="s">
        <v>3926</v>
      </c>
      <c r="H6437" s="270" t="s">
        <v>11192</v>
      </c>
      <c r="I6437" s="270" t="s">
        <v>950</v>
      </c>
      <c r="J6437" s="270" t="s">
        <v>3928</v>
      </c>
      <c r="K6437" s="270">
        <v>6516</v>
      </c>
      <c r="L6437" s="270">
        <v>154800</v>
      </c>
      <c r="M6437" s="270" t="s">
        <v>3960</v>
      </c>
      <c r="N6437" s="270" t="s">
        <v>3944</v>
      </c>
      <c r="O6437" s="270">
        <v>1024.3499999999999</v>
      </c>
      <c r="P6437" s="270" t="s">
        <v>3944</v>
      </c>
      <c r="Q6437" s="270" t="s">
        <v>3944</v>
      </c>
      <c r="R6437" s="270">
        <v>1024.3499999999999</v>
      </c>
      <c r="S6437" s="270">
        <v>15758.85</v>
      </c>
      <c r="T6437" s="270">
        <v>16783.2</v>
      </c>
      <c r="U6437" s="271" t="s">
        <v>3945</v>
      </c>
      <c r="V6437" s="267" t="s">
        <v>944</v>
      </c>
    </row>
    <row r="6438" spans="1:22" x14ac:dyDescent="0.25">
      <c r="A6438" s="266">
        <v>43766</v>
      </c>
      <c r="B6438" s="267">
        <v>2019</v>
      </c>
      <c r="C6438" s="267">
        <v>2020</v>
      </c>
      <c r="D6438" s="267">
        <v>1</v>
      </c>
      <c r="E6438" s="267">
        <v>1</v>
      </c>
      <c r="F6438" s="267" t="s">
        <v>944</v>
      </c>
      <c r="G6438" s="267" t="s">
        <v>3926</v>
      </c>
      <c r="H6438" s="267" t="s">
        <v>11193</v>
      </c>
      <c r="I6438" s="267" t="s">
        <v>934</v>
      </c>
      <c r="J6438" s="267" t="s">
        <v>3928</v>
      </c>
      <c r="K6438" s="267">
        <v>6610</v>
      </c>
      <c r="L6438" s="267">
        <v>73300</v>
      </c>
      <c r="M6438" s="267">
        <v>-60</v>
      </c>
      <c r="N6438" s="267" t="s">
        <v>3944</v>
      </c>
      <c r="O6438" s="267">
        <v>2035.39</v>
      </c>
      <c r="P6438" s="267" t="s">
        <v>3944</v>
      </c>
      <c r="Q6438" s="267" t="s">
        <v>3944</v>
      </c>
      <c r="R6438" s="267">
        <v>2035.39</v>
      </c>
      <c r="S6438" s="267">
        <v>35220.080000000002</v>
      </c>
      <c r="T6438" s="267">
        <v>37255.47</v>
      </c>
      <c r="U6438" s="268" t="s">
        <v>3945</v>
      </c>
      <c r="V6438" s="276" t="s">
        <v>936</v>
      </c>
    </row>
    <row r="6439" spans="1:22" hidden="1" x14ac:dyDescent="0.25">
      <c r="A6439" s="269">
        <v>43766</v>
      </c>
      <c r="B6439" s="270">
        <v>2019</v>
      </c>
      <c r="C6439" s="270">
        <v>2020</v>
      </c>
      <c r="D6439" s="270">
        <v>1</v>
      </c>
      <c r="E6439" s="270">
        <v>1</v>
      </c>
      <c r="F6439" s="270" t="s">
        <v>944</v>
      </c>
      <c r="G6439" s="270" t="s">
        <v>3926</v>
      </c>
      <c r="H6439" s="270" t="s">
        <v>11194</v>
      </c>
      <c r="I6439" s="270" t="s">
        <v>3985</v>
      </c>
      <c r="J6439" s="270" t="s">
        <v>3928</v>
      </c>
      <c r="K6439" s="270">
        <v>6256</v>
      </c>
      <c r="L6439" s="270">
        <v>800500</v>
      </c>
      <c r="M6439" s="270" t="s">
        <v>3940</v>
      </c>
      <c r="N6439" s="270" t="s">
        <v>3944</v>
      </c>
      <c r="O6439" s="270">
        <v>1491.18</v>
      </c>
      <c r="P6439" s="270" t="s">
        <v>3944</v>
      </c>
      <c r="Q6439" s="270" t="s">
        <v>3944</v>
      </c>
      <c r="R6439" s="270">
        <v>1491.18</v>
      </c>
      <c r="S6439" s="270">
        <v>21984.880000000001</v>
      </c>
      <c r="T6439" s="270">
        <v>23476.06</v>
      </c>
      <c r="U6439" s="271" t="s">
        <v>3945</v>
      </c>
      <c r="V6439" s="267" t="s">
        <v>944</v>
      </c>
    </row>
    <row r="6440" spans="1:22" hidden="1" x14ac:dyDescent="0.25">
      <c r="A6440" s="266">
        <v>43766</v>
      </c>
      <c r="B6440" s="267">
        <v>2019</v>
      </c>
      <c r="C6440" s="267">
        <v>2020</v>
      </c>
      <c r="D6440" s="267">
        <v>1</v>
      </c>
      <c r="E6440" s="267">
        <v>1</v>
      </c>
      <c r="F6440" s="267" t="s">
        <v>944</v>
      </c>
      <c r="G6440" s="267" t="s">
        <v>3926</v>
      </c>
      <c r="H6440" s="267" t="s">
        <v>11195</v>
      </c>
      <c r="I6440" s="267" t="s">
        <v>4392</v>
      </c>
      <c r="J6440" s="267" t="s">
        <v>3928</v>
      </c>
      <c r="K6440" s="267">
        <v>6457</v>
      </c>
      <c r="L6440" s="267">
        <v>541200</v>
      </c>
      <c r="M6440" s="267" t="s">
        <v>3935</v>
      </c>
      <c r="N6440" s="267" t="s">
        <v>3944</v>
      </c>
      <c r="O6440" s="267">
        <v>2916.41</v>
      </c>
      <c r="P6440" s="267" t="s">
        <v>3944</v>
      </c>
      <c r="Q6440" s="267" t="s">
        <v>3944</v>
      </c>
      <c r="R6440" s="267">
        <v>2916.41</v>
      </c>
      <c r="S6440" s="267">
        <v>42226.61</v>
      </c>
      <c r="T6440" s="267">
        <v>45143.02</v>
      </c>
      <c r="U6440" s="268" t="s">
        <v>3945</v>
      </c>
      <c r="V6440" s="267" t="s">
        <v>944</v>
      </c>
    </row>
    <row r="6441" spans="1:22" hidden="1" x14ac:dyDescent="0.25">
      <c r="A6441" s="269">
        <v>43766</v>
      </c>
      <c r="B6441" s="270">
        <v>2019</v>
      </c>
      <c r="C6441" s="270">
        <v>2020</v>
      </c>
      <c r="D6441" s="270">
        <v>1</v>
      </c>
      <c r="E6441" s="270">
        <v>1</v>
      </c>
      <c r="F6441" s="270" t="s">
        <v>944</v>
      </c>
      <c r="G6441" s="270" t="s">
        <v>3926</v>
      </c>
      <c r="H6441" s="270" t="s">
        <v>11196</v>
      </c>
      <c r="I6441" s="270" t="s">
        <v>2985</v>
      </c>
      <c r="J6441" s="270" t="s">
        <v>3928</v>
      </c>
      <c r="K6441" s="270">
        <v>6432</v>
      </c>
      <c r="L6441" s="270">
        <v>60100</v>
      </c>
      <c r="M6441" s="270" t="s">
        <v>3943</v>
      </c>
      <c r="N6441" s="270" t="s">
        <v>3944</v>
      </c>
      <c r="O6441" s="270">
        <v>2389.21</v>
      </c>
      <c r="P6441" s="270" t="s">
        <v>3944</v>
      </c>
      <c r="Q6441" s="270" t="s">
        <v>3944</v>
      </c>
      <c r="R6441" s="270">
        <v>2389.21</v>
      </c>
      <c r="S6441" s="270">
        <v>42626.68</v>
      </c>
      <c r="T6441" s="270">
        <v>45015.89</v>
      </c>
      <c r="U6441" s="271" t="s">
        <v>3945</v>
      </c>
      <c r="V6441" s="267" t="s">
        <v>944</v>
      </c>
    </row>
    <row r="6442" spans="1:22" hidden="1" x14ac:dyDescent="0.25">
      <c r="A6442" s="266">
        <v>43766</v>
      </c>
      <c r="B6442" s="267">
        <v>2019</v>
      </c>
      <c r="C6442" s="267">
        <v>2020</v>
      </c>
      <c r="D6442" s="267">
        <v>1</v>
      </c>
      <c r="E6442" s="267">
        <v>1</v>
      </c>
      <c r="F6442" s="267" t="s">
        <v>944</v>
      </c>
      <c r="G6442" s="267" t="s">
        <v>3926</v>
      </c>
      <c r="H6442" s="267" t="s">
        <v>11197</v>
      </c>
      <c r="I6442" s="267" t="s">
        <v>4019</v>
      </c>
      <c r="J6442" s="267" t="s">
        <v>3928</v>
      </c>
      <c r="K6442" s="267">
        <v>6706</v>
      </c>
      <c r="L6442" s="267">
        <v>352800</v>
      </c>
      <c r="M6442" s="267" t="s">
        <v>3940</v>
      </c>
      <c r="N6442" s="267" t="s">
        <v>3944</v>
      </c>
      <c r="O6442" s="267">
        <v>2970.14</v>
      </c>
      <c r="P6442" s="267" t="s">
        <v>3944</v>
      </c>
      <c r="Q6442" s="267" t="s">
        <v>3944</v>
      </c>
      <c r="R6442" s="267">
        <v>2970.14</v>
      </c>
      <c r="S6442" s="267">
        <v>40262.01</v>
      </c>
      <c r="T6442" s="267">
        <v>43232.15</v>
      </c>
      <c r="U6442" s="268" t="s">
        <v>3945</v>
      </c>
      <c r="V6442" s="267" t="s">
        <v>944</v>
      </c>
    </row>
    <row r="6443" spans="1:22" hidden="1" x14ac:dyDescent="0.25">
      <c r="A6443" s="269">
        <v>43766</v>
      </c>
      <c r="B6443" s="270">
        <v>2019</v>
      </c>
      <c r="C6443" s="270">
        <v>2020</v>
      </c>
      <c r="D6443" s="270">
        <v>1</v>
      </c>
      <c r="E6443" s="270">
        <v>1</v>
      </c>
      <c r="F6443" s="270" t="s">
        <v>944</v>
      </c>
      <c r="G6443" s="270" t="s">
        <v>3926</v>
      </c>
      <c r="H6443" s="270" t="s">
        <v>11198</v>
      </c>
      <c r="I6443" s="270" t="s">
        <v>4019</v>
      </c>
      <c r="J6443" s="270" t="s">
        <v>3928</v>
      </c>
      <c r="K6443" s="270">
        <v>6708</v>
      </c>
      <c r="L6443" s="270">
        <v>351800</v>
      </c>
      <c r="M6443" s="270" t="s">
        <v>3940</v>
      </c>
      <c r="N6443" s="270" t="s">
        <v>3944</v>
      </c>
      <c r="O6443" s="270">
        <v>1837.96</v>
      </c>
      <c r="P6443" s="270" t="s">
        <v>3944</v>
      </c>
      <c r="Q6443" s="270" t="s">
        <v>3944</v>
      </c>
      <c r="R6443" s="270">
        <v>1837.96</v>
      </c>
      <c r="S6443" s="270">
        <v>29949.84</v>
      </c>
      <c r="T6443" s="270">
        <v>31787.8</v>
      </c>
      <c r="U6443" s="271" t="s">
        <v>3945</v>
      </c>
      <c r="V6443" s="267" t="s">
        <v>944</v>
      </c>
    </row>
    <row r="6444" spans="1:22" hidden="1" x14ac:dyDescent="0.25">
      <c r="A6444" s="266">
        <v>43766</v>
      </c>
      <c r="B6444" s="267">
        <v>2019</v>
      </c>
      <c r="C6444" s="267">
        <v>2020</v>
      </c>
      <c r="D6444" s="267">
        <v>1</v>
      </c>
      <c r="E6444" s="267">
        <v>1</v>
      </c>
      <c r="F6444" s="267" t="s">
        <v>944</v>
      </c>
      <c r="G6444" s="267" t="s">
        <v>3926</v>
      </c>
      <c r="H6444" s="267" t="s">
        <v>11199</v>
      </c>
      <c r="I6444" s="267" t="s">
        <v>4269</v>
      </c>
      <c r="J6444" s="267" t="s">
        <v>3928</v>
      </c>
      <c r="K6444" s="267">
        <v>6110</v>
      </c>
      <c r="L6444" s="267">
        <v>496800</v>
      </c>
      <c r="M6444" s="267" t="s">
        <v>3935</v>
      </c>
      <c r="N6444" s="267" t="s">
        <v>3944</v>
      </c>
      <c r="O6444" s="267">
        <v>965.86</v>
      </c>
      <c r="P6444" s="267" t="s">
        <v>3944</v>
      </c>
      <c r="Q6444" s="267" t="s">
        <v>3944</v>
      </c>
      <c r="R6444" s="267">
        <v>965.86</v>
      </c>
      <c r="S6444" s="267">
        <v>13859</v>
      </c>
      <c r="T6444" s="267">
        <v>14824.86</v>
      </c>
      <c r="U6444" s="268" t="s">
        <v>3945</v>
      </c>
      <c r="V6444" s="267" t="s">
        <v>944</v>
      </c>
    </row>
    <row r="6445" spans="1:22" hidden="1" x14ac:dyDescent="0.25">
      <c r="A6445" s="269">
        <v>43766</v>
      </c>
      <c r="B6445" s="270">
        <v>2019</v>
      </c>
      <c r="C6445" s="270">
        <v>2020</v>
      </c>
      <c r="D6445" s="270">
        <v>1</v>
      </c>
      <c r="E6445" s="270">
        <v>1</v>
      </c>
      <c r="F6445" s="270" t="s">
        <v>944</v>
      </c>
      <c r="G6445" s="270" t="s">
        <v>3926</v>
      </c>
      <c r="H6445" s="270" t="s">
        <v>11200</v>
      </c>
      <c r="I6445" s="270" t="s">
        <v>3011</v>
      </c>
      <c r="J6445" s="270" t="s">
        <v>3928</v>
      </c>
      <c r="K6445" s="270">
        <v>6418</v>
      </c>
      <c r="L6445" s="270">
        <v>120100</v>
      </c>
      <c r="M6445" s="270" t="s">
        <v>3940</v>
      </c>
      <c r="N6445" s="270" t="s">
        <v>3944</v>
      </c>
      <c r="O6445" s="270">
        <v>1153.74</v>
      </c>
      <c r="P6445" s="270" t="s">
        <v>3944</v>
      </c>
      <c r="Q6445" s="270" t="s">
        <v>3944</v>
      </c>
      <c r="R6445" s="270">
        <v>1153.74</v>
      </c>
      <c r="S6445" s="270">
        <v>19687.2</v>
      </c>
      <c r="T6445" s="270">
        <v>20840.939999999999</v>
      </c>
      <c r="U6445" s="271" t="s">
        <v>3945</v>
      </c>
      <c r="V6445" s="267" t="s">
        <v>944</v>
      </c>
    </row>
    <row r="6446" spans="1:22" hidden="1" x14ac:dyDescent="0.25">
      <c r="A6446" s="266">
        <v>43766</v>
      </c>
      <c r="B6446" s="267">
        <v>2019</v>
      </c>
      <c r="C6446" s="267">
        <v>2020</v>
      </c>
      <c r="D6446" s="267">
        <v>1</v>
      </c>
      <c r="E6446" s="267">
        <v>1</v>
      </c>
      <c r="F6446" s="267" t="s">
        <v>944</v>
      </c>
      <c r="G6446" s="267" t="s">
        <v>3926</v>
      </c>
      <c r="H6446" s="267" t="s">
        <v>11201</v>
      </c>
      <c r="I6446" s="267" t="s">
        <v>950</v>
      </c>
      <c r="J6446" s="267" t="s">
        <v>3928</v>
      </c>
      <c r="K6446" s="267">
        <v>6516</v>
      </c>
      <c r="L6446" s="267">
        <v>154700</v>
      </c>
      <c r="M6446" s="267" t="s">
        <v>3960</v>
      </c>
      <c r="N6446" s="267" t="s">
        <v>3944</v>
      </c>
      <c r="O6446" s="267">
        <v>1622.88</v>
      </c>
      <c r="P6446" s="267" t="s">
        <v>3944</v>
      </c>
      <c r="Q6446" s="267" t="s">
        <v>3944</v>
      </c>
      <c r="R6446" s="267">
        <v>1622.88</v>
      </c>
      <c r="S6446" s="267">
        <v>27324.87</v>
      </c>
      <c r="T6446" s="267">
        <v>28947.75</v>
      </c>
      <c r="U6446" s="268" t="s">
        <v>3945</v>
      </c>
      <c r="V6446" s="267" t="s">
        <v>944</v>
      </c>
    </row>
    <row r="6447" spans="1:22" hidden="1" x14ac:dyDescent="0.25">
      <c r="A6447" s="269">
        <v>43766</v>
      </c>
      <c r="B6447" s="270">
        <v>2019</v>
      </c>
      <c r="C6447" s="270">
        <v>2020</v>
      </c>
      <c r="D6447" s="270">
        <v>1</v>
      </c>
      <c r="E6447" s="270">
        <v>1</v>
      </c>
      <c r="F6447" s="270" t="s">
        <v>944</v>
      </c>
      <c r="G6447" s="270" t="s">
        <v>3926</v>
      </c>
      <c r="H6447" s="270" t="s">
        <v>11202</v>
      </c>
      <c r="I6447" s="270" t="s">
        <v>4108</v>
      </c>
      <c r="J6447" s="270" t="s">
        <v>3928</v>
      </c>
      <c r="K6447" s="270">
        <v>6082</v>
      </c>
      <c r="L6447" s="270">
        <v>480700</v>
      </c>
      <c r="M6447" s="270" t="s">
        <v>3940</v>
      </c>
      <c r="N6447" s="270" t="s">
        <v>3944</v>
      </c>
      <c r="O6447" s="270">
        <v>1463.81</v>
      </c>
      <c r="P6447" s="270" t="s">
        <v>3944</v>
      </c>
      <c r="Q6447" s="270" t="s">
        <v>3944</v>
      </c>
      <c r="R6447" s="270">
        <v>1463.81</v>
      </c>
      <c r="S6447" s="270">
        <v>19704.189999999999</v>
      </c>
      <c r="T6447" s="270">
        <v>21168</v>
      </c>
      <c r="U6447" s="271" t="s">
        <v>3945</v>
      </c>
      <c r="V6447" s="267" t="s">
        <v>944</v>
      </c>
    </row>
    <row r="6448" spans="1:22" hidden="1" x14ac:dyDescent="0.25">
      <c r="A6448" s="266">
        <v>43766</v>
      </c>
      <c r="B6448" s="267">
        <v>2019</v>
      </c>
      <c r="C6448" s="267">
        <v>2020</v>
      </c>
      <c r="D6448" s="267">
        <v>1</v>
      </c>
      <c r="E6448" s="267">
        <v>1</v>
      </c>
      <c r="F6448" s="267" t="s">
        <v>944</v>
      </c>
      <c r="G6448" s="267" t="s">
        <v>3926</v>
      </c>
      <c r="H6448" s="267" t="s">
        <v>11203</v>
      </c>
      <c r="I6448" s="267" t="s">
        <v>956</v>
      </c>
      <c r="J6448" s="267" t="s">
        <v>3928</v>
      </c>
      <c r="K6448" s="267">
        <v>6614</v>
      </c>
      <c r="L6448" s="267">
        <v>80100</v>
      </c>
      <c r="M6448" s="267" t="s">
        <v>3935</v>
      </c>
      <c r="N6448" s="267" t="s">
        <v>3944</v>
      </c>
      <c r="O6448" s="267">
        <v>1111.6400000000001</v>
      </c>
      <c r="P6448" s="267" t="s">
        <v>3944</v>
      </c>
      <c r="Q6448" s="267" t="s">
        <v>3944</v>
      </c>
      <c r="R6448" s="267">
        <v>1111.6400000000001</v>
      </c>
      <c r="S6448" s="267">
        <v>17599.36</v>
      </c>
      <c r="T6448" s="267">
        <v>18711</v>
      </c>
      <c r="U6448" s="268" t="s">
        <v>3945</v>
      </c>
      <c r="V6448" s="267" t="s">
        <v>944</v>
      </c>
    </row>
    <row r="6449" spans="1:22" hidden="1" x14ac:dyDescent="0.25">
      <c r="A6449" s="269">
        <v>43766</v>
      </c>
      <c r="B6449" s="270">
        <v>2019</v>
      </c>
      <c r="C6449" s="270">
        <v>2020</v>
      </c>
      <c r="D6449" s="270">
        <v>1</v>
      </c>
      <c r="E6449" s="270">
        <v>1</v>
      </c>
      <c r="F6449" s="270" t="s">
        <v>944</v>
      </c>
      <c r="G6449" s="270" t="s">
        <v>3926</v>
      </c>
      <c r="H6449" s="270" t="s">
        <v>11204</v>
      </c>
      <c r="I6449" s="270" t="s">
        <v>3008</v>
      </c>
      <c r="J6449" s="270" t="s">
        <v>3928</v>
      </c>
      <c r="K6449" s="270">
        <v>6461</v>
      </c>
      <c r="L6449" s="270">
        <v>150600</v>
      </c>
      <c r="M6449" s="270" t="s">
        <v>3960</v>
      </c>
      <c r="N6449" s="270" t="s">
        <v>3944</v>
      </c>
      <c r="O6449" s="270">
        <v>934.33</v>
      </c>
      <c r="P6449" s="270" t="s">
        <v>3944</v>
      </c>
      <c r="Q6449" s="270" t="s">
        <v>3944</v>
      </c>
      <c r="R6449" s="270">
        <v>934.33</v>
      </c>
      <c r="S6449" s="270">
        <v>15590.17</v>
      </c>
      <c r="T6449" s="270">
        <v>16524.5</v>
      </c>
      <c r="U6449" s="271" t="s">
        <v>3945</v>
      </c>
      <c r="V6449" s="267" t="s">
        <v>944</v>
      </c>
    </row>
    <row r="6450" spans="1:22" hidden="1" x14ac:dyDescent="0.25">
      <c r="A6450" s="266">
        <v>43766</v>
      </c>
      <c r="B6450" s="267">
        <v>2019</v>
      </c>
      <c r="C6450" s="267">
        <v>2020</v>
      </c>
      <c r="D6450" s="267">
        <v>1</v>
      </c>
      <c r="E6450" s="267">
        <v>1</v>
      </c>
      <c r="F6450" s="267" t="s">
        <v>944</v>
      </c>
      <c r="G6450" s="267" t="s">
        <v>3926</v>
      </c>
      <c r="H6450" s="267" t="s">
        <v>11205</v>
      </c>
      <c r="I6450" s="267" t="s">
        <v>4087</v>
      </c>
      <c r="J6450" s="267" t="s">
        <v>3928</v>
      </c>
      <c r="K6450" s="267">
        <v>6340</v>
      </c>
      <c r="L6450" s="267">
        <v>702900</v>
      </c>
      <c r="M6450" s="267" t="s">
        <v>3943</v>
      </c>
      <c r="N6450" s="267" t="s">
        <v>3944</v>
      </c>
      <c r="O6450" s="267">
        <v>1823.22</v>
      </c>
      <c r="P6450" s="267" t="s">
        <v>3944</v>
      </c>
      <c r="Q6450" s="267" t="s">
        <v>3944</v>
      </c>
      <c r="R6450" s="267">
        <v>1823.22</v>
      </c>
      <c r="S6450" s="267">
        <v>29660.15</v>
      </c>
      <c r="T6450" s="267">
        <v>31483.37</v>
      </c>
      <c r="U6450" s="268" t="s">
        <v>3945</v>
      </c>
      <c r="V6450" s="267" t="s">
        <v>944</v>
      </c>
    </row>
    <row r="6451" spans="1:22" hidden="1" x14ac:dyDescent="0.25">
      <c r="A6451" s="269">
        <v>43766</v>
      </c>
      <c r="B6451" s="270">
        <v>2019</v>
      </c>
      <c r="C6451" s="270">
        <v>2020</v>
      </c>
      <c r="D6451" s="270">
        <v>1</v>
      </c>
      <c r="E6451" s="270">
        <v>1</v>
      </c>
      <c r="F6451" s="270" t="s">
        <v>944</v>
      </c>
      <c r="G6451" s="270" t="s">
        <v>3926</v>
      </c>
      <c r="H6451" s="270" t="s">
        <v>11206</v>
      </c>
      <c r="I6451" s="270" t="s">
        <v>956</v>
      </c>
      <c r="J6451" s="270" t="s">
        <v>3928</v>
      </c>
      <c r="K6451" s="270">
        <v>6615</v>
      </c>
      <c r="L6451" s="270">
        <v>80200</v>
      </c>
      <c r="M6451" s="270" t="s">
        <v>3935</v>
      </c>
      <c r="N6451" s="270" t="s">
        <v>3944</v>
      </c>
      <c r="O6451" s="270">
        <v>1595.9</v>
      </c>
      <c r="P6451" s="270" t="s">
        <v>3944</v>
      </c>
      <c r="Q6451" s="270" t="s">
        <v>3944</v>
      </c>
      <c r="R6451" s="270">
        <v>1595.9</v>
      </c>
      <c r="S6451" s="270">
        <v>25733.26</v>
      </c>
      <c r="T6451" s="270">
        <v>27329.16</v>
      </c>
      <c r="U6451" s="271" t="s">
        <v>3945</v>
      </c>
      <c r="V6451" s="267" t="s">
        <v>944</v>
      </c>
    </row>
    <row r="6452" spans="1:22" hidden="1" x14ac:dyDescent="0.25">
      <c r="A6452" s="266">
        <v>43766</v>
      </c>
      <c r="B6452" s="267">
        <v>2019</v>
      </c>
      <c r="C6452" s="267">
        <v>2020</v>
      </c>
      <c r="D6452" s="267">
        <v>1</v>
      </c>
      <c r="E6452" s="267">
        <v>1</v>
      </c>
      <c r="F6452" s="267" t="s">
        <v>944</v>
      </c>
      <c r="G6452" s="267" t="s">
        <v>3926</v>
      </c>
      <c r="H6452" s="267" t="s">
        <v>11207</v>
      </c>
      <c r="I6452" s="267" t="s">
        <v>4035</v>
      </c>
      <c r="J6452" s="267" t="s">
        <v>3928</v>
      </c>
      <c r="K6452" s="267">
        <v>6074</v>
      </c>
      <c r="L6452" s="267">
        <v>487100</v>
      </c>
      <c r="M6452" s="267" t="s">
        <v>3943</v>
      </c>
      <c r="N6452" s="267" t="s">
        <v>3944</v>
      </c>
      <c r="O6452" s="267">
        <v>4554.62</v>
      </c>
      <c r="P6452" s="267" t="s">
        <v>3944</v>
      </c>
      <c r="Q6452" s="267" t="s">
        <v>3944</v>
      </c>
      <c r="R6452" s="267">
        <v>4554.62</v>
      </c>
      <c r="S6452" s="267">
        <v>68950.48</v>
      </c>
      <c r="T6452" s="267">
        <v>73505.100000000006</v>
      </c>
      <c r="U6452" s="268" t="s">
        <v>3945</v>
      </c>
      <c r="V6452" s="267" t="s">
        <v>944</v>
      </c>
    </row>
    <row r="6453" spans="1:22" hidden="1" x14ac:dyDescent="0.25">
      <c r="A6453" s="269">
        <v>43766</v>
      </c>
      <c r="B6453" s="270">
        <v>2019</v>
      </c>
      <c r="C6453" s="270">
        <v>2020</v>
      </c>
      <c r="D6453" s="270">
        <v>1</v>
      </c>
      <c r="E6453" s="270">
        <v>1</v>
      </c>
      <c r="F6453" s="270" t="s">
        <v>944</v>
      </c>
      <c r="G6453" s="270" t="s">
        <v>3926</v>
      </c>
      <c r="H6453" s="270" t="s">
        <v>11208</v>
      </c>
      <c r="I6453" s="270" t="s">
        <v>3025</v>
      </c>
      <c r="J6453" s="270" t="s">
        <v>3928</v>
      </c>
      <c r="K6453" s="270">
        <v>6473</v>
      </c>
      <c r="L6453" s="270">
        <v>167100</v>
      </c>
      <c r="M6453" s="270" t="s">
        <v>3943</v>
      </c>
      <c r="N6453" s="270" t="s">
        <v>3944</v>
      </c>
      <c r="O6453" s="270">
        <v>2241.75</v>
      </c>
      <c r="P6453" s="270" t="s">
        <v>3944</v>
      </c>
      <c r="Q6453" s="270" t="s">
        <v>3944</v>
      </c>
      <c r="R6453" s="270">
        <v>2241.75</v>
      </c>
      <c r="S6453" s="270">
        <v>30445.68</v>
      </c>
      <c r="T6453" s="270">
        <v>32687.43</v>
      </c>
      <c r="U6453" s="271" t="s">
        <v>3945</v>
      </c>
      <c r="V6453" s="267" t="s">
        <v>944</v>
      </c>
    </row>
    <row r="6454" spans="1:22" hidden="1" x14ac:dyDescent="0.25">
      <c r="A6454" s="266">
        <v>43766</v>
      </c>
      <c r="B6454" s="267">
        <v>2019</v>
      </c>
      <c r="C6454" s="267">
        <v>2020</v>
      </c>
      <c r="D6454" s="267">
        <v>1</v>
      </c>
      <c r="E6454" s="267">
        <v>1</v>
      </c>
      <c r="F6454" s="267" t="s">
        <v>944</v>
      </c>
      <c r="G6454" s="267" t="s">
        <v>3926</v>
      </c>
      <c r="H6454" s="267" t="s">
        <v>11209</v>
      </c>
      <c r="I6454" s="267" t="s">
        <v>4306</v>
      </c>
      <c r="J6454" s="267" t="s">
        <v>3928</v>
      </c>
      <c r="K6454" s="267">
        <v>6716</v>
      </c>
      <c r="L6454" s="267">
        <v>361200</v>
      </c>
      <c r="M6454" s="267" t="s">
        <v>3960</v>
      </c>
      <c r="N6454" s="267" t="s">
        <v>3944</v>
      </c>
      <c r="O6454" s="267">
        <v>1549.66</v>
      </c>
      <c r="P6454" s="267" t="s">
        <v>3944</v>
      </c>
      <c r="Q6454" s="267" t="s">
        <v>3944</v>
      </c>
      <c r="R6454" s="267">
        <v>1549.66</v>
      </c>
      <c r="S6454" s="267">
        <v>21688.799999999999</v>
      </c>
      <c r="T6454" s="267">
        <v>23238.46</v>
      </c>
      <c r="U6454" s="268" t="s">
        <v>3945</v>
      </c>
      <c r="V6454" s="267" t="s">
        <v>944</v>
      </c>
    </row>
    <row r="6455" spans="1:22" hidden="1" x14ac:dyDescent="0.25">
      <c r="A6455" s="269">
        <v>43766</v>
      </c>
      <c r="B6455" s="270">
        <v>2019</v>
      </c>
      <c r="C6455" s="270">
        <v>2020</v>
      </c>
      <c r="D6455" s="270">
        <v>1</v>
      </c>
      <c r="E6455" s="270">
        <v>1</v>
      </c>
      <c r="F6455" s="270" t="s">
        <v>944</v>
      </c>
      <c r="G6455" s="270" t="s">
        <v>3926</v>
      </c>
      <c r="H6455" s="270" t="s">
        <v>11210</v>
      </c>
      <c r="I6455" s="270" t="s">
        <v>943</v>
      </c>
      <c r="J6455" s="270" t="s">
        <v>3928</v>
      </c>
      <c r="K6455" s="270">
        <v>6515</v>
      </c>
      <c r="L6455" s="270">
        <v>141000</v>
      </c>
      <c r="M6455" s="270" t="s">
        <v>3960</v>
      </c>
      <c r="N6455" s="270" t="s">
        <v>3944</v>
      </c>
      <c r="O6455" s="270">
        <v>1063.72</v>
      </c>
      <c r="P6455" s="270" t="s">
        <v>3944</v>
      </c>
      <c r="Q6455" s="270" t="s">
        <v>3944</v>
      </c>
      <c r="R6455" s="270">
        <v>1063.72</v>
      </c>
      <c r="S6455" s="270">
        <v>17966.93</v>
      </c>
      <c r="T6455" s="270">
        <v>19030.650000000001</v>
      </c>
      <c r="U6455" s="271" t="s">
        <v>3945</v>
      </c>
      <c r="V6455" s="267" t="s">
        <v>944</v>
      </c>
    </row>
    <row r="6456" spans="1:22" hidden="1" x14ac:dyDescent="0.25">
      <c r="A6456" s="266">
        <v>43766</v>
      </c>
      <c r="B6456" s="267">
        <v>2019</v>
      </c>
      <c r="C6456" s="267">
        <v>2020</v>
      </c>
      <c r="D6456" s="267">
        <v>1</v>
      </c>
      <c r="E6456" s="267">
        <v>1</v>
      </c>
      <c r="F6456" s="267" t="s">
        <v>944</v>
      </c>
      <c r="G6456" s="267" t="s">
        <v>3926</v>
      </c>
      <c r="H6456" s="267" t="s">
        <v>11211</v>
      </c>
      <c r="I6456" s="267" t="s">
        <v>950</v>
      </c>
      <c r="J6456" s="267" t="s">
        <v>3928</v>
      </c>
      <c r="K6456" s="267">
        <v>6516</v>
      </c>
      <c r="L6456" s="267">
        <v>154700</v>
      </c>
      <c r="M6456" s="267" t="s">
        <v>3960</v>
      </c>
      <c r="N6456" s="267" t="s">
        <v>3944</v>
      </c>
      <c r="O6456" s="267">
        <v>2544.33</v>
      </c>
      <c r="P6456" s="267" t="s">
        <v>3944</v>
      </c>
      <c r="Q6456" s="267" t="s">
        <v>3944</v>
      </c>
      <c r="R6456" s="267">
        <v>2544.33</v>
      </c>
      <c r="S6456" s="267">
        <v>43607.51</v>
      </c>
      <c r="T6456" s="267">
        <v>46151.839999999997</v>
      </c>
      <c r="U6456" s="268" t="s">
        <v>3945</v>
      </c>
      <c r="V6456" s="267" t="s">
        <v>944</v>
      </c>
    </row>
    <row r="6457" spans="1:22" hidden="1" x14ac:dyDescent="0.25">
      <c r="A6457" s="269">
        <v>43766</v>
      </c>
      <c r="B6457" s="270">
        <v>2019</v>
      </c>
      <c r="C6457" s="270">
        <v>2020</v>
      </c>
      <c r="D6457" s="270">
        <v>1</v>
      </c>
      <c r="E6457" s="270">
        <v>1</v>
      </c>
      <c r="F6457" s="270" t="s">
        <v>944</v>
      </c>
      <c r="G6457" s="270" t="s">
        <v>3926</v>
      </c>
      <c r="H6457" s="270" t="s">
        <v>11212</v>
      </c>
      <c r="I6457" s="270" t="s">
        <v>950</v>
      </c>
      <c r="J6457" s="270" t="s">
        <v>3928</v>
      </c>
      <c r="K6457" s="270">
        <v>6516</v>
      </c>
      <c r="L6457" s="270">
        <v>154700</v>
      </c>
      <c r="M6457" s="270" t="s">
        <v>3960</v>
      </c>
      <c r="N6457" s="270" t="s">
        <v>3944</v>
      </c>
      <c r="O6457" s="270">
        <v>1759.98</v>
      </c>
      <c r="P6457" s="270" t="s">
        <v>3944</v>
      </c>
      <c r="Q6457" s="270" t="s">
        <v>3944</v>
      </c>
      <c r="R6457" s="270">
        <v>1759.98</v>
      </c>
      <c r="S6457" s="270">
        <v>29009.22</v>
      </c>
      <c r="T6457" s="270">
        <v>30769.200000000001</v>
      </c>
      <c r="U6457" s="271" t="s">
        <v>3945</v>
      </c>
      <c r="V6457" s="267" t="s">
        <v>944</v>
      </c>
    </row>
    <row r="6458" spans="1:22" hidden="1" x14ac:dyDescent="0.25">
      <c r="A6458" s="266">
        <v>43766</v>
      </c>
      <c r="B6458" s="267">
        <v>2019</v>
      </c>
      <c r="C6458" s="267">
        <v>2020</v>
      </c>
      <c r="D6458" s="267">
        <v>1</v>
      </c>
      <c r="E6458" s="267">
        <v>1</v>
      </c>
      <c r="F6458" s="267" t="s">
        <v>944</v>
      </c>
      <c r="G6458" s="267" t="s">
        <v>3926</v>
      </c>
      <c r="H6458" s="267" t="s">
        <v>11213</v>
      </c>
      <c r="I6458" s="267" t="s">
        <v>3999</v>
      </c>
      <c r="J6458" s="267" t="s">
        <v>3928</v>
      </c>
      <c r="K6458" s="267">
        <v>6450</v>
      </c>
      <c r="L6458" s="267">
        <v>171200</v>
      </c>
      <c r="M6458" s="267" t="s">
        <v>3960</v>
      </c>
      <c r="N6458" s="267" t="s">
        <v>3944</v>
      </c>
      <c r="O6458" s="267">
        <v>1915.1</v>
      </c>
      <c r="P6458" s="267" t="s">
        <v>3944</v>
      </c>
      <c r="Q6458" s="267" t="s">
        <v>3944</v>
      </c>
      <c r="R6458" s="267">
        <v>1915.1</v>
      </c>
      <c r="S6458" s="267">
        <v>27014.12</v>
      </c>
      <c r="T6458" s="267">
        <v>28929.22</v>
      </c>
      <c r="U6458" s="268" t="s">
        <v>3945</v>
      </c>
      <c r="V6458" s="267" t="s">
        <v>944</v>
      </c>
    </row>
    <row r="6459" spans="1:22" hidden="1" x14ac:dyDescent="0.25">
      <c r="A6459" s="269">
        <v>43766</v>
      </c>
      <c r="B6459" s="270">
        <v>2019</v>
      </c>
      <c r="C6459" s="270">
        <v>2020</v>
      </c>
      <c r="D6459" s="270">
        <v>1</v>
      </c>
      <c r="E6459" s="270">
        <v>1</v>
      </c>
      <c r="F6459" s="270" t="s">
        <v>944</v>
      </c>
      <c r="G6459" s="270" t="s">
        <v>3926</v>
      </c>
      <c r="H6459" s="270" t="s">
        <v>11214</v>
      </c>
      <c r="I6459" s="270" t="s">
        <v>3939</v>
      </c>
      <c r="J6459" s="270" t="s">
        <v>3928</v>
      </c>
      <c r="K6459" s="270">
        <v>6512</v>
      </c>
      <c r="L6459" s="270">
        <v>180601</v>
      </c>
      <c r="M6459" s="270" t="s">
        <v>3940</v>
      </c>
      <c r="N6459" s="270" t="s">
        <v>3944</v>
      </c>
      <c r="O6459" s="270">
        <v>1997.03</v>
      </c>
      <c r="P6459" s="270" t="s">
        <v>3944</v>
      </c>
      <c r="Q6459" s="270" t="s">
        <v>3944</v>
      </c>
      <c r="R6459" s="270">
        <v>1997.03</v>
      </c>
      <c r="S6459" s="270">
        <v>30570.11</v>
      </c>
      <c r="T6459" s="270">
        <v>32567.14</v>
      </c>
      <c r="U6459" s="271" t="s">
        <v>3945</v>
      </c>
      <c r="V6459" s="267" t="s">
        <v>944</v>
      </c>
    </row>
    <row r="6460" spans="1:22" hidden="1" x14ac:dyDescent="0.25">
      <c r="A6460" s="266">
        <v>43766</v>
      </c>
      <c r="B6460" s="267">
        <v>2019</v>
      </c>
      <c r="C6460" s="267">
        <v>2020</v>
      </c>
      <c r="D6460" s="267">
        <v>1</v>
      </c>
      <c r="E6460" s="267">
        <v>1</v>
      </c>
      <c r="F6460" s="267" t="s">
        <v>944</v>
      </c>
      <c r="G6460" s="267" t="s">
        <v>3926</v>
      </c>
      <c r="H6460" s="267" t="s">
        <v>11215</v>
      </c>
      <c r="I6460" s="267" t="s">
        <v>956</v>
      </c>
      <c r="J6460" s="267" t="s">
        <v>3928</v>
      </c>
      <c r="K6460" s="267">
        <v>6614</v>
      </c>
      <c r="L6460" s="267">
        <v>80900</v>
      </c>
      <c r="M6460" s="267" t="s">
        <v>3960</v>
      </c>
      <c r="N6460" s="267" t="s">
        <v>3944</v>
      </c>
      <c r="O6460" s="267">
        <v>1068.31</v>
      </c>
      <c r="P6460" s="267" t="s">
        <v>3944</v>
      </c>
      <c r="Q6460" s="267" t="s">
        <v>3944</v>
      </c>
      <c r="R6460" s="267">
        <v>1068.31</v>
      </c>
      <c r="S6460" s="267">
        <v>16155.47</v>
      </c>
      <c r="T6460" s="267">
        <v>17223.78</v>
      </c>
      <c r="U6460" s="268" t="s">
        <v>3945</v>
      </c>
      <c r="V6460" s="267" t="s">
        <v>944</v>
      </c>
    </row>
    <row r="6461" spans="1:22" hidden="1" x14ac:dyDescent="0.25">
      <c r="A6461" s="269">
        <v>43766</v>
      </c>
      <c r="B6461" s="270">
        <v>2019</v>
      </c>
      <c r="C6461" s="270">
        <v>2020</v>
      </c>
      <c r="D6461" s="270">
        <v>1</v>
      </c>
      <c r="E6461" s="270">
        <v>1</v>
      </c>
      <c r="F6461" s="270" t="s">
        <v>944</v>
      </c>
      <c r="G6461" s="270" t="s">
        <v>3926</v>
      </c>
      <c r="H6461" s="270" t="s">
        <v>11216</v>
      </c>
      <c r="I6461" s="270" t="s">
        <v>3008</v>
      </c>
      <c r="J6461" s="270" t="s">
        <v>3928</v>
      </c>
      <c r="K6461" s="270">
        <v>6461</v>
      </c>
      <c r="L6461" s="270">
        <v>150800</v>
      </c>
      <c r="M6461" s="270" t="s">
        <v>3960</v>
      </c>
      <c r="N6461" s="270" t="s">
        <v>3944</v>
      </c>
      <c r="O6461" s="270">
        <v>2302.9299999999998</v>
      </c>
      <c r="P6461" s="270" t="s">
        <v>3944</v>
      </c>
      <c r="Q6461" s="270" t="s">
        <v>3944</v>
      </c>
      <c r="R6461" s="270">
        <v>2302.9299999999998</v>
      </c>
      <c r="S6461" s="270">
        <v>38256.47</v>
      </c>
      <c r="T6461" s="270">
        <v>40559.4</v>
      </c>
      <c r="U6461" s="271" t="s">
        <v>3945</v>
      </c>
      <c r="V6461" s="267" t="s">
        <v>944</v>
      </c>
    </row>
    <row r="6462" spans="1:22" hidden="1" x14ac:dyDescent="0.25">
      <c r="A6462" s="266">
        <v>43766</v>
      </c>
      <c r="B6462" s="267">
        <v>2019</v>
      </c>
      <c r="C6462" s="267">
        <v>2020</v>
      </c>
      <c r="D6462" s="267">
        <v>1</v>
      </c>
      <c r="E6462" s="267">
        <v>1</v>
      </c>
      <c r="F6462" s="267" t="s">
        <v>944</v>
      </c>
      <c r="G6462" s="267" t="s">
        <v>3926</v>
      </c>
      <c r="H6462" s="267" t="s">
        <v>11217</v>
      </c>
      <c r="I6462" s="267" t="s">
        <v>3008</v>
      </c>
      <c r="J6462" s="267" t="s">
        <v>3928</v>
      </c>
      <c r="K6462" s="267">
        <v>6460</v>
      </c>
      <c r="L6462" s="267">
        <v>150500</v>
      </c>
      <c r="M6462" s="267" t="s">
        <v>3960</v>
      </c>
      <c r="N6462" s="267" t="s">
        <v>3944</v>
      </c>
      <c r="O6462" s="267">
        <v>912.14</v>
      </c>
      <c r="P6462" s="267" t="s">
        <v>3944</v>
      </c>
      <c r="Q6462" s="267" t="s">
        <v>3944</v>
      </c>
      <c r="R6462" s="267">
        <v>912.14</v>
      </c>
      <c r="S6462" s="267">
        <v>15647.95</v>
      </c>
      <c r="T6462" s="267">
        <v>16560.09</v>
      </c>
      <c r="U6462" s="268" t="s">
        <v>3945</v>
      </c>
      <c r="V6462" s="267" t="s">
        <v>944</v>
      </c>
    </row>
    <row r="6463" spans="1:22" hidden="1" x14ac:dyDescent="0.25">
      <c r="A6463" s="269">
        <v>43766</v>
      </c>
      <c r="B6463" s="270">
        <v>2019</v>
      </c>
      <c r="C6463" s="270">
        <v>2020</v>
      </c>
      <c r="D6463" s="270">
        <v>1</v>
      </c>
      <c r="E6463" s="270">
        <v>1</v>
      </c>
      <c r="F6463" s="270" t="s">
        <v>944</v>
      </c>
      <c r="G6463" s="270" t="s">
        <v>3926</v>
      </c>
      <c r="H6463" s="270" t="s">
        <v>11218</v>
      </c>
      <c r="I6463" s="270" t="s">
        <v>4124</v>
      </c>
      <c r="J6463" s="270" t="s">
        <v>3928</v>
      </c>
      <c r="K6463" s="270">
        <v>6482</v>
      </c>
      <c r="L6463" s="270">
        <v>230501</v>
      </c>
      <c r="M6463" s="270" t="s">
        <v>3943</v>
      </c>
      <c r="N6463" s="270" t="s">
        <v>3944</v>
      </c>
      <c r="O6463" s="270">
        <v>2123.31</v>
      </c>
      <c r="P6463" s="270" t="s">
        <v>3944</v>
      </c>
      <c r="Q6463" s="270" t="s">
        <v>3944</v>
      </c>
      <c r="R6463" s="270">
        <v>2123.31</v>
      </c>
      <c r="S6463" s="270">
        <v>30117.13</v>
      </c>
      <c r="T6463" s="270">
        <v>32240.44</v>
      </c>
      <c r="U6463" s="271" t="s">
        <v>3945</v>
      </c>
      <c r="V6463" s="267" t="s">
        <v>944</v>
      </c>
    </row>
    <row r="6464" spans="1:22" hidden="1" x14ac:dyDescent="0.25">
      <c r="A6464" s="266">
        <v>43766</v>
      </c>
      <c r="B6464" s="267">
        <v>2019</v>
      </c>
      <c r="C6464" s="267">
        <v>2020</v>
      </c>
      <c r="D6464" s="267">
        <v>1</v>
      </c>
      <c r="E6464" s="267">
        <v>1</v>
      </c>
      <c r="F6464" s="267" t="s">
        <v>944</v>
      </c>
      <c r="G6464" s="267" t="s">
        <v>3926</v>
      </c>
      <c r="H6464" s="267" t="s">
        <v>11219</v>
      </c>
      <c r="I6464" s="267" t="s">
        <v>4111</v>
      </c>
      <c r="J6464" s="267" t="s">
        <v>3928</v>
      </c>
      <c r="K6464" s="267">
        <v>6095</v>
      </c>
      <c r="L6464" s="267">
        <v>473700</v>
      </c>
      <c r="M6464" s="267" t="s">
        <v>3935</v>
      </c>
      <c r="N6464" s="267" t="s">
        <v>3944</v>
      </c>
      <c r="O6464" s="267">
        <v>1925.67</v>
      </c>
      <c r="P6464" s="267" t="s">
        <v>3944</v>
      </c>
      <c r="Q6464" s="267" t="s">
        <v>3944</v>
      </c>
      <c r="R6464" s="267">
        <v>1925.67</v>
      </c>
      <c r="S6464" s="267">
        <v>27857.58</v>
      </c>
      <c r="T6464" s="267">
        <v>29783.25</v>
      </c>
      <c r="U6464" s="268" t="s">
        <v>3945</v>
      </c>
      <c r="V6464" s="267" t="s">
        <v>944</v>
      </c>
    </row>
    <row r="6465" spans="1:22" hidden="1" x14ac:dyDescent="0.25">
      <c r="A6465" s="269">
        <v>43766</v>
      </c>
      <c r="B6465" s="270">
        <v>2019</v>
      </c>
      <c r="C6465" s="270">
        <v>2020</v>
      </c>
      <c r="D6465" s="270">
        <v>1</v>
      </c>
      <c r="E6465" s="270">
        <v>1</v>
      </c>
      <c r="F6465" s="270" t="s">
        <v>944</v>
      </c>
      <c r="G6465" s="270" t="s">
        <v>3926</v>
      </c>
      <c r="H6465" s="270" t="s">
        <v>11220</v>
      </c>
      <c r="I6465" s="270" t="s">
        <v>4297</v>
      </c>
      <c r="J6465" s="270" t="s">
        <v>3928</v>
      </c>
      <c r="K6465" s="270">
        <v>6248</v>
      </c>
      <c r="L6465" s="270">
        <v>526102</v>
      </c>
      <c r="M6465" s="270" t="s">
        <v>3943</v>
      </c>
      <c r="N6465" s="270" t="s">
        <v>3944</v>
      </c>
      <c r="O6465" s="270">
        <v>1729.7</v>
      </c>
      <c r="P6465" s="270" t="s">
        <v>3944</v>
      </c>
      <c r="Q6465" s="270" t="s">
        <v>3944</v>
      </c>
      <c r="R6465" s="270">
        <v>1729.7</v>
      </c>
      <c r="S6465" s="270">
        <v>29027.59</v>
      </c>
      <c r="T6465" s="270">
        <v>30757.29</v>
      </c>
      <c r="U6465" s="271" t="s">
        <v>3945</v>
      </c>
      <c r="V6465" s="267" t="s">
        <v>944</v>
      </c>
    </row>
    <row r="6466" spans="1:22" hidden="1" x14ac:dyDescent="0.25">
      <c r="A6466" s="266">
        <v>43766</v>
      </c>
      <c r="B6466" s="267">
        <v>2019</v>
      </c>
      <c r="C6466" s="267">
        <v>2020</v>
      </c>
      <c r="D6466" s="267">
        <v>1</v>
      </c>
      <c r="E6466" s="267">
        <v>1</v>
      </c>
      <c r="F6466" s="267" t="s">
        <v>944</v>
      </c>
      <c r="G6466" s="267" t="s">
        <v>3926</v>
      </c>
      <c r="H6466" s="267" t="s">
        <v>11221</v>
      </c>
      <c r="I6466" s="267" t="s">
        <v>4147</v>
      </c>
      <c r="J6466" s="267" t="s">
        <v>3928</v>
      </c>
      <c r="K6466" s="267">
        <v>6109</v>
      </c>
      <c r="L6466" s="267">
        <v>492400</v>
      </c>
      <c r="M6466" s="267" t="s">
        <v>3935</v>
      </c>
      <c r="N6466" s="267" t="s">
        <v>3944</v>
      </c>
      <c r="O6466" s="267">
        <v>2280.11</v>
      </c>
      <c r="P6466" s="267" t="s">
        <v>3944</v>
      </c>
      <c r="Q6466" s="267" t="s">
        <v>3944</v>
      </c>
      <c r="R6466" s="267">
        <v>2280.11</v>
      </c>
      <c r="S6466" s="267">
        <v>34047.120000000003</v>
      </c>
      <c r="T6466" s="267">
        <v>36327.230000000003</v>
      </c>
      <c r="U6466" s="268" t="s">
        <v>3945</v>
      </c>
      <c r="V6466" s="267" t="s">
        <v>944</v>
      </c>
    </row>
    <row r="6467" spans="1:22" hidden="1" x14ac:dyDescent="0.25">
      <c r="A6467" s="269">
        <v>43766</v>
      </c>
      <c r="B6467" s="270">
        <v>2019</v>
      </c>
      <c r="C6467" s="270">
        <v>2020</v>
      </c>
      <c r="D6467" s="270">
        <v>1</v>
      </c>
      <c r="E6467" s="270">
        <v>1</v>
      </c>
      <c r="F6467" s="270" t="s">
        <v>944</v>
      </c>
      <c r="G6467" s="270" t="s">
        <v>3926</v>
      </c>
      <c r="H6467" s="270" t="s">
        <v>11222</v>
      </c>
      <c r="I6467" s="270" t="s">
        <v>3947</v>
      </c>
      <c r="J6467" s="270" t="s">
        <v>3928</v>
      </c>
      <c r="K6467" s="270">
        <v>6035</v>
      </c>
      <c r="L6467" s="270">
        <v>468102</v>
      </c>
      <c r="M6467" s="270" t="s">
        <v>3943</v>
      </c>
      <c r="N6467" s="270" t="s">
        <v>3944</v>
      </c>
      <c r="O6467" s="270">
        <v>2996.67</v>
      </c>
      <c r="P6467" s="270" t="s">
        <v>3944</v>
      </c>
      <c r="Q6467" s="270" t="s">
        <v>3944</v>
      </c>
      <c r="R6467" s="270">
        <v>2996.67</v>
      </c>
      <c r="S6467" s="270">
        <v>41833.39</v>
      </c>
      <c r="T6467" s="270">
        <v>44830.06</v>
      </c>
      <c r="U6467" s="271" t="s">
        <v>3945</v>
      </c>
      <c r="V6467" s="267" t="s">
        <v>944</v>
      </c>
    </row>
    <row r="6468" spans="1:22" hidden="1" x14ac:dyDescent="0.25">
      <c r="A6468" s="266">
        <v>43766</v>
      </c>
      <c r="B6468" s="267">
        <v>2019</v>
      </c>
      <c r="C6468" s="267">
        <v>2020</v>
      </c>
      <c r="D6468" s="267">
        <v>1</v>
      </c>
      <c r="E6468" s="267">
        <v>1</v>
      </c>
      <c r="F6468" s="267" t="s">
        <v>944</v>
      </c>
      <c r="G6468" s="267" t="s">
        <v>3926</v>
      </c>
      <c r="H6468" s="267" t="s">
        <v>11223</v>
      </c>
      <c r="I6468" s="267" t="s">
        <v>3966</v>
      </c>
      <c r="J6468" s="267" t="s">
        <v>3928</v>
      </c>
      <c r="K6468" s="267">
        <v>6010</v>
      </c>
      <c r="L6468" s="267">
        <v>406002</v>
      </c>
      <c r="M6468" s="267" t="s">
        <v>3935</v>
      </c>
      <c r="N6468" s="267" t="s">
        <v>3944</v>
      </c>
      <c r="O6468" s="267">
        <v>3497.1</v>
      </c>
      <c r="P6468" s="267" t="s">
        <v>3944</v>
      </c>
      <c r="Q6468" s="267" t="s">
        <v>3944</v>
      </c>
      <c r="R6468" s="267">
        <v>3497.1</v>
      </c>
      <c r="S6468" s="267">
        <v>48856.800000000003</v>
      </c>
      <c r="T6468" s="267">
        <v>52353.9</v>
      </c>
      <c r="U6468" s="268" t="s">
        <v>3945</v>
      </c>
      <c r="V6468" s="267" t="s">
        <v>944</v>
      </c>
    </row>
    <row r="6469" spans="1:22" hidden="1" x14ac:dyDescent="0.25">
      <c r="A6469" s="269">
        <v>43766</v>
      </c>
      <c r="B6469" s="270">
        <v>2019</v>
      </c>
      <c r="C6469" s="270">
        <v>2020</v>
      </c>
      <c r="D6469" s="270">
        <v>1</v>
      </c>
      <c r="E6469" s="270">
        <v>1</v>
      </c>
      <c r="F6469" s="270" t="s">
        <v>944</v>
      </c>
      <c r="G6469" s="270" t="s">
        <v>3926</v>
      </c>
      <c r="H6469" s="270" t="s">
        <v>11224</v>
      </c>
      <c r="I6469" s="270" t="s">
        <v>3008</v>
      </c>
      <c r="J6469" s="270" t="s">
        <v>3928</v>
      </c>
      <c r="K6469" s="270">
        <v>6461</v>
      </c>
      <c r="L6469" s="270">
        <v>150600</v>
      </c>
      <c r="M6469" s="270" t="s">
        <v>3960</v>
      </c>
      <c r="N6469" s="270" t="s">
        <v>3944</v>
      </c>
      <c r="O6469" s="270">
        <v>1774.47</v>
      </c>
      <c r="P6469" s="270" t="s">
        <v>3944</v>
      </c>
      <c r="Q6469" s="270" t="s">
        <v>3944</v>
      </c>
      <c r="R6469" s="270">
        <v>1774.47</v>
      </c>
      <c r="S6469" s="270">
        <v>32113.74</v>
      </c>
      <c r="T6469" s="270">
        <v>33888.21</v>
      </c>
      <c r="U6469" s="271" t="s">
        <v>3945</v>
      </c>
      <c r="V6469" s="267" t="s">
        <v>944</v>
      </c>
    </row>
    <row r="6470" spans="1:22" hidden="1" x14ac:dyDescent="0.25">
      <c r="A6470" s="266">
        <v>43766</v>
      </c>
      <c r="B6470" s="267">
        <v>2019</v>
      </c>
      <c r="C6470" s="267">
        <v>2020</v>
      </c>
      <c r="D6470" s="267">
        <v>1</v>
      </c>
      <c r="E6470" s="267">
        <v>1</v>
      </c>
      <c r="F6470" s="267" t="s">
        <v>944</v>
      </c>
      <c r="G6470" s="267" t="s">
        <v>3926</v>
      </c>
      <c r="H6470" s="267" t="s">
        <v>11225</v>
      </c>
      <c r="I6470" s="267" t="s">
        <v>3025</v>
      </c>
      <c r="J6470" s="267" t="s">
        <v>3928</v>
      </c>
      <c r="K6470" s="267">
        <v>6473</v>
      </c>
      <c r="L6470" s="267">
        <v>167201</v>
      </c>
      <c r="M6470" s="267" t="s">
        <v>3960</v>
      </c>
      <c r="N6470" s="267" t="s">
        <v>3944</v>
      </c>
      <c r="O6470" s="267">
        <v>2508.4499999999998</v>
      </c>
      <c r="P6470" s="267" t="s">
        <v>3944</v>
      </c>
      <c r="Q6470" s="267" t="s">
        <v>3944</v>
      </c>
      <c r="R6470" s="267">
        <v>2508.4499999999998</v>
      </c>
      <c r="S6470" s="267">
        <v>41814.879999999997</v>
      </c>
      <c r="T6470" s="267">
        <v>44323.33</v>
      </c>
      <c r="U6470" s="268" t="s">
        <v>3945</v>
      </c>
      <c r="V6470" s="267" t="s">
        <v>944</v>
      </c>
    </row>
    <row r="6471" spans="1:22" hidden="1" x14ac:dyDescent="0.25">
      <c r="A6471" s="269">
        <v>43766</v>
      </c>
      <c r="B6471" s="270">
        <v>2019</v>
      </c>
      <c r="C6471" s="270">
        <v>2020</v>
      </c>
      <c r="D6471" s="270">
        <v>1</v>
      </c>
      <c r="E6471" s="270">
        <v>1</v>
      </c>
      <c r="F6471" s="270" t="s">
        <v>944</v>
      </c>
      <c r="G6471" s="270" t="s">
        <v>3926</v>
      </c>
      <c r="H6471" s="270" t="s">
        <v>11226</v>
      </c>
      <c r="I6471" s="270" t="s">
        <v>4497</v>
      </c>
      <c r="J6471" s="270" t="s">
        <v>3928</v>
      </c>
      <c r="K6471" s="270">
        <v>6260</v>
      </c>
      <c r="L6471" s="270">
        <v>903100</v>
      </c>
      <c r="M6471" s="270" t="s">
        <v>3940</v>
      </c>
      <c r="N6471" s="270" t="s">
        <v>3944</v>
      </c>
      <c r="O6471" s="270">
        <v>1384.36</v>
      </c>
      <c r="P6471" s="270" t="s">
        <v>3944</v>
      </c>
      <c r="Q6471" s="270" t="s">
        <v>3944</v>
      </c>
      <c r="R6471" s="270">
        <v>1384.36</v>
      </c>
      <c r="S6471" s="270">
        <v>17262.939999999999</v>
      </c>
      <c r="T6471" s="270">
        <v>18647.3</v>
      </c>
      <c r="U6471" s="271" t="s">
        <v>3945</v>
      </c>
      <c r="V6471" s="267" t="s">
        <v>944</v>
      </c>
    </row>
    <row r="6472" spans="1:22" hidden="1" x14ac:dyDescent="0.25">
      <c r="A6472" s="266">
        <v>43766</v>
      </c>
      <c r="B6472" s="267">
        <v>2019</v>
      </c>
      <c r="C6472" s="267">
        <v>2020</v>
      </c>
      <c r="D6472" s="267">
        <v>1</v>
      </c>
      <c r="E6472" s="267">
        <v>1</v>
      </c>
      <c r="F6472" s="267" t="s">
        <v>944</v>
      </c>
      <c r="G6472" s="267" t="s">
        <v>3926</v>
      </c>
      <c r="H6472" s="267" t="s">
        <v>11227</v>
      </c>
      <c r="I6472" s="267" t="s">
        <v>6426</v>
      </c>
      <c r="J6472" s="267" t="s">
        <v>3928</v>
      </c>
      <c r="K6472" s="267">
        <v>6422</v>
      </c>
      <c r="L6472" s="267">
        <v>585100</v>
      </c>
      <c r="M6472" s="267" t="s">
        <v>3943</v>
      </c>
      <c r="N6472" s="267" t="s">
        <v>3944</v>
      </c>
      <c r="O6472" s="267">
        <v>1710</v>
      </c>
      <c r="P6472" s="267" t="s">
        <v>3944</v>
      </c>
      <c r="Q6472" s="267" t="s">
        <v>3944</v>
      </c>
      <c r="R6472" s="267">
        <v>1710</v>
      </c>
      <c r="S6472" s="267">
        <v>27159.88</v>
      </c>
      <c r="T6472" s="267">
        <v>28869.88</v>
      </c>
      <c r="U6472" s="268" t="s">
        <v>3945</v>
      </c>
      <c r="V6472" s="267" t="s">
        <v>944</v>
      </c>
    </row>
    <row r="6473" spans="1:22" hidden="1" x14ac:dyDescent="0.25">
      <c r="A6473" s="269">
        <v>43766</v>
      </c>
      <c r="B6473" s="270">
        <v>2019</v>
      </c>
      <c r="C6473" s="270">
        <v>2020</v>
      </c>
      <c r="D6473" s="270">
        <v>1</v>
      </c>
      <c r="E6473" s="270">
        <v>1</v>
      </c>
      <c r="F6473" s="270" t="s">
        <v>944</v>
      </c>
      <c r="G6473" s="270" t="s">
        <v>3926</v>
      </c>
      <c r="H6473" s="270" t="s">
        <v>11228</v>
      </c>
      <c r="I6473" s="270" t="s">
        <v>4040</v>
      </c>
      <c r="J6473" s="270" t="s">
        <v>3928</v>
      </c>
      <c r="K6473" s="270">
        <v>6335</v>
      </c>
      <c r="L6473" s="270">
        <v>701200</v>
      </c>
      <c r="M6473" s="270" t="s">
        <v>3960</v>
      </c>
      <c r="N6473" s="270" t="s">
        <v>3944</v>
      </c>
      <c r="O6473" s="270">
        <v>2000.11</v>
      </c>
      <c r="P6473" s="270" t="s">
        <v>3944</v>
      </c>
      <c r="Q6473" s="270" t="s">
        <v>3944</v>
      </c>
      <c r="R6473" s="270">
        <v>2000.11</v>
      </c>
      <c r="S6473" s="270">
        <v>28769.09</v>
      </c>
      <c r="T6473" s="270">
        <v>30769.200000000001</v>
      </c>
      <c r="U6473" s="271" t="s">
        <v>3945</v>
      </c>
      <c r="V6473" s="267" t="s">
        <v>944</v>
      </c>
    </row>
    <row r="6474" spans="1:22" hidden="1" x14ac:dyDescent="0.25">
      <c r="A6474" s="266">
        <v>43766</v>
      </c>
      <c r="B6474" s="267">
        <v>2019</v>
      </c>
      <c r="C6474" s="267">
        <v>2020</v>
      </c>
      <c r="D6474" s="267">
        <v>1</v>
      </c>
      <c r="E6474" s="267">
        <v>1</v>
      </c>
      <c r="F6474" s="267" t="s">
        <v>944</v>
      </c>
      <c r="G6474" s="267" t="s">
        <v>3926</v>
      </c>
      <c r="H6474" s="267" t="s">
        <v>11229</v>
      </c>
      <c r="I6474" s="267" t="s">
        <v>4683</v>
      </c>
      <c r="J6474" s="267" t="s">
        <v>3928</v>
      </c>
      <c r="K6474" s="267">
        <v>6762</v>
      </c>
      <c r="L6474" s="267">
        <v>344200</v>
      </c>
      <c r="M6474" s="267" t="s">
        <v>3943</v>
      </c>
      <c r="N6474" s="267" t="s">
        <v>3944</v>
      </c>
      <c r="O6474" s="267">
        <v>3691.03</v>
      </c>
      <c r="P6474" s="267" t="s">
        <v>3944</v>
      </c>
      <c r="Q6474" s="267" t="s">
        <v>3944</v>
      </c>
      <c r="R6474" s="267">
        <v>3691.03</v>
      </c>
      <c r="S6474" s="267">
        <v>54775.49</v>
      </c>
      <c r="T6474" s="267">
        <v>58466.52</v>
      </c>
      <c r="U6474" s="268" t="s">
        <v>3945</v>
      </c>
      <c r="V6474" s="267" t="s">
        <v>944</v>
      </c>
    </row>
    <row r="6475" spans="1:22" hidden="1" x14ac:dyDescent="0.25">
      <c r="A6475" s="269">
        <v>43766</v>
      </c>
      <c r="B6475" s="270">
        <v>2019</v>
      </c>
      <c r="C6475" s="270">
        <v>2020</v>
      </c>
      <c r="D6475" s="270">
        <v>1</v>
      </c>
      <c r="E6475" s="270">
        <v>1</v>
      </c>
      <c r="F6475" s="270" t="s">
        <v>944</v>
      </c>
      <c r="G6475" s="270" t="s">
        <v>3926</v>
      </c>
      <c r="H6475" s="270" t="s">
        <v>11230</v>
      </c>
      <c r="I6475" s="270" t="s">
        <v>4016</v>
      </c>
      <c r="J6475" s="270" t="s">
        <v>3928</v>
      </c>
      <c r="K6475" s="270">
        <v>6770</v>
      </c>
      <c r="L6475" s="270">
        <v>345100</v>
      </c>
      <c r="M6475" s="270" t="s">
        <v>3940</v>
      </c>
      <c r="N6475" s="270" t="s">
        <v>3944</v>
      </c>
      <c r="O6475" s="270">
        <v>1640.1</v>
      </c>
      <c r="P6475" s="270" t="s">
        <v>3944</v>
      </c>
      <c r="Q6475" s="270" t="s">
        <v>3944</v>
      </c>
      <c r="R6475" s="270">
        <v>1640.1</v>
      </c>
      <c r="S6475" s="270">
        <v>24482.19</v>
      </c>
      <c r="T6475" s="270">
        <v>26122.29</v>
      </c>
      <c r="U6475" s="271" t="s">
        <v>3945</v>
      </c>
      <c r="V6475" s="267" t="s">
        <v>944</v>
      </c>
    </row>
    <row r="6476" spans="1:22" hidden="1" x14ac:dyDescent="0.25">
      <c r="A6476" s="266">
        <v>43766</v>
      </c>
      <c r="B6476" s="267">
        <v>2019</v>
      </c>
      <c r="C6476" s="267">
        <v>2020</v>
      </c>
      <c r="D6476" s="267">
        <v>1</v>
      </c>
      <c r="E6476" s="267">
        <v>1</v>
      </c>
      <c r="F6476" s="267" t="s">
        <v>944</v>
      </c>
      <c r="G6476" s="267" t="s">
        <v>3926</v>
      </c>
      <c r="H6476" s="267" t="s">
        <v>11231</v>
      </c>
      <c r="I6476" s="267" t="s">
        <v>950</v>
      </c>
      <c r="J6476" s="267" t="s">
        <v>3928</v>
      </c>
      <c r="K6476" s="267">
        <v>6516</v>
      </c>
      <c r="L6476" s="267">
        <v>154700</v>
      </c>
      <c r="M6476" s="267" t="s">
        <v>3960</v>
      </c>
      <c r="N6476" s="267" t="s">
        <v>3944</v>
      </c>
      <c r="O6476" s="267">
        <v>1080.52</v>
      </c>
      <c r="P6476" s="267" t="s">
        <v>3944</v>
      </c>
      <c r="Q6476" s="267" t="s">
        <v>3944</v>
      </c>
      <c r="R6476" s="267">
        <v>1080.52</v>
      </c>
      <c r="S6476" s="267">
        <v>18431.98</v>
      </c>
      <c r="T6476" s="267">
        <v>19512.5</v>
      </c>
      <c r="U6476" s="268" t="s">
        <v>3945</v>
      </c>
      <c r="V6476" s="267" t="s">
        <v>944</v>
      </c>
    </row>
    <row r="6477" spans="1:22" x14ac:dyDescent="0.25">
      <c r="A6477" s="269">
        <v>43766</v>
      </c>
      <c r="B6477" s="270">
        <v>2019</v>
      </c>
      <c r="C6477" s="270">
        <v>2020</v>
      </c>
      <c r="D6477" s="270">
        <v>1</v>
      </c>
      <c r="E6477" s="270">
        <v>1</v>
      </c>
      <c r="F6477" s="270" t="s">
        <v>944</v>
      </c>
      <c r="G6477" s="270" t="s">
        <v>3926</v>
      </c>
      <c r="H6477" s="270" t="s">
        <v>11232</v>
      </c>
      <c r="I6477" s="270" t="s">
        <v>943</v>
      </c>
      <c r="J6477" s="270" t="s">
        <v>3928</v>
      </c>
      <c r="K6477" s="270">
        <v>6513</v>
      </c>
      <c r="L6477" s="270">
        <v>142500</v>
      </c>
      <c r="M6477" s="270">
        <v>-60</v>
      </c>
      <c r="N6477" s="270" t="s">
        <v>3944</v>
      </c>
      <c r="O6477" s="270">
        <v>1346</v>
      </c>
      <c r="P6477" s="270" t="s">
        <v>3944</v>
      </c>
      <c r="Q6477" s="270" t="s">
        <v>3944</v>
      </c>
      <c r="R6477" s="270">
        <v>1346</v>
      </c>
      <c r="S6477" s="270">
        <v>19943.759999999998</v>
      </c>
      <c r="T6477" s="270">
        <v>21289.759999999998</v>
      </c>
      <c r="U6477" s="271" t="s">
        <v>3945</v>
      </c>
      <c r="V6477" s="276" t="s">
        <v>936</v>
      </c>
    </row>
    <row r="6478" spans="1:22" hidden="1" x14ac:dyDescent="0.25">
      <c r="A6478" s="266">
        <v>43766</v>
      </c>
      <c r="B6478" s="267">
        <v>2019</v>
      </c>
      <c r="C6478" s="267">
        <v>2020</v>
      </c>
      <c r="D6478" s="267">
        <v>1</v>
      </c>
      <c r="E6478" s="267">
        <v>1</v>
      </c>
      <c r="F6478" s="267" t="s">
        <v>944</v>
      </c>
      <c r="G6478" s="267" t="s">
        <v>3926</v>
      </c>
      <c r="H6478" s="267" t="s">
        <v>11233</v>
      </c>
      <c r="I6478" s="267" t="s">
        <v>3008</v>
      </c>
      <c r="J6478" s="267" t="s">
        <v>3928</v>
      </c>
      <c r="K6478" s="267">
        <v>6460</v>
      </c>
      <c r="L6478" s="267">
        <v>151100</v>
      </c>
      <c r="M6478" s="267" t="s">
        <v>3960</v>
      </c>
      <c r="N6478" s="267" t="s">
        <v>3944</v>
      </c>
      <c r="O6478" s="267">
        <v>2526.9299999999998</v>
      </c>
      <c r="P6478" s="267" t="s">
        <v>3944</v>
      </c>
      <c r="Q6478" s="267" t="s">
        <v>3944</v>
      </c>
      <c r="R6478" s="267">
        <v>2526.9299999999998</v>
      </c>
      <c r="S6478" s="267">
        <v>40868.18</v>
      </c>
      <c r="T6478" s="267">
        <v>43395.11</v>
      </c>
      <c r="U6478" s="268" t="s">
        <v>3945</v>
      </c>
      <c r="V6478" s="267" t="s">
        <v>944</v>
      </c>
    </row>
    <row r="6479" spans="1:22" hidden="1" x14ac:dyDescent="0.25">
      <c r="A6479" s="269">
        <v>43766</v>
      </c>
      <c r="B6479" s="270">
        <v>2019</v>
      </c>
      <c r="C6479" s="270">
        <v>2020</v>
      </c>
      <c r="D6479" s="270">
        <v>1</v>
      </c>
      <c r="E6479" s="270">
        <v>1</v>
      </c>
      <c r="F6479" s="270" t="s">
        <v>944</v>
      </c>
      <c r="G6479" s="270" t="s">
        <v>3926</v>
      </c>
      <c r="H6479" s="270" t="s">
        <v>11234</v>
      </c>
      <c r="I6479" s="270" t="s">
        <v>4168</v>
      </c>
      <c r="J6479" s="270" t="s">
        <v>3928</v>
      </c>
      <c r="K6479" s="270">
        <v>6475</v>
      </c>
      <c r="L6479" s="270">
        <v>670200</v>
      </c>
      <c r="M6479" s="270" t="s">
        <v>3935</v>
      </c>
      <c r="N6479" s="270" t="s">
        <v>3944</v>
      </c>
      <c r="O6479" s="270">
        <v>1404.69</v>
      </c>
      <c r="P6479" s="270" t="s">
        <v>3944</v>
      </c>
      <c r="Q6479" s="270" t="s">
        <v>3944</v>
      </c>
      <c r="R6479" s="270">
        <v>1404.69</v>
      </c>
      <c r="S6479" s="270">
        <v>20911.16</v>
      </c>
      <c r="T6479" s="270">
        <v>22315.85</v>
      </c>
      <c r="U6479" s="271" t="s">
        <v>3945</v>
      </c>
      <c r="V6479" s="267" t="s">
        <v>944</v>
      </c>
    </row>
    <row r="6480" spans="1:22" hidden="1" x14ac:dyDescent="0.25">
      <c r="A6480" s="266">
        <v>43766</v>
      </c>
      <c r="B6480" s="267">
        <v>2019</v>
      </c>
      <c r="C6480" s="267">
        <v>2020</v>
      </c>
      <c r="D6480" s="267">
        <v>1</v>
      </c>
      <c r="E6480" s="267">
        <v>1</v>
      </c>
      <c r="F6480" s="267" t="s">
        <v>944</v>
      </c>
      <c r="G6480" s="267" t="s">
        <v>3926</v>
      </c>
      <c r="H6480" s="267" t="s">
        <v>11235</v>
      </c>
      <c r="I6480" s="267" t="s">
        <v>4073</v>
      </c>
      <c r="J6480" s="267" t="s">
        <v>3928</v>
      </c>
      <c r="K6480" s="267">
        <v>6776</v>
      </c>
      <c r="L6480" s="267">
        <v>253300</v>
      </c>
      <c r="M6480" s="267" t="s">
        <v>3960</v>
      </c>
      <c r="N6480" s="267" t="s">
        <v>3944</v>
      </c>
      <c r="O6480" s="267">
        <v>1767.22</v>
      </c>
      <c r="P6480" s="267" t="s">
        <v>3944</v>
      </c>
      <c r="Q6480" s="267" t="s">
        <v>3944</v>
      </c>
      <c r="R6480" s="267">
        <v>1767.22</v>
      </c>
      <c r="S6480" s="267">
        <v>29979.98</v>
      </c>
      <c r="T6480" s="267">
        <v>31747.200000000001</v>
      </c>
      <c r="U6480" s="268" t="s">
        <v>3945</v>
      </c>
      <c r="V6480" s="267" t="s">
        <v>944</v>
      </c>
    </row>
    <row r="6481" spans="1:22" hidden="1" x14ac:dyDescent="0.25">
      <c r="A6481" s="269">
        <v>43767</v>
      </c>
      <c r="B6481" s="270">
        <v>2019</v>
      </c>
      <c r="C6481" s="270">
        <v>2020</v>
      </c>
      <c r="D6481" s="270">
        <v>1</v>
      </c>
      <c r="E6481" s="270">
        <v>1</v>
      </c>
      <c r="F6481" s="270" t="s">
        <v>944</v>
      </c>
      <c r="G6481" s="270" t="s">
        <v>3926</v>
      </c>
      <c r="H6481" s="270" t="s">
        <v>11236</v>
      </c>
      <c r="I6481" s="270" t="s">
        <v>4079</v>
      </c>
      <c r="J6481" s="270" t="s">
        <v>3928</v>
      </c>
      <c r="K6481" s="270">
        <v>6111</v>
      </c>
      <c r="L6481" s="270">
        <v>494300</v>
      </c>
      <c r="M6481" s="270" t="s">
        <v>3935</v>
      </c>
      <c r="N6481" s="270" t="s">
        <v>11237</v>
      </c>
      <c r="O6481" s="270">
        <v>0</v>
      </c>
      <c r="P6481" s="270" t="s">
        <v>3930</v>
      </c>
      <c r="Q6481" s="270" t="s">
        <v>3930</v>
      </c>
      <c r="R6481" s="270">
        <v>0</v>
      </c>
      <c r="S6481" s="270">
        <v>26558</v>
      </c>
      <c r="T6481" s="270">
        <v>26558</v>
      </c>
      <c r="U6481" s="271" t="s">
        <v>3937</v>
      </c>
      <c r="V6481" s="267" t="s">
        <v>944</v>
      </c>
    </row>
    <row r="6482" spans="1:22" hidden="1" x14ac:dyDescent="0.25">
      <c r="A6482" s="266">
        <v>43767</v>
      </c>
      <c r="B6482" s="267">
        <v>2019</v>
      </c>
      <c r="C6482" s="267">
        <v>2020</v>
      </c>
      <c r="D6482" s="267">
        <v>1</v>
      </c>
      <c r="E6482" s="267">
        <v>1</v>
      </c>
      <c r="F6482" s="267" t="s">
        <v>944</v>
      </c>
      <c r="G6482" s="267" t="s">
        <v>3926</v>
      </c>
      <c r="H6482" s="267" t="s">
        <v>11238</v>
      </c>
      <c r="I6482" s="267" t="s">
        <v>950</v>
      </c>
      <c r="J6482" s="267" t="s">
        <v>3928</v>
      </c>
      <c r="K6482" s="267">
        <v>6516</v>
      </c>
      <c r="L6482" s="267">
        <v>154800</v>
      </c>
      <c r="M6482" s="267" t="s">
        <v>3960</v>
      </c>
      <c r="N6482" s="267" t="s">
        <v>11239</v>
      </c>
      <c r="O6482" s="267">
        <v>0</v>
      </c>
      <c r="P6482" s="267" t="s">
        <v>3930</v>
      </c>
      <c r="Q6482" s="267" t="s">
        <v>3930</v>
      </c>
      <c r="R6482" s="267">
        <v>0</v>
      </c>
      <c r="S6482" s="267">
        <v>12283.43</v>
      </c>
      <c r="T6482" s="267">
        <v>12283.43</v>
      </c>
      <c r="U6482" s="268" t="s">
        <v>3937</v>
      </c>
      <c r="V6482" s="267" t="s">
        <v>944</v>
      </c>
    </row>
    <row r="6483" spans="1:22" hidden="1" x14ac:dyDescent="0.25">
      <c r="A6483" s="269">
        <v>43767</v>
      </c>
      <c r="B6483" s="270">
        <v>2019</v>
      </c>
      <c r="C6483" s="270">
        <v>2020</v>
      </c>
      <c r="D6483" s="270">
        <v>1</v>
      </c>
      <c r="E6483" s="270">
        <v>1</v>
      </c>
      <c r="F6483" s="270" t="s">
        <v>944</v>
      </c>
      <c r="G6483" s="270" t="s">
        <v>3997</v>
      </c>
      <c r="H6483" s="270" t="s">
        <v>11240</v>
      </c>
      <c r="I6483" s="270" t="s">
        <v>956</v>
      </c>
      <c r="J6483" s="270" t="s">
        <v>3928</v>
      </c>
      <c r="K6483" s="270">
        <v>6497</v>
      </c>
      <c r="L6483" s="270">
        <v>80800</v>
      </c>
      <c r="M6483" s="270" t="s">
        <v>3960</v>
      </c>
      <c r="N6483" s="270" t="s">
        <v>10517</v>
      </c>
      <c r="O6483" s="270">
        <v>2830.77</v>
      </c>
      <c r="P6483" s="270" t="s">
        <v>3930</v>
      </c>
      <c r="Q6483" s="270" t="s">
        <v>3931</v>
      </c>
      <c r="R6483" s="270">
        <v>7830.77</v>
      </c>
      <c r="S6483" s="270">
        <v>10624</v>
      </c>
      <c r="T6483" s="270">
        <v>18454.77</v>
      </c>
      <c r="U6483" s="271" t="s">
        <v>3932</v>
      </c>
      <c r="V6483" s="267" t="s">
        <v>944</v>
      </c>
    </row>
    <row r="6484" spans="1:22" hidden="1" x14ac:dyDescent="0.25">
      <c r="A6484" s="266">
        <v>43767</v>
      </c>
      <c r="B6484" s="267">
        <v>2019</v>
      </c>
      <c r="C6484" s="267">
        <v>2020</v>
      </c>
      <c r="D6484" s="267">
        <v>1</v>
      </c>
      <c r="E6484" s="267">
        <v>1</v>
      </c>
      <c r="F6484" s="267" t="s">
        <v>944</v>
      </c>
      <c r="G6484" s="267" t="s">
        <v>3926</v>
      </c>
      <c r="H6484" s="267" t="s">
        <v>11241</v>
      </c>
      <c r="I6484" s="267" t="s">
        <v>4290</v>
      </c>
      <c r="J6484" s="267" t="s">
        <v>3928</v>
      </c>
      <c r="K6484" s="267">
        <v>6798</v>
      </c>
      <c r="L6484" s="267">
        <v>362101</v>
      </c>
      <c r="M6484" s="267" t="s">
        <v>3935</v>
      </c>
      <c r="N6484" s="267" t="s">
        <v>11242</v>
      </c>
      <c r="O6484" s="267">
        <v>0</v>
      </c>
      <c r="P6484" s="267" t="s">
        <v>3930</v>
      </c>
      <c r="Q6484" s="267" t="s">
        <v>3930</v>
      </c>
      <c r="R6484" s="267">
        <v>0</v>
      </c>
      <c r="S6484" s="267">
        <v>16895</v>
      </c>
      <c r="T6484" s="267">
        <v>16895</v>
      </c>
      <c r="U6484" s="268" t="s">
        <v>3937</v>
      </c>
      <c r="V6484" s="267" t="s">
        <v>944</v>
      </c>
    </row>
    <row r="6485" spans="1:22" hidden="1" x14ac:dyDescent="0.25">
      <c r="A6485" s="269">
        <v>43767</v>
      </c>
      <c r="B6485" s="270">
        <v>2019</v>
      </c>
      <c r="C6485" s="270">
        <v>2020</v>
      </c>
      <c r="D6485" s="270">
        <v>1</v>
      </c>
      <c r="E6485" s="270">
        <v>1</v>
      </c>
      <c r="F6485" s="270" t="s">
        <v>944</v>
      </c>
      <c r="G6485" s="270" t="s">
        <v>3926</v>
      </c>
      <c r="H6485" s="270" t="s">
        <v>11243</v>
      </c>
      <c r="I6485" s="270" t="s">
        <v>4114</v>
      </c>
      <c r="J6485" s="270" t="s">
        <v>3928</v>
      </c>
      <c r="K6485" s="270">
        <v>6410</v>
      </c>
      <c r="L6485" s="270">
        <v>343200</v>
      </c>
      <c r="M6485" s="270" t="s">
        <v>3943</v>
      </c>
      <c r="N6485" s="270" t="s">
        <v>3944</v>
      </c>
      <c r="O6485" s="270">
        <v>5214</v>
      </c>
      <c r="P6485" s="270" t="s">
        <v>3944</v>
      </c>
      <c r="Q6485" s="270" t="s">
        <v>3944</v>
      </c>
      <c r="R6485" s="270">
        <v>5214</v>
      </c>
      <c r="S6485" s="270">
        <v>39950</v>
      </c>
      <c r="T6485" s="270">
        <v>45164</v>
      </c>
      <c r="U6485" s="271" t="s">
        <v>3945</v>
      </c>
      <c r="V6485" s="267" t="s">
        <v>944</v>
      </c>
    </row>
    <row r="6486" spans="1:22" hidden="1" x14ac:dyDescent="0.25">
      <c r="A6486" s="266">
        <v>43767</v>
      </c>
      <c r="B6486" s="267">
        <v>2019</v>
      </c>
      <c r="C6486" s="267">
        <v>2020</v>
      </c>
      <c r="D6486" s="267">
        <v>1</v>
      </c>
      <c r="E6486" s="267">
        <v>1</v>
      </c>
      <c r="F6486" s="267" t="s">
        <v>944</v>
      </c>
      <c r="G6486" s="267" t="s">
        <v>3926</v>
      </c>
      <c r="H6486" s="267" t="s">
        <v>11244</v>
      </c>
      <c r="I6486" s="267" t="s">
        <v>4306</v>
      </c>
      <c r="J6486" s="267" t="s">
        <v>3928</v>
      </c>
      <c r="K6486" s="267">
        <v>6716</v>
      </c>
      <c r="L6486" s="267">
        <v>361100</v>
      </c>
      <c r="M6486" s="267" t="s">
        <v>3960</v>
      </c>
      <c r="N6486" s="267" t="s">
        <v>3944</v>
      </c>
      <c r="O6486" s="267">
        <v>3152</v>
      </c>
      <c r="P6486" s="267" t="s">
        <v>3944</v>
      </c>
      <c r="Q6486" s="267" t="s">
        <v>3944</v>
      </c>
      <c r="R6486" s="267">
        <v>3152</v>
      </c>
      <c r="S6486" s="267">
        <v>21927</v>
      </c>
      <c r="T6486" s="267">
        <v>25079</v>
      </c>
      <c r="U6486" s="268" t="s">
        <v>3945</v>
      </c>
      <c r="V6486" s="267" t="s">
        <v>944</v>
      </c>
    </row>
    <row r="6487" spans="1:22" hidden="1" x14ac:dyDescent="0.25">
      <c r="A6487" s="269">
        <v>43767</v>
      </c>
      <c r="B6487" s="270">
        <v>2019</v>
      </c>
      <c r="C6487" s="270">
        <v>2020</v>
      </c>
      <c r="D6487" s="270">
        <v>1</v>
      </c>
      <c r="E6487" s="270">
        <v>1</v>
      </c>
      <c r="F6487" s="270" t="s">
        <v>944</v>
      </c>
      <c r="G6487" s="270" t="s">
        <v>3926</v>
      </c>
      <c r="H6487" s="270" t="s">
        <v>11245</v>
      </c>
      <c r="I6487" s="270" t="s">
        <v>3975</v>
      </c>
      <c r="J6487" s="270" t="s">
        <v>3928</v>
      </c>
      <c r="K6487" s="270">
        <v>6032</v>
      </c>
      <c r="L6487" s="270">
        <v>460202</v>
      </c>
      <c r="M6487" s="270" t="s">
        <v>3960</v>
      </c>
      <c r="N6487" s="270" t="s">
        <v>3944</v>
      </c>
      <c r="O6487" s="270">
        <v>6355</v>
      </c>
      <c r="P6487" s="270" t="s">
        <v>3944</v>
      </c>
      <c r="Q6487" s="270" t="s">
        <v>3944</v>
      </c>
      <c r="R6487" s="270">
        <v>6355</v>
      </c>
      <c r="S6487" s="270">
        <v>49211</v>
      </c>
      <c r="T6487" s="270">
        <v>55566</v>
      </c>
      <c r="U6487" s="271" t="s">
        <v>3945</v>
      </c>
      <c r="V6487" s="267" t="s">
        <v>944</v>
      </c>
    </row>
    <row r="6488" spans="1:22" hidden="1" x14ac:dyDescent="0.25">
      <c r="A6488" s="266">
        <v>43767</v>
      </c>
      <c r="B6488" s="267">
        <v>2019</v>
      </c>
      <c r="C6488" s="267">
        <v>2020</v>
      </c>
      <c r="D6488" s="267">
        <v>1</v>
      </c>
      <c r="E6488" s="267">
        <v>1</v>
      </c>
      <c r="F6488" s="267" t="s">
        <v>944</v>
      </c>
      <c r="G6488" s="267" t="s">
        <v>3926</v>
      </c>
      <c r="H6488" s="267" t="s">
        <v>11246</v>
      </c>
      <c r="I6488" s="267" t="s">
        <v>3968</v>
      </c>
      <c r="J6488" s="267" t="s">
        <v>3928</v>
      </c>
      <c r="K6488" s="267">
        <v>6040</v>
      </c>
      <c r="L6488" s="267">
        <v>514800</v>
      </c>
      <c r="M6488" s="267" t="s">
        <v>3940</v>
      </c>
      <c r="N6488" s="267" t="s">
        <v>3944</v>
      </c>
      <c r="O6488" s="267">
        <v>1261.58</v>
      </c>
      <c r="P6488" s="267" t="s">
        <v>3944</v>
      </c>
      <c r="Q6488" s="267" t="s">
        <v>3944</v>
      </c>
      <c r="R6488" s="267">
        <v>1261.58</v>
      </c>
      <c r="S6488" s="267">
        <v>20567.919999999998</v>
      </c>
      <c r="T6488" s="267">
        <v>21829.5</v>
      </c>
      <c r="U6488" s="268" t="s">
        <v>3945</v>
      </c>
      <c r="V6488" s="267" t="s">
        <v>944</v>
      </c>
    </row>
    <row r="6489" spans="1:22" hidden="1" x14ac:dyDescent="0.25">
      <c r="A6489" s="269">
        <v>43767</v>
      </c>
      <c r="B6489" s="270">
        <v>2019</v>
      </c>
      <c r="C6489" s="270">
        <v>2020</v>
      </c>
      <c r="D6489" s="270">
        <v>1</v>
      </c>
      <c r="E6489" s="270">
        <v>1</v>
      </c>
      <c r="F6489" s="270" t="s">
        <v>944</v>
      </c>
      <c r="G6489" s="270" t="s">
        <v>3926</v>
      </c>
      <c r="H6489" s="270" t="s">
        <v>11247</v>
      </c>
      <c r="I6489" s="270" t="s">
        <v>4037</v>
      </c>
      <c r="J6489" s="270" t="s">
        <v>3928</v>
      </c>
      <c r="K6489" s="270">
        <v>6810</v>
      </c>
      <c r="L6489" s="270">
        <v>210300</v>
      </c>
      <c r="M6489" s="270" t="s">
        <v>3940</v>
      </c>
      <c r="N6489" s="270" t="s">
        <v>3944</v>
      </c>
      <c r="O6489" s="270">
        <v>1499.26</v>
      </c>
      <c r="P6489" s="270" t="s">
        <v>3944</v>
      </c>
      <c r="Q6489" s="270" t="s">
        <v>3944</v>
      </c>
      <c r="R6489" s="270">
        <v>1499.26</v>
      </c>
      <c r="S6489" s="270">
        <v>21148.52</v>
      </c>
      <c r="T6489" s="270">
        <v>22647.78</v>
      </c>
      <c r="U6489" s="271" t="s">
        <v>3945</v>
      </c>
      <c r="V6489" s="267" t="s">
        <v>944</v>
      </c>
    </row>
    <row r="6490" spans="1:22" hidden="1" x14ac:dyDescent="0.25">
      <c r="A6490" s="266">
        <v>43767</v>
      </c>
      <c r="B6490" s="267">
        <v>2019</v>
      </c>
      <c r="C6490" s="267">
        <v>2020</v>
      </c>
      <c r="D6490" s="267">
        <v>1</v>
      </c>
      <c r="E6490" s="267">
        <v>1</v>
      </c>
      <c r="F6490" s="267" t="s">
        <v>944</v>
      </c>
      <c r="G6490" s="267" t="s">
        <v>3926</v>
      </c>
      <c r="H6490" s="267" t="s">
        <v>11248</v>
      </c>
      <c r="I6490" s="267" t="s">
        <v>3956</v>
      </c>
      <c r="J6490" s="267" t="s">
        <v>3928</v>
      </c>
      <c r="K6490" s="267">
        <v>6106</v>
      </c>
      <c r="L6490" s="267">
        <v>524700</v>
      </c>
      <c r="M6490" s="267" t="s">
        <v>3935</v>
      </c>
      <c r="N6490" s="267" t="s">
        <v>3944</v>
      </c>
      <c r="O6490" s="267">
        <v>1700.23</v>
      </c>
      <c r="P6490" s="267" t="s">
        <v>3944</v>
      </c>
      <c r="Q6490" s="267" t="s">
        <v>3944</v>
      </c>
      <c r="R6490" s="267">
        <v>1700.23</v>
      </c>
      <c r="S6490" s="267">
        <v>24636.28</v>
      </c>
      <c r="T6490" s="267">
        <v>26336.51</v>
      </c>
      <c r="U6490" s="268" t="s">
        <v>3945</v>
      </c>
      <c r="V6490" s="267" t="s">
        <v>944</v>
      </c>
    </row>
    <row r="6491" spans="1:22" hidden="1" x14ac:dyDescent="0.25">
      <c r="A6491" s="269">
        <v>43767</v>
      </c>
      <c r="B6491" s="270">
        <v>2019</v>
      </c>
      <c r="C6491" s="270">
        <v>2020</v>
      </c>
      <c r="D6491" s="270">
        <v>1</v>
      </c>
      <c r="E6491" s="270">
        <v>1</v>
      </c>
      <c r="F6491" s="270" t="s">
        <v>944</v>
      </c>
      <c r="G6491" s="270" t="s">
        <v>3926</v>
      </c>
      <c r="H6491" s="270" t="s">
        <v>11249</v>
      </c>
      <c r="I6491" s="270" t="s">
        <v>3996</v>
      </c>
      <c r="J6491" s="270" t="s">
        <v>3928</v>
      </c>
      <c r="K6491" s="270">
        <v>6790</v>
      </c>
      <c r="L6491" s="270">
        <v>310601</v>
      </c>
      <c r="M6491" s="270" t="s">
        <v>3960</v>
      </c>
      <c r="N6491" s="270" t="s">
        <v>3944</v>
      </c>
      <c r="O6491" s="270">
        <v>1538.04</v>
      </c>
      <c r="P6491" s="270" t="s">
        <v>3944</v>
      </c>
      <c r="Q6491" s="270" t="s">
        <v>3944</v>
      </c>
      <c r="R6491" s="270">
        <v>1538.04</v>
      </c>
      <c r="S6491" s="270">
        <v>22511.94</v>
      </c>
      <c r="T6491" s="270">
        <v>24049.98</v>
      </c>
      <c r="U6491" s="271" t="s">
        <v>3945</v>
      </c>
      <c r="V6491" s="267" t="s">
        <v>944</v>
      </c>
    </row>
    <row r="6492" spans="1:22" hidden="1" x14ac:dyDescent="0.25">
      <c r="A6492" s="266">
        <v>43767</v>
      </c>
      <c r="B6492" s="267">
        <v>2019</v>
      </c>
      <c r="C6492" s="267">
        <v>2020</v>
      </c>
      <c r="D6492" s="267">
        <v>1</v>
      </c>
      <c r="E6492" s="267">
        <v>1</v>
      </c>
      <c r="F6492" s="267" t="s">
        <v>944</v>
      </c>
      <c r="G6492" s="267" t="s">
        <v>3926</v>
      </c>
      <c r="H6492" s="267" t="s">
        <v>11250</v>
      </c>
      <c r="I6492" s="267" t="s">
        <v>4250</v>
      </c>
      <c r="J6492" s="267" t="s">
        <v>3928</v>
      </c>
      <c r="K6492" s="267">
        <v>6241</v>
      </c>
      <c r="L6492" s="267">
        <v>904400</v>
      </c>
      <c r="M6492" s="267" t="s">
        <v>3940</v>
      </c>
      <c r="N6492" s="267" t="s">
        <v>3944</v>
      </c>
      <c r="O6492" s="267">
        <v>1979.18</v>
      </c>
      <c r="P6492" s="267" t="s">
        <v>3944</v>
      </c>
      <c r="Q6492" s="267" t="s">
        <v>3944</v>
      </c>
      <c r="R6492" s="267">
        <v>1979.18</v>
      </c>
      <c r="S6492" s="267">
        <v>28812.07</v>
      </c>
      <c r="T6492" s="267">
        <v>30791.25</v>
      </c>
      <c r="U6492" s="268" t="s">
        <v>3945</v>
      </c>
      <c r="V6492" s="267" t="s">
        <v>944</v>
      </c>
    </row>
    <row r="6493" spans="1:22" hidden="1" x14ac:dyDescent="0.25">
      <c r="A6493" s="269">
        <v>43767</v>
      </c>
      <c r="B6493" s="270">
        <v>2019</v>
      </c>
      <c r="C6493" s="270">
        <v>2020</v>
      </c>
      <c r="D6493" s="270">
        <v>1</v>
      </c>
      <c r="E6493" s="270">
        <v>1</v>
      </c>
      <c r="F6493" s="270" t="s">
        <v>944</v>
      </c>
      <c r="G6493" s="270" t="s">
        <v>3926</v>
      </c>
      <c r="H6493" s="270" t="s">
        <v>11251</v>
      </c>
      <c r="I6493" s="270" t="s">
        <v>4213</v>
      </c>
      <c r="J6493" s="270" t="s">
        <v>3928</v>
      </c>
      <c r="K6493" s="270">
        <v>6052</v>
      </c>
      <c r="L6493" s="270">
        <v>416400</v>
      </c>
      <c r="M6493" s="270" t="s">
        <v>3960</v>
      </c>
      <c r="N6493" s="270" t="s">
        <v>3944</v>
      </c>
      <c r="O6493" s="270">
        <v>1204.77</v>
      </c>
      <c r="P6493" s="270" t="s">
        <v>3944</v>
      </c>
      <c r="Q6493" s="270" t="s">
        <v>3944</v>
      </c>
      <c r="R6493" s="270">
        <v>1204.77</v>
      </c>
      <c r="S6493" s="270">
        <v>17057</v>
      </c>
      <c r="T6493" s="270">
        <v>18261.77</v>
      </c>
      <c r="U6493" s="271" t="s">
        <v>3945</v>
      </c>
      <c r="V6493" s="267" t="s">
        <v>944</v>
      </c>
    </row>
    <row r="6494" spans="1:22" hidden="1" x14ac:dyDescent="0.25">
      <c r="A6494" s="266">
        <v>43767</v>
      </c>
      <c r="B6494" s="267">
        <v>2019</v>
      </c>
      <c r="C6494" s="267">
        <v>2020</v>
      </c>
      <c r="D6494" s="267">
        <v>1</v>
      </c>
      <c r="E6494" s="267">
        <v>1</v>
      </c>
      <c r="F6494" s="267" t="s">
        <v>944</v>
      </c>
      <c r="G6494" s="267" t="s">
        <v>3926</v>
      </c>
      <c r="H6494" s="267" t="s">
        <v>11252</v>
      </c>
      <c r="I6494" s="267" t="s">
        <v>4037</v>
      </c>
      <c r="J6494" s="267" t="s">
        <v>3928</v>
      </c>
      <c r="K6494" s="267">
        <v>6811</v>
      </c>
      <c r="L6494" s="267">
        <v>211000</v>
      </c>
      <c r="M6494" s="267" t="s">
        <v>3960</v>
      </c>
      <c r="N6494" s="267" t="s">
        <v>3944</v>
      </c>
      <c r="O6494" s="267">
        <v>1943.94</v>
      </c>
      <c r="P6494" s="267" t="s">
        <v>3944</v>
      </c>
      <c r="Q6494" s="267" t="s">
        <v>3944</v>
      </c>
      <c r="R6494" s="267">
        <v>1943.94</v>
      </c>
      <c r="S6494" s="267">
        <v>29503.23</v>
      </c>
      <c r="T6494" s="267">
        <v>31447.17</v>
      </c>
      <c r="U6494" s="268" t="s">
        <v>3945</v>
      </c>
      <c r="V6494" s="267" t="s">
        <v>944</v>
      </c>
    </row>
    <row r="6495" spans="1:22" hidden="1" x14ac:dyDescent="0.25">
      <c r="A6495" s="269">
        <v>43767</v>
      </c>
      <c r="B6495" s="270">
        <v>2019</v>
      </c>
      <c r="C6495" s="270">
        <v>2020</v>
      </c>
      <c r="D6495" s="270">
        <v>1</v>
      </c>
      <c r="E6495" s="270">
        <v>1</v>
      </c>
      <c r="F6495" s="270" t="s">
        <v>944</v>
      </c>
      <c r="G6495" s="270" t="s">
        <v>3926</v>
      </c>
      <c r="H6495" s="270" t="s">
        <v>11253</v>
      </c>
      <c r="I6495" s="270" t="s">
        <v>3026</v>
      </c>
      <c r="J6495" s="270" t="s">
        <v>3928</v>
      </c>
      <c r="K6495" s="270">
        <v>6471</v>
      </c>
      <c r="L6495" s="270">
        <v>186100</v>
      </c>
      <c r="M6495" s="270" t="s">
        <v>3935</v>
      </c>
      <c r="N6495" s="270" t="s">
        <v>3944</v>
      </c>
      <c r="O6495" s="270">
        <v>2472.16</v>
      </c>
      <c r="P6495" s="270" t="s">
        <v>3944</v>
      </c>
      <c r="Q6495" s="270" t="s">
        <v>3944</v>
      </c>
      <c r="R6495" s="270">
        <v>2472.16</v>
      </c>
      <c r="S6495" s="270">
        <v>40589.370000000003</v>
      </c>
      <c r="T6495" s="270">
        <v>43061.53</v>
      </c>
      <c r="U6495" s="271" t="s">
        <v>3945</v>
      </c>
      <c r="V6495" s="267" t="s">
        <v>944</v>
      </c>
    </row>
    <row r="6496" spans="1:22" hidden="1" x14ac:dyDescent="0.25">
      <c r="A6496" s="266">
        <v>43767</v>
      </c>
      <c r="B6496" s="267">
        <v>2019</v>
      </c>
      <c r="C6496" s="267">
        <v>2020</v>
      </c>
      <c r="D6496" s="267">
        <v>1</v>
      </c>
      <c r="E6496" s="267">
        <v>1</v>
      </c>
      <c r="F6496" s="267" t="s">
        <v>944</v>
      </c>
      <c r="G6496" s="267" t="s">
        <v>3926</v>
      </c>
      <c r="H6496" s="267" t="s">
        <v>11254</v>
      </c>
      <c r="I6496" s="267" t="s">
        <v>4310</v>
      </c>
      <c r="J6496" s="267" t="s">
        <v>3928</v>
      </c>
      <c r="K6496" s="267">
        <v>6351</v>
      </c>
      <c r="L6496" s="267">
        <v>710100</v>
      </c>
      <c r="M6496" s="267" t="s">
        <v>3960</v>
      </c>
      <c r="N6496" s="267" t="s">
        <v>3944</v>
      </c>
      <c r="O6496" s="267">
        <v>2814.14</v>
      </c>
      <c r="P6496" s="267" t="s">
        <v>3944</v>
      </c>
      <c r="Q6496" s="267" t="s">
        <v>3944</v>
      </c>
      <c r="R6496" s="267">
        <v>2814.14</v>
      </c>
      <c r="S6496" s="267">
        <v>42078.84</v>
      </c>
      <c r="T6496" s="267">
        <v>44892.98</v>
      </c>
      <c r="U6496" s="268" t="s">
        <v>3945</v>
      </c>
      <c r="V6496" s="267" t="s">
        <v>944</v>
      </c>
    </row>
    <row r="6497" spans="1:22" hidden="1" x14ac:dyDescent="0.25">
      <c r="A6497" s="269">
        <v>43767</v>
      </c>
      <c r="B6497" s="270">
        <v>2019</v>
      </c>
      <c r="C6497" s="270">
        <v>2020</v>
      </c>
      <c r="D6497" s="270">
        <v>1</v>
      </c>
      <c r="E6497" s="270">
        <v>1</v>
      </c>
      <c r="F6497" s="270" t="s">
        <v>944</v>
      </c>
      <c r="G6497" s="270" t="s">
        <v>3926</v>
      </c>
      <c r="H6497" s="270" t="s">
        <v>11255</v>
      </c>
      <c r="I6497" s="270" t="s">
        <v>3011</v>
      </c>
      <c r="J6497" s="270" t="s">
        <v>3928</v>
      </c>
      <c r="K6497" s="270">
        <v>6418</v>
      </c>
      <c r="L6497" s="270">
        <v>120100</v>
      </c>
      <c r="M6497" s="270" t="s">
        <v>3940</v>
      </c>
      <c r="N6497" s="270" t="s">
        <v>3944</v>
      </c>
      <c r="O6497" s="270">
        <v>896.56</v>
      </c>
      <c r="P6497" s="270" t="s">
        <v>3944</v>
      </c>
      <c r="Q6497" s="270" t="s">
        <v>3944</v>
      </c>
      <c r="R6497" s="270">
        <v>896.56</v>
      </c>
      <c r="S6497" s="270">
        <v>13111.96</v>
      </c>
      <c r="T6497" s="270">
        <v>14008.52</v>
      </c>
      <c r="U6497" s="271" t="s">
        <v>3945</v>
      </c>
      <c r="V6497" s="267" t="s">
        <v>944</v>
      </c>
    </row>
    <row r="6498" spans="1:22" hidden="1" x14ac:dyDescent="0.25">
      <c r="A6498" s="266">
        <v>43767</v>
      </c>
      <c r="B6498" s="267">
        <v>2019</v>
      </c>
      <c r="C6498" s="267">
        <v>2020</v>
      </c>
      <c r="D6498" s="267">
        <v>1</v>
      </c>
      <c r="E6498" s="267">
        <v>1</v>
      </c>
      <c r="F6498" s="267" t="s">
        <v>944</v>
      </c>
      <c r="G6498" s="267" t="s">
        <v>3926</v>
      </c>
      <c r="H6498" s="267" t="s">
        <v>11256</v>
      </c>
      <c r="I6498" s="267" t="s">
        <v>4200</v>
      </c>
      <c r="J6498" s="267" t="s">
        <v>3928</v>
      </c>
      <c r="K6498" s="267">
        <v>6779</v>
      </c>
      <c r="L6498" s="267">
        <v>360300</v>
      </c>
      <c r="M6498" s="267" t="s">
        <v>3935</v>
      </c>
      <c r="N6498" s="267" t="s">
        <v>3944</v>
      </c>
      <c r="O6498" s="267">
        <v>3366.44</v>
      </c>
      <c r="P6498" s="267" t="s">
        <v>3944</v>
      </c>
      <c r="Q6498" s="267" t="s">
        <v>3944</v>
      </c>
      <c r="R6498" s="267">
        <v>3366.44</v>
      </c>
      <c r="S6498" s="267">
        <v>46354.85</v>
      </c>
      <c r="T6498" s="267">
        <v>49721.29</v>
      </c>
      <c r="U6498" s="268" t="s">
        <v>3945</v>
      </c>
      <c r="V6498" s="267" t="s">
        <v>944</v>
      </c>
    </row>
    <row r="6499" spans="1:22" hidden="1" x14ac:dyDescent="0.25">
      <c r="A6499" s="269">
        <v>43767</v>
      </c>
      <c r="B6499" s="270">
        <v>2019</v>
      </c>
      <c r="C6499" s="270">
        <v>2020</v>
      </c>
      <c r="D6499" s="270">
        <v>1</v>
      </c>
      <c r="E6499" s="270">
        <v>1</v>
      </c>
      <c r="F6499" s="270" t="s">
        <v>944</v>
      </c>
      <c r="G6499" s="270" t="s">
        <v>3926</v>
      </c>
      <c r="H6499" s="270" t="s">
        <v>11257</v>
      </c>
      <c r="I6499" s="270" t="s">
        <v>4019</v>
      </c>
      <c r="J6499" s="270" t="s">
        <v>3928</v>
      </c>
      <c r="K6499" s="270">
        <v>6708</v>
      </c>
      <c r="L6499" s="270">
        <v>351900</v>
      </c>
      <c r="M6499" s="270" t="s">
        <v>3935</v>
      </c>
      <c r="N6499" s="270" t="s">
        <v>3944</v>
      </c>
      <c r="O6499" s="270">
        <v>1280.9000000000001</v>
      </c>
      <c r="P6499" s="270" t="s">
        <v>3944</v>
      </c>
      <c r="Q6499" s="270" t="s">
        <v>3944</v>
      </c>
      <c r="R6499" s="270">
        <v>1280.9000000000001</v>
      </c>
      <c r="S6499" s="270">
        <v>22000.38</v>
      </c>
      <c r="T6499" s="270">
        <v>23281.279999999999</v>
      </c>
      <c r="U6499" s="271" t="s">
        <v>3945</v>
      </c>
      <c r="V6499" s="267" t="s">
        <v>944</v>
      </c>
    </row>
    <row r="6500" spans="1:22" hidden="1" x14ac:dyDescent="0.25">
      <c r="A6500" s="266">
        <v>43767</v>
      </c>
      <c r="B6500" s="267">
        <v>2019</v>
      </c>
      <c r="C6500" s="267">
        <v>2020</v>
      </c>
      <c r="D6500" s="267">
        <v>1</v>
      </c>
      <c r="E6500" s="267">
        <v>1</v>
      </c>
      <c r="F6500" s="267" t="s">
        <v>944</v>
      </c>
      <c r="G6500" s="267" t="s">
        <v>3926</v>
      </c>
      <c r="H6500" s="267" t="s">
        <v>11258</v>
      </c>
      <c r="I6500" s="267" t="s">
        <v>4306</v>
      </c>
      <c r="J6500" s="267" t="s">
        <v>3928</v>
      </c>
      <c r="K6500" s="267">
        <v>6716</v>
      </c>
      <c r="L6500" s="267">
        <v>361200</v>
      </c>
      <c r="M6500" s="267" t="s">
        <v>3960</v>
      </c>
      <c r="N6500" s="267" t="s">
        <v>3944</v>
      </c>
      <c r="O6500" s="267">
        <v>1964.87</v>
      </c>
      <c r="P6500" s="267" t="s">
        <v>3944</v>
      </c>
      <c r="Q6500" s="267" t="s">
        <v>3944</v>
      </c>
      <c r="R6500" s="267">
        <v>1964.87</v>
      </c>
      <c r="S6500" s="267">
        <v>28183.360000000001</v>
      </c>
      <c r="T6500" s="267">
        <v>30148.23</v>
      </c>
      <c r="U6500" s="268" t="s">
        <v>3945</v>
      </c>
      <c r="V6500" s="267" t="s">
        <v>944</v>
      </c>
    </row>
    <row r="6501" spans="1:22" hidden="1" x14ac:dyDescent="0.25">
      <c r="A6501" s="269">
        <v>43767</v>
      </c>
      <c r="B6501" s="270">
        <v>2019</v>
      </c>
      <c r="C6501" s="270">
        <v>2020</v>
      </c>
      <c r="D6501" s="270">
        <v>1</v>
      </c>
      <c r="E6501" s="270">
        <v>1</v>
      </c>
      <c r="F6501" s="270" t="s">
        <v>944</v>
      </c>
      <c r="G6501" s="270" t="s">
        <v>3926</v>
      </c>
      <c r="H6501" s="270" t="s">
        <v>11259</v>
      </c>
      <c r="I6501" s="270" t="s">
        <v>953</v>
      </c>
      <c r="J6501" s="270" t="s">
        <v>3928</v>
      </c>
      <c r="K6501" s="270">
        <v>6514</v>
      </c>
      <c r="L6501" s="270">
        <v>165802</v>
      </c>
      <c r="M6501" s="270" t="s">
        <v>3943</v>
      </c>
      <c r="N6501" s="270" t="s">
        <v>3944</v>
      </c>
      <c r="O6501" s="270">
        <v>1260.3499999999999</v>
      </c>
      <c r="P6501" s="270" t="s">
        <v>3944</v>
      </c>
      <c r="Q6501" s="270" t="s">
        <v>3944</v>
      </c>
      <c r="R6501" s="270">
        <v>1260.3499999999999</v>
      </c>
      <c r="S6501" s="270">
        <v>18320.05</v>
      </c>
      <c r="T6501" s="270">
        <v>19580.400000000001</v>
      </c>
      <c r="U6501" s="271" t="s">
        <v>3945</v>
      </c>
      <c r="V6501" s="267" t="s">
        <v>944</v>
      </c>
    </row>
    <row r="6502" spans="1:22" hidden="1" x14ac:dyDescent="0.25">
      <c r="A6502" s="266">
        <v>43767</v>
      </c>
      <c r="B6502" s="267">
        <v>2019</v>
      </c>
      <c r="C6502" s="267">
        <v>2020</v>
      </c>
      <c r="D6502" s="267">
        <v>1</v>
      </c>
      <c r="E6502" s="267">
        <v>1</v>
      </c>
      <c r="F6502" s="267" t="s">
        <v>944</v>
      </c>
      <c r="G6502" s="267" t="s">
        <v>3926</v>
      </c>
      <c r="H6502" s="267" t="s">
        <v>11260</v>
      </c>
      <c r="I6502" s="267" t="s">
        <v>3999</v>
      </c>
      <c r="J6502" s="267" t="s">
        <v>3928</v>
      </c>
      <c r="K6502" s="267">
        <v>6451</v>
      </c>
      <c r="L6502" s="267">
        <v>171600</v>
      </c>
      <c r="M6502" s="267" t="s">
        <v>3940</v>
      </c>
      <c r="N6502" s="267" t="s">
        <v>3944</v>
      </c>
      <c r="O6502" s="267">
        <v>1643.39</v>
      </c>
      <c r="P6502" s="267" t="s">
        <v>3944</v>
      </c>
      <c r="Q6502" s="267" t="s">
        <v>3944</v>
      </c>
      <c r="R6502" s="267">
        <v>1643.39</v>
      </c>
      <c r="S6502" s="267">
        <v>23446.36</v>
      </c>
      <c r="T6502" s="267">
        <v>25089.75</v>
      </c>
      <c r="U6502" s="268" t="s">
        <v>3945</v>
      </c>
      <c r="V6502" s="267" t="s">
        <v>944</v>
      </c>
    </row>
    <row r="6503" spans="1:22" hidden="1" x14ac:dyDescent="0.25">
      <c r="A6503" s="269">
        <v>43767</v>
      </c>
      <c r="B6503" s="270">
        <v>2019</v>
      </c>
      <c r="C6503" s="270">
        <v>2020</v>
      </c>
      <c r="D6503" s="270">
        <v>1</v>
      </c>
      <c r="E6503" s="270">
        <v>1</v>
      </c>
      <c r="F6503" s="270" t="s">
        <v>944</v>
      </c>
      <c r="G6503" s="270" t="s">
        <v>3926</v>
      </c>
      <c r="H6503" s="270" t="s">
        <v>11261</v>
      </c>
      <c r="I6503" s="270" t="s">
        <v>4323</v>
      </c>
      <c r="J6503" s="270" t="s">
        <v>3928</v>
      </c>
      <c r="K6503" s="270">
        <v>6385</v>
      </c>
      <c r="L6503" s="270">
        <v>693300</v>
      </c>
      <c r="M6503" s="270" t="s">
        <v>3935</v>
      </c>
      <c r="N6503" s="270" t="s">
        <v>3944</v>
      </c>
      <c r="O6503" s="270">
        <v>1048.3900000000001</v>
      </c>
      <c r="P6503" s="270" t="s">
        <v>3944</v>
      </c>
      <c r="Q6503" s="270" t="s">
        <v>3944</v>
      </c>
      <c r="R6503" s="270">
        <v>1048.3900000000001</v>
      </c>
      <c r="S6503" s="270">
        <v>17171.68</v>
      </c>
      <c r="T6503" s="270">
        <v>18220.07</v>
      </c>
      <c r="U6503" s="271" t="s">
        <v>3945</v>
      </c>
      <c r="V6503" s="267" t="s">
        <v>944</v>
      </c>
    </row>
    <row r="6504" spans="1:22" hidden="1" x14ac:dyDescent="0.25">
      <c r="A6504" s="266">
        <v>43767</v>
      </c>
      <c r="B6504" s="267">
        <v>2019</v>
      </c>
      <c r="C6504" s="267">
        <v>2020</v>
      </c>
      <c r="D6504" s="267">
        <v>1</v>
      </c>
      <c r="E6504" s="267">
        <v>1</v>
      </c>
      <c r="F6504" s="267" t="s">
        <v>944</v>
      </c>
      <c r="G6504" s="267" t="s">
        <v>3926</v>
      </c>
      <c r="H6504" s="267" t="s">
        <v>11262</v>
      </c>
      <c r="I6504" s="267" t="s">
        <v>4011</v>
      </c>
      <c r="J6504" s="267" t="s">
        <v>3928</v>
      </c>
      <c r="K6504" s="267">
        <v>6002</v>
      </c>
      <c r="L6504" s="267">
        <v>471100</v>
      </c>
      <c r="M6504" s="267" t="s">
        <v>3935</v>
      </c>
      <c r="N6504" s="267" t="s">
        <v>3944</v>
      </c>
      <c r="O6504" s="267">
        <v>1632.82</v>
      </c>
      <c r="P6504" s="267" t="s">
        <v>3944</v>
      </c>
      <c r="Q6504" s="267" t="s">
        <v>3944</v>
      </c>
      <c r="R6504" s="267">
        <v>1632.82</v>
      </c>
      <c r="S6504" s="267">
        <v>24717.18</v>
      </c>
      <c r="T6504" s="267">
        <v>26350</v>
      </c>
      <c r="U6504" s="268" t="s">
        <v>3945</v>
      </c>
      <c r="V6504" s="267" t="s">
        <v>944</v>
      </c>
    </row>
    <row r="6505" spans="1:22" hidden="1" x14ac:dyDescent="0.25">
      <c r="A6505" s="269">
        <v>43767</v>
      </c>
      <c r="B6505" s="270">
        <v>2019</v>
      </c>
      <c r="C6505" s="270">
        <v>2020</v>
      </c>
      <c r="D6505" s="270">
        <v>1</v>
      </c>
      <c r="E6505" s="270">
        <v>1</v>
      </c>
      <c r="F6505" s="270" t="s">
        <v>944</v>
      </c>
      <c r="G6505" s="270" t="s">
        <v>3926</v>
      </c>
      <c r="H6505" s="270" t="s">
        <v>11263</v>
      </c>
      <c r="I6505" s="270" t="s">
        <v>4330</v>
      </c>
      <c r="J6505" s="270" t="s">
        <v>3928</v>
      </c>
      <c r="K6505" s="270">
        <v>6413</v>
      </c>
      <c r="L6505" s="270">
        <v>610300</v>
      </c>
      <c r="M6505" s="270" t="s">
        <v>3960</v>
      </c>
      <c r="N6505" s="270" t="s">
        <v>3944</v>
      </c>
      <c r="O6505" s="270">
        <v>1444.52</v>
      </c>
      <c r="P6505" s="270" t="s">
        <v>3944</v>
      </c>
      <c r="Q6505" s="270" t="s">
        <v>3944</v>
      </c>
      <c r="R6505" s="270">
        <v>1444.52</v>
      </c>
      <c r="S6505" s="270">
        <v>21983.07</v>
      </c>
      <c r="T6505" s="270">
        <v>23427.59</v>
      </c>
      <c r="U6505" s="271" t="s">
        <v>3945</v>
      </c>
      <c r="V6505" s="267" t="s">
        <v>944</v>
      </c>
    </row>
    <row r="6506" spans="1:22" hidden="1" x14ac:dyDescent="0.25">
      <c r="A6506" s="266">
        <v>43767</v>
      </c>
      <c r="B6506" s="267">
        <v>2019</v>
      </c>
      <c r="C6506" s="267">
        <v>2020</v>
      </c>
      <c r="D6506" s="267">
        <v>1</v>
      </c>
      <c r="E6506" s="267">
        <v>1</v>
      </c>
      <c r="F6506" s="267" t="s">
        <v>944</v>
      </c>
      <c r="G6506" s="267" t="s">
        <v>3926</v>
      </c>
      <c r="H6506" s="267" t="s">
        <v>11264</v>
      </c>
      <c r="I6506" s="267" t="s">
        <v>3956</v>
      </c>
      <c r="J6506" s="267" t="s">
        <v>3928</v>
      </c>
      <c r="K6506" s="267">
        <v>6114</v>
      </c>
      <c r="L6506" s="267">
        <v>502300</v>
      </c>
      <c r="M6506" s="267">
        <v>-60</v>
      </c>
      <c r="N6506" s="267" t="s">
        <v>3944</v>
      </c>
      <c r="O6506" s="267">
        <v>1380.44</v>
      </c>
      <c r="P6506" s="267" t="s">
        <v>3944</v>
      </c>
      <c r="Q6506" s="267" t="s">
        <v>3944</v>
      </c>
      <c r="R6506" s="267">
        <v>1380.44</v>
      </c>
      <c r="S6506" s="267">
        <v>16801.36</v>
      </c>
      <c r="T6506" s="267">
        <v>18181.8</v>
      </c>
      <c r="U6506" s="268" t="s">
        <v>3945</v>
      </c>
      <c r="V6506" s="267" t="s">
        <v>944</v>
      </c>
    </row>
    <row r="6507" spans="1:22" hidden="1" x14ac:dyDescent="0.25">
      <c r="A6507" s="269">
        <v>43767</v>
      </c>
      <c r="B6507" s="270">
        <v>2019</v>
      </c>
      <c r="C6507" s="270">
        <v>2020</v>
      </c>
      <c r="D6507" s="270">
        <v>1</v>
      </c>
      <c r="E6507" s="270">
        <v>1</v>
      </c>
      <c r="F6507" s="270" t="s">
        <v>944</v>
      </c>
      <c r="G6507" s="270" t="s">
        <v>3926</v>
      </c>
      <c r="H6507" s="270" t="s">
        <v>11265</v>
      </c>
      <c r="I6507" s="270" t="s">
        <v>4213</v>
      </c>
      <c r="J6507" s="270" t="s">
        <v>3928</v>
      </c>
      <c r="K6507" s="270">
        <v>6053</v>
      </c>
      <c r="L6507" s="270">
        <v>417500</v>
      </c>
      <c r="M6507" s="270" t="s">
        <v>3940</v>
      </c>
      <c r="N6507" s="270" t="s">
        <v>3944</v>
      </c>
      <c r="O6507" s="270">
        <v>2009.88</v>
      </c>
      <c r="P6507" s="270" t="s">
        <v>3944</v>
      </c>
      <c r="Q6507" s="270" t="s">
        <v>3944</v>
      </c>
      <c r="R6507" s="270">
        <v>2009.88</v>
      </c>
      <c r="S6507" s="270">
        <v>28892.81</v>
      </c>
      <c r="T6507" s="270">
        <v>30902.69</v>
      </c>
      <c r="U6507" s="271" t="s">
        <v>3945</v>
      </c>
      <c r="V6507" s="267" t="s">
        <v>944</v>
      </c>
    </row>
    <row r="6508" spans="1:22" hidden="1" x14ac:dyDescent="0.25">
      <c r="A6508" s="266">
        <v>43767</v>
      </c>
      <c r="B6508" s="267">
        <v>2019</v>
      </c>
      <c r="C6508" s="267">
        <v>2020</v>
      </c>
      <c r="D6508" s="267">
        <v>1</v>
      </c>
      <c r="E6508" s="267">
        <v>1</v>
      </c>
      <c r="F6508" s="267" t="s">
        <v>944</v>
      </c>
      <c r="G6508" s="267" t="s">
        <v>3926</v>
      </c>
      <c r="H6508" s="267" t="s">
        <v>11266</v>
      </c>
      <c r="I6508" s="267" t="s">
        <v>3966</v>
      </c>
      <c r="J6508" s="267" t="s">
        <v>3928</v>
      </c>
      <c r="K6508" s="267">
        <v>6010</v>
      </c>
      <c r="L6508" s="267">
        <v>405300</v>
      </c>
      <c r="M6508" s="267" t="s">
        <v>3940</v>
      </c>
      <c r="N6508" s="267" t="s">
        <v>3944</v>
      </c>
      <c r="O6508" s="267">
        <v>2801.72</v>
      </c>
      <c r="P6508" s="267" t="s">
        <v>3944</v>
      </c>
      <c r="Q6508" s="267" t="s">
        <v>3944</v>
      </c>
      <c r="R6508" s="267">
        <v>2801.72</v>
      </c>
      <c r="S6508" s="267">
        <v>40655.39</v>
      </c>
      <c r="T6508" s="267">
        <v>43457.11</v>
      </c>
      <c r="U6508" s="268" t="s">
        <v>3945</v>
      </c>
      <c r="V6508" s="267" t="s">
        <v>944</v>
      </c>
    </row>
    <row r="6509" spans="1:22" hidden="1" x14ac:dyDescent="0.25">
      <c r="A6509" s="269">
        <v>43767</v>
      </c>
      <c r="B6509" s="270">
        <v>2019</v>
      </c>
      <c r="C6509" s="270">
        <v>2020</v>
      </c>
      <c r="D6509" s="270">
        <v>1</v>
      </c>
      <c r="E6509" s="270">
        <v>1</v>
      </c>
      <c r="F6509" s="270" t="s">
        <v>944</v>
      </c>
      <c r="G6509" s="270" t="s">
        <v>3926</v>
      </c>
      <c r="H6509" s="270" t="s">
        <v>11267</v>
      </c>
      <c r="I6509" s="270" t="s">
        <v>4029</v>
      </c>
      <c r="J6509" s="270" t="s">
        <v>3928</v>
      </c>
      <c r="K6509" s="270">
        <v>6851</v>
      </c>
      <c r="L6509" s="270">
        <v>43600</v>
      </c>
      <c r="M6509" s="270" t="s">
        <v>3960</v>
      </c>
      <c r="N6509" s="270" t="s">
        <v>3944</v>
      </c>
      <c r="O6509" s="270">
        <v>4102.07</v>
      </c>
      <c r="P6509" s="270" t="s">
        <v>3944</v>
      </c>
      <c r="Q6509" s="270" t="s">
        <v>3944</v>
      </c>
      <c r="R6509" s="270">
        <v>4102.07</v>
      </c>
      <c r="S6509" s="270">
        <v>66984.52</v>
      </c>
      <c r="T6509" s="270">
        <v>71086.59</v>
      </c>
      <c r="U6509" s="271" t="s">
        <v>3945</v>
      </c>
      <c r="V6509" s="267" t="s">
        <v>944</v>
      </c>
    </row>
    <row r="6510" spans="1:22" hidden="1" x14ac:dyDescent="0.25">
      <c r="A6510" s="266">
        <v>43767</v>
      </c>
      <c r="B6510" s="267">
        <v>2019</v>
      </c>
      <c r="C6510" s="267">
        <v>2020</v>
      </c>
      <c r="D6510" s="267">
        <v>1</v>
      </c>
      <c r="E6510" s="267">
        <v>1</v>
      </c>
      <c r="F6510" s="267" t="s">
        <v>944</v>
      </c>
      <c r="G6510" s="267" t="s">
        <v>3926</v>
      </c>
      <c r="H6510" s="267" t="s">
        <v>11268</v>
      </c>
      <c r="I6510" s="267" t="s">
        <v>4353</v>
      </c>
      <c r="J6510" s="267" t="s">
        <v>3928</v>
      </c>
      <c r="K6510" s="267">
        <v>6416</v>
      </c>
      <c r="L6510" s="267">
        <v>570200</v>
      </c>
      <c r="M6510" s="267" t="s">
        <v>3943</v>
      </c>
      <c r="N6510" s="267" t="s">
        <v>3944</v>
      </c>
      <c r="O6510" s="267">
        <v>989.28</v>
      </c>
      <c r="P6510" s="267" t="s">
        <v>3944</v>
      </c>
      <c r="Q6510" s="267" t="s">
        <v>3944</v>
      </c>
      <c r="R6510" s="267">
        <v>989.28</v>
      </c>
      <c r="S6510" s="267">
        <v>13020.61</v>
      </c>
      <c r="T6510" s="267">
        <v>14009.89</v>
      </c>
      <c r="U6510" s="268" t="s">
        <v>3945</v>
      </c>
      <c r="V6510" s="267" t="s">
        <v>944</v>
      </c>
    </row>
    <row r="6511" spans="1:22" hidden="1" x14ac:dyDescent="0.25">
      <c r="A6511" s="269">
        <v>43767</v>
      </c>
      <c r="B6511" s="270">
        <v>2019</v>
      </c>
      <c r="C6511" s="270">
        <v>2020</v>
      </c>
      <c r="D6511" s="270">
        <v>1</v>
      </c>
      <c r="E6511" s="270">
        <v>1</v>
      </c>
      <c r="F6511" s="270" t="s">
        <v>944</v>
      </c>
      <c r="G6511" s="270" t="s">
        <v>3926</v>
      </c>
      <c r="H6511" s="270" t="s">
        <v>11269</v>
      </c>
      <c r="I6511" s="270" t="s">
        <v>3993</v>
      </c>
      <c r="J6511" s="270" t="s">
        <v>3928</v>
      </c>
      <c r="K6511" s="270">
        <v>6415</v>
      </c>
      <c r="L6511" s="270">
        <v>714101</v>
      </c>
      <c r="M6511" s="270" t="s">
        <v>3940</v>
      </c>
      <c r="N6511" s="270" t="s">
        <v>3944</v>
      </c>
      <c r="O6511" s="270">
        <v>2064.1999999999998</v>
      </c>
      <c r="P6511" s="270" t="s">
        <v>3944</v>
      </c>
      <c r="Q6511" s="270" t="s">
        <v>3944</v>
      </c>
      <c r="R6511" s="270">
        <v>2064.1999999999998</v>
      </c>
      <c r="S6511" s="270">
        <v>33056.769999999997</v>
      </c>
      <c r="T6511" s="270">
        <v>35120.97</v>
      </c>
      <c r="U6511" s="271" t="s">
        <v>3945</v>
      </c>
      <c r="V6511" s="267" t="s">
        <v>944</v>
      </c>
    </row>
    <row r="6512" spans="1:22" hidden="1" x14ac:dyDescent="0.25">
      <c r="A6512" s="266">
        <v>43767</v>
      </c>
      <c r="B6512" s="267">
        <v>2019</v>
      </c>
      <c r="C6512" s="267">
        <v>2020</v>
      </c>
      <c r="D6512" s="267">
        <v>1</v>
      </c>
      <c r="E6512" s="267">
        <v>1</v>
      </c>
      <c r="F6512" s="267" t="s">
        <v>944</v>
      </c>
      <c r="G6512" s="267" t="s">
        <v>3926</v>
      </c>
      <c r="H6512" s="267" t="s">
        <v>11270</v>
      </c>
      <c r="I6512" s="267" t="s">
        <v>4552</v>
      </c>
      <c r="J6512" s="267" t="s">
        <v>3928</v>
      </c>
      <c r="K6512" s="267">
        <v>6415</v>
      </c>
      <c r="L6512" s="267">
        <v>595101</v>
      </c>
      <c r="M6512" s="267" t="s">
        <v>3943</v>
      </c>
      <c r="N6512" s="267" t="s">
        <v>3944</v>
      </c>
      <c r="O6512" s="267">
        <v>2668.58</v>
      </c>
      <c r="P6512" s="267" t="s">
        <v>3944</v>
      </c>
      <c r="Q6512" s="267" t="s">
        <v>3944</v>
      </c>
      <c r="R6512" s="267">
        <v>2668.58</v>
      </c>
      <c r="S6512" s="267">
        <v>38033.040000000001</v>
      </c>
      <c r="T6512" s="267">
        <v>40701.620000000003</v>
      </c>
      <c r="U6512" s="268" t="s">
        <v>3945</v>
      </c>
      <c r="V6512" s="267" t="s">
        <v>944</v>
      </c>
    </row>
    <row r="6513" spans="1:22" hidden="1" x14ac:dyDescent="0.25">
      <c r="A6513" s="269">
        <v>43767</v>
      </c>
      <c r="B6513" s="270">
        <v>2019</v>
      </c>
      <c r="C6513" s="270">
        <v>2020</v>
      </c>
      <c r="D6513" s="270">
        <v>1</v>
      </c>
      <c r="E6513" s="270">
        <v>1</v>
      </c>
      <c r="F6513" s="270" t="s">
        <v>944</v>
      </c>
      <c r="G6513" s="270" t="s">
        <v>3926</v>
      </c>
      <c r="H6513" s="270" t="s">
        <v>11271</v>
      </c>
      <c r="I6513" s="270" t="s">
        <v>3009</v>
      </c>
      <c r="J6513" s="270" t="s">
        <v>3928</v>
      </c>
      <c r="K6513" s="270">
        <v>6484</v>
      </c>
      <c r="L6513" s="270">
        <v>110600</v>
      </c>
      <c r="M6513" s="270" t="s">
        <v>3943</v>
      </c>
      <c r="N6513" s="270" t="s">
        <v>3944</v>
      </c>
      <c r="O6513" s="270">
        <v>1955.73</v>
      </c>
      <c r="P6513" s="270" t="s">
        <v>3944</v>
      </c>
      <c r="Q6513" s="270" t="s">
        <v>3944</v>
      </c>
      <c r="R6513" s="270">
        <v>1955.73</v>
      </c>
      <c r="S6513" s="270">
        <v>26710.27</v>
      </c>
      <c r="T6513" s="270">
        <v>28666</v>
      </c>
      <c r="U6513" s="271" t="s">
        <v>3945</v>
      </c>
      <c r="V6513" s="267" t="s">
        <v>944</v>
      </c>
    </row>
    <row r="6514" spans="1:22" hidden="1" x14ac:dyDescent="0.25">
      <c r="A6514" s="266">
        <v>43767</v>
      </c>
      <c r="B6514" s="267">
        <v>2019</v>
      </c>
      <c r="C6514" s="267">
        <v>2020</v>
      </c>
      <c r="D6514" s="267">
        <v>1</v>
      </c>
      <c r="E6514" s="267">
        <v>1</v>
      </c>
      <c r="F6514" s="267" t="s">
        <v>944</v>
      </c>
      <c r="G6514" s="267" t="s">
        <v>3926</v>
      </c>
      <c r="H6514" s="267" t="s">
        <v>11272</v>
      </c>
      <c r="I6514" s="267" t="s">
        <v>4005</v>
      </c>
      <c r="J6514" s="267" t="s">
        <v>3928</v>
      </c>
      <c r="K6514" s="267">
        <v>6108</v>
      </c>
      <c r="L6514" s="267">
        <v>511300</v>
      </c>
      <c r="M6514" s="267">
        <v>-60</v>
      </c>
      <c r="N6514" s="267" t="s">
        <v>3944</v>
      </c>
      <c r="O6514" s="267">
        <v>1374.84</v>
      </c>
      <c r="P6514" s="267" t="s">
        <v>3944</v>
      </c>
      <c r="Q6514" s="267" t="s">
        <v>3944</v>
      </c>
      <c r="R6514" s="267">
        <v>1374.84</v>
      </c>
      <c r="S6514" s="267">
        <v>19923.36</v>
      </c>
      <c r="T6514" s="267">
        <v>21298.2</v>
      </c>
      <c r="U6514" s="268" t="s">
        <v>3945</v>
      </c>
      <c r="V6514" s="267" t="s">
        <v>944</v>
      </c>
    </row>
    <row r="6515" spans="1:22" hidden="1" x14ac:dyDescent="0.25">
      <c r="A6515" s="269">
        <v>43768</v>
      </c>
      <c r="B6515" s="270">
        <v>2019</v>
      </c>
      <c r="C6515" s="270">
        <v>2020</v>
      </c>
      <c r="D6515" s="270">
        <v>1</v>
      </c>
      <c r="E6515" s="270">
        <v>1</v>
      </c>
      <c r="F6515" s="270" t="s">
        <v>944</v>
      </c>
      <c r="G6515" s="270" t="s">
        <v>3926</v>
      </c>
      <c r="H6515" s="270" t="s">
        <v>11273</v>
      </c>
      <c r="I6515" s="270" t="s">
        <v>4005</v>
      </c>
      <c r="J6515" s="270" t="s">
        <v>3928</v>
      </c>
      <c r="K6515" s="270">
        <v>6118</v>
      </c>
      <c r="L6515" s="270">
        <v>511000</v>
      </c>
      <c r="M6515" s="270" t="s">
        <v>3935</v>
      </c>
      <c r="N6515" s="270" t="s">
        <v>11274</v>
      </c>
      <c r="O6515" s="270">
        <v>0</v>
      </c>
      <c r="P6515" s="270" t="s">
        <v>3930</v>
      </c>
      <c r="Q6515" s="270" t="s">
        <v>3930</v>
      </c>
      <c r="R6515" s="270">
        <v>0</v>
      </c>
      <c r="S6515" s="270">
        <v>8893.82</v>
      </c>
      <c r="T6515" s="270">
        <v>8893.82</v>
      </c>
      <c r="U6515" s="271" t="s">
        <v>3937</v>
      </c>
      <c r="V6515" s="267" t="s">
        <v>944</v>
      </c>
    </row>
    <row r="6516" spans="1:22" hidden="1" x14ac:dyDescent="0.25">
      <c r="A6516" s="266">
        <v>43768</v>
      </c>
      <c r="B6516" s="267">
        <v>2019</v>
      </c>
      <c r="C6516" s="267">
        <v>2020</v>
      </c>
      <c r="D6516" s="267">
        <v>1</v>
      </c>
      <c r="E6516" s="267">
        <v>1</v>
      </c>
      <c r="F6516" s="267" t="s">
        <v>944</v>
      </c>
      <c r="G6516" s="267" t="s">
        <v>3926</v>
      </c>
      <c r="H6516" s="267" t="s">
        <v>11275</v>
      </c>
      <c r="I6516" s="267" t="s">
        <v>5485</v>
      </c>
      <c r="J6516" s="267" t="s">
        <v>3928</v>
      </c>
      <c r="K6516" s="267">
        <v>6001</v>
      </c>
      <c r="L6516" s="267">
        <v>462201</v>
      </c>
      <c r="M6516" s="267" t="s">
        <v>3960</v>
      </c>
      <c r="N6516" s="267" t="s">
        <v>4701</v>
      </c>
      <c r="O6516" s="267">
        <v>2122.09</v>
      </c>
      <c r="P6516" s="267" t="s">
        <v>3930</v>
      </c>
      <c r="Q6516" s="267" t="s">
        <v>3931</v>
      </c>
      <c r="R6516" s="267">
        <v>7122.09</v>
      </c>
      <c r="S6516" s="267">
        <v>34648</v>
      </c>
      <c r="T6516" s="267">
        <v>41770.089999999997</v>
      </c>
      <c r="U6516" s="268" t="s">
        <v>3932</v>
      </c>
      <c r="V6516" s="267" t="s">
        <v>944</v>
      </c>
    </row>
    <row r="6517" spans="1:22" x14ac:dyDescent="0.25">
      <c r="A6517" s="269">
        <v>43768</v>
      </c>
      <c r="B6517" s="270">
        <v>2019</v>
      </c>
      <c r="C6517" s="270">
        <v>2020</v>
      </c>
      <c r="D6517" s="270">
        <v>1</v>
      </c>
      <c r="E6517" s="270">
        <v>1</v>
      </c>
      <c r="F6517" s="270" t="s">
        <v>944</v>
      </c>
      <c r="G6517" s="270" t="s">
        <v>3926</v>
      </c>
      <c r="H6517" s="270" t="s">
        <v>11276</v>
      </c>
      <c r="I6517" s="270" t="s">
        <v>3956</v>
      </c>
      <c r="J6517" s="270" t="s">
        <v>3928</v>
      </c>
      <c r="K6517" s="270">
        <v>6101</v>
      </c>
      <c r="L6517" s="270">
        <v>501800</v>
      </c>
      <c r="M6517" s="270">
        <v>-60</v>
      </c>
      <c r="N6517" s="270" t="s">
        <v>3986</v>
      </c>
      <c r="O6517" s="270">
        <v>2733.43</v>
      </c>
      <c r="P6517" s="270" t="s">
        <v>3930</v>
      </c>
      <c r="Q6517" s="270" t="s">
        <v>3931</v>
      </c>
      <c r="R6517" s="270">
        <v>7733.43</v>
      </c>
      <c r="S6517" s="270">
        <v>16196.8</v>
      </c>
      <c r="T6517" s="270">
        <v>23930.23</v>
      </c>
      <c r="U6517" s="271" t="s">
        <v>3932</v>
      </c>
      <c r="V6517" s="267" t="s">
        <v>936</v>
      </c>
    </row>
    <row r="6518" spans="1:22" hidden="1" x14ac:dyDescent="0.25">
      <c r="A6518" s="266">
        <v>43768</v>
      </c>
      <c r="B6518" s="267">
        <v>2019</v>
      </c>
      <c r="C6518" s="267">
        <v>2020</v>
      </c>
      <c r="D6518" s="267">
        <v>1</v>
      </c>
      <c r="E6518" s="267">
        <v>1</v>
      </c>
      <c r="F6518" s="267" t="s">
        <v>944</v>
      </c>
      <c r="G6518" s="267" t="s">
        <v>3926</v>
      </c>
      <c r="H6518" s="267" t="s">
        <v>11277</v>
      </c>
      <c r="I6518" s="267" t="s">
        <v>950</v>
      </c>
      <c r="J6518" s="267" t="s">
        <v>3928</v>
      </c>
      <c r="K6518" s="267">
        <v>6516</v>
      </c>
      <c r="L6518" s="267">
        <v>155000</v>
      </c>
      <c r="M6518" s="267" t="s">
        <v>3940</v>
      </c>
      <c r="N6518" s="267" t="s">
        <v>8223</v>
      </c>
      <c r="O6518" s="267">
        <v>2755.08</v>
      </c>
      <c r="P6518" s="267" t="s">
        <v>3930</v>
      </c>
      <c r="Q6518" s="267" t="s">
        <v>3931</v>
      </c>
      <c r="R6518" s="267">
        <v>7755.08</v>
      </c>
      <c r="S6518" s="267">
        <v>12702.4</v>
      </c>
      <c r="T6518" s="267">
        <v>20457.48</v>
      </c>
      <c r="U6518" s="268" t="s">
        <v>3932</v>
      </c>
      <c r="V6518" s="267" t="s">
        <v>944</v>
      </c>
    </row>
    <row r="6519" spans="1:22" hidden="1" x14ac:dyDescent="0.25">
      <c r="A6519" s="269">
        <v>43768</v>
      </c>
      <c r="B6519" s="270">
        <v>2019</v>
      </c>
      <c r="C6519" s="270">
        <v>2020</v>
      </c>
      <c r="D6519" s="270">
        <v>1</v>
      </c>
      <c r="E6519" s="270">
        <v>1</v>
      </c>
      <c r="F6519" s="270" t="s">
        <v>944</v>
      </c>
      <c r="G6519" s="270" t="s">
        <v>3926</v>
      </c>
      <c r="H6519" s="270" t="s">
        <v>11278</v>
      </c>
      <c r="I6519" s="270" t="s">
        <v>934</v>
      </c>
      <c r="J6519" s="270" t="s">
        <v>3928</v>
      </c>
      <c r="K6519" s="270">
        <v>6601</v>
      </c>
      <c r="L6519" s="270">
        <v>240200</v>
      </c>
      <c r="M6519" s="270" t="s">
        <v>3943</v>
      </c>
      <c r="N6519" s="270" t="s">
        <v>3983</v>
      </c>
      <c r="O6519" s="270">
        <v>1210.3699999999999</v>
      </c>
      <c r="P6519" s="270" t="s">
        <v>3930</v>
      </c>
      <c r="Q6519" s="270" t="s">
        <v>3931</v>
      </c>
      <c r="R6519" s="270">
        <v>6210.37</v>
      </c>
      <c r="S6519" s="270">
        <v>16504</v>
      </c>
      <c r="T6519" s="270">
        <v>22714.37</v>
      </c>
      <c r="U6519" s="271" t="s">
        <v>3932</v>
      </c>
      <c r="V6519" s="267" t="s">
        <v>944</v>
      </c>
    </row>
    <row r="6520" spans="1:22" hidden="1" x14ac:dyDescent="0.25">
      <c r="A6520" s="266">
        <v>43768</v>
      </c>
      <c r="B6520" s="267">
        <v>2019</v>
      </c>
      <c r="C6520" s="267">
        <v>2020</v>
      </c>
      <c r="D6520" s="267">
        <v>1</v>
      </c>
      <c r="E6520" s="267">
        <v>1</v>
      </c>
      <c r="F6520" s="267" t="s">
        <v>944</v>
      </c>
      <c r="G6520" s="267" t="s">
        <v>3926</v>
      </c>
      <c r="H6520" s="267" t="s">
        <v>11279</v>
      </c>
      <c r="I6520" s="267" t="s">
        <v>4213</v>
      </c>
      <c r="J6520" s="267" t="s">
        <v>3928</v>
      </c>
      <c r="K6520" s="267">
        <v>6053</v>
      </c>
      <c r="L6520" s="267">
        <v>416700</v>
      </c>
      <c r="M6520" s="267">
        <v>-60</v>
      </c>
      <c r="N6520" s="267" t="s">
        <v>11280</v>
      </c>
      <c r="O6520" s="267">
        <v>0</v>
      </c>
      <c r="P6520" s="267" t="s">
        <v>3930</v>
      </c>
      <c r="Q6520" s="267" t="s">
        <v>3930</v>
      </c>
      <c r="R6520" s="267">
        <v>0</v>
      </c>
      <c r="S6520" s="267">
        <v>5800</v>
      </c>
      <c r="T6520" s="267">
        <v>5800</v>
      </c>
      <c r="U6520" s="268" t="s">
        <v>3937</v>
      </c>
      <c r="V6520" s="267" t="s">
        <v>944</v>
      </c>
    </row>
    <row r="6521" spans="1:22" hidden="1" x14ac:dyDescent="0.25">
      <c r="A6521" s="269">
        <v>43768</v>
      </c>
      <c r="B6521" s="270">
        <v>2019</v>
      </c>
      <c r="C6521" s="270">
        <v>2020</v>
      </c>
      <c r="D6521" s="270">
        <v>1</v>
      </c>
      <c r="E6521" s="270">
        <v>1</v>
      </c>
      <c r="F6521" s="270" t="s">
        <v>944</v>
      </c>
      <c r="G6521" s="270" t="s">
        <v>3926</v>
      </c>
      <c r="H6521" s="270" t="s">
        <v>11281</v>
      </c>
      <c r="I6521" s="270" t="s">
        <v>4318</v>
      </c>
      <c r="J6521" s="270" t="s">
        <v>3928</v>
      </c>
      <c r="K6521" s="270">
        <v>6278</v>
      </c>
      <c r="L6521" s="270">
        <v>830100</v>
      </c>
      <c r="M6521" s="270" t="s">
        <v>3935</v>
      </c>
      <c r="N6521" s="270" t="s">
        <v>11282</v>
      </c>
      <c r="O6521" s="270">
        <v>0</v>
      </c>
      <c r="P6521" s="270" t="s">
        <v>3930</v>
      </c>
      <c r="Q6521" s="270" t="s">
        <v>3930</v>
      </c>
      <c r="R6521" s="270">
        <v>0</v>
      </c>
      <c r="S6521" s="270">
        <v>31814.46</v>
      </c>
      <c r="T6521" s="270">
        <v>31814.46</v>
      </c>
      <c r="U6521" s="271" t="s">
        <v>3937</v>
      </c>
      <c r="V6521" s="267" t="s">
        <v>944</v>
      </c>
    </row>
    <row r="6522" spans="1:22" hidden="1" x14ac:dyDescent="0.25">
      <c r="A6522" s="266">
        <v>43768</v>
      </c>
      <c r="B6522" s="267">
        <v>2019</v>
      </c>
      <c r="C6522" s="267">
        <v>2020</v>
      </c>
      <c r="D6522" s="267">
        <v>1</v>
      </c>
      <c r="E6522" s="267">
        <v>1</v>
      </c>
      <c r="F6522" s="267" t="s">
        <v>944</v>
      </c>
      <c r="G6522" s="267" t="s">
        <v>3926</v>
      </c>
      <c r="H6522" s="267" t="s">
        <v>11283</v>
      </c>
      <c r="I6522" s="267" t="s">
        <v>3025</v>
      </c>
      <c r="J6522" s="267" t="s">
        <v>3928</v>
      </c>
      <c r="K6522" s="267">
        <v>6473</v>
      </c>
      <c r="L6522" s="267">
        <v>167202</v>
      </c>
      <c r="M6522" s="267" t="s">
        <v>3935</v>
      </c>
      <c r="N6522" s="267" t="s">
        <v>3944</v>
      </c>
      <c r="O6522" s="267">
        <v>5801</v>
      </c>
      <c r="P6522" s="267" t="s">
        <v>3944</v>
      </c>
      <c r="Q6522" s="267" t="s">
        <v>3944</v>
      </c>
      <c r="R6522" s="267">
        <v>5801</v>
      </c>
      <c r="S6522" s="267">
        <v>36089</v>
      </c>
      <c r="T6522" s="267">
        <v>41890</v>
      </c>
      <c r="U6522" s="268" t="s">
        <v>3945</v>
      </c>
      <c r="V6522" s="267" t="s">
        <v>944</v>
      </c>
    </row>
    <row r="6523" spans="1:22" hidden="1" x14ac:dyDescent="0.25">
      <c r="A6523" s="269">
        <v>43768</v>
      </c>
      <c r="B6523" s="270">
        <v>2019</v>
      </c>
      <c r="C6523" s="270">
        <v>2020</v>
      </c>
      <c r="D6523" s="270">
        <v>1</v>
      </c>
      <c r="E6523" s="270">
        <v>1</v>
      </c>
      <c r="F6523" s="270" t="s">
        <v>944</v>
      </c>
      <c r="G6523" s="270" t="s">
        <v>3926</v>
      </c>
      <c r="H6523" s="270" t="s">
        <v>11284</v>
      </c>
      <c r="I6523" s="270" t="s">
        <v>4306</v>
      </c>
      <c r="J6523" s="270" t="s">
        <v>3928</v>
      </c>
      <c r="K6523" s="270">
        <v>6716</v>
      </c>
      <c r="L6523" s="270">
        <v>361100</v>
      </c>
      <c r="M6523" s="270" t="s">
        <v>3960</v>
      </c>
      <c r="N6523" s="270" t="s">
        <v>3944</v>
      </c>
      <c r="O6523" s="270">
        <v>4109</v>
      </c>
      <c r="P6523" s="270" t="s">
        <v>3944</v>
      </c>
      <c r="Q6523" s="270" t="s">
        <v>3944</v>
      </c>
      <c r="R6523" s="270">
        <v>4109</v>
      </c>
      <c r="S6523" s="270">
        <v>49747.9</v>
      </c>
      <c r="T6523" s="270">
        <v>53856.9</v>
      </c>
      <c r="U6523" s="271" t="s">
        <v>3945</v>
      </c>
      <c r="V6523" s="267" t="s">
        <v>944</v>
      </c>
    </row>
    <row r="6524" spans="1:22" hidden="1" x14ac:dyDescent="0.25">
      <c r="A6524" s="266">
        <v>43768</v>
      </c>
      <c r="B6524" s="267">
        <v>2019</v>
      </c>
      <c r="C6524" s="267">
        <v>2020</v>
      </c>
      <c r="D6524" s="267">
        <v>1</v>
      </c>
      <c r="E6524" s="267">
        <v>1</v>
      </c>
      <c r="F6524" s="267" t="s">
        <v>944</v>
      </c>
      <c r="G6524" s="267" t="s">
        <v>3926</v>
      </c>
      <c r="H6524" s="267" t="s">
        <v>11285</v>
      </c>
      <c r="I6524" s="267" t="s">
        <v>4213</v>
      </c>
      <c r="J6524" s="267" t="s">
        <v>3928</v>
      </c>
      <c r="K6524" s="267">
        <v>6052</v>
      </c>
      <c r="L6524" s="267">
        <v>416400</v>
      </c>
      <c r="M6524" s="267" t="s">
        <v>3960</v>
      </c>
      <c r="N6524" s="267" t="s">
        <v>3944</v>
      </c>
      <c r="O6524" s="267">
        <v>3715</v>
      </c>
      <c r="P6524" s="267" t="s">
        <v>3944</v>
      </c>
      <c r="Q6524" s="267" t="s">
        <v>3944</v>
      </c>
      <c r="R6524" s="267">
        <v>3715</v>
      </c>
      <c r="S6524" s="267">
        <v>29985</v>
      </c>
      <c r="T6524" s="267">
        <v>33700</v>
      </c>
      <c r="U6524" s="268" t="s">
        <v>3945</v>
      </c>
      <c r="V6524" s="267" t="s">
        <v>944</v>
      </c>
    </row>
    <row r="6525" spans="1:22" hidden="1" x14ac:dyDescent="0.25">
      <c r="A6525" s="269">
        <v>43768</v>
      </c>
      <c r="B6525" s="270">
        <v>2019</v>
      </c>
      <c r="C6525" s="270">
        <v>2020</v>
      </c>
      <c r="D6525" s="270">
        <v>1</v>
      </c>
      <c r="E6525" s="270">
        <v>1</v>
      </c>
      <c r="F6525" s="270" t="s">
        <v>944</v>
      </c>
      <c r="G6525" s="270" t="s">
        <v>3926</v>
      </c>
      <c r="H6525" s="270" t="s">
        <v>11286</v>
      </c>
      <c r="I6525" s="270" t="s">
        <v>3026</v>
      </c>
      <c r="J6525" s="270" t="s">
        <v>3928</v>
      </c>
      <c r="K6525" s="270">
        <v>6471</v>
      </c>
      <c r="L6525" s="270">
        <v>186100</v>
      </c>
      <c r="M6525" s="270" t="s">
        <v>3935</v>
      </c>
      <c r="N6525" s="270" t="s">
        <v>3944</v>
      </c>
      <c r="O6525" s="270">
        <v>1643</v>
      </c>
      <c r="P6525" s="270" t="s">
        <v>3944</v>
      </c>
      <c r="Q6525" s="270" t="s">
        <v>3944</v>
      </c>
      <c r="R6525" s="270">
        <v>1643</v>
      </c>
      <c r="S6525" s="270">
        <v>19619.5</v>
      </c>
      <c r="T6525" s="270">
        <v>21262.5</v>
      </c>
      <c r="U6525" s="271" t="s">
        <v>3945</v>
      </c>
      <c r="V6525" s="267" t="s">
        <v>944</v>
      </c>
    </row>
    <row r="6526" spans="1:22" hidden="1" x14ac:dyDescent="0.25">
      <c r="A6526" s="266">
        <v>43768</v>
      </c>
      <c r="B6526" s="267">
        <v>2019</v>
      </c>
      <c r="C6526" s="267">
        <v>2020</v>
      </c>
      <c r="D6526" s="267">
        <v>1</v>
      </c>
      <c r="E6526" s="267">
        <v>1</v>
      </c>
      <c r="F6526" s="267" t="s">
        <v>944</v>
      </c>
      <c r="G6526" s="267" t="s">
        <v>3926</v>
      </c>
      <c r="H6526" s="267" t="s">
        <v>11287</v>
      </c>
      <c r="I6526" s="267" t="s">
        <v>4035</v>
      </c>
      <c r="J6526" s="267" t="s">
        <v>3928</v>
      </c>
      <c r="K6526" s="267">
        <v>6074</v>
      </c>
      <c r="L6526" s="267">
        <v>487202</v>
      </c>
      <c r="M6526" s="267" t="s">
        <v>3943</v>
      </c>
      <c r="N6526" s="267" t="s">
        <v>3944</v>
      </c>
      <c r="O6526" s="267">
        <v>1508.61</v>
      </c>
      <c r="P6526" s="267" t="s">
        <v>3944</v>
      </c>
      <c r="Q6526" s="267" t="s">
        <v>3944</v>
      </c>
      <c r="R6526" s="267">
        <v>1508.61</v>
      </c>
      <c r="S6526" s="267">
        <v>22304.98</v>
      </c>
      <c r="T6526" s="267">
        <v>23813.59</v>
      </c>
      <c r="U6526" s="268" t="s">
        <v>3945</v>
      </c>
      <c r="V6526" s="267" t="s">
        <v>944</v>
      </c>
    </row>
    <row r="6527" spans="1:22" hidden="1" x14ac:dyDescent="0.25">
      <c r="A6527" s="269">
        <v>43768</v>
      </c>
      <c r="B6527" s="270">
        <v>2019</v>
      </c>
      <c r="C6527" s="270">
        <v>2020</v>
      </c>
      <c r="D6527" s="270">
        <v>1</v>
      </c>
      <c r="E6527" s="270">
        <v>1</v>
      </c>
      <c r="F6527" s="270" t="s">
        <v>944</v>
      </c>
      <c r="G6527" s="270" t="s">
        <v>3926</v>
      </c>
      <c r="H6527" s="270" t="s">
        <v>11288</v>
      </c>
      <c r="I6527" s="270" t="s">
        <v>4005</v>
      </c>
      <c r="J6527" s="270" t="s">
        <v>3928</v>
      </c>
      <c r="K6527" s="270">
        <v>6118</v>
      </c>
      <c r="L6527" s="270">
        <v>510600</v>
      </c>
      <c r="M6527" s="270">
        <v>-60</v>
      </c>
      <c r="N6527" s="270" t="s">
        <v>3944</v>
      </c>
      <c r="O6527" s="270">
        <v>1177.6099999999999</v>
      </c>
      <c r="P6527" s="270" t="s">
        <v>3944</v>
      </c>
      <c r="Q6527" s="270" t="s">
        <v>3944</v>
      </c>
      <c r="R6527" s="270">
        <v>1177.6099999999999</v>
      </c>
      <c r="S6527" s="270">
        <v>16653.439999999999</v>
      </c>
      <c r="T6527" s="270">
        <v>17831.05</v>
      </c>
      <c r="U6527" s="271" t="s">
        <v>3945</v>
      </c>
      <c r="V6527" s="267" t="s">
        <v>944</v>
      </c>
    </row>
    <row r="6528" spans="1:22" hidden="1" x14ac:dyDescent="0.25">
      <c r="A6528" s="266">
        <v>43768</v>
      </c>
      <c r="B6528" s="267">
        <v>2019</v>
      </c>
      <c r="C6528" s="267">
        <v>2020</v>
      </c>
      <c r="D6528" s="267">
        <v>1</v>
      </c>
      <c r="E6528" s="267">
        <v>1</v>
      </c>
      <c r="F6528" s="267" t="s">
        <v>944</v>
      </c>
      <c r="G6528" s="267" t="s">
        <v>3926</v>
      </c>
      <c r="H6528" s="267" t="s">
        <v>11289</v>
      </c>
      <c r="I6528" s="267" t="s">
        <v>4094</v>
      </c>
      <c r="J6528" s="267" t="s">
        <v>3928</v>
      </c>
      <c r="K6528" s="267">
        <v>6096</v>
      </c>
      <c r="L6528" s="267">
        <v>476300</v>
      </c>
      <c r="M6528" s="267" t="s">
        <v>3940</v>
      </c>
      <c r="N6528" s="267" t="s">
        <v>11290</v>
      </c>
      <c r="O6528" s="267"/>
      <c r="P6528" s="267" t="s">
        <v>3944</v>
      </c>
      <c r="Q6528" s="267" t="s">
        <v>3930</v>
      </c>
      <c r="R6528" s="267">
        <v>0</v>
      </c>
      <c r="S6528" s="267">
        <v>3323989</v>
      </c>
      <c r="T6528" s="267">
        <v>3323989</v>
      </c>
      <c r="U6528" s="268" t="s">
        <v>4099</v>
      </c>
      <c r="V6528" s="267" t="s">
        <v>944</v>
      </c>
    </row>
    <row r="6529" spans="1:22" hidden="1" x14ac:dyDescent="0.25">
      <c r="A6529" s="269">
        <v>43769</v>
      </c>
      <c r="B6529" s="270">
        <v>2019</v>
      </c>
      <c r="C6529" s="270">
        <v>2020</v>
      </c>
      <c r="D6529" s="270">
        <v>1</v>
      </c>
      <c r="E6529" s="270">
        <v>1</v>
      </c>
      <c r="F6529" s="270" t="s">
        <v>944</v>
      </c>
      <c r="G6529" s="270" t="s">
        <v>3926</v>
      </c>
      <c r="H6529" s="270" t="s">
        <v>11291</v>
      </c>
      <c r="I6529" s="270" t="s">
        <v>4111</v>
      </c>
      <c r="J6529" s="270" t="s">
        <v>3928</v>
      </c>
      <c r="K6529" s="270">
        <v>6095</v>
      </c>
      <c r="L6529" s="270">
        <v>473502</v>
      </c>
      <c r="M6529" s="270" t="s">
        <v>3960</v>
      </c>
      <c r="N6529" s="270" t="s">
        <v>11292</v>
      </c>
      <c r="O6529" s="270">
        <v>0</v>
      </c>
      <c r="P6529" s="270" t="s">
        <v>3930</v>
      </c>
      <c r="Q6529" s="270" t="s">
        <v>3930</v>
      </c>
      <c r="R6529" s="270">
        <v>0</v>
      </c>
      <c r="S6529" s="270">
        <v>12100</v>
      </c>
      <c r="T6529" s="270">
        <v>12100</v>
      </c>
      <c r="U6529" s="271" t="s">
        <v>3937</v>
      </c>
      <c r="V6529" s="267" t="s">
        <v>944</v>
      </c>
    </row>
    <row r="6530" spans="1:22" hidden="1" x14ac:dyDescent="0.25">
      <c r="A6530" s="266">
        <v>43769</v>
      </c>
      <c r="B6530" s="267">
        <v>2019</v>
      </c>
      <c r="C6530" s="267">
        <v>2020</v>
      </c>
      <c r="D6530" s="267">
        <v>1</v>
      </c>
      <c r="E6530" s="267">
        <v>1</v>
      </c>
      <c r="F6530" s="267" t="s">
        <v>944</v>
      </c>
      <c r="G6530" s="267" t="s">
        <v>3926</v>
      </c>
      <c r="H6530" s="267" t="s">
        <v>11293</v>
      </c>
      <c r="I6530" s="267" t="s">
        <v>4197</v>
      </c>
      <c r="J6530" s="267" t="s">
        <v>3928</v>
      </c>
      <c r="K6530" s="267">
        <v>6812</v>
      </c>
      <c r="L6530" s="267">
        <v>220200</v>
      </c>
      <c r="M6530" s="267" t="s">
        <v>3943</v>
      </c>
      <c r="N6530" s="267" t="s">
        <v>11294</v>
      </c>
      <c r="O6530" s="267">
        <v>3532</v>
      </c>
      <c r="P6530" s="267" t="s">
        <v>3930</v>
      </c>
      <c r="Q6530" s="267" t="s">
        <v>3930</v>
      </c>
      <c r="R6530" s="267">
        <v>3532</v>
      </c>
      <c r="S6530" s="267">
        <v>39519.440000000002</v>
      </c>
      <c r="T6530" s="267">
        <v>43051.44</v>
      </c>
      <c r="U6530" s="268" t="s">
        <v>3937</v>
      </c>
      <c r="V6530" s="267" t="s">
        <v>944</v>
      </c>
    </row>
    <row r="6531" spans="1:22" hidden="1" x14ac:dyDescent="0.25">
      <c r="A6531" s="269">
        <v>43769</v>
      </c>
      <c r="B6531" s="270">
        <v>2019</v>
      </c>
      <c r="C6531" s="270">
        <v>2020</v>
      </c>
      <c r="D6531" s="270">
        <v>1</v>
      </c>
      <c r="E6531" s="270">
        <v>1</v>
      </c>
      <c r="F6531" s="270" t="s">
        <v>944</v>
      </c>
      <c r="G6531" s="270" t="s">
        <v>3926</v>
      </c>
      <c r="H6531" s="270" t="s">
        <v>11295</v>
      </c>
      <c r="I6531" s="270" t="s">
        <v>4392</v>
      </c>
      <c r="J6531" s="270" t="s">
        <v>3928</v>
      </c>
      <c r="K6531" s="270">
        <v>6457</v>
      </c>
      <c r="L6531" s="270">
        <v>541500</v>
      </c>
      <c r="M6531" s="270" t="s">
        <v>3940</v>
      </c>
      <c r="N6531" s="270" t="s">
        <v>7680</v>
      </c>
      <c r="O6531" s="270">
        <v>2654.82</v>
      </c>
      <c r="P6531" s="270" t="s">
        <v>3930</v>
      </c>
      <c r="Q6531" s="270" t="s">
        <v>3931</v>
      </c>
      <c r="R6531" s="270">
        <v>7654.82</v>
      </c>
      <c r="S6531" s="270">
        <v>11128</v>
      </c>
      <c r="T6531" s="270">
        <v>18782.82</v>
      </c>
      <c r="U6531" s="271" t="s">
        <v>3932</v>
      </c>
      <c r="V6531" s="267" t="s">
        <v>944</v>
      </c>
    </row>
    <row r="6532" spans="1:22" hidden="1" x14ac:dyDescent="0.25">
      <c r="A6532" s="266">
        <v>43769</v>
      </c>
      <c r="B6532" s="267">
        <v>2019</v>
      </c>
      <c r="C6532" s="267">
        <v>2020</v>
      </c>
      <c r="D6532" s="267">
        <v>1</v>
      </c>
      <c r="E6532" s="267">
        <v>1</v>
      </c>
      <c r="F6532" s="267" t="s">
        <v>944</v>
      </c>
      <c r="G6532" s="267" t="s">
        <v>3926</v>
      </c>
      <c r="H6532" s="267" t="s">
        <v>11296</v>
      </c>
      <c r="I6532" s="267" t="s">
        <v>4147</v>
      </c>
      <c r="J6532" s="267" t="s">
        <v>3928</v>
      </c>
      <c r="K6532" s="267">
        <v>6109</v>
      </c>
      <c r="L6532" s="267">
        <v>492600</v>
      </c>
      <c r="M6532" s="267" t="s">
        <v>3960</v>
      </c>
      <c r="N6532" s="267" t="s">
        <v>3944</v>
      </c>
      <c r="O6532" s="267">
        <v>3338</v>
      </c>
      <c r="P6532" s="267" t="s">
        <v>3944</v>
      </c>
      <c r="Q6532" s="267" t="s">
        <v>3944</v>
      </c>
      <c r="R6532" s="267">
        <v>3338</v>
      </c>
      <c r="S6532" s="267">
        <v>26307</v>
      </c>
      <c r="T6532" s="267">
        <v>29645</v>
      </c>
      <c r="U6532" s="268" t="s">
        <v>3945</v>
      </c>
      <c r="V6532" s="267" t="s">
        <v>944</v>
      </c>
    </row>
    <row r="6533" spans="1:22" hidden="1" x14ac:dyDescent="0.25">
      <c r="A6533" s="269">
        <v>43769</v>
      </c>
      <c r="B6533" s="270">
        <v>2019</v>
      </c>
      <c r="C6533" s="270">
        <v>2020</v>
      </c>
      <c r="D6533" s="270">
        <v>1</v>
      </c>
      <c r="E6533" s="270">
        <v>1</v>
      </c>
      <c r="F6533" s="270" t="s">
        <v>944</v>
      </c>
      <c r="G6533" s="270" t="s">
        <v>3926</v>
      </c>
      <c r="H6533" s="270" t="s">
        <v>11297</v>
      </c>
      <c r="I6533" s="270" t="s">
        <v>4548</v>
      </c>
      <c r="J6533" s="270" t="s">
        <v>3928</v>
      </c>
      <c r="K6533" s="270">
        <v>6037</v>
      </c>
      <c r="L6533" s="270">
        <v>400300</v>
      </c>
      <c r="M6533" s="270" t="s">
        <v>3960</v>
      </c>
      <c r="N6533" s="270" t="s">
        <v>3944</v>
      </c>
      <c r="O6533" s="270">
        <v>3364</v>
      </c>
      <c r="P6533" s="270" t="s">
        <v>3944</v>
      </c>
      <c r="Q6533" s="270" t="s">
        <v>3944</v>
      </c>
      <c r="R6533" s="270">
        <v>3364</v>
      </c>
      <c r="S6533" s="270">
        <v>24104</v>
      </c>
      <c r="T6533" s="270">
        <v>27468</v>
      </c>
      <c r="U6533" s="271" t="s">
        <v>3945</v>
      </c>
      <c r="V6533" s="267" t="s">
        <v>944</v>
      </c>
    </row>
    <row r="6534" spans="1:22" hidden="1" x14ac:dyDescent="0.25">
      <c r="A6534" s="266">
        <v>43769</v>
      </c>
      <c r="B6534" s="267">
        <v>2019</v>
      </c>
      <c r="C6534" s="267">
        <v>2020</v>
      </c>
      <c r="D6534" s="267">
        <v>1</v>
      </c>
      <c r="E6534" s="267">
        <v>1</v>
      </c>
      <c r="F6534" s="267" t="s">
        <v>944</v>
      </c>
      <c r="G6534" s="267" t="s">
        <v>3926</v>
      </c>
      <c r="H6534" s="267" t="s">
        <v>11298</v>
      </c>
      <c r="I6534" s="267" t="s">
        <v>4239</v>
      </c>
      <c r="J6534" s="267" t="s">
        <v>3928</v>
      </c>
      <c r="K6534" s="267">
        <v>6032</v>
      </c>
      <c r="L6534" s="267">
        <v>460301</v>
      </c>
      <c r="M6534" s="267" t="s">
        <v>3943</v>
      </c>
      <c r="N6534" s="267" t="s">
        <v>3944</v>
      </c>
      <c r="O6534" s="267">
        <v>7055</v>
      </c>
      <c r="P6534" s="267" t="s">
        <v>3944</v>
      </c>
      <c r="Q6534" s="267" t="s">
        <v>3944</v>
      </c>
      <c r="R6534" s="267">
        <v>7055</v>
      </c>
      <c r="S6534" s="267">
        <v>56057</v>
      </c>
      <c r="T6534" s="267">
        <v>63112</v>
      </c>
      <c r="U6534" s="268" t="s">
        <v>3945</v>
      </c>
      <c r="V6534" s="267" t="s">
        <v>944</v>
      </c>
    </row>
    <row r="6535" spans="1:22" hidden="1" x14ac:dyDescent="0.25">
      <c r="A6535" s="269">
        <v>43769</v>
      </c>
      <c r="B6535" s="270">
        <v>2019</v>
      </c>
      <c r="C6535" s="270">
        <v>2020</v>
      </c>
      <c r="D6535" s="270">
        <v>1</v>
      </c>
      <c r="E6535" s="270">
        <v>1</v>
      </c>
      <c r="F6535" s="270" t="s">
        <v>944</v>
      </c>
      <c r="G6535" s="270" t="s">
        <v>3926</v>
      </c>
      <c r="H6535" s="270" t="s">
        <v>11299</v>
      </c>
      <c r="I6535" s="270" t="s">
        <v>4392</v>
      </c>
      <c r="J6535" s="270" t="s">
        <v>3928</v>
      </c>
      <c r="K6535" s="270">
        <v>6457</v>
      </c>
      <c r="L6535" s="270">
        <v>541401</v>
      </c>
      <c r="M6535" s="270" t="s">
        <v>3943</v>
      </c>
      <c r="N6535" s="270" t="s">
        <v>3944</v>
      </c>
      <c r="O6535" s="270">
        <v>2428</v>
      </c>
      <c r="P6535" s="270" t="s">
        <v>3944</v>
      </c>
      <c r="Q6535" s="270" t="s">
        <v>3944</v>
      </c>
      <c r="R6535" s="270">
        <v>2428</v>
      </c>
      <c r="S6535" s="270">
        <v>19692</v>
      </c>
      <c r="T6535" s="270">
        <v>22120</v>
      </c>
      <c r="U6535" s="271" t="s">
        <v>3945</v>
      </c>
      <c r="V6535" s="267" t="s">
        <v>944</v>
      </c>
    </row>
    <row r="6536" spans="1:22" hidden="1" x14ac:dyDescent="0.25">
      <c r="A6536" s="266">
        <v>43769</v>
      </c>
      <c r="B6536" s="267">
        <v>2019</v>
      </c>
      <c r="C6536" s="267">
        <v>2020</v>
      </c>
      <c r="D6536" s="267">
        <v>1</v>
      </c>
      <c r="E6536" s="267">
        <v>1</v>
      </c>
      <c r="F6536" s="267" t="s">
        <v>944</v>
      </c>
      <c r="G6536" s="267" t="s">
        <v>3926</v>
      </c>
      <c r="H6536" s="267" t="s">
        <v>11300</v>
      </c>
      <c r="I6536" s="267" t="s">
        <v>4232</v>
      </c>
      <c r="J6536" s="267" t="s">
        <v>3928</v>
      </c>
      <c r="K6536" s="267">
        <v>6483</v>
      </c>
      <c r="L6536" s="267">
        <v>130200</v>
      </c>
      <c r="M6536" s="267" t="s">
        <v>3935</v>
      </c>
      <c r="N6536" s="267" t="s">
        <v>3944</v>
      </c>
      <c r="O6536" s="267">
        <v>2079</v>
      </c>
      <c r="P6536" s="267" t="s">
        <v>3944</v>
      </c>
      <c r="Q6536" s="267" t="s">
        <v>3944</v>
      </c>
      <c r="R6536" s="267">
        <v>2079</v>
      </c>
      <c r="S6536" s="267">
        <v>25649</v>
      </c>
      <c r="T6536" s="267">
        <v>27728</v>
      </c>
      <c r="U6536" s="268" t="s">
        <v>3945</v>
      </c>
      <c r="V6536" s="267" t="s">
        <v>944</v>
      </c>
    </row>
    <row r="6537" spans="1:22" hidden="1" x14ac:dyDescent="0.25">
      <c r="A6537" s="269">
        <v>43769</v>
      </c>
      <c r="B6537" s="270">
        <v>2019</v>
      </c>
      <c r="C6537" s="270">
        <v>2020</v>
      </c>
      <c r="D6537" s="270">
        <v>1</v>
      </c>
      <c r="E6537" s="270">
        <v>1</v>
      </c>
      <c r="F6537" s="270" t="s">
        <v>944</v>
      </c>
      <c r="G6537" s="270" t="s">
        <v>3926</v>
      </c>
      <c r="H6537" s="270" t="s">
        <v>11301</v>
      </c>
      <c r="I6537" s="270" t="s">
        <v>3971</v>
      </c>
      <c r="J6537" s="270" t="s">
        <v>3928</v>
      </c>
      <c r="K6537" s="270">
        <v>6084</v>
      </c>
      <c r="L6537" s="270">
        <v>533102</v>
      </c>
      <c r="M6537" s="270" t="s">
        <v>3943</v>
      </c>
      <c r="N6537" s="270" t="s">
        <v>3944</v>
      </c>
      <c r="O6537" s="270">
        <v>4022</v>
      </c>
      <c r="P6537" s="270" t="s">
        <v>3944</v>
      </c>
      <c r="Q6537" s="270" t="s">
        <v>3944</v>
      </c>
      <c r="R6537" s="270">
        <v>4022</v>
      </c>
      <c r="S6537" s="270">
        <v>33418</v>
      </c>
      <c r="T6537" s="270">
        <v>37440</v>
      </c>
      <c r="U6537" s="271" t="s">
        <v>3945</v>
      </c>
      <c r="V6537" s="267" t="s">
        <v>944</v>
      </c>
    </row>
    <row r="6538" spans="1:22" hidden="1" x14ac:dyDescent="0.25">
      <c r="A6538" s="266">
        <v>43769</v>
      </c>
      <c r="B6538" s="267">
        <v>2019</v>
      </c>
      <c r="C6538" s="267">
        <v>2020</v>
      </c>
      <c r="D6538" s="267">
        <v>1</v>
      </c>
      <c r="E6538" s="267">
        <v>1</v>
      </c>
      <c r="F6538" s="267" t="s">
        <v>944</v>
      </c>
      <c r="G6538" s="267" t="s">
        <v>3926</v>
      </c>
      <c r="H6538" s="267" t="s">
        <v>11302</v>
      </c>
      <c r="I6538" s="267" t="s">
        <v>3009</v>
      </c>
      <c r="J6538" s="267" t="s">
        <v>3928</v>
      </c>
      <c r="K6538" s="267">
        <v>6484</v>
      </c>
      <c r="L6538" s="267">
        <v>110202</v>
      </c>
      <c r="M6538" s="267" t="s">
        <v>3935</v>
      </c>
      <c r="N6538" s="267" t="s">
        <v>3944</v>
      </c>
      <c r="O6538" s="267">
        <v>1696</v>
      </c>
      <c r="P6538" s="267" t="s">
        <v>3944</v>
      </c>
      <c r="Q6538" s="267" t="s">
        <v>3944</v>
      </c>
      <c r="R6538" s="267">
        <v>1696</v>
      </c>
      <c r="S6538" s="267">
        <v>26959.599999999999</v>
      </c>
      <c r="T6538" s="267">
        <v>28655.599999999999</v>
      </c>
      <c r="U6538" s="268" t="s">
        <v>3945</v>
      </c>
      <c r="V6538" s="267" t="s">
        <v>944</v>
      </c>
    </row>
    <row r="6539" spans="1:22" hidden="1" x14ac:dyDescent="0.25">
      <c r="A6539" s="269">
        <v>43769</v>
      </c>
      <c r="B6539" s="270">
        <v>2019</v>
      </c>
      <c r="C6539" s="270">
        <v>2020</v>
      </c>
      <c r="D6539" s="270">
        <v>1</v>
      </c>
      <c r="E6539" s="270">
        <v>1</v>
      </c>
      <c r="F6539" s="270" t="s">
        <v>944</v>
      </c>
      <c r="G6539" s="270" t="s">
        <v>3926</v>
      </c>
      <c r="H6539" s="270" t="s">
        <v>11303</v>
      </c>
      <c r="I6539" s="270" t="s">
        <v>2985</v>
      </c>
      <c r="J6539" s="270" t="s">
        <v>3928</v>
      </c>
      <c r="K6539" s="270">
        <v>6824</v>
      </c>
      <c r="L6539" s="270">
        <v>61600</v>
      </c>
      <c r="M6539" s="270" t="s">
        <v>3943</v>
      </c>
      <c r="N6539" s="270" t="s">
        <v>3944</v>
      </c>
      <c r="O6539" s="270">
        <v>4694</v>
      </c>
      <c r="P6539" s="270" t="s">
        <v>3944</v>
      </c>
      <c r="Q6539" s="270" t="s">
        <v>3944</v>
      </c>
      <c r="R6539" s="270">
        <v>4694</v>
      </c>
      <c r="S6539" s="270">
        <v>40659</v>
      </c>
      <c r="T6539" s="270">
        <v>45353</v>
      </c>
      <c r="U6539" s="271" t="s">
        <v>3945</v>
      </c>
      <c r="V6539" s="267" t="s">
        <v>944</v>
      </c>
    </row>
    <row r="6540" spans="1:22" hidden="1" x14ac:dyDescent="0.25">
      <c r="A6540" s="266">
        <v>43769</v>
      </c>
      <c r="B6540" s="267">
        <v>2019</v>
      </c>
      <c r="C6540" s="267">
        <v>2020</v>
      </c>
      <c r="D6540" s="267">
        <v>1</v>
      </c>
      <c r="E6540" s="267">
        <v>1</v>
      </c>
      <c r="F6540" s="267" t="s">
        <v>944</v>
      </c>
      <c r="G6540" s="267" t="s">
        <v>3926</v>
      </c>
      <c r="H6540" s="267" t="s">
        <v>11304</v>
      </c>
      <c r="I6540" s="267" t="s">
        <v>3010</v>
      </c>
      <c r="J6540" s="267" t="s">
        <v>3928</v>
      </c>
      <c r="K6540" s="267">
        <v>6401</v>
      </c>
      <c r="L6540" s="267">
        <v>125100</v>
      </c>
      <c r="M6540" s="267" t="s">
        <v>3960</v>
      </c>
      <c r="N6540" s="267" t="s">
        <v>3944</v>
      </c>
      <c r="O6540" s="267">
        <v>1942.89</v>
      </c>
      <c r="P6540" s="267" t="s">
        <v>3944</v>
      </c>
      <c r="Q6540" s="267" t="s">
        <v>3944</v>
      </c>
      <c r="R6540" s="267">
        <v>1942.89</v>
      </c>
      <c r="S6540" s="267">
        <v>35476.910000000003</v>
      </c>
      <c r="T6540" s="267">
        <v>37419.800000000003</v>
      </c>
      <c r="U6540" s="268" t="s">
        <v>3945</v>
      </c>
      <c r="V6540" s="267" t="s">
        <v>944</v>
      </c>
    </row>
    <row r="6541" spans="1:22" hidden="1" x14ac:dyDescent="0.25">
      <c r="A6541" s="269">
        <v>43769</v>
      </c>
      <c r="B6541" s="270">
        <v>2019</v>
      </c>
      <c r="C6541" s="270">
        <v>2020</v>
      </c>
      <c r="D6541" s="270">
        <v>1</v>
      </c>
      <c r="E6541" s="270">
        <v>1</v>
      </c>
      <c r="F6541" s="270" t="s">
        <v>944</v>
      </c>
      <c r="G6541" s="270" t="s">
        <v>3926</v>
      </c>
      <c r="H6541" s="270" t="s">
        <v>11305</v>
      </c>
      <c r="I6541" s="270" t="s">
        <v>4005</v>
      </c>
      <c r="J6541" s="270" t="s">
        <v>3928</v>
      </c>
      <c r="K6541" s="270">
        <v>6108</v>
      </c>
      <c r="L6541" s="270">
        <v>511300</v>
      </c>
      <c r="M6541" s="270">
        <v>-60</v>
      </c>
      <c r="N6541" s="270" t="s">
        <v>3944</v>
      </c>
      <c r="O6541" s="270">
        <v>923.55</v>
      </c>
      <c r="P6541" s="270" t="s">
        <v>3944</v>
      </c>
      <c r="Q6541" s="270" t="s">
        <v>3944</v>
      </c>
      <c r="R6541" s="270">
        <v>923.55</v>
      </c>
      <c r="S6541" s="270">
        <v>19297.11</v>
      </c>
      <c r="T6541" s="270">
        <v>20220.66</v>
      </c>
      <c r="U6541" s="271" t="s">
        <v>3945</v>
      </c>
      <c r="V6541" s="267" t="s">
        <v>944</v>
      </c>
    </row>
    <row r="6542" spans="1:22" hidden="1" x14ac:dyDescent="0.25">
      <c r="A6542" s="266">
        <v>43769</v>
      </c>
      <c r="B6542" s="267">
        <v>2019</v>
      </c>
      <c r="C6542" s="267">
        <v>2020</v>
      </c>
      <c r="D6542" s="267">
        <v>1</v>
      </c>
      <c r="E6542" s="267">
        <v>1</v>
      </c>
      <c r="F6542" s="267" t="s">
        <v>944</v>
      </c>
      <c r="G6542" s="267" t="s">
        <v>3926</v>
      </c>
      <c r="H6542" s="267" t="s">
        <v>11306</v>
      </c>
      <c r="I6542" s="267" t="s">
        <v>4019</v>
      </c>
      <c r="J6542" s="267" t="s">
        <v>3928</v>
      </c>
      <c r="K6542" s="267">
        <v>6705</v>
      </c>
      <c r="L6542" s="267">
        <v>352600</v>
      </c>
      <c r="M6542" s="267">
        <v>-60</v>
      </c>
      <c r="N6542" s="267" t="s">
        <v>3944</v>
      </c>
      <c r="O6542" s="267">
        <v>1542.63</v>
      </c>
      <c r="P6542" s="267" t="s">
        <v>3944</v>
      </c>
      <c r="Q6542" s="267" t="s">
        <v>3944</v>
      </c>
      <c r="R6542" s="267">
        <v>1542.63</v>
      </c>
      <c r="S6542" s="267">
        <v>34509.51</v>
      </c>
      <c r="T6542" s="267">
        <v>36052.14</v>
      </c>
      <c r="U6542" s="268" t="s">
        <v>3945</v>
      </c>
      <c r="V6542" s="267" t="s">
        <v>944</v>
      </c>
    </row>
    <row r="6543" spans="1:22" hidden="1" x14ac:dyDescent="0.25">
      <c r="A6543" s="269">
        <v>43769</v>
      </c>
      <c r="B6543" s="270">
        <v>2019</v>
      </c>
      <c r="C6543" s="270">
        <v>2020</v>
      </c>
      <c r="D6543" s="270">
        <v>1</v>
      </c>
      <c r="E6543" s="270">
        <v>1</v>
      </c>
      <c r="F6543" s="270" t="s">
        <v>944</v>
      </c>
      <c r="G6543" s="270" t="s">
        <v>3926</v>
      </c>
      <c r="H6543" s="270" t="s">
        <v>11307</v>
      </c>
      <c r="I6543" s="270" t="s">
        <v>3996</v>
      </c>
      <c r="J6543" s="270" t="s">
        <v>3928</v>
      </c>
      <c r="K6543" s="270">
        <v>6790</v>
      </c>
      <c r="L6543" s="270">
        <v>310601</v>
      </c>
      <c r="M6543" s="270" t="s">
        <v>3960</v>
      </c>
      <c r="N6543" s="270" t="s">
        <v>3944</v>
      </c>
      <c r="O6543" s="270">
        <v>2649.89</v>
      </c>
      <c r="P6543" s="270" t="s">
        <v>3944</v>
      </c>
      <c r="Q6543" s="270" t="s">
        <v>3944</v>
      </c>
      <c r="R6543" s="270">
        <v>2649.89</v>
      </c>
      <c r="S6543" s="270">
        <v>37893.15</v>
      </c>
      <c r="T6543" s="270">
        <v>40543.040000000001</v>
      </c>
      <c r="U6543" s="271" t="s">
        <v>3945</v>
      </c>
      <c r="V6543" s="267" t="s">
        <v>944</v>
      </c>
    </row>
    <row r="6544" spans="1:22" hidden="1" x14ac:dyDescent="0.25">
      <c r="A6544" s="266">
        <v>43770</v>
      </c>
      <c r="B6544" s="267">
        <v>2019</v>
      </c>
      <c r="C6544" s="267">
        <v>2020</v>
      </c>
      <c r="D6544" s="267">
        <v>1</v>
      </c>
      <c r="E6544" s="267">
        <v>1</v>
      </c>
      <c r="F6544" s="267" t="s">
        <v>944</v>
      </c>
      <c r="G6544" s="267" t="s">
        <v>3926</v>
      </c>
      <c r="H6544" s="267" t="s">
        <v>11308</v>
      </c>
      <c r="I6544" s="267" t="s">
        <v>3990</v>
      </c>
      <c r="J6544" s="267" t="s">
        <v>3928</v>
      </c>
      <c r="K6544" s="267">
        <v>6804</v>
      </c>
      <c r="L6544" s="267">
        <v>205200</v>
      </c>
      <c r="M6544" s="267" t="s">
        <v>3943</v>
      </c>
      <c r="N6544" s="267" t="s">
        <v>11309</v>
      </c>
      <c r="O6544" s="267">
        <v>0</v>
      </c>
      <c r="P6544" s="267" t="s">
        <v>3930</v>
      </c>
      <c r="Q6544" s="267" t="s">
        <v>3930</v>
      </c>
      <c r="R6544" s="267">
        <v>0</v>
      </c>
      <c r="S6544" s="267">
        <v>6825</v>
      </c>
      <c r="T6544" s="267">
        <v>6825</v>
      </c>
      <c r="U6544" s="268" t="s">
        <v>3937</v>
      </c>
      <c r="V6544" s="267" t="s">
        <v>944</v>
      </c>
    </row>
    <row r="6545" spans="1:22" hidden="1" x14ac:dyDescent="0.25">
      <c r="A6545" s="269">
        <v>43770</v>
      </c>
      <c r="B6545" s="270">
        <v>2019</v>
      </c>
      <c r="C6545" s="270">
        <v>2020</v>
      </c>
      <c r="D6545" s="270">
        <v>1</v>
      </c>
      <c r="E6545" s="270">
        <v>1</v>
      </c>
      <c r="F6545" s="270" t="s">
        <v>944</v>
      </c>
      <c r="G6545" s="270" t="s">
        <v>3926</v>
      </c>
      <c r="H6545" s="270" t="s">
        <v>11310</v>
      </c>
      <c r="I6545" s="270" t="s">
        <v>7040</v>
      </c>
      <c r="J6545" s="270" t="s">
        <v>3928</v>
      </c>
      <c r="K6545" s="270">
        <v>6098</v>
      </c>
      <c r="L6545" s="270">
        <v>320100</v>
      </c>
      <c r="M6545" s="270" t="s">
        <v>3940</v>
      </c>
      <c r="N6545" s="270" t="s">
        <v>11311</v>
      </c>
      <c r="O6545" s="270">
        <v>0</v>
      </c>
      <c r="P6545" s="270" t="s">
        <v>3930</v>
      </c>
      <c r="Q6545" s="270" t="s">
        <v>3930</v>
      </c>
      <c r="R6545" s="270">
        <v>0</v>
      </c>
      <c r="S6545" s="270">
        <v>11920.29</v>
      </c>
      <c r="T6545" s="270">
        <v>11920.29</v>
      </c>
      <c r="U6545" s="271" t="s">
        <v>3937</v>
      </c>
      <c r="V6545" s="267" t="s">
        <v>944</v>
      </c>
    </row>
    <row r="6546" spans="1:22" hidden="1" x14ac:dyDescent="0.25">
      <c r="A6546" s="266">
        <v>43770</v>
      </c>
      <c r="B6546" s="267">
        <v>2019</v>
      </c>
      <c r="C6546" s="267">
        <v>2020</v>
      </c>
      <c r="D6546" s="267">
        <v>1</v>
      </c>
      <c r="E6546" s="267">
        <v>1</v>
      </c>
      <c r="F6546" s="267" t="s">
        <v>944</v>
      </c>
      <c r="G6546" s="267" t="s">
        <v>3926</v>
      </c>
      <c r="H6546" s="267" t="s">
        <v>11312</v>
      </c>
      <c r="I6546" s="267" t="s">
        <v>3990</v>
      </c>
      <c r="J6546" s="267" t="s">
        <v>3928</v>
      </c>
      <c r="K6546" s="267">
        <v>6804</v>
      </c>
      <c r="L6546" s="267">
        <v>205200</v>
      </c>
      <c r="M6546" s="267" t="s">
        <v>3943</v>
      </c>
      <c r="N6546" s="267" t="s">
        <v>3944</v>
      </c>
      <c r="O6546" s="267">
        <v>3324</v>
      </c>
      <c r="P6546" s="267" t="s">
        <v>3944</v>
      </c>
      <c r="Q6546" s="267" t="s">
        <v>3944</v>
      </c>
      <c r="R6546" s="267">
        <v>3324</v>
      </c>
      <c r="S6546" s="267">
        <v>45016.5</v>
      </c>
      <c r="T6546" s="267">
        <v>48340.5</v>
      </c>
      <c r="U6546" s="268" t="s">
        <v>3945</v>
      </c>
      <c r="V6546" s="267" t="s">
        <v>944</v>
      </c>
    </row>
    <row r="6547" spans="1:22" x14ac:dyDescent="0.25">
      <c r="A6547" s="269">
        <v>43770</v>
      </c>
      <c r="B6547" s="270">
        <v>2019</v>
      </c>
      <c r="C6547" s="270">
        <v>2020</v>
      </c>
      <c r="D6547" s="270">
        <v>1</v>
      </c>
      <c r="E6547" s="270">
        <v>1</v>
      </c>
      <c r="F6547" s="270" t="s">
        <v>944</v>
      </c>
      <c r="G6547" s="270" t="s">
        <v>3926</v>
      </c>
      <c r="H6547" s="270" t="s">
        <v>11313</v>
      </c>
      <c r="I6547" s="270" t="s">
        <v>943</v>
      </c>
      <c r="J6547" s="270" t="s">
        <v>3928</v>
      </c>
      <c r="K6547" s="270">
        <v>6513</v>
      </c>
      <c r="L6547" s="270">
        <v>142500</v>
      </c>
      <c r="M6547" s="270">
        <v>-60</v>
      </c>
      <c r="N6547" s="270" t="s">
        <v>3944</v>
      </c>
      <c r="O6547" s="270">
        <v>3084</v>
      </c>
      <c r="P6547" s="270" t="s">
        <v>3944</v>
      </c>
      <c r="Q6547" s="270" t="s">
        <v>3944</v>
      </c>
      <c r="R6547" s="270">
        <v>3084</v>
      </c>
      <c r="S6547" s="270">
        <v>22095</v>
      </c>
      <c r="T6547" s="270">
        <v>25179</v>
      </c>
      <c r="U6547" s="271" t="s">
        <v>3945</v>
      </c>
      <c r="V6547" s="276" t="s">
        <v>936</v>
      </c>
    </row>
    <row r="6548" spans="1:22" hidden="1" x14ac:dyDescent="0.25">
      <c r="A6548" s="266">
        <v>43770</v>
      </c>
      <c r="B6548" s="267">
        <v>2019</v>
      </c>
      <c r="C6548" s="267">
        <v>2020</v>
      </c>
      <c r="D6548" s="267">
        <v>1</v>
      </c>
      <c r="E6548" s="267">
        <v>1</v>
      </c>
      <c r="F6548" s="267" t="s">
        <v>944</v>
      </c>
      <c r="G6548" s="267" t="s">
        <v>3926</v>
      </c>
      <c r="H6548" s="267" t="s">
        <v>11314</v>
      </c>
      <c r="I6548" s="267" t="s">
        <v>4073</v>
      </c>
      <c r="J6548" s="267" t="s">
        <v>3928</v>
      </c>
      <c r="K6548" s="267">
        <v>6776</v>
      </c>
      <c r="L6548" s="267">
        <v>253200</v>
      </c>
      <c r="M6548" s="267" t="s">
        <v>3960</v>
      </c>
      <c r="N6548" s="267" t="s">
        <v>3944</v>
      </c>
      <c r="O6548" s="267">
        <v>2523</v>
      </c>
      <c r="P6548" s="267" t="s">
        <v>3944</v>
      </c>
      <c r="Q6548" s="267" t="s">
        <v>3944</v>
      </c>
      <c r="R6548" s="267">
        <v>2523</v>
      </c>
      <c r="S6548" s="267">
        <v>21021</v>
      </c>
      <c r="T6548" s="267">
        <v>23544</v>
      </c>
      <c r="U6548" s="268" t="s">
        <v>3945</v>
      </c>
      <c r="V6548" s="267" t="s">
        <v>944</v>
      </c>
    </row>
    <row r="6549" spans="1:22" hidden="1" x14ac:dyDescent="0.25">
      <c r="A6549" s="269">
        <v>43770</v>
      </c>
      <c r="B6549" s="270">
        <v>2019</v>
      </c>
      <c r="C6549" s="270">
        <v>2020</v>
      </c>
      <c r="D6549" s="270">
        <v>1</v>
      </c>
      <c r="E6549" s="270">
        <v>1</v>
      </c>
      <c r="F6549" s="270" t="s">
        <v>944</v>
      </c>
      <c r="G6549" s="270" t="s">
        <v>3926</v>
      </c>
      <c r="H6549" s="270" t="s">
        <v>11315</v>
      </c>
      <c r="I6549" s="270" t="s">
        <v>4079</v>
      </c>
      <c r="J6549" s="270" t="s">
        <v>3928</v>
      </c>
      <c r="K6549" s="270">
        <v>6111</v>
      </c>
      <c r="L6549" s="270">
        <v>494400</v>
      </c>
      <c r="M6549" s="270" t="s">
        <v>3935</v>
      </c>
      <c r="N6549" s="270" t="s">
        <v>3944</v>
      </c>
      <c r="O6549" s="270">
        <v>1779</v>
      </c>
      <c r="P6549" s="270" t="s">
        <v>3944</v>
      </c>
      <c r="Q6549" s="270" t="s">
        <v>3944</v>
      </c>
      <c r="R6549" s="270">
        <v>1779</v>
      </c>
      <c r="S6549" s="270">
        <v>23821</v>
      </c>
      <c r="T6549" s="270">
        <v>25600</v>
      </c>
      <c r="U6549" s="271" t="s">
        <v>3945</v>
      </c>
      <c r="V6549" s="267" t="s">
        <v>944</v>
      </c>
    </row>
    <row r="6550" spans="1:22" hidden="1" x14ac:dyDescent="0.25">
      <c r="A6550" s="266">
        <v>43770</v>
      </c>
      <c r="B6550" s="267">
        <v>2019</v>
      </c>
      <c r="C6550" s="267">
        <v>2020</v>
      </c>
      <c r="D6550" s="267">
        <v>1</v>
      </c>
      <c r="E6550" s="267">
        <v>1</v>
      </c>
      <c r="F6550" s="267" t="s">
        <v>944</v>
      </c>
      <c r="G6550" s="267" t="s">
        <v>3926</v>
      </c>
      <c r="H6550" s="267" t="s">
        <v>11316</v>
      </c>
      <c r="I6550" s="267" t="s">
        <v>4079</v>
      </c>
      <c r="J6550" s="267" t="s">
        <v>3928</v>
      </c>
      <c r="K6550" s="267">
        <v>6111</v>
      </c>
      <c r="L6550" s="267">
        <v>494500</v>
      </c>
      <c r="M6550" s="267" t="s">
        <v>3960</v>
      </c>
      <c r="N6550" s="267" t="s">
        <v>3944</v>
      </c>
      <c r="O6550" s="267">
        <v>2476</v>
      </c>
      <c r="P6550" s="267" t="s">
        <v>3944</v>
      </c>
      <c r="Q6550" s="267" t="s">
        <v>3944</v>
      </c>
      <c r="R6550" s="267">
        <v>2476</v>
      </c>
      <c r="S6550" s="267">
        <v>18660.63</v>
      </c>
      <c r="T6550" s="267">
        <v>21136.63</v>
      </c>
      <c r="U6550" s="268" t="s">
        <v>3945</v>
      </c>
      <c r="V6550" s="267" t="s">
        <v>944</v>
      </c>
    </row>
    <row r="6551" spans="1:22" hidden="1" x14ac:dyDescent="0.25">
      <c r="A6551" s="269">
        <v>43770</v>
      </c>
      <c r="B6551" s="270">
        <v>2019</v>
      </c>
      <c r="C6551" s="270">
        <v>2020</v>
      </c>
      <c r="D6551" s="270">
        <v>1</v>
      </c>
      <c r="E6551" s="270">
        <v>1</v>
      </c>
      <c r="F6551" s="270" t="s">
        <v>944</v>
      </c>
      <c r="G6551" s="270" t="s">
        <v>3926</v>
      </c>
      <c r="H6551" s="270" t="s">
        <v>11317</v>
      </c>
      <c r="I6551" s="270" t="s">
        <v>3966</v>
      </c>
      <c r="J6551" s="270" t="s">
        <v>3928</v>
      </c>
      <c r="K6551" s="270">
        <v>6010</v>
      </c>
      <c r="L6551" s="270">
        <v>405900</v>
      </c>
      <c r="M6551" s="270" t="s">
        <v>3960</v>
      </c>
      <c r="N6551" s="270" t="s">
        <v>3944</v>
      </c>
      <c r="O6551" s="270">
        <v>2593.29</v>
      </c>
      <c r="P6551" s="270" t="s">
        <v>3944</v>
      </c>
      <c r="Q6551" s="270" t="s">
        <v>3944</v>
      </c>
      <c r="R6551" s="270">
        <v>2593.29</v>
      </c>
      <c r="S6551" s="270">
        <v>39364.82</v>
      </c>
      <c r="T6551" s="270">
        <v>41958.11</v>
      </c>
      <c r="U6551" s="271" t="s">
        <v>3945</v>
      </c>
      <c r="V6551" s="267" t="s">
        <v>944</v>
      </c>
    </row>
    <row r="6552" spans="1:22" hidden="1" x14ac:dyDescent="0.25">
      <c r="A6552" s="266">
        <v>43770</v>
      </c>
      <c r="B6552" s="267">
        <v>2019</v>
      </c>
      <c r="C6552" s="267">
        <v>2020</v>
      </c>
      <c r="D6552" s="267">
        <v>1</v>
      </c>
      <c r="E6552" s="267">
        <v>1</v>
      </c>
      <c r="F6552" s="267" t="s">
        <v>944</v>
      </c>
      <c r="G6552" s="267" t="s">
        <v>3926</v>
      </c>
      <c r="H6552" s="267" t="s">
        <v>11318</v>
      </c>
      <c r="I6552" s="267" t="s">
        <v>4062</v>
      </c>
      <c r="J6552" s="267" t="s">
        <v>3928</v>
      </c>
      <c r="K6552" s="267">
        <v>6763</v>
      </c>
      <c r="L6552" s="267">
        <v>303100</v>
      </c>
      <c r="M6552" s="267" t="s">
        <v>3960</v>
      </c>
      <c r="N6552" s="267" t="s">
        <v>3944</v>
      </c>
      <c r="O6552" s="267">
        <v>1514.84</v>
      </c>
      <c r="P6552" s="267" t="s">
        <v>3944</v>
      </c>
      <c r="Q6552" s="267" t="s">
        <v>3944</v>
      </c>
      <c r="R6552" s="267">
        <v>1514.84</v>
      </c>
      <c r="S6552" s="267">
        <v>28779.95</v>
      </c>
      <c r="T6552" s="267">
        <v>30294.79</v>
      </c>
      <c r="U6552" s="268" t="s">
        <v>3945</v>
      </c>
      <c r="V6552" s="267" t="s">
        <v>944</v>
      </c>
    </row>
    <row r="6553" spans="1:22" hidden="1" x14ac:dyDescent="0.25">
      <c r="A6553" s="269">
        <v>43770</v>
      </c>
      <c r="B6553" s="270">
        <v>2019</v>
      </c>
      <c r="C6553" s="270">
        <v>2020</v>
      </c>
      <c r="D6553" s="270">
        <v>1</v>
      </c>
      <c r="E6553" s="270">
        <v>1</v>
      </c>
      <c r="F6553" s="270" t="s">
        <v>944</v>
      </c>
      <c r="G6553" s="270" t="s">
        <v>3926</v>
      </c>
      <c r="H6553" s="270" t="s">
        <v>11319</v>
      </c>
      <c r="I6553" s="270" t="s">
        <v>4124</v>
      </c>
      <c r="J6553" s="270" t="s">
        <v>3928</v>
      </c>
      <c r="K6553" s="270">
        <v>6470</v>
      </c>
      <c r="L6553" s="270">
        <v>230200</v>
      </c>
      <c r="M6553" s="270" t="s">
        <v>3943</v>
      </c>
      <c r="N6553" s="270" t="s">
        <v>3944</v>
      </c>
      <c r="O6553" s="270">
        <v>1792.32</v>
      </c>
      <c r="P6553" s="270" t="s">
        <v>3944</v>
      </c>
      <c r="Q6553" s="270" t="s">
        <v>3944</v>
      </c>
      <c r="R6553" s="270">
        <v>1792.32</v>
      </c>
      <c r="S6553" s="270">
        <v>34014.18</v>
      </c>
      <c r="T6553" s="270">
        <v>35806.5</v>
      </c>
      <c r="U6553" s="271" t="s">
        <v>3945</v>
      </c>
      <c r="V6553" s="267" t="s">
        <v>944</v>
      </c>
    </row>
    <row r="6554" spans="1:22" hidden="1" x14ac:dyDescent="0.25">
      <c r="A6554" s="266">
        <v>43770</v>
      </c>
      <c r="B6554" s="267">
        <v>2019</v>
      </c>
      <c r="C6554" s="267">
        <v>2020</v>
      </c>
      <c r="D6554" s="267">
        <v>1</v>
      </c>
      <c r="E6554" s="267">
        <v>1</v>
      </c>
      <c r="F6554" s="267" t="s">
        <v>944</v>
      </c>
      <c r="G6554" s="267" t="s">
        <v>3926</v>
      </c>
      <c r="H6554" s="267" t="s">
        <v>11320</v>
      </c>
      <c r="I6554" s="267" t="s">
        <v>950</v>
      </c>
      <c r="J6554" s="267" t="s">
        <v>3928</v>
      </c>
      <c r="K6554" s="267">
        <v>6516</v>
      </c>
      <c r="L6554" s="267">
        <v>154700</v>
      </c>
      <c r="M6554" s="267" t="s">
        <v>3960</v>
      </c>
      <c r="N6554" s="267" t="s">
        <v>3944</v>
      </c>
      <c r="O6554" s="267">
        <v>1478.12</v>
      </c>
      <c r="P6554" s="267" t="s">
        <v>3944</v>
      </c>
      <c r="Q6554" s="267" t="s">
        <v>3944</v>
      </c>
      <c r="R6554" s="267">
        <v>1478.12</v>
      </c>
      <c r="S6554" s="267">
        <v>22719.88</v>
      </c>
      <c r="T6554" s="267">
        <v>24198</v>
      </c>
      <c r="U6554" s="268" t="s">
        <v>3945</v>
      </c>
      <c r="V6554" s="267" t="s">
        <v>944</v>
      </c>
    </row>
    <row r="6555" spans="1:22" hidden="1" x14ac:dyDescent="0.25">
      <c r="A6555" s="269">
        <v>43770</v>
      </c>
      <c r="B6555" s="270">
        <v>2019</v>
      </c>
      <c r="C6555" s="270">
        <v>2020</v>
      </c>
      <c r="D6555" s="270">
        <v>1</v>
      </c>
      <c r="E6555" s="270">
        <v>1</v>
      </c>
      <c r="F6555" s="270" t="s">
        <v>944</v>
      </c>
      <c r="G6555" s="270" t="s">
        <v>3926</v>
      </c>
      <c r="H6555" s="270" t="s">
        <v>11321</v>
      </c>
      <c r="I6555" s="270" t="s">
        <v>953</v>
      </c>
      <c r="J6555" s="270" t="s">
        <v>3928</v>
      </c>
      <c r="K6555" s="270">
        <v>6514</v>
      </c>
      <c r="L6555" s="270">
        <v>165600</v>
      </c>
      <c r="M6555" s="270" t="s">
        <v>3940</v>
      </c>
      <c r="N6555" s="270" t="s">
        <v>3944</v>
      </c>
      <c r="O6555" s="270">
        <v>1358.04</v>
      </c>
      <c r="P6555" s="270" t="s">
        <v>3944</v>
      </c>
      <c r="Q6555" s="270" t="s">
        <v>3944</v>
      </c>
      <c r="R6555" s="270">
        <v>1358.04</v>
      </c>
      <c r="S6555" s="270">
        <v>24663.360000000001</v>
      </c>
      <c r="T6555" s="270">
        <v>26021.4</v>
      </c>
      <c r="U6555" s="271" t="s">
        <v>3945</v>
      </c>
      <c r="V6555" s="267" t="s">
        <v>944</v>
      </c>
    </row>
    <row r="6556" spans="1:22" hidden="1" x14ac:dyDescent="0.25">
      <c r="A6556" s="266">
        <v>43771</v>
      </c>
      <c r="B6556" s="267">
        <v>2019</v>
      </c>
      <c r="C6556" s="267">
        <v>2020</v>
      </c>
      <c r="D6556" s="267">
        <v>1</v>
      </c>
      <c r="E6556" s="267">
        <v>1</v>
      </c>
      <c r="F6556" s="267" t="s">
        <v>944</v>
      </c>
      <c r="G6556" s="267" t="s">
        <v>3926</v>
      </c>
      <c r="H6556" s="267" t="s">
        <v>11322</v>
      </c>
      <c r="I6556" s="267" t="s">
        <v>4016</v>
      </c>
      <c r="J6556" s="267" t="s">
        <v>3928</v>
      </c>
      <c r="K6556" s="267">
        <v>6770</v>
      </c>
      <c r="L6556" s="267">
        <v>345202</v>
      </c>
      <c r="M6556" s="267" t="s">
        <v>3960</v>
      </c>
      <c r="N6556" s="267" t="s">
        <v>6611</v>
      </c>
      <c r="O6556" s="267">
        <v>0</v>
      </c>
      <c r="P6556" s="267" t="s">
        <v>3930</v>
      </c>
      <c r="Q6556" s="267" t="s">
        <v>3930</v>
      </c>
      <c r="R6556" s="267">
        <v>0</v>
      </c>
      <c r="S6556" s="267">
        <v>9200</v>
      </c>
      <c r="T6556" s="267">
        <v>9200</v>
      </c>
      <c r="U6556" s="268" t="s">
        <v>3937</v>
      </c>
      <c r="V6556" s="267" t="s">
        <v>944</v>
      </c>
    </row>
    <row r="6557" spans="1:22" hidden="1" x14ac:dyDescent="0.25">
      <c r="A6557" s="269">
        <v>43771</v>
      </c>
      <c r="B6557" s="270">
        <v>2019</v>
      </c>
      <c r="C6557" s="270">
        <v>2020</v>
      </c>
      <c r="D6557" s="270">
        <v>1</v>
      </c>
      <c r="E6557" s="270">
        <v>1</v>
      </c>
      <c r="F6557" s="270" t="s">
        <v>944</v>
      </c>
      <c r="G6557" s="270" t="s">
        <v>3926</v>
      </c>
      <c r="H6557" s="270" t="s">
        <v>11323</v>
      </c>
      <c r="I6557" s="270" t="s">
        <v>4019</v>
      </c>
      <c r="J6557" s="270" t="s">
        <v>3928</v>
      </c>
      <c r="K6557" s="270">
        <v>6708</v>
      </c>
      <c r="L6557" s="270">
        <v>351800</v>
      </c>
      <c r="M6557" s="270" t="s">
        <v>3940</v>
      </c>
      <c r="N6557" s="270" t="s">
        <v>11324</v>
      </c>
      <c r="O6557" s="270">
        <v>0</v>
      </c>
      <c r="P6557" s="270" t="s">
        <v>3930</v>
      </c>
      <c r="Q6557" s="270" t="s">
        <v>3930</v>
      </c>
      <c r="R6557" s="270">
        <v>0</v>
      </c>
      <c r="S6557" s="270">
        <v>6625</v>
      </c>
      <c r="T6557" s="270">
        <v>6625</v>
      </c>
      <c r="U6557" s="271" t="s">
        <v>3937</v>
      </c>
      <c r="V6557" s="267" t="s">
        <v>944</v>
      </c>
    </row>
    <row r="6558" spans="1:22" hidden="1" x14ac:dyDescent="0.25">
      <c r="A6558" s="266">
        <v>43771</v>
      </c>
      <c r="B6558" s="267">
        <v>2019</v>
      </c>
      <c r="C6558" s="267">
        <v>2020</v>
      </c>
      <c r="D6558" s="267">
        <v>1</v>
      </c>
      <c r="E6558" s="267">
        <v>1</v>
      </c>
      <c r="F6558" s="267" t="s">
        <v>944</v>
      </c>
      <c r="G6558" s="267" t="s">
        <v>3997</v>
      </c>
      <c r="H6558" s="267" t="s">
        <v>11325</v>
      </c>
      <c r="I6558" s="267" t="s">
        <v>3939</v>
      </c>
      <c r="J6558" s="267" t="s">
        <v>3928</v>
      </c>
      <c r="K6558" s="267">
        <v>6706</v>
      </c>
      <c r="L6558" s="267">
        <v>351500</v>
      </c>
      <c r="M6558" s="267" t="s">
        <v>3940</v>
      </c>
      <c r="N6558" s="267" t="s">
        <v>4495</v>
      </c>
      <c r="O6558" s="267">
        <v>2705.47</v>
      </c>
      <c r="P6558" s="267" t="s">
        <v>3930</v>
      </c>
      <c r="Q6558" s="267" t="s">
        <v>3931</v>
      </c>
      <c r="R6558" s="267">
        <v>7705.47</v>
      </c>
      <c r="S6558" s="267">
        <v>33976</v>
      </c>
      <c r="T6558" s="267">
        <v>41681.47</v>
      </c>
      <c r="U6558" s="268" t="s">
        <v>3932</v>
      </c>
      <c r="V6558" s="267" t="s">
        <v>944</v>
      </c>
    </row>
    <row r="6559" spans="1:22" hidden="1" x14ac:dyDescent="0.25">
      <c r="A6559" s="269">
        <v>43772</v>
      </c>
      <c r="B6559" s="270">
        <v>2019</v>
      </c>
      <c r="C6559" s="270">
        <v>2020</v>
      </c>
      <c r="D6559" s="270">
        <v>1</v>
      </c>
      <c r="E6559" s="270">
        <v>1</v>
      </c>
      <c r="F6559" s="270" t="s">
        <v>944</v>
      </c>
      <c r="G6559" s="270" t="s">
        <v>3926</v>
      </c>
      <c r="H6559" s="270" t="s">
        <v>11326</v>
      </c>
      <c r="I6559" s="270" t="s">
        <v>4392</v>
      </c>
      <c r="J6559" s="270" t="s">
        <v>3928</v>
      </c>
      <c r="K6559" s="270">
        <v>6457</v>
      </c>
      <c r="L6559" s="270">
        <v>542100</v>
      </c>
      <c r="M6559" s="270" t="s">
        <v>3940</v>
      </c>
      <c r="N6559" s="270" t="s">
        <v>3944</v>
      </c>
      <c r="O6559" s="270">
        <v>4432</v>
      </c>
      <c r="P6559" s="270" t="s">
        <v>3944</v>
      </c>
      <c r="Q6559" s="270" t="s">
        <v>3944</v>
      </c>
      <c r="R6559" s="270">
        <v>4432</v>
      </c>
      <c r="S6559" s="270">
        <v>29122</v>
      </c>
      <c r="T6559" s="270">
        <v>33554</v>
      </c>
      <c r="U6559" s="271" t="s">
        <v>3945</v>
      </c>
      <c r="V6559" s="267" t="s">
        <v>944</v>
      </c>
    </row>
    <row r="6560" spans="1:22" hidden="1" x14ac:dyDescent="0.25">
      <c r="A6560" s="266">
        <v>43772</v>
      </c>
      <c r="B6560" s="267">
        <v>2019</v>
      </c>
      <c r="C6560" s="267">
        <v>2020</v>
      </c>
      <c r="D6560" s="267">
        <v>1</v>
      </c>
      <c r="E6560" s="267">
        <v>1</v>
      </c>
      <c r="F6560" s="267" t="s">
        <v>944</v>
      </c>
      <c r="G6560" s="267" t="s">
        <v>3926</v>
      </c>
      <c r="H6560" s="267" t="s">
        <v>11327</v>
      </c>
      <c r="I6560" s="267" t="s">
        <v>4422</v>
      </c>
      <c r="J6560" s="267" t="s">
        <v>3928</v>
      </c>
      <c r="K6560" s="267">
        <v>6801</v>
      </c>
      <c r="L6560" s="267">
        <v>200301</v>
      </c>
      <c r="M6560" s="267" t="s">
        <v>3943</v>
      </c>
      <c r="N6560" s="267" t="s">
        <v>3944</v>
      </c>
      <c r="O6560" s="267">
        <v>4518</v>
      </c>
      <c r="P6560" s="267" t="s">
        <v>3944</v>
      </c>
      <c r="Q6560" s="267" t="s">
        <v>3944</v>
      </c>
      <c r="R6560" s="267">
        <v>4518</v>
      </c>
      <c r="S6560" s="267">
        <v>24882</v>
      </c>
      <c r="T6560" s="267">
        <v>29400</v>
      </c>
      <c r="U6560" s="268" t="s">
        <v>3945</v>
      </c>
      <c r="V6560" s="267" t="s">
        <v>944</v>
      </c>
    </row>
    <row r="6561" spans="1:22" hidden="1" x14ac:dyDescent="0.25">
      <c r="A6561" s="269">
        <v>43772</v>
      </c>
      <c r="B6561" s="270">
        <v>2019</v>
      </c>
      <c r="C6561" s="270">
        <v>2020</v>
      </c>
      <c r="D6561" s="270">
        <v>1</v>
      </c>
      <c r="E6561" s="270">
        <v>1</v>
      </c>
      <c r="F6561" s="270" t="s">
        <v>944</v>
      </c>
      <c r="G6561" s="270" t="s">
        <v>3926</v>
      </c>
      <c r="H6561" s="270" t="s">
        <v>11328</v>
      </c>
      <c r="I6561" s="270" t="s">
        <v>4019</v>
      </c>
      <c r="J6561" s="270" t="s">
        <v>3928</v>
      </c>
      <c r="K6561" s="270">
        <v>6708</v>
      </c>
      <c r="L6561" s="270">
        <v>351800</v>
      </c>
      <c r="M6561" s="270" t="s">
        <v>3940</v>
      </c>
      <c r="N6561" s="270" t="s">
        <v>3944</v>
      </c>
      <c r="O6561" s="270">
        <v>2561</v>
      </c>
      <c r="P6561" s="270" t="s">
        <v>3944</v>
      </c>
      <c r="Q6561" s="270" t="s">
        <v>3944</v>
      </c>
      <c r="R6561" s="270">
        <v>2561</v>
      </c>
      <c r="S6561" s="270">
        <v>26559</v>
      </c>
      <c r="T6561" s="270">
        <v>29120</v>
      </c>
      <c r="U6561" s="271" t="s">
        <v>3945</v>
      </c>
      <c r="V6561" s="267" t="s">
        <v>944</v>
      </c>
    </row>
    <row r="6562" spans="1:22" hidden="1" x14ac:dyDescent="0.25">
      <c r="A6562" s="266">
        <v>43772</v>
      </c>
      <c r="B6562" s="267">
        <v>2019</v>
      </c>
      <c r="C6562" s="267">
        <v>2020</v>
      </c>
      <c r="D6562" s="267">
        <v>1</v>
      </c>
      <c r="E6562" s="267">
        <v>1</v>
      </c>
      <c r="F6562" s="267" t="s">
        <v>944</v>
      </c>
      <c r="G6562" s="267" t="s">
        <v>3997</v>
      </c>
      <c r="H6562" s="267" t="s">
        <v>11329</v>
      </c>
      <c r="I6562" s="267" t="s">
        <v>4011</v>
      </c>
      <c r="J6562" s="267" t="s">
        <v>3928</v>
      </c>
      <c r="K6562" s="267">
        <v>6002</v>
      </c>
      <c r="L6562" s="267">
        <v>471100</v>
      </c>
      <c r="M6562" s="267" t="s">
        <v>3935</v>
      </c>
      <c r="N6562" s="267" t="s">
        <v>3944</v>
      </c>
      <c r="O6562" s="267">
        <v>1589.07</v>
      </c>
      <c r="P6562" s="267" t="s">
        <v>3944</v>
      </c>
      <c r="Q6562" s="267" t="s">
        <v>3944</v>
      </c>
      <c r="R6562" s="267">
        <v>1589.07</v>
      </c>
      <c r="S6562" s="267">
        <v>20633.97</v>
      </c>
      <c r="T6562" s="267">
        <v>22223.040000000001</v>
      </c>
      <c r="U6562" s="268" t="s">
        <v>3945</v>
      </c>
      <c r="V6562" s="267" t="s">
        <v>944</v>
      </c>
    </row>
    <row r="6563" spans="1:22" hidden="1" x14ac:dyDescent="0.25">
      <c r="A6563" s="269">
        <v>43772</v>
      </c>
      <c r="B6563" s="270">
        <v>2019</v>
      </c>
      <c r="C6563" s="270">
        <v>2020</v>
      </c>
      <c r="D6563" s="270">
        <v>1</v>
      </c>
      <c r="E6563" s="270">
        <v>1</v>
      </c>
      <c r="F6563" s="270" t="s">
        <v>944</v>
      </c>
      <c r="G6563" s="270" t="s">
        <v>3997</v>
      </c>
      <c r="H6563" s="270" t="s">
        <v>11330</v>
      </c>
      <c r="I6563" s="270" t="s">
        <v>4213</v>
      </c>
      <c r="J6563" s="270" t="s">
        <v>3928</v>
      </c>
      <c r="K6563" s="270">
        <v>6051</v>
      </c>
      <c r="L6563" s="270">
        <v>416200</v>
      </c>
      <c r="M6563" s="270">
        <v>-60</v>
      </c>
      <c r="N6563" s="270" t="s">
        <v>3944</v>
      </c>
      <c r="O6563" s="270">
        <v>644.39</v>
      </c>
      <c r="P6563" s="270" t="s">
        <v>3944</v>
      </c>
      <c r="Q6563" s="270" t="s">
        <v>3944</v>
      </c>
      <c r="R6563" s="270">
        <v>644.39</v>
      </c>
      <c r="S6563" s="270">
        <v>9938.01</v>
      </c>
      <c r="T6563" s="270">
        <v>10582.4</v>
      </c>
      <c r="U6563" s="271" t="s">
        <v>3945</v>
      </c>
      <c r="V6563" s="267" t="s">
        <v>944</v>
      </c>
    </row>
    <row r="6564" spans="1:22" hidden="1" x14ac:dyDescent="0.25">
      <c r="A6564" s="266">
        <v>43772</v>
      </c>
      <c r="B6564" s="267">
        <v>2019</v>
      </c>
      <c r="C6564" s="267">
        <v>2020</v>
      </c>
      <c r="D6564" s="267">
        <v>1</v>
      </c>
      <c r="E6564" s="267">
        <v>1</v>
      </c>
      <c r="F6564" s="267" t="s">
        <v>944</v>
      </c>
      <c r="G6564" s="267" t="s">
        <v>3997</v>
      </c>
      <c r="H6564" s="267" t="s">
        <v>11331</v>
      </c>
      <c r="I6564" s="267" t="s">
        <v>4029</v>
      </c>
      <c r="J6564" s="267" t="s">
        <v>3928</v>
      </c>
      <c r="K6564" s="267">
        <v>6850</v>
      </c>
      <c r="L6564" s="267">
        <v>43800</v>
      </c>
      <c r="M6564" s="267" t="s">
        <v>3935</v>
      </c>
      <c r="N6564" s="267" t="s">
        <v>3944</v>
      </c>
      <c r="O6564" s="267">
        <v>2419.06</v>
      </c>
      <c r="P6564" s="267" t="s">
        <v>3944</v>
      </c>
      <c r="Q6564" s="267" t="s">
        <v>3944</v>
      </c>
      <c r="R6564" s="267">
        <v>2419.06</v>
      </c>
      <c r="S6564" s="267">
        <v>37794.06</v>
      </c>
      <c r="T6564" s="267">
        <v>40213.120000000003</v>
      </c>
      <c r="U6564" s="268" t="s">
        <v>3945</v>
      </c>
      <c r="V6564" s="267" t="s">
        <v>944</v>
      </c>
    </row>
    <row r="6565" spans="1:22" hidden="1" x14ac:dyDescent="0.25">
      <c r="A6565" s="269">
        <v>43772</v>
      </c>
      <c r="B6565" s="270">
        <v>2019</v>
      </c>
      <c r="C6565" s="270">
        <v>2020</v>
      </c>
      <c r="D6565" s="270">
        <v>1</v>
      </c>
      <c r="E6565" s="270">
        <v>1</v>
      </c>
      <c r="F6565" s="270" t="s">
        <v>944</v>
      </c>
      <c r="G6565" s="270" t="s">
        <v>3997</v>
      </c>
      <c r="H6565" s="270" t="s">
        <v>11332</v>
      </c>
      <c r="I6565" s="270" t="s">
        <v>4213</v>
      </c>
      <c r="J6565" s="270" t="s">
        <v>3928</v>
      </c>
      <c r="K6565" s="270">
        <v>6051</v>
      </c>
      <c r="L6565" s="270">
        <v>415400</v>
      </c>
      <c r="M6565" s="270">
        <v>-60</v>
      </c>
      <c r="N6565" s="270" t="s">
        <v>3944</v>
      </c>
      <c r="O6565" s="270">
        <v>1676.4</v>
      </c>
      <c r="P6565" s="270" t="s">
        <v>3944</v>
      </c>
      <c r="Q6565" s="270" t="s">
        <v>3944</v>
      </c>
      <c r="R6565" s="270">
        <v>1676.4</v>
      </c>
      <c r="S6565" s="270">
        <v>26896.080000000002</v>
      </c>
      <c r="T6565" s="270">
        <v>28572.48</v>
      </c>
      <c r="U6565" s="271" t="s">
        <v>3945</v>
      </c>
      <c r="V6565" s="267" t="s">
        <v>944</v>
      </c>
    </row>
    <row r="6566" spans="1:22" hidden="1" x14ac:dyDescent="0.25">
      <c r="A6566" s="266">
        <v>43772</v>
      </c>
      <c r="B6566" s="267">
        <v>2019</v>
      </c>
      <c r="C6566" s="267">
        <v>2020</v>
      </c>
      <c r="D6566" s="267">
        <v>1</v>
      </c>
      <c r="E6566" s="267">
        <v>1</v>
      </c>
      <c r="F6566" s="267" t="s">
        <v>944</v>
      </c>
      <c r="G6566" s="267" t="s">
        <v>3997</v>
      </c>
      <c r="H6566" s="267" t="s">
        <v>11333</v>
      </c>
      <c r="I6566" s="267" t="s">
        <v>3025</v>
      </c>
      <c r="J6566" s="267" t="s">
        <v>3928</v>
      </c>
      <c r="K6566" s="267">
        <v>6473</v>
      </c>
      <c r="L6566" s="267">
        <v>167202</v>
      </c>
      <c r="M6566" s="267" t="s">
        <v>3935</v>
      </c>
      <c r="N6566" s="267" t="s">
        <v>3944</v>
      </c>
      <c r="O6566" s="267">
        <v>1297.07</v>
      </c>
      <c r="P6566" s="267" t="s">
        <v>3944</v>
      </c>
      <c r="Q6566" s="267" t="s">
        <v>3944</v>
      </c>
      <c r="R6566" s="267">
        <v>1297.07</v>
      </c>
      <c r="S6566" s="267">
        <v>18809.490000000002</v>
      </c>
      <c r="T6566" s="267">
        <v>20106.560000000001</v>
      </c>
      <c r="U6566" s="268" t="s">
        <v>3945</v>
      </c>
      <c r="V6566" s="267" t="s">
        <v>944</v>
      </c>
    </row>
    <row r="6567" spans="1:22" hidden="1" x14ac:dyDescent="0.25">
      <c r="A6567" s="269">
        <v>43772</v>
      </c>
      <c r="B6567" s="270">
        <v>2019</v>
      </c>
      <c r="C6567" s="270">
        <v>2020</v>
      </c>
      <c r="D6567" s="270">
        <v>1</v>
      </c>
      <c r="E6567" s="270">
        <v>1</v>
      </c>
      <c r="F6567" s="270" t="s">
        <v>944</v>
      </c>
      <c r="G6567" s="270" t="s">
        <v>3997</v>
      </c>
      <c r="H6567" s="270" t="s">
        <v>11334</v>
      </c>
      <c r="I6567" s="270" t="s">
        <v>3008</v>
      </c>
      <c r="J6567" s="270" t="s">
        <v>3928</v>
      </c>
      <c r="K6567" s="270">
        <v>6460</v>
      </c>
      <c r="L6567" s="270">
        <v>150900</v>
      </c>
      <c r="M6567" s="270" t="s">
        <v>3943</v>
      </c>
      <c r="N6567" s="270" t="s">
        <v>3944</v>
      </c>
      <c r="O6567" s="270">
        <v>2644.92</v>
      </c>
      <c r="P6567" s="270" t="s">
        <v>3944</v>
      </c>
      <c r="Q6567" s="270" t="s">
        <v>3944</v>
      </c>
      <c r="R6567" s="270">
        <v>2644.92</v>
      </c>
      <c r="S6567" s="270">
        <v>39684.68</v>
      </c>
      <c r="T6567" s="270">
        <v>42329.599999999999</v>
      </c>
      <c r="U6567" s="271" t="s">
        <v>3945</v>
      </c>
      <c r="V6567" s="267" t="s">
        <v>944</v>
      </c>
    </row>
    <row r="6568" spans="1:22" hidden="1" x14ac:dyDescent="0.25">
      <c r="A6568" s="266">
        <v>43772</v>
      </c>
      <c r="B6568" s="267">
        <v>2019</v>
      </c>
      <c r="C6568" s="267">
        <v>2020</v>
      </c>
      <c r="D6568" s="267">
        <v>1</v>
      </c>
      <c r="E6568" s="267">
        <v>1</v>
      </c>
      <c r="F6568" s="267" t="s">
        <v>944</v>
      </c>
      <c r="G6568" s="267" t="s">
        <v>3997</v>
      </c>
      <c r="H6568" s="267" t="s">
        <v>11335</v>
      </c>
      <c r="I6568" s="267" t="s">
        <v>956</v>
      </c>
      <c r="J6568" s="267" t="s">
        <v>3928</v>
      </c>
      <c r="K6568" s="267">
        <v>6614</v>
      </c>
      <c r="L6568" s="267">
        <v>80800</v>
      </c>
      <c r="M6568" s="267" t="s">
        <v>3960</v>
      </c>
      <c r="N6568" s="267" t="s">
        <v>3944</v>
      </c>
      <c r="O6568" s="267">
        <v>879.17</v>
      </c>
      <c r="P6568" s="267" t="s">
        <v>3944</v>
      </c>
      <c r="Q6568" s="267" t="s">
        <v>3944</v>
      </c>
      <c r="R6568" s="267">
        <v>879.17</v>
      </c>
      <c r="S6568" s="267">
        <v>12877.95</v>
      </c>
      <c r="T6568" s="267">
        <v>13757.12</v>
      </c>
      <c r="U6568" s="268" t="s">
        <v>3945</v>
      </c>
      <c r="V6568" s="267" t="s">
        <v>944</v>
      </c>
    </row>
    <row r="6569" spans="1:22" hidden="1" x14ac:dyDescent="0.25">
      <c r="A6569" s="269">
        <v>43772</v>
      </c>
      <c r="B6569" s="270">
        <v>2019</v>
      </c>
      <c r="C6569" s="270">
        <v>2020</v>
      </c>
      <c r="D6569" s="270">
        <v>1</v>
      </c>
      <c r="E6569" s="270">
        <v>1</v>
      </c>
      <c r="F6569" s="270" t="s">
        <v>944</v>
      </c>
      <c r="G6569" s="270" t="s">
        <v>3926</v>
      </c>
      <c r="H6569" s="270" t="s">
        <v>11336</v>
      </c>
      <c r="I6569" s="270" t="s">
        <v>4269</v>
      </c>
      <c r="J6569" s="270" t="s">
        <v>3928</v>
      </c>
      <c r="K6569" s="270">
        <v>6119</v>
      </c>
      <c r="L6569" s="270">
        <v>496700</v>
      </c>
      <c r="M6569" s="270" t="s">
        <v>3940</v>
      </c>
      <c r="N6569" s="270" t="s">
        <v>3944</v>
      </c>
      <c r="O6569" s="270">
        <v>1159.76</v>
      </c>
      <c r="P6569" s="270" t="s">
        <v>3944</v>
      </c>
      <c r="Q6569" s="270" t="s">
        <v>3944</v>
      </c>
      <c r="R6569" s="270">
        <v>1159.76</v>
      </c>
      <c r="S6569" s="270">
        <v>14713.84</v>
      </c>
      <c r="T6569" s="270">
        <v>15873.6</v>
      </c>
      <c r="U6569" s="271" t="s">
        <v>3945</v>
      </c>
      <c r="V6569" s="267" t="s">
        <v>944</v>
      </c>
    </row>
    <row r="6570" spans="1:22" hidden="1" x14ac:dyDescent="0.25">
      <c r="A6570" s="266">
        <v>43772</v>
      </c>
      <c r="B6570" s="267">
        <v>2019</v>
      </c>
      <c r="C6570" s="267">
        <v>2020</v>
      </c>
      <c r="D6570" s="267">
        <v>1</v>
      </c>
      <c r="E6570" s="267">
        <v>1</v>
      </c>
      <c r="F6570" s="267" t="s">
        <v>944</v>
      </c>
      <c r="G6570" s="267" t="s">
        <v>3926</v>
      </c>
      <c r="H6570" s="267" t="s">
        <v>11337</v>
      </c>
      <c r="I6570" s="267" t="s">
        <v>4019</v>
      </c>
      <c r="J6570" s="267" t="s">
        <v>3928</v>
      </c>
      <c r="K6570" s="267">
        <v>6704</v>
      </c>
      <c r="L6570" s="267">
        <v>351100</v>
      </c>
      <c r="M6570" s="267">
        <v>-60</v>
      </c>
      <c r="N6570" s="267" t="s">
        <v>3944</v>
      </c>
      <c r="O6570" s="267">
        <v>1412.99</v>
      </c>
      <c r="P6570" s="267" t="s">
        <v>3944</v>
      </c>
      <c r="Q6570" s="267" t="s">
        <v>3944</v>
      </c>
      <c r="R6570" s="267">
        <v>1412.99</v>
      </c>
      <c r="S6570" s="267">
        <v>23984.77</v>
      </c>
      <c r="T6570" s="267">
        <v>25397.759999999998</v>
      </c>
      <c r="U6570" s="268" t="s">
        <v>3945</v>
      </c>
      <c r="V6570" s="267" t="s">
        <v>944</v>
      </c>
    </row>
    <row r="6571" spans="1:22" hidden="1" x14ac:dyDescent="0.25">
      <c r="A6571" s="269">
        <v>43772</v>
      </c>
      <c r="B6571" s="270">
        <v>2019</v>
      </c>
      <c r="C6571" s="270">
        <v>2020</v>
      </c>
      <c r="D6571" s="270">
        <v>1</v>
      </c>
      <c r="E6571" s="270">
        <v>1</v>
      </c>
      <c r="F6571" s="270" t="s">
        <v>944</v>
      </c>
      <c r="G6571" s="270" t="s">
        <v>3926</v>
      </c>
      <c r="H6571" s="270" t="s">
        <v>11338</v>
      </c>
      <c r="I6571" s="270" t="s">
        <v>4029</v>
      </c>
      <c r="J6571" s="270" t="s">
        <v>3928</v>
      </c>
      <c r="K6571" s="270">
        <v>6854</v>
      </c>
      <c r="L6571" s="270">
        <v>43800</v>
      </c>
      <c r="M6571" s="270" t="s">
        <v>3935</v>
      </c>
      <c r="N6571" s="270" t="s">
        <v>3944</v>
      </c>
      <c r="O6571" s="270">
        <v>907.38</v>
      </c>
      <c r="P6571" s="270" t="s">
        <v>3944</v>
      </c>
      <c r="Q6571" s="270" t="s">
        <v>3944</v>
      </c>
      <c r="R6571" s="270">
        <v>907.38</v>
      </c>
      <c r="S6571" s="270">
        <v>14966.22</v>
      </c>
      <c r="T6571" s="270">
        <v>15873.6</v>
      </c>
      <c r="U6571" s="271" t="s">
        <v>3945</v>
      </c>
      <c r="V6571" s="267" t="s">
        <v>944</v>
      </c>
    </row>
    <row r="6572" spans="1:22" hidden="1" x14ac:dyDescent="0.25">
      <c r="A6572" s="266">
        <v>43772</v>
      </c>
      <c r="B6572" s="267">
        <v>2019</v>
      </c>
      <c r="C6572" s="267">
        <v>2020</v>
      </c>
      <c r="D6572" s="267">
        <v>1</v>
      </c>
      <c r="E6572" s="267">
        <v>1</v>
      </c>
      <c r="F6572" s="267" t="s">
        <v>944</v>
      </c>
      <c r="G6572" s="267" t="s">
        <v>3926</v>
      </c>
      <c r="H6572" s="267" t="s">
        <v>11339</v>
      </c>
      <c r="I6572" s="267" t="s">
        <v>956</v>
      </c>
      <c r="J6572" s="267" t="s">
        <v>3928</v>
      </c>
      <c r="K6572" s="267">
        <v>6615</v>
      </c>
      <c r="L6572" s="267">
        <v>80600</v>
      </c>
      <c r="M6572" s="267" t="s">
        <v>3935</v>
      </c>
      <c r="N6572" s="267" t="s">
        <v>3944</v>
      </c>
      <c r="O6572" s="267">
        <v>1287.0899999999999</v>
      </c>
      <c r="P6572" s="267" t="s">
        <v>3944</v>
      </c>
      <c r="Q6572" s="267" t="s">
        <v>3944</v>
      </c>
      <c r="R6572" s="267">
        <v>1287.0899999999999</v>
      </c>
      <c r="S6572" s="267">
        <v>13528.27</v>
      </c>
      <c r="T6572" s="267">
        <v>14815.36</v>
      </c>
      <c r="U6572" s="268" t="s">
        <v>3945</v>
      </c>
      <c r="V6572" s="267" t="s">
        <v>944</v>
      </c>
    </row>
    <row r="6573" spans="1:22" hidden="1" x14ac:dyDescent="0.25">
      <c r="A6573" s="269">
        <v>43772</v>
      </c>
      <c r="B6573" s="270">
        <v>2019</v>
      </c>
      <c r="C6573" s="270">
        <v>2020</v>
      </c>
      <c r="D6573" s="270">
        <v>1</v>
      </c>
      <c r="E6573" s="270">
        <v>1</v>
      </c>
      <c r="F6573" s="270" t="s">
        <v>944</v>
      </c>
      <c r="G6573" s="270" t="s">
        <v>3926</v>
      </c>
      <c r="H6573" s="270" t="s">
        <v>11340</v>
      </c>
      <c r="I6573" s="270" t="s">
        <v>3008</v>
      </c>
      <c r="J6573" s="270" t="s">
        <v>3928</v>
      </c>
      <c r="K6573" s="270">
        <v>6460</v>
      </c>
      <c r="L6573" s="270">
        <v>150900</v>
      </c>
      <c r="M6573" s="270" t="s">
        <v>3943</v>
      </c>
      <c r="N6573" s="270" t="s">
        <v>3944</v>
      </c>
      <c r="O6573" s="270">
        <v>1472.52</v>
      </c>
      <c r="P6573" s="270" t="s">
        <v>3944</v>
      </c>
      <c r="Q6573" s="270" t="s">
        <v>3944</v>
      </c>
      <c r="R6573" s="270">
        <v>1472.52</v>
      </c>
      <c r="S6573" s="270">
        <v>22867</v>
      </c>
      <c r="T6573" s="270">
        <v>24339.52</v>
      </c>
      <c r="U6573" s="271" t="s">
        <v>3945</v>
      </c>
      <c r="V6573" s="267" t="s">
        <v>944</v>
      </c>
    </row>
    <row r="6574" spans="1:22" hidden="1" x14ac:dyDescent="0.25">
      <c r="A6574" s="266">
        <v>43772</v>
      </c>
      <c r="B6574" s="267">
        <v>2019</v>
      </c>
      <c r="C6574" s="267">
        <v>2020</v>
      </c>
      <c r="D6574" s="267">
        <v>1</v>
      </c>
      <c r="E6574" s="267">
        <v>1</v>
      </c>
      <c r="F6574" s="267" t="s">
        <v>944</v>
      </c>
      <c r="G6574" s="267" t="s">
        <v>3926</v>
      </c>
      <c r="H6574" s="267" t="s">
        <v>11341</v>
      </c>
      <c r="I6574" s="267" t="s">
        <v>4839</v>
      </c>
      <c r="J6574" s="267" t="s">
        <v>3928</v>
      </c>
      <c r="K6574" s="267">
        <v>6524</v>
      </c>
      <c r="L6574" s="267">
        <v>161100</v>
      </c>
      <c r="M6574" s="267" t="s">
        <v>3943</v>
      </c>
      <c r="N6574" s="267" t="s">
        <v>3944</v>
      </c>
      <c r="O6574" s="267">
        <v>690.62</v>
      </c>
      <c r="P6574" s="267" t="s">
        <v>3944</v>
      </c>
      <c r="Q6574" s="267" t="s">
        <v>3944</v>
      </c>
      <c r="R6574" s="267">
        <v>690.62</v>
      </c>
      <c r="S6574" s="267">
        <v>12008.26</v>
      </c>
      <c r="T6574" s="267">
        <v>12698.88</v>
      </c>
      <c r="U6574" s="268" t="s">
        <v>3945</v>
      </c>
      <c r="V6574" s="267" t="s">
        <v>944</v>
      </c>
    </row>
    <row r="6575" spans="1:22" hidden="1" x14ac:dyDescent="0.25">
      <c r="A6575" s="269">
        <v>43772</v>
      </c>
      <c r="B6575" s="270">
        <v>2019</v>
      </c>
      <c r="C6575" s="270">
        <v>2020</v>
      </c>
      <c r="D6575" s="270">
        <v>1</v>
      </c>
      <c r="E6575" s="270">
        <v>1</v>
      </c>
      <c r="F6575" s="270" t="s">
        <v>944</v>
      </c>
      <c r="G6575" s="270" t="s">
        <v>3926</v>
      </c>
      <c r="H6575" s="270" t="s">
        <v>11342</v>
      </c>
      <c r="I6575" s="270" t="s">
        <v>4839</v>
      </c>
      <c r="J6575" s="270" t="s">
        <v>3928</v>
      </c>
      <c r="K6575" s="270">
        <v>6524</v>
      </c>
      <c r="L6575" s="270">
        <v>161100</v>
      </c>
      <c r="M6575" s="270" t="s">
        <v>3943</v>
      </c>
      <c r="N6575" s="270" t="s">
        <v>3944</v>
      </c>
      <c r="O6575" s="270">
        <v>2871.19</v>
      </c>
      <c r="P6575" s="270" t="s">
        <v>3944</v>
      </c>
      <c r="Q6575" s="270" t="s">
        <v>3944</v>
      </c>
      <c r="R6575" s="270">
        <v>2871.19</v>
      </c>
      <c r="S6575" s="270">
        <v>43691.37</v>
      </c>
      <c r="T6575" s="270">
        <v>46562.559999999998</v>
      </c>
      <c r="U6575" s="271" t="s">
        <v>3945</v>
      </c>
      <c r="V6575" s="267" t="s">
        <v>944</v>
      </c>
    </row>
    <row r="6576" spans="1:22" hidden="1" x14ac:dyDescent="0.25">
      <c r="A6576" s="266">
        <v>43772</v>
      </c>
      <c r="B6576" s="267">
        <v>2019</v>
      </c>
      <c r="C6576" s="267">
        <v>2020</v>
      </c>
      <c r="D6576" s="267">
        <v>1</v>
      </c>
      <c r="E6576" s="267">
        <v>1</v>
      </c>
      <c r="F6576" s="267" t="s">
        <v>944</v>
      </c>
      <c r="G6576" s="267" t="s">
        <v>3926</v>
      </c>
      <c r="H6576" s="267" t="s">
        <v>11343</v>
      </c>
      <c r="I6576" s="267" t="s">
        <v>3008</v>
      </c>
      <c r="J6576" s="267" t="s">
        <v>3928</v>
      </c>
      <c r="K6576" s="267">
        <v>6460</v>
      </c>
      <c r="L6576" s="267">
        <v>150400</v>
      </c>
      <c r="M6576" s="267" t="s">
        <v>3940</v>
      </c>
      <c r="N6576" s="267" t="s">
        <v>3944</v>
      </c>
      <c r="O6576" s="267">
        <v>1484.14</v>
      </c>
      <c r="P6576" s="267" t="s">
        <v>3944</v>
      </c>
      <c r="Q6576" s="267" t="s">
        <v>3944</v>
      </c>
      <c r="R6576" s="267">
        <v>1484.14</v>
      </c>
      <c r="S6576" s="267">
        <v>21797.14</v>
      </c>
      <c r="T6576" s="267">
        <v>23281.279999999999</v>
      </c>
      <c r="U6576" s="268" t="s">
        <v>3945</v>
      </c>
      <c r="V6576" s="267" t="s">
        <v>944</v>
      </c>
    </row>
    <row r="6577" spans="1:22" hidden="1" x14ac:dyDescent="0.25">
      <c r="A6577" s="269">
        <v>43772</v>
      </c>
      <c r="B6577" s="270">
        <v>2019</v>
      </c>
      <c r="C6577" s="270">
        <v>2020</v>
      </c>
      <c r="D6577" s="270">
        <v>1</v>
      </c>
      <c r="E6577" s="270">
        <v>1</v>
      </c>
      <c r="F6577" s="270" t="s">
        <v>944</v>
      </c>
      <c r="G6577" s="270" t="s">
        <v>3926</v>
      </c>
      <c r="H6577" s="270" t="s">
        <v>11344</v>
      </c>
      <c r="I6577" s="270" t="s">
        <v>953</v>
      </c>
      <c r="J6577" s="270" t="s">
        <v>3928</v>
      </c>
      <c r="K6577" s="270">
        <v>6517</v>
      </c>
      <c r="L6577" s="270">
        <v>165300</v>
      </c>
      <c r="M6577" s="270" t="s">
        <v>3943</v>
      </c>
      <c r="N6577" s="270" t="s">
        <v>3944</v>
      </c>
      <c r="O6577" s="270">
        <v>2287.9899999999998</v>
      </c>
      <c r="P6577" s="270" t="s">
        <v>3944</v>
      </c>
      <c r="Q6577" s="270" t="s">
        <v>3944</v>
      </c>
      <c r="R6577" s="270">
        <v>2287.9899999999998</v>
      </c>
      <c r="S6577" s="270">
        <v>32633.93</v>
      </c>
      <c r="T6577" s="270">
        <v>34921.919999999998</v>
      </c>
      <c r="U6577" s="271" t="s">
        <v>3945</v>
      </c>
      <c r="V6577" s="267" t="s">
        <v>944</v>
      </c>
    </row>
    <row r="6578" spans="1:22" hidden="1" x14ac:dyDescent="0.25">
      <c r="A6578" s="266">
        <v>43772</v>
      </c>
      <c r="B6578" s="267">
        <v>2019</v>
      </c>
      <c r="C6578" s="267">
        <v>2020</v>
      </c>
      <c r="D6578" s="267">
        <v>1</v>
      </c>
      <c r="E6578" s="267">
        <v>1</v>
      </c>
      <c r="F6578" s="267" t="s">
        <v>944</v>
      </c>
      <c r="G6578" s="267" t="s">
        <v>3926</v>
      </c>
      <c r="H6578" s="267" t="s">
        <v>11345</v>
      </c>
      <c r="I6578" s="267" t="s">
        <v>953</v>
      </c>
      <c r="J6578" s="267" t="s">
        <v>3928</v>
      </c>
      <c r="K6578" s="267">
        <v>6514</v>
      </c>
      <c r="L6578" s="267">
        <v>165700</v>
      </c>
      <c r="M6578" s="267" t="s">
        <v>3935</v>
      </c>
      <c r="N6578" s="267" t="s">
        <v>3944</v>
      </c>
      <c r="O6578" s="267">
        <v>970.2</v>
      </c>
      <c r="P6578" s="267" t="s">
        <v>3944</v>
      </c>
      <c r="Q6578" s="267" t="s">
        <v>3944</v>
      </c>
      <c r="R6578" s="267">
        <v>970.2</v>
      </c>
      <c r="S6578" s="267">
        <v>17019.88</v>
      </c>
      <c r="T6578" s="267">
        <v>17990.080000000002</v>
      </c>
      <c r="U6578" s="268" t="s">
        <v>3945</v>
      </c>
      <c r="V6578" s="267" t="s">
        <v>944</v>
      </c>
    </row>
    <row r="6579" spans="1:22" hidden="1" x14ac:dyDescent="0.25">
      <c r="A6579" s="269">
        <v>43772</v>
      </c>
      <c r="B6579" s="270">
        <v>2019</v>
      </c>
      <c r="C6579" s="270">
        <v>2020</v>
      </c>
      <c r="D6579" s="270">
        <v>1</v>
      </c>
      <c r="E6579" s="270">
        <v>1</v>
      </c>
      <c r="F6579" s="270" t="s">
        <v>944</v>
      </c>
      <c r="G6579" s="270" t="s">
        <v>3926</v>
      </c>
      <c r="H6579" s="270" t="s">
        <v>11346</v>
      </c>
      <c r="I6579" s="270" t="s">
        <v>3934</v>
      </c>
      <c r="J6579" s="270" t="s">
        <v>3928</v>
      </c>
      <c r="K6579" s="270">
        <v>6405</v>
      </c>
      <c r="L6579" s="270">
        <v>184300</v>
      </c>
      <c r="M6579" s="270" t="s">
        <v>3960</v>
      </c>
      <c r="N6579" s="270" t="s">
        <v>3944</v>
      </c>
      <c r="O6579" s="270">
        <v>1558.8</v>
      </c>
      <c r="P6579" s="270" t="s">
        <v>3944</v>
      </c>
      <c r="Q6579" s="270" t="s">
        <v>3944</v>
      </c>
      <c r="R6579" s="270">
        <v>1558.8</v>
      </c>
      <c r="S6579" s="270">
        <v>19606</v>
      </c>
      <c r="T6579" s="270">
        <v>21164.799999999999</v>
      </c>
      <c r="U6579" s="271" t="s">
        <v>3945</v>
      </c>
      <c r="V6579" s="267" t="s">
        <v>944</v>
      </c>
    </row>
    <row r="6580" spans="1:22" hidden="1" x14ac:dyDescent="0.25">
      <c r="A6580" s="266">
        <v>43772</v>
      </c>
      <c r="B6580" s="267">
        <v>2019</v>
      </c>
      <c r="C6580" s="267">
        <v>2020</v>
      </c>
      <c r="D6580" s="267">
        <v>1</v>
      </c>
      <c r="E6580" s="267">
        <v>1</v>
      </c>
      <c r="F6580" s="267" t="s">
        <v>944</v>
      </c>
      <c r="G6580" s="267" t="s">
        <v>3926</v>
      </c>
      <c r="H6580" s="267" t="s">
        <v>11347</v>
      </c>
      <c r="I6580" s="267" t="s">
        <v>3999</v>
      </c>
      <c r="J6580" s="267" t="s">
        <v>3928</v>
      </c>
      <c r="K6580" s="267">
        <v>6451</v>
      </c>
      <c r="L6580" s="267">
        <v>170800</v>
      </c>
      <c r="M6580" s="267" t="s">
        <v>3940</v>
      </c>
      <c r="N6580" s="267" t="s">
        <v>3944</v>
      </c>
      <c r="O6580" s="267">
        <v>828.77</v>
      </c>
      <c r="P6580" s="267" t="s">
        <v>3944</v>
      </c>
      <c r="Q6580" s="267" t="s">
        <v>3944</v>
      </c>
      <c r="R6580" s="267">
        <v>828.77</v>
      </c>
      <c r="S6580" s="267">
        <v>10811.87</v>
      </c>
      <c r="T6580" s="267">
        <v>11640.64</v>
      </c>
      <c r="U6580" s="268" t="s">
        <v>3945</v>
      </c>
      <c r="V6580" s="267" t="s">
        <v>944</v>
      </c>
    </row>
    <row r="6581" spans="1:22" hidden="1" x14ac:dyDescent="0.25">
      <c r="A6581" s="269">
        <v>43772</v>
      </c>
      <c r="B6581" s="270">
        <v>2019</v>
      </c>
      <c r="C6581" s="270">
        <v>2020</v>
      </c>
      <c r="D6581" s="270">
        <v>1</v>
      </c>
      <c r="E6581" s="270">
        <v>1</v>
      </c>
      <c r="F6581" s="270" t="s">
        <v>944</v>
      </c>
      <c r="G6581" s="270" t="s">
        <v>3926</v>
      </c>
      <c r="H6581" s="270" t="s">
        <v>11348</v>
      </c>
      <c r="I6581" s="270" t="s">
        <v>4019</v>
      </c>
      <c r="J6581" s="270" t="s">
        <v>3928</v>
      </c>
      <c r="K6581" s="270">
        <v>6708</v>
      </c>
      <c r="L6581" s="270">
        <v>352000</v>
      </c>
      <c r="M6581" s="270" t="s">
        <v>3935</v>
      </c>
      <c r="N6581" s="270" t="s">
        <v>3944</v>
      </c>
      <c r="O6581" s="270">
        <v>1198.96</v>
      </c>
      <c r="P6581" s="270" t="s">
        <v>3944</v>
      </c>
      <c r="Q6581" s="270" t="s">
        <v>3944</v>
      </c>
      <c r="R6581" s="270">
        <v>1198.96</v>
      </c>
      <c r="S6581" s="270">
        <v>21024.080000000002</v>
      </c>
      <c r="T6581" s="270">
        <v>22223.040000000001</v>
      </c>
      <c r="U6581" s="271" t="s">
        <v>3945</v>
      </c>
      <c r="V6581" s="267" t="s">
        <v>944</v>
      </c>
    </row>
    <row r="6582" spans="1:22" hidden="1" x14ac:dyDescent="0.25">
      <c r="A6582" s="266">
        <v>43772</v>
      </c>
      <c r="B6582" s="267">
        <v>2019</v>
      </c>
      <c r="C6582" s="267">
        <v>2020</v>
      </c>
      <c r="D6582" s="267">
        <v>1</v>
      </c>
      <c r="E6582" s="267">
        <v>1</v>
      </c>
      <c r="F6582" s="267" t="s">
        <v>944</v>
      </c>
      <c r="G6582" s="267" t="s">
        <v>3926</v>
      </c>
      <c r="H6582" s="267" t="s">
        <v>11349</v>
      </c>
      <c r="I6582" s="267" t="s">
        <v>4069</v>
      </c>
      <c r="J6582" s="267" t="s">
        <v>3928</v>
      </c>
      <c r="K6582" s="267">
        <v>6903</v>
      </c>
      <c r="L6582" s="267">
        <v>20400</v>
      </c>
      <c r="M6582" s="267" t="s">
        <v>3943</v>
      </c>
      <c r="N6582" s="267" t="s">
        <v>3944</v>
      </c>
      <c r="O6582" s="267">
        <v>4408.6000000000004</v>
      </c>
      <c r="P6582" s="267" t="s">
        <v>3944</v>
      </c>
      <c r="Q6582" s="267" t="s">
        <v>3944</v>
      </c>
      <c r="R6582" s="267">
        <v>4408.6000000000004</v>
      </c>
      <c r="S6582" s="267">
        <v>61202.28</v>
      </c>
      <c r="T6582" s="267">
        <v>65610.880000000005</v>
      </c>
      <c r="U6582" s="268" t="s">
        <v>3945</v>
      </c>
      <c r="V6582" s="267" t="s">
        <v>944</v>
      </c>
    </row>
    <row r="6583" spans="1:22" hidden="1" x14ac:dyDescent="0.25">
      <c r="A6583" s="269">
        <v>43772</v>
      </c>
      <c r="B6583" s="270">
        <v>2019</v>
      </c>
      <c r="C6583" s="270">
        <v>2020</v>
      </c>
      <c r="D6583" s="270">
        <v>1</v>
      </c>
      <c r="E6583" s="270">
        <v>1</v>
      </c>
      <c r="F6583" s="270" t="s">
        <v>944</v>
      </c>
      <c r="G6583" s="270" t="s">
        <v>3926</v>
      </c>
      <c r="H6583" s="270" t="s">
        <v>11350</v>
      </c>
      <c r="I6583" s="270" t="s">
        <v>3008</v>
      </c>
      <c r="J6583" s="270" t="s">
        <v>3928</v>
      </c>
      <c r="K6583" s="270">
        <v>6461</v>
      </c>
      <c r="L6583" s="270">
        <v>150700</v>
      </c>
      <c r="M6583" s="270" t="s">
        <v>3943</v>
      </c>
      <c r="N6583" s="270" t="s">
        <v>3944</v>
      </c>
      <c r="O6583" s="270">
        <v>3189.13</v>
      </c>
      <c r="P6583" s="270" t="s">
        <v>3944</v>
      </c>
      <c r="Q6583" s="270" t="s">
        <v>3944</v>
      </c>
      <c r="R6583" s="270">
        <v>3189.13</v>
      </c>
      <c r="S6583" s="270">
        <v>53955.83</v>
      </c>
      <c r="T6583" s="270">
        <v>57144.959999999999</v>
      </c>
      <c r="U6583" s="271" t="s">
        <v>3945</v>
      </c>
      <c r="V6583" s="267" t="s">
        <v>944</v>
      </c>
    </row>
    <row r="6584" spans="1:22" hidden="1" x14ac:dyDescent="0.25">
      <c r="A6584" s="266">
        <v>43772</v>
      </c>
      <c r="B6584" s="267">
        <v>2019</v>
      </c>
      <c r="C6584" s="267">
        <v>2020</v>
      </c>
      <c r="D6584" s="267">
        <v>1</v>
      </c>
      <c r="E6584" s="267">
        <v>1</v>
      </c>
      <c r="F6584" s="267" t="s">
        <v>944</v>
      </c>
      <c r="G6584" s="267" t="s">
        <v>3926</v>
      </c>
      <c r="H6584" s="267" t="s">
        <v>11351</v>
      </c>
      <c r="I6584" s="267" t="s">
        <v>2981</v>
      </c>
      <c r="J6584" s="267" t="s">
        <v>3928</v>
      </c>
      <c r="K6584" s="267">
        <v>6612</v>
      </c>
      <c r="L6584" s="267">
        <v>105200</v>
      </c>
      <c r="M6584" s="267" t="s">
        <v>3943</v>
      </c>
      <c r="N6584" s="267" t="s">
        <v>3944</v>
      </c>
      <c r="O6584" s="267">
        <v>1696.1</v>
      </c>
      <c r="P6584" s="267" t="s">
        <v>3944</v>
      </c>
      <c r="Q6584" s="267" t="s">
        <v>3944</v>
      </c>
      <c r="R6584" s="267">
        <v>1696.1</v>
      </c>
      <c r="S6584" s="267">
        <v>30051.1</v>
      </c>
      <c r="T6584" s="267">
        <v>31747.200000000001</v>
      </c>
      <c r="U6584" s="268" t="s">
        <v>3945</v>
      </c>
      <c r="V6584" s="267" t="s">
        <v>944</v>
      </c>
    </row>
    <row r="6585" spans="1:22" hidden="1" x14ac:dyDescent="0.25">
      <c r="A6585" s="269">
        <v>43773</v>
      </c>
      <c r="B6585" s="270">
        <v>2019</v>
      </c>
      <c r="C6585" s="270">
        <v>2020</v>
      </c>
      <c r="D6585" s="270">
        <v>1</v>
      </c>
      <c r="E6585" s="270">
        <v>1</v>
      </c>
      <c r="F6585" s="270" t="s">
        <v>944</v>
      </c>
      <c r="G6585" s="270" t="s">
        <v>3926</v>
      </c>
      <c r="H6585" s="270" t="s">
        <v>11352</v>
      </c>
      <c r="I6585" s="270" t="s">
        <v>4035</v>
      </c>
      <c r="J6585" s="270" t="s">
        <v>3928</v>
      </c>
      <c r="K6585" s="270">
        <v>6074</v>
      </c>
      <c r="L6585" s="270">
        <v>487100</v>
      </c>
      <c r="M6585" s="270" t="s">
        <v>3943</v>
      </c>
      <c r="N6585" s="270" t="s">
        <v>11353</v>
      </c>
      <c r="O6585" s="270">
        <v>0</v>
      </c>
      <c r="P6585" s="270" t="s">
        <v>3930</v>
      </c>
      <c r="Q6585" s="270" t="s">
        <v>3930</v>
      </c>
      <c r="R6585" s="270">
        <v>0</v>
      </c>
      <c r="S6585" s="270">
        <v>2640</v>
      </c>
      <c r="T6585" s="270">
        <v>2640</v>
      </c>
      <c r="U6585" s="271" t="s">
        <v>3937</v>
      </c>
      <c r="V6585" s="267" t="s">
        <v>944</v>
      </c>
    </row>
    <row r="6586" spans="1:22" x14ac:dyDescent="0.25">
      <c r="A6586" s="266">
        <v>43773</v>
      </c>
      <c r="B6586" s="267">
        <v>2019</v>
      </c>
      <c r="C6586" s="267">
        <v>2020</v>
      </c>
      <c r="D6586" s="267">
        <v>1</v>
      </c>
      <c r="E6586" s="267">
        <v>1</v>
      </c>
      <c r="F6586" s="267" t="s">
        <v>944</v>
      </c>
      <c r="G6586" s="267" t="s">
        <v>3926</v>
      </c>
      <c r="H6586" s="267" t="s">
        <v>11354</v>
      </c>
      <c r="I6586" s="267" t="s">
        <v>934</v>
      </c>
      <c r="J6586" s="267" t="s">
        <v>3928</v>
      </c>
      <c r="K6586" s="267">
        <v>6606</v>
      </c>
      <c r="L6586" s="267">
        <v>72200</v>
      </c>
      <c r="M6586" s="267">
        <v>-60</v>
      </c>
      <c r="N6586" s="267" t="s">
        <v>5483</v>
      </c>
      <c r="O6586" s="267">
        <v>0</v>
      </c>
      <c r="P6586" s="267" t="s">
        <v>3930</v>
      </c>
      <c r="Q6586" s="267" t="s">
        <v>3930</v>
      </c>
      <c r="R6586" s="267">
        <v>0</v>
      </c>
      <c r="S6586" s="267">
        <v>15000</v>
      </c>
      <c r="T6586" s="267">
        <v>15000</v>
      </c>
      <c r="U6586" s="268" t="s">
        <v>3937</v>
      </c>
      <c r="V6586" s="276" t="s">
        <v>936</v>
      </c>
    </row>
    <row r="6587" spans="1:22" hidden="1" x14ac:dyDescent="0.25">
      <c r="A6587" s="269">
        <v>43773</v>
      </c>
      <c r="B6587" s="270">
        <v>2019</v>
      </c>
      <c r="C6587" s="270">
        <v>2020</v>
      </c>
      <c r="D6587" s="270">
        <v>1</v>
      </c>
      <c r="E6587" s="270">
        <v>1</v>
      </c>
      <c r="F6587" s="270" t="s">
        <v>944</v>
      </c>
      <c r="G6587" s="270" t="s">
        <v>3926</v>
      </c>
      <c r="H6587" s="270" t="s">
        <v>11355</v>
      </c>
      <c r="I6587" s="270" t="s">
        <v>4288</v>
      </c>
      <c r="J6587" s="270" t="s">
        <v>3928</v>
      </c>
      <c r="K6587" s="270">
        <v>6883</v>
      </c>
      <c r="L6587" s="270">
        <v>55100</v>
      </c>
      <c r="M6587" s="270" t="s">
        <v>3943</v>
      </c>
      <c r="N6587" s="270" t="s">
        <v>3944</v>
      </c>
      <c r="O6587" s="270">
        <v>7644</v>
      </c>
      <c r="P6587" s="270" t="s">
        <v>3944</v>
      </c>
      <c r="Q6587" s="270" t="s">
        <v>3944</v>
      </c>
      <c r="R6587" s="270">
        <v>7644</v>
      </c>
      <c r="S6587" s="270">
        <v>67458.600000000006</v>
      </c>
      <c r="T6587" s="270">
        <v>75102.600000000006</v>
      </c>
      <c r="U6587" s="271" t="s">
        <v>3945</v>
      </c>
      <c r="V6587" s="267" t="s">
        <v>944</v>
      </c>
    </row>
    <row r="6588" spans="1:22" hidden="1" x14ac:dyDescent="0.25">
      <c r="A6588" s="266">
        <v>43773</v>
      </c>
      <c r="B6588" s="267">
        <v>2019</v>
      </c>
      <c r="C6588" s="267">
        <v>2020</v>
      </c>
      <c r="D6588" s="267">
        <v>1</v>
      </c>
      <c r="E6588" s="267">
        <v>1</v>
      </c>
      <c r="F6588" s="267" t="s">
        <v>944</v>
      </c>
      <c r="G6588" s="267" t="s">
        <v>3926</v>
      </c>
      <c r="H6588" s="267" t="s">
        <v>11356</v>
      </c>
      <c r="I6588" s="267" t="s">
        <v>4323</v>
      </c>
      <c r="J6588" s="267" t="s">
        <v>3928</v>
      </c>
      <c r="K6588" s="267">
        <v>6385</v>
      </c>
      <c r="L6588" s="267">
        <v>693300</v>
      </c>
      <c r="M6588" s="267" t="s">
        <v>3935</v>
      </c>
      <c r="N6588" s="267" t="s">
        <v>3944</v>
      </c>
      <c r="O6588" s="267">
        <v>3591</v>
      </c>
      <c r="P6588" s="267" t="s">
        <v>3944</v>
      </c>
      <c r="Q6588" s="267" t="s">
        <v>3944</v>
      </c>
      <c r="R6588" s="267">
        <v>3591</v>
      </c>
      <c r="S6588" s="267">
        <v>25803</v>
      </c>
      <c r="T6588" s="267">
        <v>29394</v>
      </c>
      <c r="U6588" s="268" t="s">
        <v>3945</v>
      </c>
      <c r="V6588" s="267" t="s">
        <v>944</v>
      </c>
    </row>
    <row r="6589" spans="1:22" hidden="1" x14ac:dyDescent="0.25">
      <c r="A6589" s="269">
        <v>43773</v>
      </c>
      <c r="B6589" s="270">
        <v>2019</v>
      </c>
      <c r="C6589" s="270">
        <v>2020</v>
      </c>
      <c r="D6589" s="270">
        <v>1</v>
      </c>
      <c r="E6589" s="270">
        <v>1</v>
      </c>
      <c r="F6589" s="270" t="s">
        <v>944</v>
      </c>
      <c r="G6589" s="270" t="s">
        <v>3926</v>
      </c>
      <c r="H6589" s="270" t="s">
        <v>11357</v>
      </c>
      <c r="I6589" s="270" t="s">
        <v>956</v>
      </c>
      <c r="J6589" s="270" t="s">
        <v>3928</v>
      </c>
      <c r="K6589" s="270">
        <v>6614</v>
      </c>
      <c r="L6589" s="270">
        <v>81000</v>
      </c>
      <c r="M6589" s="270" t="s">
        <v>3940</v>
      </c>
      <c r="N6589" s="270" t="s">
        <v>3944</v>
      </c>
      <c r="O6589" s="270">
        <v>5503</v>
      </c>
      <c r="P6589" s="270" t="s">
        <v>3944</v>
      </c>
      <c r="Q6589" s="270" t="s">
        <v>3944</v>
      </c>
      <c r="R6589" s="270">
        <v>5503</v>
      </c>
      <c r="S6589" s="270">
        <v>40146</v>
      </c>
      <c r="T6589" s="270">
        <v>45649</v>
      </c>
      <c r="U6589" s="271" t="s">
        <v>3945</v>
      </c>
      <c r="V6589" s="267" t="s">
        <v>944</v>
      </c>
    </row>
    <row r="6590" spans="1:22" hidden="1" x14ac:dyDescent="0.25">
      <c r="A6590" s="266">
        <v>43773</v>
      </c>
      <c r="B6590" s="267">
        <v>2019</v>
      </c>
      <c r="C6590" s="267">
        <v>2020</v>
      </c>
      <c r="D6590" s="267">
        <v>1</v>
      </c>
      <c r="E6590" s="267">
        <v>1</v>
      </c>
      <c r="F6590" s="267" t="s">
        <v>944</v>
      </c>
      <c r="G6590" s="267" t="s">
        <v>3926</v>
      </c>
      <c r="H6590" s="267" t="s">
        <v>11358</v>
      </c>
      <c r="I6590" s="267" t="s">
        <v>4213</v>
      </c>
      <c r="J6590" s="267" t="s">
        <v>3928</v>
      </c>
      <c r="K6590" s="267">
        <v>6051</v>
      </c>
      <c r="L6590" s="267">
        <v>416200</v>
      </c>
      <c r="M6590" s="267">
        <v>-60</v>
      </c>
      <c r="N6590" s="267" t="s">
        <v>3944</v>
      </c>
      <c r="O6590" s="267">
        <v>1625</v>
      </c>
      <c r="P6590" s="267" t="s">
        <v>3944</v>
      </c>
      <c r="Q6590" s="267" t="s">
        <v>3944</v>
      </c>
      <c r="R6590" s="267">
        <v>1625</v>
      </c>
      <c r="S6590" s="267">
        <v>14463.4</v>
      </c>
      <c r="T6590" s="267">
        <v>16088.4</v>
      </c>
      <c r="U6590" s="268" t="s">
        <v>3945</v>
      </c>
      <c r="V6590" s="267" t="s">
        <v>944</v>
      </c>
    </row>
    <row r="6591" spans="1:22" hidden="1" x14ac:dyDescent="0.25">
      <c r="A6591" s="269">
        <v>43773</v>
      </c>
      <c r="B6591" s="270">
        <v>2019</v>
      </c>
      <c r="C6591" s="270">
        <v>2020</v>
      </c>
      <c r="D6591" s="270">
        <v>1</v>
      </c>
      <c r="E6591" s="270">
        <v>1</v>
      </c>
      <c r="F6591" s="270" t="s">
        <v>944</v>
      </c>
      <c r="G6591" s="270" t="s">
        <v>3926</v>
      </c>
      <c r="H6591" s="270" t="s">
        <v>11359</v>
      </c>
      <c r="I6591" s="270" t="s">
        <v>4147</v>
      </c>
      <c r="J6591" s="270" t="s">
        <v>3928</v>
      </c>
      <c r="K6591" s="270">
        <v>6109</v>
      </c>
      <c r="L6591" s="270">
        <v>492100</v>
      </c>
      <c r="M6591" s="270" t="s">
        <v>3960</v>
      </c>
      <c r="N6591" s="270" t="s">
        <v>3944</v>
      </c>
      <c r="O6591" s="270">
        <v>1419</v>
      </c>
      <c r="P6591" s="270" t="s">
        <v>3944</v>
      </c>
      <c r="Q6591" s="270" t="s">
        <v>3944</v>
      </c>
      <c r="R6591" s="270">
        <v>1419</v>
      </c>
      <c r="S6591" s="270">
        <v>13401</v>
      </c>
      <c r="T6591" s="270">
        <v>14820</v>
      </c>
      <c r="U6591" s="271" t="s">
        <v>3945</v>
      </c>
      <c r="V6591" s="267" t="s">
        <v>944</v>
      </c>
    </row>
    <row r="6592" spans="1:22" hidden="1" x14ac:dyDescent="0.25">
      <c r="A6592" s="266">
        <v>43773</v>
      </c>
      <c r="B6592" s="267">
        <v>2019</v>
      </c>
      <c r="C6592" s="267">
        <v>2020</v>
      </c>
      <c r="D6592" s="267">
        <v>1</v>
      </c>
      <c r="E6592" s="267">
        <v>1</v>
      </c>
      <c r="F6592" s="267" t="s">
        <v>944</v>
      </c>
      <c r="G6592" s="267" t="s">
        <v>3926</v>
      </c>
      <c r="H6592" s="267" t="s">
        <v>11360</v>
      </c>
      <c r="I6592" s="267" t="s">
        <v>5147</v>
      </c>
      <c r="J6592" s="267" t="s">
        <v>3928</v>
      </c>
      <c r="K6592" s="267">
        <v>6468</v>
      </c>
      <c r="L6592" s="267">
        <v>100200</v>
      </c>
      <c r="M6592" s="267" t="s">
        <v>3943</v>
      </c>
      <c r="N6592" s="267" t="s">
        <v>3944</v>
      </c>
      <c r="O6592" s="267">
        <v>4065</v>
      </c>
      <c r="P6592" s="267" t="s">
        <v>3944</v>
      </c>
      <c r="Q6592" s="267" t="s">
        <v>3944</v>
      </c>
      <c r="R6592" s="267">
        <v>4065</v>
      </c>
      <c r="S6592" s="267">
        <v>29030.67</v>
      </c>
      <c r="T6592" s="267">
        <v>33095.67</v>
      </c>
      <c r="U6592" s="268" t="s">
        <v>3945</v>
      </c>
      <c r="V6592" s="267" t="s">
        <v>944</v>
      </c>
    </row>
    <row r="6593" spans="1:22" hidden="1" x14ac:dyDescent="0.25">
      <c r="A6593" s="269">
        <v>43773</v>
      </c>
      <c r="B6593" s="270">
        <v>2019</v>
      </c>
      <c r="C6593" s="270">
        <v>2020</v>
      </c>
      <c r="D6593" s="270">
        <v>1</v>
      </c>
      <c r="E6593" s="270">
        <v>1</v>
      </c>
      <c r="F6593" s="270" t="s">
        <v>944</v>
      </c>
      <c r="G6593" s="270" t="s">
        <v>3926</v>
      </c>
      <c r="H6593" s="270" t="s">
        <v>11361</v>
      </c>
      <c r="I6593" s="270" t="s">
        <v>4042</v>
      </c>
      <c r="J6593" s="270" t="s">
        <v>3928</v>
      </c>
      <c r="K6593" s="270">
        <v>6382</v>
      </c>
      <c r="L6593" s="270">
        <v>870501</v>
      </c>
      <c r="M6593" s="270" t="s">
        <v>3935</v>
      </c>
      <c r="N6593" s="270" t="s">
        <v>3944</v>
      </c>
      <c r="O6593" s="270">
        <v>4107</v>
      </c>
      <c r="P6593" s="270" t="s">
        <v>3944</v>
      </c>
      <c r="Q6593" s="270" t="s">
        <v>3944</v>
      </c>
      <c r="R6593" s="270">
        <v>4107</v>
      </c>
      <c r="S6593" s="270">
        <v>32576</v>
      </c>
      <c r="T6593" s="270">
        <v>36683</v>
      </c>
      <c r="U6593" s="271" t="s">
        <v>3945</v>
      </c>
      <c r="V6593" s="267" t="s">
        <v>944</v>
      </c>
    </row>
    <row r="6594" spans="1:22" hidden="1" x14ac:dyDescent="0.25">
      <c r="A6594" s="266">
        <v>43773</v>
      </c>
      <c r="B6594" s="267">
        <v>2019</v>
      </c>
      <c r="C6594" s="267">
        <v>2020</v>
      </c>
      <c r="D6594" s="267">
        <v>1</v>
      </c>
      <c r="E6594" s="267">
        <v>1</v>
      </c>
      <c r="F6594" s="267" t="s">
        <v>944</v>
      </c>
      <c r="G6594" s="267" t="s">
        <v>3926</v>
      </c>
      <c r="H6594" s="267" t="s">
        <v>11362</v>
      </c>
      <c r="I6594" s="267" t="s">
        <v>4003</v>
      </c>
      <c r="J6594" s="267" t="s">
        <v>3928</v>
      </c>
      <c r="K6594" s="267">
        <v>6354</v>
      </c>
      <c r="L6594" s="267">
        <v>907200</v>
      </c>
      <c r="M6594" s="267" t="s">
        <v>3940</v>
      </c>
      <c r="N6594" s="267" t="s">
        <v>3944</v>
      </c>
      <c r="O6594" s="267">
        <v>5801</v>
      </c>
      <c r="P6594" s="267" t="s">
        <v>3944</v>
      </c>
      <c r="Q6594" s="267" t="s">
        <v>3944</v>
      </c>
      <c r="R6594" s="267">
        <v>5801</v>
      </c>
      <c r="S6594" s="267">
        <v>37669</v>
      </c>
      <c r="T6594" s="267">
        <v>43470</v>
      </c>
      <c r="U6594" s="268" t="s">
        <v>3945</v>
      </c>
      <c r="V6594" s="267" t="s">
        <v>944</v>
      </c>
    </row>
    <row r="6595" spans="1:22" hidden="1" x14ac:dyDescent="0.25">
      <c r="A6595" s="269">
        <v>43773</v>
      </c>
      <c r="B6595" s="270">
        <v>2019</v>
      </c>
      <c r="C6595" s="270">
        <v>2020</v>
      </c>
      <c r="D6595" s="270">
        <v>1</v>
      </c>
      <c r="E6595" s="270">
        <v>1</v>
      </c>
      <c r="F6595" s="270" t="s">
        <v>944</v>
      </c>
      <c r="G6595" s="270" t="s">
        <v>3926</v>
      </c>
      <c r="H6595" s="270" t="s">
        <v>11363</v>
      </c>
      <c r="I6595" s="270" t="s">
        <v>4042</v>
      </c>
      <c r="J6595" s="270" t="s">
        <v>3928</v>
      </c>
      <c r="K6595" s="270">
        <v>6370</v>
      </c>
      <c r="L6595" s="270">
        <v>695202</v>
      </c>
      <c r="M6595" s="270" t="s">
        <v>3935</v>
      </c>
      <c r="N6595" s="270" t="s">
        <v>3944</v>
      </c>
      <c r="O6595" s="270">
        <v>3249</v>
      </c>
      <c r="P6595" s="270" t="s">
        <v>3944</v>
      </c>
      <c r="Q6595" s="270" t="s">
        <v>3944</v>
      </c>
      <c r="R6595" s="270">
        <v>3249</v>
      </c>
      <c r="S6595" s="270">
        <v>26991</v>
      </c>
      <c r="T6595" s="270">
        <v>30240</v>
      </c>
      <c r="U6595" s="271" t="s">
        <v>3945</v>
      </c>
      <c r="V6595" s="267" t="s">
        <v>944</v>
      </c>
    </row>
    <row r="6596" spans="1:22" hidden="1" x14ac:dyDescent="0.25">
      <c r="A6596" s="266">
        <v>43773</v>
      </c>
      <c r="B6596" s="267">
        <v>2019</v>
      </c>
      <c r="C6596" s="267">
        <v>2020</v>
      </c>
      <c r="D6596" s="267">
        <v>1</v>
      </c>
      <c r="E6596" s="267">
        <v>1</v>
      </c>
      <c r="F6596" s="267" t="s">
        <v>944</v>
      </c>
      <c r="G6596" s="267" t="s">
        <v>3926</v>
      </c>
      <c r="H6596" s="267" t="s">
        <v>11364</v>
      </c>
      <c r="I6596" s="267" t="s">
        <v>6268</v>
      </c>
      <c r="J6596" s="267" t="s">
        <v>3928</v>
      </c>
      <c r="K6596" s="267">
        <v>6371</v>
      </c>
      <c r="L6596" s="267">
        <v>660102</v>
      </c>
      <c r="M6596" s="267" t="s">
        <v>3960</v>
      </c>
      <c r="N6596" s="267" t="s">
        <v>3944</v>
      </c>
      <c r="O6596" s="267">
        <v>2489</v>
      </c>
      <c r="P6596" s="267" t="s">
        <v>3944</v>
      </c>
      <c r="Q6596" s="267" t="s">
        <v>3944</v>
      </c>
      <c r="R6596" s="267">
        <v>2489</v>
      </c>
      <c r="S6596" s="267">
        <v>33766.6</v>
      </c>
      <c r="T6596" s="267">
        <v>36255.599999999999</v>
      </c>
      <c r="U6596" s="268" t="s">
        <v>3945</v>
      </c>
      <c r="V6596" s="267" t="s">
        <v>944</v>
      </c>
    </row>
    <row r="6597" spans="1:22" x14ac:dyDescent="0.25">
      <c r="A6597" s="269">
        <v>43773</v>
      </c>
      <c r="B6597" s="270">
        <v>2019</v>
      </c>
      <c r="C6597" s="270">
        <v>2020</v>
      </c>
      <c r="D6597" s="270">
        <v>1</v>
      </c>
      <c r="E6597" s="270">
        <v>1</v>
      </c>
      <c r="F6597" s="270" t="s">
        <v>944</v>
      </c>
      <c r="G6597" s="270" t="s">
        <v>3926</v>
      </c>
      <c r="H6597" s="270" t="s">
        <v>11365</v>
      </c>
      <c r="I6597" s="270" t="s">
        <v>943</v>
      </c>
      <c r="J6597" s="270" t="s">
        <v>3928</v>
      </c>
      <c r="K6597" s="270">
        <v>6513</v>
      </c>
      <c r="L6597" s="270">
        <v>142300</v>
      </c>
      <c r="M6597" s="270">
        <v>-60</v>
      </c>
      <c r="N6597" s="270" t="s">
        <v>3944</v>
      </c>
      <c r="O6597" s="270">
        <v>2164</v>
      </c>
      <c r="P6597" s="270" t="s">
        <v>3944</v>
      </c>
      <c r="Q6597" s="270" t="s">
        <v>3944</v>
      </c>
      <c r="R6597" s="270">
        <v>2164</v>
      </c>
      <c r="S6597" s="270">
        <v>20725.939999999999</v>
      </c>
      <c r="T6597" s="270">
        <v>22889.94</v>
      </c>
      <c r="U6597" s="271" t="s">
        <v>3945</v>
      </c>
      <c r="V6597" s="276" t="s">
        <v>936</v>
      </c>
    </row>
    <row r="6598" spans="1:22" hidden="1" x14ac:dyDescent="0.25">
      <c r="A6598" s="266">
        <v>43773</v>
      </c>
      <c r="B6598" s="267">
        <v>2019</v>
      </c>
      <c r="C6598" s="267">
        <v>2020</v>
      </c>
      <c r="D6598" s="267">
        <v>1</v>
      </c>
      <c r="E6598" s="267">
        <v>1</v>
      </c>
      <c r="F6598" s="267" t="s">
        <v>944</v>
      </c>
      <c r="G6598" s="267" t="s">
        <v>3926</v>
      </c>
      <c r="H6598" s="267" t="s">
        <v>11366</v>
      </c>
      <c r="I6598" s="267" t="s">
        <v>4011</v>
      </c>
      <c r="J6598" s="267" t="s">
        <v>3928</v>
      </c>
      <c r="K6598" s="267">
        <v>6002</v>
      </c>
      <c r="L6598" s="267">
        <v>471400</v>
      </c>
      <c r="M6598" s="267" t="s">
        <v>3943</v>
      </c>
      <c r="N6598" s="267" t="s">
        <v>3944</v>
      </c>
      <c r="O6598" s="267">
        <v>5474</v>
      </c>
      <c r="P6598" s="267" t="s">
        <v>3944</v>
      </c>
      <c r="Q6598" s="267" t="s">
        <v>3944</v>
      </c>
      <c r="R6598" s="267">
        <v>5474</v>
      </c>
      <c r="S6598" s="267">
        <v>39648</v>
      </c>
      <c r="T6598" s="267">
        <v>45122</v>
      </c>
      <c r="U6598" s="268" t="s">
        <v>3945</v>
      </c>
      <c r="V6598" s="267" t="s">
        <v>944</v>
      </c>
    </row>
    <row r="6599" spans="1:22" hidden="1" x14ac:dyDescent="0.25">
      <c r="A6599" s="269">
        <v>43773</v>
      </c>
      <c r="B6599" s="270">
        <v>2019</v>
      </c>
      <c r="C6599" s="270">
        <v>2020</v>
      </c>
      <c r="D6599" s="270">
        <v>1</v>
      </c>
      <c r="E6599" s="270">
        <v>1</v>
      </c>
      <c r="F6599" s="270" t="s">
        <v>944</v>
      </c>
      <c r="G6599" s="270" t="s">
        <v>3926</v>
      </c>
      <c r="H6599" s="270" t="s">
        <v>11367</v>
      </c>
      <c r="I6599" s="270" t="s">
        <v>4029</v>
      </c>
      <c r="J6599" s="270" t="s">
        <v>3928</v>
      </c>
      <c r="K6599" s="270">
        <v>6851</v>
      </c>
      <c r="L6599" s="270">
        <v>42500</v>
      </c>
      <c r="M6599" s="270" t="s">
        <v>3943</v>
      </c>
      <c r="N6599" s="270" t="s">
        <v>3944</v>
      </c>
      <c r="O6599" s="270">
        <v>1692</v>
      </c>
      <c r="P6599" s="270" t="s">
        <v>3944</v>
      </c>
      <c r="Q6599" s="270" t="s">
        <v>3944</v>
      </c>
      <c r="R6599" s="270">
        <v>1692</v>
      </c>
      <c r="S6599" s="270">
        <v>19821.330000000002</v>
      </c>
      <c r="T6599" s="270">
        <v>21513.33</v>
      </c>
      <c r="U6599" s="271" t="s">
        <v>3945</v>
      </c>
      <c r="V6599" s="267" t="s">
        <v>944</v>
      </c>
    </row>
    <row r="6600" spans="1:22" hidden="1" x14ac:dyDescent="0.25">
      <c r="A6600" s="266">
        <v>43773</v>
      </c>
      <c r="B6600" s="267">
        <v>2019</v>
      </c>
      <c r="C6600" s="267">
        <v>2020</v>
      </c>
      <c r="D6600" s="267">
        <v>1</v>
      </c>
      <c r="E6600" s="267">
        <v>1</v>
      </c>
      <c r="F6600" s="267" t="s">
        <v>944</v>
      </c>
      <c r="G6600" s="267" t="s">
        <v>3926</v>
      </c>
      <c r="H6600" s="267" t="s">
        <v>11368</v>
      </c>
      <c r="I6600" s="267" t="s">
        <v>4232</v>
      </c>
      <c r="J6600" s="267" t="s">
        <v>3928</v>
      </c>
      <c r="K6600" s="267">
        <v>6483</v>
      </c>
      <c r="L6600" s="267">
        <v>130101</v>
      </c>
      <c r="M6600" s="267" t="s">
        <v>3940</v>
      </c>
      <c r="N6600" s="267" t="s">
        <v>3944</v>
      </c>
      <c r="O6600" s="267">
        <v>2383</v>
      </c>
      <c r="P6600" s="267" t="s">
        <v>3944</v>
      </c>
      <c r="Q6600" s="267" t="s">
        <v>3944</v>
      </c>
      <c r="R6600" s="267">
        <v>2383</v>
      </c>
      <c r="S6600" s="267">
        <v>17073.5</v>
      </c>
      <c r="T6600" s="267">
        <v>19456.5</v>
      </c>
      <c r="U6600" s="268" t="s">
        <v>3945</v>
      </c>
      <c r="V6600" s="267" t="s">
        <v>944</v>
      </c>
    </row>
    <row r="6601" spans="1:22" hidden="1" x14ac:dyDescent="0.25">
      <c r="A6601" s="269">
        <v>43773</v>
      </c>
      <c r="B6601" s="270">
        <v>2019</v>
      </c>
      <c r="C6601" s="270">
        <v>2020</v>
      </c>
      <c r="D6601" s="270">
        <v>1</v>
      </c>
      <c r="E6601" s="270">
        <v>1</v>
      </c>
      <c r="F6601" s="270" t="s">
        <v>944</v>
      </c>
      <c r="G6601" s="270" t="s">
        <v>3926</v>
      </c>
      <c r="H6601" s="270" t="s">
        <v>11369</v>
      </c>
      <c r="I6601" s="270" t="s">
        <v>943</v>
      </c>
      <c r="J6601" s="270" t="s">
        <v>3928</v>
      </c>
      <c r="K6601" s="270">
        <v>6512</v>
      </c>
      <c r="L6601" s="270">
        <v>142800</v>
      </c>
      <c r="M6601" s="270" t="s">
        <v>3940</v>
      </c>
      <c r="N6601" s="270" t="s">
        <v>3944</v>
      </c>
      <c r="O6601" s="270">
        <v>3537</v>
      </c>
      <c r="P6601" s="270" t="s">
        <v>3944</v>
      </c>
      <c r="Q6601" s="270" t="s">
        <v>3944</v>
      </c>
      <c r="R6601" s="270">
        <v>3537</v>
      </c>
      <c r="S6601" s="270">
        <v>54774</v>
      </c>
      <c r="T6601" s="270">
        <v>58311</v>
      </c>
      <c r="U6601" s="271" t="s">
        <v>3945</v>
      </c>
      <c r="V6601" s="267" t="s">
        <v>944</v>
      </c>
    </row>
    <row r="6602" spans="1:22" hidden="1" x14ac:dyDescent="0.25">
      <c r="A6602" s="266">
        <v>43773</v>
      </c>
      <c r="B6602" s="267">
        <v>2019</v>
      </c>
      <c r="C6602" s="267">
        <v>2020</v>
      </c>
      <c r="D6602" s="267">
        <v>1</v>
      </c>
      <c r="E6602" s="267">
        <v>1</v>
      </c>
      <c r="F6602" s="267" t="s">
        <v>944</v>
      </c>
      <c r="G6602" s="267" t="s">
        <v>3926</v>
      </c>
      <c r="H6602" s="267" t="s">
        <v>11370</v>
      </c>
      <c r="I6602" s="267" t="s">
        <v>2985</v>
      </c>
      <c r="J6602" s="267" t="s">
        <v>3928</v>
      </c>
      <c r="K6602" s="267">
        <v>6824</v>
      </c>
      <c r="L6602" s="267">
        <v>61500</v>
      </c>
      <c r="M6602" s="267" t="s">
        <v>3943</v>
      </c>
      <c r="N6602" s="267" t="s">
        <v>3944</v>
      </c>
      <c r="O6602" s="267">
        <v>1993</v>
      </c>
      <c r="P6602" s="267" t="s">
        <v>3944</v>
      </c>
      <c r="Q6602" s="267" t="s">
        <v>3944</v>
      </c>
      <c r="R6602" s="267">
        <v>1993</v>
      </c>
      <c r="S6602" s="267">
        <v>25676.77</v>
      </c>
      <c r="T6602" s="267">
        <v>27669.77</v>
      </c>
      <c r="U6602" s="268" t="s">
        <v>3945</v>
      </c>
      <c r="V6602" s="267" t="s">
        <v>944</v>
      </c>
    </row>
    <row r="6603" spans="1:22" hidden="1" x14ac:dyDescent="0.25">
      <c r="A6603" s="269">
        <v>43773</v>
      </c>
      <c r="B6603" s="270">
        <v>2019</v>
      </c>
      <c r="C6603" s="270">
        <v>2020</v>
      </c>
      <c r="D6603" s="270">
        <v>1</v>
      </c>
      <c r="E6603" s="270">
        <v>1</v>
      </c>
      <c r="F6603" s="270" t="s">
        <v>944</v>
      </c>
      <c r="G6603" s="270" t="s">
        <v>3926</v>
      </c>
      <c r="H6603" s="270" t="s">
        <v>11371</v>
      </c>
      <c r="I6603" s="270" t="s">
        <v>956</v>
      </c>
      <c r="J6603" s="270" t="s">
        <v>3928</v>
      </c>
      <c r="K6603" s="270">
        <v>6614</v>
      </c>
      <c r="L6603" s="270">
        <v>81200</v>
      </c>
      <c r="M6603" s="270" t="s">
        <v>3943</v>
      </c>
      <c r="N6603" s="270" t="s">
        <v>3944</v>
      </c>
      <c r="O6603" s="270">
        <v>2384</v>
      </c>
      <c r="P6603" s="270" t="s">
        <v>3944</v>
      </c>
      <c r="Q6603" s="270" t="s">
        <v>3944</v>
      </c>
      <c r="R6603" s="270">
        <v>2384</v>
      </c>
      <c r="S6603" s="270">
        <v>24112</v>
      </c>
      <c r="T6603" s="270">
        <v>26496</v>
      </c>
      <c r="U6603" s="271" t="s">
        <v>3945</v>
      </c>
      <c r="V6603" s="267" t="s">
        <v>944</v>
      </c>
    </row>
    <row r="6604" spans="1:22" hidden="1" x14ac:dyDescent="0.25">
      <c r="A6604" s="266">
        <v>43773</v>
      </c>
      <c r="B6604" s="267">
        <v>2019</v>
      </c>
      <c r="C6604" s="267">
        <v>2020</v>
      </c>
      <c r="D6604" s="267">
        <v>1</v>
      </c>
      <c r="E6604" s="267">
        <v>1</v>
      </c>
      <c r="F6604" s="267" t="s">
        <v>944</v>
      </c>
      <c r="G6604" s="267" t="s">
        <v>3926</v>
      </c>
      <c r="H6604" s="267" t="s">
        <v>11372</v>
      </c>
      <c r="I6604" s="267" t="s">
        <v>2987</v>
      </c>
      <c r="J6604" s="267" t="s">
        <v>3928</v>
      </c>
      <c r="K6604" s="267">
        <v>6611</v>
      </c>
      <c r="L6604" s="267">
        <v>90700</v>
      </c>
      <c r="M6604" s="267" t="s">
        <v>3943</v>
      </c>
      <c r="N6604" s="267" t="s">
        <v>3944</v>
      </c>
      <c r="O6604" s="267">
        <v>4485</v>
      </c>
      <c r="P6604" s="267" t="s">
        <v>3944</v>
      </c>
      <c r="Q6604" s="267" t="s">
        <v>3944</v>
      </c>
      <c r="R6604" s="267">
        <v>4485</v>
      </c>
      <c r="S6604" s="267">
        <v>29732.28</v>
      </c>
      <c r="T6604" s="267">
        <v>34217.279999999999</v>
      </c>
      <c r="U6604" s="268" t="s">
        <v>3945</v>
      </c>
      <c r="V6604" s="267" t="s">
        <v>944</v>
      </c>
    </row>
    <row r="6605" spans="1:22" hidden="1" x14ac:dyDescent="0.25">
      <c r="A6605" s="269">
        <v>43773</v>
      </c>
      <c r="B6605" s="270">
        <v>2019</v>
      </c>
      <c r="C6605" s="270">
        <v>2020</v>
      </c>
      <c r="D6605" s="270">
        <v>1</v>
      </c>
      <c r="E6605" s="270">
        <v>1</v>
      </c>
      <c r="F6605" s="270" t="s">
        <v>944</v>
      </c>
      <c r="G6605" s="270" t="s">
        <v>3926</v>
      </c>
      <c r="H6605" s="270" t="s">
        <v>11373</v>
      </c>
      <c r="I6605" s="270" t="s">
        <v>956</v>
      </c>
      <c r="J6605" s="270" t="s">
        <v>3928</v>
      </c>
      <c r="K6605" s="270">
        <v>6614</v>
      </c>
      <c r="L6605" s="270">
        <v>80900</v>
      </c>
      <c r="M6605" s="270" t="s">
        <v>3960</v>
      </c>
      <c r="N6605" s="270" t="s">
        <v>3944</v>
      </c>
      <c r="O6605" s="270">
        <v>1381.66</v>
      </c>
      <c r="P6605" s="270" t="s">
        <v>3944</v>
      </c>
      <c r="Q6605" s="270" t="s">
        <v>3944</v>
      </c>
      <c r="R6605" s="270">
        <v>1381.66</v>
      </c>
      <c r="S6605" s="270">
        <v>20558.5</v>
      </c>
      <c r="T6605" s="270">
        <v>21940.16</v>
      </c>
      <c r="U6605" s="271" t="s">
        <v>3945</v>
      </c>
      <c r="V6605" s="267" t="s">
        <v>944</v>
      </c>
    </row>
    <row r="6606" spans="1:22" hidden="1" x14ac:dyDescent="0.25">
      <c r="A6606" s="266">
        <v>43773</v>
      </c>
      <c r="B6606" s="267">
        <v>2019</v>
      </c>
      <c r="C6606" s="267">
        <v>2020</v>
      </c>
      <c r="D6606" s="267">
        <v>1</v>
      </c>
      <c r="E6606" s="267">
        <v>1</v>
      </c>
      <c r="F6606" s="267" t="s">
        <v>944</v>
      </c>
      <c r="G6606" s="267" t="s">
        <v>3926</v>
      </c>
      <c r="H6606" s="267" t="s">
        <v>11374</v>
      </c>
      <c r="I6606" s="267" t="s">
        <v>4306</v>
      </c>
      <c r="J6606" s="267" t="s">
        <v>3928</v>
      </c>
      <c r="K6606" s="267">
        <v>6716</v>
      </c>
      <c r="L6606" s="267">
        <v>361100</v>
      </c>
      <c r="M6606" s="267" t="s">
        <v>3960</v>
      </c>
      <c r="N6606" s="267" t="s">
        <v>3944</v>
      </c>
      <c r="O6606" s="267">
        <v>3766.95</v>
      </c>
      <c r="P6606" s="267" t="s">
        <v>3944</v>
      </c>
      <c r="Q6606" s="267" t="s">
        <v>3944</v>
      </c>
      <c r="R6606" s="267">
        <v>3766.95</v>
      </c>
      <c r="S6606" s="267">
        <v>72629.95</v>
      </c>
      <c r="T6606" s="267">
        <v>76396.899999999994</v>
      </c>
      <c r="U6606" s="268" t="s">
        <v>3945</v>
      </c>
      <c r="V6606" s="267" t="s">
        <v>944</v>
      </c>
    </row>
    <row r="6607" spans="1:22" x14ac:dyDescent="0.25">
      <c r="A6607" s="269">
        <v>43773</v>
      </c>
      <c r="B6607" s="270">
        <v>2019</v>
      </c>
      <c r="C6607" s="270">
        <v>2020</v>
      </c>
      <c r="D6607" s="270">
        <v>1</v>
      </c>
      <c r="E6607" s="270">
        <v>1</v>
      </c>
      <c r="F6607" s="270" t="s">
        <v>944</v>
      </c>
      <c r="G6607" s="270" t="s">
        <v>3926</v>
      </c>
      <c r="H6607" s="270" t="s">
        <v>11375</v>
      </c>
      <c r="I6607" s="270" t="s">
        <v>943</v>
      </c>
      <c r="J6607" s="270" t="s">
        <v>3928</v>
      </c>
      <c r="K6607" s="270">
        <v>6513</v>
      </c>
      <c r="L6607" s="270">
        <v>142300</v>
      </c>
      <c r="M6607" s="270">
        <v>-60</v>
      </c>
      <c r="N6607" s="270" t="s">
        <v>3944</v>
      </c>
      <c r="O6607" s="270">
        <v>1251.01</v>
      </c>
      <c r="P6607" s="270" t="s">
        <v>3944</v>
      </c>
      <c r="Q6607" s="270" t="s">
        <v>3944</v>
      </c>
      <c r="R6607" s="270">
        <v>1251.01</v>
      </c>
      <c r="S6607" s="270">
        <v>18352.43</v>
      </c>
      <c r="T6607" s="270">
        <v>19603.439999999999</v>
      </c>
      <c r="U6607" s="271" t="s">
        <v>3945</v>
      </c>
      <c r="V6607" s="276" t="s">
        <v>936</v>
      </c>
    </row>
    <row r="6608" spans="1:22" hidden="1" x14ac:dyDescent="0.25">
      <c r="A6608" s="266">
        <v>43773</v>
      </c>
      <c r="B6608" s="267">
        <v>2019</v>
      </c>
      <c r="C6608" s="267">
        <v>2020</v>
      </c>
      <c r="D6608" s="267">
        <v>1</v>
      </c>
      <c r="E6608" s="267">
        <v>1</v>
      </c>
      <c r="F6608" s="267" t="s">
        <v>944</v>
      </c>
      <c r="G6608" s="267" t="s">
        <v>3926</v>
      </c>
      <c r="H6608" s="267" t="s">
        <v>11376</v>
      </c>
      <c r="I6608" s="267" t="s">
        <v>4318</v>
      </c>
      <c r="J6608" s="267" t="s">
        <v>3928</v>
      </c>
      <c r="K6608" s="267">
        <v>6278</v>
      </c>
      <c r="L6608" s="267">
        <v>902200</v>
      </c>
      <c r="M6608" s="267" t="s">
        <v>3960</v>
      </c>
      <c r="N6608" s="267" t="s">
        <v>3944</v>
      </c>
      <c r="O6608" s="267">
        <v>1894.17</v>
      </c>
      <c r="P6608" s="267" t="s">
        <v>3944</v>
      </c>
      <c r="Q6608" s="267" t="s">
        <v>3944</v>
      </c>
      <c r="R6608" s="267">
        <v>1894.17</v>
      </c>
      <c r="S6608" s="267">
        <v>28505.83</v>
      </c>
      <c r="T6608" s="267">
        <v>30400</v>
      </c>
      <c r="U6608" s="268" t="s">
        <v>3945</v>
      </c>
      <c r="V6608" s="267" t="s">
        <v>944</v>
      </c>
    </row>
    <row r="6609" spans="1:22" x14ac:dyDescent="0.25">
      <c r="A6609" s="269">
        <v>43773</v>
      </c>
      <c r="B6609" s="270">
        <v>2019</v>
      </c>
      <c r="C6609" s="270">
        <v>2020</v>
      </c>
      <c r="D6609" s="270">
        <v>1</v>
      </c>
      <c r="E6609" s="270">
        <v>1</v>
      </c>
      <c r="F6609" s="270" t="s">
        <v>944</v>
      </c>
      <c r="G6609" s="270" t="s">
        <v>3926</v>
      </c>
      <c r="H6609" s="270" t="s">
        <v>11377</v>
      </c>
      <c r="I6609" s="270" t="s">
        <v>943</v>
      </c>
      <c r="J6609" s="270" t="s">
        <v>3928</v>
      </c>
      <c r="K6609" s="270">
        <v>6513</v>
      </c>
      <c r="L6609" s="270">
        <v>142400</v>
      </c>
      <c r="M6609" s="270">
        <v>-60</v>
      </c>
      <c r="N6609" s="270" t="s">
        <v>3944</v>
      </c>
      <c r="O6609" s="270">
        <v>1687.18</v>
      </c>
      <c r="P6609" s="270" t="s">
        <v>3944</v>
      </c>
      <c r="Q6609" s="270" t="s">
        <v>3944</v>
      </c>
      <c r="R6609" s="270">
        <v>1687.18</v>
      </c>
      <c r="S6609" s="270">
        <v>30225.5</v>
      </c>
      <c r="T6609" s="270">
        <v>31912.68</v>
      </c>
      <c r="U6609" s="271" t="s">
        <v>3945</v>
      </c>
      <c r="V6609" s="276" t="s">
        <v>936</v>
      </c>
    </row>
    <row r="6610" spans="1:22" hidden="1" x14ac:dyDescent="0.25">
      <c r="A6610" s="266">
        <v>43773</v>
      </c>
      <c r="B6610" s="267">
        <v>2019</v>
      </c>
      <c r="C6610" s="267">
        <v>2020</v>
      </c>
      <c r="D6610" s="267">
        <v>1</v>
      </c>
      <c r="E6610" s="267">
        <v>1</v>
      </c>
      <c r="F6610" s="267" t="s">
        <v>944</v>
      </c>
      <c r="G6610" s="267" t="s">
        <v>3926</v>
      </c>
      <c r="H6610" s="267" t="s">
        <v>11378</v>
      </c>
      <c r="I6610" s="267" t="s">
        <v>4170</v>
      </c>
      <c r="J6610" s="267" t="s">
        <v>3928</v>
      </c>
      <c r="K6610" s="267">
        <v>6498</v>
      </c>
      <c r="L6610" s="267">
        <v>680100</v>
      </c>
      <c r="M6610" s="267" t="s">
        <v>3935</v>
      </c>
      <c r="N6610" s="267" t="s">
        <v>3944</v>
      </c>
      <c r="O6610" s="267">
        <v>2189.08</v>
      </c>
      <c r="P6610" s="267" t="s">
        <v>3944</v>
      </c>
      <c r="Q6610" s="267" t="s">
        <v>3944</v>
      </c>
      <c r="R6610" s="267">
        <v>2189.08</v>
      </c>
      <c r="S6610" s="267">
        <v>36004.92</v>
      </c>
      <c r="T6610" s="267">
        <v>38194</v>
      </c>
      <c r="U6610" s="268" t="s">
        <v>3945</v>
      </c>
      <c r="V6610" s="267" t="s">
        <v>944</v>
      </c>
    </row>
    <row r="6611" spans="1:22" hidden="1" x14ac:dyDescent="0.25">
      <c r="A6611" s="269">
        <v>43773</v>
      </c>
      <c r="B6611" s="270">
        <v>2019</v>
      </c>
      <c r="C6611" s="270">
        <v>2020</v>
      </c>
      <c r="D6611" s="270">
        <v>1</v>
      </c>
      <c r="E6611" s="270">
        <v>1</v>
      </c>
      <c r="F6611" s="270" t="s">
        <v>944</v>
      </c>
      <c r="G6611" s="270" t="s">
        <v>3926</v>
      </c>
      <c r="H6611" s="270" t="s">
        <v>11379</v>
      </c>
      <c r="I6611" s="270" t="s">
        <v>6209</v>
      </c>
      <c r="J6611" s="270" t="s">
        <v>3928</v>
      </c>
      <c r="K6611" s="270">
        <v>6403</v>
      </c>
      <c r="L6611" s="270">
        <v>341100</v>
      </c>
      <c r="M6611" s="270" t="s">
        <v>3935</v>
      </c>
      <c r="N6611" s="270" t="s">
        <v>3944</v>
      </c>
      <c r="O6611" s="270">
        <v>4573.7</v>
      </c>
      <c r="P6611" s="270" t="s">
        <v>3944</v>
      </c>
      <c r="Q6611" s="270" t="s">
        <v>3944</v>
      </c>
      <c r="R6611" s="270">
        <v>4573.7</v>
      </c>
      <c r="S6611" s="270">
        <v>65191.26</v>
      </c>
      <c r="T6611" s="270">
        <v>69764.960000000006</v>
      </c>
      <c r="U6611" s="271" t="s">
        <v>3945</v>
      </c>
      <c r="V6611" s="267" t="s">
        <v>944</v>
      </c>
    </row>
    <row r="6612" spans="1:22" hidden="1" x14ac:dyDescent="0.25">
      <c r="A6612" s="266">
        <v>43773</v>
      </c>
      <c r="B6612" s="267">
        <v>2019</v>
      </c>
      <c r="C6612" s="267">
        <v>2020</v>
      </c>
      <c r="D6612" s="267">
        <v>1</v>
      </c>
      <c r="E6612" s="267">
        <v>1</v>
      </c>
      <c r="F6612" s="267" t="s">
        <v>944</v>
      </c>
      <c r="G6612" s="267" t="s">
        <v>3926</v>
      </c>
      <c r="H6612" s="267" t="s">
        <v>11380</v>
      </c>
      <c r="I6612" s="267" t="s">
        <v>3009</v>
      </c>
      <c r="J6612" s="267" t="s">
        <v>3928</v>
      </c>
      <c r="K6612" s="267">
        <v>6484</v>
      </c>
      <c r="L6612" s="267">
        <v>110500</v>
      </c>
      <c r="M6612" s="267" t="s">
        <v>3943</v>
      </c>
      <c r="N6612" s="267" t="s">
        <v>3944</v>
      </c>
      <c r="O6612" s="267">
        <v>1499.47</v>
      </c>
      <c r="P6612" s="267" t="s">
        <v>3944</v>
      </c>
      <c r="Q6612" s="267" t="s">
        <v>3944</v>
      </c>
      <c r="R6612" s="267">
        <v>1499.47</v>
      </c>
      <c r="S6612" s="267">
        <v>25639.52</v>
      </c>
      <c r="T6612" s="267">
        <v>27138.99</v>
      </c>
      <c r="U6612" s="268" t="s">
        <v>3945</v>
      </c>
      <c r="V6612" s="267" t="s">
        <v>944</v>
      </c>
    </row>
    <row r="6613" spans="1:22" hidden="1" x14ac:dyDescent="0.25">
      <c r="A6613" s="269">
        <v>43773</v>
      </c>
      <c r="B6613" s="270">
        <v>2019</v>
      </c>
      <c r="C6613" s="270">
        <v>2020</v>
      </c>
      <c r="D6613" s="270">
        <v>1</v>
      </c>
      <c r="E6613" s="270">
        <v>1</v>
      </c>
      <c r="F6613" s="270" t="s">
        <v>944</v>
      </c>
      <c r="G6613" s="270" t="s">
        <v>3926</v>
      </c>
      <c r="H6613" s="270" t="s">
        <v>11381</v>
      </c>
      <c r="I6613" s="270" t="s">
        <v>4008</v>
      </c>
      <c r="J6613" s="270" t="s">
        <v>3928</v>
      </c>
      <c r="K6613" s="270">
        <v>6320</v>
      </c>
      <c r="L6613" s="270">
        <v>690300</v>
      </c>
      <c r="M6613" s="270">
        <v>-60</v>
      </c>
      <c r="N6613" s="270" t="s">
        <v>3944</v>
      </c>
      <c r="O6613" s="270">
        <v>1964.87</v>
      </c>
      <c r="P6613" s="270" t="s">
        <v>3944</v>
      </c>
      <c r="Q6613" s="270" t="s">
        <v>3944</v>
      </c>
      <c r="R6613" s="270">
        <v>1964.87</v>
      </c>
      <c r="S6613" s="270">
        <v>27224.48</v>
      </c>
      <c r="T6613" s="270">
        <v>29189.35</v>
      </c>
      <c r="U6613" s="271" t="s">
        <v>3945</v>
      </c>
      <c r="V6613" s="267" t="s">
        <v>944</v>
      </c>
    </row>
    <row r="6614" spans="1:22" hidden="1" x14ac:dyDescent="0.25">
      <c r="A6614" s="266">
        <v>43773</v>
      </c>
      <c r="B6614" s="267">
        <v>2019</v>
      </c>
      <c r="C6614" s="267">
        <v>2020</v>
      </c>
      <c r="D6614" s="267">
        <v>1</v>
      </c>
      <c r="E6614" s="267">
        <v>1</v>
      </c>
      <c r="F6614" s="267" t="s">
        <v>944</v>
      </c>
      <c r="G6614" s="267" t="s">
        <v>3926</v>
      </c>
      <c r="H6614" s="267" t="s">
        <v>11382</v>
      </c>
      <c r="I6614" s="267" t="s">
        <v>4079</v>
      </c>
      <c r="J6614" s="267" t="s">
        <v>3928</v>
      </c>
      <c r="K6614" s="267">
        <v>6111</v>
      </c>
      <c r="L6614" s="267">
        <v>494500</v>
      </c>
      <c r="M6614" s="267" t="s">
        <v>3960</v>
      </c>
      <c r="N6614" s="267" t="s">
        <v>3944</v>
      </c>
      <c r="O6614" s="267">
        <v>1726.38</v>
      </c>
      <c r="P6614" s="267" t="s">
        <v>3944</v>
      </c>
      <c r="Q6614" s="267" t="s">
        <v>3944</v>
      </c>
      <c r="R6614" s="267">
        <v>1726.38</v>
      </c>
      <c r="S6614" s="267">
        <v>35340.53</v>
      </c>
      <c r="T6614" s="267">
        <v>37066.910000000003</v>
      </c>
      <c r="U6614" s="268" t="s">
        <v>3945</v>
      </c>
      <c r="V6614" s="267" t="s">
        <v>944</v>
      </c>
    </row>
    <row r="6615" spans="1:22" hidden="1" x14ac:dyDescent="0.25">
      <c r="A6615" s="269">
        <v>43773</v>
      </c>
      <c r="B6615" s="270">
        <v>2019</v>
      </c>
      <c r="C6615" s="270">
        <v>2020</v>
      </c>
      <c r="D6615" s="270">
        <v>1</v>
      </c>
      <c r="E6615" s="270">
        <v>1</v>
      </c>
      <c r="F6615" s="270" t="s">
        <v>944</v>
      </c>
      <c r="G6615" s="270" t="s">
        <v>3926</v>
      </c>
      <c r="H6615" s="270" t="s">
        <v>11383</v>
      </c>
      <c r="I6615" s="270" t="s">
        <v>4392</v>
      </c>
      <c r="J6615" s="270" t="s">
        <v>3928</v>
      </c>
      <c r="K6615" s="270">
        <v>6457</v>
      </c>
      <c r="L6615" s="270">
        <v>542000</v>
      </c>
      <c r="M6615" s="270" t="s">
        <v>3935</v>
      </c>
      <c r="N6615" s="270" t="s">
        <v>3944</v>
      </c>
      <c r="O6615" s="270">
        <v>3312.96</v>
      </c>
      <c r="P6615" s="270" t="s">
        <v>3944</v>
      </c>
      <c r="Q6615" s="270" t="s">
        <v>3944</v>
      </c>
      <c r="R6615" s="270">
        <v>3312.96</v>
      </c>
      <c r="S6615" s="270">
        <v>46979.71</v>
      </c>
      <c r="T6615" s="270">
        <v>50292.67</v>
      </c>
      <c r="U6615" s="271" t="s">
        <v>3945</v>
      </c>
      <c r="V6615" s="267" t="s">
        <v>944</v>
      </c>
    </row>
    <row r="6616" spans="1:22" hidden="1" x14ac:dyDescent="0.25">
      <c r="A6616" s="266">
        <v>43773</v>
      </c>
      <c r="B6616" s="267">
        <v>2019</v>
      </c>
      <c r="C6616" s="267">
        <v>2020</v>
      </c>
      <c r="D6616" s="267">
        <v>1</v>
      </c>
      <c r="E6616" s="267">
        <v>1</v>
      </c>
      <c r="F6616" s="267" t="s">
        <v>944</v>
      </c>
      <c r="G6616" s="267" t="s">
        <v>3926</v>
      </c>
      <c r="H6616" s="267" t="s">
        <v>11384</v>
      </c>
      <c r="I6616" s="267" t="s">
        <v>3990</v>
      </c>
      <c r="J6616" s="267" t="s">
        <v>3928</v>
      </c>
      <c r="K6616" s="267">
        <v>6804</v>
      </c>
      <c r="L6616" s="267">
        <v>205300</v>
      </c>
      <c r="M6616" s="267" t="s">
        <v>3960</v>
      </c>
      <c r="N6616" s="267" t="s">
        <v>3944</v>
      </c>
      <c r="O6616" s="267">
        <v>3344.88</v>
      </c>
      <c r="P6616" s="267" t="s">
        <v>3944</v>
      </c>
      <c r="Q6616" s="267" t="s">
        <v>3944</v>
      </c>
      <c r="R6616" s="267">
        <v>3344.88</v>
      </c>
      <c r="S6616" s="267">
        <v>59774.51</v>
      </c>
      <c r="T6616" s="267">
        <v>63119.39</v>
      </c>
      <c r="U6616" s="268" t="s">
        <v>3945</v>
      </c>
      <c r="V6616" s="267" t="s">
        <v>944</v>
      </c>
    </row>
    <row r="6617" spans="1:22" x14ac:dyDescent="0.25">
      <c r="A6617" s="269">
        <v>43773</v>
      </c>
      <c r="B6617" s="270">
        <v>2019</v>
      </c>
      <c r="C6617" s="270">
        <v>2020</v>
      </c>
      <c r="D6617" s="270">
        <v>1</v>
      </c>
      <c r="E6617" s="270">
        <v>1</v>
      </c>
      <c r="F6617" s="270" t="s">
        <v>944</v>
      </c>
      <c r="G6617" s="270" t="s">
        <v>3926</v>
      </c>
      <c r="H6617" s="270" t="s">
        <v>11385</v>
      </c>
      <c r="I6617" s="270" t="s">
        <v>934</v>
      </c>
      <c r="J6617" s="270" t="s">
        <v>3928</v>
      </c>
      <c r="K6617" s="270">
        <v>6607</v>
      </c>
      <c r="L6617" s="270">
        <v>74300</v>
      </c>
      <c r="M6617" s="270">
        <v>-60</v>
      </c>
      <c r="N6617" s="270" t="s">
        <v>3944</v>
      </c>
      <c r="O6617" s="270">
        <v>1595.72</v>
      </c>
      <c r="P6617" s="270" t="s">
        <v>3944</v>
      </c>
      <c r="Q6617" s="270" t="s">
        <v>3944</v>
      </c>
      <c r="R6617" s="270">
        <v>1595.72</v>
      </c>
      <c r="S6617" s="270">
        <v>22871.05</v>
      </c>
      <c r="T6617" s="270">
        <v>24466.77</v>
      </c>
      <c r="U6617" s="271" t="s">
        <v>3945</v>
      </c>
      <c r="V6617" s="276" t="s">
        <v>936</v>
      </c>
    </row>
    <row r="6618" spans="1:22" hidden="1" x14ac:dyDescent="0.25">
      <c r="A6618" s="266">
        <v>43773</v>
      </c>
      <c r="B6618" s="267">
        <v>2019</v>
      </c>
      <c r="C6618" s="267">
        <v>2020</v>
      </c>
      <c r="D6618" s="267">
        <v>1</v>
      </c>
      <c r="E6618" s="267">
        <v>1</v>
      </c>
      <c r="F6618" s="267" t="s">
        <v>944</v>
      </c>
      <c r="G6618" s="267" t="s">
        <v>3926</v>
      </c>
      <c r="H6618" s="267" t="s">
        <v>11386</v>
      </c>
      <c r="I6618" s="267" t="s">
        <v>4254</v>
      </c>
      <c r="J6618" s="267" t="s">
        <v>3928</v>
      </c>
      <c r="K6618" s="267">
        <v>6066</v>
      </c>
      <c r="L6618" s="267">
        <v>530200</v>
      </c>
      <c r="M6618" s="267">
        <v>-60</v>
      </c>
      <c r="N6618" s="267" t="s">
        <v>3944</v>
      </c>
      <c r="O6618" s="267">
        <v>1479.77</v>
      </c>
      <c r="P6618" s="267" t="s">
        <v>3944</v>
      </c>
      <c r="Q6618" s="267" t="s">
        <v>3944</v>
      </c>
      <c r="R6618" s="267">
        <v>1479.77</v>
      </c>
      <c r="S6618" s="267">
        <v>22391.23</v>
      </c>
      <c r="T6618" s="267">
        <v>23871</v>
      </c>
      <c r="U6618" s="268" t="s">
        <v>3945</v>
      </c>
      <c r="V6618" s="267" t="s">
        <v>944</v>
      </c>
    </row>
    <row r="6619" spans="1:22" hidden="1" x14ac:dyDescent="0.25">
      <c r="A6619" s="269">
        <v>43773</v>
      </c>
      <c r="B6619" s="270">
        <v>2019</v>
      </c>
      <c r="C6619" s="270">
        <v>2020</v>
      </c>
      <c r="D6619" s="270">
        <v>1</v>
      </c>
      <c r="E6619" s="270">
        <v>1</v>
      </c>
      <c r="F6619" s="270" t="s">
        <v>944</v>
      </c>
      <c r="G6619" s="270" t="s">
        <v>3926</v>
      </c>
      <c r="H6619" s="270" t="s">
        <v>11387</v>
      </c>
      <c r="I6619" s="270" t="s">
        <v>4062</v>
      </c>
      <c r="J6619" s="270" t="s">
        <v>3928</v>
      </c>
      <c r="K6619" s="270">
        <v>6763</v>
      </c>
      <c r="L6619" s="270">
        <v>303100</v>
      </c>
      <c r="M6619" s="270" t="s">
        <v>3960</v>
      </c>
      <c r="N6619" s="270" t="s">
        <v>3944</v>
      </c>
      <c r="O6619" s="270">
        <v>2591.19</v>
      </c>
      <c r="P6619" s="270" t="s">
        <v>3944</v>
      </c>
      <c r="Q6619" s="270" t="s">
        <v>3944</v>
      </c>
      <c r="R6619" s="270">
        <v>2591.19</v>
      </c>
      <c r="S6619" s="270">
        <v>57589.11</v>
      </c>
      <c r="T6619" s="270">
        <v>60180.3</v>
      </c>
      <c r="U6619" s="271" t="s">
        <v>3945</v>
      </c>
      <c r="V6619" s="267" t="s">
        <v>944</v>
      </c>
    </row>
    <row r="6620" spans="1:22" hidden="1" x14ac:dyDescent="0.25">
      <c r="A6620" s="266">
        <v>43773</v>
      </c>
      <c r="B6620" s="267">
        <v>2019</v>
      </c>
      <c r="C6620" s="267">
        <v>2020</v>
      </c>
      <c r="D6620" s="267">
        <v>1</v>
      </c>
      <c r="E6620" s="267">
        <v>1</v>
      </c>
      <c r="F6620" s="267" t="s">
        <v>944</v>
      </c>
      <c r="G6620" s="267" t="s">
        <v>3926</v>
      </c>
      <c r="H6620" s="267" t="s">
        <v>11388</v>
      </c>
      <c r="I6620" s="267" t="s">
        <v>4548</v>
      </c>
      <c r="J6620" s="267" t="s">
        <v>3928</v>
      </c>
      <c r="K6620" s="267">
        <v>6037</v>
      </c>
      <c r="L6620" s="267">
        <v>400100</v>
      </c>
      <c r="M6620" s="267" t="s">
        <v>3935</v>
      </c>
      <c r="N6620" s="267" t="s">
        <v>3944</v>
      </c>
      <c r="O6620" s="267">
        <v>3762.99</v>
      </c>
      <c r="P6620" s="267" t="s">
        <v>3944</v>
      </c>
      <c r="Q6620" s="267" t="s">
        <v>3944</v>
      </c>
      <c r="R6620" s="267">
        <v>3762.99</v>
      </c>
      <c r="S6620" s="267">
        <v>66053.19</v>
      </c>
      <c r="T6620" s="267">
        <v>69816.179999999993</v>
      </c>
      <c r="U6620" s="268" t="s">
        <v>3945</v>
      </c>
      <c r="V6620" s="267" t="s">
        <v>944</v>
      </c>
    </row>
    <row r="6621" spans="1:22" hidden="1" x14ac:dyDescent="0.25">
      <c r="A6621" s="269">
        <v>43773</v>
      </c>
      <c r="B6621" s="270">
        <v>2019</v>
      </c>
      <c r="C6621" s="270">
        <v>2020</v>
      </c>
      <c r="D6621" s="270">
        <v>1</v>
      </c>
      <c r="E6621" s="270">
        <v>1</v>
      </c>
      <c r="F6621" s="270" t="s">
        <v>944</v>
      </c>
      <c r="G6621" s="270" t="s">
        <v>3926</v>
      </c>
      <c r="H6621" s="270" t="s">
        <v>11389</v>
      </c>
      <c r="I6621" s="270" t="s">
        <v>4301</v>
      </c>
      <c r="J6621" s="270" t="s">
        <v>3928</v>
      </c>
      <c r="K6621" s="270">
        <v>6359</v>
      </c>
      <c r="L6621" s="270">
        <v>707100</v>
      </c>
      <c r="M6621" s="270" t="s">
        <v>3935</v>
      </c>
      <c r="N6621" s="270" t="s">
        <v>3944</v>
      </c>
      <c r="O6621" s="270">
        <v>3677.56</v>
      </c>
      <c r="P6621" s="270" t="s">
        <v>3944</v>
      </c>
      <c r="Q6621" s="270" t="s">
        <v>3944</v>
      </c>
      <c r="R6621" s="270">
        <v>3677.56</v>
      </c>
      <c r="S6621" s="270">
        <v>49944.84</v>
      </c>
      <c r="T6621" s="270">
        <v>53622.400000000001</v>
      </c>
      <c r="U6621" s="271" t="s">
        <v>3945</v>
      </c>
      <c r="V6621" s="267" t="s">
        <v>944</v>
      </c>
    </row>
    <row r="6622" spans="1:22" hidden="1" x14ac:dyDescent="0.25">
      <c r="A6622" s="266">
        <v>43773</v>
      </c>
      <c r="B6622" s="267">
        <v>2019</v>
      </c>
      <c r="C6622" s="267">
        <v>2020</v>
      </c>
      <c r="D6622" s="267">
        <v>1</v>
      </c>
      <c r="E6622" s="267">
        <v>1</v>
      </c>
      <c r="F6622" s="267" t="s">
        <v>944</v>
      </c>
      <c r="G6622" s="267" t="s">
        <v>3926</v>
      </c>
      <c r="H6622" s="267" t="s">
        <v>11390</v>
      </c>
      <c r="I6622" s="267" t="s">
        <v>956</v>
      </c>
      <c r="J6622" s="267" t="s">
        <v>3928</v>
      </c>
      <c r="K6622" s="267">
        <v>6614</v>
      </c>
      <c r="L6622" s="267">
        <v>80100</v>
      </c>
      <c r="M6622" s="267" t="s">
        <v>3935</v>
      </c>
      <c r="N6622" s="267" t="s">
        <v>3944</v>
      </c>
      <c r="O6622" s="267">
        <v>2230.13</v>
      </c>
      <c r="P6622" s="267" t="s">
        <v>3944</v>
      </c>
      <c r="Q6622" s="267" t="s">
        <v>3944</v>
      </c>
      <c r="R6622" s="267">
        <v>2230.13</v>
      </c>
      <c r="S6622" s="267">
        <v>32734.87</v>
      </c>
      <c r="T6622" s="267">
        <v>34965</v>
      </c>
      <c r="U6622" s="268" t="s">
        <v>3945</v>
      </c>
      <c r="V6622" s="267" t="s">
        <v>944</v>
      </c>
    </row>
    <row r="6623" spans="1:22" hidden="1" x14ac:dyDescent="0.25">
      <c r="A6623" s="269">
        <v>43773</v>
      </c>
      <c r="B6623" s="270">
        <v>2019</v>
      </c>
      <c r="C6623" s="270">
        <v>2020</v>
      </c>
      <c r="D6623" s="270">
        <v>1</v>
      </c>
      <c r="E6623" s="270">
        <v>1</v>
      </c>
      <c r="F6623" s="270" t="s">
        <v>944</v>
      </c>
      <c r="G6623" s="270" t="s">
        <v>3926</v>
      </c>
      <c r="H6623" s="270" t="s">
        <v>11391</v>
      </c>
      <c r="I6623" s="270" t="s">
        <v>4011</v>
      </c>
      <c r="J6623" s="270" t="s">
        <v>3928</v>
      </c>
      <c r="K6623" s="270">
        <v>6002</v>
      </c>
      <c r="L6623" s="270">
        <v>471400</v>
      </c>
      <c r="M6623" s="270" t="s">
        <v>3943</v>
      </c>
      <c r="N6623" s="270" t="s">
        <v>3944</v>
      </c>
      <c r="O6623" s="270">
        <v>2997.72</v>
      </c>
      <c r="P6623" s="270" t="s">
        <v>3944</v>
      </c>
      <c r="Q6623" s="270" t="s">
        <v>3944</v>
      </c>
      <c r="R6623" s="270">
        <v>2997.72</v>
      </c>
      <c r="S6623" s="270">
        <v>42978.28</v>
      </c>
      <c r="T6623" s="270">
        <v>45976</v>
      </c>
      <c r="U6623" s="271" t="s">
        <v>3945</v>
      </c>
      <c r="V6623" s="267" t="s">
        <v>944</v>
      </c>
    </row>
    <row r="6624" spans="1:22" hidden="1" x14ac:dyDescent="0.25">
      <c r="A6624" s="266">
        <v>43773</v>
      </c>
      <c r="B6624" s="267">
        <v>2019</v>
      </c>
      <c r="C6624" s="267">
        <v>2020</v>
      </c>
      <c r="D6624" s="267">
        <v>1</v>
      </c>
      <c r="E6624" s="267">
        <v>1</v>
      </c>
      <c r="F6624" s="267" t="s">
        <v>944</v>
      </c>
      <c r="G6624" s="267" t="s">
        <v>3926</v>
      </c>
      <c r="H6624" s="267" t="s">
        <v>11392</v>
      </c>
      <c r="I6624" s="267" t="s">
        <v>3975</v>
      </c>
      <c r="J6624" s="267" t="s">
        <v>3928</v>
      </c>
      <c r="K6624" s="267">
        <v>6479</v>
      </c>
      <c r="L6624" s="267">
        <v>430500</v>
      </c>
      <c r="M6624" s="267" t="s">
        <v>3943</v>
      </c>
      <c r="N6624" s="267" t="s">
        <v>3944</v>
      </c>
      <c r="O6624" s="267">
        <v>2448.3200000000002</v>
      </c>
      <c r="P6624" s="267" t="s">
        <v>3944</v>
      </c>
      <c r="Q6624" s="267" t="s">
        <v>3944</v>
      </c>
      <c r="R6624" s="267">
        <v>2448.3200000000002</v>
      </c>
      <c r="S6624" s="267">
        <v>40068.79</v>
      </c>
      <c r="T6624" s="267">
        <v>42517.11</v>
      </c>
      <c r="U6624" s="268" t="s">
        <v>3945</v>
      </c>
      <c r="V6624" s="267" t="s">
        <v>944</v>
      </c>
    </row>
    <row r="6625" spans="1:22" hidden="1" x14ac:dyDescent="0.25">
      <c r="A6625" s="269">
        <v>43773</v>
      </c>
      <c r="B6625" s="270">
        <v>2019</v>
      </c>
      <c r="C6625" s="270">
        <v>2020</v>
      </c>
      <c r="D6625" s="270">
        <v>1</v>
      </c>
      <c r="E6625" s="270">
        <v>1</v>
      </c>
      <c r="F6625" s="270" t="s">
        <v>944</v>
      </c>
      <c r="G6625" s="270" t="s">
        <v>3926</v>
      </c>
      <c r="H6625" s="270" t="s">
        <v>11393</v>
      </c>
      <c r="I6625" s="270" t="s">
        <v>4297</v>
      </c>
      <c r="J6625" s="270" t="s">
        <v>3928</v>
      </c>
      <c r="K6625" s="270">
        <v>6248</v>
      </c>
      <c r="L6625" s="270">
        <v>526102</v>
      </c>
      <c r="M6625" s="270" t="s">
        <v>3943</v>
      </c>
      <c r="N6625" s="270" t="s">
        <v>3944</v>
      </c>
      <c r="O6625" s="270">
        <v>1012.73</v>
      </c>
      <c r="P6625" s="270" t="s">
        <v>3944</v>
      </c>
      <c r="Q6625" s="270" t="s">
        <v>3944</v>
      </c>
      <c r="R6625" s="270">
        <v>1012.73</v>
      </c>
      <c r="S6625" s="270">
        <v>13898.47</v>
      </c>
      <c r="T6625" s="270">
        <v>14911.2</v>
      </c>
      <c r="U6625" s="271" t="s">
        <v>3945</v>
      </c>
      <c r="V6625" s="267" t="s">
        <v>944</v>
      </c>
    </row>
    <row r="6626" spans="1:22" hidden="1" x14ac:dyDescent="0.25">
      <c r="A6626" s="266">
        <v>43773</v>
      </c>
      <c r="B6626" s="267">
        <v>2019</v>
      </c>
      <c r="C6626" s="267">
        <v>2020</v>
      </c>
      <c r="D6626" s="267">
        <v>1</v>
      </c>
      <c r="E6626" s="267">
        <v>1</v>
      </c>
      <c r="F6626" s="267" t="s">
        <v>944</v>
      </c>
      <c r="G6626" s="267" t="s">
        <v>3926</v>
      </c>
      <c r="H6626" s="267" t="s">
        <v>11394</v>
      </c>
      <c r="I6626" s="267" t="s">
        <v>4137</v>
      </c>
      <c r="J6626" s="267" t="s">
        <v>3928</v>
      </c>
      <c r="K6626" s="267">
        <v>6067</v>
      </c>
      <c r="L6626" s="267">
        <v>490302</v>
      </c>
      <c r="M6626" s="267" t="s">
        <v>3960</v>
      </c>
      <c r="N6626" s="267" t="s">
        <v>3944</v>
      </c>
      <c r="O6626" s="267">
        <v>3849.69</v>
      </c>
      <c r="P6626" s="267" t="s">
        <v>3944</v>
      </c>
      <c r="Q6626" s="267" t="s">
        <v>3944</v>
      </c>
      <c r="R6626" s="267">
        <v>3849.69</v>
      </c>
      <c r="S6626" s="267">
        <v>35393.360000000001</v>
      </c>
      <c r="T6626" s="267">
        <v>39243.050000000003</v>
      </c>
      <c r="U6626" s="268" t="s">
        <v>3945</v>
      </c>
      <c r="V6626" s="267" t="s">
        <v>944</v>
      </c>
    </row>
    <row r="6627" spans="1:22" hidden="1" x14ac:dyDescent="0.25">
      <c r="A6627" s="269">
        <v>43774</v>
      </c>
      <c r="B6627" s="270">
        <v>2019</v>
      </c>
      <c r="C6627" s="270">
        <v>2020</v>
      </c>
      <c r="D6627" s="270">
        <v>1</v>
      </c>
      <c r="E6627" s="270">
        <v>1</v>
      </c>
      <c r="F6627" s="270" t="s">
        <v>944</v>
      </c>
      <c r="G6627" s="270" t="s">
        <v>3926</v>
      </c>
      <c r="H6627" s="270" t="s">
        <v>11395</v>
      </c>
      <c r="I6627" s="270" t="s">
        <v>4005</v>
      </c>
      <c r="J6627" s="270" t="s">
        <v>3928</v>
      </c>
      <c r="K6627" s="270">
        <v>6108</v>
      </c>
      <c r="L6627" s="270">
        <v>511400</v>
      </c>
      <c r="M6627" s="270" t="s">
        <v>3935</v>
      </c>
      <c r="N6627" s="270" t="s">
        <v>9126</v>
      </c>
      <c r="O6627" s="270">
        <v>0</v>
      </c>
      <c r="P6627" s="270" t="s">
        <v>3930</v>
      </c>
      <c r="Q6627" s="270" t="s">
        <v>3930</v>
      </c>
      <c r="R6627" s="270">
        <v>0</v>
      </c>
      <c r="S6627" s="270">
        <v>16500</v>
      </c>
      <c r="T6627" s="270">
        <v>16500</v>
      </c>
      <c r="U6627" s="271" t="s">
        <v>3937</v>
      </c>
      <c r="V6627" s="267" t="s">
        <v>944</v>
      </c>
    </row>
    <row r="6628" spans="1:22" hidden="1" x14ac:dyDescent="0.25">
      <c r="A6628" s="266">
        <v>43774</v>
      </c>
      <c r="B6628" s="267">
        <v>2019</v>
      </c>
      <c r="C6628" s="267">
        <v>2020</v>
      </c>
      <c r="D6628" s="267">
        <v>1</v>
      </c>
      <c r="E6628" s="267">
        <v>1</v>
      </c>
      <c r="F6628" s="267" t="s">
        <v>944</v>
      </c>
      <c r="G6628" s="267" t="s">
        <v>3926</v>
      </c>
      <c r="H6628" s="267" t="s">
        <v>11396</v>
      </c>
      <c r="I6628" s="267" t="s">
        <v>4029</v>
      </c>
      <c r="J6628" s="267" t="s">
        <v>3928</v>
      </c>
      <c r="K6628" s="267">
        <v>6850</v>
      </c>
      <c r="L6628" s="267">
        <v>43000</v>
      </c>
      <c r="M6628" s="267" t="s">
        <v>3943</v>
      </c>
      <c r="N6628" s="267" t="s">
        <v>8791</v>
      </c>
      <c r="O6628" s="267">
        <v>0</v>
      </c>
      <c r="P6628" s="267" t="s">
        <v>3930</v>
      </c>
      <c r="Q6628" s="267" t="s">
        <v>3930</v>
      </c>
      <c r="R6628" s="267">
        <v>0</v>
      </c>
      <c r="S6628" s="267">
        <v>27460</v>
      </c>
      <c r="T6628" s="267">
        <v>27460</v>
      </c>
      <c r="U6628" s="268" t="s">
        <v>3937</v>
      </c>
      <c r="V6628" s="267" t="s">
        <v>944</v>
      </c>
    </row>
    <row r="6629" spans="1:22" hidden="1" x14ac:dyDescent="0.25">
      <c r="A6629" s="269">
        <v>43774</v>
      </c>
      <c r="B6629" s="270">
        <v>2019</v>
      </c>
      <c r="C6629" s="270">
        <v>2020</v>
      </c>
      <c r="D6629" s="270">
        <v>1</v>
      </c>
      <c r="E6629" s="270">
        <v>1</v>
      </c>
      <c r="F6629" s="270" t="s">
        <v>944</v>
      </c>
      <c r="G6629" s="270" t="s">
        <v>3926</v>
      </c>
      <c r="H6629" s="270" t="s">
        <v>11397</v>
      </c>
      <c r="I6629" s="270" t="s">
        <v>4695</v>
      </c>
      <c r="J6629" s="270" t="s">
        <v>3928</v>
      </c>
      <c r="K6629" s="270">
        <v>6234</v>
      </c>
      <c r="L6629" s="270">
        <v>905100</v>
      </c>
      <c r="M6629" s="270" t="s">
        <v>3935</v>
      </c>
      <c r="N6629" s="270" t="s">
        <v>4103</v>
      </c>
      <c r="O6629" s="270">
        <v>4437.63</v>
      </c>
      <c r="P6629" s="270" t="s">
        <v>3930</v>
      </c>
      <c r="Q6629" s="270" t="s">
        <v>3931</v>
      </c>
      <c r="R6629" s="270">
        <v>9437.6299999999992</v>
      </c>
      <c r="S6629" s="270">
        <v>24145.599999999999</v>
      </c>
      <c r="T6629" s="270">
        <v>33583.230000000003</v>
      </c>
      <c r="U6629" s="271" t="s">
        <v>3932</v>
      </c>
      <c r="V6629" s="267" t="s">
        <v>944</v>
      </c>
    </row>
    <row r="6630" spans="1:22" hidden="1" x14ac:dyDescent="0.25">
      <c r="A6630" s="266">
        <v>43774</v>
      </c>
      <c r="B6630" s="267">
        <v>2019</v>
      </c>
      <c r="C6630" s="267">
        <v>2020</v>
      </c>
      <c r="D6630" s="267">
        <v>1</v>
      </c>
      <c r="E6630" s="267">
        <v>1</v>
      </c>
      <c r="F6630" s="267" t="s">
        <v>944</v>
      </c>
      <c r="G6630" s="267" t="s">
        <v>3926</v>
      </c>
      <c r="H6630" s="267" t="s">
        <v>11398</v>
      </c>
      <c r="I6630" s="267" t="s">
        <v>4037</v>
      </c>
      <c r="J6630" s="267" t="s">
        <v>3928</v>
      </c>
      <c r="K6630" s="267">
        <v>6811</v>
      </c>
      <c r="L6630" s="267">
        <v>210800</v>
      </c>
      <c r="M6630" s="267" t="s">
        <v>3960</v>
      </c>
      <c r="N6630" s="267" t="s">
        <v>3944</v>
      </c>
      <c r="O6630" s="267">
        <v>5007</v>
      </c>
      <c r="P6630" s="267" t="s">
        <v>3944</v>
      </c>
      <c r="Q6630" s="267" t="s">
        <v>3944</v>
      </c>
      <c r="R6630" s="267">
        <v>5007</v>
      </c>
      <c r="S6630" s="267">
        <v>21993</v>
      </c>
      <c r="T6630" s="267">
        <v>27000</v>
      </c>
      <c r="U6630" s="268" t="s">
        <v>3945</v>
      </c>
      <c r="V6630" s="267" t="s">
        <v>944</v>
      </c>
    </row>
    <row r="6631" spans="1:22" hidden="1" x14ac:dyDescent="0.25">
      <c r="A6631" s="269">
        <v>43774</v>
      </c>
      <c r="B6631" s="270">
        <v>2019</v>
      </c>
      <c r="C6631" s="270">
        <v>2020</v>
      </c>
      <c r="D6631" s="270">
        <v>1</v>
      </c>
      <c r="E6631" s="270">
        <v>1</v>
      </c>
      <c r="F6631" s="270" t="s">
        <v>944</v>
      </c>
      <c r="G6631" s="270" t="s">
        <v>3926</v>
      </c>
      <c r="H6631" s="270" t="s">
        <v>11399</v>
      </c>
      <c r="I6631" s="270" t="s">
        <v>4269</v>
      </c>
      <c r="J6631" s="270" t="s">
        <v>3928</v>
      </c>
      <c r="K6631" s="270">
        <v>6117</v>
      </c>
      <c r="L6631" s="270">
        <v>497300</v>
      </c>
      <c r="M6631" s="270" t="s">
        <v>3943</v>
      </c>
      <c r="N6631" s="270" t="s">
        <v>3944</v>
      </c>
      <c r="O6631" s="270">
        <v>1583.47</v>
      </c>
      <c r="P6631" s="270" t="s">
        <v>3944</v>
      </c>
      <c r="Q6631" s="270" t="s">
        <v>3944</v>
      </c>
      <c r="R6631" s="270">
        <v>1583.47</v>
      </c>
      <c r="S6631" s="270">
        <v>16774.53</v>
      </c>
      <c r="T6631" s="270">
        <v>18358</v>
      </c>
      <c r="U6631" s="271" t="s">
        <v>3945</v>
      </c>
      <c r="V6631" s="267" t="s">
        <v>944</v>
      </c>
    </row>
    <row r="6632" spans="1:22" hidden="1" x14ac:dyDescent="0.25">
      <c r="A6632" s="266">
        <v>43774</v>
      </c>
      <c r="B6632" s="267">
        <v>2019</v>
      </c>
      <c r="C6632" s="267">
        <v>2020</v>
      </c>
      <c r="D6632" s="267">
        <v>1</v>
      </c>
      <c r="E6632" s="267">
        <v>1</v>
      </c>
      <c r="F6632" s="267" t="s">
        <v>944</v>
      </c>
      <c r="G6632" s="267" t="s">
        <v>3926</v>
      </c>
      <c r="H6632" s="267" t="s">
        <v>11400</v>
      </c>
      <c r="I6632" s="267" t="s">
        <v>4042</v>
      </c>
      <c r="J6632" s="267" t="s">
        <v>3928</v>
      </c>
      <c r="K6632" s="267">
        <v>6382</v>
      </c>
      <c r="L6632" s="267">
        <v>695201</v>
      </c>
      <c r="M6632" s="267" t="s">
        <v>3935</v>
      </c>
      <c r="N6632" s="267" t="s">
        <v>3944</v>
      </c>
      <c r="O6632" s="267">
        <v>1550.29</v>
      </c>
      <c r="P6632" s="267" t="s">
        <v>3944</v>
      </c>
      <c r="Q6632" s="267" t="s">
        <v>3944</v>
      </c>
      <c r="R6632" s="267">
        <v>1550.29</v>
      </c>
      <c r="S6632" s="267">
        <v>14571.71</v>
      </c>
      <c r="T6632" s="267">
        <v>16122</v>
      </c>
      <c r="U6632" s="268" t="s">
        <v>3945</v>
      </c>
      <c r="V6632" s="267" t="s">
        <v>944</v>
      </c>
    </row>
    <row r="6633" spans="1:22" x14ac:dyDescent="0.25">
      <c r="A6633" s="269">
        <v>43774</v>
      </c>
      <c r="B6633" s="270">
        <v>2019</v>
      </c>
      <c r="C6633" s="270">
        <v>2020</v>
      </c>
      <c r="D6633" s="270">
        <v>1</v>
      </c>
      <c r="E6633" s="270">
        <v>1</v>
      </c>
      <c r="F6633" s="270" t="s">
        <v>944</v>
      </c>
      <c r="G6633" s="270" t="s">
        <v>3926</v>
      </c>
      <c r="H6633" s="270" t="s">
        <v>11401</v>
      </c>
      <c r="I6633" s="270" t="s">
        <v>943</v>
      </c>
      <c r="J6633" s="270" t="s">
        <v>3928</v>
      </c>
      <c r="K6633" s="270">
        <v>6511</v>
      </c>
      <c r="L6633" s="270">
        <v>140900</v>
      </c>
      <c r="M6633" s="270">
        <v>-60</v>
      </c>
      <c r="N6633" s="270" t="s">
        <v>3944</v>
      </c>
      <c r="O6633" s="270">
        <v>1593.41</v>
      </c>
      <c r="P6633" s="270" t="s">
        <v>3944</v>
      </c>
      <c r="Q6633" s="270" t="s">
        <v>3944</v>
      </c>
      <c r="R6633" s="270">
        <v>1593.41</v>
      </c>
      <c r="S6633" s="270">
        <v>15439.59</v>
      </c>
      <c r="T6633" s="270">
        <v>17033</v>
      </c>
      <c r="U6633" s="271" t="s">
        <v>3945</v>
      </c>
      <c r="V6633" s="276" t="s">
        <v>936</v>
      </c>
    </row>
    <row r="6634" spans="1:22" hidden="1" x14ac:dyDescent="0.25">
      <c r="A6634" s="266">
        <v>43774</v>
      </c>
      <c r="B6634" s="267">
        <v>2019</v>
      </c>
      <c r="C6634" s="267">
        <v>2020</v>
      </c>
      <c r="D6634" s="267">
        <v>1</v>
      </c>
      <c r="E6634" s="267">
        <v>1</v>
      </c>
      <c r="F6634" s="267" t="s">
        <v>944</v>
      </c>
      <c r="G6634" s="267" t="s">
        <v>3926</v>
      </c>
      <c r="H6634" s="267" t="s">
        <v>11402</v>
      </c>
      <c r="I6634" s="267" t="s">
        <v>4374</v>
      </c>
      <c r="J6634" s="267" t="s">
        <v>3928</v>
      </c>
      <c r="K6634" s="267">
        <v>6441</v>
      </c>
      <c r="L6634" s="267">
        <v>590100</v>
      </c>
      <c r="M6634" s="267" t="s">
        <v>3943</v>
      </c>
      <c r="N6634" s="267" t="s">
        <v>3944</v>
      </c>
      <c r="O6634" s="267">
        <v>1126.1600000000001</v>
      </c>
      <c r="P6634" s="267" t="s">
        <v>3944</v>
      </c>
      <c r="Q6634" s="267" t="s">
        <v>3944</v>
      </c>
      <c r="R6634" s="267">
        <v>1126.1600000000001</v>
      </c>
      <c r="S6634" s="267">
        <v>10459.84</v>
      </c>
      <c r="T6634" s="267">
        <v>11586</v>
      </c>
      <c r="U6634" s="268" t="s">
        <v>3945</v>
      </c>
      <c r="V6634" s="267" t="s">
        <v>944</v>
      </c>
    </row>
    <row r="6635" spans="1:22" hidden="1" x14ac:dyDescent="0.25">
      <c r="A6635" s="269">
        <v>43774</v>
      </c>
      <c r="B6635" s="270">
        <v>2019</v>
      </c>
      <c r="C6635" s="270">
        <v>2020</v>
      </c>
      <c r="D6635" s="270">
        <v>1</v>
      </c>
      <c r="E6635" s="270">
        <v>1</v>
      </c>
      <c r="F6635" s="270" t="s">
        <v>944</v>
      </c>
      <c r="G6635" s="270" t="s">
        <v>3926</v>
      </c>
      <c r="H6635" s="270" t="s">
        <v>11403</v>
      </c>
      <c r="I6635" s="270" t="s">
        <v>3008</v>
      </c>
      <c r="J6635" s="270" t="s">
        <v>3928</v>
      </c>
      <c r="K6635" s="270">
        <v>6461</v>
      </c>
      <c r="L6635" s="270">
        <v>150600</v>
      </c>
      <c r="M6635" s="270" t="s">
        <v>3960</v>
      </c>
      <c r="N6635" s="270" t="s">
        <v>3944</v>
      </c>
      <c r="O6635" s="270">
        <v>1272.78</v>
      </c>
      <c r="P6635" s="270" t="s">
        <v>3944</v>
      </c>
      <c r="Q6635" s="270" t="s">
        <v>3944</v>
      </c>
      <c r="R6635" s="270">
        <v>1272.78</v>
      </c>
      <c r="S6635" s="270">
        <v>18307.62</v>
      </c>
      <c r="T6635" s="270">
        <v>19580.400000000001</v>
      </c>
      <c r="U6635" s="271" t="s">
        <v>3945</v>
      </c>
      <c r="V6635" s="267" t="s">
        <v>944</v>
      </c>
    </row>
    <row r="6636" spans="1:22" hidden="1" x14ac:dyDescent="0.25">
      <c r="A6636" s="266">
        <v>43774</v>
      </c>
      <c r="B6636" s="267">
        <v>2019</v>
      </c>
      <c r="C6636" s="267">
        <v>2020</v>
      </c>
      <c r="D6636" s="267">
        <v>1</v>
      </c>
      <c r="E6636" s="267">
        <v>1</v>
      </c>
      <c r="F6636" s="267" t="s">
        <v>944</v>
      </c>
      <c r="G6636" s="267" t="s">
        <v>3926</v>
      </c>
      <c r="H6636" s="267" t="s">
        <v>11404</v>
      </c>
      <c r="I6636" s="267" t="s">
        <v>4005</v>
      </c>
      <c r="J6636" s="267" t="s">
        <v>3928</v>
      </c>
      <c r="K6636" s="267">
        <v>6108</v>
      </c>
      <c r="L6636" s="267">
        <v>510300</v>
      </c>
      <c r="M6636" s="267" t="s">
        <v>3940</v>
      </c>
      <c r="N6636" s="267" t="s">
        <v>3944</v>
      </c>
      <c r="O6636" s="267">
        <v>1498.84</v>
      </c>
      <c r="P6636" s="267" t="s">
        <v>3944</v>
      </c>
      <c r="Q6636" s="267" t="s">
        <v>3944</v>
      </c>
      <c r="R6636" s="267">
        <v>1498.84</v>
      </c>
      <c r="S6636" s="267">
        <v>21832.53</v>
      </c>
      <c r="T6636" s="267">
        <v>23331.37</v>
      </c>
      <c r="U6636" s="268" t="s">
        <v>3945</v>
      </c>
      <c r="V6636" s="267" t="s">
        <v>944</v>
      </c>
    </row>
    <row r="6637" spans="1:22" hidden="1" x14ac:dyDescent="0.25">
      <c r="A6637" s="269">
        <v>43774</v>
      </c>
      <c r="B6637" s="270">
        <v>2019</v>
      </c>
      <c r="C6637" s="270">
        <v>2020</v>
      </c>
      <c r="D6637" s="270">
        <v>1</v>
      </c>
      <c r="E6637" s="270">
        <v>1</v>
      </c>
      <c r="F6637" s="270" t="s">
        <v>944</v>
      </c>
      <c r="G6637" s="270" t="s">
        <v>3926</v>
      </c>
      <c r="H6637" s="270" t="s">
        <v>11405</v>
      </c>
      <c r="I6637" s="270" t="s">
        <v>5183</v>
      </c>
      <c r="J6637" s="270" t="s">
        <v>3928</v>
      </c>
      <c r="K6637" s="270">
        <v>6255</v>
      </c>
      <c r="L6637" s="270">
        <v>900100</v>
      </c>
      <c r="M6637" s="270" t="s">
        <v>3935</v>
      </c>
      <c r="N6637" s="270" t="s">
        <v>3944</v>
      </c>
      <c r="O6637" s="270">
        <v>1673.28</v>
      </c>
      <c r="P6637" s="270" t="s">
        <v>3944</v>
      </c>
      <c r="Q6637" s="270" t="s">
        <v>3944</v>
      </c>
      <c r="R6637" s="270">
        <v>1673.28</v>
      </c>
      <c r="S6637" s="270">
        <v>12100.72</v>
      </c>
      <c r="T6637" s="270">
        <v>13774</v>
      </c>
      <c r="U6637" s="271" t="s">
        <v>3945</v>
      </c>
      <c r="V6637" s="267" t="s">
        <v>944</v>
      </c>
    </row>
    <row r="6638" spans="1:22" hidden="1" x14ac:dyDescent="0.25">
      <c r="A6638" s="266">
        <v>43774</v>
      </c>
      <c r="B6638" s="267">
        <v>2019</v>
      </c>
      <c r="C6638" s="267">
        <v>2020</v>
      </c>
      <c r="D6638" s="267">
        <v>1</v>
      </c>
      <c r="E6638" s="267">
        <v>1</v>
      </c>
      <c r="F6638" s="267" t="s">
        <v>944</v>
      </c>
      <c r="G6638" s="267" t="s">
        <v>3926</v>
      </c>
      <c r="H6638" s="267" t="s">
        <v>11406</v>
      </c>
      <c r="I6638" s="267" t="s">
        <v>4055</v>
      </c>
      <c r="J6638" s="267" t="s">
        <v>3928</v>
      </c>
      <c r="K6638" s="267">
        <v>6092</v>
      </c>
      <c r="L6638" s="267">
        <v>466202</v>
      </c>
      <c r="M6638" s="267" t="s">
        <v>3943</v>
      </c>
      <c r="N6638" s="267" t="s">
        <v>3944</v>
      </c>
      <c r="O6638" s="267">
        <v>1860.36</v>
      </c>
      <c r="P6638" s="267" t="s">
        <v>3944</v>
      </c>
      <c r="Q6638" s="267" t="s">
        <v>3944</v>
      </c>
      <c r="R6638" s="267">
        <v>1860.36</v>
      </c>
      <c r="S6638" s="267">
        <v>15024.64</v>
      </c>
      <c r="T6638" s="267">
        <v>16885</v>
      </c>
      <c r="U6638" s="268" t="s">
        <v>3945</v>
      </c>
      <c r="V6638" s="267" t="s">
        <v>944</v>
      </c>
    </row>
    <row r="6639" spans="1:22" hidden="1" x14ac:dyDescent="0.25">
      <c r="A6639" s="269">
        <v>43774</v>
      </c>
      <c r="B6639" s="270">
        <v>2019</v>
      </c>
      <c r="C6639" s="270">
        <v>2020</v>
      </c>
      <c r="D6639" s="270">
        <v>1</v>
      </c>
      <c r="E6639" s="270">
        <v>1</v>
      </c>
      <c r="F6639" s="270" t="s">
        <v>944</v>
      </c>
      <c r="G6639" s="270" t="s">
        <v>3926</v>
      </c>
      <c r="H6639" s="270" t="s">
        <v>11407</v>
      </c>
      <c r="I6639" s="270" t="s">
        <v>956</v>
      </c>
      <c r="J6639" s="270" t="s">
        <v>3928</v>
      </c>
      <c r="K6639" s="270">
        <v>6614</v>
      </c>
      <c r="L6639" s="270">
        <v>81200</v>
      </c>
      <c r="M6639" s="270" t="s">
        <v>3943</v>
      </c>
      <c r="N6639" s="270" t="s">
        <v>3944</v>
      </c>
      <c r="O6639" s="270">
        <v>1337.28</v>
      </c>
      <c r="P6639" s="270" t="s">
        <v>3944</v>
      </c>
      <c r="Q6639" s="270" t="s">
        <v>3944</v>
      </c>
      <c r="R6639" s="270">
        <v>1337.28</v>
      </c>
      <c r="S6639" s="270">
        <v>17416.84</v>
      </c>
      <c r="T6639" s="270">
        <v>18754.12</v>
      </c>
      <c r="U6639" s="271" t="s">
        <v>3945</v>
      </c>
      <c r="V6639" s="267" t="s">
        <v>944</v>
      </c>
    </row>
    <row r="6640" spans="1:22" hidden="1" x14ac:dyDescent="0.25">
      <c r="A6640" s="266">
        <v>43774</v>
      </c>
      <c r="B6640" s="267">
        <v>2019</v>
      </c>
      <c r="C6640" s="267">
        <v>2020</v>
      </c>
      <c r="D6640" s="267">
        <v>1</v>
      </c>
      <c r="E6640" s="267">
        <v>1</v>
      </c>
      <c r="F6640" s="267" t="s">
        <v>944</v>
      </c>
      <c r="G6640" s="267" t="s">
        <v>3926</v>
      </c>
      <c r="H6640" s="267" t="s">
        <v>11408</v>
      </c>
      <c r="I6640" s="267" t="s">
        <v>4168</v>
      </c>
      <c r="J6640" s="267" t="s">
        <v>3928</v>
      </c>
      <c r="K6640" s="267">
        <v>6475</v>
      </c>
      <c r="L6640" s="267">
        <v>670200</v>
      </c>
      <c r="M6640" s="267" t="s">
        <v>3935</v>
      </c>
      <c r="N6640" s="267" t="s">
        <v>3944</v>
      </c>
      <c r="O6640" s="267">
        <v>1031.3800000000001</v>
      </c>
      <c r="P6640" s="267" t="s">
        <v>3944</v>
      </c>
      <c r="Q6640" s="267" t="s">
        <v>3944</v>
      </c>
      <c r="R6640" s="267">
        <v>1031.3800000000001</v>
      </c>
      <c r="S6640" s="267">
        <v>10226.620000000001</v>
      </c>
      <c r="T6640" s="267">
        <v>11258</v>
      </c>
      <c r="U6640" s="268" t="s">
        <v>3945</v>
      </c>
      <c r="V6640" s="267" t="s">
        <v>944</v>
      </c>
    </row>
    <row r="6641" spans="1:22" hidden="1" x14ac:dyDescent="0.25">
      <c r="A6641" s="269">
        <v>43774</v>
      </c>
      <c r="B6641" s="270">
        <v>2019</v>
      </c>
      <c r="C6641" s="270">
        <v>2020</v>
      </c>
      <c r="D6641" s="270">
        <v>1</v>
      </c>
      <c r="E6641" s="270">
        <v>1</v>
      </c>
      <c r="F6641" s="270" t="s">
        <v>944</v>
      </c>
      <c r="G6641" s="270" t="s">
        <v>3926</v>
      </c>
      <c r="H6641" s="270" t="s">
        <v>11409</v>
      </c>
      <c r="I6641" s="270" t="s">
        <v>4200</v>
      </c>
      <c r="J6641" s="270" t="s">
        <v>3928</v>
      </c>
      <c r="K6641" s="270">
        <v>6795</v>
      </c>
      <c r="L6641" s="270">
        <v>360200</v>
      </c>
      <c r="M6641" s="270" t="s">
        <v>3943</v>
      </c>
      <c r="N6641" s="270" t="s">
        <v>3944</v>
      </c>
      <c r="O6641" s="270">
        <v>1899.94</v>
      </c>
      <c r="P6641" s="270" t="s">
        <v>3944</v>
      </c>
      <c r="Q6641" s="270" t="s">
        <v>3944</v>
      </c>
      <c r="R6641" s="270">
        <v>1899.94</v>
      </c>
      <c r="S6641" s="270">
        <v>28508.02</v>
      </c>
      <c r="T6641" s="270">
        <v>30407.96</v>
      </c>
      <c r="U6641" s="271" t="s">
        <v>3945</v>
      </c>
      <c r="V6641" s="267" t="s">
        <v>944</v>
      </c>
    </row>
    <row r="6642" spans="1:22" hidden="1" x14ac:dyDescent="0.25">
      <c r="A6642" s="266">
        <v>43774</v>
      </c>
      <c r="B6642" s="267">
        <v>2019</v>
      </c>
      <c r="C6642" s="267">
        <v>2020</v>
      </c>
      <c r="D6642" s="267">
        <v>1</v>
      </c>
      <c r="E6642" s="267">
        <v>1</v>
      </c>
      <c r="F6642" s="267" t="s">
        <v>944</v>
      </c>
      <c r="G6642" s="267" t="s">
        <v>3926</v>
      </c>
      <c r="H6642" s="267" t="s">
        <v>11410</v>
      </c>
      <c r="I6642" s="267" t="s">
        <v>3008</v>
      </c>
      <c r="J6642" s="267" t="s">
        <v>3928</v>
      </c>
      <c r="K6642" s="267">
        <v>6460</v>
      </c>
      <c r="L6642" s="267">
        <v>150300</v>
      </c>
      <c r="M6642" s="267" t="s">
        <v>3960</v>
      </c>
      <c r="N6642" s="267" t="s">
        <v>3944</v>
      </c>
      <c r="O6642" s="267">
        <v>699.97</v>
      </c>
      <c r="P6642" s="267" t="s">
        <v>3944</v>
      </c>
      <c r="Q6642" s="267" t="s">
        <v>3944</v>
      </c>
      <c r="R6642" s="267">
        <v>699.97</v>
      </c>
      <c r="S6642" s="267">
        <v>11887.43</v>
      </c>
      <c r="T6642" s="267">
        <v>12587.4</v>
      </c>
      <c r="U6642" s="268" t="s">
        <v>3945</v>
      </c>
      <c r="V6642" s="267" t="s">
        <v>944</v>
      </c>
    </row>
    <row r="6643" spans="1:22" hidden="1" x14ac:dyDescent="0.25">
      <c r="A6643" s="269">
        <v>43774</v>
      </c>
      <c r="B6643" s="270">
        <v>2019</v>
      </c>
      <c r="C6643" s="270">
        <v>2020</v>
      </c>
      <c r="D6643" s="270">
        <v>1</v>
      </c>
      <c r="E6643" s="270">
        <v>1</v>
      </c>
      <c r="F6643" s="270" t="s">
        <v>944</v>
      </c>
      <c r="G6643" s="270" t="s">
        <v>3926</v>
      </c>
      <c r="H6643" s="270" t="s">
        <v>11411</v>
      </c>
      <c r="I6643" s="270" t="s">
        <v>3968</v>
      </c>
      <c r="J6643" s="270" t="s">
        <v>3928</v>
      </c>
      <c r="K6643" s="270">
        <v>6042</v>
      </c>
      <c r="L6643" s="270">
        <v>514900</v>
      </c>
      <c r="M6643" s="270" t="s">
        <v>3960</v>
      </c>
      <c r="N6643" s="270" t="s">
        <v>3944</v>
      </c>
      <c r="O6643" s="270">
        <v>2325.96</v>
      </c>
      <c r="P6643" s="270" t="s">
        <v>3944</v>
      </c>
      <c r="Q6643" s="270" t="s">
        <v>3944</v>
      </c>
      <c r="R6643" s="270">
        <v>2325.96</v>
      </c>
      <c r="S6643" s="270">
        <v>33670.82</v>
      </c>
      <c r="T6643" s="270">
        <v>35996.78</v>
      </c>
      <c r="U6643" s="271" t="s">
        <v>3945</v>
      </c>
      <c r="V6643" s="267" t="s">
        <v>944</v>
      </c>
    </row>
    <row r="6644" spans="1:22" hidden="1" x14ac:dyDescent="0.25">
      <c r="A6644" s="266">
        <v>43774</v>
      </c>
      <c r="B6644" s="267">
        <v>2019</v>
      </c>
      <c r="C6644" s="267">
        <v>2020</v>
      </c>
      <c r="D6644" s="267">
        <v>1</v>
      </c>
      <c r="E6644" s="267">
        <v>1</v>
      </c>
      <c r="F6644" s="267" t="s">
        <v>944</v>
      </c>
      <c r="G6644" s="267" t="s">
        <v>3926</v>
      </c>
      <c r="H6644" s="267" t="s">
        <v>11412</v>
      </c>
      <c r="I6644" s="267" t="s">
        <v>3939</v>
      </c>
      <c r="J6644" s="267" t="s">
        <v>3928</v>
      </c>
      <c r="K6644" s="267">
        <v>6512</v>
      </c>
      <c r="L6644" s="267">
        <v>180100</v>
      </c>
      <c r="M6644" s="267" t="s">
        <v>3940</v>
      </c>
      <c r="N6644" s="267" t="s">
        <v>3944</v>
      </c>
      <c r="O6644" s="267">
        <v>993.65</v>
      </c>
      <c r="P6644" s="267" t="s">
        <v>3944</v>
      </c>
      <c r="Q6644" s="267" t="s">
        <v>3944</v>
      </c>
      <c r="R6644" s="267">
        <v>993.65</v>
      </c>
      <c r="S6644" s="267">
        <v>15777.51</v>
      </c>
      <c r="T6644" s="267">
        <v>16771.16</v>
      </c>
      <c r="U6644" s="268" t="s">
        <v>3945</v>
      </c>
      <c r="V6644" s="267" t="s">
        <v>944</v>
      </c>
    </row>
    <row r="6645" spans="1:22" hidden="1" x14ac:dyDescent="0.25">
      <c r="A6645" s="269">
        <v>43774</v>
      </c>
      <c r="B6645" s="270">
        <v>2019</v>
      </c>
      <c r="C6645" s="270">
        <v>2020</v>
      </c>
      <c r="D6645" s="270">
        <v>1</v>
      </c>
      <c r="E6645" s="270">
        <v>1</v>
      </c>
      <c r="F6645" s="270" t="s">
        <v>944</v>
      </c>
      <c r="G6645" s="270" t="s">
        <v>3926</v>
      </c>
      <c r="H6645" s="270" t="s">
        <v>11413</v>
      </c>
      <c r="I6645" s="270" t="s">
        <v>4073</v>
      </c>
      <c r="J6645" s="270" t="s">
        <v>3928</v>
      </c>
      <c r="K6645" s="270">
        <v>6776</v>
      </c>
      <c r="L6645" s="270">
        <v>253400</v>
      </c>
      <c r="M6645" s="270" t="s">
        <v>3943</v>
      </c>
      <c r="N6645" s="270" t="s">
        <v>3944</v>
      </c>
      <c r="O6645" s="270">
        <v>1150</v>
      </c>
      <c r="P6645" s="270" t="s">
        <v>3944</v>
      </c>
      <c r="Q6645" s="270" t="s">
        <v>3944</v>
      </c>
      <c r="R6645" s="270">
        <v>1150</v>
      </c>
      <c r="S6645" s="270">
        <v>12620</v>
      </c>
      <c r="T6645" s="270">
        <v>13770</v>
      </c>
      <c r="U6645" s="271" t="s">
        <v>3945</v>
      </c>
      <c r="V6645" s="267" t="s">
        <v>944</v>
      </c>
    </row>
    <row r="6646" spans="1:22" hidden="1" x14ac:dyDescent="0.25">
      <c r="A6646" s="266">
        <v>43774</v>
      </c>
      <c r="B6646" s="267">
        <v>2019</v>
      </c>
      <c r="C6646" s="267">
        <v>2020</v>
      </c>
      <c r="D6646" s="267">
        <v>1</v>
      </c>
      <c r="E6646" s="267">
        <v>1</v>
      </c>
      <c r="F6646" s="267" t="s">
        <v>944</v>
      </c>
      <c r="G6646" s="267" t="s">
        <v>3926</v>
      </c>
      <c r="H6646" s="267" t="s">
        <v>11414</v>
      </c>
      <c r="I6646" s="267" t="s">
        <v>4548</v>
      </c>
      <c r="J6646" s="267" t="s">
        <v>3928</v>
      </c>
      <c r="K6646" s="267">
        <v>6023</v>
      </c>
      <c r="L6646" s="267">
        <v>400100</v>
      </c>
      <c r="M6646" s="267" t="s">
        <v>3935</v>
      </c>
      <c r="N6646" s="267" t="s">
        <v>3944</v>
      </c>
      <c r="O6646" s="267">
        <v>898.66</v>
      </c>
      <c r="P6646" s="267" t="s">
        <v>3944</v>
      </c>
      <c r="Q6646" s="267" t="s">
        <v>3944</v>
      </c>
      <c r="R6646" s="267">
        <v>898.66</v>
      </c>
      <c r="S6646" s="267">
        <v>9391.34</v>
      </c>
      <c r="T6646" s="267">
        <v>10290</v>
      </c>
      <c r="U6646" s="268" t="s">
        <v>3945</v>
      </c>
      <c r="V6646" s="267" t="s">
        <v>944</v>
      </c>
    </row>
    <row r="6647" spans="1:22" hidden="1" x14ac:dyDescent="0.25">
      <c r="A6647" s="269">
        <v>43774</v>
      </c>
      <c r="B6647" s="270">
        <v>2019</v>
      </c>
      <c r="C6647" s="270">
        <v>2020</v>
      </c>
      <c r="D6647" s="270">
        <v>1</v>
      </c>
      <c r="E6647" s="270">
        <v>1</v>
      </c>
      <c r="F6647" s="270" t="s">
        <v>944</v>
      </c>
      <c r="G6647" s="270" t="s">
        <v>3926</v>
      </c>
      <c r="H6647" s="270" t="s">
        <v>11415</v>
      </c>
      <c r="I6647" s="270" t="s">
        <v>950</v>
      </c>
      <c r="J6647" s="270" t="s">
        <v>3928</v>
      </c>
      <c r="K6647" s="270">
        <v>6516</v>
      </c>
      <c r="L6647" s="270">
        <v>154700</v>
      </c>
      <c r="M6647" s="270" t="s">
        <v>3960</v>
      </c>
      <c r="N6647" s="270" t="s">
        <v>3944</v>
      </c>
      <c r="O6647" s="270">
        <v>2396.4499999999998</v>
      </c>
      <c r="P6647" s="270" t="s">
        <v>3944</v>
      </c>
      <c r="Q6647" s="270" t="s">
        <v>3944</v>
      </c>
      <c r="R6647" s="270">
        <v>2396.4499999999998</v>
      </c>
      <c r="S6647" s="270">
        <v>40085.300000000003</v>
      </c>
      <c r="T6647" s="270">
        <v>42481.75</v>
      </c>
      <c r="U6647" s="271" t="s">
        <v>3945</v>
      </c>
      <c r="V6647" s="267" t="s">
        <v>944</v>
      </c>
    </row>
    <row r="6648" spans="1:22" hidden="1" x14ac:dyDescent="0.25">
      <c r="A6648" s="266">
        <v>43774</v>
      </c>
      <c r="B6648" s="267">
        <v>2019</v>
      </c>
      <c r="C6648" s="267">
        <v>2020</v>
      </c>
      <c r="D6648" s="267">
        <v>1</v>
      </c>
      <c r="E6648" s="267">
        <v>1</v>
      </c>
      <c r="F6648" s="267" t="s">
        <v>944</v>
      </c>
      <c r="G6648" s="267" t="s">
        <v>3926</v>
      </c>
      <c r="H6648" s="267" t="s">
        <v>11416</v>
      </c>
      <c r="I6648" s="267" t="s">
        <v>953</v>
      </c>
      <c r="J6648" s="267" t="s">
        <v>3928</v>
      </c>
      <c r="K6648" s="267">
        <v>6514</v>
      </c>
      <c r="L6648" s="267">
        <v>165700</v>
      </c>
      <c r="M6648" s="267" t="s">
        <v>3935</v>
      </c>
      <c r="N6648" s="267" t="s">
        <v>3944</v>
      </c>
      <c r="O6648" s="267">
        <v>917.74</v>
      </c>
      <c r="P6648" s="267" t="s">
        <v>3944</v>
      </c>
      <c r="Q6648" s="267" t="s">
        <v>3944</v>
      </c>
      <c r="R6648" s="267">
        <v>917.74</v>
      </c>
      <c r="S6648" s="267">
        <v>14466.86</v>
      </c>
      <c r="T6648" s="267">
        <v>15384.6</v>
      </c>
      <c r="U6648" s="268" t="s">
        <v>3945</v>
      </c>
      <c r="V6648" s="267" t="s">
        <v>944</v>
      </c>
    </row>
    <row r="6649" spans="1:22" hidden="1" x14ac:dyDescent="0.25">
      <c r="A6649" s="269">
        <v>43774</v>
      </c>
      <c r="B6649" s="270">
        <v>2019</v>
      </c>
      <c r="C6649" s="270">
        <v>2020</v>
      </c>
      <c r="D6649" s="270">
        <v>1</v>
      </c>
      <c r="E6649" s="270">
        <v>1</v>
      </c>
      <c r="F6649" s="270" t="s">
        <v>944</v>
      </c>
      <c r="G6649" s="270" t="s">
        <v>3926</v>
      </c>
      <c r="H6649" s="270" t="s">
        <v>11417</v>
      </c>
      <c r="I6649" s="270" t="s">
        <v>4407</v>
      </c>
      <c r="J6649" s="270" t="s">
        <v>3928</v>
      </c>
      <c r="K6649" s="270">
        <v>6238</v>
      </c>
      <c r="L6649" s="270">
        <v>850100</v>
      </c>
      <c r="M6649" s="270" t="s">
        <v>3960</v>
      </c>
      <c r="N6649" s="270" t="s">
        <v>3944</v>
      </c>
      <c r="O6649" s="270">
        <v>1656.27</v>
      </c>
      <c r="P6649" s="270" t="s">
        <v>3944</v>
      </c>
      <c r="Q6649" s="270" t="s">
        <v>3944</v>
      </c>
      <c r="R6649" s="270">
        <v>1656.27</v>
      </c>
      <c r="S6649" s="270">
        <v>24257.17</v>
      </c>
      <c r="T6649" s="270">
        <v>25913.439999999999</v>
      </c>
      <c r="U6649" s="271" t="s">
        <v>3945</v>
      </c>
      <c r="V6649" s="267" t="s">
        <v>944</v>
      </c>
    </row>
    <row r="6650" spans="1:22" hidden="1" x14ac:dyDescent="0.25">
      <c r="A6650" s="266">
        <v>43774</v>
      </c>
      <c r="B6650" s="267">
        <v>2019</v>
      </c>
      <c r="C6650" s="267">
        <v>2020</v>
      </c>
      <c r="D6650" s="267">
        <v>1</v>
      </c>
      <c r="E6650" s="267">
        <v>1</v>
      </c>
      <c r="F6650" s="267" t="s">
        <v>944</v>
      </c>
      <c r="G6650" s="267" t="s">
        <v>3926</v>
      </c>
      <c r="H6650" s="267" t="s">
        <v>11418</v>
      </c>
      <c r="I6650" s="267" t="s">
        <v>4147</v>
      </c>
      <c r="J6650" s="267" t="s">
        <v>3928</v>
      </c>
      <c r="K6650" s="267">
        <v>6109</v>
      </c>
      <c r="L6650" s="267">
        <v>492300</v>
      </c>
      <c r="M6650" s="267" t="s">
        <v>3940</v>
      </c>
      <c r="N6650" s="267" t="s">
        <v>3944</v>
      </c>
      <c r="O6650" s="267">
        <v>2220.79</v>
      </c>
      <c r="P6650" s="267" t="s">
        <v>3944</v>
      </c>
      <c r="Q6650" s="267" t="s">
        <v>3944</v>
      </c>
      <c r="R6650" s="267">
        <v>2220.79</v>
      </c>
      <c r="S6650" s="267">
        <v>33765.75</v>
      </c>
      <c r="T6650" s="267">
        <v>35986.54</v>
      </c>
      <c r="U6650" s="268" t="s">
        <v>3945</v>
      </c>
      <c r="V6650" s="267" t="s">
        <v>944</v>
      </c>
    </row>
    <row r="6651" spans="1:22" hidden="1" x14ac:dyDescent="0.25">
      <c r="A6651" s="269">
        <v>43774</v>
      </c>
      <c r="B6651" s="270">
        <v>2019</v>
      </c>
      <c r="C6651" s="270">
        <v>2020</v>
      </c>
      <c r="D6651" s="270">
        <v>1</v>
      </c>
      <c r="E6651" s="270">
        <v>1</v>
      </c>
      <c r="F6651" s="270" t="s">
        <v>944</v>
      </c>
      <c r="G6651" s="270" t="s">
        <v>3926</v>
      </c>
      <c r="H6651" s="270" t="s">
        <v>11419</v>
      </c>
      <c r="I6651" s="270" t="s">
        <v>3999</v>
      </c>
      <c r="J6651" s="270" t="s">
        <v>3928</v>
      </c>
      <c r="K6651" s="270">
        <v>6450</v>
      </c>
      <c r="L6651" s="270">
        <v>171200</v>
      </c>
      <c r="M6651" s="270" t="s">
        <v>3960</v>
      </c>
      <c r="N6651" s="270" t="s">
        <v>3944</v>
      </c>
      <c r="O6651" s="270">
        <v>1543.22</v>
      </c>
      <c r="P6651" s="270" t="s">
        <v>3944</v>
      </c>
      <c r="Q6651" s="270" t="s">
        <v>3944</v>
      </c>
      <c r="R6651" s="270">
        <v>1543.22</v>
      </c>
      <c r="S6651" s="270">
        <v>16620.78</v>
      </c>
      <c r="T6651" s="270">
        <v>18164</v>
      </c>
      <c r="U6651" s="271" t="s">
        <v>3945</v>
      </c>
      <c r="V6651" s="267" t="s">
        <v>944</v>
      </c>
    </row>
    <row r="6652" spans="1:22" hidden="1" x14ac:dyDescent="0.25">
      <c r="A6652" s="266">
        <v>43774</v>
      </c>
      <c r="B6652" s="267">
        <v>2019</v>
      </c>
      <c r="C6652" s="267">
        <v>2020</v>
      </c>
      <c r="D6652" s="267">
        <v>1</v>
      </c>
      <c r="E6652" s="267">
        <v>1</v>
      </c>
      <c r="F6652" s="267" t="s">
        <v>944</v>
      </c>
      <c r="G6652" s="267" t="s">
        <v>3926</v>
      </c>
      <c r="H6652" s="267" t="s">
        <v>11420</v>
      </c>
      <c r="I6652" s="267" t="s">
        <v>3008</v>
      </c>
      <c r="J6652" s="267" t="s">
        <v>3928</v>
      </c>
      <c r="K6652" s="267">
        <v>6461</v>
      </c>
      <c r="L6652" s="267">
        <v>150800</v>
      </c>
      <c r="M6652" s="267" t="s">
        <v>3960</v>
      </c>
      <c r="N6652" s="267" t="s">
        <v>3944</v>
      </c>
      <c r="O6652" s="267">
        <v>1766.59</v>
      </c>
      <c r="P6652" s="267" t="s">
        <v>3944</v>
      </c>
      <c r="Q6652" s="267" t="s">
        <v>3944</v>
      </c>
      <c r="R6652" s="267">
        <v>1766.59</v>
      </c>
      <c r="S6652" s="267">
        <v>26205.41</v>
      </c>
      <c r="T6652" s="267">
        <v>27972</v>
      </c>
      <c r="U6652" s="268" t="s">
        <v>3945</v>
      </c>
      <c r="V6652" s="267" t="s">
        <v>944</v>
      </c>
    </row>
    <row r="6653" spans="1:22" hidden="1" x14ac:dyDescent="0.25">
      <c r="A6653" s="269">
        <v>43774</v>
      </c>
      <c r="B6653" s="270">
        <v>2019</v>
      </c>
      <c r="C6653" s="270">
        <v>2020</v>
      </c>
      <c r="D6653" s="270">
        <v>1</v>
      </c>
      <c r="E6653" s="270">
        <v>1</v>
      </c>
      <c r="F6653" s="270" t="s">
        <v>944</v>
      </c>
      <c r="G6653" s="270" t="s">
        <v>3926</v>
      </c>
      <c r="H6653" s="270" t="s">
        <v>11421</v>
      </c>
      <c r="I6653" s="270" t="s">
        <v>3012</v>
      </c>
      <c r="J6653" s="270" t="s">
        <v>3928</v>
      </c>
      <c r="K6653" s="270">
        <v>6477</v>
      </c>
      <c r="L6653" s="270">
        <v>157200</v>
      </c>
      <c r="M6653" s="270" t="s">
        <v>3943</v>
      </c>
      <c r="N6653" s="270" t="s">
        <v>3944</v>
      </c>
      <c r="O6653" s="270">
        <v>2630.81</v>
      </c>
      <c r="P6653" s="270" t="s">
        <v>3944</v>
      </c>
      <c r="Q6653" s="270" t="s">
        <v>3944</v>
      </c>
      <c r="R6653" s="270">
        <v>2630.81</v>
      </c>
      <c r="S6653" s="270">
        <v>48496.26</v>
      </c>
      <c r="T6653" s="270">
        <v>51127.07</v>
      </c>
      <c r="U6653" s="271" t="s">
        <v>3945</v>
      </c>
      <c r="V6653" s="267" t="s">
        <v>944</v>
      </c>
    </row>
    <row r="6654" spans="1:22" hidden="1" x14ac:dyDescent="0.25">
      <c r="A6654" s="266">
        <v>43774</v>
      </c>
      <c r="B6654" s="267">
        <v>2019</v>
      </c>
      <c r="C6654" s="267">
        <v>2020</v>
      </c>
      <c r="D6654" s="267">
        <v>1</v>
      </c>
      <c r="E6654" s="267">
        <v>1</v>
      </c>
      <c r="F6654" s="267" t="s">
        <v>944</v>
      </c>
      <c r="G6654" s="267" t="s">
        <v>3926</v>
      </c>
      <c r="H6654" s="267" t="s">
        <v>11422</v>
      </c>
      <c r="I6654" s="267" t="s">
        <v>3009</v>
      </c>
      <c r="J6654" s="267" t="s">
        <v>3928</v>
      </c>
      <c r="K6654" s="267">
        <v>6484</v>
      </c>
      <c r="L6654" s="267">
        <v>110600</v>
      </c>
      <c r="M6654" s="267" t="s">
        <v>3943</v>
      </c>
      <c r="N6654" s="267" t="s">
        <v>3944</v>
      </c>
      <c r="O6654" s="267">
        <v>2407.86</v>
      </c>
      <c r="P6654" s="267" t="s">
        <v>3944</v>
      </c>
      <c r="Q6654" s="267" t="s">
        <v>3944</v>
      </c>
      <c r="R6654" s="267">
        <v>2407.86</v>
      </c>
      <c r="S6654" s="267">
        <v>38151.54</v>
      </c>
      <c r="T6654" s="267">
        <v>40559.4</v>
      </c>
      <c r="U6654" s="268" t="s">
        <v>3945</v>
      </c>
      <c r="V6654" s="267" t="s">
        <v>944</v>
      </c>
    </row>
    <row r="6655" spans="1:22" hidden="1" x14ac:dyDescent="0.25">
      <c r="A6655" s="269">
        <v>43774</v>
      </c>
      <c r="B6655" s="270">
        <v>2019</v>
      </c>
      <c r="C6655" s="270">
        <v>2020</v>
      </c>
      <c r="D6655" s="270">
        <v>1</v>
      </c>
      <c r="E6655" s="270">
        <v>1</v>
      </c>
      <c r="F6655" s="270" t="s">
        <v>944</v>
      </c>
      <c r="G6655" s="270" t="s">
        <v>3926</v>
      </c>
      <c r="H6655" s="270" t="s">
        <v>11423</v>
      </c>
      <c r="I6655" s="270" t="s">
        <v>4029</v>
      </c>
      <c r="J6655" s="270" t="s">
        <v>3928</v>
      </c>
      <c r="K6655" s="270">
        <v>6851</v>
      </c>
      <c r="L6655" s="270">
        <v>42700</v>
      </c>
      <c r="M6655" s="270" t="s">
        <v>3960</v>
      </c>
      <c r="N6655" s="270" t="s">
        <v>3944</v>
      </c>
      <c r="O6655" s="270">
        <v>1938.13</v>
      </c>
      <c r="P6655" s="270" t="s">
        <v>3944</v>
      </c>
      <c r="Q6655" s="270" t="s">
        <v>3944</v>
      </c>
      <c r="R6655" s="270">
        <v>1938.13</v>
      </c>
      <c r="S6655" s="270">
        <v>15319.87</v>
      </c>
      <c r="T6655" s="270">
        <v>17258</v>
      </c>
      <c r="U6655" s="271" t="s">
        <v>3945</v>
      </c>
      <c r="V6655" s="267" t="s">
        <v>944</v>
      </c>
    </row>
    <row r="6656" spans="1:22" hidden="1" x14ac:dyDescent="0.25">
      <c r="A6656" s="266">
        <v>43774</v>
      </c>
      <c r="B6656" s="267">
        <v>2019</v>
      </c>
      <c r="C6656" s="267">
        <v>2020</v>
      </c>
      <c r="D6656" s="267">
        <v>1</v>
      </c>
      <c r="E6656" s="267">
        <v>1</v>
      </c>
      <c r="F6656" s="267" t="s">
        <v>944</v>
      </c>
      <c r="G6656" s="267" t="s">
        <v>3926</v>
      </c>
      <c r="H6656" s="267" t="s">
        <v>11424</v>
      </c>
      <c r="I6656" s="267" t="s">
        <v>3990</v>
      </c>
      <c r="J6656" s="267" t="s">
        <v>3928</v>
      </c>
      <c r="K6656" s="267">
        <v>6804</v>
      </c>
      <c r="L6656" s="267">
        <v>205200</v>
      </c>
      <c r="M6656" s="267" t="s">
        <v>3943</v>
      </c>
      <c r="N6656" s="267" t="s">
        <v>3944</v>
      </c>
      <c r="O6656" s="267">
        <v>1958.43</v>
      </c>
      <c r="P6656" s="267" t="s">
        <v>3944</v>
      </c>
      <c r="Q6656" s="267" t="s">
        <v>3944</v>
      </c>
      <c r="R6656" s="267">
        <v>1958.43</v>
      </c>
      <c r="S6656" s="267">
        <v>12494.57</v>
      </c>
      <c r="T6656" s="267">
        <v>14453</v>
      </c>
      <c r="U6656" s="268" t="s">
        <v>3945</v>
      </c>
      <c r="V6656" s="267" t="s">
        <v>944</v>
      </c>
    </row>
    <row r="6657" spans="1:22" hidden="1" x14ac:dyDescent="0.25">
      <c r="A6657" s="269">
        <v>43774</v>
      </c>
      <c r="B6657" s="270">
        <v>2019</v>
      </c>
      <c r="C6657" s="270">
        <v>2020</v>
      </c>
      <c r="D6657" s="270">
        <v>1</v>
      </c>
      <c r="E6657" s="270">
        <v>1</v>
      </c>
      <c r="F6657" s="270" t="s">
        <v>944</v>
      </c>
      <c r="G6657" s="270" t="s">
        <v>3926</v>
      </c>
      <c r="H6657" s="270" t="s">
        <v>11425</v>
      </c>
      <c r="I6657" s="270" t="s">
        <v>5122</v>
      </c>
      <c r="J6657" s="270" t="s">
        <v>3928</v>
      </c>
      <c r="K6657" s="270">
        <v>6019</v>
      </c>
      <c r="L6657" s="270">
        <v>464102</v>
      </c>
      <c r="M6657" s="270" t="s">
        <v>3935</v>
      </c>
      <c r="N6657" s="270" t="s">
        <v>3944</v>
      </c>
      <c r="O6657" s="270">
        <v>896.35</v>
      </c>
      <c r="P6657" s="270" t="s">
        <v>3944</v>
      </c>
      <c r="Q6657" s="270" t="s">
        <v>3944</v>
      </c>
      <c r="R6657" s="270">
        <v>896.35</v>
      </c>
      <c r="S6657" s="270">
        <v>11364.65</v>
      </c>
      <c r="T6657" s="270">
        <v>12261</v>
      </c>
      <c r="U6657" s="271" t="s">
        <v>3945</v>
      </c>
      <c r="V6657" s="267" t="s">
        <v>944</v>
      </c>
    </row>
    <row r="6658" spans="1:22" hidden="1" x14ac:dyDescent="0.25">
      <c r="A6658" s="266">
        <v>43774</v>
      </c>
      <c r="B6658" s="267">
        <v>2019</v>
      </c>
      <c r="C6658" s="267">
        <v>2020</v>
      </c>
      <c r="D6658" s="267">
        <v>1</v>
      </c>
      <c r="E6658" s="267">
        <v>1</v>
      </c>
      <c r="F6658" s="267" t="s">
        <v>944</v>
      </c>
      <c r="G6658" s="267" t="s">
        <v>3926</v>
      </c>
      <c r="H6658" s="267" t="s">
        <v>11426</v>
      </c>
      <c r="I6658" s="267" t="s">
        <v>4552</v>
      </c>
      <c r="J6658" s="267" t="s">
        <v>3928</v>
      </c>
      <c r="K6658" s="267">
        <v>6423</v>
      </c>
      <c r="L6658" s="267">
        <v>595101</v>
      </c>
      <c r="M6658" s="267" t="s">
        <v>3943</v>
      </c>
      <c r="N6658" s="267" t="s">
        <v>3944</v>
      </c>
      <c r="O6658" s="267">
        <v>1354.08</v>
      </c>
      <c r="P6658" s="267" t="s">
        <v>3944</v>
      </c>
      <c r="Q6658" s="267" t="s">
        <v>3944</v>
      </c>
      <c r="R6658" s="267">
        <v>1354.08</v>
      </c>
      <c r="S6658" s="267">
        <v>15157.92</v>
      </c>
      <c r="T6658" s="267">
        <v>16512</v>
      </c>
      <c r="U6658" s="268" t="s">
        <v>3945</v>
      </c>
      <c r="V6658" s="267" t="s">
        <v>944</v>
      </c>
    </row>
    <row r="6659" spans="1:22" hidden="1" x14ac:dyDescent="0.25">
      <c r="A6659" s="269">
        <v>43774</v>
      </c>
      <c r="B6659" s="270">
        <v>2019</v>
      </c>
      <c r="C6659" s="270">
        <v>2020</v>
      </c>
      <c r="D6659" s="270">
        <v>1</v>
      </c>
      <c r="E6659" s="270">
        <v>1</v>
      </c>
      <c r="F6659" s="270" t="s">
        <v>944</v>
      </c>
      <c r="G6659" s="270" t="s">
        <v>3926</v>
      </c>
      <c r="H6659" s="270" t="s">
        <v>11427</v>
      </c>
      <c r="I6659" s="270" t="s">
        <v>3939</v>
      </c>
      <c r="J6659" s="270" t="s">
        <v>3928</v>
      </c>
      <c r="K6659" s="270">
        <v>6512</v>
      </c>
      <c r="L6659" s="270">
        <v>180601</v>
      </c>
      <c r="M6659" s="270" t="s">
        <v>3940</v>
      </c>
      <c r="N6659" s="270" t="s">
        <v>3944</v>
      </c>
      <c r="O6659" s="270">
        <v>1420.06</v>
      </c>
      <c r="P6659" s="270" t="s">
        <v>3944</v>
      </c>
      <c r="Q6659" s="270" t="s">
        <v>3944</v>
      </c>
      <c r="R6659" s="270">
        <v>1420.06</v>
      </c>
      <c r="S6659" s="270">
        <v>23392.79</v>
      </c>
      <c r="T6659" s="270">
        <v>24812.85</v>
      </c>
      <c r="U6659" s="271" t="s">
        <v>3945</v>
      </c>
      <c r="V6659" s="267" t="s">
        <v>944</v>
      </c>
    </row>
    <row r="6660" spans="1:22" hidden="1" x14ac:dyDescent="0.25">
      <c r="A6660" s="266">
        <v>43774</v>
      </c>
      <c r="B6660" s="267">
        <v>2019</v>
      </c>
      <c r="C6660" s="267">
        <v>2020</v>
      </c>
      <c r="D6660" s="267">
        <v>1</v>
      </c>
      <c r="E6660" s="267">
        <v>1</v>
      </c>
      <c r="F6660" s="267" t="s">
        <v>944</v>
      </c>
      <c r="G6660" s="267" t="s">
        <v>3926</v>
      </c>
      <c r="H6660" s="267" t="s">
        <v>11428</v>
      </c>
      <c r="I6660" s="267" t="s">
        <v>4005</v>
      </c>
      <c r="J6660" s="267" t="s">
        <v>3928</v>
      </c>
      <c r="K6660" s="267">
        <v>6118</v>
      </c>
      <c r="L6660" s="267">
        <v>510600</v>
      </c>
      <c r="M6660" s="267">
        <v>-60</v>
      </c>
      <c r="N6660" s="267" t="s">
        <v>3944</v>
      </c>
      <c r="O6660" s="267">
        <v>1013.15</v>
      </c>
      <c r="P6660" s="267" t="s">
        <v>3944</v>
      </c>
      <c r="Q6660" s="267" t="s">
        <v>3944</v>
      </c>
      <c r="R6660" s="267">
        <v>1013.15</v>
      </c>
      <c r="S6660" s="267">
        <v>14734.93</v>
      </c>
      <c r="T6660" s="267">
        <v>15748.08</v>
      </c>
      <c r="U6660" s="268" t="s">
        <v>3945</v>
      </c>
      <c r="V6660" s="267" t="s">
        <v>944</v>
      </c>
    </row>
    <row r="6661" spans="1:22" hidden="1" x14ac:dyDescent="0.25">
      <c r="A6661" s="269">
        <v>43774</v>
      </c>
      <c r="B6661" s="270">
        <v>2019</v>
      </c>
      <c r="C6661" s="270">
        <v>2020</v>
      </c>
      <c r="D6661" s="270">
        <v>1</v>
      </c>
      <c r="E6661" s="270">
        <v>1</v>
      </c>
      <c r="F6661" s="270" t="s">
        <v>944</v>
      </c>
      <c r="G6661" s="270" t="s">
        <v>3926</v>
      </c>
      <c r="H6661" s="270" t="s">
        <v>11429</v>
      </c>
      <c r="I6661" s="270" t="s">
        <v>5410</v>
      </c>
      <c r="J6661" s="270" t="s">
        <v>3928</v>
      </c>
      <c r="K6661" s="270">
        <v>6712</v>
      </c>
      <c r="L6661" s="270">
        <v>347200</v>
      </c>
      <c r="M6661" s="270" t="s">
        <v>3960</v>
      </c>
      <c r="N6661" s="270" t="s">
        <v>3944</v>
      </c>
      <c r="O6661" s="270">
        <v>2262.4699999999998</v>
      </c>
      <c r="P6661" s="270" t="s">
        <v>3944</v>
      </c>
      <c r="Q6661" s="270" t="s">
        <v>3944</v>
      </c>
      <c r="R6661" s="270">
        <v>2262.4699999999998</v>
      </c>
      <c r="S6661" s="270">
        <v>18231.53</v>
      </c>
      <c r="T6661" s="270">
        <v>20494</v>
      </c>
      <c r="U6661" s="271" t="s">
        <v>3945</v>
      </c>
      <c r="V6661" s="267" t="s">
        <v>944</v>
      </c>
    </row>
    <row r="6662" spans="1:22" hidden="1" x14ac:dyDescent="0.25">
      <c r="A6662" s="266">
        <v>43774</v>
      </c>
      <c r="B6662" s="267">
        <v>2019</v>
      </c>
      <c r="C6662" s="267">
        <v>2020</v>
      </c>
      <c r="D6662" s="267">
        <v>1</v>
      </c>
      <c r="E6662" s="267">
        <v>1</v>
      </c>
      <c r="F6662" s="267" t="s">
        <v>944</v>
      </c>
      <c r="G6662" s="267" t="s">
        <v>3926</v>
      </c>
      <c r="H6662" s="267" t="s">
        <v>11430</v>
      </c>
      <c r="I6662" s="267" t="s">
        <v>4005</v>
      </c>
      <c r="J6662" s="267" t="s">
        <v>3928</v>
      </c>
      <c r="K6662" s="267">
        <v>6108</v>
      </c>
      <c r="L6662" s="267">
        <v>510400</v>
      </c>
      <c r="M6662" s="267">
        <v>-60</v>
      </c>
      <c r="N6662" s="267" t="s">
        <v>3944</v>
      </c>
      <c r="O6662" s="267">
        <v>1496.99</v>
      </c>
      <c r="P6662" s="267" t="s">
        <v>3944</v>
      </c>
      <c r="Q6662" s="267" t="s">
        <v>3944</v>
      </c>
      <c r="R6662" s="267">
        <v>1496.99</v>
      </c>
      <c r="S6662" s="267">
        <v>13541.01</v>
      </c>
      <c r="T6662" s="267">
        <v>15038</v>
      </c>
      <c r="U6662" s="268" t="s">
        <v>3945</v>
      </c>
      <c r="V6662" s="267" t="s">
        <v>944</v>
      </c>
    </row>
    <row r="6663" spans="1:22" hidden="1" x14ac:dyDescent="0.25">
      <c r="A6663" s="269">
        <v>43774</v>
      </c>
      <c r="B6663" s="270">
        <v>2019</v>
      </c>
      <c r="C6663" s="270">
        <v>2020</v>
      </c>
      <c r="D6663" s="270">
        <v>1</v>
      </c>
      <c r="E6663" s="270">
        <v>1</v>
      </c>
      <c r="F6663" s="270" t="s">
        <v>944</v>
      </c>
      <c r="G6663" s="270" t="s">
        <v>3926</v>
      </c>
      <c r="H6663" s="270" t="s">
        <v>11431</v>
      </c>
      <c r="I6663" s="270" t="s">
        <v>950</v>
      </c>
      <c r="J6663" s="270" t="s">
        <v>3928</v>
      </c>
      <c r="K6663" s="270">
        <v>6516</v>
      </c>
      <c r="L6663" s="270">
        <v>154800</v>
      </c>
      <c r="M6663" s="270" t="s">
        <v>3960</v>
      </c>
      <c r="N6663" s="270" t="s">
        <v>3944</v>
      </c>
      <c r="O6663" s="270">
        <v>1223.8499999999999</v>
      </c>
      <c r="P6663" s="270" t="s">
        <v>3944</v>
      </c>
      <c r="Q6663" s="270" t="s">
        <v>3944</v>
      </c>
      <c r="R6663" s="270">
        <v>1223.8499999999999</v>
      </c>
      <c r="S6663" s="270">
        <v>10616.15</v>
      </c>
      <c r="T6663" s="270">
        <v>11840</v>
      </c>
      <c r="U6663" s="271" t="s">
        <v>3945</v>
      </c>
      <c r="V6663" s="267" t="s">
        <v>944</v>
      </c>
    </row>
    <row r="6664" spans="1:22" hidden="1" x14ac:dyDescent="0.25">
      <c r="A6664" s="266">
        <v>43774</v>
      </c>
      <c r="B6664" s="267">
        <v>2019</v>
      </c>
      <c r="C6664" s="267">
        <v>2020</v>
      </c>
      <c r="D6664" s="267">
        <v>1</v>
      </c>
      <c r="E6664" s="267">
        <v>1</v>
      </c>
      <c r="F6664" s="267" t="s">
        <v>944</v>
      </c>
      <c r="G6664" s="267" t="s">
        <v>3926</v>
      </c>
      <c r="H6664" s="267" t="s">
        <v>11432</v>
      </c>
      <c r="I6664" s="267" t="s">
        <v>4699</v>
      </c>
      <c r="J6664" s="267" t="s">
        <v>3928</v>
      </c>
      <c r="K6664" s="267">
        <v>6377</v>
      </c>
      <c r="L6664" s="267">
        <v>908100</v>
      </c>
      <c r="M6664" s="267" t="s">
        <v>3935</v>
      </c>
      <c r="N6664" s="267" t="s">
        <v>3944</v>
      </c>
      <c r="O6664" s="267">
        <v>1437.87</v>
      </c>
      <c r="P6664" s="267" t="s">
        <v>3944</v>
      </c>
      <c r="Q6664" s="267" t="s">
        <v>3944</v>
      </c>
      <c r="R6664" s="267">
        <v>1437.87</v>
      </c>
      <c r="S6664" s="267">
        <v>20659.38</v>
      </c>
      <c r="T6664" s="267">
        <v>22097.25</v>
      </c>
      <c r="U6664" s="268" t="s">
        <v>3945</v>
      </c>
      <c r="V6664" s="267" t="s">
        <v>944</v>
      </c>
    </row>
    <row r="6665" spans="1:22" hidden="1" x14ac:dyDescent="0.25">
      <c r="A6665" s="269">
        <v>43774</v>
      </c>
      <c r="B6665" s="270">
        <v>2019</v>
      </c>
      <c r="C6665" s="270">
        <v>2020</v>
      </c>
      <c r="D6665" s="270">
        <v>1</v>
      </c>
      <c r="E6665" s="270">
        <v>1</v>
      </c>
      <c r="F6665" s="270" t="s">
        <v>944</v>
      </c>
      <c r="G6665" s="270" t="s">
        <v>3926</v>
      </c>
      <c r="H6665" s="270" t="s">
        <v>11433</v>
      </c>
      <c r="I6665" s="270" t="s">
        <v>4016</v>
      </c>
      <c r="J6665" s="270" t="s">
        <v>3928</v>
      </c>
      <c r="K6665" s="270">
        <v>6770</v>
      </c>
      <c r="L6665" s="270">
        <v>351900</v>
      </c>
      <c r="M6665" s="270" t="s">
        <v>3935</v>
      </c>
      <c r="N6665" s="270" t="s">
        <v>3944</v>
      </c>
      <c r="O6665" s="270">
        <v>1603.81</v>
      </c>
      <c r="P6665" s="270" t="s">
        <v>3944</v>
      </c>
      <c r="Q6665" s="270" t="s">
        <v>3944</v>
      </c>
      <c r="R6665" s="270">
        <v>1603.81</v>
      </c>
      <c r="S6665" s="270">
        <v>24472.43</v>
      </c>
      <c r="T6665" s="270">
        <v>26076.240000000002</v>
      </c>
      <c r="U6665" s="271" t="s">
        <v>3945</v>
      </c>
      <c r="V6665" s="267" t="s">
        <v>944</v>
      </c>
    </row>
    <row r="6666" spans="1:22" hidden="1" x14ac:dyDescent="0.25">
      <c r="A6666" s="266">
        <v>43774</v>
      </c>
      <c r="B6666" s="267">
        <v>2019</v>
      </c>
      <c r="C6666" s="267">
        <v>2020</v>
      </c>
      <c r="D6666" s="267">
        <v>1</v>
      </c>
      <c r="E6666" s="267">
        <v>1</v>
      </c>
      <c r="F6666" s="267" t="s">
        <v>944</v>
      </c>
      <c r="G6666" s="267" t="s">
        <v>3926</v>
      </c>
      <c r="H6666" s="267" t="s">
        <v>11434</v>
      </c>
      <c r="I6666" s="267" t="s">
        <v>4269</v>
      </c>
      <c r="J6666" s="267" t="s">
        <v>3928</v>
      </c>
      <c r="K6666" s="267">
        <v>6110</v>
      </c>
      <c r="L6666" s="267">
        <v>496800</v>
      </c>
      <c r="M6666" s="267" t="s">
        <v>3935</v>
      </c>
      <c r="N6666" s="267" t="s">
        <v>3944</v>
      </c>
      <c r="O6666" s="267">
        <v>1420.06</v>
      </c>
      <c r="P6666" s="267" t="s">
        <v>3944</v>
      </c>
      <c r="Q6666" s="267" t="s">
        <v>3944</v>
      </c>
      <c r="R6666" s="267">
        <v>1420.06</v>
      </c>
      <c r="S6666" s="267">
        <v>22061.34</v>
      </c>
      <c r="T6666" s="267">
        <v>23481.4</v>
      </c>
      <c r="U6666" s="268" t="s">
        <v>3945</v>
      </c>
      <c r="V6666" s="267" t="s">
        <v>944</v>
      </c>
    </row>
    <row r="6667" spans="1:22" hidden="1" x14ac:dyDescent="0.25">
      <c r="A6667" s="269">
        <v>43774</v>
      </c>
      <c r="B6667" s="270">
        <v>2019</v>
      </c>
      <c r="C6667" s="270">
        <v>2020</v>
      </c>
      <c r="D6667" s="270">
        <v>1</v>
      </c>
      <c r="E6667" s="270">
        <v>1</v>
      </c>
      <c r="F6667" s="270" t="s">
        <v>944</v>
      </c>
      <c r="G6667" s="270" t="s">
        <v>3926</v>
      </c>
      <c r="H6667" s="270" t="s">
        <v>11435</v>
      </c>
      <c r="I6667" s="270" t="s">
        <v>4159</v>
      </c>
      <c r="J6667" s="270" t="s">
        <v>3928</v>
      </c>
      <c r="K6667" s="270">
        <v>6016</v>
      </c>
      <c r="L6667" s="270">
        <v>484200</v>
      </c>
      <c r="M6667" s="270" t="s">
        <v>3935</v>
      </c>
      <c r="N6667" s="270" t="s">
        <v>3944</v>
      </c>
      <c r="O6667" s="270">
        <v>1467.73</v>
      </c>
      <c r="P6667" s="270" t="s">
        <v>3944</v>
      </c>
      <c r="Q6667" s="270" t="s">
        <v>3944</v>
      </c>
      <c r="R6667" s="270">
        <v>1467.73</v>
      </c>
      <c r="S6667" s="270">
        <v>13790.27</v>
      </c>
      <c r="T6667" s="270">
        <v>15258</v>
      </c>
      <c r="U6667" s="271" t="s">
        <v>3945</v>
      </c>
      <c r="V6667" s="267" t="s">
        <v>944</v>
      </c>
    </row>
    <row r="6668" spans="1:22" hidden="1" x14ac:dyDescent="0.25">
      <c r="A6668" s="266">
        <v>43774</v>
      </c>
      <c r="B6668" s="267">
        <v>2019</v>
      </c>
      <c r="C6668" s="267">
        <v>2020</v>
      </c>
      <c r="D6668" s="267">
        <v>1</v>
      </c>
      <c r="E6668" s="267">
        <v>1</v>
      </c>
      <c r="F6668" s="267" t="s">
        <v>944</v>
      </c>
      <c r="G6668" s="267" t="s">
        <v>3926</v>
      </c>
      <c r="H6668" s="267" t="s">
        <v>11436</v>
      </c>
      <c r="I6668" s="267" t="s">
        <v>950</v>
      </c>
      <c r="J6668" s="267" t="s">
        <v>3928</v>
      </c>
      <c r="K6668" s="267">
        <v>6516</v>
      </c>
      <c r="L6668" s="267">
        <v>154700</v>
      </c>
      <c r="M6668" s="267" t="s">
        <v>3960</v>
      </c>
      <c r="N6668" s="267" t="s">
        <v>3944</v>
      </c>
      <c r="O6668" s="267">
        <v>944.06</v>
      </c>
      <c r="P6668" s="267" t="s">
        <v>3944</v>
      </c>
      <c r="Q6668" s="267" t="s">
        <v>3944</v>
      </c>
      <c r="R6668" s="267">
        <v>944.06</v>
      </c>
      <c r="S6668" s="267">
        <v>15839.14</v>
      </c>
      <c r="T6668" s="267">
        <v>16783.2</v>
      </c>
      <c r="U6668" s="268" t="s">
        <v>3945</v>
      </c>
      <c r="V6668" s="267" t="s">
        <v>944</v>
      </c>
    </row>
    <row r="6669" spans="1:22" hidden="1" x14ac:dyDescent="0.25">
      <c r="A6669" s="269">
        <v>43774</v>
      </c>
      <c r="B6669" s="270">
        <v>2019</v>
      </c>
      <c r="C6669" s="270">
        <v>2020</v>
      </c>
      <c r="D6669" s="270">
        <v>1</v>
      </c>
      <c r="E6669" s="270">
        <v>1</v>
      </c>
      <c r="F6669" s="270" t="s">
        <v>944</v>
      </c>
      <c r="G6669" s="270" t="s">
        <v>3926</v>
      </c>
      <c r="H6669" s="270" t="s">
        <v>11437</v>
      </c>
      <c r="I6669" s="270" t="s">
        <v>4124</v>
      </c>
      <c r="J6669" s="270" t="s">
        <v>3928</v>
      </c>
      <c r="K6669" s="270">
        <v>6482</v>
      </c>
      <c r="L6669" s="270">
        <v>230100</v>
      </c>
      <c r="M6669" s="270" t="s">
        <v>3943</v>
      </c>
      <c r="N6669" s="270" t="s">
        <v>3944</v>
      </c>
      <c r="O6669" s="270">
        <v>2810.85</v>
      </c>
      <c r="P6669" s="270" t="s">
        <v>3944</v>
      </c>
      <c r="Q6669" s="270" t="s">
        <v>3944</v>
      </c>
      <c r="R6669" s="270">
        <v>2810.85</v>
      </c>
      <c r="S6669" s="270">
        <v>38982.019999999997</v>
      </c>
      <c r="T6669" s="270">
        <v>41792.870000000003</v>
      </c>
      <c r="U6669" s="271" t="s">
        <v>3945</v>
      </c>
      <c r="V6669" s="267" t="s">
        <v>944</v>
      </c>
    </row>
    <row r="6670" spans="1:22" hidden="1" x14ac:dyDescent="0.25">
      <c r="A6670" s="266">
        <v>43774</v>
      </c>
      <c r="B6670" s="267">
        <v>2019</v>
      </c>
      <c r="C6670" s="267">
        <v>2020</v>
      </c>
      <c r="D6670" s="267">
        <v>1</v>
      </c>
      <c r="E6670" s="267">
        <v>1</v>
      </c>
      <c r="F6670" s="267" t="s">
        <v>944</v>
      </c>
      <c r="G6670" s="267" t="s">
        <v>3926</v>
      </c>
      <c r="H6670" s="267" t="s">
        <v>11438</v>
      </c>
      <c r="I6670" s="267" t="s">
        <v>4019</v>
      </c>
      <c r="J6670" s="267" t="s">
        <v>3928</v>
      </c>
      <c r="K6670" s="267">
        <v>6705</v>
      </c>
      <c r="L6670" s="267">
        <v>352702</v>
      </c>
      <c r="M6670" s="267" t="s">
        <v>3940</v>
      </c>
      <c r="N6670" s="267" t="s">
        <v>3944</v>
      </c>
      <c r="O6670" s="267">
        <v>3374.35</v>
      </c>
      <c r="P6670" s="267" t="s">
        <v>3944</v>
      </c>
      <c r="Q6670" s="267" t="s">
        <v>3944</v>
      </c>
      <c r="R6670" s="267">
        <v>3374.35</v>
      </c>
      <c r="S6670" s="267">
        <v>52142.3</v>
      </c>
      <c r="T6670" s="267">
        <v>55516.65</v>
      </c>
      <c r="U6670" s="268" t="s">
        <v>3945</v>
      </c>
      <c r="V6670" s="267" t="s">
        <v>944</v>
      </c>
    </row>
    <row r="6671" spans="1:22" hidden="1" x14ac:dyDescent="0.25">
      <c r="A6671" s="269">
        <v>43774</v>
      </c>
      <c r="B6671" s="270">
        <v>2019</v>
      </c>
      <c r="C6671" s="270">
        <v>2020</v>
      </c>
      <c r="D6671" s="270">
        <v>1</v>
      </c>
      <c r="E6671" s="270">
        <v>1</v>
      </c>
      <c r="F6671" s="270" t="s">
        <v>944</v>
      </c>
      <c r="G6671" s="270" t="s">
        <v>3926</v>
      </c>
      <c r="H6671" s="270" t="s">
        <v>11439</v>
      </c>
      <c r="I6671" s="270" t="s">
        <v>4147</v>
      </c>
      <c r="J6671" s="270" t="s">
        <v>3928</v>
      </c>
      <c r="K6671" s="270">
        <v>6109</v>
      </c>
      <c r="L6671" s="270">
        <v>492300</v>
      </c>
      <c r="M6671" s="270" t="s">
        <v>3940</v>
      </c>
      <c r="N6671" s="270" t="s">
        <v>3944</v>
      </c>
      <c r="O6671" s="270">
        <v>1232.3499999999999</v>
      </c>
      <c r="P6671" s="270" t="s">
        <v>3944</v>
      </c>
      <c r="Q6671" s="270" t="s">
        <v>3944</v>
      </c>
      <c r="R6671" s="270">
        <v>1232.3499999999999</v>
      </c>
      <c r="S6671" s="270">
        <v>17762.150000000001</v>
      </c>
      <c r="T6671" s="270">
        <v>18994.5</v>
      </c>
      <c r="U6671" s="271" t="s">
        <v>3945</v>
      </c>
      <c r="V6671" s="267" t="s">
        <v>944</v>
      </c>
    </row>
    <row r="6672" spans="1:22" hidden="1" x14ac:dyDescent="0.25">
      <c r="A6672" s="266">
        <v>43774</v>
      </c>
      <c r="B6672" s="267">
        <v>2019</v>
      </c>
      <c r="C6672" s="267">
        <v>2020</v>
      </c>
      <c r="D6672" s="267">
        <v>1</v>
      </c>
      <c r="E6672" s="267">
        <v>1</v>
      </c>
      <c r="F6672" s="267" t="s">
        <v>944</v>
      </c>
      <c r="G6672" s="267" t="s">
        <v>3926</v>
      </c>
      <c r="H6672" s="267" t="s">
        <v>11440</v>
      </c>
      <c r="I6672" s="267" t="s">
        <v>4087</v>
      </c>
      <c r="J6672" s="267" t="s">
        <v>3928</v>
      </c>
      <c r="K6672" s="267">
        <v>6355</v>
      </c>
      <c r="L6672" s="267">
        <v>702800</v>
      </c>
      <c r="M6672" s="267" t="s">
        <v>3935</v>
      </c>
      <c r="N6672" s="267" t="s">
        <v>3944</v>
      </c>
      <c r="O6672" s="267">
        <v>1307.43</v>
      </c>
      <c r="P6672" s="267" t="s">
        <v>3944</v>
      </c>
      <c r="Q6672" s="267" t="s">
        <v>3944</v>
      </c>
      <c r="R6672" s="267">
        <v>1307.43</v>
      </c>
      <c r="S6672" s="267">
        <v>11563.57</v>
      </c>
      <c r="T6672" s="267">
        <v>12871</v>
      </c>
      <c r="U6672" s="268" t="s">
        <v>3945</v>
      </c>
      <c r="V6672" s="267" t="s">
        <v>944</v>
      </c>
    </row>
    <row r="6673" spans="1:22" hidden="1" x14ac:dyDescent="0.25">
      <c r="A6673" s="269">
        <v>43774</v>
      </c>
      <c r="B6673" s="270">
        <v>2019</v>
      </c>
      <c r="C6673" s="270">
        <v>2020</v>
      </c>
      <c r="D6673" s="270">
        <v>1</v>
      </c>
      <c r="E6673" s="270">
        <v>1</v>
      </c>
      <c r="F6673" s="270" t="s">
        <v>944</v>
      </c>
      <c r="G6673" s="270" t="s">
        <v>3926</v>
      </c>
      <c r="H6673" s="270" t="s">
        <v>11441</v>
      </c>
      <c r="I6673" s="270" t="s">
        <v>3956</v>
      </c>
      <c r="J6673" s="270" t="s">
        <v>3928</v>
      </c>
      <c r="K6673" s="270">
        <v>6106</v>
      </c>
      <c r="L6673" s="270">
        <v>504500</v>
      </c>
      <c r="M6673" s="270">
        <v>-60</v>
      </c>
      <c r="N6673" s="270" t="s">
        <v>3944</v>
      </c>
      <c r="O6673" s="270">
        <v>1807.47</v>
      </c>
      <c r="P6673" s="270" t="s">
        <v>3944</v>
      </c>
      <c r="Q6673" s="270" t="s">
        <v>3944</v>
      </c>
      <c r="R6673" s="270">
        <v>1807.47</v>
      </c>
      <c r="S6673" s="270">
        <v>15312.53</v>
      </c>
      <c r="T6673" s="270">
        <v>17120</v>
      </c>
      <c r="U6673" s="271" t="s">
        <v>3945</v>
      </c>
      <c r="V6673" s="267" t="s">
        <v>944</v>
      </c>
    </row>
    <row r="6674" spans="1:22" hidden="1" x14ac:dyDescent="0.25">
      <c r="A6674" s="266">
        <v>43774</v>
      </c>
      <c r="B6674" s="267">
        <v>2019</v>
      </c>
      <c r="C6674" s="267">
        <v>2020</v>
      </c>
      <c r="D6674" s="267">
        <v>1</v>
      </c>
      <c r="E6674" s="267">
        <v>1</v>
      </c>
      <c r="F6674" s="267" t="s">
        <v>944</v>
      </c>
      <c r="G6674" s="267" t="s">
        <v>3926</v>
      </c>
      <c r="H6674" s="267" t="s">
        <v>11442</v>
      </c>
      <c r="I6674" s="267" t="s">
        <v>4594</v>
      </c>
      <c r="J6674" s="267" t="s">
        <v>3928</v>
      </c>
      <c r="K6674" s="267">
        <v>6488</v>
      </c>
      <c r="L6674" s="267">
        <v>348123</v>
      </c>
      <c r="M6674" s="267" t="s">
        <v>3943</v>
      </c>
      <c r="N6674" s="267" t="s">
        <v>3944</v>
      </c>
      <c r="O6674" s="267">
        <v>1426.04</v>
      </c>
      <c r="P6674" s="267" t="s">
        <v>3944</v>
      </c>
      <c r="Q6674" s="267" t="s">
        <v>3944</v>
      </c>
      <c r="R6674" s="267">
        <v>1426.04</v>
      </c>
      <c r="S6674" s="267">
        <v>20798.439999999999</v>
      </c>
      <c r="T6674" s="267">
        <v>22224.48</v>
      </c>
      <c r="U6674" s="268" t="s">
        <v>3945</v>
      </c>
      <c r="V6674" s="267" t="s">
        <v>944</v>
      </c>
    </row>
    <row r="6675" spans="1:22" hidden="1" x14ac:dyDescent="0.25">
      <c r="A6675" s="269">
        <v>43774</v>
      </c>
      <c r="B6675" s="270">
        <v>2019</v>
      </c>
      <c r="C6675" s="270">
        <v>2020</v>
      </c>
      <c r="D6675" s="270">
        <v>1</v>
      </c>
      <c r="E6675" s="270">
        <v>1</v>
      </c>
      <c r="F6675" s="270" t="s">
        <v>944</v>
      </c>
      <c r="G6675" s="270" t="s">
        <v>3926</v>
      </c>
      <c r="H6675" s="270" t="s">
        <v>11443</v>
      </c>
      <c r="I6675" s="270" t="s">
        <v>3971</v>
      </c>
      <c r="J6675" s="270" t="s">
        <v>3928</v>
      </c>
      <c r="K6675" s="270">
        <v>6084</v>
      </c>
      <c r="L6675" s="270">
        <v>533101</v>
      </c>
      <c r="M6675" s="270" t="s">
        <v>3943</v>
      </c>
      <c r="N6675" s="270" t="s">
        <v>3944</v>
      </c>
      <c r="O6675" s="270">
        <v>937.23</v>
      </c>
      <c r="P6675" s="270" t="s">
        <v>3944</v>
      </c>
      <c r="Q6675" s="270" t="s">
        <v>3944</v>
      </c>
      <c r="R6675" s="270">
        <v>937.23</v>
      </c>
      <c r="S6675" s="270">
        <v>10139.77</v>
      </c>
      <c r="T6675" s="270">
        <v>11077</v>
      </c>
      <c r="U6675" s="271" t="s">
        <v>3945</v>
      </c>
      <c r="V6675" s="267" t="s">
        <v>944</v>
      </c>
    </row>
    <row r="6676" spans="1:22" hidden="1" x14ac:dyDescent="0.25">
      <c r="A6676" s="266">
        <v>43774</v>
      </c>
      <c r="B6676" s="267">
        <v>2019</v>
      </c>
      <c r="C6676" s="267">
        <v>2020</v>
      </c>
      <c r="D6676" s="267">
        <v>1</v>
      </c>
      <c r="E6676" s="267">
        <v>1</v>
      </c>
      <c r="F6676" s="267" t="s">
        <v>944</v>
      </c>
      <c r="G6676" s="267" t="s">
        <v>3926</v>
      </c>
      <c r="H6676" s="267" t="s">
        <v>11444</v>
      </c>
      <c r="I6676" s="267" t="s">
        <v>4005</v>
      </c>
      <c r="J6676" s="267" t="s">
        <v>3928</v>
      </c>
      <c r="K6676" s="267">
        <v>6118</v>
      </c>
      <c r="L6676" s="267">
        <v>511100</v>
      </c>
      <c r="M6676" s="267" t="s">
        <v>3960</v>
      </c>
      <c r="N6676" s="267" t="s">
        <v>3944</v>
      </c>
      <c r="O6676" s="267">
        <v>1172.01</v>
      </c>
      <c r="P6676" s="267" t="s">
        <v>3944</v>
      </c>
      <c r="Q6676" s="267" t="s">
        <v>3944</v>
      </c>
      <c r="R6676" s="267">
        <v>1172.01</v>
      </c>
      <c r="S6676" s="267">
        <v>10969.99</v>
      </c>
      <c r="T6676" s="267">
        <v>12142</v>
      </c>
      <c r="U6676" s="268" t="s">
        <v>3945</v>
      </c>
      <c r="V6676" s="267" t="s">
        <v>944</v>
      </c>
    </row>
    <row r="6677" spans="1:22" hidden="1" x14ac:dyDescent="0.25">
      <c r="A6677" s="269">
        <v>43775</v>
      </c>
      <c r="B6677" s="270">
        <v>2019</v>
      </c>
      <c r="C6677" s="270">
        <v>2020</v>
      </c>
      <c r="D6677" s="270">
        <v>1</v>
      </c>
      <c r="E6677" s="270">
        <v>1</v>
      </c>
      <c r="F6677" s="270" t="s">
        <v>944</v>
      </c>
      <c r="G6677" s="270" t="s">
        <v>3926</v>
      </c>
      <c r="H6677" s="270" t="s">
        <v>11445</v>
      </c>
      <c r="I6677" s="270" t="s">
        <v>3934</v>
      </c>
      <c r="J6677" s="270" t="s">
        <v>3928</v>
      </c>
      <c r="K6677" s="270">
        <v>6405</v>
      </c>
      <c r="L6677" s="270">
        <v>184500</v>
      </c>
      <c r="M6677" s="270" t="s">
        <v>3935</v>
      </c>
      <c r="N6677" s="270" t="s">
        <v>11446</v>
      </c>
      <c r="O6677" s="270">
        <v>0</v>
      </c>
      <c r="P6677" s="270" t="s">
        <v>3930</v>
      </c>
      <c r="Q6677" s="270" t="s">
        <v>3930</v>
      </c>
      <c r="R6677" s="270">
        <v>0</v>
      </c>
      <c r="S6677" s="270">
        <v>20632</v>
      </c>
      <c r="T6677" s="270">
        <v>20632</v>
      </c>
      <c r="U6677" s="271" t="s">
        <v>3937</v>
      </c>
      <c r="V6677" s="267" t="s">
        <v>944</v>
      </c>
    </row>
    <row r="6678" spans="1:22" hidden="1" x14ac:dyDescent="0.25">
      <c r="A6678" s="266">
        <v>43775</v>
      </c>
      <c r="B6678" s="267">
        <v>2019</v>
      </c>
      <c r="C6678" s="267">
        <v>2020</v>
      </c>
      <c r="D6678" s="267">
        <v>1</v>
      </c>
      <c r="E6678" s="267">
        <v>1</v>
      </c>
      <c r="F6678" s="267" t="s">
        <v>944</v>
      </c>
      <c r="G6678" s="267" t="s">
        <v>3926</v>
      </c>
      <c r="H6678" s="267" t="s">
        <v>11447</v>
      </c>
      <c r="I6678" s="267" t="s">
        <v>4310</v>
      </c>
      <c r="J6678" s="267" t="s">
        <v>3928</v>
      </c>
      <c r="K6678" s="267">
        <v>6351</v>
      </c>
      <c r="L6678" s="267">
        <v>710100</v>
      </c>
      <c r="M6678" s="267" t="s">
        <v>3960</v>
      </c>
      <c r="N6678" s="267" t="s">
        <v>5313</v>
      </c>
      <c r="O6678" s="267">
        <v>0</v>
      </c>
      <c r="P6678" s="267" t="s">
        <v>3930</v>
      </c>
      <c r="Q6678" s="267" t="s">
        <v>3930</v>
      </c>
      <c r="R6678" s="267">
        <v>0</v>
      </c>
      <c r="S6678" s="267">
        <v>57000</v>
      </c>
      <c r="T6678" s="267">
        <v>57000</v>
      </c>
      <c r="U6678" s="268" t="s">
        <v>3937</v>
      </c>
      <c r="V6678" s="267" t="s">
        <v>944</v>
      </c>
    </row>
    <row r="6679" spans="1:22" hidden="1" x14ac:dyDescent="0.25">
      <c r="A6679" s="269">
        <v>43775</v>
      </c>
      <c r="B6679" s="270">
        <v>2019</v>
      </c>
      <c r="C6679" s="270">
        <v>2020</v>
      </c>
      <c r="D6679" s="270">
        <v>1</v>
      </c>
      <c r="E6679" s="270">
        <v>1</v>
      </c>
      <c r="F6679" s="270" t="s">
        <v>944</v>
      </c>
      <c r="G6679" s="270" t="s">
        <v>3926</v>
      </c>
      <c r="H6679" s="270" t="s">
        <v>11448</v>
      </c>
      <c r="I6679" s="270" t="s">
        <v>4065</v>
      </c>
      <c r="J6679" s="270" t="s">
        <v>3928</v>
      </c>
      <c r="K6679" s="270">
        <v>6480</v>
      </c>
      <c r="L6679" s="270">
        <v>560200</v>
      </c>
      <c r="M6679" s="270" t="s">
        <v>3935</v>
      </c>
      <c r="N6679" s="270" t="s">
        <v>4673</v>
      </c>
      <c r="O6679" s="270">
        <v>0</v>
      </c>
      <c r="P6679" s="270" t="s">
        <v>3930</v>
      </c>
      <c r="Q6679" s="270" t="s">
        <v>3930</v>
      </c>
      <c r="R6679" s="270">
        <v>0</v>
      </c>
      <c r="S6679" s="270">
        <v>9500</v>
      </c>
      <c r="T6679" s="270">
        <v>9500</v>
      </c>
      <c r="U6679" s="271" t="s">
        <v>3937</v>
      </c>
      <c r="V6679" s="267" t="s">
        <v>944</v>
      </c>
    </row>
    <row r="6680" spans="1:22" hidden="1" x14ac:dyDescent="0.25">
      <c r="A6680" s="266">
        <v>43775</v>
      </c>
      <c r="B6680" s="267">
        <v>2019</v>
      </c>
      <c r="C6680" s="267">
        <v>2020</v>
      </c>
      <c r="D6680" s="267">
        <v>1</v>
      </c>
      <c r="E6680" s="267">
        <v>1</v>
      </c>
      <c r="F6680" s="267" t="s">
        <v>944</v>
      </c>
      <c r="G6680" s="267" t="s">
        <v>3926</v>
      </c>
      <c r="H6680" s="267" t="s">
        <v>11449</v>
      </c>
      <c r="I6680" s="267" t="s">
        <v>4269</v>
      </c>
      <c r="J6680" s="267" t="s">
        <v>3928</v>
      </c>
      <c r="K6680" s="267">
        <v>6117</v>
      </c>
      <c r="L6680" s="267">
        <v>497300</v>
      </c>
      <c r="M6680" s="267" t="s">
        <v>3943</v>
      </c>
      <c r="N6680" s="267" t="s">
        <v>11450</v>
      </c>
      <c r="O6680" s="267">
        <v>0</v>
      </c>
      <c r="P6680" s="267" t="s">
        <v>3930</v>
      </c>
      <c r="Q6680" s="267" t="s">
        <v>3930</v>
      </c>
      <c r="R6680" s="267">
        <v>0</v>
      </c>
      <c r="S6680" s="267">
        <v>17000</v>
      </c>
      <c r="T6680" s="267">
        <v>17000</v>
      </c>
      <c r="U6680" s="268" t="s">
        <v>3937</v>
      </c>
      <c r="V6680" s="267" t="s">
        <v>944</v>
      </c>
    </row>
    <row r="6681" spans="1:22" hidden="1" x14ac:dyDescent="0.25">
      <c r="A6681" s="269">
        <v>43775</v>
      </c>
      <c r="B6681" s="270">
        <v>2019</v>
      </c>
      <c r="C6681" s="270">
        <v>2020</v>
      </c>
      <c r="D6681" s="270">
        <v>1</v>
      </c>
      <c r="E6681" s="270">
        <v>1</v>
      </c>
      <c r="F6681" s="270" t="s">
        <v>944</v>
      </c>
      <c r="G6681" s="270" t="s">
        <v>3926</v>
      </c>
      <c r="H6681" s="270" t="s">
        <v>11451</v>
      </c>
      <c r="I6681" s="270" t="s">
        <v>3990</v>
      </c>
      <c r="J6681" s="270" t="s">
        <v>3928</v>
      </c>
      <c r="K6681" s="270">
        <v>6804</v>
      </c>
      <c r="L6681" s="270">
        <v>205300</v>
      </c>
      <c r="M6681" s="270" t="s">
        <v>3960</v>
      </c>
      <c r="N6681" s="270" t="s">
        <v>11452</v>
      </c>
      <c r="O6681" s="270">
        <v>0</v>
      </c>
      <c r="P6681" s="270" t="s">
        <v>3930</v>
      </c>
      <c r="Q6681" s="270" t="s">
        <v>3930</v>
      </c>
      <c r="R6681" s="270">
        <v>0</v>
      </c>
      <c r="S6681" s="270">
        <v>12200</v>
      </c>
      <c r="T6681" s="270">
        <v>12200</v>
      </c>
      <c r="U6681" s="271" t="s">
        <v>3937</v>
      </c>
      <c r="V6681" s="267" t="s">
        <v>944</v>
      </c>
    </row>
    <row r="6682" spans="1:22" hidden="1" x14ac:dyDescent="0.25">
      <c r="A6682" s="266">
        <v>43775</v>
      </c>
      <c r="B6682" s="267">
        <v>2019</v>
      </c>
      <c r="C6682" s="267">
        <v>2020</v>
      </c>
      <c r="D6682" s="267">
        <v>1</v>
      </c>
      <c r="E6682" s="267">
        <v>1</v>
      </c>
      <c r="F6682" s="267" t="s">
        <v>944</v>
      </c>
      <c r="G6682" s="267" t="s">
        <v>3926</v>
      </c>
      <c r="H6682" s="267" t="s">
        <v>11453</v>
      </c>
      <c r="I6682" s="267" t="s">
        <v>3934</v>
      </c>
      <c r="J6682" s="267" t="s">
        <v>3928</v>
      </c>
      <c r="K6682" s="267">
        <v>6405</v>
      </c>
      <c r="L6682" s="267">
        <v>184300</v>
      </c>
      <c r="M6682" s="267" t="s">
        <v>3960</v>
      </c>
      <c r="N6682" s="267" t="s">
        <v>10517</v>
      </c>
      <c r="O6682" s="267">
        <v>906.96</v>
      </c>
      <c r="P6682" s="267" t="s">
        <v>3930</v>
      </c>
      <c r="Q6682" s="267" t="s">
        <v>3931</v>
      </c>
      <c r="R6682" s="267">
        <v>5906.96</v>
      </c>
      <c r="S6682" s="267">
        <v>10624</v>
      </c>
      <c r="T6682" s="267">
        <v>16530.96</v>
      </c>
      <c r="U6682" s="268" t="s">
        <v>3932</v>
      </c>
      <c r="V6682" s="267" t="s">
        <v>944</v>
      </c>
    </row>
    <row r="6683" spans="1:22" hidden="1" x14ac:dyDescent="0.25">
      <c r="A6683" s="269">
        <v>43775</v>
      </c>
      <c r="B6683" s="270">
        <v>2019</v>
      </c>
      <c r="C6683" s="270">
        <v>2020</v>
      </c>
      <c r="D6683" s="270">
        <v>1</v>
      </c>
      <c r="E6683" s="270">
        <v>1</v>
      </c>
      <c r="F6683" s="270" t="s">
        <v>944</v>
      </c>
      <c r="G6683" s="270" t="s">
        <v>3926</v>
      </c>
      <c r="H6683" s="270" t="s">
        <v>11454</v>
      </c>
      <c r="I6683" s="270" t="s">
        <v>956</v>
      </c>
      <c r="J6683" s="270" t="s">
        <v>3928</v>
      </c>
      <c r="K6683" s="270">
        <v>6615</v>
      </c>
      <c r="L6683" s="270">
        <v>80200</v>
      </c>
      <c r="M6683" s="270" t="s">
        <v>3935</v>
      </c>
      <c r="N6683" s="270" t="s">
        <v>7680</v>
      </c>
      <c r="O6683" s="270">
        <v>2439.9</v>
      </c>
      <c r="P6683" s="270" t="s">
        <v>3930</v>
      </c>
      <c r="Q6683" s="270" t="s">
        <v>3931</v>
      </c>
      <c r="R6683" s="270">
        <v>7439.9</v>
      </c>
      <c r="S6683" s="270">
        <v>11128</v>
      </c>
      <c r="T6683" s="270">
        <v>18567.900000000001</v>
      </c>
      <c r="U6683" s="271" t="s">
        <v>3932</v>
      </c>
      <c r="V6683" s="267" t="s">
        <v>944</v>
      </c>
    </row>
    <row r="6684" spans="1:22" hidden="1" x14ac:dyDescent="0.25">
      <c r="A6684" s="266">
        <v>43775</v>
      </c>
      <c r="B6684" s="267">
        <v>2019</v>
      </c>
      <c r="C6684" s="267">
        <v>2020</v>
      </c>
      <c r="D6684" s="267">
        <v>1</v>
      </c>
      <c r="E6684" s="267">
        <v>1</v>
      </c>
      <c r="F6684" s="267" t="s">
        <v>944</v>
      </c>
      <c r="G6684" s="267" t="s">
        <v>3926</v>
      </c>
      <c r="H6684" s="267" t="s">
        <v>11455</v>
      </c>
      <c r="I6684" s="267" t="s">
        <v>4353</v>
      </c>
      <c r="J6684" s="267" t="s">
        <v>3928</v>
      </c>
      <c r="K6684" s="267">
        <v>6416</v>
      </c>
      <c r="L6684" s="267">
        <v>570300</v>
      </c>
      <c r="M6684" s="267" t="s">
        <v>3940</v>
      </c>
      <c r="N6684" s="267" t="s">
        <v>3944</v>
      </c>
      <c r="O6684" s="267">
        <v>4788</v>
      </c>
      <c r="P6684" s="267" t="s">
        <v>3944</v>
      </c>
      <c r="Q6684" s="267" t="s">
        <v>3944</v>
      </c>
      <c r="R6684" s="267">
        <v>4788</v>
      </c>
      <c r="S6684" s="267">
        <v>67117.98</v>
      </c>
      <c r="T6684" s="267">
        <v>71905.98</v>
      </c>
      <c r="U6684" s="268" t="s">
        <v>3945</v>
      </c>
      <c r="V6684" s="267" t="s">
        <v>944</v>
      </c>
    </row>
    <row r="6685" spans="1:22" hidden="1" x14ac:dyDescent="0.25">
      <c r="A6685" s="269">
        <v>43775</v>
      </c>
      <c r="B6685" s="270">
        <v>2019</v>
      </c>
      <c r="C6685" s="270">
        <v>2020</v>
      </c>
      <c r="D6685" s="270">
        <v>1</v>
      </c>
      <c r="E6685" s="270">
        <v>1</v>
      </c>
      <c r="F6685" s="270" t="s">
        <v>944</v>
      </c>
      <c r="G6685" s="270" t="s">
        <v>3926</v>
      </c>
      <c r="H6685" s="270" t="s">
        <v>11456</v>
      </c>
      <c r="I6685" s="270" t="s">
        <v>4353</v>
      </c>
      <c r="J6685" s="270" t="s">
        <v>3928</v>
      </c>
      <c r="K6685" s="270">
        <v>6416</v>
      </c>
      <c r="L6685" s="270">
        <v>570100</v>
      </c>
      <c r="M6685" s="270" t="s">
        <v>3960</v>
      </c>
      <c r="N6685" s="270" t="s">
        <v>3944</v>
      </c>
      <c r="O6685" s="270">
        <v>4523</v>
      </c>
      <c r="P6685" s="270" t="s">
        <v>3944</v>
      </c>
      <c r="Q6685" s="270" t="s">
        <v>3944</v>
      </c>
      <c r="R6685" s="270">
        <v>4523</v>
      </c>
      <c r="S6685" s="270">
        <v>28552</v>
      </c>
      <c r="T6685" s="270">
        <v>33075</v>
      </c>
      <c r="U6685" s="271" t="s">
        <v>3945</v>
      </c>
      <c r="V6685" s="267" t="s">
        <v>944</v>
      </c>
    </row>
    <row r="6686" spans="1:22" hidden="1" x14ac:dyDescent="0.25">
      <c r="A6686" s="266">
        <v>43775</v>
      </c>
      <c r="B6686" s="267">
        <v>2019</v>
      </c>
      <c r="C6686" s="267">
        <v>2020</v>
      </c>
      <c r="D6686" s="267">
        <v>1</v>
      </c>
      <c r="E6686" s="267">
        <v>1</v>
      </c>
      <c r="F6686" s="267" t="s">
        <v>944</v>
      </c>
      <c r="G6686" s="267" t="s">
        <v>3997</v>
      </c>
      <c r="H6686" s="267" t="s">
        <v>11457</v>
      </c>
      <c r="I6686" s="267" t="s">
        <v>950</v>
      </c>
      <c r="J6686" s="267" t="s">
        <v>3928</v>
      </c>
      <c r="K6686" s="267">
        <v>6516</v>
      </c>
      <c r="L6686" s="267">
        <v>154700</v>
      </c>
      <c r="M6686" s="267" t="s">
        <v>3960</v>
      </c>
      <c r="N6686" s="267" t="s">
        <v>3944</v>
      </c>
      <c r="O6686" s="267">
        <v>782.5</v>
      </c>
      <c r="P6686" s="267" t="s">
        <v>3944</v>
      </c>
      <c r="Q6686" s="267" t="s">
        <v>3944</v>
      </c>
      <c r="R6686" s="267">
        <v>782.5</v>
      </c>
      <c r="S6686" s="267">
        <v>11916.38</v>
      </c>
      <c r="T6686" s="267">
        <v>12698.88</v>
      </c>
      <c r="U6686" s="268" t="s">
        <v>3945</v>
      </c>
      <c r="V6686" s="267" t="s">
        <v>944</v>
      </c>
    </row>
    <row r="6687" spans="1:22" hidden="1" x14ac:dyDescent="0.25">
      <c r="A6687" s="269">
        <v>43775</v>
      </c>
      <c r="B6687" s="270">
        <v>2019</v>
      </c>
      <c r="C6687" s="270">
        <v>2020</v>
      </c>
      <c r="D6687" s="270">
        <v>1</v>
      </c>
      <c r="E6687" s="270">
        <v>1</v>
      </c>
      <c r="F6687" s="270" t="s">
        <v>944</v>
      </c>
      <c r="G6687" s="270" t="s">
        <v>3926</v>
      </c>
      <c r="H6687" s="270" t="s">
        <v>11458</v>
      </c>
      <c r="I6687" s="270" t="s">
        <v>4516</v>
      </c>
      <c r="J6687" s="270" t="s">
        <v>3928</v>
      </c>
      <c r="K6687" s="270">
        <v>6371</v>
      </c>
      <c r="L6687" s="270">
        <v>650100</v>
      </c>
      <c r="M6687" s="270" t="s">
        <v>3960</v>
      </c>
      <c r="N6687" s="270" t="s">
        <v>3944</v>
      </c>
      <c r="O6687" s="270">
        <v>2398</v>
      </c>
      <c r="P6687" s="270" t="s">
        <v>3944</v>
      </c>
      <c r="Q6687" s="270" t="s">
        <v>3944</v>
      </c>
      <c r="R6687" s="270">
        <v>2398</v>
      </c>
      <c r="S6687" s="270">
        <v>16810</v>
      </c>
      <c r="T6687" s="270">
        <v>19208</v>
      </c>
      <c r="U6687" s="271" t="s">
        <v>3945</v>
      </c>
      <c r="V6687" s="267" t="s">
        <v>944</v>
      </c>
    </row>
    <row r="6688" spans="1:22" hidden="1" x14ac:dyDescent="0.25">
      <c r="A6688" s="266">
        <v>43775</v>
      </c>
      <c r="B6688" s="267">
        <v>2019</v>
      </c>
      <c r="C6688" s="267">
        <v>2020</v>
      </c>
      <c r="D6688" s="267">
        <v>1</v>
      </c>
      <c r="E6688" s="267">
        <v>1</v>
      </c>
      <c r="F6688" s="267" t="s">
        <v>944</v>
      </c>
      <c r="G6688" s="267" t="s">
        <v>3926</v>
      </c>
      <c r="H6688" s="267" t="s">
        <v>11459</v>
      </c>
      <c r="I6688" s="267" t="s">
        <v>956</v>
      </c>
      <c r="J6688" s="267" t="s">
        <v>3928</v>
      </c>
      <c r="K6688" s="267">
        <v>6615</v>
      </c>
      <c r="L6688" s="267">
        <v>80400</v>
      </c>
      <c r="M6688" s="267" t="s">
        <v>3940</v>
      </c>
      <c r="N6688" s="267" t="s">
        <v>3944</v>
      </c>
      <c r="O6688" s="267">
        <v>2476</v>
      </c>
      <c r="P6688" s="267" t="s">
        <v>3944</v>
      </c>
      <c r="Q6688" s="267" t="s">
        <v>3944</v>
      </c>
      <c r="R6688" s="267">
        <v>2476</v>
      </c>
      <c r="S6688" s="267">
        <v>20397.5</v>
      </c>
      <c r="T6688" s="267">
        <v>22873.5</v>
      </c>
      <c r="U6688" s="268" t="s">
        <v>3945</v>
      </c>
      <c r="V6688" s="267" t="s">
        <v>944</v>
      </c>
    </row>
    <row r="6689" spans="1:22" hidden="1" x14ac:dyDescent="0.25">
      <c r="A6689" s="269">
        <v>43775</v>
      </c>
      <c r="B6689" s="270">
        <v>2019</v>
      </c>
      <c r="C6689" s="270">
        <v>2020</v>
      </c>
      <c r="D6689" s="270">
        <v>1</v>
      </c>
      <c r="E6689" s="270">
        <v>1</v>
      </c>
      <c r="F6689" s="270" t="s">
        <v>944</v>
      </c>
      <c r="G6689" s="270" t="s">
        <v>3997</v>
      </c>
      <c r="H6689" s="270" t="s">
        <v>11460</v>
      </c>
      <c r="I6689" s="270" t="s">
        <v>4213</v>
      </c>
      <c r="J6689" s="270" t="s">
        <v>3928</v>
      </c>
      <c r="K6689" s="270">
        <v>6051</v>
      </c>
      <c r="L6689" s="270">
        <v>415600</v>
      </c>
      <c r="M6689" s="270">
        <v>-60</v>
      </c>
      <c r="N6689" s="270" t="s">
        <v>3944</v>
      </c>
      <c r="O6689" s="270">
        <v>1085.1099999999999</v>
      </c>
      <c r="P6689" s="270" t="s">
        <v>3944</v>
      </c>
      <c r="Q6689" s="270" t="s">
        <v>3944</v>
      </c>
      <c r="R6689" s="270">
        <v>1085.1099999999999</v>
      </c>
      <c r="S6689" s="270">
        <v>13730.25</v>
      </c>
      <c r="T6689" s="270">
        <v>14815.36</v>
      </c>
      <c r="U6689" s="271" t="s">
        <v>3945</v>
      </c>
      <c r="V6689" s="267" t="s">
        <v>944</v>
      </c>
    </row>
    <row r="6690" spans="1:22" x14ac:dyDescent="0.25">
      <c r="A6690" s="266">
        <v>43775</v>
      </c>
      <c r="B6690" s="267">
        <v>2019</v>
      </c>
      <c r="C6690" s="267">
        <v>2020</v>
      </c>
      <c r="D6690" s="267">
        <v>1</v>
      </c>
      <c r="E6690" s="267">
        <v>1</v>
      </c>
      <c r="F6690" s="267" t="s">
        <v>944</v>
      </c>
      <c r="G6690" s="267" t="s">
        <v>3997</v>
      </c>
      <c r="H6690" s="267" t="s">
        <v>11461</v>
      </c>
      <c r="I6690" s="267" t="s">
        <v>943</v>
      </c>
      <c r="J6690" s="267" t="s">
        <v>3928</v>
      </c>
      <c r="K6690" s="267">
        <v>6513</v>
      </c>
      <c r="L6690" s="267">
        <v>142300</v>
      </c>
      <c r="M6690" s="267">
        <v>-60</v>
      </c>
      <c r="N6690" s="267" t="s">
        <v>3944</v>
      </c>
      <c r="O6690" s="267">
        <v>1548.44</v>
      </c>
      <c r="P6690" s="267" t="s">
        <v>3944</v>
      </c>
      <c r="Q6690" s="267" t="s">
        <v>3944</v>
      </c>
      <c r="R6690" s="267">
        <v>1548.44</v>
      </c>
      <c r="S6690" s="267">
        <v>21732.84</v>
      </c>
      <c r="T6690" s="267">
        <v>23281.279999999999</v>
      </c>
      <c r="U6690" s="268" t="s">
        <v>3945</v>
      </c>
      <c r="V6690" s="276" t="s">
        <v>936</v>
      </c>
    </row>
    <row r="6691" spans="1:22" x14ac:dyDescent="0.25">
      <c r="A6691" s="269">
        <v>43775</v>
      </c>
      <c r="B6691" s="270">
        <v>2019</v>
      </c>
      <c r="C6691" s="270">
        <v>2020</v>
      </c>
      <c r="D6691" s="270">
        <v>1</v>
      </c>
      <c r="E6691" s="270">
        <v>1</v>
      </c>
      <c r="F6691" s="270" t="s">
        <v>944</v>
      </c>
      <c r="G6691" s="270" t="s">
        <v>3926</v>
      </c>
      <c r="H6691" s="270" t="s">
        <v>11462</v>
      </c>
      <c r="I6691" s="270" t="s">
        <v>953</v>
      </c>
      <c r="J6691" s="270" t="s">
        <v>3928</v>
      </c>
      <c r="K6691" s="270">
        <v>6514</v>
      </c>
      <c r="L6691" s="270">
        <v>165500</v>
      </c>
      <c r="M6691" s="270">
        <v>-60</v>
      </c>
      <c r="N6691" s="270" t="s">
        <v>3944</v>
      </c>
      <c r="O6691" s="270">
        <v>1824.66</v>
      </c>
      <c r="P6691" s="270" t="s">
        <v>3944</v>
      </c>
      <c r="Q6691" s="270" t="s">
        <v>3944</v>
      </c>
      <c r="R6691" s="270">
        <v>1824.66</v>
      </c>
      <c r="S6691" s="270">
        <v>22802.27</v>
      </c>
      <c r="T6691" s="270">
        <v>24626.93</v>
      </c>
      <c r="U6691" s="271" t="s">
        <v>3945</v>
      </c>
      <c r="V6691" s="276" t="s">
        <v>936</v>
      </c>
    </row>
    <row r="6692" spans="1:22" hidden="1" x14ac:dyDescent="0.25">
      <c r="A6692" s="266">
        <v>43775</v>
      </c>
      <c r="B6692" s="267">
        <v>2019</v>
      </c>
      <c r="C6692" s="267">
        <v>2020</v>
      </c>
      <c r="D6692" s="267">
        <v>1</v>
      </c>
      <c r="E6692" s="267">
        <v>1</v>
      </c>
      <c r="F6692" s="267" t="s">
        <v>944</v>
      </c>
      <c r="G6692" s="267" t="s">
        <v>3926</v>
      </c>
      <c r="H6692" s="267" t="s">
        <v>11463</v>
      </c>
      <c r="I6692" s="267" t="s">
        <v>4037</v>
      </c>
      <c r="J6692" s="267" t="s">
        <v>3928</v>
      </c>
      <c r="K6692" s="267">
        <v>6810</v>
      </c>
      <c r="L6692" s="267">
        <v>210400</v>
      </c>
      <c r="M6692" s="267" t="s">
        <v>3935</v>
      </c>
      <c r="N6692" s="267" t="s">
        <v>3944</v>
      </c>
      <c r="O6692" s="267">
        <v>1594.67</v>
      </c>
      <c r="P6692" s="267" t="s">
        <v>3944</v>
      </c>
      <c r="Q6692" s="267" t="s">
        <v>3944</v>
      </c>
      <c r="R6692" s="267">
        <v>1594.67</v>
      </c>
      <c r="S6692" s="267">
        <v>17821.93</v>
      </c>
      <c r="T6692" s="267">
        <v>19416.599999999999</v>
      </c>
      <c r="U6692" s="268" t="s">
        <v>3945</v>
      </c>
      <c r="V6692" s="267" t="s">
        <v>944</v>
      </c>
    </row>
    <row r="6693" spans="1:22" hidden="1" x14ac:dyDescent="0.25">
      <c r="A6693" s="269">
        <v>43775</v>
      </c>
      <c r="B6693" s="270">
        <v>2019</v>
      </c>
      <c r="C6693" s="270">
        <v>2020</v>
      </c>
      <c r="D6693" s="270">
        <v>1</v>
      </c>
      <c r="E6693" s="270">
        <v>1</v>
      </c>
      <c r="F6693" s="270" t="s">
        <v>944</v>
      </c>
      <c r="G6693" s="270" t="s">
        <v>3926</v>
      </c>
      <c r="H6693" s="270" t="s">
        <v>11464</v>
      </c>
      <c r="I6693" s="270" t="s">
        <v>4094</v>
      </c>
      <c r="J6693" s="270" t="s">
        <v>3928</v>
      </c>
      <c r="K6693" s="270">
        <v>6096</v>
      </c>
      <c r="L6693" s="270">
        <v>476200</v>
      </c>
      <c r="M6693" s="270" t="s">
        <v>3935</v>
      </c>
      <c r="N6693" s="270" t="s">
        <v>3944</v>
      </c>
      <c r="O6693" s="270">
        <v>2022.13</v>
      </c>
      <c r="P6693" s="270" t="s">
        <v>3944</v>
      </c>
      <c r="Q6693" s="270" t="s">
        <v>3944</v>
      </c>
      <c r="R6693" s="270">
        <v>2022.13</v>
      </c>
      <c r="S6693" s="270">
        <v>27467.48</v>
      </c>
      <c r="T6693" s="270">
        <v>29489.61</v>
      </c>
      <c r="U6693" s="271" t="s">
        <v>3945</v>
      </c>
      <c r="V6693" s="267" t="s">
        <v>944</v>
      </c>
    </row>
    <row r="6694" spans="1:22" x14ac:dyDescent="0.25">
      <c r="A6694" s="266">
        <v>43775</v>
      </c>
      <c r="B6694" s="267">
        <v>2019</v>
      </c>
      <c r="C6694" s="267">
        <v>2020</v>
      </c>
      <c r="D6694" s="267">
        <v>1</v>
      </c>
      <c r="E6694" s="267">
        <v>1</v>
      </c>
      <c r="F6694" s="267" t="s">
        <v>944</v>
      </c>
      <c r="G6694" s="267" t="s">
        <v>3926</v>
      </c>
      <c r="H6694" s="267" t="s">
        <v>11465</v>
      </c>
      <c r="I6694" s="267" t="s">
        <v>934</v>
      </c>
      <c r="J6694" s="267" t="s">
        <v>3928</v>
      </c>
      <c r="K6694" s="267">
        <v>6610</v>
      </c>
      <c r="L6694" s="267">
        <v>73400</v>
      </c>
      <c r="M6694" s="267" t="s">
        <v>3940</v>
      </c>
      <c r="N6694" s="267" t="s">
        <v>3944</v>
      </c>
      <c r="O6694" s="267">
        <v>1567.09</v>
      </c>
      <c r="P6694" s="267" t="s">
        <v>3944</v>
      </c>
      <c r="Q6694" s="267" t="s">
        <v>3944</v>
      </c>
      <c r="R6694" s="267">
        <v>1567.09</v>
      </c>
      <c r="S6694" s="267">
        <v>20304.73</v>
      </c>
      <c r="T6694" s="267">
        <v>21871.82</v>
      </c>
      <c r="U6694" s="268" t="s">
        <v>3945</v>
      </c>
      <c r="V6694" s="276" t="s">
        <v>936</v>
      </c>
    </row>
    <row r="6695" spans="1:22" hidden="1" x14ac:dyDescent="0.25">
      <c r="A6695" s="269">
        <v>43775</v>
      </c>
      <c r="B6695" s="270">
        <v>2019</v>
      </c>
      <c r="C6695" s="270">
        <v>2020</v>
      </c>
      <c r="D6695" s="270">
        <v>1</v>
      </c>
      <c r="E6695" s="270">
        <v>1</v>
      </c>
      <c r="F6695" s="270" t="s">
        <v>944</v>
      </c>
      <c r="G6695" s="270" t="s">
        <v>3926</v>
      </c>
      <c r="H6695" s="270" t="s">
        <v>11466</v>
      </c>
      <c r="I6695" s="270" t="s">
        <v>4147</v>
      </c>
      <c r="J6695" s="270" t="s">
        <v>3928</v>
      </c>
      <c r="K6695" s="270">
        <v>6109</v>
      </c>
      <c r="L6695" s="270">
        <v>492600</v>
      </c>
      <c r="M6695" s="270" t="s">
        <v>3960</v>
      </c>
      <c r="N6695" s="270" t="s">
        <v>3944</v>
      </c>
      <c r="O6695" s="270">
        <v>1001.95</v>
      </c>
      <c r="P6695" s="270" t="s">
        <v>3944</v>
      </c>
      <c r="Q6695" s="270" t="s">
        <v>3944</v>
      </c>
      <c r="R6695" s="270">
        <v>1001.95</v>
      </c>
      <c r="S6695" s="270">
        <v>14709.6</v>
      </c>
      <c r="T6695" s="270">
        <v>15711.55</v>
      </c>
      <c r="U6695" s="271" t="s">
        <v>3945</v>
      </c>
      <c r="V6695" s="267" t="s">
        <v>944</v>
      </c>
    </row>
    <row r="6696" spans="1:22" hidden="1" x14ac:dyDescent="0.25">
      <c r="A6696" s="266">
        <v>43775</v>
      </c>
      <c r="B6696" s="267">
        <v>2019</v>
      </c>
      <c r="C6696" s="267">
        <v>2020</v>
      </c>
      <c r="D6696" s="267">
        <v>1</v>
      </c>
      <c r="E6696" s="267">
        <v>1</v>
      </c>
      <c r="F6696" s="267" t="s">
        <v>944</v>
      </c>
      <c r="G6696" s="267" t="s">
        <v>3926</v>
      </c>
      <c r="H6696" s="267" t="s">
        <v>11467</v>
      </c>
      <c r="I6696" s="267" t="s">
        <v>4213</v>
      </c>
      <c r="J6696" s="267" t="s">
        <v>3928</v>
      </c>
      <c r="K6696" s="267">
        <v>6053</v>
      </c>
      <c r="L6696" s="267">
        <v>416500</v>
      </c>
      <c r="M6696" s="267" t="s">
        <v>3940</v>
      </c>
      <c r="N6696" s="267" t="s">
        <v>3944</v>
      </c>
      <c r="O6696" s="267">
        <v>998.2</v>
      </c>
      <c r="P6696" s="267" t="s">
        <v>3944</v>
      </c>
      <c r="Q6696" s="267" t="s">
        <v>3944</v>
      </c>
      <c r="R6696" s="267">
        <v>998.2</v>
      </c>
      <c r="S6696" s="267">
        <v>14339.66</v>
      </c>
      <c r="T6696" s="267">
        <v>15337.86</v>
      </c>
      <c r="U6696" s="268" t="s">
        <v>3945</v>
      </c>
      <c r="V6696" s="267" t="s">
        <v>944</v>
      </c>
    </row>
    <row r="6697" spans="1:22" hidden="1" x14ac:dyDescent="0.25">
      <c r="A6697" s="269">
        <v>43775</v>
      </c>
      <c r="B6697" s="270">
        <v>2019</v>
      </c>
      <c r="C6697" s="270">
        <v>2020</v>
      </c>
      <c r="D6697" s="270">
        <v>1</v>
      </c>
      <c r="E6697" s="270">
        <v>1</v>
      </c>
      <c r="F6697" s="270" t="s">
        <v>944</v>
      </c>
      <c r="G6697" s="270" t="s">
        <v>3926</v>
      </c>
      <c r="H6697" s="270" t="s">
        <v>11468</v>
      </c>
      <c r="I6697" s="270" t="s">
        <v>4035</v>
      </c>
      <c r="J6697" s="270" t="s">
        <v>3928</v>
      </c>
      <c r="K6697" s="270">
        <v>6074</v>
      </c>
      <c r="L6697" s="270">
        <v>487201</v>
      </c>
      <c r="M6697" s="270" t="s">
        <v>3943</v>
      </c>
      <c r="N6697" s="270" t="s">
        <v>3944</v>
      </c>
      <c r="O6697" s="270">
        <v>1396.82</v>
      </c>
      <c r="P6697" s="270" t="s">
        <v>3944</v>
      </c>
      <c r="Q6697" s="270" t="s">
        <v>3944</v>
      </c>
      <c r="R6697" s="270">
        <v>1396.82</v>
      </c>
      <c r="S6697" s="270">
        <v>21729.95</v>
      </c>
      <c r="T6697" s="270">
        <v>23126.77</v>
      </c>
      <c r="U6697" s="271" t="s">
        <v>3945</v>
      </c>
      <c r="V6697" s="267" t="s">
        <v>944</v>
      </c>
    </row>
    <row r="6698" spans="1:22" hidden="1" x14ac:dyDescent="0.25">
      <c r="A6698" s="266">
        <v>43775</v>
      </c>
      <c r="B6698" s="267">
        <v>2019</v>
      </c>
      <c r="C6698" s="267">
        <v>2020</v>
      </c>
      <c r="D6698" s="267">
        <v>1</v>
      </c>
      <c r="E6698" s="267">
        <v>1</v>
      </c>
      <c r="F6698" s="267" t="s">
        <v>944</v>
      </c>
      <c r="G6698" s="267" t="s">
        <v>3926</v>
      </c>
      <c r="H6698" s="267" t="s">
        <v>11469</v>
      </c>
      <c r="I6698" s="267" t="s">
        <v>956</v>
      </c>
      <c r="J6698" s="267" t="s">
        <v>3928</v>
      </c>
      <c r="K6698" s="267">
        <v>6615</v>
      </c>
      <c r="L6698" s="267">
        <v>80700</v>
      </c>
      <c r="M6698" s="267" t="s">
        <v>3935</v>
      </c>
      <c r="N6698" s="267" t="s">
        <v>3944</v>
      </c>
      <c r="O6698" s="267">
        <v>2117.92</v>
      </c>
      <c r="P6698" s="267" t="s">
        <v>3944</v>
      </c>
      <c r="Q6698" s="267" t="s">
        <v>3944</v>
      </c>
      <c r="R6698" s="267">
        <v>2117.92</v>
      </c>
      <c r="S6698" s="267">
        <v>28571.040000000001</v>
      </c>
      <c r="T6698" s="267">
        <v>30688.959999999999</v>
      </c>
      <c r="U6698" s="268" t="s">
        <v>3945</v>
      </c>
      <c r="V6698" s="267" t="s">
        <v>944</v>
      </c>
    </row>
    <row r="6699" spans="1:22" hidden="1" x14ac:dyDescent="0.25">
      <c r="A6699" s="269">
        <v>43775</v>
      </c>
      <c r="B6699" s="270">
        <v>2019</v>
      </c>
      <c r="C6699" s="270">
        <v>2020</v>
      </c>
      <c r="D6699" s="270">
        <v>1</v>
      </c>
      <c r="E6699" s="270">
        <v>1</v>
      </c>
      <c r="F6699" s="270" t="s">
        <v>944</v>
      </c>
      <c r="G6699" s="270" t="s">
        <v>3926</v>
      </c>
      <c r="H6699" s="270" t="s">
        <v>11470</v>
      </c>
      <c r="I6699" s="270" t="s">
        <v>3968</v>
      </c>
      <c r="J6699" s="270" t="s">
        <v>3928</v>
      </c>
      <c r="K6699" s="270">
        <v>6040</v>
      </c>
      <c r="L6699" s="270">
        <v>514800</v>
      </c>
      <c r="M6699" s="270" t="s">
        <v>3940</v>
      </c>
      <c r="N6699" s="270" t="s">
        <v>3944</v>
      </c>
      <c r="O6699" s="270">
        <v>1903.06</v>
      </c>
      <c r="P6699" s="270" t="s">
        <v>3944</v>
      </c>
      <c r="Q6699" s="270" t="s">
        <v>3944</v>
      </c>
      <c r="R6699" s="270">
        <v>1903.06</v>
      </c>
      <c r="S6699" s="270">
        <v>27727.66</v>
      </c>
      <c r="T6699" s="270">
        <v>29630.720000000001</v>
      </c>
      <c r="U6699" s="271" t="s">
        <v>3945</v>
      </c>
      <c r="V6699" s="267" t="s">
        <v>944</v>
      </c>
    </row>
    <row r="6700" spans="1:22" hidden="1" x14ac:dyDescent="0.25">
      <c r="A6700" s="266">
        <v>43775</v>
      </c>
      <c r="B6700" s="267">
        <v>2019</v>
      </c>
      <c r="C6700" s="267">
        <v>2020</v>
      </c>
      <c r="D6700" s="267">
        <v>1</v>
      </c>
      <c r="E6700" s="267">
        <v>1</v>
      </c>
      <c r="F6700" s="267" t="s">
        <v>944</v>
      </c>
      <c r="G6700" s="267" t="s">
        <v>3926</v>
      </c>
      <c r="H6700" s="267" t="s">
        <v>11471</v>
      </c>
      <c r="I6700" s="267" t="s">
        <v>950</v>
      </c>
      <c r="J6700" s="267" t="s">
        <v>3928</v>
      </c>
      <c r="K6700" s="267">
        <v>6516</v>
      </c>
      <c r="L6700" s="267">
        <v>154700</v>
      </c>
      <c r="M6700" s="267" t="s">
        <v>3960</v>
      </c>
      <c r="N6700" s="267" t="s">
        <v>3944</v>
      </c>
      <c r="O6700" s="267">
        <v>2354.35</v>
      </c>
      <c r="P6700" s="267" t="s">
        <v>3944</v>
      </c>
      <c r="Q6700" s="267" t="s">
        <v>3944</v>
      </c>
      <c r="R6700" s="267">
        <v>2354.35</v>
      </c>
      <c r="S6700" s="267">
        <v>33219.65</v>
      </c>
      <c r="T6700" s="267">
        <v>35574</v>
      </c>
      <c r="U6700" s="268" t="s">
        <v>3945</v>
      </c>
      <c r="V6700" s="267" t="s">
        <v>944</v>
      </c>
    </row>
    <row r="6701" spans="1:22" hidden="1" x14ac:dyDescent="0.25">
      <c r="A6701" s="269">
        <v>43775</v>
      </c>
      <c r="B6701" s="270">
        <v>2019</v>
      </c>
      <c r="C6701" s="270">
        <v>2020</v>
      </c>
      <c r="D6701" s="270">
        <v>1</v>
      </c>
      <c r="E6701" s="270">
        <v>1</v>
      </c>
      <c r="F6701" s="270" t="s">
        <v>944</v>
      </c>
      <c r="G6701" s="270" t="s">
        <v>3926</v>
      </c>
      <c r="H6701" s="270" t="s">
        <v>11472</v>
      </c>
      <c r="I6701" s="270" t="s">
        <v>4069</v>
      </c>
      <c r="J6701" s="270" t="s">
        <v>3928</v>
      </c>
      <c r="K6701" s="270">
        <v>6905</v>
      </c>
      <c r="L6701" s="270">
        <v>20700</v>
      </c>
      <c r="M6701" s="270" t="s">
        <v>3943</v>
      </c>
      <c r="N6701" s="270" t="s">
        <v>3944</v>
      </c>
      <c r="O6701" s="270">
        <v>1616.65</v>
      </c>
      <c r="P6701" s="270" t="s">
        <v>3944</v>
      </c>
      <c r="Q6701" s="270" t="s">
        <v>3944</v>
      </c>
      <c r="R6701" s="270">
        <v>1616.65</v>
      </c>
      <c r="S6701" s="270">
        <v>21965.48</v>
      </c>
      <c r="T6701" s="270">
        <v>23582.13</v>
      </c>
      <c r="U6701" s="271" t="s">
        <v>3945</v>
      </c>
      <c r="V6701" s="267" t="s">
        <v>944</v>
      </c>
    </row>
    <row r="6702" spans="1:22" hidden="1" x14ac:dyDescent="0.25">
      <c r="A6702" s="266">
        <v>43775</v>
      </c>
      <c r="B6702" s="267">
        <v>2019</v>
      </c>
      <c r="C6702" s="267">
        <v>2020</v>
      </c>
      <c r="D6702" s="267">
        <v>1</v>
      </c>
      <c r="E6702" s="267">
        <v>1</v>
      </c>
      <c r="F6702" s="267" t="s">
        <v>944</v>
      </c>
      <c r="G6702" s="267" t="s">
        <v>3926</v>
      </c>
      <c r="H6702" s="267" t="s">
        <v>11473</v>
      </c>
      <c r="I6702" s="267" t="s">
        <v>4069</v>
      </c>
      <c r="J6702" s="267" t="s">
        <v>3928</v>
      </c>
      <c r="K6702" s="267">
        <v>6902</v>
      </c>
      <c r="L6702" s="267">
        <v>21500</v>
      </c>
      <c r="M6702" s="267">
        <v>-60</v>
      </c>
      <c r="N6702" s="267" t="s">
        <v>3944</v>
      </c>
      <c r="O6702" s="267">
        <v>3226.48</v>
      </c>
      <c r="P6702" s="267" t="s">
        <v>3944</v>
      </c>
      <c r="Q6702" s="267" t="s">
        <v>3944</v>
      </c>
      <c r="R6702" s="267">
        <v>3226.48</v>
      </c>
      <c r="S6702" s="267">
        <v>47123.12</v>
      </c>
      <c r="T6702" s="267">
        <v>50349.599999999999</v>
      </c>
      <c r="U6702" s="268" t="s">
        <v>3945</v>
      </c>
      <c r="V6702" s="267" t="s">
        <v>944</v>
      </c>
    </row>
    <row r="6703" spans="1:22" hidden="1" x14ac:dyDescent="0.25">
      <c r="A6703" s="269">
        <v>43775</v>
      </c>
      <c r="B6703" s="270">
        <v>2019</v>
      </c>
      <c r="C6703" s="270">
        <v>2020</v>
      </c>
      <c r="D6703" s="270">
        <v>1</v>
      </c>
      <c r="E6703" s="270">
        <v>1</v>
      </c>
      <c r="F6703" s="270" t="s">
        <v>944</v>
      </c>
      <c r="G6703" s="270" t="s">
        <v>3926</v>
      </c>
      <c r="H6703" s="270" t="s">
        <v>11474</v>
      </c>
      <c r="I6703" s="270" t="s">
        <v>4040</v>
      </c>
      <c r="J6703" s="270" t="s">
        <v>3928</v>
      </c>
      <c r="K6703" s="270">
        <v>6339</v>
      </c>
      <c r="L6703" s="270">
        <v>701100</v>
      </c>
      <c r="M6703" s="270" t="s">
        <v>3960</v>
      </c>
      <c r="N6703" s="270" t="s">
        <v>3944</v>
      </c>
      <c r="O6703" s="270">
        <v>1635.73</v>
      </c>
      <c r="P6703" s="270" t="s">
        <v>3944</v>
      </c>
      <c r="Q6703" s="270" t="s">
        <v>3944</v>
      </c>
      <c r="R6703" s="270">
        <v>1635.73</v>
      </c>
      <c r="S6703" s="270">
        <v>26482.46</v>
      </c>
      <c r="T6703" s="270">
        <v>28118.19</v>
      </c>
      <c r="U6703" s="271" t="s">
        <v>3945</v>
      </c>
      <c r="V6703" s="267" t="s">
        <v>944</v>
      </c>
    </row>
    <row r="6704" spans="1:22" hidden="1" x14ac:dyDescent="0.25">
      <c r="A6704" s="266">
        <v>43775</v>
      </c>
      <c r="B6704" s="267">
        <v>2019</v>
      </c>
      <c r="C6704" s="267">
        <v>2020</v>
      </c>
      <c r="D6704" s="267">
        <v>1</v>
      </c>
      <c r="E6704" s="267">
        <v>1</v>
      </c>
      <c r="F6704" s="267" t="s">
        <v>944</v>
      </c>
      <c r="G6704" s="267" t="s">
        <v>3926</v>
      </c>
      <c r="H6704" s="267" t="s">
        <v>11475</v>
      </c>
      <c r="I6704" s="267" t="s">
        <v>4310</v>
      </c>
      <c r="J6704" s="267" t="s">
        <v>3928</v>
      </c>
      <c r="K6704" s="267">
        <v>6351</v>
      </c>
      <c r="L6704" s="267">
        <v>710100</v>
      </c>
      <c r="M6704" s="267" t="s">
        <v>3960</v>
      </c>
      <c r="N6704" s="267" t="s">
        <v>3944</v>
      </c>
      <c r="O6704" s="267">
        <v>1757.67</v>
      </c>
      <c r="P6704" s="267" t="s">
        <v>3944</v>
      </c>
      <c r="Q6704" s="267" t="s">
        <v>3944</v>
      </c>
      <c r="R6704" s="267">
        <v>1757.67</v>
      </c>
      <c r="S6704" s="267">
        <v>26252.12</v>
      </c>
      <c r="T6704" s="267">
        <v>28009.79</v>
      </c>
      <c r="U6704" s="268" t="s">
        <v>3945</v>
      </c>
      <c r="V6704" s="267" t="s">
        <v>944</v>
      </c>
    </row>
    <row r="6705" spans="1:22" hidden="1" x14ac:dyDescent="0.25">
      <c r="A6705" s="269">
        <v>43775</v>
      </c>
      <c r="B6705" s="270">
        <v>2019</v>
      </c>
      <c r="C6705" s="270">
        <v>2020</v>
      </c>
      <c r="D6705" s="270">
        <v>1</v>
      </c>
      <c r="E6705" s="270">
        <v>1</v>
      </c>
      <c r="F6705" s="270" t="s">
        <v>944</v>
      </c>
      <c r="G6705" s="270" t="s">
        <v>3926</v>
      </c>
      <c r="H6705" s="270" t="s">
        <v>11476</v>
      </c>
      <c r="I6705" s="270" t="s">
        <v>4947</v>
      </c>
      <c r="J6705" s="270" t="s">
        <v>3928</v>
      </c>
      <c r="K6705" s="270">
        <v>6787</v>
      </c>
      <c r="L6705" s="270">
        <v>349100</v>
      </c>
      <c r="M6705" s="270" t="s">
        <v>3935</v>
      </c>
      <c r="N6705" s="270" t="s">
        <v>3944</v>
      </c>
      <c r="O6705" s="270">
        <v>3177.93</v>
      </c>
      <c r="P6705" s="270" t="s">
        <v>3944</v>
      </c>
      <c r="Q6705" s="270" t="s">
        <v>3944</v>
      </c>
      <c r="R6705" s="270">
        <v>3177.93</v>
      </c>
      <c r="S6705" s="270">
        <v>49730.42</v>
      </c>
      <c r="T6705" s="270">
        <v>52908.35</v>
      </c>
      <c r="U6705" s="271" t="s">
        <v>3945</v>
      </c>
      <c r="V6705" s="267" t="s">
        <v>944</v>
      </c>
    </row>
    <row r="6706" spans="1:22" hidden="1" x14ac:dyDescent="0.25">
      <c r="A6706" s="266">
        <v>43775</v>
      </c>
      <c r="B6706" s="267">
        <v>2019</v>
      </c>
      <c r="C6706" s="267">
        <v>2020</v>
      </c>
      <c r="D6706" s="267">
        <v>1</v>
      </c>
      <c r="E6706" s="267">
        <v>1</v>
      </c>
      <c r="F6706" s="267" t="s">
        <v>944</v>
      </c>
      <c r="G6706" s="267" t="s">
        <v>3926</v>
      </c>
      <c r="H6706" s="267" t="s">
        <v>11477</v>
      </c>
      <c r="I6706" s="267" t="s">
        <v>4114</v>
      </c>
      <c r="J6706" s="267" t="s">
        <v>3928</v>
      </c>
      <c r="K6706" s="267">
        <v>6410</v>
      </c>
      <c r="L6706" s="267">
        <v>343200</v>
      </c>
      <c r="M6706" s="267" t="s">
        <v>3943</v>
      </c>
      <c r="N6706" s="267" t="s">
        <v>3944</v>
      </c>
      <c r="O6706" s="267">
        <v>3287.87</v>
      </c>
      <c r="P6706" s="267" t="s">
        <v>3944</v>
      </c>
      <c r="Q6706" s="267" t="s">
        <v>3944</v>
      </c>
      <c r="R6706" s="267">
        <v>3287.87</v>
      </c>
      <c r="S6706" s="267">
        <v>47865.32</v>
      </c>
      <c r="T6706" s="267">
        <v>51153.19</v>
      </c>
      <c r="U6706" s="268" t="s">
        <v>3945</v>
      </c>
      <c r="V6706" s="267" t="s">
        <v>944</v>
      </c>
    </row>
    <row r="6707" spans="1:22" hidden="1" x14ac:dyDescent="0.25">
      <c r="A6707" s="269">
        <v>43775</v>
      </c>
      <c r="B6707" s="270">
        <v>2019</v>
      </c>
      <c r="C6707" s="270">
        <v>2020</v>
      </c>
      <c r="D6707" s="270">
        <v>1</v>
      </c>
      <c r="E6707" s="270">
        <v>1</v>
      </c>
      <c r="F6707" s="270" t="s">
        <v>944</v>
      </c>
      <c r="G6707" s="270" t="s">
        <v>3926</v>
      </c>
      <c r="H6707" s="270" t="s">
        <v>11478</v>
      </c>
      <c r="I6707" s="270" t="s">
        <v>4011</v>
      </c>
      <c r="J6707" s="270" t="s">
        <v>3928</v>
      </c>
      <c r="K6707" s="270">
        <v>6002</v>
      </c>
      <c r="L6707" s="270">
        <v>471500</v>
      </c>
      <c r="M6707" s="270" t="s">
        <v>3935</v>
      </c>
      <c r="N6707" s="270" t="s">
        <v>3944</v>
      </c>
      <c r="O6707" s="270">
        <v>2371.9899999999998</v>
      </c>
      <c r="P6707" s="270" t="s">
        <v>3944</v>
      </c>
      <c r="Q6707" s="270" t="s">
        <v>3944</v>
      </c>
      <c r="R6707" s="270">
        <v>2371.9899999999998</v>
      </c>
      <c r="S6707" s="270">
        <v>31599.33</v>
      </c>
      <c r="T6707" s="270">
        <v>33971.32</v>
      </c>
      <c r="U6707" s="271" t="s">
        <v>3945</v>
      </c>
      <c r="V6707" s="267" t="s">
        <v>944</v>
      </c>
    </row>
    <row r="6708" spans="1:22" hidden="1" x14ac:dyDescent="0.25">
      <c r="A6708" s="266">
        <v>43775</v>
      </c>
      <c r="B6708" s="267">
        <v>2019</v>
      </c>
      <c r="C6708" s="267">
        <v>2020</v>
      </c>
      <c r="D6708" s="267">
        <v>1</v>
      </c>
      <c r="E6708" s="267">
        <v>1</v>
      </c>
      <c r="F6708" s="267" t="s">
        <v>944</v>
      </c>
      <c r="G6708" s="267" t="s">
        <v>3926</v>
      </c>
      <c r="H6708" s="267" t="s">
        <v>11479</v>
      </c>
      <c r="I6708" s="267" t="s">
        <v>4011</v>
      </c>
      <c r="J6708" s="267" t="s">
        <v>3928</v>
      </c>
      <c r="K6708" s="267">
        <v>6002</v>
      </c>
      <c r="L6708" s="267">
        <v>471500</v>
      </c>
      <c r="M6708" s="267" t="s">
        <v>3935</v>
      </c>
      <c r="N6708" s="267" t="s">
        <v>3944</v>
      </c>
      <c r="O6708" s="267">
        <v>2708.79</v>
      </c>
      <c r="P6708" s="267" t="s">
        <v>3944</v>
      </c>
      <c r="Q6708" s="267" t="s">
        <v>3944</v>
      </c>
      <c r="R6708" s="267">
        <v>2708.79</v>
      </c>
      <c r="S6708" s="267">
        <v>38729</v>
      </c>
      <c r="T6708" s="267">
        <v>41437.79</v>
      </c>
      <c r="U6708" s="268" t="s">
        <v>3945</v>
      </c>
      <c r="V6708" s="267" t="s">
        <v>944</v>
      </c>
    </row>
    <row r="6709" spans="1:22" hidden="1" x14ac:dyDescent="0.25">
      <c r="A6709" s="269">
        <v>43775</v>
      </c>
      <c r="B6709" s="270">
        <v>2019</v>
      </c>
      <c r="C6709" s="270">
        <v>2020</v>
      </c>
      <c r="D6709" s="270">
        <v>1</v>
      </c>
      <c r="E6709" s="270">
        <v>1</v>
      </c>
      <c r="F6709" s="270" t="s">
        <v>944</v>
      </c>
      <c r="G6709" s="270" t="s">
        <v>3926</v>
      </c>
      <c r="H6709" s="270" t="s">
        <v>11480</v>
      </c>
      <c r="I6709" s="270" t="s">
        <v>3956</v>
      </c>
      <c r="J6709" s="270" t="s">
        <v>3928</v>
      </c>
      <c r="K6709" s="270">
        <v>6114</v>
      </c>
      <c r="L6709" s="270">
        <v>502300</v>
      </c>
      <c r="M6709" s="270">
        <v>-60</v>
      </c>
      <c r="N6709" s="270" t="s">
        <v>3944</v>
      </c>
      <c r="O6709" s="270">
        <v>2525.04</v>
      </c>
      <c r="P6709" s="270" t="s">
        <v>3944</v>
      </c>
      <c r="Q6709" s="270" t="s">
        <v>3944</v>
      </c>
      <c r="R6709" s="270">
        <v>2525.04</v>
      </c>
      <c r="S6709" s="270">
        <v>35474.089999999997</v>
      </c>
      <c r="T6709" s="270">
        <v>37999.129999999997</v>
      </c>
      <c r="U6709" s="271" t="s">
        <v>3945</v>
      </c>
      <c r="V6709" s="267" t="s">
        <v>944</v>
      </c>
    </row>
    <row r="6710" spans="1:22" hidden="1" x14ac:dyDescent="0.25">
      <c r="A6710" s="266">
        <v>43775</v>
      </c>
      <c r="B6710" s="267">
        <v>2019</v>
      </c>
      <c r="C6710" s="267">
        <v>2020</v>
      </c>
      <c r="D6710" s="267">
        <v>1</v>
      </c>
      <c r="E6710" s="267">
        <v>1</v>
      </c>
      <c r="F6710" s="267" t="s">
        <v>944</v>
      </c>
      <c r="G6710" s="267" t="s">
        <v>3926</v>
      </c>
      <c r="H6710" s="267" t="s">
        <v>11481</v>
      </c>
      <c r="I6710" s="267" t="s">
        <v>3956</v>
      </c>
      <c r="J6710" s="267" t="s">
        <v>3928</v>
      </c>
      <c r="K6710" s="267">
        <v>6112</v>
      </c>
      <c r="L6710" s="267">
        <v>503900</v>
      </c>
      <c r="M6710" s="267">
        <v>-60</v>
      </c>
      <c r="N6710" s="267" t="s">
        <v>3944</v>
      </c>
      <c r="O6710" s="267">
        <v>2759.19</v>
      </c>
      <c r="P6710" s="267" t="s">
        <v>3944</v>
      </c>
      <c r="Q6710" s="267" t="s">
        <v>3944</v>
      </c>
      <c r="R6710" s="267">
        <v>2759.19</v>
      </c>
      <c r="S6710" s="267">
        <v>39938.83</v>
      </c>
      <c r="T6710" s="267">
        <v>42698.02</v>
      </c>
      <c r="U6710" s="268" t="s">
        <v>3945</v>
      </c>
      <c r="V6710" s="267" t="s">
        <v>944</v>
      </c>
    </row>
    <row r="6711" spans="1:22" hidden="1" x14ac:dyDescent="0.25">
      <c r="A6711" s="269">
        <v>43775</v>
      </c>
      <c r="B6711" s="270">
        <v>2019</v>
      </c>
      <c r="C6711" s="270">
        <v>2020</v>
      </c>
      <c r="D6711" s="270">
        <v>1</v>
      </c>
      <c r="E6711" s="270">
        <v>1</v>
      </c>
      <c r="F6711" s="270" t="s">
        <v>944</v>
      </c>
      <c r="G6711" s="270" t="s">
        <v>3926</v>
      </c>
      <c r="H6711" s="270" t="s">
        <v>11482</v>
      </c>
      <c r="I6711" s="270" t="s">
        <v>4147</v>
      </c>
      <c r="J6711" s="270" t="s">
        <v>3928</v>
      </c>
      <c r="K6711" s="270">
        <v>6109</v>
      </c>
      <c r="L6711" s="270">
        <v>492300</v>
      </c>
      <c r="M6711" s="270" t="s">
        <v>3940</v>
      </c>
      <c r="N6711" s="270" t="s">
        <v>3944</v>
      </c>
      <c r="O6711" s="270">
        <v>973.95</v>
      </c>
      <c r="P6711" s="270" t="s">
        <v>3944</v>
      </c>
      <c r="Q6711" s="270" t="s">
        <v>3944</v>
      </c>
      <c r="R6711" s="270">
        <v>973.95</v>
      </c>
      <c r="S6711" s="270">
        <v>14441.72</v>
      </c>
      <c r="T6711" s="270">
        <v>15415.67</v>
      </c>
      <c r="U6711" s="271" t="s">
        <v>3945</v>
      </c>
      <c r="V6711" s="267" t="s">
        <v>944</v>
      </c>
    </row>
    <row r="6712" spans="1:22" hidden="1" x14ac:dyDescent="0.25">
      <c r="A6712" s="266">
        <v>43775</v>
      </c>
      <c r="B6712" s="267">
        <v>2019</v>
      </c>
      <c r="C6712" s="267">
        <v>2020</v>
      </c>
      <c r="D6712" s="267">
        <v>1</v>
      </c>
      <c r="E6712" s="267">
        <v>1</v>
      </c>
      <c r="F6712" s="267" t="s">
        <v>944</v>
      </c>
      <c r="G6712" s="267" t="s">
        <v>3926</v>
      </c>
      <c r="H6712" s="267" t="s">
        <v>11483</v>
      </c>
      <c r="I6712" s="267" t="s">
        <v>4042</v>
      </c>
      <c r="J6712" s="267" t="s">
        <v>3928</v>
      </c>
      <c r="K6712" s="267">
        <v>6382</v>
      </c>
      <c r="L6712" s="267">
        <v>870502</v>
      </c>
      <c r="M6712" s="267" t="s">
        <v>3940</v>
      </c>
      <c r="N6712" s="267" t="s">
        <v>3944</v>
      </c>
      <c r="O6712" s="267">
        <v>1290</v>
      </c>
      <c r="P6712" s="267" t="s">
        <v>3944</v>
      </c>
      <c r="Q6712" s="267" t="s">
        <v>3944</v>
      </c>
      <c r="R6712" s="267">
        <v>1290</v>
      </c>
      <c r="S6712" s="267">
        <v>19102.060000000001</v>
      </c>
      <c r="T6712" s="267">
        <v>20392.060000000001</v>
      </c>
      <c r="U6712" s="268" t="s">
        <v>3945</v>
      </c>
      <c r="V6712" s="267" t="s">
        <v>944</v>
      </c>
    </row>
    <row r="6713" spans="1:22" hidden="1" x14ac:dyDescent="0.25">
      <c r="A6713" s="269">
        <v>43775</v>
      </c>
      <c r="B6713" s="270">
        <v>2019</v>
      </c>
      <c r="C6713" s="270">
        <v>2020</v>
      </c>
      <c r="D6713" s="270">
        <v>1</v>
      </c>
      <c r="E6713" s="270">
        <v>1</v>
      </c>
      <c r="F6713" s="270" t="s">
        <v>944</v>
      </c>
      <c r="G6713" s="270" t="s">
        <v>3926</v>
      </c>
      <c r="H6713" s="270" t="s">
        <v>11484</v>
      </c>
      <c r="I6713" s="270" t="s">
        <v>4254</v>
      </c>
      <c r="J6713" s="270" t="s">
        <v>3928</v>
      </c>
      <c r="K6713" s="270">
        <v>6076</v>
      </c>
      <c r="L6713" s="270">
        <v>890100</v>
      </c>
      <c r="M6713" s="270" t="s">
        <v>3940</v>
      </c>
      <c r="N6713" s="270" t="s">
        <v>3944</v>
      </c>
      <c r="O6713" s="270">
        <v>1878.17</v>
      </c>
      <c r="P6713" s="270" t="s">
        <v>3944</v>
      </c>
      <c r="Q6713" s="270" t="s">
        <v>3944</v>
      </c>
      <c r="R6713" s="270">
        <v>1878.17</v>
      </c>
      <c r="S6713" s="270">
        <v>26024.55</v>
      </c>
      <c r="T6713" s="270">
        <v>27902.720000000001</v>
      </c>
      <c r="U6713" s="271" t="s">
        <v>3945</v>
      </c>
      <c r="V6713" s="267" t="s">
        <v>944</v>
      </c>
    </row>
    <row r="6714" spans="1:22" hidden="1" x14ac:dyDescent="0.25">
      <c r="A6714" s="266">
        <v>43775</v>
      </c>
      <c r="B6714" s="267">
        <v>2019</v>
      </c>
      <c r="C6714" s="267">
        <v>2020</v>
      </c>
      <c r="D6714" s="267">
        <v>1</v>
      </c>
      <c r="E6714" s="267">
        <v>1</v>
      </c>
      <c r="F6714" s="267" t="s">
        <v>944</v>
      </c>
      <c r="G6714" s="267" t="s">
        <v>3926</v>
      </c>
      <c r="H6714" s="267" t="s">
        <v>11485</v>
      </c>
      <c r="I6714" s="267" t="s">
        <v>3975</v>
      </c>
      <c r="J6714" s="267" t="s">
        <v>3928</v>
      </c>
      <c r="K6714" s="267">
        <v>6489</v>
      </c>
      <c r="L6714" s="267">
        <v>430500</v>
      </c>
      <c r="M6714" s="267" t="s">
        <v>3943</v>
      </c>
      <c r="N6714" s="267" t="s">
        <v>3944</v>
      </c>
      <c r="O6714" s="267">
        <v>2390.4299999999998</v>
      </c>
      <c r="P6714" s="267" t="s">
        <v>3944</v>
      </c>
      <c r="Q6714" s="267" t="s">
        <v>3944</v>
      </c>
      <c r="R6714" s="267">
        <v>2390.4299999999998</v>
      </c>
      <c r="S6714" s="267">
        <v>34082.01</v>
      </c>
      <c r="T6714" s="267">
        <v>36472.44</v>
      </c>
      <c r="U6714" s="268" t="s">
        <v>3945</v>
      </c>
      <c r="V6714" s="267" t="s">
        <v>944</v>
      </c>
    </row>
    <row r="6715" spans="1:22" hidden="1" x14ac:dyDescent="0.25">
      <c r="A6715" s="269">
        <v>43775</v>
      </c>
      <c r="B6715" s="270">
        <v>2019</v>
      </c>
      <c r="C6715" s="270">
        <v>2020</v>
      </c>
      <c r="D6715" s="270">
        <v>1</v>
      </c>
      <c r="E6715" s="270">
        <v>1</v>
      </c>
      <c r="F6715" s="270" t="s">
        <v>944</v>
      </c>
      <c r="G6715" s="270" t="s">
        <v>3926</v>
      </c>
      <c r="H6715" s="270" t="s">
        <v>11486</v>
      </c>
      <c r="I6715" s="270" t="s">
        <v>4005</v>
      </c>
      <c r="J6715" s="270" t="s">
        <v>3928</v>
      </c>
      <c r="K6715" s="270">
        <v>6108</v>
      </c>
      <c r="L6715" s="270">
        <v>511200</v>
      </c>
      <c r="M6715" s="270">
        <v>-60</v>
      </c>
      <c r="N6715" s="270" t="s">
        <v>3944</v>
      </c>
      <c r="O6715" s="270">
        <v>1002.96</v>
      </c>
      <c r="P6715" s="270" t="s">
        <v>3944</v>
      </c>
      <c r="Q6715" s="270" t="s">
        <v>3944</v>
      </c>
      <c r="R6715" s="270">
        <v>1002.96</v>
      </c>
      <c r="S6715" s="270">
        <v>14737.17</v>
      </c>
      <c r="T6715" s="270">
        <v>15740.13</v>
      </c>
      <c r="U6715" s="271" t="s">
        <v>3945</v>
      </c>
      <c r="V6715" s="267" t="s">
        <v>944</v>
      </c>
    </row>
    <row r="6716" spans="1:22" hidden="1" x14ac:dyDescent="0.25">
      <c r="A6716" s="266">
        <v>43775</v>
      </c>
      <c r="B6716" s="267">
        <v>2019</v>
      </c>
      <c r="C6716" s="267">
        <v>2020</v>
      </c>
      <c r="D6716" s="267">
        <v>1</v>
      </c>
      <c r="E6716" s="267">
        <v>1</v>
      </c>
      <c r="F6716" s="267" t="s">
        <v>944</v>
      </c>
      <c r="G6716" s="267" t="s">
        <v>3926</v>
      </c>
      <c r="H6716" s="267" t="s">
        <v>11487</v>
      </c>
      <c r="I6716" s="267" t="s">
        <v>4029</v>
      </c>
      <c r="J6716" s="267" t="s">
        <v>3928</v>
      </c>
      <c r="K6716" s="267">
        <v>6850</v>
      </c>
      <c r="L6716" s="267">
        <v>43800</v>
      </c>
      <c r="M6716" s="267" t="s">
        <v>3935</v>
      </c>
      <c r="N6716" s="267" t="s">
        <v>3944</v>
      </c>
      <c r="O6716" s="267">
        <v>1702.72</v>
      </c>
      <c r="P6716" s="267" t="s">
        <v>3944</v>
      </c>
      <c r="Q6716" s="267" t="s">
        <v>3944</v>
      </c>
      <c r="R6716" s="267">
        <v>1702.72</v>
      </c>
      <c r="S6716" s="267">
        <v>30044.48</v>
      </c>
      <c r="T6716" s="267">
        <v>31747.200000000001</v>
      </c>
      <c r="U6716" s="268" t="s">
        <v>3945</v>
      </c>
      <c r="V6716" s="267" t="s">
        <v>944</v>
      </c>
    </row>
    <row r="6717" spans="1:22" hidden="1" x14ac:dyDescent="0.25">
      <c r="A6717" s="269">
        <v>43775</v>
      </c>
      <c r="B6717" s="270">
        <v>2019</v>
      </c>
      <c r="C6717" s="270">
        <v>2020</v>
      </c>
      <c r="D6717" s="270">
        <v>1</v>
      </c>
      <c r="E6717" s="270">
        <v>1</v>
      </c>
      <c r="F6717" s="270" t="s">
        <v>944</v>
      </c>
      <c r="G6717" s="270" t="s">
        <v>3926</v>
      </c>
      <c r="H6717" s="270" t="s">
        <v>11488</v>
      </c>
      <c r="I6717" s="270" t="s">
        <v>4232</v>
      </c>
      <c r="J6717" s="270" t="s">
        <v>3928</v>
      </c>
      <c r="K6717" s="270">
        <v>6483</v>
      </c>
      <c r="L6717" s="270">
        <v>130101</v>
      </c>
      <c r="M6717" s="270" t="s">
        <v>3940</v>
      </c>
      <c r="N6717" s="270" t="s">
        <v>3944</v>
      </c>
      <c r="O6717" s="270">
        <v>1711.85</v>
      </c>
      <c r="P6717" s="270" t="s">
        <v>3944</v>
      </c>
      <c r="Q6717" s="270" t="s">
        <v>3944</v>
      </c>
      <c r="R6717" s="270">
        <v>1711.85</v>
      </c>
      <c r="S6717" s="270">
        <v>11825.15</v>
      </c>
      <c r="T6717" s="270">
        <v>13537</v>
      </c>
      <c r="U6717" s="271" t="s">
        <v>3945</v>
      </c>
      <c r="V6717" s="267" t="s">
        <v>944</v>
      </c>
    </row>
    <row r="6718" spans="1:22" hidden="1" x14ac:dyDescent="0.25">
      <c r="A6718" s="266">
        <v>43775</v>
      </c>
      <c r="B6718" s="267">
        <v>2019</v>
      </c>
      <c r="C6718" s="267">
        <v>2020</v>
      </c>
      <c r="D6718" s="267">
        <v>1</v>
      </c>
      <c r="E6718" s="267">
        <v>1</v>
      </c>
      <c r="F6718" s="267" t="s">
        <v>944</v>
      </c>
      <c r="G6718" s="267" t="s">
        <v>3926</v>
      </c>
      <c r="H6718" s="267" t="s">
        <v>11489</v>
      </c>
      <c r="I6718" s="267" t="s">
        <v>956</v>
      </c>
      <c r="J6718" s="267" t="s">
        <v>3928</v>
      </c>
      <c r="K6718" s="267">
        <v>6614</v>
      </c>
      <c r="L6718" s="267">
        <v>81000</v>
      </c>
      <c r="M6718" s="267" t="s">
        <v>3940</v>
      </c>
      <c r="N6718" s="267" t="s">
        <v>3944</v>
      </c>
      <c r="O6718" s="267">
        <v>944.27</v>
      </c>
      <c r="P6718" s="267" t="s">
        <v>3944</v>
      </c>
      <c r="Q6718" s="267" t="s">
        <v>3944</v>
      </c>
      <c r="R6718" s="267">
        <v>944.27</v>
      </c>
      <c r="S6718" s="267">
        <v>12549.98</v>
      </c>
      <c r="T6718" s="267">
        <v>13494.25</v>
      </c>
      <c r="U6718" s="268" t="s">
        <v>3945</v>
      </c>
      <c r="V6718" s="267" t="s">
        <v>944</v>
      </c>
    </row>
    <row r="6719" spans="1:22" hidden="1" x14ac:dyDescent="0.25">
      <c r="A6719" s="269">
        <v>43775</v>
      </c>
      <c r="B6719" s="270">
        <v>2019</v>
      </c>
      <c r="C6719" s="270">
        <v>2020</v>
      </c>
      <c r="D6719" s="270">
        <v>1</v>
      </c>
      <c r="E6719" s="270">
        <v>1</v>
      </c>
      <c r="F6719" s="270" t="s">
        <v>944</v>
      </c>
      <c r="G6719" s="270" t="s">
        <v>3926</v>
      </c>
      <c r="H6719" s="270" t="s">
        <v>11490</v>
      </c>
      <c r="I6719" s="270" t="s">
        <v>4016</v>
      </c>
      <c r="J6719" s="270" t="s">
        <v>3928</v>
      </c>
      <c r="K6719" s="270">
        <v>6770</v>
      </c>
      <c r="L6719" s="270">
        <v>345400</v>
      </c>
      <c r="M6719" s="270" t="s">
        <v>3935</v>
      </c>
      <c r="N6719" s="270" t="s">
        <v>3944</v>
      </c>
      <c r="O6719" s="270">
        <v>2191.98</v>
      </c>
      <c r="P6719" s="270" t="s">
        <v>3944</v>
      </c>
      <c r="Q6719" s="270" t="s">
        <v>3944</v>
      </c>
      <c r="R6719" s="270">
        <v>2191.98</v>
      </c>
      <c r="S6719" s="270">
        <v>33355.769999999997</v>
      </c>
      <c r="T6719" s="270">
        <v>35547.75</v>
      </c>
      <c r="U6719" s="271" t="s">
        <v>3945</v>
      </c>
      <c r="V6719" s="267" t="s">
        <v>944</v>
      </c>
    </row>
    <row r="6720" spans="1:22" hidden="1" x14ac:dyDescent="0.25">
      <c r="A6720" s="266">
        <v>43775</v>
      </c>
      <c r="B6720" s="267">
        <v>2019</v>
      </c>
      <c r="C6720" s="267">
        <v>2020</v>
      </c>
      <c r="D6720" s="267">
        <v>1</v>
      </c>
      <c r="E6720" s="267">
        <v>1</v>
      </c>
      <c r="F6720" s="267" t="s">
        <v>944</v>
      </c>
      <c r="G6720" s="267" t="s">
        <v>3926</v>
      </c>
      <c r="H6720" s="267" t="s">
        <v>11491</v>
      </c>
      <c r="I6720" s="267" t="s">
        <v>3975</v>
      </c>
      <c r="J6720" s="267" t="s">
        <v>3928</v>
      </c>
      <c r="K6720" s="267">
        <v>6479</v>
      </c>
      <c r="L6720" s="267">
        <v>430500</v>
      </c>
      <c r="M6720" s="267" t="s">
        <v>3943</v>
      </c>
      <c r="N6720" s="267" t="s">
        <v>3944</v>
      </c>
      <c r="O6720" s="267">
        <v>2960.79</v>
      </c>
      <c r="P6720" s="267" t="s">
        <v>3944</v>
      </c>
      <c r="Q6720" s="267" t="s">
        <v>3944</v>
      </c>
      <c r="R6720" s="267">
        <v>2960.79</v>
      </c>
      <c r="S6720" s="267">
        <v>43937.93</v>
      </c>
      <c r="T6720" s="267">
        <v>46898.720000000001</v>
      </c>
      <c r="U6720" s="268" t="s">
        <v>3945</v>
      </c>
      <c r="V6720" s="267" t="s">
        <v>944</v>
      </c>
    </row>
    <row r="6721" spans="1:22" hidden="1" x14ac:dyDescent="0.25">
      <c r="A6721" s="269">
        <v>43776</v>
      </c>
      <c r="B6721" s="270">
        <v>2019</v>
      </c>
      <c r="C6721" s="270">
        <v>2020</v>
      </c>
      <c r="D6721" s="270">
        <v>1</v>
      </c>
      <c r="E6721" s="270">
        <v>1</v>
      </c>
      <c r="F6721" s="270" t="s">
        <v>944</v>
      </c>
      <c r="G6721" s="270" t="s">
        <v>3926</v>
      </c>
      <c r="H6721" s="270" t="s">
        <v>11492</v>
      </c>
      <c r="I6721" s="270" t="s">
        <v>956</v>
      </c>
      <c r="J6721" s="270" t="s">
        <v>3928</v>
      </c>
      <c r="K6721" s="270">
        <v>6614</v>
      </c>
      <c r="L6721" s="270">
        <v>80100</v>
      </c>
      <c r="M6721" s="270" t="s">
        <v>3935</v>
      </c>
      <c r="N6721" s="270" t="s">
        <v>4701</v>
      </c>
      <c r="O6721" s="270">
        <v>2349.59</v>
      </c>
      <c r="P6721" s="270" t="s">
        <v>3930</v>
      </c>
      <c r="Q6721" s="270" t="s">
        <v>3931</v>
      </c>
      <c r="R6721" s="270">
        <v>7349.59</v>
      </c>
      <c r="S6721" s="270">
        <v>34648</v>
      </c>
      <c r="T6721" s="270">
        <v>41997.59</v>
      </c>
      <c r="U6721" s="271" t="s">
        <v>3932</v>
      </c>
      <c r="V6721" s="267" t="s">
        <v>944</v>
      </c>
    </row>
    <row r="6722" spans="1:22" hidden="1" x14ac:dyDescent="0.25">
      <c r="A6722" s="266">
        <v>43776</v>
      </c>
      <c r="B6722" s="267">
        <v>2019</v>
      </c>
      <c r="C6722" s="267">
        <v>2020</v>
      </c>
      <c r="D6722" s="267">
        <v>1</v>
      </c>
      <c r="E6722" s="267">
        <v>1</v>
      </c>
      <c r="F6722" s="267" t="s">
        <v>944</v>
      </c>
      <c r="G6722" s="267" t="s">
        <v>3926</v>
      </c>
      <c r="H6722" s="267" t="s">
        <v>11493</v>
      </c>
      <c r="I6722" s="267" t="s">
        <v>4019</v>
      </c>
      <c r="J6722" s="267" t="s">
        <v>3928</v>
      </c>
      <c r="K6722" s="267">
        <v>6705</v>
      </c>
      <c r="L6722" s="267">
        <v>351300</v>
      </c>
      <c r="M6722" s="267">
        <v>-60</v>
      </c>
      <c r="N6722" s="267" t="s">
        <v>10699</v>
      </c>
      <c r="O6722" s="267">
        <v>2300.13</v>
      </c>
      <c r="P6722" s="267" t="s">
        <v>3930</v>
      </c>
      <c r="Q6722" s="267" t="s">
        <v>3931</v>
      </c>
      <c r="R6722" s="267">
        <v>7300.13</v>
      </c>
      <c r="S6722" s="267">
        <v>10540</v>
      </c>
      <c r="T6722" s="267">
        <v>17840.13</v>
      </c>
      <c r="U6722" s="268" t="s">
        <v>3932</v>
      </c>
      <c r="V6722" s="267" t="s">
        <v>944</v>
      </c>
    </row>
    <row r="6723" spans="1:22" x14ac:dyDescent="0.25">
      <c r="A6723" s="269">
        <v>43776</v>
      </c>
      <c r="B6723" s="270">
        <v>2019</v>
      </c>
      <c r="C6723" s="270">
        <v>2020</v>
      </c>
      <c r="D6723" s="270">
        <v>1</v>
      </c>
      <c r="E6723" s="270">
        <v>1</v>
      </c>
      <c r="F6723" s="270" t="s">
        <v>944</v>
      </c>
      <c r="G6723" s="270" t="s">
        <v>3926</v>
      </c>
      <c r="H6723" s="270" t="s">
        <v>11494</v>
      </c>
      <c r="I6723" s="270" t="s">
        <v>934</v>
      </c>
      <c r="J6723" s="270" t="s">
        <v>3928</v>
      </c>
      <c r="K6723" s="270">
        <v>6606</v>
      </c>
      <c r="L6723" s="270">
        <v>72200</v>
      </c>
      <c r="M6723" s="270">
        <v>-60</v>
      </c>
      <c r="N6723" s="270" t="s">
        <v>8223</v>
      </c>
      <c r="O6723" s="270">
        <v>2761.52</v>
      </c>
      <c r="P6723" s="270" t="s">
        <v>3930</v>
      </c>
      <c r="Q6723" s="270" t="s">
        <v>3931</v>
      </c>
      <c r="R6723" s="270">
        <v>7761.52</v>
      </c>
      <c r="S6723" s="270">
        <v>12702.4</v>
      </c>
      <c r="T6723" s="270">
        <v>20463.919999999998</v>
      </c>
      <c r="U6723" s="271" t="s">
        <v>3932</v>
      </c>
      <c r="V6723" s="276" t="s">
        <v>936</v>
      </c>
    </row>
    <row r="6724" spans="1:22" hidden="1" x14ac:dyDescent="0.25">
      <c r="A6724" s="266">
        <v>43776</v>
      </c>
      <c r="B6724" s="267">
        <v>2019</v>
      </c>
      <c r="C6724" s="267">
        <v>2020</v>
      </c>
      <c r="D6724" s="267">
        <v>1</v>
      </c>
      <c r="E6724" s="267">
        <v>1</v>
      </c>
      <c r="F6724" s="267" t="s">
        <v>944</v>
      </c>
      <c r="G6724" s="267" t="s">
        <v>3926</v>
      </c>
      <c r="H6724" s="267" t="s">
        <v>11495</v>
      </c>
      <c r="I6724" s="267" t="s">
        <v>3008</v>
      </c>
      <c r="J6724" s="267" t="s">
        <v>3928</v>
      </c>
      <c r="K6724" s="267">
        <v>6461</v>
      </c>
      <c r="L6724" s="267">
        <v>150700</v>
      </c>
      <c r="M6724" s="267" t="s">
        <v>3943</v>
      </c>
      <c r="N6724" s="267" t="s">
        <v>4103</v>
      </c>
      <c r="O6724" s="267">
        <v>1699.81</v>
      </c>
      <c r="P6724" s="267" t="s">
        <v>3930</v>
      </c>
      <c r="Q6724" s="267" t="s">
        <v>3931</v>
      </c>
      <c r="R6724" s="267">
        <v>6699.81</v>
      </c>
      <c r="S6724" s="267">
        <v>24145.599999999999</v>
      </c>
      <c r="T6724" s="267">
        <v>30845.41</v>
      </c>
      <c r="U6724" s="268" t="s">
        <v>3932</v>
      </c>
      <c r="V6724" s="267" t="s">
        <v>944</v>
      </c>
    </row>
    <row r="6725" spans="1:22" hidden="1" x14ac:dyDescent="0.25">
      <c r="A6725" s="269">
        <v>43776</v>
      </c>
      <c r="B6725" s="270">
        <v>2019</v>
      </c>
      <c r="C6725" s="270">
        <v>2020</v>
      </c>
      <c r="D6725" s="270">
        <v>1</v>
      </c>
      <c r="E6725" s="270">
        <v>1</v>
      </c>
      <c r="F6725" s="270" t="s">
        <v>944</v>
      </c>
      <c r="G6725" s="270" t="s">
        <v>3926</v>
      </c>
      <c r="H6725" s="270" t="s">
        <v>11496</v>
      </c>
      <c r="I6725" s="270" t="s">
        <v>956</v>
      </c>
      <c r="J6725" s="270" t="s">
        <v>3928</v>
      </c>
      <c r="K6725" s="270">
        <v>6614</v>
      </c>
      <c r="L6725" s="270">
        <v>80800</v>
      </c>
      <c r="M6725" s="270" t="s">
        <v>3960</v>
      </c>
      <c r="N6725" s="270" t="s">
        <v>5911</v>
      </c>
      <c r="O6725" s="270">
        <v>1690.49</v>
      </c>
      <c r="P6725" s="270" t="s">
        <v>3930</v>
      </c>
      <c r="Q6725" s="270" t="s">
        <v>3931</v>
      </c>
      <c r="R6725" s="270">
        <v>6690.49</v>
      </c>
      <c r="S6725" s="270">
        <v>19390</v>
      </c>
      <c r="T6725" s="270">
        <v>26080.49</v>
      </c>
      <c r="U6725" s="271" t="s">
        <v>3932</v>
      </c>
      <c r="V6725" s="267" t="s">
        <v>944</v>
      </c>
    </row>
    <row r="6726" spans="1:22" hidden="1" x14ac:dyDescent="0.25">
      <c r="A6726" s="266">
        <v>43776</v>
      </c>
      <c r="B6726" s="267">
        <v>2019</v>
      </c>
      <c r="C6726" s="267">
        <v>2020</v>
      </c>
      <c r="D6726" s="267">
        <v>1</v>
      </c>
      <c r="E6726" s="267">
        <v>1</v>
      </c>
      <c r="F6726" s="267" t="s">
        <v>944</v>
      </c>
      <c r="G6726" s="267" t="s">
        <v>3926</v>
      </c>
      <c r="H6726" s="267" t="s">
        <v>11497</v>
      </c>
      <c r="I6726" s="267" t="s">
        <v>4947</v>
      </c>
      <c r="J6726" s="267" t="s">
        <v>3928</v>
      </c>
      <c r="K6726" s="267">
        <v>6787</v>
      </c>
      <c r="L6726" s="267">
        <v>349100</v>
      </c>
      <c r="M6726" s="267" t="s">
        <v>3935</v>
      </c>
      <c r="N6726" s="267" t="s">
        <v>7680</v>
      </c>
      <c r="O6726" s="267">
        <v>965.02</v>
      </c>
      <c r="P6726" s="267" t="s">
        <v>3930</v>
      </c>
      <c r="Q6726" s="267" t="s">
        <v>3931</v>
      </c>
      <c r="R6726" s="267">
        <v>5965.02</v>
      </c>
      <c r="S6726" s="267">
        <v>11128</v>
      </c>
      <c r="T6726" s="267">
        <v>17093.02</v>
      </c>
      <c r="U6726" s="268" t="s">
        <v>3932</v>
      </c>
      <c r="V6726" s="267" t="s">
        <v>944</v>
      </c>
    </row>
    <row r="6727" spans="1:22" hidden="1" x14ac:dyDescent="0.25">
      <c r="A6727" s="269">
        <v>43776</v>
      </c>
      <c r="B6727" s="270">
        <v>2019</v>
      </c>
      <c r="C6727" s="270">
        <v>2020</v>
      </c>
      <c r="D6727" s="270">
        <v>1</v>
      </c>
      <c r="E6727" s="270">
        <v>1</v>
      </c>
      <c r="F6727" s="270" t="s">
        <v>944</v>
      </c>
      <c r="G6727" s="270" t="s">
        <v>3926</v>
      </c>
      <c r="H6727" s="270" t="s">
        <v>11498</v>
      </c>
      <c r="I6727" s="270" t="s">
        <v>3956</v>
      </c>
      <c r="J6727" s="270" t="s">
        <v>3928</v>
      </c>
      <c r="K6727" s="270">
        <v>6105</v>
      </c>
      <c r="L6727" s="270">
        <v>503100</v>
      </c>
      <c r="M6727" s="270">
        <v>-60</v>
      </c>
      <c r="N6727" s="270" t="s">
        <v>7680</v>
      </c>
      <c r="O6727" s="270">
        <v>2128.41</v>
      </c>
      <c r="P6727" s="270" t="s">
        <v>3930</v>
      </c>
      <c r="Q6727" s="270" t="s">
        <v>3931</v>
      </c>
      <c r="R6727" s="270">
        <v>7128.41</v>
      </c>
      <c r="S6727" s="270">
        <v>11128</v>
      </c>
      <c r="T6727" s="270">
        <v>18256.41</v>
      </c>
      <c r="U6727" s="271" t="s">
        <v>3932</v>
      </c>
      <c r="V6727" s="267" t="s">
        <v>944</v>
      </c>
    </row>
    <row r="6728" spans="1:22" hidden="1" x14ac:dyDescent="0.25">
      <c r="A6728" s="266">
        <v>43776</v>
      </c>
      <c r="B6728" s="267">
        <v>2019</v>
      </c>
      <c r="C6728" s="267">
        <v>2020</v>
      </c>
      <c r="D6728" s="267">
        <v>1</v>
      </c>
      <c r="E6728" s="267">
        <v>1</v>
      </c>
      <c r="F6728" s="267" t="s">
        <v>944</v>
      </c>
      <c r="G6728" s="267" t="s">
        <v>3926</v>
      </c>
      <c r="H6728" s="267" t="s">
        <v>11499</v>
      </c>
      <c r="I6728" s="267" t="s">
        <v>943</v>
      </c>
      <c r="J6728" s="267" t="s">
        <v>3928</v>
      </c>
      <c r="K6728" s="267">
        <v>6511</v>
      </c>
      <c r="L6728" s="267">
        <v>141800</v>
      </c>
      <c r="M6728" s="267" t="s">
        <v>3940</v>
      </c>
      <c r="N6728" s="267" t="s">
        <v>3944</v>
      </c>
      <c r="O6728" s="267">
        <v>4155</v>
      </c>
      <c r="P6728" s="267" t="s">
        <v>3944</v>
      </c>
      <c r="Q6728" s="267" t="s">
        <v>3944</v>
      </c>
      <c r="R6728" s="267">
        <v>4155</v>
      </c>
      <c r="S6728" s="267">
        <v>46432</v>
      </c>
      <c r="T6728" s="267">
        <v>50587</v>
      </c>
      <c r="U6728" s="268" t="s">
        <v>3945</v>
      </c>
      <c r="V6728" s="267" t="s">
        <v>944</v>
      </c>
    </row>
    <row r="6729" spans="1:22" hidden="1" x14ac:dyDescent="0.25">
      <c r="A6729" s="269">
        <v>43776</v>
      </c>
      <c r="B6729" s="270">
        <v>2019</v>
      </c>
      <c r="C6729" s="270">
        <v>2020</v>
      </c>
      <c r="D6729" s="270">
        <v>1</v>
      </c>
      <c r="E6729" s="270">
        <v>1</v>
      </c>
      <c r="F6729" s="270" t="s">
        <v>944</v>
      </c>
      <c r="G6729" s="270" t="s">
        <v>3926</v>
      </c>
      <c r="H6729" s="270" t="s">
        <v>11500</v>
      </c>
      <c r="I6729" s="270" t="s">
        <v>4037</v>
      </c>
      <c r="J6729" s="270" t="s">
        <v>3928</v>
      </c>
      <c r="K6729" s="270">
        <v>6811</v>
      </c>
      <c r="L6729" s="270">
        <v>210900</v>
      </c>
      <c r="M6729" s="270" t="s">
        <v>3943</v>
      </c>
      <c r="N6729" s="270" t="s">
        <v>3944</v>
      </c>
      <c r="O6729" s="270">
        <v>3208</v>
      </c>
      <c r="P6729" s="270" t="s">
        <v>3944</v>
      </c>
      <c r="Q6729" s="270" t="s">
        <v>3944</v>
      </c>
      <c r="R6729" s="270">
        <v>3208</v>
      </c>
      <c r="S6729" s="270">
        <v>32518</v>
      </c>
      <c r="T6729" s="270">
        <v>35726</v>
      </c>
      <c r="U6729" s="271" t="s">
        <v>3945</v>
      </c>
      <c r="V6729" s="267" t="s">
        <v>944</v>
      </c>
    </row>
    <row r="6730" spans="1:22" hidden="1" x14ac:dyDescent="0.25">
      <c r="A6730" s="266">
        <v>43776</v>
      </c>
      <c r="B6730" s="267">
        <v>2019</v>
      </c>
      <c r="C6730" s="267">
        <v>2020</v>
      </c>
      <c r="D6730" s="267">
        <v>1</v>
      </c>
      <c r="E6730" s="267">
        <v>1</v>
      </c>
      <c r="F6730" s="267" t="s">
        <v>944</v>
      </c>
      <c r="G6730" s="267" t="s">
        <v>3926</v>
      </c>
      <c r="H6730" s="267" t="s">
        <v>11501</v>
      </c>
      <c r="I6730" s="267" t="s">
        <v>4497</v>
      </c>
      <c r="J6730" s="267" t="s">
        <v>3928</v>
      </c>
      <c r="K6730" s="267">
        <v>6260</v>
      </c>
      <c r="L6730" s="267">
        <v>903100</v>
      </c>
      <c r="M6730" s="267" t="s">
        <v>3940</v>
      </c>
      <c r="N6730" s="267" t="s">
        <v>3944</v>
      </c>
      <c r="O6730" s="267">
        <v>767</v>
      </c>
      <c r="P6730" s="267" t="s">
        <v>3944</v>
      </c>
      <c r="Q6730" s="267" t="s">
        <v>3944</v>
      </c>
      <c r="R6730" s="267">
        <v>767</v>
      </c>
      <c r="S6730" s="267">
        <v>7226</v>
      </c>
      <c r="T6730" s="267">
        <v>7993</v>
      </c>
      <c r="U6730" s="268" t="s">
        <v>3945</v>
      </c>
      <c r="V6730" s="267" t="s">
        <v>944</v>
      </c>
    </row>
    <row r="6731" spans="1:22" hidden="1" x14ac:dyDescent="0.25">
      <c r="A6731" s="269">
        <v>43776</v>
      </c>
      <c r="B6731" s="270">
        <v>2019</v>
      </c>
      <c r="C6731" s="270">
        <v>2020</v>
      </c>
      <c r="D6731" s="270">
        <v>1</v>
      </c>
      <c r="E6731" s="270">
        <v>1</v>
      </c>
      <c r="F6731" s="270" t="s">
        <v>944</v>
      </c>
      <c r="G6731" s="270" t="s">
        <v>3926</v>
      </c>
      <c r="H6731" s="270" t="s">
        <v>11502</v>
      </c>
      <c r="I6731" s="270" t="s">
        <v>4065</v>
      </c>
      <c r="J6731" s="270" t="s">
        <v>3928</v>
      </c>
      <c r="K6731" s="270">
        <v>6480</v>
      </c>
      <c r="L6731" s="270">
        <v>560200</v>
      </c>
      <c r="M6731" s="270" t="s">
        <v>3935</v>
      </c>
      <c r="N6731" s="270" t="s">
        <v>3944</v>
      </c>
      <c r="O6731" s="270">
        <v>4162</v>
      </c>
      <c r="P6731" s="270" t="s">
        <v>3944</v>
      </c>
      <c r="Q6731" s="270" t="s">
        <v>3944</v>
      </c>
      <c r="R6731" s="270">
        <v>4162</v>
      </c>
      <c r="S6731" s="270">
        <v>31005</v>
      </c>
      <c r="T6731" s="270">
        <v>35167</v>
      </c>
      <c r="U6731" s="271" t="s">
        <v>3945</v>
      </c>
      <c r="V6731" s="267" t="s">
        <v>944</v>
      </c>
    </row>
    <row r="6732" spans="1:22" hidden="1" x14ac:dyDescent="0.25">
      <c r="A6732" s="266">
        <v>43776</v>
      </c>
      <c r="B6732" s="267">
        <v>2019</v>
      </c>
      <c r="C6732" s="267">
        <v>2020</v>
      </c>
      <c r="D6732" s="267">
        <v>1</v>
      </c>
      <c r="E6732" s="267">
        <v>1</v>
      </c>
      <c r="F6732" s="267" t="s">
        <v>944</v>
      </c>
      <c r="G6732" s="267" t="s">
        <v>3926</v>
      </c>
      <c r="H6732" s="267" t="s">
        <v>11503</v>
      </c>
      <c r="I6732" s="267" t="s">
        <v>4392</v>
      </c>
      <c r="J6732" s="267" t="s">
        <v>3928</v>
      </c>
      <c r="K6732" s="267">
        <v>6457</v>
      </c>
      <c r="L6732" s="267">
        <v>541500</v>
      </c>
      <c r="M6732" s="267" t="s">
        <v>3940</v>
      </c>
      <c r="N6732" s="267" t="s">
        <v>3944</v>
      </c>
      <c r="O6732" s="267">
        <v>2666</v>
      </c>
      <c r="P6732" s="267" t="s">
        <v>3944</v>
      </c>
      <c r="Q6732" s="267" t="s">
        <v>3944</v>
      </c>
      <c r="R6732" s="267">
        <v>2666</v>
      </c>
      <c r="S6732" s="267">
        <v>19872</v>
      </c>
      <c r="T6732" s="267">
        <v>22538</v>
      </c>
      <c r="U6732" s="268" t="s">
        <v>3945</v>
      </c>
      <c r="V6732" s="267" t="s">
        <v>944</v>
      </c>
    </row>
    <row r="6733" spans="1:22" hidden="1" x14ac:dyDescent="0.25">
      <c r="A6733" s="269">
        <v>43776</v>
      </c>
      <c r="B6733" s="270">
        <v>2019</v>
      </c>
      <c r="C6733" s="270">
        <v>2020</v>
      </c>
      <c r="D6733" s="270">
        <v>1</v>
      </c>
      <c r="E6733" s="270">
        <v>1</v>
      </c>
      <c r="F6733" s="270" t="s">
        <v>944</v>
      </c>
      <c r="G6733" s="270" t="s">
        <v>3926</v>
      </c>
      <c r="H6733" s="270" t="s">
        <v>11504</v>
      </c>
      <c r="I6733" s="270" t="s">
        <v>4621</v>
      </c>
      <c r="J6733" s="270" t="s">
        <v>3928</v>
      </c>
      <c r="K6733" s="270">
        <v>6443</v>
      </c>
      <c r="L6733" s="270">
        <v>194201</v>
      </c>
      <c r="M6733" s="270" t="s">
        <v>3943</v>
      </c>
      <c r="N6733" s="270" t="s">
        <v>3944</v>
      </c>
      <c r="O6733" s="270">
        <v>2528</v>
      </c>
      <c r="P6733" s="270" t="s">
        <v>3944</v>
      </c>
      <c r="Q6733" s="270" t="s">
        <v>3944</v>
      </c>
      <c r="R6733" s="270">
        <v>2528</v>
      </c>
      <c r="S6733" s="270">
        <v>26094</v>
      </c>
      <c r="T6733" s="270">
        <v>28622</v>
      </c>
      <c r="U6733" s="271" t="s">
        <v>3945</v>
      </c>
      <c r="V6733" s="267" t="s">
        <v>944</v>
      </c>
    </row>
    <row r="6734" spans="1:22" hidden="1" x14ac:dyDescent="0.25">
      <c r="A6734" s="266">
        <v>43776</v>
      </c>
      <c r="B6734" s="267">
        <v>2019</v>
      </c>
      <c r="C6734" s="267">
        <v>2020</v>
      </c>
      <c r="D6734" s="267">
        <v>1</v>
      </c>
      <c r="E6734" s="267">
        <v>1</v>
      </c>
      <c r="F6734" s="267" t="s">
        <v>944</v>
      </c>
      <c r="G6734" s="267" t="s">
        <v>3926</v>
      </c>
      <c r="H6734" s="267" t="s">
        <v>11505</v>
      </c>
      <c r="I6734" s="267" t="s">
        <v>5659</v>
      </c>
      <c r="J6734" s="267" t="s">
        <v>3928</v>
      </c>
      <c r="K6734" s="267">
        <v>6419</v>
      </c>
      <c r="L6734" s="267">
        <v>640100</v>
      </c>
      <c r="M6734" s="267" t="s">
        <v>3943</v>
      </c>
      <c r="N6734" s="267" t="s">
        <v>3944</v>
      </c>
      <c r="O6734" s="267">
        <v>5489</v>
      </c>
      <c r="P6734" s="267" t="s">
        <v>3944</v>
      </c>
      <c r="Q6734" s="267" t="s">
        <v>3944</v>
      </c>
      <c r="R6734" s="267">
        <v>5489</v>
      </c>
      <c r="S6734" s="267">
        <v>41931</v>
      </c>
      <c r="T6734" s="267">
        <v>47420</v>
      </c>
      <c r="U6734" s="268" t="s">
        <v>3945</v>
      </c>
      <c r="V6734" s="267" t="s">
        <v>944</v>
      </c>
    </row>
    <row r="6735" spans="1:22" hidden="1" x14ac:dyDescent="0.25">
      <c r="A6735" s="269">
        <v>43776</v>
      </c>
      <c r="B6735" s="270">
        <v>2019</v>
      </c>
      <c r="C6735" s="270">
        <v>2020</v>
      </c>
      <c r="D6735" s="270">
        <v>1</v>
      </c>
      <c r="E6735" s="270">
        <v>1</v>
      </c>
      <c r="F6735" s="270" t="s">
        <v>944</v>
      </c>
      <c r="G6735" s="270" t="s">
        <v>3926</v>
      </c>
      <c r="H6735" s="270" t="s">
        <v>11506</v>
      </c>
      <c r="I6735" s="270" t="s">
        <v>4114</v>
      </c>
      <c r="J6735" s="270" t="s">
        <v>3928</v>
      </c>
      <c r="K6735" s="270">
        <v>6410</v>
      </c>
      <c r="L6735" s="270">
        <v>343102</v>
      </c>
      <c r="M6735" s="270" t="s">
        <v>3943</v>
      </c>
      <c r="N6735" s="270" t="s">
        <v>3944</v>
      </c>
      <c r="O6735" s="270">
        <v>7190</v>
      </c>
      <c r="P6735" s="270" t="s">
        <v>3944</v>
      </c>
      <c r="Q6735" s="270" t="s">
        <v>3944</v>
      </c>
      <c r="R6735" s="270">
        <v>7190</v>
      </c>
      <c r="S6735" s="270">
        <v>57322</v>
      </c>
      <c r="T6735" s="270">
        <v>64512</v>
      </c>
      <c r="U6735" s="271" t="s">
        <v>3945</v>
      </c>
      <c r="V6735" s="267" t="s">
        <v>944</v>
      </c>
    </row>
    <row r="6736" spans="1:22" hidden="1" x14ac:dyDescent="0.25">
      <c r="A6736" s="266">
        <v>43776</v>
      </c>
      <c r="B6736" s="267">
        <v>2019</v>
      </c>
      <c r="C6736" s="267">
        <v>2020</v>
      </c>
      <c r="D6736" s="267">
        <v>1</v>
      </c>
      <c r="E6736" s="267">
        <v>1</v>
      </c>
      <c r="F6736" s="267" t="s">
        <v>944</v>
      </c>
      <c r="G6736" s="267" t="s">
        <v>3997</v>
      </c>
      <c r="H6736" s="267" t="s">
        <v>11507</v>
      </c>
      <c r="I6736" s="267" t="s">
        <v>3966</v>
      </c>
      <c r="J6736" s="267" t="s">
        <v>3928</v>
      </c>
      <c r="K6736" s="267">
        <v>6010</v>
      </c>
      <c r="L6736" s="267">
        <v>405800</v>
      </c>
      <c r="M6736" s="267" t="s">
        <v>3935</v>
      </c>
      <c r="N6736" s="267" t="s">
        <v>3944</v>
      </c>
      <c r="O6736" s="267">
        <v>2021.71</v>
      </c>
      <c r="P6736" s="267" t="s">
        <v>3944</v>
      </c>
      <c r="Q6736" s="267" t="s">
        <v>3944</v>
      </c>
      <c r="R6736" s="267">
        <v>2021.71</v>
      </c>
      <c r="S6736" s="267">
        <v>36074.93</v>
      </c>
      <c r="T6736" s="267">
        <v>38096.639999999999</v>
      </c>
      <c r="U6736" s="268" t="s">
        <v>3945</v>
      </c>
      <c r="V6736" s="267" t="s">
        <v>944</v>
      </c>
    </row>
    <row r="6737" spans="1:22" hidden="1" x14ac:dyDescent="0.25">
      <c r="A6737" s="269">
        <v>43776</v>
      </c>
      <c r="B6737" s="270">
        <v>2019</v>
      </c>
      <c r="C6737" s="270">
        <v>2020</v>
      </c>
      <c r="D6737" s="270">
        <v>1</v>
      </c>
      <c r="E6737" s="270">
        <v>1</v>
      </c>
      <c r="F6737" s="270" t="s">
        <v>944</v>
      </c>
      <c r="G6737" s="270" t="s">
        <v>3926</v>
      </c>
      <c r="H6737" s="270" t="s">
        <v>11508</v>
      </c>
      <c r="I6737" s="270" t="s">
        <v>4046</v>
      </c>
      <c r="J6737" s="270" t="s">
        <v>3928</v>
      </c>
      <c r="K6737" s="270">
        <v>6281</v>
      </c>
      <c r="L6737" s="270">
        <v>901100</v>
      </c>
      <c r="M6737" s="270" t="s">
        <v>3960</v>
      </c>
      <c r="N6737" s="270" t="s">
        <v>3944</v>
      </c>
      <c r="O6737" s="270">
        <v>5717</v>
      </c>
      <c r="P6737" s="270" t="s">
        <v>3944</v>
      </c>
      <c r="Q6737" s="270" t="s">
        <v>3944</v>
      </c>
      <c r="R6737" s="270">
        <v>5717</v>
      </c>
      <c r="S6737" s="270">
        <v>39437</v>
      </c>
      <c r="T6737" s="270">
        <v>45154</v>
      </c>
      <c r="U6737" s="271" t="s">
        <v>3945</v>
      </c>
      <c r="V6737" s="267" t="s">
        <v>944</v>
      </c>
    </row>
    <row r="6738" spans="1:22" hidden="1" x14ac:dyDescent="0.25">
      <c r="A6738" s="266">
        <v>43776</v>
      </c>
      <c r="B6738" s="267">
        <v>2019</v>
      </c>
      <c r="C6738" s="267">
        <v>2020</v>
      </c>
      <c r="D6738" s="267">
        <v>1</v>
      </c>
      <c r="E6738" s="267">
        <v>1</v>
      </c>
      <c r="F6738" s="267" t="s">
        <v>944</v>
      </c>
      <c r="G6738" s="267" t="s">
        <v>3926</v>
      </c>
      <c r="H6738" s="267" t="s">
        <v>11509</v>
      </c>
      <c r="I6738" s="267" t="s">
        <v>4040</v>
      </c>
      <c r="J6738" s="267" t="s">
        <v>3928</v>
      </c>
      <c r="K6738" s="267">
        <v>6339</v>
      </c>
      <c r="L6738" s="267">
        <v>701200</v>
      </c>
      <c r="M6738" s="267" t="s">
        <v>3960</v>
      </c>
      <c r="N6738" s="267" t="s">
        <v>3944</v>
      </c>
      <c r="O6738" s="267">
        <v>3765</v>
      </c>
      <c r="P6738" s="267" t="s">
        <v>3944</v>
      </c>
      <c r="Q6738" s="267" t="s">
        <v>3944</v>
      </c>
      <c r="R6738" s="267">
        <v>3765</v>
      </c>
      <c r="S6738" s="267">
        <v>44385</v>
      </c>
      <c r="T6738" s="267">
        <v>48150</v>
      </c>
      <c r="U6738" s="268" t="s">
        <v>3945</v>
      </c>
      <c r="V6738" s="267" t="s">
        <v>944</v>
      </c>
    </row>
    <row r="6739" spans="1:22" hidden="1" x14ac:dyDescent="0.25">
      <c r="A6739" s="269">
        <v>43776</v>
      </c>
      <c r="B6739" s="270">
        <v>2019</v>
      </c>
      <c r="C6739" s="270">
        <v>2020</v>
      </c>
      <c r="D6739" s="270">
        <v>1</v>
      </c>
      <c r="E6739" s="270">
        <v>1</v>
      </c>
      <c r="F6739" s="270" t="s">
        <v>944</v>
      </c>
      <c r="G6739" s="270" t="s">
        <v>3926</v>
      </c>
      <c r="H6739" s="270" t="s">
        <v>11510</v>
      </c>
      <c r="I6739" s="270" t="s">
        <v>4079</v>
      </c>
      <c r="J6739" s="270" t="s">
        <v>3928</v>
      </c>
      <c r="K6739" s="270">
        <v>6111</v>
      </c>
      <c r="L6739" s="270">
        <v>494600</v>
      </c>
      <c r="M6739" s="270" t="s">
        <v>3935</v>
      </c>
      <c r="N6739" s="270" t="s">
        <v>3944</v>
      </c>
      <c r="O6739" s="270">
        <v>994.25</v>
      </c>
      <c r="P6739" s="270" t="s">
        <v>3944</v>
      </c>
      <c r="Q6739" s="270" t="s">
        <v>3944</v>
      </c>
      <c r="R6739" s="270">
        <v>994.25</v>
      </c>
      <c r="S6739" s="270">
        <v>15875.67</v>
      </c>
      <c r="T6739" s="270">
        <v>16869.919999999998</v>
      </c>
      <c r="U6739" s="271" t="s">
        <v>3945</v>
      </c>
      <c r="V6739" s="267" t="s">
        <v>944</v>
      </c>
    </row>
    <row r="6740" spans="1:22" hidden="1" x14ac:dyDescent="0.25">
      <c r="A6740" s="266">
        <v>43776</v>
      </c>
      <c r="B6740" s="267">
        <v>2019</v>
      </c>
      <c r="C6740" s="267">
        <v>2020</v>
      </c>
      <c r="D6740" s="267">
        <v>1</v>
      </c>
      <c r="E6740" s="267">
        <v>1</v>
      </c>
      <c r="F6740" s="267" t="s">
        <v>944</v>
      </c>
      <c r="G6740" s="267" t="s">
        <v>3926</v>
      </c>
      <c r="H6740" s="267" t="s">
        <v>11511</v>
      </c>
      <c r="I6740" s="267" t="s">
        <v>4232</v>
      </c>
      <c r="J6740" s="267" t="s">
        <v>3928</v>
      </c>
      <c r="K6740" s="267">
        <v>6483</v>
      </c>
      <c r="L6740" s="267">
        <v>130200</v>
      </c>
      <c r="M6740" s="267" t="s">
        <v>3935</v>
      </c>
      <c r="N6740" s="267" t="s">
        <v>3944</v>
      </c>
      <c r="O6740" s="267">
        <v>4980.82</v>
      </c>
      <c r="P6740" s="267" t="s">
        <v>3944</v>
      </c>
      <c r="Q6740" s="267" t="s">
        <v>3944</v>
      </c>
      <c r="R6740" s="267">
        <v>4980.82</v>
      </c>
      <c r="S6740" s="267">
        <v>64986.51</v>
      </c>
      <c r="T6740" s="267">
        <v>69967.33</v>
      </c>
      <c r="U6740" s="268" t="s">
        <v>3945</v>
      </c>
      <c r="V6740" s="267" t="s">
        <v>944</v>
      </c>
    </row>
    <row r="6741" spans="1:22" hidden="1" x14ac:dyDescent="0.25">
      <c r="A6741" s="269">
        <v>43776</v>
      </c>
      <c r="B6741" s="270">
        <v>2019</v>
      </c>
      <c r="C6741" s="270">
        <v>2020</v>
      </c>
      <c r="D6741" s="270">
        <v>1</v>
      </c>
      <c r="E6741" s="270">
        <v>1</v>
      </c>
      <c r="F6741" s="270" t="s">
        <v>944</v>
      </c>
      <c r="G6741" s="270" t="s">
        <v>3926</v>
      </c>
      <c r="H6741" s="270" t="s">
        <v>11512</v>
      </c>
      <c r="I6741" s="270" t="s">
        <v>3025</v>
      </c>
      <c r="J6741" s="270" t="s">
        <v>3928</v>
      </c>
      <c r="K6741" s="270">
        <v>6473</v>
      </c>
      <c r="L6741" s="270">
        <v>167201</v>
      </c>
      <c r="M6741" s="270" t="s">
        <v>3960</v>
      </c>
      <c r="N6741" s="270" t="s">
        <v>3944</v>
      </c>
      <c r="O6741" s="270">
        <v>2771.44</v>
      </c>
      <c r="P6741" s="270" t="s">
        <v>3944</v>
      </c>
      <c r="Q6741" s="270" t="s">
        <v>3944</v>
      </c>
      <c r="R6741" s="270">
        <v>2771.44</v>
      </c>
      <c r="S6741" s="270">
        <v>38499.919999999998</v>
      </c>
      <c r="T6741" s="270">
        <v>41271.360000000001</v>
      </c>
      <c r="U6741" s="271" t="s">
        <v>3945</v>
      </c>
      <c r="V6741" s="267" t="s">
        <v>944</v>
      </c>
    </row>
    <row r="6742" spans="1:22" hidden="1" x14ac:dyDescent="0.25">
      <c r="A6742" s="266">
        <v>43776</v>
      </c>
      <c r="B6742" s="267">
        <v>2019</v>
      </c>
      <c r="C6742" s="267">
        <v>2020</v>
      </c>
      <c r="D6742" s="267">
        <v>1</v>
      </c>
      <c r="E6742" s="267">
        <v>1</v>
      </c>
      <c r="F6742" s="267" t="s">
        <v>944</v>
      </c>
      <c r="G6742" s="267" t="s">
        <v>3926</v>
      </c>
      <c r="H6742" s="267" t="s">
        <v>11513</v>
      </c>
      <c r="I6742" s="267" t="s">
        <v>953</v>
      </c>
      <c r="J6742" s="267" t="s">
        <v>3928</v>
      </c>
      <c r="K6742" s="267">
        <v>6514</v>
      </c>
      <c r="L6742" s="267">
        <v>165801</v>
      </c>
      <c r="M6742" s="267" t="s">
        <v>3935</v>
      </c>
      <c r="N6742" s="267" t="s">
        <v>3944</v>
      </c>
      <c r="O6742" s="267">
        <v>1605.03</v>
      </c>
      <c r="P6742" s="267" t="s">
        <v>3944</v>
      </c>
      <c r="Q6742" s="267" t="s">
        <v>3944</v>
      </c>
      <c r="R6742" s="267">
        <v>1605.03</v>
      </c>
      <c r="S6742" s="267">
        <v>23792.73</v>
      </c>
      <c r="T6742" s="267">
        <v>25397.759999999998</v>
      </c>
      <c r="U6742" s="268" t="s">
        <v>3945</v>
      </c>
      <c r="V6742" s="267" t="s">
        <v>944</v>
      </c>
    </row>
    <row r="6743" spans="1:22" hidden="1" x14ac:dyDescent="0.25">
      <c r="A6743" s="269">
        <v>43776</v>
      </c>
      <c r="B6743" s="270">
        <v>2019</v>
      </c>
      <c r="C6743" s="270">
        <v>2020</v>
      </c>
      <c r="D6743" s="270">
        <v>1</v>
      </c>
      <c r="E6743" s="270">
        <v>1</v>
      </c>
      <c r="F6743" s="270" t="s">
        <v>944</v>
      </c>
      <c r="G6743" s="270" t="s">
        <v>3926</v>
      </c>
      <c r="H6743" s="270" t="s">
        <v>11514</v>
      </c>
      <c r="I6743" s="270" t="s">
        <v>3939</v>
      </c>
      <c r="J6743" s="270" t="s">
        <v>3928</v>
      </c>
      <c r="K6743" s="270">
        <v>6512</v>
      </c>
      <c r="L6743" s="270">
        <v>180602</v>
      </c>
      <c r="M6743" s="270" t="s">
        <v>3935</v>
      </c>
      <c r="N6743" s="270" t="s">
        <v>3944</v>
      </c>
      <c r="O6743" s="270">
        <v>1193.1500000000001</v>
      </c>
      <c r="P6743" s="270" t="s">
        <v>3944</v>
      </c>
      <c r="Q6743" s="270" t="s">
        <v>3944</v>
      </c>
      <c r="R6743" s="270">
        <v>1193.1500000000001</v>
      </c>
      <c r="S6743" s="270">
        <v>17855.169999999998</v>
      </c>
      <c r="T6743" s="270">
        <v>19048.32</v>
      </c>
      <c r="U6743" s="271" t="s">
        <v>3945</v>
      </c>
      <c r="V6743" s="267" t="s">
        <v>944</v>
      </c>
    </row>
    <row r="6744" spans="1:22" hidden="1" x14ac:dyDescent="0.25">
      <c r="A6744" s="266">
        <v>43776</v>
      </c>
      <c r="B6744" s="267">
        <v>2019</v>
      </c>
      <c r="C6744" s="267">
        <v>2020</v>
      </c>
      <c r="D6744" s="267">
        <v>1</v>
      </c>
      <c r="E6744" s="267">
        <v>1</v>
      </c>
      <c r="F6744" s="267" t="s">
        <v>944</v>
      </c>
      <c r="G6744" s="267" t="s">
        <v>3926</v>
      </c>
      <c r="H6744" s="267" t="s">
        <v>11515</v>
      </c>
      <c r="I6744" s="267" t="s">
        <v>950</v>
      </c>
      <c r="J6744" s="267" t="s">
        <v>3928</v>
      </c>
      <c r="K6744" s="267">
        <v>6516</v>
      </c>
      <c r="L6744" s="267">
        <v>154700</v>
      </c>
      <c r="M6744" s="267" t="s">
        <v>3960</v>
      </c>
      <c r="N6744" s="267" t="s">
        <v>3944</v>
      </c>
      <c r="O6744" s="267">
        <v>2075.0100000000002</v>
      </c>
      <c r="P6744" s="267" t="s">
        <v>3944</v>
      </c>
      <c r="Q6744" s="267" t="s">
        <v>3944</v>
      </c>
      <c r="R6744" s="267">
        <v>2075.0100000000002</v>
      </c>
      <c r="S6744" s="267">
        <v>26497.47</v>
      </c>
      <c r="T6744" s="267">
        <v>28572.48</v>
      </c>
      <c r="U6744" s="268" t="s">
        <v>3945</v>
      </c>
      <c r="V6744" s="267" t="s">
        <v>944</v>
      </c>
    </row>
    <row r="6745" spans="1:22" hidden="1" x14ac:dyDescent="0.25">
      <c r="A6745" s="269">
        <v>43777</v>
      </c>
      <c r="B6745" s="270">
        <v>2019</v>
      </c>
      <c r="C6745" s="270">
        <v>2020</v>
      </c>
      <c r="D6745" s="270">
        <v>1</v>
      </c>
      <c r="E6745" s="270">
        <v>1</v>
      </c>
      <c r="F6745" s="270" t="s">
        <v>944</v>
      </c>
      <c r="G6745" s="270" t="s">
        <v>3926</v>
      </c>
      <c r="H6745" s="270" t="s">
        <v>11516</v>
      </c>
      <c r="I6745" s="270" t="s">
        <v>4392</v>
      </c>
      <c r="J6745" s="270" t="s">
        <v>3928</v>
      </c>
      <c r="K6745" s="270">
        <v>6457</v>
      </c>
      <c r="L6745" s="270">
        <v>541600</v>
      </c>
      <c r="M6745" s="270">
        <v>-60</v>
      </c>
      <c r="N6745" s="270" t="s">
        <v>11517</v>
      </c>
      <c r="O6745" s="270">
        <v>0</v>
      </c>
      <c r="P6745" s="270" t="s">
        <v>3930</v>
      </c>
      <c r="Q6745" s="270" t="s">
        <v>3930</v>
      </c>
      <c r="R6745" s="270">
        <v>0</v>
      </c>
      <c r="S6745" s="270">
        <v>7267</v>
      </c>
      <c r="T6745" s="270">
        <v>7267</v>
      </c>
      <c r="U6745" s="271" t="s">
        <v>3937</v>
      </c>
      <c r="V6745" s="267" t="s">
        <v>944</v>
      </c>
    </row>
    <row r="6746" spans="1:22" hidden="1" x14ac:dyDescent="0.25">
      <c r="A6746" s="266">
        <v>43777</v>
      </c>
      <c r="B6746" s="267">
        <v>2019</v>
      </c>
      <c r="C6746" s="267">
        <v>2020</v>
      </c>
      <c r="D6746" s="267">
        <v>1</v>
      </c>
      <c r="E6746" s="267">
        <v>1</v>
      </c>
      <c r="F6746" s="267" t="s">
        <v>944</v>
      </c>
      <c r="G6746" s="267" t="s">
        <v>3926</v>
      </c>
      <c r="H6746" s="267" t="s">
        <v>11518</v>
      </c>
      <c r="I6746" s="267" t="s">
        <v>4147</v>
      </c>
      <c r="J6746" s="267" t="s">
        <v>3928</v>
      </c>
      <c r="K6746" s="267">
        <v>6109</v>
      </c>
      <c r="L6746" s="267">
        <v>492600</v>
      </c>
      <c r="M6746" s="267" t="s">
        <v>3960</v>
      </c>
      <c r="N6746" s="267" t="s">
        <v>11519</v>
      </c>
      <c r="O6746" s="267">
        <v>0</v>
      </c>
      <c r="P6746" s="267" t="s">
        <v>3930</v>
      </c>
      <c r="Q6746" s="267" t="s">
        <v>3930</v>
      </c>
      <c r="R6746" s="267">
        <v>0</v>
      </c>
      <c r="S6746" s="267">
        <v>11055.55</v>
      </c>
      <c r="T6746" s="267">
        <v>11055.55</v>
      </c>
      <c r="U6746" s="268" t="s">
        <v>3937</v>
      </c>
      <c r="V6746" s="267" t="s">
        <v>944</v>
      </c>
    </row>
    <row r="6747" spans="1:22" x14ac:dyDescent="0.25">
      <c r="A6747" s="269">
        <v>43777</v>
      </c>
      <c r="B6747" s="270">
        <v>2019</v>
      </c>
      <c r="C6747" s="270">
        <v>2020</v>
      </c>
      <c r="D6747" s="270">
        <v>1</v>
      </c>
      <c r="E6747" s="270">
        <v>1</v>
      </c>
      <c r="F6747" s="270" t="s">
        <v>944</v>
      </c>
      <c r="G6747" s="270" t="s">
        <v>3926</v>
      </c>
      <c r="H6747" s="270" t="s">
        <v>11520</v>
      </c>
      <c r="I6747" s="270" t="s">
        <v>934</v>
      </c>
      <c r="J6747" s="270" t="s">
        <v>3928</v>
      </c>
      <c r="K6747" s="270">
        <v>6610</v>
      </c>
      <c r="L6747" s="270">
        <v>73100</v>
      </c>
      <c r="M6747" s="270">
        <v>-60</v>
      </c>
      <c r="N6747" s="270" t="s">
        <v>8223</v>
      </c>
      <c r="O6747" s="270">
        <v>1071.42</v>
      </c>
      <c r="P6747" s="270" t="s">
        <v>3930</v>
      </c>
      <c r="Q6747" s="270" t="s">
        <v>3931</v>
      </c>
      <c r="R6747" s="270">
        <v>6071.42</v>
      </c>
      <c r="S6747" s="270">
        <v>12702.4</v>
      </c>
      <c r="T6747" s="270">
        <v>18773.82</v>
      </c>
      <c r="U6747" s="271" t="s">
        <v>3932</v>
      </c>
      <c r="V6747" s="276" t="s">
        <v>936</v>
      </c>
    </row>
    <row r="6748" spans="1:22" hidden="1" x14ac:dyDescent="0.25">
      <c r="A6748" s="266">
        <v>43777</v>
      </c>
      <c r="B6748" s="267">
        <v>2019</v>
      </c>
      <c r="C6748" s="267">
        <v>2020</v>
      </c>
      <c r="D6748" s="267">
        <v>1</v>
      </c>
      <c r="E6748" s="267">
        <v>1</v>
      </c>
      <c r="F6748" s="267" t="s">
        <v>944</v>
      </c>
      <c r="G6748" s="267" t="s">
        <v>3926</v>
      </c>
      <c r="H6748" s="267" t="s">
        <v>11521</v>
      </c>
      <c r="I6748" s="267" t="s">
        <v>3956</v>
      </c>
      <c r="J6748" s="267" t="s">
        <v>3928</v>
      </c>
      <c r="K6748" s="267">
        <v>6451</v>
      </c>
      <c r="L6748" s="267">
        <v>171600</v>
      </c>
      <c r="M6748" s="267" t="s">
        <v>3940</v>
      </c>
      <c r="N6748" s="267" t="s">
        <v>3983</v>
      </c>
      <c r="O6748" s="267">
        <v>1195.8499999999999</v>
      </c>
      <c r="P6748" s="267" t="s">
        <v>3930</v>
      </c>
      <c r="Q6748" s="267" t="s">
        <v>3931</v>
      </c>
      <c r="R6748" s="267">
        <v>6195.85</v>
      </c>
      <c r="S6748" s="267">
        <v>16504</v>
      </c>
      <c r="T6748" s="267">
        <v>22699.85</v>
      </c>
      <c r="U6748" s="268" t="s">
        <v>3932</v>
      </c>
      <c r="V6748" s="267" t="s">
        <v>944</v>
      </c>
    </row>
    <row r="6749" spans="1:22" hidden="1" x14ac:dyDescent="0.25">
      <c r="A6749" s="269">
        <v>43777</v>
      </c>
      <c r="B6749" s="270">
        <v>2019</v>
      </c>
      <c r="C6749" s="270">
        <v>2020</v>
      </c>
      <c r="D6749" s="270">
        <v>1</v>
      </c>
      <c r="E6749" s="270">
        <v>1</v>
      </c>
      <c r="F6749" s="270" t="s">
        <v>944</v>
      </c>
      <c r="G6749" s="270" t="s">
        <v>3926</v>
      </c>
      <c r="H6749" s="270" t="s">
        <v>11522</v>
      </c>
      <c r="I6749" s="270" t="s">
        <v>4392</v>
      </c>
      <c r="J6749" s="270" t="s">
        <v>3928</v>
      </c>
      <c r="K6749" s="270">
        <v>6457</v>
      </c>
      <c r="L6749" s="270">
        <v>541200</v>
      </c>
      <c r="M6749" s="270" t="s">
        <v>3935</v>
      </c>
      <c r="N6749" s="270" t="s">
        <v>11523</v>
      </c>
      <c r="O6749" s="270">
        <v>0</v>
      </c>
      <c r="P6749" s="270" t="s">
        <v>3930</v>
      </c>
      <c r="Q6749" s="270" t="s">
        <v>3930</v>
      </c>
      <c r="R6749" s="270">
        <v>0</v>
      </c>
      <c r="S6749" s="270">
        <v>15867.08</v>
      </c>
      <c r="T6749" s="270">
        <v>15867.08</v>
      </c>
      <c r="U6749" s="271" t="s">
        <v>3937</v>
      </c>
      <c r="V6749" s="267" t="s">
        <v>944</v>
      </c>
    </row>
    <row r="6750" spans="1:22" hidden="1" x14ac:dyDescent="0.25">
      <c r="A6750" s="266">
        <v>43777</v>
      </c>
      <c r="B6750" s="267">
        <v>2019</v>
      </c>
      <c r="C6750" s="267">
        <v>2020</v>
      </c>
      <c r="D6750" s="267">
        <v>1</v>
      </c>
      <c r="E6750" s="267">
        <v>1</v>
      </c>
      <c r="F6750" s="267" t="s">
        <v>944</v>
      </c>
      <c r="G6750" s="267" t="s">
        <v>3926</v>
      </c>
      <c r="H6750" s="267" t="s">
        <v>11524</v>
      </c>
      <c r="I6750" s="267" t="s">
        <v>2987</v>
      </c>
      <c r="J6750" s="267" t="s">
        <v>3928</v>
      </c>
      <c r="K6750" s="267">
        <v>6611</v>
      </c>
      <c r="L6750" s="267">
        <v>90600</v>
      </c>
      <c r="M6750" s="267" t="s">
        <v>3960</v>
      </c>
      <c r="N6750" s="267" t="s">
        <v>3944</v>
      </c>
      <c r="O6750" s="267">
        <v>5189</v>
      </c>
      <c r="P6750" s="267" t="s">
        <v>3944</v>
      </c>
      <c r="Q6750" s="267" t="s">
        <v>3944</v>
      </c>
      <c r="R6750" s="267">
        <v>5189</v>
      </c>
      <c r="S6750" s="267">
        <v>30459</v>
      </c>
      <c r="T6750" s="267">
        <v>35648</v>
      </c>
      <c r="U6750" s="268" t="s">
        <v>3945</v>
      </c>
      <c r="V6750" s="267" t="s">
        <v>944</v>
      </c>
    </row>
    <row r="6751" spans="1:22" hidden="1" x14ac:dyDescent="0.25">
      <c r="A6751" s="269">
        <v>43777</v>
      </c>
      <c r="B6751" s="270">
        <v>2019</v>
      </c>
      <c r="C6751" s="270">
        <v>2020</v>
      </c>
      <c r="D6751" s="270">
        <v>1</v>
      </c>
      <c r="E6751" s="270">
        <v>1</v>
      </c>
      <c r="F6751" s="270" t="s">
        <v>944</v>
      </c>
      <c r="G6751" s="270" t="s">
        <v>3926</v>
      </c>
      <c r="H6751" s="270" t="s">
        <v>11525</v>
      </c>
      <c r="I6751" s="270" t="s">
        <v>4232</v>
      </c>
      <c r="J6751" s="270" t="s">
        <v>3928</v>
      </c>
      <c r="K6751" s="270">
        <v>6483</v>
      </c>
      <c r="L6751" s="270">
        <v>130200</v>
      </c>
      <c r="M6751" s="270" t="s">
        <v>3935</v>
      </c>
      <c r="N6751" s="270" t="s">
        <v>3944</v>
      </c>
      <c r="O6751" s="270">
        <v>1844</v>
      </c>
      <c r="P6751" s="270" t="s">
        <v>3944</v>
      </c>
      <c r="Q6751" s="270" t="s">
        <v>3944</v>
      </c>
      <c r="R6751" s="270">
        <v>1844</v>
      </c>
      <c r="S6751" s="270">
        <v>31819.16</v>
      </c>
      <c r="T6751" s="270">
        <v>33663.160000000003</v>
      </c>
      <c r="U6751" s="271" t="s">
        <v>3945</v>
      </c>
      <c r="V6751" s="267" t="s">
        <v>944</v>
      </c>
    </row>
    <row r="6752" spans="1:22" hidden="1" x14ac:dyDescent="0.25">
      <c r="A6752" s="266">
        <v>43777</v>
      </c>
      <c r="B6752" s="267">
        <v>2019</v>
      </c>
      <c r="C6752" s="267">
        <v>2020</v>
      </c>
      <c r="D6752" s="267">
        <v>1</v>
      </c>
      <c r="E6752" s="267">
        <v>1</v>
      </c>
      <c r="F6752" s="267" t="s">
        <v>944</v>
      </c>
      <c r="G6752" s="267" t="s">
        <v>3926</v>
      </c>
      <c r="H6752" s="267" t="s">
        <v>11526</v>
      </c>
      <c r="I6752" s="267" t="s">
        <v>4269</v>
      </c>
      <c r="J6752" s="267" t="s">
        <v>3928</v>
      </c>
      <c r="K6752" s="267">
        <v>6117</v>
      </c>
      <c r="L6752" s="267">
        <v>497200</v>
      </c>
      <c r="M6752" s="267" t="s">
        <v>3943</v>
      </c>
      <c r="N6752" s="267" t="s">
        <v>3944</v>
      </c>
      <c r="O6752" s="267">
        <v>3307</v>
      </c>
      <c r="P6752" s="267" t="s">
        <v>3944</v>
      </c>
      <c r="Q6752" s="267" t="s">
        <v>3944</v>
      </c>
      <c r="R6752" s="267">
        <v>3307</v>
      </c>
      <c r="S6752" s="267">
        <v>26449.09</v>
      </c>
      <c r="T6752" s="267">
        <v>29756.09</v>
      </c>
      <c r="U6752" s="268" t="s">
        <v>3945</v>
      </c>
      <c r="V6752" s="267" t="s">
        <v>944</v>
      </c>
    </row>
    <row r="6753" spans="1:22" hidden="1" x14ac:dyDescent="0.25">
      <c r="A6753" s="269">
        <v>43777</v>
      </c>
      <c r="B6753" s="270">
        <v>2019</v>
      </c>
      <c r="C6753" s="270">
        <v>2020</v>
      </c>
      <c r="D6753" s="270">
        <v>1</v>
      </c>
      <c r="E6753" s="270">
        <v>1</v>
      </c>
      <c r="F6753" s="270" t="s">
        <v>944</v>
      </c>
      <c r="G6753" s="270" t="s">
        <v>3926</v>
      </c>
      <c r="H6753" s="270" t="s">
        <v>11527</v>
      </c>
      <c r="I6753" s="270" t="s">
        <v>3025</v>
      </c>
      <c r="J6753" s="270" t="s">
        <v>3928</v>
      </c>
      <c r="K6753" s="270">
        <v>6473</v>
      </c>
      <c r="L6753" s="270">
        <v>167100</v>
      </c>
      <c r="M6753" s="270" t="s">
        <v>3943</v>
      </c>
      <c r="N6753" s="270" t="s">
        <v>3944</v>
      </c>
      <c r="O6753" s="270">
        <v>3713</v>
      </c>
      <c r="P6753" s="270" t="s">
        <v>3944</v>
      </c>
      <c r="Q6753" s="270" t="s">
        <v>3944</v>
      </c>
      <c r="R6753" s="270">
        <v>3713</v>
      </c>
      <c r="S6753" s="270">
        <v>32363</v>
      </c>
      <c r="T6753" s="270">
        <v>36076</v>
      </c>
      <c r="U6753" s="271" t="s">
        <v>3945</v>
      </c>
      <c r="V6753" s="267" t="s">
        <v>944</v>
      </c>
    </row>
    <row r="6754" spans="1:22" hidden="1" x14ac:dyDescent="0.25">
      <c r="A6754" s="266">
        <v>43777</v>
      </c>
      <c r="B6754" s="267">
        <v>2019</v>
      </c>
      <c r="C6754" s="267">
        <v>2020</v>
      </c>
      <c r="D6754" s="267">
        <v>1</v>
      </c>
      <c r="E6754" s="267">
        <v>1</v>
      </c>
      <c r="F6754" s="267" t="s">
        <v>944</v>
      </c>
      <c r="G6754" s="267" t="s">
        <v>3926</v>
      </c>
      <c r="H6754" s="267" t="s">
        <v>11528</v>
      </c>
      <c r="I6754" s="267" t="s">
        <v>6420</v>
      </c>
      <c r="J6754" s="267" t="s">
        <v>3928</v>
      </c>
      <c r="K6754" s="267">
        <v>6777</v>
      </c>
      <c r="L6754" s="267">
        <v>267100</v>
      </c>
      <c r="M6754" s="267" t="s">
        <v>3943</v>
      </c>
      <c r="N6754" s="267" t="s">
        <v>3944</v>
      </c>
      <c r="O6754" s="267">
        <v>6706</v>
      </c>
      <c r="P6754" s="267" t="s">
        <v>3944</v>
      </c>
      <c r="Q6754" s="267" t="s">
        <v>3944</v>
      </c>
      <c r="R6754" s="267">
        <v>6706</v>
      </c>
      <c r="S6754" s="267">
        <v>38894</v>
      </c>
      <c r="T6754" s="267">
        <v>45600</v>
      </c>
      <c r="U6754" s="268" t="s">
        <v>3945</v>
      </c>
      <c r="V6754" s="267" t="s">
        <v>944</v>
      </c>
    </row>
    <row r="6755" spans="1:22" hidden="1" x14ac:dyDescent="0.25">
      <c r="A6755" s="269">
        <v>43777</v>
      </c>
      <c r="B6755" s="270">
        <v>2019</v>
      </c>
      <c r="C6755" s="270">
        <v>2020</v>
      </c>
      <c r="D6755" s="270">
        <v>1</v>
      </c>
      <c r="E6755" s="270">
        <v>1</v>
      </c>
      <c r="F6755" s="270" t="s">
        <v>944</v>
      </c>
      <c r="G6755" s="270" t="s">
        <v>3926</v>
      </c>
      <c r="H6755" s="270" t="s">
        <v>11529</v>
      </c>
      <c r="I6755" s="270" t="s">
        <v>950</v>
      </c>
      <c r="J6755" s="270" t="s">
        <v>3928</v>
      </c>
      <c r="K6755" s="270">
        <v>6516</v>
      </c>
      <c r="L6755" s="270">
        <v>154600</v>
      </c>
      <c r="M6755" s="270">
        <v>-60</v>
      </c>
      <c r="N6755" s="270" t="s">
        <v>3944</v>
      </c>
      <c r="O6755" s="270">
        <v>4394</v>
      </c>
      <c r="P6755" s="270" t="s">
        <v>3944</v>
      </c>
      <c r="Q6755" s="270" t="s">
        <v>3944</v>
      </c>
      <c r="R6755" s="270">
        <v>4394</v>
      </c>
      <c r="S6755" s="270">
        <v>34578</v>
      </c>
      <c r="T6755" s="270">
        <v>38972</v>
      </c>
      <c r="U6755" s="271" t="s">
        <v>3945</v>
      </c>
      <c r="V6755" s="267" t="s">
        <v>944</v>
      </c>
    </row>
    <row r="6756" spans="1:22" hidden="1" x14ac:dyDescent="0.25">
      <c r="A6756" s="266">
        <v>43777</v>
      </c>
      <c r="B6756" s="267">
        <v>2019</v>
      </c>
      <c r="C6756" s="267">
        <v>2020</v>
      </c>
      <c r="D6756" s="267">
        <v>1</v>
      </c>
      <c r="E6756" s="267">
        <v>1</v>
      </c>
      <c r="F6756" s="267" t="s">
        <v>944</v>
      </c>
      <c r="G6756" s="267" t="s">
        <v>3926</v>
      </c>
      <c r="H6756" s="267" t="s">
        <v>11530</v>
      </c>
      <c r="I6756" s="267" t="s">
        <v>4119</v>
      </c>
      <c r="J6756" s="267" t="s">
        <v>3928</v>
      </c>
      <c r="K6756" s="267">
        <v>6078</v>
      </c>
      <c r="L6756" s="267">
        <v>477102</v>
      </c>
      <c r="M6756" s="267" t="s">
        <v>3943</v>
      </c>
      <c r="N6756" s="267" t="s">
        <v>3944</v>
      </c>
      <c r="O6756" s="267">
        <v>5241</v>
      </c>
      <c r="P6756" s="267" t="s">
        <v>3944</v>
      </c>
      <c r="Q6756" s="267" t="s">
        <v>3944</v>
      </c>
      <c r="R6756" s="267">
        <v>5241</v>
      </c>
      <c r="S6756" s="267">
        <v>32226.14</v>
      </c>
      <c r="T6756" s="267">
        <v>37467.14</v>
      </c>
      <c r="U6756" s="268" t="s">
        <v>3945</v>
      </c>
      <c r="V6756" s="267" t="s">
        <v>944</v>
      </c>
    </row>
    <row r="6757" spans="1:22" hidden="1" x14ac:dyDescent="0.25">
      <c r="A6757" s="269">
        <v>43777</v>
      </c>
      <c r="B6757" s="270">
        <v>2019</v>
      </c>
      <c r="C6757" s="270">
        <v>2020</v>
      </c>
      <c r="D6757" s="270">
        <v>1</v>
      </c>
      <c r="E6757" s="270">
        <v>1</v>
      </c>
      <c r="F6757" s="270" t="s">
        <v>944</v>
      </c>
      <c r="G6757" s="270" t="s">
        <v>3926</v>
      </c>
      <c r="H6757" s="270" t="s">
        <v>11531</v>
      </c>
      <c r="I6757" s="270" t="s">
        <v>4330</v>
      </c>
      <c r="J6757" s="270" t="s">
        <v>3928</v>
      </c>
      <c r="K6757" s="270">
        <v>6413</v>
      </c>
      <c r="L6757" s="270">
        <v>610200</v>
      </c>
      <c r="M6757" s="270" t="s">
        <v>3940</v>
      </c>
      <c r="N6757" s="270" t="s">
        <v>3944</v>
      </c>
      <c r="O6757" s="270">
        <v>3347</v>
      </c>
      <c r="P6757" s="270" t="s">
        <v>3944</v>
      </c>
      <c r="Q6757" s="270" t="s">
        <v>3944</v>
      </c>
      <c r="R6757" s="270">
        <v>3347</v>
      </c>
      <c r="S6757" s="270">
        <v>25778.29</v>
      </c>
      <c r="T6757" s="270">
        <v>29125.29</v>
      </c>
      <c r="U6757" s="271" t="s">
        <v>3945</v>
      </c>
      <c r="V6757" s="267" t="s">
        <v>944</v>
      </c>
    </row>
    <row r="6758" spans="1:22" hidden="1" x14ac:dyDescent="0.25">
      <c r="A6758" s="266">
        <v>43777</v>
      </c>
      <c r="B6758" s="267">
        <v>2019</v>
      </c>
      <c r="C6758" s="267">
        <v>2020</v>
      </c>
      <c r="D6758" s="267">
        <v>1</v>
      </c>
      <c r="E6758" s="267">
        <v>1</v>
      </c>
      <c r="F6758" s="267" t="s">
        <v>944</v>
      </c>
      <c r="G6758" s="267" t="s">
        <v>3926</v>
      </c>
      <c r="H6758" s="267" t="s">
        <v>11532</v>
      </c>
      <c r="I6758" s="267" t="s">
        <v>3011</v>
      </c>
      <c r="J6758" s="267" t="s">
        <v>3928</v>
      </c>
      <c r="K6758" s="267">
        <v>6418</v>
      </c>
      <c r="L6758" s="267">
        <v>120200</v>
      </c>
      <c r="M6758" s="267">
        <v>-60</v>
      </c>
      <c r="N6758" s="267" t="s">
        <v>3944</v>
      </c>
      <c r="O6758" s="267">
        <v>1999.31</v>
      </c>
      <c r="P6758" s="267" t="s">
        <v>3944</v>
      </c>
      <c r="Q6758" s="267" t="s">
        <v>3944</v>
      </c>
      <c r="R6758" s="267">
        <v>1999.31</v>
      </c>
      <c r="S6758" s="267">
        <v>24989.07</v>
      </c>
      <c r="T6758" s="267">
        <v>26988.38</v>
      </c>
      <c r="U6758" s="268" t="s">
        <v>3945</v>
      </c>
      <c r="V6758" s="267" t="s">
        <v>944</v>
      </c>
    </row>
    <row r="6759" spans="1:22" hidden="1" x14ac:dyDescent="0.25">
      <c r="A6759" s="269">
        <v>43777</v>
      </c>
      <c r="B6759" s="270">
        <v>2019</v>
      </c>
      <c r="C6759" s="270">
        <v>2020</v>
      </c>
      <c r="D6759" s="270">
        <v>1</v>
      </c>
      <c r="E6759" s="270">
        <v>1</v>
      </c>
      <c r="F6759" s="270" t="s">
        <v>944</v>
      </c>
      <c r="G6759" s="270" t="s">
        <v>3926</v>
      </c>
      <c r="H6759" s="270" t="s">
        <v>11533</v>
      </c>
      <c r="I6759" s="270" t="s">
        <v>4407</v>
      </c>
      <c r="J6759" s="270" t="s">
        <v>3928</v>
      </c>
      <c r="K6759" s="270">
        <v>6238</v>
      </c>
      <c r="L6759" s="270">
        <v>850200</v>
      </c>
      <c r="M6759" s="270" t="s">
        <v>3960</v>
      </c>
      <c r="N6759" s="270" t="s">
        <v>3944</v>
      </c>
      <c r="O6759" s="270">
        <v>2807.53</v>
      </c>
      <c r="P6759" s="270" t="s">
        <v>3944</v>
      </c>
      <c r="Q6759" s="270" t="s">
        <v>3944</v>
      </c>
      <c r="R6759" s="270">
        <v>2807.53</v>
      </c>
      <c r="S6759" s="270">
        <v>38063.910000000003</v>
      </c>
      <c r="T6759" s="270">
        <v>40871.440000000002</v>
      </c>
      <c r="U6759" s="271" t="s">
        <v>3945</v>
      </c>
      <c r="V6759" s="267" t="s">
        <v>944</v>
      </c>
    </row>
    <row r="6760" spans="1:22" hidden="1" x14ac:dyDescent="0.25">
      <c r="A6760" s="266">
        <v>43777</v>
      </c>
      <c r="B6760" s="267">
        <v>2019</v>
      </c>
      <c r="C6760" s="267">
        <v>2020</v>
      </c>
      <c r="D6760" s="267">
        <v>1</v>
      </c>
      <c r="E6760" s="267">
        <v>1</v>
      </c>
      <c r="F6760" s="267" t="s">
        <v>944</v>
      </c>
      <c r="G6760" s="267" t="s">
        <v>3926</v>
      </c>
      <c r="H6760" s="267" t="s">
        <v>11534</v>
      </c>
      <c r="I6760" s="267" t="s">
        <v>4213</v>
      </c>
      <c r="J6760" s="267" t="s">
        <v>3928</v>
      </c>
      <c r="K6760" s="267">
        <v>6053</v>
      </c>
      <c r="L6760" s="267">
        <v>416600</v>
      </c>
      <c r="M6760" s="267">
        <v>-60</v>
      </c>
      <c r="N6760" s="267" t="s">
        <v>3944</v>
      </c>
      <c r="O6760" s="267">
        <v>2303.9499999999998</v>
      </c>
      <c r="P6760" s="267" t="s">
        <v>3944</v>
      </c>
      <c r="Q6760" s="267" t="s">
        <v>3944</v>
      </c>
      <c r="R6760" s="267">
        <v>2303.9499999999998</v>
      </c>
      <c r="S6760" s="267">
        <v>32105.77</v>
      </c>
      <c r="T6760" s="267">
        <v>34409.72</v>
      </c>
      <c r="U6760" s="268" t="s">
        <v>3945</v>
      </c>
      <c r="V6760" s="267" t="s">
        <v>944</v>
      </c>
    </row>
    <row r="6761" spans="1:22" hidden="1" x14ac:dyDescent="0.25">
      <c r="A6761" s="269">
        <v>43777</v>
      </c>
      <c r="B6761" s="270">
        <v>2019</v>
      </c>
      <c r="C6761" s="270">
        <v>2020</v>
      </c>
      <c r="D6761" s="270">
        <v>1</v>
      </c>
      <c r="E6761" s="270">
        <v>1</v>
      </c>
      <c r="F6761" s="270" t="s">
        <v>944</v>
      </c>
      <c r="G6761" s="270" t="s">
        <v>3926</v>
      </c>
      <c r="H6761" s="270" t="s">
        <v>11535</v>
      </c>
      <c r="I6761" s="270" t="s">
        <v>4019</v>
      </c>
      <c r="J6761" s="270" t="s">
        <v>3928</v>
      </c>
      <c r="K6761" s="270">
        <v>6708</v>
      </c>
      <c r="L6761" s="270">
        <v>351602</v>
      </c>
      <c r="M6761" s="270" t="s">
        <v>3940</v>
      </c>
      <c r="N6761" s="270" t="s">
        <v>3944</v>
      </c>
      <c r="O6761" s="270">
        <v>1844.57</v>
      </c>
      <c r="P6761" s="270" t="s">
        <v>3944</v>
      </c>
      <c r="Q6761" s="270" t="s">
        <v>3944</v>
      </c>
      <c r="R6761" s="270">
        <v>1844.57</v>
      </c>
      <c r="S6761" s="270">
        <v>27552.240000000002</v>
      </c>
      <c r="T6761" s="270">
        <v>29396.81</v>
      </c>
      <c r="U6761" s="271" t="s">
        <v>3945</v>
      </c>
      <c r="V6761" s="267" t="s">
        <v>944</v>
      </c>
    </row>
    <row r="6762" spans="1:22" hidden="1" x14ac:dyDescent="0.25">
      <c r="A6762" s="266">
        <v>43777</v>
      </c>
      <c r="B6762" s="267">
        <v>2019</v>
      </c>
      <c r="C6762" s="267">
        <v>2020</v>
      </c>
      <c r="D6762" s="267">
        <v>1</v>
      </c>
      <c r="E6762" s="267">
        <v>1</v>
      </c>
      <c r="F6762" s="267" t="s">
        <v>944</v>
      </c>
      <c r="G6762" s="267" t="s">
        <v>3926</v>
      </c>
      <c r="H6762" s="267" t="s">
        <v>11536</v>
      </c>
      <c r="I6762" s="267" t="s">
        <v>3993</v>
      </c>
      <c r="J6762" s="267" t="s">
        <v>3928</v>
      </c>
      <c r="K6762" s="267">
        <v>6415</v>
      </c>
      <c r="L6762" s="267">
        <v>714103</v>
      </c>
      <c r="M6762" s="267" t="s">
        <v>3943</v>
      </c>
      <c r="N6762" s="267" t="s">
        <v>3944</v>
      </c>
      <c r="O6762" s="267">
        <v>1755.39</v>
      </c>
      <c r="P6762" s="267" t="s">
        <v>3944</v>
      </c>
      <c r="Q6762" s="267" t="s">
        <v>3944</v>
      </c>
      <c r="R6762" s="267">
        <v>1755.39</v>
      </c>
      <c r="S6762" s="267">
        <v>25459.03</v>
      </c>
      <c r="T6762" s="267">
        <v>27214.42</v>
      </c>
      <c r="U6762" s="268" t="s">
        <v>3945</v>
      </c>
      <c r="V6762" s="267" t="s">
        <v>944</v>
      </c>
    </row>
    <row r="6763" spans="1:22" hidden="1" x14ac:dyDescent="0.25">
      <c r="A6763" s="269">
        <v>43777</v>
      </c>
      <c r="B6763" s="270">
        <v>2019</v>
      </c>
      <c r="C6763" s="270">
        <v>2020</v>
      </c>
      <c r="D6763" s="270">
        <v>1</v>
      </c>
      <c r="E6763" s="270">
        <v>1</v>
      </c>
      <c r="F6763" s="270" t="s">
        <v>944</v>
      </c>
      <c r="G6763" s="270" t="s">
        <v>3926</v>
      </c>
      <c r="H6763" s="270" t="s">
        <v>11537</v>
      </c>
      <c r="I6763" s="270" t="s">
        <v>4037</v>
      </c>
      <c r="J6763" s="270" t="s">
        <v>3928</v>
      </c>
      <c r="K6763" s="270">
        <v>6811</v>
      </c>
      <c r="L6763" s="270">
        <v>211200</v>
      </c>
      <c r="M6763" s="270" t="s">
        <v>3960</v>
      </c>
      <c r="N6763" s="270" t="s">
        <v>3944</v>
      </c>
      <c r="O6763" s="270">
        <v>2385.25</v>
      </c>
      <c r="P6763" s="270" t="s">
        <v>3944</v>
      </c>
      <c r="Q6763" s="270" t="s">
        <v>3944</v>
      </c>
      <c r="R6763" s="270">
        <v>2385.25</v>
      </c>
      <c r="S6763" s="270">
        <v>33629.69</v>
      </c>
      <c r="T6763" s="270">
        <v>36014.94</v>
      </c>
      <c r="U6763" s="271" t="s">
        <v>3945</v>
      </c>
      <c r="V6763" s="267" t="s">
        <v>944</v>
      </c>
    </row>
    <row r="6764" spans="1:22" hidden="1" x14ac:dyDescent="0.25">
      <c r="A6764" s="266">
        <v>43777</v>
      </c>
      <c r="B6764" s="267">
        <v>2019</v>
      </c>
      <c r="C6764" s="267">
        <v>2020</v>
      </c>
      <c r="D6764" s="267">
        <v>1</v>
      </c>
      <c r="E6764" s="267">
        <v>1</v>
      </c>
      <c r="F6764" s="267" t="s">
        <v>944</v>
      </c>
      <c r="G6764" s="267" t="s">
        <v>3926</v>
      </c>
      <c r="H6764" s="267" t="s">
        <v>11538</v>
      </c>
      <c r="I6764" s="267" t="s">
        <v>3956</v>
      </c>
      <c r="J6764" s="267" t="s">
        <v>3928</v>
      </c>
      <c r="K6764" s="267">
        <v>6106</v>
      </c>
      <c r="L6764" s="267">
        <v>504500</v>
      </c>
      <c r="M6764" s="267">
        <v>-60</v>
      </c>
      <c r="N6764" s="267" t="s">
        <v>3944</v>
      </c>
      <c r="O6764" s="267">
        <v>1383.13</v>
      </c>
      <c r="P6764" s="267" t="s">
        <v>3944</v>
      </c>
      <c r="Q6764" s="267" t="s">
        <v>3944</v>
      </c>
      <c r="R6764" s="267">
        <v>1383.13</v>
      </c>
      <c r="S6764" s="267">
        <v>11862.87</v>
      </c>
      <c r="T6764" s="267">
        <v>13246</v>
      </c>
      <c r="U6764" s="268" t="s">
        <v>3945</v>
      </c>
      <c r="V6764" s="267" t="s">
        <v>944</v>
      </c>
    </row>
    <row r="6765" spans="1:22" hidden="1" x14ac:dyDescent="0.25">
      <c r="A6765" s="269">
        <v>43777</v>
      </c>
      <c r="B6765" s="270">
        <v>2019</v>
      </c>
      <c r="C6765" s="270">
        <v>2020</v>
      </c>
      <c r="D6765" s="270">
        <v>1</v>
      </c>
      <c r="E6765" s="270">
        <v>1</v>
      </c>
      <c r="F6765" s="270" t="s">
        <v>944</v>
      </c>
      <c r="G6765" s="270" t="s">
        <v>3926</v>
      </c>
      <c r="H6765" s="270" t="s">
        <v>11539</v>
      </c>
      <c r="I6765" s="270" t="s">
        <v>3947</v>
      </c>
      <c r="J6765" s="270" t="s">
        <v>3928</v>
      </c>
      <c r="K6765" s="270">
        <v>6035</v>
      </c>
      <c r="L6765" s="270">
        <v>468101</v>
      </c>
      <c r="M6765" s="270" t="s">
        <v>3943</v>
      </c>
      <c r="N6765" s="270" t="s">
        <v>3944</v>
      </c>
      <c r="O6765" s="270">
        <v>3321.85</v>
      </c>
      <c r="P6765" s="270" t="s">
        <v>3944</v>
      </c>
      <c r="Q6765" s="270" t="s">
        <v>3944</v>
      </c>
      <c r="R6765" s="270">
        <v>3321.85</v>
      </c>
      <c r="S6765" s="270">
        <v>50701.81</v>
      </c>
      <c r="T6765" s="270">
        <v>54023.66</v>
      </c>
      <c r="U6765" s="271" t="s">
        <v>3945</v>
      </c>
      <c r="V6765" s="267" t="s">
        <v>944</v>
      </c>
    </row>
    <row r="6766" spans="1:22" hidden="1" x14ac:dyDescent="0.25">
      <c r="A6766" s="266">
        <v>43777</v>
      </c>
      <c r="B6766" s="267">
        <v>2019</v>
      </c>
      <c r="C6766" s="267">
        <v>2020</v>
      </c>
      <c r="D6766" s="267">
        <v>1</v>
      </c>
      <c r="E6766" s="267">
        <v>1</v>
      </c>
      <c r="F6766" s="267" t="s">
        <v>944</v>
      </c>
      <c r="G6766" s="267" t="s">
        <v>3926</v>
      </c>
      <c r="H6766" s="267" t="s">
        <v>11540</v>
      </c>
      <c r="I6766" s="267" t="s">
        <v>4079</v>
      </c>
      <c r="J6766" s="267" t="s">
        <v>3928</v>
      </c>
      <c r="K6766" s="267">
        <v>6111</v>
      </c>
      <c r="L6766" s="267">
        <v>494500</v>
      </c>
      <c r="M6766" s="267" t="s">
        <v>3960</v>
      </c>
      <c r="N6766" s="267" t="s">
        <v>3944</v>
      </c>
      <c r="O6766" s="267">
        <v>2020.66</v>
      </c>
      <c r="P6766" s="267" t="s">
        <v>3944</v>
      </c>
      <c r="Q6766" s="267" t="s">
        <v>3944</v>
      </c>
      <c r="R6766" s="267">
        <v>2020.66</v>
      </c>
      <c r="S6766" s="267">
        <v>32912.69</v>
      </c>
      <c r="T6766" s="267">
        <v>34933.35</v>
      </c>
      <c r="U6766" s="268" t="s">
        <v>3945</v>
      </c>
      <c r="V6766" s="267" t="s">
        <v>944</v>
      </c>
    </row>
    <row r="6767" spans="1:22" hidden="1" x14ac:dyDescent="0.25">
      <c r="A6767" s="269">
        <v>43777</v>
      </c>
      <c r="B6767" s="270">
        <v>2019</v>
      </c>
      <c r="C6767" s="270">
        <v>2020</v>
      </c>
      <c r="D6767" s="270">
        <v>1</v>
      </c>
      <c r="E6767" s="270">
        <v>1</v>
      </c>
      <c r="F6767" s="270" t="s">
        <v>944</v>
      </c>
      <c r="G6767" s="270" t="s">
        <v>3926</v>
      </c>
      <c r="H6767" s="270" t="s">
        <v>11541</v>
      </c>
      <c r="I6767" s="270" t="s">
        <v>3011</v>
      </c>
      <c r="J6767" s="270" t="s">
        <v>3928</v>
      </c>
      <c r="K6767" s="270">
        <v>6418</v>
      </c>
      <c r="L6767" s="270">
        <v>120200</v>
      </c>
      <c r="M6767" s="270">
        <v>-60</v>
      </c>
      <c r="N6767" s="270" t="s">
        <v>3944</v>
      </c>
      <c r="O6767" s="270">
        <v>688.35</v>
      </c>
      <c r="P6767" s="270" t="s">
        <v>3944</v>
      </c>
      <c r="Q6767" s="270" t="s">
        <v>3944</v>
      </c>
      <c r="R6767" s="270">
        <v>688.35</v>
      </c>
      <c r="S6767" s="270">
        <v>10500.45</v>
      </c>
      <c r="T6767" s="270">
        <v>11188.8</v>
      </c>
      <c r="U6767" s="271" t="s">
        <v>3945</v>
      </c>
      <c r="V6767" s="267" t="s">
        <v>944</v>
      </c>
    </row>
    <row r="6768" spans="1:22" hidden="1" x14ac:dyDescent="0.25">
      <c r="A6768" s="266">
        <v>43777</v>
      </c>
      <c r="B6768" s="267">
        <v>2019</v>
      </c>
      <c r="C6768" s="267">
        <v>2020</v>
      </c>
      <c r="D6768" s="267">
        <v>1</v>
      </c>
      <c r="E6768" s="267">
        <v>1</v>
      </c>
      <c r="F6768" s="267" t="s">
        <v>944</v>
      </c>
      <c r="G6768" s="267" t="s">
        <v>3926</v>
      </c>
      <c r="H6768" s="267" t="s">
        <v>11542</v>
      </c>
      <c r="I6768" s="267" t="s">
        <v>4042</v>
      </c>
      <c r="J6768" s="267" t="s">
        <v>3928</v>
      </c>
      <c r="K6768" s="267">
        <v>6382</v>
      </c>
      <c r="L6768" s="267">
        <v>870502</v>
      </c>
      <c r="M6768" s="267" t="s">
        <v>3940</v>
      </c>
      <c r="N6768" s="267" t="s">
        <v>3944</v>
      </c>
      <c r="O6768" s="267">
        <v>1775.94</v>
      </c>
      <c r="P6768" s="267" t="s">
        <v>3944</v>
      </c>
      <c r="Q6768" s="267" t="s">
        <v>3944</v>
      </c>
      <c r="R6768" s="267">
        <v>1775.94</v>
      </c>
      <c r="S6768" s="267">
        <v>26868.35</v>
      </c>
      <c r="T6768" s="267">
        <v>28644.29</v>
      </c>
      <c r="U6768" s="268" t="s">
        <v>3945</v>
      </c>
      <c r="V6768" s="267" t="s">
        <v>944</v>
      </c>
    </row>
    <row r="6769" spans="1:22" hidden="1" x14ac:dyDescent="0.25">
      <c r="A6769" s="269">
        <v>43777</v>
      </c>
      <c r="B6769" s="270">
        <v>2019</v>
      </c>
      <c r="C6769" s="270">
        <v>2020</v>
      </c>
      <c r="D6769" s="270">
        <v>1</v>
      </c>
      <c r="E6769" s="270">
        <v>1</v>
      </c>
      <c r="F6769" s="270" t="s">
        <v>944</v>
      </c>
      <c r="G6769" s="270" t="s">
        <v>3926</v>
      </c>
      <c r="H6769" s="270" t="s">
        <v>11543</v>
      </c>
      <c r="I6769" s="270" t="s">
        <v>3011</v>
      </c>
      <c r="J6769" s="270" t="s">
        <v>3928</v>
      </c>
      <c r="K6769" s="270">
        <v>6418</v>
      </c>
      <c r="L6769" s="270">
        <v>120100</v>
      </c>
      <c r="M6769" s="270" t="s">
        <v>3940</v>
      </c>
      <c r="N6769" s="270" t="s">
        <v>3944</v>
      </c>
      <c r="O6769" s="270">
        <v>764.47</v>
      </c>
      <c r="P6769" s="270" t="s">
        <v>3944</v>
      </c>
      <c r="Q6769" s="270" t="s">
        <v>3944</v>
      </c>
      <c r="R6769" s="270">
        <v>764.47</v>
      </c>
      <c r="S6769" s="270">
        <v>11429.02</v>
      </c>
      <c r="T6769" s="270">
        <v>12193.49</v>
      </c>
      <c r="U6769" s="271" t="s">
        <v>3945</v>
      </c>
      <c r="V6769" s="267" t="s">
        <v>944</v>
      </c>
    </row>
    <row r="6770" spans="1:22" hidden="1" x14ac:dyDescent="0.25">
      <c r="A6770" s="266">
        <v>43777</v>
      </c>
      <c r="B6770" s="267">
        <v>2019</v>
      </c>
      <c r="C6770" s="267">
        <v>2020</v>
      </c>
      <c r="D6770" s="267">
        <v>1</v>
      </c>
      <c r="E6770" s="267">
        <v>1</v>
      </c>
      <c r="F6770" s="267" t="s">
        <v>944</v>
      </c>
      <c r="G6770" s="267" t="s">
        <v>3926</v>
      </c>
      <c r="H6770" s="267" t="s">
        <v>11544</v>
      </c>
      <c r="I6770" s="267" t="s">
        <v>4269</v>
      </c>
      <c r="J6770" s="267" t="s">
        <v>3928</v>
      </c>
      <c r="K6770" s="267">
        <v>6119</v>
      </c>
      <c r="L6770" s="267">
        <v>496700</v>
      </c>
      <c r="M6770" s="267" t="s">
        <v>3940</v>
      </c>
      <c r="N6770" s="267" t="s">
        <v>3944</v>
      </c>
      <c r="O6770" s="267">
        <v>1114.1199999999999</v>
      </c>
      <c r="P6770" s="267" t="s">
        <v>3944</v>
      </c>
      <c r="Q6770" s="267" t="s">
        <v>3944</v>
      </c>
      <c r="R6770" s="267">
        <v>1114.1199999999999</v>
      </c>
      <c r="S6770" s="267">
        <v>13267.88</v>
      </c>
      <c r="T6770" s="267">
        <v>14382</v>
      </c>
      <c r="U6770" s="268" t="s">
        <v>3945</v>
      </c>
      <c r="V6770" s="267" t="s">
        <v>944</v>
      </c>
    </row>
    <row r="6771" spans="1:22" hidden="1" x14ac:dyDescent="0.25">
      <c r="A6771" s="269">
        <v>43777</v>
      </c>
      <c r="B6771" s="270">
        <v>2019</v>
      </c>
      <c r="C6771" s="270">
        <v>2020</v>
      </c>
      <c r="D6771" s="270">
        <v>1</v>
      </c>
      <c r="E6771" s="270">
        <v>1</v>
      </c>
      <c r="F6771" s="270" t="s">
        <v>944</v>
      </c>
      <c r="G6771" s="270" t="s">
        <v>3926</v>
      </c>
      <c r="H6771" s="270" t="s">
        <v>11545</v>
      </c>
      <c r="I6771" s="270" t="s">
        <v>4295</v>
      </c>
      <c r="J6771" s="270" t="s">
        <v>3928</v>
      </c>
      <c r="K6771" s="270">
        <v>6043</v>
      </c>
      <c r="L6771" s="270">
        <v>529100</v>
      </c>
      <c r="M6771" s="270" t="s">
        <v>3943</v>
      </c>
      <c r="N6771" s="270" t="s">
        <v>3944</v>
      </c>
      <c r="O6771" s="270">
        <v>1614.17</v>
      </c>
      <c r="P6771" s="270" t="s">
        <v>3944</v>
      </c>
      <c r="Q6771" s="270" t="s">
        <v>3944</v>
      </c>
      <c r="R6771" s="270">
        <v>1614.17</v>
      </c>
      <c r="S6771" s="270">
        <v>26161.83</v>
      </c>
      <c r="T6771" s="270">
        <v>27776</v>
      </c>
      <c r="U6771" s="271" t="s">
        <v>3945</v>
      </c>
      <c r="V6771" s="267" t="s">
        <v>944</v>
      </c>
    </row>
    <row r="6772" spans="1:22" hidden="1" x14ac:dyDescent="0.25">
      <c r="A6772" s="266">
        <v>43777</v>
      </c>
      <c r="B6772" s="267">
        <v>2019</v>
      </c>
      <c r="C6772" s="267">
        <v>2020</v>
      </c>
      <c r="D6772" s="267">
        <v>1</v>
      </c>
      <c r="E6772" s="267">
        <v>1</v>
      </c>
      <c r="F6772" s="267" t="s">
        <v>944</v>
      </c>
      <c r="G6772" s="267" t="s">
        <v>3926</v>
      </c>
      <c r="H6772" s="267" t="s">
        <v>11546</v>
      </c>
      <c r="I6772" s="267" t="s">
        <v>4330</v>
      </c>
      <c r="J6772" s="267" t="s">
        <v>3928</v>
      </c>
      <c r="K6772" s="267">
        <v>6413</v>
      </c>
      <c r="L6772" s="267">
        <v>610400</v>
      </c>
      <c r="M6772" s="267" t="s">
        <v>3960</v>
      </c>
      <c r="N6772" s="267" t="s">
        <v>3944</v>
      </c>
      <c r="O6772" s="267">
        <v>1847.69</v>
      </c>
      <c r="P6772" s="267" t="s">
        <v>3944</v>
      </c>
      <c r="Q6772" s="267" t="s">
        <v>3944</v>
      </c>
      <c r="R6772" s="267">
        <v>1847.69</v>
      </c>
      <c r="S6772" s="267">
        <v>27490.799999999999</v>
      </c>
      <c r="T6772" s="267">
        <v>29338.49</v>
      </c>
      <c r="U6772" s="268" t="s">
        <v>3945</v>
      </c>
      <c r="V6772" s="267" t="s">
        <v>944</v>
      </c>
    </row>
    <row r="6773" spans="1:22" hidden="1" x14ac:dyDescent="0.25">
      <c r="A6773" s="269">
        <v>43777</v>
      </c>
      <c r="B6773" s="270">
        <v>2019</v>
      </c>
      <c r="C6773" s="270">
        <v>2020</v>
      </c>
      <c r="D6773" s="270">
        <v>1</v>
      </c>
      <c r="E6773" s="270">
        <v>1</v>
      </c>
      <c r="F6773" s="270" t="s">
        <v>944</v>
      </c>
      <c r="G6773" s="270" t="s">
        <v>3926</v>
      </c>
      <c r="H6773" s="270" t="s">
        <v>11547</v>
      </c>
      <c r="I6773" s="270" t="s">
        <v>4094</v>
      </c>
      <c r="J6773" s="270" t="s">
        <v>3928</v>
      </c>
      <c r="K6773" s="270">
        <v>6096</v>
      </c>
      <c r="L6773" s="270">
        <v>476200</v>
      </c>
      <c r="M6773" s="270" t="s">
        <v>3935</v>
      </c>
      <c r="N6773" s="270" t="s">
        <v>3944</v>
      </c>
      <c r="O6773" s="270">
        <v>2023.77</v>
      </c>
      <c r="P6773" s="270" t="s">
        <v>3944</v>
      </c>
      <c r="Q6773" s="270" t="s">
        <v>3944</v>
      </c>
      <c r="R6773" s="270">
        <v>2023.77</v>
      </c>
      <c r="S6773" s="270">
        <v>20527.23</v>
      </c>
      <c r="T6773" s="270">
        <v>22551</v>
      </c>
      <c r="U6773" s="271" t="s">
        <v>3945</v>
      </c>
      <c r="V6773" s="267" t="s">
        <v>944</v>
      </c>
    </row>
    <row r="6774" spans="1:22" hidden="1" x14ac:dyDescent="0.25">
      <c r="A6774" s="266">
        <v>43777</v>
      </c>
      <c r="B6774" s="267">
        <v>2019</v>
      </c>
      <c r="C6774" s="267">
        <v>2020</v>
      </c>
      <c r="D6774" s="267">
        <v>1</v>
      </c>
      <c r="E6774" s="267">
        <v>1</v>
      </c>
      <c r="F6774" s="267" t="s">
        <v>944</v>
      </c>
      <c r="G6774" s="267" t="s">
        <v>3926</v>
      </c>
      <c r="H6774" s="267" t="s">
        <v>11548</v>
      </c>
      <c r="I6774" s="267" t="s">
        <v>4019</v>
      </c>
      <c r="J6774" s="267" t="s">
        <v>3928</v>
      </c>
      <c r="K6774" s="267">
        <v>6704</v>
      </c>
      <c r="L6774" s="267">
        <v>351000</v>
      </c>
      <c r="M6774" s="267" t="s">
        <v>3940</v>
      </c>
      <c r="N6774" s="267" t="s">
        <v>3944</v>
      </c>
      <c r="O6774" s="267">
        <v>1317.37</v>
      </c>
      <c r="P6774" s="267" t="s">
        <v>3944</v>
      </c>
      <c r="Q6774" s="267" t="s">
        <v>3944</v>
      </c>
      <c r="R6774" s="267">
        <v>1317.37</v>
      </c>
      <c r="S6774" s="267">
        <v>20487.169999999998</v>
      </c>
      <c r="T6774" s="267">
        <v>21804.54</v>
      </c>
      <c r="U6774" s="268" t="s">
        <v>3945</v>
      </c>
      <c r="V6774" s="267" t="s">
        <v>944</v>
      </c>
    </row>
    <row r="6775" spans="1:22" hidden="1" x14ac:dyDescent="0.25">
      <c r="A6775" s="269">
        <v>43777</v>
      </c>
      <c r="B6775" s="270">
        <v>2019</v>
      </c>
      <c r="C6775" s="270">
        <v>2020</v>
      </c>
      <c r="D6775" s="270">
        <v>1</v>
      </c>
      <c r="E6775" s="270">
        <v>1</v>
      </c>
      <c r="F6775" s="270" t="s">
        <v>944</v>
      </c>
      <c r="G6775" s="270" t="s">
        <v>3926</v>
      </c>
      <c r="H6775" s="270" t="s">
        <v>11549</v>
      </c>
      <c r="I6775" s="270" t="s">
        <v>3939</v>
      </c>
      <c r="J6775" s="270" t="s">
        <v>3928</v>
      </c>
      <c r="K6775" s="270">
        <v>6512</v>
      </c>
      <c r="L6775" s="270">
        <v>180100</v>
      </c>
      <c r="M6775" s="270" t="s">
        <v>3940</v>
      </c>
      <c r="N6775" s="270" t="s">
        <v>3944</v>
      </c>
      <c r="O6775" s="270">
        <v>1218.04</v>
      </c>
      <c r="P6775" s="270" t="s">
        <v>3944</v>
      </c>
      <c r="Q6775" s="270" t="s">
        <v>3944</v>
      </c>
      <c r="R6775" s="270">
        <v>1218.04</v>
      </c>
      <c r="S6775" s="270">
        <v>15319.46</v>
      </c>
      <c r="T6775" s="270">
        <v>16537.5</v>
      </c>
      <c r="U6775" s="271" t="s">
        <v>3945</v>
      </c>
      <c r="V6775" s="267" t="s">
        <v>944</v>
      </c>
    </row>
    <row r="6776" spans="1:22" hidden="1" x14ac:dyDescent="0.25">
      <c r="A6776" s="266">
        <v>43777</v>
      </c>
      <c r="B6776" s="267">
        <v>2019</v>
      </c>
      <c r="C6776" s="267">
        <v>2020</v>
      </c>
      <c r="D6776" s="267">
        <v>1</v>
      </c>
      <c r="E6776" s="267">
        <v>1</v>
      </c>
      <c r="F6776" s="267" t="s">
        <v>944</v>
      </c>
      <c r="G6776" s="267" t="s">
        <v>3926</v>
      </c>
      <c r="H6776" s="267" t="s">
        <v>11550</v>
      </c>
      <c r="I6776" s="267" t="s">
        <v>4005</v>
      </c>
      <c r="J6776" s="267" t="s">
        <v>3928</v>
      </c>
      <c r="K6776" s="267">
        <v>6108</v>
      </c>
      <c r="L6776" s="267">
        <v>510200</v>
      </c>
      <c r="M6776" s="267">
        <v>-60</v>
      </c>
      <c r="N6776" s="267" t="s">
        <v>3944</v>
      </c>
      <c r="O6776" s="267">
        <v>985.74</v>
      </c>
      <c r="P6776" s="267" t="s">
        <v>3944</v>
      </c>
      <c r="Q6776" s="267" t="s">
        <v>3944</v>
      </c>
      <c r="R6776" s="267">
        <v>985.74</v>
      </c>
      <c r="S6776" s="267">
        <v>12858.26</v>
      </c>
      <c r="T6776" s="267">
        <v>13844</v>
      </c>
      <c r="U6776" s="268" t="s">
        <v>3945</v>
      </c>
      <c r="V6776" s="267" t="s">
        <v>944</v>
      </c>
    </row>
    <row r="6777" spans="1:22" hidden="1" x14ac:dyDescent="0.25">
      <c r="A6777" s="269">
        <v>43777</v>
      </c>
      <c r="B6777" s="270">
        <v>2019</v>
      </c>
      <c r="C6777" s="270">
        <v>2020</v>
      </c>
      <c r="D6777" s="270">
        <v>1</v>
      </c>
      <c r="E6777" s="270">
        <v>1</v>
      </c>
      <c r="F6777" s="270" t="s">
        <v>944</v>
      </c>
      <c r="G6777" s="270" t="s">
        <v>3926</v>
      </c>
      <c r="H6777" s="270" t="s">
        <v>11551</v>
      </c>
      <c r="I6777" s="270" t="s">
        <v>953</v>
      </c>
      <c r="J6777" s="270" t="s">
        <v>3928</v>
      </c>
      <c r="K6777" s="270">
        <v>6514</v>
      </c>
      <c r="L6777" s="270">
        <v>165802</v>
      </c>
      <c r="M6777" s="270" t="s">
        <v>3943</v>
      </c>
      <c r="N6777" s="270" t="s">
        <v>3944</v>
      </c>
      <c r="O6777" s="270">
        <v>1596.11</v>
      </c>
      <c r="P6777" s="270" t="s">
        <v>3944</v>
      </c>
      <c r="Q6777" s="270" t="s">
        <v>3944</v>
      </c>
      <c r="R6777" s="270">
        <v>1596.11</v>
      </c>
      <c r="S6777" s="270">
        <v>25984.93</v>
      </c>
      <c r="T6777" s="270">
        <v>27581.040000000001</v>
      </c>
      <c r="U6777" s="271" t="s">
        <v>3945</v>
      </c>
      <c r="V6777" s="267" t="s">
        <v>944</v>
      </c>
    </row>
    <row r="6778" spans="1:22" hidden="1" x14ac:dyDescent="0.25">
      <c r="A6778" s="266">
        <v>43777</v>
      </c>
      <c r="B6778" s="267">
        <v>2019</v>
      </c>
      <c r="C6778" s="267">
        <v>2020</v>
      </c>
      <c r="D6778" s="267">
        <v>1</v>
      </c>
      <c r="E6778" s="267">
        <v>1</v>
      </c>
      <c r="F6778" s="267" t="s">
        <v>944</v>
      </c>
      <c r="G6778" s="267" t="s">
        <v>3926</v>
      </c>
      <c r="H6778" s="267" t="s">
        <v>11552</v>
      </c>
      <c r="I6778" s="267" t="s">
        <v>4213</v>
      </c>
      <c r="J6778" s="267" t="s">
        <v>3928</v>
      </c>
      <c r="K6778" s="267">
        <v>6051</v>
      </c>
      <c r="L6778" s="267">
        <v>415500</v>
      </c>
      <c r="M6778" s="267">
        <v>-60</v>
      </c>
      <c r="N6778" s="267" t="s">
        <v>3944</v>
      </c>
      <c r="O6778" s="267">
        <v>2309.9699999999998</v>
      </c>
      <c r="P6778" s="267" t="s">
        <v>3944</v>
      </c>
      <c r="Q6778" s="267" t="s">
        <v>3944</v>
      </c>
      <c r="R6778" s="267">
        <v>2309.9699999999998</v>
      </c>
      <c r="S6778" s="267">
        <v>14879.03</v>
      </c>
      <c r="T6778" s="267">
        <v>17189</v>
      </c>
      <c r="U6778" s="268" t="s">
        <v>3945</v>
      </c>
      <c r="V6778" s="267" t="s">
        <v>944</v>
      </c>
    </row>
    <row r="6779" spans="1:22" x14ac:dyDescent="0.25">
      <c r="A6779" s="269">
        <v>43777</v>
      </c>
      <c r="B6779" s="270">
        <v>2019</v>
      </c>
      <c r="C6779" s="270">
        <v>2020</v>
      </c>
      <c r="D6779" s="270">
        <v>1</v>
      </c>
      <c r="E6779" s="270">
        <v>1</v>
      </c>
      <c r="F6779" s="270" t="s">
        <v>944</v>
      </c>
      <c r="G6779" s="270" t="s">
        <v>3926</v>
      </c>
      <c r="H6779" s="270" t="s">
        <v>11553</v>
      </c>
      <c r="I6779" s="270" t="s">
        <v>934</v>
      </c>
      <c r="J6779" s="270" t="s">
        <v>3928</v>
      </c>
      <c r="K6779" s="270">
        <v>6605</v>
      </c>
      <c r="L6779" s="270">
        <v>70100</v>
      </c>
      <c r="M6779" s="270" t="s">
        <v>3960</v>
      </c>
      <c r="N6779" s="270" t="s">
        <v>3944</v>
      </c>
      <c r="O6779" s="270">
        <v>1738</v>
      </c>
      <c r="P6779" s="270" t="s">
        <v>3944</v>
      </c>
      <c r="Q6779" s="270" t="s">
        <v>3944</v>
      </c>
      <c r="R6779" s="270">
        <v>1738</v>
      </c>
      <c r="S6779" s="270">
        <v>28575.41</v>
      </c>
      <c r="T6779" s="270">
        <v>30313.41</v>
      </c>
      <c r="U6779" s="271" t="s">
        <v>3945</v>
      </c>
      <c r="V6779" s="276" t="s">
        <v>936</v>
      </c>
    </row>
    <row r="6780" spans="1:22" hidden="1" x14ac:dyDescent="0.25">
      <c r="A6780" s="266">
        <v>43777</v>
      </c>
      <c r="B6780" s="267">
        <v>2019</v>
      </c>
      <c r="C6780" s="267">
        <v>2020</v>
      </c>
      <c r="D6780" s="267">
        <v>1</v>
      </c>
      <c r="E6780" s="267">
        <v>1</v>
      </c>
      <c r="F6780" s="267" t="s">
        <v>944</v>
      </c>
      <c r="G6780" s="267" t="s">
        <v>3926</v>
      </c>
      <c r="H6780" s="267" t="s">
        <v>11554</v>
      </c>
      <c r="I6780" s="267" t="s">
        <v>3949</v>
      </c>
      <c r="J6780" s="267" t="s">
        <v>3928</v>
      </c>
      <c r="K6780" s="267">
        <v>6437</v>
      </c>
      <c r="L6780" s="267">
        <v>190100</v>
      </c>
      <c r="M6780" s="267" t="s">
        <v>3960</v>
      </c>
      <c r="N6780" s="267" t="s">
        <v>3944</v>
      </c>
      <c r="O6780" s="267">
        <v>1151.68</v>
      </c>
      <c r="P6780" s="267" t="s">
        <v>3944</v>
      </c>
      <c r="Q6780" s="267" t="s">
        <v>3944</v>
      </c>
      <c r="R6780" s="267">
        <v>1151.68</v>
      </c>
      <c r="S6780" s="267">
        <v>17572.28</v>
      </c>
      <c r="T6780" s="267">
        <v>18723.96</v>
      </c>
      <c r="U6780" s="268" t="s">
        <v>3945</v>
      </c>
      <c r="V6780" s="267" t="s">
        <v>944</v>
      </c>
    </row>
    <row r="6781" spans="1:22" hidden="1" x14ac:dyDescent="0.25">
      <c r="A6781" s="269">
        <v>43777</v>
      </c>
      <c r="B6781" s="270">
        <v>2019</v>
      </c>
      <c r="C6781" s="270">
        <v>2020</v>
      </c>
      <c r="D6781" s="270">
        <v>1</v>
      </c>
      <c r="E6781" s="270">
        <v>1</v>
      </c>
      <c r="F6781" s="270" t="s">
        <v>944</v>
      </c>
      <c r="G6781" s="270" t="s">
        <v>3926</v>
      </c>
      <c r="H6781" s="270" t="s">
        <v>11555</v>
      </c>
      <c r="I6781" s="270" t="s">
        <v>4250</v>
      </c>
      <c r="J6781" s="270" t="s">
        <v>3928</v>
      </c>
      <c r="K6781" s="270">
        <v>6241</v>
      </c>
      <c r="L6781" s="270">
        <v>904400</v>
      </c>
      <c r="M6781" s="270" t="s">
        <v>3940</v>
      </c>
      <c r="N6781" s="270" t="s">
        <v>3944</v>
      </c>
      <c r="O6781" s="270">
        <v>2195.27</v>
      </c>
      <c r="P6781" s="270" t="s">
        <v>3944</v>
      </c>
      <c r="Q6781" s="270" t="s">
        <v>3944</v>
      </c>
      <c r="R6781" s="270">
        <v>2195.27</v>
      </c>
      <c r="S6781" s="270">
        <v>30597.86</v>
      </c>
      <c r="T6781" s="270">
        <v>32793.129999999997</v>
      </c>
      <c r="U6781" s="271" t="s">
        <v>3945</v>
      </c>
      <c r="V6781" s="267" t="s">
        <v>944</v>
      </c>
    </row>
    <row r="6782" spans="1:22" hidden="1" x14ac:dyDescent="0.25">
      <c r="A6782" s="266">
        <v>43777</v>
      </c>
      <c r="B6782" s="267">
        <v>2019</v>
      </c>
      <c r="C6782" s="267">
        <v>2020</v>
      </c>
      <c r="D6782" s="267">
        <v>1</v>
      </c>
      <c r="E6782" s="267">
        <v>1</v>
      </c>
      <c r="F6782" s="267" t="s">
        <v>944</v>
      </c>
      <c r="G6782" s="267" t="s">
        <v>3926</v>
      </c>
      <c r="H6782" s="267" t="s">
        <v>11556</v>
      </c>
      <c r="I6782" s="267" t="s">
        <v>4374</v>
      </c>
      <c r="J6782" s="267" t="s">
        <v>3928</v>
      </c>
      <c r="K6782" s="267">
        <v>6441</v>
      </c>
      <c r="L6782" s="267">
        <v>590100</v>
      </c>
      <c r="M6782" s="267" t="s">
        <v>3943</v>
      </c>
      <c r="N6782" s="267" t="s">
        <v>3944</v>
      </c>
      <c r="O6782" s="267">
        <v>1834</v>
      </c>
      <c r="P6782" s="267" t="s">
        <v>3944</v>
      </c>
      <c r="Q6782" s="267" t="s">
        <v>3944</v>
      </c>
      <c r="R6782" s="267">
        <v>1834</v>
      </c>
      <c r="S6782" s="267">
        <v>17909</v>
      </c>
      <c r="T6782" s="267">
        <v>19743</v>
      </c>
      <c r="U6782" s="268" t="s">
        <v>3945</v>
      </c>
      <c r="V6782" s="267" t="s">
        <v>944</v>
      </c>
    </row>
    <row r="6783" spans="1:22" hidden="1" x14ac:dyDescent="0.25">
      <c r="A6783" s="269">
        <v>43777</v>
      </c>
      <c r="B6783" s="270">
        <v>2019</v>
      </c>
      <c r="C6783" s="270">
        <v>2020</v>
      </c>
      <c r="D6783" s="270">
        <v>1</v>
      </c>
      <c r="E6783" s="270">
        <v>1</v>
      </c>
      <c r="F6783" s="270" t="s">
        <v>944</v>
      </c>
      <c r="G6783" s="270" t="s">
        <v>3926</v>
      </c>
      <c r="H6783" s="270" t="s">
        <v>11557</v>
      </c>
      <c r="I6783" s="270" t="s">
        <v>934</v>
      </c>
      <c r="J6783" s="270" t="s">
        <v>3928</v>
      </c>
      <c r="K6783" s="270">
        <v>6606</v>
      </c>
      <c r="L6783" s="270">
        <v>72700</v>
      </c>
      <c r="M6783" s="270" t="s">
        <v>3935</v>
      </c>
      <c r="N6783" s="270" t="s">
        <v>3944</v>
      </c>
      <c r="O6783" s="270">
        <v>1128.23</v>
      </c>
      <c r="P6783" s="270" t="s">
        <v>3944</v>
      </c>
      <c r="Q6783" s="270" t="s">
        <v>3944</v>
      </c>
      <c r="R6783" s="270">
        <v>1128.23</v>
      </c>
      <c r="S6783" s="270">
        <v>16198.2</v>
      </c>
      <c r="T6783" s="270">
        <v>17326.43</v>
      </c>
      <c r="U6783" s="271" t="s">
        <v>3945</v>
      </c>
      <c r="V6783" s="267" t="s">
        <v>944</v>
      </c>
    </row>
    <row r="6784" spans="1:22" hidden="1" x14ac:dyDescent="0.25">
      <c r="A6784" s="266">
        <v>43777</v>
      </c>
      <c r="B6784" s="267">
        <v>2019</v>
      </c>
      <c r="C6784" s="267">
        <v>2020</v>
      </c>
      <c r="D6784" s="267">
        <v>1</v>
      </c>
      <c r="E6784" s="267">
        <v>1</v>
      </c>
      <c r="F6784" s="267" t="s">
        <v>944</v>
      </c>
      <c r="G6784" s="267" t="s">
        <v>3926</v>
      </c>
      <c r="H6784" s="267" t="s">
        <v>11558</v>
      </c>
      <c r="I6784" s="267" t="s">
        <v>4019</v>
      </c>
      <c r="J6784" s="267" t="s">
        <v>3928</v>
      </c>
      <c r="K6784" s="267">
        <v>6708</v>
      </c>
      <c r="L6784" s="267">
        <v>351602</v>
      </c>
      <c r="M6784" s="267" t="s">
        <v>3940</v>
      </c>
      <c r="N6784" s="267" t="s">
        <v>3944</v>
      </c>
      <c r="O6784" s="267">
        <v>1553.83</v>
      </c>
      <c r="P6784" s="267" t="s">
        <v>3944</v>
      </c>
      <c r="Q6784" s="267" t="s">
        <v>3944</v>
      </c>
      <c r="R6784" s="267">
        <v>1553.83</v>
      </c>
      <c r="S6784" s="267">
        <v>22389.26</v>
      </c>
      <c r="T6784" s="267">
        <v>23943.09</v>
      </c>
      <c r="U6784" s="268" t="s">
        <v>3945</v>
      </c>
      <c r="V6784" s="267" t="s">
        <v>944</v>
      </c>
    </row>
    <row r="6785" spans="1:22" hidden="1" x14ac:dyDescent="0.25">
      <c r="A6785" s="269">
        <v>43777</v>
      </c>
      <c r="B6785" s="270">
        <v>2019</v>
      </c>
      <c r="C6785" s="270">
        <v>2020</v>
      </c>
      <c r="D6785" s="270">
        <v>1</v>
      </c>
      <c r="E6785" s="270">
        <v>1</v>
      </c>
      <c r="F6785" s="270" t="s">
        <v>944</v>
      </c>
      <c r="G6785" s="270" t="s">
        <v>3926</v>
      </c>
      <c r="H6785" s="270" t="s">
        <v>11559</v>
      </c>
      <c r="I6785" s="270" t="s">
        <v>4731</v>
      </c>
      <c r="J6785" s="270" t="s">
        <v>3928</v>
      </c>
      <c r="K6785" s="270">
        <v>6478</v>
      </c>
      <c r="L6785" s="270">
        <v>346102</v>
      </c>
      <c r="M6785" s="270" t="s">
        <v>3943</v>
      </c>
      <c r="N6785" s="270" t="s">
        <v>3944</v>
      </c>
      <c r="O6785" s="270">
        <v>3315.83</v>
      </c>
      <c r="P6785" s="270" t="s">
        <v>3944</v>
      </c>
      <c r="Q6785" s="270" t="s">
        <v>3944</v>
      </c>
      <c r="R6785" s="270">
        <v>3315.83</v>
      </c>
      <c r="S6785" s="270">
        <v>49273.22</v>
      </c>
      <c r="T6785" s="270">
        <v>52589.05</v>
      </c>
      <c r="U6785" s="271" t="s">
        <v>3945</v>
      </c>
      <c r="V6785" s="267" t="s">
        <v>944</v>
      </c>
    </row>
    <row r="6786" spans="1:22" hidden="1" x14ac:dyDescent="0.25">
      <c r="A6786" s="266">
        <v>43777</v>
      </c>
      <c r="B6786" s="267">
        <v>2019</v>
      </c>
      <c r="C6786" s="267">
        <v>2020</v>
      </c>
      <c r="D6786" s="267">
        <v>1</v>
      </c>
      <c r="E6786" s="267">
        <v>1</v>
      </c>
      <c r="F6786" s="267" t="s">
        <v>944</v>
      </c>
      <c r="G6786" s="267" t="s">
        <v>3926</v>
      </c>
      <c r="H6786" s="267" t="s">
        <v>11560</v>
      </c>
      <c r="I6786" s="267" t="s">
        <v>2985</v>
      </c>
      <c r="J6786" s="267" t="s">
        <v>3928</v>
      </c>
      <c r="K6786" s="267">
        <v>6890</v>
      </c>
      <c r="L6786" s="267">
        <v>60600</v>
      </c>
      <c r="M6786" s="267" t="s">
        <v>3943</v>
      </c>
      <c r="N6786" s="267" t="s">
        <v>3944</v>
      </c>
      <c r="O6786" s="267">
        <v>2115.44</v>
      </c>
      <c r="P6786" s="267" t="s">
        <v>3944</v>
      </c>
      <c r="Q6786" s="267" t="s">
        <v>3944</v>
      </c>
      <c r="R6786" s="267">
        <v>2115.44</v>
      </c>
      <c r="S6786" s="267">
        <v>36649.71</v>
      </c>
      <c r="T6786" s="267">
        <v>38765.15</v>
      </c>
      <c r="U6786" s="268" t="s">
        <v>3945</v>
      </c>
      <c r="V6786" s="267" t="s">
        <v>944</v>
      </c>
    </row>
    <row r="6787" spans="1:22" x14ac:dyDescent="0.25">
      <c r="A6787" s="269">
        <v>43777</v>
      </c>
      <c r="B6787" s="270">
        <v>2019</v>
      </c>
      <c r="C6787" s="270">
        <v>2020</v>
      </c>
      <c r="D6787" s="270">
        <v>1</v>
      </c>
      <c r="E6787" s="270">
        <v>1</v>
      </c>
      <c r="F6787" s="270" t="s">
        <v>944</v>
      </c>
      <c r="G6787" s="270" t="s">
        <v>3926</v>
      </c>
      <c r="H6787" s="270" t="s">
        <v>11561</v>
      </c>
      <c r="I6787" s="270" t="s">
        <v>943</v>
      </c>
      <c r="J6787" s="270" t="s">
        <v>3928</v>
      </c>
      <c r="K6787" s="270">
        <v>6513</v>
      </c>
      <c r="L6787" s="270">
        <v>142500</v>
      </c>
      <c r="M6787" s="270">
        <v>-60</v>
      </c>
      <c r="N6787" s="270" t="s">
        <v>3944</v>
      </c>
      <c r="O6787" s="270">
        <v>781.48</v>
      </c>
      <c r="P6787" s="270" t="s">
        <v>3944</v>
      </c>
      <c r="Q6787" s="270" t="s">
        <v>3944</v>
      </c>
      <c r="R6787" s="270">
        <v>781.48</v>
      </c>
      <c r="S6787" s="270">
        <v>8088.52</v>
      </c>
      <c r="T6787" s="270">
        <v>8870</v>
      </c>
      <c r="U6787" s="271" t="s">
        <v>3945</v>
      </c>
      <c r="V6787" s="276" t="s">
        <v>936</v>
      </c>
    </row>
    <row r="6788" spans="1:22" hidden="1" x14ac:dyDescent="0.25">
      <c r="A6788" s="266">
        <v>43777</v>
      </c>
      <c r="B6788" s="267">
        <v>2019</v>
      </c>
      <c r="C6788" s="267">
        <v>2020</v>
      </c>
      <c r="D6788" s="267">
        <v>1</v>
      </c>
      <c r="E6788" s="267">
        <v>1</v>
      </c>
      <c r="F6788" s="267" t="s">
        <v>944</v>
      </c>
      <c r="G6788" s="267" t="s">
        <v>3926</v>
      </c>
      <c r="H6788" s="267" t="s">
        <v>11562</v>
      </c>
      <c r="I6788" s="267" t="s">
        <v>4392</v>
      </c>
      <c r="J6788" s="267" t="s">
        <v>3928</v>
      </c>
      <c r="K6788" s="267">
        <v>6457</v>
      </c>
      <c r="L6788" s="267">
        <v>680200</v>
      </c>
      <c r="M6788" s="267" t="s">
        <v>3935</v>
      </c>
      <c r="N6788" s="267" t="s">
        <v>3944</v>
      </c>
      <c r="O6788" s="267">
        <v>1203.51</v>
      </c>
      <c r="P6788" s="267" t="s">
        <v>3944</v>
      </c>
      <c r="Q6788" s="267" t="s">
        <v>3944</v>
      </c>
      <c r="R6788" s="267">
        <v>1203.51</v>
      </c>
      <c r="S6788" s="267">
        <v>16857.12</v>
      </c>
      <c r="T6788" s="267">
        <v>18060.63</v>
      </c>
      <c r="U6788" s="268" t="s">
        <v>3945</v>
      </c>
      <c r="V6788" s="267" t="s">
        <v>944</v>
      </c>
    </row>
    <row r="6789" spans="1:22" hidden="1" x14ac:dyDescent="0.25">
      <c r="A6789" s="269">
        <v>43777</v>
      </c>
      <c r="B6789" s="270">
        <v>2019</v>
      </c>
      <c r="C6789" s="270">
        <v>2020</v>
      </c>
      <c r="D6789" s="270">
        <v>1</v>
      </c>
      <c r="E6789" s="270">
        <v>1</v>
      </c>
      <c r="F6789" s="270" t="s">
        <v>944</v>
      </c>
      <c r="G6789" s="270" t="s">
        <v>3926</v>
      </c>
      <c r="H6789" s="270" t="s">
        <v>11563</v>
      </c>
      <c r="I6789" s="270" t="s">
        <v>3975</v>
      </c>
      <c r="J6789" s="270" t="s">
        <v>3928</v>
      </c>
      <c r="K6789" s="270">
        <v>6479</v>
      </c>
      <c r="L6789" s="270">
        <v>430400</v>
      </c>
      <c r="M6789" s="270" t="s">
        <v>3960</v>
      </c>
      <c r="N6789" s="270" t="s">
        <v>3944</v>
      </c>
      <c r="O6789" s="270">
        <v>2079.56</v>
      </c>
      <c r="P6789" s="270" t="s">
        <v>3944</v>
      </c>
      <c r="Q6789" s="270" t="s">
        <v>3944</v>
      </c>
      <c r="R6789" s="270">
        <v>2079.56</v>
      </c>
      <c r="S6789" s="270">
        <v>19311.439999999999</v>
      </c>
      <c r="T6789" s="270">
        <v>21391</v>
      </c>
      <c r="U6789" s="271" t="s">
        <v>3945</v>
      </c>
      <c r="V6789" s="267" t="s">
        <v>944</v>
      </c>
    </row>
    <row r="6790" spans="1:22" hidden="1" x14ac:dyDescent="0.25">
      <c r="A6790" s="266">
        <v>43777</v>
      </c>
      <c r="B6790" s="267">
        <v>2019</v>
      </c>
      <c r="C6790" s="267">
        <v>2020</v>
      </c>
      <c r="D6790" s="267">
        <v>1</v>
      </c>
      <c r="E6790" s="267">
        <v>1</v>
      </c>
      <c r="F6790" s="267" t="s">
        <v>944</v>
      </c>
      <c r="G6790" s="267" t="s">
        <v>3926</v>
      </c>
      <c r="H6790" s="267" t="s">
        <v>11564</v>
      </c>
      <c r="I6790" s="267" t="s">
        <v>4037</v>
      </c>
      <c r="J6790" s="267" t="s">
        <v>3928</v>
      </c>
      <c r="K6790" s="267">
        <v>6810</v>
      </c>
      <c r="L6790" s="267">
        <v>210300</v>
      </c>
      <c r="M6790" s="267" t="s">
        <v>3940</v>
      </c>
      <c r="N6790" s="267" t="s">
        <v>3944</v>
      </c>
      <c r="O6790" s="267">
        <v>1389.15</v>
      </c>
      <c r="P6790" s="267" t="s">
        <v>3944</v>
      </c>
      <c r="Q6790" s="267" t="s">
        <v>3944</v>
      </c>
      <c r="R6790" s="267">
        <v>1389.15</v>
      </c>
      <c r="S6790" s="267">
        <v>12944.85</v>
      </c>
      <c r="T6790" s="267">
        <v>14334</v>
      </c>
      <c r="U6790" s="268" t="s">
        <v>3945</v>
      </c>
      <c r="V6790" s="267" t="s">
        <v>944</v>
      </c>
    </row>
    <row r="6791" spans="1:22" hidden="1" x14ac:dyDescent="0.25">
      <c r="A6791" s="269">
        <v>43777</v>
      </c>
      <c r="B6791" s="270">
        <v>2019</v>
      </c>
      <c r="C6791" s="270">
        <v>2020</v>
      </c>
      <c r="D6791" s="270">
        <v>1</v>
      </c>
      <c r="E6791" s="270">
        <v>1</v>
      </c>
      <c r="F6791" s="270" t="s">
        <v>944</v>
      </c>
      <c r="G6791" s="270" t="s">
        <v>3926</v>
      </c>
      <c r="H6791" s="270" t="s">
        <v>11565</v>
      </c>
      <c r="I6791" s="270" t="s">
        <v>3993</v>
      </c>
      <c r="J6791" s="270" t="s">
        <v>3928</v>
      </c>
      <c r="K6791" s="270">
        <v>6415</v>
      </c>
      <c r="L6791" s="270">
        <v>714103</v>
      </c>
      <c r="M6791" s="270" t="s">
        <v>3943</v>
      </c>
      <c r="N6791" s="270" t="s">
        <v>3944</v>
      </c>
      <c r="O6791" s="270">
        <v>1380.65</v>
      </c>
      <c r="P6791" s="270" t="s">
        <v>3944</v>
      </c>
      <c r="Q6791" s="270" t="s">
        <v>3944</v>
      </c>
      <c r="R6791" s="270">
        <v>1380.65</v>
      </c>
      <c r="S6791" s="270">
        <v>21574.73</v>
      </c>
      <c r="T6791" s="270">
        <v>22955.38</v>
      </c>
      <c r="U6791" s="271" t="s">
        <v>3945</v>
      </c>
      <c r="V6791" s="267" t="s">
        <v>944</v>
      </c>
    </row>
    <row r="6792" spans="1:22" hidden="1" x14ac:dyDescent="0.25">
      <c r="A6792" s="266">
        <v>43777</v>
      </c>
      <c r="B6792" s="267">
        <v>2019</v>
      </c>
      <c r="C6792" s="267">
        <v>2020</v>
      </c>
      <c r="D6792" s="267">
        <v>1</v>
      </c>
      <c r="E6792" s="267">
        <v>1</v>
      </c>
      <c r="F6792" s="267" t="s">
        <v>944</v>
      </c>
      <c r="G6792" s="267" t="s">
        <v>3926</v>
      </c>
      <c r="H6792" s="267" t="s">
        <v>11566</v>
      </c>
      <c r="I6792" s="267" t="s">
        <v>4016</v>
      </c>
      <c r="J6792" s="267" t="s">
        <v>3928</v>
      </c>
      <c r="K6792" s="267">
        <v>6770</v>
      </c>
      <c r="L6792" s="267">
        <v>345300</v>
      </c>
      <c r="M6792" s="267" t="s">
        <v>3940</v>
      </c>
      <c r="N6792" s="267" t="s">
        <v>3944</v>
      </c>
      <c r="O6792" s="267">
        <v>1330.46</v>
      </c>
      <c r="P6792" s="267" t="s">
        <v>3944</v>
      </c>
      <c r="Q6792" s="267" t="s">
        <v>3944</v>
      </c>
      <c r="R6792" s="267">
        <v>1330.46</v>
      </c>
      <c r="S6792" s="267">
        <v>20894.14</v>
      </c>
      <c r="T6792" s="267">
        <v>22224.6</v>
      </c>
      <c r="U6792" s="268" t="s">
        <v>3945</v>
      </c>
      <c r="V6792" s="267" t="s">
        <v>944</v>
      </c>
    </row>
    <row r="6793" spans="1:22" hidden="1" x14ac:dyDescent="0.25">
      <c r="A6793" s="269">
        <v>43777</v>
      </c>
      <c r="B6793" s="270">
        <v>2019</v>
      </c>
      <c r="C6793" s="270">
        <v>2020</v>
      </c>
      <c r="D6793" s="270">
        <v>1</v>
      </c>
      <c r="E6793" s="270">
        <v>1</v>
      </c>
      <c r="F6793" s="270" t="s">
        <v>944</v>
      </c>
      <c r="G6793" s="270" t="s">
        <v>3926</v>
      </c>
      <c r="H6793" s="270" t="s">
        <v>11567</v>
      </c>
      <c r="I6793" s="270" t="s">
        <v>3939</v>
      </c>
      <c r="J6793" s="270" t="s">
        <v>3928</v>
      </c>
      <c r="K6793" s="270">
        <v>6512</v>
      </c>
      <c r="L6793" s="270">
        <v>180400</v>
      </c>
      <c r="M6793" s="270" t="s">
        <v>3935</v>
      </c>
      <c r="N6793" s="270" t="s">
        <v>3944</v>
      </c>
      <c r="O6793" s="270">
        <v>3623.41</v>
      </c>
      <c r="P6793" s="270" t="s">
        <v>3944</v>
      </c>
      <c r="Q6793" s="270" t="s">
        <v>3944</v>
      </c>
      <c r="R6793" s="270">
        <v>3623.41</v>
      </c>
      <c r="S6793" s="270">
        <v>57805.35</v>
      </c>
      <c r="T6793" s="270">
        <v>61428.76</v>
      </c>
      <c r="U6793" s="271" t="s">
        <v>3945</v>
      </c>
      <c r="V6793" s="267" t="s">
        <v>944</v>
      </c>
    </row>
    <row r="6794" spans="1:22" hidden="1" x14ac:dyDescent="0.25">
      <c r="A6794" s="266">
        <v>43777</v>
      </c>
      <c r="B6794" s="267">
        <v>2019</v>
      </c>
      <c r="C6794" s="267">
        <v>2020</v>
      </c>
      <c r="D6794" s="267">
        <v>1</v>
      </c>
      <c r="E6794" s="267">
        <v>1</v>
      </c>
      <c r="F6794" s="267" t="s">
        <v>944</v>
      </c>
      <c r="G6794" s="267" t="s">
        <v>3926</v>
      </c>
      <c r="H6794" s="267" t="s">
        <v>11568</v>
      </c>
      <c r="I6794" s="267" t="s">
        <v>4008</v>
      </c>
      <c r="J6794" s="267" t="s">
        <v>3928</v>
      </c>
      <c r="K6794" s="267">
        <v>6320</v>
      </c>
      <c r="L6794" s="267">
        <v>690900</v>
      </c>
      <c r="M6794" s="267" t="s">
        <v>3935</v>
      </c>
      <c r="N6794" s="267" t="s">
        <v>3944</v>
      </c>
      <c r="O6794" s="267">
        <v>1121.4000000000001</v>
      </c>
      <c r="P6794" s="267" t="s">
        <v>3944</v>
      </c>
      <c r="Q6794" s="267" t="s">
        <v>3944</v>
      </c>
      <c r="R6794" s="267">
        <v>1121.4000000000001</v>
      </c>
      <c r="S6794" s="267">
        <v>17755.939999999999</v>
      </c>
      <c r="T6794" s="267">
        <v>18877.34</v>
      </c>
      <c r="U6794" s="268" t="s">
        <v>3945</v>
      </c>
      <c r="V6794" s="267" t="s">
        <v>944</v>
      </c>
    </row>
    <row r="6795" spans="1:22" hidden="1" x14ac:dyDescent="0.25">
      <c r="A6795" s="269">
        <v>43777</v>
      </c>
      <c r="B6795" s="270">
        <v>2019</v>
      </c>
      <c r="C6795" s="270">
        <v>2020</v>
      </c>
      <c r="D6795" s="270">
        <v>1</v>
      </c>
      <c r="E6795" s="270">
        <v>1</v>
      </c>
      <c r="F6795" s="270" t="s">
        <v>944</v>
      </c>
      <c r="G6795" s="270" t="s">
        <v>3926</v>
      </c>
      <c r="H6795" s="270" t="s">
        <v>11569</v>
      </c>
      <c r="I6795" s="270" t="s">
        <v>4040</v>
      </c>
      <c r="J6795" s="270" t="s">
        <v>3928</v>
      </c>
      <c r="K6795" s="270">
        <v>6339</v>
      </c>
      <c r="L6795" s="270">
        <v>701100</v>
      </c>
      <c r="M6795" s="270" t="s">
        <v>3960</v>
      </c>
      <c r="N6795" s="270" t="s">
        <v>3944</v>
      </c>
      <c r="O6795" s="270">
        <v>2695.32</v>
      </c>
      <c r="P6795" s="270" t="s">
        <v>3944</v>
      </c>
      <c r="Q6795" s="270" t="s">
        <v>3944</v>
      </c>
      <c r="R6795" s="270">
        <v>2695.32</v>
      </c>
      <c r="S6795" s="270">
        <v>39811.99</v>
      </c>
      <c r="T6795" s="270">
        <v>42507.31</v>
      </c>
      <c r="U6795" s="271" t="s">
        <v>3945</v>
      </c>
      <c r="V6795" s="267" t="s">
        <v>944</v>
      </c>
    </row>
    <row r="6796" spans="1:22" hidden="1" x14ac:dyDescent="0.25">
      <c r="A6796" s="266">
        <v>43777</v>
      </c>
      <c r="B6796" s="267">
        <v>2019</v>
      </c>
      <c r="C6796" s="267">
        <v>2020</v>
      </c>
      <c r="D6796" s="267">
        <v>1</v>
      </c>
      <c r="E6796" s="267">
        <v>1</v>
      </c>
      <c r="F6796" s="267" t="s">
        <v>944</v>
      </c>
      <c r="G6796" s="267" t="s">
        <v>3926</v>
      </c>
      <c r="H6796" s="267" t="s">
        <v>11570</v>
      </c>
      <c r="I6796" s="267" t="s">
        <v>4353</v>
      </c>
      <c r="J6796" s="267" t="s">
        <v>3928</v>
      </c>
      <c r="K6796" s="267">
        <v>6416</v>
      </c>
      <c r="L6796" s="267">
        <v>570100</v>
      </c>
      <c r="M6796" s="267" t="s">
        <v>3960</v>
      </c>
      <c r="N6796" s="267" t="s">
        <v>3944</v>
      </c>
      <c r="O6796" s="267">
        <v>2606.35</v>
      </c>
      <c r="P6796" s="267" t="s">
        <v>3944</v>
      </c>
      <c r="Q6796" s="267" t="s">
        <v>3944</v>
      </c>
      <c r="R6796" s="267">
        <v>2606.35</v>
      </c>
      <c r="S6796" s="267">
        <v>37475.24</v>
      </c>
      <c r="T6796" s="267">
        <v>40081.589999999997</v>
      </c>
      <c r="U6796" s="268" t="s">
        <v>3945</v>
      </c>
      <c r="V6796" s="267" t="s">
        <v>944</v>
      </c>
    </row>
    <row r="6797" spans="1:22" hidden="1" x14ac:dyDescent="0.25">
      <c r="A6797" s="269">
        <v>43778</v>
      </c>
      <c r="B6797" s="270">
        <v>2019</v>
      </c>
      <c r="C6797" s="270">
        <v>2020</v>
      </c>
      <c r="D6797" s="270">
        <v>1</v>
      </c>
      <c r="E6797" s="270">
        <v>1</v>
      </c>
      <c r="F6797" s="270" t="s">
        <v>944</v>
      </c>
      <c r="G6797" s="270" t="s">
        <v>3926</v>
      </c>
      <c r="H6797" s="270" t="s">
        <v>11571</v>
      </c>
      <c r="I6797" s="270" t="s">
        <v>934</v>
      </c>
      <c r="J6797" s="270" t="s">
        <v>3928</v>
      </c>
      <c r="K6797" s="270">
        <v>6606</v>
      </c>
      <c r="L6797" s="270">
        <v>72600</v>
      </c>
      <c r="M6797" s="270" t="s">
        <v>3940</v>
      </c>
      <c r="N6797" s="270" t="s">
        <v>3929</v>
      </c>
      <c r="O6797" s="270">
        <v>5035.2299999999996</v>
      </c>
      <c r="P6797" s="270" t="s">
        <v>3930</v>
      </c>
      <c r="Q6797" s="270" t="s">
        <v>3931</v>
      </c>
      <c r="R6797" s="270">
        <v>10035.23</v>
      </c>
      <c r="S6797" s="270">
        <v>34744</v>
      </c>
      <c r="T6797" s="270">
        <v>44779.23</v>
      </c>
      <c r="U6797" s="271" t="s">
        <v>3932</v>
      </c>
      <c r="V6797" s="267" t="s">
        <v>944</v>
      </c>
    </row>
    <row r="6798" spans="1:22" hidden="1" x14ac:dyDescent="0.25">
      <c r="A6798" s="266">
        <v>43778</v>
      </c>
      <c r="B6798" s="267">
        <v>2019</v>
      </c>
      <c r="C6798" s="267">
        <v>2020</v>
      </c>
      <c r="D6798" s="267">
        <v>1</v>
      </c>
      <c r="E6798" s="267">
        <v>1</v>
      </c>
      <c r="F6798" s="267" t="s">
        <v>944</v>
      </c>
      <c r="G6798" s="267" t="s">
        <v>3926</v>
      </c>
      <c r="H6798" s="267" t="s">
        <v>11572</v>
      </c>
      <c r="I6798" s="267" t="s">
        <v>3956</v>
      </c>
      <c r="J6798" s="267" t="s">
        <v>3928</v>
      </c>
      <c r="K6798" s="267">
        <v>6120</v>
      </c>
      <c r="L6798" s="267">
        <v>501200</v>
      </c>
      <c r="M6798" s="267">
        <v>-60</v>
      </c>
      <c r="N6798" s="267" t="s">
        <v>4053</v>
      </c>
      <c r="O6798" s="267">
        <v>3012.12</v>
      </c>
      <c r="P6798" s="267" t="s">
        <v>3930</v>
      </c>
      <c r="Q6798" s="267" t="s">
        <v>3931</v>
      </c>
      <c r="R6798" s="267">
        <v>8012.12</v>
      </c>
      <c r="S6798" s="267">
        <v>18603.2</v>
      </c>
      <c r="T6798" s="267">
        <v>26615.32</v>
      </c>
      <c r="U6798" s="268" t="s">
        <v>3932</v>
      </c>
      <c r="V6798" s="267" t="s">
        <v>944</v>
      </c>
    </row>
    <row r="6799" spans="1:22" hidden="1" x14ac:dyDescent="0.25">
      <c r="A6799" s="269">
        <v>43779</v>
      </c>
      <c r="B6799" s="270">
        <v>2019</v>
      </c>
      <c r="C6799" s="270">
        <v>2020</v>
      </c>
      <c r="D6799" s="270">
        <v>1</v>
      </c>
      <c r="E6799" s="270">
        <v>1</v>
      </c>
      <c r="F6799" s="270" t="s">
        <v>944</v>
      </c>
      <c r="G6799" s="270" t="s">
        <v>3926</v>
      </c>
      <c r="H6799" s="270" t="s">
        <v>11573</v>
      </c>
      <c r="I6799" s="270" t="s">
        <v>4019</v>
      </c>
      <c r="J6799" s="270" t="s">
        <v>3928</v>
      </c>
      <c r="K6799" s="270">
        <v>6704</v>
      </c>
      <c r="L6799" s="270">
        <v>351100</v>
      </c>
      <c r="M6799" s="270">
        <v>-60</v>
      </c>
      <c r="N6799" s="270" t="s">
        <v>7680</v>
      </c>
      <c r="O6799" s="270">
        <v>964.39</v>
      </c>
      <c r="P6799" s="270" t="s">
        <v>3930</v>
      </c>
      <c r="Q6799" s="270" t="s">
        <v>3931</v>
      </c>
      <c r="R6799" s="270">
        <v>5964.39</v>
      </c>
      <c r="S6799" s="270">
        <v>11128</v>
      </c>
      <c r="T6799" s="270">
        <v>17092.39</v>
      </c>
      <c r="U6799" s="271" t="s">
        <v>3932</v>
      </c>
      <c r="V6799" s="267" t="s">
        <v>944</v>
      </c>
    </row>
    <row r="6800" spans="1:22" hidden="1" x14ac:dyDescent="0.25">
      <c r="A6800" s="266">
        <v>43780</v>
      </c>
      <c r="B6800" s="267">
        <v>2019</v>
      </c>
      <c r="C6800" s="267">
        <v>2020</v>
      </c>
      <c r="D6800" s="267">
        <v>1</v>
      </c>
      <c r="E6800" s="267">
        <v>1</v>
      </c>
      <c r="F6800" s="267" t="s">
        <v>944</v>
      </c>
      <c r="G6800" s="267" t="s">
        <v>3926</v>
      </c>
      <c r="H6800" s="267" t="s">
        <v>11574</v>
      </c>
      <c r="I6800" s="267" t="s">
        <v>3985</v>
      </c>
      <c r="J6800" s="267" t="s">
        <v>3928</v>
      </c>
      <c r="K6800" s="267">
        <v>6226</v>
      </c>
      <c r="L6800" s="267">
        <v>800700</v>
      </c>
      <c r="M6800" s="267">
        <v>-60</v>
      </c>
      <c r="N6800" s="267" t="s">
        <v>9336</v>
      </c>
      <c r="O6800" s="267">
        <v>0</v>
      </c>
      <c r="P6800" s="267" t="s">
        <v>3930</v>
      </c>
      <c r="Q6800" s="267" t="s">
        <v>3930</v>
      </c>
      <c r="R6800" s="267">
        <v>0</v>
      </c>
      <c r="S6800" s="267">
        <v>21140</v>
      </c>
      <c r="T6800" s="267">
        <v>21140</v>
      </c>
      <c r="U6800" s="268" t="s">
        <v>3937</v>
      </c>
      <c r="V6800" s="267" t="s">
        <v>944</v>
      </c>
    </row>
    <row r="6801" spans="1:22" hidden="1" x14ac:dyDescent="0.25">
      <c r="A6801" s="269">
        <v>43780</v>
      </c>
      <c r="B6801" s="270">
        <v>2019</v>
      </c>
      <c r="C6801" s="270">
        <v>2020</v>
      </c>
      <c r="D6801" s="270">
        <v>1</v>
      </c>
      <c r="E6801" s="270">
        <v>1</v>
      </c>
      <c r="F6801" s="270" t="s">
        <v>944</v>
      </c>
      <c r="G6801" s="270" t="s">
        <v>3926</v>
      </c>
      <c r="H6801" s="270" t="s">
        <v>11575</v>
      </c>
      <c r="I6801" s="270" t="s">
        <v>3009</v>
      </c>
      <c r="J6801" s="270" t="s">
        <v>3928</v>
      </c>
      <c r="K6801" s="270">
        <v>6484</v>
      </c>
      <c r="L6801" s="270">
        <v>110302</v>
      </c>
      <c r="M6801" s="270" t="s">
        <v>3943</v>
      </c>
      <c r="N6801" s="270" t="s">
        <v>11576</v>
      </c>
      <c r="O6801" s="270">
        <v>0</v>
      </c>
      <c r="P6801" s="270" t="s">
        <v>3930</v>
      </c>
      <c r="Q6801" s="270" t="s">
        <v>3930</v>
      </c>
      <c r="R6801" s="270">
        <v>0</v>
      </c>
      <c r="S6801" s="270">
        <v>6900</v>
      </c>
      <c r="T6801" s="270">
        <v>6900</v>
      </c>
      <c r="U6801" s="271" t="s">
        <v>3937</v>
      </c>
      <c r="V6801" s="267" t="s">
        <v>944</v>
      </c>
    </row>
    <row r="6802" spans="1:22" hidden="1" x14ac:dyDescent="0.25">
      <c r="A6802" s="266">
        <v>43780</v>
      </c>
      <c r="B6802" s="267">
        <v>2019</v>
      </c>
      <c r="C6802" s="267">
        <v>2020</v>
      </c>
      <c r="D6802" s="267">
        <v>1</v>
      </c>
      <c r="E6802" s="267">
        <v>1</v>
      </c>
      <c r="F6802" s="267" t="s">
        <v>944</v>
      </c>
      <c r="G6802" s="267" t="s">
        <v>3926</v>
      </c>
      <c r="H6802" s="267" t="s">
        <v>11577</v>
      </c>
      <c r="I6802" s="267" t="s">
        <v>4108</v>
      </c>
      <c r="J6802" s="267" t="s">
        <v>3928</v>
      </c>
      <c r="K6802" s="267">
        <v>6082</v>
      </c>
      <c r="L6802" s="267">
        <v>481000</v>
      </c>
      <c r="M6802" s="267" t="s">
        <v>3943</v>
      </c>
      <c r="N6802" s="267" t="s">
        <v>11578</v>
      </c>
      <c r="O6802" s="267">
        <v>0</v>
      </c>
      <c r="P6802" s="267" t="s">
        <v>3930</v>
      </c>
      <c r="Q6802" s="267" t="s">
        <v>3930</v>
      </c>
      <c r="R6802" s="267">
        <v>0</v>
      </c>
      <c r="S6802" s="267">
        <v>10623</v>
      </c>
      <c r="T6802" s="267">
        <v>10623</v>
      </c>
      <c r="U6802" s="268" t="s">
        <v>3937</v>
      </c>
      <c r="V6802" s="267" t="s">
        <v>944</v>
      </c>
    </row>
    <row r="6803" spans="1:22" hidden="1" x14ac:dyDescent="0.25">
      <c r="A6803" s="269">
        <v>43780</v>
      </c>
      <c r="B6803" s="270">
        <v>2019</v>
      </c>
      <c r="C6803" s="270">
        <v>2020</v>
      </c>
      <c r="D6803" s="270">
        <v>1</v>
      </c>
      <c r="E6803" s="270">
        <v>1</v>
      </c>
      <c r="F6803" s="270" t="s">
        <v>944</v>
      </c>
      <c r="G6803" s="270" t="s">
        <v>3926</v>
      </c>
      <c r="H6803" s="270" t="s">
        <v>11579</v>
      </c>
      <c r="I6803" s="270" t="s">
        <v>4005</v>
      </c>
      <c r="J6803" s="270" t="s">
        <v>3928</v>
      </c>
      <c r="K6803" s="270">
        <v>6118</v>
      </c>
      <c r="L6803" s="270">
        <v>510700</v>
      </c>
      <c r="M6803" s="270" t="s">
        <v>3940</v>
      </c>
      <c r="N6803" s="270" t="s">
        <v>3983</v>
      </c>
      <c r="O6803" s="270">
        <v>3174.75</v>
      </c>
      <c r="P6803" s="270" t="s">
        <v>3930</v>
      </c>
      <c r="Q6803" s="270" t="s">
        <v>3931</v>
      </c>
      <c r="R6803" s="270">
        <v>8174.75</v>
      </c>
      <c r="S6803" s="270">
        <v>16504</v>
      </c>
      <c r="T6803" s="270">
        <v>24678.75</v>
      </c>
      <c r="U6803" s="271" t="s">
        <v>3932</v>
      </c>
      <c r="V6803" s="267" t="s">
        <v>944</v>
      </c>
    </row>
    <row r="6804" spans="1:22" hidden="1" x14ac:dyDescent="0.25">
      <c r="A6804" s="266">
        <v>43780</v>
      </c>
      <c r="B6804" s="267">
        <v>2019</v>
      </c>
      <c r="C6804" s="267">
        <v>2020</v>
      </c>
      <c r="D6804" s="267">
        <v>1</v>
      </c>
      <c r="E6804" s="267">
        <v>1</v>
      </c>
      <c r="F6804" s="267" t="s">
        <v>944</v>
      </c>
      <c r="G6804" s="267" t="s">
        <v>3926</v>
      </c>
      <c r="H6804" s="267" t="s">
        <v>11580</v>
      </c>
      <c r="I6804" s="267" t="s">
        <v>3985</v>
      </c>
      <c r="J6804" s="267" t="s">
        <v>3928</v>
      </c>
      <c r="K6804" s="267">
        <v>6226</v>
      </c>
      <c r="L6804" s="267">
        <v>800700</v>
      </c>
      <c r="M6804" s="267">
        <v>-60</v>
      </c>
      <c r="N6804" s="267" t="s">
        <v>3983</v>
      </c>
      <c r="O6804" s="267">
        <v>2177.54</v>
      </c>
      <c r="P6804" s="267" t="s">
        <v>3930</v>
      </c>
      <c r="Q6804" s="267" t="s">
        <v>3931</v>
      </c>
      <c r="R6804" s="267">
        <v>7177.54</v>
      </c>
      <c r="S6804" s="267">
        <v>16504</v>
      </c>
      <c r="T6804" s="267">
        <v>23681.54</v>
      </c>
      <c r="U6804" s="268" t="s">
        <v>3932</v>
      </c>
      <c r="V6804" s="267" t="s">
        <v>944</v>
      </c>
    </row>
    <row r="6805" spans="1:22" hidden="1" x14ac:dyDescent="0.25">
      <c r="A6805" s="269">
        <v>43780</v>
      </c>
      <c r="B6805" s="270">
        <v>2019</v>
      </c>
      <c r="C6805" s="270">
        <v>2020</v>
      </c>
      <c r="D6805" s="270">
        <v>1</v>
      </c>
      <c r="E6805" s="270">
        <v>1</v>
      </c>
      <c r="F6805" s="270" t="s">
        <v>944</v>
      </c>
      <c r="G6805" s="270" t="s">
        <v>3926</v>
      </c>
      <c r="H6805" s="270" t="s">
        <v>11581</v>
      </c>
      <c r="I6805" s="270" t="s">
        <v>4114</v>
      </c>
      <c r="J6805" s="270" t="s">
        <v>3928</v>
      </c>
      <c r="K6805" s="270">
        <v>6410</v>
      </c>
      <c r="L6805" s="270">
        <v>343300</v>
      </c>
      <c r="M6805" s="270" t="s">
        <v>3943</v>
      </c>
      <c r="N6805" s="270" t="s">
        <v>4701</v>
      </c>
      <c r="O6805" s="270">
        <v>6105.79</v>
      </c>
      <c r="P6805" s="270" t="s">
        <v>3930</v>
      </c>
      <c r="Q6805" s="270" t="s">
        <v>3931</v>
      </c>
      <c r="R6805" s="270">
        <v>11105.79</v>
      </c>
      <c r="S6805" s="270">
        <v>34648</v>
      </c>
      <c r="T6805" s="270">
        <v>45753.79</v>
      </c>
      <c r="U6805" s="271" t="s">
        <v>3932</v>
      </c>
      <c r="V6805" s="267" t="s">
        <v>944</v>
      </c>
    </row>
    <row r="6806" spans="1:22" hidden="1" x14ac:dyDescent="0.25">
      <c r="A6806" s="266">
        <v>43780</v>
      </c>
      <c r="B6806" s="267">
        <v>2019</v>
      </c>
      <c r="C6806" s="267">
        <v>2020</v>
      </c>
      <c r="D6806" s="267">
        <v>1</v>
      </c>
      <c r="E6806" s="267">
        <v>1</v>
      </c>
      <c r="F6806" s="267" t="s">
        <v>944</v>
      </c>
      <c r="G6806" s="267" t="s">
        <v>3926</v>
      </c>
      <c r="H6806" s="267" t="s">
        <v>11582</v>
      </c>
      <c r="I6806" s="267" t="s">
        <v>4213</v>
      </c>
      <c r="J6806" s="267" t="s">
        <v>3928</v>
      </c>
      <c r="K6806" s="267">
        <v>6051</v>
      </c>
      <c r="L6806" s="267">
        <v>416100</v>
      </c>
      <c r="M6806" s="267">
        <v>-60</v>
      </c>
      <c r="N6806" s="267" t="s">
        <v>3983</v>
      </c>
      <c r="O6806" s="267">
        <v>1349.53</v>
      </c>
      <c r="P6806" s="267" t="s">
        <v>3930</v>
      </c>
      <c r="Q6806" s="267" t="s">
        <v>3931</v>
      </c>
      <c r="R6806" s="267">
        <v>6349.53</v>
      </c>
      <c r="S6806" s="267">
        <v>16504</v>
      </c>
      <c r="T6806" s="267">
        <v>22853.53</v>
      </c>
      <c r="U6806" s="268" t="s">
        <v>3932</v>
      </c>
      <c r="V6806" s="267" t="s">
        <v>944</v>
      </c>
    </row>
    <row r="6807" spans="1:22" hidden="1" x14ac:dyDescent="0.25">
      <c r="A6807" s="269">
        <v>43780</v>
      </c>
      <c r="B6807" s="270">
        <v>2019</v>
      </c>
      <c r="C6807" s="270">
        <v>2020</v>
      </c>
      <c r="D6807" s="270">
        <v>1</v>
      </c>
      <c r="E6807" s="270">
        <v>1</v>
      </c>
      <c r="F6807" s="270" t="s">
        <v>944</v>
      </c>
      <c r="G6807" s="270" t="s">
        <v>3926</v>
      </c>
      <c r="H6807" s="270" t="s">
        <v>11583</v>
      </c>
      <c r="I6807" s="270" t="s">
        <v>2985</v>
      </c>
      <c r="J6807" s="270" t="s">
        <v>3928</v>
      </c>
      <c r="K6807" s="270">
        <v>6825</v>
      </c>
      <c r="L6807" s="270">
        <v>60200</v>
      </c>
      <c r="M6807" s="270" t="s">
        <v>3943</v>
      </c>
      <c r="N6807" s="270" t="s">
        <v>4732</v>
      </c>
      <c r="O6807" s="270">
        <v>0</v>
      </c>
      <c r="P6807" s="270" t="s">
        <v>3930</v>
      </c>
      <c r="Q6807" s="270" t="s">
        <v>3930</v>
      </c>
      <c r="R6807" s="270">
        <v>0</v>
      </c>
      <c r="S6807" s="270">
        <v>9600</v>
      </c>
      <c r="T6807" s="270">
        <v>9600</v>
      </c>
      <c r="U6807" s="271" t="s">
        <v>3937</v>
      </c>
      <c r="V6807" s="267" t="s">
        <v>944</v>
      </c>
    </row>
    <row r="6808" spans="1:22" hidden="1" x14ac:dyDescent="0.25">
      <c r="A6808" s="266">
        <v>43780</v>
      </c>
      <c r="B6808" s="267">
        <v>2019</v>
      </c>
      <c r="C6808" s="267">
        <v>2020</v>
      </c>
      <c r="D6808" s="267">
        <v>1</v>
      </c>
      <c r="E6808" s="267">
        <v>1</v>
      </c>
      <c r="F6808" s="267" t="s">
        <v>944</v>
      </c>
      <c r="G6808" s="267" t="s">
        <v>3926</v>
      </c>
      <c r="H6808" s="267" t="s">
        <v>11584</v>
      </c>
      <c r="I6808" s="267" t="s">
        <v>3025</v>
      </c>
      <c r="J6808" s="267" t="s">
        <v>3928</v>
      </c>
      <c r="K6808" s="267">
        <v>6473</v>
      </c>
      <c r="L6808" s="267">
        <v>167300</v>
      </c>
      <c r="M6808" s="267" t="s">
        <v>3943</v>
      </c>
      <c r="N6808" s="267" t="s">
        <v>3944</v>
      </c>
      <c r="O6808" s="267">
        <v>3584</v>
      </c>
      <c r="P6808" s="267" t="s">
        <v>3944</v>
      </c>
      <c r="Q6808" s="267" t="s">
        <v>3944</v>
      </c>
      <c r="R6808" s="267">
        <v>3584</v>
      </c>
      <c r="S6808" s="267">
        <v>25948</v>
      </c>
      <c r="T6808" s="267">
        <v>29532</v>
      </c>
      <c r="U6808" s="268" t="s">
        <v>3945</v>
      </c>
      <c r="V6808" s="267" t="s">
        <v>944</v>
      </c>
    </row>
    <row r="6809" spans="1:22" hidden="1" x14ac:dyDescent="0.25">
      <c r="A6809" s="269">
        <v>43780</v>
      </c>
      <c r="B6809" s="270">
        <v>2019</v>
      </c>
      <c r="C6809" s="270">
        <v>2020</v>
      </c>
      <c r="D6809" s="270">
        <v>1</v>
      </c>
      <c r="E6809" s="270">
        <v>1</v>
      </c>
      <c r="F6809" s="270" t="s">
        <v>944</v>
      </c>
      <c r="G6809" s="270" t="s">
        <v>3997</v>
      </c>
      <c r="H6809" s="270" t="s">
        <v>11585</v>
      </c>
      <c r="I6809" s="270" t="s">
        <v>4731</v>
      </c>
      <c r="J6809" s="270" t="s">
        <v>3928</v>
      </c>
      <c r="K6809" s="270">
        <v>6478</v>
      </c>
      <c r="L6809" s="270">
        <v>346102</v>
      </c>
      <c r="M6809" s="270" t="s">
        <v>3943</v>
      </c>
      <c r="N6809" s="270" t="s">
        <v>3944</v>
      </c>
      <c r="O6809" s="270">
        <v>1933.16</v>
      </c>
      <c r="P6809" s="270" t="s">
        <v>3944</v>
      </c>
      <c r="Q6809" s="270" t="s">
        <v>3944</v>
      </c>
      <c r="R6809" s="270">
        <v>1933.16</v>
      </c>
      <c r="S6809" s="270">
        <v>29814.04</v>
      </c>
      <c r="T6809" s="270">
        <v>31747.200000000001</v>
      </c>
      <c r="U6809" s="271" t="s">
        <v>3945</v>
      </c>
      <c r="V6809" s="267" t="s">
        <v>944</v>
      </c>
    </row>
    <row r="6810" spans="1:22" hidden="1" x14ac:dyDescent="0.25">
      <c r="A6810" s="266">
        <v>43780</v>
      </c>
      <c r="B6810" s="267">
        <v>2019</v>
      </c>
      <c r="C6810" s="267">
        <v>2020</v>
      </c>
      <c r="D6810" s="267">
        <v>1</v>
      </c>
      <c r="E6810" s="267">
        <v>1</v>
      </c>
      <c r="F6810" s="267" t="s">
        <v>944</v>
      </c>
      <c r="G6810" s="267" t="s">
        <v>3926</v>
      </c>
      <c r="H6810" s="267" t="s">
        <v>11586</v>
      </c>
      <c r="I6810" s="267" t="s">
        <v>3008</v>
      </c>
      <c r="J6810" s="267" t="s">
        <v>3928</v>
      </c>
      <c r="K6810" s="267">
        <v>6461</v>
      </c>
      <c r="L6810" s="267">
        <v>150800</v>
      </c>
      <c r="M6810" s="267" t="s">
        <v>3960</v>
      </c>
      <c r="N6810" s="267" t="s">
        <v>3944</v>
      </c>
      <c r="O6810" s="267">
        <v>2186.8000000000002</v>
      </c>
      <c r="P6810" s="267" t="s">
        <v>3944</v>
      </c>
      <c r="Q6810" s="267" t="s">
        <v>3944</v>
      </c>
      <c r="R6810" s="267">
        <v>2186.8000000000002</v>
      </c>
      <c r="S6810" s="267">
        <v>31676.880000000001</v>
      </c>
      <c r="T6810" s="267">
        <v>33863.68</v>
      </c>
      <c r="U6810" s="268" t="s">
        <v>3945</v>
      </c>
      <c r="V6810" s="267" t="s">
        <v>944</v>
      </c>
    </row>
    <row r="6811" spans="1:22" hidden="1" x14ac:dyDescent="0.25">
      <c r="A6811" s="269">
        <v>43780</v>
      </c>
      <c r="B6811" s="270">
        <v>2019</v>
      </c>
      <c r="C6811" s="270">
        <v>2020</v>
      </c>
      <c r="D6811" s="270">
        <v>1</v>
      </c>
      <c r="E6811" s="270">
        <v>1</v>
      </c>
      <c r="F6811" s="270" t="s">
        <v>944</v>
      </c>
      <c r="G6811" s="270" t="s">
        <v>3926</v>
      </c>
      <c r="H6811" s="270" t="s">
        <v>11587</v>
      </c>
      <c r="I6811" s="270" t="s">
        <v>950</v>
      </c>
      <c r="J6811" s="270" t="s">
        <v>3928</v>
      </c>
      <c r="K6811" s="270">
        <v>6516</v>
      </c>
      <c r="L6811" s="270">
        <v>154600</v>
      </c>
      <c r="M6811" s="270">
        <v>-60</v>
      </c>
      <c r="N6811" s="270" t="s">
        <v>3944</v>
      </c>
      <c r="O6811" s="270">
        <v>871.89</v>
      </c>
      <c r="P6811" s="270" t="s">
        <v>3944</v>
      </c>
      <c r="Q6811" s="270" t="s">
        <v>3944</v>
      </c>
      <c r="R6811" s="270">
        <v>871.89</v>
      </c>
      <c r="S6811" s="270">
        <v>13943.47</v>
      </c>
      <c r="T6811" s="270">
        <v>14815.36</v>
      </c>
      <c r="U6811" s="271" t="s">
        <v>3945</v>
      </c>
      <c r="V6811" s="267" t="s">
        <v>944</v>
      </c>
    </row>
    <row r="6812" spans="1:22" hidden="1" x14ac:dyDescent="0.25">
      <c r="A6812" s="266">
        <v>43780</v>
      </c>
      <c r="B6812" s="267">
        <v>2019</v>
      </c>
      <c r="C6812" s="267">
        <v>2020</v>
      </c>
      <c r="D6812" s="267">
        <v>1</v>
      </c>
      <c r="E6812" s="267">
        <v>1</v>
      </c>
      <c r="F6812" s="267" t="s">
        <v>944</v>
      </c>
      <c r="G6812" s="267" t="s">
        <v>3926</v>
      </c>
      <c r="H6812" s="267" t="s">
        <v>11588</v>
      </c>
      <c r="I6812" s="267" t="s">
        <v>4005</v>
      </c>
      <c r="J6812" s="267" t="s">
        <v>3928</v>
      </c>
      <c r="K6812" s="267">
        <v>6118</v>
      </c>
      <c r="L6812" s="267">
        <v>511100</v>
      </c>
      <c r="M6812" s="267" t="s">
        <v>3960</v>
      </c>
      <c r="N6812" s="267" t="s">
        <v>3944</v>
      </c>
      <c r="O6812" s="267">
        <v>942.2</v>
      </c>
      <c r="P6812" s="267" t="s">
        <v>3944</v>
      </c>
      <c r="Q6812" s="267" t="s">
        <v>3944</v>
      </c>
      <c r="R6812" s="267">
        <v>942.2</v>
      </c>
      <c r="S6812" s="267">
        <v>11756.68</v>
      </c>
      <c r="T6812" s="267">
        <v>12698.88</v>
      </c>
      <c r="U6812" s="268" t="s">
        <v>3945</v>
      </c>
      <c r="V6812" s="267" t="s">
        <v>944</v>
      </c>
    </row>
    <row r="6813" spans="1:22" hidden="1" x14ac:dyDescent="0.25">
      <c r="A6813" s="269">
        <v>43780</v>
      </c>
      <c r="B6813" s="270">
        <v>2019</v>
      </c>
      <c r="C6813" s="270">
        <v>2020</v>
      </c>
      <c r="D6813" s="270">
        <v>1</v>
      </c>
      <c r="E6813" s="270">
        <v>1</v>
      </c>
      <c r="F6813" s="270" t="s">
        <v>944</v>
      </c>
      <c r="G6813" s="270" t="s">
        <v>3926</v>
      </c>
      <c r="H6813" s="270" t="s">
        <v>11589</v>
      </c>
      <c r="I6813" s="270" t="s">
        <v>953</v>
      </c>
      <c r="J6813" s="270" t="s">
        <v>3928</v>
      </c>
      <c r="K6813" s="270">
        <v>6518</v>
      </c>
      <c r="L6813" s="270">
        <v>165900</v>
      </c>
      <c r="M6813" s="270" t="s">
        <v>3943</v>
      </c>
      <c r="N6813" s="270" t="s">
        <v>3944</v>
      </c>
      <c r="O6813" s="270">
        <v>1576.4</v>
      </c>
      <c r="P6813" s="270" t="s">
        <v>3944</v>
      </c>
      <c r="Q6813" s="270" t="s">
        <v>3944</v>
      </c>
      <c r="R6813" s="270">
        <v>1576.4</v>
      </c>
      <c r="S6813" s="270">
        <v>23821.360000000001</v>
      </c>
      <c r="T6813" s="270">
        <v>25397.759999999998</v>
      </c>
      <c r="U6813" s="271" t="s">
        <v>3945</v>
      </c>
      <c r="V6813" s="267" t="s">
        <v>944</v>
      </c>
    </row>
    <row r="6814" spans="1:22" hidden="1" x14ac:dyDescent="0.25">
      <c r="A6814" s="266">
        <v>43780</v>
      </c>
      <c r="B6814" s="267">
        <v>2019</v>
      </c>
      <c r="C6814" s="267">
        <v>2020</v>
      </c>
      <c r="D6814" s="267">
        <v>1</v>
      </c>
      <c r="E6814" s="267">
        <v>1</v>
      </c>
      <c r="F6814" s="267" t="s">
        <v>944</v>
      </c>
      <c r="G6814" s="267" t="s">
        <v>3926</v>
      </c>
      <c r="H6814" s="267" t="s">
        <v>11590</v>
      </c>
      <c r="I6814" s="267" t="s">
        <v>4019</v>
      </c>
      <c r="J6814" s="267" t="s">
        <v>3928</v>
      </c>
      <c r="K6814" s="267">
        <v>6706</v>
      </c>
      <c r="L6814" s="267">
        <v>351400</v>
      </c>
      <c r="M6814" s="267">
        <v>-60</v>
      </c>
      <c r="N6814" s="267" t="s">
        <v>3944</v>
      </c>
      <c r="O6814" s="267">
        <v>1641.96</v>
      </c>
      <c r="P6814" s="267" t="s">
        <v>3944</v>
      </c>
      <c r="Q6814" s="267" t="s">
        <v>3944</v>
      </c>
      <c r="R6814" s="267">
        <v>1641.96</v>
      </c>
      <c r="S6814" s="267">
        <v>25242.080000000002</v>
      </c>
      <c r="T6814" s="267">
        <v>26884.04</v>
      </c>
      <c r="U6814" s="268" t="s">
        <v>3945</v>
      </c>
      <c r="V6814" s="267" t="s">
        <v>944</v>
      </c>
    </row>
    <row r="6815" spans="1:22" hidden="1" x14ac:dyDescent="0.25">
      <c r="A6815" s="269">
        <v>43780</v>
      </c>
      <c r="B6815" s="270">
        <v>2019</v>
      </c>
      <c r="C6815" s="270">
        <v>2020</v>
      </c>
      <c r="D6815" s="270">
        <v>1</v>
      </c>
      <c r="E6815" s="270">
        <v>1</v>
      </c>
      <c r="F6815" s="270" t="s">
        <v>944</v>
      </c>
      <c r="G6815" s="270" t="s">
        <v>3926</v>
      </c>
      <c r="H6815" s="270" t="s">
        <v>11591</v>
      </c>
      <c r="I6815" s="270" t="s">
        <v>953</v>
      </c>
      <c r="J6815" s="270" t="s">
        <v>3928</v>
      </c>
      <c r="K6815" s="270">
        <v>6514</v>
      </c>
      <c r="L6815" s="270">
        <v>165700</v>
      </c>
      <c r="M6815" s="270" t="s">
        <v>3935</v>
      </c>
      <c r="N6815" s="270" t="s">
        <v>3944</v>
      </c>
      <c r="O6815" s="270">
        <v>923.13</v>
      </c>
      <c r="P6815" s="270" t="s">
        <v>3944</v>
      </c>
      <c r="Q6815" s="270" t="s">
        <v>3944</v>
      </c>
      <c r="R6815" s="270">
        <v>923.13</v>
      </c>
      <c r="S6815" s="270">
        <v>15016.85</v>
      </c>
      <c r="T6815" s="270">
        <v>15939.98</v>
      </c>
      <c r="U6815" s="271" t="s">
        <v>3945</v>
      </c>
      <c r="V6815" s="267" t="s">
        <v>944</v>
      </c>
    </row>
    <row r="6816" spans="1:22" hidden="1" x14ac:dyDescent="0.25">
      <c r="A6816" s="266">
        <v>43780</v>
      </c>
      <c r="B6816" s="267">
        <v>2019</v>
      </c>
      <c r="C6816" s="267">
        <v>2020</v>
      </c>
      <c r="D6816" s="267">
        <v>1</v>
      </c>
      <c r="E6816" s="267">
        <v>1</v>
      </c>
      <c r="F6816" s="267" t="s">
        <v>944</v>
      </c>
      <c r="G6816" s="267" t="s">
        <v>3926</v>
      </c>
      <c r="H6816" s="267" t="s">
        <v>11592</v>
      </c>
      <c r="I6816" s="267" t="s">
        <v>6209</v>
      </c>
      <c r="J6816" s="267" t="s">
        <v>3928</v>
      </c>
      <c r="K6816" s="267">
        <v>6403</v>
      </c>
      <c r="L6816" s="267">
        <v>341100</v>
      </c>
      <c r="M6816" s="267" t="s">
        <v>3935</v>
      </c>
      <c r="N6816" s="267" t="s">
        <v>3944</v>
      </c>
      <c r="O6816" s="267">
        <v>2289.67</v>
      </c>
      <c r="P6816" s="267" t="s">
        <v>3944</v>
      </c>
      <c r="Q6816" s="267" t="s">
        <v>3944</v>
      </c>
      <c r="R6816" s="267">
        <v>2289.67</v>
      </c>
      <c r="S6816" s="267">
        <v>30386.81</v>
      </c>
      <c r="T6816" s="267">
        <v>32676.48</v>
      </c>
      <c r="U6816" s="268" t="s">
        <v>3945</v>
      </c>
      <c r="V6816" s="267" t="s">
        <v>944</v>
      </c>
    </row>
    <row r="6817" spans="1:22" hidden="1" x14ac:dyDescent="0.25">
      <c r="A6817" s="269">
        <v>43780</v>
      </c>
      <c r="B6817" s="270">
        <v>2019</v>
      </c>
      <c r="C6817" s="270">
        <v>2020</v>
      </c>
      <c r="D6817" s="270">
        <v>1</v>
      </c>
      <c r="E6817" s="270">
        <v>1</v>
      </c>
      <c r="F6817" s="270" t="s">
        <v>944</v>
      </c>
      <c r="G6817" s="270" t="s">
        <v>3926</v>
      </c>
      <c r="H6817" s="270" t="s">
        <v>11593</v>
      </c>
      <c r="I6817" s="270" t="s">
        <v>7536</v>
      </c>
      <c r="J6817" s="270" t="s">
        <v>3928</v>
      </c>
      <c r="K6817" s="270">
        <v>6330</v>
      </c>
      <c r="L6817" s="270">
        <v>711100</v>
      </c>
      <c r="M6817" s="270" t="s">
        <v>3940</v>
      </c>
      <c r="N6817" s="270" t="s">
        <v>3944</v>
      </c>
      <c r="O6817" s="270">
        <v>2265.59</v>
      </c>
      <c r="P6817" s="270" t="s">
        <v>3944</v>
      </c>
      <c r="Q6817" s="270" t="s">
        <v>3944</v>
      </c>
      <c r="R6817" s="270">
        <v>2265.59</v>
      </c>
      <c r="S6817" s="270">
        <v>31922.78</v>
      </c>
      <c r="T6817" s="270">
        <v>34188.370000000003</v>
      </c>
      <c r="U6817" s="271" t="s">
        <v>3945</v>
      </c>
      <c r="V6817" s="267" t="s">
        <v>944</v>
      </c>
    </row>
    <row r="6818" spans="1:22" hidden="1" x14ac:dyDescent="0.25">
      <c r="A6818" s="266">
        <v>43780</v>
      </c>
      <c r="B6818" s="267">
        <v>2019</v>
      </c>
      <c r="C6818" s="267">
        <v>2020</v>
      </c>
      <c r="D6818" s="267">
        <v>1</v>
      </c>
      <c r="E6818" s="267">
        <v>1</v>
      </c>
      <c r="F6818" s="267" t="s">
        <v>944</v>
      </c>
      <c r="G6818" s="267" t="s">
        <v>3926</v>
      </c>
      <c r="H6818" s="267" t="s">
        <v>11594</v>
      </c>
      <c r="I6818" s="267" t="s">
        <v>3008</v>
      </c>
      <c r="J6818" s="267" t="s">
        <v>3928</v>
      </c>
      <c r="K6818" s="267">
        <v>6461</v>
      </c>
      <c r="L6818" s="267">
        <v>150600</v>
      </c>
      <c r="M6818" s="267" t="s">
        <v>3960</v>
      </c>
      <c r="N6818" s="267" t="s">
        <v>3944</v>
      </c>
      <c r="O6818" s="267">
        <v>1462.55</v>
      </c>
      <c r="P6818" s="267" t="s">
        <v>3944</v>
      </c>
      <c r="Q6818" s="267" t="s">
        <v>3944</v>
      </c>
      <c r="R6818" s="267">
        <v>1462.55</v>
      </c>
      <c r="S6818" s="267">
        <v>25131.84</v>
      </c>
      <c r="T6818" s="267">
        <v>26594.39</v>
      </c>
      <c r="U6818" s="268" t="s">
        <v>3945</v>
      </c>
      <c r="V6818" s="267" t="s">
        <v>944</v>
      </c>
    </row>
    <row r="6819" spans="1:22" hidden="1" x14ac:dyDescent="0.25">
      <c r="A6819" s="269">
        <v>43780</v>
      </c>
      <c r="B6819" s="270">
        <v>2019</v>
      </c>
      <c r="C6819" s="270">
        <v>2020</v>
      </c>
      <c r="D6819" s="270">
        <v>1</v>
      </c>
      <c r="E6819" s="270">
        <v>1</v>
      </c>
      <c r="F6819" s="270" t="s">
        <v>944</v>
      </c>
      <c r="G6819" s="270" t="s">
        <v>3926</v>
      </c>
      <c r="H6819" s="270" t="s">
        <v>11595</v>
      </c>
      <c r="I6819" s="270" t="s">
        <v>4019</v>
      </c>
      <c r="J6819" s="270" t="s">
        <v>3928</v>
      </c>
      <c r="K6819" s="270">
        <v>6705</v>
      </c>
      <c r="L6819" s="270">
        <v>352702</v>
      </c>
      <c r="M6819" s="270" t="s">
        <v>3940</v>
      </c>
      <c r="N6819" s="270" t="s">
        <v>3944</v>
      </c>
      <c r="O6819" s="270">
        <v>1551.52</v>
      </c>
      <c r="P6819" s="270" t="s">
        <v>3944</v>
      </c>
      <c r="Q6819" s="270" t="s">
        <v>3944</v>
      </c>
      <c r="R6819" s="270">
        <v>1551.52</v>
      </c>
      <c r="S6819" s="270">
        <v>25962.720000000001</v>
      </c>
      <c r="T6819" s="270">
        <v>27514.240000000002</v>
      </c>
      <c r="U6819" s="271" t="s">
        <v>3945</v>
      </c>
      <c r="V6819" s="267" t="s">
        <v>944</v>
      </c>
    </row>
    <row r="6820" spans="1:22" hidden="1" x14ac:dyDescent="0.25">
      <c r="A6820" s="266">
        <v>43780</v>
      </c>
      <c r="B6820" s="267">
        <v>2019</v>
      </c>
      <c r="C6820" s="267">
        <v>2020</v>
      </c>
      <c r="D6820" s="267">
        <v>1</v>
      </c>
      <c r="E6820" s="267">
        <v>1</v>
      </c>
      <c r="F6820" s="267" t="s">
        <v>944</v>
      </c>
      <c r="G6820" s="267" t="s">
        <v>3926</v>
      </c>
      <c r="H6820" s="267" t="s">
        <v>11596</v>
      </c>
      <c r="I6820" s="267" t="s">
        <v>4069</v>
      </c>
      <c r="J6820" s="267" t="s">
        <v>3928</v>
      </c>
      <c r="K6820" s="267">
        <v>6902</v>
      </c>
      <c r="L6820" s="267">
        <v>22100</v>
      </c>
      <c r="M6820" s="267" t="s">
        <v>3940</v>
      </c>
      <c r="N6820" s="267" t="s">
        <v>3944</v>
      </c>
      <c r="O6820" s="267">
        <v>1001.74</v>
      </c>
      <c r="P6820" s="267" t="s">
        <v>3944</v>
      </c>
      <c r="Q6820" s="267" t="s">
        <v>3944</v>
      </c>
      <c r="R6820" s="267">
        <v>1001.74</v>
      </c>
      <c r="S6820" s="267">
        <v>15268.02</v>
      </c>
      <c r="T6820" s="267">
        <v>16269.76</v>
      </c>
      <c r="U6820" s="268" t="s">
        <v>3945</v>
      </c>
      <c r="V6820" s="267" t="s">
        <v>944</v>
      </c>
    </row>
    <row r="6821" spans="1:22" hidden="1" x14ac:dyDescent="0.25">
      <c r="A6821" s="269">
        <v>43780</v>
      </c>
      <c r="B6821" s="270">
        <v>2019</v>
      </c>
      <c r="C6821" s="270">
        <v>2020</v>
      </c>
      <c r="D6821" s="270">
        <v>1</v>
      </c>
      <c r="E6821" s="270">
        <v>1</v>
      </c>
      <c r="F6821" s="270" t="s">
        <v>944</v>
      </c>
      <c r="G6821" s="270" t="s">
        <v>3926</v>
      </c>
      <c r="H6821" s="270" t="s">
        <v>11597</v>
      </c>
      <c r="I6821" s="270" t="s">
        <v>4019</v>
      </c>
      <c r="J6821" s="270" t="s">
        <v>3928</v>
      </c>
      <c r="K6821" s="270">
        <v>6708</v>
      </c>
      <c r="L6821" s="270">
        <v>352000</v>
      </c>
      <c r="M6821" s="270" t="s">
        <v>3935</v>
      </c>
      <c r="N6821" s="270" t="s">
        <v>3944</v>
      </c>
      <c r="O6821" s="270">
        <v>899.68</v>
      </c>
      <c r="P6821" s="270" t="s">
        <v>3944</v>
      </c>
      <c r="Q6821" s="270" t="s">
        <v>3944</v>
      </c>
      <c r="R6821" s="270">
        <v>899.68</v>
      </c>
      <c r="S6821" s="270">
        <v>12836.66</v>
      </c>
      <c r="T6821" s="270">
        <v>13736.34</v>
      </c>
      <c r="U6821" s="271" t="s">
        <v>3945</v>
      </c>
      <c r="V6821" s="267" t="s">
        <v>944</v>
      </c>
    </row>
    <row r="6822" spans="1:22" hidden="1" x14ac:dyDescent="0.25">
      <c r="A6822" s="266">
        <v>43780</v>
      </c>
      <c r="B6822" s="267">
        <v>2019</v>
      </c>
      <c r="C6822" s="267">
        <v>2020</v>
      </c>
      <c r="D6822" s="267">
        <v>1</v>
      </c>
      <c r="E6822" s="267">
        <v>1</v>
      </c>
      <c r="F6822" s="267" t="s">
        <v>944</v>
      </c>
      <c r="G6822" s="267" t="s">
        <v>3926</v>
      </c>
      <c r="H6822" s="267" t="s">
        <v>11598</v>
      </c>
      <c r="I6822" s="267" t="s">
        <v>3985</v>
      </c>
      <c r="J6822" s="267" t="s">
        <v>3928</v>
      </c>
      <c r="K6822" s="267">
        <v>6226</v>
      </c>
      <c r="L6822" s="267">
        <v>800400</v>
      </c>
      <c r="M6822" s="267" t="s">
        <v>3940</v>
      </c>
      <c r="N6822" s="267" t="s">
        <v>3944</v>
      </c>
      <c r="O6822" s="267">
        <v>1210.3699999999999</v>
      </c>
      <c r="P6822" s="267" t="s">
        <v>3944</v>
      </c>
      <c r="Q6822" s="267" t="s">
        <v>3944</v>
      </c>
      <c r="R6822" s="267">
        <v>1210.3699999999999</v>
      </c>
      <c r="S6822" s="267">
        <v>20684.04</v>
      </c>
      <c r="T6822" s="267">
        <v>21894.41</v>
      </c>
      <c r="U6822" s="268" t="s">
        <v>3945</v>
      </c>
      <c r="V6822" s="267" t="s">
        <v>944</v>
      </c>
    </row>
    <row r="6823" spans="1:22" hidden="1" x14ac:dyDescent="0.25">
      <c r="A6823" s="269">
        <v>43780</v>
      </c>
      <c r="B6823" s="270">
        <v>2019</v>
      </c>
      <c r="C6823" s="270">
        <v>2020</v>
      </c>
      <c r="D6823" s="270">
        <v>1</v>
      </c>
      <c r="E6823" s="270">
        <v>1</v>
      </c>
      <c r="F6823" s="270" t="s">
        <v>944</v>
      </c>
      <c r="G6823" s="270" t="s">
        <v>3926</v>
      </c>
      <c r="H6823" s="270" t="s">
        <v>11599</v>
      </c>
      <c r="I6823" s="270" t="s">
        <v>2987</v>
      </c>
      <c r="J6823" s="270" t="s">
        <v>3928</v>
      </c>
      <c r="K6823" s="270">
        <v>6611</v>
      </c>
      <c r="L6823" s="270">
        <v>90200</v>
      </c>
      <c r="M6823" s="270" t="s">
        <v>3943</v>
      </c>
      <c r="N6823" s="270" t="s">
        <v>3944</v>
      </c>
      <c r="O6823" s="270">
        <v>1051.72</v>
      </c>
      <c r="P6823" s="270" t="s">
        <v>3944</v>
      </c>
      <c r="Q6823" s="270" t="s">
        <v>3944</v>
      </c>
      <c r="R6823" s="270">
        <v>1051.72</v>
      </c>
      <c r="S6823" s="270">
        <v>12705.4</v>
      </c>
      <c r="T6823" s="270">
        <v>13757.12</v>
      </c>
      <c r="U6823" s="271" t="s">
        <v>3945</v>
      </c>
      <c r="V6823" s="267" t="s">
        <v>944</v>
      </c>
    </row>
    <row r="6824" spans="1:22" hidden="1" x14ac:dyDescent="0.25">
      <c r="A6824" s="266">
        <v>43780</v>
      </c>
      <c r="B6824" s="267">
        <v>2019</v>
      </c>
      <c r="C6824" s="267">
        <v>2020</v>
      </c>
      <c r="D6824" s="267">
        <v>1</v>
      </c>
      <c r="E6824" s="267">
        <v>1</v>
      </c>
      <c r="F6824" s="267" t="s">
        <v>944</v>
      </c>
      <c r="G6824" s="267" t="s">
        <v>3926</v>
      </c>
      <c r="H6824" s="267" t="s">
        <v>11600</v>
      </c>
      <c r="I6824" s="267" t="s">
        <v>4011</v>
      </c>
      <c r="J6824" s="267" t="s">
        <v>3928</v>
      </c>
      <c r="K6824" s="267">
        <v>6002</v>
      </c>
      <c r="L6824" s="267">
        <v>471500</v>
      </c>
      <c r="M6824" s="267" t="s">
        <v>3935</v>
      </c>
      <c r="N6824" s="267" t="s">
        <v>3944</v>
      </c>
      <c r="O6824" s="267">
        <v>786.87</v>
      </c>
      <c r="P6824" s="267" t="s">
        <v>3944</v>
      </c>
      <c r="Q6824" s="267" t="s">
        <v>3944</v>
      </c>
      <c r="R6824" s="267">
        <v>786.87</v>
      </c>
      <c r="S6824" s="267">
        <v>12050.02</v>
      </c>
      <c r="T6824" s="267">
        <v>12836.89</v>
      </c>
      <c r="U6824" s="268" t="s">
        <v>3945</v>
      </c>
      <c r="V6824" s="267" t="s">
        <v>944</v>
      </c>
    </row>
    <row r="6825" spans="1:22" hidden="1" x14ac:dyDescent="0.25">
      <c r="A6825" s="269">
        <v>43780</v>
      </c>
      <c r="B6825" s="270">
        <v>2019</v>
      </c>
      <c r="C6825" s="270">
        <v>2020</v>
      </c>
      <c r="D6825" s="270">
        <v>1</v>
      </c>
      <c r="E6825" s="270">
        <v>1</v>
      </c>
      <c r="F6825" s="270" t="s">
        <v>944</v>
      </c>
      <c r="G6825" s="270" t="s">
        <v>3926</v>
      </c>
      <c r="H6825" s="270" t="s">
        <v>11601</v>
      </c>
      <c r="I6825" s="270" t="s">
        <v>4019</v>
      </c>
      <c r="J6825" s="270" t="s">
        <v>3928</v>
      </c>
      <c r="K6825" s="270">
        <v>6705</v>
      </c>
      <c r="L6825" s="270">
        <v>352800</v>
      </c>
      <c r="M6825" s="270" t="s">
        <v>3940</v>
      </c>
      <c r="N6825" s="270" t="s">
        <v>3944</v>
      </c>
      <c r="O6825" s="270">
        <v>444.05</v>
      </c>
      <c r="P6825" s="270" t="s">
        <v>3944</v>
      </c>
      <c r="Q6825" s="270" t="s">
        <v>3944</v>
      </c>
      <c r="R6825" s="270">
        <v>444.05</v>
      </c>
      <c r="S6825" s="270">
        <v>7241.95</v>
      </c>
      <c r="T6825" s="270">
        <v>7686</v>
      </c>
      <c r="U6825" s="271" t="s">
        <v>3945</v>
      </c>
      <c r="V6825" s="267" t="s">
        <v>944</v>
      </c>
    </row>
    <row r="6826" spans="1:22" hidden="1" x14ac:dyDescent="0.25">
      <c r="A6826" s="266">
        <v>43780</v>
      </c>
      <c r="B6826" s="267">
        <v>2019</v>
      </c>
      <c r="C6826" s="267">
        <v>2020</v>
      </c>
      <c r="D6826" s="267">
        <v>1</v>
      </c>
      <c r="E6826" s="267">
        <v>1</v>
      </c>
      <c r="F6826" s="267" t="s">
        <v>944</v>
      </c>
      <c r="G6826" s="267" t="s">
        <v>3926</v>
      </c>
      <c r="H6826" s="267" t="s">
        <v>11602</v>
      </c>
      <c r="I6826" s="267" t="s">
        <v>4306</v>
      </c>
      <c r="J6826" s="267" t="s">
        <v>3928</v>
      </c>
      <c r="K6826" s="267">
        <v>6716</v>
      </c>
      <c r="L6826" s="267">
        <v>361200</v>
      </c>
      <c r="M6826" s="267" t="s">
        <v>3960</v>
      </c>
      <c r="N6826" s="267" t="s">
        <v>3944</v>
      </c>
      <c r="O6826" s="267">
        <v>1297.8699999999999</v>
      </c>
      <c r="P6826" s="267" t="s">
        <v>3944</v>
      </c>
      <c r="Q6826" s="267" t="s">
        <v>3944</v>
      </c>
      <c r="R6826" s="267">
        <v>1297.8699999999999</v>
      </c>
      <c r="S6826" s="267">
        <v>19208.63</v>
      </c>
      <c r="T6826" s="267">
        <v>20506.5</v>
      </c>
      <c r="U6826" s="268" t="s">
        <v>3945</v>
      </c>
      <c r="V6826" s="267" t="s">
        <v>944</v>
      </c>
    </row>
    <row r="6827" spans="1:22" hidden="1" x14ac:dyDescent="0.25">
      <c r="A6827" s="269">
        <v>43780</v>
      </c>
      <c r="B6827" s="270">
        <v>2019</v>
      </c>
      <c r="C6827" s="270">
        <v>2020</v>
      </c>
      <c r="D6827" s="270">
        <v>1</v>
      </c>
      <c r="E6827" s="270">
        <v>1</v>
      </c>
      <c r="F6827" s="270" t="s">
        <v>944</v>
      </c>
      <c r="G6827" s="270" t="s">
        <v>3926</v>
      </c>
      <c r="H6827" s="270" t="s">
        <v>11603</v>
      </c>
      <c r="I6827" s="270" t="s">
        <v>4168</v>
      </c>
      <c r="J6827" s="270" t="s">
        <v>3928</v>
      </c>
      <c r="K6827" s="270">
        <v>6475</v>
      </c>
      <c r="L6827" s="270">
        <v>670200</v>
      </c>
      <c r="M6827" s="270" t="s">
        <v>3935</v>
      </c>
      <c r="N6827" s="270" t="s">
        <v>3944</v>
      </c>
      <c r="O6827" s="270">
        <v>1552.57</v>
      </c>
      <c r="P6827" s="270" t="s">
        <v>3944</v>
      </c>
      <c r="Q6827" s="270" t="s">
        <v>3944</v>
      </c>
      <c r="R6827" s="270">
        <v>1552.57</v>
      </c>
      <c r="S6827" s="270">
        <v>23622.23</v>
      </c>
      <c r="T6827" s="270">
        <v>25174.799999999999</v>
      </c>
      <c r="U6827" s="271" t="s">
        <v>3945</v>
      </c>
      <c r="V6827" s="267" t="s">
        <v>944</v>
      </c>
    </row>
    <row r="6828" spans="1:22" hidden="1" x14ac:dyDescent="0.25">
      <c r="A6828" s="266">
        <v>43780</v>
      </c>
      <c r="B6828" s="267">
        <v>2019</v>
      </c>
      <c r="C6828" s="267">
        <v>2020</v>
      </c>
      <c r="D6828" s="267">
        <v>1</v>
      </c>
      <c r="E6828" s="267">
        <v>1</v>
      </c>
      <c r="F6828" s="267" t="s">
        <v>944</v>
      </c>
      <c r="G6828" s="267" t="s">
        <v>3926</v>
      </c>
      <c r="H6828" s="267" t="s">
        <v>11604</v>
      </c>
      <c r="I6828" s="267" t="s">
        <v>4392</v>
      </c>
      <c r="J6828" s="267" t="s">
        <v>3928</v>
      </c>
      <c r="K6828" s="267">
        <v>6457</v>
      </c>
      <c r="L6828" s="267">
        <v>541402</v>
      </c>
      <c r="M6828" s="267" t="s">
        <v>3935</v>
      </c>
      <c r="N6828" s="267" t="s">
        <v>3944</v>
      </c>
      <c r="O6828" s="267">
        <v>691.46</v>
      </c>
      <c r="P6828" s="267" t="s">
        <v>3944</v>
      </c>
      <c r="Q6828" s="267" t="s">
        <v>3944</v>
      </c>
      <c r="R6828" s="267">
        <v>691.46</v>
      </c>
      <c r="S6828" s="267">
        <v>9942.39</v>
      </c>
      <c r="T6828" s="267">
        <v>10633.85</v>
      </c>
      <c r="U6828" s="268" t="s">
        <v>3945</v>
      </c>
      <c r="V6828" s="267" t="s">
        <v>944</v>
      </c>
    </row>
    <row r="6829" spans="1:22" hidden="1" x14ac:dyDescent="0.25">
      <c r="A6829" s="269">
        <v>43780</v>
      </c>
      <c r="B6829" s="270">
        <v>2019</v>
      </c>
      <c r="C6829" s="270">
        <v>2020</v>
      </c>
      <c r="D6829" s="270">
        <v>1</v>
      </c>
      <c r="E6829" s="270">
        <v>1</v>
      </c>
      <c r="F6829" s="270" t="s">
        <v>944</v>
      </c>
      <c r="G6829" s="270" t="s">
        <v>3926</v>
      </c>
      <c r="H6829" s="270" t="s">
        <v>11605</v>
      </c>
      <c r="I6829" s="270" t="s">
        <v>4011</v>
      </c>
      <c r="J6829" s="270" t="s">
        <v>3928</v>
      </c>
      <c r="K6829" s="270">
        <v>6002</v>
      </c>
      <c r="L6829" s="270">
        <v>471200</v>
      </c>
      <c r="M6829" s="270" t="s">
        <v>3940</v>
      </c>
      <c r="N6829" s="270" t="s">
        <v>3944</v>
      </c>
      <c r="O6829" s="270">
        <v>1287.93</v>
      </c>
      <c r="P6829" s="270" t="s">
        <v>3944</v>
      </c>
      <c r="Q6829" s="270" t="s">
        <v>3944</v>
      </c>
      <c r="R6829" s="270">
        <v>1287.93</v>
      </c>
      <c r="S6829" s="270">
        <v>20935.11</v>
      </c>
      <c r="T6829" s="270">
        <v>22223.040000000001</v>
      </c>
      <c r="U6829" s="271" t="s">
        <v>3945</v>
      </c>
      <c r="V6829" s="267" t="s">
        <v>944</v>
      </c>
    </row>
    <row r="6830" spans="1:22" hidden="1" x14ac:dyDescent="0.25">
      <c r="A6830" s="266">
        <v>43780</v>
      </c>
      <c r="B6830" s="267">
        <v>2019</v>
      </c>
      <c r="C6830" s="267">
        <v>2020</v>
      </c>
      <c r="D6830" s="267">
        <v>1</v>
      </c>
      <c r="E6830" s="267">
        <v>1</v>
      </c>
      <c r="F6830" s="267" t="s">
        <v>944</v>
      </c>
      <c r="G6830" s="267" t="s">
        <v>3926</v>
      </c>
      <c r="H6830" s="267" t="s">
        <v>11606</v>
      </c>
      <c r="I6830" s="267" t="s">
        <v>4213</v>
      </c>
      <c r="J6830" s="267" t="s">
        <v>3928</v>
      </c>
      <c r="K6830" s="267">
        <v>6052</v>
      </c>
      <c r="L6830" s="267">
        <v>415700</v>
      </c>
      <c r="M6830" s="267">
        <v>-60</v>
      </c>
      <c r="N6830" s="267" t="s">
        <v>3944</v>
      </c>
      <c r="O6830" s="267">
        <v>720.69</v>
      </c>
      <c r="P6830" s="267" t="s">
        <v>3944</v>
      </c>
      <c r="Q6830" s="267" t="s">
        <v>3944</v>
      </c>
      <c r="R6830" s="267">
        <v>720.69</v>
      </c>
      <c r="S6830" s="267">
        <v>9861.7099999999991</v>
      </c>
      <c r="T6830" s="267">
        <v>10582.4</v>
      </c>
      <c r="U6830" s="268" t="s">
        <v>3945</v>
      </c>
      <c r="V6830" s="267" t="s">
        <v>944</v>
      </c>
    </row>
    <row r="6831" spans="1:22" hidden="1" x14ac:dyDescent="0.25">
      <c r="A6831" s="269">
        <v>43781</v>
      </c>
      <c r="B6831" s="270">
        <v>2019</v>
      </c>
      <c r="C6831" s="270">
        <v>2020</v>
      </c>
      <c r="D6831" s="270">
        <v>1</v>
      </c>
      <c r="E6831" s="270">
        <v>1</v>
      </c>
      <c r="F6831" s="270" t="s">
        <v>944</v>
      </c>
      <c r="G6831" s="270" t="s">
        <v>3926</v>
      </c>
      <c r="H6831" s="270" t="s">
        <v>11607</v>
      </c>
      <c r="I6831" s="270" t="s">
        <v>4019</v>
      </c>
      <c r="J6831" s="270" t="s">
        <v>3928</v>
      </c>
      <c r="K6831" s="270">
        <v>6708</v>
      </c>
      <c r="L6831" s="270">
        <v>352100</v>
      </c>
      <c r="M6831" s="270" t="s">
        <v>3940</v>
      </c>
      <c r="N6831" s="270" t="s">
        <v>11608</v>
      </c>
      <c r="O6831" s="270">
        <v>0</v>
      </c>
      <c r="P6831" s="270" t="s">
        <v>3930</v>
      </c>
      <c r="Q6831" s="270" t="s">
        <v>3930</v>
      </c>
      <c r="R6831" s="270">
        <v>0</v>
      </c>
      <c r="S6831" s="270">
        <v>12009.8</v>
      </c>
      <c r="T6831" s="270">
        <v>12009.8</v>
      </c>
      <c r="U6831" s="271" t="s">
        <v>3937</v>
      </c>
      <c r="V6831" s="267" t="s">
        <v>944</v>
      </c>
    </row>
    <row r="6832" spans="1:22" hidden="1" x14ac:dyDescent="0.25">
      <c r="A6832" s="266">
        <v>43781</v>
      </c>
      <c r="B6832" s="267">
        <v>2019</v>
      </c>
      <c r="C6832" s="267">
        <v>2020</v>
      </c>
      <c r="D6832" s="267">
        <v>1</v>
      </c>
      <c r="E6832" s="267">
        <v>1</v>
      </c>
      <c r="F6832" s="267" t="s">
        <v>944</v>
      </c>
      <c r="G6832" s="267" t="s">
        <v>3926</v>
      </c>
      <c r="H6832" s="267" t="s">
        <v>11609</v>
      </c>
      <c r="I6832" s="267" t="s">
        <v>3026</v>
      </c>
      <c r="J6832" s="267" t="s">
        <v>3928</v>
      </c>
      <c r="K6832" s="267">
        <v>6471</v>
      </c>
      <c r="L6832" s="267">
        <v>186200</v>
      </c>
      <c r="M6832" s="267" t="s">
        <v>3960</v>
      </c>
      <c r="N6832" s="267" t="s">
        <v>11610</v>
      </c>
      <c r="O6832" s="267">
        <v>0</v>
      </c>
      <c r="P6832" s="267" t="s">
        <v>3930</v>
      </c>
      <c r="Q6832" s="267" t="s">
        <v>3930</v>
      </c>
      <c r="R6832" s="267">
        <v>0</v>
      </c>
      <c r="S6832" s="267">
        <v>14407</v>
      </c>
      <c r="T6832" s="267">
        <v>14407</v>
      </c>
      <c r="U6832" s="268" t="s">
        <v>3937</v>
      </c>
      <c r="V6832" s="267" t="s">
        <v>944</v>
      </c>
    </row>
    <row r="6833" spans="1:22" hidden="1" x14ac:dyDescent="0.25">
      <c r="A6833" s="269">
        <v>43781</v>
      </c>
      <c r="B6833" s="270">
        <v>2019</v>
      </c>
      <c r="C6833" s="270">
        <v>2020</v>
      </c>
      <c r="D6833" s="270">
        <v>1</v>
      </c>
      <c r="E6833" s="270">
        <v>1</v>
      </c>
      <c r="F6833" s="270" t="s">
        <v>944</v>
      </c>
      <c r="G6833" s="270" t="s">
        <v>3926</v>
      </c>
      <c r="H6833" s="270" t="s">
        <v>11611</v>
      </c>
      <c r="I6833" s="270" t="s">
        <v>4168</v>
      </c>
      <c r="J6833" s="270" t="s">
        <v>3928</v>
      </c>
      <c r="K6833" s="270">
        <v>6475</v>
      </c>
      <c r="L6833" s="270">
        <v>670200</v>
      </c>
      <c r="M6833" s="270" t="s">
        <v>3935</v>
      </c>
      <c r="N6833" s="270" t="s">
        <v>11612</v>
      </c>
      <c r="O6833" s="270">
        <v>0</v>
      </c>
      <c r="P6833" s="270" t="s">
        <v>3930</v>
      </c>
      <c r="Q6833" s="270" t="s">
        <v>3930</v>
      </c>
      <c r="R6833" s="270">
        <v>0</v>
      </c>
      <c r="S6833" s="270">
        <v>18210</v>
      </c>
      <c r="T6833" s="270">
        <v>18210</v>
      </c>
      <c r="U6833" s="271" t="s">
        <v>3937</v>
      </c>
      <c r="V6833" s="267" t="s">
        <v>944</v>
      </c>
    </row>
    <row r="6834" spans="1:22" x14ac:dyDescent="0.25">
      <c r="A6834" s="266">
        <v>43781</v>
      </c>
      <c r="B6834" s="267">
        <v>2019</v>
      </c>
      <c r="C6834" s="267">
        <v>2020</v>
      </c>
      <c r="D6834" s="267">
        <v>1</v>
      </c>
      <c r="E6834" s="267">
        <v>1</v>
      </c>
      <c r="F6834" s="267" t="s">
        <v>944</v>
      </c>
      <c r="G6834" s="267" t="s">
        <v>3926</v>
      </c>
      <c r="H6834" s="267" t="s">
        <v>11613</v>
      </c>
      <c r="I6834" s="267" t="s">
        <v>943</v>
      </c>
      <c r="J6834" s="267" t="s">
        <v>3928</v>
      </c>
      <c r="K6834" s="267">
        <v>6511</v>
      </c>
      <c r="L6834" s="267">
        <v>140800</v>
      </c>
      <c r="M6834" s="267">
        <v>-60</v>
      </c>
      <c r="N6834" s="267" t="s">
        <v>3983</v>
      </c>
      <c r="O6834" s="267">
        <v>3536.37</v>
      </c>
      <c r="P6834" s="267" t="s">
        <v>3930</v>
      </c>
      <c r="Q6834" s="267" t="s">
        <v>3931</v>
      </c>
      <c r="R6834" s="267">
        <v>8536.3700000000008</v>
      </c>
      <c r="S6834" s="267">
        <v>16504</v>
      </c>
      <c r="T6834" s="267">
        <v>25040.37</v>
      </c>
      <c r="U6834" s="268" t="s">
        <v>3932</v>
      </c>
      <c r="V6834" s="276" t="s">
        <v>936</v>
      </c>
    </row>
    <row r="6835" spans="1:22" hidden="1" x14ac:dyDescent="0.25">
      <c r="A6835" s="269">
        <v>43781</v>
      </c>
      <c r="B6835" s="270">
        <v>2019</v>
      </c>
      <c r="C6835" s="270">
        <v>2020</v>
      </c>
      <c r="D6835" s="270">
        <v>1</v>
      </c>
      <c r="E6835" s="270">
        <v>1</v>
      </c>
      <c r="F6835" s="270" t="s">
        <v>944</v>
      </c>
      <c r="G6835" s="270" t="s">
        <v>3926</v>
      </c>
      <c r="H6835" s="270" t="s">
        <v>11614</v>
      </c>
      <c r="I6835" s="270" t="s">
        <v>956</v>
      </c>
      <c r="J6835" s="270" t="s">
        <v>3928</v>
      </c>
      <c r="K6835" s="270">
        <v>6614</v>
      </c>
      <c r="L6835" s="270">
        <v>81300</v>
      </c>
      <c r="M6835" s="270" t="s">
        <v>3935</v>
      </c>
      <c r="N6835" s="270" t="s">
        <v>4701</v>
      </c>
      <c r="O6835" s="270">
        <v>2351.06</v>
      </c>
      <c r="P6835" s="270" t="s">
        <v>3930</v>
      </c>
      <c r="Q6835" s="270" t="s">
        <v>3931</v>
      </c>
      <c r="R6835" s="270">
        <v>7351.06</v>
      </c>
      <c r="S6835" s="270">
        <v>34648</v>
      </c>
      <c r="T6835" s="270">
        <v>41999.06</v>
      </c>
      <c r="U6835" s="271" t="s">
        <v>3932</v>
      </c>
      <c r="V6835" s="267" t="s">
        <v>944</v>
      </c>
    </row>
    <row r="6836" spans="1:22" hidden="1" x14ac:dyDescent="0.25">
      <c r="A6836" s="266">
        <v>43781</v>
      </c>
      <c r="B6836" s="267">
        <v>2019</v>
      </c>
      <c r="C6836" s="267">
        <v>2020</v>
      </c>
      <c r="D6836" s="267">
        <v>1</v>
      </c>
      <c r="E6836" s="267">
        <v>1</v>
      </c>
      <c r="F6836" s="267" t="s">
        <v>944</v>
      </c>
      <c r="G6836" s="267" t="s">
        <v>3926</v>
      </c>
      <c r="H6836" s="267" t="s">
        <v>11615</v>
      </c>
      <c r="I6836" s="267" t="s">
        <v>4037</v>
      </c>
      <c r="J6836" s="267" t="s">
        <v>3928</v>
      </c>
      <c r="K6836" s="267">
        <v>6811</v>
      </c>
      <c r="L6836" s="267">
        <v>211000</v>
      </c>
      <c r="M6836" s="267" t="s">
        <v>3960</v>
      </c>
      <c r="N6836" s="267" t="s">
        <v>3944</v>
      </c>
      <c r="O6836" s="267">
        <v>2049</v>
      </c>
      <c r="P6836" s="267" t="s">
        <v>3944</v>
      </c>
      <c r="Q6836" s="267" t="s">
        <v>3944</v>
      </c>
      <c r="R6836" s="267">
        <v>2049</v>
      </c>
      <c r="S6836" s="267">
        <v>19041</v>
      </c>
      <c r="T6836" s="267">
        <v>21090</v>
      </c>
      <c r="U6836" s="268" t="s">
        <v>3945</v>
      </c>
      <c r="V6836" s="267" t="s">
        <v>944</v>
      </c>
    </row>
    <row r="6837" spans="1:22" hidden="1" x14ac:dyDescent="0.25">
      <c r="A6837" s="269">
        <v>43781</v>
      </c>
      <c r="B6837" s="270">
        <v>2019</v>
      </c>
      <c r="C6837" s="270">
        <v>2020</v>
      </c>
      <c r="D6837" s="270">
        <v>1</v>
      </c>
      <c r="E6837" s="270">
        <v>1</v>
      </c>
      <c r="F6837" s="270" t="s">
        <v>944</v>
      </c>
      <c r="G6837" s="270" t="s">
        <v>3926</v>
      </c>
      <c r="H6837" s="270" t="s">
        <v>11616</v>
      </c>
      <c r="I6837" s="270" t="s">
        <v>3026</v>
      </c>
      <c r="J6837" s="270" t="s">
        <v>3928</v>
      </c>
      <c r="K6837" s="270">
        <v>6472</v>
      </c>
      <c r="L6837" s="270">
        <v>186200</v>
      </c>
      <c r="M6837" s="270" t="s">
        <v>3960</v>
      </c>
      <c r="N6837" s="270" t="s">
        <v>3944</v>
      </c>
      <c r="O6837" s="270">
        <v>3022</v>
      </c>
      <c r="P6837" s="270" t="s">
        <v>3944</v>
      </c>
      <c r="Q6837" s="270" t="s">
        <v>3944</v>
      </c>
      <c r="R6837" s="270">
        <v>3022</v>
      </c>
      <c r="S6837" s="270">
        <v>18578</v>
      </c>
      <c r="T6837" s="270">
        <v>21600</v>
      </c>
      <c r="U6837" s="271" t="s">
        <v>3945</v>
      </c>
      <c r="V6837" s="267" t="s">
        <v>944</v>
      </c>
    </row>
    <row r="6838" spans="1:22" hidden="1" x14ac:dyDescent="0.25">
      <c r="A6838" s="266">
        <v>43781</v>
      </c>
      <c r="B6838" s="267">
        <v>2019</v>
      </c>
      <c r="C6838" s="267">
        <v>2020</v>
      </c>
      <c r="D6838" s="267">
        <v>1</v>
      </c>
      <c r="E6838" s="267">
        <v>1</v>
      </c>
      <c r="F6838" s="267" t="s">
        <v>944</v>
      </c>
      <c r="G6838" s="267" t="s">
        <v>3926</v>
      </c>
      <c r="H6838" s="267" t="s">
        <v>11617</v>
      </c>
      <c r="I6838" s="267" t="s">
        <v>2987</v>
      </c>
      <c r="J6838" s="267" t="s">
        <v>3928</v>
      </c>
      <c r="K6838" s="267">
        <v>6611</v>
      </c>
      <c r="L6838" s="267">
        <v>90100</v>
      </c>
      <c r="M6838" s="267" t="s">
        <v>3943</v>
      </c>
      <c r="N6838" s="267" t="s">
        <v>3944</v>
      </c>
      <c r="O6838" s="267">
        <v>2933</v>
      </c>
      <c r="P6838" s="267" t="s">
        <v>3944</v>
      </c>
      <c r="Q6838" s="267" t="s">
        <v>3944</v>
      </c>
      <c r="R6838" s="267">
        <v>2933</v>
      </c>
      <c r="S6838" s="267">
        <v>12907</v>
      </c>
      <c r="T6838" s="267">
        <v>15840</v>
      </c>
      <c r="U6838" s="268" t="s">
        <v>3945</v>
      </c>
      <c r="V6838" s="267" t="s">
        <v>944</v>
      </c>
    </row>
    <row r="6839" spans="1:22" hidden="1" x14ac:dyDescent="0.25">
      <c r="A6839" s="269">
        <v>43781</v>
      </c>
      <c r="B6839" s="270">
        <v>2019</v>
      </c>
      <c r="C6839" s="270">
        <v>2020</v>
      </c>
      <c r="D6839" s="270">
        <v>1</v>
      </c>
      <c r="E6839" s="270">
        <v>1</v>
      </c>
      <c r="F6839" s="270" t="s">
        <v>944</v>
      </c>
      <c r="G6839" s="270" t="s">
        <v>3926</v>
      </c>
      <c r="H6839" s="270" t="s">
        <v>11618</v>
      </c>
      <c r="I6839" s="270" t="s">
        <v>956</v>
      </c>
      <c r="J6839" s="270" t="s">
        <v>3928</v>
      </c>
      <c r="K6839" s="270">
        <v>6614</v>
      </c>
      <c r="L6839" s="270">
        <v>81000</v>
      </c>
      <c r="M6839" s="270" t="s">
        <v>3940</v>
      </c>
      <c r="N6839" s="270" t="s">
        <v>3944</v>
      </c>
      <c r="O6839" s="270">
        <v>1848.11</v>
      </c>
      <c r="P6839" s="270" t="s">
        <v>3944</v>
      </c>
      <c r="Q6839" s="270" t="s">
        <v>3944</v>
      </c>
      <c r="R6839" s="270">
        <v>1848.11</v>
      </c>
      <c r="S6839" s="270">
        <v>29651.89</v>
      </c>
      <c r="T6839" s="270">
        <v>31500</v>
      </c>
      <c r="U6839" s="271" t="s">
        <v>3945</v>
      </c>
      <c r="V6839" s="267" t="s">
        <v>944</v>
      </c>
    </row>
    <row r="6840" spans="1:22" x14ac:dyDescent="0.25">
      <c r="A6840" s="266">
        <v>43781</v>
      </c>
      <c r="B6840" s="267">
        <v>2019</v>
      </c>
      <c r="C6840" s="267">
        <v>2020</v>
      </c>
      <c r="D6840" s="267">
        <v>1</v>
      </c>
      <c r="E6840" s="267">
        <v>1</v>
      </c>
      <c r="F6840" s="267" t="s">
        <v>944</v>
      </c>
      <c r="G6840" s="267" t="s">
        <v>3926</v>
      </c>
      <c r="H6840" s="267" t="s">
        <v>11619</v>
      </c>
      <c r="I6840" s="267" t="s">
        <v>934</v>
      </c>
      <c r="J6840" s="267" t="s">
        <v>3928</v>
      </c>
      <c r="K6840" s="267">
        <v>6610</v>
      </c>
      <c r="L6840" s="267">
        <v>73400</v>
      </c>
      <c r="M6840" s="267" t="s">
        <v>3940</v>
      </c>
      <c r="N6840" s="267" t="s">
        <v>3944</v>
      </c>
      <c r="O6840" s="267">
        <v>2326.35</v>
      </c>
      <c r="P6840" s="267" t="s">
        <v>3944</v>
      </c>
      <c r="Q6840" s="267" t="s">
        <v>3944</v>
      </c>
      <c r="R6840" s="267">
        <v>2326.35</v>
      </c>
      <c r="S6840" s="267">
        <v>21689.13</v>
      </c>
      <c r="T6840" s="267">
        <v>24015.48</v>
      </c>
      <c r="U6840" s="268" t="s">
        <v>3945</v>
      </c>
      <c r="V6840" s="276" t="s">
        <v>936</v>
      </c>
    </row>
    <row r="6841" spans="1:22" hidden="1" x14ac:dyDescent="0.25">
      <c r="A6841" s="269">
        <v>43781</v>
      </c>
      <c r="B6841" s="270">
        <v>2019</v>
      </c>
      <c r="C6841" s="270">
        <v>2020</v>
      </c>
      <c r="D6841" s="270">
        <v>1</v>
      </c>
      <c r="E6841" s="270">
        <v>1</v>
      </c>
      <c r="F6841" s="270" t="s">
        <v>944</v>
      </c>
      <c r="G6841" s="270" t="s">
        <v>3926</v>
      </c>
      <c r="H6841" s="270" t="s">
        <v>11620</v>
      </c>
      <c r="I6841" s="270" t="s">
        <v>3999</v>
      </c>
      <c r="J6841" s="270" t="s">
        <v>3928</v>
      </c>
      <c r="K6841" s="270">
        <v>6450</v>
      </c>
      <c r="L6841" s="270">
        <v>171100</v>
      </c>
      <c r="M6841" s="270" t="s">
        <v>3940</v>
      </c>
      <c r="N6841" s="270" t="s">
        <v>3944</v>
      </c>
      <c r="O6841" s="270">
        <v>2077.08</v>
      </c>
      <c r="P6841" s="270" t="s">
        <v>3944</v>
      </c>
      <c r="Q6841" s="270" t="s">
        <v>3944</v>
      </c>
      <c r="R6841" s="270">
        <v>2077.08</v>
      </c>
      <c r="S6841" s="270">
        <v>29422.92</v>
      </c>
      <c r="T6841" s="270">
        <v>31500</v>
      </c>
      <c r="U6841" s="271" t="s">
        <v>3945</v>
      </c>
      <c r="V6841" s="267" t="s">
        <v>944</v>
      </c>
    </row>
    <row r="6842" spans="1:22" hidden="1" x14ac:dyDescent="0.25">
      <c r="A6842" s="266">
        <v>43781</v>
      </c>
      <c r="B6842" s="267">
        <v>2019</v>
      </c>
      <c r="C6842" s="267">
        <v>2020</v>
      </c>
      <c r="D6842" s="267">
        <v>1</v>
      </c>
      <c r="E6842" s="267">
        <v>1</v>
      </c>
      <c r="F6842" s="267" t="s">
        <v>944</v>
      </c>
      <c r="G6842" s="267" t="s">
        <v>3926</v>
      </c>
      <c r="H6842" s="267" t="s">
        <v>11621</v>
      </c>
      <c r="I6842" s="267" t="s">
        <v>4111</v>
      </c>
      <c r="J6842" s="267" t="s">
        <v>3928</v>
      </c>
      <c r="K6842" s="267">
        <v>6095</v>
      </c>
      <c r="L6842" s="267">
        <v>473100</v>
      </c>
      <c r="M6842" s="267" t="s">
        <v>3960</v>
      </c>
      <c r="N6842" s="267" t="s">
        <v>3944</v>
      </c>
      <c r="O6842" s="267">
        <v>1094.6300000000001</v>
      </c>
      <c r="P6842" s="267" t="s">
        <v>3944</v>
      </c>
      <c r="Q6842" s="267" t="s">
        <v>3944</v>
      </c>
      <c r="R6842" s="267">
        <v>1094.6300000000001</v>
      </c>
      <c r="S6842" s="267">
        <v>15649.1</v>
      </c>
      <c r="T6842" s="267">
        <v>16743.73</v>
      </c>
      <c r="U6842" s="268" t="s">
        <v>3945</v>
      </c>
      <c r="V6842" s="267" t="s">
        <v>944</v>
      </c>
    </row>
    <row r="6843" spans="1:22" hidden="1" x14ac:dyDescent="0.25">
      <c r="A6843" s="269">
        <v>43781</v>
      </c>
      <c r="B6843" s="270">
        <v>2019</v>
      </c>
      <c r="C6843" s="270">
        <v>2020</v>
      </c>
      <c r="D6843" s="270">
        <v>1</v>
      </c>
      <c r="E6843" s="270">
        <v>1</v>
      </c>
      <c r="F6843" s="270" t="s">
        <v>944</v>
      </c>
      <c r="G6843" s="270" t="s">
        <v>3926</v>
      </c>
      <c r="H6843" s="270" t="s">
        <v>11622</v>
      </c>
      <c r="I6843" s="270" t="s">
        <v>3999</v>
      </c>
      <c r="J6843" s="270" t="s">
        <v>3928</v>
      </c>
      <c r="K6843" s="270">
        <v>6450</v>
      </c>
      <c r="L6843" s="270">
        <v>171100</v>
      </c>
      <c r="M6843" s="270" t="s">
        <v>3940</v>
      </c>
      <c r="N6843" s="270" t="s">
        <v>3944</v>
      </c>
      <c r="O6843" s="270">
        <v>1823.01</v>
      </c>
      <c r="P6843" s="270" t="s">
        <v>3944</v>
      </c>
      <c r="Q6843" s="270" t="s">
        <v>3944</v>
      </c>
      <c r="R6843" s="270">
        <v>1823.01</v>
      </c>
      <c r="S6843" s="270">
        <v>27108.05</v>
      </c>
      <c r="T6843" s="270">
        <v>28931.06</v>
      </c>
      <c r="U6843" s="271" t="s">
        <v>3945</v>
      </c>
      <c r="V6843" s="267" t="s">
        <v>944</v>
      </c>
    </row>
    <row r="6844" spans="1:22" hidden="1" x14ac:dyDescent="0.25">
      <c r="A6844" s="266">
        <v>43781</v>
      </c>
      <c r="B6844" s="267">
        <v>2019</v>
      </c>
      <c r="C6844" s="267">
        <v>2020</v>
      </c>
      <c r="D6844" s="267">
        <v>1</v>
      </c>
      <c r="E6844" s="267">
        <v>1</v>
      </c>
      <c r="F6844" s="267" t="s">
        <v>944</v>
      </c>
      <c r="G6844" s="267" t="s">
        <v>3926</v>
      </c>
      <c r="H6844" s="267" t="s">
        <v>11623</v>
      </c>
      <c r="I6844" s="267" t="s">
        <v>3996</v>
      </c>
      <c r="J6844" s="267" t="s">
        <v>3928</v>
      </c>
      <c r="K6844" s="267">
        <v>6790</v>
      </c>
      <c r="L6844" s="267">
        <v>310601</v>
      </c>
      <c r="M6844" s="267" t="s">
        <v>3960</v>
      </c>
      <c r="N6844" s="267" t="s">
        <v>3944</v>
      </c>
      <c r="O6844" s="267">
        <v>1436.86</v>
      </c>
      <c r="P6844" s="267" t="s">
        <v>3944</v>
      </c>
      <c r="Q6844" s="267" t="s">
        <v>3944</v>
      </c>
      <c r="R6844" s="267">
        <v>1436.86</v>
      </c>
      <c r="S6844" s="267">
        <v>17944.55</v>
      </c>
      <c r="T6844" s="267">
        <v>19381.41</v>
      </c>
      <c r="U6844" s="268" t="s">
        <v>3945</v>
      </c>
      <c r="V6844" s="267" t="s">
        <v>944</v>
      </c>
    </row>
    <row r="6845" spans="1:22" hidden="1" x14ac:dyDescent="0.25">
      <c r="A6845" s="269">
        <v>43781</v>
      </c>
      <c r="B6845" s="270">
        <v>2019</v>
      </c>
      <c r="C6845" s="270">
        <v>2020</v>
      </c>
      <c r="D6845" s="270">
        <v>1</v>
      </c>
      <c r="E6845" s="270">
        <v>1</v>
      </c>
      <c r="F6845" s="270" t="s">
        <v>944</v>
      </c>
      <c r="G6845" s="270" t="s">
        <v>3926</v>
      </c>
      <c r="H6845" s="270" t="s">
        <v>11624</v>
      </c>
      <c r="I6845" s="270" t="s">
        <v>4269</v>
      </c>
      <c r="J6845" s="270" t="s">
        <v>3928</v>
      </c>
      <c r="K6845" s="270">
        <v>6110</v>
      </c>
      <c r="L6845" s="270">
        <v>496200</v>
      </c>
      <c r="M6845" s="270" t="s">
        <v>3935</v>
      </c>
      <c r="N6845" s="270" t="s">
        <v>3944</v>
      </c>
      <c r="O6845" s="270">
        <v>1470.63</v>
      </c>
      <c r="P6845" s="270" t="s">
        <v>3944</v>
      </c>
      <c r="Q6845" s="270" t="s">
        <v>3944</v>
      </c>
      <c r="R6845" s="270">
        <v>1470.63</v>
      </c>
      <c r="S6845" s="270">
        <v>17283.77</v>
      </c>
      <c r="T6845" s="270">
        <v>18754.400000000001</v>
      </c>
      <c r="U6845" s="271" t="s">
        <v>3945</v>
      </c>
      <c r="V6845" s="267" t="s">
        <v>944</v>
      </c>
    </row>
    <row r="6846" spans="1:22" hidden="1" x14ac:dyDescent="0.25">
      <c r="A6846" s="266">
        <v>43781</v>
      </c>
      <c r="B6846" s="267">
        <v>2019</v>
      </c>
      <c r="C6846" s="267">
        <v>2020</v>
      </c>
      <c r="D6846" s="267">
        <v>1</v>
      </c>
      <c r="E6846" s="267">
        <v>1</v>
      </c>
      <c r="F6846" s="267" t="s">
        <v>944</v>
      </c>
      <c r="G6846" s="267" t="s">
        <v>3926</v>
      </c>
      <c r="H6846" s="267" t="s">
        <v>11625</v>
      </c>
      <c r="I6846" s="267" t="s">
        <v>4147</v>
      </c>
      <c r="J6846" s="267" t="s">
        <v>3928</v>
      </c>
      <c r="K6846" s="267">
        <v>6109</v>
      </c>
      <c r="L6846" s="267">
        <v>492300</v>
      </c>
      <c r="M6846" s="267" t="s">
        <v>3940</v>
      </c>
      <c r="N6846" s="267" t="s">
        <v>3944</v>
      </c>
      <c r="O6846" s="267">
        <v>824.18</v>
      </c>
      <c r="P6846" s="267" t="s">
        <v>3944</v>
      </c>
      <c r="Q6846" s="267" t="s">
        <v>3944</v>
      </c>
      <c r="R6846" s="267">
        <v>824.18</v>
      </c>
      <c r="S6846" s="267">
        <v>11697.42</v>
      </c>
      <c r="T6846" s="267">
        <v>12521.6</v>
      </c>
      <c r="U6846" s="268" t="s">
        <v>3945</v>
      </c>
      <c r="V6846" s="267" t="s">
        <v>944</v>
      </c>
    </row>
    <row r="6847" spans="1:22" hidden="1" x14ac:dyDescent="0.25">
      <c r="A6847" s="269">
        <v>43781</v>
      </c>
      <c r="B6847" s="270">
        <v>2019</v>
      </c>
      <c r="C6847" s="270">
        <v>2020</v>
      </c>
      <c r="D6847" s="270">
        <v>1</v>
      </c>
      <c r="E6847" s="270">
        <v>1</v>
      </c>
      <c r="F6847" s="270" t="s">
        <v>944</v>
      </c>
      <c r="G6847" s="270" t="s">
        <v>3926</v>
      </c>
      <c r="H6847" s="270" t="s">
        <v>11626</v>
      </c>
      <c r="I6847" s="270" t="s">
        <v>4147</v>
      </c>
      <c r="J6847" s="270" t="s">
        <v>3928</v>
      </c>
      <c r="K6847" s="270">
        <v>6109</v>
      </c>
      <c r="L6847" s="270">
        <v>492500</v>
      </c>
      <c r="M6847" s="270" t="s">
        <v>3960</v>
      </c>
      <c r="N6847" s="270" t="s">
        <v>3944</v>
      </c>
      <c r="O6847" s="270">
        <v>1482.67</v>
      </c>
      <c r="P6847" s="270" t="s">
        <v>3944</v>
      </c>
      <c r="Q6847" s="270" t="s">
        <v>3944</v>
      </c>
      <c r="R6847" s="270">
        <v>1482.67</v>
      </c>
      <c r="S6847" s="270">
        <v>21317.57</v>
      </c>
      <c r="T6847" s="270">
        <v>22800.240000000002</v>
      </c>
      <c r="U6847" s="271" t="s">
        <v>3945</v>
      </c>
      <c r="V6847" s="267" t="s">
        <v>944</v>
      </c>
    </row>
    <row r="6848" spans="1:22" hidden="1" x14ac:dyDescent="0.25">
      <c r="A6848" s="266">
        <v>43781</v>
      </c>
      <c r="B6848" s="267">
        <v>2019</v>
      </c>
      <c r="C6848" s="267">
        <v>2020</v>
      </c>
      <c r="D6848" s="267">
        <v>1</v>
      </c>
      <c r="E6848" s="267">
        <v>1</v>
      </c>
      <c r="F6848" s="267" t="s">
        <v>944</v>
      </c>
      <c r="G6848" s="267" t="s">
        <v>3926</v>
      </c>
      <c r="H6848" s="267" t="s">
        <v>11627</v>
      </c>
      <c r="I6848" s="267" t="s">
        <v>4947</v>
      </c>
      <c r="J6848" s="267" t="s">
        <v>3928</v>
      </c>
      <c r="K6848" s="267">
        <v>6787</v>
      </c>
      <c r="L6848" s="267">
        <v>349100</v>
      </c>
      <c r="M6848" s="267" t="s">
        <v>3935</v>
      </c>
      <c r="N6848" s="267" t="s">
        <v>3944</v>
      </c>
      <c r="O6848" s="267">
        <v>1952.65</v>
      </c>
      <c r="P6848" s="267" t="s">
        <v>3944</v>
      </c>
      <c r="Q6848" s="267" t="s">
        <v>3944</v>
      </c>
      <c r="R6848" s="267">
        <v>1952.65</v>
      </c>
      <c r="S6848" s="267">
        <v>27913.37</v>
      </c>
      <c r="T6848" s="267">
        <v>29866.02</v>
      </c>
      <c r="U6848" s="268" t="s">
        <v>3945</v>
      </c>
      <c r="V6848" s="267" t="s">
        <v>944</v>
      </c>
    </row>
    <row r="6849" spans="1:22" hidden="1" x14ac:dyDescent="0.25">
      <c r="A6849" s="269">
        <v>43781</v>
      </c>
      <c r="B6849" s="270">
        <v>2019</v>
      </c>
      <c r="C6849" s="270">
        <v>2020</v>
      </c>
      <c r="D6849" s="270">
        <v>1</v>
      </c>
      <c r="E6849" s="270">
        <v>1</v>
      </c>
      <c r="F6849" s="270" t="s">
        <v>944</v>
      </c>
      <c r="G6849" s="270" t="s">
        <v>3926</v>
      </c>
      <c r="H6849" s="270" t="s">
        <v>11628</v>
      </c>
      <c r="I6849" s="270" t="s">
        <v>4042</v>
      </c>
      <c r="J6849" s="270" t="s">
        <v>3928</v>
      </c>
      <c r="K6849" s="270">
        <v>6370</v>
      </c>
      <c r="L6849" s="270">
        <v>695202</v>
      </c>
      <c r="M6849" s="270" t="s">
        <v>3935</v>
      </c>
      <c r="N6849" s="270" t="s">
        <v>3944</v>
      </c>
      <c r="O6849" s="270">
        <v>734.58</v>
      </c>
      <c r="P6849" s="270" t="s">
        <v>3944</v>
      </c>
      <c r="Q6849" s="270" t="s">
        <v>3944</v>
      </c>
      <c r="R6849" s="270">
        <v>734.58</v>
      </c>
      <c r="S6849" s="270">
        <v>11755.17</v>
      </c>
      <c r="T6849" s="270">
        <v>12489.75</v>
      </c>
      <c r="U6849" s="271" t="s">
        <v>3945</v>
      </c>
      <c r="V6849" s="267" t="s">
        <v>944</v>
      </c>
    </row>
    <row r="6850" spans="1:22" hidden="1" x14ac:dyDescent="0.25">
      <c r="A6850" s="266">
        <v>43781</v>
      </c>
      <c r="B6850" s="267">
        <v>2019</v>
      </c>
      <c r="C6850" s="267">
        <v>2020</v>
      </c>
      <c r="D6850" s="267">
        <v>1</v>
      </c>
      <c r="E6850" s="267">
        <v>1</v>
      </c>
      <c r="F6850" s="267" t="s">
        <v>944</v>
      </c>
      <c r="G6850" s="267" t="s">
        <v>3926</v>
      </c>
      <c r="H6850" s="267" t="s">
        <v>11629</v>
      </c>
      <c r="I6850" s="267" t="s">
        <v>6565</v>
      </c>
      <c r="J6850" s="267" t="s">
        <v>3928</v>
      </c>
      <c r="K6850" s="267">
        <v>6098</v>
      </c>
      <c r="L6850" s="267">
        <v>293100</v>
      </c>
      <c r="M6850" s="267" t="s">
        <v>3960</v>
      </c>
      <c r="N6850" s="267" t="s">
        <v>3944</v>
      </c>
      <c r="O6850" s="267">
        <v>905.91</v>
      </c>
      <c r="P6850" s="267" t="s">
        <v>3944</v>
      </c>
      <c r="Q6850" s="267" t="s">
        <v>3944</v>
      </c>
      <c r="R6850" s="267">
        <v>905.91</v>
      </c>
      <c r="S6850" s="267">
        <v>14115.86</v>
      </c>
      <c r="T6850" s="267">
        <v>15021.77</v>
      </c>
      <c r="U6850" s="268" t="s">
        <v>3945</v>
      </c>
      <c r="V6850" s="267" t="s">
        <v>944</v>
      </c>
    </row>
    <row r="6851" spans="1:22" hidden="1" x14ac:dyDescent="0.25">
      <c r="A6851" s="269">
        <v>43781</v>
      </c>
      <c r="B6851" s="270">
        <v>2019</v>
      </c>
      <c r="C6851" s="270">
        <v>2020</v>
      </c>
      <c r="D6851" s="270">
        <v>1</v>
      </c>
      <c r="E6851" s="270">
        <v>1</v>
      </c>
      <c r="F6851" s="270" t="s">
        <v>944</v>
      </c>
      <c r="G6851" s="270" t="s">
        <v>3926</v>
      </c>
      <c r="H6851" s="270" t="s">
        <v>11630</v>
      </c>
      <c r="I6851" s="270" t="s">
        <v>4029</v>
      </c>
      <c r="J6851" s="270" t="s">
        <v>3928</v>
      </c>
      <c r="K6851" s="270">
        <v>6851</v>
      </c>
      <c r="L6851" s="270">
        <v>42600</v>
      </c>
      <c r="M6851" s="270" t="s">
        <v>3943</v>
      </c>
      <c r="N6851" s="270" t="s">
        <v>3944</v>
      </c>
      <c r="O6851" s="270">
        <v>2200.4899999999998</v>
      </c>
      <c r="P6851" s="270" t="s">
        <v>3944</v>
      </c>
      <c r="Q6851" s="270" t="s">
        <v>3944</v>
      </c>
      <c r="R6851" s="270">
        <v>2200.4899999999998</v>
      </c>
      <c r="S6851" s="270">
        <v>32146.720000000001</v>
      </c>
      <c r="T6851" s="270">
        <v>34347.21</v>
      </c>
      <c r="U6851" s="271" t="s">
        <v>3945</v>
      </c>
      <c r="V6851" s="267" t="s">
        <v>944</v>
      </c>
    </row>
    <row r="6852" spans="1:22" hidden="1" x14ac:dyDescent="0.25">
      <c r="A6852" s="266">
        <v>43781</v>
      </c>
      <c r="B6852" s="267">
        <v>2019</v>
      </c>
      <c r="C6852" s="267">
        <v>2020</v>
      </c>
      <c r="D6852" s="267">
        <v>1</v>
      </c>
      <c r="E6852" s="267">
        <v>1</v>
      </c>
      <c r="F6852" s="267" t="s">
        <v>944</v>
      </c>
      <c r="G6852" s="267" t="s">
        <v>3926</v>
      </c>
      <c r="H6852" s="267" t="s">
        <v>11631</v>
      </c>
      <c r="I6852" s="267" t="s">
        <v>4011</v>
      </c>
      <c r="J6852" s="267" t="s">
        <v>3928</v>
      </c>
      <c r="K6852" s="267">
        <v>6002</v>
      </c>
      <c r="L6852" s="267">
        <v>471500</v>
      </c>
      <c r="M6852" s="267" t="s">
        <v>3935</v>
      </c>
      <c r="N6852" s="267" t="s">
        <v>3944</v>
      </c>
      <c r="O6852" s="267">
        <v>2562.39</v>
      </c>
      <c r="P6852" s="267" t="s">
        <v>3944</v>
      </c>
      <c r="Q6852" s="267" t="s">
        <v>3944</v>
      </c>
      <c r="R6852" s="267">
        <v>2562.39</v>
      </c>
      <c r="S6852" s="267">
        <v>38592.04</v>
      </c>
      <c r="T6852" s="267">
        <v>41154.43</v>
      </c>
      <c r="U6852" s="268" t="s">
        <v>3945</v>
      </c>
      <c r="V6852" s="267" t="s">
        <v>944</v>
      </c>
    </row>
    <row r="6853" spans="1:22" hidden="1" x14ac:dyDescent="0.25">
      <c r="A6853" s="269">
        <v>43781</v>
      </c>
      <c r="B6853" s="270">
        <v>2019</v>
      </c>
      <c r="C6853" s="270">
        <v>2020</v>
      </c>
      <c r="D6853" s="270">
        <v>1</v>
      </c>
      <c r="E6853" s="270">
        <v>1</v>
      </c>
      <c r="F6853" s="270" t="s">
        <v>944</v>
      </c>
      <c r="G6853" s="270" t="s">
        <v>3926</v>
      </c>
      <c r="H6853" s="270" t="s">
        <v>11632</v>
      </c>
      <c r="I6853" s="270" t="s">
        <v>3009</v>
      </c>
      <c r="J6853" s="270" t="s">
        <v>3928</v>
      </c>
      <c r="K6853" s="270">
        <v>6484</v>
      </c>
      <c r="L6853" s="270">
        <v>110400</v>
      </c>
      <c r="M6853" s="270" t="s">
        <v>3943</v>
      </c>
      <c r="N6853" s="270" t="s">
        <v>3944</v>
      </c>
      <c r="O6853" s="270">
        <v>2761.08</v>
      </c>
      <c r="P6853" s="270" t="s">
        <v>3944</v>
      </c>
      <c r="Q6853" s="270" t="s">
        <v>3944</v>
      </c>
      <c r="R6853" s="270">
        <v>2761.08</v>
      </c>
      <c r="S6853" s="270">
        <v>42976.92</v>
      </c>
      <c r="T6853" s="270">
        <v>45738</v>
      </c>
      <c r="U6853" s="271" t="s">
        <v>3945</v>
      </c>
      <c r="V6853" s="267" t="s">
        <v>944</v>
      </c>
    </row>
    <row r="6854" spans="1:22" hidden="1" x14ac:dyDescent="0.25">
      <c r="A6854" s="266">
        <v>43781</v>
      </c>
      <c r="B6854" s="267">
        <v>2019</v>
      </c>
      <c r="C6854" s="267">
        <v>2020</v>
      </c>
      <c r="D6854" s="267">
        <v>1</v>
      </c>
      <c r="E6854" s="267">
        <v>1</v>
      </c>
      <c r="F6854" s="267" t="s">
        <v>944</v>
      </c>
      <c r="G6854" s="267" t="s">
        <v>3926</v>
      </c>
      <c r="H6854" s="267" t="s">
        <v>11633</v>
      </c>
      <c r="I6854" s="267" t="s">
        <v>4695</v>
      </c>
      <c r="J6854" s="267" t="s">
        <v>3928</v>
      </c>
      <c r="K6854" s="267">
        <v>6234</v>
      </c>
      <c r="L6854" s="267">
        <v>905100</v>
      </c>
      <c r="M6854" s="267" t="s">
        <v>3935</v>
      </c>
      <c r="N6854" s="267" t="s">
        <v>3944</v>
      </c>
      <c r="O6854" s="267">
        <v>1072.6500000000001</v>
      </c>
      <c r="P6854" s="267" t="s">
        <v>3944</v>
      </c>
      <c r="Q6854" s="267" t="s">
        <v>3944</v>
      </c>
      <c r="R6854" s="267">
        <v>1072.6500000000001</v>
      </c>
      <c r="S6854" s="267">
        <v>16126.35</v>
      </c>
      <c r="T6854" s="267">
        <v>17199</v>
      </c>
      <c r="U6854" s="268" t="s">
        <v>3945</v>
      </c>
      <c r="V6854" s="267" t="s">
        <v>944</v>
      </c>
    </row>
    <row r="6855" spans="1:22" hidden="1" x14ac:dyDescent="0.25">
      <c r="A6855" s="269">
        <v>43781</v>
      </c>
      <c r="B6855" s="270">
        <v>2019</v>
      </c>
      <c r="C6855" s="270">
        <v>2020</v>
      </c>
      <c r="D6855" s="270">
        <v>1</v>
      </c>
      <c r="E6855" s="270">
        <v>1</v>
      </c>
      <c r="F6855" s="270" t="s">
        <v>944</v>
      </c>
      <c r="G6855" s="270" t="s">
        <v>3926</v>
      </c>
      <c r="H6855" s="270" t="s">
        <v>11634</v>
      </c>
      <c r="I6855" s="270" t="s">
        <v>4035</v>
      </c>
      <c r="J6855" s="270" t="s">
        <v>3928</v>
      </c>
      <c r="K6855" s="270">
        <v>6074</v>
      </c>
      <c r="L6855" s="270">
        <v>487100</v>
      </c>
      <c r="M6855" s="270" t="s">
        <v>3943</v>
      </c>
      <c r="N6855" s="270" t="s">
        <v>3944</v>
      </c>
      <c r="O6855" s="270">
        <v>972.9</v>
      </c>
      <c r="P6855" s="270" t="s">
        <v>3944</v>
      </c>
      <c r="Q6855" s="270" t="s">
        <v>3944</v>
      </c>
      <c r="R6855" s="270">
        <v>972.9</v>
      </c>
      <c r="S6855" s="270">
        <v>13987.19</v>
      </c>
      <c r="T6855" s="270">
        <v>14960.09</v>
      </c>
      <c r="U6855" s="271" t="s">
        <v>3945</v>
      </c>
      <c r="V6855" s="267" t="s">
        <v>944</v>
      </c>
    </row>
    <row r="6856" spans="1:22" hidden="1" x14ac:dyDescent="0.25">
      <c r="A6856" s="266">
        <v>43781</v>
      </c>
      <c r="B6856" s="267">
        <v>2019</v>
      </c>
      <c r="C6856" s="267">
        <v>2020</v>
      </c>
      <c r="D6856" s="267">
        <v>1</v>
      </c>
      <c r="E6856" s="267">
        <v>1</v>
      </c>
      <c r="F6856" s="267" t="s">
        <v>944</v>
      </c>
      <c r="G6856" s="267" t="s">
        <v>3926</v>
      </c>
      <c r="H6856" s="267" t="s">
        <v>11635</v>
      </c>
      <c r="I6856" s="267" t="s">
        <v>4005</v>
      </c>
      <c r="J6856" s="267" t="s">
        <v>3928</v>
      </c>
      <c r="K6856" s="267">
        <v>6118</v>
      </c>
      <c r="L6856" s="267">
        <v>510800</v>
      </c>
      <c r="M6856" s="267" t="s">
        <v>3940</v>
      </c>
      <c r="N6856" s="267" t="s">
        <v>3944</v>
      </c>
      <c r="O6856" s="267">
        <v>474.53</v>
      </c>
      <c r="P6856" s="267" t="s">
        <v>3944</v>
      </c>
      <c r="Q6856" s="267" t="s">
        <v>3944</v>
      </c>
      <c r="R6856" s="267">
        <v>474.53</v>
      </c>
      <c r="S6856" s="267">
        <v>6874.01</v>
      </c>
      <c r="T6856" s="267">
        <v>7348.54</v>
      </c>
      <c r="U6856" s="268" t="s">
        <v>3945</v>
      </c>
      <c r="V6856" s="267" t="s">
        <v>944</v>
      </c>
    </row>
    <row r="6857" spans="1:22" hidden="1" x14ac:dyDescent="0.25">
      <c r="A6857" s="269">
        <v>43781</v>
      </c>
      <c r="B6857" s="270">
        <v>2019</v>
      </c>
      <c r="C6857" s="270">
        <v>2020</v>
      </c>
      <c r="D6857" s="270">
        <v>1</v>
      </c>
      <c r="E6857" s="270">
        <v>1</v>
      </c>
      <c r="F6857" s="270" t="s">
        <v>944</v>
      </c>
      <c r="G6857" s="270" t="s">
        <v>3926</v>
      </c>
      <c r="H6857" s="270" t="s">
        <v>11636</v>
      </c>
      <c r="I6857" s="270" t="s">
        <v>2987</v>
      </c>
      <c r="J6857" s="270" t="s">
        <v>3928</v>
      </c>
      <c r="K6857" s="270">
        <v>6611</v>
      </c>
      <c r="L6857" s="270">
        <v>90300</v>
      </c>
      <c r="M6857" s="270" t="s">
        <v>3943</v>
      </c>
      <c r="N6857" s="270" t="s">
        <v>3944</v>
      </c>
      <c r="O6857" s="270">
        <v>1101.28</v>
      </c>
      <c r="P6857" s="270" t="s">
        <v>3944</v>
      </c>
      <c r="Q6857" s="270" t="s">
        <v>3944</v>
      </c>
      <c r="R6857" s="270">
        <v>1101.28</v>
      </c>
      <c r="S6857" s="270">
        <v>17629.259999999998</v>
      </c>
      <c r="T6857" s="270">
        <v>18730.54</v>
      </c>
      <c r="U6857" s="271" t="s">
        <v>3945</v>
      </c>
      <c r="V6857" s="267" t="s">
        <v>944</v>
      </c>
    </row>
    <row r="6858" spans="1:22" hidden="1" x14ac:dyDescent="0.25">
      <c r="A6858" s="266">
        <v>43782</v>
      </c>
      <c r="B6858" s="267">
        <v>2019</v>
      </c>
      <c r="C6858" s="267">
        <v>2020</v>
      </c>
      <c r="D6858" s="267">
        <v>1</v>
      </c>
      <c r="E6858" s="267">
        <v>1</v>
      </c>
      <c r="F6858" s="267" t="s">
        <v>944</v>
      </c>
      <c r="G6858" s="267" t="s">
        <v>3926</v>
      </c>
      <c r="H6858" s="267" t="s">
        <v>11637</v>
      </c>
      <c r="I6858" s="267" t="s">
        <v>956</v>
      </c>
      <c r="J6858" s="267" t="s">
        <v>3928</v>
      </c>
      <c r="K6858" s="267">
        <v>6615</v>
      </c>
      <c r="L6858" s="267">
        <v>80700</v>
      </c>
      <c r="M6858" s="267" t="s">
        <v>3935</v>
      </c>
      <c r="N6858" s="267" t="s">
        <v>4103</v>
      </c>
      <c r="O6858" s="267">
        <v>1964.66</v>
      </c>
      <c r="P6858" s="267" t="s">
        <v>3930</v>
      </c>
      <c r="Q6858" s="267" t="s">
        <v>3931</v>
      </c>
      <c r="R6858" s="267">
        <v>6964.66</v>
      </c>
      <c r="S6858" s="267">
        <v>24145.599999999999</v>
      </c>
      <c r="T6858" s="267">
        <v>31110.26</v>
      </c>
      <c r="U6858" s="268" t="s">
        <v>3932</v>
      </c>
      <c r="V6858" s="267" t="s">
        <v>944</v>
      </c>
    </row>
    <row r="6859" spans="1:22" hidden="1" x14ac:dyDescent="0.25">
      <c r="A6859" s="269">
        <v>43782</v>
      </c>
      <c r="B6859" s="270">
        <v>2019</v>
      </c>
      <c r="C6859" s="270">
        <v>2020</v>
      </c>
      <c r="D6859" s="270">
        <v>1</v>
      </c>
      <c r="E6859" s="270">
        <v>1</v>
      </c>
      <c r="F6859" s="270" t="s">
        <v>944</v>
      </c>
      <c r="G6859" s="270" t="s">
        <v>3926</v>
      </c>
      <c r="H6859" s="270" t="s">
        <v>11638</v>
      </c>
      <c r="I6859" s="270" t="s">
        <v>4220</v>
      </c>
      <c r="J6859" s="270" t="s">
        <v>3928</v>
      </c>
      <c r="K6859" s="270">
        <v>6455</v>
      </c>
      <c r="L6859" s="270">
        <v>580100</v>
      </c>
      <c r="M6859" s="270" t="s">
        <v>3960</v>
      </c>
      <c r="N6859" s="270" t="s">
        <v>11639</v>
      </c>
      <c r="O6859" s="270">
        <v>0</v>
      </c>
      <c r="P6859" s="270" t="s">
        <v>3930</v>
      </c>
      <c r="Q6859" s="270" t="s">
        <v>3930</v>
      </c>
      <c r="R6859" s="270">
        <v>0</v>
      </c>
      <c r="S6859" s="270">
        <v>11054</v>
      </c>
      <c r="T6859" s="270">
        <v>11054</v>
      </c>
      <c r="U6859" s="271" t="s">
        <v>3937</v>
      </c>
      <c r="V6859" s="267" t="s">
        <v>944</v>
      </c>
    </row>
    <row r="6860" spans="1:22" hidden="1" x14ac:dyDescent="0.25">
      <c r="A6860" s="266">
        <v>43782</v>
      </c>
      <c r="B6860" s="267">
        <v>2019</v>
      </c>
      <c r="C6860" s="267">
        <v>2020</v>
      </c>
      <c r="D6860" s="267">
        <v>1</v>
      </c>
      <c r="E6860" s="267">
        <v>1</v>
      </c>
      <c r="F6860" s="267" t="s">
        <v>944</v>
      </c>
      <c r="G6860" s="267" t="s">
        <v>3926</v>
      </c>
      <c r="H6860" s="267" t="s">
        <v>11640</v>
      </c>
      <c r="I6860" s="267" t="s">
        <v>4108</v>
      </c>
      <c r="J6860" s="267" t="s">
        <v>3928</v>
      </c>
      <c r="K6860" s="267">
        <v>6082</v>
      </c>
      <c r="L6860" s="267">
        <v>480400</v>
      </c>
      <c r="M6860" s="267" t="s">
        <v>3935</v>
      </c>
      <c r="N6860" s="267" t="s">
        <v>4103</v>
      </c>
      <c r="O6860" s="267">
        <v>4614.66</v>
      </c>
      <c r="P6860" s="267" t="s">
        <v>3930</v>
      </c>
      <c r="Q6860" s="267" t="s">
        <v>3931</v>
      </c>
      <c r="R6860" s="267">
        <v>9614.66</v>
      </c>
      <c r="S6860" s="267">
        <v>24145.599999999999</v>
      </c>
      <c r="T6860" s="267">
        <v>33760.26</v>
      </c>
      <c r="U6860" s="268" t="s">
        <v>3932</v>
      </c>
      <c r="V6860" s="267" t="s">
        <v>944</v>
      </c>
    </row>
    <row r="6861" spans="1:22" hidden="1" x14ac:dyDescent="0.25">
      <c r="A6861" s="269">
        <v>43782</v>
      </c>
      <c r="B6861" s="270">
        <v>2019</v>
      </c>
      <c r="C6861" s="270">
        <v>2020</v>
      </c>
      <c r="D6861" s="270">
        <v>1</v>
      </c>
      <c r="E6861" s="270">
        <v>1</v>
      </c>
      <c r="F6861" s="270" t="s">
        <v>944</v>
      </c>
      <c r="G6861" s="270" t="s">
        <v>3926</v>
      </c>
      <c r="H6861" s="270" t="s">
        <v>11641</v>
      </c>
      <c r="I6861" s="270" t="s">
        <v>956</v>
      </c>
      <c r="J6861" s="270" t="s">
        <v>3928</v>
      </c>
      <c r="K6861" s="270">
        <v>6614</v>
      </c>
      <c r="L6861" s="270">
        <v>81300</v>
      </c>
      <c r="M6861" s="270" t="s">
        <v>3935</v>
      </c>
      <c r="N6861" s="270" t="s">
        <v>8223</v>
      </c>
      <c r="O6861" s="270">
        <v>2548.17</v>
      </c>
      <c r="P6861" s="270" t="s">
        <v>3930</v>
      </c>
      <c r="Q6861" s="270" t="s">
        <v>3931</v>
      </c>
      <c r="R6861" s="270">
        <v>7548.17</v>
      </c>
      <c r="S6861" s="270">
        <v>12702.4</v>
      </c>
      <c r="T6861" s="270">
        <v>20250.57</v>
      </c>
      <c r="U6861" s="271" t="s">
        <v>3932</v>
      </c>
      <c r="V6861" s="267" t="s">
        <v>944</v>
      </c>
    </row>
    <row r="6862" spans="1:22" hidden="1" x14ac:dyDescent="0.25">
      <c r="A6862" s="266">
        <v>43782</v>
      </c>
      <c r="B6862" s="267">
        <v>2019</v>
      </c>
      <c r="C6862" s="267">
        <v>2020</v>
      </c>
      <c r="D6862" s="267">
        <v>1</v>
      </c>
      <c r="E6862" s="267">
        <v>1</v>
      </c>
      <c r="F6862" s="267" t="s">
        <v>944</v>
      </c>
      <c r="G6862" s="267" t="s">
        <v>3926</v>
      </c>
      <c r="H6862" s="267" t="s">
        <v>11642</v>
      </c>
      <c r="I6862" s="267" t="s">
        <v>3964</v>
      </c>
      <c r="J6862" s="267" t="s">
        <v>3928</v>
      </c>
      <c r="K6862" s="267">
        <v>6033</v>
      </c>
      <c r="L6862" s="267">
        <v>520400</v>
      </c>
      <c r="M6862" s="267" t="s">
        <v>3943</v>
      </c>
      <c r="N6862" s="267" t="s">
        <v>3944</v>
      </c>
      <c r="O6862" s="267">
        <v>5174</v>
      </c>
      <c r="P6862" s="267" t="s">
        <v>3944</v>
      </c>
      <c r="Q6862" s="267" t="s">
        <v>3944</v>
      </c>
      <c r="R6862" s="267">
        <v>5174</v>
      </c>
      <c r="S6862" s="267">
        <v>42562</v>
      </c>
      <c r="T6862" s="267">
        <v>47736</v>
      </c>
      <c r="U6862" s="268" t="s">
        <v>3945</v>
      </c>
      <c r="V6862" s="267" t="s">
        <v>944</v>
      </c>
    </row>
    <row r="6863" spans="1:22" hidden="1" x14ac:dyDescent="0.25">
      <c r="A6863" s="269">
        <v>43782</v>
      </c>
      <c r="B6863" s="270">
        <v>2019</v>
      </c>
      <c r="C6863" s="270">
        <v>2020</v>
      </c>
      <c r="D6863" s="270">
        <v>1</v>
      </c>
      <c r="E6863" s="270">
        <v>1</v>
      </c>
      <c r="F6863" s="270" t="s">
        <v>944</v>
      </c>
      <c r="G6863" s="270" t="s">
        <v>3926</v>
      </c>
      <c r="H6863" s="270" t="s">
        <v>11643</v>
      </c>
      <c r="I6863" s="270" t="s">
        <v>3964</v>
      </c>
      <c r="J6863" s="270" t="s">
        <v>3928</v>
      </c>
      <c r="K6863" s="270">
        <v>6033</v>
      </c>
      <c r="L6863" s="270">
        <v>520201</v>
      </c>
      <c r="M6863" s="270" t="s">
        <v>3943</v>
      </c>
      <c r="N6863" s="270" t="s">
        <v>3944</v>
      </c>
      <c r="O6863" s="270">
        <v>1950</v>
      </c>
      <c r="P6863" s="270" t="s">
        <v>3944</v>
      </c>
      <c r="Q6863" s="270" t="s">
        <v>3944</v>
      </c>
      <c r="R6863" s="270">
        <v>1950</v>
      </c>
      <c r="S6863" s="270">
        <v>14587.5</v>
      </c>
      <c r="T6863" s="270">
        <v>16537.5</v>
      </c>
      <c r="U6863" s="271" t="s">
        <v>3945</v>
      </c>
      <c r="V6863" s="267" t="s">
        <v>944</v>
      </c>
    </row>
    <row r="6864" spans="1:22" hidden="1" x14ac:dyDescent="0.25">
      <c r="A6864" s="266">
        <v>43782</v>
      </c>
      <c r="B6864" s="267">
        <v>2019</v>
      </c>
      <c r="C6864" s="267">
        <v>2020</v>
      </c>
      <c r="D6864" s="267">
        <v>1</v>
      </c>
      <c r="E6864" s="267">
        <v>1</v>
      </c>
      <c r="F6864" s="267" t="s">
        <v>944</v>
      </c>
      <c r="G6864" s="267" t="s">
        <v>3926</v>
      </c>
      <c r="H6864" s="267" t="s">
        <v>11644</v>
      </c>
      <c r="I6864" s="267" t="s">
        <v>4269</v>
      </c>
      <c r="J6864" s="267" t="s">
        <v>3928</v>
      </c>
      <c r="K6864" s="267">
        <v>6119</v>
      </c>
      <c r="L6864" s="267">
        <v>497100</v>
      </c>
      <c r="M6864" s="267" t="s">
        <v>3935</v>
      </c>
      <c r="N6864" s="267" t="s">
        <v>3944</v>
      </c>
      <c r="O6864" s="267">
        <v>3951</v>
      </c>
      <c r="P6864" s="267" t="s">
        <v>3944</v>
      </c>
      <c r="Q6864" s="267" t="s">
        <v>3944</v>
      </c>
      <c r="R6864" s="267">
        <v>3951</v>
      </c>
      <c r="S6864" s="267">
        <v>31617</v>
      </c>
      <c r="T6864" s="267">
        <v>35568</v>
      </c>
      <c r="U6864" s="268" t="s">
        <v>3945</v>
      </c>
      <c r="V6864" s="267" t="s">
        <v>944</v>
      </c>
    </row>
    <row r="6865" spans="1:22" hidden="1" x14ac:dyDescent="0.25">
      <c r="A6865" s="269">
        <v>43782</v>
      </c>
      <c r="B6865" s="270">
        <v>2019</v>
      </c>
      <c r="C6865" s="270">
        <v>2020</v>
      </c>
      <c r="D6865" s="270">
        <v>1</v>
      </c>
      <c r="E6865" s="270">
        <v>1</v>
      </c>
      <c r="F6865" s="270" t="s">
        <v>944</v>
      </c>
      <c r="G6865" s="270" t="s">
        <v>3926</v>
      </c>
      <c r="H6865" s="270" t="s">
        <v>11645</v>
      </c>
      <c r="I6865" s="270" t="s">
        <v>3966</v>
      </c>
      <c r="J6865" s="270" t="s">
        <v>3928</v>
      </c>
      <c r="K6865" s="270">
        <v>6010</v>
      </c>
      <c r="L6865" s="270">
        <v>405800</v>
      </c>
      <c r="M6865" s="270" t="s">
        <v>3935</v>
      </c>
      <c r="N6865" s="270" t="s">
        <v>3944</v>
      </c>
      <c r="O6865" s="270">
        <v>2626</v>
      </c>
      <c r="P6865" s="270" t="s">
        <v>3944</v>
      </c>
      <c r="Q6865" s="270" t="s">
        <v>3944</v>
      </c>
      <c r="R6865" s="270">
        <v>2626</v>
      </c>
      <c r="S6865" s="270">
        <v>29420</v>
      </c>
      <c r="T6865" s="270">
        <v>32046</v>
      </c>
      <c r="U6865" s="271" t="s">
        <v>3945</v>
      </c>
      <c r="V6865" s="267" t="s">
        <v>944</v>
      </c>
    </row>
    <row r="6866" spans="1:22" hidden="1" x14ac:dyDescent="0.25">
      <c r="A6866" s="266">
        <v>43782</v>
      </c>
      <c r="B6866" s="267">
        <v>2019</v>
      </c>
      <c r="C6866" s="267">
        <v>2020</v>
      </c>
      <c r="D6866" s="267">
        <v>1</v>
      </c>
      <c r="E6866" s="267">
        <v>1</v>
      </c>
      <c r="F6866" s="267" t="s">
        <v>944</v>
      </c>
      <c r="G6866" s="267" t="s">
        <v>3926</v>
      </c>
      <c r="H6866" s="267" t="s">
        <v>11646</v>
      </c>
      <c r="I6866" s="267" t="s">
        <v>7845</v>
      </c>
      <c r="J6866" s="267" t="s">
        <v>3928</v>
      </c>
      <c r="K6866" s="267">
        <v>6754</v>
      </c>
      <c r="L6866" s="267">
        <v>265100</v>
      </c>
      <c r="M6866" s="267" t="s">
        <v>3943</v>
      </c>
      <c r="N6866" s="267" t="s">
        <v>3944</v>
      </c>
      <c r="O6866" s="267">
        <v>4868</v>
      </c>
      <c r="P6866" s="267" t="s">
        <v>3944</v>
      </c>
      <c r="Q6866" s="267" t="s">
        <v>3944</v>
      </c>
      <c r="R6866" s="267">
        <v>4868</v>
      </c>
      <c r="S6866" s="267">
        <v>35189.5</v>
      </c>
      <c r="T6866" s="267">
        <v>40057.5</v>
      </c>
      <c r="U6866" s="268" t="s">
        <v>3945</v>
      </c>
      <c r="V6866" s="267" t="s">
        <v>944</v>
      </c>
    </row>
    <row r="6867" spans="1:22" hidden="1" x14ac:dyDescent="0.25">
      <c r="A6867" s="269">
        <v>43782</v>
      </c>
      <c r="B6867" s="270">
        <v>2019</v>
      </c>
      <c r="C6867" s="270">
        <v>2020</v>
      </c>
      <c r="D6867" s="270">
        <v>1</v>
      </c>
      <c r="E6867" s="270">
        <v>1</v>
      </c>
      <c r="F6867" s="270" t="s">
        <v>944</v>
      </c>
      <c r="G6867" s="270" t="s">
        <v>3926</v>
      </c>
      <c r="H6867" s="270" t="s">
        <v>11647</v>
      </c>
      <c r="I6867" s="270" t="s">
        <v>2985</v>
      </c>
      <c r="J6867" s="270" t="s">
        <v>3928</v>
      </c>
      <c r="K6867" s="270">
        <v>6825</v>
      </c>
      <c r="L6867" s="270">
        <v>61100</v>
      </c>
      <c r="M6867" s="270" t="s">
        <v>3943</v>
      </c>
      <c r="N6867" s="270" t="s">
        <v>3944</v>
      </c>
      <c r="O6867" s="270">
        <v>2328</v>
      </c>
      <c r="P6867" s="270" t="s">
        <v>3944</v>
      </c>
      <c r="Q6867" s="270" t="s">
        <v>3944</v>
      </c>
      <c r="R6867" s="270">
        <v>2328</v>
      </c>
      <c r="S6867" s="270">
        <v>26792</v>
      </c>
      <c r="T6867" s="270">
        <v>29120</v>
      </c>
      <c r="U6867" s="271" t="s">
        <v>3945</v>
      </c>
      <c r="V6867" s="267" t="s">
        <v>944</v>
      </c>
    </row>
    <row r="6868" spans="1:22" hidden="1" x14ac:dyDescent="0.25">
      <c r="A6868" s="266">
        <v>43782</v>
      </c>
      <c r="B6868" s="267">
        <v>2019</v>
      </c>
      <c r="C6868" s="267">
        <v>2020</v>
      </c>
      <c r="D6868" s="267">
        <v>1</v>
      </c>
      <c r="E6868" s="267">
        <v>1</v>
      </c>
      <c r="F6868" s="267" t="s">
        <v>944</v>
      </c>
      <c r="G6868" s="267" t="s">
        <v>3926</v>
      </c>
      <c r="H6868" s="267" t="s">
        <v>11648</v>
      </c>
      <c r="I6868" s="267" t="s">
        <v>4069</v>
      </c>
      <c r="J6868" s="267" t="s">
        <v>3928</v>
      </c>
      <c r="K6868" s="267">
        <v>6905</v>
      </c>
      <c r="L6868" s="267">
        <v>21300</v>
      </c>
      <c r="M6868" s="267" t="s">
        <v>3943</v>
      </c>
      <c r="N6868" s="267" t="s">
        <v>3944</v>
      </c>
      <c r="O6868" s="267">
        <v>2703</v>
      </c>
      <c r="P6868" s="267" t="s">
        <v>3944</v>
      </c>
      <c r="Q6868" s="267" t="s">
        <v>3944</v>
      </c>
      <c r="R6868" s="267">
        <v>2703</v>
      </c>
      <c r="S6868" s="267">
        <v>26253.66</v>
      </c>
      <c r="T6868" s="267">
        <v>28956.66</v>
      </c>
      <c r="U6868" s="268" t="s">
        <v>3945</v>
      </c>
      <c r="V6868" s="267" t="s">
        <v>944</v>
      </c>
    </row>
    <row r="6869" spans="1:22" hidden="1" x14ac:dyDescent="0.25">
      <c r="A6869" s="269">
        <v>43782</v>
      </c>
      <c r="B6869" s="270">
        <v>2019</v>
      </c>
      <c r="C6869" s="270">
        <v>2020</v>
      </c>
      <c r="D6869" s="270">
        <v>1</v>
      </c>
      <c r="E6869" s="270">
        <v>1</v>
      </c>
      <c r="F6869" s="270" t="s">
        <v>944</v>
      </c>
      <c r="G6869" s="270" t="s">
        <v>3926</v>
      </c>
      <c r="H6869" s="270" t="s">
        <v>11649</v>
      </c>
      <c r="I6869" s="270" t="s">
        <v>11650</v>
      </c>
      <c r="J6869" s="270" t="s">
        <v>3928</v>
      </c>
      <c r="K6869" s="270">
        <v>6752</v>
      </c>
      <c r="L6869" s="270">
        <v>250100</v>
      </c>
      <c r="M6869" s="270" t="s">
        <v>3943</v>
      </c>
      <c r="N6869" s="270" t="s">
        <v>3944</v>
      </c>
      <c r="O6869" s="270">
        <v>4784</v>
      </c>
      <c r="P6869" s="270" t="s">
        <v>3944</v>
      </c>
      <c r="Q6869" s="270" t="s">
        <v>3944</v>
      </c>
      <c r="R6869" s="270">
        <v>4784</v>
      </c>
      <c r="S6869" s="270">
        <v>68926</v>
      </c>
      <c r="T6869" s="270">
        <v>73710</v>
      </c>
      <c r="U6869" s="271" t="s">
        <v>3945</v>
      </c>
      <c r="V6869" s="267" t="s">
        <v>944</v>
      </c>
    </row>
    <row r="6870" spans="1:22" hidden="1" x14ac:dyDescent="0.25">
      <c r="A6870" s="266">
        <v>43782</v>
      </c>
      <c r="B6870" s="267">
        <v>2019</v>
      </c>
      <c r="C6870" s="267">
        <v>2020</v>
      </c>
      <c r="D6870" s="267">
        <v>1</v>
      </c>
      <c r="E6870" s="267">
        <v>1</v>
      </c>
      <c r="F6870" s="267" t="s">
        <v>944</v>
      </c>
      <c r="G6870" s="267" t="s">
        <v>3926</v>
      </c>
      <c r="H6870" s="267" t="s">
        <v>11651</v>
      </c>
      <c r="I6870" s="267" t="s">
        <v>3964</v>
      </c>
      <c r="J6870" s="267" t="s">
        <v>3928</v>
      </c>
      <c r="K6870" s="267">
        <v>6033</v>
      </c>
      <c r="L6870" s="267">
        <v>520400</v>
      </c>
      <c r="M6870" s="267" t="s">
        <v>3943</v>
      </c>
      <c r="N6870" s="267" t="s">
        <v>3944</v>
      </c>
      <c r="O6870" s="267">
        <v>883.09</v>
      </c>
      <c r="P6870" s="267" t="s">
        <v>3944</v>
      </c>
      <c r="Q6870" s="267" t="s">
        <v>3944</v>
      </c>
      <c r="R6870" s="267">
        <v>883.09</v>
      </c>
      <c r="S6870" s="267">
        <v>11553.11</v>
      </c>
      <c r="T6870" s="267">
        <v>12436.2</v>
      </c>
      <c r="U6870" s="268" t="s">
        <v>3945</v>
      </c>
      <c r="V6870" s="267" t="s">
        <v>944</v>
      </c>
    </row>
    <row r="6871" spans="1:22" hidden="1" x14ac:dyDescent="0.25">
      <c r="A6871" s="269">
        <v>43782</v>
      </c>
      <c r="B6871" s="270">
        <v>2019</v>
      </c>
      <c r="C6871" s="270">
        <v>2020</v>
      </c>
      <c r="D6871" s="270">
        <v>1</v>
      </c>
      <c r="E6871" s="270">
        <v>1</v>
      </c>
      <c r="F6871" s="270" t="s">
        <v>944</v>
      </c>
      <c r="G6871" s="270" t="s">
        <v>3926</v>
      </c>
      <c r="H6871" s="270" t="s">
        <v>11652</v>
      </c>
      <c r="I6871" s="270" t="s">
        <v>3962</v>
      </c>
      <c r="J6871" s="270" t="s">
        <v>3928</v>
      </c>
      <c r="K6871" s="270">
        <v>6355</v>
      </c>
      <c r="L6871" s="270">
        <v>703000</v>
      </c>
      <c r="M6871" s="270" t="s">
        <v>3960</v>
      </c>
      <c r="N6871" s="270" t="s">
        <v>3944</v>
      </c>
      <c r="O6871" s="270">
        <v>1821.16</v>
      </c>
      <c r="P6871" s="270" t="s">
        <v>3944</v>
      </c>
      <c r="Q6871" s="270" t="s">
        <v>3944</v>
      </c>
      <c r="R6871" s="270">
        <v>1821.16</v>
      </c>
      <c r="S6871" s="270">
        <v>30101.08</v>
      </c>
      <c r="T6871" s="270">
        <v>31922.240000000002</v>
      </c>
      <c r="U6871" s="271" t="s">
        <v>3945</v>
      </c>
      <c r="V6871" s="267" t="s">
        <v>944</v>
      </c>
    </row>
    <row r="6872" spans="1:22" hidden="1" x14ac:dyDescent="0.25">
      <c r="A6872" s="266">
        <v>43782</v>
      </c>
      <c r="B6872" s="267">
        <v>2019</v>
      </c>
      <c r="C6872" s="267">
        <v>2020</v>
      </c>
      <c r="D6872" s="267">
        <v>1</v>
      </c>
      <c r="E6872" s="267">
        <v>1</v>
      </c>
      <c r="F6872" s="267" t="s">
        <v>944</v>
      </c>
      <c r="G6872" s="267" t="s">
        <v>3926</v>
      </c>
      <c r="H6872" s="267" t="s">
        <v>11653</v>
      </c>
      <c r="I6872" s="267" t="s">
        <v>4213</v>
      </c>
      <c r="J6872" s="267" t="s">
        <v>3928</v>
      </c>
      <c r="K6872" s="267">
        <v>6053</v>
      </c>
      <c r="L6872" s="267">
        <v>416500</v>
      </c>
      <c r="M6872" s="267" t="s">
        <v>3940</v>
      </c>
      <c r="N6872" s="267" t="s">
        <v>3944</v>
      </c>
      <c r="O6872" s="267">
        <v>1704.19</v>
      </c>
      <c r="P6872" s="267" t="s">
        <v>3944</v>
      </c>
      <c r="Q6872" s="267" t="s">
        <v>3944</v>
      </c>
      <c r="R6872" s="267">
        <v>1704.19</v>
      </c>
      <c r="S6872" s="267">
        <v>21840.52</v>
      </c>
      <c r="T6872" s="267">
        <v>23544.71</v>
      </c>
      <c r="U6872" s="268" t="s">
        <v>3945</v>
      </c>
      <c r="V6872" s="267" t="s">
        <v>944</v>
      </c>
    </row>
    <row r="6873" spans="1:22" hidden="1" x14ac:dyDescent="0.25">
      <c r="A6873" s="269">
        <v>43782</v>
      </c>
      <c r="B6873" s="270">
        <v>2019</v>
      </c>
      <c r="C6873" s="270">
        <v>2020</v>
      </c>
      <c r="D6873" s="270">
        <v>1</v>
      </c>
      <c r="E6873" s="270">
        <v>1</v>
      </c>
      <c r="F6873" s="270" t="s">
        <v>944</v>
      </c>
      <c r="G6873" s="270" t="s">
        <v>3926</v>
      </c>
      <c r="H6873" s="270" t="s">
        <v>11654</v>
      </c>
      <c r="I6873" s="270" t="s">
        <v>4016</v>
      </c>
      <c r="J6873" s="270" t="s">
        <v>3928</v>
      </c>
      <c r="K6873" s="270">
        <v>6770</v>
      </c>
      <c r="L6873" s="270">
        <v>345400</v>
      </c>
      <c r="M6873" s="270" t="s">
        <v>3935</v>
      </c>
      <c r="N6873" s="270" t="s">
        <v>3944</v>
      </c>
      <c r="O6873" s="270">
        <v>1780.91</v>
      </c>
      <c r="P6873" s="270" t="s">
        <v>3944</v>
      </c>
      <c r="Q6873" s="270" t="s">
        <v>3944</v>
      </c>
      <c r="R6873" s="270">
        <v>1780.91</v>
      </c>
      <c r="S6873" s="270">
        <v>23061.39</v>
      </c>
      <c r="T6873" s="270">
        <v>24842.3</v>
      </c>
      <c r="U6873" s="271" t="s">
        <v>3945</v>
      </c>
      <c r="V6873" s="267" t="s">
        <v>944</v>
      </c>
    </row>
    <row r="6874" spans="1:22" hidden="1" x14ac:dyDescent="0.25">
      <c r="A6874" s="266">
        <v>43782</v>
      </c>
      <c r="B6874" s="267">
        <v>2019</v>
      </c>
      <c r="C6874" s="267">
        <v>2020</v>
      </c>
      <c r="D6874" s="267">
        <v>1</v>
      </c>
      <c r="E6874" s="267">
        <v>1</v>
      </c>
      <c r="F6874" s="267" t="s">
        <v>944</v>
      </c>
      <c r="G6874" s="267" t="s">
        <v>3926</v>
      </c>
      <c r="H6874" s="267" t="s">
        <v>11655</v>
      </c>
      <c r="I6874" s="267" t="s">
        <v>6362</v>
      </c>
      <c r="J6874" s="267" t="s">
        <v>3928</v>
      </c>
      <c r="K6874" s="267">
        <v>6026</v>
      </c>
      <c r="L6874" s="267">
        <v>470100</v>
      </c>
      <c r="M6874" s="267" t="s">
        <v>3943</v>
      </c>
      <c r="N6874" s="267" t="s">
        <v>3944</v>
      </c>
      <c r="O6874" s="267">
        <v>1499.26</v>
      </c>
      <c r="P6874" s="267" t="s">
        <v>3944</v>
      </c>
      <c r="Q6874" s="267" t="s">
        <v>3944</v>
      </c>
      <c r="R6874" s="267">
        <v>1499.26</v>
      </c>
      <c r="S6874" s="267">
        <v>21011.52</v>
      </c>
      <c r="T6874" s="267">
        <v>22510.78</v>
      </c>
      <c r="U6874" s="268" t="s">
        <v>3945</v>
      </c>
      <c r="V6874" s="267" t="s">
        <v>944</v>
      </c>
    </row>
    <row r="6875" spans="1:22" hidden="1" x14ac:dyDescent="0.25">
      <c r="A6875" s="269">
        <v>43782</v>
      </c>
      <c r="B6875" s="270">
        <v>2019</v>
      </c>
      <c r="C6875" s="270">
        <v>2020</v>
      </c>
      <c r="D6875" s="270">
        <v>1</v>
      </c>
      <c r="E6875" s="270">
        <v>1</v>
      </c>
      <c r="F6875" s="270" t="s">
        <v>944</v>
      </c>
      <c r="G6875" s="270" t="s">
        <v>3926</v>
      </c>
      <c r="H6875" s="270" t="s">
        <v>11656</v>
      </c>
      <c r="I6875" s="270" t="s">
        <v>4005</v>
      </c>
      <c r="J6875" s="270" t="s">
        <v>3928</v>
      </c>
      <c r="K6875" s="270">
        <v>6108</v>
      </c>
      <c r="L6875" s="270">
        <v>510100</v>
      </c>
      <c r="M6875" s="270" t="s">
        <v>3940</v>
      </c>
      <c r="N6875" s="270" t="s">
        <v>3944</v>
      </c>
      <c r="O6875" s="270">
        <v>1352.65</v>
      </c>
      <c r="P6875" s="270" t="s">
        <v>3944</v>
      </c>
      <c r="Q6875" s="270" t="s">
        <v>3944</v>
      </c>
      <c r="R6875" s="270">
        <v>1352.65</v>
      </c>
      <c r="S6875" s="270">
        <v>21398.74</v>
      </c>
      <c r="T6875" s="270">
        <v>22751.39</v>
      </c>
      <c r="U6875" s="271" t="s">
        <v>3945</v>
      </c>
      <c r="V6875" s="267" t="s">
        <v>944</v>
      </c>
    </row>
    <row r="6876" spans="1:22" hidden="1" x14ac:dyDescent="0.25">
      <c r="A6876" s="266">
        <v>43782</v>
      </c>
      <c r="B6876" s="267">
        <v>2019</v>
      </c>
      <c r="C6876" s="267">
        <v>2020</v>
      </c>
      <c r="D6876" s="267">
        <v>1</v>
      </c>
      <c r="E6876" s="267">
        <v>1</v>
      </c>
      <c r="F6876" s="267" t="s">
        <v>944</v>
      </c>
      <c r="G6876" s="267" t="s">
        <v>3926</v>
      </c>
      <c r="H6876" s="267" t="s">
        <v>11657</v>
      </c>
      <c r="I6876" s="267" t="s">
        <v>3008</v>
      </c>
      <c r="J6876" s="267" t="s">
        <v>3928</v>
      </c>
      <c r="K6876" s="267">
        <v>6460</v>
      </c>
      <c r="L6876" s="267">
        <v>150400</v>
      </c>
      <c r="M6876" s="267" t="s">
        <v>3940</v>
      </c>
      <c r="N6876" s="267" t="s">
        <v>3944</v>
      </c>
      <c r="O6876" s="267">
        <v>2375.52</v>
      </c>
      <c r="P6876" s="267" t="s">
        <v>3944</v>
      </c>
      <c r="Q6876" s="267" t="s">
        <v>3944</v>
      </c>
      <c r="R6876" s="267">
        <v>2375.52</v>
      </c>
      <c r="S6876" s="267">
        <v>33872.050000000003</v>
      </c>
      <c r="T6876" s="267">
        <v>36247.57</v>
      </c>
      <c r="U6876" s="268" t="s">
        <v>3945</v>
      </c>
      <c r="V6876" s="267" t="s">
        <v>944</v>
      </c>
    </row>
    <row r="6877" spans="1:22" hidden="1" x14ac:dyDescent="0.25">
      <c r="A6877" s="269">
        <v>43782</v>
      </c>
      <c r="B6877" s="270">
        <v>2019</v>
      </c>
      <c r="C6877" s="270">
        <v>2020</v>
      </c>
      <c r="D6877" s="270">
        <v>1</v>
      </c>
      <c r="E6877" s="270">
        <v>1</v>
      </c>
      <c r="F6877" s="270" t="s">
        <v>944</v>
      </c>
      <c r="G6877" s="270" t="s">
        <v>3926</v>
      </c>
      <c r="H6877" s="270" t="s">
        <v>11658</v>
      </c>
      <c r="I6877" s="270" t="s">
        <v>4008</v>
      </c>
      <c r="J6877" s="270" t="s">
        <v>3928</v>
      </c>
      <c r="K6877" s="270">
        <v>6320</v>
      </c>
      <c r="L6877" s="270">
        <v>690300</v>
      </c>
      <c r="M6877" s="270">
        <v>-60</v>
      </c>
      <c r="N6877" s="270" t="s">
        <v>3944</v>
      </c>
      <c r="O6877" s="270">
        <v>1578.08</v>
      </c>
      <c r="P6877" s="270" t="s">
        <v>3944</v>
      </c>
      <c r="Q6877" s="270" t="s">
        <v>3944</v>
      </c>
      <c r="R6877" s="270">
        <v>1578.08</v>
      </c>
      <c r="S6877" s="270">
        <v>26579.38</v>
      </c>
      <c r="T6877" s="270">
        <v>28157.46</v>
      </c>
      <c r="U6877" s="271" t="s">
        <v>3945</v>
      </c>
      <c r="V6877" s="267" t="s">
        <v>944</v>
      </c>
    </row>
    <row r="6878" spans="1:22" hidden="1" x14ac:dyDescent="0.25">
      <c r="A6878" s="266">
        <v>43782</v>
      </c>
      <c r="B6878" s="267">
        <v>2019</v>
      </c>
      <c r="C6878" s="267">
        <v>2020</v>
      </c>
      <c r="D6878" s="267">
        <v>1</v>
      </c>
      <c r="E6878" s="267">
        <v>1</v>
      </c>
      <c r="F6878" s="267" t="s">
        <v>944</v>
      </c>
      <c r="G6878" s="267" t="s">
        <v>3926</v>
      </c>
      <c r="H6878" s="267" t="s">
        <v>11659</v>
      </c>
      <c r="I6878" s="267" t="s">
        <v>4065</v>
      </c>
      <c r="J6878" s="267" t="s">
        <v>3928</v>
      </c>
      <c r="K6878" s="267">
        <v>6480</v>
      </c>
      <c r="L6878" s="267">
        <v>560200</v>
      </c>
      <c r="M6878" s="267" t="s">
        <v>3935</v>
      </c>
      <c r="N6878" s="267" t="s">
        <v>3944</v>
      </c>
      <c r="O6878" s="267">
        <v>1999.31</v>
      </c>
      <c r="P6878" s="267" t="s">
        <v>3944</v>
      </c>
      <c r="Q6878" s="267" t="s">
        <v>3944</v>
      </c>
      <c r="R6878" s="267">
        <v>1999.31</v>
      </c>
      <c r="S6878" s="267">
        <v>28773.84</v>
      </c>
      <c r="T6878" s="267">
        <v>30773.15</v>
      </c>
      <c r="U6878" s="268" t="s">
        <v>3945</v>
      </c>
      <c r="V6878" s="267" t="s">
        <v>944</v>
      </c>
    </row>
    <row r="6879" spans="1:22" x14ac:dyDescent="0.25">
      <c r="A6879" s="269">
        <v>43782</v>
      </c>
      <c r="B6879" s="270">
        <v>2019</v>
      </c>
      <c r="C6879" s="270">
        <v>2020</v>
      </c>
      <c r="D6879" s="270">
        <v>1</v>
      </c>
      <c r="E6879" s="270">
        <v>1</v>
      </c>
      <c r="F6879" s="270" t="s">
        <v>944</v>
      </c>
      <c r="G6879" s="270" t="s">
        <v>3926</v>
      </c>
      <c r="H6879" s="270" t="s">
        <v>11660</v>
      </c>
      <c r="I6879" s="270" t="s">
        <v>934</v>
      </c>
      <c r="J6879" s="270" t="s">
        <v>3928</v>
      </c>
      <c r="K6879" s="270">
        <v>6608</v>
      </c>
      <c r="L6879" s="270">
        <v>73600</v>
      </c>
      <c r="M6879" s="270">
        <v>-60</v>
      </c>
      <c r="N6879" s="270" t="s">
        <v>3944</v>
      </c>
      <c r="O6879" s="270">
        <v>1041.32</v>
      </c>
      <c r="P6879" s="270" t="s">
        <v>3944</v>
      </c>
      <c r="Q6879" s="270" t="s">
        <v>3944</v>
      </c>
      <c r="R6879" s="270">
        <v>1041.32</v>
      </c>
      <c r="S6879" s="270">
        <v>11432.68</v>
      </c>
      <c r="T6879" s="270">
        <v>12474</v>
      </c>
      <c r="U6879" s="271" t="s">
        <v>3945</v>
      </c>
      <c r="V6879" s="276" t="s">
        <v>936</v>
      </c>
    </row>
    <row r="6880" spans="1:22" hidden="1" x14ac:dyDescent="0.25">
      <c r="A6880" s="266">
        <v>43782</v>
      </c>
      <c r="B6880" s="267">
        <v>2019</v>
      </c>
      <c r="C6880" s="267">
        <v>2020</v>
      </c>
      <c r="D6880" s="267">
        <v>1</v>
      </c>
      <c r="E6880" s="267">
        <v>1</v>
      </c>
      <c r="F6880" s="267" t="s">
        <v>944</v>
      </c>
      <c r="G6880" s="267" t="s">
        <v>3926</v>
      </c>
      <c r="H6880" s="267" t="s">
        <v>11661</v>
      </c>
      <c r="I6880" s="267" t="s">
        <v>4556</v>
      </c>
      <c r="J6880" s="267" t="s">
        <v>3928</v>
      </c>
      <c r="K6880" s="267">
        <v>6029</v>
      </c>
      <c r="L6880" s="267">
        <v>535200</v>
      </c>
      <c r="M6880" s="267" t="s">
        <v>3960</v>
      </c>
      <c r="N6880" s="267" t="s">
        <v>3944</v>
      </c>
      <c r="O6880" s="267">
        <v>1795.22</v>
      </c>
      <c r="P6880" s="267" t="s">
        <v>3944</v>
      </c>
      <c r="Q6880" s="267" t="s">
        <v>3944</v>
      </c>
      <c r="R6880" s="267">
        <v>1795.22</v>
      </c>
      <c r="S6880" s="267">
        <v>24750.86</v>
      </c>
      <c r="T6880" s="267">
        <v>26546.080000000002</v>
      </c>
      <c r="U6880" s="268" t="s">
        <v>3945</v>
      </c>
      <c r="V6880" s="267" t="s">
        <v>944</v>
      </c>
    </row>
    <row r="6881" spans="1:22" hidden="1" x14ac:dyDescent="0.25">
      <c r="A6881" s="269">
        <v>43782</v>
      </c>
      <c r="B6881" s="270">
        <v>2019</v>
      </c>
      <c r="C6881" s="270">
        <v>2020</v>
      </c>
      <c r="D6881" s="270">
        <v>1</v>
      </c>
      <c r="E6881" s="270">
        <v>1</v>
      </c>
      <c r="F6881" s="270" t="s">
        <v>944</v>
      </c>
      <c r="G6881" s="270" t="s">
        <v>3926</v>
      </c>
      <c r="H6881" s="270" t="s">
        <v>11662</v>
      </c>
      <c r="I6881" s="270" t="s">
        <v>4200</v>
      </c>
      <c r="J6881" s="270" t="s">
        <v>3928</v>
      </c>
      <c r="K6881" s="270">
        <v>6779</v>
      </c>
      <c r="L6881" s="270">
        <v>360400</v>
      </c>
      <c r="M6881" s="270" t="s">
        <v>3940</v>
      </c>
      <c r="N6881" s="270" t="s">
        <v>3944</v>
      </c>
      <c r="O6881" s="270">
        <v>3792.64</v>
      </c>
      <c r="P6881" s="270" t="s">
        <v>3944</v>
      </c>
      <c r="Q6881" s="270" t="s">
        <v>3944</v>
      </c>
      <c r="R6881" s="270">
        <v>3792.64</v>
      </c>
      <c r="S6881" s="270">
        <v>61044.04</v>
      </c>
      <c r="T6881" s="270">
        <v>64836.68</v>
      </c>
      <c r="U6881" s="271" t="s">
        <v>3945</v>
      </c>
      <c r="V6881" s="267" t="s">
        <v>944</v>
      </c>
    </row>
    <row r="6882" spans="1:22" hidden="1" x14ac:dyDescent="0.25">
      <c r="A6882" s="266">
        <v>43782</v>
      </c>
      <c r="B6882" s="267">
        <v>2019</v>
      </c>
      <c r="C6882" s="267">
        <v>2020</v>
      </c>
      <c r="D6882" s="267">
        <v>1</v>
      </c>
      <c r="E6882" s="267">
        <v>1</v>
      </c>
      <c r="F6882" s="267" t="s">
        <v>944</v>
      </c>
      <c r="G6882" s="267" t="s">
        <v>3926</v>
      </c>
      <c r="H6882" s="267" t="s">
        <v>11663</v>
      </c>
      <c r="I6882" s="267" t="s">
        <v>4029</v>
      </c>
      <c r="J6882" s="267" t="s">
        <v>3928</v>
      </c>
      <c r="K6882" s="267">
        <v>6851</v>
      </c>
      <c r="L6882" s="267">
        <v>43600</v>
      </c>
      <c r="M6882" s="267" t="s">
        <v>3960</v>
      </c>
      <c r="N6882" s="267" t="s">
        <v>3944</v>
      </c>
      <c r="O6882" s="267">
        <v>1484.74</v>
      </c>
      <c r="P6882" s="267" t="s">
        <v>3944</v>
      </c>
      <c r="Q6882" s="267" t="s">
        <v>3944</v>
      </c>
      <c r="R6882" s="267">
        <v>1484.74</v>
      </c>
      <c r="S6882" s="267">
        <v>17499.27</v>
      </c>
      <c r="T6882" s="267">
        <v>18984.009999999998</v>
      </c>
      <c r="U6882" s="268" t="s">
        <v>3945</v>
      </c>
      <c r="V6882" s="267" t="s">
        <v>944</v>
      </c>
    </row>
    <row r="6883" spans="1:22" hidden="1" x14ac:dyDescent="0.25">
      <c r="A6883" s="269">
        <v>43782</v>
      </c>
      <c r="B6883" s="270">
        <v>2019</v>
      </c>
      <c r="C6883" s="270">
        <v>2020</v>
      </c>
      <c r="D6883" s="270">
        <v>1</v>
      </c>
      <c r="E6883" s="270">
        <v>1</v>
      </c>
      <c r="F6883" s="270" t="s">
        <v>944</v>
      </c>
      <c r="G6883" s="270" t="s">
        <v>3926</v>
      </c>
      <c r="H6883" s="270" t="s">
        <v>11664</v>
      </c>
      <c r="I6883" s="270" t="s">
        <v>4435</v>
      </c>
      <c r="J6883" s="270" t="s">
        <v>3928</v>
      </c>
      <c r="K6883" s="270">
        <v>6249</v>
      </c>
      <c r="L6883" s="270">
        <v>870100</v>
      </c>
      <c r="M6883" s="270" t="s">
        <v>3960</v>
      </c>
      <c r="N6883" s="270" t="s">
        <v>3944</v>
      </c>
      <c r="O6883" s="270">
        <v>2296.4899999999998</v>
      </c>
      <c r="P6883" s="270" t="s">
        <v>3944</v>
      </c>
      <c r="Q6883" s="270" t="s">
        <v>3944</v>
      </c>
      <c r="R6883" s="270">
        <v>2296.4899999999998</v>
      </c>
      <c r="S6883" s="270">
        <v>27305.1</v>
      </c>
      <c r="T6883" s="270">
        <v>29601.59</v>
      </c>
      <c r="U6883" s="271" t="s">
        <v>3945</v>
      </c>
      <c r="V6883" s="267" t="s">
        <v>944</v>
      </c>
    </row>
    <row r="6884" spans="1:22" hidden="1" x14ac:dyDescent="0.25">
      <c r="A6884" s="266">
        <v>43782</v>
      </c>
      <c r="B6884" s="267">
        <v>2019</v>
      </c>
      <c r="C6884" s="267">
        <v>2020</v>
      </c>
      <c r="D6884" s="267">
        <v>1</v>
      </c>
      <c r="E6884" s="267">
        <v>1</v>
      </c>
      <c r="F6884" s="267" t="s">
        <v>944</v>
      </c>
      <c r="G6884" s="267" t="s">
        <v>3926</v>
      </c>
      <c r="H6884" s="267" t="s">
        <v>11665</v>
      </c>
      <c r="I6884" s="267" t="s">
        <v>4011</v>
      </c>
      <c r="J6884" s="267" t="s">
        <v>3928</v>
      </c>
      <c r="K6884" s="267">
        <v>6002</v>
      </c>
      <c r="L6884" s="267">
        <v>471100</v>
      </c>
      <c r="M6884" s="267" t="s">
        <v>3935</v>
      </c>
      <c r="N6884" s="267" t="s">
        <v>3944</v>
      </c>
      <c r="O6884" s="267">
        <v>2396.4499999999998</v>
      </c>
      <c r="P6884" s="267" t="s">
        <v>3944</v>
      </c>
      <c r="Q6884" s="267" t="s">
        <v>3944</v>
      </c>
      <c r="R6884" s="267">
        <v>2396.4499999999998</v>
      </c>
      <c r="S6884" s="267">
        <v>29355.56</v>
      </c>
      <c r="T6884" s="267">
        <v>31752.01</v>
      </c>
      <c r="U6884" s="268" t="s">
        <v>3945</v>
      </c>
      <c r="V6884" s="267" t="s">
        <v>944</v>
      </c>
    </row>
    <row r="6885" spans="1:22" hidden="1" x14ac:dyDescent="0.25">
      <c r="A6885" s="269">
        <v>43782</v>
      </c>
      <c r="B6885" s="270">
        <v>2019</v>
      </c>
      <c r="C6885" s="270">
        <v>2020</v>
      </c>
      <c r="D6885" s="270">
        <v>1</v>
      </c>
      <c r="E6885" s="270">
        <v>1</v>
      </c>
      <c r="F6885" s="270" t="s">
        <v>944</v>
      </c>
      <c r="G6885" s="270" t="s">
        <v>3926</v>
      </c>
      <c r="H6885" s="270" t="s">
        <v>11666</v>
      </c>
      <c r="I6885" s="270" t="s">
        <v>3999</v>
      </c>
      <c r="J6885" s="270" t="s">
        <v>3928</v>
      </c>
      <c r="K6885" s="270">
        <v>6451</v>
      </c>
      <c r="L6885" s="270">
        <v>170800</v>
      </c>
      <c r="M6885" s="270" t="s">
        <v>3940</v>
      </c>
      <c r="N6885" s="270" t="s">
        <v>3944</v>
      </c>
      <c r="O6885" s="270">
        <v>1618.3</v>
      </c>
      <c r="P6885" s="270" t="s">
        <v>3944</v>
      </c>
      <c r="Q6885" s="270" t="s">
        <v>3944</v>
      </c>
      <c r="R6885" s="270">
        <v>1618.3</v>
      </c>
      <c r="S6885" s="270">
        <v>21331.1</v>
      </c>
      <c r="T6885" s="270">
        <v>22949.4</v>
      </c>
      <c r="U6885" s="271" t="s">
        <v>3945</v>
      </c>
      <c r="V6885" s="267" t="s">
        <v>944</v>
      </c>
    </row>
    <row r="6886" spans="1:22" hidden="1" x14ac:dyDescent="0.25">
      <c r="A6886" s="266">
        <v>43782</v>
      </c>
      <c r="B6886" s="267">
        <v>2019</v>
      </c>
      <c r="C6886" s="267">
        <v>2020</v>
      </c>
      <c r="D6886" s="267">
        <v>1</v>
      </c>
      <c r="E6886" s="267">
        <v>1</v>
      </c>
      <c r="F6886" s="267" t="s">
        <v>944</v>
      </c>
      <c r="G6886" s="267" t="s">
        <v>3926</v>
      </c>
      <c r="H6886" s="267" t="s">
        <v>11667</v>
      </c>
      <c r="I6886" s="267" t="s">
        <v>4124</v>
      </c>
      <c r="J6886" s="267" t="s">
        <v>3928</v>
      </c>
      <c r="K6886" s="267">
        <v>6482</v>
      </c>
      <c r="L6886" s="267">
        <v>230502</v>
      </c>
      <c r="M6886" s="267" t="s">
        <v>3943</v>
      </c>
      <c r="N6886" s="267" t="s">
        <v>3944</v>
      </c>
      <c r="O6886" s="267">
        <v>1327.34</v>
      </c>
      <c r="P6886" s="267" t="s">
        <v>3944</v>
      </c>
      <c r="Q6886" s="267" t="s">
        <v>3944</v>
      </c>
      <c r="R6886" s="267">
        <v>1327.34</v>
      </c>
      <c r="S6886" s="267">
        <v>15596.19</v>
      </c>
      <c r="T6886" s="267">
        <v>16923.53</v>
      </c>
      <c r="U6886" s="268" t="s">
        <v>3945</v>
      </c>
      <c r="V6886" s="267" t="s">
        <v>944</v>
      </c>
    </row>
    <row r="6887" spans="1:22" hidden="1" x14ac:dyDescent="0.25">
      <c r="A6887" s="269">
        <v>43782</v>
      </c>
      <c r="B6887" s="270">
        <v>2019</v>
      </c>
      <c r="C6887" s="270">
        <v>2020</v>
      </c>
      <c r="D6887" s="270">
        <v>1</v>
      </c>
      <c r="E6887" s="270">
        <v>1</v>
      </c>
      <c r="F6887" s="270" t="s">
        <v>944</v>
      </c>
      <c r="G6887" s="270" t="s">
        <v>3926</v>
      </c>
      <c r="H6887" s="270" t="s">
        <v>11668</v>
      </c>
      <c r="I6887" s="270" t="s">
        <v>4069</v>
      </c>
      <c r="J6887" s="270" t="s">
        <v>3928</v>
      </c>
      <c r="K6887" s="270">
        <v>6902</v>
      </c>
      <c r="L6887" s="270">
        <v>21500</v>
      </c>
      <c r="M6887" s="270">
        <v>-60</v>
      </c>
      <c r="N6887" s="270" t="s">
        <v>3944</v>
      </c>
      <c r="O6887" s="270">
        <v>1103.76</v>
      </c>
      <c r="P6887" s="270" t="s">
        <v>3944</v>
      </c>
      <c r="Q6887" s="270" t="s">
        <v>3944</v>
      </c>
      <c r="R6887" s="270">
        <v>1103.76</v>
      </c>
      <c r="S6887" s="270">
        <v>12810.14</v>
      </c>
      <c r="T6887" s="270">
        <v>13913.9</v>
      </c>
      <c r="U6887" s="271" t="s">
        <v>3945</v>
      </c>
      <c r="V6887" s="267" t="s">
        <v>944</v>
      </c>
    </row>
    <row r="6888" spans="1:22" hidden="1" x14ac:dyDescent="0.25">
      <c r="A6888" s="266">
        <v>43782</v>
      </c>
      <c r="B6888" s="267">
        <v>2019</v>
      </c>
      <c r="C6888" s="267">
        <v>2020</v>
      </c>
      <c r="D6888" s="267">
        <v>1</v>
      </c>
      <c r="E6888" s="267">
        <v>1</v>
      </c>
      <c r="F6888" s="267" t="s">
        <v>944</v>
      </c>
      <c r="G6888" s="267" t="s">
        <v>3926</v>
      </c>
      <c r="H6888" s="267" t="s">
        <v>11669</v>
      </c>
      <c r="I6888" s="267" t="s">
        <v>3010</v>
      </c>
      <c r="J6888" s="267" t="s">
        <v>3928</v>
      </c>
      <c r="K6888" s="267">
        <v>6401</v>
      </c>
      <c r="L6888" s="267">
        <v>125100</v>
      </c>
      <c r="M6888" s="267" t="s">
        <v>3960</v>
      </c>
      <c r="N6888" s="267" t="s">
        <v>3944</v>
      </c>
      <c r="O6888" s="267">
        <v>1386.84</v>
      </c>
      <c r="P6888" s="267" t="s">
        <v>3944</v>
      </c>
      <c r="Q6888" s="267" t="s">
        <v>3944</v>
      </c>
      <c r="R6888" s="267">
        <v>1386.84</v>
      </c>
      <c r="S6888" s="267">
        <v>35756.800000000003</v>
      </c>
      <c r="T6888" s="267">
        <v>37143.64</v>
      </c>
      <c r="U6888" s="268" t="s">
        <v>3945</v>
      </c>
      <c r="V6888" s="267" t="s">
        <v>944</v>
      </c>
    </row>
    <row r="6889" spans="1:22" hidden="1" x14ac:dyDescent="0.25">
      <c r="A6889" s="269">
        <v>43782</v>
      </c>
      <c r="B6889" s="270">
        <v>2019</v>
      </c>
      <c r="C6889" s="270">
        <v>2020</v>
      </c>
      <c r="D6889" s="270">
        <v>1</v>
      </c>
      <c r="E6889" s="270">
        <v>1</v>
      </c>
      <c r="F6889" s="270" t="s">
        <v>944</v>
      </c>
      <c r="G6889" s="270" t="s">
        <v>3926</v>
      </c>
      <c r="H6889" s="270" t="s">
        <v>11670</v>
      </c>
      <c r="I6889" s="270" t="s">
        <v>3985</v>
      </c>
      <c r="J6889" s="270" t="s">
        <v>3928</v>
      </c>
      <c r="K6889" s="270">
        <v>6280</v>
      </c>
      <c r="L6889" s="270">
        <v>800500</v>
      </c>
      <c r="M6889" s="270" t="s">
        <v>3940</v>
      </c>
      <c r="N6889" s="270" t="s">
        <v>3944</v>
      </c>
      <c r="O6889" s="270">
        <v>1864.91</v>
      </c>
      <c r="P6889" s="270" t="s">
        <v>3944</v>
      </c>
      <c r="Q6889" s="270" t="s">
        <v>3944</v>
      </c>
      <c r="R6889" s="270">
        <v>1864.91</v>
      </c>
      <c r="S6889" s="270">
        <v>25061.99</v>
      </c>
      <c r="T6889" s="270">
        <v>26926.9</v>
      </c>
      <c r="U6889" s="271" t="s">
        <v>3945</v>
      </c>
      <c r="V6889" s="267" t="s">
        <v>944</v>
      </c>
    </row>
    <row r="6890" spans="1:22" hidden="1" x14ac:dyDescent="0.25">
      <c r="A6890" s="266">
        <v>43782</v>
      </c>
      <c r="B6890" s="267">
        <v>2019</v>
      </c>
      <c r="C6890" s="267">
        <v>2020</v>
      </c>
      <c r="D6890" s="267">
        <v>1</v>
      </c>
      <c r="E6890" s="267">
        <v>1</v>
      </c>
      <c r="F6890" s="267" t="s">
        <v>944</v>
      </c>
      <c r="G6890" s="267" t="s">
        <v>3926</v>
      </c>
      <c r="H6890" s="267" t="s">
        <v>11671</v>
      </c>
      <c r="I6890" s="267" t="s">
        <v>4079</v>
      </c>
      <c r="J6890" s="267" t="s">
        <v>3928</v>
      </c>
      <c r="K6890" s="267">
        <v>6111</v>
      </c>
      <c r="L6890" s="267">
        <v>494201</v>
      </c>
      <c r="M6890" s="267" t="s">
        <v>3935</v>
      </c>
      <c r="N6890" s="267" t="s">
        <v>3944</v>
      </c>
      <c r="O6890" s="267">
        <v>2184.2800000000002</v>
      </c>
      <c r="P6890" s="267" t="s">
        <v>3944</v>
      </c>
      <c r="Q6890" s="267" t="s">
        <v>3944</v>
      </c>
      <c r="R6890" s="267">
        <v>2184.2800000000002</v>
      </c>
      <c r="S6890" s="267">
        <v>31819.95</v>
      </c>
      <c r="T6890" s="267">
        <v>34004.230000000003</v>
      </c>
      <c r="U6890" s="268" t="s">
        <v>3945</v>
      </c>
      <c r="V6890" s="267" t="s">
        <v>944</v>
      </c>
    </row>
    <row r="6891" spans="1:22" hidden="1" x14ac:dyDescent="0.25">
      <c r="A6891" s="269">
        <v>43782</v>
      </c>
      <c r="B6891" s="270">
        <v>2019</v>
      </c>
      <c r="C6891" s="270">
        <v>2020</v>
      </c>
      <c r="D6891" s="270">
        <v>1</v>
      </c>
      <c r="E6891" s="270">
        <v>1</v>
      </c>
      <c r="F6891" s="270" t="s">
        <v>944</v>
      </c>
      <c r="G6891" s="270" t="s">
        <v>3926</v>
      </c>
      <c r="H6891" s="270" t="s">
        <v>11672</v>
      </c>
      <c r="I6891" s="270" t="s">
        <v>4213</v>
      </c>
      <c r="J6891" s="270" t="s">
        <v>3928</v>
      </c>
      <c r="K6891" s="270">
        <v>6051</v>
      </c>
      <c r="L6891" s="270">
        <v>415700</v>
      </c>
      <c r="M6891" s="270">
        <v>-60</v>
      </c>
      <c r="N6891" s="270" t="s">
        <v>3944</v>
      </c>
      <c r="O6891" s="270">
        <v>814.87</v>
      </c>
      <c r="P6891" s="270" t="s">
        <v>3944</v>
      </c>
      <c r="Q6891" s="270" t="s">
        <v>3944</v>
      </c>
      <c r="R6891" s="270">
        <v>814.87</v>
      </c>
      <c r="S6891" s="270">
        <v>14000.49</v>
      </c>
      <c r="T6891" s="270">
        <v>14815.36</v>
      </c>
      <c r="U6891" s="271" t="s">
        <v>3945</v>
      </c>
      <c r="V6891" s="267" t="s">
        <v>944</v>
      </c>
    </row>
    <row r="6892" spans="1:22" hidden="1" x14ac:dyDescent="0.25">
      <c r="A6892" s="266">
        <v>43782</v>
      </c>
      <c r="B6892" s="267">
        <v>2019</v>
      </c>
      <c r="C6892" s="267">
        <v>2020</v>
      </c>
      <c r="D6892" s="267">
        <v>1</v>
      </c>
      <c r="E6892" s="267">
        <v>1</v>
      </c>
      <c r="F6892" s="267" t="s">
        <v>944</v>
      </c>
      <c r="G6892" s="267" t="s">
        <v>3926</v>
      </c>
      <c r="H6892" s="267" t="s">
        <v>11673</v>
      </c>
      <c r="I6892" s="267" t="s">
        <v>3008</v>
      </c>
      <c r="J6892" s="267" t="s">
        <v>3928</v>
      </c>
      <c r="K6892" s="267">
        <v>6460</v>
      </c>
      <c r="L6892" s="267">
        <v>150900</v>
      </c>
      <c r="M6892" s="267" t="s">
        <v>3943</v>
      </c>
      <c r="N6892" s="267" t="s">
        <v>3944</v>
      </c>
      <c r="O6892" s="267">
        <v>2055.31</v>
      </c>
      <c r="P6892" s="267" t="s">
        <v>3944</v>
      </c>
      <c r="Q6892" s="267" t="s">
        <v>3944</v>
      </c>
      <c r="R6892" s="267">
        <v>2055.31</v>
      </c>
      <c r="S6892" s="267">
        <v>36570.5</v>
      </c>
      <c r="T6892" s="267">
        <v>38625.81</v>
      </c>
      <c r="U6892" s="268" t="s">
        <v>3945</v>
      </c>
      <c r="V6892" s="267" t="s">
        <v>944</v>
      </c>
    </row>
    <row r="6893" spans="1:22" hidden="1" x14ac:dyDescent="0.25">
      <c r="A6893" s="269">
        <v>43782</v>
      </c>
      <c r="B6893" s="270">
        <v>2019</v>
      </c>
      <c r="C6893" s="270">
        <v>2020</v>
      </c>
      <c r="D6893" s="270">
        <v>1</v>
      </c>
      <c r="E6893" s="270">
        <v>1</v>
      </c>
      <c r="F6893" s="270" t="s">
        <v>944</v>
      </c>
      <c r="G6893" s="270" t="s">
        <v>3926</v>
      </c>
      <c r="H6893" s="270" t="s">
        <v>11674</v>
      </c>
      <c r="I6893" s="270" t="s">
        <v>4244</v>
      </c>
      <c r="J6893" s="270" t="s">
        <v>3928</v>
      </c>
      <c r="K6893" s="270">
        <v>6268</v>
      </c>
      <c r="L6893" s="270">
        <v>881300</v>
      </c>
      <c r="M6893" s="270">
        <v>-60</v>
      </c>
      <c r="N6893" s="270" t="s">
        <v>3944</v>
      </c>
      <c r="O6893" s="270">
        <v>2751.74</v>
      </c>
      <c r="P6893" s="270" t="s">
        <v>3944</v>
      </c>
      <c r="Q6893" s="270" t="s">
        <v>3944</v>
      </c>
      <c r="R6893" s="270">
        <v>2751.74</v>
      </c>
      <c r="S6893" s="270">
        <v>34905.769999999997</v>
      </c>
      <c r="T6893" s="270">
        <v>37657.51</v>
      </c>
      <c r="U6893" s="271" t="s">
        <v>3945</v>
      </c>
      <c r="V6893" s="267" t="s">
        <v>944</v>
      </c>
    </row>
    <row r="6894" spans="1:22" hidden="1" x14ac:dyDescent="0.25">
      <c r="A6894" s="266">
        <v>43783</v>
      </c>
      <c r="B6894" s="267">
        <v>2019</v>
      </c>
      <c r="C6894" s="267">
        <v>2020</v>
      </c>
      <c r="D6894" s="267">
        <v>1</v>
      </c>
      <c r="E6894" s="267">
        <v>1</v>
      </c>
      <c r="F6894" s="267" t="s">
        <v>944</v>
      </c>
      <c r="G6894" s="267" t="s">
        <v>5623</v>
      </c>
      <c r="H6894" s="267" t="s">
        <v>11675</v>
      </c>
      <c r="I6894" s="267" t="s">
        <v>3008</v>
      </c>
      <c r="J6894" s="267" t="s">
        <v>3928</v>
      </c>
      <c r="K6894" s="267">
        <v>6461</v>
      </c>
      <c r="L6894" s="267">
        <v>150600</v>
      </c>
      <c r="M6894" s="267" t="s">
        <v>3960</v>
      </c>
      <c r="N6894" s="267" t="s">
        <v>11676</v>
      </c>
      <c r="O6894" s="267">
        <v>0</v>
      </c>
      <c r="P6894" s="267" t="s">
        <v>3930</v>
      </c>
      <c r="Q6894" s="267" t="s">
        <v>3930</v>
      </c>
      <c r="R6894" s="267">
        <v>0</v>
      </c>
      <c r="S6894" s="267">
        <v>5375.5</v>
      </c>
      <c r="T6894" s="267">
        <v>5375.5</v>
      </c>
      <c r="U6894" s="268" t="s">
        <v>3937</v>
      </c>
      <c r="V6894" s="267" t="s">
        <v>944</v>
      </c>
    </row>
    <row r="6895" spans="1:22" x14ac:dyDescent="0.25">
      <c r="A6895" s="269">
        <v>43783</v>
      </c>
      <c r="B6895" s="270">
        <v>2019</v>
      </c>
      <c r="C6895" s="270">
        <v>2020</v>
      </c>
      <c r="D6895" s="270">
        <v>1</v>
      </c>
      <c r="E6895" s="270">
        <v>1</v>
      </c>
      <c r="F6895" s="270" t="s">
        <v>944</v>
      </c>
      <c r="G6895" s="270" t="s">
        <v>3997</v>
      </c>
      <c r="H6895" s="270" t="s">
        <v>11677</v>
      </c>
      <c r="I6895" s="270" t="s">
        <v>934</v>
      </c>
      <c r="J6895" s="270" t="s">
        <v>3928</v>
      </c>
      <c r="K6895" s="270">
        <v>6608</v>
      </c>
      <c r="L6895" s="270">
        <v>73900</v>
      </c>
      <c r="M6895" s="270">
        <v>-60</v>
      </c>
      <c r="N6895" s="270" t="s">
        <v>4053</v>
      </c>
      <c r="O6895" s="270">
        <v>3077.19</v>
      </c>
      <c r="P6895" s="270" t="s">
        <v>3930</v>
      </c>
      <c r="Q6895" s="270" t="s">
        <v>3931</v>
      </c>
      <c r="R6895" s="270">
        <v>8077.19</v>
      </c>
      <c r="S6895" s="270">
        <v>18603.2</v>
      </c>
      <c r="T6895" s="270">
        <v>26680.39</v>
      </c>
      <c r="U6895" s="271" t="s">
        <v>3932</v>
      </c>
      <c r="V6895" s="276" t="s">
        <v>936</v>
      </c>
    </row>
    <row r="6896" spans="1:22" x14ac:dyDescent="0.25">
      <c r="A6896" s="266">
        <v>43783</v>
      </c>
      <c r="B6896" s="267">
        <v>2019</v>
      </c>
      <c r="C6896" s="267">
        <v>2020</v>
      </c>
      <c r="D6896" s="267">
        <v>1</v>
      </c>
      <c r="E6896" s="267">
        <v>1</v>
      </c>
      <c r="F6896" s="267" t="s">
        <v>944</v>
      </c>
      <c r="G6896" s="267" t="s">
        <v>3997</v>
      </c>
      <c r="H6896" s="267" t="s">
        <v>11678</v>
      </c>
      <c r="I6896" s="267" t="s">
        <v>934</v>
      </c>
      <c r="J6896" s="267" t="s">
        <v>3928</v>
      </c>
      <c r="K6896" s="267">
        <v>6608</v>
      </c>
      <c r="L6896" s="267">
        <v>73900</v>
      </c>
      <c r="M6896" s="267">
        <v>-60</v>
      </c>
      <c r="N6896" s="267" t="s">
        <v>4053</v>
      </c>
      <c r="O6896" s="267">
        <v>1004.73</v>
      </c>
      <c r="P6896" s="267" t="s">
        <v>3930</v>
      </c>
      <c r="Q6896" s="267" t="s">
        <v>3931</v>
      </c>
      <c r="R6896" s="267">
        <v>6004.73</v>
      </c>
      <c r="S6896" s="267">
        <v>18603.2</v>
      </c>
      <c r="T6896" s="267">
        <v>24607.93</v>
      </c>
      <c r="U6896" s="268" t="s">
        <v>3932</v>
      </c>
      <c r="V6896" s="276" t="s">
        <v>936</v>
      </c>
    </row>
    <row r="6897" spans="1:22" hidden="1" x14ac:dyDescent="0.25">
      <c r="A6897" s="269">
        <v>43783</v>
      </c>
      <c r="B6897" s="270">
        <v>2019</v>
      </c>
      <c r="C6897" s="270">
        <v>2020</v>
      </c>
      <c r="D6897" s="270">
        <v>1</v>
      </c>
      <c r="E6897" s="270">
        <v>1</v>
      </c>
      <c r="F6897" s="270" t="s">
        <v>944</v>
      </c>
      <c r="G6897" s="270" t="s">
        <v>3926</v>
      </c>
      <c r="H6897" s="270" t="s">
        <v>11679</v>
      </c>
      <c r="I6897" s="270" t="s">
        <v>4019</v>
      </c>
      <c r="J6897" s="270" t="s">
        <v>3928</v>
      </c>
      <c r="K6897" s="270">
        <v>6708</v>
      </c>
      <c r="L6897" s="270">
        <v>351601</v>
      </c>
      <c r="M6897" s="270">
        <v>-60</v>
      </c>
      <c r="N6897" s="270" t="s">
        <v>3983</v>
      </c>
      <c r="O6897" s="270">
        <v>1448.06</v>
      </c>
      <c r="P6897" s="270" t="s">
        <v>3930</v>
      </c>
      <c r="Q6897" s="270" t="s">
        <v>3931</v>
      </c>
      <c r="R6897" s="270">
        <v>6448.06</v>
      </c>
      <c r="S6897" s="270">
        <v>16504</v>
      </c>
      <c r="T6897" s="270">
        <v>22952.06</v>
      </c>
      <c r="U6897" s="271" t="s">
        <v>3932</v>
      </c>
      <c r="V6897" s="267" t="s">
        <v>944</v>
      </c>
    </row>
    <row r="6898" spans="1:22" hidden="1" x14ac:dyDescent="0.25">
      <c r="A6898" s="266">
        <v>43783</v>
      </c>
      <c r="B6898" s="267">
        <v>2019</v>
      </c>
      <c r="C6898" s="267">
        <v>2020</v>
      </c>
      <c r="D6898" s="267">
        <v>1</v>
      </c>
      <c r="E6898" s="267">
        <v>1</v>
      </c>
      <c r="F6898" s="267" t="s">
        <v>944</v>
      </c>
      <c r="G6898" s="267" t="s">
        <v>3926</v>
      </c>
      <c r="H6898" s="267" t="s">
        <v>11680</v>
      </c>
      <c r="I6898" s="267" t="s">
        <v>4087</v>
      </c>
      <c r="J6898" s="267" t="s">
        <v>3928</v>
      </c>
      <c r="K6898" s="267">
        <v>6340</v>
      </c>
      <c r="L6898" s="267">
        <v>870200</v>
      </c>
      <c r="M6898" s="267" t="s">
        <v>3940</v>
      </c>
      <c r="N6898" s="267" t="s">
        <v>11681</v>
      </c>
      <c r="O6898" s="267">
        <v>0</v>
      </c>
      <c r="P6898" s="267" t="s">
        <v>3930</v>
      </c>
      <c r="Q6898" s="267" t="s">
        <v>3930</v>
      </c>
      <c r="R6898" s="267">
        <v>0</v>
      </c>
      <c r="S6898" s="267">
        <v>7556</v>
      </c>
      <c r="T6898" s="267">
        <v>7556</v>
      </c>
      <c r="U6898" s="268" t="s">
        <v>3937</v>
      </c>
      <c r="V6898" s="267" t="s">
        <v>944</v>
      </c>
    </row>
    <row r="6899" spans="1:22" hidden="1" x14ac:dyDescent="0.25">
      <c r="A6899" s="269">
        <v>43783</v>
      </c>
      <c r="B6899" s="270">
        <v>2019</v>
      </c>
      <c r="C6899" s="270">
        <v>2020</v>
      </c>
      <c r="D6899" s="270">
        <v>1</v>
      </c>
      <c r="E6899" s="270">
        <v>1</v>
      </c>
      <c r="F6899" s="270" t="s">
        <v>944</v>
      </c>
      <c r="G6899" s="270" t="s">
        <v>3926</v>
      </c>
      <c r="H6899" s="270" t="s">
        <v>11682</v>
      </c>
      <c r="I6899" s="270" t="s">
        <v>6268</v>
      </c>
      <c r="J6899" s="270" t="s">
        <v>3928</v>
      </c>
      <c r="K6899" s="270">
        <v>6371</v>
      </c>
      <c r="L6899" s="270">
        <v>660102</v>
      </c>
      <c r="M6899" s="270" t="s">
        <v>3960</v>
      </c>
      <c r="N6899" s="270" t="s">
        <v>3944</v>
      </c>
      <c r="O6899" s="270">
        <v>3699</v>
      </c>
      <c r="P6899" s="270" t="s">
        <v>3944</v>
      </c>
      <c r="Q6899" s="270" t="s">
        <v>3944</v>
      </c>
      <c r="R6899" s="270">
        <v>3699</v>
      </c>
      <c r="S6899" s="270">
        <v>21560</v>
      </c>
      <c r="T6899" s="270">
        <v>25259</v>
      </c>
      <c r="U6899" s="271" t="s">
        <v>3945</v>
      </c>
      <c r="V6899" s="267" t="s">
        <v>944</v>
      </c>
    </row>
    <row r="6900" spans="1:22" hidden="1" x14ac:dyDescent="0.25">
      <c r="A6900" s="266">
        <v>43783</v>
      </c>
      <c r="B6900" s="267">
        <v>2019</v>
      </c>
      <c r="C6900" s="267">
        <v>2020</v>
      </c>
      <c r="D6900" s="267">
        <v>1</v>
      </c>
      <c r="E6900" s="267">
        <v>1</v>
      </c>
      <c r="F6900" s="267" t="s">
        <v>944</v>
      </c>
      <c r="G6900" s="267" t="s">
        <v>3926</v>
      </c>
      <c r="H6900" s="267" t="s">
        <v>11683</v>
      </c>
      <c r="I6900" s="267" t="s">
        <v>4035</v>
      </c>
      <c r="J6900" s="267" t="s">
        <v>3928</v>
      </c>
      <c r="K6900" s="267">
        <v>6074</v>
      </c>
      <c r="L6900" s="267">
        <v>487300</v>
      </c>
      <c r="M6900" s="267" t="s">
        <v>3960</v>
      </c>
      <c r="N6900" s="267" t="s">
        <v>3944</v>
      </c>
      <c r="O6900" s="267">
        <v>4604.6000000000004</v>
      </c>
      <c r="P6900" s="267" t="s">
        <v>3944</v>
      </c>
      <c r="Q6900" s="267" t="s">
        <v>3944</v>
      </c>
      <c r="R6900" s="267">
        <v>4604.6000000000004</v>
      </c>
      <c r="S6900" s="267">
        <v>61545.4</v>
      </c>
      <c r="T6900" s="267">
        <v>66150</v>
      </c>
      <c r="U6900" s="268" t="s">
        <v>3945</v>
      </c>
      <c r="V6900" s="267" t="s">
        <v>944</v>
      </c>
    </row>
    <row r="6901" spans="1:22" hidden="1" x14ac:dyDescent="0.25">
      <c r="A6901" s="269">
        <v>43783</v>
      </c>
      <c r="B6901" s="270">
        <v>2019</v>
      </c>
      <c r="C6901" s="270">
        <v>2020</v>
      </c>
      <c r="D6901" s="270">
        <v>1</v>
      </c>
      <c r="E6901" s="270">
        <v>1</v>
      </c>
      <c r="F6901" s="270" t="s">
        <v>944</v>
      </c>
      <c r="G6901" s="270" t="s">
        <v>3926</v>
      </c>
      <c r="H6901" s="270" t="s">
        <v>11684</v>
      </c>
      <c r="I6901" s="270" t="s">
        <v>4330</v>
      </c>
      <c r="J6901" s="270" t="s">
        <v>3928</v>
      </c>
      <c r="K6901" s="270">
        <v>6413</v>
      </c>
      <c r="L6901" s="270">
        <v>610400</v>
      </c>
      <c r="M6901" s="270" t="s">
        <v>3960</v>
      </c>
      <c r="N6901" s="270" t="s">
        <v>11685</v>
      </c>
      <c r="O6901" s="270"/>
      <c r="P6901" s="270" t="s">
        <v>3944</v>
      </c>
      <c r="Q6901" s="270" t="s">
        <v>11685</v>
      </c>
      <c r="R6901" s="270">
        <v>320192.76</v>
      </c>
      <c r="S6901" s="270">
        <v>21505</v>
      </c>
      <c r="T6901" s="270">
        <v>341697.76</v>
      </c>
      <c r="U6901" s="271" t="s">
        <v>4099</v>
      </c>
      <c r="V6901" s="267" t="s">
        <v>944</v>
      </c>
    </row>
    <row r="6902" spans="1:22" hidden="1" x14ac:dyDescent="0.25">
      <c r="A6902" s="266">
        <v>43784</v>
      </c>
      <c r="B6902" s="267">
        <v>2019</v>
      </c>
      <c r="C6902" s="267">
        <v>2020</v>
      </c>
      <c r="D6902" s="267">
        <v>1</v>
      </c>
      <c r="E6902" s="267">
        <v>1</v>
      </c>
      <c r="F6902" s="267" t="s">
        <v>944</v>
      </c>
      <c r="G6902" s="267" t="s">
        <v>3926</v>
      </c>
      <c r="H6902" s="267" t="s">
        <v>11686</v>
      </c>
      <c r="I6902" s="267" t="s">
        <v>4108</v>
      </c>
      <c r="J6902" s="267" t="s">
        <v>3928</v>
      </c>
      <c r="K6902" s="267">
        <v>6082</v>
      </c>
      <c r="L6902" s="267">
        <v>480800</v>
      </c>
      <c r="M6902" s="267" t="s">
        <v>3935</v>
      </c>
      <c r="N6902" s="267" t="s">
        <v>11687</v>
      </c>
      <c r="O6902" s="267">
        <v>0</v>
      </c>
      <c r="P6902" s="267" t="s">
        <v>3930</v>
      </c>
      <c r="Q6902" s="267" t="s">
        <v>3930</v>
      </c>
      <c r="R6902" s="267">
        <v>0</v>
      </c>
      <c r="S6902" s="267">
        <v>9293.7000000000007</v>
      </c>
      <c r="T6902" s="267">
        <v>9293.7000000000007</v>
      </c>
      <c r="U6902" s="268" t="s">
        <v>3937</v>
      </c>
      <c r="V6902" s="267" t="s">
        <v>944</v>
      </c>
    </row>
    <row r="6903" spans="1:22" hidden="1" x14ac:dyDescent="0.25">
      <c r="A6903" s="269">
        <v>43784</v>
      </c>
      <c r="B6903" s="270">
        <v>2019</v>
      </c>
      <c r="C6903" s="270">
        <v>2020</v>
      </c>
      <c r="D6903" s="270">
        <v>1</v>
      </c>
      <c r="E6903" s="270">
        <v>1</v>
      </c>
      <c r="F6903" s="270" t="s">
        <v>944</v>
      </c>
      <c r="G6903" s="270" t="s">
        <v>3926</v>
      </c>
      <c r="H6903" s="270" t="s">
        <v>11688</v>
      </c>
      <c r="I6903" s="270" t="s">
        <v>4111</v>
      </c>
      <c r="J6903" s="270" t="s">
        <v>3928</v>
      </c>
      <c r="K6903" s="270">
        <v>6095</v>
      </c>
      <c r="L6903" s="270">
        <v>473601</v>
      </c>
      <c r="M6903" s="270" t="s">
        <v>3943</v>
      </c>
      <c r="N6903" s="270" t="s">
        <v>11689</v>
      </c>
      <c r="O6903" s="270">
        <v>0</v>
      </c>
      <c r="P6903" s="270" t="s">
        <v>3930</v>
      </c>
      <c r="Q6903" s="270" t="s">
        <v>3930</v>
      </c>
      <c r="R6903" s="270">
        <v>0</v>
      </c>
      <c r="S6903" s="270">
        <v>9057.6</v>
      </c>
      <c r="T6903" s="270">
        <v>9057.6</v>
      </c>
      <c r="U6903" s="271" t="s">
        <v>3937</v>
      </c>
      <c r="V6903" s="267" t="s">
        <v>944</v>
      </c>
    </row>
    <row r="6904" spans="1:22" hidden="1" x14ac:dyDescent="0.25">
      <c r="A6904" s="266">
        <v>43784</v>
      </c>
      <c r="B6904" s="267">
        <v>2019</v>
      </c>
      <c r="C6904" s="267">
        <v>2020</v>
      </c>
      <c r="D6904" s="267">
        <v>1</v>
      </c>
      <c r="E6904" s="267">
        <v>1</v>
      </c>
      <c r="F6904" s="267" t="s">
        <v>944</v>
      </c>
      <c r="G6904" s="267" t="s">
        <v>3926</v>
      </c>
      <c r="H6904" s="267" t="s">
        <v>11690</v>
      </c>
      <c r="I6904" s="267" t="s">
        <v>3008</v>
      </c>
      <c r="J6904" s="267" t="s">
        <v>3928</v>
      </c>
      <c r="K6904" s="267">
        <v>6461</v>
      </c>
      <c r="L6904" s="267">
        <v>150700</v>
      </c>
      <c r="M6904" s="267" t="s">
        <v>3943</v>
      </c>
      <c r="N6904" s="267" t="s">
        <v>11691</v>
      </c>
      <c r="O6904" s="267">
        <v>0</v>
      </c>
      <c r="P6904" s="267" t="s">
        <v>3930</v>
      </c>
      <c r="Q6904" s="267" t="s">
        <v>3930</v>
      </c>
      <c r="R6904" s="267">
        <v>0</v>
      </c>
      <c r="S6904" s="267">
        <v>8100</v>
      </c>
      <c r="T6904" s="267">
        <v>8100</v>
      </c>
      <c r="U6904" s="268" t="s">
        <v>3937</v>
      </c>
      <c r="V6904" s="267" t="s">
        <v>944</v>
      </c>
    </row>
    <row r="6905" spans="1:22" hidden="1" x14ac:dyDescent="0.25">
      <c r="A6905" s="269">
        <v>43784</v>
      </c>
      <c r="B6905" s="270">
        <v>2019</v>
      </c>
      <c r="C6905" s="270">
        <v>2020</v>
      </c>
      <c r="D6905" s="270">
        <v>1</v>
      </c>
      <c r="E6905" s="270">
        <v>1</v>
      </c>
      <c r="F6905" s="270" t="s">
        <v>944</v>
      </c>
      <c r="G6905" s="270" t="s">
        <v>3926</v>
      </c>
      <c r="H6905" s="270" t="s">
        <v>11692</v>
      </c>
      <c r="I6905" s="270" t="s">
        <v>4065</v>
      </c>
      <c r="J6905" s="270" t="s">
        <v>3928</v>
      </c>
      <c r="K6905" s="270">
        <v>6480</v>
      </c>
      <c r="L6905" s="270">
        <v>560200</v>
      </c>
      <c r="M6905" s="270" t="s">
        <v>3935</v>
      </c>
      <c r="N6905" s="270" t="s">
        <v>11693</v>
      </c>
      <c r="O6905" s="270">
        <v>2841</v>
      </c>
      <c r="P6905" s="270" t="s">
        <v>3930</v>
      </c>
      <c r="Q6905" s="270" t="s">
        <v>3930</v>
      </c>
      <c r="R6905" s="270">
        <v>2841</v>
      </c>
      <c r="S6905" s="270">
        <v>21124</v>
      </c>
      <c r="T6905" s="270">
        <v>23965</v>
      </c>
      <c r="U6905" s="271" t="s">
        <v>3937</v>
      </c>
      <c r="V6905" s="267" t="s">
        <v>944</v>
      </c>
    </row>
    <row r="6906" spans="1:22" hidden="1" x14ac:dyDescent="0.25">
      <c r="A6906" s="266">
        <v>43784</v>
      </c>
      <c r="B6906" s="267">
        <v>2019</v>
      </c>
      <c r="C6906" s="267">
        <v>2020</v>
      </c>
      <c r="D6906" s="267">
        <v>1</v>
      </c>
      <c r="E6906" s="267">
        <v>1</v>
      </c>
      <c r="F6906" s="267" t="s">
        <v>944</v>
      </c>
      <c r="G6906" s="267" t="s">
        <v>3997</v>
      </c>
      <c r="H6906" s="267" t="s">
        <v>11694</v>
      </c>
      <c r="I6906" s="267" t="s">
        <v>953</v>
      </c>
      <c r="J6906" s="267" t="s">
        <v>3928</v>
      </c>
      <c r="K6906" s="267">
        <v>6514</v>
      </c>
      <c r="L6906" s="267">
        <v>165802</v>
      </c>
      <c r="M6906" s="267" t="s">
        <v>3943</v>
      </c>
      <c r="N6906" s="267" t="s">
        <v>3944</v>
      </c>
      <c r="O6906" s="267">
        <v>5341</v>
      </c>
      <c r="P6906" s="267" t="s">
        <v>3944</v>
      </c>
      <c r="Q6906" s="267" t="s">
        <v>3944</v>
      </c>
      <c r="R6906" s="267">
        <v>5341</v>
      </c>
      <c r="S6906" s="267">
        <v>97699</v>
      </c>
      <c r="T6906" s="267">
        <v>103040</v>
      </c>
      <c r="U6906" s="268" t="s">
        <v>3945</v>
      </c>
      <c r="V6906" s="267" t="s">
        <v>944</v>
      </c>
    </row>
    <row r="6907" spans="1:22" hidden="1" x14ac:dyDescent="0.25">
      <c r="A6907" s="269">
        <v>43784</v>
      </c>
      <c r="B6907" s="270">
        <v>2019</v>
      </c>
      <c r="C6907" s="270">
        <v>2020</v>
      </c>
      <c r="D6907" s="270">
        <v>1</v>
      </c>
      <c r="E6907" s="270">
        <v>1</v>
      </c>
      <c r="F6907" s="270" t="s">
        <v>944</v>
      </c>
      <c r="G6907" s="270" t="s">
        <v>3926</v>
      </c>
      <c r="H6907" s="270" t="s">
        <v>11695</v>
      </c>
      <c r="I6907" s="270" t="s">
        <v>3934</v>
      </c>
      <c r="J6907" s="270" t="s">
        <v>3928</v>
      </c>
      <c r="K6907" s="270">
        <v>6405</v>
      </c>
      <c r="L6907" s="270">
        <v>184400</v>
      </c>
      <c r="M6907" s="270" t="s">
        <v>3935</v>
      </c>
      <c r="N6907" s="270" t="s">
        <v>3944</v>
      </c>
      <c r="O6907" s="270">
        <v>3380</v>
      </c>
      <c r="P6907" s="270" t="s">
        <v>3944</v>
      </c>
      <c r="Q6907" s="270" t="s">
        <v>3944</v>
      </c>
      <c r="R6907" s="270">
        <v>3380</v>
      </c>
      <c r="S6907" s="270">
        <v>25757.5</v>
      </c>
      <c r="T6907" s="270">
        <v>29137.5</v>
      </c>
      <c r="U6907" s="271" t="s">
        <v>3945</v>
      </c>
      <c r="V6907" s="267" t="s">
        <v>944</v>
      </c>
    </row>
    <row r="6908" spans="1:22" hidden="1" x14ac:dyDescent="0.25">
      <c r="A6908" s="266">
        <v>43784</v>
      </c>
      <c r="B6908" s="267">
        <v>2019</v>
      </c>
      <c r="C6908" s="267">
        <v>2020</v>
      </c>
      <c r="D6908" s="267">
        <v>1</v>
      </c>
      <c r="E6908" s="267">
        <v>1</v>
      </c>
      <c r="F6908" s="267" t="s">
        <v>944</v>
      </c>
      <c r="G6908" s="267" t="s">
        <v>3926</v>
      </c>
      <c r="H6908" s="267" t="s">
        <v>11696</v>
      </c>
      <c r="I6908" s="267" t="s">
        <v>4497</v>
      </c>
      <c r="J6908" s="267" t="s">
        <v>3928</v>
      </c>
      <c r="K6908" s="267">
        <v>6260</v>
      </c>
      <c r="L6908" s="267">
        <v>903100</v>
      </c>
      <c r="M6908" s="267" t="s">
        <v>3940</v>
      </c>
      <c r="N6908" s="267" t="s">
        <v>3944</v>
      </c>
      <c r="O6908" s="267">
        <v>4042</v>
      </c>
      <c r="P6908" s="267" t="s">
        <v>3944</v>
      </c>
      <c r="Q6908" s="267" t="s">
        <v>3944</v>
      </c>
      <c r="R6908" s="267">
        <v>4042</v>
      </c>
      <c r="S6908" s="267">
        <v>19918</v>
      </c>
      <c r="T6908" s="267">
        <v>23960</v>
      </c>
      <c r="U6908" s="268" t="s">
        <v>3945</v>
      </c>
      <c r="V6908" s="267" t="s">
        <v>944</v>
      </c>
    </row>
    <row r="6909" spans="1:22" hidden="1" x14ac:dyDescent="0.25">
      <c r="A6909" s="269">
        <v>43784</v>
      </c>
      <c r="B6909" s="270">
        <v>2019</v>
      </c>
      <c r="C6909" s="270">
        <v>2020</v>
      </c>
      <c r="D6909" s="270">
        <v>1</v>
      </c>
      <c r="E6909" s="270">
        <v>1</v>
      </c>
      <c r="F6909" s="270" t="s">
        <v>944</v>
      </c>
      <c r="G6909" s="270" t="s">
        <v>3926</v>
      </c>
      <c r="H6909" s="270" t="s">
        <v>11697</v>
      </c>
      <c r="I6909" s="270" t="s">
        <v>3993</v>
      </c>
      <c r="J6909" s="270" t="s">
        <v>3928</v>
      </c>
      <c r="K6909" s="270">
        <v>6415</v>
      </c>
      <c r="L6909" s="270">
        <v>714103</v>
      </c>
      <c r="M6909" s="270" t="s">
        <v>3943</v>
      </c>
      <c r="N6909" s="270" t="s">
        <v>3944</v>
      </c>
      <c r="O6909" s="270">
        <v>5069</v>
      </c>
      <c r="P6909" s="270" t="s">
        <v>3944</v>
      </c>
      <c r="Q6909" s="270" t="s">
        <v>3944</v>
      </c>
      <c r="R6909" s="270">
        <v>5069</v>
      </c>
      <c r="S6909" s="270">
        <v>41614</v>
      </c>
      <c r="T6909" s="270">
        <v>46683</v>
      </c>
      <c r="U6909" s="271" t="s">
        <v>3945</v>
      </c>
      <c r="V6909" s="267" t="s">
        <v>944</v>
      </c>
    </row>
    <row r="6910" spans="1:22" hidden="1" x14ac:dyDescent="0.25">
      <c r="A6910" s="266">
        <v>43784</v>
      </c>
      <c r="B6910" s="267">
        <v>2019</v>
      </c>
      <c r="C6910" s="267">
        <v>2020</v>
      </c>
      <c r="D6910" s="267">
        <v>1</v>
      </c>
      <c r="E6910" s="267">
        <v>1</v>
      </c>
      <c r="F6910" s="267" t="s">
        <v>944</v>
      </c>
      <c r="G6910" s="267" t="s">
        <v>3926</v>
      </c>
      <c r="H6910" s="267" t="s">
        <v>11698</v>
      </c>
      <c r="I6910" s="267" t="s">
        <v>3985</v>
      </c>
      <c r="J6910" s="267" t="s">
        <v>3928</v>
      </c>
      <c r="K6910" s="267">
        <v>6266</v>
      </c>
      <c r="L6910" s="267">
        <v>800500</v>
      </c>
      <c r="M6910" s="267" t="s">
        <v>3940</v>
      </c>
      <c r="N6910" s="267" t="s">
        <v>3944</v>
      </c>
      <c r="O6910" s="267">
        <v>2434</v>
      </c>
      <c r="P6910" s="267" t="s">
        <v>3944</v>
      </c>
      <c r="Q6910" s="267" t="s">
        <v>3944</v>
      </c>
      <c r="R6910" s="267">
        <v>2434</v>
      </c>
      <c r="S6910" s="267">
        <v>17978</v>
      </c>
      <c r="T6910" s="267">
        <v>20412</v>
      </c>
      <c r="U6910" s="268" t="s">
        <v>3945</v>
      </c>
      <c r="V6910" s="267" t="s">
        <v>944</v>
      </c>
    </row>
    <row r="6911" spans="1:22" hidden="1" x14ac:dyDescent="0.25">
      <c r="A6911" s="269">
        <v>43784</v>
      </c>
      <c r="B6911" s="270">
        <v>2019</v>
      </c>
      <c r="C6911" s="270">
        <v>2020</v>
      </c>
      <c r="D6911" s="270">
        <v>1</v>
      </c>
      <c r="E6911" s="270">
        <v>1</v>
      </c>
      <c r="F6911" s="270" t="s">
        <v>944</v>
      </c>
      <c r="G6911" s="270" t="s">
        <v>3926</v>
      </c>
      <c r="H6911" s="270" t="s">
        <v>11699</v>
      </c>
      <c r="I6911" s="270" t="s">
        <v>4037</v>
      </c>
      <c r="J6911" s="270" t="s">
        <v>3928</v>
      </c>
      <c r="K6911" s="270">
        <v>6811</v>
      </c>
      <c r="L6911" s="270">
        <v>210900</v>
      </c>
      <c r="M6911" s="270" t="s">
        <v>3943</v>
      </c>
      <c r="N6911" s="270" t="s">
        <v>3944</v>
      </c>
      <c r="O6911" s="270">
        <v>851.76</v>
      </c>
      <c r="P6911" s="270" t="s">
        <v>3944</v>
      </c>
      <c r="Q6911" s="270" t="s">
        <v>3944</v>
      </c>
      <c r="R6911" s="270">
        <v>851.76</v>
      </c>
      <c r="S6911" s="270">
        <v>13559.49</v>
      </c>
      <c r="T6911" s="270">
        <v>14411.25</v>
      </c>
      <c r="U6911" s="271" t="s">
        <v>3945</v>
      </c>
      <c r="V6911" s="267" t="s">
        <v>944</v>
      </c>
    </row>
    <row r="6912" spans="1:22" hidden="1" x14ac:dyDescent="0.25">
      <c r="A6912" s="266">
        <v>43784</v>
      </c>
      <c r="B6912" s="267">
        <v>2019</v>
      </c>
      <c r="C6912" s="267">
        <v>2020</v>
      </c>
      <c r="D6912" s="267">
        <v>1</v>
      </c>
      <c r="E6912" s="267">
        <v>1</v>
      </c>
      <c r="F6912" s="267" t="s">
        <v>944</v>
      </c>
      <c r="G6912" s="267" t="s">
        <v>3926</v>
      </c>
      <c r="H6912" s="267" t="s">
        <v>11700</v>
      </c>
      <c r="I6912" s="267" t="s">
        <v>3975</v>
      </c>
      <c r="J6912" s="267" t="s">
        <v>3928</v>
      </c>
      <c r="K6912" s="267">
        <v>6489</v>
      </c>
      <c r="L6912" s="267">
        <v>430301</v>
      </c>
      <c r="M6912" s="267" t="s">
        <v>3943</v>
      </c>
      <c r="N6912" s="267" t="s">
        <v>3944</v>
      </c>
      <c r="O6912" s="267">
        <v>1938.93</v>
      </c>
      <c r="P6912" s="267" t="s">
        <v>3944</v>
      </c>
      <c r="Q6912" s="267" t="s">
        <v>3944</v>
      </c>
      <c r="R6912" s="267">
        <v>1938.93</v>
      </c>
      <c r="S6912" s="267">
        <v>28222.27</v>
      </c>
      <c r="T6912" s="267">
        <v>30161.200000000001</v>
      </c>
      <c r="U6912" s="268" t="s">
        <v>3945</v>
      </c>
      <c r="V6912" s="267" t="s">
        <v>944</v>
      </c>
    </row>
    <row r="6913" spans="1:22" hidden="1" x14ac:dyDescent="0.25">
      <c r="A6913" s="269">
        <v>43784</v>
      </c>
      <c r="B6913" s="270">
        <v>2019</v>
      </c>
      <c r="C6913" s="270">
        <v>2020</v>
      </c>
      <c r="D6913" s="270">
        <v>1</v>
      </c>
      <c r="E6913" s="270">
        <v>1</v>
      </c>
      <c r="F6913" s="270" t="s">
        <v>944</v>
      </c>
      <c r="G6913" s="270" t="s">
        <v>3926</v>
      </c>
      <c r="H6913" s="270" t="s">
        <v>11701</v>
      </c>
      <c r="I6913" s="270" t="s">
        <v>3993</v>
      </c>
      <c r="J6913" s="270" t="s">
        <v>3928</v>
      </c>
      <c r="K6913" s="270">
        <v>6415</v>
      </c>
      <c r="L6913" s="270">
        <v>714104</v>
      </c>
      <c r="M6913" s="270" t="s">
        <v>3960</v>
      </c>
      <c r="N6913" s="270" t="s">
        <v>3944</v>
      </c>
      <c r="O6913" s="270">
        <v>2563.19</v>
      </c>
      <c r="P6913" s="270" t="s">
        <v>3944</v>
      </c>
      <c r="Q6913" s="270" t="s">
        <v>3944</v>
      </c>
      <c r="R6913" s="270">
        <v>2563.19</v>
      </c>
      <c r="S6913" s="270">
        <v>38647.449999999997</v>
      </c>
      <c r="T6913" s="270">
        <v>41210.639999999999</v>
      </c>
      <c r="U6913" s="271" t="s">
        <v>3945</v>
      </c>
      <c r="V6913" s="267" t="s">
        <v>944</v>
      </c>
    </row>
    <row r="6914" spans="1:22" hidden="1" x14ac:dyDescent="0.25">
      <c r="A6914" s="266">
        <v>43784</v>
      </c>
      <c r="B6914" s="267">
        <v>2019</v>
      </c>
      <c r="C6914" s="267">
        <v>2020</v>
      </c>
      <c r="D6914" s="267">
        <v>1</v>
      </c>
      <c r="E6914" s="267">
        <v>1</v>
      </c>
      <c r="F6914" s="267" t="s">
        <v>944</v>
      </c>
      <c r="G6914" s="267" t="s">
        <v>3926</v>
      </c>
      <c r="H6914" s="267" t="s">
        <v>11702</v>
      </c>
      <c r="I6914" s="267" t="s">
        <v>4029</v>
      </c>
      <c r="J6914" s="267" t="s">
        <v>3928</v>
      </c>
      <c r="K6914" s="267">
        <v>6854</v>
      </c>
      <c r="L6914" s="267">
        <v>43800</v>
      </c>
      <c r="M6914" s="267" t="s">
        <v>3935</v>
      </c>
      <c r="N6914" s="267" t="s">
        <v>3944</v>
      </c>
      <c r="O6914" s="267">
        <v>1370.25</v>
      </c>
      <c r="P6914" s="267" t="s">
        <v>3944</v>
      </c>
      <c r="Q6914" s="267" t="s">
        <v>3944</v>
      </c>
      <c r="R6914" s="267">
        <v>1370.25</v>
      </c>
      <c r="S6914" s="267">
        <v>18736.310000000001</v>
      </c>
      <c r="T6914" s="267">
        <v>20106.560000000001</v>
      </c>
      <c r="U6914" s="268" t="s">
        <v>3945</v>
      </c>
      <c r="V6914" s="267" t="s">
        <v>944</v>
      </c>
    </row>
    <row r="6915" spans="1:22" hidden="1" x14ac:dyDescent="0.25">
      <c r="A6915" s="269">
        <v>43784</v>
      </c>
      <c r="B6915" s="270">
        <v>2019</v>
      </c>
      <c r="C6915" s="270">
        <v>2020</v>
      </c>
      <c r="D6915" s="270">
        <v>1</v>
      </c>
      <c r="E6915" s="270">
        <v>1</v>
      </c>
      <c r="F6915" s="270" t="s">
        <v>944</v>
      </c>
      <c r="G6915" s="270" t="s">
        <v>3926</v>
      </c>
      <c r="H6915" s="270" t="s">
        <v>11703</v>
      </c>
      <c r="I6915" s="270" t="s">
        <v>4353</v>
      </c>
      <c r="J6915" s="270" t="s">
        <v>3928</v>
      </c>
      <c r="K6915" s="270">
        <v>6416</v>
      </c>
      <c r="L6915" s="270">
        <v>570300</v>
      </c>
      <c r="M6915" s="270" t="s">
        <v>3940</v>
      </c>
      <c r="N6915" s="270" t="s">
        <v>3944</v>
      </c>
      <c r="O6915" s="270">
        <v>1927.94</v>
      </c>
      <c r="P6915" s="270" t="s">
        <v>3944</v>
      </c>
      <c r="Q6915" s="270" t="s">
        <v>3944</v>
      </c>
      <c r="R6915" s="270">
        <v>1927.94</v>
      </c>
      <c r="S6915" s="270">
        <v>27855.31</v>
      </c>
      <c r="T6915" s="270">
        <v>29783.25</v>
      </c>
      <c r="U6915" s="271" t="s">
        <v>3945</v>
      </c>
      <c r="V6915" s="267" t="s">
        <v>944</v>
      </c>
    </row>
    <row r="6916" spans="1:22" hidden="1" x14ac:dyDescent="0.25">
      <c r="A6916" s="266">
        <v>43784</v>
      </c>
      <c r="B6916" s="267">
        <v>2019</v>
      </c>
      <c r="C6916" s="267">
        <v>2020</v>
      </c>
      <c r="D6916" s="267">
        <v>1</v>
      </c>
      <c r="E6916" s="267">
        <v>1</v>
      </c>
      <c r="F6916" s="267" t="s">
        <v>944</v>
      </c>
      <c r="G6916" s="267" t="s">
        <v>3926</v>
      </c>
      <c r="H6916" s="267" t="s">
        <v>11704</v>
      </c>
      <c r="I6916" s="267" t="s">
        <v>5325</v>
      </c>
      <c r="J6916" s="267" t="s">
        <v>3928</v>
      </c>
      <c r="K6916" s="267">
        <v>6057</v>
      </c>
      <c r="L6916" s="267">
        <v>306100</v>
      </c>
      <c r="M6916" s="267" t="s">
        <v>3943</v>
      </c>
      <c r="N6916" s="267" t="s">
        <v>3944</v>
      </c>
      <c r="O6916" s="267">
        <v>2124.5700000000002</v>
      </c>
      <c r="P6916" s="267" t="s">
        <v>3944</v>
      </c>
      <c r="Q6916" s="267" t="s">
        <v>3944</v>
      </c>
      <c r="R6916" s="267">
        <v>2124.5700000000002</v>
      </c>
      <c r="S6916" s="267">
        <v>29580.18</v>
      </c>
      <c r="T6916" s="267">
        <v>31704.75</v>
      </c>
      <c r="U6916" s="268" t="s">
        <v>3945</v>
      </c>
      <c r="V6916" s="267" t="s">
        <v>944</v>
      </c>
    </row>
    <row r="6917" spans="1:22" hidden="1" x14ac:dyDescent="0.25">
      <c r="A6917" s="269">
        <v>43784</v>
      </c>
      <c r="B6917" s="270">
        <v>2019</v>
      </c>
      <c r="C6917" s="270">
        <v>2020</v>
      </c>
      <c r="D6917" s="270">
        <v>1</v>
      </c>
      <c r="E6917" s="270">
        <v>1</v>
      </c>
      <c r="F6917" s="270" t="s">
        <v>944</v>
      </c>
      <c r="G6917" s="270" t="s">
        <v>3926</v>
      </c>
      <c r="H6917" s="270" t="s">
        <v>11705</v>
      </c>
      <c r="I6917" s="270" t="s">
        <v>3996</v>
      </c>
      <c r="J6917" s="270" t="s">
        <v>3928</v>
      </c>
      <c r="K6917" s="270">
        <v>6790</v>
      </c>
      <c r="L6917" s="270">
        <v>310801</v>
      </c>
      <c r="M6917" s="270" t="s">
        <v>3940</v>
      </c>
      <c r="N6917" s="270" t="s">
        <v>3944</v>
      </c>
      <c r="O6917" s="270">
        <v>2061.5</v>
      </c>
      <c r="P6917" s="270" t="s">
        <v>3944</v>
      </c>
      <c r="Q6917" s="270" t="s">
        <v>3944</v>
      </c>
      <c r="R6917" s="270">
        <v>2061.5</v>
      </c>
      <c r="S6917" s="270">
        <v>30604</v>
      </c>
      <c r="T6917" s="270">
        <v>32665.5</v>
      </c>
      <c r="U6917" s="271" t="s">
        <v>3945</v>
      </c>
      <c r="V6917" s="267" t="s">
        <v>944</v>
      </c>
    </row>
    <row r="6918" spans="1:22" hidden="1" x14ac:dyDescent="0.25">
      <c r="A6918" s="266">
        <v>43784</v>
      </c>
      <c r="B6918" s="267">
        <v>2019</v>
      </c>
      <c r="C6918" s="267">
        <v>2020</v>
      </c>
      <c r="D6918" s="267">
        <v>1</v>
      </c>
      <c r="E6918" s="267">
        <v>1</v>
      </c>
      <c r="F6918" s="267" t="s">
        <v>944</v>
      </c>
      <c r="G6918" s="267" t="s">
        <v>3926</v>
      </c>
      <c r="H6918" s="267" t="s">
        <v>11706</v>
      </c>
      <c r="I6918" s="267" t="s">
        <v>4035</v>
      </c>
      <c r="J6918" s="267" t="s">
        <v>3928</v>
      </c>
      <c r="K6918" s="267">
        <v>6074</v>
      </c>
      <c r="L6918" s="267">
        <v>487100</v>
      </c>
      <c r="M6918" s="267" t="s">
        <v>3943</v>
      </c>
      <c r="N6918" s="267" t="s">
        <v>3944</v>
      </c>
      <c r="O6918" s="267">
        <v>3019.28</v>
      </c>
      <c r="P6918" s="267" t="s">
        <v>3944</v>
      </c>
      <c r="Q6918" s="267" t="s">
        <v>3944</v>
      </c>
      <c r="R6918" s="267">
        <v>3019.28</v>
      </c>
      <c r="S6918" s="267">
        <v>44083.82</v>
      </c>
      <c r="T6918" s="267">
        <v>47103.1</v>
      </c>
      <c r="U6918" s="268" t="s">
        <v>3945</v>
      </c>
      <c r="V6918" s="267" t="s">
        <v>944</v>
      </c>
    </row>
    <row r="6919" spans="1:22" hidden="1" x14ac:dyDescent="0.25">
      <c r="A6919" s="269">
        <v>43784</v>
      </c>
      <c r="B6919" s="270">
        <v>2019</v>
      </c>
      <c r="C6919" s="270">
        <v>2020</v>
      </c>
      <c r="D6919" s="270">
        <v>1</v>
      </c>
      <c r="E6919" s="270">
        <v>1</v>
      </c>
      <c r="F6919" s="270" t="s">
        <v>944</v>
      </c>
      <c r="G6919" s="270" t="s">
        <v>3926</v>
      </c>
      <c r="H6919" s="270" t="s">
        <v>11707</v>
      </c>
      <c r="I6919" s="270" t="s">
        <v>3985</v>
      </c>
      <c r="J6919" s="270" t="s">
        <v>3928</v>
      </c>
      <c r="K6919" s="270">
        <v>6226</v>
      </c>
      <c r="L6919" s="270">
        <v>800300</v>
      </c>
      <c r="M6919" s="270">
        <v>-60</v>
      </c>
      <c r="N6919" s="270" t="s">
        <v>3944</v>
      </c>
      <c r="O6919" s="270">
        <v>751.38</v>
      </c>
      <c r="P6919" s="270" t="s">
        <v>3944</v>
      </c>
      <c r="Q6919" s="270" t="s">
        <v>3944</v>
      </c>
      <c r="R6919" s="270">
        <v>751.38</v>
      </c>
      <c r="S6919" s="270">
        <v>10778.58</v>
      </c>
      <c r="T6919" s="270">
        <v>11529.96</v>
      </c>
      <c r="U6919" s="271" t="s">
        <v>3945</v>
      </c>
      <c r="V6919" s="267" t="s">
        <v>944</v>
      </c>
    </row>
    <row r="6920" spans="1:22" hidden="1" x14ac:dyDescent="0.25">
      <c r="A6920" s="266">
        <v>43784</v>
      </c>
      <c r="B6920" s="267">
        <v>2019</v>
      </c>
      <c r="C6920" s="267">
        <v>2020</v>
      </c>
      <c r="D6920" s="267">
        <v>1</v>
      </c>
      <c r="E6920" s="267">
        <v>1</v>
      </c>
      <c r="F6920" s="267" t="s">
        <v>944</v>
      </c>
      <c r="G6920" s="267" t="s">
        <v>3926</v>
      </c>
      <c r="H6920" s="267" t="s">
        <v>11708</v>
      </c>
      <c r="I6920" s="267" t="s">
        <v>4008</v>
      </c>
      <c r="J6920" s="267" t="s">
        <v>3928</v>
      </c>
      <c r="K6920" s="267">
        <v>6320</v>
      </c>
      <c r="L6920" s="267">
        <v>690300</v>
      </c>
      <c r="M6920" s="267">
        <v>-60</v>
      </c>
      <c r="N6920" s="267" t="s">
        <v>3944</v>
      </c>
      <c r="O6920" s="267">
        <v>776.48</v>
      </c>
      <c r="P6920" s="267" t="s">
        <v>3944</v>
      </c>
      <c r="Q6920" s="267" t="s">
        <v>3944</v>
      </c>
      <c r="R6920" s="267">
        <v>776.48</v>
      </c>
      <c r="S6920" s="267">
        <v>12473.71</v>
      </c>
      <c r="T6920" s="267">
        <v>13250.19</v>
      </c>
      <c r="U6920" s="268" t="s">
        <v>3945</v>
      </c>
      <c r="V6920" s="267" t="s">
        <v>944</v>
      </c>
    </row>
    <row r="6921" spans="1:22" hidden="1" x14ac:dyDescent="0.25">
      <c r="A6921" s="269">
        <v>43784</v>
      </c>
      <c r="B6921" s="270">
        <v>2019</v>
      </c>
      <c r="C6921" s="270">
        <v>2020</v>
      </c>
      <c r="D6921" s="270">
        <v>1</v>
      </c>
      <c r="E6921" s="270">
        <v>1</v>
      </c>
      <c r="F6921" s="270" t="s">
        <v>944</v>
      </c>
      <c r="G6921" s="270" t="s">
        <v>3926</v>
      </c>
      <c r="H6921" s="270" t="s">
        <v>11709</v>
      </c>
      <c r="I6921" s="270" t="s">
        <v>4699</v>
      </c>
      <c r="J6921" s="270" t="s">
        <v>3928</v>
      </c>
      <c r="K6921" s="270">
        <v>6377</v>
      </c>
      <c r="L6921" s="270">
        <v>908100</v>
      </c>
      <c r="M6921" s="270" t="s">
        <v>3935</v>
      </c>
      <c r="N6921" s="270" t="s">
        <v>3944</v>
      </c>
      <c r="O6921" s="270">
        <v>1974.42</v>
      </c>
      <c r="P6921" s="270" t="s">
        <v>3944</v>
      </c>
      <c r="Q6921" s="270" t="s">
        <v>3944</v>
      </c>
      <c r="R6921" s="270">
        <v>1974.42</v>
      </c>
      <c r="S6921" s="270">
        <v>25518.75</v>
      </c>
      <c r="T6921" s="270">
        <v>27493.17</v>
      </c>
      <c r="U6921" s="271" t="s">
        <v>3945</v>
      </c>
      <c r="V6921" s="267" t="s">
        <v>944</v>
      </c>
    </row>
    <row r="6922" spans="1:22" hidden="1" x14ac:dyDescent="0.25">
      <c r="A6922" s="266">
        <v>43784</v>
      </c>
      <c r="B6922" s="267">
        <v>2019</v>
      </c>
      <c r="C6922" s="267">
        <v>2020</v>
      </c>
      <c r="D6922" s="267">
        <v>1</v>
      </c>
      <c r="E6922" s="267">
        <v>1</v>
      </c>
      <c r="F6922" s="267" t="s">
        <v>944</v>
      </c>
      <c r="G6922" s="267" t="s">
        <v>3926</v>
      </c>
      <c r="H6922" s="267" t="s">
        <v>11710</v>
      </c>
      <c r="I6922" s="267" t="s">
        <v>4947</v>
      </c>
      <c r="J6922" s="267" t="s">
        <v>3928</v>
      </c>
      <c r="K6922" s="267">
        <v>6787</v>
      </c>
      <c r="L6922" s="267">
        <v>349200</v>
      </c>
      <c r="M6922" s="267" t="s">
        <v>3940</v>
      </c>
      <c r="N6922" s="267" t="s">
        <v>3944</v>
      </c>
      <c r="O6922" s="267">
        <v>3085.64</v>
      </c>
      <c r="P6922" s="267" t="s">
        <v>3944</v>
      </c>
      <c r="Q6922" s="267" t="s">
        <v>3944</v>
      </c>
      <c r="R6922" s="267">
        <v>3085.64</v>
      </c>
      <c r="S6922" s="267">
        <v>44704.68</v>
      </c>
      <c r="T6922" s="267">
        <v>47790.32</v>
      </c>
      <c r="U6922" s="268" t="s">
        <v>3945</v>
      </c>
      <c r="V6922" s="267" t="s">
        <v>944</v>
      </c>
    </row>
    <row r="6923" spans="1:22" hidden="1" x14ac:dyDescent="0.25">
      <c r="A6923" s="269">
        <v>43784</v>
      </c>
      <c r="B6923" s="270">
        <v>2019</v>
      </c>
      <c r="C6923" s="270">
        <v>2020</v>
      </c>
      <c r="D6923" s="270">
        <v>1</v>
      </c>
      <c r="E6923" s="270">
        <v>1</v>
      </c>
      <c r="F6923" s="270" t="s">
        <v>944</v>
      </c>
      <c r="G6923" s="270" t="s">
        <v>3926</v>
      </c>
      <c r="H6923" s="270" t="s">
        <v>11711</v>
      </c>
      <c r="I6923" s="270" t="s">
        <v>4353</v>
      </c>
      <c r="J6923" s="270" t="s">
        <v>3928</v>
      </c>
      <c r="K6923" s="270">
        <v>6416</v>
      </c>
      <c r="L6923" s="270">
        <v>570200</v>
      </c>
      <c r="M6923" s="270" t="s">
        <v>3943</v>
      </c>
      <c r="N6923" s="270" t="s">
        <v>3944</v>
      </c>
      <c r="O6923" s="270">
        <v>2979.66</v>
      </c>
      <c r="P6923" s="270" t="s">
        <v>3944</v>
      </c>
      <c r="Q6923" s="270" t="s">
        <v>3944</v>
      </c>
      <c r="R6923" s="270">
        <v>2979.66</v>
      </c>
      <c r="S6923" s="270">
        <v>41209.120000000003</v>
      </c>
      <c r="T6923" s="270">
        <v>44188.78</v>
      </c>
      <c r="U6923" s="271" t="s">
        <v>3945</v>
      </c>
      <c r="V6923" s="267" t="s">
        <v>944</v>
      </c>
    </row>
    <row r="6924" spans="1:22" hidden="1" x14ac:dyDescent="0.25">
      <c r="A6924" s="266">
        <v>43784</v>
      </c>
      <c r="B6924" s="267">
        <v>2019</v>
      </c>
      <c r="C6924" s="267">
        <v>2020</v>
      </c>
      <c r="D6924" s="267">
        <v>1</v>
      </c>
      <c r="E6924" s="267">
        <v>1</v>
      </c>
      <c r="F6924" s="267" t="s">
        <v>944</v>
      </c>
      <c r="G6924" s="267" t="s">
        <v>3926</v>
      </c>
      <c r="H6924" s="267" t="s">
        <v>11712</v>
      </c>
      <c r="I6924" s="267" t="s">
        <v>956</v>
      </c>
      <c r="J6924" s="267" t="s">
        <v>3928</v>
      </c>
      <c r="K6924" s="267">
        <v>6615</v>
      </c>
      <c r="L6924" s="267">
        <v>80200</v>
      </c>
      <c r="M6924" s="267" t="s">
        <v>3935</v>
      </c>
      <c r="N6924" s="267" t="s">
        <v>3944</v>
      </c>
      <c r="O6924" s="267">
        <v>2857.93</v>
      </c>
      <c r="P6924" s="267" t="s">
        <v>3944</v>
      </c>
      <c r="Q6924" s="267" t="s">
        <v>3944</v>
      </c>
      <c r="R6924" s="267">
        <v>2857.93</v>
      </c>
      <c r="S6924" s="267">
        <v>42806.33</v>
      </c>
      <c r="T6924" s="267">
        <v>45664.26</v>
      </c>
      <c r="U6924" s="268" t="s">
        <v>3945</v>
      </c>
      <c r="V6924" s="267" t="s">
        <v>944</v>
      </c>
    </row>
    <row r="6925" spans="1:22" hidden="1" x14ac:dyDescent="0.25">
      <c r="A6925" s="269">
        <v>43784</v>
      </c>
      <c r="B6925" s="270">
        <v>2019</v>
      </c>
      <c r="C6925" s="270">
        <v>2020</v>
      </c>
      <c r="D6925" s="270">
        <v>1</v>
      </c>
      <c r="E6925" s="270">
        <v>1</v>
      </c>
      <c r="F6925" s="270" t="s">
        <v>944</v>
      </c>
      <c r="G6925" s="270" t="s">
        <v>3926</v>
      </c>
      <c r="H6925" s="270" t="s">
        <v>11713</v>
      </c>
      <c r="I6925" s="270" t="s">
        <v>4085</v>
      </c>
      <c r="J6925" s="270" t="s">
        <v>3928</v>
      </c>
      <c r="K6925" s="270">
        <v>6351</v>
      </c>
      <c r="L6925" s="270">
        <v>709100</v>
      </c>
      <c r="M6925" s="270" t="s">
        <v>3935</v>
      </c>
      <c r="N6925" s="270" t="s">
        <v>3944</v>
      </c>
      <c r="O6925" s="270">
        <v>1467.94</v>
      </c>
      <c r="P6925" s="270" t="s">
        <v>3944</v>
      </c>
      <c r="Q6925" s="270" t="s">
        <v>3944</v>
      </c>
      <c r="R6925" s="270">
        <v>1467.94</v>
      </c>
      <c r="S6925" s="270">
        <v>21730.83</v>
      </c>
      <c r="T6925" s="270">
        <v>23198.77</v>
      </c>
      <c r="U6925" s="271" t="s">
        <v>3945</v>
      </c>
      <c r="V6925" s="267" t="s">
        <v>944</v>
      </c>
    </row>
    <row r="6926" spans="1:22" hidden="1" x14ac:dyDescent="0.25">
      <c r="A6926" s="266">
        <v>43784</v>
      </c>
      <c r="B6926" s="267">
        <v>2019</v>
      </c>
      <c r="C6926" s="267">
        <v>2020</v>
      </c>
      <c r="D6926" s="267">
        <v>1</v>
      </c>
      <c r="E6926" s="267">
        <v>1</v>
      </c>
      <c r="F6926" s="267" t="s">
        <v>944</v>
      </c>
      <c r="G6926" s="267" t="s">
        <v>3926</v>
      </c>
      <c r="H6926" s="267" t="s">
        <v>11714</v>
      </c>
      <c r="I6926" s="267" t="s">
        <v>4042</v>
      </c>
      <c r="J6926" s="267" t="s">
        <v>3928</v>
      </c>
      <c r="K6926" s="267">
        <v>6382</v>
      </c>
      <c r="L6926" s="267">
        <v>870502</v>
      </c>
      <c r="M6926" s="267" t="s">
        <v>3940</v>
      </c>
      <c r="N6926" s="267" t="s">
        <v>3944</v>
      </c>
      <c r="O6926" s="267">
        <v>1717.24</v>
      </c>
      <c r="P6926" s="267" t="s">
        <v>3944</v>
      </c>
      <c r="Q6926" s="267" t="s">
        <v>3944</v>
      </c>
      <c r="R6926" s="267">
        <v>1717.24</v>
      </c>
      <c r="S6926" s="267">
        <v>26571.16</v>
      </c>
      <c r="T6926" s="267">
        <v>28288.400000000001</v>
      </c>
      <c r="U6926" s="268" t="s">
        <v>3945</v>
      </c>
      <c r="V6926" s="267" t="s">
        <v>944</v>
      </c>
    </row>
    <row r="6927" spans="1:22" hidden="1" x14ac:dyDescent="0.25">
      <c r="A6927" s="269">
        <v>43784</v>
      </c>
      <c r="B6927" s="270">
        <v>2019</v>
      </c>
      <c r="C6927" s="270">
        <v>2020</v>
      </c>
      <c r="D6927" s="270">
        <v>1</v>
      </c>
      <c r="E6927" s="270">
        <v>1</v>
      </c>
      <c r="F6927" s="270" t="s">
        <v>944</v>
      </c>
      <c r="G6927" s="270" t="s">
        <v>3926</v>
      </c>
      <c r="H6927" s="270" t="s">
        <v>11715</v>
      </c>
      <c r="I6927" s="270" t="s">
        <v>3968</v>
      </c>
      <c r="J6927" s="270" t="s">
        <v>3928</v>
      </c>
      <c r="K6927" s="270">
        <v>6040</v>
      </c>
      <c r="L6927" s="270">
        <v>514800</v>
      </c>
      <c r="M6927" s="270" t="s">
        <v>3940</v>
      </c>
      <c r="N6927" s="270" t="s">
        <v>3944</v>
      </c>
      <c r="O6927" s="270">
        <v>1638.21</v>
      </c>
      <c r="P6927" s="270" t="s">
        <v>3944</v>
      </c>
      <c r="Q6927" s="270" t="s">
        <v>3944</v>
      </c>
      <c r="R6927" s="270">
        <v>1638.21</v>
      </c>
      <c r="S6927" s="270">
        <v>21643.07</v>
      </c>
      <c r="T6927" s="270">
        <v>23281.279999999999</v>
      </c>
      <c r="U6927" s="271" t="s">
        <v>3945</v>
      </c>
      <c r="V6927" s="267" t="s">
        <v>944</v>
      </c>
    </row>
    <row r="6928" spans="1:22" hidden="1" x14ac:dyDescent="0.25">
      <c r="A6928" s="266">
        <v>43784</v>
      </c>
      <c r="B6928" s="267">
        <v>2019</v>
      </c>
      <c r="C6928" s="267">
        <v>2020</v>
      </c>
      <c r="D6928" s="267">
        <v>1</v>
      </c>
      <c r="E6928" s="267">
        <v>1</v>
      </c>
      <c r="F6928" s="267" t="s">
        <v>944</v>
      </c>
      <c r="G6928" s="267" t="s">
        <v>3926</v>
      </c>
      <c r="H6928" s="267" t="s">
        <v>11716</v>
      </c>
      <c r="I6928" s="267" t="s">
        <v>3962</v>
      </c>
      <c r="J6928" s="267" t="s">
        <v>3928</v>
      </c>
      <c r="K6928" s="267">
        <v>6379</v>
      </c>
      <c r="L6928" s="267">
        <v>705102</v>
      </c>
      <c r="M6928" s="267" t="s">
        <v>3940</v>
      </c>
      <c r="N6928" s="267" t="s">
        <v>3944</v>
      </c>
      <c r="O6928" s="267">
        <v>986.58</v>
      </c>
      <c r="P6928" s="267" t="s">
        <v>3944</v>
      </c>
      <c r="Q6928" s="267" t="s">
        <v>3944</v>
      </c>
      <c r="R6928" s="267">
        <v>986.58</v>
      </c>
      <c r="S6928" s="267">
        <v>16020.53</v>
      </c>
      <c r="T6928" s="267">
        <v>17007.11</v>
      </c>
      <c r="U6928" s="268" t="s">
        <v>3945</v>
      </c>
      <c r="V6928" s="267" t="s">
        <v>944</v>
      </c>
    </row>
    <row r="6929" spans="1:22" hidden="1" x14ac:dyDescent="0.25">
      <c r="A6929" s="269">
        <v>43784</v>
      </c>
      <c r="B6929" s="270">
        <v>2019</v>
      </c>
      <c r="C6929" s="270">
        <v>2020</v>
      </c>
      <c r="D6929" s="270">
        <v>1</v>
      </c>
      <c r="E6929" s="270">
        <v>1</v>
      </c>
      <c r="F6929" s="270" t="s">
        <v>944</v>
      </c>
      <c r="G6929" s="270" t="s">
        <v>3926</v>
      </c>
      <c r="H6929" s="270" t="s">
        <v>11717</v>
      </c>
      <c r="I6929" s="270" t="s">
        <v>4011</v>
      </c>
      <c r="J6929" s="270" t="s">
        <v>3928</v>
      </c>
      <c r="K6929" s="270">
        <v>6002</v>
      </c>
      <c r="L6929" s="270">
        <v>471300</v>
      </c>
      <c r="M6929" s="270" t="s">
        <v>3935</v>
      </c>
      <c r="N6929" s="270" t="s">
        <v>3944</v>
      </c>
      <c r="O6929" s="270">
        <v>1695.05</v>
      </c>
      <c r="P6929" s="270" t="s">
        <v>3944</v>
      </c>
      <c r="Q6929" s="270" t="s">
        <v>3944</v>
      </c>
      <c r="R6929" s="270">
        <v>1695.05</v>
      </c>
      <c r="S6929" s="270">
        <v>25205.95</v>
      </c>
      <c r="T6929" s="270">
        <v>26901</v>
      </c>
      <c r="U6929" s="271" t="s">
        <v>3945</v>
      </c>
      <c r="V6929" s="267" t="s">
        <v>944</v>
      </c>
    </row>
    <row r="6930" spans="1:22" hidden="1" x14ac:dyDescent="0.25">
      <c r="A6930" s="266">
        <v>43784</v>
      </c>
      <c r="B6930" s="267">
        <v>2019</v>
      </c>
      <c r="C6930" s="267">
        <v>2020</v>
      </c>
      <c r="D6930" s="267">
        <v>1</v>
      </c>
      <c r="E6930" s="267">
        <v>343</v>
      </c>
      <c r="F6930" s="267" t="s">
        <v>944</v>
      </c>
      <c r="G6930" s="267" t="s">
        <v>3997</v>
      </c>
      <c r="H6930" s="267" t="s">
        <v>11718</v>
      </c>
      <c r="I6930" s="267" t="s">
        <v>953</v>
      </c>
      <c r="J6930" s="267" t="s">
        <v>3928</v>
      </c>
      <c r="K6930" s="267">
        <v>6517</v>
      </c>
      <c r="L6930" s="267">
        <v>165400</v>
      </c>
      <c r="M6930" s="267" t="s">
        <v>3935</v>
      </c>
      <c r="N6930" s="267" t="s">
        <v>11719</v>
      </c>
      <c r="O6930" s="267"/>
      <c r="P6930" s="267" t="s">
        <v>3944</v>
      </c>
      <c r="Q6930" s="267" t="s">
        <v>11719</v>
      </c>
      <c r="R6930" s="267">
        <v>13615</v>
      </c>
      <c r="S6930" s="267">
        <v>0</v>
      </c>
      <c r="T6930" s="267">
        <v>13615</v>
      </c>
      <c r="U6930" s="268" t="s">
        <v>5027</v>
      </c>
      <c r="V6930" s="267" t="s">
        <v>944</v>
      </c>
    </row>
    <row r="6931" spans="1:22" hidden="1" x14ac:dyDescent="0.25">
      <c r="A6931" s="269">
        <v>43784</v>
      </c>
      <c r="B6931" s="270">
        <v>2019</v>
      </c>
      <c r="C6931" s="270">
        <v>2020</v>
      </c>
      <c r="D6931" s="270">
        <v>1</v>
      </c>
      <c r="E6931" s="270">
        <v>1</v>
      </c>
      <c r="F6931" s="270" t="s">
        <v>944</v>
      </c>
      <c r="G6931" s="270" t="s">
        <v>3926</v>
      </c>
      <c r="H6931" s="270" t="s">
        <v>11720</v>
      </c>
      <c r="I6931" s="270" t="s">
        <v>4069</v>
      </c>
      <c r="J6931" s="270" t="s">
        <v>3928</v>
      </c>
      <c r="K6931" s="270">
        <v>6902</v>
      </c>
      <c r="L6931" s="270">
        <v>22100</v>
      </c>
      <c r="M6931" s="270" t="s">
        <v>3940</v>
      </c>
      <c r="N6931" s="270" t="s">
        <v>3944</v>
      </c>
      <c r="O6931" s="270">
        <v>989.28</v>
      </c>
      <c r="P6931" s="270" t="s">
        <v>3944</v>
      </c>
      <c r="Q6931" s="270" t="s">
        <v>3944</v>
      </c>
      <c r="R6931" s="270">
        <v>989.28</v>
      </c>
      <c r="S6931" s="270">
        <v>15383.8</v>
      </c>
      <c r="T6931" s="270">
        <v>16373.08</v>
      </c>
      <c r="U6931" s="271" t="s">
        <v>3945</v>
      </c>
      <c r="V6931" s="267" t="s">
        <v>944</v>
      </c>
    </row>
    <row r="6932" spans="1:22" hidden="1" x14ac:dyDescent="0.25">
      <c r="A6932" s="266">
        <v>43784</v>
      </c>
      <c r="B6932" s="267">
        <v>2019</v>
      </c>
      <c r="C6932" s="267">
        <v>2020</v>
      </c>
      <c r="D6932" s="267">
        <v>1</v>
      </c>
      <c r="E6932" s="267">
        <v>1</v>
      </c>
      <c r="F6932" s="267" t="s">
        <v>944</v>
      </c>
      <c r="G6932" s="267" t="s">
        <v>3926</v>
      </c>
      <c r="H6932" s="267" t="s">
        <v>11721</v>
      </c>
      <c r="I6932" s="267" t="s">
        <v>4147</v>
      </c>
      <c r="J6932" s="267" t="s">
        <v>3928</v>
      </c>
      <c r="K6932" s="267">
        <v>6109</v>
      </c>
      <c r="L6932" s="267">
        <v>492300</v>
      </c>
      <c r="M6932" s="267" t="s">
        <v>3940</v>
      </c>
      <c r="N6932" s="267" t="s">
        <v>3944</v>
      </c>
      <c r="O6932" s="267">
        <v>748.09</v>
      </c>
      <c r="P6932" s="267" t="s">
        <v>3944</v>
      </c>
      <c r="Q6932" s="267" t="s">
        <v>3944</v>
      </c>
      <c r="R6932" s="267">
        <v>748.09</v>
      </c>
      <c r="S6932" s="267">
        <v>10762.39</v>
      </c>
      <c r="T6932" s="267">
        <v>11510.48</v>
      </c>
      <c r="U6932" s="268" t="s">
        <v>3945</v>
      </c>
      <c r="V6932" s="267" t="s">
        <v>944</v>
      </c>
    </row>
    <row r="6933" spans="1:22" hidden="1" x14ac:dyDescent="0.25">
      <c r="A6933" s="269">
        <v>43784</v>
      </c>
      <c r="B6933" s="270">
        <v>2019</v>
      </c>
      <c r="C6933" s="270">
        <v>2020</v>
      </c>
      <c r="D6933" s="270">
        <v>1</v>
      </c>
      <c r="E6933" s="270">
        <v>1</v>
      </c>
      <c r="F6933" s="270" t="s">
        <v>944</v>
      </c>
      <c r="G6933" s="270" t="s">
        <v>3926</v>
      </c>
      <c r="H6933" s="270" t="s">
        <v>11722</v>
      </c>
      <c r="I6933" s="270" t="s">
        <v>4147</v>
      </c>
      <c r="J6933" s="270" t="s">
        <v>3928</v>
      </c>
      <c r="K6933" s="270">
        <v>6109</v>
      </c>
      <c r="L6933" s="270">
        <v>492200</v>
      </c>
      <c r="M6933" s="270" t="s">
        <v>3960</v>
      </c>
      <c r="N6933" s="270" t="s">
        <v>3944</v>
      </c>
      <c r="O6933" s="270">
        <v>1702.72</v>
      </c>
      <c r="P6933" s="270" t="s">
        <v>3944</v>
      </c>
      <c r="Q6933" s="270" t="s">
        <v>3944</v>
      </c>
      <c r="R6933" s="270">
        <v>1702.72</v>
      </c>
      <c r="S6933" s="270">
        <v>23173.89</v>
      </c>
      <c r="T6933" s="270">
        <v>24876.61</v>
      </c>
      <c r="U6933" s="271" t="s">
        <v>3945</v>
      </c>
      <c r="V6933" s="267" t="s">
        <v>944</v>
      </c>
    </row>
    <row r="6934" spans="1:22" hidden="1" x14ac:dyDescent="0.25">
      <c r="A6934" s="266">
        <v>43784</v>
      </c>
      <c r="B6934" s="267">
        <v>2019</v>
      </c>
      <c r="C6934" s="267">
        <v>2020</v>
      </c>
      <c r="D6934" s="267">
        <v>1</v>
      </c>
      <c r="E6934" s="267">
        <v>1</v>
      </c>
      <c r="F6934" s="267" t="s">
        <v>944</v>
      </c>
      <c r="G6934" s="267" t="s">
        <v>3926</v>
      </c>
      <c r="H6934" s="267" t="s">
        <v>11723</v>
      </c>
      <c r="I6934" s="267" t="s">
        <v>4250</v>
      </c>
      <c r="J6934" s="267" t="s">
        <v>3928</v>
      </c>
      <c r="K6934" s="267">
        <v>6239</v>
      </c>
      <c r="L6934" s="267">
        <v>904500</v>
      </c>
      <c r="M6934" s="267" t="s">
        <v>3940</v>
      </c>
      <c r="N6934" s="267" t="s">
        <v>3944</v>
      </c>
      <c r="O6934" s="267">
        <v>1693.58</v>
      </c>
      <c r="P6934" s="267" t="s">
        <v>3944</v>
      </c>
      <c r="Q6934" s="267" t="s">
        <v>3944</v>
      </c>
      <c r="R6934" s="267">
        <v>1693.58</v>
      </c>
      <c r="S6934" s="267">
        <v>24154.94</v>
      </c>
      <c r="T6934" s="267">
        <v>25848.52</v>
      </c>
      <c r="U6934" s="268" t="s">
        <v>3945</v>
      </c>
      <c r="V6934" s="267" t="s">
        <v>944</v>
      </c>
    </row>
    <row r="6935" spans="1:22" hidden="1" x14ac:dyDescent="0.25">
      <c r="A6935" s="269">
        <v>43784</v>
      </c>
      <c r="B6935" s="270">
        <v>2019</v>
      </c>
      <c r="C6935" s="270">
        <v>2020</v>
      </c>
      <c r="D6935" s="270">
        <v>1</v>
      </c>
      <c r="E6935" s="270">
        <v>1</v>
      </c>
      <c r="F6935" s="270" t="s">
        <v>944</v>
      </c>
      <c r="G6935" s="270" t="s">
        <v>3926</v>
      </c>
      <c r="H6935" s="270" t="s">
        <v>11724</v>
      </c>
      <c r="I6935" s="270" t="s">
        <v>4392</v>
      </c>
      <c r="J6935" s="270" t="s">
        <v>3928</v>
      </c>
      <c r="K6935" s="270">
        <v>6457</v>
      </c>
      <c r="L6935" s="270">
        <v>542200</v>
      </c>
      <c r="M6935" s="270" t="s">
        <v>3960</v>
      </c>
      <c r="N6935" s="270" t="s">
        <v>3944</v>
      </c>
      <c r="O6935" s="270">
        <v>2088.4899999999998</v>
      </c>
      <c r="P6935" s="270" t="s">
        <v>3944</v>
      </c>
      <c r="Q6935" s="270" t="s">
        <v>3944</v>
      </c>
      <c r="R6935" s="270">
        <v>2088.4899999999998</v>
      </c>
      <c r="S6935" s="270">
        <v>30491.62</v>
      </c>
      <c r="T6935" s="270">
        <v>32580.11</v>
      </c>
      <c r="U6935" s="271" t="s">
        <v>3945</v>
      </c>
      <c r="V6935" s="267" t="s">
        <v>944</v>
      </c>
    </row>
    <row r="6936" spans="1:22" hidden="1" x14ac:dyDescent="0.25">
      <c r="A6936" s="266">
        <v>43785</v>
      </c>
      <c r="B6936" s="267">
        <v>2019</v>
      </c>
      <c r="C6936" s="267">
        <v>2020</v>
      </c>
      <c r="D6936" s="267">
        <v>1</v>
      </c>
      <c r="E6936" s="267">
        <v>1</v>
      </c>
      <c r="F6936" s="267" t="s">
        <v>944</v>
      </c>
      <c r="G6936" s="267" t="s">
        <v>3926</v>
      </c>
      <c r="H6936" s="267" t="s">
        <v>11725</v>
      </c>
      <c r="I6936" s="267" t="s">
        <v>5401</v>
      </c>
      <c r="J6936" s="267" t="s">
        <v>3928</v>
      </c>
      <c r="K6936" s="267">
        <v>6820</v>
      </c>
      <c r="L6936" s="267">
        <v>30500</v>
      </c>
      <c r="M6936" s="267" t="s">
        <v>3943</v>
      </c>
      <c r="N6936" s="267" t="s">
        <v>4534</v>
      </c>
      <c r="O6936" s="267">
        <v>0</v>
      </c>
      <c r="P6936" s="267" t="s">
        <v>3930</v>
      </c>
      <c r="Q6936" s="267" t="s">
        <v>3930</v>
      </c>
      <c r="R6936" s="267">
        <v>0</v>
      </c>
      <c r="S6936" s="267">
        <v>10000</v>
      </c>
      <c r="T6936" s="267">
        <v>10000</v>
      </c>
      <c r="U6936" s="268" t="s">
        <v>3937</v>
      </c>
      <c r="V6936" s="267" t="s">
        <v>944</v>
      </c>
    </row>
    <row r="6937" spans="1:22" hidden="1" x14ac:dyDescent="0.25">
      <c r="A6937" s="269">
        <v>43785</v>
      </c>
      <c r="B6937" s="270">
        <v>2019</v>
      </c>
      <c r="C6937" s="270">
        <v>2020</v>
      </c>
      <c r="D6937" s="270">
        <v>1</v>
      </c>
      <c r="E6937" s="270">
        <v>1</v>
      </c>
      <c r="F6937" s="270" t="s">
        <v>944</v>
      </c>
      <c r="G6937" s="270" t="s">
        <v>3926</v>
      </c>
      <c r="H6937" s="270" t="s">
        <v>11726</v>
      </c>
      <c r="I6937" s="270" t="s">
        <v>4213</v>
      </c>
      <c r="J6937" s="270" t="s">
        <v>3928</v>
      </c>
      <c r="K6937" s="270">
        <v>6051</v>
      </c>
      <c r="L6937" s="270">
        <v>416300</v>
      </c>
      <c r="M6937" s="270">
        <v>-60</v>
      </c>
      <c r="N6937" s="270" t="s">
        <v>7680</v>
      </c>
      <c r="O6937" s="270">
        <v>976.01</v>
      </c>
      <c r="P6937" s="270" t="s">
        <v>3930</v>
      </c>
      <c r="Q6937" s="270" t="s">
        <v>3931</v>
      </c>
      <c r="R6937" s="270">
        <v>5976.01</v>
      </c>
      <c r="S6937" s="270">
        <v>11128</v>
      </c>
      <c r="T6937" s="270">
        <v>17104.009999999998</v>
      </c>
      <c r="U6937" s="271" t="s">
        <v>3932</v>
      </c>
      <c r="V6937" s="267" t="s">
        <v>944</v>
      </c>
    </row>
    <row r="6938" spans="1:22" hidden="1" x14ac:dyDescent="0.25">
      <c r="A6938" s="266">
        <v>43785</v>
      </c>
      <c r="B6938" s="267">
        <v>2019</v>
      </c>
      <c r="C6938" s="267">
        <v>2020</v>
      </c>
      <c r="D6938" s="267">
        <v>1</v>
      </c>
      <c r="E6938" s="267">
        <v>1</v>
      </c>
      <c r="F6938" s="267" t="s">
        <v>944</v>
      </c>
      <c r="G6938" s="267" t="s">
        <v>3926</v>
      </c>
      <c r="H6938" s="267" t="s">
        <v>11727</v>
      </c>
      <c r="I6938" s="267" t="s">
        <v>4003</v>
      </c>
      <c r="J6938" s="267" t="s">
        <v>3928</v>
      </c>
      <c r="K6938" s="267">
        <v>6354</v>
      </c>
      <c r="L6938" s="267">
        <v>907200</v>
      </c>
      <c r="M6938" s="267" t="s">
        <v>3940</v>
      </c>
      <c r="N6938" s="267" t="s">
        <v>11728</v>
      </c>
      <c r="O6938" s="267">
        <v>0</v>
      </c>
      <c r="P6938" s="267" t="s">
        <v>3930</v>
      </c>
      <c r="Q6938" s="267" t="s">
        <v>3930</v>
      </c>
      <c r="R6938" s="267">
        <v>0</v>
      </c>
      <c r="S6938" s="267">
        <v>9953</v>
      </c>
      <c r="T6938" s="267">
        <v>9953</v>
      </c>
      <c r="U6938" s="268" t="s">
        <v>3937</v>
      </c>
      <c r="V6938" s="267" t="s">
        <v>944</v>
      </c>
    </row>
    <row r="6939" spans="1:22" hidden="1" x14ac:dyDescent="0.25">
      <c r="A6939" s="269">
        <v>43785</v>
      </c>
      <c r="B6939" s="270">
        <v>2019</v>
      </c>
      <c r="C6939" s="270">
        <v>2020</v>
      </c>
      <c r="D6939" s="270">
        <v>1</v>
      </c>
      <c r="E6939" s="270">
        <v>1</v>
      </c>
      <c r="F6939" s="270" t="s">
        <v>944</v>
      </c>
      <c r="G6939" s="270" t="s">
        <v>3926</v>
      </c>
      <c r="H6939" s="270" t="s">
        <v>11729</v>
      </c>
      <c r="I6939" s="270" t="s">
        <v>934</v>
      </c>
      <c r="J6939" s="270" t="s">
        <v>3928</v>
      </c>
      <c r="K6939" s="270">
        <v>6606</v>
      </c>
      <c r="L6939" s="270">
        <v>257200</v>
      </c>
      <c r="M6939" s="270">
        <v>-60</v>
      </c>
      <c r="N6939" s="270" t="s">
        <v>4498</v>
      </c>
      <c r="O6939" s="270">
        <v>4613.5200000000004</v>
      </c>
      <c r="P6939" s="270" t="s">
        <v>3930</v>
      </c>
      <c r="Q6939" s="270" t="s">
        <v>3931</v>
      </c>
      <c r="R6939" s="270">
        <v>9613.52</v>
      </c>
      <c r="S6939" s="270">
        <v>21752</v>
      </c>
      <c r="T6939" s="270">
        <v>31365.52</v>
      </c>
      <c r="U6939" s="271" t="s">
        <v>3932</v>
      </c>
      <c r="V6939" s="267" t="s">
        <v>944</v>
      </c>
    </row>
    <row r="6940" spans="1:22" hidden="1" x14ac:dyDescent="0.25">
      <c r="A6940" s="266">
        <v>43786</v>
      </c>
      <c r="B6940" s="267">
        <v>2019</v>
      </c>
      <c r="C6940" s="267">
        <v>2020</v>
      </c>
      <c r="D6940" s="267">
        <v>1</v>
      </c>
      <c r="E6940" s="267">
        <v>1</v>
      </c>
      <c r="F6940" s="267" t="s">
        <v>944</v>
      </c>
      <c r="G6940" s="267" t="s">
        <v>3926</v>
      </c>
      <c r="H6940" s="267" t="s">
        <v>11730</v>
      </c>
      <c r="I6940" s="267" t="s">
        <v>4323</v>
      </c>
      <c r="J6940" s="267" t="s">
        <v>3928</v>
      </c>
      <c r="K6940" s="267">
        <v>6385</v>
      </c>
      <c r="L6940" s="267">
        <v>693300</v>
      </c>
      <c r="M6940" s="267" t="s">
        <v>3935</v>
      </c>
      <c r="N6940" s="267" t="s">
        <v>11731</v>
      </c>
      <c r="O6940" s="267">
        <v>0</v>
      </c>
      <c r="P6940" s="267" t="s">
        <v>3930</v>
      </c>
      <c r="Q6940" s="267" t="s">
        <v>3930</v>
      </c>
      <c r="R6940" s="267">
        <v>0</v>
      </c>
      <c r="S6940" s="267">
        <v>11250</v>
      </c>
      <c r="T6940" s="267">
        <v>11250</v>
      </c>
      <c r="U6940" s="268" t="s">
        <v>3937</v>
      </c>
      <c r="V6940" s="267" t="s">
        <v>944</v>
      </c>
    </row>
    <row r="6941" spans="1:22" hidden="1" x14ac:dyDescent="0.25">
      <c r="A6941" s="269">
        <v>43786</v>
      </c>
      <c r="B6941" s="270">
        <v>2019</v>
      </c>
      <c r="C6941" s="270">
        <v>2020</v>
      </c>
      <c r="D6941" s="270">
        <v>1</v>
      </c>
      <c r="E6941" s="270">
        <v>1</v>
      </c>
      <c r="F6941" s="270" t="s">
        <v>944</v>
      </c>
      <c r="G6941" s="270" t="s">
        <v>3926</v>
      </c>
      <c r="H6941" s="270" t="s">
        <v>11732</v>
      </c>
      <c r="I6941" s="270" t="s">
        <v>4019</v>
      </c>
      <c r="J6941" s="270" t="s">
        <v>3928</v>
      </c>
      <c r="K6941" s="270">
        <v>6708</v>
      </c>
      <c r="L6941" s="270">
        <v>351800</v>
      </c>
      <c r="M6941" s="270" t="s">
        <v>3940</v>
      </c>
      <c r="N6941" s="270" t="s">
        <v>11733</v>
      </c>
      <c r="O6941" s="270">
        <v>0</v>
      </c>
      <c r="P6941" s="270" t="s">
        <v>3930</v>
      </c>
      <c r="Q6941" s="270" t="s">
        <v>3930</v>
      </c>
      <c r="R6941" s="270">
        <v>0</v>
      </c>
      <c r="S6941" s="270">
        <v>9357.14</v>
      </c>
      <c r="T6941" s="270">
        <v>9357.14</v>
      </c>
      <c r="U6941" s="271" t="s">
        <v>3937</v>
      </c>
      <c r="V6941" s="267" t="s">
        <v>944</v>
      </c>
    </row>
    <row r="6942" spans="1:22" hidden="1" x14ac:dyDescent="0.25">
      <c r="A6942" s="266">
        <v>43786</v>
      </c>
      <c r="B6942" s="267">
        <v>2019</v>
      </c>
      <c r="C6942" s="267">
        <v>2020</v>
      </c>
      <c r="D6942" s="267">
        <v>1</v>
      </c>
      <c r="E6942" s="267">
        <v>1</v>
      </c>
      <c r="F6942" s="267" t="s">
        <v>944</v>
      </c>
      <c r="G6942" s="267" t="s">
        <v>3926</v>
      </c>
      <c r="H6942" s="267" t="s">
        <v>11734</v>
      </c>
      <c r="I6942" s="267" t="s">
        <v>3954</v>
      </c>
      <c r="J6942" s="267" t="s">
        <v>3928</v>
      </c>
      <c r="K6942" s="267">
        <v>6357</v>
      </c>
      <c r="L6942" s="267">
        <v>870704</v>
      </c>
      <c r="M6942" s="267" t="s">
        <v>3935</v>
      </c>
      <c r="N6942" s="267" t="s">
        <v>3944</v>
      </c>
      <c r="O6942" s="267">
        <v>502.53</v>
      </c>
      <c r="P6942" s="267" t="s">
        <v>3944</v>
      </c>
      <c r="Q6942" s="267" t="s">
        <v>3944</v>
      </c>
      <c r="R6942" s="267">
        <v>502.53</v>
      </c>
      <c r="S6942" s="267">
        <v>8144.22</v>
      </c>
      <c r="T6942" s="267">
        <v>8646.75</v>
      </c>
      <c r="U6942" s="268" t="s">
        <v>3945</v>
      </c>
      <c r="V6942" s="267" t="s">
        <v>944</v>
      </c>
    </row>
    <row r="6943" spans="1:22" hidden="1" x14ac:dyDescent="0.25">
      <c r="A6943" s="269">
        <v>43786</v>
      </c>
      <c r="B6943" s="270">
        <v>2019</v>
      </c>
      <c r="C6943" s="270">
        <v>2020</v>
      </c>
      <c r="D6943" s="270">
        <v>1</v>
      </c>
      <c r="E6943" s="270">
        <v>1</v>
      </c>
      <c r="F6943" s="270" t="s">
        <v>944</v>
      </c>
      <c r="G6943" s="270" t="s">
        <v>3926</v>
      </c>
      <c r="H6943" s="270" t="s">
        <v>11735</v>
      </c>
      <c r="I6943" s="270" t="s">
        <v>943</v>
      </c>
      <c r="J6943" s="270" t="s">
        <v>3928</v>
      </c>
      <c r="K6943" s="270">
        <v>6512</v>
      </c>
      <c r="L6943" s="270">
        <v>142800</v>
      </c>
      <c r="M6943" s="270" t="s">
        <v>3940</v>
      </c>
      <c r="N6943" s="270" t="s">
        <v>3944</v>
      </c>
      <c r="O6943" s="270">
        <v>498.58</v>
      </c>
      <c r="P6943" s="270" t="s">
        <v>3944</v>
      </c>
      <c r="Q6943" s="270" t="s">
        <v>3944</v>
      </c>
      <c r="R6943" s="270">
        <v>498.58</v>
      </c>
      <c r="S6943" s="270">
        <v>8303.25</v>
      </c>
      <c r="T6943" s="270">
        <v>8801.83</v>
      </c>
      <c r="U6943" s="271" t="s">
        <v>3945</v>
      </c>
      <c r="V6943" s="267" t="s">
        <v>944</v>
      </c>
    </row>
    <row r="6944" spans="1:22" hidden="1" x14ac:dyDescent="0.25">
      <c r="A6944" s="266">
        <v>43786</v>
      </c>
      <c r="B6944" s="267">
        <v>2019</v>
      </c>
      <c r="C6944" s="267">
        <v>2020</v>
      </c>
      <c r="D6944" s="267">
        <v>1</v>
      </c>
      <c r="E6944" s="267">
        <v>1</v>
      </c>
      <c r="F6944" s="267" t="s">
        <v>944</v>
      </c>
      <c r="G6944" s="267" t="s">
        <v>3926</v>
      </c>
      <c r="H6944" s="267" t="s">
        <v>11736</v>
      </c>
      <c r="I6944" s="267" t="s">
        <v>3962</v>
      </c>
      <c r="J6944" s="267" t="s">
        <v>3928</v>
      </c>
      <c r="K6944" s="267">
        <v>6355</v>
      </c>
      <c r="L6944" s="267">
        <v>703000</v>
      </c>
      <c r="M6944" s="267" t="s">
        <v>3960</v>
      </c>
      <c r="N6944" s="267" t="s">
        <v>3944</v>
      </c>
      <c r="O6944" s="267">
        <v>1224.27</v>
      </c>
      <c r="P6944" s="267" t="s">
        <v>3944</v>
      </c>
      <c r="Q6944" s="267" t="s">
        <v>3944</v>
      </c>
      <c r="R6944" s="267">
        <v>1224.27</v>
      </c>
      <c r="S6944" s="267">
        <v>17940.150000000001</v>
      </c>
      <c r="T6944" s="267">
        <v>19164.419999999998</v>
      </c>
      <c r="U6944" s="268" t="s">
        <v>3945</v>
      </c>
      <c r="V6944" s="267" t="s">
        <v>944</v>
      </c>
    </row>
    <row r="6945" spans="1:22" hidden="1" x14ac:dyDescent="0.25">
      <c r="A6945" s="269">
        <v>43786</v>
      </c>
      <c r="B6945" s="270">
        <v>2019</v>
      </c>
      <c r="C6945" s="270">
        <v>2020</v>
      </c>
      <c r="D6945" s="270">
        <v>1</v>
      </c>
      <c r="E6945" s="270">
        <v>1</v>
      </c>
      <c r="F6945" s="270" t="s">
        <v>944</v>
      </c>
      <c r="G6945" s="270" t="s">
        <v>3926</v>
      </c>
      <c r="H6945" s="270" t="s">
        <v>11737</v>
      </c>
      <c r="I6945" s="270" t="s">
        <v>4008</v>
      </c>
      <c r="J6945" s="270" t="s">
        <v>3928</v>
      </c>
      <c r="K6945" s="270">
        <v>6320</v>
      </c>
      <c r="L6945" s="270">
        <v>690900</v>
      </c>
      <c r="M6945" s="270" t="s">
        <v>3935</v>
      </c>
      <c r="N6945" s="270" t="s">
        <v>3944</v>
      </c>
      <c r="O6945" s="270">
        <v>1864.28</v>
      </c>
      <c r="P6945" s="270" t="s">
        <v>3944</v>
      </c>
      <c r="Q6945" s="270" t="s">
        <v>3944</v>
      </c>
      <c r="R6945" s="270">
        <v>1864.28</v>
      </c>
      <c r="S6945" s="270">
        <v>32662.52</v>
      </c>
      <c r="T6945" s="270">
        <v>34526.800000000003</v>
      </c>
      <c r="U6945" s="271" t="s">
        <v>3945</v>
      </c>
      <c r="V6945" s="267" t="s">
        <v>944</v>
      </c>
    </row>
    <row r="6946" spans="1:22" hidden="1" x14ac:dyDescent="0.25">
      <c r="A6946" s="266">
        <v>43786</v>
      </c>
      <c r="B6946" s="267">
        <v>2019</v>
      </c>
      <c r="C6946" s="267">
        <v>2020</v>
      </c>
      <c r="D6946" s="267">
        <v>1</v>
      </c>
      <c r="E6946" s="267">
        <v>1</v>
      </c>
      <c r="F6946" s="267" t="s">
        <v>944</v>
      </c>
      <c r="G6946" s="267" t="s">
        <v>3926</v>
      </c>
      <c r="H6946" s="267" t="s">
        <v>11738</v>
      </c>
      <c r="I6946" s="267" t="s">
        <v>4111</v>
      </c>
      <c r="J6946" s="267" t="s">
        <v>3928</v>
      </c>
      <c r="K6946" s="267">
        <v>6095</v>
      </c>
      <c r="L6946" s="267">
        <v>473100</v>
      </c>
      <c r="M6946" s="267" t="s">
        <v>3960</v>
      </c>
      <c r="N6946" s="267" t="s">
        <v>3944</v>
      </c>
      <c r="O6946" s="267">
        <v>2139.48</v>
      </c>
      <c r="P6946" s="267" t="s">
        <v>3944</v>
      </c>
      <c r="Q6946" s="267" t="s">
        <v>3944</v>
      </c>
      <c r="R6946" s="267">
        <v>2139.48</v>
      </c>
      <c r="S6946" s="267">
        <v>27465.599999999999</v>
      </c>
      <c r="T6946" s="267">
        <v>29605.08</v>
      </c>
      <c r="U6946" s="268" t="s">
        <v>3945</v>
      </c>
      <c r="V6946" s="267" t="s">
        <v>944</v>
      </c>
    </row>
    <row r="6947" spans="1:22" hidden="1" x14ac:dyDescent="0.25">
      <c r="A6947" s="269">
        <v>43786</v>
      </c>
      <c r="B6947" s="270">
        <v>2019</v>
      </c>
      <c r="C6947" s="270">
        <v>2020</v>
      </c>
      <c r="D6947" s="270">
        <v>1</v>
      </c>
      <c r="E6947" s="270">
        <v>1</v>
      </c>
      <c r="F6947" s="270" t="s">
        <v>944</v>
      </c>
      <c r="G6947" s="270" t="s">
        <v>3926</v>
      </c>
      <c r="H6947" s="270" t="s">
        <v>11739</v>
      </c>
      <c r="I6947" s="270" t="s">
        <v>3975</v>
      </c>
      <c r="J6947" s="270" t="s">
        <v>3928</v>
      </c>
      <c r="K6947" s="270">
        <v>6489</v>
      </c>
      <c r="L6947" s="270">
        <v>430500</v>
      </c>
      <c r="M6947" s="270" t="s">
        <v>3943</v>
      </c>
      <c r="N6947" s="270" t="s">
        <v>3944</v>
      </c>
      <c r="O6947" s="270">
        <v>3213.39</v>
      </c>
      <c r="P6947" s="270" t="s">
        <v>3944</v>
      </c>
      <c r="Q6947" s="270" t="s">
        <v>3944</v>
      </c>
      <c r="R6947" s="270">
        <v>3213.39</v>
      </c>
      <c r="S6947" s="270">
        <v>46464.800000000003</v>
      </c>
      <c r="T6947" s="270">
        <v>49678.19</v>
      </c>
      <c r="U6947" s="271" t="s">
        <v>3945</v>
      </c>
      <c r="V6947" s="267" t="s">
        <v>944</v>
      </c>
    </row>
    <row r="6948" spans="1:22" hidden="1" x14ac:dyDescent="0.25">
      <c r="A6948" s="266">
        <v>43786</v>
      </c>
      <c r="B6948" s="267">
        <v>2019</v>
      </c>
      <c r="C6948" s="267">
        <v>2020</v>
      </c>
      <c r="D6948" s="267">
        <v>1</v>
      </c>
      <c r="E6948" s="267">
        <v>1</v>
      </c>
      <c r="F6948" s="267" t="s">
        <v>944</v>
      </c>
      <c r="G6948" s="267" t="s">
        <v>3926</v>
      </c>
      <c r="H6948" s="267" t="s">
        <v>11740</v>
      </c>
      <c r="I6948" s="267" t="s">
        <v>4250</v>
      </c>
      <c r="J6948" s="267" t="s">
        <v>3928</v>
      </c>
      <c r="K6948" s="267">
        <v>6239</v>
      </c>
      <c r="L6948" s="267">
        <v>904500</v>
      </c>
      <c r="M6948" s="267" t="s">
        <v>3940</v>
      </c>
      <c r="N6948" s="267" t="s">
        <v>3944</v>
      </c>
      <c r="O6948" s="267">
        <v>1608.57</v>
      </c>
      <c r="P6948" s="267" t="s">
        <v>3944</v>
      </c>
      <c r="Q6948" s="267" t="s">
        <v>3944</v>
      </c>
      <c r="R6948" s="267">
        <v>1608.57</v>
      </c>
      <c r="S6948" s="267">
        <v>22706.959999999999</v>
      </c>
      <c r="T6948" s="267">
        <v>24315.53</v>
      </c>
      <c r="U6948" s="268" t="s">
        <v>3945</v>
      </c>
      <c r="V6948" s="267" t="s">
        <v>944</v>
      </c>
    </row>
    <row r="6949" spans="1:22" hidden="1" x14ac:dyDescent="0.25">
      <c r="A6949" s="269">
        <v>43786</v>
      </c>
      <c r="B6949" s="270">
        <v>2019</v>
      </c>
      <c r="C6949" s="270">
        <v>2020</v>
      </c>
      <c r="D6949" s="270">
        <v>1</v>
      </c>
      <c r="E6949" s="270">
        <v>1</v>
      </c>
      <c r="F6949" s="270" t="s">
        <v>944</v>
      </c>
      <c r="G6949" s="270" t="s">
        <v>3926</v>
      </c>
      <c r="H6949" s="270" t="s">
        <v>11741</v>
      </c>
      <c r="I6949" s="270" t="s">
        <v>3975</v>
      </c>
      <c r="J6949" s="270" t="s">
        <v>3928</v>
      </c>
      <c r="K6949" s="270">
        <v>6489</v>
      </c>
      <c r="L6949" s="270">
        <v>430201</v>
      </c>
      <c r="M6949" s="270" t="s">
        <v>3960</v>
      </c>
      <c r="N6949" s="270" t="s">
        <v>3944</v>
      </c>
      <c r="O6949" s="270">
        <v>3323.53</v>
      </c>
      <c r="P6949" s="270" t="s">
        <v>3944</v>
      </c>
      <c r="Q6949" s="270" t="s">
        <v>3944</v>
      </c>
      <c r="R6949" s="270">
        <v>3323.53</v>
      </c>
      <c r="S6949" s="270">
        <v>44810.87</v>
      </c>
      <c r="T6949" s="270">
        <v>48134.400000000001</v>
      </c>
      <c r="U6949" s="271" t="s">
        <v>3945</v>
      </c>
      <c r="V6949" s="267" t="s">
        <v>944</v>
      </c>
    </row>
    <row r="6950" spans="1:22" hidden="1" x14ac:dyDescent="0.25">
      <c r="A6950" s="266">
        <v>43786</v>
      </c>
      <c r="B6950" s="267">
        <v>2019</v>
      </c>
      <c r="C6950" s="267">
        <v>2020</v>
      </c>
      <c r="D6950" s="267">
        <v>1</v>
      </c>
      <c r="E6950" s="267">
        <v>1</v>
      </c>
      <c r="F6950" s="267" t="s">
        <v>944</v>
      </c>
      <c r="G6950" s="267" t="s">
        <v>3926</v>
      </c>
      <c r="H6950" s="267" t="s">
        <v>11742</v>
      </c>
      <c r="I6950" s="267" t="s">
        <v>3996</v>
      </c>
      <c r="J6950" s="267" t="s">
        <v>3928</v>
      </c>
      <c r="K6950" s="267">
        <v>6790</v>
      </c>
      <c r="L6950" s="267">
        <v>310804</v>
      </c>
      <c r="M6950" s="267" t="s">
        <v>3935</v>
      </c>
      <c r="N6950" s="267" t="s">
        <v>3944</v>
      </c>
      <c r="O6950" s="267">
        <v>1873.62</v>
      </c>
      <c r="P6950" s="267" t="s">
        <v>3944</v>
      </c>
      <c r="Q6950" s="267" t="s">
        <v>3944</v>
      </c>
      <c r="R6950" s="267">
        <v>1873.62</v>
      </c>
      <c r="S6950" s="267">
        <v>26653.62</v>
      </c>
      <c r="T6950" s="267">
        <v>28527.24</v>
      </c>
      <c r="U6950" s="268" t="s">
        <v>3945</v>
      </c>
      <c r="V6950" s="267" t="s">
        <v>944</v>
      </c>
    </row>
    <row r="6951" spans="1:22" hidden="1" x14ac:dyDescent="0.25">
      <c r="A6951" s="269">
        <v>43786</v>
      </c>
      <c r="B6951" s="270">
        <v>2019</v>
      </c>
      <c r="C6951" s="270">
        <v>2020</v>
      </c>
      <c r="D6951" s="270">
        <v>1</v>
      </c>
      <c r="E6951" s="270">
        <v>1</v>
      </c>
      <c r="F6951" s="270" t="s">
        <v>944</v>
      </c>
      <c r="G6951" s="270" t="s">
        <v>3926</v>
      </c>
      <c r="H6951" s="270" t="s">
        <v>11743</v>
      </c>
      <c r="I6951" s="270" t="s">
        <v>4687</v>
      </c>
      <c r="J6951" s="270" t="s">
        <v>3928</v>
      </c>
      <c r="K6951" s="270">
        <v>6424</v>
      </c>
      <c r="L6951" s="270">
        <v>550201</v>
      </c>
      <c r="M6951" s="270" t="s">
        <v>3943</v>
      </c>
      <c r="N6951" s="270" t="s">
        <v>3944</v>
      </c>
      <c r="O6951" s="270">
        <v>3263.58</v>
      </c>
      <c r="P6951" s="270" t="s">
        <v>3944</v>
      </c>
      <c r="Q6951" s="270" t="s">
        <v>3944</v>
      </c>
      <c r="R6951" s="270">
        <v>3263.58</v>
      </c>
      <c r="S6951" s="270">
        <v>47620.32</v>
      </c>
      <c r="T6951" s="270">
        <v>50883.9</v>
      </c>
      <c r="U6951" s="271" t="s">
        <v>3945</v>
      </c>
      <c r="V6951" s="267" t="s">
        <v>944</v>
      </c>
    </row>
    <row r="6952" spans="1:22" hidden="1" x14ac:dyDescent="0.25">
      <c r="A6952" s="266">
        <v>43786</v>
      </c>
      <c r="B6952" s="267">
        <v>2019</v>
      </c>
      <c r="C6952" s="267">
        <v>2020</v>
      </c>
      <c r="D6952" s="267">
        <v>1</v>
      </c>
      <c r="E6952" s="267">
        <v>1</v>
      </c>
      <c r="F6952" s="267" t="s">
        <v>944</v>
      </c>
      <c r="G6952" s="267" t="s">
        <v>3926</v>
      </c>
      <c r="H6952" s="267" t="s">
        <v>11744</v>
      </c>
      <c r="I6952" s="267" t="s">
        <v>3956</v>
      </c>
      <c r="J6952" s="267" t="s">
        <v>3928</v>
      </c>
      <c r="K6952" s="267">
        <v>6106</v>
      </c>
      <c r="L6952" s="267">
        <v>504500</v>
      </c>
      <c r="M6952" s="267">
        <v>-60</v>
      </c>
      <c r="N6952" s="267" t="s">
        <v>3944</v>
      </c>
      <c r="O6952" s="267">
        <v>1445.36</v>
      </c>
      <c r="P6952" s="267" t="s">
        <v>3944</v>
      </c>
      <c r="Q6952" s="267" t="s">
        <v>3944</v>
      </c>
      <c r="R6952" s="267">
        <v>1445.36</v>
      </c>
      <c r="S6952" s="267">
        <v>22020.71</v>
      </c>
      <c r="T6952" s="267">
        <v>23466.07</v>
      </c>
      <c r="U6952" s="268" t="s">
        <v>3945</v>
      </c>
      <c r="V6952" s="267" t="s">
        <v>944</v>
      </c>
    </row>
    <row r="6953" spans="1:22" hidden="1" x14ac:dyDescent="0.25">
      <c r="A6953" s="269">
        <v>43786</v>
      </c>
      <c r="B6953" s="270">
        <v>2019</v>
      </c>
      <c r="C6953" s="270">
        <v>2020</v>
      </c>
      <c r="D6953" s="270">
        <v>1</v>
      </c>
      <c r="E6953" s="270">
        <v>1</v>
      </c>
      <c r="F6953" s="270" t="s">
        <v>944</v>
      </c>
      <c r="G6953" s="270" t="s">
        <v>3926</v>
      </c>
      <c r="H6953" s="270" t="s">
        <v>11745</v>
      </c>
      <c r="I6953" s="270" t="s">
        <v>956</v>
      </c>
      <c r="J6953" s="270" t="s">
        <v>3928</v>
      </c>
      <c r="K6953" s="270">
        <v>6615</v>
      </c>
      <c r="L6953" s="270">
        <v>80600</v>
      </c>
      <c r="M6953" s="270" t="s">
        <v>3935</v>
      </c>
      <c r="N6953" s="270" t="s">
        <v>3944</v>
      </c>
      <c r="O6953" s="270">
        <v>2245.08</v>
      </c>
      <c r="P6953" s="270" t="s">
        <v>3944</v>
      </c>
      <c r="Q6953" s="270" t="s">
        <v>3944</v>
      </c>
      <c r="R6953" s="270">
        <v>2245.08</v>
      </c>
      <c r="S6953" s="270">
        <v>37591.910000000003</v>
      </c>
      <c r="T6953" s="270">
        <v>39836.99</v>
      </c>
      <c r="U6953" s="271" t="s">
        <v>3945</v>
      </c>
      <c r="V6953" s="267" t="s">
        <v>944</v>
      </c>
    </row>
    <row r="6954" spans="1:22" hidden="1" x14ac:dyDescent="0.25">
      <c r="A6954" s="266">
        <v>43786</v>
      </c>
      <c r="B6954" s="267">
        <v>2019</v>
      </c>
      <c r="C6954" s="267">
        <v>2020</v>
      </c>
      <c r="D6954" s="267">
        <v>1</v>
      </c>
      <c r="E6954" s="267">
        <v>1</v>
      </c>
      <c r="F6954" s="267" t="s">
        <v>944</v>
      </c>
      <c r="G6954" s="267" t="s">
        <v>3926</v>
      </c>
      <c r="H6954" s="267" t="s">
        <v>11746</v>
      </c>
      <c r="I6954" s="267" t="s">
        <v>4435</v>
      </c>
      <c r="J6954" s="267" t="s">
        <v>3928</v>
      </c>
      <c r="K6954" s="267">
        <v>6249</v>
      </c>
      <c r="L6954" s="267">
        <v>870100</v>
      </c>
      <c r="M6954" s="267" t="s">
        <v>3960</v>
      </c>
      <c r="N6954" s="267" t="s">
        <v>3944</v>
      </c>
      <c r="O6954" s="267">
        <v>2107.98</v>
      </c>
      <c r="P6954" s="267" t="s">
        <v>3944</v>
      </c>
      <c r="Q6954" s="267" t="s">
        <v>3944</v>
      </c>
      <c r="R6954" s="267">
        <v>2107.98</v>
      </c>
      <c r="S6954" s="267">
        <v>29749.9</v>
      </c>
      <c r="T6954" s="267">
        <v>31857.88</v>
      </c>
      <c r="U6954" s="268" t="s">
        <v>3945</v>
      </c>
      <c r="V6954" s="267" t="s">
        <v>944</v>
      </c>
    </row>
    <row r="6955" spans="1:22" hidden="1" x14ac:dyDescent="0.25">
      <c r="A6955" s="269">
        <v>43786</v>
      </c>
      <c r="B6955" s="270">
        <v>2019</v>
      </c>
      <c r="C6955" s="270">
        <v>2020</v>
      </c>
      <c r="D6955" s="270">
        <v>1</v>
      </c>
      <c r="E6955" s="270">
        <v>1</v>
      </c>
      <c r="F6955" s="270" t="s">
        <v>944</v>
      </c>
      <c r="G6955" s="270" t="s">
        <v>3926</v>
      </c>
      <c r="H6955" s="270" t="s">
        <v>11747</v>
      </c>
      <c r="I6955" s="270" t="s">
        <v>4079</v>
      </c>
      <c r="J6955" s="270" t="s">
        <v>3928</v>
      </c>
      <c r="K6955" s="270">
        <v>6111</v>
      </c>
      <c r="L6955" s="270">
        <v>494500</v>
      </c>
      <c r="M6955" s="270" t="s">
        <v>3960</v>
      </c>
      <c r="N6955" s="270" t="s">
        <v>3944</v>
      </c>
      <c r="O6955" s="270">
        <v>1842.93</v>
      </c>
      <c r="P6955" s="270" t="s">
        <v>3944</v>
      </c>
      <c r="Q6955" s="270" t="s">
        <v>3944</v>
      </c>
      <c r="R6955" s="270">
        <v>1842.93</v>
      </c>
      <c r="S6955" s="270">
        <v>27373.9</v>
      </c>
      <c r="T6955" s="270">
        <v>29216.83</v>
      </c>
      <c r="U6955" s="271" t="s">
        <v>3945</v>
      </c>
      <c r="V6955" s="267" t="s">
        <v>944</v>
      </c>
    </row>
    <row r="6956" spans="1:22" hidden="1" x14ac:dyDescent="0.25">
      <c r="A6956" s="266">
        <v>43786</v>
      </c>
      <c r="B6956" s="267">
        <v>2019</v>
      </c>
      <c r="C6956" s="267">
        <v>2020</v>
      </c>
      <c r="D6956" s="267">
        <v>1</v>
      </c>
      <c r="E6956" s="267">
        <v>1</v>
      </c>
      <c r="F6956" s="267" t="s">
        <v>944</v>
      </c>
      <c r="G6956" s="267" t="s">
        <v>3926</v>
      </c>
      <c r="H6956" s="267" t="s">
        <v>11748</v>
      </c>
      <c r="I6956" s="267" t="s">
        <v>5032</v>
      </c>
      <c r="J6956" s="267" t="s">
        <v>3928</v>
      </c>
      <c r="K6956" s="267">
        <v>6062</v>
      </c>
      <c r="L6956" s="267">
        <v>420400</v>
      </c>
      <c r="M6956" s="267" t="s">
        <v>3960</v>
      </c>
      <c r="N6956" s="267" t="s">
        <v>3944</v>
      </c>
      <c r="O6956" s="267">
        <v>3099.11</v>
      </c>
      <c r="P6956" s="267" t="s">
        <v>3944</v>
      </c>
      <c r="Q6956" s="267" t="s">
        <v>3944</v>
      </c>
      <c r="R6956" s="267">
        <v>3099.11</v>
      </c>
      <c r="S6956" s="267">
        <v>37467.75</v>
      </c>
      <c r="T6956" s="267">
        <v>40566.86</v>
      </c>
      <c r="U6956" s="268" t="s">
        <v>3945</v>
      </c>
      <c r="V6956" s="267" t="s">
        <v>944</v>
      </c>
    </row>
    <row r="6957" spans="1:22" hidden="1" x14ac:dyDescent="0.25">
      <c r="A6957" s="269">
        <v>43786</v>
      </c>
      <c r="B6957" s="270">
        <v>2019</v>
      </c>
      <c r="C6957" s="270">
        <v>2020</v>
      </c>
      <c r="D6957" s="270">
        <v>1</v>
      </c>
      <c r="E6957" s="270">
        <v>1</v>
      </c>
      <c r="F6957" s="270" t="s">
        <v>944</v>
      </c>
      <c r="G6957" s="270" t="s">
        <v>3926</v>
      </c>
      <c r="H6957" s="270" t="s">
        <v>11749</v>
      </c>
      <c r="I6957" s="270" t="s">
        <v>3968</v>
      </c>
      <c r="J6957" s="270" t="s">
        <v>3928</v>
      </c>
      <c r="K6957" s="270">
        <v>6042</v>
      </c>
      <c r="L6957" s="270">
        <v>514900</v>
      </c>
      <c r="M6957" s="270" t="s">
        <v>3960</v>
      </c>
      <c r="N6957" s="270" t="s">
        <v>3944</v>
      </c>
      <c r="O6957" s="270">
        <v>929.15</v>
      </c>
      <c r="P6957" s="270" t="s">
        <v>3944</v>
      </c>
      <c r="Q6957" s="270" t="s">
        <v>3944</v>
      </c>
      <c r="R6957" s="270">
        <v>929.15</v>
      </c>
      <c r="S6957" s="270">
        <v>13425.29</v>
      </c>
      <c r="T6957" s="270">
        <v>14354.44</v>
      </c>
      <c r="U6957" s="271" t="s">
        <v>3945</v>
      </c>
      <c r="V6957" s="267" t="s">
        <v>944</v>
      </c>
    </row>
    <row r="6958" spans="1:22" hidden="1" x14ac:dyDescent="0.25">
      <c r="A6958" s="266">
        <v>43786</v>
      </c>
      <c r="B6958" s="267">
        <v>2019</v>
      </c>
      <c r="C6958" s="267">
        <v>2020</v>
      </c>
      <c r="D6958" s="267">
        <v>1</v>
      </c>
      <c r="E6958" s="267">
        <v>1</v>
      </c>
      <c r="F6958" s="267" t="s">
        <v>944</v>
      </c>
      <c r="G6958" s="267" t="s">
        <v>3926</v>
      </c>
      <c r="H6958" s="267" t="s">
        <v>11750</v>
      </c>
      <c r="I6958" s="267" t="s">
        <v>4213</v>
      </c>
      <c r="J6958" s="267" t="s">
        <v>3928</v>
      </c>
      <c r="K6958" s="267">
        <v>6051</v>
      </c>
      <c r="L6958" s="267">
        <v>415400</v>
      </c>
      <c r="M6958" s="267">
        <v>-60</v>
      </c>
      <c r="N6958" s="267" t="s">
        <v>3944</v>
      </c>
      <c r="O6958" s="267">
        <v>1478.93</v>
      </c>
      <c r="P6958" s="267" t="s">
        <v>3944</v>
      </c>
      <c r="Q6958" s="267" t="s">
        <v>3944</v>
      </c>
      <c r="R6958" s="267">
        <v>1478.93</v>
      </c>
      <c r="S6958" s="267">
        <v>22020.26</v>
      </c>
      <c r="T6958" s="267">
        <v>23499.19</v>
      </c>
      <c r="U6958" s="268" t="s">
        <v>3945</v>
      </c>
      <c r="V6958" s="267" t="s">
        <v>944</v>
      </c>
    </row>
    <row r="6959" spans="1:22" hidden="1" x14ac:dyDescent="0.25">
      <c r="A6959" s="269">
        <v>43786</v>
      </c>
      <c r="B6959" s="270">
        <v>2019</v>
      </c>
      <c r="C6959" s="270">
        <v>2020</v>
      </c>
      <c r="D6959" s="270">
        <v>1</v>
      </c>
      <c r="E6959" s="270">
        <v>1</v>
      </c>
      <c r="F6959" s="270" t="s">
        <v>944</v>
      </c>
      <c r="G6959" s="270" t="s">
        <v>3926</v>
      </c>
      <c r="H6959" s="270" t="s">
        <v>11751</v>
      </c>
      <c r="I6959" s="270" t="s">
        <v>4111</v>
      </c>
      <c r="J6959" s="270" t="s">
        <v>3928</v>
      </c>
      <c r="K6959" s="270">
        <v>6095</v>
      </c>
      <c r="L6959" s="270">
        <v>473502</v>
      </c>
      <c r="M6959" s="270" t="s">
        <v>3960</v>
      </c>
      <c r="N6959" s="270" t="s">
        <v>3944</v>
      </c>
      <c r="O6959" s="270">
        <v>1800.82</v>
      </c>
      <c r="P6959" s="270" t="s">
        <v>3944</v>
      </c>
      <c r="Q6959" s="270" t="s">
        <v>3944</v>
      </c>
      <c r="R6959" s="270">
        <v>1800.82</v>
      </c>
      <c r="S6959" s="270">
        <v>25150.79</v>
      </c>
      <c r="T6959" s="270">
        <v>26951.61</v>
      </c>
      <c r="U6959" s="271" t="s">
        <v>3945</v>
      </c>
      <c r="V6959" s="267" t="s">
        <v>944</v>
      </c>
    </row>
    <row r="6960" spans="1:22" hidden="1" x14ac:dyDescent="0.25">
      <c r="A6960" s="266">
        <v>43786</v>
      </c>
      <c r="B6960" s="267">
        <v>2019</v>
      </c>
      <c r="C6960" s="267">
        <v>2020</v>
      </c>
      <c r="D6960" s="267">
        <v>1</v>
      </c>
      <c r="E6960" s="267">
        <v>1</v>
      </c>
      <c r="F6960" s="267" t="s">
        <v>944</v>
      </c>
      <c r="G6960" s="267" t="s">
        <v>3926</v>
      </c>
      <c r="H6960" s="267" t="s">
        <v>11752</v>
      </c>
      <c r="I6960" s="267" t="s">
        <v>4011</v>
      </c>
      <c r="J6960" s="267" t="s">
        <v>3928</v>
      </c>
      <c r="K6960" s="267">
        <v>6002</v>
      </c>
      <c r="L6960" s="267">
        <v>471100</v>
      </c>
      <c r="M6960" s="267" t="s">
        <v>3935</v>
      </c>
      <c r="N6960" s="267" t="s">
        <v>3944</v>
      </c>
      <c r="O6960" s="267">
        <v>1988.32</v>
      </c>
      <c r="P6960" s="267" t="s">
        <v>3944</v>
      </c>
      <c r="Q6960" s="267" t="s">
        <v>3944</v>
      </c>
      <c r="R6960" s="267">
        <v>1988.32</v>
      </c>
      <c r="S6960" s="267">
        <v>28726.21</v>
      </c>
      <c r="T6960" s="267">
        <v>30714.53</v>
      </c>
      <c r="U6960" s="268" t="s">
        <v>3945</v>
      </c>
      <c r="V6960" s="267" t="s">
        <v>944</v>
      </c>
    </row>
    <row r="6961" spans="1:22" hidden="1" x14ac:dyDescent="0.25">
      <c r="A6961" s="269">
        <v>43786</v>
      </c>
      <c r="B6961" s="270">
        <v>2019</v>
      </c>
      <c r="C6961" s="270">
        <v>2020</v>
      </c>
      <c r="D6961" s="270">
        <v>1</v>
      </c>
      <c r="E6961" s="270">
        <v>1</v>
      </c>
      <c r="F6961" s="270" t="s">
        <v>944</v>
      </c>
      <c r="G6961" s="270" t="s">
        <v>3926</v>
      </c>
      <c r="H6961" s="270" t="s">
        <v>11753</v>
      </c>
      <c r="I6961" s="270" t="s">
        <v>4011</v>
      </c>
      <c r="J6961" s="270" t="s">
        <v>3928</v>
      </c>
      <c r="K6961" s="270">
        <v>6002</v>
      </c>
      <c r="L6961" s="270">
        <v>471400</v>
      </c>
      <c r="M6961" s="270" t="s">
        <v>3943</v>
      </c>
      <c r="N6961" s="270" t="s">
        <v>3944</v>
      </c>
      <c r="O6961" s="270">
        <v>1738.38</v>
      </c>
      <c r="P6961" s="270" t="s">
        <v>3944</v>
      </c>
      <c r="Q6961" s="270" t="s">
        <v>3944</v>
      </c>
      <c r="R6961" s="270">
        <v>1738.38</v>
      </c>
      <c r="S6961" s="270">
        <v>25110.78</v>
      </c>
      <c r="T6961" s="270">
        <v>26849.16</v>
      </c>
      <c r="U6961" s="271" t="s">
        <v>3945</v>
      </c>
      <c r="V6961" s="267" t="s">
        <v>944</v>
      </c>
    </row>
    <row r="6962" spans="1:22" hidden="1" x14ac:dyDescent="0.25">
      <c r="A6962" s="266">
        <v>43786</v>
      </c>
      <c r="B6962" s="267">
        <v>2019</v>
      </c>
      <c r="C6962" s="267">
        <v>2020</v>
      </c>
      <c r="D6962" s="267">
        <v>1</v>
      </c>
      <c r="E6962" s="267">
        <v>1</v>
      </c>
      <c r="F6962" s="267" t="s">
        <v>944</v>
      </c>
      <c r="G6962" s="267" t="s">
        <v>3926</v>
      </c>
      <c r="H6962" s="267" t="s">
        <v>11754</v>
      </c>
      <c r="I6962" s="267" t="s">
        <v>4323</v>
      </c>
      <c r="J6962" s="267" t="s">
        <v>3928</v>
      </c>
      <c r="K6962" s="267">
        <v>6385</v>
      </c>
      <c r="L6962" s="267">
        <v>693300</v>
      </c>
      <c r="M6962" s="267" t="s">
        <v>3935</v>
      </c>
      <c r="N6962" s="267" t="s">
        <v>3944</v>
      </c>
      <c r="O6962" s="267">
        <v>1540.74</v>
      </c>
      <c r="P6962" s="267" t="s">
        <v>3944</v>
      </c>
      <c r="Q6962" s="267" t="s">
        <v>3944</v>
      </c>
      <c r="R6962" s="267">
        <v>1540.74</v>
      </c>
      <c r="S6962" s="267">
        <v>23634.06</v>
      </c>
      <c r="T6962" s="267">
        <v>25174.799999999999</v>
      </c>
      <c r="U6962" s="268" t="s">
        <v>3945</v>
      </c>
      <c r="V6962" s="267" t="s">
        <v>944</v>
      </c>
    </row>
    <row r="6963" spans="1:22" hidden="1" x14ac:dyDescent="0.25">
      <c r="A6963" s="269">
        <v>43786</v>
      </c>
      <c r="B6963" s="270">
        <v>2019</v>
      </c>
      <c r="C6963" s="270">
        <v>2020</v>
      </c>
      <c r="D6963" s="270">
        <v>1</v>
      </c>
      <c r="E6963" s="270">
        <v>1</v>
      </c>
      <c r="F6963" s="270" t="s">
        <v>944</v>
      </c>
      <c r="G6963" s="270" t="s">
        <v>3926</v>
      </c>
      <c r="H6963" s="270" t="s">
        <v>11755</v>
      </c>
      <c r="I6963" s="270" t="s">
        <v>4699</v>
      </c>
      <c r="J6963" s="270" t="s">
        <v>3928</v>
      </c>
      <c r="K6963" s="270">
        <v>6354</v>
      </c>
      <c r="L6963" s="270">
        <v>908100</v>
      </c>
      <c r="M6963" s="270" t="s">
        <v>3935</v>
      </c>
      <c r="N6963" s="270" t="s">
        <v>3944</v>
      </c>
      <c r="O6963" s="270">
        <v>964.39</v>
      </c>
      <c r="P6963" s="270" t="s">
        <v>3944</v>
      </c>
      <c r="Q6963" s="270" t="s">
        <v>3944</v>
      </c>
      <c r="R6963" s="270">
        <v>964.39</v>
      </c>
      <c r="S6963" s="270">
        <v>14006.73</v>
      </c>
      <c r="T6963" s="270">
        <v>14971.12</v>
      </c>
      <c r="U6963" s="271" t="s">
        <v>3945</v>
      </c>
      <c r="V6963" s="267" t="s">
        <v>944</v>
      </c>
    </row>
    <row r="6964" spans="1:22" hidden="1" x14ac:dyDescent="0.25">
      <c r="A6964" s="266">
        <v>43786</v>
      </c>
      <c r="B6964" s="267">
        <v>2019</v>
      </c>
      <c r="C6964" s="267">
        <v>2020</v>
      </c>
      <c r="D6964" s="267">
        <v>1</v>
      </c>
      <c r="E6964" s="267">
        <v>1</v>
      </c>
      <c r="F6964" s="267" t="s">
        <v>944</v>
      </c>
      <c r="G6964" s="267" t="s">
        <v>3926</v>
      </c>
      <c r="H6964" s="267" t="s">
        <v>11756</v>
      </c>
      <c r="I6964" s="267" t="s">
        <v>3939</v>
      </c>
      <c r="J6964" s="267" t="s">
        <v>3928</v>
      </c>
      <c r="K6964" s="267">
        <v>6512</v>
      </c>
      <c r="L6964" s="267">
        <v>180601</v>
      </c>
      <c r="M6964" s="267" t="s">
        <v>3940</v>
      </c>
      <c r="N6964" s="267" t="s">
        <v>3944</v>
      </c>
      <c r="O6964" s="267">
        <v>1588.23</v>
      </c>
      <c r="P6964" s="267" t="s">
        <v>3944</v>
      </c>
      <c r="Q6964" s="267" t="s">
        <v>3944</v>
      </c>
      <c r="R6964" s="267">
        <v>1588.23</v>
      </c>
      <c r="S6964" s="267">
        <v>22225.77</v>
      </c>
      <c r="T6964" s="267">
        <v>23814</v>
      </c>
      <c r="U6964" s="268" t="s">
        <v>3945</v>
      </c>
      <c r="V6964" s="267" t="s">
        <v>944</v>
      </c>
    </row>
    <row r="6965" spans="1:22" hidden="1" x14ac:dyDescent="0.25">
      <c r="A6965" s="269">
        <v>43786</v>
      </c>
      <c r="B6965" s="270">
        <v>2019</v>
      </c>
      <c r="C6965" s="270">
        <v>2020</v>
      </c>
      <c r="D6965" s="270">
        <v>1</v>
      </c>
      <c r="E6965" s="270">
        <v>1</v>
      </c>
      <c r="F6965" s="270" t="s">
        <v>944</v>
      </c>
      <c r="G6965" s="270" t="s">
        <v>3926</v>
      </c>
      <c r="H6965" s="270" t="s">
        <v>11757</v>
      </c>
      <c r="I6965" s="270" t="s">
        <v>956</v>
      </c>
      <c r="J6965" s="270" t="s">
        <v>3928</v>
      </c>
      <c r="K6965" s="270">
        <v>6615</v>
      </c>
      <c r="L6965" s="270">
        <v>80700</v>
      </c>
      <c r="M6965" s="270" t="s">
        <v>3935</v>
      </c>
      <c r="N6965" s="270" t="s">
        <v>3944</v>
      </c>
      <c r="O6965" s="270">
        <v>1667.05</v>
      </c>
      <c r="P6965" s="270" t="s">
        <v>3944</v>
      </c>
      <c r="Q6965" s="270" t="s">
        <v>3944</v>
      </c>
      <c r="R6965" s="270">
        <v>1667.05</v>
      </c>
      <c r="S6965" s="270">
        <v>25713.06</v>
      </c>
      <c r="T6965" s="270">
        <v>27380.11</v>
      </c>
      <c r="U6965" s="271" t="s">
        <v>3945</v>
      </c>
      <c r="V6965" s="267" t="s">
        <v>944</v>
      </c>
    </row>
    <row r="6966" spans="1:22" hidden="1" x14ac:dyDescent="0.25">
      <c r="A6966" s="266">
        <v>43786</v>
      </c>
      <c r="B6966" s="267">
        <v>2019</v>
      </c>
      <c r="C6966" s="267">
        <v>2020</v>
      </c>
      <c r="D6966" s="267">
        <v>1</v>
      </c>
      <c r="E6966" s="267">
        <v>1</v>
      </c>
      <c r="F6966" s="267" t="s">
        <v>944</v>
      </c>
      <c r="G6966" s="267" t="s">
        <v>3926</v>
      </c>
      <c r="H6966" s="267" t="s">
        <v>11758</v>
      </c>
      <c r="I6966" s="267" t="s">
        <v>4108</v>
      </c>
      <c r="J6966" s="267" t="s">
        <v>3928</v>
      </c>
      <c r="K6966" s="267">
        <v>6082</v>
      </c>
      <c r="L6966" s="267">
        <v>481300</v>
      </c>
      <c r="M6966" s="267" t="s">
        <v>3960</v>
      </c>
      <c r="N6966" s="267" t="s">
        <v>3944</v>
      </c>
      <c r="O6966" s="267">
        <v>1698.17</v>
      </c>
      <c r="P6966" s="267" t="s">
        <v>3944</v>
      </c>
      <c r="Q6966" s="267" t="s">
        <v>3944</v>
      </c>
      <c r="R6966" s="267">
        <v>1698.17</v>
      </c>
      <c r="S6966" s="267">
        <v>27984.74</v>
      </c>
      <c r="T6966" s="267">
        <v>29682.91</v>
      </c>
      <c r="U6966" s="268" t="s">
        <v>3945</v>
      </c>
      <c r="V6966" s="267" t="s">
        <v>944</v>
      </c>
    </row>
    <row r="6967" spans="1:22" hidden="1" x14ac:dyDescent="0.25">
      <c r="A6967" s="269">
        <v>43786</v>
      </c>
      <c r="B6967" s="270">
        <v>2019</v>
      </c>
      <c r="C6967" s="270">
        <v>2020</v>
      </c>
      <c r="D6967" s="270">
        <v>1</v>
      </c>
      <c r="E6967" s="270">
        <v>1</v>
      </c>
      <c r="F6967" s="270" t="s">
        <v>944</v>
      </c>
      <c r="G6967" s="270" t="s">
        <v>3926</v>
      </c>
      <c r="H6967" s="270" t="s">
        <v>11759</v>
      </c>
      <c r="I6967" s="270" t="s">
        <v>3954</v>
      </c>
      <c r="J6967" s="270" t="s">
        <v>3928</v>
      </c>
      <c r="K6967" s="270">
        <v>6357</v>
      </c>
      <c r="L6967" s="270">
        <v>870704</v>
      </c>
      <c r="M6967" s="270" t="s">
        <v>3935</v>
      </c>
      <c r="N6967" s="270" t="s">
        <v>3944</v>
      </c>
      <c r="O6967" s="270">
        <v>1787.98</v>
      </c>
      <c r="P6967" s="270" t="s">
        <v>3944</v>
      </c>
      <c r="Q6967" s="270" t="s">
        <v>3944</v>
      </c>
      <c r="R6967" s="270">
        <v>1787.98</v>
      </c>
      <c r="S6967" s="270">
        <v>27812.6</v>
      </c>
      <c r="T6967" s="270">
        <v>29600.58</v>
      </c>
      <c r="U6967" s="271" t="s">
        <v>3945</v>
      </c>
      <c r="V6967" s="267" t="s">
        <v>944</v>
      </c>
    </row>
    <row r="6968" spans="1:22" hidden="1" x14ac:dyDescent="0.25">
      <c r="A6968" s="266">
        <v>43787</v>
      </c>
      <c r="B6968" s="267">
        <v>2019</v>
      </c>
      <c r="C6968" s="267">
        <v>2020</v>
      </c>
      <c r="D6968" s="267">
        <v>1</v>
      </c>
      <c r="E6968" s="267">
        <v>1</v>
      </c>
      <c r="F6968" s="267" t="s">
        <v>944</v>
      </c>
      <c r="G6968" s="267" t="s">
        <v>3926</v>
      </c>
      <c r="H6968" s="267" t="s">
        <v>11760</v>
      </c>
      <c r="I6968" s="267" t="s">
        <v>3934</v>
      </c>
      <c r="J6968" s="267" t="s">
        <v>3928</v>
      </c>
      <c r="K6968" s="267">
        <v>6405</v>
      </c>
      <c r="L6968" s="267">
        <v>184600</v>
      </c>
      <c r="M6968" s="267" t="s">
        <v>3943</v>
      </c>
      <c r="N6968" s="267" t="s">
        <v>11761</v>
      </c>
      <c r="O6968" s="267">
        <v>0</v>
      </c>
      <c r="P6968" s="267" t="s">
        <v>3930</v>
      </c>
      <c r="Q6968" s="267" t="s">
        <v>3930</v>
      </c>
      <c r="R6968" s="267">
        <v>0</v>
      </c>
      <c r="S6968" s="267">
        <v>8780</v>
      </c>
      <c r="T6968" s="267">
        <v>8780</v>
      </c>
      <c r="U6968" s="268" t="s">
        <v>3937</v>
      </c>
      <c r="V6968" s="267" t="s">
        <v>944</v>
      </c>
    </row>
    <row r="6969" spans="1:22" hidden="1" x14ac:dyDescent="0.25">
      <c r="A6969" s="269">
        <v>43787</v>
      </c>
      <c r="B6969" s="270">
        <v>2019</v>
      </c>
      <c r="C6969" s="270">
        <v>2020</v>
      </c>
      <c r="D6969" s="270">
        <v>1</v>
      </c>
      <c r="E6969" s="270">
        <v>1</v>
      </c>
      <c r="F6969" s="270" t="s">
        <v>944</v>
      </c>
      <c r="G6969" s="270" t="s">
        <v>3926</v>
      </c>
      <c r="H6969" s="270" t="s">
        <v>11762</v>
      </c>
      <c r="I6969" s="270" t="s">
        <v>4213</v>
      </c>
      <c r="J6969" s="270" t="s">
        <v>3928</v>
      </c>
      <c r="K6969" s="270">
        <v>6053</v>
      </c>
      <c r="L6969" s="270">
        <v>417400</v>
      </c>
      <c r="M6969" s="270" t="s">
        <v>3935</v>
      </c>
      <c r="N6969" s="270" t="s">
        <v>11763</v>
      </c>
      <c r="O6969" s="270">
        <v>0</v>
      </c>
      <c r="P6969" s="270" t="s">
        <v>3930</v>
      </c>
      <c r="Q6969" s="270" t="s">
        <v>3930</v>
      </c>
      <c r="R6969" s="270">
        <v>0</v>
      </c>
      <c r="S6969" s="270">
        <v>9050</v>
      </c>
      <c r="T6969" s="270">
        <v>9050</v>
      </c>
      <c r="U6969" s="271" t="s">
        <v>3937</v>
      </c>
      <c r="V6969" s="267" t="s">
        <v>944</v>
      </c>
    </row>
    <row r="6970" spans="1:22" hidden="1" x14ac:dyDescent="0.25">
      <c r="A6970" s="266">
        <v>43787</v>
      </c>
      <c r="B6970" s="267">
        <v>2019</v>
      </c>
      <c r="C6970" s="267">
        <v>2020</v>
      </c>
      <c r="D6970" s="267">
        <v>1</v>
      </c>
      <c r="E6970" s="267">
        <v>1</v>
      </c>
      <c r="F6970" s="267" t="s">
        <v>944</v>
      </c>
      <c r="G6970" s="267" t="s">
        <v>3926</v>
      </c>
      <c r="H6970" s="267" t="s">
        <v>11764</v>
      </c>
      <c r="I6970" s="267" t="s">
        <v>4019</v>
      </c>
      <c r="J6970" s="267" t="s">
        <v>3928</v>
      </c>
      <c r="K6970" s="267">
        <v>6706</v>
      </c>
      <c r="L6970" s="267">
        <v>351500</v>
      </c>
      <c r="M6970" s="267" t="s">
        <v>3940</v>
      </c>
      <c r="N6970" s="267" t="s">
        <v>7680</v>
      </c>
      <c r="O6970" s="267">
        <v>884.35</v>
      </c>
      <c r="P6970" s="267" t="s">
        <v>3930</v>
      </c>
      <c r="Q6970" s="267" t="s">
        <v>3931</v>
      </c>
      <c r="R6970" s="267">
        <v>5884.35</v>
      </c>
      <c r="S6970" s="267">
        <v>11128</v>
      </c>
      <c r="T6970" s="267">
        <v>17012.349999999999</v>
      </c>
      <c r="U6970" s="268" t="s">
        <v>3932</v>
      </c>
      <c r="V6970" s="267" t="s">
        <v>944</v>
      </c>
    </row>
    <row r="6971" spans="1:22" hidden="1" x14ac:dyDescent="0.25">
      <c r="A6971" s="269">
        <v>43787</v>
      </c>
      <c r="B6971" s="270">
        <v>2019</v>
      </c>
      <c r="C6971" s="270">
        <v>2020</v>
      </c>
      <c r="D6971" s="270">
        <v>1</v>
      </c>
      <c r="E6971" s="270">
        <v>1</v>
      </c>
      <c r="F6971" s="270" t="s">
        <v>944</v>
      </c>
      <c r="G6971" s="270" t="s">
        <v>3926</v>
      </c>
      <c r="H6971" s="270" t="s">
        <v>11765</v>
      </c>
      <c r="I6971" s="270" t="s">
        <v>4011</v>
      </c>
      <c r="J6971" s="270" t="s">
        <v>3928</v>
      </c>
      <c r="K6971" s="270">
        <v>6002</v>
      </c>
      <c r="L6971" s="270">
        <v>471500</v>
      </c>
      <c r="M6971" s="270" t="s">
        <v>3935</v>
      </c>
      <c r="N6971" s="270" t="s">
        <v>3944</v>
      </c>
      <c r="O6971" s="270">
        <v>2041</v>
      </c>
      <c r="P6971" s="270" t="s">
        <v>3944</v>
      </c>
      <c r="Q6971" s="270" t="s">
        <v>3944</v>
      </c>
      <c r="R6971" s="270">
        <v>2041</v>
      </c>
      <c r="S6971" s="270">
        <v>30270.400000000001</v>
      </c>
      <c r="T6971" s="270">
        <v>32311.4</v>
      </c>
      <c r="U6971" s="271" t="s">
        <v>3945</v>
      </c>
      <c r="V6971" s="267" t="s">
        <v>944</v>
      </c>
    </row>
    <row r="6972" spans="1:22" hidden="1" x14ac:dyDescent="0.25">
      <c r="A6972" s="266">
        <v>43787</v>
      </c>
      <c r="B6972" s="267">
        <v>2019</v>
      </c>
      <c r="C6972" s="267">
        <v>2020</v>
      </c>
      <c r="D6972" s="267">
        <v>1</v>
      </c>
      <c r="E6972" s="267">
        <v>1</v>
      </c>
      <c r="F6972" s="267" t="s">
        <v>944</v>
      </c>
      <c r="G6972" s="267" t="s">
        <v>3926</v>
      </c>
      <c r="H6972" s="267" t="s">
        <v>11766</v>
      </c>
      <c r="I6972" s="267" t="s">
        <v>4087</v>
      </c>
      <c r="J6972" s="267" t="s">
        <v>3928</v>
      </c>
      <c r="K6972" s="267">
        <v>6340</v>
      </c>
      <c r="L6972" s="267">
        <v>702400</v>
      </c>
      <c r="M6972" s="267" t="s">
        <v>3935</v>
      </c>
      <c r="N6972" s="267" t="s">
        <v>3944</v>
      </c>
      <c r="O6972" s="267">
        <v>2252</v>
      </c>
      <c r="P6972" s="267" t="s">
        <v>3944</v>
      </c>
      <c r="Q6972" s="267" t="s">
        <v>3944</v>
      </c>
      <c r="R6972" s="267">
        <v>2252</v>
      </c>
      <c r="S6972" s="267">
        <v>18758.5</v>
      </c>
      <c r="T6972" s="267">
        <v>21010.5</v>
      </c>
      <c r="U6972" s="268" t="s">
        <v>3945</v>
      </c>
      <c r="V6972" s="267" t="s">
        <v>944</v>
      </c>
    </row>
    <row r="6973" spans="1:22" hidden="1" x14ac:dyDescent="0.25">
      <c r="A6973" s="269">
        <v>43787</v>
      </c>
      <c r="B6973" s="270">
        <v>2019</v>
      </c>
      <c r="C6973" s="270">
        <v>2020</v>
      </c>
      <c r="D6973" s="270">
        <v>1</v>
      </c>
      <c r="E6973" s="270">
        <v>1</v>
      </c>
      <c r="F6973" s="270" t="s">
        <v>944</v>
      </c>
      <c r="G6973" s="270" t="s">
        <v>3926</v>
      </c>
      <c r="H6973" s="270" t="s">
        <v>11767</v>
      </c>
      <c r="I6973" s="270" t="s">
        <v>3966</v>
      </c>
      <c r="J6973" s="270" t="s">
        <v>3928</v>
      </c>
      <c r="K6973" s="270">
        <v>6010</v>
      </c>
      <c r="L6973" s="270">
        <v>405800</v>
      </c>
      <c r="M6973" s="270" t="s">
        <v>3935</v>
      </c>
      <c r="N6973" s="270" t="s">
        <v>3944</v>
      </c>
      <c r="O6973" s="270">
        <v>3224</v>
      </c>
      <c r="P6973" s="270" t="s">
        <v>3944</v>
      </c>
      <c r="Q6973" s="270" t="s">
        <v>3944</v>
      </c>
      <c r="R6973" s="270">
        <v>3224</v>
      </c>
      <c r="S6973" s="270">
        <v>21971</v>
      </c>
      <c r="T6973" s="270">
        <v>25195</v>
      </c>
      <c r="U6973" s="271" t="s">
        <v>3945</v>
      </c>
      <c r="V6973" s="267" t="s">
        <v>944</v>
      </c>
    </row>
    <row r="6974" spans="1:22" hidden="1" x14ac:dyDescent="0.25">
      <c r="A6974" s="266">
        <v>43787</v>
      </c>
      <c r="B6974" s="267">
        <v>2019</v>
      </c>
      <c r="C6974" s="267">
        <v>2020</v>
      </c>
      <c r="D6974" s="267">
        <v>1</v>
      </c>
      <c r="E6974" s="267">
        <v>1</v>
      </c>
      <c r="F6974" s="267" t="s">
        <v>944</v>
      </c>
      <c r="G6974" s="267" t="s">
        <v>3926</v>
      </c>
      <c r="H6974" s="267" t="s">
        <v>11768</v>
      </c>
      <c r="I6974" s="267" t="s">
        <v>943</v>
      </c>
      <c r="J6974" s="267" t="s">
        <v>3928</v>
      </c>
      <c r="K6974" s="267">
        <v>6511</v>
      </c>
      <c r="L6974" s="267">
        <v>141900</v>
      </c>
      <c r="M6974" s="267" t="s">
        <v>3935</v>
      </c>
      <c r="N6974" s="267" t="s">
        <v>3944</v>
      </c>
      <c r="O6974" s="267">
        <v>3173</v>
      </c>
      <c r="P6974" s="267" t="s">
        <v>3944</v>
      </c>
      <c r="Q6974" s="267" t="s">
        <v>3944</v>
      </c>
      <c r="R6974" s="267">
        <v>3173</v>
      </c>
      <c r="S6974" s="267">
        <v>24309.73</v>
      </c>
      <c r="T6974" s="267">
        <v>27482.73</v>
      </c>
      <c r="U6974" s="268" t="s">
        <v>3945</v>
      </c>
      <c r="V6974" s="267" t="s">
        <v>944</v>
      </c>
    </row>
    <row r="6975" spans="1:22" hidden="1" x14ac:dyDescent="0.25">
      <c r="A6975" s="269">
        <v>43787</v>
      </c>
      <c r="B6975" s="270">
        <v>2019</v>
      </c>
      <c r="C6975" s="270">
        <v>2020</v>
      </c>
      <c r="D6975" s="270">
        <v>1</v>
      </c>
      <c r="E6975" s="270">
        <v>1</v>
      </c>
      <c r="F6975" s="270" t="s">
        <v>944</v>
      </c>
      <c r="G6975" s="270" t="s">
        <v>3926</v>
      </c>
      <c r="H6975" s="270" t="s">
        <v>11769</v>
      </c>
      <c r="I6975" s="270" t="s">
        <v>5147</v>
      </c>
      <c r="J6975" s="270" t="s">
        <v>3928</v>
      </c>
      <c r="K6975" s="270">
        <v>6468</v>
      </c>
      <c r="L6975" s="270">
        <v>100100</v>
      </c>
      <c r="M6975" s="270" t="s">
        <v>3943</v>
      </c>
      <c r="N6975" s="270" t="s">
        <v>3944</v>
      </c>
      <c r="O6975" s="270">
        <v>2157</v>
      </c>
      <c r="P6975" s="270" t="s">
        <v>3944</v>
      </c>
      <c r="Q6975" s="270" t="s">
        <v>3944</v>
      </c>
      <c r="R6975" s="270">
        <v>2157</v>
      </c>
      <c r="S6975" s="270">
        <v>24265</v>
      </c>
      <c r="T6975" s="270">
        <v>26422</v>
      </c>
      <c r="U6975" s="271" t="s">
        <v>3945</v>
      </c>
      <c r="V6975" s="267" t="s">
        <v>944</v>
      </c>
    </row>
    <row r="6976" spans="1:22" hidden="1" x14ac:dyDescent="0.25">
      <c r="A6976" s="266">
        <v>43787</v>
      </c>
      <c r="B6976" s="267">
        <v>2019</v>
      </c>
      <c r="C6976" s="267">
        <v>2020</v>
      </c>
      <c r="D6976" s="267">
        <v>1</v>
      </c>
      <c r="E6976" s="267">
        <v>1</v>
      </c>
      <c r="F6976" s="267" t="s">
        <v>944</v>
      </c>
      <c r="G6976" s="267" t="s">
        <v>3926</v>
      </c>
      <c r="H6976" s="267" t="s">
        <v>11770</v>
      </c>
      <c r="I6976" s="267" t="s">
        <v>4111</v>
      </c>
      <c r="J6976" s="267" t="s">
        <v>3928</v>
      </c>
      <c r="K6976" s="267">
        <v>6074</v>
      </c>
      <c r="L6976" s="267">
        <v>487300</v>
      </c>
      <c r="M6976" s="267" t="s">
        <v>3960</v>
      </c>
      <c r="N6976" s="267" t="s">
        <v>3944</v>
      </c>
      <c r="O6976" s="267">
        <v>2086</v>
      </c>
      <c r="P6976" s="267" t="s">
        <v>3944</v>
      </c>
      <c r="Q6976" s="267" t="s">
        <v>3944</v>
      </c>
      <c r="R6976" s="267">
        <v>2086</v>
      </c>
      <c r="S6976" s="267">
        <v>33230</v>
      </c>
      <c r="T6976" s="267">
        <v>35316</v>
      </c>
      <c r="U6976" s="268" t="s">
        <v>3945</v>
      </c>
      <c r="V6976" s="267" t="s">
        <v>944</v>
      </c>
    </row>
    <row r="6977" spans="1:22" hidden="1" x14ac:dyDescent="0.25">
      <c r="A6977" s="269">
        <v>43787</v>
      </c>
      <c r="B6977" s="270">
        <v>2019</v>
      </c>
      <c r="C6977" s="270">
        <v>2020</v>
      </c>
      <c r="D6977" s="270">
        <v>1</v>
      </c>
      <c r="E6977" s="270">
        <v>1</v>
      </c>
      <c r="F6977" s="270" t="s">
        <v>944</v>
      </c>
      <c r="G6977" s="270" t="s">
        <v>3926</v>
      </c>
      <c r="H6977" s="270" t="s">
        <v>11771</v>
      </c>
      <c r="I6977" s="270" t="s">
        <v>2987</v>
      </c>
      <c r="J6977" s="270" t="s">
        <v>3928</v>
      </c>
      <c r="K6977" s="270">
        <v>6611</v>
      </c>
      <c r="L6977" s="270">
        <v>90100</v>
      </c>
      <c r="M6977" s="270" t="s">
        <v>3943</v>
      </c>
      <c r="N6977" s="270" t="s">
        <v>3944</v>
      </c>
      <c r="O6977" s="270">
        <v>2913</v>
      </c>
      <c r="P6977" s="270" t="s">
        <v>3944</v>
      </c>
      <c r="Q6977" s="270" t="s">
        <v>3944</v>
      </c>
      <c r="R6977" s="270">
        <v>2913</v>
      </c>
      <c r="S6977" s="270">
        <v>47907</v>
      </c>
      <c r="T6977" s="270">
        <v>50820</v>
      </c>
      <c r="U6977" s="271" t="s">
        <v>3945</v>
      </c>
      <c r="V6977" s="267" t="s">
        <v>944</v>
      </c>
    </row>
    <row r="6978" spans="1:22" hidden="1" x14ac:dyDescent="0.25">
      <c r="A6978" s="266">
        <v>43787</v>
      </c>
      <c r="B6978" s="267">
        <v>2019</v>
      </c>
      <c r="C6978" s="267">
        <v>2020</v>
      </c>
      <c r="D6978" s="267">
        <v>1</v>
      </c>
      <c r="E6978" s="267">
        <v>1</v>
      </c>
      <c r="F6978" s="267" t="s">
        <v>944</v>
      </c>
      <c r="G6978" s="267" t="s">
        <v>3926</v>
      </c>
      <c r="H6978" s="267" t="s">
        <v>11772</v>
      </c>
      <c r="I6978" s="267" t="s">
        <v>4126</v>
      </c>
      <c r="J6978" s="267" t="s">
        <v>3928</v>
      </c>
      <c r="K6978" s="267">
        <v>6880</v>
      </c>
      <c r="L6978" s="267">
        <v>50200</v>
      </c>
      <c r="M6978" s="267" t="s">
        <v>3943</v>
      </c>
      <c r="N6978" s="267" t="s">
        <v>3944</v>
      </c>
      <c r="O6978" s="267">
        <v>6773</v>
      </c>
      <c r="P6978" s="267" t="s">
        <v>3944</v>
      </c>
      <c r="Q6978" s="267" t="s">
        <v>3944</v>
      </c>
      <c r="R6978" s="267">
        <v>6773</v>
      </c>
      <c r="S6978" s="267">
        <v>50351.199999999997</v>
      </c>
      <c r="T6978" s="267">
        <v>57124.2</v>
      </c>
      <c r="U6978" s="268" t="s">
        <v>3945</v>
      </c>
      <c r="V6978" s="267" t="s">
        <v>944</v>
      </c>
    </row>
    <row r="6979" spans="1:22" hidden="1" x14ac:dyDescent="0.25">
      <c r="A6979" s="269">
        <v>43787</v>
      </c>
      <c r="B6979" s="270">
        <v>2019</v>
      </c>
      <c r="C6979" s="270">
        <v>2020</v>
      </c>
      <c r="D6979" s="270">
        <v>1</v>
      </c>
      <c r="E6979" s="270">
        <v>1</v>
      </c>
      <c r="F6979" s="270" t="s">
        <v>944</v>
      </c>
      <c r="G6979" s="270" t="s">
        <v>3926</v>
      </c>
      <c r="H6979" s="270" t="s">
        <v>11773</v>
      </c>
      <c r="I6979" s="270" t="s">
        <v>3990</v>
      </c>
      <c r="J6979" s="270" t="s">
        <v>3928</v>
      </c>
      <c r="K6979" s="270">
        <v>6804</v>
      </c>
      <c r="L6979" s="270">
        <v>205100</v>
      </c>
      <c r="M6979" s="270" t="s">
        <v>3943</v>
      </c>
      <c r="N6979" s="270" t="s">
        <v>3944</v>
      </c>
      <c r="O6979" s="270">
        <v>2491</v>
      </c>
      <c r="P6979" s="270" t="s">
        <v>3944</v>
      </c>
      <c r="Q6979" s="270" t="s">
        <v>3944</v>
      </c>
      <c r="R6979" s="270">
        <v>2491</v>
      </c>
      <c r="S6979" s="270">
        <v>27109</v>
      </c>
      <c r="T6979" s="270">
        <v>29600</v>
      </c>
      <c r="U6979" s="271" t="s">
        <v>3945</v>
      </c>
      <c r="V6979" s="267" t="s">
        <v>944</v>
      </c>
    </row>
    <row r="6980" spans="1:22" hidden="1" x14ac:dyDescent="0.25">
      <c r="A6980" s="266">
        <v>43787</v>
      </c>
      <c r="B6980" s="267">
        <v>2019</v>
      </c>
      <c r="C6980" s="267">
        <v>2020</v>
      </c>
      <c r="D6980" s="267">
        <v>1</v>
      </c>
      <c r="E6980" s="267">
        <v>1</v>
      </c>
      <c r="F6980" s="267" t="s">
        <v>944</v>
      </c>
      <c r="G6980" s="267" t="s">
        <v>3926</v>
      </c>
      <c r="H6980" s="267" t="s">
        <v>11774</v>
      </c>
      <c r="I6980" s="267" t="s">
        <v>6426</v>
      </c>
      <c r="J6980" s="267" t="s">
        <v>3928</v>
      </c>
      <c r="K6980" s="267">
        <v>6422</v>
      </c>
      <c r="L6980" s="267">
        <v>585100</v>
      </c>
      <c r="M6980" s="267" t="s">
        <v>3943</v>
      </c>
      <c r="N6980" s="267" t="s">
        <v>3944</v>
      </c>
      <c r="O6980" s="267">
        <v>2499</v>
      </c>
      <c r="P6980" s="267" t="s">
        <v>3944</v>
      </c>
      <c r="Q6980" s="267" t="s">
        <v>3944</v>
      </c>
      <c r="R6980" s="267">
        <v>2499</v>
      </c>
      <c r="S6980" s="267">
        <v>26166.33</v>
      </c>
      <c r="T6980" s="267">
        <v>28665.33</v>
      </c>
      <c r="U6980" s="268" t="s">
        <v>3945</v>
      </c>
      <c r="V6980" s="267" t="s">
        <v>944</v>
      </c>
    </row>
    <row r="6981" spans="1:22" hidden="1" x14ac:dyDescent="0.25">
      <c r="A6981" s="269">
        <v>43787</v>
      </c>
      <c r="B6981" s="270">
        <v>2019</v>
      </c>
      <c r="C6981" s="270">
        <v>2020</v>
      </c>
      <c r="D6981" s="270">
        <v>1</v>
      </c>
      <c r="E6981" s="270">
        <v>1</v>
      </c>
      <c r="F6981" s="270" t="s">
        <v>944</v>
      </c>
      <c r="G6981" s="270" t="s">
        <v>3926</v>
      </c>
      <c r="H6981" s="270" t="s">
        <v>11775</v>
      </c>
      <c r="I6981" s="270" t="s">
        <v>4126</v>
      </c>
      <c r="J6981" s="270" t="s">
        <v>3928</v>
      </c>
      <c r="K6981" s="270">
        <v>6880</v>
      </c>
      <c r="L6981" s="270">
        <v>50600</v>
      </c>
      <c r="M6981" s="270" t="s">
        <v>3943</v>
      </c>
      <c r="N6981" s="270" t="s">
        <v>3944</v>
      </c>
      <c r="O6981" s="270">
        <v>3901</v>
      </c>
      <c r="P6981" s="270" t="s">
        <v>3944</v>
      </c>
      <c r="Q6981" s="270" t="s">
        <v>3944</v>
      </c>
      <c r="R6981" s="270">
        <v>3901</v>
      </c>
      <c r="S6981" s="270">
        <v>59617</v>
      </c>
      <c r="T6981" s="270">
        <v>63518</v>
      </c>
      <c r="U6981" s="271" t="s">
        <v>3945</v>
      </c>
      <c r="V6981" s="267" t="s">
        <v>944</v>
      </c>
    </row>
    <row r="6982" spans="1:22" hidden="1" x14ac:dyDescent="0.25">
      <c r="A6982" s="266">
        <v>43787</v>
      </c>
      <c r="B6982" s="267">
        <v>2019</v>
      </c>
      <c r="C6982" s="267">
        <v>2020</v>
      </c>
      <c r="D6982" s="267">
        <v>1</v>
      </c>
      <c r="E6982" s="267">
        <v>1</v>
      </c>
      <c r="F6982" s="267" t="s">
        <v>944</v>
      </c>
      <c r="G6982" s="267" t="s">
        <v>3926</v>
      </c>
      <c r="H6982" s="267" t="s">
        <v>11776</v>
      </c>
      <c r="I6982" s="267" t="s">
        <v>4114</v>
      </c>
      <c r="J6982" s="267" t="s">
        <v>3928</v>
      </c>
      <c r="K6982" s="267">
        <v>6410</v>
      </c>
      <c r="L6982" s="267">
        <v>343400</v>
      </c>
      <c r="M6982" s="267" t="s">
        <v>3943</v>
      </c>
      <c r="N6982" s="267" t="s">
        <v>3944</v>
      </c>
      <c r="O6982" s="267">
        <v>2775</v>
      </c>
      <c r="P6982" s="267" t="s">
        <v>3944</v>
      </c>
      <c r="Q6982" s="267" t="s">
        <v>3944</v>
      </c>
      <c r="R6982" s="267">
        <v>2775</v>
      </c>
      <c r="S6982" s="267">
        <v>27570.6</v>
      </c>
      <c r="T6982" s="267">
        <v>30345.599999999999</v>
      </c>
      <c r="U6982" s="268" t="s">
        <v>3945</v>
      </c>
      <c r="V6982" s="267" t="s">
        <v>944</v>
      </c>
    </row>
    <row r="6983" spans="1:22" hidden="1" x14ac:dyDescent="0.25">
      <c r="A6983" s="269">
        <v>43787</v>
      </c>
      <c r="B6983" s="270">
        <v>2019</v>
      </c>
      <c r="C6983" s="270">
        <v>2020</v>
      </c>
      <c r="D6983" s="270">
        <v>1</v>
      </c>
      <c r="E6983" s="270">
        <v>1</v>
      </c>
      <c r="F6983" s="270" t="s">
        <v>944</v>
      </c>
      <c r="G6983" s="270" t="s">
        <v>3926</v>
      </c>
      <c r="H6983" s="270" t="s">
        <v>11777</v>
      </c>
      <c r="I6983" s="270" t="s">
        <v>4035</v>
      </c>
      <c r="J6983" s="270" t="s">
        <v>3928</v>
      </c>
      <c r="K6983" s="270">
        <v>6074</v>
      </c>
      <c r="L6983" s="270">
        <v>487202</v>
      </c>
      <c r="M6983" s="270" t="s">
        <v>3943</v>
      </c>
      <c r="N6983" s="270" t="s">
        <v>3944</v>
      </c>
      <c r="O6983" s="270">
        <v>3300</v>
      </c>
      <c r="P6983" s="270" t="s">
        <v>3944</v>
      </c>
      <c r="Q6983" s="270" t="s">
        <v>3944</v>
      </c>
      <c r="R6983" s="270">
        <v>3300</v>
      </c>
      <c r="S6983" s="270">
        <v>25170</v>
      </c>
      <c r="T6983" s="270">
        <v>28470</v>
      </c>
      <c r="U6983" s="271" t="s">
        <v>3945</v>
      </c>
      <c r="V6983" s="267" t="s">
        <v>944</v>
      </c>
    </row>
    <row r="6984" spans="1:22" hidden="1" x14ac:dyDescent="0.25">
      <c r="A6984" s="266">
        <v>43787</v>
      </c>
      <c r="B6984" s="267">
        <v>2019</v>
      </c>
      <c r="C6984" s="267">
        <v>2020</v>
      </c>
      <c r="D6984" s="267">
        <v>1</v>
      </c>
      <c r="E6984" s="267">
        <v>1</v>
      </c>
      <c r="F6984" s="267" t="s">
        <v>944</v>
      </c>
      <c r="G6984" s="267" t="s">
        <v>3997</v>
      </c>
      <c r="H6984" s="267" t="s">
        <v>11778</v>
      </c>
      <c r="I6984" s="267" t="s">
        <v>4019</v>
      </c>
      <c r="J6984" s="267" t="s">
        <v>3928</v>
      </c>
      <c r="K6984" s="267">
        <v>6705</v>
      </c>
      <c r="L6984" s="267">
        <v>352600</v>
      </c>
      <c r="M6984" s="267">
        <v>-60</v>
      </c>
      <c r="N6984" s="267" t="s">
        <v>3944</v>
      </c>
      <c r="O6984" s="267">
        <v>1216.78</v>
      </c>
      <c r="P6984" s="267" t="s">
        <v>3944</v>
      </c>
      <c r="Q6984" s="267" t="s">
        <v>3944</v>
      </c>
      <c r="R6984" s="267">
        <v>1216.78</v>
      </c>
      <c r="S6984" s="267">
        <v>14656.82</v>
      </c>
      <c r="T6984" s="267">
        <v>15873.6</v>
      </c>
      <c r="U6984" s="268" t="s">
        <v>3945</v>
      </c>
      <c r="V6984" s="267" t="s">
        <v>944</v>
      </c>
    </row>
    <row r="6985" spans="1:22" hidden="1" x14ac:dyDescent="0.25">
      <c r="A6985" s="269">
        <v>43787</v>
      </c>
      <c r="B6985" s="270">
        <v>2019</v>
      </c>
      <c r="C6985" s="270">
        <v>2020</v>
      </c>
      <c r="D6985" s="270">
        <v>1</v>
      </c>
      <c r="E6985" s="270">
        <v>1</v>
      </c>
      <c r="F6985" s="270" t="s">
        <v>944</v>
      </c>
      <c r="G6985" s="270" t="s">
        <v>3926</v>
      </c>
      <c r="H6985" s="270" t="s">
        <v>11779</v>
      </c>
      <c r="I6985" s="270" t="s">
        <v>3954</v>
      </c>
      <c r="J6985" s="270" t="s">
        <v>3928</v>
      </c>
      <c r="K6985" s="270">
        <v>6357</v>
      </c>
      <c r="L6985" s="270">
        <v>870704</v>
      </c>
      <c r="M6985" s="270" t="s">
        <v>3935</v>
      </c>
      <c r="N6985" s="270" t="s">
        <v>3944</v>
      </c>
      <c r="O6985" s="270">
        <v>3364</v>
      </c>
      <c r="P6985" s="270" t="s">
        <v>3944</v>
      </c>
      <c r="Q6985" s="270" t="s">
        <v>3944</v>
      </c>
      <c r="R6985" s="270">
        <v>3364</v>
      </c>
      <c r="S6985" s="270">
        <v>22927</v>
      </c>
      <c r="T6985" s="270">
        <v>26291</v>
      </c>
      <c r="U6985" s="271" t="s">
        <v>3945</v>
      </c>
      <c r="V6985" s="267" t="s">
        <v>944</v>
      </c>
    </row>
    <row r="6986" spans="1:22" hidden="1" x14ac:dyDescent="0.25">
      <c r="A6986" s="266">
        <v>43787</v>
      </c>
      <c r="B6986" s="267">
        <v>2019</v>
      </c>
      <c r="C6986" s="267">
        <v>2020</v>
      </c>
      <c r="D6986" s="267">
        <v>1</v>
      </c>
      <c r="E6986" s="267">
        <v>1</v>
      </c>
      <c r="F6986" s="267" t="s">
        <v>944</v>
      </c>
      <c r="G6986" s="267" t="s">
        <v>3926</v>
      </c>
      <c r="H6986" s="267" t="s">
        <v>11780</v>
      </c>
      <c r="I6986" s="267" t="s">
        <v>4235</v>
      </c>
      <c r="J6986" s="267" t="s">
        <v>3928</v>
      </c>
      <c r="K6986" s="267">
        <v>6066</v>
      </c>
      <c r="L6986" s="267">
        <v>530500</v>
      </c>
      <c r="M6986" s="267" t="s">
        <v>3935</v>
      </c>
      <c r="N6986" s="267" t="s">
        <v>3944</v>
      </c>
      <c r="O6986" s="267">
        <v>2366</v>
      </c>
      <c r="P6986" s="267" t="s">
        <v>3944</v>
      </c>
      <c r="Q6986" s="267" t="s">
        <v>3944</v>
      </c>
      <c r="R6986" s="267">
        <v>2366</v>
      </c>
      <c r="S6986" s="267">
        <v>16257</v>
      </c>
      <c r="T6986" s="267">
        <v>18623</v>
      </c>
      <c r="U6986" s="268" t="s">
        <v>3945</v>
      </c>
      <c r="V6986" s="267" t="s">
        <v>944</v>
      </c>
    </row>
    <row r="6987" spans="1:22" hidden="1" x14ac:dyDescent="0.25">
      <c r="A6987" s="269">
        <v>43787</v>
      </c>
      <c r="B6987" s="270">
        <v>2019</v>
      </c>
      <c r="C6987" s="270">
        <v>2020</v>
      </c>
      <c r="D6987" s="270">
        <v>1</v>
      </c>
      <c r="E6987" s="270">
        <v>1</v>
      </c>
      <c r="F6987" s="270" t="s">
        <v>944</v>
      </c>
      <c r="G6987" s="270" t="s">
        <v>3926</v>
      </c>
      <c r="H6987" s="270" t="s">
        <v>11781</v>
      </c>
      <c r="I6987" s="270" t="s">
        <v>4129</v>
      </c>
      <c r="J6987" s="270" t="s">
        <v>3928</v>
      </c>
      <c r="K6987" s="270">
        <v>6259</v>
      </c>
      <c r="L6987" s="270">
        <v>902500</v>
      </c>
      <c r="M6987" s="270" t="s">
        <v>3960</v>
      </c>
      <c r="N6987" s="270" t="s">
        <v>3944</v>
      </c>
      <c r="O6987" s="270">
        <v>4087</v>
      </c>
      <c r="P6987" s="270" t="s">
        <v>3944</v>
      </c>
      <c r="Q6987" s="270" t="s">
        <v>3944</v>
      </c>
      <c r="R6987" s="270">
        <v>4087</v>
      </c>
      <c r="S6987" s="270">
        <v>27725.96</v>
      </c>
      <c r="T6987" s="270">
        <v>31812.959999999999</v>
      </c>
      <c r="U6987" s="271" t="s">
        <v>3945</v>
      </c>
      <c r="V6987" s="267" t="s">
        <v>944</v>
      </c>
    </row>
    <row r="6988" spans="1:22" hidden="1" x14ac:dyDescent="0.25">
      <c r="A6988" s="266">
        <v>43787</v>
      </c>
      <c r="B6988" s="267">
        <v>2019</v>
      </c>
      <c r="C6988" s="267">
        <v>2020</v>
      </c>
      <c r="D6988" s="267">
        <v>1</v>
      </c>
      <c r="E6988" s="267">
        <v>1</v>
      </c>
      <c r="F6988" s="267" t="s">
        <v>944</v>
      </c>
      <c r="G6988" s="267" t="s">
        <v>3926</v>
      </c>
      <c r="H6988" s="267" t="s">
        <v>11782</v>
      </c>
      <c r="I6988" s="267" t="s">
        <v>4114</v>
      </c>
      <c r="J6988" s="267" t="s">
        <v>3928</v>
      </c>
      <c r="K6988" s="267">
        <v>6410</v>
      </c>
      <c r="L6988" s="267">
        <v>343102</v>
      </c>
      <c r="M6988" s="267" t="s">
        <v>3943</v>
      </c>
      <c r="N6988" s="267" t="s">
        <v>3944</v>
      </c>
      <c r="O6988" s="267">
        <v>1564.82</v>
      </c>
      <c r="P6988" s="267" t="s">
        <v>3944</v>
      </c>
      <c r="Q6988" s="267" t="s">
        <v>3944</v>
      </c>
      <c r="R6988" s="267">
        <v>1564.82</v>
      </c>
      <c r="S6988" s="267">
        <v>22541.79</v>
      </c>
      <c r="T6988" s="267">
        <v>24106.61</v>
      </c>
      <c r="U6988" s="268" t="s">
        <v>3945</v>
      </c>
      <c r="V6988" s="267" t="s">
        <v>944</v>
      </c>
    </row>
    <row r="6989" spans="1:22" hidden="1" x14ac:dyDescent="0.25">
      <c r="A6989" s="269">
        <v>43787</v>
      </c>
      <c r="B6989" s="270">
        <v>2019</v>
      </c>
      <c r="C6989" s="270">
        <v>2020</v>
      </c>
      <c r="D6989" s="270">
        <v>1</v>
      </c>
      <c r="E6989" s="270">
        <v>1</v>
      </c>
      <c r="F6989" s="270" t="s">
        <v>944</v>
      </c>
      <c r="G6989" s="270" t="s">
        <v>3926</v>
      </c>
      <c r="H6989" s="270" t="s">
        <v>11783</v>
      </c>
      <c r="I6989" s="270" t="s">
        <v>4019</v>
      </c>
      <c r="J6989" s="270" t="s">
        <v>3928</v>
      </c>
      <c r="K6989" s="270">
        <v>6704</v>
      </c>
      <c r="L6989" s="270">
        <v>352400</v>
      </c>
      <c r="M6989" s="270">
        <v>-60</v>
      </c>
      <c r="N6989" s="270" t="s">
        <v>3944</v>
      </c>
      <c r="O6989" s="270">
        <v>3383.87</v>
      </c>
      <c r="P6989" s="270" t="s">
        <v>3944</v>
      </c>
      <c r="Q6989" s="270" t="s">
        <v>3944</v>
      </c>
      <c r="R6989" s="270">
        <v>3383.87</v>
      </c>
      <c r="S6989" s="270">
        <v>46353.41</v>
      </c>
      <c r="T6989" s="270">
        <v>49737.279999999999</v>
      </c>
      <c r="U6989" s="271" t="s">
        <v>3945</v>
      </c>
      <c r="V6989" s="267" t="s">
        <v>944</v>
      </c>
    </row>
    <row r="6990" spans="1:22" hidden="1" x14ac:dyDescent="0.25">
      <c r="A6990" s="266">
        <v>43787</v>
      </c>
      <c r="B6990" s="267">
        <v>2019</v>
      </c>
      <c r="C6990" s="267">
        <v>2020</v>
      </c>
      <c r="D6990" s="267">
        <v>1</v>
      </c>
      <c r="E6990" s="267">
        <v>1</v>
      </c>
      <c r="F6990" s="267" t="s">
        <v>944</v>
      </c>
      <c r="G6990" s="267" t="s">
        <v>3926</v>
      </c>
      <c r="H6990" s="267" t="s">
        <v>11784</v>
      </c>
      <c r="I6990" s="267" t="s">
        <v>4269</v>
      </c>
      <c r="J6990" s="267" t="s">
        <v>3928</v>
      </c>
      <c r="K6990" s="267">
        <v>6107</v>
      </c>
      <c r="L6990" s="267">
        <v>497000</v>
      </c>
      <c r="M6990" s="267" t="s">
        <v>3943</v>
      </c>
      <c r="N6990" s="267" t="s">
        <v>3944</v>
      </c>
      <c r="O6990" s="267">
        <v>1602.13</v>
      </c>
      <c r="P6990" s="267" t="s">
        <v>3944</v>
      </c>
      <c r="Q6990" s="267" t="s">
        <v>3944</v>
      </c>
      <c r="R6990" s="267">
        <v>1602.13</v>
      </c>
      <c r="S6990" s="267">
        <v>22740.16</v>
      </c>
      <c r="T6990" s="267">
        <v>24342.29</v>
      </c>
      <c r="U6990" s="268" t="s">
        <v>3945</v>
      </c>
      <c r="V6990" s="267" t="s">
        <v>944</v>
      </c>
    </row>
    <row r="6991" spans="1:22" hidden="1" x14ac:dyDescent="0.25">
      <c r="A6991" s="269">
        <v>43787</v>
      </c>
      <c r="B6991" s="270">
        <v>2019</v>
      </c>
      <c r="C6991" s="270">
        <v>2020</v>
      </c>
      <c r="D6991" s="270">
        <v>1</v>
      </c>
      <c r="E6991" s="270">
        <v>1</v>
      </c>
      <c r="F6991" s="270" t="s">
        <v>944</v>
      </c>
      <c r="G6991" s="270" t="s">
        <v>3926</v>
      </c>
      <c r="H6991" s="270" t="s">
        <v>11785</v>
      </c>
      <c r="I6991" s="270" t="s">
        <v>3949</v>
      </c>
      <c r="J6991" s="270" t="s">
        <v>3928</v>
      </c>
      <c r="K6991" s="270">
        <v>6437</v>
      </c>
      <c r="L6991" s="270">
        <v>190100</v>
      </c>
      <c r="M6991" s="270" t="s">
        <v>3960</v>
      </c>
      <c r="N6991" s="270" t="s">
        <v>3944</v>
      </c>
      <c r="O6991" s="270">
        <v>1839.18</v>
      </c>
      <c r="P6991" s="270" t="s">
        <v>3944</v>
      </c>
      <c r="Q6991" s="270" t="s">
        <v>3944</v>
      </c>
      <c r="R6991" s="270">
        <v>1839.18</v>
      </c>
      <c r="S6991" s="270">
        <v>26222.87</v>
      </c>
      <c r="T6991" s="270">
        <v>28062.05</v>
      </c>
      <c r="U6991" s="271" t="s">
        <v>3945</v>
      </c>
      <c r="V6991" s="267" t="s">
        <v>944</v>
      </c>
    </row>
    <row r="6992" spans="1:22" hidden="1" x14ac:dyDescent="0.25">
      <c r="A6992" s="266">
        <v>43787</v>
      </c>
      <c r="B6992" s="267">
        <v>2019</v>
      </c>
      <c r="C6992" s="267">
        <v>2020</v>
      </c>
      <c r="D6992" s="267">
        <v>1</v>
      </c>
      <c r="E6992" s="267">
        <v>1</v>
      </c>
      <c r="F6992" s="267" t="s">
        <v>944</v>
      </c>
      <c r="G6992" s="267" t="s">
        <v>3926</v>
      </c>
      <c r="H6992" s="267" t="s">
        <v>11786</v>
      </c>
      <c r="I6992" s="267" t="s">
        <v>4422</v>
      </c>
      <c r="J6992" s="267" t="s">
        <v>3928</v>
      </c>
      <c r="K6992" s="267">
        <v>6801</v>
      </c>
      <c r="L6992" s="267">
        <v>200302</v>
      </c>
      <c r="M6992" s="267" t="s">
        <v>3943</v>
      </c>
      <c r="N6992" s="267" t="s">
        <v>3944</v>
      </c>
      <c r="O6992" s="267">
        <v>3546.9</v>
      </c>
      <c r="P6992" s="267" t="s">
        <v>3944</v>
      </c>
      <c r="Q6992" s="267" t="s">
        <v>3944</v>
      </c>
      <c r="R6992" s="267">
        <v>3546.9</v>
      </c>
      <c r="S6992" s="267">
        <v>45503.1</v>
      </c>
      <c r="T6992" s="267">
        <v>49050</v>
      </c>
      <c r="U6992" s="268" t="s">
        <v>3945</v>
      </c>
      <c r="V6992" s="267" t="s">
        <v>944</v>
      </c>
    </row>
    <row r="6993" spans="1:22" hidden="1" x14ac:dyDescent="0.25">
      <c r="A6993" s="269">
        <v>43787</v>
      </c>
      <c r="B6993" s="270">
        <v>2019</v>
      </c>
      <c r="C6993" s="270">
        <v>2020</v>
      </c>
      <c r="D6993" s="270">
        <v>1</v>
      </c>
      <c r="E6993" s="270">
        <v>1</v>
      </c>
      <c r="F6993" s="270" t="s">
        <v>944</v>
      </c>
      <c r="G6993" s="270" t="s">
        <v>3926</v>
      </c>
      <c r="H6993" s="270" t="s">
        <v>11787</v>
      </c>
      <c r="I6993" s="270" t="s">
        <v>4213</v>
      </c>
      <c r="J6993" s="270" t="s">
        <v>3928</v>
      </c>
      <c r="K6993" s="270">
        <v>6053</v>
      </c>
      <c r="L6993" s="270">
        <v>417500</v>
      </c>
      <c r="M6993" s="270" t="s">
        <v>3940</v>
      </c>
      <c r="N6993" s="270" t="s">
        <v>3944</v>
      </c>
      <c r="O6993" s="270">
        <v>3089.8</v>
      </c>
      <c r="P6993" s="270" t="s">
        <v>3944</v>
      </c>
      <c r="Q6993" s="270" t="s">
        <v>3944</v>
      </c>
      <c r="R6993" s="270">
        <v>3089.8</v>
      </c>
      <c r="S6993" s="270">
        <v>44810.11</v>
      </c>
      <c r="T6993" s="270">
        <v>47899.91</v>
      </c>
      <c r="U6993" s="271" t="s">
        <v>3945</v>
      </c>
      <c r="V6993" s="267" t="s">
        <v>944</v>
      </c>
    </row>
    <row r="6994" spans="1:22" hidden="1" x14ac:dyDescent="0.25">
      <c r="A6994" s="266">
        <v>43787</v>
      </c>
      <c r="B6994" s="267">
        <v>2019</v>
      </c>
      <c r="C6994" s="267">
        <v>2020</v>
      </c>
      <c r="D6994" s="267">
        <v>1</v>
      </c>
      <c r="E6994" s="267">
        <v>1</v>
      </c>
      <c r="F6994" s="267" t="s">
        <v>944</v>
      </c>
      <c r="G6994" s="267" t="s">
        <v>3926</v>
      </c>
      <c r="H6994" s="267" t="s">
        <v>11788</v>
      </c>
      <c r="I6994" s="267" t="s">
        <v>4005</v>
      </c>
      <c r="J6994" s="267" t="s">
        <v>3928</v>
      </c>
      <c r="K6994" s="267">
        <v>6118</v>
      </c>
      <c r="L6994" s="267">
        <v>510800</v>
      </c>
      <c r="M6994" s="267" t="s">
        <v>3940</v>
      </c>
      <c r="N6994" s="267" t="s">
        <v>3944</v>
      </c>
      <c r="O6994" s="267">
        <v>1966.55</v>
      </c>
      <c r="P6994" s="267" t="s">
        <v>3944</v>
      </c>
      <c r="Q6994" s="267" t="s">
        <v>3944</v>
      </c>
      <c r="R6994" s="267">
        <v>1966.55</v>
      </c>
      <c r="S6994" s="267">
        <v>29214.68</v>
      </c>
      <c r="T6994" s="267">
        <v>31181.23</v>
      </c>
      <c r="U6994" s="268" t="s">
        <v>3945</v>
      </c>
      <c r="V6994" s="267" t="s">
        <v>944</v>
      </c>
    </row>
    <row r="6995" spans="1:22" hidden="1" x14ac:dyDescent="0.25">
      <c r="A6995" s="269">
        <v>43787</v>
      </c>
      <c r="B6995" s="270">
        <v>2019</v>
      </c>
      <c r="C6995" s="270">
        <v>2020</v>
      </c>
      <c r="D6995" s="270">
        <v>1</v>
      </c>
      <c r="E6995" s="270">
        <v>1</v>
      </c>
      <c r="F6995" s="270" t="s">
        <v>944</v>
      </c>
      <c r="G6995" s="270" t="s">
        <v>3926</v>
      </c>
      <c r="H6995" s="270" t="s">
        <v>11789</v>
      </c>
      <c r="I6995" s="270" t="s">
        <v>3993</v>
      </c>
      <c r="J6995" s="270" t="s">
        <v>3928</v>
      </c>
      <c r="K6995" s="270">
        <v>6415</v>
      </c>
      <c r="L6995" s="270">
        <v>714104</v>
      </c>
      <c r="M6995" s="270" t="s">
        <v>3960</v>
      </c>
      <c r="N6995" s="270" t="s">
        <v>3944</v>
      </c>
      <c r="O6995" s="270">
        <v>3121.09</v>
      </c>
      <c r="P6995" s="270" t="s">
        <v>3944</v>
      </c>
      <c r="Q6995" s="270" t="s">
        <v>3944</v>
      </c>
      <c r="R6995" s="270">
        <v>3121.09</v>
      </c>
      <c r="S6995" s="270">
        <v>46202.36</v>
      </c>
      <c r="T6995" s="270">
        <v>49323.45</v>
      </c>
      <c r="U6995" s="271" t="s">
        <v>3945</v>
      </c>
      <c r="V6995" s="267" t="s">
        <v>944</v>
      </c>
    </row>
    <row r="6996" spans="1:22" hidden="1" x14ac:dyDescent="0.25">
      <c r="A6996" s="266">
        <v>43787</v>
      </c>
      <c r="B6996" s="267">
        <v>2019</v>
      </c>
      <c r="C6996" s="267">
        <v>2020</v>
      </c>
      <c r="D6996" s="267">
        <v>1</v>
      </c>
      <c r="E6996" s="267">
        <v>1</v>
      </c>
      <c r="F6996" s="267" t="s">
        <v>944</v>
      </c>
      <c r="G6996" s="267" t="s">
        <v>3926</v>
      </c>
      <c r="H6996" s="267" t="s">
        <v>11790</v>
      </c>
      <c r="I6996" s="267" t="s">
        <v>3025</v>
      </c>
      <c r="J6996" s="267" t="s">
        <v>3928</v>
      </c>
      <c r="K6996" s="267">
        <v>6473</v>
      </c>
      <c r="L6996" s="267">
        <v>167201</v>
      </c>
      <c r="M6996" s="267" t="s">
        <v>3960</v>
      </c>
      <c r="N6996" s="267" t="s">
        <v>3944</v>
      </c>
      <c r="O6996" s="267">
        <v>1374.42</v>
      </c>
      <c r="P6996" s="267" t="s">
        <v>3944</v>
      </c>
      <c r="Q6996" s="267" t="s">
        <v>3944</v>
      </c>
      <c r="R6996" s="267">
        <v>1374.42</v>
      </c>
      <c r="S6996" s="267">
        <v>22644.83</v>
      </c>
      <c r="T6996" s="267">
        <v>24019.25</v>
      </c>
      <c r="U6996" s="268" t="s">
        <v>3945</v>
      </c>
      <c r="V6996" s="267" t="s">
        <v>944</v>
      </c>
    </row>
    <row r="6997" spans="1:22" hidden="1" x14ac:dyDescent="0.25">
      <c r="A6997" s="269">
        <v>43787</v>
      </c>
      <c r="B6997" s="270">
        <v>2019</v>
      </c>
      <c r="C6997" s="270">
        <v>2020</v>
      </c>
      <c r="D6997" s="270">
        <v>1</v>
      </c>
      <c r="E6997" s="270">
        <v>1</v>
      </c>
      <c r="F6997" s="270" t="s">
        <v>944</v>
      </c>
      <c r="G6997" s="270" t="s">
        <v>3926</v>
      </c>
      <c r="H6997" s="270" t="s">
        <v>11791</v>
      </c>
      <c r="I6997" s="270" t="s">
        <v>3996</v>
      </c>
      <c r="J6997" s="270" t="s">
        <v>3928</v>
      </c>
      <c r="K6997" s="270">
        <v>6790</v>
      </c>
      <c r="L6997" s="270">
        <v>310100</v>
      </c>
      <c r="M6997" s="270" t="s">
        <v>3940</v>
      </c>
      <c r="N6997" s="270" t="s">
        <v>3944</v>
      </c>
      <c r="O6997" s="270">
        <v>1087.3800000000001</v>
      </c>
      <c r="P6997" s="270" t="s">
        <v>3944</v>
      </c>
      <c r="Q6997" s="270" t="s">
        <v>3944</v>
      </c>
      <c r="R6997" s="270">
        <v>1087.3800000000001</v>
      </c>
      <c r="S6997" s="270">
        <v>23152.33</v>
      </c>
      <c r="T6997" s="270">
        <v>24239.71</v>
      </c>
      <c r="U6997" s="271" t="s">
        <v>3945</v>
      </c>
      <c r="V6997" s="267" t="s">
        <v>944</v>
      </c>
    </row>
    <row r="6998" spans="1:22" hidden="1" x14ac:dyDescent="0.25">
      <c r="A6998" s="266">
        <v>43787</v>
      </c>
      <c r="B6998" s="267">
        <v>2019</v>
      </c>
      <c r="C6998" s="267">
        <v>2020</v>
      </c>
      <c r="D6998" s="267">
        <v>1</v>
      </c>
      <c r="E6998" s="267">
        <v>1</v>
      </c>
      <c r="F6998" s="267" t="s">
        <v>944</v>
      </c>
      <c r="G6998" s="267" t="s">
        <v>3926</v>
      </c>
      <c r="H6998" s="267" t="s">
        <v>11792</v>
      </c>
      <c r="I6998" s="267" t="s">
        <v>4114</v>
      </c>
      <c r="J6998" s="267" t="s">
        <v>3928</v>
      </c>
      <c r="K6998" s="267">
        <v>6410</v>
      </c>
      <c r="L6998" s="267">
        <v>343200</v>
      </c>
      <c r="M6998" s="267" t="s">
        <v>3943</v>
      </c>
      <c r="N6998" s="267" t="s">
        <v>3944</v>
      </c>
      <c r="O6998" s="267">
        <v>1746.89</v>
      </c>
      <c r="P6998" s="267" t="s">
        <v>3944</v>
      </c>
      <c r="Q6998" s="267" t="s">
        <v>3944</v>
      </c>
      <c r="R6998" s="267">
        <v>1746.89</v>
      </c>
      <c r="S6998" s="267">
        <v>24340.12</v>
      </c>
      <c r="T6998" s="267">
        <v>26087.01</v>
      </c>
      <c r="U6998" s="268" t="s">
        <v>3945</v>
      </c>
      <c r="V6998" s="267" t="s">
        <v>944</v>
      </c>
    </row>
    <row r="6999" spans="1:22" hidden="1" x14ac:dyDescent="0.25">
      <c r="A6999" s="269">
        <v>43787</v>
      </c>
      <c r="B6999" s="270">
        <v>2019</v>
      </c>
      <c r="C6999" s="270">
        <v>2020</v>
      </c>
      <c r="D6999" s="270">
        <v>1</v>
      </c>
      <c r="E6999" s="270">
        <v>1</v>
      </c>
      <c r="F6999" s="270" t="s">
        <v>944</v>
      </c>
      <c r="G6999" s="270" t="s">
        <v>3926</v>
      </c>
      <c r="H6999" s="270" t="s">
        <v>11793</v>
      </c>
      <c r="I6999" s="270" t="s">
        <v>4235</v>
      </c>
      <c r="J6999" s="270" t="s">
        <v>3928</v>
      </c>
      <c r="K6999" s="270">
        <v>6066</v>
      </c>
      <c r="L6999" s="270">
        <v>530200</v>
      </c>
      <c r="M6999" s="270">
        <v>-60</v>
      </c>
      <c r="N6999" s="270" t="s">
        <v>3944</v>
      </c>
      <c r="O6999" s="270">
        <v>1590.72</v>
      </c>
      <c r="P6999" s="270" t="s">
        <v>3944</v>
      </c>
      <c r="Q6999" s="270" t="s">
        <v>3944</v>
      </c>
      <c r="R6999" s="270">
        <v>1590.72</v>
      </c>
      <c r="S6999" s="270">
        <v>23220.51</v>
      </c>
      <c r="T6999" s="270">
        <v>24811.23</v>
      </c>
      <c r="U6999" s="271" t="s">
        <v>3945</v>
      </c>
      <c r="V6999" s="267" t="s">
        <v>944</v>
      </c>
    </row>
    <row r="7000" spans="1:22" hidden="1" x14ac:dyDescent="0.25">
      <c r="A7000" s="266">
        <v>43787</v>
      </c>
      <c r="B7000" s="267">
        <v>2019</v>
      </c>
      <c r="C7000" s="267">
        <v>2020</v>
      </c>
      <c r="D7000" s="267">
        <v>1</v>
      </c>
      <c r="E7000" s="267">
        <v>1</v>
      </c>
      <c r="F7000" s="267" t="s">
        <v>944</v>
      </c>
      <c r="G7000" s="267" t="s">
        <v>3926</v>
      </c>
      <c r="H7000" s="267" t="s">
        <v>11794</v>
      </c>
      <c r="I7000" s="267" t="s">
        <v>3954</v>
      </c>
      <c r="J7000" s="267" t="s">
        <v>3928</v>
      </c>
      <c r="K7000" s="267">
        <v>6357</v>
      </c>
      <c r="L7000" s="267">
        <v>716101</v>
      </c>
      <c r="M7000" s="267" t="s">
        <v>3935</v>
      </c>
      <c r="N7000" s="267" t="s">
        <v>3944</v>
      </c>
      <c r="O7000" s="267">
        <v>3806.36</v>
      </c>
      <c r="P7000" s="267" t="s">
        <v>3944</v>
      </c>
      <c r="Q7000" s="267" t="s">
        <v>3944</v>
      </c>
      <c r="R7000" s="267">
        <v>3806.36</v>
      </c>
      <c r="S7000" s="267">
        <v>75979.98</v>
      </c>
      <c r="T7000" s="267">
        <v>79786.34</v>
      </c>
      <c r="U7000" s="268" t="s">
        <v>3945</v>
      </c>
      <c r="V7000" s="267" t="s">
        <v>944</v>
      </c>
    </row>
    <row r="7001" spans="1:22" hidden="1" x14ac:dyDescent="0.25">
      <c r="A7001" s="269">
        <v>43787</v>
      </c>
      <c r="B7001" s="270">
        <v>2019</v>
      </c>
      <c r="C7001" s="270">
        <v>2020</v>
      </c>
      <c r="D7001" s="270">
        <v>1</v>
      </c>
      <c r="E7001" s="270">
        <v>1</v>
      </c>
      <c r="F7001" s="270" t="s">
        <v>944</v>
      </c>
      <c r="G7001" s="270" t="s">
        <v>3926</v>
      </c>
      <c r="H7001" s="270" t="s">
        <v>11795</v>
      </c>
      <c r="I7001" s="270" t="s">
        <v>4330</v>
      </c>
      <c r="J7001" s="270" t="s">
        <v>3928</v>
      </c>
      <c r="K7001" s="270">
        <v>6413</v>
      </c>
      <c r="L7001" s="270">
        <v>610300</v>
      </c>
      <c r="M7001" s="270" t="s">
        <v>3960</v>
      </c>
      <c r="N7001" s="270" t="s">
        <v>3944</v>
      </c>
      <c r="O7001" s="270">
        <v>2346.89</v>
      </c>
      <c r="P7001" s="270" t="s">
        <v>3944</v>
      </c>
      <c r="Q7001" s="270" t="s">
        <v>3944</v>
      </c>
      <c r="R7001" s="270">
        <v>2346.89</v>
      </c>
      <c r="S7001" s="270">
        <v>34691.51</v>
      </c>
      <c r="T7001" s="270">
        <v>37038.400000000001</v>
      </c>
      <c r="U7001" s="271" t="s">
        <v>3945</v>
      </c>
      <c r="V7001" s="267" t="s">
        <v>944</v>
      </c>
    </row>
    <row r="7002" spans="1:22" hidden="1" x14ac:dyDescent="0.25">
      <c r="A7002" s="266">
        <v>43787</v>
      </c>
      <c r="B7002" s="267">
        <v>2019</v>
      </c>
      <c r="C7002" s="267">
        <v>2020</v>
      </c>
      <c r="D7002" s="267">
        <v>1</v>
      </c>
      <c r="E7002" s="267">
        <v>1</v>
      </c>
      <c r="F7002" s="267" t="s">
        <v>944</v>
      </c>
      <c r="G7002" s="267" t="s">
        <v>3926</v>
      </c>
      <c r="H7002" s="267" t="s">
        <v>11796</v>
      </c>
      <c r="I7002" s="267" t="s">
        <v>3025</v>
      </c>
      <c r="J7002" s="267" t="s">
        <v>3928</v>
      </c>
      <c r="K7002" s="267">
        <v>6473</v>
      </c>
      <c r="L7002" s="267">
        <v>167300</v>
      </c>
      <c r="M7002" s="267" t="s">
        <v>3943</v>
      </c>
      <c r="N7002" s="267" t="s">
        <v>3944</v>
      </c>
      <c r="O7002" s="267">
        <v>2864.54</v>
      </c>
      <c r="P7002" s="267" t="s">
        <v>3944</v>
      </c>
      <c r="Q7002" s="267" t="s">
        <v>3944</v>
      </c>
      <c r="R7002" s="267">
        <v>2864.54</v>
      </c>
      <c r="S7002" s="267">
        <v>44756.26</v>
      </c>
      <c r="T7002" s="267">
        <v>47620.800000000003</v>
      </c>
      <c r="U7002" s="268" t="s">
        <v>3945</v>
      </c>
      <c r="V7002" s="267" t="s">
        <v>944</v>
      </c>
    </row>
    <row r="7003" spans="1:22" hidden="1" x14ac:dyDescent="0.25">
      <c r="A7003" s="269">
        <v>43787</v>
      </c>
      <c r="B7003" s="270">
        <v>2019</v>
      </c>
      <c r="C7003" s="270">
        <v>2020</v>
      </c>
      <c r="D7003" s="270">
        <v>1</v>
      </c>
      <c r="E7003" s="270">
        <v>1</v>
      </c>
      <c r="F7003" s="270" t="s">
        <v>944</v>
      </c>
      <c r="G7003" s="270" t="s">
        <v>3926</v>
      </c>
      <c r="H7003" s="270" t="s">
        <v>11797</v>
      </c>
      <c r="I7003" s="270" t="s">
        <v>4005</v>
      </c>
      <c r="J7003" s="270" t="s">
        <v>3928</v>
      </c>
      <c r="K7003" s="270">
        <v>6118</v>
      </c>
      <c r="L7003" s="270">
        <v>510900</v>
      </c>
      <c r="M7003" s="270" t="s">
        <v>3960</v>
      </c>
      <c r="N7003" s="270" t="s">
        <v>3944</v>
      </c>
      <c r="O7003" s="270">
        <v>1034.5</v>
      </c>
      <c r="P7003" s="270" t="s">
        <v>3944</v>
      </c>
      <c r="Q7003" s="270" t="s">
        <v>3944</v>
      </c>
      <c r="R7003" s="270">
        <v>1034.5</v>
      </c>
      <c r="S7003" s="270">
        <v>23838.12</v>
      </c>
      <c r="T7003" s="270">
        <v>24872.62</v>
      </c>
      <c r="U7003" s="271" t="s">
        <v>3945</v>
      </c>
      <c r="V7003" s="267" t="s">
        <v>944</v>
      </c>
    </row>
    <row r="7004" spans="1:22" hidden="1" x14ac:dyDescent="0.25">
      <c r="A7004" s="266">
        <v>43787</v>
      </c>
      <c r="B7004" s="267">
        <v>2019</v>
      </c>
      <c r="C7004" s="267">
        <v>2020</v>
      </c>
      <c r="D7004" s="267">
        <v>1</v>
      </c>
      <c r="E7004" s="267">
        <v>1</v>
      </c>
      <c r="F7004" s="267" t="s">
        <v>944</v>
      </c>
      <c r="G7004" s="267" t="s">
        <v>3926</v>
      </c>
      <c r="H7004" s="267" t="s">
        <v>11798</v>
      </c>
      <c r="I7004" s="267" t="s">
        <v>950</v>
      </c>
      <c r="J7004" s="267" t="s">
        <v>3928</v>
      </c>
      <c r="K7004" s="267">
        <v>6516</v>
      </c>
      <c r="L7004" s="267">
        <v>154700</v>
      </c>
      <c r="M7004" s="267" t="s">
        <v>3960</v>
      </c>
      <c r="N7004" s="267" t="s">
        <v>3944</v>
      </c>
      <c r="O7004" s="267">
        <v>1691.94</v>
      </c>
      <c r="P7004" s="267" t="s">
        <v>3944</v>
      </c>
      <c r="Q7004" s="267" t="s">
        <v>3944</v>
      </c>
      <c r="R7004" s="267">
        <v>1691.94</v>
      </c>
      <c r="S7004" s="267">
        <v>26298.98</v>
      </c>
      <c r="T7004" s="267">
        <v>27990.92</v>
      </c>
      <c r="U7004" s="268" t="s">
        <v>3945</v>
      </c>
      <c r="V7004" s="267" t="s">
        <v>944</v>
      </c>
    </row>
    <row r="7005" spans="1:22" hidden="1" x14ac:dyDescent="0.25">
      <c r="A7005" s="269">
        <v>43787</v>
      </c>
      <c r="B7005" s="270">
        <v>2019</v>
      </c>
      <c r="C7005" s="270">
        <v>2020</v>
      </c>
      <c r="D7005" s="270">
        <v>1</v>
      </c>
      <c r="E7005" s="270">
        <v>1</v>
      </c>
      <c r="F7005" s="270" t="s">
        <v>944</v>
      </c>
      <c r="G7005" s="270" t="s">
        <v>3926</v>
      </c>
      <c r="H7005" s="270" t="s">
        <v>11799</v>
      </c>
      <c r="I7005" s="270" t="s">
        <v>4244</v>
      </c>
      <c r="J7005" s="270" t="s">
        <v>3928</v>
      </c>
      <c r="K7005" s="270">
        <v>6250</v>
      </c>
      <c r="L7005" s="270">
        <v>881100</v>
      </c>
      <c r="M7005" s="270" t="s">
        <v>3935</v>
      </c>
      <c r="N7005" s="270" t="s">
        <v>3944</v>
      </c>
      <c r="O7005" s="270">
        <v>1238.58</v>
      </c>
      <c r="P7005" s="270" t="s">
        <v>3944</v>
      </c>
      <c r="Q7005" s="270" t="s">
        <v>3944</v>
      </c>
      <c r="R7005" s="270">
        <v>1238.58</v>
      </c>
      <c r="S7005" s="270">
        <v>18937.169999999998</v>
      </c>
      <c r="T7005" s="270">
        <v>20175.75</v>
      </c>
      <c r="U7005" s="271" t="s">
        <v>3945</v>
      </c>
      <c r="V7005" s="267" t="s">
        <v>944</v>
      </c>
    </row>
    <row r="7006" spans="1:22" hidden="1" x14ac:dyDescent="0.25">
      <c r="A7006" s="266">
        <v>43787</v>
      </c>
      <c r="B7006" s="267">
        <v>2019</v>
      </c>
      <c r="C7006" s="267">
        <v>2020</v>
      </c>
      <c r="D7006" s="267">
        <v>1</v>
      </c>
      <c r="E7006" s="267">
        <v>1</v>
      </c>
      <c r="F7006" s="267" t="s">
        <v>944</v>
      </c>
      <c r="G7006" s="267" t="s">
        <v>3926</v>
      </c>
      <c r="H7006" s="267" t="s">
        <v>11800</v>
      </c>
      <c r="I7006" s="267" t="s">
        <v>4353</v>
      </c>
      <c r="J7006" s="267" t="s">
        <v>3928</v>
      </c>
      <c r="K7006" s="267">
        <v>6416</v>
      </c>
      <c r="L7006" s="267">
        <v>570200</v>
      </c>
      <c r="M7006" s="267" t="s">
        <v>3943</v>
      </c>
      <c r="N7006" s="267" t="s">
        <v>3944</v>
      </c>
      <c r="O7006" s="267">
        <v>665.11</v>
      </c>
      <c r="P7006" s="267" t="s">
        <v>3944</v>
      </c>
      <c r="Q7006" s="267" t="s">
        <v>3944</v>
      </c>
      <c r="R7006" s="267">
        <v>665.11</v>
      </c>
      <c r="S7006" s="267">
        <v>9761.75</v>
      </c>
      <c r="T7006" s="267">
        <v>10426.86</v>
      </c>
      <c r="U7006" s="268" t="s">
        <v>3945</v>
      </c>
      <c r="V7006" s="267" t="s">
        <v>944</v>
      </c>
    </row>
    <row r="7007" spans="1:22" hidden="1" x14ac:dyDescent="0.25">
      <c r="A7007" s="269">
        <v>43787</v>
      </c>
      <c r="B7007" s="270">
        <v>2019</v>
      </c>
      <c r="C7007" s="270">
        <v>2020</v>
      </c>
      <c r="D7007" s="270">
        <v>1</v>
      </c>
      <c r="E7007" s="270">
        <v>1</v>
      </c>
      <c r="F7007" s="270" t="s">
        <v>944</v>
      </c>
      <c r="G7007" s="270" t="s">
        <v>3926</v>
      </c>
      <c r="H7007" s="270" t="s">
        <v>11801</v>
      </c>
      <c r="I7007" s="270" t="s">
        <v>3975</v>
      </c>
      <c r="J7007" s="270" t="s">
        <v>3928</v>
      </c>
      <c r="K7007" s="270">
        <v>6489</v>
      </c>
      <c r="L7007" s="270">
        <v>430100</v>
      </c>
      <c r="M7007" s="270" t="s">
        <v>3935</v>
      </c>
      <c r="N7007" s="270" t="s">
        <v>3944</v>
      </c>
      <c r="O7007" s="270">
        <v>1962.17</v>
      </c>
      <c r="P7007" s="270" t="s">
        <v>3944</v>
      </c>
      <c r="Q7007" s="270" t="s">
        <v>3944</v>
      </c>
      <c r="R7007" s="270">
        <v>1962.17</v>
      </c>
      <c r="S7007" s="270">
        <v>30314.95</v>
      </c>
      <c r="T7007" s="270">
        <v>32277.119999999999</v>
      </c>
      <c r="U7007" s="271" t="s">
        <v>3945</v>
      </c>
      <c r="V7007" s="267" t="s">
        <v>944</v>
      </c>
    </row>
    <row r="7008" spans="1:22" hidden="1" x14ac:dyDescent="0.25">
      <c r="A7008" s="266">
        <v>43787</v>
      </c>
      <c r="B7008" s="267">
        <v>2019</v>
      </c>
      <c r="C7008" s="267">
        <v>2020</v>
      </c>
      <c r="D7008" s="267">
        <v>1</v>
      </c>
      <c r="E7008" s="267">
        <v>1</v>
      </c>
      <c r="F7008" s="267" t="s">
        <v>944</v>
      </c>
      <c r="G7008" s="267" t="s">
        <v>3926</v>
      </c>
      <c r="H7008" s="267" t="s">
        <v>11802</v>
      </c>
      <c r="I7008" s="267" t="s">
        <v>3939</v>
      </c>
      <c r="J7008" s="267" t="s">
        <v>3928</v>
      </c>
      <c r="K7008" s="267">
        <v>6513</v>
      </c>
      <c r="L7008" s="267">
        <v>180602</v>
      </c>
      <c r="M7008" s="267" t="s">
        <v>3935</v>
      </c>
      <c r="N7008" s="267" t="s">
        <v>3944</v>
      </c>
      <c r="O7008" s="267">
        <v>3043.74</v>
      </c>
      <c r="P7008" s="267" t="s">
        <v>3944</v>
      </c>
      <c r="Q7008" s="267" t="s">
        <v>3944</v>
      </c>
      <c r="R7008" s="267">
        <v>3043.74</v>
      </c>
      <c r="S7008" s="267">
        <v>64774.46</v>
      </c>
      <c r="T7008" s="267">
        <v>67818.2</v>
      </c>
      <c r="U7008" s="268" t="s">
        <v>3945</v>
      </c>
      <c r="V7008" s="267" t="s">
        <v>944</v>
      </c>
    </row>
    <row r="7009" spans="1:22" hidden="1" x14ac:dyDescent="0.25">
      <c r="A7009" s="269">
        <v>43788</v>
      </c>
      <c r="B7009" s="270">
        <v>2019</v>
      </c>
      <c r="C7009" s="270">
        <v>2020</v>
      </c>
      <c r="D7009" s="270">
        <v>1</v>
      </c>
      <c r="E7009" s="270">
        <v>1</v>
      </c>
      <c r="F7009" s="270" t="s">
        <v>944</v>
      </c>
      <c r="G7009" s="270" t="s">
        <v>3926</v>
      </c>
      <c r="H7009" s="270" t="s">
        <v>11803</v>
      </c>
      <c r="I7009" s="270" t="s">
        <v>4124</v>
      </c>
      <c r="J7009" s="270" t="s">
        <v>3928</v>
      </c>
      <c r="K7009" s="270">
        <v>6470</v>
      </c>
      <c r="L7009" s="270">
        <v>230400</v>
      </c>
      <c r="M7009" s="270" t="s">
        <v>3943</v>
      </c>
      <c r="N7009" s="270" t="s">
        <v>11804</v>
      </c>
      <c r="O7009" s="270">
        <v>2717</v>
      </c>
      <c r="P7009" s="270" t="s">
        <v>3930</v>
      </c>
      <c r="Q7009" s="270" t="s">
        <v>3930</v>
      </c>
      <c r="R7009" s="270">
        <v>2717</v>
      </c>
      <c r="S7009" s="270">
        <v>53058</v>
      </c>
      <c r="T7009" s="270">
        <v>55775</v>
      </c>
      <c r="U7009" s="271" t="s">
        <v>3937</v>
      </c>
      <c r="V7009" s="267" t="s">
        <v>944</v>
      </c>
    </row>
    <row r="7010" spans="1:22" hidden="1" x14ac:dyDescent="0.25">
      <c r="A7010" s="266">
        <v>43788</v>
      </c>
      <c r="B7010" s="267">
        <v>2019</v>
      </c>
      <c r="C7010" s="267">
        <v>2020</v>
      </c>
      <c r="D7010" s="267">
        <v>1</v>
      </c>
      <c r="E7010" s="267">
        <v>1</v>
      </c>
      <c r="F7010" s="267" t="s">
        <v>944</v>
      </c>
      <c r="G7010" s="267" t="s">
        <v>3926</v>
      </c>
      <c r="H7010" s="267" t="s">
        <v>11805</v>
      </c>
      <c r="I7010" s="267" t="s">
        <v>7040</v>
      </c>
      <c r="J7010" s="267" t="s">
        <v>3928</v>
      </c>
      <c r="K7010" s="267">
        <v>6065</v>
      </c>
      <c r="L7010" s="267">
        <v>330100</v>
      </c>
      <c r="M7010" s="267" t="s">
        <v>3960</v>
      </c>
      <c r="N7010" s="267" t="s">
        <v>11806</v>
      </c>
      <c r="O7010" s="267">
        <v>0</v>
      </c>
      <c r="P7010" s="267" t="s">
        <v>3930</v>
      </c>
      <c r="Q7010" s="267" t="s">
        <v>3930</v>
      </c>
      <c r="R7010" s="267">
        <v>0</v>
      </c>
      <c r="S7010" s="267">
        <v>27165.81</v>
      </c>
      <c r="T7010" s="267">
        <v>27165.81</v>
      </c>
      <c r="U7010" s="268" t="s">
        <v>3937</v>
      </c>
      <c r="V7010" s="267" t="s">
        <v>944</v>
      </c>
    </row>
    <row r="7011" spans="1:22" hidden="1" x14ac:dyDescent="0.25">
      <c r="A7011" s="269">
        <v>43788</v>
      </c>
      <c r="B7011" s="270">
        <v>2019</v>
      </c>
      <c r="C7011" s="270">
        <v>2020</v>
      </c>
      <c r="D7011" s="270">
        <v>1</v>
      </c>
      <c r="E7011" s="270">
        <v>1</v>
      </c>
      <c r="F7011" s="270" t="s">
        <v>944</v>
      </c>
      <c r="G7011" s="270" t="s">
        <v>3926</v>
      </c>
      <c r="H7011" s="270" t="s">
        <v>11807</v>
      </c>
      <c r="I7011" s="270" t="s">
        <v>4029</v>
      </c>
      <c r="J7011" s="270" t="s">
        <v>3928</v>
      </c>
      <c r="K7011" s="270">
        <v>6850</v>
      </c>
      <c r="L7011" s="270">
        <v>43800</v>
      </c>
      <c r="M7011" s="270" t="s">
        <v>3935</v>
      </c>
      <c r="N7011" s="270" t="s">
        <v>11119</v>
      </c>
      <c r="O7011" s="270">
        <v>0</v>
      </c>
      <c r="P7011" s="270" t="s">
        <v>3930</v>
      </c>
      <c r="Q7011" s="270" t="s">
        <v>3930</v>
      </c>
      <c r="R7011" s="270">
        <v>0</v>
      </c>
      <c r="S7011" s="270">
        <v>4250</v>
      </c>
      <c r="T7011" s="270">
        <v>4250</v>
      </c>
      <c r="U7011" s="271" t="s">
        <v>3937</v>
      </c>
      <c r="V7011" s="267" t="s">
        <v>944</v>
      </c>
    </row>
    <row r="7012" spans="1:22" hidden="1" x14ac:dyDescent="0.25">
      <c r="A7012" s="266">
        <v>43788</v>
      </c>
      <c r="B7012" s="267">
        <v>2019</v>
      </c>
      <c r="C7012" s="267">
        <v>2020</v>
      </c>
      <c r="D7012" s="267">
        <v>1</v>
      </c>
      <c r="E7012" s="267">
        <v>1</v>
      </c>
      <c r="F7012" s="267" t="s">
        <v>944</v>
      </c>
      <c r="G7012" s="267" t="s">
        <v>3926</v>
      </c>
      <c r="H7012" s="267" t="s">
        <v>11808</v>
      </c>
      <c r="I7012" s="267" t="s">
        <v>3947</v>
      </c>
      <c r="J7012" s="267" t="s">
        <v>3928</v>
      </c>
      <c r="K7012" s="267">
        <v>6060</v>
      </c>
      <c r="L7012" s="267">
        <v>468101</v>
      </c>
      <c r="M7012" s="267" t="s">
        <v>3943</v>
      </c>
      <c r="N7012" s="267" t="s">
        <v>6084</v>
      </c>
      <c r="O7012" s="267">
        <v>0</v>
      </c>
      <c r="P7012" s="267" t="s">
        <v>3930</v>
      </c>
      <c r="Q7012" s="267" t="s">
        <v>3930</v>
      </c>
      <c r="R7012" s="267">
        <v>0</v>
      </c>
      <c r="S7012" s="267">
        <v>50000</v>
      </c>
      <c r="T7012" s="267">
        <v>50000</v>
      </c>
      <c r="U7012" s="268" t="s">
        <v>3937</v>
      </c>
      <c r="V7012" s="267" t="s">
        <v>944</v>
      </c>
    </row>
    <row r="7013" spans="1:22" hidden="1" x14ac:dyDescent="0.25">
      <c r="A7013" s="269">
        <v>43788</v>
      </c>
      <c r="B7013" s="270">
        <v>2019</v>
      </c>
      <c r="C7013" s="270">
        <v>2020</v>
      </c>
      <c r="D7013" s="270">
        <v>1</v>
      </c>
      <c r="E7013" s="270">
        <v>1</v>
      </c>
      <c r="F7013" s="270" t="s">
        <v>944</v>
      </c>
      <c r="G7013" s="270" t="s">
        <v>3926</v>
      </c>
      <c r="H7013" s="270" t="s">
        <v>11809</v>
      </c>
      <c r="I7013" s="270" t="s">
        <v>3956</v>
      </c>
      <c r="J7013" s="270" t="s">
        <v>3928</v>
      </c>
      <c r="K7013" s="270">
        <v>6112</v>
      </c>
      <c r="L7013" s="270">
        <v>504000</v>
      </c>
      <c r="M7013" s="270" t="s">
        <v>3940</v>
      </c>
      <c r="N7013" s="270" t="s">
        <v>11810</v>
      </c>
      <c r="O7013" s="270">
        <v>2298.19</v>
      </c>
      <c r="P7013" s="270" t="s">
        <v>3930</v>
      </c>
      <c r="Q7013" s="270" t="s">
        <v>3931</v>
      </c>
      <c r="R7013" s="270">
        <v>7298.19</v>
      </c>
      <c r="S7013" s="270">
        <v>11849.8</v>
      </c>
      <c r="T7013" s="270">
        <v>19147.990000000002</v>
      </c>
      <c r="U7013" s="271" t="s">
        <v>3932</v>
      </c>
      <c r="V7013" s="267" t="s">
        <v>944</v>
      </c>
    </row>
    <row r="7014" spans="1:22" hidden="1" x14ac:dyDescent="0.25">
      <c r="A7014" s="266">
        <v>43788</v>
      </c>
      <c r="B7014" s="267">
        <v>2019</v>
      </c>
      <c r="C7014" s="267">
        <v>2020</v>
      </c>
      <c r="D7014" s="267">
        <v>1</v>
      </c>
      <c r="E7014" s="267">
        <v>1</v>
      </c>
      <c r="F7014" s="267" t="s">
        <v>944</v>
      </c>
      <c r="G7014" s="267" t="s">
        <v>3926</v>
      </c>
      <c r="H7014" s="267" t="s">
        <v>11811</v>
      </c>
      <c r="I7014" s="267" t="s">
        <v>4019</v>
      </c>
      <c r="J7014" s="267" t="s">
        <v>3928</v>
      </c>
      <c r="K7014" s="267">
        <v>6706</v>
      </c>
      <c r="L7014" s="267">
        <v>351500</v>
      </c>
      <c r="M7014" s="267" t="s">
        <v>3940</v>
      </c>
      <c r="N7014" s="267" t="s">
        <v>4523</v>
      </c>
      <c r="O7014" s="267">
        <v>1661.03</v>
      </c>
      <c r="P7014" s="267" t="s">
        <v>3930</v>
      </c>
      <c r="Q7014" s="267" t="s">
        <v>3931</v>
      </c>
      <c r="R7014" s="267">
        <v>6661.03</v>
      </c>
      <c r="S7014" s="267">
        <v>25412.799999999999</v>
      </c>
      <c r="T7014" s="267">
        <v>32073.83</v>
      </c>
      <c r="U7014" s="268" t="s">
        <v>3932</v>
      </c>
      <c r="V7014" s="267" t="s">
        <v>944</v>
      </c>
    </row>
    <row r="7015" spans="1:22" hidden="1" x14ac:dyDescent="0.25">
      <c r="A7015" s="269">
        <v>43788</v>
      </c>
      <c r="B7015" s="270">
        <v>2019</v>
      </c>
      <c r="C7015" s="270">
        <v>2020</v>
      </c>
      <c r="D7015" s="270">
        <v>1</v>
      </c>
      <c r="E7015" s="270">
        <v>1</v>
      </c>
      <c r="F7015" s="270" t="s">
        <v>944</v>
      </c>
      <c r="G7015" s="270" t="s">
        <v>3926</v>
      </c>
      <c r="H7015" s="270" t="s">
        <v>11812</v>
      </c>
      <c r="I7015" s="270" t="s">
        <v>4111</v>
      </c>
      <c r="J7015" s="270" t="s">
        <v>3928</v>
      </c>
      <c r="K7015" s="270">
        <v>6095</v>
      </c>
      <c r="L7015" s="270">
        <v>473400</v>
      </c>
      <c r="M7015" s="270" t="s">
        <v>3935</v>
      </c>
      <c r="N7015" s="270" t="s">
        <v>11813</v>
      </c>
      <c r="O7015" s="270">
        <v>0</v>
      </c>
      <c r="P7015" s="270" t="s">
        <v>3930</v>
      </c>
      <c r="Q7015" s="270" t="s">
        <v>3930</v>
      </c>
      <c r="R7015" s="270">
        <v>0</v>
      </c>
      <c r="S7015" s="270">
        <v>8225.77</v>
      </c>
      <c r="T7015" s="270">
        <v>8225.77</v>
      </c>
      <c r="U7015" s="271" t="s">
        <v>3937</v>
      </c>
      <c r="V7015" s="267" t="s">
        <v>944</v>
      </c>
    </row>
    <row r="7016" spans="1:22" hidden="1" x14ac:dyDescent="0.25">
      <c r="A7016" s="266">
        <v>43788</v>
      </c>
      <c r="B7016" s="267">
        <v>2019</v>
      </c>
      <c r="C7016" s="267">
        <v>2020</v>
      </c>
      <c r="D7016" s="267">
        <v>1</v>
      </c>
      <c r="E7016" s="267">
        <v>1</v>
      </c>
      <c r="F7016" s="267" t="s">
        <v>944</v>
      </c>
      <c r="G7016" s="267" t="s">
        <v>3926</v>
      </c>
      <c r="H7016" s="267" t="s">
        <v>11814</v>
      </c>
      <c r="I7016" s="267" t="s">
        <v>4037</v>
      </c>
      <c r="J7016" s="267" t="s">
        <v>3928</v>
      </c>
      <c r="K7016" s="267">
        <v>6810</v>
      </c>
      <c r="L7016" s="267">
        <v>210300</v>
      </c>
      <c r="M7016" s="267" t="s">
        <v>3940</v>
      </c>
      <c r="N7016" s="267" t="s">
        <v>3944</v>
      </c>
      <c r="O7016" s="267">
        <v>2770</v>
      </c>
      <c r="P7016" s="267" t="s">
        <v>3944</v>
      </c>
      <c r="Q7016" s="267" t="s">
        <v>3944</v>
      </c>
      <c r="R7016" s="267">
        <v>2770</v>
      </c>
      <c r="S7016" s="267">
        <v>17878.25</v>
      </c>
      <c r="T7016" s="267">
        <v>20648.25</v>
      </c>
      <c r="U7016" s="268" t="s">
        <v>3945</v>
      </c>
      <c r="V7016" s="267" t="s">
        <v>944</v>
      </c>
    </row>
    <row r="7017" spans="1:22" hidden="1" x14ac:dyDescent="0.25">
      <c r="A7017" s="269">
        <v>43788</v>
      </c>
      <c r="B7017" s="270">
        <v>2019</v>
      </c>
      <c r="C7017" s="270">
        <v>2020</v>
      </c>
      <c r="D7017" s="270">
        <v>1</v>
      </c>
      <c r="E7017" s="270">
        <v>1</v>
      </c>
      <c r="F7017" s="270" t="s">
        <v>944</v>
      </c>
      <c r="G7017" s="270" t="s">
        <v>3926</v>
      </c>
      <c r="H7017" s="270" t="s">
        <v>11815</v>
      </c>
      <c r="I7017" s="270" t="s">
        <v>3025</v>
      </c>
      <c r="J7017" s="270" t="s">
        <v>3928</v>
      </c>
      <c r="K7017" s="270">
        <v>6473</v>
      </c>
      <c r="L7017" s="270">
        <v>167202</v>
      </c>
      <c r="M7017" s="270" t="s">
        <v>3935</v>
      </c>
      <c r="N7017" s="270" t="s">
        <v>3944</v>
      </c>
      <c r="O7017" s="270">
        <v>7224</v>
      </c>
      <c r="P7017" s="270" t="s">
        <v>3944</v>
      </c>
      <c r="Q7017" s="270" t="s">
        <v>3944</v>
      </c>
      <c r="R7017" s="270">
        <v>7224</v>
      </c>
      <c r="S7017" s="270">
        <v>45142.21</v>
      </c>
      <c r="T7017" s="270">
        <v>52366.21</v>
      </c>
      <c r="U7017" s="271" t="s">
        <v>3945</v>
      </c>
      <c r="V7017" s="267" t="s">
        <v>944</v>
      </c>
    </row>
    <row r="7018" spans="1:22" hidden="1" x14ac:dyDescent="0.25">
      <c r="A7018" s="266">
        <v>43788</v>
      </c>
      <c r="B7018" s="267">
        <v>2019</v>
      </c>
      <c r="C7018" s="267">
        <v>2020</v>
      </c>
      <c r="D7018" s="267">
        <v>1</v>
      </c>
      <c r="E7018" s="267">
        <v>1</v>
      </c>
      <c r="F7018" s="267" t="s">
        <v>944</v>
      </c>
      <c r="G7018" s="267" t="s">
        <v>3926</v>
      </c>
      <c r="H7018" s="267" t="s">
        <v>11816</v>
      </c>
      <c r="I7018" s="267" t="s">
        <v>4016</v>
      </c>
      <c r="J7018" s="267" t="s">
        <v>3928</v>
      </c>
      <c r="K7018" s="267">
        <v>6770</v>
      </c>
      <c r="L7018" s="267">
        <v>345201</v>
      </c>
      <c r="M7018" s="267" t="s">
        <v>3935</v>
      </c>
      <c r="N7018" s="267" t="s">
        <v>3944</v>
      </c>
      <c r="O7018" s="267">
        <v>3402</v>
      </c>
      <c r="P7018" s="267" t="s">
        <v>3944</v>
      </c>
      <c r="Q7018" s="267" t="s">
        <v>3944</v>
      </c>
      <c r="R7018" s="267">
        <v>3402</v>
      </c>
      <c r="S7018" s="267">
        <v>32753.03</v>
      </c>
      <c r="T7018" s="267">
        <v>36155.03</v>
      </c>
      <c r="U7018" s="268" t="s">
        <v>3945</v>
      </c>
      <c r="V7018" s="267" t="s">
        <v>944</v>
      </c>
    </row>
    <row r="7019" spans="1:22" hidden="1" x14ac:dyDescent="0.25">
      <c r="A7019" s="269">
        <v>43788</v>
      </c>
      <c r="B7019" s="270">
        <v>2019</v>
      </c>
      <c r="C7019" s="270">
        <v>2020</v>
      </c>
      <c r="D7019" s="270">
        <v>1</v>
      </c>
      <c r="E7019" s="270">
        <v>1</v>
      </c>
      <c r="F7019" s="270" t="s">
        <v>944</v>
      </c>
      <c r="G7019" s="270" t="s">
        <v>3926</v>
      </c>
      <c r="H7019" s="270" t="s">
        <v>11817</v>
      </c>
      <c r="I7019" s="270" t="s">
        <v>4046</v>
      </c>
      <c r="J7019" s="270" t="s">
        <v>3928</v>
      </c>
      <c r="K7019" s="270">
        <v>6281</v>
      </c>
      <c r="L7019" s="270">
        <v>901100</v>
      </c>
      <c r="M7019" s="270" t="s">
        <v>3960</v>
      </c>
      <c r="N7019" s="270" t="s">
        <v>3944</v>
      </c>
      <c r="O7019" s="270">
        <v>6861</v>
      </c>
      <c r="P7019" s="270" t="s">
        <v>3944</v>
      </c>
      <c r="Q7019" s="270" t="s">
        <v>3944</v>
      </c>
      <c r="R7019" s="270">
        <v>6861</v>
      </c>
      <c r="S7019" s="270">
        <v>37721</v>
      </c>
      <c r="T7019" s="270">
        <v>44582</v>
      </c>
      <c r="U7019" s="271" t="s">
        <v>3945</v>
      </c>
      <c r="V7019" s="267" t="s">
        <v>944</v>
      </c>
    </row>
    <row r="7020" spans="1:22" hidden="1" x14ac:dyDescent="0.25">
      <c r="A7020" s="266">
        <v>43788</v>
      </c>
      <c r="B7020" s="267">
        <v>2019</v>
      </c>
      <c r="C7020" s="267">
        <v>2020</v>
      </c>
      <c r="D7020" s="267">
        <v>1</v>
      </c>
      <c r="E7020" s="267">
        <v>1</v>
      </c>
      <c r="F7020" s="267" t="s">
        <v>944</v>
      </c>
      <c r="G7020" s="267" t="s">
        <v>3926</v>
      </c>
      <c r="H7020" s="267" t="s">
        <v>11818</v>
      </c>
      <c r="I7020" s="267" t="s">
        <v>3014</v>
      </c>
      <c r="J7020" s="267" t="s">
        <v>3928</v>
      </c>
      <c r="K7020" s="267">
        <v>6525</v>
      </c>
      <c r="L7020" s="267">
        <v>160200</v>
      </c>
      <c r="M7020" s="267" t="s">
        <v>3943</v>
      </c>
      <c r="N7020" s="267" t="s">
        <v>3944</v>
      </c>
      <c r="O7020" s="267">
        <v>3824</v>
      </c>
      <c r="P7020" s="267" t="s">
        <v>3944</v>
      </c>
      <c r="Q7020" s="267" t="s">
        <v>3944</v>
      </c>
      <c r="R7020" s="267">
        <v>3824</v>
      </c>
      <c r="S7020" s="267">
        <v>45639</v>
      </c>
      <c r="T7020" s="267">
        <v>49463</v>
      </c>
      <c r="U7020" s="268" t="s">
        <v>3945</v>
      </c>
      <c r="V7020" s="267" t="s">
        <v>944</v>
      </c>
    </row>
    <row r="7021" spans="1:22" hidden="1" x14ac:dyDescent="0.25">
      <c r="A7021" s="269">
        <v>43788</v>
      </c>
      <c r="B7021" s="270">
        <v>2019</v>
      </c>
      <c r="C7021" s="270">
        <v>2020</v>
      </c>
      <c r="D7021" s="270">
        <v>1</v>
      </c>
      <c r="E7021" s="270">
        <v>1</v>
      </c>
      <c r="F7021" s="270" t="s">
        <v>944</v>
      </c>
      <c r="G7021" s="270" t="s">
        <v>3926</v>
      </c>
      <c r="H7021" s="270" t="s">
        <v>11819</v>
      </c>
      <c r="I7021" s="270" t="s">
        <v>4387</v>
      </c>
      <c r="J7021" s="270" t="s">
        <v>3928</v>
      </c>
      <c r="K7021" s="270">
        <v>6751</v>
      </c>
      <c r="L7021" s="270">
        <v>342100</v>
      </c>
      <c r="M7021" s="270" t="s">
        <v>3960</v>
      </c>
      <c r="N7021" s="270" t="s">
        <v>3944</v>
      </c>
      <c r="O7021" s="270">
        <v>1192.52</v>
      </c>
      <c r="P7021" s="270" t="s">
        <v>3944</v>
      </c>
      <c r="Q7021" s="270" t="s">
        <v>3944</v>
      </c>
      <c r="R7021" s="270">
        <v>1192.52</v>
      </c>
      <c r="S7021" s="270">
        <v>13546.68</v>
      </c>
      <c r="T7021" s="270">
        <v>14739.2</v>
      </c>
      <c r="U7021" s="271" t="s">
        <v>3945</v>
      </c>
      <c r="V7021" s="267" t="s">
        <v>944</v>
      </c>
    </row>
    <row r="7022" spans="1:22" hidden="1" x14ac:dyDescent="0.25">
      <c r="A7022" s="266">
        <v>43788</v>
      </c>
      <c r="B7022" s="267">
        <v>2019</v>
      </c>
      <c r="C7022" s="267">
        <v>2020</v>
      </c>
      <c r="D7022" s="267">
        <v>1</v>
      </c>
      <c r="E7022" s="267">
        <v>1</v>
      </c>
      <c r="F7022" s="267" t="s">
        <v>944</v>
      </c>
      <c r="G7022" s="267" t="s">
        <v>3926</v>
      </c>
      <c r="H7022" s="267" t="s">
        <v>11820</v>
      </c>
      <c r="I7022" s="267" t="s">
        <v>4035</v>
      </c>
      <c r="J7022" s="267" t="s">
        <v>3928</v>
      </c>
      <c r="K7022" s="267">
        <v>6074</v>
      </c>
      <c r="L7022" s="267">
        <v>487100</v>
      </c>
      <c r="M7022" s="267" t="s">
        <v>3943</v>
      </c>
      <c r="N7022" s="267" t="s">
        <v>3944</v>
      </c>
      <c r="O7022" s="267">
        <v>2202.9699999999998</v>
      </c>
      <c r="P7022" s="267" t="s">
        <v>3944</v>
      </c>
      <c r="Q7022" s="267" t="s">
        <v>3944</v>
      </c>
      <c r="R7022" s="267">
        <v>2202.9699999999998</v>
      </c>
      <c r="S7022" s="267">
        <v>36753.410000000003</v>
      </c>
      <c r="T7022" s="267">
        <v>38956.379999999997</v>
      </c>
      <c r="U7022" s="268" t="s">
        <v>3945</v>
      </c>
      <c r="V7022" s="267" t="s">
        <v>944</v>
      </c>
    </row>
    <row r="7023" spans="1:22" hidden="1" x14ac:dyDescent="0.25">
      <c r="A7023" s="269">
        <v>43788</v>
      </c>
      <c r="B7023" s="270">
        <v>2019</v>
      </c>
      <c r="C7023" s="270">
        <v>2020</v>
      </c>
      <c r="D7023" s="270">
        <v>1</v>
      </c>
      <c r="E7023" s="270">
        <v>1</v>
      </c>
      <c r="F7023" s="270" t="s">
        <v>944</v>
      </c>
      <c r="G7023" s="270" t="s">
        <v>3926</v>
      </c>
      <c r="H7023" s="270" t="s">
        <v>11821</v>
      </c>
      <c r="I7023" s="270" t="s">
        <v>4019</v>
      </c>
      <c r="J7023" s="270" t="s">
        <v>3928</v>
      </c>
      <c r="K7023" s="270">
        <v>6704</v>
      </c>
      <c r="L7023" s="270">
        <v>351000</v>
      </c>
      <c r="M7023" s="270" t="s">
        <v>3940</v>
      </c>
      <c r="N7023" s="270" t="s">
        <v>3944</v>
      </c>
      <c r="O7023" s="270">
        <v>1522.92</v>
      </c>
      <c r="P7023" s="270" t="s">
        <v>3944</v>
      </c>
      <c r="Q7023" s="270" t="s">
        <v>3944</v>
      </c>
      <c r="R7023" s="270">
        <v>1522.92</v>
      </c>
      <c r="S7023" s="270">
        <v>20338.080000000002</v>
      </c>
      <c r="T7023" s="270">
        <v>21861</v>
      </c>
      <c r="U7023" s="271" t="s">
        <v>3945</v>
      </c>
      <c r="V7023" s="267" t="s">
        <v>944</v>
      </c>
    </row>
    <row r="7024" spans="1:22" hidden="1" x14ac:dyDescent="0.25">
      <c r="A7024" s="266">
        <v>43788</v>
      </c>
      <c r="B7024" s="267">
        <v>2019</v>
      </c>
      <c r="C7024" s="267">
        <v>2020</v>
      </c>
      <c r="D7024" s="267">
        <v>1</v>
      </c>
      <c r="E7024" s="267">
        <v>1</v>
      </c>
      <c r="F7024" s="267" t="s">
        <v>944</v>
      </c>
      <c r="G7024" s="267" t="s">
        <v>3926</v>
      </c>
      <c r="H7024" s="267" t="s">
        <v>11822</v>
      </c>
      <c r="I7024" s="267" t="s">
        <v>4019</v>
      </c>
      <c r="J7024" s="267" t="s">
        <v>3928</v>
      </c>
      <c r="K7024" s="267">
        <v>6708</v>
      </c>
      <c r="L7024" s="267">
        <v>351602</v>
      </c>
      <c r="M7024" s="267" t="s">
        <v>3940</v>
      </c>
      <c r="N7024" s="267" t="s">
        <v>3944</v>
      </c>
      <c r="O7024" s="267">
        <v>1019.34</v>
      </c>
      <c r="P7024" s="267" t="s">
        <v>3944</v>
      </c>
      <c r="Q7024" s="267" t="s">
        <v>3944</v>
      </c>
      <c r="R7024" s="267">
        <v>1019.34</v>
      </c>
      <c r="S7024" s="267">
        <v>14273.57</v>
      </c>
      <c r="T7024" s="267">
        <v>15292.91</v>
      </c>
      <c r="U7024" s="268" t="s">
        <v>3945</v>
      </c>
      <c r="V7024" s="267" t="s">
        <v>944</v>
      </c>
    </row>
    <row r="7025" spans="1:22" hidden="1" x14ac:dyDescent="0.25">
      <c r="A7025" s="269">
        <v>43788</v>
      </c>
      <c r="B7025" s="270">
        <v>2019</v>
      </c>
      <c r="C7025" s="270">
        <v>2020</v>
      </c>
      <c r="D7025" s="270">
        <v>1</v>
      </c>
      <c r="E7025" s="270">
        <v>1</v>
      </c>
      <c r="F7025" s="270" t="s">
        <v>944</v>
      </c>
      <c r="G7025" s="270" t="s">
        <v>3926</v>
      </c>
      <c r="H7025" s="270" t="s">
        <v>11823</v>
      </c>
      <c r="I7025" s="270" t="s">
        <v>3947</v>
      </c>
      <c r="J7025" s="270" t="s">
        <v>3928</v>
      </c>
      <c r="K7025" s="270">
        <v>6035</v>
      </c>
      <c r="L7025" s="270">
        <v>468101</v>
      </c>
      <c r="M7025" s="270" t="s">
        <v>3943</v>
      </c>
      <c r="N7025" s="270" t="s">
        <v>3944</v>
      </c>
      <c r="O7025" s="270">
        <v>2175.9899999999998</v>
      </c>
      <c r="P7025" s="270" t="s">
        <v>3944</v>
      </c>
      <c r="Q7025" s="270" t="s">
        <v>3944</v>
      </c>
      <c r="R7025" s="270">
        <v>2175.9899999999998</v>
      </c>
      <c r="S7025" s="270">
        <v>29509.46</v>
      </c>
      <c r="T7025" s="270">
        <v>31685.45</v>
      </c>
      <c r="U7025" s="271" t="s">
        <v>3945</v>
      </c>
      <c r="V7025" s="267" t="s">
        <v>944</v>
      </c>
    </row>
    <row r="7026" spans="1:22" hidden="1" x14ac:dyDescent="0.25">
      <c r="A7026" s="266">
        <v>43788</v>
      </c>
      <c r="B7026" s="267">
        <v>2019</v>
      </c>
      <c r="C7026" s="267">
        <v>2020</v>
      </c>
      <c r="D7026" s="267">
        <v>1</v>
      </c>
      <c r="E7026" s="267">
        <v>1</v>
      </c>
      <c r="F7026" s="267" t="s">
        <v>944</v>
      </c>
      <c r="G7026" s="267" t="s">
        <v>3926</v>
      </c>
      <c r="H7026" s="267" t="s">
        <v>11824</v>
      </c>
      <c r="I7026" s="267" t="s">
        <v>4029</v>
      </c>
      <c r="J7026" s="267" t="s">
        <v>3928</v>
      </c>
      <c r="K7026" s="267">
        <v>6851</v>
      </c>
      <c r="L7026" s="267">
        <v>43400</v>
      </c>
      <c r="M7026" s="267" t="s">
        <v>3935</v>
      </c>
      <c r="N7026" s="267" t="s">
        <v>3944</v>
      </c>
      <c r="O7026" s="267">
        <v>3156.79</v>
      </c>
      <c r="P7026" s="267" t="s">
        <v>3944</v>
      </c>
      <c r="Q7026" s="267" t="s">
        <v>3944</v>
      </c>
      <c r="R7026" s="267">
        <v>3156.79</v>
      </c>
      <c r="S7026" s="267">
        <v>46646.44</v>
      </c>
      <c r="T7026" s="267">
        <v>49803.23</v>
      </c>
      <c r="U7026" s="268" t="s">
        <v>3945</v>
      </c>
      <c r="V7026" s="267" t="s">
        <v>944</v>
      </c>
    </row>
    <row r="7027" spans="1:22" hidden="1" x14ac:dyDescent="0.25">
      <c r="A7027" s="269">
        <v>43788</v>
      </c>
      <c r="B7027" s="270">
        <v>2019</v>
      </c>
      <c r="C7027" s="270">
        <v>2020</v>
      </c>
      <c r="D7027" s="270">
        <v>1</v>
      </c>
      <c r="E7027" s="270">
        <v>1</v>
      </c>
      <c r="F7027" s="270" t="s">
        <v>944</v>
      </c>
      <c r="G7027" s="270" t="s">
        <v>3926</v>
      </c>
      <c r="H7027" s="270" t="s">
        <v>11825</v>
      </c>
      <c r="I7027" s="270" t="s">
        <v>4147</v>
      </c>
      <c r="J7027" s="270" t="s">
        <v>3928</v>
      </c>
      <c r="K7027" s="270">
        <v>6109</v>
      </c>
      <c r="L7027" s="270">
        <v>492200</v>
      </c>
      <c r="M7027" s="270" t="s">
        <v>3960</v>
      </c>
      <c r="N7027" s="270" t="s">
        <v>3944</v>
      </c>
      <c r="O7027" s="270">
        <v>2098.85</v>
      </c>
      <c r="P7027" s="270" t="s">
        <v>3944</v>
      </c>
      <c r="Q7027" s="270" t="s">
        <v>3944</v>
      </c>
      <c r="R7027" s="270">
        <v>2098.85</v>
      </c>
      <c r="S7027" s="270">
        <v>30085.5</v>
      </c>
      <c r="T7027" s="270">
        <v>32184.35</v>
      </c>
      <c r="U7027" s="271" t="s">
        <v>3945</v>
      </c>
      <c r="V7027" s="267" t="s">
        <v>944</v>
      </c>
    </row>
    <row r="7028" spans="1:22" hidden="1" x14ac:dyDescent="0.25">
      <c r="A7028" s="266">
        <v>43788</v>
      </c>
      <c r="B7028" s="267">
        <v>2019</v>
      </c>
      <c r="C7028" s="267">
        <v>2020</v>
      </c>
      <c r="D7028" s="267">
        <v>1</v>
      </c>
      <c r="E7028" s="267">
        <v>1</v>
      </c>
      <c r="F7028" s="267" t="s">
        <v>944</v>
      </c>
      <c r="G7028" s="267" t="s">
        <v>3926</v>
      </c>
      <c r="H7028" s="267" t="s">
        <v>11826</v>
      </c>
      <c r="I7028" s="267" t="s">
        <v>956</v>
      </c>
      <c r="J7028" s="267" t="s">
        <v>3928</v>
      </c>
      <c r="K7028" s="267">
        <v>6614</v>
      </c>
      <c r="L7028" s="267">
        <v>80800</v>
      </c>
      <c r="M7028" s="267" t="s">
        <v>3960</v>
      </c>
      <c r="N7028" s="267" t="s">
        <v>3944</v>
      </c>
      <c r="O7028" s="267">
        <v>1585.75</v>
      </c>
      <c r="P7028" s="267" t="s">
        <v>3944</v>
      </c>
      <c r="Q7028" s="267" t="s">
        <v>3944</v>
      </c>
      <c r="R7028" s="267">
        <v>1585.75</v>
      </c>
      <c r="S7028" s="267">
        <v>27117.57</v>
      </c>
      <c r="T7028" s="267">
        <v>28703.32</v>
      </c>
      <c r="U7028" s="268" t="s">
        <v>3945</v>
      </c>
      <c r="V7028" s="267" t="s">
        <v>944</v>
      </c>
    </row>
    <row r="7029" spans="1:22" hidden="1" x14ac:dyDescent="0.25">
      <c r="A7029" s="269">
        <v>43788</v>
      </c>
      <c r="B7029" s="270">
        <v>2019</v>
      </c>
      <c r="C7029" s="270">
        <v>2020</v>
      </c>
      <c r="D7029" s="270">
        <v>1</v>
      </c>
      <c r="E7029" s="270">
        <v>1</v>
      </c>
      <c r="F7029" s="270" t="s">
        <v>944</v>
      </c>
      <c r="G7029" s="270" t="s">
        <v>3926</v>
      </c>
      <c r="H7029" s="270" t="s">
        <v>11827</v>
      </c>
      <c r="I7029" s="270" t="s">
        <v>3025</v>
      </c>
      <c r="J7029" s="270" t="s">
        <v>3928</v>
      </c>
      <c r="K7029" s="270">
        <v>6473</v>
      </c>
      <c r="L7029" s="270">
        <v>167100</v>
      </c>
      <c r="M7029" s="270" t="s">
        <v>3943</v>
      </c>
      <c r="N7029" s="270" t="s">
        <v>3944</v>
      </c>
      <c r="O7029" s="270">
        <v>1652.32</v>
      </c>
      <c r="P7029" s="270" t="s">
        <v>3944</v>
      </c>
      <c r="Q7029" s="270" t="s">
        <v>3944</v>
      </c>
      <c r="R7029" s="270">
        <v>1652.32</v>
      </c>
      <c r="S7029" s="270">
        <v>24393.33</v>
      </c>
      <c r="T7029" s="270">
        <v>26045.65</v>
      </c>
      <c r="U7029" s="271" t="s">
        <v>3945</v>
      </c>
      <c r="V7029" s="267" t="s">
        <v>944</v>
      </c>
    </row>
    <row r="7030" spans="1:22" hidden="1" x14ac:dyDescent="0.25">
      <c r="A7030" s="266">
        <v>43788</v>
      </c>
      <c r="B7030" s="267">
        <v>2019</v>
      </c>
      <c r="C7030" s="267">
        <v>2020</v>
      </c>
      <c r="D7030" s="267">
        <v>1</v>
      </c>
      <c r="E7030" s="267">
        <v>1</v>
      </c>
      <c r="F7030" s="267" t="s">
        <v>944</v>
      </c>
      <c r="G7030" s="267" t="s">
        <v>3926</v>
      </c>
      <c r="H7030" s="267" t="s">
        <v>11828</v>
      </c>
      <c r="I7030" s="267" t="s">
        <v>4079</v>
      </c>
      <c r="J7030" s="267" t="s">
        <v>3928</v>
      </c>
      <c r="K7030" s="267">
        <v>6111</v>
      </c>
      <c r="L7030" s="267">
        <v>494500</v>
      </c>
      <c r="M7030" s="267" t="s">
        <v>3960</v>
      </c>
      <c r="N7030" s="267" t="s">
        <v>3944</v>
      </c>
      <c r="O7030" s="267">
        <v>1719.31</v>
      </c>
      <c r="P7030" s="267" t="s">
        <v>3944</v>
      </c>
      <c r="Q7030" s="267" t="s">
        <v>3944</v>
      </c>
      <c r="R7030" s="267">
        <v>1719.31</v>
      </c>
      <c r="S7030" s="267">
        <v>28347.84</v>
      </c>
      <c r="T7030" s="267">
        <v>30067.15</v>
      </c>
      <c r="U7030" s="268" t="s">
        <v>3945</v>
      </c>
      <c r="V7030" s="267" t="s">
        <v>944</v>
      </c>
    </row>
    <row r="7031" spans="1:22" hidden="1" x14ac:dyDescent="0.25">
      <c r="A7031" s="269">
        <v>43788</v>
      </c>
      <c r="B7031" s="270">
        <v>2019</v>
      </c>
      <c r="C7031" s="270">
        <v>2020</v>
      </c>
      <c r="D7031" s="270">
        <v>1</v>
      </c>
      <c r="E7031" s="270">
        <v>1</v>
      </c>
      <c r="F7031" s="270" t="s">
        <v>944</v>
      </c>
      <c r="G7031" s="270" t="s">
        <v>3926</v>
      </c>
      <c r="H7031" s="270" t="s">
        <v>11829</v>
      </c>
      <c r="I7031" s="270" t="s">
        <v>3014</v>
      </c>
      <c r="J7031" s="270" t="s">
        <v>3928</v>
      </c>
      <c r="K7031" s="270">
        <v>6525</v>
      </c>
      <c r="L7031" s="270">
        <v>160100</v>
      </c>
      <c r="M7031" s="270" t="s">
        <v>3943</v>
      </c>
      <c r="N7031" s="270" t="s">
        <v>3944</v>
      </c>
      <c r="O7031" s="270">
        <v>1177.19</v>
      </c>
      <c r="P7031" s="270" t="s">
        <v>3944</v>
      </c>
      <c r="Q7031" s="270" t="s">
        <v>3944</v>
      </c>
      <c r="R7031" s="270">
        <v>1177.19</v>
      </c>
      <c r="S7031" s="270">
        <v>19642.45</v>
      </c>
      <c r="T7031" s="270">
        <v>20819.64</v>
      </c>
      <c r="U7031" s="271" t="s">
        <v>3945</v>
      </c>
      <c r="V7031" s="267" t="s">
        <v>944</v>
      </c>
    </row>
    <row r="7032" spans="1:22" hidden="1" x14ac:dyDescent="0.25">
      <c r="A7032" s="266">
        <v>43788</v>
      </c>
      <c r="B7032" s="267">
        <v>2019</v>
      </c>
      <c r="C7032" s="267">
        <v>2020</v>
      </c>
      <c r="D7032" s="267">
        <v>1</v>
      </c>
      <c r="E7032" s="267">
        <v>1</v>
      </c>
      <c r="F7032" s="267" t="s">
        <v>944</v>
      </c>
      <c r="G7032" s="267" t="s">
        <v>3926</v>
      </c>
      <c r="H7032" s="267" t="s">
        <v>11830</v>
      </c>
      <c r="I7032" s="267" t="s">
        <v>4035</v>
      </c>
      <c r="J7032" s="267" t="s">
        <v>3928</v>
      </c>
      <c r="K7032" s="267">
        <v>6074</v>
      </c>
      <c r="L7032" s="267">
        <v>487500</v>
      </c>
      <c r="M7032" s="267" t="s">
        <v>3935</v>
      </c>
      <c r="N7032" s="267" t="s">
        <v>3944</v>
      </c>
      <c r="O7032" s="267">
        <v>2578.98</v>
      </c>
      <c r="P7032" s="267" t="s">
        <v>3944</v>
      </c>
      <c r="Q7032" s="267" t="s">
        <v>3944</v>
      </c>
      <c r="R7032" s="267">
        <v>2578.98</v>
      </c>
      <c r="S7032" s="267">
        <v>35731.64</v>
      </c>
      <c r="T7032" s="267">
        <v>38310.620000000003</v>
      </c>
      <c r="U7032" s="268" t="s">
        <v>3945</v>
      </c>
      <c r="V7032" s="267" t="s">
        <v>944</v>
      </c>
    </row>
    <row r="7033" spans="1:22" hidden="1" x14ac:dyDescent="0.25">
      <c r="A7033" s="269">
        <v>43788</v>
      </c>
      <c r="B7033" s="270">
        <v>2019</v>
      </c>
      <c r="C7033" s="270">
        <v>2020</v>
      </c>
      <c r="D7033" s="270">
        <v>1</v>
      </c>
      <c r="E7033" s="270">
        <v>1</v>
      </c>
      <c r="F7033" s="270" t="s">
        <v>944</v>
      </c>
      <c r="G7033" s="270" t="s">
        <v>3926</v>
      </c>
      <c r="H7033" s="270" t="s">
        <v>11831</v>
      </c>
      <c r="I7033" s="270" t="s">
        <v>4019</v>
      </c>
      <c r="J7033" s="270" t="s">
        <v>3928</v>
      </c>
      <c r="K7033" s="270">
        <v>6708</v>
      </c>
      <c r="L7033" s="270">
        <v>352200</v>
      </c>
      <c r="M7033" s="270">
        <v>-60</v>
      </c>
      <c r="N7033" s="270" t="s">
        <v>11832</v>
      </c>
      <c r="O7033" s="270"/>
      <c r="P7033" s="270" t="s">
        <v>3944</v>
      </c>
      <c r="Q7033" s="270" t="s">
        <v>3930</v>
      </c>
      <c r="R7033" s="270">
        <v>0</v>
      </c>
      <c r="S7033" s="270">
        <v>177639.84</v>
      </c>
      <c r="T7033" s="270">
        <v>177639.84</v>
      </c>
      <c r="U7033" s="271" t="s">
        <v>4099</v>
      </c>
      <c r="V7033" s="267" t="s">
        <v>944</v>
      </c>
    </row>
    <row r="7034" spans="1:22" hidden="1" x14ac:dyDescent="0.25">
      <c r="A7034" s="266">
        <v>43788</v>
      </c>
      <c r="B7034" s="267">
        <v>2019</v>
      </c>
      <c r="C7034" s="267">
        <v>2020</v>
      </c>
      <c r="D7034" s="267">
        <v>1</v>
      </c>
      <c r="E7034" s="267">
        <v>1</v>
      </c>
      <c r="F7034" s="267" t="s">
        <v>944</v>
      </c>
      <c r="G7034" s="267" t="s">
        <v>3926</v>
      </c>
      <c r="H7034" s="267" t="s">
        <v>11833</v>
      </c>
      <c r="I7034" s="267" t="s">
        <v>950</v>
      </c>
      <c r="J7034" s="267" t="s">
        <v>3928</v>
      </c>
      <c r="K7034" s="267">
        <v>6516</v>
      </c>
      <c r="L7034" s="267">
        <v>154700</v>
      </c>
      <c r="M7034" s="267" t="s">
        <v>3960</v>
      </c>
      <c r="N7034" s="267" t="s">
        <v>3944</v>
      </c>
      <c r="O7034" s="267">
        <v>1665.41</v>
      </c>
      <c r="P7034" s="267" t="s">
        <v>3944</v>
      </c>
      <c r="Q7034" s="267" t="s">
        <v>3944</v>
      </c>
      <c r="R7034" s="267">
        <v>1665.41</v>
      </c>
      <c r="S7034" s="267">
        <v>26221.47</v>
      </c>
      <c r="T7034" s="267">
        <v>27886.880000000001</v>
      </c>
      <c r="U7034" s="268" t="s">
        <v>3945</v>
      </c>
      <c r="V7034" s="267" t="s">
        <v>944</v>
      </c>
    </row>
    <row r="7035" spans="1:22" hidden="1" x14ac:dyDescent="0.25">
      <c r="A7035" s="269">
        <v>43788</v>
      </c>
      <c r="B7035" s="270">
        <v>2019</v>
      </c>
      <c r="C7035" s="270">
        <v>2020</v>
      </c>
      <c r="D7035" s="270">
        <v>1</v>
      </c>
      <c r="E7035" s="270">
        <v>1</v>
      </c>
      <c r="F7035" s="270" t="s">
        <v>944</v>
      </c>
      <c r="G7035" s="270" t="s">
        <v>3926</v>
      </c>
      <c r="H7035" s="270" t="s">
        <v>11834</v>
      </c>
      <c r="I7035" s="270" t="s">
        <v>4147</v>
      </c>
      <c r="J7035" s="270" t="s">
        <v>3928</v>
      </c>
      <c r="K7035" s="270">
        <v>6109</v>
      </c>
      <c r="L7035" s="270">
        <v>492400</v>
      </c>
      <c r="M7035" s="270" t="s">
        <v>3935</v>
      </c>
      <c r="N7035" s="270" t="s">
        <v>3944</v>
      </c>
      <c r="O7035" s="270">
        <v>1932.11</v>
      </c>
      <c r="P7035" s="270" t="s">
        <v>3944</v>
      </c>
      <c r="Q7035" s="270" t="s">
        <v>3944</v>
      </c>
      <c r="R7035" s="270">
        <v>1932.11</v>
      </c>
      <c r="S7035" s="270">
        <v>28104.959999999999</v>
      </c>
      <c r="T7035" s="270">
        <v>30037.07</v>
      </c>
      <c r="U7035" s="271" t="s">
        <v>3945</v>
      </c>
      <c r="V7035" s="267" t="s">
        <v>944</v>
      </c>
    </row>
    <row r="7036" spans="1:22" hidden="1" x14ac:dyDescent="0.25">
      <c r="A7036" s="266">
        <v>43789</v>
      </c>
      <c r="B7036" s="267">
        <v>2019</v>
      </c>
      <c r="C7036" s="267">
        <v>2020</v>
      </c>
      <c r="D7036" s="267">
        <v>1</v>
      </c>
      <c r="E7036" s="267">
        <v>1</v>
      </c>
      <c r="F7036" s="267" t="s">
        <v>944</v>
      </c>
      <c r="G7036" s="267" t="s">
        <v>3926</v>
      </c>
      <c r="H7036" s="267" t="s">
        <v>11835</v>
      </c>
      <c r="I7036" s="267" t="s">
        <v>4392</v>
      </c>
      <c r="J7036" s="267" t="s">
        <v>3928</v>
      </c>
      <c r="K7036" s="267">
        <v>6457</v>
      </c>
      <c r="L7036" s="267">
        <v>541700</v>
      </c>
      <c r="M7036" s="267">
        <v>-60</v>
      </c>
      <c r="N7036" s="267" t="s">
        <v>11836</v>
      </c>
      <c r="O7036" s="267">
        <v>0</v>
      </c>
      <c r="P7036" s="267" t="s">
        <v>3930</v>
      </c>
      <c r="Q7036" s="267" t="s">
        <v>3930</v>
      </c>
      <c r="R7036" s="267">
        <v>0</v>
      </c>
      <c r="S7036" s="267">
        <v>15644</v>
      </c>
      <c r="T7036" s="267">
        <v>15644</v>
      </c>
      <c r="U7036" s="268" t="s">
        <v>3937</v>
      </c>
      <c r="V7036" s="267" t="s">
        <v>944</v>
      </c>
    </row>
    <row r="7037" spans="1:22" hidden="1" x14ac:dyDescent="0.25">
      <c r="A7037" s="269">
        <v>43789</v>
      </c>
      <c r="B7037" s="270">
        <v>2019</v>
      </c>
      <c r="C7037" s="270">
        <v>2020</v>
      </c>
      <c r="D7037" s="270">
        <v>1</v>
      </c>
      <c r="E7037" s="270">
        <v>1</v>
      </c>
      <c r="F7037" s="270" t="s">
        <v>944</v>
      </c>
      <c r="G7037" s="270" t="s">
        <v>3926</v>
      </c>
      <c r="H7037" s="270" t="s">
        <v>11837</v>
      </c>
      <c r="I7037" s="270" t="s">
        <v>956</v>
      </c>
      <c r="J7037" s="270" t="s">
        <v>3928</v>
      </c>
      <c r="K7037" s="270">
        <v>6614</v>
      </c>
      <c r="L7037" s="270">
        <v>81200</v>
      </c>
      <c r="M7037" s="270" t="s">
        <v>3943</v>
      </c>
      <c r="N7037" s="270" t="s">
        <v>11838</v>
      </c>
      <c r="O7037" s="270">
        <v>0</v>
      </c>
      <c r="P7037" s="270" t="s">
        <v>3930</v>
      </c>
      <c r="Q7037" s="270" t="s">
        <v>3930</v>
      </c>
      <c r="R7037" s="270">
        <v>0</v>
      </c>
      <c r="S7037" s="270">
        <v>23724.639999999999</v>
      </c>
      <c r="T7037" s="270">
        <v>23724.639999999999</v>
      </c>
      <c r="U7037" s="271" t="s">
        <v>3937</v>
      </c>
      <c r="V7037" s="267" t="s">
        <v>944</v>
      </c>
    </row>
    <row r="7038" spans="1:22" hidden="1" x14ac:dyDescent="0.25">
      <c r="A7038" s="266">
        <v>43789</v>
      </c>
      <c r="B7038" s="267">
        <v>2019</v>
      </c>
      <c r="C7038" s="267">
        <v>2020</v>
      </c>
      <c r="D7038" s="267">
        <v>1</v>
      </c>
      <c r="E7038" s="267">
        <v>1</v>
      </c>
      <c r="F7038" s="267" t="s">
        <v>944</v>
      </c>
      <c r="G7038" s="267" t="s">
        <v>3926</v>
      </c>
      <c r="H7038" s="267" t="s">
        <v>11839</v>
      </c>
      <c r="I7038" s="267" t="s">
        <v>4035</v>
      </c>
      <c r="J7038" s="267" t="s">
        <v>3928</v>
      </c>
      <c r="K7038" s="267">
        <v>6074</v>
      </c>
      <c r="L7038" s="267">
        <v>487500</v>
      </c>
      <c r="M7038" s="267" t="s">
        <v>3935</v>
      </c>
      <c r="N7038" s="267" t="s">
        <v>4464</v>
      </c>
      <c r="O7038" s="267">
        <v>0</v>
      </c>
      <c r="P7038" s="267" t="s">
        <v>3930</v>
      </c>
      <c r="Q7038" s="267" t="s">
        <v>3930</v>
      </c>
      <c r="R7038" s="267">
        <v>0</v>
      </c>
      <c r="S7038" s="267">
        <v>8500</v>
      </c>
      <c r="T7038" s="267">
        <v>8500</v>
      </c>
      <c r="U7038" s="268" t="s">
        <v>3937</v>
      </c>
      <c r="V7038" s="267" t="s">
        <v>944</v>
      </c>
    </row>
    <row r="7039" spans="1:22" hidden="1" x14ac:dyDescent="0.25">
      <c r="A7039" s="269">
        <v>43789</v>
      </c>
      <c r="B7039" s="270">
        <v>2019</v>
      </c>
      <c r="C7039" s="270">
        <v>2020</v>
      </c>
      <c r="D7039" s="270">
        <v>1</v>
      </c>
      <c r="E7039" s="270">
        <v>1</v>
      </c>
      <c r="F7039" s="270" t="s">
        <v>944</v>
      </c>
      <c r="G7039" s="270" t="s">
        <v>3926</v>
      </c>
      <c r="H7039" s="270" t="s">
        <v>11840</v>
      </c>
      <c r="I7039" s="270" t="s">
        <v>3990</v>
      </c>
      <c r="J7039" s="270" t="s">
        <v>3928</v>
      </c>
      <c r="K7039" s="270">
        <v>6804</v>
      </c>
      <c r="L7039" s="270">
        <v>205100</v>
      </c>
      <c r="M7039" s="270" t="s">
        <v>3943</v>
      </c>
      <c r="N7039" s="270" t="s">
        <v>11841</v>
      </c>
      <c r="O7039" s="270">
        <v>0</v>
      </c>
      <c r="P7039" s="270" t="s">
        <v>3930</v>
      </c>
      <c r="Q7039" s="270" t="s">
        <v>3930</v>
      </c>
      <c r="R7039" s="270">
        <v>0</v>
      </c>
      <c r="S7039" s="270">
        <v>3119.1</v>
      </c>
      <c r="T7039" s="270">
        <v>3119.1</v>
      </c>
      <c r="U7039" s="271" t="s">
        <v>3937</v>
      </c>
      <c r="V7039" s="267" t="s">
        <v>944</v>
      </c>
    </row>
    <row r="7040" spans="1:22" hidden="1" x14ac:dyDescent="0.25">
      <c r="A7040" s="266">
        <v>43789</v>
      </c>
      <c r="B7040" s="267">
        <v>2019</v>
      </c>
      <c r="C7040" s="267">
        <v>2020</v>
      </c>
      <c r="D7040" s="267">
        <v>1</v>
      </c>
      <c r="E7040" s="267">
        <v>1</v>
      </c>
      <c r="F7040" s="267" t="s">
        <v>944</v>
      </c>
      <c r="G7040" s="267" t="s">
        <v>3926</v>
      </c>
      <c r="H7040" s="267" t="s">
        <v>11842</v>
      </c>
      <c r="I7040" s="267" t="s">
        <v>4330</v>
      </c>
      <c r="J7040" s="267" t="s">
        <v>3928</v>
      </c>
      <c r="K7040" s="267">
        <v>6413</v>
      </c>
      <c r="L7040" s="267">
        <v>610300</v>
      </c>
      <c r="M7040" s="267" t="s">
        <v>3960</v>
      </c>
      <c r="N7040" s="267" t="s">
        <v>6363</v>
      </c>
      <c r="O7040" s="267">
        <v>0</v>
      </c>
      <c r="P7040" s="267" t="s">
        <v>3930</v>
      </c>
      <c r="Q7040" s="267" t="s">
        <v>3930</v>
      </c>
      <c r="R7040" s="267">
        <v>0</v>
      </c>
      <c r="S7040" s="267">
        <v>53000</v>
      </c>
      <c r="T7040" s="267">
        <v>53000</v>
      </c>
      <c r="U7040" s="268" t="s">
        <v>3937</v>
      </c>
      <c r="V7040" s="267" t="s">
        <v>944</v>
      </c>
    </row>
    <row r="7041" spans="1:22" x14ac:dyDescent="0.25">
      <c r="A7041" s="269">
        <v>43789</v>
      </c>
      <c r="B7041" s="270">
        <v>2019</v>
      </c>
      <c r="C7041" s="270">
        <v>2020</v>
      </c>
      <c r="D7041" s="270">
        <v>1</v>
      </c>
      <c r="E7041" s="270">
        <v>1</v>
      </c>
      <c r="F7041" s="270" t="s">
        <v>944</v>
      </c>
      <c r="G7041" s="270" t="s">
        <v>3997</v>
      </c>
      <c r="H7041" s="270" t="s">
        <v>11843</v>
      </c>
      <c r="I7041" s="270" t="s">
        <v>943</v>
      </c>
      <c r="J7041" s="270" t="s">
        <v>3928</v>
      </c>
      <c r="K7041" s="270">
        <v>6511</v>
      </c>
      <c r="L7041" s="270">
        <v>140800</v>
      </c>
      <c r="M7041" s="270">
        <v>-60</v>
      </c>
      <c r="N7041" s="270" t="s">
        <v>7680</v>
      </c>
      <c r="O7041" s="270">
        <v>915.04</v>
      </c>
      <c r="P7041" s="270" t="s">
        <v>3930</v>
      </c>
      <c r="Q7041" s="270" t="s">
        <v>3931</v>
      </c>
      <c r="R7041" s="270">
        <v>5915.04</v>
      </c>
      <c r="S7041" s="270">
        <v>11128</v>
      </c>
      <c r="T7041" s="270">
        <v>17043.04</v>
      </c>
      <c r="U7041" s="271" t="s">
        <v>3932</v>
      </c>
      <c r="V7041" s="276" t="s">
        <v>936</v>
      </c>
    </row>
    <row r="7042" spans="1:22" hidden="1" x14ac:dyDescent="0.25">
      <c r="A7042" s="266">
        <v>43789</v>
      </c>
      <c r="B7042" s="267">
        <v>2019</v>
      </c>
      <c r="C7042" s="267">
        <v>2020</v>
      </c>
      <c r="D7042" s="267">
        <v>1</v>
      </c>
      <c r="E7042" s="267">
        <v>1</v>
      </c>
      <c r="F7042" s="267" t="s">
        <v>944</v>
      </c>
      <c r="G7042" s="267" t="s">
        <v>3926</v>
      </c>
      <c r="H7042" s="267" t="s">
        <v>11844</v>
      </c>
      <c r="I7042" s="267" t="s">
        <v>4124</v>
      </c>
      <c r="J7042" s="267" t="s">
        <v>3928</v>
      </c>
      <c r="K7042" s="267">
        <v>6470</v>
      </c>
      <c r="L7042" s="267">
        <v>230300</v>
      </c>
      <c r="M7042" s="267" t="s">
        <v>3943</v>
      </c>
      <c r="N7042" s="267" t="s">
        <v>11845</v>
      </c>
      <c r="O7042" s="267">
        <v>4651</v>
      </c>
      <c r="P7042" s="267" t="s">
        <v>3930</v>
      </c>
      <c r="Q7042" s="267" t="s">
        <v>3930</v>
      </c>
      <c r="R7042" s="267">
        <v>4651</v>
      </c>
      <c r="S7042" s="267">
        <v>30498</v>
      </c>
      <c r="T7042" s="267">
        <v>35149</v>
      </c>
      <c r="U7042" s="268" t="s">
        <v>3937</v>
      </c>
      <c r="V7042" s="267" t="s">
        <v>944</v>
      </c>
    </row>
    <row r="7043" spans="1:22" x14ac:dyDescent="0.25">
      <c r="A7043" s="269">
        <v>43789</v>
      </c>
      <c r="B7043" s="270">
        <v>2019</v>
      </c>
      <c r="C7043" s="270">
        <v>2020</v>
      </c>
      <c r="D7043" s="270">
        <v>1</v>
      </c>
      <c r="E7043" s="270">
        <v>1</v>
      </c>
      <c r="F7043" s="270" t="s">
        <v>944</v>
      </c>
      <c r="G7043" s="270" t="s">
        <v>3926</v>
      </c>
      <c r="H7043" s="270" t="s">
        <v>11846</v>
      </c>
      <c r="I7043" s="270" t="s">
        <v>943</v>
      </c>
      <c r="J7043" s="270" t="s">
        <v>3928</v>
      </c>
      <c r="K7043" s="270">
        <v>6511</v>
      </c>
      <c r="L7043" s="270">
        <v>141500</v>
      </c>
      <c r="M7043" s="270">
        <v>-60</v>
      </c>
      <c r="N7043" s="270" t="s">
        <v>3983</v>
      </c>
      <c r="O7043" s="270">
        <v>2754.54</v>
      </c>
      <c r="P7043" s="270" t="s">
        <v>3930</v>
      </c>
      <c r="Q7043" s="270" t="s">
        <v>3931</v>
      </c>
      <c r="R7043" s="270">
        <v>7754.54</v>
      </c>
      <c r="S7043" s="270">
        <v>16504</v>
      </c>
      <c r="T7043" s="270">
        <v>24258.54</v>
      </c>
      <c r="U7043" s="271" t="s">
        <v>3932</v>
      </c>
      <c r="V7043" s="276" t="s">
        <v>936</v>
      </c>
    </row>
    <row r="7044" spans="1:22" hidden="1" x14ac:dyDescent="0.25">
      <c r="A7044" s="266">
        <v>43789</v>
      </c>
      <c r="B7044" s="267">
        <v>2019</v>
      </c>
      <c r="C7044" s="267">
        <v>2020</v>
      </c>
      <c r="D7044" s="267">
        <v>1</v>
      </c>
      <c r="E7044" s="267">
        <v>1</v>
      </c>
      <c r="F7044" s="267" t="s">
        <v>944</v>
      </c>
      <c r="G7044" s="267" t="s">
        <v>3926</v>
      </c>
      <c r="H7044" s="267" t="s">
        <v>11847</v>
      </c>
      <c r="I7044" s="267" t="s">
        <v>4029</v>
      </c>
      <c r="J7044" s="267" t="s">
        <v>3928</v>
      </c>
      <c r="K7044" s="267">
        <v>6851</v>
      </c>
      <c r="L7044" s="267">
        <v>42800</v>
      </c>
      <c r="M7044" s="267" t="s">
        <v>3960</v>
      </c>
      <c r="N7044" s="267" t="s">
        <v>11848</v>
      </c>
      <c r="O7044" s="267">
        <v>2604</v>
      </c>
      <c r="P7044" s="267" t="s">
        <v>3930</v>
      </c>
      <c r="Q7044" s="267" t="s">
        <v>3930</v>
      </c>
      <c r="R7044" s="267">
        <v>2604</v>
      </c>
      <c r="S7044" s="267">
        <v>15686</v>
      </c>
      <c r="T7044" s="267">
        <v>18290</v>
      </c>
      <c r="U7044" s="268" t="s">
        <v>3937</v>
      </c>
      <c r="V7044" s="267" t="s">
        <v>944</v>
      </c>
    </row>
    <row r="7045" spans="1:22" hidden="1" x14ac:dyDescent="0.25">
      <c r="A7045" s="269">
        <v>43789</v>
      </c>
      <c r="B7045" s="270">
        <v>2019</v>
      </c>
      <c r="C7045" s="270">
        <v>2020</v>
      </c>
      <c r="D7045" s="270">
        <v>1</v>
      </c>
      <c r="E7045" s="270">
        <v>1</v>
      </c>
      <c r="F7045" s="270" t="s">
        <v>944</v>
      </c>
      <c r="G7045" s="270" t="s">
        <v>3926</v>
      </c>
      <c r="H7045" s="270" t="s">
        <v>11849</v>
      </c>
      <c r="I7045" s="270" t="s">
        <v>934</v>
      </c>
      <c r="J7045" s="270" t="s">
        <v>3928</v>
      </c>
      <c r="K7045" s="270">
        <v>6604</v>
      </c>
      <c r="L7045" s="270">
        <v>72100</v>
      </c>
      <c r="M7045" s="270" t="s">
        <v>3940</v>
      </c>
      <c r="N7045" s="270" t="s">
        <v>7680</v>
      </c>
      <c r="O7045" s="270">
        <v>2206.64</v>
      </c>
      <c r="P7045" s="270" t="s">
        <v>3930</v>
      </c>
      <c r="Q7045" s="270" t="s">
        <v>3931</v>
      </c>
      <c r="R7045" s="270">
        <v>7206.64</v>
      </c>
      <c r="S7045" s="270">
        <v>11128</v>
      </c>
      <c r="T7045" s="270">
        <v>18334.64</v>
      </c>
      <c r="U7045" s="271" t="s">
        <v>3932</v>
      </c>
      <c r="V7045" s="267" t="s">
        <v>944</v>
      </c>
    </row>
    <row r="7046" spans="1:22" hidden="1" x14ac:dyDescent="0.25">
      <c r="A7046" s="266">
        <v>43789</v>
      </c>
      <c r="B7046" s="267">
        <v>2019</v>
      </c>
      <c r="C7046" s="267">
        <v>2020</v>
      </c>
      <c r="D7046" s="267">
        <v>1</v>
      </c>
      <c r="E7046" s="267">
        <v>1</v>
      </c>
      <c r="F7046" s="267" t="s">
        <v>944</v>
      </c>
      <c r="G7046" s="267" t="s">
        <v>3926</v>
      </c>
      <c r="H7046" s="267" t="s">
        <v>11850</v>
      </c>
      <c r="I7046" s="267" t="s">
        <v>4087</v>
      </c>
      <c r="J7046" s="267" t="s">
        <v>3928</v>
      </c>
      <c r="K7046" s="267">
        <v>6340</v>
      </c>
      <c r="L7046" s="267">
        <v>702100</v>
      </c>
      <c r="M7046" s="267" t="s">
        <v>3960</v>
      </c>
      <c r="N7046" s="267" t="s">
        <v>11851</v>
      </c>
      <c r="O7046" s="267">
        <v>0</v>
      </c>
      <c r="P7046" s="267" t="s">
        <v>3930</v>
      </c>
      <c r="Q7046" s="267" t="s">
        <v>3930</v>
      </c>
      <c r="R7046" s="267">
        <v>0</v>
      </c>
      <c r="S7046" s="267">
        <v>16940.419999999998</v>
      </c>
      <c r="T7046" s="267">
        <v>16940.419999999998</v>
      </c>
      <c r="U7046" s="268" t="s">
        <v>3937</v>
      </c>
      <c r="V7046" s="267" t="s">
        <v>944</v>
      </c>
    </row>
    <row r="7047" spans="1:22" hidden="1" x14ac:dyDescent="0.25">
      <c r="A7047" s="269">
        <v>43789</v>
      </c>
      <c r="B7047" s="270">
        <v>2019</v>
      </c>
      <c r="C7047" s="270">
        <v>2020</v>
      </c>
      <c r="D7047" s="270">
        <v>1</v>
      </c>
      <c r="E7047" s="270">
        <v>1</v>
      </c>
      <c r="F7047" s="270" t="s">
        <v>944</v>
      </c>
      <c r="G7047" s="270" t="s">
        <v>3926</v>
      </c>
      <c r="H7047" s="270" t="s">
        <v>11852</v>
      </c>
      <c r="I7047" s="270" t="s">
        <v>4197</v>
      </c>
      <c r="J7047" s="270" t="s">
        <v>3928</v>
      </c>
      <c r="K7047" s="270">
        <v>6812</v>
      </c>
      <c r="L7047" s="270">
        <v>220300</v>
      </c>
      <c r="M7047" s="270" t="s">
        <v>3943</v>
      </c>
      <c r="N7047" s="270" t="s">
        <v>11853</v>
      </c>
      <c r="O7047" s="270">
        <v>0</v>
      </c>
      <c r="P7047" s="270" t="s">
        <v>3930</v>
      </c>
      <c r="Q7047" s="270" t="s">
        <v>3930</v>
      </c>
      <c r="R7047" s="270">
        <v>0</v>
      </c>
      <c r="S7047" s="270">
        <v>27550</v>
      </c>
      <c r="T7047" s="270">
        <v>27550</v>
      </c>
      <c r="U7047" s="271" t="s">
        <v>3937</v>
      </c>
      <c r="V7047" s="267" t="s">
        <v>944</v>
      </c>
    </row>
    <row r="7048" spans="1:22" hidden="1" x14ac:dyDescent="0.25">
      <c r="A7048" s="266">
        <v>43789</v>
      </c>
      <c r="B7048" s="267">
        <v>2019</v>
      </c>
      <c r="C7048" s="267">
        <v>2020</v>
      </c>
      <c r="D7048" s="267">
        <v>1</v>
      </c>
      <c r="E7048" s="267">
        <v>1</v>
      </c>
      <c r="F7048" s="267" t="s">
        <v>944</v>
      </c>
      <c r="G7048" s="267" t="s">
        <v>3926</v>
      </c>
      <c r="H7048" s="267" t="s">
        <v>11854</v>
      </c>
      <c r="I7048" s="267" t="s">
        <v>4008</v>
      </c>
      <c r="J7048" s="267" t="s">
        <v>3928</v>
      </c>
      <c r="K7048" s="267">
        <v>6320</v>
      </c>
      <c r="L7048" s="267">
        <v>690300</v>
      </c>
      <c r="M7048" s="267">
        <v>-60</v>
      </c>
      <c r="N7048" s="267" t="s">
        <v>8223</v>
      </c>
      <c r="O7048" s="267">
        <v>938.88</v>
      </c>
      <c r="P7048" s="267" t="s">
        <v>3930</v>
      </c>
      <c r="Q7048" s="267" t="s">
        <v>3931</v>
      </c>
      <c r="R7048" s="267">
        <v>5938.88</v>
      </c>
      <c r="S7048" s="267">
        <v>12702.4</v>
      </c>
      <c r="T7048" s="267">
        <v>18641.28</v>
      </c>
      <c r="U7048" s="268" t="s">
        <v>3932</v>
      </c>
      <c r="V7048" s="267" t="s">
        <v>944</v>
      </c>
    </row>
    <row r="7049" spans="1:22" hidden="1" x14ac:dyDescent="0.25">
      <c r="A7049" s="269">
        <v>43789</v>
      </c>
      <c r="B7049" s="270">
        <v>2019</v>
      </c>
      <c r="C7049" s="270">
        <v>2020</v>
      </c>
      <c r="D7049" s="270">
        <v>1</v>
      </c>
      <c r="E7049" s="270">
        <v>1</v>
      </c>
      <c r="F7049" s="270" t="s">
        <v>944</v>
      </c>
      <c r="G7049" s="270" t="s">
        <v>3926</v>
      </c>
      <c r="H7049" s="270" t="s">
        <v>11855</v>
      </c>
      <c r="I7049" s="270" t="s">
        <v>4244</v>
      </c>
      <c r="J7049" s="270" t="s">
        <v>3928</v>
      </c>
      <c r="K7049" s="270">
        <v>6250</v>
      </c>
      <c r="L7049" s="270">
        <v>881500</v>
      </c>
      <c r="M7049" s="270" t="s">
        <v>3940</v>
      </c>
      <c r="N7049" s="270" t="s">
        <v>3944</v>
      </c>
      <c r="O7049" s="270">
        <v>4548</v>
      </c>
      <c r="P7049" s="270" t="s">
        <v>3944</v>
      </c>
      <c r="Q7049" s="270" t="s">
        <v>3944</v>
      </c>
      <c r="R7049" s="270">
        <v>4548</v>
      </c>
      <c r="S7049" s="270">
        <v>30552</v>
      </c>
      <c r="T7049" s="270">
        <v>35100</v>
      </c>
      <c r="U7049" s="271" t="s">
        <v>3945</v>
      </c>
      <c r="V7049" s="267" t="s">
        <v>944</v>
      </c>
    </row>
    <row r="7050" spans="1:22" hidden="1" x14ac:dyDescent="0.25">
      <c r="A7050" s="266">
        <v>43789</v>
      </c>
      <c r="B7050" s="267">
        <v>2019</v>
      </c>
      <c r="C7050" s="267">
        <v>2020</v>
      </c>
      <c r="D7050" s="267">
        <v>1</v>
      </c>
      <c r="E7050" s="267">
        <v>1</v>
      </c>
      <c r="F7050" s="267" t="s">
        <v>944</v>
      </c>
      <c r="G7050" s="267" t="s">
        <v>3926</v>
      </c>
      <c r="H7050" s="267" t="s">
        <v>11856</v>
      </c>
      <c r="I7050" s="267" t="s">
        <v>3993</v>
      </c>
      <c r="J7050" s="267" t="s">
        <v>3928</v>
      </c>
      <c r="K7050" s="267">
        <v>6415</v>
      </c>
      <c r="L7050" s="267">
        <v>714104</v>
      </c>
      <c r="M7050" s="267" t="s">
        <v>3960</v>
      </c>
      <c r="N7050" s="267" t="s">
        <v>3944</v>
      </c>
      <c r="O7050" s="267">
        <v>2303</v>
      </c>
      <c r="P7050" s="267" t="s">
        <v>3944</v>
      </c>
      <c r="Q7050" s="267" t="s">
        <v>3944</v>
      </c>
      <c r="R7050" s="267">
        <v>2303</v>
      </c>
      <c r="S7050" s="267">
        <v>15897</v>
      </c>
      <c r="T7050" s="267">
        <v>18200</v>
      </c>
      <c r="U7050" s="268" t="s">
        <v>3945</v>
      </c>
      <c r="V7050" s="267" t="s">
        <v>944</v>
      </c>
    </row>
    <row r="7051" spans="1:22" hidden="1" x14ac:dyDescent="0.25">
      <c r="A7051" s="269">
        <v>43789</v>
      </c>
      <c r="B7051" s="270">
        <v>2019</v>
      </c>
      <c r="C7051" s="270">
        <v>2020</v>
      </c>
      <c r="D7051" s="270">
        <v>1</v>
      </c>
      <c r="E7051" s="270">
        <v>1</v>
      </c>
      <c r="F7051" s="270" t="s">
        <v>944</v>
      </c>
      <c r="G7051" s="270" t="s">
        <v>3926</v>
      </c>
      <c r="H7051" s="270" t="s">
        <v>11857</v>
      </c>
      <c r="I7051" s="270" t="s">
        <v>4556</v>
      </c>
      <c r="J7051" s="270" t="s">
        <v>3928</v>
      </c>
      <c r="K7051" s="270">
        <v>6029</v>
      </c>
      <c r="L7051" s="270">
        <v>535100</v>
      </c>
      <c r="M7051" s="270" t="s">
        <v>3935</v>
      </c>
      <c r="N7051" s="270" t="s">
        <v>3944</v>
      </c>
      <c r="O7051" s="270">
        <v>4677</v>
      </c>
      <c r="P7051" s="270" t="s">
        <v>3944</v>
      </c>
      <c r="Q7051" s="270" t="s">
        <v>3944</v>
      </c>
      <c r="R7051" s="270">
        <v>4677</v>
      </c>
      <c r="S7051" s="270">
        <v>37125</v>
      </c>
      <c r="T7051" s="270">
        <v>41802</v>
      </c>
      <c r="U7051" s="271" t="s">
        <v>3945</v>
      </c>
      <c r="V7051" s="267" t="s">
        <v>944</v>
      </c>
    </row>
    <row r="7052" spans="1:22" hidden="1" x14ac:dyDescent="0.25">
      <c r="A7052" s="266">
        <v>43789</v>
      </c>
      <c r="B7052" s="267">
        <v>2019</v>
      </c>
      <c r="C7052" s="267">
        <v>2020</v>
      </c>
      <c r="D7052" s="267">
        <v>1</v>
      </c>
      <c r="E7052" s="267">
        <v>1</v>
      </c>
      <c r="F7052" s="267" t="s">
        <v>944</v>
      </c>
      <c r="G7052" s="267" t="s">
        <v>3926</v>
      </c>
      <c r="H7052" s="267" t="s">
        <v>11858</v>
      </c>
      <c r="I7052" s="267" t="s">
        <v>3026</v>
      </c>
      <c r="J7052" s="267" t="s">
        <v>3928</v>
      </c>
      <c r="K7052" s="267">
        <v>6471</v>
      </c>
      <c r="L7052" s="267">
        <v>186100</v>
      </c>
      <c r="M7052" s="267" t="s">
        <v>3935</v>
      </c>
      <c r="N7052" s="267" t="s">
        <v>3944</v>
      </c>
      <c r="O7052" s="267">
        <v>4613</v>
      </c>
      <c r="P7052" s="267" t="s">
        <v>3944</v>
      </c>
      <c r="Q7052" s="267" t="s">
        <v>3944</v>
      </c>
      <c r="R7052" s="267">
        <v>4613</v>
      </c>
      <c r="S7052" s="267">
        <v>25939</v>
      </c>
      <c r="T7052" s="267">
        <v>30552</v>
      </c>
      <c r="U7052" s="268" t="s">
        <v>3945</v>
      </c>
      <c r="V7052" s="267" t="s">
        <v>944</v>
      </c>
    </row>
    <row r="7053" spans="1:22" hidden="1" x14ac:dyDescent="0.25">
      <c r="A7053" s="269">
        <v>43789</v>
      </c>
      <c r="B7053" s="270">
        <v>2019</v>
      </c>
      <c r="C7053" s="270">
        <v>2020</v>
      </c>
      <c r="D7053" s="270">
        <v>1</v>
      </c>
      <c r="E7053" s="270">
        <v>1</v>
      </c>
      <c r="F7053" s="270" t="s">
        <v>944</v>
      </c>
      <c r="G7053" s="270" t="s">
        <v>3926</v>
      </c>
      <c r="H7053" s="270" t="s">
        <v>11859</v>
      </c>
      <c r="I7053" s="270" t="s">
        <v>4235</v>
      </c>
      <c r="J7053" s="270" t="s">
        <v>3928</v>
      </c>
      <c r="K7053" s="270">
        <v>6066</v>
      </c>
      <c r="L7053" s="270">
        <v>530600</v>
      </c>
      <c r="M7053" s="270" t="s">
        <v>3960</v>
      </c>
      <c r="N7053" s="270" t="s">
        <v>3944</v>
      </c>
      <c r="O7053" s="270">
        <v>2450</v>
      </c>
      <c r="P7053" s="270" t="s">
        <v>3944</v>
      </c>
      <c r="Q7053" s="270" t="s">
        <v>3944</v>
      </c>
      <c r="R7053" s="270">
        <v>2450</v>
      </c>
      <c r="S7053" s="270">
        <v>28472.5</v>
      </c>
      <c r="T7053" s="270">
        <v>30922.5</v>
      </c>
      <c r="U7053" s="271" t="s">
        <v>3945</v>
      </c>
      <c r="V7053" s="267" t="s">
        <v>944</v>
      </c>
    </row>
    <row r="7054" spans="1:22" hidden="1" x14ac:dyDescent="0.25">
      <c r="A7054" s="266">
        <v>43789</v>
      </c>
      <c r="B7054" s="267">
        <v>2019</v>
      </c>
      <c r="C7054" s="267">
        <v>2020</v>
      </c>
      <c r="D7054" s="267">
        <v>1</v>
      </c>
      <c r="E7054" s="267">
        <v>1</v>
      </c>
      <c r="F7054" s="267" t="s">
        <v>944</v>
      </c>
      <c r="G7054" s="267" t="s">
        <v>3926</v>
      </c>
      <c r="H7054" s="267" t="s">
        <v>11860</v>
      </c>
      <c r="I7054" s="267" t="s">
        <v>934</v>
      </c>
      <c r="J7054" s="267" t="s">
        <v>3928</v>
      </c>
      <c r="K7054" s="267">
        <v>6606</v>
      </c>
      <c r="L7054" s="267">
        <v>72900</v>
      </c>
      <c r="M7054" s="267" t="s">
        <v>3940</v>
      </c>
      <c r="N7054" s="267" t="s">
        <v>3944</v>
      </c>
      <c r="O7054" s="267">
        <v>1791.69</v>
      </c>
      <c r="P7054" s="267" t="s">
        <v>3944</v>
      </c>
      <c r="Q7054" s="267" t="s">
        <v>3944</v>
      </c>
      <c r="R7054" s="267">
        <v>1791.69</v>
      </c>
      <c r="S7054" s="267">
        <v>24563.31</v>
      </c>
      <c r="T7054" s="267">
        <v>26355</v>
      </c>
      <c r="U7054" s="268" t="s">
        <v>3945</v>
      </c>
      <c r="V7054" s="267" t="s">
        <v>944</v>
      </c>
    </row>
    <row r="7055" spans="1:22" hidden="1" x14ac:dyDescent="0.25">
      <c r="A7055" s="269">
        <v>43789</v>
      </c>
      <c r="B7055" s="270">
        <v>2019</v>
      </c>
      <c r="C7055" s="270">
        <v>2020</v>
      </c>
      <c r="D7055" s="270">
        <v>1</v>
      </c>
      <c r="E7055" s="270">
        <v>1</v>
      </c>
      <c r="F7055" s="270" t="s">
        <v>944</v>
      </c>
      <c r="G7055" s="270" t="s">
        <v>3926</v>
      </c>
      <c r="H7055" s="270" t="s">
        <v>11861</v>
      </c>
      <c r="I7055" s="270" t="s">
        <v>3968</v>
      </c>
      <c r="J7055" s="270" t="s">
        <v>3928</v>
      </c>
      <c r="K7055" s="270">
        <v>6040</v>
      </c>
      <c r="L7055" s="270">
        <v>515000</v>
      </c>
      <c r="M7055" s="270" t="s">
        <v>3943</v>
      </c>
      <c r="N7055" s="270" t="s">
        <v>3944</v>
      </c>
      <c r="O7055" s="270">
        <v>1797.5</v>
      </c>
      <c r="P7055" s="270" t="s">
        <v>3944</v>
      </c>
      <c r="Q7055" s="270" t="s">
        <v>3944</v>
      </c>
      <c r="R7055" s="270">
        <v>1797.5</v>
      </c>
      <c r="S7055" s="270">
        <v>22685.64</v>
      </c>
      <c r="T7055" s="270">
        <v>24483.14</v>
      </c>
      <c r="U7055" s="271" t="s">
        <v>3945</v>
      </c>
      <c r="V7055" s="267" t="s">
        <v>944</v>
      </c>
    </row>
    <row r="7056" spans="1:22" x14ac:dyDescent="0.25">
      <c r="A7056" s="266">
        <v>43789</v>
      </c>
      <c r="B7056" s="267">
        <v>2019</v>
      </c>
      <c r="C7056" s="267">
        <v>2020</v>
      </c>
      <c r="D7056" s="267">
        <v>1</v>
      </c>
      <c r="E7056" s="267">
        <v>1</v>
      </c>
      <c r="F7056" s="267" t="s">
        <v>944</v>
      </c>
      <c r="G7056" s="267" t="s">
        <v>3926</v>
      </c>
      <c r="H7056" s="267" t="s">
        <v>11862</v>
      </c>
      <c r="I7056" s="267" t="s">
        <v>950</v>
      </c>
      <c r="J7056" s="267" t="s">
        <v>3928</v>
      </c>
      <c r="K7056" s="267">
        <v>6516</v>
      </c>
      <c r="L7056" s="267">
        <v>154500</v>
      </c>
      <c r="M7056" s="267">
        <v>-60</v>
      </c>
      <c r="N7056" s="267" t="s">
        <v>3944</v>
      </c>
      <c r="O7056" s="267">
        <v>1812.44</v>
      </c>
      <c r="P7056" s="267" t="s">
        <v>3944</v>
      </c>
      <c r="Q7056" s="267" t="s">
        <v>3944</v>
      </c>
      <c r="R7056" s="267">
        <v>1812.44</v>
      </c>
      <c r="S7056" s="267">
        <v>33423.879999999997</v>
      </c>
      <c r="T7056" s="267">
        <v>35236.32</v>
      </c>
      <c r="U7056" s="268" t="s">
        <v>3945</v>
      </c>
      <c r="V7056" s="276" t="s">
        <v>936</v>
      </c>
    </row>
    <row r="7057" spans="1:22" hidden="1" x14ac:dyDescent="0.25">
      <c r="A7057" s="269">
        <v>43789</v>
      </c>
      <c r="B7057" s="270">
        <v>2019</v>
      </c>
      <c r="C7057" s="270">
        <v>2020</v>
      </c>
      <c r="D7057" s="270">
        <v>1</v>
      </c>
      <c r="E7057" s="270">
        <v>1</v>
      </c>
      <c r="F7057" s="270" t="s">
        <v>944</v>
      </c>
      <c r="G7057" s="270" t="s">
        <v>3926</v>
      </c>
      <c r="H7057" s="270" t="s">
        <v>11863</v>
      </c>
      <c r="I7057" s="270" t="s">
        <v>4129</v>
      </c>
      <c r="J7057" s="270" t="s">
        <v>3928</v>
      </c>
      <c r="K7057" s="270">
        <v>6259</v>
      </c>
      <c r="L7057" s="270">
        <v>902500</v>
      </c>
      <c r="M7057" s="270" t="s">
        <v>3960</v>
      </c>
      <c r="N7057" s="270" t="s">
        <v>3944</v>
      </c>
      <c r="O7057" s="270">
        <v>4281.2700000000004</v>
      </c>
      <c r="P7057" s="270" t="s">
        <v>3944</v>
      </c>
      <c r="Q7057" s="270" t="s">
        <v>3944</v>
      </c>
      <c r="R7057" s="270">
        <v>4281.2700000000004</v>
      </c>
      <c r="S7057" s="270">
        <v>99341.03</v>
      </c>
      <c r="T7057" s="270">
        <v>103622.3</v>
      </c>
      <c r="U7057" s="271" t="s">
        <v>3945</v>
      </c>
      <c r="V7057" s="267" t="s">
        <v>944</v>
      </c>
    </row>
    <row r="7058" spans="1:22" hidden="1" x14ac:dyDescent="0.25">
      <c r="A7058" s="266">
        <v>43789</v>
      </c>
      <c r="B7058" s="267">
        <v>2019</v>
      </c>
      <c r="C7058" s="267">
        <v>2020</v>
      </c>
      <c r="D7058" s="267">
        <v>1</v>
      </c>
      <c r="E7058" s="267">
        <v>1</v>
      </c>
      <c r="F7058" s="267" t="s">
        <v>944</v>
      </c>
      <c r="G7058" s="267" t="s">
        <v>3926</v>
      </c>
      <c r="H7058" s="267" t="s">
        <v>11864</v>
      </c>
      <c r="I7058" s="267" t="s">
        <v>5659</v>
      </c>
      <c r="J7058" s="267" t="s">
        <v>3928</v>
      </c>
      <c r="K7058" s="267">
        <v>6419</v>
      </c>
      <c r="L7058" s="267">
        <v>640100</v>
      </c>
      <c r="M7058" s="267" t="s">
        <v>3943</v>
      </c>
      <c r="N7058" s="267" t="s">
        <v>3944</v>
      </c>
      <c r="O7058" s="267">
        <v>5115.43</v>
      </c>
      <c r="P7058" s="267" t="s">
        <v>3944</v>
      </c>
      <c r="Q7058" s="267" t="s">
        <v>3944</v>
      </c>
      <c r="R7058" s="267">
        <v>5115.43</v>
      </c>
      <c r="S7058" s="267">
        <v>60939.66</v>
      </c>
      <c r="T7058" s="267">
        <v>66055.09</v>
      </c>
      <c r="U7058" s="268" t="s">
        <v>3945</v>
      </c>
      <c r="V7058" s="267" t="s">
        <v>944</v>
      </c>
    </row>
    <row r="7059" spans="1:22" hidden="1" x14ac:dyDescent="0.25">
      <c r="A7059" s="269">
        <v>43789</v>
      </c>
      <c r="B7059" s="270">
        <v>2019</v>
      </c>
      <c r="C7059" s="270">
        <v>2020</v>
      </c>
      <c r="D7059" s="270">
        <v>1</v>
      </c>
      <c r="E7059" s="270">
        <v>1</v>
      </c>
      <c r="F7059" s="270" t="s">
        <v>944</v>
      </c>
      <c r="G7059" s="270" t="s">
        <v>3926</v>
      </c>
      <c r="H7059" s="270" t="s">
        <v>11865</v>
      </c>
      <c r="I7059" s="270" t="s">
        <v>4306</v>
      </c>
      <c r="J7059" s="270" t="s">
        <v>3928</v>
      </c>
      <c r="K7059" s="270">
        <v>6716</v>
      </c>
      <c r="L7059" s="270">
        <v>361200</v>
      </c>
      <c r="M7059" s="270" t="s">
        <v>3960</v>
      </c>
      <c r="N7059" s="270" t="s">
        <v>3944</v>
      </c>
      <c r="O7059" s="270">
        <v>2849</v>
      </c>
      <c r="P7059" s="270" t="s">
        <v>3944</v>
      </c>
      <c r="Q7059" s="270" t="s">
        <v>3944</v>
      </c>
      <c r="R7059" s="270">
        <v>2849</v>
      </c>
      <c r="S7059" s="270">
        <v>38831.230000000003</v>
      </c>
      <c r="T7059" s="270">
        <v>41680.230000000003</v>
      </c>
      <c r="U7059" s="271" t="s">
        <v>3945</v>
      </c>
      <c r="V7059" s="267" t="s">
        <v>944</v>
      </c>
    </row>
    <row r="7060" spans="1:22" hidden="1" x14ac:dyDescent="0.25">
      <c r="A7060" s="266">
        <v>43789</v>
      </c>
      <c r="B7060" s="267">
        <v>2019</v>
      </c>
      <c r="C7060" s="267">
        <v>2020</v>
      </c>
      <c r="D7060" s="267">
        <v>1</v>
      </c>
      <c r="E7060" s="267">
        <v>1</v>
      </c>
      <c r="F7060" s="267" t="s">
        <v>944</v>
      </c>
      <c r="G7060" s="267" t="s">
        <v>3926</v>
      </c>
      <c r="H7060" s="267" t="s">
        <v>11866</v>
      </c>
      <c r="I7060" s="267" t="s">
        <v>3008</v>
      </c>
      <c r="J7060" s="267" t="s">
        <v>3928</v>
      </c>
      <c r="K7060" s="267">
        <v>6460</v>
      </c>
      <c r="L7060" s="267">
        <v>150500</v>
      </c>
      <c r="M7060" s="267" t="s">
        <v>3960</v>
      </c>
      <c r="N7060" s="267" t="s">
        <v>3944</v>
      </c>
      <c r="O7060" s="267">
        <v>1110.83</v>
      </c>
      <c r="P7060" s="267" t="s">
        <v>3944</v>
      </c>
      <c r="Q7060" s="267" t="s">
        <v>3944</v>
      </c>
      <c r="R7060" s="267">
        <v>1110.83</v>
      </c>
      <c r="S7060" s="267">
        <v>17973.669999999998</v>
      </c>
      <c r="T7060" s="267">
        <v>19084.5</v>
      </c>
      <c r="U7060" s="268" t="s">
        <v>3945</v>
      </c>
      <c r="V7060" s="267" t="s">
        <v>944</v>
      </c>
    </row>
    <row r="7061" spans="1:22" hidden="1" x14ac:dyDescent="0.25">
      <c r="A7061" s="269">
        <v>43789</v>
      </c>
      <c r="B7061" s="270">
        <v>2019</v>
      </c>
      <c r="C7061" s="270">
        <v>2020</v>
      </c>
      <c r="D7061" s="270">
        <v>1</v>
      </c>
      <c r="E7061" s="270">
        <v>1</v>
      </c>
      <c r="F7061" s="270" t="s">
        <v>944</v>
      </c>
      <c r="G7061" s="270" t="s">
        <v>3926</v>
      </c>
      <c r="H7061" s="270" t="s">
        <v>11867</v>
      </c>
      <c r="I7061" s="270" t="s">
        <v>4232</v>
      </c>
      <c r="J7061" s="270" t="s">
        <v>3928</v>
      </c>
      <c r="K7061" s="270">
        <v>6483</v>
      </c>
      <c r="L7061" s="270">
        <v>130101</v>
      </c>
      <c r="M7061" s="270" t="s">
        <v>3940</v>
      </c>
      <c r="N7061" s="270" t="s">
        <v>3944</v>
      </c>
      <c r="O7061" s="270">
        <v>3163.2</v>
      </c>
      <c r="P7061" s="270" t="s">
        <v>3944</v>
      </c>
      <c r="Q7061" s="270" t="s">
        <v>3944</v>
      </c>
      <c r="R7061" s="270">
        <v>3163.2</v>
      </c>
      <c r="S7061" s="270">
        <v>34338.18</v>
      </c>
      <c r="T7061" s="270">
        <v>37501.379999999997</v>
      </c>
      <c r="U7061" s="271" t="s">
        <v>3945</v>
      </c>
      <c r="V7061" s="267" t="s">
        <v>944</v>
      </c>
    </row>
    <row r="7062" spans="1:22" hidden="1" x14ac:dyDescent="0.25">
      <c r="A7062" s="266">
        <v>43789</v>
      </c>
      <c r="B7062" s="267">
        <v>2019</v>
      </c>
      <c r="C7062" s="267">
        <v>2020</v>
      </c>
      <c r="D7062" s="267">
        <v>1</v>
      </c>
      <c r="E7062" s="267">
        <v>1</v>
      </c>
      <c r="F7062" s="267" t="s">
        <v>944</v>
      </c>
      <c r="G7062" s="267" t="s">
        <v>3926</v>
      </c>
      <c r="H7062" s="267" t="s">
        <v>11868</v>
      </c>
      <c r="I7062" s="267" t="s">
        <v>934</v>
      </c>
      <c r="J7062" s="267" t="s">
        <v>3928</v>
      </c>
      <c r="K7062" s="267">
        <v>6606</v>
      </c>
      <c r="L7062" s="267">
        <v>72800</v>
      </c>
      <c r="M7062" s="267" t="s">
        <v>3940</v>
      </c>
      <c r="N7062" s="267" t="s">
        <v>3944</v>
      </c>
      <c r="O7062" s="267">
        <v>965.86</v>
      </c>
      <c r="P7062" s="267" t="s">
        <v>3944</v>
      </c>
      <c r="Q7062" s="267" t="s">
        <v>3944</v>
      </c>
      <c r="R7062" s="267">
        <v>965.86</v>
      </c>
      <c r="S7062" s="267">
        <v>13669.04</v>
      </c>
      <c r="T7062" s="267">
        <v>14634.9</v>
      </c>
      <c r="U7062" s="268" t="s">
        <v>3945</v>
      </c>
      <c r="V7062" s="267" t="s">
        <v>944</v>
      </c>
    </row>
    <row r="7063" spans="1:22" hidden="1" x14ac:dyDescent="0.25">
      <c r="A7063" s="269">
        <v>43790</v>
      </c>
      <c r="B7063" s="270">
        <v>2019</v>
      </c>
      <c r="C7063" s="270">
        <v>2020</v>
      </c>
      <c r="D7063" s="270">
        <v>1</v>
      </c>
      <c r="E7063" s="270">
        <v>1</v>
      </c>
      <c r="F7063" s="270" t="s">
        <v>944</v>
      </c>
      <c r="G7063" s="270" t="s">
        <v>3926</v>
      </c>
      <c r="H7063" s="270" t="s">
        <v>11869</v>
      </c>
      <c r="I7063" s="270" t="s">
        <v>4239</v>
      </c>
      <c r="J7063" s="270" t="s">
        <v>3928</v>
      </c>
      <c r="K7063" s="270">
        <v>6032</v>
      </c>
      <c r="L7063" s="270">
        <v>460202</v>
      </c>
      <c r="M7063" s="270" t="s">
        <v>3960</v>
      </c>
      <c r="N7063" s="270" t="s">
        <v>11870</v>
      </c>
      <c r="O7063" s="270">
        <v>5044</v>
      </c>
      <c r="P7063" s="270" t="s">
        <v>3930</v>
      </c>
      <c r="Q7063" s="270" t="s">
        <v>3930</v>
      </c>
      <c r="R7063" s="270">
        <v>5044</v>
      </c>
      <c r="S7063" s="270">
        <v>56460</v>
      </c>
      <c r="T7063" s="270">
        <v>61504</v>
      </c>
      <c r="U7063" s="271" t="s">
        <v>3937</v>
      </c>
      <c r="V7063" s="267" t="s">
        <v>944</v>
      </c>
    </row>
    <row r="7064" spans="1:22" hidden="1" x14ac:dyDescent="0.25">
      <c r="A7064" s="266">
        <v>43790</v>
      </c>
      <c r="B7064" s="267">
        <v>2019</v>
      </c>
      <c r="C7064" s="267">
        <v>2020</v>
      </c>
      <c r="D7064" s="267">
        <v>1</v>
      </c>
      <c r="E7064" s="267">
        <v>1</v>
      </c>
      <c r="F7064" s="267" t="s">
        <v>944</v>
      </c>
      <c r="G7064" s="267" t="s">
        <v>3926</v>
      </c>
      <c r="H7064" s="267" t="s">
        <v>11871</v>
      </c>
      <c r="I7064" s="267" t="s">
        <v>3012</v>
      </c>
      <c r="J7064" s="267" t="s">
        <v>3928</v>
      </c>
      <c r="K7064" s="267">
        <v>6477</v>
      </c>
      <c r="L7064" s="267">
        <v>157200</v>
      </c>
      <c r="M7064" s="267" t="s">
        <v>3943</v>
      </c>
      <c r="N7064" s="267" t="s">
        <v>11872</v>
      </c>
      <c r="O7064" s="267">
        <v>0</v>
      </c>
      <c r="P7064" s="267" t="s">
        <v>3930</v>
      </c>
      <c r="Q7064" s="267" t="s">
        <v>3930</v>
      </c>
      <c r="R7064" s="267">
        <v>0</v>
      </c>
      <c r="S7064" s="267">
        <v>5550</v>
      </c>
      <c r="T7064" s="267">
        <v>5550</v>
      </c>
      <c r="U7064" s="268" t="s">
        <v>3937</v>
      </c>
      <c r="V7064" s="267" t="s">
        <v>944</v>
      </c>
    </row>
    <row r="7065" spans="1:22" hidden="1" x14ac:dyDescent="0.25">
      <c r="A7065" s="269">
        <v>43790</v>
      </c>
      <c r="B7065" s="270">
        <v>2019</v>
      </c>
      <c r="C7065" s="270">
        <v>2020</v>
      </c>
      <c r="D7065" s="270">
        <v>1</v>
      </c>
      <c r="E7065" s="270">
        <v>1</v>
      </c>
      <c r="F7065" s="270" t="s">
        <v>944</v>
      </c>
      <c r="G7065" s="270" t="s">
        <v>3926</v>
      </c>
      <c r="H7065" s="270" t="s">
        <v>11873</v>
      </c>
      <c r="I7065" s="270" t="s">
        <v>3975</v>
      </c>
      <c r="J7065" s="270" t="s">
        <v>3928</v>
      </c>
      <c r="K7065" s="270">
        <v>6479</v>
      </c>
      <c r="L7065" s="270">
        <v>430500</v>
      </c>
      <c r="M7065" s="270" t="s">
        <v>3943</v>
      </c>
      <c r="N7065" s="270" t="s">
        <v>11874</v>
      </c>
      <c r="O7065" s="270">
        <v>0</v>
      </c>
      <c r="P7065" s="270" t="s">
        <v>3930</v>
      </c>
      <c r="Q7065" s="270" t="s">
        <v>3930</v>
      </c>
      <c r="R7065" s="270">
        <v>0</v>
      </c>
      <c r="S7065" s="270">
        <v>21525</v>
      </c>
      <c r="T7065" s="270">
        <v>21525</v>
      </c>
      <c r="U7065" s="271" t="s">
        <v>3937</v>
      </c>
      <c r="V7065" s="267" t="s">
        <v>944</v>
      </c>
    </row>
    <row r="7066" spans="1:22" hidden="1" x14ac:dyDescent="0.25">
      <c r="A7066" s="266">
        <v>43790</v>
      </c>
      <c r="B7066" s="267">
        <v>2019</v>
      </c>
      <c r="C7066" s="267">
        <v>2020</v>
      </c>
      <c r="D7066" s="267">
        <v>1</v>
      </c>
      <c r="E7066" s="267">
        <v>1</v>
      </c>
      <c r="F7066" s="267" t="s">
        <v>944</v>
      </c>
      <c r="G7066" s="267" t="s">
        <v>3926</v>
      </c>
      <c r="H7066" s="267" t="s">
        <v>11875</v>
      </c>
      <c r="I7066" s="267" t="s">
        <v>4111</v>
      </c>
      <c r="J7066" s="267" t="s">
        <v>3928</v>
      </c>
      <c r="K7066" s="267">
        <v>6095</v>
      </c>
      <c r="L7066" s="267">
        <v>473100</v>
      </c>
      <c r="M7066" s="267" t="s">
        <v>3960</v>
      </c>
      <c r="N7066" s="267" t="s">
        <v>4103</v>
      </c>
      <c r="O7066" s="267">
        <v>1898.3</v>
      </c>
      <c r="P7066" s="267" t="s">
        <v>3930</v>
      </c>
      <c r="Q7066" s="267" t="s">
        <v>3931</v>
      </c>
      <c r="R7066" s="267">
        <v>6898.3</v>
      </c>
      <c r="S7066" s="267">
        <v>24145.599999999999</v>
      </c>
      <c r="T7066" s="267">
        <v>31043.9</v>
      </c>
      <c r="U7066" s="268" t="s">
        <v>3932</v>
      </c>
      <c r="V7066" s="267" t="s">
        <v>944</v>
      </c>
    </row>
    <row r="7067" spans="1:22" hidden="1" x14ac:dyDescent="0.25">
      <c r="A7067" s="269">
        <v>43790</v>
      </c>
      <c r="B7067" s="270">
        <v>2019</v>
      </c>
      <c r="C7067" s="270">
        <v>2020</v>
      </c>
      <c r="D7067" s="270">
        <v>1</v>
      </c>
      <c r="E7067" s="270">
        <v>1</v>
      </c>
      <c r="F7067" s="270" t="s">
        <v>944</v>
      </c>
      <c r="G7067" s="270" t="s">
        <v>3926</v>
      </c>
      <c r="H7067" s="270" t="s">
        <v>11876</v>
      </c>
      <c r="I7067" s="270" t="s">
        <v>3012</v>
      </c>
      <c r="J7067" s="270" t="s">
        <v>3928</v>
      </c>
      <c r="K7067" s="270">
        <v>6477</v>
      </c>
      <c r="L7067" s="270">
        <v>157300</v>
      </c>
      <c r="M7067" s="270" t="s">
        <v>3943</v>
      </c>
      <c r="N7067" s="270" t="s">
        <v>11877</v>
      </c>
      <c r="O7067" s="270">
        <v>2247.98</v>
      </c>
      <c r="P7067" s="270" t="s">
        <v>3930</v>
      </c>
      <c r="Q7067" s="270" t="s">
        <v>3931</v>
      </c>
      <c r="R7067" s="270">
        <v>7247.98</v>
      </c>
      <c r="S7067" s="270">
        <v>42715.199999999997</v>
      </c>
      <c r="T7067" s="270">
        <v>49963.18</v>
      </c>
      <c r="U7067" s="271" t="s">
        <v>3932</v>
      </c>
      <c r="V7067" s="267" t="s">
        <v>944</v>
      </c>
    </row>
    <row r="7068" spans="1:22" hidden="1" x14ac:dyDescent="0.25">
      <c r="A7068" s="266">
        <v>43790</v>
      </c>
      <c r="B7068" s="267">
        <v>2019</v>
      </c>
      <c r="C7068" s="267">
        <v>2020</v>
      </c>
      <c r="D7068" s="267">
        <v>1</v>
      </c>
      <c r="E7068" s="267">
        <v>1</v>
      </c>
      <c r="F7068" s="267" t="s">
        <v>944</v>
      </c>
      <c r="G7068" s="267" t="s">
        <v>3926</v>
      </c>
      <c r="H7068" s="267" t="s">
        <v>11878</v>
      </c>
      <c r="I7068" s="267" t="s">
        <v>4235</v>
      </c>
      <c r="J7068" s="267" t="s">
        <v>3928</v>
      </c>
      <c r="K7068" s="267">
        <v>6066</v>
      </c>
      <c r="L7068" s="267">
        <v>530302</v>
      </c>
      <c r="M7068" s="267" t="s">
        <v>3935</v>
      </c>
      <c r="N7068" s="267" t="s">
        <v>3944</v>
      </c>
      <c r="O7068" s="267">
        <v>1663</v>
      </c>
      <c r="P7068" s="267" t="s">
        <v>3944</v>
      </c>
      <c r="Q7068" s="267" t="s">
        <v>3944</v>
      </c>
      <c r="R7068" s="267">
        <v>1663</v>
      </c>
      <c r="S7068" s="267">
        <v>12660</v>
      </c>
      <c r="T7068" s="267">
        <v>14323</v>
      </c>
      <c r="U7068" s="268" t="s">
        <v>3945</v>
      </c>
      <c r="V7068" s="267" t="s">
        <v>944</v>
      </c>
    </row>
    <row r="7069" spans="1:22" hidden="1" x14ac:dyDescent="0.25">
      <c r="A7069" s="269">
        <v>43790</v>
      </c>
      <c r="B7069" s="270">
        <v>2019</v>
      </c>
      <c r="C7069" s="270">
        <v>2020</v>
      </c>
      <c r="D7069" s="270">
        <v>1</v>
      </c>
      <c r="E7069" s="270">
        <v>1</v>
      </c>
      <c r="F7069" s="270" t="s">
        <v>944</v>
      </c>
      <c r="G7069" s="270" t="s">
        <v>3926</v>
      </c>
      <c r="H7069" s="270" t="s">
        <v>11879</v>
      </c>
      <c r="I7069" s="270" t="s">
        <v>4073</v>
      </c>
      <c r="J7069" s="270" t="s">
        <v>3928</v>
      </c>
      <c r="K7069" s="270">
        <v>6776</v>
      </c>
      <c r="L7069" s="270">
        <v>253500</v>
      </c>
      <c r="M7069" s="270" t="s">
        <v>3943</v>
      </c>
      <c r="N7069" s="270" t="s">
        <v>3944</v>
      </c>
      <c r="O7069" s="270">
        <v>6032</v>
      </c>
      <c r="P7069" s="270" t="s">
        <v>3944</v>
      </c>
      <c r="Q7069" s="270" t="s">
        <v>3944</v>
      </c>
      <c r="R7069" s="270">
        <v>6032</v>
      </c>
      <c r="S7069" s="270">
        <v>75138</v>
      </c>
      <c r="T7069" s="270">
        <v>81170</v>
      </c>
      <c r="U7069" s="271" t="s">
        <v>3945</v>
      </c>
      <c r="V7069" s="267" t="s">
        <v>944</v>
      </c>
    </row>
    <row r="7070" spans="1:22" hidden="1" x14ac:dyDescent="0.25">
      <c r="A7070" s="266">
        <v>43790</v>
      </c>
      <c r="B7070" s="267">
        <v>2019</v>
      </c>
      <c r="C7070" s="267">
        <v>2020</v>
      </c>
      <c r="D7070" s="267">
        <v>1</v>
      </c>
      <c r="E7070" s="267">
        <v>1</v>
      </c>
      <c r="F7070" s="267" t="s">
        <v>944</v>
      </c>
      <c r="G7070" s="267" t="s">
        <v>3926</v>
      </c>
      <c r="H7070" s="267" t="s">
        <v>11880</v>
      </c>
      <c r="I7070" s="267" t="s">
        <v>4519</v>
      </c>
      <c r="J7070" s="267" t="s">
        <v>3928</v>
      </c>
      <c r="K7070" s="267">
        <v>6840</v>
      </c>
      <c r="L7070" s="267">
        <v>35200</v>
      </c>
      <c r="M7070" s="267" t="s">
        <v>3943</v>
      </c>
      <c r="N7070" s="267" t="s">
        <v>3944</v>
      </c>
      <c r="O7070" s="267">
        <v>8629</v>
      </c>
      <c r="P7070" s="267" t="s">
        <v>3944</v>
      </c>
      <c r="Q7070" s="267" t="s">
        <v>3944</v>
      </c>
      <c r="R7070" s="267">
        <v>8629</v>
      </c>
      <c r="S7070" s="267">
        <v>51015</v>
      </c>
      <c r="T7070" s="267">
        <v>59644</v>
      </c>
      <c r="U7070" s="268" t="s">
        <v>3945</v>
      </c>
      <c r="V7070" s="267" t="s">
        <v>944</v>
      </c>
    </row>
    <row r="7071" spans="1:22" hidden="1" x14ac:dyDescent="0.25">
      <c r="A7071" s="269">
        <v>43790</v>
      </c>
      <c r="B7071" s="270">
        <v>2019</v>
      </c>
      <c r="C7071" s="270">
        <v>2020</v>
      </c>
      <c r="D7071" s="270">
        <v>1</v>
      </c>
      <c r="E7071" s="270">
        <v>1</v>
      </c>
      <c r="F7071" s="270" t="s">
        <v>944</v>
      </c>
      <c r="G7071" s="270" t="s">
        <v>3926</v>
      </c>
      <c r="H7071" s="270" t="s">
        <v>11881</v>
      </c>
      <c r="I7071" s="270" t="s">
        <v>5659</v>
      </c>
      <c r="J7071" s="270" t="s">
        <v>3928</v>
      </c>
      <c r="K7071" s="270">
        <v>6419</v>
      </c>
      <c r="L7071" s="270">
        <v>640100</v>
      </c>
      <c r="M7071" s="270" t="s">
        <v>3943</v>
      </c>
      <c r="N7071" s="270" t="s">
        <v>3944</v>
      </c>
      <c r="O7071" s="270">
        <v>5343</v>
      </c>
      <c r="P7071" s="270" t="s">
        <v>3944</v>
      </c>
      <c r="Q7071" s="270" t="s">
        <v>3944</v>
      </c>
      <c r="R7071" s="270">
        <v>5343</v>
      </c>
      <c r="S7071" s="270">
        <v>37016</v>
      </c>
      <c r="T7071" s="270">
        <v>42359</v>
      </c>
      <c r="U7071" s="271" t="s">
        <v>3945</v>
      </c>
      <c r="V7071" s="267" t="s">
        <v>944</v>
      </c>
    </row>
    <row r="7072" spans="1:22" hidden="1" x14ac:dyDescent="0.25">
      <c r="A7072" s="266">
        <v>43790</v>
      </c>
      <c r="B7072" s="267">
        <v>2019</v>
      </c>
      <c r="C7072" s="267">
        <v>2020</v>
      </c>
      <c r="D7072" s="267">
        <v>1</v>
      </c>
      <c r="E7072" s="267">
        <v>1</v>
      </c>
      <c r="F7072" s="267" t="s">
        <v>944</v>
      </c>
      <c r="G7072" s="267" t="s">
        <v>3926</v>
      </c>
      <c r="H7072" s="267" t="s">
        <v>11882</v>
      </c>
      <c r="I7072" s="267" t="s">
        <v>5127</v>
      </c>
      <c r="J7072" s="267" t="s">
        <v>3928</v>
      </c>
      <c r="K7072" s="267">
        <v>6750</v>
      </c>
      <c r="L7072" s="267">
        <v>300100</v>
      </c>
      <c r="M7072" s="267" t="s">
        <v>3960</v>
      </c>
      <c r="N7072" s="267" t="s">
        <v>3944</v>
      </c>
      <c r="O7072" s="267">
        <v>1582</v>
      </c>
      <c r="P7072" s="267" t="s">
        <v>3944</v>
      </c>
      <c r="Q7072" s="267" t="s">
        <v>3944</v>
      </c>
      <c r="R7072" s="267">
        <v>1582</v>
      </c>
      <c r="S7072" s="267">
        <v>11247</v>
      </c>
      <c r="T7072" s="267">
        <v>12829</v>
      </c>
      <c r="U7072" s="268" t="s">
        <v>3945</v>
      </c>
      <c r="V7072" s="267" t="s">
        <v>944</v>
      </c>
    </row>
    <row r="7073" spans="1:22" hidden="1" x14ac:dyDescent="0.25">
      <c r="A7073" s="269">
        <v>43790</v>
      </c>
      <c r="B7073" s="270">
        <v>2019</v>
      </c>
      <c r="C7073" s="270">
        <v>2020</v>
      </c>
      <c r="D7073" s="270">
        <v>1</v>
      </c>
      <c r="E7073" s="270">
        <v>1</v>
      </c>
      <c r="F7073" s="270" t="s">
        <v>944</v>
      </c>
      <c r="G7073" s="270" t="s">
        <v>3926</v>
      </c>
      <c r="H7073" s="270" t="s">
        <v>11883</v>
      </c>
      <c r="I7073" s="270" t="s">
        <v>4124</v>
      </c>
      <c r="J7073" s="270" t="s">
        <v>3928</v>
      </c>
      <c r="K7073" s="270">
        <v>6470</v>
      </c>
      <c r="L7073" s="270">
        <v>230300</v>
      </c>
      <c r="M7073" s="270" t="s">
        <v>3943</v>
      </c>
      <c r="N7073" s="270" t="s">
        <v>3944</v>
      </c>
      <c r="O7073" s="270">
        <v>6975</v>
      </c>
      <c r="P7073" s="270" t="s">
        <v>3944</v>
      </c>
      <c r="Q7073" s="270" t="s">
        <v>3944</v>
      </c>
      <c r="R7073" s="270">
        <v>6975</v>
      </c>
      <c r="S7073" s="270">
        <v>72227</v>
      </c>
      <c r="T7073" s="270">
        <v>79202</v>
      </c>
      <c r="U7073" s="271" t="s">
        <v>3945</v>
      </c>
      <c r="V7073" s="267" t="s">
        <v>944</v>
      </c>
    </row>
    <row r="7074" spans="1:22" hidden="1" x14ac:dyDescent="0.25">
      <c r="A7074" s="266">
        <v>43790</v>
      </c>
      <c r="B7074" s="267">
        <v>2019</v>
      </c>
      <c r="C7074" s="267">
        <v>2020</v>
      </c>
      <c r="D7074" s="267">
        <v>1</v>
      </c>
      <c r="E7074" s="267">
        <v>1</v>
      </c>
      <c r="F7074" s="267" t="s">
        <v>944</v>
      </c>
      <c r="G7074" s="267" t="s">
        <v>3926</v>
      </c>
      <c r="H7074" s="267" t="s">
        <v>11884</v>
      </c>
      <c r="I7074" s="267" t="s">
        <v>943</v>
      </c>
      <c r="J7074" s="267" t="s">
        <v>3928</v>
      </c>
      <c r="K7074" s="267">
        <v>6515</v>
      </c>
      <c r="L7074" s="267">
        <v>141000</v>
      </c>
      <c r="M7074" s="267" t="s">
        <v>3960</v>
      </c>
      <c r="N7074" s="267" t="s">
        <v>3944</v>
      </c>
      <c r="O7074" s="267">
        <v>2244</v>
      </c>
      <c r="P7074" s="267" t="s">
        <v>3944</v>
      </c>
      <c r="Q7074" s="267" t="s">
        <v>3944</v>
      </c>
      <c r="R7074" s="267">
        <v>2244</v>
      </c>
      <c r="S7074" s="267">
        <v>32637</v>
      </c>
      <c r="T7074" s="267">
        <v>34881</v>
      </c>
      <c r="U7074" s="268" t="s">
        <v>3945</v>
      </c>
      <c r="V7074" s="267" t="s">
        <v>944</v>
      </c>
    </row>
    <row r="7075" spans="1:22" hidden="1" x14ac:dyDescent="0.25">
      <c r="A7075" s="269">
        <v>43790</v>
      </c>
      <c r="B7075" s="270">
        <v>2019</v>
      </c>
      <c r="C7075" s="270">
        <v>2020</v>
      </c>
      <c r="D7075" s="270">
        <v>1</v>
      </c>
      <c r="E7075" s="270">
        <v>1</v>
      </c>
      <c r="F7075" s="270" t="s">
        <v>944</v>
      </c>
      <c r="G7075" s="270" t="s">
        <v>3926</v>
      </c>
      <c r="H7075" s="270" t="s">
        <v>11885</v>
      </c>
      <c r="I7075" s="270" t="s">
        <v>5401</v>
      </c>
      <c r="J7075" s="270" t="s">
        <v>3928</v>
      </c>
      <c r="K7075" s="270">
        <v>6820</v>
      </c>
      <c r="L7075" s="270">
        <v>30300</v>
      </c>
      <c r="M7075" s="270" t="s">
        <v>3943</v>
      </c>
      <c r="N7075" s="270" t="s">
        <v>3944</v>
      </c>
      <c r="O7075" s="270">
        <v>6143</v>
      </c>
      <c r="P7075" s="270" t="s">
        <v>3944</v>
      </c>
      <c r="Q7075" s="270" t="s">
        <v>3944</v>
      </c>
      <c r="R7075" s="270">
        <v>6143</v>
      </c>
      <c r="S7075" s="270">
        <v>46577</v>
      </c>
      <c r="T7075" s="270">
        <v>52720</v>
      </c>
      <c r="U7075" s="271" t="s">
        <v>3945</v>
      </c>
      <c r="V7075" s="267" t="s">
        <v>944</v>
      </c>
    </row>
    <row r="7076" spans="1:22" hidden="1" x14ac:dyDescent="0.25">
      <c r="A7076" s="266">
        <v>43790</v>
      </c>
      <c r="B7076" s="267">
        <v>2019</v>
      </c>
      <c r="C7076" s="267">
        <v>2020</v>
      </c>
      <c r="D7076" s="267">
        <v>1</v>
      </c>
      <c r="E7076" s="267">
        <v>1</v>
      </c>
      <c r="F7076" s="267" t="s">
        <v>944</v>
      </c>
      <c r="G7076" s="267" t="s">
        <v>3926</v>
      </c>
      <c r="H7076" s="267" t="s">
        <v>11886</v>
      </c>
      <c r="I7076" s="267" t="s">
        <v>3993</v>
      </c>
      <c r="J7076" s="267" t="s">
        <v>3928</v>
      </c>
      <c r="K7076" s="267">
        <v>6415</v>
      </c>
      <c r="L7076" s="267">
        <v>714103</v>
      </c>
      <c r="M7076" s="267" t="s">
        <v>3943</v>
      </c>
      <c r="N7076" s="267" t="s">
        <v>3944</v>
      </c>
      <c r="O7076" s="267">
        <v>6512</v>
      </c>
      <c r="P7076" s="267" t="s">
        <v>3944</v>
      </c>
      <c r="Q7076" s="267" t="s">
        <v>3944</v>
      </c>
      <c r="R7076" s="267">
        <v>6512</v>
      </c>
      <c r="S7076" s="267">
        <v>58873</v>
      </c>
      <c r="T7076" s="267">
        <v>65385</v>
      </c>
      <c r="U7076" s="268" t="s">
        <v>3945</v>
      </c>
      <c r="V7076" s="267" t="s">
        <v>944</v>
      </c>
    </row>
    <row r="7077" spans="1:22" hidden="1" x14ac:dyDescent="0.25">
      <c r="A7077" s="269">
        <v>43790</v>
      </c>
      <c r="B7077" s="270">
        <v>2019</v>
      </c>
      <c r="C7077" s="270">
        <v>2020</v>
      </c>
      <c r="D7077" s="270">
        <v>1</v>
      </c>
      <c r="E7077" s="270">
        <v>1</v>
      </c>
      <c r="F7077" s="270" t="s">
        <v>944</v>
      </c>
      <c r="G7077" s="270" t="s">
        <v>3926</v>
      </c>
      <c r="H7077" s="270" t="s">
        <v>11887</v>
      </c>
      <c r="I7077" s="270" t="s">
        <v>950</v>
      </c>
      <c r="J7077" s="270" t="s">
        <v>3928</v>
      </c>
      <c r="K7077" s="270">
        <v>6516</v>
      </c>
      <c r="L7077" s="270">
        <v>154800</v>
      </c>
      <c r="M7077" s="270" t="s">
        <v>3960</v>
      </c>
      <c r="N7077" s="270" t="s">
        <v>3944</v>
      </c>
      <c r="O7077" s="270">
        <v>1461.74</v>
      </c>
      <c r="P7077" s="270" t="s">
        <v>3944</v>
      </c>
      <c r="Q7077" s="270" t="s">
        <v>3944</v>
      </c>
      <c r="R7077" s="270">
        <v>1461.74</v>
      </c>
      <c r="S7077" s="270">
        <v>23033.29</v>
      </c>
      <c r="T7077" s="270">
        <v>24495.03</v>
      </c>
      <c r="U7077" s="271" t="s">
        <v>3945</v>
      </c>
      <c r="V7077" s="267" t="s">
        <v>944</v>
      </c>
    </row>
    <row r="7078" spans="1:22" hidden="1" x14ac:dyDescent="0.25">
      <c r="A7078" s="266">
        <v>43790</v>
      </c>
      <c r="B7078" s="267">
        <v>2019</v>
      </c>
      <c r="C7078" s="267">
        <v>2020</v>
      </c>
      <c r="D7078" s="267">
        <v>1</v>
      </c>
      <c r="E7078" s="267">
        <v>1</v>
      </c>
      <c r="F7078" s="267" t="s">
        <v>944</v>
      </c>
      <c r="G7078" s="267" t="s">
        <v>3926</v>
      </c>
      <c r="H7078" s="267" t="s">
        <v>11888</v>
      </c>
      <c r="I7078" s="267" t="s">
        <v>956</v>
      </c>
      <c r="J7078" s="267" t="s">
        <v>3928</v>
      </c>
      <c r="K7078" s="267">
        <v>6614</v>
      </c>
      <c r="L7078" s="267">
        <v>80900</v>
      </c>
      <c r="M7078" s="267" t="s">
        <v>3960</v>
      </c>
      <c r="N7078" s="267" t="s">
        <v>3944</v>
      </c>
      <c r="O7078" s="267">
        <v>1547.18</v>
      </c>
      <c r="P7078" s="267" t="s">
        <v>3944</v>
      </c>
      <c r="Q7078" s="267" t="s">
        <v>3944</v>
      </c>
      <c r="R7078" s="267">
        <v>1547.18</v>
      </c>
      <c r="S7078" s="267">
        <v>24386.34</v>
      </c>
      <c r="T7078" s="267">
        <v>25933.52</v>
      </c>
      <c r="U7078" s="268" t="s">
        <v>3945</v>
      </c>
      <c r="V7078" s="267" t="s">
        <v>944</v>
      </c>
    </row>
    <row r="7079" spans="1:22" hidden="1" x14ac:dyDescent="0.25">
      <c r="A7079" s="269">
        <v>43790</v>
      </c>
      <c r="B7079" s="270">
        <v>2019</v>
      </c>
      <c r="C7079" s="270">
        <v>2020</v>
      </c>
      <c r="D7079" s="270">
        <v>1</v>
      </c>
      <c r="E7079" s="270">
        <v>1</v>
      </c>
      <c r="F7079" s="270" t="s">
        <v>944</v>
      </c>
      <c r="G7079" s="270" t="s">
        <v>3926</v>
      </c>
      <c r="H7079" s="270" t="s">
        <v>11889</v>
      </c>
      <c r="I7079" s="270" t="s">
        <v>956</v>
      </c>
      <c r="J7079" s="270" t="s">
        <v>3928</v>
      </c>
      <c r="K7079" s="270">
        <v>6615</v>
      </c>
      <c r="L7079" s="270">
        <v>80700</v>
      </c>
      <c r="M7079" s="270" t="s">
        <v>3935</v>
      </c>
      <c r="N7079" s="270" t="s">
        <v>11890</v>
      </c>
      <c r="O7079" s="270">
        <v>0</v>
      </c>
      <c r="P7079" s="270" t="s">
        <v>3944</v>
      </c>
      <c r="Q7079" s="270" t="s">
        <v>11891</v>
      </c>
      <c r="R7079" s="270">
        <v>109511.33</v>
      </c>
      <c r="S7079" s="270">
        <v>145166.18</v>
      </c>
      <c r="T7079" s="270">
        <v>254677.51</v>
      </c>
      <c r="U7079" s="271" t="s">
        <v>5737</v>
      </c>
      <c r="V7079" s="267" t="s">
        <v>944</v>
      </c>
    </row>
    <row r="7080" spans="1:22" hidden="1" x14ac:dyDescent="0.25">
      <c r="A7080" s="266">
        <v>43790</v>
      </c>
      <c r="B7080" s="267">
        <v>2019</v>
      </c>
      <c r="C7080" s="267">
        <v>2020</v>
      </c>
      <c r="D7080" s="267">
        <v>1</v>
      </c>
      <c r="E7080" s="267">
        <v>1</v>
      </c>
      <c r="F7080" s="267" t="s">
        <v>944</v>
      </c>
      <c r="G7080" s="267" t="s">
        <v>3926</v>
      </c>
      <c r="H7080" s="267" t="s">
        <v>11892</v>
      </c>
      <c r="I7080" s="267" t="s">
        <v>4947</v>
      </c>
      <c r="J7080" s="267" t="s">
        <v>3928</v>
      </c>
      <c r="K7080" s="267">
        <v>6787</v>
      </c>
      <c r="L7080" s="267">
        <v>349100</v>
      </c>
      <c r="M7080" s="267" t="s">
        <v>3935</v>
      </c>
      <c r="N7080" s="267" t="s">
        <v>3944</v>
      </c>
      <c r="O7080" s="267">
        <v>2079.35</v>
      </c>
      <c r="P7080" s="267" t="s">
        <v>3944</v>
      </c>
      <c r="Q7080" s="267" t="s">
        <v>3944</v>
      </c>
      <c r="R7080" s="267">
        <v>2079.35</v>
      </c>
      <c r="S7080" s="267">
        <v>27443.32</v>
      </c>
      <c r="T7080" s="267">
        <v>29522.67</v>
      </c>
      <c r="U7080" s="268" t="s">
        <v>3945</v>
      </c>
      <c r="V7080" s="267" t="s">
        <v>944</v>
      </c>
    </row>
    <row r="7081" spans="1:22" hidden="1" x14ac:dyDescent="0.25">
      <c r="A7081" s="269">
        <v>43790</v>
      </c>
      <c r="B7081" s="270">
        <v>2019</v>
      </c>
      <c r="C7081" s="270">
        <v>2020</v>
      </c>
      <c r="D7081" s="270">
        <v>1</v>
      </c>
      <c r="E7081" s="270">
        <v>1</v>
      </c>
      <c r="F7081" s="270" t="s">
        <v>944</v>
      </c>
      <c r="G7081" s="270" t="s">
        <v>3926</v>
      </c>
      <c r="H7081" s="270" t="s">
        <v>11893</v>
      </c>
      <c r="I7081" s="270" t="s">
        <v>4037</v>
      </c>
      <c r="J7081" s="270" t="s">
        <v>3928</v>
      </c>
      <c r="K7081" s="270">
        <v>6811</v>
      </c>
      <c r="L7081" s="270">
        <v>210900</v>
      </c>
      <c r="M7081" s="270" t="s">
        <v>3943</v>
      </c>
      <c r="N7081" s="270" t="s">
        <v>3944</v>
      </c>
      <c r="O7081" s="270">
        <v>2661.93</v>
      </c>
      <c r="P7081" s="270" t="s">
        <v>3944</v>
      </c>
      <c r="Q7081" s="270" t="s">
        <v>3944</v>
      </c>
      <c r="R7081" s="270">
        <v>2661.93</v>
      </c>
      <c r="S7081" s="270">
        <v>43879.07</v>
      </c>
      <c r="T7081" s="270">
        <v>46541</v>
      </c>
      <c r="U7081" s="271" t="s">
        <v>3945</v>
      </c>
      <c r="V7081" s="267" t="s">
        <v>944</v>
      </c>
    </row>
    <row r="7082" spans="1:22" hidden="1" x14ac:dyDescent="0.25">
      <c r="A7082" s="266">
        <v>43791</v>
      </c>
      <c r="B7082" s="267">
        <v>2019</v>
      </c>
      <c r="C7082" s="267">
        <v>2020</v>
      </c>
      <c r="D7082" s="267">
        <v>1</v>
      </c>
      <c r="E7082" s="267">
        <v>1</v>
      </c>
      <c r="F7082" s="267" t="s">
        <v>944</v>
      </c>
      <c r="G7082" s="267" t="s">
        <v>3926</v>
      </c>
      <c r="H7082" s="267" t="s">
        <v>11894</v>
      </c>
      <c r="I7082" s="267" t="s">
        <v>4594</v>
      </c>
      <c r="J7082" s="267" t="s">
        <v>3928</v>
      </c>
      <c r="K7082" s="267">
        <v>6488</v>
      </c>
      <c r="L7082" s="267">
        <v>348111</v>
      </c>
      <c r="M7082" s="267" t="s">
        <v>3943</v>
      </c>
      <c r="N7082" s="267" t="s">
        <v>5313</v>
      </c>
      <c r="O7082" s="267">
        <v>6396</v>
      </c>
      <c r="P7082" s="267" t="s">
        <v>3930</v>
      </c>
      <c r="Q7082" s="267" t="s">
        <v>3930</v>
      </c>
      <c r="R7082" s="267">
        <v>6396</v>
      </c>
      <c r="S7082" s="267">
        <v>42000</v>
      </c>
      <c r="T7082" s="267">
        <v>48396</v>
      </c>
      <c r="U7082" s="268" t="s">
        <v>3937</v>
      </c>
      <c r="V7082" s="267" t="s">
        <v>944</v>
      </c>
    </row>
    <row r="7083" spans="1:22" hidden="1" x14ac:dyDescent="0.25">
      <c r="A7083" s="269">
        <v>43791</v>
      </c>
      <c r="B7083" s="270">
        <v>2019</v>
      </c>
      <c r="C7083" s="270">
        <v>2020</v>
      </c>
      <c r="D7083" s="270">
        <v>1</v>
      </c>
      <c r="E7083" s="270">
        <v>1</v>
      </c>
      <c r="F7083" s="270" t="s">
        <v>944</v>
      </c>
      <c r="G7083" s="270" t="s">
        <v>3926</v>
      </c>
      <c r="H7083" s="270" t="s">
        <v>11895</v>
      </c>
      <c r="I7083" s="270" t="s">
        <v>4621</v>
      </c>
      <c r="J7083" s="270" t="s">
        <v>3928</v>
      </c>
      <c r="K7083" s="270">
        <v>6443</v>
      </c>
      <c r="L7083" s="270">
        <v>194201</v>
      </c>
      <c r="M7083" s="270" t="s">
        <v>3943</v>
      </c>
      <c r="N7083" s="270" t="s">
        <v>4701</v>
      </c>
      <c r="O7083" s="270">
        <v>2006.13</v>
      </c>
      <c r="P7083" s="270" t="s">
        <v>3930</v>
      </c>
      <c r="Q7083" s="270" t="s">
        <v>3931</v>
      </c>
      <c r="R7083" s="270">
        <v>7006.13</v>
      </c>
      <c r="S7083" s="270">
        <v>34648</v>
      </c>
      <c r="T7083" s="270">
        <v>41654.129999999997</v>
      </c>
      <c r="U7083" s="271" t="s">
        <v>3932</v>
      </c>
      <c r="V7083" s="267" t="s">
        <v>944</v>
      </c>
    </row>
    <row r="7084" spans="1:22" hidden="1" x14ac:dyDescent="0.25">
      <c r="A7084" s="266">
        <v>43791</v>
      </c>
      <c r="B7084" s="267">
        <v>2019</v>
      </c>
      <c r="C7084" s="267">
        <v>2020</v>
      </c>
      <c r="D7084" s="267">
        <v>1</v>
      </c>
      <c r="E7084" s="267">
        <v>1</v>
      </c>
      <c r="F7084" s="267" t="s">
        <v>944</v>
      </c>
      <c r="G7084" s="267" t="s">
        <v>3926</v>
      </c>
      <c r="H7084" s="267" t="s">
        <v>11896</v>
      </c>
      <c r="I7084" s="267" t="s">
        <v>3996</v>
      </c>
      <c r="J7084" s="267" t="s">
        <v>3928</v>
      </c>
      <c r="K7084" s="267">
        <v>6790</v>
      </c>
      <c r="L7084" s="267">
        <v>310602</v>
      </c>
      <c r="M7084" s="267" t="s">
        <v>3935</v>
      </c>
      <c r="N7084" s="267" t="s">
        <v>4053</v>
      </c>
      <c r="O7084" s="267">
        <v>1461.53</v>
      </c>
      <c r="P7084" s="267" t="s">
        <v>3930</v>
      </c>
      <c r="Q7084" s="267" t="s">
        <v>3931</v>
      </c>
      <c r="R7084" s="267">
        <v>6461.53</v>
      </c>
      <c r="S7084" s="267">
        <v>18603.2</v>
      </c>
      <c r="T7084" s="267">
        <v>25064.73</v>
      </c>
      <c r="U7084" s="268" t="s">
        <v>3932</v>
      </c>
      <c r="V7084" s="267" t="s">
        <v>944</v>
      </c>
    </row>
    <row r="7085" spans="1:22" hidden="1" x14ac:dyDescent="0.25">
      <c r="A7085" s="269">
        <v>43791</v>
      </c>
      <c r="B7085" s="270">
        <v>2019</v>
      </c>
      <c r="C7085" s="270">
        <v>2020</v>
      </c>
      <c r="D7085" s="270">
        <v>1</v>
      </c>
      <c r="E7085" s="270">
        <v>1</v>
      </c>
      <c r="F7085" s="270" t="s">
        <v>944</v>
      </c>
      <c r="G7085" s="270" t="s">
        <v>3997</v>
      </c>
      <c r="H7085" s="270" t="s">
        <v>11897</v>
      </c>
      <c r="I7085" s="270" t="s">
        <v>3956</v>
      </c>
      <c r="J7085" s="270" t="s">
        <v>3928</v>
      </c>
      <c r="K7085" s="270">
        <v>6105</v>
      </c>
      <c r="L7085" s="270">
        <v>524501</v>
      </c>
      <c r="M7085" s="270">
        <v>-60</v>
      </c>
      <c r="N7085" s="270" t="s">
        <v>3944</v>
      </c>
      <c r="O7085" s="270">
        <v>1212</v>
      </c>
      <c r="P7085" s="270" t="s">
        <v>3944</v>
      </c>
      <c r="Q7085" s="270" t="s">
        <v>3944</v>
      </c>
      <c r="R7085" s="270">
        <v>1212</v>
      </c>
      <c r="S7085" s="270">
        <v>7428</v>
      </c>
      <c r="T7085" s="270">
        <v>8640</v>
      </c>
      <c r="U7085" s="271" t="s">
        <v>3945</v>
      </c>
      <c r="V7085" s="267" t="s">
        <v>944</v>
      </c>
    </row>
    <row r="7086" spans="1:22" hidden="1" x14ac:dyDescent="0.25">
      <c r="A7086" s="266">
        <v>43791</v>
      </c>
      <c r="B7086" s="267">
        <v>2019</v>
      </c>
      <c r="C7086" s="267">
        <v>2020</v>
      </c>
      <c r="D7086" s="267">
        <v>1</v>
      </c>
      <c r="E7086" s="267">
        <v>1</v>
      </c>
      <c r="F7086" s="267" t="s">
        <v>944</v>
      </c>
      <c r="G7086" s="267" t="s">
        <v>3926</v>
      </c>
      <c r="H7086" s="267" t="s">
        <v>11898</v>
      </c>
      <c r="I7086" s="267" t="s">
        <v>2987</v>
      </c>
      <c r="J7086" s="267" t="s">
        <v>3928</v>
      </c>
      <c r="K7086" s="267">
        <v>6611</v>
      </c>
      <c r="L7086" s="267">
        <v>90600</v>
      </c>
      <c r="M7086" s="267" t="s">
        <v>3960</v>
      </c>
      <c r="N7086" s="267" t="s">
        <v>3944</v>
      </c>
      <c r="O7086" s="267">
        <v>5484</v>
      </c>
      <c r="P7086" s="267" t="s">
        <v>3944</v>
      </c>
      <c r="Q7086" s="267" t="s">
        <v>3944</v>
      </c>
      <c r="R7086" s="267">
        <v>5484</v>
      </c>
      <c r="S7086" s="267">
        <v>37025</v>
      </c>
      <c r="T7086" s="267">
        <v>42509</v>
      </c>
      <c r="U7086" s="268" t="s">
        <v>3945</v>
      </c>
      <c r="V7086" s="267" t="s">
        <v>944</v>
      </c>
    </row>
    <row r="7087" spans="1:22" hidden="1" x14ac:dyDescent="0.25">
      <c r="A7087" s="269">
        <v>43791</v>
      </c>
      <c r="B7087" s="270">
        <v>2019</v>
      </c>
      <c r="C7087" s="270">
        <v>2020</v>
      </c>
      <c r="D7087" s="270">
        <v>1</v>
      </c>
      <c r="E7087" s="270">
        <v>1</v>
      </c>
      <c r="F7087" s="270" t="s">
        <v>944</v>
      </c>
      <c r="G7087" s="270" t="s">
        <v>3926</v>
      </c>
      <c r="H7087" s="270" t="s">
        <v>11899</v>
      </c>
      <c r="I7087" s="270" t="s">
        <v>4947</v>
      </c>
      <c r="J7087" s="270" t="s">
        <v>3928</v>
      </c>
      <c r="K7087" s="270">
        <v>6787</v>
      </c>
      <c r="L7087" s="270">
        <v>349200</v>
      </c>
      <c r="M7087" s="270" t="s">
        <v>3940</v>
      </c>
      <c r="N7087" s="270" t="s">
        <v>3944</v>
      </c>
      <c r="O7087" s="270">
        <v>1559</v>
      </c>
      <c r="P7087" s="270" t="s">
        <v>3944</v>
      </c>
      <c r="Q7087" s="270" t="s">
        <v>3944</v>
      </c>
      <c r="R7087" s="270">
        <v>1559</v>
      </c>
      <c r="S7087" s="270">
        <v>9214</v>
      </c>
      <c r="T7087" s="270">
        <v>10773</v>
      </c>
      <c r="U7087" s="271" t="s">
        <v>3945</v>
      </c>
      <c r="V7087" s="267" t="s">
        <v>944</v>
      </c>
    </row>
    <row r="7088" spans="1:22" hidden="1" x14ac:dyDescent="0.25">
      <c r="A7088" s="266">
        <v>43791</v>
      </c>
      <c r="B7088" s="267">
        <v>2019</v>
      </c>
      <c r="C7088" s="267">
        <v>2020</v>
      </c>
      <c r="D7088" s="267">
        <v>1</v>
      </c>
      <c r="E7088" s="267">
        <v>1</v>
      </c>
      <c r="F7088" s="267" t="s">
        <v>944</v>
      </c>
      <c r="G7088" s="267" t="s">
        <v>3926</v>
      </c>
      <c r="H7088" s="267" t="s">
        <v>11900</v>
      </c>
      <c r="I7088" s="267" t="s">
        <v>8451</v>
      </c>
      <c r="J7088" s="267" t="s">
        <v>3928</v>
      </c>
      <c r="K7088" s="267">
        <v>6785</v>
      </c>
      <c r="L7088" s="267">
        <v>266100</v>
      </c>
      <c r="M7088" s="267" t="s">
        <v>3935</v>
      </c>
      <c r="N7088" s="267" t="s">
        <v>3944</v>
      </c>
      <c r="O7088" s="267">
        <v>1832</v>
      </c>
      <c r="P7088" s="267" t="s">
        <v>3944</v>
      </c>
      <c r="Q7088" s="267" t="s">
        <v>3944</v>
      </c>
      <c r="R7088" s="267">
        <v>1832</v>
      </c>
      <c r="S7088" s="267">
        <v>31289</v>
      </c>
      <c r="T7088" s="267">
        <v>33121</v>
      </c>
      <c r="U7088" s="268" t="s">
        <v>3945</v>
      </c>
      <c r="V7088" s="267" t="s">
        <v>944</v>
      </c>
    </row>
    <row r="7089" spans="1:22" hidden="1" x14ac:dyDescent="0.25">
      <c r="A7089" s="269">
        <v>43791</v>
      </c>
      <c r="B7089" s="270">
        <v>2019</v>
      </c>
      <c r="C7089" s="270">
        <v>2020</v>
      </c>
      <c r="D7089" s="270">
        <v>1</v>
      </c>
      <c r="E7089" s="270">
        <v>1</v>
      </c>
      <c r="F7089" s="270" t="s">
        <v>944</v>
      </c>
      <c r="G7089" s="270" t="s">
        <v>3926</v>
      </c>
      <c r="H7089" s="270" t="s">
        <v>11901</v>
      </c>
      <c r="I7089" s="270" t="s">
        <v>4392</v>
      </c>
      <c r="J7089" s="270" t="s">
        <v>3928</v>
      </c>
      <c r="K7089" s="270">
        <v>6457</v>
      </c>
      <c r="L7089" s="270">
        <v>680200</v>
      </c>
      <c r="M7089" s="270" t="s">
        <v>3935</v>
      </c>
      <c r="N7089" s="270" t="s">
        <v>3944</v>
      </c>
      <c r="O7089" s="270">
        <v>4963</v>
      </c>
      <c r="P7089" s="270" t="s">
        <v>3944</v>
      </c>
      <c r="Q7089" s="270" t="s">
        <v>3944</v>
      </c>
      <c r="R7089" s="270">
        <v>4963</v>
      </c>
      <c r="S7089" s="270">
        <v>56237</v>
      </c>
      <c r="T7089" s="270">
        <v>61200</v>
      </c>
      <c r="U7089" s="271" t="s">
        <v>3945</v>
      </c>
      <c r="V7089" s="267" t="s">
        <v>944</v>
      </c>
    </row>
    <row r="7090" spans="1:22" hidden="1" x14ac:dyDescent="0.25">
      <c r="A7090" s="266">
        <v>43791</v>
      </c>
      <c r="B7090" s="267">
        <v>2019</v>
      </c>
      <c r="C7090" s="267">
        <v>2020</v>
      </c>
      <c r="D7090" s="267">
        <v>1</v>
      </c>
      <c r="E7090" s="267">
        <v>1</v>
      </c>
      <c r="F7090" s="267" t="s">
        <v>944</v>
      </c>
      <c r="G7090" s="267" t="s">
        <v>3926</v>
      </c>
      <c r="H7090" s="267" t="s">
        <v>11902</v>
      </c>
      <c r="I7090" s="267" t="s">
        <v>5401</v>
      </c>
      <c r="J7090" s="267" t="s">
        <v>3928</v>
      </c>
      <c r="K7090" s="267">
        <v>6820</v>
      </c>
      <c r="L7090" s="267">
        <v>30500</v>
      </c>
      <c r="M7090" s="267" t="s">
        <v>3943</v>
      </c>
      <c r="N7090" s="267" t="s">
        <v>3944</v>
      </c>
      <c r="O7090" s="267">
        <v>4382</v>
      </c>
      <c r="P7090" s="267" t="s">
        <v>3944</v>
      </c>
      <c r="Q7090" s="267" t="s">
        <v>3944</v>
      </c>
      <c r="R7090" s="267">
        <v>4382</v>
      </c>
      <c r="S7090" s="267">
        <v>18658</v>
      </c>
      <c r="T7090" s="267">
        <v>23040</v>
      </c>
      <c r="U7090" s="268" t="s">
        <v>3945</v>
      </c>
      <c r="V7090" s="267" t="s">
        <v>944</v>
      </c>
    </row>
    <row r="7091" spans="1:22" hidden="1" x14ac:dyDescent="0.25">
      <c r="A7091" s="269">
        <v>43791</v>
      </c>
      <c r="B7091" s="270">
        <v>2019</v>
      </c>
      <c r="C7091" s="270">
        <v>2020</v>
      </c>
      <c r="D7091" s="270">
        <v>1</v>
      </c>
      <c r="E7091" s="270">
        <v>1</v>
      </c>
      <c r="F7091" s="270" t="s">
        <v>944</v>
      </c>
      <c r="G7091" s="270" t="s">
        <v>3926</v>
      </c>
      <c r="H7091" s="270" t="s">
        <v>11903</v>
      </c>
      <c r="I7091" s="270" t="s">
        <v>3962</v>
      </c>
      <c r="J7091" s="270" t="s">
        <v>3928</v>
      </c>
      <c r="K7091" s="270">
        <v>6379</v>
      </c>
      <c r="L7091" s="270">
        <v>705101</v>
      </c>
      <c r="M7091" s="270" t="s">
        <v>3935</v>
      </c>
      <c r="N7091" s="270" t="s">
        <v>3944</v>
      </c>
      <c r="O7091" s="270">
        <v>7631</v>
      </c>
      <c r="P7091" s="270" t="s">
        <v>3944</v>
      </c>
      <c r="Q7091" s="270" t="s">
        <v>3944</v>
      </c>
      <c r="R7091" s="270">
        <v>7631</v>
      </c>
      <c r="S7091" s="270">
        <v>59754.75</v>
      </c>
      <c r="T7091" s="270">
        <v>67385.75</v>
      </c>
      <c r="U7091" s="271" t="s">
        <v>3945</v>
      </c>
      <c r="V7091" s="267" t="s">
        <v>944</v>
      </c>
    </row>
    <row r="7092" spans="1:22" hidden="1" x14ac:dyDescent="0.25">
      <c r="A7092" s="266">
        <v>43791</v>
      </c>
      <c r="B7092" s="267">
        <v>2019</v>
      </c>
      <c r="C7092" s="267">
        <v>2020</v>
      </c>
      <c r="D7092" s="267">
        <v>1</v>
      </c>
      <c r="E7092" s="267">
        <v>1</v>
      </c>
      <c r="F7092" s="267" t="s">
        <v>944</v>
      </c>
      <c r="G7092" s="267" t="s">
        <v>3926</v>
      </c>
      <c r="H7092" s="267" t="s">
        <v>11904</v>
      </c>
      <c r="I7092" s="267" t="s">
        <v>6268</v>
      </c>
      <c r="J7092" s="267" t="s">
        <v>3928</v>
      </c>
      <c r="K7092" s="267">
        <v>6371</v>
      </c>
      <c r="L7092" s="267">
        <v>660101</v>
      </c>
      <c r="M7092" s="267" t="s">
        <v>3960</v>
      </c>
      <c r="N7092" s="267" t="s">
        <v>3944</v>
      </c>
      <c r="O7092" s="267">
        <v>4222</v>
      </c>
      <c r="P7092" s="267" t="s">
        <v>3944</v>
      </c>
      <c r="Q7092" s="267" t="s">
        <v>3944</v>
      </c>
      <c r="R7092" s="267">
        <v>4222</v>
      </c>
      <c r="S7092" s="267">
        <v>30840</v>
      </c>
      <c r="T7092" s="267">
        <v>35062</v>
      </c>
      <c r="U7092" s="268" t="s">
        <v>3945</v>
      </c>
      <c r="V7092" s="267" t="s">
        <v>944</v>
      </c>
    </row>
    <row r="7093" spans="1:22" hidden="1" x14ac:dyDescent="0.25">
      <c r="A7093" s="269">
        <v>43791</v>
      </c>
      <c r="B7093" s="270">
        <v>2019</v>
      </c>
      <c r="C7093" s="270">
        <v>2020</v>
      </c>
      <c r="D7093" s="270">
        <v>1</v>
      </c>
      <c r="E7093" s="270">
        <v>1</v>
      </c>
      <c r="F7093" s="270" t="s">
        <v>944</v>
      </c>
      <c r="G7093" s="270" t="s">
        <v>3926</v>
      </c>
      <c r="H7093" s="270" t="s">
        <v>11905</v>
      </c>
      <c r="I7093" s="270" t="s">
        <v>4695</v>
      </c>
      <c r="J7093" s="270" t="s">
        <v>3928</v>
      </c>
      <c r="K7093" s="270">
        <v>6234</v>
      </c>
      <c r="L7093" s="270">
        <v>905100</v>
      </c>
      <c r="M7093" s="270" t="s">
        <v>3935</v>
      </c>
      <c r="N7093" s="270" t="s">
        <v>3944</v>
      </c>
      <c r="O7093" s="270">
        <v>3512</v>
      </c>
      <c r="P7093" s="270" t="s">
        <v>3944</v>
      </c>
      <c r="Q7093" s="270" t="s">
        <v>3944</v>
      </c>
      <c r="R7093" s="270">
        <v>3512</v>
      </c>
      <c r="S7093" s="270">
        <v>29049</v>
      </c>
      <c r="T7093" s="270">
        <v>32561</v>
      </c>
      <c r="U7093" s="271" t="s">
        <v>3945</v>
      </c>
      <c r="V7093" s="267" t="s">
        <v>944</v>
      </c>
    </row>
    <row r="7094" spans="1:22" hidden="1" x14ac:dyDescent="0.25">
      <c r="A7094" s="266">
        <v>43791</v>
      </c>
      <c r="B7094" s="267">
        <v>2019</v>
      </c>
      <c r="C7094" s="267">
        <v>2020</v>
      </c>
      <c r="D7094" s="267">
        <v>1</v>
      </c>
      <c r="E7094" s="267">
        <v>1</v>
      </c>
      <c r="F7094" s="267" t="s">
        <v>944</v>
      </c>
      <c r="G7094" s="267" t="s">
        <v>3926</v>
      </c>
      <c r="H7094" s="267" t="s">
        <v>11906</v>
      </c>
      <c r="I7094" s="267" t="s">
        <v>4293</v>
      </c>
      <c r="J7094" s="267" t="s">
        <v>3928</v>
      </c>
      <c r="K7094" s="267">
        <v>6412</v>
      </c>
      <c r="L7094" s="267">
        <v>600100</v>
      </c>
      <c r="M7094" s="267" t="s">
        <v>3960</v>
      </c>
      <c r="N7094" s="267" t="s">
        <v>3944</v>
      </c>
      <c r="O7094" s="267">
        <v>1312</v>
      </c>
      <c r="P7094" s="267" t="s">
        <v>3944</v>
      </c>
      <c r="Q7094" s="267" t="s">
        <v>3944</v>
      </c>
      <c r="R7094" s="267">
        <v>1312</v>
      </c>
      <c r="S7094" s="267">
        <v>20107</v>
      </c>
      <c r="T7094" s="267">
        <v>21419</v>
      </c>
      <c r="U7094" s="268" t="s">
        <v>3945</v>
      </c>
      <c r="V7094" s="267" t="s">
        <v>944</v>
      </c>
    </row>
    <row r="7095" spans="1:22" hidden="1" x14ac:dyDescent="0.25">
      <c r="A7095" s="269">
        <v>43791</v>
      </c>
      <c r="B7095" s="270">
        <v>2019</v>
      </c>
      <c r="C7095" s="270">
        <v>2020</v>
      </c>
      <c r="D7095" s="270">
        <v>1</v>
      </c>
      <c r="E7095" s="270">
        <v>1</v>
      </c>
      <c r="F7095" s="270" t="s">
        <v>944</v>
      </c>
      <c r="G7095" s="270" t="s">
        <v>3926</v>
      </c>
      <c r="H7095" s="270" t="s">
        <v>11907</v>
      </c>
      <c r="I7095" s="270" t="s">
        <v>4124</v>
      </c>
      <c r="J7095" s="270" t="s">
        <v>3928</v>
      </c>
      <c r="K7095" s="270">
        <v>6470</v>
      </c>
      <c r="L7095" s="270">
        <v>230400</v>
      </c>
      <c r="M7095" s="270" t="s">
        <v>3943</v>
      </c>
      <c r="N7095" s="270" t="s">
        <v>3944</v>
      </c>
      <c r="O7095" s="270">
        <v>8008</v>
      </c>
      <c r="P7095" s="270" t="s">
        <v>3944</v>
      </c>
      <c r="Q7095" s="270" t="s">
        <v>3944</v>
      </c>
      <c r="R7095" s="270">
        <v>8008</v>
      </c>
      <c r="S7095" s="270">
        <v>93579.4</v>
      </c>
      <c r="T7095" s="270">
        <v>101587.4</v>
      </c>
      <c r="U7095" s="271" t="s">
        <v>3945</v>
      </c>
      <c r="V7095" s="267" t="s">
        <v>944</v>
      </c>
    </row>
    <row r="7096" spans="1:22" hidden="1" x14ac:dyDescent="0.25">
      <c r="A7096" s="266">
        <v>43791</v>
      </c>
      <c r="B7096" s="267">
        <v>2019</v>
      </c>
      <c r="C7096" s="267">
        <v>2020</v>
      </c>
      <c r="D7096" s="267">
        <v>1</v>
      </c>
      <c r="E7096" s="267">
        <v>1</v>
      </c>
      <c r="F7096" s="267" t="s">
        <v>944</v>
      </c>
      <c r="G7096" s="267" t="s">
        <v>3926</v>
      </c>
      <c r="H7096" s="267" t="s">
        <v>11908</v>
      </c>
      <c r="I7096" s="267" t="s">
        <v>4594</v>
      </c>
      <c r="J7096" s="267" t="s">
        <v>3928</v>
      </c>
      <c r="K7096" s="267">
        <v>6488</v>
      </c>
      <c r="L7096" s="267">
        <v>348123</v>
      </c>
      <c r="M7096" s="267" t="s">
        <v>3943</v>
      </c>
      <c r="N7096" s="267" t="s">
        <v>3944</v>
      </c>
      <c r="O7096" s="267">
        <v>5319</v>
      </c>
      <c r="P7096" s="267" t="s">
        <v>3944</v>
      </c>
      <c r="Q7096" s="267" t="s">
        <v>3944</v>
      </c>
      <c r="R7096" s="267">
        <v>5319</v>
      </c>
      <c r="S7096" s="267">
        <v>46295</v>
      </c>
      <c r="T7096" s="267">
        <v>51614</v>
      </c>
      <c r="U7096" s="268" t="s">
        <v>3945</v>
      </c>
      <c r="V7096" s="267" t="s">
        <v>944</v>
      </c>
    </row>
    <row r="7097" spans="1:22" hidden="1" x14ac:dyDescent="0.25">
      <c r="A7097" s="269">
        <v>43791</v>
      </c>
      <c r="B7097" s="270">
        <v>2019</v>
      </c>
      <c r="C7097" s="270">
        <v>2020</v>
      </c>
      <c r="D7097" s="270">
        <v>1</v>
      </c>
      <c r="E7097" s="270">
        <v>1</v>
      </c>
      <c r="F7097" s="270" t="s">
        <v>944</v>
      </c>
      <c r="G7097" s="270" t="s">
        <v>3926</v>
      </c>
      <c r="H7097" s="270" t="s">
        <v>11909</v>
      </c>
      <c r="I7097" s="270" t="s">
        <v>943</v>
      </c>
      <c r="J7097" s="270" t="s">
        <v>3928</v>
      </c>
      <c r="K7097" s="270">
        <v>6515</v>
      </c>
      <c r="L7097" s="270">
        <v>141000</v>
      </c>
      <c r="M7097" s="270" t="s">
        <v>3960</v>
      </c>
      <c r="N7097" s="270" t="s">
        <v>3944</v>
      </c>
      <c r="O7097" s="270">
        <v>4403</v>
      </c>
      <c r="P7097" s="270" t="s">
        <v>3944</v>
      </c>
      <c r="Q7097" s="270" t="s">
        <v>3944</v>
      </c>
      <c r="R7097" s="270">
        <v>4403</v>
      </c>
      <c r="S7097" s="270">
        <v>30749</v>
      </c>
      <c r="T7097" s="270">
        <v>35152</v>
      </c>
      <c r="U7097" s="271" t="s">
        <v>3945</v>
      </c>
      <c r="V7097" s="267" t="s">
        <v>944</v>
      </c>
    </row>
    <row r="7098" spans="1:22" hidden="1" x14ac:dyDescent="0.25">
      <c r="A7098" s="266">
        <v>43791</v>
      </c>
      <c r="B7098" s="267">
        <v>2019</v>
      </c>
      <c r="C7098" s="267">
        <v>2020</v>
      </c>
      <c r="D7098" s="267">
        <v>1</v>
      </c>
      <c r="E7098" s="267">
        <v>1</v>
      </c>
      <c r="F7098" s="267" t="s">
        <v>944</v>
      </c>
      <c r="G7098" s="267" t="s">
        <v>3926</v>
      </c>
      <c r="H7098" s="267" t="s">
        <v>11910</v>
      </c>
      <c r="I7098" s="267" t="s">
        <v>4225</v>
      </c>
      <c r="J7098" s="267" t="s">
        <v>3928</v>
      </c>
      <c r="K7098" s="267">
        <v>6896</v>
      </c>
      <c r="L7098" s="267">
        <v>240100</v>
      </c>
      <c r="M7098" s="267" t="s">
        <v>3943</v>
      </c>
      <c r="N7098" s="267" t="s">
        <v>3944</v>
      </c>
      <c r="O7098" s="267">
        <v>3424</v>
      </c>
      <c r="P7098" s="267" t="s">
        <v>3944</v>
      </c>
      <c r="Q7098" s="267" t="s">
        <v>3944</v>
      </c>
      <c r="R7098" s="267">
        <v>3424</v>
      </c>
      <c r="S7098" s="267">
        <v>36688</v>
      </c>
      <c r="T7098" s="267">
        <v>40112</v>
      </c>
      <c r="U7098" s="268" t="s">
        <v>3945</v>
      </c>
      <c r="V7098" s="267" t="s">
        <v>944</v>
      </c>
    </row>
    <row r="7099" spans="1:22" hidden="1" x14ac:dyDescent="0.25">
      <c r="A7099" s="269">
        <v>43791</v>
      </c>
      <c r="B7099" s="270">
        <v>2019</v>
      </c>
      <c r="C7099" s="270">
        <v>2020</v>
      </c>
      <c r="D7099" s="270">
        <v>1</v>
      </c>
      <c r="E7099" s="270">
        <v>1</v>
      </c>
      <c r="F7099" s="270" t="s">
        <v>944</v>
      </c>
      <c r="G7099" s="270" t="s">
        <v>3926</v>
      </c>
      <c r="H7099" s="270" t="s">
        <v>11911</v>
      </c>
      <c r="I7099" s="270" t="s">
        <v>943</v>
      </c>
      <c r="J7099" s="270" t="s">
        <v>3928</v>
      </c>
      <c r="K7099" s="270">
        <v>6515</v>
      </c>
      <c r="L7099" s="270">
        <v>141000</v>
      </c>
      <c r="M7099" s="270" t="s">
        <v>3960</v>
      </c>
      <c r="N7099" s="270" t="s">
        <v>3944</v>
      </c>
      <c r="O7099" s="270">
        <v>2563</v>
      </c>
      <c r="P7099" s="270" t="s">
        <v>3944</v>
      </c>
      <c r="Q7099" s="270" t="s">
        <v>3944</v>
      </c>
      <c r="R7099" s="270">
        <v>2563</v>
      </c>
      <c r="S7099" s="270">
        <v>19214</v>
      </c>
      <c r="T7099" s="270">
        <v>21777</v>
      </c>
      <c r="U7099" s="271" t="s">
        <v>3945</v>
      </c>
      <c r="V7099" s="267" t="s">
        <v>944</v>
      </c>
    </row>
    <row r="7100" spans="1:22" hidden="1" x14ac:dyDescent="0.25">
      <c r="A7100" s="266">
        <v>43791</v>
      </c>
      <c r="B7100" s="267">
        <v>2019</v>
      </c>
      <c r="C7100" s="267">
        <v>2020</v>
      </c>
      <c r="D7100" s="267">
        <v>1</v>
      </c>
      <c r="E7100" s="267">
        <v>1</v>
      </c>
      <c r="F7100" s="267" t="s">
        <v>944</v>
      </c>
      <c r="G7100" s="267" t="s">
        <v>3926</v>
      </c>
      <c r="H7100" s="267" t="s">
        <v>11912</v>
      </c>
      <c r="I7100" s="267" t="s">
        <v>4269</v>
      </c>
      <c r="J7100" s="267" t="s">
        <v>3928</v>
      </c>
      <c r="K7100" s="267">
        <v>6107</v>
      </c>
      <c r="L7100" s="267">
        <v>497600</v>
      </c>
      <c r="M7100" s="267" t="s">
        <v>3943</v>
      </c>
      <c r="N7100" s="267" t="s">
        <v>3944</v>
      </c>
      <c r="O7100" s="267">
        <v>1786</v>
      </c>
      <c r="P7100" s="267" t="s">
        <v>3944</v>
      </c>
      <c r="Q7100" s="267" t="s">
        <v>3944</v>
      </c>
      <c r="R7100" s="267">
        <v>1786</v>
      </c>
      <c r="S7100" s="267">
        <v>16617.2</v>
      </c>
      <c r="T7100" s="267">
        <v>18403.2</v>
      </c>
      <c r="U7100" s="268" t="s">
        <v>3945</v>
      </c>
      <c r="V7100" s="267" t="s">
        <v>944</v>
      </c>
    </row>
    <row r="7101" spans="1:22" hidden="1" x14ac:dyDescent="0.25">
      <c r="A7101" s="269">
        <v>43791</v>
      </c>
      <c r="B7101" s="270">
        <v>2019</v>
      </c>
      <c r="C7101" s="270">
        <v>2020</v>
      </c>
      <c r="D7101" s="270">
        <v>1</v>
      </c>
      <c r="E7101" s="270">
        <v>1</v>
      </c>
      <c r="F7101" s="270" t="s">
        <v>944</v>
      </c>
      <c r="G7101" s="270" t="s">
        <v>3926</v>
      </c>
      <c r="H7101" s="270" t="s">
        <v>11913</v>
      </c>
      <c r="I7101" s="270" t="s">
        <v>4037</v>
      </c>
      <c r="J7101" s="270" t="s">
        <v>3928</v>
      </c>
      <c r="K7101" s="270">
        <v>6810</v>
      </c>
      <c r="L7101" s="270">
        <v>210300</v>
      </c>
      <c r="M7101" s="270" t="s">
        <v>3940</v>
      </c>
      <c r="N7101" s="270" t="s">
        <v>3944</v>
      </c>
      <c r="O7101" s="270">
        <v>1804</v>
      </c>
      <c r="P7101" s="270" t="s">
        <v>3944</v>
      </c>
      <c r="Q7101" s="270" t="s">
        <v>3944</v>
      </c>
      <c r="R7101" s="270">
        <v>1804</v>
      </c>
      <c r="S7101" s="270">
        <v>11006</v>
      </c>
      <c r="T7101" s="270">
        <v>12810</v>
      </c>
      <c r="U7101" s="271" t="s">
        <v>3945</v>
      </c>
      <c r="V7101" s="267" t="s">
        <v>944</v>
      </c>
    </row>
    <row r="7102" spans="1:22" hidden="1" x14ac:dyDescent="0.25">
      <c r="A7102" s="266">
        <v>43791</v>
      </c>
      <c r="B7102" s="267">
        <v>2019</v>
      </c>
      <c r="C7102" s="267">
        <v>2020</v>
      </c>
      <c r="D7102" s="267">
        <v>1</v>
      </c>
      <c r="E7102" s="267">
        <v>1</v>
      </c>
      <c r="F7102" s="267" t="s">
        <v>944</v>
      </c>
      <c r="G7102" s="267" t="s">
        <v>3926</v>
      </c>
      <c r="H7102" s="267" t="s">
        <v>11914</v>
      </c>
      <c r="I7102" s="267" t="s">
        <v>4040</v>
      </c>
      <c r="J7102" s="267" t="s">
        <v>3928</v>
      </c>
      <c r="K7102" s="267">
        <v>6339</v>
      </c>
      <c r="L7102" s="267">
        <v>701100</v>
      </c>
      <c r="M7102" s="267" t="s">
        <v>3960</v>
      </c>
      <c r="N7102" s="267" t="s">
        <v>3944</v>
      </c>
      <c r="O7102" s="267">
        <v>3458</v>
      </c>
      <c r="P7102" s="267" t="s">
        <v>3944</v>
      </c>
      <c r="Q7102" s="267" t="s">
        <v>3944</v>
      </c>
      <c r="R7102" s="267">
        <v>3458</v>
      </c>
      <c r="S7102" s="267">
        <v>24073</v>
      </c>
      <c r="T7102" s="267">
        <v>27531</v>
      </c>
      <c r="U7102" s="268" t="s">
        <v>3945</v>
      </c>
      <c r="V7102" s="267" t="s">
        <v>944</v>
      </c>
    </row>
    <row r="7103" spans="1:22" hidden="1" x14ac:dyDescent="0.25">
      <c r="A7103" s="269">
        <v>43791</v>
      </c>
      <c r="B7103" s="270">
        <v>2019</v>
      </c>
      <c r="C7103" s="270">
        <v>2020</v>
      </c>
      <c r="D7103" s="270">
        <v>1</v>
      </c>
      <c r="E7103" s="270">
        <v>1</v>
      </c>
      <c r="F7103" s="270" t="s">
        <v>944</v>
      </c>
      <c r="G7103" s="270" t="s">
        <v>3926</v>
      </c>
      <c r="H7103" s="270" t="s">
        <v>11915</v>
      </c>
      <c r="I7103" s="270" t="s">
        <v>4062</v>
      </c>
      <c r="J7103" s="270" t="s">
        <v>3928</v>
      </c>
      <c r="K7103" s="270">
        <v>6763</v>
      </c>
      <c r="L7103" s="270">
        <v>303100</v>
      </c>
      <c r="M7103" s="270" t="s">
        <v>3960</v>
      </c>
      <c r="N7103" s="270" t="s">
        <v>3944</v>
      </c>
      <c r="O7103" s="270">
        <v>3601</v>
      </c>
      <c r="P7103" s="270" t="s">
        <v>3944</v>
      </c>
      <c r="Q7103" s="270" t="s">
        <v>3944</v>
      </c>
      <c r="R7103" s="270">
        <v>3601</v>
      </c>
      <c r="S7103" s="270">
        <v>27589.4</v>
      </c>
      <c r="T7103" s="270">
        <v>31190.400000000001</v>
      </c>
      <c r="U7103" s="271" t="s">
        <v>3945</v>
      </c>
      <c r="V7103" s="267" t="s">
        <v>944</v>
      </c>
    </row>
    <row r="7104" spans="1:22" hidden="1" x14ac:dyDescent="0.25">
      <c r="A7104" s="266">
        <v>43791</v>
      </c>
      <c r="B7104" s="267">
        <v>2019</v>
      </c>
      <c r="C7104" s="267">
        <v>2020</v>
      </c>
      <c r="D7104" s="267">
        <v>1</v>
      </c>
      <c r="E7104" s="267">
        <v>1</v>
      </c>
      <c r="F7104" s="267" t="s">
        <v>944</v>
      </c>
      <c r="G7104" s="267" t="s">
        <v>3926</v>
      </c>
      <c r="H7104" s="267" t="s">
        <v>11916</v>
      </c>
      <c r="I7104" s="267" t="s">
        <v>4129</v>
      </c>
      <c r="J7104" s="267" t="s">
        <v>3928</v>
      </c>
      <c r="K7104" s="267">
        <v>6259</v>
      </c>
      <c r="L7104" s="267">
        <v>902500</v>
      </c>
      <c r="M7104" s="267" t="s">
        <v>3960</v>
      </c>
      <c r="N7104" s="267" t="s">
        <v>3944</v>
      </c>
      <c r="O7104" s="267">
        <v>3802</v>
      </c>
      <c r="P7104" s="267" t="s">
        <v>3944</v>
      </c>
      <c r="Q7104" s="267" t="s">
        <v>3944</v>
      </c>
      <c r="R7104" s="267">
        <v>3802</v>
      </c>
      <c r="S7104" s="267">
        <v>31613</v>
      </c>
      <c r="T7104" s="267">
        <v>35415</v>
      </c>
      <c r="U7104" s="268" t="s">
        <v>3945</v>
      </c>
      <c r="V7104" s="267" t="s">
        <v>944</v>
      </c>
    </row>
    <row r="7105" spans="1:22" hidden="1" x14ac:dyDescent="0.25">
      <c r="A7105" s="269">
        <v>43791</v>
      </c>
      <c r="B7105" s="270">
        <v>2019</v>
      </c>
      <c r="C7105" s="270">
        <v>2020</v>
      </c>
      <c r="D7105" s="270">
        <v>1</v>
      </c>
      <c r="E7105" s="270">
        <v>1</v>
      </c>
      <c r="F7105" s="270" t="s">
        <v>944</v>
      </c>
      <c r="G7105" s="270" t="s">
        <v>3926</v>
      </c>
      <c r="H7105" s="270" t="s">
        <v>11917</v>
      </c>
      <c r="I7105" s="270" t="s">
        <v>4519</v>
      </c>
      <c r="J7105" s="270" t="s">
        <v>3928</v>
      </c>
      <c r="K7105" s="270">
        <v>6840</v>
      </c>
      <c r="L7105" s="270">
        <v>35400</v>
      </c>
      <c r="M7105" s="270" t="s">
        <v>3943</v>
      </c>
      <c r="N7105" s="270" t="s">
        <v>3944</v>
      </c>
      <c r="O7105" s="270">
        <v>3406</v>
      </c>
      <c r="P7105" s="270" t="s">
        <v>3944</v>
      </c>
      <c r="Q7105" s="270" t="s">
        <v>3944</v>
      </c>
      <c r="R7105" s="270">
        <v>3406</v>
      </c>
      <c r="S7105" s="270">
        <v>55286</v>
      </c>
      <c r="T7105" s="270">
        <v>58692</v>
      </c>
      <c r="U7105" s="271" t="s">
        <v>3945</v>
      </c>
      <c r="V7105" s="267" t="s">
        <v>944</v>
      </c>
    </row>
    <row r="7106" spans="1:22" hidden="1" x14ac:dyDescent="0.25">
      <c r="A7106" s="266">
        <v>43791</v>
      </c>
      <c r="B7106" s="267">
        <v>2019</v>
      </c>
      <c r="C7106" s="267">
        <v>2020</v>
      </c>
      <c r="D7106" s="267">
        <v>1</v>
      </c>
      <c r="E7106" s="267">
        <v>1</v>
      </c>
      <c r="F7106" s="267" t="s">
        <v>944</v>
      </c>
      <c r="G7106" s="267" t="s">
        <v>3926</v>
      </c>
      <c r="H7106" s="267" t="s">
        <v>11918</v>
      </c>
      <c r="I7106" s="267" t="s">
        <v>4029</v>
      </c>
      <c r="J7106" s="267" t="s">
        <v>3928</v>
      </c>
      <c r="K7106" s="267">
        <v>6854</v>
      </c>
      <c r="L7106" s="267">
        <v>44400</v>
      </c>
      <c r="M7106" s="267" t="s">
        <v>3935</v>
      </c>
      <c r="N7106" s="267" t="s">
        <v>3944</v>
      </c>
      <c r="O7106" s="267">
        <v>2944</v>
      </c>
      <c r="P7106" s="267" t="s">
        <v>3944</v>
      </c>
      <c r="Q7106" s="267" t="s">
        <v>3944</v>
      </c>
      <c r="R7106" s="267">
        <v>2944</v>
      </c>
      <c r="S7106" s="267">
        <v>30682</v>
      </c>
      <c r="T7106" s="267">
        <v>33626</v>
      </c>
      <c r="U7106" s="268" t="s">
        <v>3945</v>
      </c>
      <c r="V7106" s="267" t="s">
        <v>944</v>
      </c>
    </row>
    <row r="7107" spans="1:22" hidden="1" x14ac:dyDescent="0.25">
      <c r="A7107" s="269">
        <v>43791</v>
      </c>
      <c r="B7107" s="270">
        <v>2019</v>
      </c>
      <c r="C7107" s="270">
        <v>2020</v>
      </c>
      <c r="D7107" s="270">
        <v>1</v>
      </c>
      <c r="E7107" s="270">
        <v>1</v>
      </c>
      <c r="F7107" s="270" t="s">
        <v>944</v>
      </c>
      <c r="G7107" s="270" t="s">
        <v>3926</v>
      </c>
      <c r="H7107" s="270" t="s">
        <v>11919</v>
      </c>
      <c r="I7107" s="270" t="s">
        <v>4065</v>
      </c>
      <c r="J7107" s="270" t="s">
        <v>3928</v>
      </c>
      <c r="K7107" s="270">
        <v>6480</v>
      </c>
      <c r="L7107" s="270">
        <v>560200</v>
      </c>
      <c r="M7107" s="270" t="s">
        <v>3935</v>
      </c>
      <c r="N7107" s="270" t="s">
        <v>3944</v>
      </c>
      <c r="O7107" s="270">
        <v>1962</v>
      </c>
      <c r="P7107" s="270" t="s">
        <v>3944</v>
      </c>
      <c r="Q7107" s="270" t="s">
        <v>3944</v>
      </c>
      <c r="R7107" s="270">
        <v>1962</v>
      </c>
      <c r="S7107" s="270">
        <v>15661</v>
      </c>
      <c r="T7107" s="270">
        <v>17623</v>
      </c>
      <c r="U7107" s="271" t="s">
        <v>3945</v>
      </c>
      <c r="V7107" s="267" t="s">
        <v>944</v>
      </c>
    </row>
    <row r="7108" spans="1:22" hidden="1" x14ac:dyDescent="0.25">
      <c r="A7108" s="266">
        <v>43791</v>
      </c>
      <c r="B7108" s="267">
        <v>2019</v>
      </c>
      <c r="C7108" s="267">
        <v>2020</v>
      </c>
      <c r="D7108" s="267">
        <v>1</v>
      </c>
      <c r="E7108" s="267">
        <v>1</v>
      </c>
      <c r="F7108" s="267" t="s">
        <v>944</v>
      </c>
      <c r="G7108" s="267" t="s">
        <v>3926</v>
      </c>
      <c r="H7108" s="267" t="s">
        <v>11920</v>
      </c>
      <c r="I7108" s="267" t="s">
        <v>4126</v>
      </c>
      <c r="J7108" s="267" t="s">
        <v>3928</v>
      </c>
      <c r="K7108" s="267">
        <v>6880</v>
      </c>
      <c r="L7108" s="267">
        <v>50400</v>
      </c>
      <c r="M7108" s="267" t="s">
        <v>3943</v>
      </c>
      <c r="N7108" s="267" t="s">
        <v>3944</v>
      </c>
      <c r="O7108" s="267">
        <v>5992</v>
      </c>
      <c r="P7108" s="267" t="s">
        <v>3944</v>
      </c>
      <c r="Q7108" s="267" t="s">
        <v>3944</v>
      </c>
      <c r="R7108" s="267">
        <v>5992</v>
      </c>
      <c r="S7108" s="267">
        <v>56777</v>
      </c>
      <c r="T7108" s="267">
        <v>62769</v>
      </c>
      <c r="U7108" s="268" t="s">
        <v>3945</v>
      </c>
      <c r="V7108" s="267" t="s">
        <v>944</v>
      </c>
    </row>
    <row r="7109" spans="1:22" hidden="1" x14ac:dyDescent="0.25">
      <c r="A7109" s="269">
        <v>43791</v>
      </c>
      <c r="B7109" s="270">
        <v>2019</v>
      </c>
      <c r="C7109" s="270">
        <v>2020</v>
      </c>
      <c r="D7109" s="270">
        <v>1</v>
      </c>
      <c r="E7109" s="270">
        <v>1</v>
      </c>
      <c r="F7109" s="270" t="s">
        <v>944</v>
      </c>
      <c r="G7109" s="270" t="s">
        <v>3926</v>
      </c>
      <c r="H7109" s="270" t="s">
        <v>11921</v>
      </c>
      <c r="I7109" s="270" t="s">
        <v>4213</v>
      </c>
      <c r="J7109" s="270" t="s">
        <v>3928</v>
      </c>
      <c r="K7109" s="270">
        <v>6052</v>
      </c>
      <c r="L7109" s="270">
        <v>416400</v>
      </c>
      <c r="M7109" s="270" t="s">
        <v>3960</v>
      </c>
      <c r="N7109" s="270" t="s">
        <v>3944</v>
      </c>
      <c r="O7109" s="270">
        <v>1770.34</v>
      </c>
      <c r="P7109" s="270" t="s">
        <v>3944</v>
      </c>
      <c r="Q7109" s="270" t="s">
        <v>3944</v>
      </c>
      <c r="R7109" s="270">
        <v>1770.34</v>
      </c>
      <c r="S7109" s="270">
        <v>16126.66</v>
      </c>
      <c r="T7109" s="270">
        <v>17897</v>
      </c>
      <c r="U7109" s="271" t="s">
        <v>3945</v>
      </c>
      <c r="V7109" s="267" t="s">
        <v>944</v>
      </c>
    </row>
    <row r="7110" spans="1:22" hidden="1" x14ac:dyDescent="0.25">
      <c r="A7110" s="266">
        <v>43791</v>
      </c>
      <c r="B7110" s="267">
        <v>2019</v>
      </c>
      <c r="C7110" s="267">
        <v>2020</v>
      </c>
      <c r="D7110" s="267">
        <v>1</v>
      </c>
      <c r="E7110" s="267">
        <v>1</v>
      </c>
      <c r="F7110" s="267" t="s">
        <v>944</v>
      </c>
      <c r="G7110" s="267" t="s">
        <v>3926</v>
      </c>
      <c r="H7110" s="267" t="s">
        <v>11922</v>
      </c>
      <c r="I7110" s="267" t="s">
        <v>3939</v>
      </c>
      <c r="J7110" s="267" t="s">
        <v>3928</v>
      </c>
      <c r="K7110" s="267">
        <v>6512</v>
      </c>
      <c r="L7110" s="267">
        <v>180200</v>
      </c>
      <c r="M7110" s="267" t="s">
        <v>3940</v>
      </c>
      <c r="N7110" s="267" t="s">
        <v>3944</v>
      </c>
      <c r="O7110" s="267">
        <v>1231.0899999999999</v>
      </c>
      <c r="P7110" s="267" t="s">
        <v>3944</v>
      </c>
      <c r="Q7110" s="267" t="s">
        <v>3944</v>
      </c>
      <c r="R7110" s="267">
        <v>1231.0899999999999</v>
      </c>
      <c r="S7110" s="267">
        <v>9285.91</v>
      </c>
      <c r="T7110" s="267">
        <v>10517</v>
      </c>
      <c r="U7110" s="268" t="s">
        <v>3945</v>
      </c>
      <c r="V7110" s="267" t="s">
        <v>944</v>
      </c>
    </row>
    <row r="7111" spans="1:22" hidden="1" x14ac:dyDescent="0.25">
      <c r="A7111" s="269">
        <v>43791</v>
      </c>
      <c r="B7111" s="270">
        <v>2019</v>
      </c>
      <c r="C7111" s="270">
        <v>2020</v>
      </c>
      <c r="D7111" s="270">
        <v>1</v>
      </c>
      <c r="E7111" s="270">
        <v>1</v>
      </c>
      <c r="F7111" s="270" t="s">
        <v>944</v>
      </c>
      <c r="G7111" s="270" t="s">
        <v>3926</v>
      </c>
      <c r="H7111" s="270" t="s">
        <v>11923</v>
      </c>
      <c r="I7111" s="270" t="s">
        <v>4516</v>
      </c>
      <c r="J7111" s="270" t="s">
        <v>3928</v>
      </c>
      <c r="K7111" s="270">
        <v>6371</v>
      </c>
      <c r="L7111" s="270">
        <v>650100</v>
      </c>
      <c r="M7111" s="270" t="s">
        <v>3960</v>
      </c>
      <c r="N7111" s="270" t="s">
        <v>3944</v>
      </c>
      <c r="O7111" s="270">
        <v>2041.83</v>
      </c>
      <c r="P7111" s="270" t="s">
        <v>3944</v>
      </c>
      <c r="Q7111" s="270" t="s">
        <v>3944</v>
      </c>
      <c r="R7111" s="270">
        <v>2041.83</v>
      </c>
      <c r="S7111" s="270">
        <v>21261.17</v>
      </c>
      <c r="T7111" s="270">
        <v>23303</v>
      </c>
      <c r="U7111" s="271" t="s">
        <v>3945</v>
      </c>
      <c r="V7111" s="267" t="s">
        <v>944</v>
      </c>
    </row>
    <row r="7112" spans="1:22" hidden="1" x14ac:dyDescent="0.25">
      <c r="A7112" s="266">
        <v>43791</v>
      </c>
      <c r="B7112" s="267">
        <v>2019</v>
      </c>
      <c r="C7112" s="267">
        <v>2020</v>
      </c>
      <c r="D7112" s="267">
        <v>1</v>
      </c>
      <c r="E7112" s="267">
        <v>1</v>
      </c>
      <c r="F7112" s="267" t="s">
        <v>944</v>
      </c>
      <c r="G7112" s="267" t="s">
        <v>3926</v>
      </c>
      <c r="H7112" s="267" t="s">
        <v>11924</v>
      </c>
      <c r="I7112" s="267" t="s">
        <v>4168</v>
      </c>
      <c r="J7112" s="267" t="s">
        <v>3928</v>
      </c>
      <c r="K7112" s="267">
        <v>6475</v>
      </c>
      <c r="L7112" s="267">
        <v>670200</v>
      </c>
      <c r="M7112" s="267" t="s">
        <v>3935</v>
      </c>
      <c r="N7112" s="267" t="s">
        <v>3944</v>
      </c>
      <c r="O7112" s="267">
        <v>1306.5899999999999</v>
      </c>
      <c r="P7112" s="267" t="s">
        <v>3944</v>
      </c>
      <c r="Q7112" s="267" t="s">
        <v>3944</v>
      </c>
      <c r="R7112" s="267">
        <v>1306.5899999999999</v>
      </c>
      <c r="S7112" s="267">
        <v>22183.74</v>
      </c>
      <c r="T7112" s="267">
        <v>23490.33</v>
      </c>
      <c r="U7112" s="268" t="s">
        <v>3945</v>
      </c>
      <c r="V7112" s="267" t="s">
        <v>944</v>
      </c>
    </row>
    <row r="7113" spans="1:22" hidden="1" x14ac:dyDescent="0.25">
      <c r="A7113" s="269">
        <v>43791</v>
      </c>
      <c r="B7113" s="270">
        <v>2019</v>
      </c>
      <c r="C7113" s="270">
        <v>2020</v>
      </c>
      <c r="D7113" s="270">
        <v>1</v>
      </c>
      <c r="E7113" s="270">
        <v>1</v>
      </c>
      <c r="F7113" s="270" t="s">
        <v>944</v>
      </c>
      <c r="G7113" s="270" t="s">
        <v>3926</v>
      </c>
      <c r="H7113" s="270" t="s">
        <v>11925</v>
      </c>
      <c r="I7113" s="270" t="s">
        <v>4108</v>
      </c>
      <c r="J7113" s="270" t="s">
        <v>3928</v>
      </c>
      <c r="K7113" s="270">
        <v>6082</v>
      </c>
      <c r="L7113" s="270">
        <v>480500</v>
      </c>
      <c r="M7113" s="270" t="s">
        <v>3935</v>
      </c>
      <c r="N7113" s="270" t="s">
        <v>3944</v>
      </c>
      <c r="O7113" s="270">
        <v>1217.4100000000001</v>
      </c>
      <c r="P7113" s="270" t="s">
        <v>3944</v>
      </c>
      <c r="Q7113" s="270" t="s">
        <v>3944</v>
      </c>
      <c r="R7113" s="270">
        <v>1217.4100000000001</v>
      </c>
      <c r="S7113" s="270">
        <v>18425.72</v>
      </c>
      <c r="T7113" s="270">
        <v>19643.13</v>
      </c>
      <c r="U7113" s="271" t="s">
        <v>3945</v>
      </c>
      <c r="V7113" s="267" t="s">
        <v>944</v>
      </c>
    </row>
    <row r="7114" spans="1:22" hidden="1" x14ac:dyDescent="0.25">
      <c r="A7114" s="266">
        <v>43791</v>
      </c>
      <c r="B7114" s="267">
        <v>2019</v>
      </c>
      <c r="C7114" s="267">
        <v>2020</v>
      </c>
      <c r="D7114" s="267">
        <v>1</v>
      </c>
      <c r="E7114" s="267">
        <v>1</v>
      </c>
      <c r="F7114" s="267" t="s">
        <v>944</v>
      </c>
      <c r="G7114" s="267" t="s">
        <v>3926</v>
      </c>
      <c r="H7114" s="267" t="s">
        <v>11926</v>
      </c>
      <c r="I7114" s="267" t="s">
        <v>4029</v>
      </c>
      <c r="J7114" s="267" t="s">
        <v>3928</v>
      </c>
      <c r="K7114" s="267">
        <v>6851</v>
      </c>
      <c r="L7114" s="267">
        <v>43400</v>
      </c>
      <c r="M7114" s="267" t="s">
        <v>3935</v>
      </c>
      <c r="N7114" s="267" t="s">
        <v>3944</v>
      </c>
      <c r="O7114" s="267">
        <v>1080.1400000000001</v>
      </c>
      <c r="P7114" s="267" t="s">
        <v>3944</v>
      </c>
      <c r="Q7114" s="267" t="s">
        <v>3944</v>
      </c>
      <c r="R7114" s="267">
        <v>1080.1400000000001</v>
      </c>
      <c r="S7114" s="267">
        <v>10308.86</v>
      </c>
      <c r="T7114" s="267">
        <v>11389</v>
      </c>
      <c r="U7114" s="268" t="s">
        <v>3945</v>
      </c>
      <c r="V7114" s="267" t="s">
        <v>944</v>
      </c>
    </row>
    <row r="7115" spans="1:22" hidden="1" x14ac:dyDescent="0.25">
      <c r="A7115" s="269">
        <v>43791</v>
      </c>
      <c r="B7115" s="270">
        <v>2019</v>
      </c>
      <c r="C7115" s="270">
        <v>2020</v>
      </c>
      <c r="D7115" s="270">
        <v>1</v>
      </c>
      <c r="E7115" s="270">
        <v>1</v>
      </c>
      <c r="F7115" s="270" t="s">
        <v>944</v>
      </c>
      <c r="G7115" s="270" t="s">
        <v>3926</v>
      </c>
      <c r="H7115" s="270" t="s">
        <v>11927</v>
      </c>
      <c r="I7115" s="270" t="s">
        <v>3949</v>
      </c>
      <c r="J7115" s="270" t="s">
        <v>3928</v>
      </c>
      <c r="K7115" s="270">
        <v>6437</v>
      </c>
      <c r="L7115" s="270">
        <v>190100</v>
      </c>
      <c r="M7115" s="270" t="s">
        <v>3960</v>
      </c>
      <c r="N7115" s="270" t="s">
        <v>3944</v>
      </c>
      <c r="O7115" s="270">
        <v>2552.83</v>
      </c>
      <c r="P7115" s="270" t="s">
        <v>3944</v>
      </c>
      <c r="Q7115" s="270" t="s">
        <v>3944</v>
      </c>
      <c r="R7115" s="270">
        <v>2552.83</v>
      </c>
      <c r="S7115" s="270">
        <v>14671.17</v>
      </c>
      <c r="T7115" s="270">
        <v>17224</v>
      </c>
      <c r="U7115" s="271" t="s">
        <v>3945</v>
      </c>
      <c r="V7115" s="267" t="s">
        <v>944</v>
      </c>
    </row>
    <row r="7116" spans="1:22" hidden="1" x14ac:dyDescent="0.25">
      <c r="A7116" s="266">
        <v>43791</v>
      </c>
      <c r="B7116" s="267">
        <v>2019</v>
      </c>
      <c r="C7116" s="267">
        <v>2020</v>
      </c>
      <c r="D7116" s="267">
        <v>1</v>
      </c>
      <c r="E7116" s="267">
        <v>1</v>
      </c>
      <c r="F7116" s="267" t="s">
        <v>944</v>
      </c>
      <c r="G7116" s="267" t="s">
        <v>3926</v>
      </c>
      <c r="H7116" s="267" t="s">
        <v>11928</v>
      </c>
      <c r="I7116" s="267" t="s">
        <v>4042</v>
      </c>
      <c r="J7116" s="267" t="s">
        <v>3928</v>
      </c>
      <c r="K7116" s="267">
        <v>6370</v>
      </c>
      <c r="L7116" s="267">
        <v>695202</v>
      </c>
      <c r="M7116" s="267" t="s">
        <v>3935</v>
      </c>
      <c r="N7116" s="267" t="s">
        <v>3944</v>
      </c>
      <c r="O7116" s="267">
        <v>2167.31</v>
      </c>
      <c r="P7116" s="267" t="s">
        <v>3944</v>
      </c>
      <c r="Q7116" s="267" t="s">
        <v>3944</v>
      </c>
      <c r="R7116" s="267">
        <v>2167.31</v>
      </c>
      <c r="S7116" s="267">
        <v>32790.61</v>
      </c>
      <c r="T7116" s="267">
        <v>34957.919999999998</v>
      </c>
      <c r="U7116" s="268" t="s">
        <v>3945</v>
      </c>
      <c r="V7116" s="267" t="s">
        <v>944</v>
      </c>
    </row>
    <row r="7117" spans="1:22" hidden="1" x14ac:dyDescent="0.25">
      <c r="A7117" s="269">
        <v>43791</v>
      </c>
      <c r="B7117" s="270">
        <v>2019</v>
      </c>
      <c r="C7117" s="270">
        <v>2020</v>
      </c>
      <c r="D7117" s="270">
        <v>1</v>
      </c>
      <c r="E7117" s="270">
        <v>1</v>
      </c>
      <c r="F7117" s="270" t="s">
        <v>944</v>
      </c>
      <c r="G7117" s="270" t="s">
        <v>3926</v>
      </c>
      <c r="H7117" s="270" t="s">
        <v>11929</v>
      </c>
      <c r="I7117" s="270" t="s">
        <v>4019</v>
      </c>
      <c r="J7117" s="270" t="s">
        <v>3928</v>
      </c>
      <c r="K7117" s="270">
        <v>6708</v>
      </c>
      <c r="L7117" s="270">
        <v>351602</v>
      </c>
      <c r="M7117" s="270" t="s">
        <v>3940</v>
      </c>
      <c r="N7117" s="270" t="s">
        <v>3944</v>
      </c>
      <c r="O7117" s="270">
        <v>1947.86</v>
      </c>
      <c r="P7117" s="270" t="s">
        <v>3944</v>
      </c>
      <c r="Q7117" s="270" t="s">
        <v>3944</v>
      </c>
      <c r="R7117" s="270">
        <v>1947.86</v>
      </c>
      <c r="S7117" s="270">
        <v>29108.639999999999</v>
      </c>
      <c r="T7117" s="270">
        <v>31056.5</v>
      </c>
      <c r="U7117" s="271" t="s">
        <v>3945</v>
      </c>
      <c r="V7117" s="267" t="s">
        <v>944</v>
      </c>
    </row>
    <row r="7118" spans="1:22" hidden="1" x14ac:dyDescent="0.25">
      <c r="A7118" s="266">
        <v>43792</v>
      </c>
      <c r="B7118" s="267">
        <v>2019</v>
      </c>
      <c r="C7118" s="267">
        <v>2020</v>
      </c>
      <c r="D7118" s="267">
        <v>1</v>
      </c>
      <c r="E7118" s="267">
        <v>1</v>
      </c>
      <c r="F7118" s="267" t="s">
        <v>944</v>
      </c>
      <c r="G7118" s="267" t="s">
        <v>3926</v>
      </c>
      <c r="H7118" s="267" t="s">
        <v>11930</v>
      </c>
      <c r="I7118" s="267" t="s">
        <v>3956</v>
      </c>
      <c r="J7118" s="267" t="s">
        <v>3928</v>
      </c>
      <c r="K7118" s="267">
        <v>6114</v>
      </c>
      <c r="L7118" s="267">
        <v>502600</v>
      </c>
      <c r="M7118" s="267">
        <v>-60</v>
      </c>
      <c r="N7118" s="267" t="s">
        <v>11931</v>
      </c>
      <c r="O7118" s="267">
        <v>0</v>
      </c>
      <c r="P7118" s="267" t="s">
        <v>3930</v>
      </c>
      <c r="Q7118" s="267" t="s">
        <v>3930</v>
      </c>
      <c r="R7118" s="267">
        <v>0</v>
      </c>
      <c r="S7118" s="267">
        <v>30063</v>
      </c>
      <c r="T7118" s="267">
        <v>30063</v>
      </c>
      <c r="U7118" s="268" t="s">
        <v>3937</v>
      </c>
      <c r="V7118" s="267" t="s">
        <v>944</v>
      </c>
    </row>
    <row r="7119" spans="1:22" hidden="1" x14ac:dyDescent="0.25">
      <c r="A7119" s="269">
        <v>43792</v>
      </c>
      <c r="B7119" s="270">
        <v>2019</v>
      </c>
      <c r="C7119" s="270">
        <v>2020</v>
      </c>
      <c r="D7119" s="270">
        <v>1</v>
      </c>
      <c r="E7119" s="270">
        <v>1</v>
      </c>
      <c r="F7119" s="270" t="s">
        <v>944</v>
      </c>
      <c r="G7119" s="270" t="s">
        <v>3997</v>
      </c>
      <c r="H7119" s="270" t="s">
        <v>11932</v>
      </c>
      <c r="I7119" s="270" t="s">
        <v>4016</v>
      </c>
      <c r="J7119" s="270" t="s">
        <v>3928</v>
      </c>
      <c r="K7119" s="270">
        <v>6770</v>
      </c>
      <c r="L7119" s="270">
        <v>345201</v>
      </c>
      <c r="M7119" s="270" t="s">
        <v>3935</v>
      </c>
      <c r="N7119" s="270" t="s">
        <v>8223</v>
      </c>
      <c r="O7119" s="270">
        <v>857.36</v>
      </c>
      <c r="P7119" s="270" t="s">
        <v>3930</v>
      </c>
      <c r="Q7119" s="270" t="s">
        <v>3931</v>
      </c>
      <c r="R7119" s="270">
        <v>5857.36</v>
      </c>
      <c r="S7119" s="270">
        <v>12702.4</v>
      </c>
      <c r="T7119" s="270">
        <v>18559.759999999998</v>
      </c>
      <c r="U7119" s="271" t="s">
        <v>3932</v>
      </c>
      <c r="V7119" s="267" t="s">
        <v>944</v>
      </c>
    </row>
    <row r="7120" spans="1:22" hidden="1" x14ac:dyDescent="0.25">
      <c r="A7120" s="266">
        <v>43792</v>
      </c>
      <c r="B7120" s="267">
        <v>2019</v>
      </c>
      <c r="C7120" s="267">
        <v>2020</v>
      </c>
      <c r="D7120" s="267">
        <v>1</v>
      </c>
      <c r="E7120" s="267">
        <v>1</v>
      </c>
      <c r="F7120" s="267" t="s">
        <v>944</v>
      </c>
      <c r="G7120" s="267" t="s">
        <v>3926</v>
      </c>
      <c r="H7120" s="267" t="s">
        <v>11933</v>
      </c>
      <c r="I7120" s="267" t="s">
        <v>4392</v>
      </c>
      <c r="J7120" s="267" t="s">
        <v>3928</v>
      </c>
      <c r="K7120" s="267">
        <v>6457</v>
      </c>
      <c r="L7120" s="267">
        <v>542000</v>
      </c>
      <c r="M7120" s="267" t="s">
        <v>3935</v>
      </c>
      <c r="N7120" s="267" t="s">
        <v>11934</v>
      </c>
      <c r="O7120" s="267">
        <v>1384.15</v>
      </c>
      <c r="P7120" s="267" t="s">
        <v>3930</v>
      </c>
      <c r="Q7120" s="267" t="s">
        <v>3931</v>
      </c>
      <c r="R7120" s="267">
        <v>6384.15</v>
      </c>
      <c r="S7120" s="267">
        <v>21288</v>
      </c>
      <c r="T7120" s="267">
        <v>27672.15</v>
      </c>
      <c r="U7120" s="268" t="s">
        <v>3932</v>
      </c>
      <c r="V7120" s="267" t="s">
        <v>944</v>
      </c>
    </row>
    <row r="7121" spans="1:22" x14ac:dyDescent="0.25">
      <c r="A7121" s="269">
        <v>43792</v>
      </c>
      <c r="B7121" s="270">
        <v>2019</v>
      </c>
      <c r="C7121" s="270">
        <v>2020</v>
      </c>
      <c r="D7121" s="270">
        <v>1</v>
      </c>
      <c r="E7121" s="270">
        <v>1</v>
      </c>
      <c r="F7121" s="270" t="s">
        <v>944</v>
      </c>
      <c r="G7121" s="270" t="s">
        <v>3997</v>
      </c>
      <c r="H7121" s="270" t="s">
        <v>11935</v>
      </c>
      <c r="I7121" s="270" t="s">
        <v>934</v>
      </c>
      <c r="J7121" s="270" t="s">
        <v>3928</v>
      </c>
      <c r="K7121" s="270">
        <v>6610</v>
      </c>
      <c r="L7121" s="270">
        <v>73100</v>
      </c>
      <c r="M7121" s="270">
        <v>-60</v>
      </c>
      <c r="N7121" s="270" t="s">
        <v>4053</v>
      </c>
      <c r="O7121" s="270">
        <v>1236.69</v>
      </c>
      <c r="P7121" s="270" t="s">
        <v>3930</v>
      </c>
      <c r="Q7121" s="270" t="s">
        <v>3931</v>
      </c>
      <c r="R7121" s="270">
        <v>6236.69</v>
      </c>
      <c r="S7121" s="270">
        <v>18603.2</v>
      </c>
      <c r="T7121" s="270">
        <v>24839.89</v>
      </c>
      <c r="U7121" s="271" t="s">
        <v>3932</v>
      </c>
      <c r="V7121" s="276" t="s">
        <v>936</v>
      </c>
    </row>
    <row r="7122" spans="1:22" hidden="1" x14ac:dyDescent="0.25">
      <c r="A7122" s="266">
        <v>43792</v>
      </c>
      <c r="B7122" s="267">
        <v>2019</v>
      </c>
      <c r="C7122" s="267">
        <v>2020</v>
      </c>
      <c r="D7122" s="267">
        <v>1</v>
      </c>
      <c r="E7122" s="267">
        <v>1</v>
      </c>
      <c r="F7122" s="267" t="s">
        <v>944</v>
      </c>
      <c r="G7122" s="267" t="s">
        <v>3926</v>
      </c>
      <c r="H7122" s="267" t="s">
        <v>11936</v>
      </c>
      <c r="I7122" s="267" t="s">
        <v>4594</v>
      </c>
      <c r="J7122" s="267" t="s">
        <v>3928</v>
      </c>
      <c r="K7122" s="267">
        <v>6488</v>
      </c>
      <c r="L7122" s="267">
        <v>348122</v>
      </c>
      <c r="M7122" s="267" t="s">
        <v>3943</v>
      </c>
      <c r="N7122" s="267" t="s">
        <v>3944</v>
      </c>
      <c r="O7122" s="267">
        <v>4031</v>
      </c>
      <c r="P7122" s="267" t="s">
        <v>3944</v>
      </c>
      <c r="Q7122" s="267" t="s">
        <v>3944</v>
      </c>
      <c r="R7122" s="267">
        <v>4031</v>
      </c>
      <c r="S7122" s="267">
        <v>21295</v>
      </c>
      <c r="T7122" s="267">
        <v>25326</v>
      </c>
      <c r="U7122" s="268" t="s">
        <v>3945</v>
      </c>
      <c r="V7122" s="267" t="s">
        <v>944</v>
      </c>
    </row>
    <row r="7123" spans="1:22" hidden="1" x14ac:dyDescent="0.25">
      <c r="A7123" s="269">
        <v>43792</v>
      </c>
      <c r="B7123" s="270">
        <v>2019</v>
      </c>
      <c r="C7123" s="270">
        <v>2020</v>
      </c>
      <c r="D7123" s="270">
        <v>1</v>
      </c>
      <c r="E7123" s="270">
        <v>1</v>
      </c>
      <c r="F7123" s="270" t="s">
        <v>944</v>
      </c>
      <c r="G7123" s="270" t="s">
        <v>3926</v>
      </c>
      <c r="H7123" s="270" t="s">
        <v>11937</v>
      </c>
      <c r="I7123" s="270" t="s">
        <v>4119</v>
      </c>
      <c r="J7123" s="270" t="s">
        <v>3928</v>
      </c>
      <c r="K7123" s="270">
        <v>6078</v>
      </c>
      <c r="L7123" s="270">
        <v>477101</v>
      </c>
      <c r="M7123" s="270" t="s">
        <v>3943</v>
      </c>
      <c r="N7123" s="270" t="s">
        <v>3944</v>
      </c>
      <c r="O7123" s="270">
        <v>3856</v>
      </c>
      <c r="P7123" s="270" t="s">
        <v>3944</v>
      </c>
      <c r="Q7123" s="270" t="s">
        <v>3944</v>
      </c>
      <c r="R7123" s="270">
        <v>3856</v>
      </c>
      <c r="S7123" s="270">
        <v>26817</v>
      </c>
      <c r="T7123" s="270">
        <v>30673</v>
      </c>
      <c r="U7123" s="271" t="s">
        <v>3945</v>
      </c>
      <c r="V7123" s="267" t="s">
        <v>944</v>
      </c>
    </row>
    <row r="7124" spans="1:22" hidden="1" x14ac:dyDescent="0.25">
      <c r="A7124" s="266">
        <v>43792</v>
      </c>
      <c r="B7124" s="267">
        <v>2019</v>
      </c>
      <c r="C7124" s="267">
        <v>2020</v>
      </c>
      <c r="D7124" s="267">
        <v>1</v>
      </c>
      <c r="E7124" s="267">
        <v>1</v>
      </c>
      <c r="F7124" s="267" t="s">
        <v>944</v>
      </c>
      <c r="G7124" s="267" t="s">
        <v>3926</v>
      </c>
      <c r="H7124" s="267" t="s">
        <v>11938</v>
      </c>
      <c r="I7124" s="267" t="s">
        <v>4621</v>
      </c>
      <c r="J7124" s="267" t="s">
        <v>3928</v>
      </c>
      <c r="K7124" s="267">
        <v>6443</v>
      </c>
      <c r="L7124" s="267">
        <v>194100</v>
      </c>
      <c r="M7124" s="267" t="s">
        <v>3935</v>
      </c>
      <c r="N7124" s="267" t="s">
        <v>3944</v>
      </c>
      <c r="O7124" s="267">
        <v>3661</v>
      </c>
      <c r="P7124" s="267" t="s">
        <v>3944</v>
      </c>
      <c r="Q7124" s="267" t="s">
        <v>3944</v>
      </c>
      <c r="R7124" s="267">
        <v>3661</v>
      </c>
      <c r="S7124" s="267">
        <v>16567</v>
      </c>
      <c r="T7124" s="267">
        <v>20228</v>
      </c>
      <c r="U7124" s="268" t="s">
        <v>3945</v>
      </c>
      <c r="V7124" s="267" t="s">
        <v>944</v>
      </c>
    </row>
    <row r="7125" spans="1:22" hidden="1" x14ac:dyDescent="0.25">
      <c r="A7125" s="269">
        <v>43792</v>
      </c>
      <c r="B7125" s="270">
        <v>2019</v>
      </c>
      <c r="C7125" s="270">
        <v>2020</v>
      </c>
      <c r="D7125" s="270">
        <v>1</v>
      </c>
      <c r="E7125" s="270">
        <v>1</v>
      </c>
      <c r="F7125" s="270" t="s">
        <v>944</v>
      </c>
      <c r="G7125" s="270" t="s">
        <v>3926</v>
      </c>
      <c r="H7125" s="270" t="s">
        <v>11939</v>
      </c>
      <c r="I7125" s="270" t="s">
        <v>4248</v>
      </c>
      <c r="J7125" s="270" t="s">
        <v>3928</v>
      </c>
      <c r="K7125" s="270">
        <v>6076</v>
      </c>
      <c r="L7125" s="270">
        <v>890201</v>
      </c>
      <c r="M7125" s="270" t="s">
        <v>3960</v>
      </c>
      <c r="N7125" s="270" t="s">
        <v>3944</v>
      </c>
      <c r="O7125" s="270">
        <v>1962</v>
      </c>
      <c r="P7125" s="270" t="s">
        <v>3944</v>
      </c>
      <c r="Q7125" s="270" t="s">
        <v>3944</v>
      </c>
      <c r="R7125" s="270">
        <v>1962</v>
      </c>
      <c r="S7125" s="270">
        <v>14519</v>
      </c>
      <c r="T7125" s="270">
        <v>16481</v>
      </c>
      <c r="U7125" s="271" t="s">
        <v>3945</v>
      </c>
      <c r="V7125" s="267" t="s">
        <v>944</v>
      </c>
    </row>
    <row r="7126" spans="1:22" hidden="1" x14ac:dyDescent="0.25">
      <c r="A7126" s="266">
        <v>43792</v>
      </c>
      <c r="B7126" s="267">
        <v>2019</v>
      </c>
      <c r="C7126" s="267">
        <v>2020</v>
      </c>
      <c r="D7126" s="267">
        <v>1</v>
      </c>
      <c r="E7126" s="267">
        <v>1</v>
      </c>
      <c r="F7126" s="267" t="s">
        <v>944</v>
      </c>
      <c r="G7126" s="267" t="s">
        <v>3926</v>
      </c>
      <c r="H7126" s="267" t="s">
        <v>11940</v>
      </c>
      <c r="I7126" s="267" t="s">
        <v>3954</v>
      </c>
      <c r="J7126" s="267" t="s">
        <v>3928</v>
      </c>
      <c r="K7126" s="267">
        <v>6357</v>
      </c>
      <c r="L7126" s="267">
        <v>870704</v>
      </c>
      <c r="M7126" s="267" t="s">
        <v>3935</v>
      </c>
      <c r="N7126" s="267" t="s">
        <v>3944</v>
      </c>
      <c r="O7126" s="267">
        <v>4065</v>
      </c>
      <c r="P7126" s="267" t="s">
        <v>3944</v>
      </c>
      <c r="Q7126" s="267" t="s">
        <v>3944</v>
      </c>
      <c r="R7126" s="267">
        <v>4065</v>
      </c>
      <c r="S7126" s="267">
        <v>27228.9</v>
      </c>
      <c r="T7126" s="267">
        <v>31293.9</v>
      </c>
      <c r="U7126" s="268" t="s">
        <v>3945</v>
      </c>
      <c r="V7126" s="267" t="s">
        <v>944</v>
      </c>
    </row>
    <row r="7127" spans="1:22" hidden="1" x14ac:dyDescent="0.25">
      <c r="A7127" s="269">
        <v>43792</v>
      </c>
      <c r="B7127" s="270">
        <v>2019</v>
      </c>
      <c r="C7127" s="270">
        <v>2020</v>
      </c>
      <c r="D7127" s="270">
        <v>1</v>
      </c>
      <c r="E7127" s="270">
        <v>1</v>
      </c>
      <c r="F7127" s="270" t="s">
        <v>944</v>
      </c>
      <c r="G7127" s="270" t="s">
        <v>3926</v>
      </c>
      <c r="H7127" s="270" t="s">
        <v>11941</v>
      </c>
      <c r="I7127" s="270" t="s">
        <v>4011</v>
      </c>
      <c r="J7127" s="270" t="s">
        <v>3928</v>
      </c>
      <c r="K7127" s="270">
        <v>6002</v>
      </c>
      <c r="L7127" s="270">
        <v>471400</v>
      </c>
      <c r="M7127" s="270" t="s">
        <v>3943</v>
      </c>
      <c r="N7127" s="270" t="s">
        <v>3944</v>
      </c>
      <c r="O7127" s="270">
        <v>3594</v>
      </c>
      <c r="P7127" s="270" t="s">
        <v>3944</v>
      </c>
      <c r="Q7127" s="270" t="s">
        <v>3944</v>
      </c>
      <c r="R7127" s="270">
        <v>3594</v>
      </c>
      <c r="S7127" s="270">
        <v>28392</v>
      </c>
      <c r="T7127" s="270">
        <v>31986</v>
      </c>
      <c r="U7127" s="271" t="s">
        <v>3945</v>
      </c>
      <c r="V7127" s="267" t="s">
        <v>944</v>
      </c>
    </row>
    <row r="7128" spans="1:22" hidden="1" x14ac:dyDescent="0.25">
      <c r="A7128" s="266">
        <v>43792</v>
      </c>
      <c r="B7128" s="267">
        <v>2019</v>
      </c>
      <c r="C7128" s="267">
        <v>2020</v>
      </c>
      <c r="D7128" s="267">
        <v>1</v>
      </c>
      <c r="E7128" s="267">
        <v>1</v>
      </c>
      <c r="F7128" s="267" t="s">
        <v>944</v>
      </c>
      <c r="G7128" s="267" t="s">
        <v>3926</v>
      </c>
      <c r="H7128" s="267" t="s">
        <v>11942</v>
      </c>
      <c r="I7128" s="267" t="s">
        <v>4087</v>
      </c>
      <c r="J7128" s="267" t="s">
        <v>3928</v>
      </c>
      <c r="K7128" s="267">
        <v>6355</v>
      </c>
      <c r="L7128" s="267">
        <v>703000</v>
      </c>
      <c r="M7128" s="267" t="s">
        <v>3960</v>
      </c>
      <c r="N7128" s="267" t="s">
        <v>3944</v>
      </c>
      <c r="O7128" s="267">
        <v>2412</v>
      </c>
      <c r="P7128" s="267" t="s">
        <v>3944</v>
      </c>
      <c r="Q7128" s="267" t="s">
        <v>3944</v>
      </c>
      <c r="R7128" s="267">
        <v>2412</v>
      </c>
      <c r="S7128" s="267">
        <v>17196</v>
      </c>
      <c r="T7128" s="267">
        <v>19608</v>
      </c>
      <c r="U7128" s="268" t="s">
        <v>3945</v>
      </c>
      <c r="V7128" s="267" t="s">
        <v>944</v>
      </c>
    </row>
    <row r="7129" spans="1:22" hidden="1" x14ac:dyDescent="0.25">
      <c r="A7129" s="269">
        <v>43792</v>
      </c>
      <c r="B7129" s="270">
        <v>2019</v>
      </c>
      <c r="C7129" s="270">
        <v>2020</v>
      </c>
      <c r="D7129" s="270">
        <v>1</v>
      </c>
      <c r="E7129" s="270">
        <v>1</v>
      </c>
      <c r="F7129" s="270" t="s">
        <v>944</v>
      </c>
      <c r="G7129" s="270" t="s">
        <v>3926</v>
      </c>
      <c r="H7129" s="270" t="s">
        <v>11943</v>
      </c>
      <c r="I7129" s="270" t="s">
        <v>953</v>
      </c>
      <c r="J7129" s="270" t="s">
        <v>3928</v>
      </c>
      <c r="K7129" s="270">
        <v>6518</v>
      </c>
      <c r="L7129" s="270">
        <v>165900</v>
      </c>
      <c r="M7129" s="270" t="s">
        <v>3943</v>
      </c>
      <c r="N7129" s="270" t="s">
        <v>3944</v>
      </c>
      <c r="O7129" s="270">
        <v>4973</v>
      </c>
      <c r="P7129" s="270" t="s">
        <v>3944</v>
      </c>
      <c r="Q7129" s="270" t="s">
        <v>3944</v>
      </c>
      <c r="R7129" s="270">
        <v>4973</v>
      </c>
      <c r="S7129" s="270">
        <v>70547</v>
      </c>
      <c r="T7129" s="270">
        <v>75520</v>
      </c>
      <c r="U7129" s="271" t="s">
        <v>3945</v>
      </c>
      <c r="V7129" s="267" t="s">
        <v>944</v>
      </c>
    </row>
    <row r="7130" spans="1:22" hidden="1" x14ac:dyDescent="0.25">
      <c r="A7130" s="266">
        <v>43792</v>
      </c>
      <c r="B7130" s="267">
        <v>2019</v>
      </c>
      <c r="C7130" s="267">
        <v>2020</v>
      </c>
      <c r="D7130" s="267">
        <v>1</v>
      </c>
      <c r="E7130" s="267">
        <v>1</v>
      </c>
      <c r="F7130" s="267" t="s">
        <v>944</v>
      </c>
      <c r="G7130" s="267" t="s">
        <v>3926</v>
      </c>
      <c r="H7130" s="267" t="s">
        <v>11944</v>
      </c>
      <c r="I7130" s="267" t="s">
        <v>4019</v>
      </c>
      <c r="J7130" s="267" t="s">
        <v>3928</v>
      </c>
      <c r="K7130" s="267">
        <v>6708</v>
      </c>
      <c r="L7130" s="267">
        <v>351602</v>
      </c>
      <c r="M7130" s="267" t="s">
        <v>3940</v>
      </c>
      <c r="N7130" s="267" t="s">
        <v>3944</v>
      </c>
      <c r="O7130" s="267">
        <v>1482.88</v>
      </c>
      <c r="P7130" s="267" t="s">
        <v>3944</v>
      </c>
      <c r="Q7130" s="267" t="s">
        <v>3944</v>
      </c>
      <c r="R7130" s="267">
        <v>1482.88</v>
      </c>
      <c r="S7130" s="267">
        <v>19121.900000000001</v>
      </c>
      <c r="T7130" s="267">
        <v>20604.78</v>
      </c>
      <c r="U7130" s="268" t="s">
        <v>3945</v>
      </c>
      <c r="V7130" s="267" t="s">
        <v>944</v>
      </c>
    </row>
    <row r="7131" spans="1:22" hidden="1" x14ac:dyDescent="0.25">
      <c r="A7131" s="269">
        <v>43792</v>
      </c>
      <c r="B7131" s="270">
        <v>2019</v>
      </c>
      <c r="C7131" s="270">
        <v>2020</v>
      </c>
      <c r="D7131" s="270">
        <v>1</v>
      </c>
      <c r="E7131" s="270">
        <v>1</v>
      </c>
      <c r="F7131" s="270" t="s">
        <v>944</v>
      </c>
      <c r="G7131" s="270" t="s">
        <v>3926</v>
      </c>
      <c r="H7131" s="270" t="s">
        <v>11945</v>
      </c>
      <c r="I7131" s="270" t="s">
        <v>4111</v>
      </c>
      <c r="J7131" s="270" t="s">
        <v>3928</v>
      </c>
      <c r="K7131" s="270">
        <v>6095</v>
      </c>
      <c r="L7131" s="270">
        <v>473502</v>
      </c>
      <c r="M7131" s="270" t="s">
        <v>3960</v>
      </c>
      <c r="N7131" s="270" t="s">
        <v>3944</v>
      </c>
      <c r="O7131" s="270">
        <v>1655.64</v>
      </c>
      <c r="P7131" s="270" t="s">
        <v>3944</v>
      </c>
      <c r="Q7131" s="270" t="s">
        <v>3944</v>
      </c>
      <c r="R7131" s="270">
        <v>1655.64</v>
      </c>
      <c r="S7131" s="270">
        <v>23571.45</v>
      </c>
      <c r="T7131" s="270">
        <v>25227.09</v>
      </c>
      <c r="U7131" s="271" t="s">
        <v>3945</v>
      </c>
      <c r="V7131" s="267" t="s">
        <v>944</v>
      </c>
    </row>
    <row r="7132" spans="1:22" hidden="1" x14ac:dyDescent="0.25">
      <c r="A7132" s="266">
        <v>43792</v>
      </c>
      <c r="B7132" s="267">
        <v>2019</v>
      </c>
      <c r="C7132" s="267">
        <v>2020</v>
      </c>
      <c r="D7132" s="267">
        <v>1</v>
      </c>
      <c r="E7132" s="267">
        <v>1</v>
      </c>
      <c r="F7132" s="267" t="s">
        <v>944</v>
      </c>
      <c r="G7132" s="267" t="s">
        <v>3926</v>
      </c>
      <c r="H7132" s="267" t="s">
        <v>11946</v>
      </c>
      <c r="I7132" s="267" t="s">
        <v>3956</v>
      </c>
      <c r="J7132" s="267" t="s">
        <v>3928</v>
      </c>
      <c r="K7132" s="267">
        <v>6120</v>
      </c>
      <c r="L7132" s="267">
        <v>524400</v>
      </c>
      <c r="M7132" s="267">
        <v>-60</v>
      </c>
      <c r="N7132" s="267" t="s">
        <v>3944</v>
      </c>
      <c r="O7132" s="267">
        <v>2569.42</v>
      </c>
      <c r="P7132" s="267" t="s">
        <v>3944</v>
      </c>
      <c r="Q7132" s="267" t="s">
        <v>3944</v>
      </c>
      <c r="R7132" s="267">
        <v>2569.42</v>
      </c>
      <c r="S7132" s="267">
        <v>31609.34</v>
      </c>
      <c r="T7132" s="267">
        <v>34178.76</v>
      </c>
      <c r="U7132" s="268" t="s">
        <v>3945</v>
      </c>
      <c r="V7132" s="267" t="s">
        <v>944</v>
      </c>
    </row>
    <row r="7133" spans="1:22" hidden="1" x14ac:dyDescent="0.25">
      <c r="A7133" s="269">
        <v>43792</v>
      </c>
      <c r="B7133" s="270">
        <v>2019</v>
      </c>
      <c r="C7133" s="270">
        <v>2020</v>
      </c>
      <c r="D7133" s="270">
        <v>1</v>
      </c>
      <c r="E7133" s="270">
        <v>1</v>
      </c>
      <c r="F7133" s="270" t="s">
        <v>944</v>
      </c>
      <c r="G7133" s="270" t="s">
        <v>3926</v>
      </c>
      <c r="H7133" s="270" t="s">
        <v>11947</v>
      </c>
      <c r="I7133" s="270" t="s">
        <v>956</v>
      </c>
      <c r="J7133" s="270" t="s">
        <v>3928</v>
      </c>
      <c r="K7133" s="270">
        <v>6614</v>
      </c>
      <c r="L7133" s="270">
        <v>81200</v>
      </c>
      <c r="M7133" s="270" t="s">
        <v>3943</v>
      </c>
      <c r="N7133" s="270" t="s">
        <v>3944</v>
      </c>
      <c r="O7133" s="270">
        <v>1574.34</v>
      </c>
      <c r="P7133" s="270" t="s">
        <v>3944</v>
      </c>
      <c r="Q7133" s="270" t="s">
        <v>3944</v>
      </c>
      <c r="R7133" s="270">
        <v>1574.34</v>
      </c>
      <c r="S7133" s="270">
        <v>26998.14</v>
      </c>
      <c r="T7133" s="270">
        <v>28572.48</v>
      </c>
      <c r="U7133" s="271" t="s">
        <v>3945</v>
      </c>
      <c r="V7133" s="267" t="s">
        <v>944</v>
      </c>
    </row>
    <row r="7134" spans="1:22" hidden="1" x14ac:dyDescent="0.25">
      <c r="A7134" s="266">
        <v>43792</v>
      </c>
      <c r="B7134" s="267">
        <v>2019</v>
      </c>
      <c r="C7134" s="267">
        <v>2020</v>
      </c>
      <c r="D7134" s="267">
        <v>1</v>
      </c>
      <c r="E7134" s="267">
        <v>1</v>
      </c>
      <c r="F7134" s="267" t="s">
        <v>944</v>
      </c>
      <c r="G7134" s="267" t="s">
        <v>3926</v>
      </c>
      <c r="H7134" s="267" t="s">
        <v>11948</v>
      </c>
      <c r="I7134" s="267" t="s">
        <v>3934</v>
      </c>
      <c r="J7134" s="267" t="s">
        <v>3928</v>
      </c>
      <c r="K7134" s="267">
        <v>6405</v>
      </c>
      <c r="L7134" s="267">
        <v>184500</v>
      </c>
      <c r="M7134" s="267" t="s">
        <v>3935</v>
      </c>
      <c r="N7134" s="267" t="s">
        <v>3944</v>
      </c>
      <c r="O7134" s="267">
        <v>814.87</v>
      </c>
      <c r="P7134" s="267" t="s">
        <v>3944</v>
      </c>
      <c r="Q7134" s="267" t="s">
        <v>3944</v>
      </c>
      <c r="R7134" s="267">
        <v>814.87</v>
      </c>
      <c r="S7134" s="267">
        <v>12942.25</v>
      </c>
      <c r="T7134" s="267">
        <v>13757.12</v>
      </c>
      <c r="U7134" s="268" t="s">
        <v>3945</v>
      </c>
      <c r="V7134" s="267" t="s">
        <v>944</v>
      </c>
    </row>
    <row r="7135" spans="1:22" hidden="1" x14ac:dyDescent="0.25">
      <c r="A7135" s="269">
        <v>43792</v>
      </c>
      <c r="B7135" s="270">
        <v>2019</v>
      </c>
      <c r="C7135" s="270">
        <v>2020</v>
      </c>
      <c r="D7135" s="270">
        <v>1</v>
      </c>
      <c r="E7135" s="270">
        <v>1</v>
      </c>
      <c r="F7135" s="270" t="s">
        <v>944</v>
      </c>
      <c r="G7135" s="270" t="s">
        <v>3926</v>
      </c>
      <c r="H7135" s="270" t="s">
        <v>11949</v>
      </c>
      <c r="I7135" s="270" t="s">
        <v>953</v>
      </c>
      <c r="J7135" s="270" t="s">
        <v>3928</v>
      </c>
      <c r="K7135" s="270">
        <v>6514</v>
      </c>
      <c r="L7135" s="270">
        <v>165700</v>
      </c>
      <c r="M7135" s="270" t="s">
        <v>3935</v>
      </c>
      <c r="N7135" s="270" t="s">
        <v>3944</v>
      </c>
      <c r="O7135" s="270">
        <v>1460.06</v>
      </c>
      <c r="P7135" s="270" t="s">
        <v>3944</v>
      </c>
      <c r="Q7135" s="270" t="s">
        <v>3944</v>
      </c>
      <c r="R7135" s="270">
        <v>1460.06</v>
      </c>
      <c r="S7135" s="270">
        <v>24995.94</v>
      </c>
      <c r="T7135" s="270">
        <v>26456</v>
      </c>
      <c r="U7135" s="271" t="s">
        <v>3945</v>
      </c>
      <c r="V7135" s="267" t="s">
        <v>944</v>
      </c>
    </row>
    <row r="7136" spans="1:22" hidden="1" x14ac:dyDescent="0.25">
      <c r="A7136" s="266">
        <v>43793</v>
      </c>
      <c r="B7136" s="267">
        <v>2019</v>
      </c>
      <c r="C7136" s="267">
        <v>2020</v>
      </c>
      <c r="D7136" s="267">
        <v>1</v>
      </c>
      <c r="E7136" s="267">
        <v>1</v>
      </c>
      <c r="F7136" s="267" t="s">
        <v>944</v>
      </c>
      <c r="G7136" s="267" t="s">
        <v>3926</v>
      </c>
      <c r="H7136" s="267" t="s">
        <v>11950</v>
      </c>
      <c r="I7136" s="267" t="s">
        <v>4232</v>
      </c>
      <c r="J7136" s="267" t="s">
        <v>3928</v>
      </c>
      <c r="K7136" s="267">
        <v>6483</v>
      </c>
      <c r="L7136" s="267">
        <v>130102</v>
      </c>
      <c r="M7136" s="267" t="s">
        <v>3935</v>
      </c>
      <c r="N7136" s="267" t="s">
        <v>4701</v>
      </c>
      <c r="O7136" s="267">
        <v>2209.59</v>
      </c>
      <c r="P7136" s="267" t="s">
        <v>3930</v>
      </c>
      <c r="Q7136" s="267" t="s">
        <v>3931</v>
      </c>
      <c r="R7136" s="267">
        <v>7209.59</v>
      </c>
      <c r="S7136" s="267">
        <v>34648</v>
      </c>
      <c r="T7136" s="267">
        <v>41857.589999999997</v>
      </c>
      <c r="U7136" s="268" t="s">
        <v>3932</v>
      </c>
      <c r="V7136" s="267" t="s">
        <v>944</v>
      </c>
    </row>
    <row r="7137" spans="1:22" hidden="1" x14ac:dyDescent="0.25">
      <c r="A7137" s="269">
        <v>43793</v>
      </c>
      <c r="B7137" s="270">
        <v>2019</v>
      </c>
      <c r="C7137" s="270">
        <v>2020</v>
      </c>
      <c r="D7137" s="270">
        <v>1</v>
      </c>
      <c r="E7137" s="270">
        <v>1</v>
      </c>
      <c r="F7137" s="270" t="s">
        <v>944</v>
      </c>
      <c r="G7137" s="270" t="s">
        <v>3926</v>
      </c>
      <c r="H7137" s="270" t="s">
        <v>11951</v>
      </c>
      <c r="I7137" s="270" t="s">
        <v>3010</v>
      </c>
      <c r="J7137" s="270" t="s">
        <v>3928</v>
      </c>
      <c r="K7137" s="270">
        <v>6401</v>
      </c>
      <c r="L7137" s="270">
        <v>125100</v>
      </c>
      <c r="M7137" s="270" t="s">
        <v>3960</v>
      </c>
      <c r="N7137" s="270" t="s">
        <v>4523</v>
      </c>
      <c r="O7137" s="270">
        <v>1917.79</v>
      </c>
      <c r="P7137" s="270" t="s">
        <v>3930</v>
      </c>
      <c r="Q7137" s="270" t="s">
        <v>3931</v>
      </c>
      <c r="R7137" s="270">
        <v>6917.79</v>
      </c>
      <c r="S7137" s="270">
        <v>25412.799999999999</v>
      </c>
      <c r="T7137" s="270">
        <v>32330.59</v>
      </c>
      <c r="U7137" s="271" t="s">
        <v>3932</v>
      </c>
      <c r="V7137" s="267" t="s">
        <v>944</v>
      </c>
    </row>
    <row r="7138" spans="1:22" hidden="1" x14ac:dyDescent="0.25">
      <c r="A7138" s="266">
        <v>43793</v>
      </c>
      <c r="B7138" s="267">
        <v>2019</v>
      </c>
      <c r="C7138" s="267">
        <v>2020</v>
      </c>
      <c r="D7138" s="267">
        <v>1</v>
      </c>
      <c r="E7138" s="267">
        <v>1</v>
      </c>
      <c r="F7138" s="267" t="s">
        <v>944</v>
      </c>
      <c r="G7138" s="267" t="s">
        <v>3926</v>
      </c>
      <c r="H7138" s="267" t="s">
        <v>11952</v>
      </c>
      <c r="I7138" s="267" t="s">
        <v>4947</v>
      </c>
      <c r="J7138" s="267" t="s">
        <v>3928</v>
      </c>
      <c r="K7138" s="267">
        <v>6787</v>
      </c>
      <c r="L7138" s="267">
        <v>349200</v>
      </c>
      <c r="M7138" s="267" t="s">
        <v>3940</v>
      </c>
      <c r="N7138" s="267" t="s">
        <v>3944</v>
      </c>
      <c r="O7138" s="267">
        <v>2770</v>
      </c>
      <c r="P7138" s="267" t="s">
        <v>3944</v>
      </c>
      <c r="Q7138" s="267" t="s">
        <v>3944</v>
      </c>
      <c r="R7138" s="267">
        <v>2770</v>
      </c>
      <c r="S7138" s="267">
        <v>29881.45</v>
      </c>
      <c r="T7138" s="267">
        <v>32651.45</v>
      </c>
      <c r="U7138" s="268" t="s">
        <v>3945</v>
      </c>
      <c r="V7138" s="267" t="s">
        <v>944</v>
      </c>
    </row>
    <row r="7139" spans="1:22" hidden="1" x14ac:dyDescent="0.25">
      <c r="A7139" s="269">
        <v>43793</v>
      </c>
      <c r="B7139" s="270">
        <v>2019</v>
      </c>
      <c r="C7139" s="270">
        <v>2020</v>
      </c>
      <c r="D7139" s="270">
        <v>1</v>
      </c>
      <c r="E7139" s="270">
        <v>1</v>
      </c>
      <c r="F7139" s="270" t="s">
        <v>944</v>
      </c>
      <c r="G7139" s="270" t="s">
        <v>3926</v>
      </c>
      <c r="H7139" s="270" t="s">
        <v>11953</v>
      </c>
      <c r="I7139" s="270" t="s">
        <v>4392</v>
      </c>
      <c r="J7139" s="270" t="s">
        <v>3928</v>
      </c>
      <c r="K7139" s="270">
        <v>6457</v>
      </c>
      <c r="L7139" s="270">
        <v>542100</v>
      </c>
      <c r="M7139" s="270" t="s">
        <v>3940</v>
      </c>
      <c r="N7139" s="270" t="s">
        <v>3944</v>
      </c>
      <c r="O7139" s="270">
        <v>1321.95</v>
      </c>
      <c r="P7139" s="270" t="s">
        <v>3944</v>
      </c>
      <c r="Q7139" s="270" t="s">
        <v>3944</v>
      </c>
      <c r="R7139" s="270">
        <v>1321.95</v>
      </c>
      <c r="S7139" s="270">
        <v>17326.05</v>
      </c>
      <c r="T7139" s="270">
        <v>18648</v>
      </c>
      <c r="U7139" s="271" t="s">
        <v>3945</v>
      </c>
      <c r="V7139" s="267" t="s">
        <v>944</v>
      </c>
    </row>
    <row r="7140" spans="1:22" hidden="1" x14ac:dyDescent="0.25">
      <c r="A7140" s="266">
        <v>43793</v>
      </c>
      <c r="B7140" s="267">
        <v>2019</v>
      </c>
      <c r="C7140" s="267">
        <v>2020</v>
      </c>
      <c r="D7140" s="267">
        <v>1</v>
      </c>
      <c r="E7140" s="267">
        <v>1</v>
      </c>
      <c r="F7140" s="267" t="s">
        <v>944</v>
      </c>
      <c r="G7140" s="267" t="s">
        <v>3926</v>
      </c>
      <c r="H7140" s="267" t="s">
        <v>11954</v>
      </c>
      <c r="I7140" s="267" t="s">
        <v>3954</v>
      </c>
      <c r="J7140" s="267" t="s">
        <v>3928</v>
      </c>
      <c r="K7140" s="267">
        <v>6357</v>
      </c>
      <c r="L7140" s="267">
        <v>870701</v>
      </c>
      <c r="M7140" s="267" t="s">
        <v>3960</v>
      </c>
      <c r="N7140" s="267" t="s">
        <v>3944</v>
      </c>
      <c r="O7140" s="267">
        <v>1124.9000000000001</v>
      </c>
      <c r="P7140" s="267" t="s">
        <v>3944</v>
      </c>
      <c r="Q7140" s="267" t="s">
        <v>3944</v>
      </c>
      <c r="R7140" s="267">
        <v>1124.9000000000001</v>
      </c>
      <c r="S7140" s="267">
        <v>17949.54</v>
      </c>
      <c r="T7140" s="267">
        <v>19074.439999999999</v>
      </c>
      <c r="U7140" s="268" t="s">
        <v>3945</v>
      </c>
      <c r="V7140" s="267" t="s">
        <v>944</v>
      </c>
    </row>
    <row r="7141" spans="1:22" x14ac:dyDescent="0.25">
      <c r="A7141" s="269">
        <v>43793</v>
      </c>
      <c r="B7141" s="270">
        <v>2019</v>
      </c>
      <c r="C7141" s="270">
        <v>2020</v>
      </c>
      <c r="D7141" s="270">
        <v>1</v>
      </c>
      <c r="E7141" s="270">
        <v>1</v>
      </c>
      <c r="F7141" s="270" t="s">
        <v>944</v>
      </c>
      <c r="G7141" s="270" t="s">
        <v>3926</v>
      </c>
      <c r="H7141" s="270" t="s">
        <v>11955</v>
      </c>
      <c r="I7141" s="270" t="s">
        <v>934</v>
      </c>
      <c r="J7141" s="270" t="s">
        <v>3928</v>
      </c>
      <c r="K7141" s="270">
        <v>6608</v>
      </c>
      <c r="L7141" s="270">
        <v>73900</v>
      </c>
      <c r="M7141" s="270">
        <v>-60</v>
      </c>
      <c r="N7141" s="270" t="s">
        <v>3944</v>
      </c>
      <c r="O7141" s="270">
        <v>1043</v>
      </c>
      <c r="P7141" s="270" t="s">
        <v>3944</v>
      </c>
      <c r="Q7141" s="270" t="s">
        <v>3944</v>
      </c>
      <c r="R7141" s="270">
        <v>1043</v>
      </c>
      <c r="S7141" s="270">
        <v>15740.2</v>
      </c>
      <c r="T7141" s="270">
        <v>16783.2</v>
      </c>
      <c r="U7141" s="271" t="s">
        <v>3945</v>
      </c>
      <c r="V7141" s="276" t="s">
        <v>936</v>
      </c>
    </row>
    <row r="7142" spans="1:22" hidden="1" x14ac:dyDescent="0.25">
      <c r="A7142" s="266">
        <v>43793</v>
      </c>
      <c r="B7142" s="267">
        <v>2019</v>
      </c>
      <c r="C7142" s="267">
        <v>2020</v>
      </c>
      <c r="D7142" s="267">
        <v>1</v>
      </c>
      <c r="E7142" s="267">
        <v>1</v>
      </c>
      <c r="F7142" s="267" t="s">
        <v>944</v>
      </c>
      <c r="G7142" s="267" t="s">
        <v>3926</v>
      </c>
      <c r="H7142" s="267" t="s">
        <v>11956</v>
      </c>
      <c r="I7142" s="267" t="s">
        <v>4250</v>
      </c>
      <c r="J7142" s="267" t="s">
        <v>3928</v>
      </c>
      <c r="K7142" s="267">
        <v>6239</v>
      </c>
      <c r="L7142" s="267">
        <v>904500</v>
      </c>
      <c r="M7142" s="267" t="s">
        <v>3940</v>
      </c>
      <c r="N7142" s="267" t="s">
        <v>3944</v>
      </c>
      <c r="O7142" s="267">
        <v>1409.07</v>
      </c>
      <c r="P7142" s="267" t="s">
        <v>3944</v>
      </c>
      <c r="Q7142" s="267" t="s">
        <v>3944</v>
      </c>
      <c r="R7142" s="267">
        <v>1409.07</v>
      </c>
      <c r="S7142" s="267">
        <v>19227.990000000002</v>
      </c>
      <c r="T7142" s="267">
        <v>20637.060000000001</v>
      </c>
      <c r="U7142" s="268" t="s">
        <v>3945</v>
      </c>
      <c r="V7142" s="267" t="s">
        <v>944</v>
      </c>
    </row>
    <row r="7143" spans="1:22" hidden="1" x14ac:dyDescent="0.25">
      <c r="A7143" s="269">
        <v>43793</v>
      </c>
      <c r="B7143" s="270">
        <v>2019</v>
      </c>
      <c r="C7143" s="270">
        <v>2020</v>
      </c>
      <c r="D7143" s="270">
        <v>1</v>
      </c>
      <c r="E7143" s="270">
        <v>1</v>
      </c>
      <c r="F7143" s="270" t="s">
        <v>944</v>
      </c>
      <c r="G7143" s="270" t="s">
        <v>3926</v>
      </c>
      <c r="H7143" s="270" t="s">
        <v>11957</v>
      </c>
      <c r="I7143" s="270" t="s">
        <v>4310</v>
      </c>
      <c r="J7143" s="270" t="s">
        <v>3928</v>
      </c>
      <c r="K7143" s="270">
        <v>6351</v>
      </c>
      <c r="L7143" s="270">
        <v>710100</v>
      </c>
      <c r="M7143" s="270" t="s">
        <v>3960</v>
      </c>
      <c r="N7143" s="270" t="s">
        <v>3944</v>
      </c>
      <c r="O7143" s="270">
        <v>1763.27</v>
      </c>
      <c r="P7143" s="270" t="s">
        <v>3944</v>
      </c>
      <c r="Q7143" s="270" t="s">
        <v>3944</v>
      </c>
      <c r="R7143" s="270">
        <v>1763.27</v>
      </c>
      <c r="S7143" s="270">
        <v>25793.279999999999</v>
      </c>
      <c r="T7143" s="270">
        <v>27556.55</v>
      </c>
      <c r="U7143" s="271" t="s">
        <v>3945</v>
      </c>
      <c r="V7143" s="267" t="s">
        <v>944</v>
      </c>
    </row>
    <row r="7144" spans="1:22" hidden="1" x14ac:dyDescent="0.25">
      <c r="A7144" s="266">
        <v>43793</v>
      </c>
      <c r="B7144" s="267">
        <v>2019</v>
      </c>
      <c r="C7144" s="267">
        <v>2020</v>
      </c>
      <c r="D7144" s="267">
        <v>1</v>
      </c>
      <c r="E7144" s="267">
        <v>1</v>
      </c>
      <c r="F7144" s="267" t="s">
        <v>944</v>
      </c>
      <c r="G7144" s="267" t="s">
        <v>3926</v>
      </c>
      <c r="H7144" s="267" t="s">
        <v>11958</v>
      </c>
      <c r="I7144" s="267" t="s">
        <v>4323</v>
      </c>
      <c r="J7144" s="267" t="s">
        <v>3928</v>
      </c>
      <c r="K7144" s="267">
        <v>6375</v>
      </c>
      <c r="L7144" s="267">
        <v>693600</v>
      </c>
      <c r="M7144" s="267" t="s">
        <v>3960</v>
      </c>
      <c r="N7144" s="267" t="s">
        <v>3944</v>
      </c>
      <c r="O7144" s="267">
        <v>1196.27</v>
      </c>
      <c r="P7144" s="267" t="s">
        <v>3944</v>
      </c>
      <c r="Q7144" s="267" t="s">
        <v>3944</v>
      </c>
      <c r="R7144" s="267">
        <v>1196.27</v>
      </c>
      <c r="S7144" s="267">
        <v>17901.060000000001</v>
      </c>
      <c r="T7144" s="267">
        <v>19097.330000000002</v>
      </c>
      <c r="U7144" s="268" t="s">
        <v>3945</v>
      </c>
      <c r="V7144" s="267" t="s">
        <v>944</v>
      </c>
    </row>
    <row r="7145" spans="1:22" hidden="1" x14ac:dyDescent="0.25">
      <c r="A7145" s="269">
        <v>43793</v>
      </c>
      <c r="B7145" s="270">
        <v>2019</v>
      </c>
      <c r="C7145" s="270">
        <v>2020</v>
      </c>
      <c r="D7145" s="270">
        <v>1</v>
      </c>
      <c r="E7145" s="270">
        <v>1</v>
      </c>
      <c r="F7145" s="270" t="s">
        <v>944</v>
      </c>
      <c r="G7145" s="270" t="s">
        <v>3926</v>
      </c>
      <c r="H7145" s="270" t="s">
        <v>11959</v>
      </c>
      <c r="I7145" s="270" t="s">
        <v>3956</v>
      </c>
      <c r="J7145" s="270" t="s">
        <v>3928</v>
      </c>
      <c r="K7145" s="270">
        <v>6106</v>
      </c>
      <c r="L7145" s="270">
        <v>504300</v>
      </c>
      <c r="M7145" s="270">
        <v>-60</v>
      </c>
      <c r="N7145" s="270" t="s">
        <v>3944</v>
      </c>
      <c r="O7145" s="270">
        <v>3967.92</v>
      </c>
      <c r="P7145" s="270" t="s">
        <v>3944</v>
      </c>
      <c r="Q7145" s="270" t="s">
        <v>3944</v>
      </c>
      <c r="R7145" s="270">
        <v>3967.92</v>
      </c>
      <c r="S7145" s="270">
        <v>56363.67</v>
      </c>
      <c r="T7145" s="270">
        <v>60331.59</v>
      </c>
      <c r="U7145" s="271" t="s">
        <v>3945</v>
      </c>
      <c r="V7145" s="267" t="s">
        <v>944</v>
      </c>
    </row>
    <row r="7146" spans="1:22" hidden="1" x14ac:dyDescent="0.25">
      <c r="A7146" s="266">
        <v>43793</v>
      </c>
      <c r="B7146" s="267">
        <v>2019</v>
      </c>
      <c r="C7146" s="267">
        <v>2020</v>
      </c>
      <c r="D7146" s="267">
        <v>1</v>
      </c>
      <c r="E7146" s="267">
        <v>1</v>
      </c>
      <c r="F7146" s="267" t="s">
        <v>944</v>
      </c>
      <c r="G7146" s="267" t="s">
        <v>3926</v>
      </c>
      <c r="H7146" s="267" t="s">
        <v>11960</v>
      </c>
      <c r="I7146" s="267" t="s">
        <v>4290</v>
      </c>
      <c r="J7146" s="267" t="s">
        <v>3928</v>
      </c>
      <c r="K7146" s="267">
        <v>6798</v>
      </c>
      <c r="L7146" s="267">
        <v>362102</v>
      </c>
      <c r="M7146" s="267" t="s">
        <v>3960</v>
      </c>
      <c r="N7146" s="267" t="s">
        <v>3944</v>
      </c>
      <c r="O7146" s="267">
        <v>3850.53</v>
      </c>
      <c r="P7146" s="267" t="s">
        <v>3944</v>
      </c>
      <c r="Q7146" s="267" t="s">
        <v>3944</v>
      </c>
      <c r="R7146" s="267">
        <v>3850.53</v>
      </c>
      <c r="S7146" s="267">
        <v>54650.87</v>
      </c>
      <c r="T7146" s="267">
        <v>58501.4</v>
      </c>
      <c r="U7146" s="268" t="s">
        <v>3945</v>
      </c>
      <c r="V7146" s="267" t="s">
        <v>944</v>
      </c>
    </row>
    <row r="7147" spans="1:22" hidden="1" x14ac:dyDescent="0.25">
      <c r="A7147" s="269">
        <v>43793</v>
      </c>
      <c r="B7147" s="270">
        <v>2019</v>
      </c>
      <c r="C7147" s="270">
        <v>2020</v>
      </c>
      <c r="D7147" s="270">
        <v>1</v>
      </c>
      <c r="E7147" s="270">
        <v>1</v>
      </c>
      <c r="F7147" s="270" t="s">
        <v>944</v>
      </c>
      <c r="G7147" s="270" t="s">
        <v>3926</v>
      </c>
      <c r="H7147" s="270" t="s">
        <v>11961</v>
      </c>
      <c r="I7147" s="270" t="s">
        <v>953</v>
      </c>
      <c r="J7147" s="270" t="s">
        <v>3928</v>
      </c>
      <c r="K7147" s="270">
        <v>6517</v>
      </c>
      <c r="L7147" s="270">
        <v>165100</v>
      </c>
      <c r="M7147" s="270" t="s">
        <v>3935</v>
      </c>
      <c r="N7147" s="270" t="s">
        <v>3944</v>
      </c>
      <c r="O7147" s="270">
        <v>781.06</v>
      </c>
      <c r="P7147" s="270" t="s">
        <v>3944</v>
      </c>
      <c r="Q7147" s="270" t="s">
        <v>3944</v>
      </c>
      <c r="R7147" s="270">
        <v>781.06</v>
      </c>
      <c r="S7147" s="270">
        <v>12202.98</v>
      </c>
      <c r="T7147" s="270">
        <v>12984.04</v>
      </c>
      <c r="U7147" s="271" t="s">
        <v>3945</v>
      </c>
      <c r="V7147" s="267" t="s">
        <v>944</v>
      </c>
    </row>
    <row r="7148" spans="1:22" hidden="1" x14ac:dyDescent="0.25">
      <c r="A7148" s="266">
        <v>43793</v>
      </c>
      <c r="B7148" s="267">
        <v>2019</v>
      </c>
      <c r="C7148" s="267">
        <v>2020</v>
      </c>
      <c r="D7148" s="267">
        <v>1</v>
      </c>
      <c r="E7148" s="267">
        <v>1</v>
      </c>
      <c r="F7148" s="267" t="s">
        <v>944</v>
      </c>
      <c r="G7148" s="267" t="s">
        <v>3926</v>
      </c>
      <c r="H7148" s="267" t="s">
        <v>11962</v>
      </c>
      <c r="I7148" s="267" t="s">
        <v>4069</v>
      </c>
      <c r="J7148" s="267" t="s">
        <v>3928</v>
      </c>
      <c r="K7148" s="267">
        <v>6902</v>
      </c>
      <c r="L7148" s="267">
        <v>22300</v>
      </c>
      <c r="M7148" s="267" t="s">
        <v>3935</v>
      </c>
      <c r="N7148" s="267" t="s">
        <v>3944</v>
      </c>
      <c r="O7148" s="267">
        <v>1646.09</v>
      </c>
      <c r="P7148" s="267" t="s">
        <v>3944</v>
      </c>
      <c r="Q7148" s="267" t="s">
        <v>3944</v>
      </c>
      <c r="R7148" s="267">
        <v>1646.09</v>
      </c>
      <c r="S7148" s="267">
        <v>23528.71</v>
      </c>
      <c r="T7148" s="267">
        <v>25174.799999999999</v>
      </c>
      <c r="U7148" s="268" t="s">
        <v>3945</v>
      </c>
      <c r="V7148" s="267" t="s">
        <v>944</v>
      </c>
    </row>
    <row r="7149" spans="1:22" hidden="1" x14ac:dyDescent="0.25">
      <c r="A7149" s="269">
        <v>43793</v>
      </c>
      <c r="B7149" s="270">
        <v>2019</v>
      </c>
      <c r="C7149" s="270">
        <v>2020</v>
      </c>
      <c r="D7149" s="270">
        <v>1</v>
      </c>
      <c r="E7149" s="270">
        <v>1</v>
      </c>
      <c r="F7149" s="270" t="s">
        <v>944</v>
      </c>
      <c r="G7149" s="270" t="s">
        <v>3926</v>
      </c>
      <c r="H7149" s="270" t="s">
        <v>11963</v>
      </c>
      <c r="I7149" s="270" t="s">
        <v>956</v>
      </c>
      <c r="J7149" s="270" t="s">
        <v>3928</v>
      </c>
      <c r="K7149" s="270">
        <v>6615</v>
      </c>
      <c r="L7149" s="270">
        <v>80400</v>
      </c>
      <c r="M7149" s="270" t="s">
        <v>3940</v>
      </c>
      <c r="N7149" s="270" t="s">
        <v>3944</v>
      </c>
      <c r="O7149" s="270">
        <v>987.42</v>
      </c>
      <c r="P7149" s="270" t="s">
        <v>3944</v>
      </c>
      <c r="Q7149" s="270" t="s">
        <v>3944</v>
      </c>
      <c r="R7149" s="270">
        <v>987.42</v>
      </c>
      <c r="S7149" s="270">
        <v>16433.86</v>
      </c>
      <c r="T7149" s="270">
        <v>17421.28</v>
      </c>
      <c r="U7149" s="271" t="s">
        <v>3945</v>
      </c>
      <c r="V7149" s="267" t="s">
        <v>944</v>
      </c>
    </row>
    <row r="7150" spans="1:22" hidden="1" x14ac:dyDescent="0.25">
      <c r="A7150" s="266">
        <v>43793</v>
      </c>
      <c r="B7150" s="267">
        <v>2019</v>
      </c>
      <c r="C7150" s="267">
        <v>2020</v>
      </c>
      <c r="D7150" s="267">
        <v>1</v>
      </c>
      <c r="E7150" s="267">
        <v>1</v>
      </c>
      <c r="F7150" s="267" t="s">
        <v>944</v>
      </c>
      <c r="G7150" s="267" t="s">
        <v>3926</v>
      </c>
      <c r="H7150" s="267" t="s">
        <v>11964</v>
      </c>
      <c r="I7150" s="267" t="s">
        <v>950</v>
      </c>
      <c r="J7150" s="267" t="s">
        <v>3928</v>
      </c>
      <c r="K7150" s="267">
        <v>6516</v>
      </c>
      <c r="L7150" s="267">
        <v>154700</v>
      </c>
      <c r="M7150" s="267" t="s">
        <v>3960</v>
      </c>
      <c r="N7150" s="267" t="s">
        <v>3944</v>
      </c>
      <c r="O7150" s="267">
        <v>2311.44</v>
      </c>
      <c r="P7150" s="267" t="s">
        <v>3944</v>
      </c>
      <c r="Q7150" s="267" t="s">
        <v>3944</v>
      </c>
      <c r="R7150" s="267">
        <v>2311.44</v>
      </c>
      <c r="S7150" s="267">
        <v>38730.410000000003</v>
      </c>
      <c r="T7150" s="267">
        <v>41041.85</v>
      </c>
      <c r="U7150" s="268" t="s">
        <v>3945</v>
      </c>
      <c r="V7150" s="267" t="s">
        <v>944</v>
      </c>
    </row>
    <row r="7151" spans="1:22" hidden="1" x14ac:dyDescent="0.25">
      <c r="A7151" s="269">
        <v>43793</v>
      </c>
      <c r="B7151" s="270">
        <v>2019</v>
      </c>
      <c r="C7151" s="270">
        <v>2020</v>
      </c>
      <c r="D7151" s="270">
        <v>1</v>
      </c>
      <c r="E7151" s="270">
        <v>1</v>
      </c>
      <c r="F7151" s="270" t="s">
        <v>944</v>
      </c>
      <c r="G7151" s="270" t="s">
        <v>3926</v>
      </c>
      <c r="H7151" s="270" t="s">
        <v>11965</v>
      </c>
      <c r="I7151" s="270" t="s">
        <v>4947</v>
      </c>
      <c r="J7151" s="270" t="s">
        <v>3928</v>
      </c>
      <c r="K7151" s="270">
        <v>6787</v>
      </c>
      <c r="L7151" s="270">
        <v>349200</v>
      </c>
      <c r="M7151" s="270" t="s">
        <v>3940</v>
      </c>
      <c r="N7151" s="270" t="s">
        <v>3944</v>
      </c>
      <c r="O7151" s="270">
        <v>1051.0899999999999</v>
      </c>
      <c r="P7151" s="270" t="s">
        <v>3944</v>
      </c>
      <c r="Q7151" s="270" t="s">
        <v>3944</v>
      </c>
      <c r="R7151" s="270">
        <v>1051.0899999999999</v>
      </c>
      <c r="S7151" s="270">
        <v>16552.77</v>
      </c>
      <c r="T7151" s="270">
        <v>17603.86</v>
      </c>
      <c r="U7151" s="271" t="s">
        <v>3945</v>
      </c>
      <c r="V7151" s="267" t="s">
        <v>944</v>
      </c>
    </row>
    <row r="7152" spans="1:22" hidden="1" x14ac:dyDescent="0.25">
      <c r="A7152" s="266">
        <v>43793</v>
      </c>
      <c r="B7152" s="267">
        <v>2019</v>
      </c>
      <c r="C7152" s="267">
        <v>2020</v>
      </c>
      <c r="D7152" s="267">
        <v>1</v>
      </c>
      <c r="E7152" s="267">
        <v>1</v>
      </c>
      <c r="F7152" s="267" t="s">
        <v>944</v>
      </c>
      <c r="G7152" s="267" t="s">
        <v>3926</v>
      </c>
      <c r="H7152" s="267" t="s">
        <v>11966</v>
      </c>
      <c r="I7152" s="267" t="s">
        <v>2987</v>
      </c>
      <c r="J7152" s="267" t="s">
        <v>3928</v>
      </c>
      <c r="K7152" s="267">
        <v>6611</v>
      </c>
      <c r="L7152" s="267">
        <v>90500</v>
      </c>
      <c r="M7152" s="267" t="s">
        <v>3943</v>
      </c>
      <c r="N7152" s="267" t="s">
        <v>3944</v>
      </c>
      <c r="O7152" s="267">
        <v>2547.65</v>
      </c>
      <c r="P7152" s="267" t="s">
        <v>3944</v>
      </c>
      <c r="Q7152" s="267" t="s">
        <v>3944</v>
      </c>
      <c r="R7152" s="267">
        <v>2547.65</v>
      </c>
      <c r="S7152" s="267">
        <v>38569.39</v>
      </c>
      <c r="T7152" s="267">
        <v>41117.040000000001</v>
      </c>
      <c r="U7152" s="268" t="s">
        <v>3945</v>
      </c>
      <c r="V7152" s="267" t="s">
        <v>944</v>
      </c>
    </row>
    <row r="7153" spans="1:22" hidden="1" x14ac:dyDescent="0.25">
      <c r="A7153" s="269">
        <v>43793</v>
      </c>
      <c r="B7153" s="270">
        <v>2019</v>
      </c>
      <c r="C7153" s="270">
        <v>2020</v>
      </c>
      <c r="D7153" s="270">
        <v>1</v>
      </c>
      <c r="E7153" s="270">
        <v>1</v>
      </c>
      <c r="F7153" s="270" t="s">
        <v>944</v>
      </c>
      <c r="G7153" s="270" t="s">
        <v>3926</v>
      </c>
      <c r="H7153" s="270" t="s">
        <v>11967</v>
      </c>
      <c r="I7153" s="270" t="s">
        <v>4147</v>
      </c>
      <c r="J7153" s="270" t="s">
        <v>3928</v>
      </c>
      <c r="K7153" s="270">
        <v>6109</v>
      </c>
      <c r="L7153" s="270">
        <v>492200</v>
      </c>
      <c r="M7153" s="270" t="s">
        <v>3960</v>
      </c>
      <c r="N7153" s="270" t="s">
        <v>3944</v>
      </c>
      <c r="O7153" s="270">
        <v>1406.55</v>
      </c>
      <c r="P7153" s="270" t="s">
        <v>3944</v>
      </c>
      <c r="Q7153" s="270" t="s">
        <v>3944</v>
      </c>
      <c r="R7153" s="270">
        <v>1406.55</v>
      </c>
      <c r="S7153" s="270">
        <v>21624.69</v>
      </c>
      <c r="T7153" s="270">
        <v>23031.24</v>
      </c>
      <c r="U7153" s="271" t="s">
        <v>3945</v>
      </c>
      <c r="V7153" s="267" t="s">
        <v>944</v>
      </c>
    </row>
    <row r="7154" spans="1:22" hidden="1" x14ac:dyDescent="0.25">
      <c r="A7154" s="266">
        <v>43794</v>
      </c>
      <c r="B7154" s="267">
        <v>2019</v>
      </c>
      <c r="C7154" s="267">
        <v>2020</v>
      </c>
      <c r="D7154" s="267">
        <v>1</v>
      </c>
      <c r="E7154" s="267">
        <v>1</v>
      </c>
      <c r="F7154" s="267" t="s">
        <v>944</v>
      </c>
      <c r="G7154" s="267" t="s">
        <v>3926</v>
      </c>
      <c r="H7154" s="267" t="s">
        <v>11968</v>
      </c>
      <c r="I7154" s="267" t="s">
        <v>950</v>
      </c>
      <c r="J7154" s="267" t="s">
        <v>3928</v>
      </c>
      <c r="K7154" s="267">
        <v>6516</v>
      </c>
      <c r="L7154" s="267">
        <v>154200</v>
      </c>
      <c r="M7154" s="267" t="s">
        <v>3940</v>
      </c>
      <c r="N7154" s="267" t="s">
        <v>11969</v>
      </c>
      <c r="O7154" s="267">
        <v>0</v>
      </c>
      <c r="P7154" s="267" t="s">
        <v>3930</v>
      </c>
      <c r="Q7154" s="267" t="s">
        <v>3930</v>
      </c>
      <c r="R7154" s="267">
        <v>0</v>
      </c>
      <c r="S7154" s="267">
        <v>6540.53</v>
      </c>
      <c r="T7154" s="267">
        <v>6540.53</v>
      </c>
      <c r="U7154" s="268" t="s">
        <v>3937</v>
      </c>
      <c r="V7154" s="267" t="s">
        <v>944</v>
      </c>
    </row>
    <row r="7155" spans="1:22" hidden="1" x14ac:dyDescent="0.25">
      <c r="A7155" s="269">
        <v>43794</v>
      </c>
      <c r="B7155" s="270">
        <v>2019</v>
      </c>
      <c r="C7155" s="270">
        <v>2020</v>
      </c>
      <c r="D7155" s="270">
        <v>1</v>
      </c>
      <c r="E7155" s="270">
        <v>1</v>
      </c>
      <c r="F7155" s="270" t="s">
        <v>944</v>
      </c>
      <c r="G7155" s="270" t="s">
        <v>3926</v>
      </c>
      <c r="H7155" s="270" t="s">
        <v>11970</v>
      </c>
      <c r="I7155" s="270" t="s">
        <v>4019</v>
      </c>
      <c r="J7155" s="270" t="s">
        <v>3928</v>
      </c>
      <c r="K7155" s="270">
        <v>6705</v>
      </c>
      <c r="L7155" s="270">
        <v>352701</v>
      </c>
      <c r="M7155" s="270">
        <v>-60</v>
      </c>
      <c r="N7155" s="270" t="s">
        <v>11971</v>
      </c>
      <c r="O7155" s="270">
        <v>0</v>
      </c>
      <c r="P7155" s="270" t="s">
        <v>3930</v>
      </c>
      <c r="Q7155" s="270" t="s">
        <v>3930</v>
      </c>
      <c r="R7155" s="270">
        <v>0</v>
      </c>
      <c r="S7155" s="270">
        <v>4643.24</v>
      </c>
      <c r="T7155" s="270">
        <v>4643.24</v>
      </c>
      <c r="U7155" s="271" t="s">
        <v>3937</v>
      </c>
      <c r="V7155" s="267" t="s">
        <v>944</v>
      </c>
    </row>
    <row r="7156" spans="1:22" hidden="1" x14ac:dyDescent="0.25">
      <c r="A7156" s="266">
        <v>43794</v>
      </c>
      <c r="B7156" s="267">
        <v>2019</v>
      </c>
      <c r="C7156" s="267">
        <v>2020</v>
      </c>
      <c r="D7156" s="267">
        <v>1</v>
      </c>
      <c r="E7156" s="267">
        <v>1</v>
      </c>
      <c r="F7156" s="267" t="s">
        <v>944</v>
      </c>
      <c r="G7156" s="267" t="s">
        <v>3926</v>
      </c>
      <c r="H7156" s="267" t="s">
        <v>11972</v>
      </c>
      <c r="I7156" s="267" t="s">
        <v>4094</v>
      </c>
      <c r="J7156" s="267" t="s">
        <v>3928</v>
      </c>
      <c r="K7156" s="267">
        <v>6096</v>
      </c>
      <c r="L7156" s="267">
        <v>476200</v>
      </c>
      <c r="M7156" s="267" t="s">
        <v>3935</v>
      </c>
      <c r="N7156" s="267" t="s">
        <v>11973</v>
      </c>
      <c r="O7156" s="267">
        <v>0</v>
      </c>
      <c r="P7156" s="267" t="s">
        <v>3930</v>
      </c>
      <c r="Q7156" s="267" t="s">
        <v>3930</v>
      </c>
      <c r="R7156" s="267">
        <v>0</v>
      </c>
      <c r="S7156" s="267">
        <v>8120</v>
      </c>
      <c r="T7156" s="267">
        <v>8120</v>
      </c>
      <c r="U7156" s="268" t="s">
        <v>3937</v>
      </c>
      <c r="V7156" s="267" t="s">
        <v>944</v>
      </c>
    </row>
    <row r="7157" spans="1:22" hidden="1" x14ac:dyDescent="0.25">
      <c r="A7157" s="269">
        <v>43794</v>
      </c>
      <c r="B7157" s="270">
        <v>2019</v>
      </c>
      <c r="C7157" s="270">
        <v>2020</v>
      </c>
      <c r="D7157" s="270">
        <v>1</v>
      </c>
      <c r="E7157" s="270">
        <v>1</v>
      </c>
      <c r="F7157" s="270" t="s">
        <v>944</v>
      </c>
      <c r="G7157" s="270" t="s">
        <v>3926</v>
      </c>
      <c r="H7157" s="270" t="s">
        <v>11974</v>
      </c>
      <c r="I7157" s="270" t="s">
        <v>4594</v>
      </c>
      <c r="J7157" s="270" t="s">
        <v>3928</v>
      </c>
      <c r="K7157" s="270">
        <v>6488</v>
      </c>
      <c r="L7157" s="270">
        <v>348125</v>
      </c>
      <c r="M7157" s="270" t="s">
        <v>3940</v>
      </c>
      <c r="N7157" s="270" t="s">
        <v>11975</v>
      </c>
      <c r="O7157" s="270">
        <v>0</v>
      </c>
      <c r="P7157" s="270" t="s">
        <v>3930</v>
      </c>
      <c r="Q7157" s="270" t="s">
        <v>3930</v>
      </c>
      <c r="R7157" s="270">
        <v>0</v>
      </c>
      <c r="S7157" s="270">
        <v>21907.040000000001</v>
      </c>
      <c r="T7157" s="270">
        <v>21907.040000000001</v>
      </c>
      <c r="U7157" s="271" t="s">
        <v>3937</v>
      </c>
      <c r="V7157" s="267" t="s">
        <v>944</v>
      </c>
    </row>
    <row r="7158" spans="1:22" hidden="1" x14ac:dyDescent="0.25">
      <c r="A7158" s="266">
        <v>43794</v>
      </c>
      <c r="B7158" s="267">
        <v>2019</v>
      </c>
      <c r="C7158" s="267">
        <v>2020</v>
      </c>
      <c r="D7158" s="267">
        <v>1</v>
      </c>
      <c r="E7158" s="267">
        <v>1</v>
      </c>
      <c r="F7158" s="267" t="s">
        <v>944</v>
      </c>
      <c r="G7158" s="267" t="s">
        <v>3926</v>
      </c>
      <c r="H7158" s="267" t="s">
        <v>11976</v>
      </c>
      <c r="I7158" s="267" t="s">
        <v>2985</v>
      </c>
      <c r="J7158" s="267" t="s">
        <v>3928</v>
      </c>
      <c r="K7158" s="267">
        <v>6825</v>
      </c>
      <c r="L7158" s="267">
        <v>61100</v>
      </c>
      <c r="M7158" s="267" t="s">
        <v>3943</v>
      </c>
      <c r="N7158" s="267" t="s">
        <v>11977</v>
      </c>
      <c r="O7158" s="267">
        <v>0</v>
      </c>
      <c r="P7158" s="267" t="s">
        <v>3930</v>
      </c>
      <c r="Q7158" s="267" t="s">
        <v>3930</v>
      </c>
      <c r="R7158" s="267">
        <v>0</v>
      </c>
      <c r="S7158" s="267">
        <v>13750</v>
      </c>
      <c r="T7158" s="267">
        <v>13750</v>
      </c>
      <c r="U7158" s="268" t="s">
        <v>3937</v>
      </c>
      <c r="V7158" s="267" t="s">
        <v>944</v>
      </c>
    </row>
    <row r="7159" spans="1:22" hidden="1" x14ac:dyDescent="0.25">
      <c r="A7159" s="269">
        <v>43794</v>
      </c>
      <c r="B7159" s="270">
        <v>2019</v>
      </c>
      <c r="C7159" s="270">
        <v>2020</v>
      </c>
      <c r="D7159" s="270">
        <v>1</v>
      </c>
      <c r="E7159" s="270">
        <v>1</v>
      </c>
      <c r="F7159" s="270" t="s">
        <v>944</v>
      </c>
      <c r="G7159" s="270" t="s">
        <v>3926</v>
      </c>
      <c r="H7159" s="270" t="s">
        <v>11978</v>
      </c>
      <c r="I7159" s="270" t="s">
        <v>4016</v>
      </c>
      <c r="J7159" s="270" t="s">
        <v>3928</v>
      </c>
      <c r="K7159" s="270">
        <v>6770</v>
      </c>
      <c r="L7159" s="270">
        <v>345202</v>
      </c>
      <c r="M7159" s="270" t="s">
        <v>3960</v>
      </c>
      <c r="N7159" s="270" t="s">
        <v>8664</v>
      </c>
      <c r="O7159" s="270">
        <v>2015.27</v>
      </c>
      <c r="P7159" s="270" t="s">
        <v>3930</v>
      </c>
      <c r="Q7159" s="270" t="s">
        <v>3931</v>
      </c>
      <c r="R7159" s="270">
        <v>7015.27</v>
      </c>
      <c r="S7159" s="270">
        <v>30786.400000000001</v>
      </c>
      <c r="T7159" s="270">
        <v>37801.67</v>
      </c>
      <c r="U7159" s="271" t="s">
        <v>3932</v>
      </c>
      <c r="V7159" s="267" t="s">
        <v>944</v>
      </c>
    </row>
    <row r="7160" spans="1:22" hidden="1" x14ac:dyDescent="0.25">
      <c r="A7160" s="266">
        <v>43794</v>
      </c>
      <c r="B7160" s="267">
        <v>2019</v>
      </c>
      <c r="C7160" s="267">
        <v>2020</v>
      </c>
      <c r="D7160" s="267">
        <v>1</v>
      </c>
      <c r="E7160" s="267">
        <v>1</v>
      </c>
      <c r="F7160" s="267" t="s">
        <v>944</v>
      </c>
      <c r="G7160" s="267" t="s">
        <v>3926</v>
      </c>
      <c r="H7160" s="267" t="s">
        <v>11979</v>
      </c>
      <c r="I7160" s="267" t="s">
        <v>956</v>
      </c>
      <c r="J7160" s="267" t="s">
        <v>3928</v>
      </c>
      <c r="K7160" s="267">
        <v>6615</v>
      </c>
      <c r="L7160" s="267">
        <v>80700</v>
      </c>
      <c r="M7160" s="267" t="s">
        <v>3935</v>
      </c>
      <c r="N7160" s="267" t="s">
        <v>10768</v>
      </c>
      <c r="O7160" s="267">
        <v>0</v>
      </c>
      <c r="P7160" s="267" t="s">
        <v>3930</v>
      </c>
      <c r="Q7160" s="267" t="s">
        <v>3931</v>
      </c>
      <c r="R7160" s="267">
        <v>5000</v>
      </c>
      <c r="S7160" s="267">
        <v>10897.6</v>
      </c>
      <c r="T7160" s="267">
        <v>15897.6</v>
      </c>
      <c r="U7160" s="268" t="s">
        <v>3932</v>
      </c>
      <c r="V7160" s="267" t="s">
        <v>944</v>
      </c>
    </row>
    <row r="7161" spans="1:22" hidden="1" x14ac:dyDescent="0.25">
      <c r="A7161" s="269">
        <v>43794</v>
      </c>
      <c r="B7161" s="270">
        <v>2019</v>
      </c>
      <c r="C7161" s="270">
        <v>2020</v>
      </c>
      <c r="D7161" s="270">
        <v>1</v>
      </c>
      <c r="E7161" s="270">
        <v>1</v>
      </c>
      <c r="F7161" s="270" t="s">
        <v>944</v>
      </c>
      <c r="G7161" s="270" t="s">
        <v>3926</v>
      </c>
      <c r="H7161" s="270" t="s">
        <v>11980</v>
      </c>
      <c r="I7161" s="270" t="s">
        <v>6814</v>
      </c>
      <c r="J7161" s="270" t="s">
        <v>3928</v>
      </c>
      <c r="K7161" s="270">
        <v>6018</v>
      </c>
      <c r="L7161" s="270">
        <v>260200</v>
      </c>
      <c r="M7161" s="270" t="s">
        <v>3940</v>
      </c>
      <c r="N7161" s="270" t="s">
        <v>3944</v>
      </c>
      <c r="O7161" s="270">
        <v>1223.8499999999999</v>
      </c>
      <c r="P7161" s="270" t="s">
        <v>3944</v>
      </c>
      <c r="Q7161" s="270" t="s">
        <v>3944</v>
      </c>
      <c r="R7161" s="270">
        <v>1223.8499999999999</v>
      </c>
      <c r="S7161" s="270">
        <v>12787.15</v>
      </c>
      <c r="T7161" s="270">
        <v>14011</v>
      </c>
      <c r="U7161" s="271" t="s">
        <v>3945</v>
      </c>
      <c r="V7161" s="267" t="s">
        <v>944</v>
      </c>
    </row>
    <row r="7162" spans="1:22" hidden="1" x14ac:dyDescent="0.25">
      <c r="A7162" s="266">
        <v>43794</v>
      </c>
      <c r="B7162" s="267">
        <v>2019</v>
      </c>
      <c r="C7162" s="267">
        <v>2020</v>
      </c>
      <c r="D7162" s="267">
        <v>1</v>
      </c>
      <c r="E7162" s="267">
        <v>1</v>
      </c>
      <c r="F7162" s="267" t="s">
        <v>944</v>
      </c>
      <c r="G7162" s="267" t="s">
        <v>3926</v>
      </c>
      <c r="H7162" s="267" t="s">
        <v>11981</v>
      </c>
      <c r="I7162" s="267" t="s">
        <v>4019</v>
      </c>
      <c r="J7162" s="267" t="s">
        <v>3928</v>
      </c>
      <c r="K7162" s="267">
        <v>6706</v>
      </c>
      <c r="L7162" s="267">
        <v>351500</v>
      </c>
      <c r="M7162" s="267" t="s">
        <v>3940</v>
      </c>
      <c r="N7162" s="267" t="s">
        <v>3944</v>
      </c>
      <c r="O7162" s="267">
        <v>2060.91</v>
      </c>
      <c r="P7162" s="267" t="s">
        <v>3944</v>
      </c>
      <c r="Q7162" s="267" t="s">
        <v>3944</v>
      </c>
      <c r="R7162" s="267">
        <v>2060.91</v>
      </c>
      <c r="S7162" s="267">
        <v>15836.09</v>
      </c>
      <c r="T7162" s="267">
        <v>17897</v>
      </c>
      <c r="U7162" s="268" t="s">
        <v>3945</v>
      </c>
      <c r="V7162" s="267" t="s">
        <v>944</v>
      </c>
    </row>
    <row r="7163" spans="1:22" hidden="1" x14ac:dyDescent="0.25">
      <c r="A7163" s="269">
        <v>43794</v>
      </c>
      <c r="B7163" s="270">
        <v>2019</v>
      </c>
      <c r="C7163" s="270">
        <v>2020</v>
      </c>
      <c r="D7163" s="270">
        <v>1</v>
      </c>
      <c r="E7163" s="270">
        <v>1</v>
      </c>
      <c r="F7163" s="270" t="s">
        <v>944</v>
      </c>
      <c r="G7163" s="270" t="s">
        <v>3926</v>
      </c>
      <c r="H7163" s="270" t="s">
        <v>11982</v>
      </c>
      <c r="I7163" s="270" t="s">
        <v>4490</v>
      </c>
      <c r="J7163" s="270" t="s">
        <v>3928</v>
      </c>
      <c r="K7163" s="270">
        <v>6426</v>
      </c>
      <c r="L7163" s="270">
        <v>630100</v>
      </c>
      <c r="M7163" s="270" t="s">
        <v>3960</v>
      </c>
      <c r="N7163" s="270" t="s">
        <v>3944</v>
      </c>
      <c r="O7163" s="270">
        <v>3275.2</v>
      </c>
      <c r="P7163" s="270" t="s">
        <v>3944</v>
      </c>
      <c r="Q7163" s="270" t="s">
        <v>3944</v>
      </c>
      <c r="R7163" s="270">
        <v>3275.2</v>
      </c>
      <c r="S7163" s="270">
        <v>58278.95</v>
      </c>
      <c r="T7163" s="270">
        <v>61554.15</v>
      </c>
      <c r="U7163" s="271" t="s">
        <v>3945</v>
      </c>
      <c r="V7163" s="267" t="s">
        <v>944</v>
      </c>
    </row>
    <row r="7164" spans="1:22" hidden="1" x14ac:dyDescent="0.25">
      <c r="A7164" s="266">
        <v>43794</v>
      </c>
      <c r="B7164" s="267">
        <v>2019</v>
      </c>
      <c r="C7164" s="267">
        <v>2020</v>
      </c>
      <c r="D7164" s="267">
        <v>1</v>
      </c>
      <c r="E7164" s="267">
        <v>1</v>
      </c>
      <c r="F7164" s="267" t="s">
        <v>944</v>
      </c>
      <c r="G7164" s="267" t="s">
        <v>3926</v>
      </c>
      <c r="H7164" s="267" t="s">
        <v>11983</v>
      </c>
      <c r="I7164" s="267" t="s">
        <v>4392</v>
      </c>
      <c r="J7164" s="267" t="s">
        <v>3928</v>
      </c>
      <c r="K7164" s="267">
        <v>6457</v>
      </c>
      <c r="L7164" s="267">
        <v>541200</v>
      </c>
      <c r="M7164" s="267" t="s">
        <v>3935</v>
      </c>
      <c r="N7164" s="267" t="s">
        <v>3944</v>
      </c>
      <c r="O7164" s="267">
        <v>2123.52</v>
      </c>
      <c r="P7164" s="267" t="s">
        <v>3944</v>
      </c>
      <c r="Q7164" s="267" t="s">
        <v>3944</v>
      </c>
      <c r="R7164" s="267">
        <v>2123.52</v>
      </c>
      <c r="S7164" s="267">
        <v>15321.48</v>
      </c>
      <c r="T7164" s="267">
        <v>17445</v>
      </c>
      <c r="U7164" s="268" t="s">
        <v>3945</v>
      </c>
      <c r="V7164" s="267" t="s">
        <v>944</v>
      </c>
    </row>
    <row r="7165" spans="1:22" hidden="1" x14ac:dyDescent="0.25">
      <c r="A7165" s="269">
        <v>43794</v>
      </c>
      <c r="B7165" s="270">
        <v>2019</v>
      </c>
      <c r="C7165" s="270">
        <v>2020</v>
      </c>
      <c r="D7165" s="270">
        <v>1</v>
      </c>
      <c r="E7165" s="270">
        <v>1</v>
      </c>
      <c r="F7165" s="270" t="s">
        <v>944</v>
      </c>
      <c r="G7165" s="270" t="s">
        <v>3926</v>
      </c>
      <c r="H7165" s="270" t="s">
        <v>11984</v>
      </c>
      <c r="I7165" s="270" t="s">
        <v>5147</v>
      </c>
      <c r="J7165" s="270" t="s">
        <v>3928</v>
      </c>
      <c r="K7165" s="270">
        <v>6468</v>
      </c>
      <c r="L7165" s="270">
        <v>100200</v>
      </c>
      <c r="M7165" s="270" t="s">
        <v>3943</v>
      </c>
      <c r="N7165" s="270" t="s">
        <v>3944</v>
      </c>
      <c r="O7165" s="270">
        <v>943.46</v>
      </c>
      <c r="P7165" s="270" t="s">
        <v>3944</v>
      </c>
      <c r="Q7165" s="270" t="s">
        <v>3944</v>
      </c>
      <c r="R7165" s="270">
        <v>943.46</v>
      </c>
      <c r="S7165" s="270">
        <v>14428.54</v>
      </c>
      <c r="T7165" s="270">
        <v>15372</v>
      </c>
      <c r="U7165" s="271" t="s">
        <v>3945</v>
      </c>
      <c r="V7165" s="267" t="s">
        <v>944</v>
      </c>
    </row>
    <row r="7166" spans="1:22" hidden="1" x14ac:dyDescent="0.25">
      <c r="A7166" s="266">
        <v>43794</v>
      </c>
      <c r="B7166" s="267">
        <v>2019</v>
      </c>
      <c r="C7166" s="267">
        <v>2020</v>
      </c>
      <c r="D7166" s="267">
        <v>1</v>
      </c>
      <c r="E7166" s="267">
        <v>1</v>
      </c>
      <c r="F7166" s="267" t="s">
        <v>944</v>
      </c>
      <c r="G7166" s="267" t="s">
        <v>3926</v>
      </c>
      <c r="H7166" s="267" t="s">
        <v>11985</v>
      </c>
      <c r="I7166" s="267" t="s">
        <v>950</v>
      </c>
      <c r="J7166" s="267" t="s">
        <v>3928</v>
      </c>
      <c r="K7166" s="267">
        <v>6516</v>
      </c>
      <c r="L7166" s="267">
        <v>154800</v>
      </c>
      <c r="M7166" s="267" t="s">
        <v>3960</v>
      </c>
      <c r="N7166" s="267" t="s">
        <v>3944</v>
      </c>
      <c r="O7166" s="267">
        <v>1320.69</v>
      </c>
      <c r="P7166" s="267" t="s">
        <v>3944</v>
      </c>
      <c r="Q7166" s="267" t="s">
        <v>3944</v>
      </c>
      <c r="R7166" s="267">
        <v>1320.69</v>
      </c>
      <c r="S7166" s="267">
        <v>23520.52</v>
      </c>
      <c r="T7166" s="267">
        <v>24841.21</v>
      </c>
      <c r="U7166" s="268" t="s">
        <v>3945</v>
      </c>
      <c r="V7166" s="267" t="s">
        <v>944</v>
      </c>
    </row>
    <row r="7167" spans="1:22" hidden="1" x14ac:dyDescent="0.25">
      <c r="A7167" s="269">
        <v>43794</v>
      </c>
      <c r="B7167" s="270">
        <v>2019</v>
      </c>
      <c r="C7167" s="270">
        <v>2020</v>
      </c>
      <c r="D7167" s="270">
        <v>1</v>
      </c>
      <c r="E7167" s="270">
        <v>1</v>
      </c>
      <c r="F7167" s="270" t="s">
        <v>944</v>
      </c>
      <c r="G7167" s="270" t="s">
        <v>3926</v>
      </c>
      <c r="H7167" s="270" t="s">
        <v>11986</v>
      </c>
      <c r="I7167" s="270" t="s">
        <v>3985</v>
      </c>
      <c r="J7167" s="270" t="s">
        <v>3928</v>
      </c>
      <c r="K7167" s="270">
        <v>6226</v>
      </c>
      <c r="L7167" s="270">
        <v>800600</v>
      </c>
      <c r="M7167" s="270">
        <v>-60</v>
      </c>
      <c r="N7167" s="270" t="s">
        <v>3944</v>
      </c>
      <c r="O7167" s="270">
        <v>1672.44</v>
      </c>
      <c r="P7167" s="270" t="s">
        <v>3944</v>
      </c>
      <c r="Q7167" s="270" t="s">
        <v>3944</v>
      </c>
      <c r="R7167" s="270">
        <v>1672.44</v>
      </c>
      <c r="S7167" s="270">
        <v>26434.03</v>
      </c>
      <c r="T7167" s="270">
        <v>28106.47</v>
      </c>
      <c r="U7167" s="271" t="s">
        <v>3945</v>
      </c>
      <c r="V7167" s="267" t="s">
        <v>944</v>
      </c>
    </row>
    <row r="7168" spans="1:22" hidden="1" x14ac:dyDescent="0.25">
      <c r="A7168" s="266">
        <v>43794</v>
      </c>
      <c r="B7168" s="267">
        <v>2019</v>
      </c>
      <c r="C7168" s="267">
        <v>2020</v>
      </c>
      <c r="D7168" s="267">
        <v>1</v>
      </c>
      <c r="E7168" s="267">
        <v>1</v>
      </c>
      <c r="F7168" s="267" t="s">
        <v>944</v>
      </c>
      <c r="G7168" s="267" t="s">
        <v>3926</v>
      </c>
      <c r="H7168" s="267" t="s">
        <v>11987</v>
      </c>
      <c r="I7168" s="267" t="s">
        <v>4323</v>
      </c>
      <c r="J7168" s="267" t="s">
        <v>3928</v>
      </c>
      <c r="K7168" s="267">
        <v>6385</v>
      </c>
      <c r="L7168" s="267">
        <v>693700</v>
      </c>
      <c r="M7168" s="267" t="s">
        <v>3943</v>
      </c>
      <c r="N7168" s="267" t="s">
        <v>3944</v>
      </c>
      <c r="O7168" s="267">
        <v>1277.78</v>
      </c>
      <c r="P7168" s="267" t="s">
        <v>3944</v>
      </c>
      <c r="Q7168" s="267" t="s">
        <v>3944</v>
      </c>
      <c r="R7168" s="267">
        <v>1277.78</v>
      </c>
      <c r="S7168" s="267">
        <v>18038.02</v>
      </c>
      <c r="T7168" s="267">
        <v>19315.8</v>
      </c>
      <c r="U7168" s="268" t="s">
        <v>3945</v>
      </c>
      <c r="V7168" s="267" t="s">
        <v>944</v>
      </c>
    </row>
    <row r="7169" spans="1:22" hidden="1" x14ac:dyDescent="0.25">
      <c r="A7169" s="269">
        <v>43794</v>
      </c>
      <c r="B7169" s="270">
        <v>2019</v>
      </c>
      <c r="C7169" s="270">
        <v>2020</v>
      </c>
      <c r="D7169" s="270">
        <v>1</v>
      </c>
      <c r="E7169" s="270">
        <v>1</v>
      </c>
      <c r="F7169" s="270" t="s">
        <v>944</v>
      </c>
      <c r="G7169" s="270" t="s">
        <v>3926</v>
      </c>
      <c r="H7169" s="270" t="s">
        <v>11988</v>
      </c>
      <c r="I7169" s="270" t="s">
        <v>4037</v>
      </c>
      <c r="J7169" s="270" t="s">
        <v>3928</v>
      </c>
      <c r="K7169" s="270">
        <v>6811</v>
      </c>
      <c r="L7169" s="270">
        <v>210900</v>
      </c>
      <c r="M7169" s="270" t="s">
        <v>3943</v>
      </c>
      <c r="N7169" s="270" t="s">
        <v>3944</v>
      </c>
      <c r="O7169" s="270">
        <v>982.45</v>
      </c>
      <c r="P7169" s="270" t="s">
        <v>3944</v>
      </c>
      <c r="Q7169" s="270" t="s">
        <v>3944</v>
      </c>
      <c r="R7169" s="270">
        <v>982.45</v>
      </c>
      <c r="S7169" s="270">
        <v>13140.97</v>
      </c>
      <c r="T7169" s="270">
        <v>14123.42</v>
      </c>
      <c r="U7169" s="271" t="s">
        <v>3945</v>
      </c>
      <c r="V7169" s="267" t="s">
        <v>944</v>
      </c>
    </row>
    <row r="7170" spans="1:22" hidden="1" x14ac:dyDescent="0.25">
      <c r="A7170" s="266">
        <v>43794</v>
      </c>
      <c r="B7170" s="267">
        <v>2019</v>
      </c>
      <c r="C7170" s="267">
        <v>2020</v>
      </c>
      <c r="D7170" s="267">
        <v>1</v>
      </c>
      <c r="E7170" s="267">
        <v>1</v>
      </c>
      <c r="F7170" s="267" t="s">
        <v>944</v>
      </c>
      <c r="G7170" s="267" t="s">
        <v>3926</v>
      </c>
      <c r="H7170" s="267" t="s">
        <v>11989</v>
      </c>
      <c r="I7170" s="267" t="s">
        <v>4005</v>
      </c>
      <c r="J7170" s="267" t="s">
        <v>3928</v>
      </c>
      <c r="K7170" s="267">
        <v>6118</v>
      </c>
      <c r="L7170" s="267">
        <v>510800</v>
      </c>
      <c r="M7170" s="267" t="s">
        <v>3940</v>
      </c>
      <c r="N7170" s="267" t="s">
        <v>3944</v>
      </c>
      <c r="O7170" s="267">
        <v>1944.15</v>
      </c>
      <c r="P7170" s="267" t="s">
        <v>3944</v>
      </c>
      <c r="Q7170" s="267" t="s">
        <v>3944</v>
      </c>
      <c r="R7170" s="267">
        <v>1944.15</v>
      </c>
      <c r="S7170" s="267">
        <v>32589.16</v>
      </c>
      <c r="T7170" s="267">
        <v>34533.31</v>
      </c>
      <c r="U7170" s="268" t="s">
        <v>3945</v>
      </c>
      <c r="V7170" s="267" t="s">
        <v>944</v>
      </c>
    </row>
    <row r="7171" spans="1:22" hidden="1" x14ac:dyDescent="0.25">
      <c r="A7171" s="269">
        <v>43794</v>
      </c>
      <c r="B7171" s="270">
        <v>2019</v>
      </c>
      <c r="C7171" s="270">
        <v>2020</v>
      </c>
      <c r="D7171" s="270">
        <v>1</v>
      </c>
      <c r="E7171" s="270">
        <v>1</v>
      </c>
      <c r="F7171" s="270" t="s">
        <v>944</v>
      </c>
      <c r="G7171" s="270" t="s">
        <v>3926</v>
      </c>
      <c r="H7171" s="270" t="s">
        <v>11990</v>
      </c>
      <c r="I7171" s="270" t="s">
        <v>2987</v>
      </c>
      <c r="J7171" s="270" t="s">
        <v>3928</v>
      </c>
      <c r="K7171" s="270">
        <v>6611</v>
      </c>
      <c r="L7171" s="270">
        <v>90400</v>
      </c>
      <c r="M7171" s="270" t="s">
        <v>3943</v>
      </c>
      <c r="N7171" s="270" t="s">
        <v>3944</v>
      </c>
      <c r="O7171" s="270">
        <v>2083.9</v>
      </c>
      <c r="P7171" s="270" t="s">
        <v>3944</v>
      </c>
      <c r="Q7171" s="270" t="s">
        <v>3944</v>
      </c>
      <c r="R7171" s="270">
        <v>2083.9</v>
      </c>
      <c r="S7171" s="270">
        <v>16662.099999999999</v>
      </c>
      <c r="T7171" s="270">
        <v>18746</v>
      </c>
      <c r="U7171" s="271" t="s">
        <v>3945</v>
      </c>
      <c r="V7171" s="267" t="s">
        <v>944</v>
      </c>
    </row>
    <row r="7172" spans="1:22" hidden="1" x14ac:dyDescent="0.25">
      <c r="A7172" s="266">
        <v>43794</v>
      </c>
      <c r="B7172" s="267">
        <v>2019</v>
      </c>
      <c r="C7172" s="267">
        <v>2020</v>
      </c>
      <c r="D7172" s="267">
        <v>1</v>
      </c>
      <c r="E7172" s="267">
        <v>1</v>
      </c>
      <c r="F7172" s="267" t="s">
        <v>944</v>
      </c>
      <c r="G7172" s="267" t="s">
        <v>3926</v>
      </c>
      <c r="H7172" s="267" t="s">
        <v>11991</v>
      </c>
      <c r="I7172" s="267" t="s">
        <v>4037</v>
      </c>
      <c r="J7172" s="267" t="s">
        <v>3928</v>
      </c>
      <c r="K7172" s="267">
        <v>6810</v>
      </c>
      <c r="L7172" s="267">
        <v>210500</v>
      </c>
      <c r="M7172" s="267" t="s">
        <v>3960</v>
      </c>
      <c r="N7172" s="267" t="s">
        <v>3944</v>
      </c>
      <c r="O7172" s="267">
        <v>2446.0500000000002</v>
      </c>
      <c r="P7172" s="267" t="s">
        <v>3944</v>
      </c>
      <c r="Q7172" s="267" t="s">
        <v>3944</v>
      </c>
      <c r="R7172" s="267">
        <v>2446.0500000000002</v>
      </c>
      <c r="S7172" s="267">
        <v>21921.95</v>
      </c>
      <c r="T7172" s="267">
        <v>24368</v>
      </c>
      <c r="U7172" s="268" t="s">
        <v>3945</v>
      </c>
      <c r="V7172" s="267" t="s">
        <v>944</v>
      </c>
    </row>
    <row r="7173" spans="1:22" hidden="1" x14ac:dyDescent="0.25">
      <c r="A7173" s="269">
        <v>43794</v>
      </c>
      <c r="B7173" s="270">
        <v>2019</v>
      </c>
      <c r="C7173" s="270">
        <v>2020</v>
      </c>
      <c r="D7173" s="270">
        <v>1</v>
      </c>
      <c r="E7173" s="270">
        <v>1</v>
      </c>
      <c r="F7173" s="270" t="s">
        <v>944</v>
      </c>
      <c r="G7173" s="270" t="s">
        <v>3926</v>
      </c>
      <c r="H7173" s="270" t="s">
        <v>11992</v>
      </c>
      <c r="I7173" s="270" t="s">
        <v>4310</v>
      </c>
      <c r="J7173" s="270" t="s">
        <v>3928</v>
      </c>
      <c r="K7173" s="270">
        <v>6351</v>
      </c>
      <c r="L7173" s="270">
        <v>710100</v>
      </c>
      <c r="M7173" s="270" t="s">
        <v>3960</v>
      </c>
      <c r="N7173" s="270" t="s">
        <v>3944</v>
      </c>
      <c r="O7173" s="270">
        <v>1655.43</v>
      </c>
      <c r="P7173" s="270" t="s">
        <v>3944</v>
      </c>
      <c r="Q7173" s="270" t="s">
        <v>3944</v>
      </c>
      <c r="R7173" s="270">
        <v>1655.43</v>
      </c>
      <c r="S7173" s="270">
        <v>11239.57</v>
      </c>
      <c r="T7173" s="270">
        <v>12895</v>
      </c>
      <c r="U7173" s="271" t="s">
        <v>3945</v>
      </c>
      <c r="V7173" s="267" t="s">
        <v>944</v>
      </c>
    </row>
    <row r="7174" spans="1:22" hidden="1" x14ac:dyDescent="0.25">
      <c r="A7174" s="266">
        <v>43794</v>
      </c>
      <c r="B7174" s="267">
        <v>2019</v>
      </c>
      <c r="C7174" s="267">
        <v>2020</v>
      </c>
      <c r="D7174" s="267">
        <v>1</v>
      </c>
      <c r="E7174" s="267">
        <v>1</v>
      </c>
      <c r="F7174" s="267" t="s">
        <v>944</v>
      </c>
      <c r="G7174" s="267" t="s">
        <v>3926</v>
      </c>
      <c r="H7174" s="267" t="s">
        <v>11993</v>
      </c>
      <c r="I7174" s="267" t="s">
        <v>3012</v>
      </c>
      <c r="J7174" s="267" t="s">
        <v>3928</v>
      </c>
      <c r="K7174" s="267">
        <v>6477</v>
      </c>
      <c r="L7174" s="267">
        <v>157400</v>
      </c>
      <c r="M7174" s="267" t="s">
        <v>3943</v>
      </c>
      <c r="N7174" s="267" t="s">
        <v>3944</v>
      </c>
      <c r="O7174" s="267">
        <v>1141.9100000000001</v>
      </c>
      <c r="P7174" s="267" t="s">
        <v>3944</v>
      </c>
      <c r="Q7174" s="267" t="s">
        <v>3944</v>
      </c>
      <c r="R7174" s="267">
        <v>1141.9100000000001</v>
      </c>
      <c r="S7174" s="267">
        <v>18122.73</v>
      </c>
      <c r="T7174" s="267">
        <v>19264.64</v>
      </c>
      <c r="U7174" s="268" t="s">
        <v>3945</v>
      </c>
      <c r="V7174" s="267" t="s">
        <v>944</v>
      </c>
    </row>
    <row r="7175" spans="1:22" hidden="1" x14ac:dyDescent="0.25">
      <c r="A7175" s="269">
        <v>43794</v>
      </c>
      <c r="B7175" s="270">
        <v>2019</v>
      </c>
      <c r="C7175" s="270">
        <v>2020</v>
      </c>
      <c r="D7175" s="270">
        <v>1</v>
      </c>
      <c r="E7175" s="270">
        <v>1</v>
      </c>
      <c r="F7175" s="270" t="s">
        <v>944</v>
      </c>
      <c r="G7175" s="270" t="s">
        <v>3926</v>
      </c>
      <c r="H7175" s="270" t="s">
        <v>11994</v>
      </c>
      <c r="I7175" s="270" t="s">
        <v>953</v>
      </c>
      <c r="J7175" s="270" t="s">
        <v>3928</v>
      </c>
      <c r="K7175" s="270">
        <v>6517</v>
      </c>
      <c r="L7175" s="270">
        <v>165100</v>
      </c>
      <c r="M7175" s="270" t="s">
        <v>3935</v>
      </c>
      <c r="N7175" s="270" t="s">
        <v>3944</v>
      </c>
      <c r="O7175" s="270">
        <v>2110.6799999999998</v>
      </c>
      <c r="P7175" s="270" t="s">
        <v>3944</v>
      </c>
      <c r="Q7175" s="270" t="s">
        <v>3944</v>
      </c>
      <c r="R7175" s="270">
        <v>2110.6799999999998</v>
      </c>
      <c r="S7175" s="270">
        <v>33746.199999999997</v>
      </c>
      <c r="T7175" s="270">
        <v>35856.879999999997</v>
      </c>
      <c r="U7175" s="271" t="s">
        <v>3945</v>
      </c>
      <c r="V7175" s="267" t="s">
        <v>944</v>
      </c>
    </row>
    <row r="7176" spans="1:22" hidden="1" x14ac:dyDescent="0.25">
      <c r="A7176" s="266">
        <v>43794</v>
      </c>
      <c r="B7176" s="267">
        <v>2019</v>
      </c>
      <c r="C7176" s="267">
        <v>2020</v>
      </c>
      <c r="D7176" s="267">
        <v>1</v>
      </c>
      <c r="E7176" s="267">
        <v>1</v>
      </c>
      <c r="F7176" s="267" t="s">
        <v>944</v>
      </c>
      <c r="G7176" s="267" t="s">
        <v>3926</v>
      </c>
      <c r="H7176" s="267" t="s">
        <v>11995</v>
      </c>
      <c r="I7176" s="267" t="s">
        <v>3971</v>
      </c>
      <c r="J7176" s="267" t="s">
        <v>3928</v>
      </c>
      <c r="K7176" s="267">
        <v>6084</v>
      </c>
      <c r="L7176" s="267">
        <v>533102</v>
      </c>
      <c r="M7176" s="267" t="s">
        <v>3943</v>
      </c>
      <c r="N7176" s="267" t="s">
        <v>3944</v>
      </c>
      <c r="O7176" s="267">
        <v>1468.78</v>
      </c>
      <c r="P7176" s="267" t="s">
        <v>3944</v>
      </c>
      <c r="Q7176" s="267" t="s">
        <v>3944</v>
      </c>
      <c r="R7176" s="267">
        <v>1468.78</v>
      </c>
      <c r="S7176" s="267">
        <v>16470.22</v>
      </c>
      <c r="T7176" s="267">
        <v>17939</v>
      </c>
      <c r="U7176" s="268" t="s">
        <v>3945</v>
      </c>
      <c r="V7176" s="267" t="s">
        <v>944</v>
      </c>
    </row>
    <row r="7177" spans="1:22" hidden="1" x14ac:dyDescent="0.25">
      <c r="A7177" s="269">
        <v>43794</v>
      </c>
      <c r="B7177" s="270">
        <v>2019</v>
      </c>
      <c r="C7177" s="270">
        <v>2020</v>
      </c>
      <c r="D7177" s="270">
        <v>1</v>
      </c>
      <c r="E7177" s="270">
        <v>1</v>
      </c>
      <c r="F7177" s="270" t="s">
        <v>944</v>
      </c>
      <c r="G7177" s="270" t="s">
        <v>3926</v>
      </c>
      <c r="H7177" s="270" t="s">
        <v>11996</v>
      </c>
      <c r="I7177" s="270" t="s">
        <v>3954</v>
      </c>
      <c r="J7177" s="270" t="s">
        <v>3928</v>
      </c>
      <c r="K7177" s="270">
        <v>6357</v>
      </c>
      <c r="L7177" s="270">
        <v>870704</v>
      </c>
      <c r="M7177" s="270" t="s">
        <v>3935</v>
      </c>
      <c r="N7177" s="270" t="s">
        <v>3944</v>
      </c>
      <c r="O7177" s="270">
        <v>1819.9</v>
      </c>
      <c r="P7177" s="270" t="s">
        <v>3944</v>
      </c>
      <c r="Q7177" s="270" t="s">
        <v>3944</v>
      </c>
      <c r="R7177" s="270">
        <v>1819.9</v>
      </c>
      <c r="S7177" s="270">
        <v>13282.1</v>
      </c>
      <c r="T7177" s="270">
        <v>15102</v>
      </c>
      <c r="U7177" s="271" t="s">
        <v>3945</v>
      </c>
      <c r="V7177" s="267" t="s">
        <v>944</v>
      </c>
    </row>
    <row r="7178" spans="1:22" hidden="1" x14ac:dyDescent="0.25">
      <c r="A7178" s="266">
        <v>43794</v>
      </c>
      <c r="B7178" s="267">
        <v>2019</v>
      </c>
      <c r="C7178" s="267">
        <v>2020</v>
      </c>
      <c r="D7178" s="267">
        <v>1</v>
      </c>
      <c r="E7178" s="267">
        <v>1</v>
      </c>
      <c r="F7178" s="267" t="s">
        <v>944</v>
      </c>
      <c r="G7178" s="267" t="s">
        <v>3926</v>
      </c>
      <c r="H7178" s="267" t="s">
        <v>11997</v>
      </c>
      <c r="I7178" s="267" t="s">
        <v>3949</v>
      </c>
      <c r="J7178" s="267" t="s">
        <v>3928</v>
      </c>
      <c r="K7178" s="267">
        <v>6437</v>
      </c>
      <c r="L7178" s="267">
        <v>190303</v>
      </c>
      <c r="M7178" s="267" t="s">
        <v>3943</v>
      </c>
      <c r="N7178" s="267" t="s">
        <v>3944</v>
      </c>
      <c r="O7178" s="267">
        <v>746.2</v>
      </c>
      <c r="P7178" s="267" t="s">
        <v>3944</v>
      </c>
      <c r="Q7178" s="267" t="s">
        <v>3944</v>
      </c>
      <c r="R7178" s="267">
        <v>746.2</v>
      </c>
      <c r="S7178" s="267">
        <v>9435.7999999999993</v>
      </c>
      <c r="T7178" s="267">
        <v>10182</v>
      </c>
      <c r="U7178" s="268" t="s">
        <v>3945</v>
      </c>
      <c r="V7178" s="267" t="s">
        <v>944</v>
      </c>
    </row>
    <row r="7179" spans="1:22" hidden="1" x14ac:dyDescent="0.25">
      <c r="A7179" s="269">
        <v>43794</v>
      </c>
      <c r="B7179" s="270">
        <v>2019</v>
      </c>
      <c r="C7179" s="270">
        <v>2020</v>
      </c>
      <c r="D7179" s="270">
        <v>1</v>
      </c>
      <c r="E7179" s="270">
        <v>1</v>
      </c>
      <c r="F7179" s="270" t="s">
        <v>944</v>
      </c>
      <c r="G7179" s="270" t="s">
        <v>3926</v>
      </c>
      <c r="H7179" s="270" t="s">
        <v>11998</v>
      </c>
      <c r="I7179" s="270" t="s">
        <v>4011</v>
      </c>
      <c r="J7179" s="270" t="s">
        <v>3928</v>
      </c>
      <c r="K7179" s="270">
        <v>6002</v>
      </c>
      <c r="L7179" s="270">
        <v>471400</v>
      </c>
      <c r="M7179" s="270" t="s">
        <v>3943</v>
      </c>
      <c r="N7179" s="270" t="s">
        <v>3944</v>
      </c>
      <c r="O7179" s="270">
        <v>2160.2399999999998</v>
      </c>
      <c r="P7179" s="270" t="s">
        <v>3944</v>
      </c>
      <c r="Q7179" s="270" t="s">
        <v>3944</v>
      </c>
      <c r="R7179" s="270">
        <v>2160.2399999999998</v>
      </c>
      <c r="S7179" s="270">
        <v>32047.21</v>
      </c>
      <c r="T7179" s="270">
        <v>34207.449999999997</v>
      </c>
      <c r="U7179" s="271" t="s">
        <v>3945</v>
      </c>
      <c r="V7179" s="267" t="s">
        <v>944</v>
      </c>
    </row>
    <row r="7180" spans="1:22" hidden="1" x14ac:dyDescent="0.25">
      <c r="A7180" s="266">
        <v>43794</v>
      </c>
      <c r="B7180" s="267">
        <v>2019</v>
      </c>
      <c r="C7180" s="267">
        <v>2020</v>
      </c>
      <c r="D7180" s="267">
        <v>1</v>
      </c>
      <c r="E7180" s="267">
        <v>1</v>
      </c>
      <c r="F7180" s="267" t="s">
        <v>944</v>
      </c>
      <c r="G7180" s="267" t="s">
        <v>3926</v>
      </c>
      <c r="H7180" s="267" t="s">
        <v>11999</v>
      </c>
      <c r="I7180" s="267" t="s">
        <v>4323</v>
      </c>
      <c r="J7180" s="267" t="s">
        <v>3928</v>
      </c>
      <c r="K7180" s="267">
        <v>6375</v>
      </c>
      <c r="L7180" s="267">
        <v>693700</v>
      </c>
      <c r="M7180" s="267" t="s">
        <v>3943</v>
      </c>
      <c r="N7180" s="267" t="s">
        <v>3944</v>
      </c>
      <c r="O7180" s="267">
        <v>682.96</v>
      </c>
      <c r="P7180" s="267" t="s">
        <v>3944</v>
      </c>
      <c r="Q7180" s="267" t="s">
        <v>3944</v>
      </c>
      <c r="R7180" s="267">
        <v>682.96</v>
      </c>
      <c r="S7180" s="267">
        <v>12241.36</v>
      </c>
      <c r="T7180" s="267">
        <v>12924.32</v>
      </c>
      <c r="U7180" s="268" t="s">
        <v>3945</v>
      </c>
      <c r="V7180" s="267" t="s">
        <v>944</v>
      </c>
    </row>
    <row r="7181" spans="1:22" hidden="1" x14ac:dyDescent="0.25">
      <c r="A7181" s="269">
        <v>43794</v>
      </c>
      <c r="B7181" s="270">
        <v>2019</v>
      </c>
      <c r="C7181" s="270">
        <v>2020</v>
      </c>
      <c r="D7181" s="270">
        <v>1</v>
      </c>
      <c r="E7181" s="270">
        <v>1</v>
      </c>
      <c r="F7181" s="270" t="s">
        <v>944</v>
      </c>
      <c r="G7181" s="270" t="s">
        <v>3926</v>
      </c>
      <c r="H7181" s="270" t="s">
        <v>12000</v>
      </c>
      <c r="I7181" s="270" t="s">
        <v>956</v>
      </c>
      <c r="J7181" s="270" t="s">
        <v>3928</v>
      </c>
      <c r="K7181" s="270">
        <v>6614</v>
      </c>
      <c r="L7181" s="270">
        <v>80900</v>
      </c>
      <c r="M7181" s="270" t="s">
        <v>3960</v>
      </c>
      <c r="N7181" s="270" t="s">
        <v>3944</v>
      </c>
      <c r="O7181" s="270">
        <v>1240.02</v>
      </c>
      <c r="P7181" s="270" t="s">
        <v>3944</v>
      </c>
      <c r="Q7181" s="270" t="s">
        <v>3944</v>
      </c>
      <c r="R7181" s="270">
        <v>1240.02</v>
      </c>
      <c r="S7181" s="270">
        <v>19738.98</v>
      </c>
      <c r="T7181" s="270">
        <v>20979</v>
      </c>
      <c r="U7181" s="271" t="s">
        <v>3945</v>
      </c>
      <c r="V7181" s="267" t="s">
        <v>944</v>
      </c>
    </row>
    <row r="7182" spans="1:22" hidden="1" x14ac:dyDescent="0.25">
      <c r="A7182" s="266">
        <v>43794</v>
      </c>
      <c r="B7182" s="267">
        <v>2019</v>
      </c>
      <c r="C7182" s="267">
        <v>2020</v>
      </c>
      <c r="D7182" s="267">
        <v>1</v>
      </c>
      <c r="E7182" s="267">
        <v>1</v>
      </c>
      <c r="F7182" s="267" t="s">
        <v>944</v>
      </c>
      <c r="G7182" s="267" t="s">
        <v>3926</v>
      </c>
      <c r="H7182" s="267" t="s">
        <v>12001</v>
      </c>
      <c r="I7182" s="267" t="s">
        <v>956</v>
      </c>
      <c r="J7182" s="267" t="s">
        <v>3928</v>
      </c>
      <c r="K7182" s="267">
        <v>6614</v>
      </c>
      <c r="L7182" s="267">
        <v>80900</v>
      </c>
      <c r="M7182" s="267" t="s">
        <v>3960</v>
      </c>
      <c r="N7182" s="267" t="s">
        <v>3944</v>
      </c>
      <c r="O7182" s="267">
        <v>1933.75</v>
      </c>
      <c r="P7182" s="267" t="s">
        <v>3944</v>
      </c>
      <c r="Q7182" s="267" t="s">
        <v>3944</v>
      </c>
      <c r="R7182" s="267">
        <v>1933.75</v>
      </c>
      <c r="S7182" s="267">
        <v>35692.89</v>
      </c>
      <c r="T7182" s="267">
        <v>37626.639999999999</v>
      </c>
      <c r="U7182" s="268" t="s">
        <v>3945</v>
      </c>
      <c r="V7182" s="267" t="s">
        <v>944</v>
      </c>
    </row>
    <row r="7183" spans="1:22" hidden="1" x14ac:dyDescent="0.25">
      <c r="A7183" s="269">
        <v>43794</v>
      </c>
      <c r="B7183" s="270">
        <v>2019</v>
      </c>
      <c r="C7183" s="270">
        <v>2020</v>
      </c>
      <c r="D7183" s="270">
        <v>1</v>
      </c>
      <c r="E7183" s="270">
        <v>1</v>
      </c>
      <c r="F7183" s="270" t="s">
        <v>944</v>
      </c>
      <c r="G7183" s="270" t="s">
        <v>3926</v>
      </c>
      <c r="H7183" s="270" t="s">
        <v>12002</v>
      </c>
      <c r="I7183" s="270" t="s">
        <v>4042</v>
      </c>
      <c r="J7183" s="270" t="s">
        <v>3928</v>
      </c>
      <c r="K7183" s="270">
        <v>6382</v>
      </c>
      <c r="L7183" s="270">
        <v>870501</v>
      </c>
      <c r="M7183" s="270" t="s">
        <v>3935</v>
      </c>
      <c r="N7183" s="270" t="s">
        <v>3944</v>
      </c>
      <c r="O7183" s="270">
        <v>2137</v>
      </c>
      <c r="P7183" s="270" t="s">
        <v>3944</v>
      </c>
      <c r="Q7183" s="270" t="s">
        <v>3944</v>
      </c>
      <c r="R7183" s="270">
        <v>2137</v>
      </c>
      <c r="S7183" s="270">
        <v>32752.14</v>
      </c>
      <c r="T7183" s="270">
        <v>34889.14</v>
      </c>
      <c r="U7183" s="271" t="s">
        <v>3945</v>
      </c>
      <c r="V7183" s="267" t="s">
        <v>944</v>
      </c>
    </row>
    <row r="7184" spans="1:22" hidden="1" x14ac:dyDescent="0.25">
      <c r="A7184" s="266">
        <v>43794</v>
      </c>
      <c r="B7184" s="267">
        <v>2019</v>
      </c>
      <c r="C7184" s="267">
        <v>2020</v>
      </c>
      <c r="D7184" s="267">
        <v>1</v>
      </c>
      <c r="E7184" s="267">
        <v>1</v>
      </c>
      <c r="F7184" s="267" t="s">
        <v>944</v>
      </c>
      <c r="G7184" s="267" t="s">
        <v>3926</v>
      </c>
      <c r="H7184" s="267" t="s">
        <v>12003</v>
      </c>
      <c r="I7184" s="267" t="s">
        <v>3934</v>
      </c>
      <c r="J7184" s="267" t="s">
        <v>3928</v>
      </c>
      <c r="K7184" s="267">
        <v>6405</v>
      </c>
      <c r="L7184" s="267">
        <v>184700</v>
      </c>
      <c r="M7184" s="267" t="s">
        <v>3935</v>
      </c>
      <c r="N7184" s="267" t="s">
        <v>3944</v>
      </c>
      <c r="O7184" s="267">
        <v>2477.9699999999998</v>
      </c>
      <c r="P7184" s="267" t="s">
        <v>3944</v>
      </c>
      <c r="Q7184" s="267" t="s">
        <v>3944</v>
      </c>
      <c r="R7184" s="267">
        <v>2477.9699999999998</v>
      </c>
      <c r="S7184" s="267">
        <v>39176.129999999997</v>
      </c>
      <c r="T7184" s="267">
        <v>41654.1</v>
      </c>
      <c r="U7184" s="268" t="s">
        <v>3945</v>
      </c>
      <c r="V7184" s="267" t="s">
        <v>944</v>
      </c>
    </row>
    <row r="7185" spans="1:22" hidden="1" x14ac:dyDescent="0.25">
      <c r="A7185" s="269">
        <v>43794</v>
      </c>
      <c r="B7185" s="270">
        <v>2019</v>
      </c>
      <c r="C7185" s="270">
        <v>2020</v>
      </c>
      <c r="D7185" s="270">
        <v>1</v>
      </c>
      <c r="E7185" s="270">
        <v>1</v>
      </c>
      <c r="F7185" s="270" t="s">
        <v>944</v>
      </c>
      <c r="G7185" s="270" t="s">
        <v>3926</v>
      </c>
      <c r="H7185" s="270" t="s">
        <v>12004</v>
      </c>
      <c r="I7185" s="270" t="s">
        <v>5147</v>
      </c>
      <c r="J7185" s="270" t="s">
        <v>3928</v>
      </c>
      <c r="K7185" s="270">
        <v>6468</v>
      </c>
      <c r="L7185" s="270">
        <v>100300</v>
      </c>
      <c r="M7185" s="270" t="s">
        <v>3943</v>
      </c>
      <c r="N7185" s="270" t="s">
        <v>3944</v>
      </c>
      <c r="O7185" s="270">
        <v>1895.6</v>
      </c>
      <c r="P7185" s="270" t="s">
        <v>3944</v>
      </c>
      <c r="Q7185" s="270" t="s">
        <v>3944</v>
      </c>
      <c r="R7185" s="270">
        <v>1895.6</v>
      </c>
      <c r="S7185" s="270">
        <v>13904.4</v>
      </c>
      <c r="T7185" s="270">
        <v>15800</v>
      </c>
      <c r="U7185" s="271" t="s">
        <v>3945</v>
      </c>
      <c r="V7185" s="267" t="s">
        <v>944</v>
      </c>
    </row>
    <row r="7186" spans="1:22" hidden="1" x14ac:dyDescent="0.25">
      <c r="A7186" s="266">
        <v>43794</v>
      </c>
      <c r="B7186" s="267">
        <v>2019</v>
      </c>
      <c r="C7186" s="267">
        <v>2020</v>
      </c>
      <c r="D7186" s="267">
        <v>1</v>
      </c>
      <c r="E7186" s="267">
        <v>1</v>
      </c>
      <c r="F7186" s="267" t="s">
        <v>944</v>
      </c>
      <c r="G7186" s="267" t="s">
        <v>3926</v>
      </c>
      <c r="H7186" s="267" t="s">
        <v>12005</v>
      </c>
      <c r="I7186" s="267" t="s">
        <v>4353</v>
      </c>
      <c r="J7186" s="267" t="s">
        <v>3928</v>
      </c>
      <c r="K7186" s="267">
        <v>6416</v>
      </c>
      <c r="L7186" s="267">
        <v>570300</v>
      </c>
      <c r="M7186" s="267" t="s">
        <v>3940</v>
      </c>
      <c r="N7186" s="267" t="s">
        <v>3944</v>
      </c>
      <c r="O7186" s="267">
        <v>1956.36</v>
      </c>
      <c r="P7186" s="267" t="s">
        <v>3944</v>
      </c>
      <c r="Q7186" s="267" t="s">
        <v>3944</v>
      </c>
      <c r="R7186" s="267">
        <v>1956.36</v>
      </c>
      <c r="S7186" s="267">
        <v>27467.79</v>
      </c>
      <c r="T7186" s="267">
        <v>29424.15</v>
      </c>
      <c r="U7186" s="268" t="s">
        <v>3945</v>
      </c>
      <c r="V7186" s="267" t="s">
        <v>944</v>
      </c>
    </row>
    <row r="7187" spans="1:22" hidden="1" x14ac:dyDescent="0.25">
      <c r="A7187" s="269">
        <v>43794</v>
      </c>
      <c r="B7187" s="270">
        <v>2019</v>
      </c>
      <c r="C7187" s="270">
        <v>2020</v>
      </c>
      <c r="D7187" s="270">
        <v>1</v>
      </c>
      <c r="E7187" s="270">
        <v>1</v>
      </c>
      <c r="F7187" s="270" t="s">
        <v>944</v>
      </c>
      <c r="G7187" s="270" t="s">
        <v>3926</v>
      </c>
      <c r="H7187" s="270" t="s">
        <v>12006</v>
      </c>
      <c r="I7187" s="270" t="s">
        <v>2981</v>
      </c>
      <c r="J7187" s="270" t="s">
        <v>3928</v>
      </c>
      <c r="K7187" s="270">
        <v>6612</v>
      </c>
      <c r="L7187" s="270">
        <v>105200</v>
      </c>
      <c r="M7187" s="270" t="s">
        <v>3943</v>
      </c>
      <c r="N7187" s="270" t="s">
        <v>3944</v>
      </c>
      <c r="O7187" s="270">
        <v>3959.8</v>
      </c>
      <c r="P7187" s="270" t="s">
        <v>3944</v>
      </c>
      <c r="Q7187" s="270" t="s">
        <v>3944</v>
      </c>
      <c r="R7187" s="270">
        <v>3959.8</v>
      </c>
      <c r="S7187" s="270">
        <v>68717.72</v>
      </c>
      <c r="T7187" s="270">
        <v>72677.52</v>
      </c>
      <c r="U7187" s="271" t="s">
        <v>3945</v>
      </c>
      <c r="V7187" s="267" t="s">
        <v>944</v>
      </c>
    </row>
    <row r="7188" spans="1:22" hidden="1" x14ac:dyDescent="0.25">
      <c r="A7188" s="266">
        <v>43794</v>
      </c>
      <c r="B7188" s="267">
        <v>2019</v>
      </c>
      <c r="C7188" s="267">
        <v>2020</v>
      </c>
      <c r="D7188" s="267">
        <v>1</v>
      </c>
      <c r="E7188" s="267">
        <v>1</v>
      </c>
      <c r="F7188" s="267" t="s">
        <v>944</v>
      </c>
      <c r="G7188" s="267" t="s">
        <v>3926</v>
      </c>
      <c r="H7188" s="267" t="s">
        <v>12007</v>
      </c>
      <c r="I7188" s="267" t="s">
        <v>3962</v>
      </c>
      <c r="J7188" s="267" t="s">
        <v>3928</v>
      </c>
      <c r="K7188" s="267">
        <v>6379</v>
      </c>
      <c r="L7188" s="267">
        <v>705101</v>
      </c>
      <c r="M7188" s="267" t="s">
        <v>3935</v>
      </c>
      <c r="N7188" s="267" t="s">
        <v>3944</v>
      </c>
      <c r="O7188" s="267">
        <v>1856.61</v>
      </c>
      <c r="P7188" s="267" t="s">
        <v>3944</v>
      </c>
      <c r="Q7188" s="267" t="s">
        <v>3944</v>
      </c>
      <c r="R7188" s="267">
        <v>1856.61</v>
      </c>
      <c r="S7188" s="267">
        <v>31125.68</v>
      </c>
      <c r="T7188" s="267">
        <v>32982.29</v>
      </c>
      <c r="U7188" s="268" t="s">
        <v>3945</v>
      </c>
      <c r="V7188" s="267" t="s">
        <v>944</v>
      </c>
    </row>
    <row r="7189" spans="1:22" hidden="1" x14ac:dyDescent="0.25">
      <c r="A7189" s="269">
        <v>43794</v>
      </c>
      <c r="B7189" s="270">
        <v>2019</v>
      </c>
      <c r="C7189" s="270">
        <v>2020</v>
      </c>
      <c r="D7189" s="270">
        <v>1</v>
      </c>
      <c r="E7189" s="270">
        <v>1</v>
      </c>
      <c r="F7189" s="270" t="s">
        <v>944</v>
      </c>
      <c r="G7189" s="270" t="s">
        <v>3926</v>
      </c>
      <c r="H7189" s="270" t="s">
        <v>12008</v>
      </c>
      <c r="I7189" s="270" t="s">
        <v>953</v>
      </c>
      <c r="J7189" s="270" t="s">
        <v>3928</v>
      </c>
      <c r="K7189" s="270">
        <v>6517</v>
      </c>
      <c r="L7189" s="270">
        <v>165200</v>
      </c>
      <c r="M7189" s="270" t="s">
        <v>3943</v>
      </c>
      <c r="N7189" s="270" t="s">
        <v>3944</v>
      </c>
      <c r="O7189" s="270">
        <v>641.48</v>
      </c>
      <c r="P7189" s="270" t="s">
        <v>3944</v>
      </c>
      <c r="Q7189" s="270" t="s">
        <v>3944</v>
      </c>
      <c r="R7189" s="270">
        <v>641.48</v>
      </c>
      <c r="S7189" s="270">
        <v>9753.52</v>
      </c>
      <c r="T7189" s="270">
        <v>10395</v>
      </c>
      <c r="U7189" s="271" t="s">
        <v>3945</v>
      </c>
      <c r="V7189" s="267" t="s">
        <v>944</v>
      </c>
    </row>
    <row r="7190" spans="1:22" hidden="1" x14ac:dyDescent="0.25">
      <c r="A7190" s="266">
        <v>43794</v>
      </c>
      <c r="B7190" s="267">
        <v>2019</v>
      </c>
      <c r="C7190" s="267">
        <v>2020</v>
      </c>
      <c r="D7190" s="267">
        <v>1</v>
      </c>
      <c r="E7190" s="267">
        <v>1</v>
      </c>
      <c r="F7190" s="267" t="s">
        <v>944</v>
      </c>
      <c r="G7190" s="267" t="s">
        <v>3926</v>
      </c>
      <c r="H7190" s="267" t="s">
        <v>12009</v>
      </c>
      <c r="I7190" s="267" t="s">
        <v>4008</v>
      </c>
      <c r="J7190" s="267" t="s">
        <v>3928</v>
      </c>
      <c r="K7190" s="267">
        <v>6320</v>
      </c>
      <c r="L7190" s="267">
        <v>690900</v>
      </c>
      <c r="M7190" s="267" t="s">
        <v>3935</v>
      </c>
      <c r="N7190" s="267" t="s">
        <v>3944</v>
      </c>
      <c r="O7190" s="267">
        <v>2667.32</v>
      </c>
      <c r="P7190" s="267" t="s">
        <v>3944</v>
      </c>
      <c r="Q7190" s="267" t="s">
        <v>3944</v>
      </c>
      <c r="R7190" s="267">
        <v>2667.32</v>
      </c>
      <c r="S7190" s="267">
        <v>40318.93</v>
      </c>
      <c r="T7190" s="267">
        <v>42986.25</v>
      </c>
      <c r="U7190" s="268" t="s">
        <v>3945</v>
      </c>
      <c r="V7190" s="267" t="s">
        <v>944</v>
      </c>
    </row>
    <row r="7191" spans="1:22" hidden="1" x14ac:dyDescent="0.25">
      <c r="A7191" s="269">
        <v>43794</v>
      </c>
      <c r="B7191" s="270">
        <v>2019</v>
      </c>
      <c r="C7191" s="270">
        <v>2020</v>
      </c>
      <c r="D7191" s="270">
        <v>1</v>
      </c>
      <c r="E7191" s="270">
        <v>1</v>
      </c>
      <c r="F7191" s="270" t="s">
        <v>944</v>
      </c>
      <c r="G7191" s="270" t="s">
        <v>3926</v>
      </c>
      <c r="H7191" s="270" t="s">
        <v>12010</v>
      </c>
      <c r="I7191" s="270" t="s">
        <v>4594</v>
      </c>
      <c r="J7191" s="270" t="s">
        <v>3928</v>
      </c>
      <c r="K7191" s="270">
        <v>6488</v>
      </c>
      <c r="L7191" s="270">
        <v>348111</v>
      </c>
      <c r="M7191" s="270" t="s">
        <v>3943</v>
      </c>
      <c r="N7191" s="270" t="s">
        <v>3944</v>
      </c>
      <c r="O7191" s="270">
        <v>1360.94</v>
      </c>
      <c r="P7191" s="270" t="s">
        <v>3944</v>
      </c>
      <c r="Q7191" s="270" t="s">
        <v>3944</v>
      </c>
      <c r="R7191" s="270">
        <v>1360.94</v>
      </c>
      <c r="S7191" s="270">
        <v>13030.06</v>
      </c>
      <c r="T7191" s="270">
        <v>14391</v>
      </c>
      <c r="U7191" s="271" t="s">
        <v>3945</v>
      </c>
      <c r="V7191" s="267" t="s">
        <v>944</v>
      </c>
    </row>
    <row r="7192" spans="1:22" hidden="1" x14ac:dyDescent="0.25">
      <c r="A7192" s="266">
        <v>43794</v>
      </c>
      <c r="B7192" s="267">
        <v>2019</v>
      </c>
      <c r="C7192" s="267">
        <v>2020</v>
      </c>
      <c r="D7192" s="267">
        <v>1</v>
      </c>
      <c r="E7192" s="267">
        <v>1</v>
      </c>
      <c r="F7192" s="267" t="s">
        <v>944</v>
      </c>
      <c r="G7192" s="267" t="s">
        <v>3926</v>
      </c>
      <c r="H7192" s="267" t="s">
        <v>12011</v>
      </c>
      <c r="I7192" s="267" t="s">
        <v>4297</v>
      </c>
      <c r="J7192" s="267" t="s">
        <v>3928</v>
      </c>
      <c r="K7192" s="267">
        <v>6248</v>
      </c>
      <c r="L7192" s="267">
        <v>526102</v>
      </c>
      <c r="M7192" s="267" t="s">
        <v>3943</v>
      </c>
      <c r="N7192" s="267" t="s">
        <v>3944</v>
      </c>
      <c r="O7192" s="267">
        <v>2267.48</v>
      </c>
      <c r="P7192" s="267" t="s">
        <v>3944</v>
      </c>
      <c r="Q7192" s="267" t="s">
        <v>3944</v>
      </c>
      <c r="R7192" s="267">
        <v>2267.48</v>
      </c>
      <c r="S7192" s="267">
        <v>18763.52</v>
      </c>
      <c r="T7192" s="267">
        <v>21031</v>
      </c>
      <c r="U7192" s="268" t="s">
        <v>3945</v>
      </c>
      <c r="V7192" s="267" t="s">
        <v>944</v>
      </c>
    </row>
    <row r="7193" spans="1:22" hidden="1" x14ac:dyDescent="0.25">
      <c r="A7193" s="269">
        <v>43794</v>
      </c>
      <c r="B7193" s="270">
        <v>2019</v>
      </c>
      <c r="C7193" s="270">
        <v>2020</v>
      </c>
      <c r="D7193" s="270">
        <v>1</v>
      </c>
      <c r="E7193" s="270">
        <v>1</v>
      </c>
      <c r="F7193" s="270" t="s">
        <v>944</v>
      </c>
      <c r="G7193" s="270" t="s">
        <v>3926</v>
      </c>
      <c r="H7193" s="270" t="s">
        <v>12012</v>
      </c>
      <c r="I7193" s="270" t="s">
        <v>4731</v>
      </c>
      <c r="J7193" s="270" t="s">
        <v>3928</v>
      </c>
      <c r="K7193" s="270">
        <v>6478</v>
      </c>
      <c r="L7193" s="270">
        <v>346102</v>
      </c>
      <c r="M7193" s="270" t="s">
        <v>3943</v>
      </c>
      <c r="N7193" s="270" t="s">
        <v>3944</v>
      </c>
      <c r="O7193" s="270">
        <v>3771.71</v>
      </c>
      <c r="P7193" s="270" t="s">
        <v>3944</v>
      </c>
      <c r="Q7193" s="270" t="s">
        <v>3944</v>
      </c>
      <c r="R7193" s="270">
        <v>3771.71</v>
      </c>
      <c r="S7193" s="270">
        <v>30028.29</v>
      </c>
      <c r="T7193" s="270">
        <v>33800</v>
      </c>
      <c r="U7193" s="271" t="s">
        <v>3945</v>
      </c>
      <c r="V7193" s="267" t="s">
        <v>944</v>
      </c>
    </row>
    <row r="7194" spans="1:22" hidden="1" x14ac:dyDescent="0.25">
      <c r="A7194" s="266">
        <v>43794</v>
      </c>
      <c r="B7194" s="267">
        <v>2019</v>
      </c>
      <c r="C7194" s="267">
        <v>2020</v>
      </c>
      <c r="D7194" s="267">
        <v>1</v>
      </c>
      <c r="E7194" s="267">
        <v>1</v>
      </c>
      <c r="F7194" s="267" t="s">
        <v>944</v>
      </c>
      <c r="G7194" s="267" t="s">
        <v>3926</v>
      </c>
      <c r="H7194" s="267" t="s">
        <v>12013</v>
      </c>
      <c r="I7194" s="267" t="s">
        <v>3968</v>
      </c>
      <c r="J7194" s="267" t="s">
        <v>3928</v>
      </c>
      <c r="K7194" s="267">
        <v>6040</v>
      </c>
      <c r="L7194" s="267">
        <v>514300</v>
      </c>
      <c r="M7194" s="267" t="s">
        <v>3935</v>
      </c>
      <c r="N7194" s="267" t="s">
        <v>3944</v>
      </c>
      <c r="O7194" s="267">
        <v>1288.98</v>
      </c>
      <c r="P7194" s="267" t="s">
        <v>3944</v>
      </c>
      <c r="Q7194" s="267" t="s">
        <v>3944</v>
      </c>
      <c r="R7194" s="267">
        <v>1288.98</v>
      </c>
      <c r="S7194" s="267">
        <v>18092.22</v>
      </c>
      <c r="T7194" s="267">
        <v>19381.2</v>
      </c>
      <c r="U7194" s="268" t="s">
        <v>3945</v>
      </c>
      <c r="V7194" s="267" t="s">
        <v>944</v>
      </c>
    </row>
    <row r="7195" spans="1:22" hidden="1" x14ac:dyDescent="0.25">
      <c r="A7195" s="269">
        <v>43795</v>
      </c>
      <c r="B7195" s="270">
        <v>2019</v>
      </c>
      <c r="C7195" s="270">
        <v>2020</v>
      </c>
      <c r="D7195" s="270">
        <v>1</v>
      </c>
      <c r="E7195" s="270">
        <v>1</v>
      </c>
      <c r="F7195" s="270" t="s">
        <v>944</v>
      </c>
      <c r="G7195" s="270" t="s">
        <v>3926</v>
      </c>
      <c r="H7195" s="270" t="s">
        <v>12014</v>
      </c>
      <c r="I7195" s="270" t="s">
        <v>934</v>
      </c>
      <c r="J7195" s="270" t="s">
        <v>3928</v>
      </c>
      <c r="K7195" s="270">
        <v>6606</v>
      </c>
      <c r="L7195" s="270">
        <v>72900</v>
      </c>
      <c r="M7195" s="270" t="s">
        <v>3940</v>
      </c>
      <c r="N7195" s="270" t="s">
        <v>12015</v>
      </c>
      <c r="O7195" s="270">
        <v>0</v>
      </c>
      <c r="P7195" s="270" t="s">
        <v>3930</v>
      </c>
      <c r="Q7195" s="270" t="s">
        <v>3930</v>
      </c>
      <c r="R7195" s="270">
        <v>0</v>
      </c>
      <c r="S7195" s="270">
        <v>5950</v>
      </c>
      <c r="T7195" s="270">
        <v>5950</v>
      </c>
      <c r="U7195" s="271" t="s">
        <v>3937</v>
      </c>
      <c r="V7195" s="267" t="s">
        <v>944</v>
      </c>
    </row>
    <row r="7196" spans="1:22" hidden="1" x14ac:dyDescent="0.25">
      <c r="A7196" s="266">
        <v>43795</v>
      </c>
      <c r="B7196" s="267">
        <v>2019</v>
      </c>
      <c r="C7196" s="267">
        <v>2020</v>
      </c>
      <c r="D7196" s="267">
        <v>1</v>
      </c>
      <c r="E7196" s="267">
        <v>1</v>
      </c>
      <c r="F7196" s="267" t="s">
        <v>944</v>
      </c>
      <c r="G7196" s="267" t="s">
        <v>3926</v>
      </c>
      <c r="H7196" s="267" t="s">
        <v>12016</v>
      </c>
      <c r="I7196" s="267" t="s">
        <v>3956</v>
      </c>
      <c r="J7196" s="267" t="s">
        <v>3928</v>
      </c>
      <c r="K7196" s="267">
        <v>6112</v>
      </c>
      <c r="L7196" s="267">
        <v>501200</v>
      </c>
      <c r="M7196" s="267">
        <v>-60</v>
      </c>
      <c r="N7196" s="267" t="s">
        <v>4777</v>
      </c>
      <c r="O7196" s="267">
        <v>0</v>
      </c>
      <c r="P7196" s="267" t="s">
        <v>3930</v>
      </c>
      <c r="Q7196" s="267" t="s">
        <v>3931</v>
      </c>
      <c r="R7196" s="267">
        <v>5000</v>
      </c>
      <c r="S7196" s="267">
        <v>9136</v>
      </c>
      <c r="T7196" s="267">
        <v>14136</v>
      </c>
      <c r="U7196" s="268" t="s">
        <v>3932</v>
      </c>
      <c r="V7196" s="267" t="s">
        <v>944</v>
      </c>
    </row>
    <row r="7197" spans="1:22" hidden="1" x14ac:dyDescent="0.25">
      <c r="A7197" s="269">
        <v>43795</v>
      </c>
      <c r="B7197" s="270">
        <v>2019</v>
      </c>
      <c r="C7197" s="270">
        <v>2020</v>
      </c>
      <c r="D7197" s="270">
        <v>1</v>
      </c>
      <c r="E7197" s="270">
        <v>1</v>
      </c>
      <c r="F7197" s="270" t="s">
        <v>944</v>
      </c>
      <c r="G7197" s="270" t="s">
        <v>3926</v>
      </c>
      <c r="H7197" s="270" t="s">
        <v>12017</v>
      </c>
      <c r="I7197" s="270" t="s">
        <v>4079</v>
      </c>
      <c r="J7197" s="270" t="s">
        <v>3928</v>
      </c>
      <c r="K7197" s="270">
        <v>6111</v>
      </c>
      <c r="L7197" s="270">
        <v>494300</v>
      </c>
      <c r="M7197" s="270" t="s">
        <v>3935</v>
      </c>
      <c r="N7197" s="270" t="s">
        <v>3944</v>
      </c>
      <c r="O7197" s="270">
        <v>3165</v>
      </c>
      <c r="P7197" s="270" t="s">
        <v>3944</v>
      </c>
      <c r="Q7197" s="270" t="s">
        <v>3944</v>
      </c>
      <c r="R7197" s="270">
        <v>3165</v>
      </c>
      <c r="S7197" s="270">
        <v>47709</v>
      </c>
      <c r="T7197" s="270">
        <v>50874</v>
      </c>
      <c r="U7197" s="271" t="s">
        <v>3945</v>
      </c>
      <c r="V7197" s="267" t="s">
        <v>944</v>
      </c>
    </row>
    <row r="7198" spans="1:22" hidden="1" x14ac:dyDescent="0.25">
      <c r="A7198" s="266">
        <v>43795</v>
      </c>
      <c r="B7198" s="267">
        <v>2019</v>
      </c>
      <c r="C7198" s="267">
        <v>2020</v>
      </c>
      <c r="D7198" s="267">
        <v>1</v>
      </c>
      <c r="E7198" s="267">
        <v>1</v>
      </c>
      <c r="F7198" s="267" t="s">
        <v>944</v>
      </c>
      <c r="G7198" s="267" t="s">
        <v>3926</v>
      </c>
      <c r="H7198" s="267" t="s">
        <v>12018</v>
      </c>
      <c r="I7198" s="267" t="s">
        <v>4269</v>
      </c>
      <c r="J7198" s="267" t="s">
        <v>3928</v>
      </c>
      <c r="K7198" s="267">
        <v>6107</v>
      </c>
      <c r="L7198" s="267">
        <v>496300</v>
      </c>
      <c r="M7198" s="267" t="s">
        <v>3960</v>
      </c>
      <c r="N7198" s="267" t="s">
        <v>3944</v>
      </c>
      <c r="O7198" s="267">
        <v>2242</v>
      </c>
      <c r="P7198" s="267" t="s">
        <v>3944</v>
      </c>
      <c r="Q7198" s="267" t="s">
        <v>3944</v>
      </c>
      <c r="R7198" s="267">
        <v>2242</v>
      </c>
      <c r="S7198" s="267">
        <v>16615</v>
      </c>
      <c r="T7198" s="267">
        <v>18857</v>
      </c>
      <c r="U7198" s="268" t="s">
        <v>3945</v>
      </c>
      <c r="V7198" s="267" t="s">
        <v>944</v>
      </c>
    </row>
    <row r="7199" spans="1:22" hidden="1" x14ac:dyDescent="0.25">
      <c r="A7199" s="269">
        <v>43795</v>
      </c>
      <c r="B7199" s="270">
        <v>2019</v>
      </c>
      <c r="C7199" s="270">
        <v>2020</v>
      </c>
      <c r="D7199" s="270">
        <v>1</v>
      </c>
      <c r="E7199" s="270">
        <v>1</v>
      </c>
      <c r="F7199" s="270" t="s">
        <v>944</v>
      </c>
      <c r="G7199" s="270" t="s">
        <v>3926</v>
      </c>
      <c r="H7199" s="270" t="s">
        <v>12019</v>
      </c>
      <c r="I7199" s="270" t="s">
        <v>4029</v>
      </c>
      <c r="J7199" s="270" t="s">
        <v>3928</v>
      </c>
      <c r="K7199" s="270">
        <v>6850</v>
      </c>
      <c r="L7199" s="270">
        <v>43300</v>
      </c>
      <c r="M7199" s="270" t="s">
        <v>3935</v>
      </c>
      <c r="N7199" s="270" t="s">
        <v>3944</v>
      </c>
      <c r="O7199" s="270">
        <v>2447</v>
      </c>
      <c r="P7199" s="270" t="s">
        <v>3944</v>
      </c>
      <c r="Q7199" s="270" t="s">
        <v>3944</v>
      </c>
      <c r="R7199" s="270">
        <v>2447</v>
      </c>
      <c r="S7199" s="270">
        <v>29150.26</v>
      </c>
      <c r="T7199" s="270">
        <v>31597.26</v>
      </c>
      <c r="U7199" s="271" t="s">
        <v>3945</v>
      </c>
      <c r="V7199" s="267" t="s">
        <v>944</v>
      </c>
    </row>
    <row r="7200" spans="1:22" hidden="1" x14ac:dyDescent="0.25">
      <c r="A7200" s="266">
        <v>43795</v>
      </c>
      <c r="B7200" s="267">
        <v>2019</v>
      </c>
      <c r="C7200" s="267">
        <v>2020</v>
      </c>
      <c r="D7200" s="267">
        <v>1</v>
      </c>
      <c r="E7200" s="267">
        <v>1</v>
      </c>
      <c r="F7200" s="267" t="s">
        <v>944</v>
      </c>
      <c r="G7200" s="267" t="s">
        <v>3926</v>
      </c>
      <c r="H7200" s="267" t="s">
        <v>12020</v>
      </c>
      <c r="I7200" s="267" t="s">
        <v>3009</v>
      </c>
      <c r="J7200" s="267" t="s">
        <v>3928</v>
      </c>
      <c r="K7200" s="267">
        <v>6484</v>
      </c>
      <c r="L7200" s="267">
        <v>110500</v>
      </c>
      <c r="M7200" s="267" t="s">
        <v>3943</v>
      </c>
      <c r="N7200" s="267" t="s">
        <v>3944</v>
      </c>
      <c r="O7200" s="267">
        <v>3420</v>
      </c>
      <c r="P7200" s="267" t="s">
        <v>3944</v>
      </c>
      <c r="Q7200" s="267" t="s">
        <v>3944</v>
      </c>
      <c r="R7200" s="267">
        <v>3420</v>
      </c>
      <c r="S7200" s="267">
        <v>23031.599999999999</v>
      </c>
      <c r="T7200" s="267">
        <v>26451.599999999999</v>
      </c>
      <c r="U7200" s="268" t="s">
        <v>3945</v>
      </c>
      <c r="V7200" s="267" t="s">
        <v>944</v>
      </c>
    </row>
    <row r="7201" spans="1:22" hidden="1" x14ac:dyDescent="0.25">
      <c r="A7201" s="269">
        <v>43795</v>
      </c>
      <c r="B7201" s="270">
        <v>2019</v>
      </c>
      <c r="C7201" s="270">
        <v>2020</v>
      </c>
      <c r="D7201" s="270">
        <v>1</v>
      </c>
      <c r="E7201" s="270">
        <v>1</v>
      </c>
      <c r="F7201" s="270" t="s">
        <v>944</v>
      </c>
      <c r="G7201" s="270" t="s">
        <v>3926</v>
      </c>
      <c r="H7201" s="270" t="s">
        <v>12021</v>
      </c>
      <c r="I7201" s="270" t="s">
        <v>3008</v>
      </c>
      <c r="J7201" s="270" t="s">
        <v>3928</v>
      </c>
      <c r="K7201" s="270">
        <v>6461</v>
      </c>
      <c r="L7201" s="270">
        <v>150700</v>
      </c>
      <c r="M7201" s="270" t="s">
        <v>3943</v>
      </c>
      <c r="N7201" s="270" t="s">
        <v>3944</v>
      </c>
      <c r="O7201" s="270">
        <v>2110</v>
      </c>
      <c r="P7201" s="270" t="s">
        <v>3944</v>
      </c>
      <c r="Q7201" s="270" t="s">
        <v>3944</v>
      </c>
      <c r="R7201" s="270">
        <v>2110</v>
      </c>
      <c r="S7201" s="270">
        <v>13962</v>
      </c>
      <c r="T7201" s="270">
        <v>16072</v>
      </c>
      <c r="U7201" s="271" t="s">
        <v>3945</v>
      </c>
      <c r="V7201" s="267" t="s">
        <v>944</v>
      </c>
    </row>
    <row r="7202" spans="1:22" hidden="1" x14ac:dyDescent="0.25">
      <c r="A7202" s="266">
        <v>43795</v>
      </c>
      <c r="B7202" s="267">
        <v>2019</v>
      </c>
      <c r="C7202" s="267">
        <v>2020</v>
      </c>
      <c r="D7202" s="267">
        <v>1</v>
      </c>
      <c r="E7202" s="267">
        <v>1</v>
      </c>
      <c r="F7202" s="267" t="s">
        <v>944</v>
      </c>
      <c r="G7202" s="267" t="s">
        <v>3926</v>
      </c>
      <c r="H7202" s="267" t="s">
        <v>12022</v>
      </c>
      <c r="I7202" s="267" t="s">
        <v>4035</v>
      </c>
      <c r="J7202" s="267" t="s">
        <v>3928</v>
      </c>
      <c r="K7202" s="267">
        <v>6074</v>
      </c>
      <c r="L7202" s="267">
        <v>487500</v>
      </c>
      <c r="M7202" s="267" t="s">
        <v>3935</v>
      </c>
      <c r="N7202" s="267" t="s">
        <v>3944</v>
      </c>
      <c r="O7202" s="267">
        <v>4252</v>
      </c>
      <c r="P7202" s="267" t="s">
        <v>3944</v>
      </c>
      <c r="Q7202" s="267" t="s">
        <v>3944</v>
      </c>
      <c r="R7202" s="267">
        <v>4252</v>
      </c>
      <c r="S7202" s="267">
        <v>32933</v>
      </c>
      <c r="T7202" s="267">
        <v>37185</v>
      </c>
      <c r="U7202" s="268" t="s">
        <v>3945</v>
      </c>
      <c r="V7202" s="267" t="s">
        <v>944</v>
      </c>
    </row>
    <row r="7203" spans="1:22" hidden="1" x14ac:dyDescent="0.25">
      <c r="A7203" s="269">
        <v>43795</v>
      </c>
      <c r="B7203" s="270">
        <v>2019</v>
      </c>
      <c r="C7203" s="270">
        <v>2020</v>
      </c>
      <c r="D7203" s="270">
        <v>1</v>
      </c>
      <c r="E7203" s="270">
        <v>1</v>
      </c>
      <c r="F7203" s="270" t="s">
        <v>944</v>
      </c>
      <c r="G7203" s="270" t="s">
        <v>3926</v>
      </c>
      <c r="H7203" s="270" t="s">
        <v>12023</v>
      </c>
      <c r="I7203" s="270" t="s">
        <v>3990</v>
      </c>
      <c r="J7203" s="270" t="s">
        <v>3928</v>
      </c>
      <c r="K7203" s="270">
        <v>6804</v>
      </c>
      <c r="L7203" s="270">
        <v>205200</v>
      </c>
      <c r="M7203" s="270" t="s">
        <v>3943</v>
      </c>
      <c r="N7203" s="270" t="s">
        <v>3944</v>
      </c>
      <c r="O7203" s="270">
        <v>4842</v>
      </c>
      <c r="P7203" s="270" t="s">
        <v>3944</v>
      </c>
      <c r="Q7203" s="270" t="s">
        <v>3944</v>
      </c>
      <c r="R7203" s="270">
        <v>4842</v>
      </c>
      <c r="S7203" s="270">
        <v>73829.399999999994</v>
      </c>
      <c r="T7203" s="270">
        <v>78671.399999999994</v>
      </c>
      <c r="U7203" s="271" t="s">
        <v>3945</v>
      </c>
      <c r="V7203" s="267" t="s">
        <v>944</v>
      </c>
    </row>
    <row r="7204" spans="1:22" hidden="1" x14ac:dyDescent="0.25">
      <c r="A7204" s="266">
        <v>43795</v>
      </c>
      <c r="B7204" s="267">
        <v>2019</v>
      </c>
      <c r="C7204" s="267">
        <v>2020</v>
      </c>
      <c r="D7204" s="267">
        <v>1</v>
      </c>
      <c r="E7204" s="267">
        <v>1</v>
      </c>
      <c r="F7204" s="267" t="s">
        <v>944</v>
      </c>
      <c r="G7204" s="267" t="s">
        <v>3926</v>
      </c>
      <c r="H7204" s="267" t="s">
        <v>12024</v>
      </c>
      <c r="I7204" s="267" t="s">
        <v>3954</v>
      </c>
      <c r="J7204" s="267" t="s">
        <v>3928</v>
      </c>
      <c r="K7204" s="267">
        <v>6333</v>
      </c>
      <c r="L7204" s="267">
        <v>716101</v>
      </c>
      <c r="M7204" s="267" t="s">
        <v>3935</v>
      </c>
      <c r="N7204" s="267" t="s">
        <v>3944</v>
      </c>
      <c r="O7204" s="267">
        <v>2975</v>
      </c>
      <c r="P7204" s="267" t="s">
        <v>3944</v>
      </c>
      <c r="Q7204" s="267" t="s">
        <v>3944</v>
      </c>
      <c r="R7204" s="267">
        <v>2975</v>
      </c>
      <c r="S7204" s="267">
        <v>22997.48</v>
      </c>
      <c r="T7204" s="267">
        <v>25972.48</v>
      </c>
      <c r="U7204" s="268" t="s">
        <v>3945</v>
      </c>
      <c r="V7204" s="267" t="s">
        <v>944</v>
      </c>
    </row>
    <row r="7205" spans="1:22" hidden="1" x14ac:dyDescent="0.25">
      <c r="A7205" s="269">
        <v>43795</v>
      </c>
      <c r="B7205" s="270">
        <v>2019</v>
      </c>
      <c r="C7205" s="270">
        <v>2020</v>
      </c>
      <c r="D7205" s="270">
        <v>1</v>
      </c>
      <c r="E7205" s="270">
        <v>1</v>
      </c>
      <c r="F7205" s="270" t="s">
        <v>944</v>
      </c>
      <c r="G7205" s="270" t="s">
        <v>3926</v>
      </c>
      <c r="H7205" s="270" t="s">
        <v>12025</v>
      </c>
      <c r="I7205" s="270" t="s">
        <v>4392</v>
      </c>
      <c r="J7205" s="270" t="s">
        <v>3928</v>
      </c>
      <c r="K7205" s="270">
        <v>6457</v>
      </c>
      <c r="L7205" s="270">
        <v>680200</v>
      </c>
      <c r="M7205" s="270" t="s">
        <v>3935</v>
      </c>
      <c r="N7205" s="270" t="s">
        <v>3944</v>
      </c>
      <c r="O7205" s="270">
        <v>3453</v>
      </c>
      <c r="P7205" s="270" t="s">
        <v>3944</v>
      </c>
      <c r="Q7205" s="270" t="s">
        <v>3944</v>
      </c>
      <c r="R7205" s="270">
        <v>3453</v>
      </c>
      <c r="S7205" s="270">
        <v>22307</v>
      </c>
      <c r="T7205" s="270">
        <v>25760</v>
      </c>
      <c r="U7205" s="271" t="s">
        <v>3945</v>
      </c>
      <c r="V7205" s="267" t="s">
        <v>944</v>
      </c>
    </row>
    <row r="7206" spans="1:22" hidden="1" x14ac:dyDescent="0.25">
      <c r="A7206" s="266">
        <v>43795</v>
      </c>
      <c r="B7206" s="267">
        <v>2019</v>
      </c>
      <c r="C7206" s="267">
        <v>2020</v>
      </c>
      <c r="D7206" s="267">
        <v>1</v>
      </c>
      <c r="E7206" s="267">
        <v>1</v>
      </c>
      <c r="F7206" s="267" t="s">
        <v>944</v>
      </c>
      <c r="G7206" s="267" t="s">
        <v>3926</v>
      </c>
      <c r="H7206" s="267" t="s">
        <v>12026</v>
      </c>
      <c r="I7206" s="267" t="s">
        <v>4035</v>
      </c>
      <c r="J7206" s="267" t="s">
        <v>3928</v>
      </c>
      <c r="K7206" s="267">
        <v>6074</v>
      </c>
      <c r="L7206" s="267">
        <v>487202</v>
      </c>
      <c r="M7206" s="267" t="s">
        <v>3943</v>
      </c>
      <c r="N7206" s="267" t="s">
        <v>3944</v>
      </c>
      <c r="O7206" s="267">
        <v>4732</v>
      </c>
      <c r="P7206" s="267" t="s">
        <v>3944</v>
      </c>
      <c r="Q7206" s="267" t="s">
        <v>3944</v>
      </c>
      <c r="R7206" s="267">
        <v>4732</v>
      </c>
      <c r="S7206" s="267">
        <v>30774.37</v>
      </c>
      <c r="T7206" s="267">
        <v>35506.370000000003</v>
      </c>
      <c r="U7206" s="268" t="s">
        <v>3945</v>
      </c>
      <c r="V7206" s="267" t="s">
        <v>944</v>
      </c>
    </row>
    <row r="7207" spans="1:22" hidden="1" x14ac:dyDescent="0.25">
      <c r="A7207" s="269">
        <v>43795</v>
      </c>
      <c r="B7207" s="270">
        <v>2019</v>
      </c>
      <c r="C7207" s="270">
        <v>2020</v>
      </c>
      <c r="D7207" s="270">
        <v>1</v>
      </c>
      <c r="E7207" s="270">
        <v>1</v>
      </c>
      <c r="F7207" s="270" t="s">
        <v>944</v>
      </c>
      <c r="G7207" s="270" t="s">
        <v>3926</v>
      </c>
      <c r="H7207" s="270" t="s">
        <v>12027</v>
      </c>
      <c r="I7207" s="270" t="s">
        <v>2985</v>
      </c>
      <c r="J7207" s="270" t="s">
        <v>3928</v>
      </c>
      <c r="K7207" s="270">
        <v>6825</v>
      </c>
      <c r="L7207" s="270">
        <v>60300</v>
      </c>
      <c r="M7207" s="270" t="s">
        <v>3943</v>
      </c>
      <c r="N7207" s="270" t="s">
        <v>3944</v>
      </c>
      <c r="O7207" s="270">
        <v>4294</v>
      </c>
      <c r="P7207" s="270" t="s">
        <v>3944</v>
      </c>
      <c r="Q7207" s="270" t="s">
        <v>3944</v>
      </c>
      <c r="R7207" s="270">
        <v>4294</v>
      </c>
      <c r="S7207" s="270">
        <v>31383.5</v>
      </c>
      <c r="T7207" s="270">
        <v>35677.5</v>
      </c>
      <c r="U7207" s="271" t="s">
        <v>3945</v>
      </c>
      <c r="V7207" s="267" t="s">
        <v>944</v>
      </c>
    </row>
    <row r="7208" spans="1:22" hidden="1" x14ac:dyDescent="0.25">
      <c r="A7208" s="266">
        <v>43795</v>
      </c>
      <c r="B7208" s="267">
        <v>2019</v>
      </c>
      <c r="C7208" s="267">
        <v>2020</v>
      </c>
      <c r="D7208" s="267">
        <v>1</v>
      </c>
      <c r="E7208" s="267">
        <v>1</v>
      </c>
      <c r="F7208" s="267" t="s">
        <v>944</v>
      </c>
      <c r="G7208" s="267" t="s">
        <v>3926</v>
      </c>
      <c r="H7208" s="267" t="s">
        <v>12028</v>
      </c>
      <c r="I7208" s="267" t="s">
        <v>953</v>
      </c>
      <c r="J7208" s="267" t="s">
        <v>3928</v>
      </c>
      <c r="K7208" s="267">
        <v>6514</v>
      </c>
      <c r="L7208" s="267">
        <v>165600</v>
      </c>
      <c r="M7208" s="267" t="s">
        <v>3940</v>
      </c>
      <c r="N7208" s="267" t="s">
        <v>3944</v>
      </c>
      <c r="O7208" s="267">
        <v>2735</v>
      </c>
      <c r="P7208" s="267" t="s">
        <v>3944</v>
      </c>
      <c r="Q7208" s="267" t="s">
        <v>3944</v>
      </c>
      <c r="R7208" s="267">
        <v>2735</v>
      </c>
      <c r="S7208" s="267">
        <v>31352.51</v>
      </c>
      <c r="T7208" s="267">
        <v>34087.51</v>
      </c>
      <c r="U7208" s="268" t="s">
        <v>3945</v>
      </c>
      <c r="V7208" s="267" t="s">
        <v>944</v>
      </c>
    </row>
    <row r="7209" spans="1:22" hidden="1" x14ac:dyDescent="0.25">
      <c r="A7209" s="269">
        <v>43795</v>
      </c>
      <c r="B7209" s="270">
        <v>2019</v>
      </c>
      <c r="C7209" s="270">
        <v>2020</v>
      </c>
      <c r="D7209" s="270">
        <v>1</v>
      </c>
      <c r="E7209" s="270">
        <v>1</v>
      </c>
      <c r="F7209" s="270" t="s">
        <v>944</v>
      </c>
      <c r="G7209" s="270" t="s">
        <v>3926</v>
      </c>
      <c r="H7209" s="270" t="s">
        <v>12029</v>
      </c>
      <c r="I7209" s="270" t="s">
        <v>4029</v>
      </c>
      <c r="J7209" s="270" t="s">
        <v>3928</v>
      </c>
      <c r="K7209" s="270">
        <v>6851</v>
      </c>
      <c r="L7209" s="270">
        <v>43500</v>
      </c>
      <c r="M7209" s="270" t="s">
        <v>3943</v>
      </c>
      <c r="N7209" s="270" t="s">
        <v>3944</v>
      </c>
      <c r="O7209" s="270">
        <v>727.34</v>
      </c>
      <c r="P7209" s="270" t="s">
        <v>3944</v>
      </c>
      <c r="Q7209" s="270" t="s">
        <v>3944</v>
      </c>
      <c r="R7209" s="270">
        <v>727.34</v>
      </c>
      <c r="S7209" s="270">
        <v>10300.81</v>
      </c>
      <c r="T7209" s="270">
        <v>11028.15</v>
      </c>
      <c r="U7209" s="271" t="s">
        <v>3945</v>
      </c>
      <c r="V7209" s="267" t="s">
        <v>944</v>
      </c>
    </row>
    <row r="7210" spans="1:22" hidden="1" x14ac:dyDescent="0.25">
      <c r="A7210" s="266">
        <v>43795</v>
      </c>
      <c r="B7210" s="267">
        <v>2019</v>
      </c>
      <c r="C7210" s="267">
        <v>2020</v>
      </c>
      <c r="D7210" s="267">
        <v>1</v>
      </c>
      <c r="E7210" s="267">
        <v>1</v>
      </c>
      <c r="F7210" s="267" t="s">
        <v>944</v>
      </c>
      <c r="G7210" s="267" t="s">
        <v>3926</v>
      </c>
      <c r="H7210" s="267" t="s">
        <v>12030</v>
      </c>
      <c r="I7210" s="267" t="s">
        <v>4014</v>
      </c>
      <c r="J7210" s="267" t="s">
        <v>3928</v>
      </c>
      <c r="K7210" s="267">
        <v>6420</v>
      </c>
      <c r="L7210" s="267">
        <v>715100</v>
      </c>
      <c r="M7210" s="267" t="s">
        <v>3943</v>
      </c>
      <c r="N7210" s="267" t="s">
        <v>3944</v>
      </c>
      <c r="O7210" s="267">
        <v>3696</v>
      </c>
      <c r="P7210" s="267" t="s">
        <v>3944</v>
      </c>
      <c r="Q7210" s="267" t="s">
        <v>3944</v>
      </c>
      <c r="R7210" s="267">
        <v>3696</v>
      </c>
      <c r="S7210" s="267">
        <v>51771</v>
      </c>
      <c r="T7210" s="267">
        <v>55467</v>
      </c>
      <c r="U7210" s="268" t="s">
        <v>3945</v>
      </c>
      <c r="V7210" s="267" t="s">
        <v>944</v>
      </c>
    </row>
    <row r="7211" spans="1:22" hidden="1" x14ac:dyDescent="0.25">
      <c r="A7211" s="269">
        <v>43795</v>
      </c>
      <c r="B7211" s="270">
        <v>2019</v>
      </c>
      <c r="C7211" s="270">
        <v>2020</v>
      </c>
      <c r="D7211" s="270">
        <v>1</v>
      </c>
      <c r="E7211" s="270">
        <v>1</v>
      </c>
      <c r="F7211" s="270" t="s">
        <v>944</v>
      </c>
      <c r="G7211" s="270" t="s">
        <v>3926</v>
      </c>
      <c r="H7211" s="270" t="s">
        <v>12031</v>
      </c>
      <c r="I7211" s="270" t="s">
        <v>4016</v>
      </c>
      <c r="J7211" s="270" t="s">
        <v>3928</v>
      </c>
      <c r="K7211" s="270">
        <v>6770</v>
      </c>
      <c r="L7211" s="270">
        <v>345201</v>
      </c>
      <c r="M7211" s="270" t="s">
        <v>3935</v>
      </c>
      <c r="N7211" s="270" t="s">
        <v>3944</v>
      </c>
      <c r="O7211" s="270">
        <v>2680.37</v>
      </c>
      <c r="P7211" s="270" t="s">
        <v>3944</v>
      </c>
      <c r="Q7211" s="270" t="s">
        <v>3944</v>
      </c>
      <c r="R7211" s="270">
        <v>2680.37</v>
      </c>
      <c r="S7211" s="270">
        <v>41063.68</v>
      </c>
      <c r="T7211" s="270">
        <v>43744.05</v>
      </c>
      <c r="U7211" s="271" t="s">
        <v>3945</v>
      </c>
      <c r="V7211" s="267" t="s">
        <v>944</v>
      </c>
    </row>
    <row r="7212" spans="1:22" hidden="1" x14ac:dyDescent="0.25">
      <c r="A7212" s="266">
        <v>43795</v>
      </c>
      <c r="B7212" s="267">
        <v>2019</v>
      </c>
      <c r="C7212" s="267">
        <v>2020</v>
      </c>
      <c r="D7212" s="267">
        <v>1</v>
      </c>
      <c r="E7212" s="267">
        <v>1</v>
      </c>
      <c r="F7212" s="267" t="s">
        <v>944</v>
      </c>
      <c r="G7212" s="267" t="s">
        <v>3926</v>
      </c>
      <c r="H7212" s="267" t="s">
        <v>12032</v>
      </c>
      <c r="I7212" s="267" t="s">
        <v>4019</v>
      </c>
      <c r="J7212" s="267" t="s">
        <v>3928</v>
      </c>
      <c r="K7212" s="267">
        <v>6708</v>
      </c>
      <c r="L7212" s="267">
        <v>352100</v>
      </c>
      <c r="M7212" s="267" t="s">
        <v>3940</v>
      </c>
      <c r="N7212" s="267" t="s">
        <v>3944</v>
      </c>
      <c r="O7212" s="267">
        <v>2031.44</v>
      </c>
      <c r="P7212" s="267" t="s">
        <v>3944</v>
      </c>
      <c r="Q7212" s="267" t="s">
        <v>3944</v>
      </c>
      <c r="R7212" s="267">
        <v>2031.44</v>
      </c>
      <c r="S7212" s="267">
        <v>29720.560000000001</v>
      </c>
      <c r="T7212" s="267">
        <v>31752</v>
      </c>
      <c r="U7212" s="268" t="s">
        <v>3945</v>
      </c>
      <c r="V7212" s="267" t="s">
        <v>944</v>
      </c>
    </row>
    <row r="7213" spans="1:22" hidden="1" x14ac:dyDescent="0.25">
      <c r="A7213" s="269">
        <v>43795</v>
      </c>
      <c r="B7213" s="270">
        <v>2019</v>
      </c>
      <c r="C7213" s="270">
        <v>2020</v>
      </c>
      <c r="D7213" s="270">
        <v>1</v>
      </c>
      <c r="E7213" s="270">
        <v>1</v>
      </c>
      <c r="F7213" s="270" t="s">
        <v>944</v>
      </c>
      <c r="G7213" s="270" t="s">
        <v>3926</v>
      </c>
      <c r="H7213" s="270" t="s">
        <v>12033</v>
      </c>
      <c r="I7213" s="270" t="s">
        <v>4323</v>
      </c>
      <c r="J7213" s="270" t="s">
        <v>3928</v>
      </c>
      <c r="K7213" s="270">
        <v>6375</v>
      </c>
      <c r="L7213" s="270">
        <v>693600</v>
      </c>
      <c r="M7213" s="270" t="s">
        <v>3960</v>
      </c>
      <c r="N7213" s="270" t="s">
        <v>3944</v>
      </c>
      <c r="O7213" s="270">
        <v>1718.5</v>
      </c>
      <c r="P7213" s="270" t="s">
        <v>3944</v>
      </c>
      <c r="Q7213" s="270" t="s">
        <v>3944</v>
      </c>
      <c r="R7213" s="270">
        <v>1718.5</v>
      </c>
      <c r="S7213" s="270">
        <v>16308.5</v>
      </c>
      <c r="T7213" s="270">
        <v>18027</v>
      </c>
      <c r="U7213" s="271" t="s">
        <v>3945</v>
      </c>
      <c r="V7213" s="267" t="s">
        <v>944</v>
      </c>
    </row>
    <row r="7214" spans="1:22" hidden="1" x14ac:dyDescent="0.25">
      <c r="A7214" s="266">
        <v>43795</v>
      </c>
      <c r="B7214" s="267">
        <v>2019</v>
      </c>
      <c r="C7214" s="267">
        <v>2020</v>
      </c>
      <c r="D7214" s="267">
        <v>1</v>
      </c>
      <c r="E7214" s="267">
        <v>1</v>
      </c>
      <c r="F7214" s="267" t="s">
        <v>944</v>
      </c>
      <c r="G7214" s="267" t="s">
        <v>3926</v>
      </c>
      <c r="H7214" s="267" t="s">
        <v>12034</v>
      </c>
      <c r="I7214" s="267" t="s">
        <v>5659</v>
      </c>
      <c r="J7214" s="267" t="s">
        <v>3928</v>
      </c>
      <c r="K7214" s="267">
        <v>6419</v>
      </c>
      <c r="L7214" s="267">
        <v>640100</v>
      </c>
      <c r="M7214" s="267" t="s">
        <v>3943</v>
      </c>
      <c r="N7214" s="267" t="s">
        <v>3944</v>
      </c>
      <c r="O7214" s="267">
        <v>2045.96</v>
      </c>
      <c r="P7214" s="267" t="s">
        <v>3944</v>
      </c>
      <c r="Q7214" s="267" t="s">
        <v>3944</v>
      </c>
      <c r="R7214" s="267">
        <v>2045.96</v>
      </c>
      <c r="S7214" s="267">
        <v>31520.44</v>
      </c>
      <c r="T7214" s="267">
        <v>33566.400000000001</v>
      </c>
      <c r="U7214" s="268" t="s">
        <v>3945</v>
      </c>
      <c r="V7214" s="267" t="s">
        <v>944</v>
      </c>
    </row>
    <row r="7215" spans="1:22" hidden="1" x14ac:dyDescent="0.25">
      <c r="A7215" s="269">
        <v>43795</v>
      </c>
      <c r="B7215" s="270">
        <v>2019</v>
      </c>
      <c r="C7215" s="270">
        <v>2020</v>
      </c>
      <c r="D7215" s="270">
        <v>1</v>
      </c>
      <c r="E7215" s="270">
        <v>1</v>
      </c>
      <c r="F7215" s="270" t="s">
        <v>944</v>
      </c>
      <c r="G7215" s="270" t="s">
        <v>3926</v>
      </c>
      <c r="H7215" s="270" t="s">
        <v>12035</v>
      </c>
      <c r="I7215" s="270" t="s">
        <v>4035</v>
      </c>
      <c r="J7215" s="270" t="s">
        <v>3928</v>
      </c>
      <c r="K7215" s="270">
        <v>6074</v>
      </c>
      <c r="L7215" s="270">
        <v>487100</v>
      </c>
      <c r="M7215" s="270" t="s">
        <v>3943</v>
      </c>
      <c r="N7215" s="270" t="s">
        <v>3944</v>
      </c>
      <c r="O7215" s="270">
        <v>2797.17</v>
      </c>
      <c r="P7215" s="270" t="s">
        <v>3944</v>
      </c>
      <c r="Q7215" s="270" t="s">
        <v>3944</v>
      </c>
      <c r="R7215" s="270">
        <v>2797.17</v>
      </c>
      <c r="S7215" s="270">
        <v>34991.199999999997</v>
      </c>
      <c r="T7215" s="270">
        <v>37788.370000000003</v>
      </c>
      <c r="U7215" s="271" t="s">
        <v>3945</v>
      </c>
      <c r="V7215" s="267" t="s">
        <v>944</v>
      </c>
    </row>
    <row r="7216" spans="1:22" hidden="1" x14ac:dyDescent="0.25">
      <c r="A7216" s="266">
        <v>43795</v>
      </c>
      <c r="B7216" s="267">
        <v>2019</v>
      </c>
      <c r="C7216" s="267">
        <v>2020</v>
      </c>
      <c r="D7216" s="267">
        <v>1</v>
      </c>
      <c r="E7216" s="267">
        <v>1</v>
      </c>
      <c r="F7216" s="267" t="s">
        <v>944</v>
      </c>
      <c r="G7216" s="267" t="s">
        <v>3926</v>
      </c>
      <c r="H7216" s="267" t="s">
        <v>12036</v>
      </c>
      <c r="I7216" s="267" t="s">
        <v>6426</v>
      </c>
      <c r="J7216" s="267" t="s">
        <v>3928</v>
      </c>
      <c r="K7216" s="267">
        <v>6422</v>
      </c>
      <c r="L7216" s="267">
        <v>585100</v>
      </c>
      <c r="M7216" s="267" t="s">
        <v>3943</v>
      </c>
      <c r="N7216" s="267" t="s">
        <v>3944</v>
      </c>
      <c r="O7216" s="267">
        <v>2091.1799999999998</v>
      </c>
      <c r="P7216" s="267" t="s">
        <v>3944</v>
      </c>
      <c r="Q7216" s="267" t="s">
        <v>3944</v>
      </c>
      <c r="R7216" s="267">
        <v>2091.1799999999998</v>
      </c>
      <c r="S7216" s="267">
        <v>15142.82</v>
      </c>
      <c r="T7216" s="267">
        <v>17234</v>
      </c>
      <c r="U7216" s="268" t="s">
        <v>3945</v>
      </c>
      <c r="V7216" s="267" t="s">
        <v>944</v>
      </c>
    </row>
    <row r="7217" spans="1:22" hidden="1" x14ac:dyDescent="0.25">
      <c r="A7217" s="269">
        <v>43795</v>
      </c>
      <c r="B7217" s="270">
        <v>2019</v>
      </c>
      <c r="C7217" s="270">
        <v>2020</v>
      </c>
      <c r="D7217" s="270">
        <v>1</v>
      </c>
      <c r="E7217" s="270">
        <v>1</v>
      </c>
      <c r="F7217" s="270" t="s">
        <v>944</v>
      </c>
      <c r="G7217" s="270" t="s">
        <v>3926</v>
      </c>
      <c r="H7217" s="270" t="s">
        <v>12037</v>
      </c>
      <c r="I7217" s="270" t="s">
        <v>3975</v>
      </c>
      <c r="J7217" s="270" t="s">
        <v>3928</v>
      </c>
      <c r="K7217" s="270">
        <v>6489</v>
      </c>
      <c r="L7217" s="270">
        <v>430601</v>
      </c>
      <c r="M7217" s="270" t="s">
        <v>3940</v>
      </c>
      <c r="N7217" s="270" t="s">
        <v>3944</v>
      </c>
      <c r="O7217" s="270">
        <v>4296.43</v>
      </c>
      <c r="P7217" s="270" t="s">
        <v>3944</v>
      </c>
      <c r="Q7217" s="270" t="s">
        <v>3944</v>
      </c>
      <c r="R7217" s="270">
        <v>4296.43</v>
      </c>
      <c r="S7217" s="270">
        <v>54563.57</v>
      </c>
      <c r="T7217" s="270">
        <v>58860</v>
      </c>
      <c r="U7217" s="271" t="s">
        <v>3945</v>
      </c>
      <c r="V7217" s="267" t="s">
        <v>944</v>
      </c>
    </row>
    <row r="7218" spans="1:22" hidden="1" x14ac:dyDescent="0.25">
      <c r="A7218" s="266">
        <v>43795</v>
      </c>
      <c r="B7218" s="267">
        <v>2019</v>
      </c>
      <c r="C7218" s="267">
        <v>2020</v>
      </c>
      <c r="D7218" s="267">
        <v>1</v>
      </c>
      <c r="E7218" s="267">
        <v>1</v>
      </c>
      <c r="F7218" s="267" t="s">
        <v>944</v>
      </c>
      <c r="G7218" s="267" t="s">
        <v>3926</v>
      </c>
      <c r="H7218" s="267" t="s">
        <v>12038</v>
      </c>
      <c r="I7218" s="267" t="s">
        <v>3968</v>
      </c>
      <c r="J7218" s="267" t="s">
        <v>3928</v>
      </c>
      <c r="K7218" s="267">
        <v>6042</v>
      </c>
      <c r="L7218" s="267">
        <v>514101</v>
      </c>
      <c r="M7218" s="267" t="s">
        <v>3960</v>
      </c>
      <c r="N7218" s="267" t="s">
        <v>3944</v>
      </c>
      <c r="O7218" s="267">
        <v>1231.51</v>
      </c>
      <c r="P7218" s="267" t="s">
        <v>3944</v>
      </c>
      <c r="Q7218" s="267" t="s">
        <v>3944</v>
      </c>
      <c r="R7218" s="267">
        <v>1231.51</v>
      </c>
      <c r="S7218" s="267">
        <v>10207.49</v>
      </c>
      <c r="T7218" s="267">
        <v>11439</v>
      </c>
      <c r="U7218" s="268" t="s">
        <v>3945</v>
      </c>
      <c r="V7218" s="267" t="s">
        <v>944</v>
      </c>
    </row>
    <row r="7219" spans="1:22" hidden="1" x14ac:dyDescent="0.25">
      <c r="A7219" s="269">
        <v>43795</v>
      </c>
      <c r="B7219" s="270">
        <v>2019</v>
      </c>
      <c r="C7219" s="270">
        <v>2020</v>
      </c>
      <c r="D7219" s="270">
        <v>1</v>
      </c>
      <c r="E7219" s="270">
        <v>1</v>
      </c>
      <c r="F7219" s="270" t="s">
        <v>944</v>
      </c>
      <c r="G7219" s="270" t="s">
        <v>3926</v>
      </c>
      <c r="H7219" s="270" t="s">
        <v>12039</v>
      </c>
      <c r="I7219" s="270" t="s">
        <v>5388</v>
      </c>
      <c r="J7219" s="270" t="s">
        <v>3928</v>
      </c>
      <c r="K7219" s="270">
        <v>6384</v>
      </c>
      <c r="L7219" s="270">
        <v>708100</v>
      </c>
      <c r="M7219" s="270" t="s">
        <v>3935</v>
      </c>
      <c r="N7219" s="270" t="s">
        <v>3944</v>
      </c>
      <c r="O7219" s="270">
        <v>3010.14</v>
      </c>
      <c r="P7219" s="270" t="s">
        <v>3944</v>
      </c>
      <c r="Q7219" s="270" t="s">
        <v>3944</v>
      </c>
      <c r="R7219" s="270">
        <v>3010.14</v>
      </c>
      <c r="S7219" s="270">
        <v>41119.730000000003</v>
      </c>
      <c r="T7219" s="270">
        <v>44129.87</v>
      </c>
      <c r="U7219" s="271" t="s">
        <v>3945</v>
      </c>
      <c r="V7219" s="267" t="s">
        <v>944</v>
      </c>
    </row>
    <row r="7220" spans="1:22" hidden="1" x14ac:dyDescent="0.25">
      <c r="A7220" s="266">
        <v>43795</v>
      </c>
      <c r="B7220" s="267">
        <v>2019</v>
      </c>
      <c r="C7220" s="267">
        <v>2020</v>
      </c>
      <c r="D7220" s="267">
        <v>1</v>
      </c>
      <c r="E7220" s="267">
        <v>1</v>
      </c>
      <c r="F7220" s="267" t="s">
        <v>944</v>
      </c>
      <c r="G7220" s="267" t="s">
        <v>3926</v>
      </c>
      <c r="H7220" s="267" t="s">
        <v>12040</v>
      </c>
      <c r="I7220" s="267" t="s">
        <v>3964</v>
      </c>
      <c r="J7220" s="267" t="s">
        <v>3928</v>
      </c>
      <c r="K7220" s="267">
        <v>6033</v>
      </c>
      <c r="L7220" s="267">
        <v>520202</v>
      </c>
      <c r="M7220" s="267" t="s">
        <v>3943</v>
      </c>
      <c r="N7220" s="267" t="s">
        <v>3944</v>
      </c>
      <c r="O7220" s="267">
        <v>1810.97</v>
      </c>
      <c r="P7220" s="267" t="s">
        <v>3944</v>
      </c>
      <c r="Q7220" s="267" t="s">
        <v>3944</v>
      </c>
      <c r="R7220" s="267">
        <v>1810.97</v>
      </c>
      <c r="S7220" s="267">
        <v>12642.03</v>
      </c>
      <c r="T7220" s="267">
        <v>14453</v>
      </c>
      <c r="U7220" s="268" t="s">
        <v>3945</v>
      </c>
      <c r="V7220" s="267" t="s">
        <v>944</v>
      </c>
    </row>
    <row r="7221" spans="1:22" hidden="1" x14ac:dyDescent="0.25">
      <c r="A7221" s="269">
        <v>43795</v>
      </c>
      <c r="B7221" s="270">
        <v>2019</v>
      </c>
      <c r="C7221" s="270">
        <v>2020</v>
      </c>
      <c r="D7221" s="270">
        <v>1</v>
      </c>
      <c r="E7221" s="270">
        <v>1</v>
      </c>
      <c r="F7221" s="270" t="s">
        <v>944</v>
      </c>
      <c r="G7221" s="270" t="s">
        <v>3926</v>
      </c>
      <c r="H7221" s="270" t="s">
        <v>12041</v>
      </c>
      <c r="I7221" s="270" t="s">
        <v>4126</v>
      </c>
      <c r="J7221" s="270" t="s">
        <v>3928</v>
      </c>
      <c r="K7221" s="270">
        <v>6880</v>
      </c>
      <c r="L7221" s="270">
        <v>50100</v>
      </c>
      <c r="M7221" s="270" t="s">
        <v>3943</v>
      </c>
      <c r="N7221" s="270" t="s">
        <v>3944</v>
      </c>
      <c r="O7221" s="270">
        <v>4129.2700000000004</v>
      </c>
      <c r="P7221" s="270" t="s">
        <v>3944</v>
      </c>
      <c r="Q7221" s="270" t="s">
        <v>3944</v>
      </c>
      <c r="R7221" s="270">
        <v>4129.2700000000004</v>
      </c>
      <c r="S7221" s="270">
        <v>80567.73</v>
      </c>
      <c r="T7221" s="270">
        <v>84697</v>
      </c>
      <c r="U7221" s="271" t="s">
        <v>3945</v>
      </c>
      <c r="V7221" s="267" t="s">
        <v>944</v>
      </c>
    </row>
    <row r="7222" spans="1:22" hidden="1" x14ac:dyDescent="0.25">
      <c r="A7222" s="266">
        <v>43795</v>
      </c>
      <c r="B7222" s="267">
        <v>2019</v>
      </c>
      <c r="C7222" s="267">
        <v>2020</v>
      </c>
      <c r="D7222" s="267">
        <v>1</v>
      </c>
      <c r="E7222" s="267">
        <v>1</v>
      </c>
      <c r="F7222" s="267" t="s">
        <v>944</v>
      </c>
      <c r="G7222" s="267" t="s">
        <v>3926</v>
      </c>
      <c r="H7222" s="267" t="s">
        <v>12042</v>
      </c>
      <c r="I7222" s="267" t="s">
        <v>3008</v>
      </c>
      <c r="J7222" s="267" t="s">
        <v>3928</v>
      </c>
      <c r="K7222" s="267">
        <v>6460</v>
      </c>
      <c r="L7222" s="267">
        <v>151100</v>
      </c>
      <c r="M7222" s="267" t="s">
        <v>3960</v>
      </c>
      <c r="N7222" s="267" t="s">
        <v>3944</v>
      </c>
      <c r="O7222" s="267">
        <v>1318.63</v>
      </c>
      <c r="P7222" s="267" t="s">
        <v>3944</v>
      </c>
      <c r="Q7222" s="267" t="s">
        <v>3944</v>
      </c>
      <c r="R7222" s="267">
        <v>1318.63</v>
      </c>
      <c r="S7222" s="267">
        <v>33020.080000000002</v>
      </c>
      <c r="T7222" s="267">
        <v>34338.71</v>
      </c>
      <c r="U7222" s="268" t="s">
        <v>3945</v>
      </c>
      <c r="V7222" s="267" t="s">
        <v>944</v>
      </c>
    </row>
    <row r="7223" spans="1:22" hidden="1" x14ac:dyDescent="0.25">
      <c r="A7223" s="269">
        <v>43795</v>
      </c>
      <c r="B7223" s="270">
        <v>2019</v>
      </c>
      <c r="C7223" s="270">
        <v>2020</v>
      </c>
      <c r="D7223" s="270">
        <v>1</v>
      </c>
      <c r="E7223" s="270">
        <v>1</v>
      </c>
      <c r="F7223" s="270" t="s">
        <v>944</v>
      </c>
      <c r="G7223" s="270" t="s">
        <v>3926</v>
      </c>
      <c r="H7223" s="270" t="s">
        <v>12043</v>
      </c>
      <c r="I7223" s="270" t="s">
        <v>4323</v>
      </c>
      <c r="J7223" s="270" t="s">
        <v>3928</v>
      </c>
      <c r="K7223" s="270">
        <v>6375</v>
      </c>
      <c r="L7223" s="270">
        <v>693700</v>
      </c>
      <c r="M7223" s="270" t="s">
        <v>3943</v>
      </c>
      <c r="N7223" s="270" t="s">
        <v>3944</v>
      </c>
      <c r="O7223" s="270">
        <v>4685.28</v>
      </c>
      <c r="P7223" s="270" t="s">
        <v>3944</v>
      </c>
      <c r="Q7223" s="270" t="s">
        <v>3944</v>
      </c>
      <c r="R7223" s="270">
        <v>4685.28</v>
      </c>
      <c r="S7223" s="270">
        <v>30516.720000000001</v>
      </c>
      <c r="T7223" s="270">
        <v>35202</v>
      </c>
      <c r="U7223" s="271" t="s">
        <v>3945</v>
      </c>
      <c r="V7223" s="267" t="s">
        <v>944</v>
      </c>
    </row>
    <row r="7224" spans="1:22" hidden="1" x14ac:dyDescent="0.25">
      <c r="A7224" s="266">
        <v>43795</v>
      </c>
      <c r="B7224" s="267">
        <v>2019</v>
      </c>
      <c r="C7224" s="267">
        <v>2020</v>
      </c>
      <c r="D7224" s="267">
        <v>1</v>
      </c>
      <c r="E7224" s="267">
        <v>1</v>
      </c>
      <c r="F7224" s="267" t="s">
        <v>944</v>
      </c>
      <c r="G7224" s="267" t="s">
        <v>3926</v>
      </c>
      <c r="H7224" s="267" t="s">
        <v>12044</v>
      </c>
      <c r="I7224" s="267" t="s">
        <v>3008</v>
      </c>
      <c r="J7224" s="267" t="s">
        <v>3928</v>
      </c>
      <c r="K7224" s="267">
        <v>6460</v>
      </c>
      <c r="L7224" s="267">
        <v>151100</v>
      </c>
      <c r="M7224" s="267" t="s">
        <v>3960</v>
      </c>
      <c r="N7224" s="267" t="s">
        <v>3944</v>
      </c>
      <c r="O7224" s="267">
        <v>1972.32</v>
      </c>
      <c r="P7224" s="267" t="s">
        <v>3944</v>
      </c>
      <c r="Q7224" s="267" t="s">
        <v>3944</v>
      </c>
      <c r="R7224" s="267">
        <v>1972.32</v>
      </c>
      <c r="S7224" s="267">
        <v>47678.29</v>
      </c>
      <c r="T7224" s="267">
        <v>49650.61</v>
      </c>
      <c r="U7224" s="268" t="s">
        <v>3945</v>
      </c>
      <c r="V7224" s="267" t="s">
        <v>944</v>
      </c>
    </row>
    <row r="7225" spans="1:22" hidden="1" x14ac:dyDescent="0.25">
      <c r="A7225" s="269">
        <v>43795</v>
      </c>
      <c r="B7225" s="270">
        <v>2019</v>
      </c>
      <c r="C7225" s="270">
        <v>2020</v>
      </c>
      <c r="D7225" s="270">
        <v>1</v>
      </c>
      <c r="E7225" s="270">
        <v>1</v>
      </c>
      <c r="F7225" s="270" t="s">
        <v>944</v>
      </c>
      <c r="G7225" s="270" t="s">
        <v>3926</v>
      </c>
      <c r="H7225" s="270" t="s">
        <v>12045</v>
      </c>
      <c r="I7225" s="270" t="s">
        <v>4124</v>
      </c>
      <c r="J7225" s="270" t="s">
        <v>3928</v>
      </c>
      <c r="K7225" s="270">
        <v>6482</v>
      </c>
      <c r="L7225" s="270">
        <v>230501</v>
      </c>
      <c r="M7225" s="270" t="s">
        <v>3943</v>
      </c>
      <c r="N7225" s="270" t="s">
        <v>3944</v>
      </c>
      <c r="O7225" s="270">
        <v>1346.21</v>
      </c>
      <c r="P7225" s="270" t="s">
        <v>3944</v>
      </c>
      <c r="Q7225" s="270" t="s">
        <v>3944</v>
      </c>
      <c r="R7225" s="270">
        <v>1346.21</v>
      </c>
      <c r="S7225" s="270">
        <v>17819.89</v>
      </c>
      <c r="T7225" s="270">
        <v>19166.099999999999</v>
      </c>
      <c r="U7225" s="271" t="s">
        <v>3945</v>
      </c>
      <c r="V7225" s="267" t="s">
        <v>944</v>
      </c>
    </row>
    <row r="7226" spans="1:22" hidden="1" x14ac:dyDescent="0.25">
      <c r="A7226" s="266">
        <v>43795</v>
      </c>
      <c r="B7226" s="267">
        <v>2019</v>
      </c>
      <c r="C7226" s="267">
        <v>2020</v>
      </c>
      <c r="D7226" s="267">
        <v>1</v>
      </c>
      <c r="E7226" s="267">
        <v>1</v>
      </c>
      <c r="F7226" s="267" t="s">
        <v>944</v>
      </c>
      <c r="G7226" s="267" t="s">
        <v>3926</v>
      </c>
      <c r="H7226" s="267" t="s">
        <v>12046</v>
      </c>
      <c r="I7226" s="267" t="s">
        <v>4079</v>
      </c>
      <c r="J7226" s="267" t="s">
        <v>3928</v>
      </c>
      <c r="K7226" s="267">
        <v>6111</v>
      </c>
      <c r="L7226" s="267">
        <v>494300</v>
      </c>
      <c r="M7226" s="267" t="s">
        <v>3935</v>
      </c>
      <c r="N7226" s="267" t="s">
        <v>3944</v>
      </c>
      <c r="O7226" s="267">
        <v>755.13</v>
      </c>
      <c r="P7226" s="267" t="s">
        <v>3944</v>
      </c>
      <c r="Q7226" s="267" t="s">
        <v>3944</v>
      </c>
      <c r="R7226" s="267">
        <v>755.13</v>
      </c>
      <c r="S7226" s="267">
        <v>10433.450000000001</v>
      </c>
      <c r="T7226" s="267">
        <v>11188.58</v>
      </c>
      <c r="U7226" s="268" t="s">
        <v>3945</v>
      </c>
      <c r="V7226" s="267" t="s">
        <v>944</v>
      </c>
    </row>
    <row r="7227" spans="1:22" hidden="1" x14ac:dyDescent="0.25">
      <c r="A7227" s="269">
        <v>43795</v>
      </c>
      <c r="B7227" s="270">
        <v>2019</v>
      </c>
      <c r="C7227" s="270">
        <v>2020</v>
      </c>
      <c r="D7227" s="270">
        <v>1</v>
      </c>
      <c r="E7227" s="270">
        <v>1</v>
      </c>
      <c r="F7227" s="270" t="s">
        <v>944</v>
      </c>
      <c r="G7227" s="270" t="s">
        <v>3926</v>
      </c>
      <c r="H7227" s="270" t="s">
        <v>12047</v>
      </c>
      <c r="I7227" s="270" t="s">
        <v>4019</v>
      </c>
      <c r="J7227" s="270" t="s">
        <v>3928</v>
      </c>
      <c r="K7227" s="270">
        <v>6705</v>
      </c>
      <c r="L7227" s="270">
        <v>352600</v>
      </c>
      <c r="M7227" s="270">
        <v>-60</v>
      </c>
      <c r="N7227" s="270" t="s">
        <v>3944</v>
      </c>
      <c r="O7227" s="270">
        <v>3942.19</v>
      </c>
      <c r="P7227" s="270" t="s">
        <v>3944</v>
      </c>
      <c r="Q7227" s="270" t="s">
        <v>3944</v>
      </c>
      <c r="R7227" s="270">
        <v>3942.19</v>
      </c>
      <c r="S7227" s="270">
        <v>67047.94</v>
      </c>
      <c r="T7227" s="270">
        <v>70990.13</v>
      </c>
      <c r="U7227" s="271" t="s">
        <v>3945</v>
      </c>
      <c r="V7227" s="267" t="s">
        <v>944</v>
      </c>
    </row>
    <row r="7228" spans="1:22" hidden="1" x14ac:dyDescent="0.25">
      <c r="A7228" s="266">
        <v>43795</v>
      </c>
      <c r="B7228" s="267">
        <v>2019</v>
      </c>
      <c r="C7228" s="267">
        <v>2020</v>
      </c>
      <c r="D7228" s="267">
        <v>1</v>
      </c>
      <c r="E7228" s="267">
        <v>1</v>
      </c>
      <c r="F7228" s="267" t="s">
        <v>944</v>
      </c>
      <c r="G7228" s="267" t="s">
        <v>3926</v>
      </c>
      <c r="H7228" s="267" t="s">
        <v>12048</v>
      </c>
      <c r="I7228" s="267" t="s">
        <v>4159</v>
      </c>
      <c r="J7228" s="267" t="s">
        <v>3928</v>
      </c>
      <c r="K7228" s="267">
        <v>6016</v>
      </c>
      <c r="L7228" s="267">
        <v>484200</v>
      </c>
      <c r="M7228" s="267" t="s">
        <v>3935</v>
      </c>
      <c r="N7228" s="267" t="s">
        <v>3944</v>
      </c>
      <c r="O7228" s="267">
        <v>1996.4</v>
      </c>
      <c r="P7228" s="267" t="s">
        <v>3944</v>
      </c>
      <c r="Q7228" s="267" t="s">
        <v>3944</v>
      </c>
      <c r="R7228" s="267">
        <v>1996.4</v>
      </c>
      <c r="S7228" s="267">
        <v>15271.6</v>
      </c>
      <c r="T7228" s="267">
        <v>17268</v>
      </c>
      <c r="U7228" s="268" t="s">
        <v>3945</v>
      </c>
      <c r="V7228" s="267" t="s">
        <v>944</v>
      </c>
    </row>
    <row r="7229" spans="1:22" hidden="1" x14ac:dyDescent="0.25">
      <c r="A7229" s="269">
        <v>43795</v>
      </c>
      <c r="B7229" s="270">
        <v>2019</v>
      </c>
      <c r="C7229" s="270">
        <v>2020</v>
      </c>
      <c r="D7229" s="270">
        <v>1</v>
      </c>
      <c r="E7229" s="270">
        <v>1</v>
      </c>
      <c r="F7229" s="270" t="s">
        <v>944</v>
      </c>
      <c r="G7229" s="270" t="s">
        <v>3926</v>
      </c>
      <c r="H7229" s="270" t="s">
        <v>12049</v>
      </c>
      <c r="I7229" s="270" t="s">
        <v>3011</v>
      </c>
      <c r="J7229" s="270" t="s">
        <v>3928</v>
      </c>
      <c r="K7229" s="270">
        <v>6418</v>
      </c>
      <c r="L7229" s="270">
        <v>120200</v>
      </c>
      <c r="M7229" s="270">
        <v>-60</v>
      </c>
      <c r="N7229" s="270" t="s">
        <v>3944</v>
      </c>
      <c r="O7229" s="270">
        <v>1501.96</v>
      </c>
      <c r="P7229" s="270" t="s">
        <v>3944</v>
      </c>
      <c r="Q7229" s="270" t="s">
        <v>3944</v>
      </c>
      <c r="R7229" s="270">
        <v>1501.96</v>
      </c>
      <c r="S7229" s="270">
        <v>22837.07</v>
      </c>
      <c r="T7229" s="270">
        <v>24339.03</v>
      </c>
      <c r="U7229" s="271" t="s">
        <v>3945</v>
      </c>
      <c r="V7229" s="267" t="s">
        <v>944</v>
      </c>
    </row>
    <row r="7230" spans="1:22" hidden="1" x14ac:dyDescent="0.25">
      <c r="A7230" s="266">
        <v>43795</v>
      </c>
      <c r="B7230" s="267">
        <v>2019</v>
      </c>
      <c r="C7230" s="267">
        <v>2020</v>
      </c>
      <c r="D7230" s="267">
        <v>1</v>
      </c>
      <c r="E7230" s="267">
        <v>1</v>
      </c>
      <c r="F7230" s="267" t="s">
        <v>944</v>
      </c>
      <c r="G7230" s="267" t="s">
        <v>3926</v>
      </c>
      <c r="H7230" s="267" t="s">
        <v>12050</v>
      </c>
      <c r="I7230" s="267" t="s">
        <v>4323</v>
      </c>
      <c r="J7230" s="267" t="s">
        <v>3928</v>
      </c>
      <c r="K7230" s="267">
        <v>6385</v>
      </c>
      <c r="L7230" s="267">
        <v>693400</v>
      </c>
      <c r="M7230" s="267" t="s">
        <v>3940</v>
      </c>
      <c r="N7230" s="267" t="s">
        <v>3944</v>
      </c>
      <c r="O7230" s="267">
        <v>908.39</v>
      </c>
      <c r="P7230" s="267" t="s">
        <v>3944</v>
      </c>
      <c r="Q7230" s="267" t="s">
        <v>3944</v>
      </c>
      <c r="R7230" s="267">
        <v>908.39</v>
      </c>
      <c r="S7230" s="267">
        <v>14593.91</v>
      </c>
      <c r="T7230" s="267">
        <v>15502.3</v>
      </c>
      <c r="U7230" s="268" t="s">
        <v>3945</v>
      </c>
      <c r="V7230" s="267" t="s">
        <v>944</v>
      </c>
    </row>
    <row r="7231" spans="1:22" hidden="1" x14ac:dyDescent="0.25">
      <c r="A7231" s="269">
        <v>43795</v>
      </c>
      <c r="B7231" s="270">
        <v>2019</v>
      </c>
      <c r="C7231" s="270">
        <v>2020</v>
      </c>
      <c r="D7231" s="270">
        <v>1</v>
      </c>
      <c r="E7231" s="270">
        <v>1</v>
      </c>
      <c r="F7231" s="270" t="s">
        <v>944</v>
      </c>
      <c r="G7231" s="270" t="s">
        <v>3926</v>
      </c>
      <c r="H7231" s="270" t="s">
        <v>12051</v>
      </c>
      <c r="I7231" s="270" t="s">
        <v>4297</v>
      </c>
      <c r="J7231" s="270" t="s">
        <v>3928</v>
      </c>
      <c r="K7231" s="270">
        <v>6231</v>
      </c>
      <c r="L7231" s="270">
        <v>526101</v>
      </c>
      <c r="M7231" s="270" t="s">
        <v>3943</v>
      </c>
      <c r="N7231" s="270" t="s">
        <v>3944</v>
      </c>
      <c r="O7231" s="270">
        <v>1710.8</v>
      </c>
      <c r="P7231" s="270" t="s">
        <v>3944</v>
      </c>
      <c r="Q7231" s="270" t="s">
        <v>3944</v>
      </c>
      <c r="R7231" s="270">
        <v>1710.8</v>
      </c>
      <c r="S7231" s="270">
        <v>26261.200000000001</v>
      </c>
      <c r="T7231" s="270">
        <v>27972</v>
      </c>
      <c r="U7231" s="271" t="s">
        <v>3945</v>
      </c>
      <c r="V7231" s="267" t="s">
        <v>944</v>
      </c>
    </row>
    <row r="7232" spans="1:22" hidden="1" x14ac:dyDescent="0.25">
      <c r="A7232" s="266">
        <v>43795</v>
      </c>
      <c r="B7232" s="267">
        <v>2019</v>
      </c>
      <c r="C7232" s="267">
        <v>2020</v>
      </c>
      <c r="D7232" s="267">
        <v>1</v>
      </c>
      <c r="E7232" s="267">
        <v>1</v>
      </c>
      <c r="F7232" s="267" t="s">
        <v>944</v>
      </c>
      <c r="G7232" s="267" t="s">
        <v>3926</v>
      </c>
      <c r="H7232" s="267" t="s">
        <v>12052</v>
      </c>
      <c r="I7232" s="267" t="s">
        <v>3985</v>
      </c>
      <c r="J7232" s="267" t="s">
        <v>3928</v>
      </c>
      <c r="K7232" s="267">
        <v>6226</v>
      </c>
      <c r="L7232" s="267">
        <v>800300</v>
      </c>
      <c r="M7232" s="267">
        <v>-60</v>
      </c>
      <c r="N7232" s="267" t="s">
        <v>3944</v>
      </c>
      <c r="O7232" s="267">
        <v>1974.84</v>
      </c>
      <c r="P7232" s="267" t="s">
        <v>3944</v>
      </c>
      <c r="Q7232" s="267" t="s">
        <v>3944</v>
      </c>
      <c r="R7232" s="267">
        <v>1974.84</v>
      </c>
      <c r="S7232" s="267">
        <v>31709.16</v>
      </c>
      <c r="T7232" s="267">
        <v>33684</v>
      </c>
      <c r="U7232" s="268" t="s">
        <v>3945</v>
      </c>
      <c r="V7232" s="267" t="s">
        <v>944</v>
      </c>
    </row>
    <row r="7233" spans="1:22" hidden="1" x14ac:dyDescent="0.25">
      <c r="A7233" s="269">
        <v>43795</v>
      </c>
      <c r="B7233" s="270">
        <v>2019</v>
      </c>
      <c r="C7233" s="270">
        <v>2020</v>
      </c>
      <c r="D7233" s="270">
        <v>1</v>
      </c>
      <c r="E7233" s="270">
        <v>1</v>
      </c>
      <c r="F7233" s="270" t="s">
        <v>944</v>
      </c>
      <c r="G7233" s="270" t="s">
        <v>3926</v>
      </c>
      <c r="H7233" s="270" t="s">
        <v>12053</v>
      </c>
      <c r="I7233" s="270" t="s">
        <v>4353</v>
      </c>
      <c r="J7233" s="270" t="s">
        <v>3928</v>
      </c>
      <c r="K7233" s="270">
        <v>6416</v>
      </c>
      <c r="L7233" s="270">
        <v>570200</v>
      </c>
      <c r="M7233" s="270" t="s">
        <v>3943</v>
      </c>
      <c r="N7233" s="270" t="s">
        <v>3944</v>
      </c>
      <c r="O7233" s="270">
        <v>2224.11</v>
      </c>
      <c r="P7233" s="270" t="s">
        <v>3944</v>
      </c>
      <c r="Q7233" s="270" t="s">
        <v>3944</v>
      </c>
      <c r="R7233" s="270">
        <v>2224.11</v>
      </c>
      <c r="S7233" s="270">
        <v>31905.439999999999</v>
      </c>
      <c r="T7233" s="270">
        <v>34129.550000000003</v>
      </c>
      <c r="U7233" s="271" t="s">
        <v>3945</v>
      </c>
      <c r="V7233" s="267" t="s">
        <v>944</v>
      </c>
    </row>
    <row r="7234" spans="1:22" hidden="1" x14ac:dyDescent="0.25">
      <c r="A7234" s="266">
        <v>43795</v>
      </c>
      <c r="B7234" s="267">
        <v>2019</v>
      </c>
      <c r="C7234" s="267">
        <v>2020</v>
      </c>
      <c r="D7234" s="267">
        <v>1</v>
      </c>
      <c r="E7234" s="267">
        <v>1</v>
      </c>
      <c r="F7234" s="267" t="s">
        <v>944</v>
      </c>
      <c r="G7234" s="267" t="s">
        <v>3926</v>
      </c>
      <c r="H7234" s="267" t="s">
        <v>12054</v>
      </c>
      <c r="I7234" s="267" t="s">
        <v>4016</v>
      </c>
      <c r="J7234" s="267" t="s">
        <v>3928</v>
      </c>
      <c r="K7234" s="267">
        <v>6770</v>
      </c>
      <c r="L7234" s="267">
        <v>345201</v>
      </c>
      <c r="M7234" s="267" t="s">
        <v>3935</v>
      </c>
      <c r="N7234" s="267" t="s">
        <v>3944</v>
      </c>
      <c r="O7234" s="267">
        <v>1980.62</v>
      </c>
      <c r="P7234" s="267" t="s">
        <v>3944</v>
      </c>
      <c r="Q7234" s="267" t="s">
        <v>3944</v>
      </c>
      <c r="R7234" s="267">
        <v>1980.62</v>
      </c>
      <c r="S7234" s="267">
        <v>31654.45</v>
      </c>
      <c r="T7234" s="267">
        <v>33635.07</v>
      </c>
      <c r="U7234" s="268" t="s">
        <v>3945</v>
      </c>
      <c r="V7234" s="267" t="s">
        <v>944</v>
      </c>
    </row>
    <row r="7235" spans="1:22" hidden="1" x14ac:dyDescent="0.25">
      <c r="A7235" s="269">
        <v>43795</v>
      </c>
      <c r="B7235" s="270">
        <v>2019</v>
      </c>
      <c r="C7235" s="270">
        <v>2020</v>
      </c>
      <c r="D7235" s="270">
        <v>1</v>
      </c>
      <c r="E7235" s="270">
        <v>1</v>
      </c>
      <c r="F7235" s="270" t="s">
        <v>944</v>
      </c>
      <c r="G7235" s="270" t="s">
        <v>3926</v>
      </c>
      <c r="H7235" s="270" t="s">
        <v>12055</v>
      </c>
      <c r="I7235" s="270" t="s">
        <v>5147</v>
      </c>
      <c r="J7235" s="270" t="s">
        <v>3928</v>
      </c>
      <c r="K7235" s="270">
        <v>6468</v>
      </c>
      <c r="L7235" s="270">
        <v>100300</v>
      </c>
      <c r="M7235" s="270" t="s">
        <v>3943</v>
      </c>
      <c r="N7235" s="270" t="s">
        <v>3944</v>
      </c>
      <c r="O7235" s="270">
        <v>2335.06</v>
      </c>
      <c r="P7235" s="270" t="s">
        <v>3944</v>
      </c>
      <c r="Q7235" s="270" t="s">
        <v>3944</v>
      </c>
      <c r="R7235" s="270">
        <v>2335.06</v>
      </c>
      <c r="S7235" s="270">
        <v>33645.1</v>
      </c>
      <c r="T7235" s="270">
        <v>35980.160000000003</v>
      </c>
      <c r="U7235" s="271" t="s">
        <v>3945</v>
      </c>
      <c r="V7235" s="267" t="s">
        <v>944</v>
      </c>
    </row>
    <row r="7236" spans="1:22" hidden="1" x14ac:dyDescent="0.25">
      <c r="A7236" s="266">
        <v>43795</v>
      </c>
      <c r="B7236" s="267">
        <v>2019</v>
      </c>
      <c r="C7236" s="267">
        <v>2020</v>
      </c>
      <c r="D7236" s="267">
        <v>1</v>
      </c>
      <c r="E7236" s="267">
        <v>1</v>
      </c>
      <c r="F7236" s="267" t="s">
        <v>944</v>
      </c>
      <c r="G7236" s="267" t="s">
        <v>3926</v>
      </c>
      <c r="H7236" s="267" t="s">
        <v>12056</v>
      </c>
      <c r="I7236" s="267" t="s">
        <v>4168</v>
      </c>
      <c r="J7236" s="267" t="s">
        <v>3928</v>
      </c>
      <c r="K7236" s="267">
        <v>6475</v>
      </c>
      <c r="L7236" s="267">
        <v>670100</v>
      </c>
      <c r="M7236" s="267" t="s">
        <v>3960</v>
      </c>
      <c r="N7236" s="267" t="s">
        <v>3944</v>
      </c>
      <c r="O7236" s="267">
        <v>2983.82</v>
      </c>
      <c r="P7236" s="267" t="s">
        <v>3944</v>
      </c>
      <c r="Q7236" s="267" t="s">
        <v>3944</v>
      </c>
      <c r="R7236" s="267">
        <v>2983.82</v>
      </c>
      <c r="S7236" s="267">
        <v>46226.18</v>
      </c>
      <c r="T7236" s="267">
        <v>49210</v>
      </c>
      <c r="U7236" s="268" t="s">
        <v>3945</v>
      </c>
      <c r="V7236" s="267" t="s">
        <v>944</v>
      </c>
    </row>
    <row r="7237" spans="1:22" hidden="1" x14ac:dyDescent="0.25">
      <c r="A7237" s="269">
        <v>43795</v>
      </c>
      <c r="B7237" s="270">
        <v>2019</v>
      </c>
      <c r="C7237" s="270">
        <v>2020</v>
      </c>
      <c r="D7237" s="270">
        <v>1</v>
      </c>
      <c r="E7237" s="270">
        <v>1</v>
      </c>
      <c r="F7237" s="270" t="s">
        <v>944</v>
      </c>
      <c r="G7237" s="270" t="s">
        <v>3926</v>
      </c>
      <c r="H7237" s="270" t="s">
        <v>12057</v>
      </c>
      <c r="I7237" s="270" t="s">
        <v>4119</v>
      </c>
      <c r="J7237" s="270" t="s">
        <v>3928</v>
      </c>
      <c r="K7237" s="270">
        <v>6078</v>
      </c>
      <c r="L7237" s="270">
        <v>477102</v>
      </c>
      <c r="M7237" s="270" t="s">
        <v>3943</v>
      </c>
      <c r="N7237" s="270" t="s">
        <v>3944</v>
      </c>
      <c r="O7237" s="270">
        <v>1493.87</v>
      </c>
      <c r="P7237" s="270" t="s">
        <v>3944</v>
      </c>
      <c r="Q7237" s="270" t="s">
        <v>3944</v>
      </c>
      <c r="R7237" s="270">
        <v>1493.87</v>
      </c>
      <c r="S7237" s="270">
        <v>17100.13</v>
      </c>
      <c r="T7237" s="270">
        <v>18594</v>
      </c>
      <c r="U7237" s="271" t="s">
        <v>3945</v>
      </c>
      <c r="V7237" s="267" t="s">
        <v>944</v>
      </c>
    </row>
    <row r="7238" spans="1:22" hidden="1" x14ac:dyDescent="0.25">
      <c r="A7238" s="266">
        <v>43795</v>
      </c>
      <c r="B7238" s="267">
        <v>2019</v>
      </c>
      <c r="C7238" s="267">
        <v>2020</v>
      </c>
      <c r="D7238" s="267">
        <v>1</v>
      </c>
      <c r="E7238" s="267">
        <v>1</v>
      </c>
      <c r="F7238" s="267" t="s">
        <v>944</v>
      </c>
      <c r="G7238" s="267" t="s">
        <v>3926</v>
      </c>
      <c r="H7238" s="267" t="s">
        <v>12058</v>
      </c>
      <c r="I7238" s="267" t="s">
        <v>4731</v>
      </c>
      <c r="J7238" s="267" t="s">
        <v>3928</v>
      </c>
      <c r="K7238" s="267">
        <v>6478</v>
      </c>
      <c r="L7238" s="267">
        <v>346102</v>
      </c>
      <c r="M7238" s="267" t="s">
        <v>3943</v>
      </c>
      <c r="N7238" s="267" t="s">
        <v>3944</v>
      </c>
      <c r="O7238" s="267">
        <v>1633.24</v>
      </c>
      <c r="P7238" s="267" t="s">
        <v>3944</v>
      </c>
      <c r="Q7238" s="267" t="s">
        <v>3944</v>
      </c>
      <c r="R7238" s="267">
        <v>1633.24</v>
      </c>
      <c r="S7238" s="267">
        <v>16609.759999999998</v>
      </c>
      <c r="T7238" s="267">
        <v>18243</v>
      </c>
      <c r="U7238" s="268" t="s">
        <v>3945</v>
      </c>
      <c r="V7238" s="267" t="s">
        <v>944</v>
      </c>
    </row>
    <row r="7239" spans="1:22" hidden="1" x14ac:dyDescent="0.25">
      <c r="A7239" s="269">
        <v>43795</v>
      </c>
      <c r="B7239" s="270">
        <v>2019</v>
      </c>
      <c r="C7239" s="270">
        <v>2020</v>
      </c>
      <c r="D7239" s="270">
        <v>1</v>
      </c>
      <c r="E7239" s="270">
        <v>1</v>
      </c>
      <c r="F7239" s="270" t="s">
        <v>944</v>
      </c>
      <c r="G7239" s="270" t="s">
        <v>3926</v>
      </c>
      <c r="H7239" s="270" t="s">
        <v>12059</v>
      </c>
      <c r="I7239" s="270" t="s">
        <v>3014</v>
      </c>
      <c r="J7239" s="270" t="s">
        <v>3928</v>
      </c>
      <c r="K7239" s="270">
        <v>6525</v>
      </c>
      <c r="L7239" s="270">
        <v>160100</v>
      </c>
      <c r="M7239" s="270" t="s">
        <v>3943</v>
      </c>
      <c r="N7239" s="270" t="s">
        <v>3944</v>
      </c>
      <c r="O7239" s="270">
        <v>2924.92</v>
      </c>
      <c r="P7239" s="270" t="s">
        <v>3944</v>
      </c>
      <c r="Q7239" s="270" t="s">
        <v>3944</v>
      </c>
      <c r="R7239" s="270">
        <v>2924.92</v>
      </c>
      <c r="S7239" s="270">
        <v>23387.08</v>
      </c>
      <c r="T7239" s="270">
        <v>26312</v>
      </c>
      <c r="U7239" s="271" t="s">
        <v>3945</v>
      </c>
      <c r="V7239" s="267" t="s">
        <v>944</v>
      </c>
    </row>
    <row r="7240" spans="1:22" hidden="1" x14ac:dyDescent="0.25">
      <c r="A7240" s="266">
        <v>43795</v>
      </c>
      <c r="B7240" s="267">
        <v>2019</v>
      </c>
      <c r="C7240" s="267">
        <v>2020</v>
      </c>
      <c r="D7240" s="267">
        <v>1</v>
      </c>
      <c r="E7240" s="267">
        <v>1</v>
      </c>
      <c r="F7240" s="267" t="s">
        <v>944</v>
      </c>
      <c r="G7240" s="267" t="s">
        <v>3926</v>
      </c>
      <c r="H7240" s="267" t="s">
        <v>12060</v>
      </c>
      <c r="I7240" s="267" t="s">
        <v>3008</v>
      </c>
      <c r="J7240" s="267" t="s">
        <v>3928</v>
      </c>
      <c r="K7240" s="267">
        <v>6461</v>
      </c>
      <c r="L7240" s="267">
        <v>150600</v>
      </c>
      <c r="M7240" s="267" t="s">
        <v>3960</v>
      </c>
      <c r="N7240" s="267" t="s">
        <v>3944</v>
      </c>
      <c r="O7240" s="267">
        <v>3172.33</v>
      </c>
      <c r="P7240" s="267" t="s">
        <v>3944</v>
      </c>
      <c r="Q7240" s="267" t="s">
        <v>3944</v>
      </c>
      <c r="R7240" s="267">
        <v>3172.33</v>
      </c>
      <c r="S7240" s="267">
        <v>51693.67</v>
      </c>
      <c r="T7240" s="267">
        <v>54866</v>
      </c>
      <c r="U7240" s="268" t="s">
        <v>3945</v>
      </c>
      <c r="V7240" s="267" t="s">
        <v>944</v>
      </c>
    </row>
    <row r="7241" spans="1:22" hidden="1" x14ac:dyDescent="0.25">
      <c r="A7241" s="269">
        <v>43795</v>
      </c>
      <c r="B7241" s="270">
        <v>2019</v>
      </c>
      <c r="C7241" s="270">
        <v>2020</v>
      </c>
      <c r="D7241" s="270">
        <v>1</v>
      </c>
      <c r="E7241" s="270">
        <v>1</v>
      </c>
      <c r="F7241" s="270" t="s">
        <v>944</v>
      </c>
      <c r="G7241" s="270" t="s">
        <v>3926</v>
      </c>
      <c r="H7241" s="270" t="s">
        <v>12061</v>
      </c>
      <c r="I7241" s="270" t="s">
        <v>4037</v>
      </c>
      <c r="J7241" s="270" t="s">
        <v>3928</v>
      </c>
      <c r="K7241" s="270">
        <v>6810</v>
      </c>
      <c r="L7241" s="270">
        <v>210100</v>
      </c>
      <c r="M7241" s="270">
        <v>-60</v>
      </c>
      <c r="N7241" s="270" t="s">
        <v>12062</v>
      </c>
      <c r="O7241" s="270"/>
      <c r="P7241" s="270" t="s">
        <v>3944</v>
      </c>
      <c r="Q7241" s="270" t="s">
        <v>12062</v>
      </c>
      <c r="R7241" s="270">
        <v>303393.36</v>
      </c>
      <c r="S7241" s="270">
        <v>0</v>
      </c>
      <c r="T7241" s="270">
        <v>303393.36</v>
      </c>
      <c r="U7241" s="271" t="s">
        <v>4099</v>
      </c>
      <c r="V7241" s="267" t="s">
        <v>944</v>
      </c>
    </row>
    <row r="7242" spans="1:22" hidden="1" x14ac:dyDescent="0.25">
      <c r="A7242" s="266">
        <v>43795</v>
      </c>
      <c r="B7242" s="267">
        <v>2019</v>
      </c>
      <c r="C7242" s="267">
        <v>2020</v>
      </c>
      <c r="D7242" s="267">
        <v>1</v>
      </c>
      <c r="E7242" s="267">
        <v>1</v>
      </c>
      <c r="F7242" s="267" t="s">
        <v>944</v>
      </c>
      <c r="G7242" s="267" t="s">
        <v>3926</v>
      </c>
      <c r="H7242" s="267" t="s">
        <v>12063</v>
      </c>
      <c r="I7242" s="267" t="s">
        <v>4306</v>
      </c>
      <c r="J7242" s="267" t="s">
        <v>3928</v>
      </c>
      <c r="K7242" s="267">
        <v>6716</v>
      </c>
      <c r="L7242" s="267">
        <v>361300</v>
      </c>
      <c r="M7242" s="267" t="s">
        <v>3960</v>
      </c>
      <c r="N7242" s="267" t="s">
        <v>3944</v>
      </c>
      <c r="O7242" s="267">
        <v>3204.46</v>
      </c>
      <c r="P7242" s="267" t="s">
        <v>3944</v>
      </c>
      <c r="Q7242" s="267" t="s">
        <v>3944</v>
      </c>
      <c r="R7242" s="267">
        <v>3204.46</v>
      </c>
      <c r="S7242" s="267">
        <v>46924.639999999999</v>
      </c>
      <c r="T7242" s="267">
        <v>50129.1</v>
      </c>
      <c r="U7242" s="268" t="s">
        <v>3945</v>
      </c>
      <c r="V7242" s="267" t="s">
        <v>944</v>
      </c>
    </row>
    <row r="7243" spans="1:22" hidden="1" x14ac:dyDescent="0.25">
      <c r="A7243" s="269">
        <v>43795</v>
      </c>
      <c r="B7243" s="270">
        <v>2019</v>
      </c>
      <c r="C7243" s="270">
        <v>2020</v>
      </c>
      <c r="D7243" s="270">
        <v>1</v>
      </c>
      <c r="E7243" s="270">
        <v>1</v>
      </c>
      <c r="F7243" s="270" t="s">
        <v>944</v>
      </c>
      <c r="G7243" s="270" t="s">
        <v>3926</v>
      </c>
      <c r="H7243" s="270" t="s">
        <v>12064</v>
      </c>
      <c r="I7243" s="270" t="s">
        <v>4016</v>
      </c>
      <c r="J7243" s="270" t="s">
        <v>3928</v>
      </c>
      <c r="K7243" s="270">
        <v>6770</v>
      </c>
      <c r="L7243" s="270">
        <v>345201</v>
      </c>
      <c r="M7243" s="270" t="s">
        <v>3935</v>
      </c>
      <c r="N7243" s="270" t="s">
        <v>3944</v>
      </c>
      <c r="O7243" s="270">
        <v>2013.83</v>
      </c>
      <c r="P7243" s="270" t="s">
        <v>3944</v>
      </c>
      <c r="Q7243" s="270" t="s">
        <v>3944</v>
      </c>
      <c r="R7243" s="270">
        <v>2013.83</v>
      </c>
      <c r="S7243" s="270">
        <v>29146.29</v>
      </c>
      <c r="T7243" s="270">
        <v>31160.12</v>
      </c>
      <c r="U7243" s="271" t="s">
        <v>3945</v>
      </c>
      <c r="V7243" s="267" t="s">
        <v>944</v>
      </c>
    </row>
    <row r="7244" spans="1:22" hidden="1" x14ac:dyDescent="0.25">
      <c r="A7244" s="266">
        <v>43795</v>
      </c>
      <c r="B7244" s="267">
        <v>2019</v>
      </c>
      <c r="C7244" s="267">
        <v>2020</v>
      </c>
      <c r="D7244" s="267">
        <v>1</v>
      </c>
      <c r="E7244" s="267">
        <v>1</v>
      </c>
      <c r="F7244" s="267" t="s">
        <v>944</v>
      </c>
      <c r="G7244" s="267" t="s">
        <v>3926</v>
      </c>
      <c r="H7244" s="267" t="s">
        <v>12065</v>
      </c>
      <c r="I7244" s="267" t="s">
        <v>4040</v>
      </c>
      <c r="J7244" s="267" t="s">
        <v>3928</v>
      </c>
      <c r="K7244" s="267">
        <v>6339</v>
      </c>
      <c r="L7244" s="267">
        <v>701100</v>
      </c>
      <c r="M7244" s="267" t="s">
        <v>3960</v>
      </c>
      <c r="N7244" s="267" t="s">
        <v>3944</v>
      </c>
      <c r="O7244" s="267">
        <v>1627.43</v>
      </c>
      <c r="P7244" s="267" t="s">
        <v>3944</v>
      </c>
      <c r="Q7244" s="267" t="s">
        <v>3944</v>
      </c>
      <c r="R7244" s="267">
        <v>1627.43</v>
      </c>
      <c r="S7244" s="267">
        <v>14814.57</v>
      </c>
      <c r="T7244" s="267">
        <v>16442</v>
      </c>
      <c r="U7244" s="268" t="s">
        <v>3945</v>
      </c>
      <c r="V7244" s="267" t="s">
        <v>944</v>
      </c>
    </row>
    <row r="7245" spans="1:22" hidden="1" x14ac:dyDescent="0.25">
      <c r="A7245" s="269">
        <v>43795</v>
      </c>
      <c r="B7245" s="270">
        <v>2019</v>
      </c>
      <c r="C7245" s="270">
        <v>2020</v>
      </c>
      <c r="D7245" s="270">
        <v>1</v>
      </c>
      <c r="E7245" s="270">
        <v>1</v>
      </c>
      <c r="F7245" s="270" t="s">
        <v>944</v>
      </c>
      <c r="G7245" s="270" t="s">
        <v>3926</v>
      </c>
      <c r="H7245" s="270" t="s">
        <v>12066</v>
      </c>
      <c r="I7245" s="270" t="s">
        <v>3009</v>
      </c>
      <c r="J7245" s="270" t="s">
        <v>3928</v>
      </c>
      <c r="K7245" s="270">
        <v>6484</v>
      </c>
      <c r="L7245" s="270">
        <v>110600</v>
      </c>
      <c r="M7245" s="270" t="s">
        <v>3943</v>
      </c>
      <c r="N7245" s="270" t="s">
        <v>3944</v>
      </c>
      <c r="O7245" s="270">
        <v>1813.88</v>
      </c>
      <c r="P7245" s="270" t="s">
        <v>3944</v>
      </c>
      <c r="Q7245" s="270" t="s">
        <v>3944</v>
      </c>
      <c r="R7245" s="270">
        <v>1813.88</v>
      </c>
      <c r="S7245" s="270">
        <v>12178.12</v>
      </c>
      <c r="T7245" s="270">
        <v>13992</v>
      </c>
      <c r="U7245" s="271" t="s">
        <v>3945</v>
      </c>
      <c r="V7245" s="267" t="s">
        <v>944</v>
      </c>
    </row>
    <row r="7246" spans="1:22" hidden="1" x14ac:dyDescent="0.25">
      <c r="A7246" s="266">
        <v>43795</v>
      </c>
      <c r="B7246" s="267">
        <v>2019</v>
      </c>
      <c r="C7246" s="267">
        <v>2020</v>
      </c>
      <c r="D7246" s="267">
        <v>1</v>
      </c>
      <c r="E7246" s="267">
        <v>1</v>
      </c>
      <c r="F7246" s="267" t="s">
        <v>944</v>
      </c>
      <c r="G7246" s="267" t="s">
        <v>3926</v>
      </c>
      <c r="H7246" s="267" t="s">
        <v>12067</v>
      </c>
      <c r="I7246" s="267" t="s">
        <v>4003</v>
      </c>
      <c r="J7246" s="267" t="s">
        <v>3928</v>
      </c>
      <c r="K7246" s="267">
        <v>6374</v>
      </c>
      <c r="L7246" s="267">
        <v>907300</v>
      </c>
      <c r="M7246" s="267" t="s">
        <v>3935</v>
      </c>
      <c r="N7246" s="267" t="s">
        <v>3944</v>
      </c>
      <c r="O7246" s="267">
        <v>1450.12</v>
      </c>
      <c r="P7246" s="267" t="s">
        <v>3944</v>
      </c>
      <c r="Q7246" s="267" t="s">
        <v>3944</v>
      </c>
      <c r="R7246" s="267">
        <v>1450.12</v>
      </c>
      <c r="S7246" s="267">
        <v>21254.71</v>
      </c>
      <c r="T7246" s="267">
        <v>22704.83</v>
      </c>
      <c r="U7246" s="268" t="s">
        <v>3945</v>
      </c>
      <c r="V7246" s="267" t="s">
        <v>944</v>
      </c>
    </row>
    <row r="7247" spans="1:22" hidden="1" x14ac:dyDescent="0.25">
      <c r="A7247" s="269">
        <v>43795</v>
      </c>
      <c r="B7247" s="270">
        <v>2019</v>
      </c>
      <c r="C7247" s="270">
        <v>2020</v>
      </c>
      <c r="D7247" s="270">
        <v>1</v>
      </c>
      <c r="E7247" s="270">
        <v>1</v>
      </c>
      <c r="F7247" s="270" t="s">
        <v>944</v>
      </c>
      <c r="G7247" s="270" t="s">
        <v>3926</v>
      </c>
      <c r="H7247" s="270" t="s">
        <v>12068</v>
      </c>
      <c r="I7247" s="270" t="s">
        <v>4170</v>
      </c>
      <c r="J7247" s="270" t="s">
        <v>3928</v>
      </c>
      <c r="K7247" s="270">
        <v>6498</v>
      </c>
      <c r="L7247" s="270">
        <v>680100</v>
      </c>
      <c r="M7247" s="270" t="s">
        <v>3935</v>
      </c>
      <c r="N7247" s="270" t="s">
        <v>3944</v>
      </c>
      <c r="O7247" s="270">
        <v>1717.66</v>
      </c>
      <c r="P7247" s="270" t="s">
        <v>3944</v>
      </c>
      <c r="Q7247" s="270" t="s">
        <v>3944</v>
      </c>
      <c r="R7247" s="270">
        <v>1717.66</v>
      </c>
      <c r="S7247" s="270">
        <v>13737.34</v>
      </c>
      <c r="T7247" s="270">
        <v>15455</v>
      </c>
      <c r="U7247" s="271" t="s">
        <v>3945</v>
      </c>
      <c r="V7247" s="267" t="s">
        <v>944</v>
      </c>
    </row>
    <row r="7248" spans="1:22" hidden="1" x14ac:dyDescent="0.25">
      <c r="A7248" s="266">
        <v>43796</v>
      </c>
      <c r="B7248" s="267">
        <v>2019</v>
      </c>
      <c r="C7248" s="267">
        <v>2020</v>
      </c>
      <c r="D7248" s="267">
        <v>1</v>
      </c>
      <c r="E7248" s="267">
        <v>1</v>
      </c>
      <c r="F7248" s="267" t="s">
        <v>944</v>
      </c>
      <c r="G7248" s="267" t="s">
        <v>3926</v>
      </c>
      <c r="H7248" s="267" t="s">
        <v>12069</v>
      </c>
      <c r="I7248" s="267" t="s">
        <v>4232</v>
      </c>
      <c r="J7248" s="267" t="s">
        <v>3928</v>
      </c>
      <c r="K7248" s="267">
        <v>6483</v>
      </c>
      <c r="L7248" s="267">
        <v>130200</v>
      </c>
      <c r="M7248" s="267" t="s">
        <v>3935</v>
      </c>
      <c r="N7248" s="267" t="s">
        <v>12070</v>
      </c>
      <c r="O7248" s="267">
        <v>0</v>
      </c>
      <c r="P7248" s="267" t="s">
        <v>3930</v>
      </c>
      <c r="Q7248" s="267" t="s">
        <v>3930</v>
      </c>
      <c r="R7248" s="267">
        <v>0</v>
      </c>
      <c r="S7248" s="267">
        <v>8999</v>
      </c>
      <c r="T7248" s="267">
        <v>8999</v>
      </c>
      <c r="U7248" s="268" t="s">
        <v>3937</v>
      </c>
      <c r="V7248" s="267" t="s">
        <v>944</v>
      </c>
    </row>
    <row r="7249" spans="1:22" hidden="1" x14ac:dyDescent="0.25">
      <c r="A7249" s="269">
        <v>43796</v>
      </c>
      <c r="B7249" s="270">
        <v>2019</v>
      </c>
      <c r="C7249" s="270">
        <v>2020</v>
      </c>
      <c r="D7249" s="270">
        <v>1</v>
      </c>
      <c r="E7249" s="270">
        <v>1</v>
      </c>
      <c r="F7249" s="270" t="s">
        <v>944</v>
      </c>
      <c r="G7249" s="270" t="s">
        <v>3926</v>
      </c>
      <c r="H7249" s="270" t="s">
        <v>12071</v>
      </c>
      <c r="I7249" s="270" t="s">
        <v>6493</v>
      </c>
      <c r="J7249" s="270" t="s">
        <v>3928</v>
      </c>
      <c r="K7249" s="270">
        <v>6447</v>
      </c>
      <c r="L7249" s="270">
        <v>524100</v>
      </c>
      <c r="M7249" s="270" t="s">
        <v>3943</v>
      </c>
      <c r="N7249" s="270" t="s">
        <v>12072</v>
      </c>
      <c r="O7249" s="270">
        <v>0</v>
      </c>
      <c r="P7249" s="270" t="s">
        <v>3930</v>
      </c>
      <c r="Q7249" s="270" t="s">
        <v>3930</v>
      </c>
      <c r="R7249" s="270">
        <v>0</v>
      </c>
      <c r="S7249" s="270">
        <v>17638.560000000001</v>
      </c>
      <c r="T7249" s="270">
        <v>17638.560000000001</v>
      </c>
      <c r="U7249" s="271" t="s">
        <v>3937</v>
      </c>
      <c r="V7249" s="267" t="s">
        <v>944</v>
      </c>
    </row>
    <row r="7250" spans="1:22" hidden="1" x14ac:dyDescent="0.25">
      <c r="A7250" s="266">
        <v>43796</v>
      </c>
      <c r="B7250" s="267">
        <v>2019</v>
      </c>
      <c r="C7250" s="267">
        <v>2020</v>
      </c>
      <c r="D7250" s="267">
        <v>1</v>
      </c>
      <c r="E7250" s="267">
        <v>1</v>
      </c>
      <c r="F7250" s="267" t="s">
        <v>944</v>
      </c>
      <c r="G7250" s="267" t="s">
        <v>3926</v>
      </c>
      <c r="H7250" s="267" t="s">
        <v>12073</v>
      </c>
      <c r="I7250" s="267" t="s">
        <v>3968</v>
      </c>
      <c r="J7250" s="267" t="s">
        <v>3928</v>
      </c>
      <c r="K7250" s="267">
        <v>6040</v>
      </c>
      <c r="L7250" s="267">
        <v>514400</v>
      </c>
      <c r="M7250" s="267" t="s">
        <v>3940</v>
      </c>
      <c r="N7250" s="267" t="s">
        <v>12074</v>
      </c>
      <c r="O7250" s="267">
        <v>0</v>
      </c>
      <c r="P7250" s="267" t="s">
        <v>3930</v>
      </c>
      <c r="Q7250" s="267" t="s">
        <v>3930</v>
      </c>
      <c r="R7250" s="267">
        <v>0</v>
      </c>
      <c r="S7250" s="267">
        <v>14146.95</v>
      </c>
      <c r="T7250" s="267">
        <v>14146.95</v>
      </c>
      <c r="U7250" s="268" t="s">
        <v>3937</v>
      </c>
      <c r="V7250" s="267" t="s">
        <v>944</v>
      </c>
    </row>
    <row r="7251" spans="1:22" hidden="1" x14ac:dyDescent="0.25">
      <c r="A7251" s="269">
        <v>43796</v>
      </c>
      <c r="B7251" s="270">
        <v>2019</v>
      </c>
      <c r="C7251" s="270">
        <v>2020</v>
      </c>
      <c r="D7251" s="270">
        <v>1</v>
      </c>
      <c r="E7251" s="270">
        <v>1</v>
      </c>
      <c r="F7251" s="270" t="s">
        <v>944</v>
      </c>
      <c r="G7251" s="270" t="s">
        <v>3926</v>
      </c>
      <c r="H7251" s="270" t="s">
        <v>12075</v>
      </c>
      <c r="I7251" s="270" t="s">
        <v>4323</v>
      </c>
      <c r="J7251" s="270" t="s">
        <v>3928</v>
      </c>
      <c r="K7251" s="270">
        <v>6385</v>
      </c>
      <c r="L7251" s="270">
        <v>693400</v>
      </c>
      <c r="M7251" s="270" t="s">
        <v>3940</v>
      </c>
      <c r="N7251" s="270" t="s">
        <v>12076</v>
      </c>
      <c r="O7251" s="270">
        <v>0</v>
      </c>
      <c r="P7251" s="270" t="s">
        <v>3930</v>
      </c>
      <c r="Q7251" s="270" t="s">
        <v>3930</v>
      </c>
      <c r="R7251" s="270">
        <v>0</v>
      </c>
      <c r="S7251" s="270">
        <v>6561</v>
      </c>
      <c r="T7251" s="270">
        <v>6561</v>
      </c>
      <c r="U7251" s="271" t="s">
        <v>3937</v>
      </c>
      <c r="V7251" s="267" t="s">
        <v>944</v>
      </c>
    </row>
    <row r="7252" spans="1:22" hidden="1" x14ac:dyDescent="0.25">
      <c r="A7252" s="266">
        <v>43796</v>
      </c>
      <c r="B7252" s="267">
        <v>2019</v>
      </c>
      <c r="C7252" s="267">
        <v>2020</v>
      </c>
      <c r="D7252" s="267">
        <v>1</v>
      </c>
      <c r="E7252" s="267">
        <v>1</v>
      </c>
      <c r="F7252" s="267" t="s">
        <v>944</v>
      </c>
      <c r="G7252" s="267" t="s">
        <v>3926</v>
      </c>
      <c r="H7252" s="267" t="s">
        <v>12077</v>
      </c>
      <c r="I7252" s="267" t="s">
        <v>4073</v>
      </c>
      <c r="J7252" s="267" t="s">
        <v>3928</v>
      </c>
      <c r="K7252" s="267">
        <v>6776</v>
      </c>
      <c r="L7252" s="267">
        <v>253500</v>
      </c>
      <c r="M7252" s="267" t="s">
        <v>3943</v>
      </c>
      <c r="N7252" s="267" t="s">
        <v>3944</v>
      </c>
      <c r="O7252" s="267">
        <v>6080</v>
      </c>
      <c r="P7252" s="267" t="s">
        <v>3944</v>
      </c>
      <c r="Q7252" s="267" t="s">
        <v>3944</v>
      </c>
      <c r="R7252" s="267">
        <v>6080</v>
      </c>
      <c r="S7252" s="267">
        <v>41774</v>
      </c>
      <c r="T7252" s="267">
        <v>47854</v>
      </c>
      <c r="U7252" s="268" t="s">
        <v>3945</v>
      </c>
      <c r="V7252" s="267" t="s">
        <v>944</v>
      </c>
    </row>
    <row r="7253" spans="1:22" hidden="1" x14ac:dyDescent="0.25">
      <c r="A7253" s="269">
        <v>43796</v>
      </c>
      <c r="B7253" s="270">
        <v>2019</v>
      </c>
      <c r="C7253" s="270">
        <v>2020</v>
      </c>
      <c r="D7253" s="270">
        <v>1</v>
      </c>
      <c r="E7253" s="270">
        <v>1</v>
      </c>
      <c r="F7253" s="270" t="s">
        <v>944</v>
      </c>
      <c r="G7253" s="270" t="s">
        <v>3926</v>
      </c>
      <c r="H7253" s="270" t="s">
        <v>12078</v>
      </c>
      <c r="I7253" s="270" t="s">
        <v>5401</v>
      </c>
      <c r="J7253" s="270" t="s">
        <v>3928</v>
      </c>
      <c r="K7253" s="270">
        <v>6820</v>
      </c>
      <c r="L7253" s="270">
        <v>30500</v>
      </c>
      <c r="M7253" s="270" t="s">
        <v>3943</v>
      </c>
      <c r="N7253" s="270" t="s">
        <v>3944</v>
      </c>
      <c r="O7253" s="270">
        <v>6355</v>
      </c>
      <c r="P7253" s="270" t="s">
        <v>3944</v>
      </c>
      <c r="Q7253" s="270" t="s">
        <v>3944</v>
      </c>
      <c r="R7253" s="270">
        <v>6355</v>
      </c>
      <c r="S7253" s="270">
        <v>39037</v>
      </c>
      <c r="T7253" s="270">
        <v>45392</v>
      </c>
      <c r="U7253" s="271" t="s">
        <v>3945</v>
      </c>
      <c r="V7253" s="267" t="s">
        <v>944</v>
      </c>
    </row>
    <row r="7254" spans="1:22" hidden="1" x14ac:dyDescent="0.25">
      <c r="A7254" s="266">
        <v>43796</v>
      </c>
      <c r="B7254" s="267">
        <v>2019</v>
      </c>
      <c r="C7254" s="267">
        <v>2020</v>
      </c>
      <c r="D7254" s="267">
        <v>1</v>
      </c>
      <c r="E7254" s="267">
        <v>1</v>
      </c>
      <c r="F7254" s="267" t="s">
        <v>944</v>
      </c>
      <c r="G7254" s="267" t="s">
        <v>3926</v>
      </c>
      <c r="H7254" s="267" t="s">
        <v>12079</v>
      </c>
      <c r="I7254" s="267" t="s">
        <v>4129</v>
      </c>
      <c r="J7254" s="267" t="s">
        <v>3928</v>
      </c>
      <c r="K7254" s="267">
        <v>6259</v>
      </c>
      <c r="L7254" s="267">
        <v>902500</v>
      </c>
      <c r="M7254" s="267" t="s">
        <v>3960</v>
      </c>
      <c r="N7254" s="267" t="s">
        <v>3944</v>
      </c>
      <c r="O7254" s="267">
        <v>2351</v>
      </c>
      <c r="P7254" s="267" t="s">
        <v>3944</v>
      </c>
      <c r="Q7254" s="267" t="s">
        <v>3944</v>
      </c>
      <c r="R7254" s="267">
        <v>2351</v>
      </c>
      <c r="S7254" s="267">
        <v>22046</v>
      </c>
      <c r="T7254" s="267">
        <v>24397</v>
      </c>
      <c r="U7254" s="268" t="s">
        <v>3945</v>
      </c>
      <c r="V7254" s="267" t="s">
        <v>944</v>
      </c>
    </row>
    <row r="7255" spans="1:22" hidden="1" x14ac:dyDescent="0.25">
      <c r="A7255" s="269">
        <v>43796</v>
      </c>
      <c r="B7255" s="270">
        <v>2019</v>
      </c>
      <c r="C7255" s="270">
        <v>2020</v>
      </c>
      <c r="D7255" s="270">
        <v>1</v>
      </c>
      <c r="E7255" s="270">
        <v>1</v>
      </c>
      <c r="F7255" s="270" t="s">
        <v>944</v>
      </c>
      <c r="G7255" s="270" t="s">
        <v>3926</v>
      </c>
      <c r="H7255" s="270" t="s">
        <v>12080</v>
      </c>
      <c r="I7255" s="270" t="s">
        <v>3949</v>
      </c>
      <c r="J7255" s="270" t="s">
        <v>3928</v>
      </c>
      <c r="K7255" s="270">
        <v>6437</v>
      </c>
      <c r="L7255" s="270">
        <v>190303</v>
      </c>
      <c r="M7255" s="270" t="s">
        <v>3943</v>
      </c>
      <c r="N7255" s="270" t="s">
        <v>3944</v>
      </c>
      <c r="O7255" s="270">
        <v>8110</v>
      </c>
      <c r="P7255" s="270" t="s">
        <v>3944</v>
      </c>
      <c r="Q7255" s="270" t="s">
        <v>3944</v>
      </c>
      <c r="R7255" s="270">
        <v>8110</v>
      </c>
      <c r="S7255" s="270">
        <v>51290</v>
      </c>
      <c r="T7255" s="270">
        <v>59400</v>
      </c>
      <c r="U7255" s="271" t="s">
        <v>3945</v>
      </c>
      <c r="V7255" s="267" t="s">
        <v>944</v>
      </c>
    </row>
    <row r="7256" spans="1:22" hidden="1" x14ac:dyDescent="0.25">
      <c r="A7256" s="266">
        <v>43796</v>
      </c>
      <c r="B7256" s="267">
        <v>2019</v>
      </c>
      <c r="C7256" s="267">
        <v>2020</v>
      </c>
      <c r="D7256" s="267">
        <v>1</v>
      </c>
      <c r="E7256" s="267">
        <v>1</v>
      </c>
      <c r="F7256" s="267" t="s">
        <v>944</v>
      </c>
      <c r="G7256" s="267" t="s">
        <v>3926</v>
      </c>
      <c r="H7256" s="267" t="s">
        <v>12081</v>
      </c>
      <c r="I7256" s="267" t="s">
        <v>3962</v>
      </c>
      <c r="J7256" s="267" t="s">
        <v>3928</v>
      </c>
      <c r="K7256" s="267">
        <v>6378</v>
      </c>
      <c r="L7256" s="267">
        <v>705200</v>
      </c>
      <c r="M7256" s="267" t="s">
        <v>3960</v>
      </c>
      <c r="N7256" s="267" t="s">
        <v>3944</v>
      </c>
      <c r="O7256" s="267">
        <v>4799</v>
      </c>
      <c r="P7256" s="267" t="s">
        <v>3944</v>
      </c>
      <c r="Q7256" s="267" t="s">
        <v>3944</v>
      </c>
      <c r="R7256" s="267">
        <v>4799</v>
      </c>
      <c r="S7256" s="267">
        <v>35195.4</v>
      </c>
      <c r="T7256" s="267">
        <v>39994.400000000001</v>
      </c>
      <c r="U7256" s="268" t="s">
        <v>3945</v>
      </c>
      <c r="V7256" s="267" t="s">
        <v>944</v>
      </c>
    </row>
    <row r="7257" spans="1:22" hidden="1" x14ac:dyDescent="0.25">
      <c r="A7257" s="269">
        <v>43796</v>
      </c>
      <c r="B7257" s="270">
        <v>2019</v>
      </c>
      <c r="C7257" s="270">
        <v>2020</v>
      </c>
      <c r="D7257" s="270">
        <v>1</v>
      </c>
      <c r="E7257" s="270">
        <v>1</v>
      </c>
      <c r="F7257" s="270" t="s">
        <v>944</v>
      </c>
      <c r="G7257" s="270" t="s">
        <v>3926</v>
      </c>
      <c r="H7257" s="270" t="s">
        <v>12082</v>
      </c>
      <c r="I7257" s="270" t="s">
        <v>4029</v>
      </c>
      <c r="J7257" s="270" t="s">
        <v>3928</v>
      </c>
      <c r="K7257" s="270">
        <v>6851</v>
      </c>
      <c r="L7257" s="270">
        <v>42800</v>
      </c>
      <c r="M7257" s="270" t="s">
        <v>3960</v>
      </c>
      <c r="N7257" s="270" t="s">
        <v>3944</v>
      </c>
      <c r="O7257" s="270">
        <v>4827</v>
      </c>
      <c r="P7257" s="270" t="s">
        <v>3944</v>
      </c>
      <c r="Q7257" s="270" t="s">
        <v>3944</v>
      </c>
      <c r="R7257" s="270">
        <v>4827</v>
      </c>
      <c r="S7257" s="270">
        <v>36672</v>
      </c>
      <c r="T7257" s="270">
        <v>41499</v>
      </c>
      <c r="U7257" s="271" t="s">
        <v>3945</v>
      </c>
      <c r="V7257" s="267" t="s">
        <v>944</v>
      </c>
    </row>
    <row r="7258" spans="1:22" hidden="1" x14ac:dyDescent="0.25">
      <c r="A7258" s="266">
        <v>43796</v>
      </c>
      <c r="B7258" s="267">
        <v>2019</v>
      </c>
      <c r="C7258" s="267">
        <v>2020</v>
      </c>
      <c r="D7258" s="267">
        <v>1</v>
      </c>
      <c r="E7258" s="267">
        <v>1</v>
      </c>
      <c r="F7258" s="267" t="s">
        <v>944</v>
      </c>
      <c r="G7258" s="267" t="s">
        <v>3926</v>
      </c>
      <c r="H7258" s="267" t="s">
        <v>12083</v>
      </c>
      <c r="I7258" s="267" t="s">
        <v>5147</v>
      </c>
      <c r="J7258" s="267" t="s">
        <v>3928</v>
      </c>
      <c r="K7258" s="267">
        <v>6468</v>
      </c>
      <c r="L7258" s="267">
        <v>100200</v>
      </c>
      <c r="M7258" s="267" t="s">
        <v>3943</v>
      </c>
      <c r="N7258" s="267" t="s">
        <v>3944</v>
      </c>
      <c r="O7258" s="267">
        <v>3539</v>
      </c>
      <c r="P7258" s="267" t="s">
        <v>3944</v>
      </c>
      <c r="Q7258" s="267" t="s">
        <v>3944</v>
      </c>
      <c r="R7258" s="267">
        <v>3539</v>
      </c>
      <c r="S7258" s="267">
        <v>31405</v>
      </c>
      <c r="T7258" s="267">
        <v>34944</v>
      </c>
      <c r="U7258" s="268" t="s">
        <v>3945</v>
      </c>
      <c r="V7258" s="267" t="s">
        <v>944</v>
      </c>
    </row>
    <row r="7259" spans="1:22" hidden="1" x14ac:dyDescent="0.25">
      <c r="A7259" s="269">
        <v>43796</v>
      </c>
      <c r="B7259" s="270">
        <v>2019</v>
      </c>
      <c r="C7259" s="270">
        <v>2020</v>
      </c>
      <c r="D7259" s="270">
        <v>1</v>
      </c>
      <c r="E7259" s="270">
        <v>1</v>
      </c>
      <c r="F7259" s="270" t="s">
        <v>944</v>
      </c>
      <c r="G7259" s="270" t="s">
        <v>3926</v>
      </c>
      <c r="H7259" s="270" t="s">
        <v>12084</v>
      </c>
      <c r="I7259" s="270" t="s">
        <v>4124</v>
      </c>
      <c r="J7259" s="270" t="s">
        <v>3928</v>
      </c>
      <c r="K7259" s="270">
        <v>6470</v>
      </c>
      <c r="L7259" s="270">
        <v>230200</v>
      </c>
      <c r="M7259" s="270" t="s">
        <v>3943</v>
      </c>
      <c r="N7259" s="270" t="s">
        <v>3944</v>
      </c>
      <c r="O7259" s="270">
        <v>2354</v>
      </c>
      <c r="P7259" s="270" t="s">
        <v>3944</v>
      </c>
      <c r="Q7259" s="270" t="s">
        <v>3944</v>
      </c>
      <c r="R7259" s="270">
        <v>2354</v>
      </c>
      <c r="S7259" s="270">
        <v>31072</v>
      </c>
      <c r="T7259" s="270">
        <v>33426</v>
      </c>
      <c r="U7259" s="271" t="s">
        <v>3945</v>
      </c>
      <c r="V7259" s="267" t="s">
        <v>944</v>
      </c>
    </row>
    <row r="7260" spans="1:22" x14ac:dyDescent="0.25">
      <c r="A7260" s="266">
        <v>43796</v>
      </c>
      <c r="B7260" s="267">
        <v>2019</v>
      </c>
      <c r="C7260" s="267">
        <v>2020</v>
      </c>
      <c r="D7260" s="267">
        <v>1</v>
      </c>
      <c r="E7260" s="267">
        <v>1</v>
      </c>
      <c r="F7260" s="267" t="s">
        <v>944</v>
      </c>
      <c r="G7260" s="267" t="s">
        <v>3926</v>
      </c>
      <c r="H7260" s="267" t="s">
        <v>12085</v>
      </c>
      <c r="I7260" s="267" t="s">
        <v>934</v>
      </c>
      <c r="J7260" s="267" t="s">
        <v>3928</v>
      </c>
      <c r="K7260" s="267">
        <v>6610</v>
      </c>
      <c r="L7260" s="267">
        <v>73300</v>
      </c>
      <c r="M7260" s="267">
        <v>-60</v>
      </c>
      <c r="N7260" s="267" t="s">
        <v>3944</v>
      </c>
      <c r="O7260" s="267">
        <v>2695</v>
      </c>
      <c r="P7260" s="267" t="s">
        <v>3944</v>
      </c>
      <c r="Q7260" s="267" t="s">
        <v>3944</v>
      </c>
      <c r="R7260" s="267">
        <v>2695</v>
      </c>
      <c r="S7260" s="267">
        <v>48306</v>
      </c>
      <c r="T7260" s="267">
        <v>51001</v>
      </c>
      <c r="U7260" s="268" t="s">
        <v>3945</v>
      </c>
      <c r="V7260" s="276" t="s">
        <v>936</v>
      </c>
    </row>
    <row r="7261" spans="1:22" hidden="1" x14ac:dyDescent="0.25">
      <c r="A7261" s="269">
        <v>43796</v>
      </c>
      <c r="B7261" s="270">
        <v>2019</v>
      </c>
      <c r="C7261" s="270">
        <v>2020</v>
      </c>
      <c r="D7261" s="270">
        <v>1</v>
      </c>
      <c r="E7261" s="270">
        <v>1</v>
      </c>
      <c r="F7261" s="270" t="s">
        <v>944</v>
      </c>
      <c r="G7261" s="270" t="s">
        <v>3926</v>
      </c>
      <c r="H7261" s="270" t="s">
        <v>12086</v>
      </c>
      <c r="I7261" s="270" t="s">
        <v>3975</v>
      </c>
      <c r="J7261" s="270" t="s">
        <v>3928</v>
      </c>
      <c r="K7261" s="270">
        <v>6489</v>
      </c>
      <c r="L7261" s="270">
        <v>430602</v>
      </c>
      <c r="M7261" s="270" t="s">
        <v>3960</v>
      </c>
      <c r="N7261" s="270" t="s">
        <v>3944</v>
      </c>
      <c r="O7261" s="270">
        <v>1463</v>
      </c>
      <c r="P7261" s="270" t="s">
        <v>3944</v>
      </c>
      <c r="Q7261" s="270" t="s">
        <v>3944</v>
      </c>
      <c r="R7261" s="270">
        <v>1463</v>
      </c>
      <c r="S7261" s="270">
        <v>11704</v>
      </c>
      <c r="T7261" s="270">
        <v>13167</v>
      </c>
      <c r="U7261" s="271" t="s">
        <v>3945</v>
      </c>
      <c r="V7261" s="267" t="s">
        <v>944</v>
      </c>
    </row>
    <row r="7262" spans="1:22" hidden="1" x14ac:dyDescent="0.25">
      <c r="A7262" s="266">
        <v>43796</v>
      </c>
      <c r="B7262" s="267">
        <v>2019</v>
      </c>
      <c r="C7262" s="267">
        <v>2020</v>
      </c>
      <c r="D7262" s="267">
        <v>1</v>
      </c>
      <c r="E7262" s="267">
        <v>1</v>
      </c>
      <c r="F7262" s="267" t="s">
        <v>944</v>
      </c>
      <c r="G7262" s="267" t="s">
        <v>3926</v>
      </c>
      <c r="H7262" s="267" t="s">
        <v>12087</v>
      </c>
      <c r="I7262" s="267" t="s">
        <v>2987</v>
      </c>
      <c r="J7262" s="267" t="s">
        <v>3928</v>
      </c>
      <c r="K7262" s="267">
        <v>6611</v>
      </c>
      <c r="L7262" s="267">
        <v>90700</v>
      </c>
      <c r="M7262" s="267" t="s">
        <v>3943</v>
      </c>
      <c r="N7262" s="267" t="s">
        <v>3944</v>
      </c>
      <c r="O7262" s="267">
        <v>2479</v>
      </c>
      <c r="P7262" s="267" t="s">
        <v>3944</v>
      </c>
      <c r="Q7262" s="267" t="s">
        <v>3944</v>
      </c>
      <c r="R7262" s="267">
        <v>2479</v>
      </c>
      <c r="S7262" s="267">
        <v>28237.4</v>
      </c>
      <c r="T7262" s="267">
        <v>30716.400000000001</v>
      </c>
      <c r="U7262" s="268" t="s">
        <v>3945</v>
      </c>
      <c r="V7262" s="267" t="s">
        <v>944</v>
      </c>
    </row>
    <row r="7263" spans="1:22" hidden="1" x14ac:dyDescent="0.25">
      <c r="A7263" s="269">
        <v>43796</v>
      </c>
      <c r="B7263" s="270">
        <v>2019</v>
      </c>
      <c r="C7263" s="270">
        <v>2020</v>
      </c>
      <c r="D7263" s="270">
        <v>1</v>
      </c>
      <c r="E7263" s="270">
        <v>1</v>
      </c>
      <c r="F7263" s="270" t="s">
        <v>944</v>
      </c>
      <c r="G7263" s="270" t="s">
        <v>3926</v>
      </c>
      <c r="H7263" s="270" t="s">
        <v>12088</v>
      </c>
      <c r="I7263" s="270" t="s">
        <v>4594</v>
      </c>
      <c r="J7263" s="270" t="s">
        <v>3928</v>
      </c>
      <c r="K7263" s="270">
        <v>6488</v>
      </c>
      <c r="L7263" s="270">
        <v>348123</v>
      </c>
      <c r="M7263" s="270" t="s">
        <v>3943</v>
      </c>
      <c r="N7263" s="270" t="s">
        <v>3944</v>
      </c>
      <c r="O7263" s="270">
        <v>8629</v>
      </c>
      <c r="P7263" s="270" t="s">
        <v>3944</v>
      </c>
      <c r="Q7263" s="270" t="s">
        <v>3944</v>
      </c>
      <c r="R7263" s="270">
        <v>8629</v>
      </c>
      <c r="S7263" s="270">
        <v>76021</v>
      </c>
      <c r="T7263" s="270">
        <v>84650</v>
      </c>
      <c r="U7263" s="271" t="s">
        <v>3945</v>
      </c>
      <c r="V7263" s="267" t="s">
        <v>944</v>
      </c>
    </row>
    <row r="7264" spans="1:22" hidden="1" x14ac:dyDescent="0.25">
      <c r="A7264" s="266">
        <v>43796</v>
      </c>
      <c r="B7264" s="267">
        <v>2019</v>
      </c>
      <c r="C7264" s="267">
        <v>2020</v>
      </c>
      <c r="D7264" s="267">
        <v>1</v>
      </c>
      <c r="E7264" s="267">
        <v>1</v>
      </c>
      <c r="F7264" s="267" t="s">
        <v>944</v>
      </c>
      <c r="G7264" s="267" t="s">
        <v>3926</v>
      </c>
      <c r="H7264" s="267" t="s">
        <v>12089</v>
      </c>
      <c r="I7264" s="267" t="s">
        <v>4269</v>
      </c>
      <c r="J7264" s="267" t="s">
        <v>3928</v>
      </c>
      <c r="K7264" s="267">
        <v>6117</v>
      </c>
      <c r="L7264" s="267">
        <v>497400</v>
      </c>
      <c r="M7264" s="267" t="s">
        <v>3943</v>
      </c>
      <c r="N7264" s="267" t="s">
        <v>3944</v>
      </c>
      <c r="O7264" s="267">
        <v>2587</v>
      </c>
      <c r="P7264" s="267" t="s">
        <v>3944</v>
      </c>
      <c r="Q7264" s="267" t="s">
        <v>3944</v>
      </c>
      <c r="R7264" s="267">
        <v>2587</v>
      </c>
      <c r="S7264" s="267">
        <v>24799.95</v>
      </c>
      <c r="T7264" s="267">
        <v>27386.95</v>
      </c>
      <c r="U7264" s="268" t="s">
        <v>3945</v>
      </c>
      <c r="V7264" s="267" t="s">
        <v>944</v>
      </c>
    </row>
    <row r="7265" spans="1:22" hidden="1" x14ac:dyDescent="0.25">
      <c r="A7265" s="269">
        <v>43796</v>
      </c>
      <c r="B7265" s="270">
        <v>2019</v>
      </c>
      <c r="C7265" s="270">
        <v>2020</v>
      </c>
      <c r="D7265" s="270">
        <v>1</v>
      </c>
      <c r="E7265" s="270">
        <v>1</v>
      </c>
      <c r="F7265" s="270" t="s">
        <v>944</v>
      </c>
      <c r="G7265" s="270" t="s">
        <v>3926</v>
      </c>
      <c r="H7265" s="270" t="s">
        <v>12090</v>
      </c>
      <c r="I7265" s="270" t="s">
        <v>3999</v>
      </c>
      <c r="J7265" s="270" t="s">
        <v>3928</v>
      </c>
      <c r="K7265" s="270">
        <v>6451</v>
      </c>
      <c r="L7265" s="270">
        <v>170500</v>
      </c>
      <c r="M7265" s="270" t="s">
        <v>3935</v>
      </c>
      <c r="N7265" s="270" t="s">
        <v>3944</v>
      </c>
      <c r="O7265" s="270">
        <v>4092</v>
      </c>
      <c r="P7265" s="270" t="s">
        <v>3944</v>
      </c>
      <c r="Q7265" s="270" t="s">
        <v>3944</v>
      </c>
      <c r="R7265" s="270">
        <v>4092</v>
      </c>
      <c r="S7265" s="270">
        <v>44939</v>
      </c>
      <c r="T7265" s="270">
        <v>49031</v>
      </c>
      <c r="U7265" s="271" t="s">
        <v>3945</v>
      </c>
      <c r="V7265" s="267" t="s">
        <v>944</v>
      </c>
    </row>
    <row r="7266" spans="1:22" hidden="1" x14ac:dyDescent="0.25">
      <c r="A7266" s="266">
        <v>43796</v>
      </c>
      <c r="B7266" s="267">
        <v>2019</v>
      </c>
      <c r="C7266" s="267">
        <v>2020</v>
      </c>
      <c r="D7266" s="267">
        <v>1</v>
      </c>
      <c r="E7266" s="267">
        <v>1</v>
      </c>
      <c r="F7266" s="267" t="s">
        <v>944</v>
      </c>
      <c r="G7266" s="267" t="s">
        <v>3926</v>
      </c>
      <c r="H7266" s="267" t="s">
        <v>12091</v>
      </c>
      <c r="I7266" s="267" t="s">
        <v>5485</v>
      </c>
      <c r="J7266" s="267" t="s">
        <v>3928</v>
      </c>
      <c r="K7266" s="267">
        <v>6001</v>
      </c>
      <c r="L7266" s="267">
        <v>462202</v>
      </c>
      <c r="M7266" s="267" t="s">
        <v>3943</v>
      </c>
      <c r="N7266" s="267" t="s">
        <v>3944</v>
      </c>
      <c r="O7266" s="267">
        <v>2998.52</v>
      </c>
      <c r="P7266" s="267" t="s">
        <v>3944</v>
      </c>
      <c r="Q7266" s="267" t="s">
        <v>3944</v>
      </c>
      <c r="R7266" s="267">
        <v>2998.52</v>
      </c>
      <c r="S7266" s="267">
        <v>36559.18</v>
      </c>
      <c r="T7266" s="267">
        <v>39557.699999999997</v>
      </c>
      <c r="U7266" s="268" t="s">
        <v>3945</v>
      </c>
      <c r="V7266" s="267" t="s">
        <v>944</v>
      </c>
    </row>
    <row r="7267" spans="1:22" x14ac:dyDescent="0.25">
      <c r="A7267" s="269">
        <v>43796</v>
      </c>
      <c r="B7267" s="270">
        <v>2019</v>
      </c>
      <c r="C7267" s="270">
        <v>2020</v>
      </c>
      <c r="D7267" s="270">
        <v>1</v>
      </c>
      <c r="E7267" s="270">
        <v>1</v>
      </c>
      <c r="F7267" s="270" t="s">
        <v>944</v>
      </c>
      <c r="G7267" s="270" t="s">
        <v>3926</v>
      </c>
      <c r="H7267" s="270" t="s">
        <v>12092</v>
      </c>
      <c r="I7267" s="270" t="s">
        <v>934</v>
      </c>
      <c r="J7267" s="270" t="s">
        <v>3928</v>
      </c>
      <c r="K7267" s="270">
        <v>6605</v>
      </c>
      <c r="L7267" s="270">
        <v>70200</v>
      </c>
      <c r="M7267" s="270">
        <v>-60</v>
      </c>
      <c r="N7267" s="270" t="s">
        <v>3944</v>
      </c>
      <c r="O7267" s="270">
        <v>1652.11</v>
      </c>
      <c r="P7267" s="270" t="s">
        <v>3944</v>
      </c>
      <c r="Q7267" s="270" t="s">
        <v>3944</v>
      </c>
      <c r="R7267" s="270">
        <v>1652.11</v>
      </c>
      <c r="S7267" s="270">
        <v>24605.89</v>
      </c>
      <c r="T7267" s="270">
        <v>26258</v>
      </c>
      <c r="U7267" s="271" t="s">
        <v>3945</v>
      </c>
      <c r="V7267" s="276" t="s">
        <v>936</v>
      </c>
    </row>
    <row r="7268" spans="1:22" hidden="1" x14ac:dyDescent="0.25">
      <c r="A7268" s="266">
        <v>43796</v>
      </c>
      <c r="B7268" s="267">
        <v>2019</v>
      </c>
      <c r="C7268" s="267">
        <v>2020</v>
      </c>
      <c r="D7268" s="267">
        <v>1</v>
      </c>
      <c r="E7268" s="267">
        <v>1</v>
      </c>
      <c r="F7268" s="267" t="s">
        <v>944</v>
      </c>
      <c r="G7268" s="267" t="s">
        <v>3926</v>
      </c>
      <c r="H7268" s="267" t="s">
        <v>12093</v>
      </c>
      <c r="I7268" s="267" t="s">
        <v>3008</v>
      </c>
      <c r="J7268" s="267" t="s">
        <v>3928</v>
      </c>
      <c r="K7268" s="267">
        <v>6460</v>
      </c>
      <c r="L7268" s="267">
        <v>151100</v>
      </c>
      <c r="M7268" s="267" t="s">
        <v>3960</v>
      </c>
      <c r="N7268" s="267" t="s">
        <v>3944</v>
      </c>
      <c r="O7268" s="267">
        <v>1830.26</v>
      </c>
      <c r="P7268" s="267" t="s">
        <v>3944</v>
      </c>
      <c r="Q7268" s="267" t="s">
        <v>3944</v>
      </c>
      <c r="R7268" s="267">
        <v>1830.26</v>
      </c>
      <c r="S7268" s="267">
        <v>26812.240000000002</v>
      </c>
      <c r="T7268" s="267">
        <v>28642.5</v>
      </c>
      <c r="U7268" s="268" t="s">
        <v>3945</v>
      </c>
      <c r="V7268" s="267" t="s">
        <v>944</v>
      </c>
    </row>
    <row r="7269" spans="1:22" hidden="1" x14ac:dyDescent="0.25">
      <c r="A7269" s="269">
        <v>43796</v>
      </c>
      <c r="B7269" s="270">
        <v>2019</v>
      </c>
      <c r="C7269" s="270">
        <v>2020</v>
      </c>
      <c r="D7269" s="270">
        <v>1</v>
      </c>
      <c r="E7269" s="270">
        <v>1</v>
      </c>
      <c r="F7269" s="270" t="s">
        <v>944</v>
      </c>
      <c r="G7269" s="270" t="s">
        <v>3926</v>
      </c>
      <c r="H7269" s="270" t="s">
        <v>12094</v>
      </c>
      <c r="I7269" s="270" t="s">
        <v>953</v>
      </c>
      <c r="J7269" s="270" t="s">
        <v>3928</v>
      </c>
      <c r="K7269" s="270">
        <v>6517</v>
      </c>
      <c r="L7269" s="270">
        <v>165400</v>
      </c>
      <c r="M7269" s="270" t="s">
        <v>3935</v>
      </c>
      <c r="N7269" s="270" t="s">
        <v>3944</v>
      </c>
      <c r="O7269" s="270">
        <v>1142.96</v>
      </c>
      <c r="P7269" s="270" t="s">
        <v>3944</v>
      </c>
      <c r="Q7269" s="270" t="s">
        <v>3944</v>
      </c>
      <c r="R7269" s="270">
        <v>1142.96</v>
      </c>
      <c r="S7269" s="270">
        <v>15257.52</v>
      </c>
      <c r="T7269" s="270">
        <v>16400.48</v>
      </c>
      <c r="U7269" s="271" t="s">
        <v>3945</v>
      </c>
      <c r="V7269" s="267" t="s">
        <v>944</v>
      </c>
    </row>
    <row r="7270" spans="1:22" x14ac:dyDescent="0.25">
      <c r="A7270" s="266">
        <v>43796</v>
      </c>
      <c r="B7270" s="267">
        <v>2019</v>
      </c>
      <c r="C7270" s="267">
        <v>2020</v>
      </c>
      <c r="D7270" s="267">
        <v>1</v>
      </c>
      <c r="E7270" s="267">
        <v>1</v>
      </c>
      <c r="F7270" s="267" t="s">
        <v>944</v>
      </c>
      <c r="G7270" s="267" t="s">
        <v>3926</v>
      </c>
      <c r="H7270" s="267" t="s">
        <v>12095</v>
      </c>
      <c r="I7270" s="267" t="s">
        <v>934</v>
      </c>
      <c r="J7270" s="267" t="s">
        <v>3928</v>
      </c>
      <c r="K7270" s="267">
        <v>6607</v>
      </c>
      <c r="L7270" s="267">
        <v>74400</v>
      </c>
      <c r="M7270" s="267">
        <v>-60</v>
      </c>
      <c r="N7270" s="267" t="s">
        <v>3944</v>
      </c>
      <c r="O7270" s="267">
        <v>1166.6199999999999</v>
      </c>
      <c r="P7270" s="267" t="s">
        <v>3944</v>
      </c>
      <c r="Q7270" s="267" t="s">
        <v>3944</v>
      </c>
      <c r="R7270" s="267">
        <v>1166.6199999999999</v>
      </c>
      <c r="S7270" s="267">
        <v>18678.38</v>
      </c>
      <c r="T7270" s="267">
        <v>19845</v>
      </c>
      <c r="U7270" s="268" t="s">
        <v>3945</v>
      </c>
      <c r="V7270" s="276" t="s">
        <v>936</v>
      </c>
    </row>
    <row r="7271" spans="1:22" hidden="1" x14ac:dyDescent="0.25">
      <c r="A7271" s="269">
        <v>43796</v>
      </c>
      <c r="B7271" s="270">
        <v>2019</v>
      </c>
      <c r="C7271" s="270">
        <v>2020</v>
      </c>
      <c r="D7271" s="270">
        <v>1</v>
      </c>
      <c r="E7271" s="270">
        <v>1</v>
      </c>
      <c r="F7271" s="270" t="s">
        <v>944</v>
      </c>
      <c r="G7271" s="270" t="s">
        <v>3926</v>
      </c>
      <c r="H7271" s="270" t="s">
        <v>12096</v>
      </c>
      <c r="I7271" s="270" t="s">
        <v>4019</v>
      </c>
      <c r="J7271" s="270" t="s">
        <v>3928</v>
      </c>
      <c r="K7271" s="270">
        <v>6708</v>
      </c>
      <c r="L7271" s="270">
        <v>352100</v>
      </c>
      <c r="M7271" s="270" t="s">
        <v>3940</v>
      </c>
      <c r="N7271" s="270" t="s">
        <v>3944</v>
      </c>
      <c r="O7271" s="270">
        <v>1457.79</v>
      </c>
      <c r="P7271" s="270" t="s">
        <v>3944</v>
      </c>
      <c r="Q7271" s="270" t="s">
        <v>3944</v>
      </c>
      <c r="R7271" s="270">
        <v>1457.79</v>
      </c>
      <c r="S7271" s="270">
        <v>17705.240000000002</v>
      </c>
      <c r="T7271" s="270">
        <v>19163.03</v>
      </c>
      <c r="U7271" s="271" t="s">
        <v>3945</v>
      </c>
      <c r="V7271" s="267" t="s">
        <v>944</v>
      </c>
    </row>
    <row r="7272" spans="1:22" hidden="1" x14ac:dyDescent="0.25">
      <c r="A7272" s="266">
        <v>43796</v>
      </c>
      <c r="B7272" s="267">
        <v>2019</v>
      </c>
      <c r="C7272" s="267">
        <v>2020</v>
      </c>
      <c r="D7272" s="267">
        <v>1</v>
      </c>
      <c r="E7272" s="267">
        <v>1</v>
      </c>
      <c r="F7272" s="267" t="s">
        <v>944</v>
      </c>
      <c r="G7272" s="267" t="s">
        <v>3926</v>
      </c>
      <c r="H7272" s="267" t="s">
        <v>12097</v>
      </c>
      <c r="I7272" s="267" t="s">
        <v>3010</v>
      </c>
      <c r="J7272" s="267" t="s">
        <v>3928</v>
      </c>
      <c r="K7272" s="267">
        <v>6401</v>
      </c>
      <c r="L7272" s="267">
        <v>125100</v>
      </c>
      <c r="M7272" s="267" t="s">
        <v>3960</v>
      </c>
      <c r="N7272" s="267" t="s">
        <v>3944</v>
      </c>
      <c r="O7272" s="267">
        <v>1142.75</v>
      </c>
      <c r="P7272" s="267" t="s">
        <v>3944</v>
      </c>
      <c r="Q7272" s="267" t="s">
        <v>3944</v>
      </c>
      <c r="R7272" s="267">
        <v>1142.75</v>
      </c>
      <c r="S7272" s="267">
        <v>16327.35</v>
      </c>
      <c r="T7272" s="267">
        <v>17470.099999999999</v>
      </c>
      <c r="U7272" s="268" t="s">
        <v>3945</v>
      </c>
      <c r="V7272" s="267" t="s">
        <v>944</v>
      </c>
    </row>
    <row r="7273" spans="1:22" hidden="1" x14ac:dyDescent="0.25">
      <c r="A7273" s="269">
        <v>43796</v>
      </c>
      <c r="B7273" s="270">
        <v>2019</v>
      </c>
      <c r="C7273" s="270">
        <v>2020</v>
      </c>
      <c r="D7273" s="270">
        <v>1</v>
      </c>
      <c r="E7273" s="270">
        <v>1</v>
      </c>
      <c r="F7273" s="270" t="s">
        <v>944</v>
      </c>
      <c r="G7273" s="270" t="s">
        <v>3926</v>
      </c>
      <c r="H7273" s="270" t="s">
        <v>12098</v>
      </c>
      <c r="I7273" s="270" t="s">
        <v>4392</v>
      </c>
      <c r="J7273" s="270" t="s">
        <v>3928</v>
      </c>
      <c r="K7273" s="270">
        <v>6457</v>
      </c>
      <c r="L7273" s="270">
        <v>541700</v>
      </c>
      <c r="M7273" s="270">
        <v>-60</v>
      </c>
      <c r="N7273" s="270" t="s">
        <v>3944</v>
      </c>
      <c r="O7273" s="270">
        <v>1615.81</v>
      </c>
      <c r="P7273" s="270" t="s">
        <v>3944</v>
      </c>
      <c r="Q7273" s="270" t="s">
        <v>3944</v>
      </c>
      <c r="R7273" s="270">
        <v>1615.81</v>
      </c>
      <c r="S7273" s="270">
        <v>19740.439999999999</v>
      </c>
      <c r="T7273" s="270">
        <v>21356.25</v>
      </c>
      <c r="U7273" s="271" t="s">
        <v>3945</v>
      </c>
      <c r="V7273" s="267" t="s">
        <v>944</v>
      </c>
    </row>
    <row r="7274" spans="1:22" hidden="1" x14ac:dyDescent="0.25">
      <c r="A7274" s="266">
        <v>43796</v>
      </c>
      <c r="B7274" s="267">
        <v>2019</v>
      </c>
      <c r="C7274" s="267">
        <v>2020</v>
      </c>
      <c r="D7274" s="267">
        <v>1</v>
      </c>
      <c r="E7274" s="267">
        <v>1</v>
      </c>
      <c r="F7274" s="267" t="s">
        <v>944</v>
      </c>
      <c r="G7274" s="267" t="s">
        <v>3926</v>
      </c>
      <c r="H7274" s="267" t="s">
        <v>12099</v>
      </c>
      <c r="I7274" s="267" t="s">
        <v>3975</v>
      </c>
      <c r="J7274" s="267" t="s">
        <v>3928</v>
      </c>
      <c r="K7274" s="267">
        <v>6489</v>
      </c>
      <c r="L7274" s="267">
        <v>430201</v>
      </c>
      <c r="M7274" s="267" t="s">
        <v>3960</v>
      </c>
      <c r="N7274" s="267" t="s">
        <v>3944</v>
      </c>
      <c r="O7274" s="267">
        <v>2608.1999999999998</v>
      </c>
      <c r="P7274" s="267" t="s">
        <v>3944</v>
      </c>
      <c r="Q7274" s="267" t="s">
        <v>3944</v>
      </c>
      <c r="R7274" s="267">
        <v>2608.1999999999998</v>
      </c>
      <c r="S7274" s="267">
        <v>44515.8</v>
      </c>
      <c r="T7274" s="267">
        <v>47124</v>
      </c>
      <c r="U7274" s="268" t="s">
        <v>3945</v>
      </c>
      <c r="V7274" s="267" t="s">
        <v>944</v>
      </c>
    </row>
    <row r="7275" spans="1:22" hidden="1" x14ac:dyDescent="0.25">
      <c r="A7275" s="269">
        <v>43796</v>
      </c>
      <c r="B7275" s="270">
        <v>2019</v>
      </c>
      <c r="C7275" s="270">
        <v>2020</v>
      </c>
      <c r="D7275" s="270">
        <v>1</v>
      </c>
      <c r="E7275" s="270">
        <v>1</v>
      </c>
      <c r="F7275" s="270" t="s">
        <v>944</v>
      </c>
      <c r="G7275" s="270" t="s">
        <v>3926</v>
      </c>
      <c r="H7275" s="270" t="s">
        <v>12100</v>
      </c>
      <c r="I7275" s="270" t="s">
        <v>4323</v>
      </c>
      <c r="J7275" s="270" t="s">
        <v>3928</v>
      </c>
      <c r="K7275" s="270">
        <v>6385</v>
      </c>
      <c r="L7275" s="270">
        <v>693700</v>
      </c>
      <c r="M7275" s="270" t="s">
        <v>3943</v>
      </c>
      <c r="N7275" s="270" t="s">
        <v>3944</v>
      </c>
      <c r="O7275" s="270">
        <v>2242.98</v>
      </c>
      <c r="P7275" s="270" t="s">
        <v>3944</v>
      </c>
      <c r="Q7275" s="270" t="s">
        <v>3944</v>
      </c>
      <c r="R7275" s="270">
        <v>2242.98</v>
      </c>
      <c r="S7275" s="270">
        <v>47009.61</v>
      </c>
      <c r="T7275" s="270">
        <v>49252.59</v>
      </c>
      <c r="U7275" s="271" t="s">
        <v>3945</v>
      </c>
      <c r="V7275" s="267" t="s">
        <v>944</v>
      </c>
    </row>
    <row r="7276" spans="1:22" hidden="1" x14ac:dyDescent="0.25">
      <c r="A7276" s="266">
        <v>43796</v>
      </c>
      <c r="B7276" s="267">
        <v>2019</v>
      </c>
      <c r="C7276" s="267">
        <v>2020</v>
      </c>
      <c r="D7276" s="267">
        <v>1</v>
      </c>
      <c r="E7276" s="267">
        <v>1</v>
      </c>
      <c r="F7276" s="267" t="s">
        <v>944</v>
      </c>
      <c r="G7276" s="267" t="s">
        <v>3926</v>
      </c>
      <c r="H7276" s="267" t="s">
        <v>12101</v>
      </c>
      <c r="I7276" s="267" t="s">
        <v>4200</v>
      </c>
      <c r="J7276" s="267" t="s">
        <v>3928</v>
      </c>
      <c r="K7276" s="267">
        <v>6779</v>
      </c>
      <c r="L7276" s="267">
        <v>360400</v>
      </c>
      <c r="M7276" s="267" t="s">
        <v>3940</v>
      </c>
      <c r="N7276" s="267" t="s">
        <v>3944</v>
      </c>
      <c r="O7276" s="267">
        <v>1538.04</v>
      </c>
      <c r="P7276" s="267" t="s">
        <v>3944</v>
      </c>
      <c r="Q7276" s="267" t="s">
        <v>3944</v>
      </c>
      <c r="R7276" s="267">
        <v>1538.04</v>
      </c>
      <c r="S7276" s="267">
        <v>23329.27</v>
      </c>
      <c r="T7276" s="267">
        <v>24867.31</v>
      </c>
      <c r="U7276" s="268" t="s">
        <v>3945</v>
      </c>
      <c r="V7276" s="267" t="s">
        <v>944</v>
      </c>
    </row>
    <row r="7277" spans="1:22" hidden="1" x14ac:dyDescent="0.25">
      <c r="A7277" s="269">
        <v>43796</v>
      </c>
      <c r="B7277" s="270">
        <v>2019</v>
      </c>
      <c r="C7277" s="270">
        <v>2020</v>
      </c>
      <c r="D7277" s="270">
        <v>1</v>
      </c>
      <c r="E7277" s="270">
        <v>1</v>
      </c>
      <c r="F7277" s="270" t="s">
        <v>944</v>
      </c>
      <c r="G7277" s="270" t="s">
        <v>3926</v>
      </c>
      <c r="H7277" s="270" t="s">
        <v>12102</v>
      </c>
      <c r="I7277" s="270" t="s">
        <v>3939</v>
      </c>
      <c r="J7277" s="270" t="s">
        <v>3928</v>
      </c>
      <c r="K7277" s="270">
        <v>6512</v>
      </c>
      <c r="L7277" s="270">
        <v>180601</v>
      </c>
      <c r="M7277" s="270" t="s">
        <v>3940</v>
      </c>
      <c r="N7277" s="270" t="s">
        <v>3944</v>
      </c>
      <c r="O7277" s="270">
        <v>1281.7</v>
      </c>
      <c r="P7277" s="270" t="s">
        <v>3944</v>
      </c>
      <c r="Q7277" s="270" t="s">
        <v>3944</v>
      </c>
      <c r="R7277" s="270">
        <v>1281.7</v>
      </c>
      <c r="S7277" s="270">
        <v>14591.9</v>
      </c>
      <c r="T7277" s="270">
        <v>15873.6</v>
      </c>
      <c r="U7277" s="271" t="s">
        <v>3945</v>
      </c>
      <c r="V7277" s="267" t="s">
        <v>944</v>
      </c>
    </row>
    <row r="7278" spans="1:22" hidden="1" x14ac:dyDescent="0.25">
      <c r="A7278" s="266">
        <v>43796</v>
      </c>
      <c r="B7278" s="267">
        <v>2019</v>
      </c>
      <c r="C7278" s="267">
        <v>2020</v>
      </c>
      <c r="D7278" s="267">
        <v>1</v>
      </c>
      <c r="E7278" s="267">
        <v>1</v>
      </c>
      <c r="F7278" s="267" t="s">
        <v>944</v>
      </c>
      <c r="G7278" s="267" t="s">
        <v>3926</v>
      </c>
      <c r="H7278" s="267" t="s">
        <v>12103</v>
      </c>
      <c r="I7278" s="267" t="s">
        <v>956</v>
      </c>
      <c r="J7278" s="267" t="s">
        <v>3928</v>
      </c>
      <c r="K7278" s="267">
        <v>6614</v>
      </c>
      <c r="L7278" s="267">
        <v>81200</v>
      </c>
      <c r="M7278" s="267" t="s">
        <v>3943</v>
      </c>
      <c r="N7278" s="267" t="s">
        <v>3944</v>
      </c>
      <c r="O7278" s="267">
        <v>2040.57</v>
      </c>
      <c r="P7278" s="267" t="s">
        <v>3944</v>
      </c>
      <c r="Q7278" s="267" t="s">
        <v>3944</v>
      </c>
      <c r="R7278" s="267">
        <v>2040.57</v>
      </c>
      <c r="S7278" s="267">
        <v>33745.67</v>
      </c>
      <c r="T7278" s="267">
        <v>35786.239999999998</v>
      </c>
      <c r="U7278" s="268" t="s">
        <v>3945</v>
      </c>
      <c r="V7278" s="267" t="s">
        <v>944</v>
      </c>
    </row>
    <row r="7279" spans="1:22" x14ac:dyDescent="0.25">
      <c r="A7279" s="269">
        <v>43796</v>
      </c>
      <c r="B7279" s="270">
        <v>2019</v>
      </c>
      <c r="C7279" s="270">
        <v>2020</v>
      </c>
      <c r="D7279" s="270">
        <v>1</v>
      </c>
      <c r="E7279" s="270">
        <v>1</v>
      </c>
      <c r="F7279" s="270" t="s">
        <v>944</v>
      </c>
      <c r="G7279" s="270" t="s">
        <v>3926</v>
      </c>
      <c r="H7279" s="270" t="s">
        <v>12104</v>
      </c>
      <c r="I7279" s="270" t="s">
        <v>934</v>
      </c>
      <c r="J7279" s="270" t="s">
        <v>3928</v>
      </c>
      <c r="K7279" s="270">
        <v>6606</v>
      </c>
      <c r="L7279" s="270">
        <v>72000</v>
      </c>
      <c r="M7279" s="270" t="s">
        <v>3940</v>
      </c>
      <c r="N7279" s="270" t="s">
        <v>3944</v>
      </c>
      <c r="O7279" s="270">
        <v>1282.54</v>
      </c>
      <c r="P7279" s="270" t="s">
        <v>3944</v>
      </c>
      <c r="Q7279" s="270" t="s">
        <v>3944</v>
      </c>
      <c r="R7279" s="270">
        <v>1282.54</v>
      </c>
      <c r="S7279" s="270">
        <v>20188.919999999998</v>
      </c>
      <c r="T7279" s="270">
        <v>21471.46</v>
      </c>
      <c r="U7279" s="271" t="s">
        <v>3945</v>
      </c>
      <c r="V7279" s="276" t="s">
        <v>936</v>
      </c>
    </row>
    <row r="7280" spans="1:22" hidden="1" x14ac:dyDescent="0.25">
      <c r="A7280" s="266">
        <v>43796</v>
      </c>
      <c r="B7280" s="267">
        <v>2019</v>
      </c>
      <c r="C7280" s="267">
        <v>2020</v>
      </c>
      <c r="D7280" s="267">
        <v>1</v>
      </c>
      <c r="E7280" s="267">
        <v>1</v>
      </c>
      <c r="F7280" s="267" t="s">
        <v>944</v>
      </c>
      <c r="G7280" s="267" t="s">
        <v>3926</v>
      </c>
      <c r="H7280" s="267" t="s">
        <v>12105</v>
      </c>
      <c r="I7280" s="267" t="s">
        <v>956</v>
      </c>
      <c r="J7280" s="267" t="s">
        <v>3928</v>
      </c>
      <c r="K7280" s="267">
        <v>6615</v>
      </c>
      <c r="L7280" s="267">
        <v>80600</v>
      </c>
      <c r="M7280" s="267" t="s">
        <v>3935</v>
      </c>
      <c r="N7280" s="267" t="s">
        <v>3944</v>
      </c>
      <c r="O7280" s="267">
        <v>1386.46</v>
      </c>
      <c r="P7280" s="267" t="s">
        <v>3944</v>
      </c>
      <c r="Q7280" s="267" t="s">
        <v>3944</v>
      </c>
      <c r="R7280" s="267">
        <v>1386.46</v>
      </c>
      <c r="S7280" s="267">
        <v>21528.2</v>
      </c>
      <c r="T7280" s="267">
        <v>22914.66</v>
      </c>
      <c r="U7280" s="268" t="s">
        <v>3945</v>
      </c>
      <c r="V7280" s="267" t="s">
        <v>944</v>
      </c>
    </row>
    <row r="7281" spans="1:22" hidden="1" x14ac:dyDescent="0.25">
      <c r="A7281" s="269">
        <v>43796</v>
      </c>
      <c r="B7281" s="270">
        <v>2019</v>
      </c>
      <c r="C7281" s="270">
        <v>2020</v>
      </c>
      <c r="D7281" s="270">
        <v>1</v>
      </c>
      <c r="E7281" s="270">
        <v>1</v>
      </c>
      <c r="F7281" s="270" t="s">
        <v>944</v>
      </c>
      <c r="G7281" s="270" t="s">
        <v>3926</v>
      </c>
      <c r="H7281" s="270" t="s">
        <v>12106</v>
      </c>
      <c r="I7281" s="270" t="s">
        <v>4124</v>
      </c>
      <c r="J7281" s="270" t="s">
        <v>3928</v>
      </c>
      <c r="K7281" s="270">
        <v>6482</v>
      </c>
      <c r="L7281" s="270">
        <v>230501</v>
      </c>
      <c r="M7281" s="270" t="s">
        <v>3943</v>
      </c>
      <c r="N7281" s="270" t="s">
        <v>3944</v>
      </c>
      <c r="O7281" s="270">
        <v>3046.65</v>
      </c>
      <c r="P7281" s="270" t="s">
        <v>3944</v>
      </c>
      <c r="Q7281" s="270" t="s">
        <v>3944</v>
      </c>
      <c r="R7281" s="270">
        <v>3046.65</v>
      </c>
      <c r="S7281" s="270">
        <v>44030.1</v>
      </c>
      <c r="T7281" s="270">
        <v>47076.75</v>
      </c>
      <c r="U7281" s="271" t="s">
        <v>3945</v>
      </c>
      <c r="V7281" s="267" t="s">
        <v>944</v>
      </c>
    </row>
    <row r="7282" spans="1:22" hidden="1" x14ac:dyDescent="0.25">
      <c r="A7282" s="266">
        <v>43796</v>
      </c>
      <c r="B7282" s="267">
        <v>2019</v>
      </c>
      <c r="C7282" s="267">
        <v>2020</v>
      </c>
      <c r="D7282" s="267">
        <v>1</v>
      </c>
      <c r="E7282" s="267">
        <v>1</v>
      </c>
      <c r="F7282" s="267" t="s">
        <v>944</v>
      </c>
      <c r="G7282" s="267" t="s">
        <v>3926</v>
      </c>
      <c r="H7282" s="267" t="s">
        <v>12107</v>
      </c>
      <c r="I7282" s="267" t="s">
        <v>4094</v>
      </c>
      <c r="J7282" s="267" t="s">
        <v>3928</v>
      </c>
      <c r="K7282" s="267">
        <v>6096</v>
      </c>
      <c r="L7282" s="267">
        <v>476100</v>
      </c>
      <c r="M7282" s="267" t="s">
        <v>3940</v>
      </c>
      <c r="N7282" s="267" t="s">
        <v>3944</v>
      </c>
      <c r="O7282" s="267">
        <v>942.41</v>
      </c>
      <c r="P7282" s="267" t="s">
        <v>3944</v>
      </c>
      <c r="Q7282" s="267" t="s">
        <v>3944</v>
      </c>
      <c r="R7282" s="267">
        <v>942.41</v>
      </c>
      <c r="S7282" s="267">
        <v>14536.69</v>
      </c>
      <c r="T7282" s="267">
        <v>15479.1</v>
      </c>
      <c r="U7282" s="268" t="s">
        <v>3945</v>
      </c>
      <c r="V7282" s="267" t="s">
        <v>944</v>
      </c>
    </row>
    <row r="7283" spans="1:22" hidden="1" x14ac:dyDescent="0.25">
      <c r="A7283" s="269">
        <v>43796</v>
      </c>
      <c r="B7283" s="270">
        <v>2019</v>
      </c>
      <c r="C7283" s="270">
        <v>2020</v>
      </c>
      <c r="D7283" s="270">
        <v>1</v>
      </c>
      <c r="E7283" s="270">
        <v>1</v>
      </c>
      <c r="F7283" s="270" t="s">
        <v>944</v>
      </c>
      <c r="G7283" s="270" t="s">
        <v>3926</v>
      </c>
      <c r="H7283" s="270" t="s">
        <v>12108</v>
      </c>
      <c r="I7283" s="270" t="s">
        <v>4548</v>
      </c>
      <c r="J7283" s="270" t="s">
        <v>3928</v>
      </c>
      <c r="K7283" s="270">
        <v>6037</v>
      </c>
      <c r="L7283" s="270">
        <v>400200</v>
      </c>
      <c r="M7283" s="270" t="s">
        <v>3943</v>
      </c>
      <c r="N7283" s="270" t="s">
        <v>3944</v>
      </c>
      <c r="O7283" s="270">
        <v>2251.06</v>
      </c>
      <c r="P7283" s="270" t="s">
        <v>3944</v>
      </c>
      <c r="Q7283" s="270" t="s">
        <v>3944</v>
      </c>
      <c r="R7283" s="270">
        <v>2251.06</v>
      </c>
      <c r="S7283" s="270">
        <v>21465.62</v>
      </c>
      <c r="T7283" s="270">
        <v>23716.68</v>
      </c>
      <c r="U7283" s="271" t="s">
        <v>3945</v>
      </c>
      <c r="V7283" s="267" t="s">
        <v>944</v>
      </c>
    </row>
    <row r="7284" spans="1:22" hidden="1" x14ac:dyDescent="0.25">
      <c r="A7284" s="266">
        <v>43796</v>
      </c>
      <c r="B7284" s="267">
        <v>2019</v>
      </c>
      <c r="C7284" s="267">
        <v>2020</v>
      </c>
      <c r="D7284" s="267">
        <v>1</v>
      </c>
      <c r="E7284" s="267">
        <v>1</v>
      </c>
      <c r="F7284" s="267" t="s">
        <v>944</v>
      </c>
      <c r="G7284" s="267" t="s">
        <v>3926</v>
      </c>
      <c r="H7284" s="267" t="s">
        <v>12109</v>
      </c>
      <c r="I7284" s="267" t="s">
        <v>3010</v>
      </c>
      <c r="J7284" s="267" t="s">
        <v>3928</v>
      </c>
      <c r="K7284" s="267">
        <v>6401</v>
      </c>
      <c r="L7284" s="267">
        <v>125100</v>
      </c>
      <c r="M7284" s="267" t="s">
        <v>3960</v>
      </c>
      <c r="N7284" s="267" t="s">
        <v>3944</v>
      </c>
      <c r="O7284" s="267">
        <v>1970.26</v>
      </c>
      <c r="P7284" s="267" t="s">
        <v>3944</v>
      </c>
      <c r="Q7284" s="267" t="s">
        <v>3944</v>
      </c>
      <c r="R7284" s="267">
        <v>1970.26</v>
      </c>
      <c r="S7284" s="267">
        <v>27877.74</v>
      </c>
      <c r="T7284" s="267">
        <v>29848</v>
      </c>
      <c r="U7284" s="268" t="s">
        <v>3945</v>
      </c>
      <c r="V7284" s="267" t="s">
        <v>944</v>
      </c>
    </row>
    <row r="7285" spans="1:22" hidden="1" x14ac:dyDescent="0.25">
      <c r="A7285" s="269">
        <v>43796</v>
      </c>
      <c r="B7285" s="270">
        <v>2019</v>
      </c>
      <c r="C7285" s="270">
        <v>2020</v>
      </c>
      <c r="D7285" s="270">
        <v>1</v>
      </c>
      <c r="E7285" s="270">
        <v>1</v>
      </c>
      <c r="F7285" s="270" t="s">
        <v>944</v>
      </c>
      <c r="G7285" s="270" t="s">
        <v>3926</v>
      </c>
      <c r="H7285" s="270" t="s">
        <v>12110</v>
      </c>
      <c r="I7285" s="270" t="s">
        <v>4042</v>
      </c>
      <c r="J7285" s="270" t="s">
        <v>3928</v>
      </c>
      <c r="K7285" s="270">
        <v>6370</v>
      </c>
      <c r="L7285" s="270">
        <v>695201</v>
      </c>
      <c r="M7285" s="270" t="s">
        <v>3935</v>
      </c>
      <c r="N7285" s="270" t="s">
        <v>3944</v>
      </c>
      <c r="O7285" s="270">
        <v>1767.85</v>
      </c>
      <c r="P7285" s="270" t="s">
        <v>3944</v>
      </c>
      <c r="Q7285" s="270" t="s">
        <v>3944</v>
      </c>
      <c r="R7285" s="270">
        <v>1767.85</v>
      </c>
      <c r="S7285" s="270">
        <v>26862.34</v>
      </c>
      <c r="T7285" s="270">
        <v>28630.19</v>
      </c>
      <c r="U7285" s="271" t="s">
        <v>3945</v>
      </c>
      <c r="V7285" s="267" t="s">
        <v>944</v>
      </c>
    </row>
    <row r="7286" spans="1:22" hidden="1" x14ac:dyDescent="0.25">
      <c r="A7286" s="266">
        <v>43796</v>
      </c>
      <c r="B7286" s="267">
        <v>2019</v>
      </c>
      <c r="C7286" s="267">
        <v>2020</v>
      </c>
      <c r="D7286" s="267">
        <v>1</v>
      </c>
      <c r="E7286" s="267">
        <v>1</v>
      </c>
      <c r="F7286" s="267" t="s">
        <v>944</v>
      </c>
      <c r="G7286" s="267" t="s">
        <v>3926</v>
      </c>
      <c r="H7286" s="267" t="s">
        <v>12111</v>
      </c>
      <c r="I7286" s="267" t="s">
        <v>4323</v>
      </c>
      <c r="J7286" s="267" t="s">
        <v>3928</v>
      </c>
      <c r="K7286" s="267">
        <v>6385</v>
      </c>
      <c r="L7286" s="267">
        <v>693400</v>
      </c>
      <c r="M7286" s="267" t="s">
        <v>3940</v>
      </c>
      <c r="N7286" s="267" t="s">
        <v>3944</v>
      </c>
      <c r="O7286" s="267">
        <v>1268.6500000000001</v>
      </c>
      <c r="P7286" s="267" t="s">
        <v>3944</v>
      </c>
      <c r="Q7286" s="267" t="s">
        <v>3944</v>
      </c>
      <c r="R7286" s="267">
        <v>1268.6500000000001</v>
      </c>
      <c r="S7286" s="267">
        <v>17936.87</v>
      </c>
      <c r="T7286" s="267">
        <v>19205.52</v>
      </c>
      <c r="U7286" s="268" t="s">
        <v>3945</v>
      </c>
      <c r="V7286" s="267" t="s">
        <v>944</v>
      </c>
    </row>
    <row r="7287" spans="1:22" hidden="1" x14ac:dyDescent="0.25">
      <c r="A7287" s="269">
        <v>43796</v>
      </c>
      <c r="B7287" s="270">
        <v>2019</v>
      </c>
      <c r="C7287" s="270">
        <v>2020</v>
      </c>
      <c r="D7287" s="270">
        <v>1</v>
      </c>
      <c r="E7287" s="270">
        <v>1</v>
      </c>
      <c r="F7287" s="270" t="s">
        <v>944</v>
      </c>
      <c r="G7287" s="270" t="s">
        <v>3926</v>
      </c>
      <c r="H7287" s="270" t="s">
        <v>12112</v>
      </c>
      <c r="I7287" s="270" t="s">
        <v>4079</v>
      </c>
      <c r="J7287" s="270" t="s">
        <v>3928</v>
      </c>
      <c r="K7287" s="270">
        <v>6111</v>
      </c>
      <c r="L7287" s="270">
        <v>494100</v>
      </c>
      <c r="M7287" s="270" t="s">
        <v>3935</v>
      </c>
      <c r="N7287" s="270" t="s">
        <v>3944</v>
      </c>
      <c r="O7287" s="270">
        <v>2158.8000000000002</v>
      </c>
      <c r="P7287" s="270" t="s">
        <v>3944</v>
      </c>
      <c r="Q7287" s="270" t="s">
        <v>3944</v>
      </c>
      <c r="R7287" s="270">
        <v>2158.8000000000002</v>
      </c>
      <c r="S7287" s="270">
        <v>40073.93</v>
      </c>
      <c r="T7287" s="270">
        <v>42232.73</v>
      </c>
      <c r="U7287" s="271" t="s">
        <v>3945</v>
      </c>
      <c r="V7287" s="267" t="s">
        <v>944</v>
      </c>
    </row>
    <row r="7288" spans="1:22" hidden="1" x14ac:dyDescent="0.25">
      <c r="A7288" s="266">
        <v>43796</v>
      </c>
      <c r="B7288" s="267">
        <v>2019</v>
      </c>
      <c r="C7288" s="267">
        <v>2020</v>
      </c>
      <c r="D7288" s="267">
        <v>1</v>
      </c>
      <c r="E7288" s="267">
        <v>1</v>
      </c>
      <c r="F7288" s="267" t="s">
        <v>944</v>
      </c>
      <c r="G7288" s="267" t="s">
        <v>3926</v>
      </c>
      <c r="H7288" s="267" t="s">
        <v>12113</v>
      </c>
      <c r="I7288" s="267" t="s">
        <v>4085</v>
      </c>
      <c r="J7288" s="267" t="s">
        <v>3928</v>
      </c>
      <c r="K7288" s="267">
        <v>6351</v>
      </c>
      <c r="L7288" s="267">
        <v>709100</v>
      </c>
      <c r="M7288" s="267" t="s">
        <v>3935</v>
      </c>
      <c r="N7288" s="267" t="s">
        <v>3944</v>
      </c>
      <c r="O7288" s="267">
        <v>2704.03</v>
      </c>
      <c r="P7288" s="267" t="s">
        <v>3944</v>
      </c>
      <c r="Q7288" s="267" t="s">
        <v>3944</v>
      </c>
      <c r="R7288" s="267">
        <v>2704.03</v>
      </c>
      <c r="S7288" s="267">
        <v>44317.97</v>
      </c>
      <c r="T7288" s="267">
        <v>47022</v>
      </c>
      <c r="U7288" s="268" t="s">
        <v>3945</v>
      </c>
      <c r="V7288" s="267" t="s">
        <v>944</v>
      </c>
    </row>
    <row r="7289" spans="1:22" hidden="1" x14ac:dyDescent="0.25">
      <c r="A7289" s="269">
        <v>43796</v>
      </c>
      <c r="B7289" s="270">
        <v>2019</v>
      </c>
      <c r="C7289" s="270">
        <v>2020</v>
      </c>
      <c r="D7289" s="270">
        <v>1</v>
      </c>
      <c r="E7289" s="270">
        <v>1</v>
      </c>
      <c r="F7289" s="270" t="s">
        <v>944</v>
      </c>
      <c r="G7289" s="270" t="s">
        <v>3926</v>
      </c>
      <c r="H7289" s="270" t="s">
        <v>12114</v>
      </c>
      <c r="I7289" s="270" t="s">
        <v>956</v>
      </c>
      <c r="J7289" s="270" t="s">
        <v>3928</v>
      </c>
      <c r="K7289" s="270">
        <v>6614</v>
      </c>
      <c r="L7289" s="270">
        <v>80900</v>
      </c>
      <c r="M7289" s="270" t="s">
        <v>3960</v>
      </c>
      <c r="N7289" s="270" t="s">
        <v>3944</v>
      </c>
      <c r="O7289" s="270">
        <v>786.45</v>
      </c>
      <c r="P7289" s="270" t="s">
        <v>3944</v>
      </c>
      <c r="Q7289" s="270" t="s">
        <v>3944</v>
      </c>
      <c r="R7289" s="270">
        <v>786.45</v>
      </c>
      <c r="S7289" s="270">
        <v>14535.96</v>
      </c>
      <c r="T7289" s="270">
        <v>15322.41</v>
      </c>
      <c r="U7289" s="271" t="s">
        <v>3945</v>
      </c>
      <c r="V7289" s="267" t="s">
        <v>944</v>
      </c>
    </row>
    <row r="7290" spans="1:22" hidden="1" x14ac:dyDescent="0.25">
      <c r="A7290" s="266">
        <v>43796</v>
      </c>
      <c r="B7290" s="267">
        <v>2019</v>
      </c>
      <c r="C7290" s="267">
        <v>2020</v>
      </c>
      <c r="D7290" s="267">
        <v>1</v>
      </c>
      <c r="E7290" s="267">
        <v>1</v>
      </c>
      <c r="F7290" s="267" t="s">
        <v>944</v>
      </c>
      <c r="G7290" s="267" t="s">
        <v>3926</v>
      </c>
      <c r="H7290" s="267" t="s">
        <v>12115</v>
      </c>
      <c r="I7290" s="267" t="s">
        <v>5401</v>
      </c>
      <c r="J7290" s="267" t="s">
        <v>3928</v>
      </c>
      <c r="K7290" s="267">
        <v>6820</v>
      </c>
      <c r="L7290" s="267">
        <v>30200</v>
      </c>
      <c r="M7290" s="267" t="s">
        <v>3943</v>
      </c>
      <c r="N7290" s="267" t="s">
        <v>12116</v>
      </c>
      <c r="O7290" s="267"/>
      <c r="P7290" s="267" t="s">
        <v>3944</v>
      </c>
      <c r="Q7290" s="267" t="s">
        <v>3930</v>
      </c>
      <c r="R7290" s="267">
        <v>0</v>
      </c>
      <c r="S7290" s="267">
        <v>516997.3</v>
      </c>
      <c r="T7290" s="267">
        <v>516997.3</v>
      </c>
      <c r="U7290" s="268" t="s">
        <v>4099</v>
      </c>
      <c r="V7290" s="267" t="s">
        <v>944</v>
      </c>
    </row>
    <row r="7291" spans="1:22" hidden="1" x14ac:dyDescent="0.25">
      <c r="A7291" s="269">
        <v>43796</v>
      </c>
      <c r="B7291" s="270">
        <v>2019</v>
      </c>
      <c r="C7291" s="270">
        <v>2020</v>
      </c>
      <c r="D7291" s="270">
        <v>1</v>
      </c>
      <c r="E7291" s="270">
        <v>1</v>
      </c>
      <c r="F7291" s="270" t="s">
        <v>944</v>
      </c>
      <c r="G7291" s="270" t="s">
        <v>3926</v>
      </c>
      <c r="H7291" s="270" t="s">
        <v>12117</v>
      </c>
      <c r="I7291" s="270" t="s">
        <v>5401</v>
      </c>
      <c r="J7291" s="270" t="s">
        <v>3928</v>
      </c>
      <c r="K7291" s="270">
        <v>6820</v>
      </c>
      <c r="L7291" s="270">
        <v>30200</v>
      </c>
      <c r="M7291" s="270" t="s">
        <v>3943</v>
      </c>
      <c r="N7291" s="270" t="s">
        <v>12118</v>
      </c>
      <c r="O7291" s="270"/>
      <c r="P7291" s="270" t="s">
        <v>3944</v>
      </c>
      <c r="Q7291" s="270" t="s">
        <v>3930</v>
      </c>
      <c r="R7291" s="270">
        <v>0</v>
      </c>
      <c r="S7291" s="270">
        <v>925415.19</v>
      </c>
      <c r="T7291" s="270">
        <v>925415.19</v>
      </c>
      <c r="U7291" s="271" t="s">
        <v>4099</v>
      </c>
      <c r="V7291" s="267" t="s">
        <v>944</v>
      </c>
    </row>
    <row r="7292" spans="1:22" hidden="1" x14ac:dyDescent="0.25">
      <c r="A7292" s="266">
        <v>43796</v>
      </c>
      <c r="B7292" s="267">
        <v>2019</v>
      </c>
      <c r="C7292" s="267">
        <v>2020</v>
      </c>
      <c r="D7292" s="267">
        <v>1</v>
      </c>
      <c r="E7292" s="267">
        <v>1</v>
      </c>
      <c r="F7292" s="267" t="s">
        <v>944</v>
      </c>
      <c r="G7292" s="267" t="s">
        <v>3926</v>
      </c>
      <c r="H7292" s="267" t="s">
        <v>12119</v>
      </c>
      <c r="I7292" s="267" t="s">
        <v>934</v>
      </c>
      <c r="J7292" s="267" t="s">
        <v>3928</v>
      </c>
      <c r="K7292" s="267">
        <v>6604</v>
      </c>
      <c r="L7292" s="267">
        <v>72100</v>
      </c>
      <c r="M7292" s="267" t="s">
        <v>3940</v>
      </c>
      <c r="N7292" s="267" t="s">
        <v>3944</v>
      </c>
      <c r="O7292" s="267">
        <v>1197.1099999999999</v>
      </c>
      <c r="P7292" s="267" t="s">
        <v>3944</v>
      </c>
      <c r="Q7292" s="267" t="s">
        <v>3944</v>
      </c>
      <c r="R7292" s="267">
        <v>1197.1099999999999</v>
      </c>
      <c r="S7292" s="267">
        <v>32793.589999999997</v>
      </c>
      <c r="T7292" s="267">
        <v>33990.699999999997</v>
      </c>
      <c r="U7292" s="268" t="s">
        <v>3945</v>
      </c>
      <c r="V7292" s="267" t="s">
        <v>944</v>
      </c>
    </row>
    <row r="7293" spans="1:22" hidden="1" x14ac:dyDescent="0.25">
      <c r="A7293" s="269">
        <v>43796</v>
      </c>
      <c r="B7293" s="270">
        <v>2019</v>
      </c>
      <c r="C7293" s="270">
        <v>2020</v>
      </c>
      <c r="D7293" s="270">
        <v>1</v>
      </c>
      <c r="E7293" s="270">
        <v>1</v>
      </c>
      <c r="F7293" s="270" t="s">
        <v>944</v>
      </c>
      <c r="G7293" s="270" t="s">
        <v>3926</v>
      </c>
      <c r="H7293" s="270" t="s">
        <v>12120</v>
      </c>
      <c r="I7293" s="270" t="s">
        <v>2987</v>
      </c>
      <c r="J7293" s="270" t="s">
        <v>3928</v>
      </c>
      <c r="K7293" s="270">
        <v>6611</v>
      </c>
      <c r="L7293" s="270">
        <v>90600</v>
      </c>
      <c r="M7293" s="270" t="s">
        <v>3960</v>
      </c>
      <c r="N7293" s="270" t="s">
        <v>3944</v>
      </c>
      <c r="O7293" s="270">
        <v>2738.86</v>
      </c>
      <c r="P7293" s="270" t="s">
        <v>3944</v>
      </c>
      <c r="Q7293" s="270" t="s">
        <v>3944</v>
      </c>
      <c r="R7293" s="270">
        <v>2738.86</v>
      </c>
      <c r="S7293" s="270">
        <v>37085.870000000003</v>
      </c>
      <c r="T7293" s="270">
        <v>39824.730000000003</v>
      </c>
      <c r="U7293" s="271" t="s">
        <v>3945</v>
      </c>
      <c r="V7293" s="267" t="s">
        <v>944</v>
      </c>
    </row>
    <row r="7294" spans="1:22" hidden="1" x14ac:dyDescent="0.25">
      <c r="A7294" s="266">
        <v>43796</v>
      </c>
      <c r="B7294" s="267">
        <v>2019</v>
      </c>
      <c r="C7294" s="267">
        <v>2020</v>
      </c>
      <c r="D7294" s="267">
        <v>1</v>
      </c>
      <c r="E7294" s="267">
        <v>1</v>
      </c>
      <c r="F7294" s="267" t="s">
        <v>944</v>
      </c>
      <c r="G7294" s="267" t="s">
        <v>3926</v>
      </c>
      <c r="H7294" s="267" t="s">
        <v>12121</v>
      </c>
      <c r="I7294" s="267" t="s">
        <v>3956</v>
      </c>
      <c r="J7294" s="267" t="s">
        <v>3928</v>
      </c>
      <c r="K7294" s="267">
        <v>6106</v>
      </c>
      <c r="L7294" s="267">
        <v>504800</v>
      </c>
      <c r="M7294" s="267" t="s">
        <v>3940</v>
      </c>
      <c r="N7294" s="267" t="s">
        <v>3944</v>
      </c>
      <c r="O7294" s="267">
        <v>1420.86</v>
      </c>
      <c r="P7294" s="267" t="s">
        <v>3944</v>
      </c>
      <c r="Q7294" s="267" t="s">
        <v>3944</v>
      </c>
      <c r="R7294" s="267">
        <v>1420.86</v>
      </c>
      <c r="S7294" s="267">
        <v>17407.32</v>
      </c>
      <c r="T7294" s="267">
        <v>18828.18</v>
      </c>
      <c r="U7294" s="268" t="s">
        <v>3945</v>
      </c>
      <c r="V7294" s="267" t="s">
        <v>944</v>
      </c>
    </row>
    <row r="7295" spans="1:22" hidden="1" x14ac:dyDescent="0.25">
      <c r="A7295" s="269">
        <v>43796</v>
      </c>
      <c r="B7295" s="270">
        <v>2019</v>
      </c>
      <c r="C7295" s="270">
        <v>2020</v>
      </c>
      <c r="D7295" s="270">
        <v>1</v>
      </c>
      <c r="E7295" s="270">
        <v>1</v>
      </c>
      <c r="F7295" s="270" t="s">
        <v>944</v>
      </c>
      <c r="G7295" s="270" t="s">
        <v>3926</v>
      </c>
      <c r="H7295" s="270" t="s">
        <v>12122</v>
      </c>
      <c r="I7295" s="270" t="s">
        <v>3999</v>
      </c>
      <c r="J7295" s="270" t="s">
        <v>3928</v>
      </c>
      <c r="K7295" s="270">
        <v>6450</v>
      </c>
      <c r="L7295" s="270">
        <v>171200</v>
      </c>
      <c r="M7295" s="270" t="s">
        <v>3960</v>
      </c>
      <c r="N7295" s="270" t="s">
        <v>3944</v>
      </c>
      <c r="O7295" s="270">
        <v>961.91</v>
      </c>
      <c r="P7295" s="270" t="s">
        <v>3944</v>
      </c>
      <c r="Q7295" s="270" t="s">
        <v>3944</v>
      </c>
      <c r="R7295" s="270">
        <v>961.91</v>
      </c>
      <c r="S7295" s="270">
        <v>14012.59</v>
      </c>
      <c r="T7295" s="270">
        <v>14974.5</v>
      </c>
      <c r="U7295" s="271" t="s">
        <v>3945</v>
      </c>
      <c r="V7295" s="267" t="s">
        <v>944</v>
      </c>
    </row>
    <row r="7296" spans="1:22" hidden="1" x14ac:dyDescent="0.25">
      <c r="A7296" s="266">
        <v>43796</v>
      </c>
      <c r="B7296" s="267">
        <v>2019</v>
      </c>
      <c r="C7296" s="267">
        <v>2020</v>
      </c>
      <c r="D7296" s="267">
        <v>1</v>
      </c>
      <c r="E7296" s="267">
        <v>1</v>
      </c>
      <c r="F7296" s="267" t="s">
        <v>944</v>
      </c>
      <c r="G7296" s="267" t="s">
        <v>3926</v>
      </c>
      <c r="H7296" s="267" t="s">
        <v>12123</v>
      </c>
      <c r="I7296" s="267" t="s">
        <v>4213</v>
      </c>
      <c r="J7296" s="267" t="s">
        <v>3928</v>
      </c>
      <c r="K7296" s="267">
        <v>6052</v>
      </c>
      <c r="L7296" s="267">
        <v>416400</v>
      </c>
      <c r="M7296" s="267" t="s">
        <v>3960</v>
      </c>
      <c r="N7296" s="267" t="s">
        <v>3944</v>
      </c>
      <c r="O7296" s="267">
        <v>1223.01</v>
      </c>
      <c r="P7296" s="267" t="s">
        <v>3944</v>
      </c>
      <c r="Q7296" s="267" t="s">
        <v>3944</v>
      </c>
      <c r="R7296" s="267">
        <v>1223.01</v>
      </c>
      <c r="S7296" s="267">
        <v>19213.95</v>
      </c>
      <c r="T7296" s="267">
        <v>20436.96</v>
      </c>
      <c r="U7296" s="268" t="s">
        <v>3945</v>
      </c>
      <c r="V7296" s="267" t="s">
        <v>944</v>
      </c>
    </row>
    <row r="7297" spans="1:22" hidden="1" x14ac:dyDescent="0.25">
      <c r="A7297" s="269">
        <v>43798</v>
      </c>
      <c r="B7297" s="270">
        <v>2019</v>
      </c>
      <c r="C7297" s="270">
        <v>2020</v>
      </c>
      <c r="D7297" s="270">
        <v>1</v>
      </c>
      <c r="E7297" s="270">
        <v>1</v>
      </c>
      <c r="F7297" s="270" t="s">
        <v>944</v>
      </c>
      <c r="G7297" s="270" t="s">
        <v>3926</v>
      </c>
      <c r="H7297" s="270" t="s">
        <v>12124</v>
      </c>
      <c r="I7297" s="270" t="s">
        <v>4731</v>
      </c>
      <c r="J7297" s="270" t="s">
        <v>3928</v>
      </c>
      <c r="K7297" s="270">
        <v>6478</v>
      </c>
      <c r="L7297" s="270">
        <v>346101</v>
      </c>
      <c r="M7297" s="270" t="s">
        <v>3943</v>
      </c>
      <c r="N7297" s="270" t="s">
        <v>12125</v>
      </c>
      <c r="O7297" s="270">
        <v>0</v>
      </c>
      <c r="P7297" s="270" t="s">
        <v>3930</v>
      </c>
      <c r="Q7297" s="270" t="s">
        <v>3930</v>
      </c>
      <c r="R7297" s="270">
        <v>0</v>
      </c>
      <c r="S7297" s="270">
        <v>11841</v>
      </c>
      <c r="T7297" s="270">
        <v>11841</v>
      </c>
      <c r="U7297" s="271" t="s">
        <v>3937</v>
      </c>
      <c r="V7297" s="267" t="s">
        <v>944</v>
      </c>
    </row>
    <row r="7298" spans="1:22" hidden="1" x14ac:dyDescent="0.25">
      <c r="A7298" s="266">
        <v>43798</v>
      </c>
      <c r="B7298" s="267">
        <v>2019</v>
      </c>
      <c r="C7298" s="267">
        <v>2020</v>
      </c>
      <c r="D7298" s="267">
        <v>1</v>
      </c>
      <c r="E7298" s="267">
        <v>1</v>
      </c>
      <c r="F7298" s="267" t="s">
        <v>944</v>
      </c>
      <c r="G7298" s="267" t="s">
        <v>3926</v>
      </c>
      <c r="H7298" s="267" t="s">
        <v>12126</v>
      </c>
      <c r="I7298" s="267" t="s">
        <v>4005</v>
      </c>
      <c r="J7298" s="267" t="s">
        <v>3928</v>
      </c>
      <c r="K7298" s="267">
        <v>6118</v>
      </c>
      <c r="L7298" s="267">
        <v>510700</v>
      </c>
      <c r="M7298" s="267" t="s">
        <v>3940</v>
      </c>
      <c r="N7298" s="267" t="s">
        <v>3983</v>
      </c>
      <c r="O7298" s="267">
        <v>900.39</v>
      </c>
      <c r="P7298" s="267" t="s">
        <v>3930</v>
      </c>
      <c r="Q7298" s="267" t="s">
        <v>3931</v>
      </c>
      <c r="R7298" s="267">
        <v>5900.39</v>
      </c>
      <c r="S7298" s="267">
        <v>16504</v>
      </c>
      <c r="T7298" s="267">
        <v>22404.39</v>
      </c>
      <c r="U7298" s="268" t="s">
        <v>3932</v>
      </c>
      <c r="V7298" s="267" t="s">
        <v>944</v>
      </c>
    </row>
    <row r="7299" spans="1:22" hidden="1" x14ac:dyDescent="0.25">
      <c r="A7299" s="269">
        <v>43798</v>
      </c>
      <c r="B7299" s="270">
        <v>2019</v>
      </c>
      <c r="C7299" s="270">
        <v>2020</v>
      </c>
      <c r="D7299" s="270">
        <v>1</v>
      </c>
      <c r="E7299" s="270">
        <v>1</v>
      </c>
      <c r="F7299" s="270" t="s">
        <v>944</v>
      </c>
      <c r="G7299" s="270" t="s">
        <v>3926</v>
      </c>
      <c r="H7299" s="270" t="s">
        <v>12127</v>
      </c>
      <c r="I7299" s="270" t="s">
        <v>3956</v>
      </c>
      <c r="J7299" s="270" t="s">
        <v>3928</v>
      </c>
      <c r="K7299" s="270">
        <v>6112</v>
      </c>
      <c r="L7299" s="270">
        <v>501400</v>
      </c>
      <c r="M7299" s="270">
        <v>-60</v>
      </c>
      <c r="N7299" s="270" t="s">
        <v>3944</v>
      </c>
      <c r="O7299" s="270">
        <v>1540.74</v>
      </c>
      <c r="P7299" s="270" t="s">
        <v>3944</v>
      </c>
      <c r="Q7299" s="270" t="s">
        <v>3944</v>
      </c>
      <c r="R7299" s="270">
        <v>1540.74</v>
      </c>
      <c r="S7299" s="270">
        <v>20475.87</v>
      </c>
      <c r="T7299" s="270">
        <v>22016.61</v>
      </c>
      <c r="U7299" s="271" t="s">
        <v>3945</v>
      </c>
      <c r="V7299" s="267" t="s">
        <v>944</v>
      </c>
    </row>
    <row r="7300" spans="1:22" hidden="1" x14ac:dyDescent="0.25">
      <c r="A7300" s="266">
        <v>43798</v>
      </c>
      <c r="B7300" s="267">
        <v>2019</v>
      </c>
      <c r="C7300" s="267">
        <v>2020</v>
      </c>
      <c r="D7300" s="267">
        <v>1</v>
      </c>
      <c r="E7300" s="267">
        <v>1</v>
      </c>
      <c r="F7300" s="267" t="s">
        <v>944</v>
      </c>
      <c r="G7300" s="267" t="s">
        <v>3926</v>
      </c>
      <c r="H7300" s="267" t="s">
        <v>12128</v>
      </c>
      <c r="I7300" s="267" t="s">
        <v>4019</v>
      </c>
      <c r="J7300" s="267" t="s">
        <v>3928</v>
      </c>
      <c r="K7300" s="267">
        <v>6708</v>
      </c>
      <c r="L7300" s="267">
        <v>351602</v>
      </c>
      <c r="M7300" s="267" t="s">
        <v>3940</v>
      </c>
      <c r="N7300" s="267" t="s">
        <v>3944</v>
      </c>
      <c r="O7300" s="267">
        <v>1711.22</v>
      </c>
      <c r="P7300" s="267" t="s">
        <v>3944</v>
      </c>
      <c r="Q7300" s="267" t="s">
        <v>3944</v>
      </c>
      <c r="R7300" s="267">
        <v>1711.22</v>
      </c>
      <c r="S7300" s="267">
        <v>25596.59</v>
      </c>
      <c r="T7300" s="267">
        <v>27307.81</v>
      </c>
      <c r="U7300" s="268" t="s">
        <v>3945</v>
      </c>
      <c r="V7300" s="267" t="s">
        <v>944</v>
      </c>
    </row>
    <row r="7301" spans="1:22" hidden="1" x14ac:dyDescent="0.25">
      <c r="A7301" s="269">
        <v>43799</v>
      </c>
      <c r="B7301" s="270">
        <v>2019</v>
      </c>
      <c r="C7301" s="270">
        <v>2020</v>
      </c>
      <c r="D7301" s="270">
        <v>1</v>
      </c>
      <c r="E7301" s="270">
        <v>1</v>
      </c>
      <c r="F7301" s="270" t="s">
        <v>944</v>
      </c>
      <c r="G7301" s="270" t="s">
        <v>3926</v>
      </c>
      <c r="H7301" s="270" t="s">
        <v>12129</v>
      </c>
      <c r="I7301" s="270" t="s">
        <v>4037</v>
      </c>
      <c r="J7301" s="270" t="s">
        <v>3928</v>
      </c>
      <c r="K7301" s="270">
        <v>6810</v>
      </c>
      <c r="L7301" s="270">
        <v>210400</v>
      </c>
      <c r="M7301" s="270" t="s">
        <v>3935</v>
      </c>
      <c r="N7301" s="270" t="s">
        <v>4523</v>
      </c>
      <c r="O7301" s="270">
        <v>4668.03</v>
      </c>
      <c r="P7301" s="270" t="s">
        <v>3930</v>
      </c>
      <c r="Q7301" s="270" t="s">
        <v>3931</v>
      </c>
      <c r="R7301" s="270">
        <v>9668.0300000000007</v>
      </c>
      <c r="S7301" s="270">
        <v>25412.799999999999</v>
      </c>
      <c r="T7301" s="270">
        <v>35080.83</v>
      </c>
      <c r="U7301" s="271" t="s">
        <v>3932</v>
      </c>
      <c r="V7301" s="267" t="s">
        <v>944</v>
      </c>
    </row>
    <row r="7302" spans="1:22" hidden="1" x14ac:dyDescent="0.25">
      <c r="A7302" s="266">
        <v>43800</v>
      </c>
      <c r="B7302" s="267">
        <v>2019</v>
      </c>
      <c r="C7302" s="267">
        <v>2020</v>
      </c>
      <c r="D7302" s="267">
        <v>1</v>
      </c>
      <c r="E7302" s="267">
        <v>1</v>
      </c>
      <c r="F7302" s="267" t="s">
        <v>944</v>
      </c>
      <c r="G7302" s="267" t="s">
        <v>3926</v>
      </c>
      <c r="H7302" s="267" t="s">
        <v>12130</v>
      </c>
      <c r="I7302" s="267" t="s">
        <v>4019</v>
      </c>
      <c r="J7302" s="267" t="s">
        <v>3928</v>
      </c>
      <c r="K7302" s="267">
        <v>6708</v>
      </c>
      <c r="L7302" s="267">
        <v>352000</v>
      </c>
      <c r="M7302" s="267" t="s">
        <v>3935</v>
      </c>
      <c r="N7302" s="267" t="s">
        <v>3944</v>
      </c>
      <c r="O7302" s="267">
        <v>1056.48</v>
      </c>
      <c r="P7302" s="267" t="s">
        <v>3944</v>
      </c>
      <c r="Q7302" s="267" t="s">
        <v>3944</v>
      </c>
      <c r="R7302" s="267">
        <v>1056.48</v>
      </c>
      <c r="S7302" s="267">
        <v>15518.95</v>
      </c>
      <c r="T7302" s="267">
        <v>16575.43</v>
      </c>
      <c r="U7302" s="268" t="s">
        <v>3945</v>
      </c>
      <c r="V7302" s="267" t="s">
        <v>944</v>
      </c>
    </row>
    <row r="7303" spans="1:22" hidden="1" x14ac:dyDescent="0.25">
      <c r="A7303" s="269">
        <v>43800</v>
      </c>
      <c r="B7303" s="270">
        <v>2019</v>
      </c>
      <c r="C7303" s="270">
        <v>2020</v>
      </c>
      <c r="D7303" s="270">
        <v>1</v>
      </c>
      <c r="E7303" s="270">
        <v>1</v>
      </c>
      <c r="F7303" s="270" t="s">
        <v>944</v>
      </c>
      <c r="G7303" s="270" t="s">
        <v>3926</v>
      </c>
      <c r="H7303" s="270" t="s">
        <v>12131</v>
      </c>
      <c r="I7303" s="270" t="s">
        <v>3985</v>
      </c>
      <c r="J7303" s="270" t="s">
        <v>3928</v>
      </c>
      <c r="K7303" s="270">
        <v>6256</v>
      </c>
      <c r="L7303" s="270">
        <v>800500</v>
      </c>
      <c r="M7303" s="270" t="s">
        <v>3940</v>
      </c>
      <c r="N7303" s="270" t="s">
        <v>3944</v>
      </c>
      <c r="O7303" s="270">
        <v>1202.8800000000001</v>
      </c>
      <c r="P7303" s="270" t="s">
        <v>3944</v>
      </c>
      <c r="Q7303" s="270" t="s">
        <v>3944</v>
      </c>
      <c r="R7303" s="270">
        <v>1202.8800000000001</v>
      </c>
      <c r="S7303" s="270">
        <v>17821.98</v>
      </c>
      <c r="T7303" s="270">
        <v>19024.86</v>
      </c>
      <c r="U7303" s="271" t="s">
        <v>3945</v>
      </c>
      <c r="V7303" s="267" t="s">
        <v>944</v>
      </c>
    </row>
    <row r="7304" spans="1:22" hidden="1" x14ac:dyDescent="0.25">
      <c r="A7304" s="266">
        <v>43800</v>
      </c>
      <c r="B7304" s="267">
        <v>2019</v>
      </c>
      <c r="C7304" s="267">
        <v>2020</v>
      </c>
      <c r="D7304" s="267">
        <v>1</v>
      </c>
      <c r="E7304" s="267">
        <v>1</v>
      </c>
      <c r="F7304" s="267" t="s">
        <v>944</v>
      </c>
      <c r="G7304" s="267" t="s">
        <v>3926</v>
      </c>
      <c r="H7304" s="267" t="s">
        <v>12132</v>
      </c>
      <c r="I7304" s="267" t="s">
        <v>3008</v>
      </c>
      <c r="J7304" s="267" t="s">
        <v>3928</v>
      </c>
      <c r="K7304" s="267">
        <v>6460</v>
      </c>
      <c r="L7304" s="267">
        <v>150300</v>
      </c>
      <c r="M7304" s="267" t="s">
        <v>3960</v>
      </c>
      <c r="N7304" s="267" t="s">
        <v>3944</v>
      </c>
      <c r="O7304" s="267">
        <v>895.76</v>
      </c>
      <c r="P7304" s="267" t="s">
        <v>3944</v>
      </c>
      <c r="Q7304" s="267" t="s">
        <v>3944</v>
      </c>
      <c r="R7304" s="267">
        <v>895.76</v>
      </c>
      <c r="S7304" s="267">
        <v>15478.77</v>
      </c>
      <c r="T7304" s="267">
        <v>16374.53</v>
      </c>
      <c r="U7304" s="268" t="s">
        <v>3945</v>
      </c>
      <c r="V7304" s="267" t="s">
        <v>944</v>
      </c>
    </row>
    <row r="7305" spans="1:22" hidden="1" x14ac:dyDescent="0.25">
      <c r="A7305" s="269">
        <v>43800</v>
      </c>
      <c r="B7305" s="270">
        <v>2019</v>
      </c>
      <c r="C7305" s="270">
        <v>2020</v>
      </c>
      <c r="D7305" s="270">
        <v>1</v>
      </c>
      <c r="E7305" s="270">
        <v>1</v>
      </c>
      <c r="F7305" s="270" t="s">
        <v>944</v>
      </c>
      <c r="G7305" s="270" t="s">
        <v>3926</v>
      </c>
      <c r="H7305" s="270" t="s">
        <v>12133</v>
      </c>
      <c r="I7305" s="270" t="s">
        <v>4016</v>
      </c>
      <c r="J7305" s="270" t="s">
        <v>3928</v>
      </c>
      <c r="K7305" s="270">
        <v>6770</v>
      </c>
      <c r="L7305" s="270">
        <v>345100</v>
      </c>
      <c r="M7305" s="270" t="s">
        <v>3940</v>
      </c>
      <c r="N7305" s="270" t="s">
        <v>3944</v>
      </c>
      <c r="O7305" s="270">
        <v>566.83000000000004</v>
      </c>
      <c r="P7305" s="270" t="s">
        <v>3944</v>
      </c>
      <c r="Q7305" s="270" t="s">
        <v>3944</v>
      </c>
      <c r="R7305" s="270">
        <v>566.83000000000004</v>
      </c>
      <c r="S7305" s="270">
        <v>9040.67</v>
      </c>
      <c r="T7305" s="270">
        <v>9607.5</v>
      </c>
      <c r="U7305" s="271" t="s">
        <v>3945</v>
      </c>
      <c r="V7305" s="267" t="s">
        <v>944</v>
      </c>
    </row>
    <row r="7306" spans="1:22" hidden="1" x14ac:dyDescent="0.25">
      <c r="A7306" s="266">
        <v>43800</v>
      </c>
      <c r="B7306" s="267">
        <v>2019</v>
      </c>
      <c r="C7306" s="267">
        <v>2020</v>
      </c>
      <c r="D7306" s="267">
        <v>1</v>
      </c>
      <c r="E7306" s="267">
        <v>1</v>
      </c>
      <c r="F7306" s="267" t="s">
        <v>944</v>
      </c>
      <c r="G7306" s="267" t="s">
        <v>3926</v>
      </c>
      <c r="H7306" s="267" t="s">
        <v>12134</v>
      </c>
      <c r="I7306" s="267" t="s">
        <v>4374</v>
      </c>
      <c r="J7306" s="267" t="s">
        <v>3928</v>
      </c>
      <c r="K7306" s="267">
        <v>6438</v>
      </c>
      <c r="L7306" s="267">
        <v>590100</v>
      </c>
      <c r="M7306" s="267" t="s">
        <v>3943</v>
      </c>
      <c r="N7306" s="267" t="s">
        <v>3944</v>
      </c>
      <c r="O7306" s="267">
        <v>1957.41</v>
      </c>
      <c r="P7306" s="267" t="s">
        <v>3944</v>
      </c>
      <c r="Q7306" s="267" t="s">
        <v>3944</v>
      </c>
      <c r="R7306" s="267">
        <v>1957.41</v>
      </c>
      <c r="S7306" s="267">
        <v>31830.49</v>
      </c>
      <c r="T7306" s="267">
        <v>33787.9</v>
      </c>
      <c r="U7306" s="268" t="s">
        <v>3945</v>
      </c>
      <c r="V7306" s="267" t="s">
        <v>944</v>
      </c>
    </row>
    <row r="7307" spans="1:22" hidden="1" x14ac:dyDescent="0.25">
      <c r="A7307" s="269">
        <v>43800</v>
      </c>
      <c r="B7307" s="270">
        <v>2019</v>
      </c>
      <c r="C7307" s="270">
        <v>2020</v>
      </c>
      <c r="D7307" s="270">
        <v>1</v>
      </c>
      <c r="E7307" s="270">
        <v>1</v>
      </c>
      <c r="F7307" s="270" t="s">
        <v>944</v>
      </c>
      <c r="G7307" s="270" t="s">
        <v>3926</v>
      </c>
      <c r="H7307" s="270" t="s">
        <v>12135</v>
      </c>
      <c r="I7307" s="270" t="s">
        <v>3999</v>
      </c>
      <c r="J7307" s="270" t="s">
        <v>3928</v>
      </c>
      <c r="K7307" s="270">
        <v>6451</v>
      </c>
      <c r="L7307" s="270">
        <v>170500</v>
      </c>
      <c r="M7307" s="270" t="s">
        <v>3935</v>
      </c>
      <c r="N7307" s="270" t="s">
        <v>3944</v>
      </c>
      <c r="O7307" s="270">
        <v>1189.4100000000001</v>
      </c>
      <c r="P7307" s="270" t="s">
        <v>3944</v>
      </c>
      <c r="Q7307" s="270" t="s">
        <v>3944</v>
      </c>
      <c r="R7307" s="270">
        <v>1189.4100000000001</v>
      </c>
      <c r="S7307" s="270">
        <v>18986.34</v>
      </c>
      <c r="T7307" s="270">
        <v>20175.75</v>
      </c>
      <c r="U7307" s="271" t="s">
        <v>3945</v>
      </c>
      <c r="V7307" s="267" t="s">
        <v>944</v>
      </c>
    </row>
    <row r="7308" spans="1:22" hidden="1" x14ac:dyDescent="0.25">
      <c r="A7308" s="266">
        <v>43801</v>
      </c>
      <c r="B7308" s="267">
        <v>2019</v>
      </c>
      <c r="C7308" s="267">
        <v>2020</v>
      </c>
      <c r="D7308" s="267">
        <v>1</v>
      </c>
      <c r="E7308" s="267">
        <v>1</v>
      </c>
      <c r="F7308" s="267" t="s">
        <v>944</v>
      </c>
      <c r="G7308" s="267" t="s">
        <v>3926</v>
      </c>
      <c r="H7308" s="267" t="s">
        <v>12136</v>
      </c>
      <c r="I7308" s="267" t="s">
        <v>2987</v>
      </c>
      <c r="J7308" s="267" t="s">
        <v>3928</v>
      </c>
      <c r="K7308" s="267">
        <v>6611</v>
      </c>
      <c r="L7308" s="267">
        <v>90500</v>
      </c>
      <c r="M7308" s="267" t="s">
        <v>3943</v>
      </c>
      <c r="N7308" s="267" t="s">
        <v>12137</v>
      </c>
      <c r="O7308" s="267">
        <v>0</v>
      </c>
      <c r="P7308" s="267" t="s">
        <v>3930</v>
      </c>
      <c r="Q7308" s="267" t="s">
        <v>3930</v>
      </c>
      <c r="R7308" s="267">
        <v>0</v>
      </c>
      <c r="S7308" s="267">
        <v>27427.52</v>
      </c>
      <c r="T7308" s="267">
        <v>27427.52</v>
      </c>
      <c r="U7308" s="268" t="s">
        <v>3937</v>
      </c>
      <c r="V7308" s="267" t="s">
        <v>944</v>
      </c>
    </row>
    <row r="7309" spans="1:22" x14ac:dyDescent="0.25">
      <c r="A7309" s="269">
        <v>43801</v>
      </c>
      <c r="B7309" s="270">
        <v>2019</v>
      </c>
      <c r="C7309" s="270">
        <v>2020</v>
      </c>
      <c r="D7309" s="270">
        <v>1</v>
      </c>
      <c r="E7309" s="270">
        <v>1</v>
      </c>
      <c r="F7309" s="270" t="s">
        <v>944</v>
      </c>
      <c r="G7309" s="270" t="s">
        <v>3926</v>
      </c>
      <c r="H7309" s="270" t="s">
        <v>12138</v>
      </c>
      <c r="I7309" s="270" t="s">
        <v>943</v>
      </c>
      <c r="J7309" s="270" t="s">
        <v>3928</v>
      </c>
      <c r="K7309" s="270">
        <v>6511</v>
      </c>
      <c r="L7309" s="270">
        <v>140800</v>
      </c>
      <c r="M7309" s="270">
        <v>-60</v>
      </c>
      <c r="N7309" s="270" t="s">
        <v>12139</v>
      </c>
      <c r="O7309" s="270">
        <v>0</v>
      </c>
      <c r="P7309" s="270" t="s">
        <v>3930</v>
      </c>
      <c r="Q7309" s="270" t="s">
        <v>3930</v>
      </c>
      <c r="R7309" s="270">
        <v>0</v>
      </c>
      <c r="S7309" s="270">
        <v>10654</v>
      </c>
      <c r="T7309" s="270">
        <v>10654</v>
      </c>
      <c r="U7309" s="271" t="s">
        <v>3937</v>
      </c>
      <c r="V7309" s="276" t="s">
        <v>936</v>
      </c>
    </row>
    <row r="7310" spans="1:22" hidden="1" x14ac:dyDescent="0.25">
      <c r="A7310" s="266">
        <v>43801</v>
      </c>
      <c r="B7310" s="267">
        <v>2019</v>
      </c>
      <c r="C7310" s="267">
        <v>2020</v>
      </c>
      <c r="D7310" s="267">
        <v>1</v>
      </c>
      <c r="E7310" s="267">
        <v>1</v>
      </c>
      <c r="F7310" s="267" t="s">
        <v>944</v>
      </c>
      <c r="G7310" s="267" t="s">
        <v>3926</v>
      </c>
      <c r="H7310" s="267" t="s">
        <v>12140</v>
      </c>
      <c r="I7310" s="267" t="s">
        <v>4424</v>
      </c>
      <c r="J7310" s="267" t="s">
        <v>3928</v>
      </c>
      <c r="K7310" s="267">
        <v>6417</v>
      </c>
      <c r="L7310" s="267">
        <v>620100</v>
      </c>
      <c r="M7310" s="267" t="s">
        <v>3935</v>
      </c>
      <c r="N7310" s="267" t="s">
        <v>12141</v>
      </c>
      <c r="O7310" s="267">
        <v>0</v>
      </c>
      <c r="P7310" s="267" t="s">
        <v>3930</v>
      </c>
      <c r="Q7310" s="267" t="s">
        <v>3930</v>
      </c>
      <c r="R7310" s="267">
        <v>0</v>
      </c>
      <c r="S7310" s="267">
        <v>25006</v>
      </c>
      <c r="T7310" s="267">
        <v>25006</v>
      </c>
      <c r="U7310" s="268" t="s">
        <v>3937</v>
      </c>
      <c r="V7310" s="267" t="s">
        <v>944</v>
      </c>
    </row>
    <row r="7311" spans="1:22" hidden="1" x14ac:dyDescent="0.25">
      <c r="A7311" s="269">
        <v>43801</v>
      </c>
      <c r="B7311" s="270">
        <v>2019</v>
      </c>
      <c r="C7311" s="270">
        <v>2020</v>
      </c>
      <c r="D7311" s="270">
        <v>1</v>
      </c>
      <c r="E7311" s="270">
        <v>1</v>
      </c>
      <c r="F7311" s="270" t="s">
        <v>944</v>
      </c>
      <c r="G7311" s="270" t="s">
        <v>3926</v>
      </c>
      <c r="H7311" s="270" t="s">
        <v>12142</v>
      </c>
      <c r="I7311" s="270" t="s">
        <v>3956</v>
      </c>
      <c r="J7311" s="270" t="s">
        <v>3928</v>
      </c>
      <c r="K7311" s="270">
        <v>6114</v>
      </c>
      <c r="L7311" s="270">
        <v>502300</v>
      </c>
      <c r="M7311" s="270">
        <v>-60</v>
      </c>
      <c r="N7311" s="270" t="s">
        <v>10517</v>
      </c>
      <c r="O7311" s="270">
        <v>2918.79</v>
      </c>
      <c r="P7311" s="270" t="s">
        <v>3930</v>
      </c>
      <c r="Q7311" s="270" t="s">
        <v>3931</v>
      </c>
      <c r="R7311" s="270">
        <v>7918.79</v>
      </c>
      <c r="S7311" s="270">
        <v>10624</v>
      </c>
      <c r="T7311" s="270">
        <v>18542.79</v>
      </c>
      <c r="U7311" s="271" t="s">
        <v>3932</v>
      </c>
      <c r="V7311" s="267" t="s">
        <v>944</v>
      </c>
    </row>
    <row r="7312" spans="1:22" hidden="1" x14ac:dyDescent="0.25">
      <c r="A7312" s="266">
        <v>43801</v>
      </c>
      <c r="B7312" s="267">
        <v>2019</v>
      </c>
      <c r="C7312" s="267">
        <v>2020</v>
      </c>
      <c r="D7312" s="267">
        <v>1</v>
      </c>
      <c r="E7312" s="267">
        <v>1</v>
      </c>
      <c r="F7312" s="267" t="s">
        <v>944</v>
      </c>
      <c r="G7312" s="267" t="s">
        <v>3926</v>
      </c>
      <c r="H7312" s="267" t="s">
        <v>12143</v>
      </c>
      <c r="I7312" s="267" t="s">
        <v>4094</v>
      </c>
      <c r="J7312" s="267" t="s">
        <v>3928</v>
      </c>
      <c r="K7312" s="267">
        <v>6096</v>
      </c>
      <c r="L7312" s="267">
        <v>476100</v>
      </c>
      <c r="M7312" s="267" t="s">
        <v>3940</v>
      </c>
      <c r="N7312" s="267" t="s">
        <v>8223</v>
      </c>
      <c r="O7312" s="267">
        <v>2055.21</v>
      </c>
      <c r="P7312" s="267" t="s">
        <v>3930</v>
      </c>
      <c r="Q7312" s="267" t="s">
        <v>3931</v>
      </c>
      <c r="R7312" s="267">
        <v>7055.21</v>
      </c>
      <c r="S7312" s="267">
        <v>12702.4</v>
      </c>
      <c r="T7312" s="267">
        <v>19757.61</v>
      </c>
      <c r="U7312" s="268" t="s">
        <v>3932</v>
      </c>
      <c r="V7312" s="267" t="s">
        <v>944</v>
      </c>
    </row>
    <row r="7313" spans="1:22" hidden="1" x14ac:dyDescent="0.25">
      <c r="A7313" s="269">
        <v>43801</v>
      </c>
      <c r="B7313" s="270">
        <v>2019</v>
      </c>
      <c r="C7313" s="270">
        <v>2020</v>
      </c>
      <c r="D7313" s="270">
        <v>1</v>
      </c>
      <c r="E7313" s="270">
        <v>1</v>
      </c>
      <c r="F7313" s="270" t="s">
        <v>944</v>
      </c>
      <c r="G7313" s="270" t="s">
        <v>3926</v>
      </c>
      <c r="H7313" s="270" t="s">
        <v>12144</v>
      </c>
      <c r="I7313" s="270" t="s">
        <v>4306</v>
      </c>
      <c r="J7313" s="270" t="s">
        <v>3928</v>
      </c>
      <c r="K7313" s="270">
        <v>6716</v>
      </c>
      <c r="L7313" s="270">
        <v>361300</v>
      </c>
      <c r="M7313" s="270" t="s">
        <v>3960</v>
      </c>
      <c r="N7313" s="270" t="s">
        <v>12145</v>
      </c>
      <c r="O7313" s="270">
        <v>0</v>
      </c>
      <c r="P7313" s="270" t="s">
        <v>3930</v>
      </c>
      <c r="Q7313" s="270" t="s">
        <v>3930</v>
      </c>
      <c r="R7313" s="270">
        <v>0</v>
      </c>
      <c r="S7313" s="270">
        <v>4400</v>
      </c>
      <c r="T7313" s="270">
        <v>4400</v>
      </c>
      <c r="U7313" s="271" t="s">
        <v>3937</v>
      </c>
      <c r="V7313" s="267" t="s">
        <v>944</v>
      </c>
    </row>
    <row r="7314" spans="1:22" hidden="1" x14ac:dyDescent="0.25">
      <c r="A7314" s="266">
        <v>43801</v>
      </c>
      <c r="B7314" s="267">
        <v>2019</v>
      </c>
      <c r="C7314" s="267">
        <v>2020</v>
      </c>
      <c r="D7314" s="267">
        <v>1</v>
      </c>
      <c r="E7314" s="267">
        <v>1</v>
      </c>
      <c r="F7314" s="267" t="s">
        <v>944</v>
      </c>
      <c r="G7314" s="267" t="s">
        <v>3926</v>
      </c>
      <c r="H7314" s="267" t="s">
        <v>12146</v>
      </c>
      <c r="I7314" s="267" t="s">
        <v>3008</v>
      </c>
      <c r="J7314" s="267" t="s">
        <v>3928</v>
      </c>
      <c r="K7314" s="267">
        <v>6460</v>
      </c>
      <c r="L7314" s="267">
        <v>150100</v>
      </c>
      <c r="M7314" s="267" t="s">
        <v>3960</v>
      </c>
      <c r="N7314" s="267" t="s">
        <v>3944</v>
      </c>
      <c r="O7314" s="267">
        <v>4511</v>
      </c>
      <c r="P7314" s="267" t="s">
        <v>3944</v>
      </c>
      <c r="Q7314" s="267" t="s">
        <v>3944</v>
      </c>
      <c r="R7314" s="267">
        <v>4511</v>
      </c>
      <c r="S7314" s="267">
        <v>33969</v>
      </c>
      <c r="T7314" s="267">
        <v>38480</v>
      </c>
      <c r="U7314" s="268" t="s">
        <v>3945</v>
      </c>
      <c r="V7314" s="267" t="s">
        <v>944</v>
      </c>
    </row>
    <row r="7315" spans="1:22" hidden="1" x14ac:dyDescent="0.25">
      <c r="A7315" s="269">
        <v>43801</v>
      </c>
      <c r="B7315" s="270">
        <v>2019</v>
      </c>
      <c r="C7315" s="270">
        <v>2020</v>
      </c>
      <c r="D7315" s="270">
        <v>1</v>
      </c>
      <c r="E7315" s="270">
        <v>1</v>
      </c>
      <c r="F7315" s="270" t="s">
        <v>944</v>
      </c>
      <c r="G7315" s="270" t="s">
        <v>3926</v>
      </c>
      <c r="H7315" s="270" t="s">
        <v>12147</v>
      </c>
      <c r="I7315" s="270" t="s">
        <v>4839</v>
      </c>
      <c r="J7315" s="270" t="s">
        <v>3928</v>
      </c>
      <c r="K7315" s="270">
        <v>6524</v>
      </c>
      <c r="L7315" s="270">
        <v>161100</v>
      </c>
      <c r="M7315" s="270" t="s">
        <v>3943</v>
      </c>
      <c r="N7315" s="270" t="s">
        <v>3944</v>
      </c>
      <c r="O7315" s="270">
        <v>4990</v>
      </c>
      <c r="P7315" s="270" t="s">
        <v>3944</v>
      </c>
      <c r="Q7315" s="270" t="s">
        <v>3944</v>
      </c>
      <c r="R7315" s="270">
        <v>4990</v>
      </c>
      <c r="S7315" s="270">
        <v>33269</v>
      </c>
      <c r="T7315" s="270">
        <v>38259</v>
      </c>
      <c r="U7315" s="271" t="s">
        <v>3945</v>
      </c>
      <c r="V7315" s="267" t="s">
        <v>944</v>
      </c>
    </row>
    <row r="7316" spans="1:22" hidden="1" x14ac:dyDescent="0.25">
      <c r="A7316" s="266">
        <v>43801</v>
      </c>
      <c r="B7316" s="267">
        <v>2019</v>
      </c>
      <c r="C7316" s="267">
        <v>2020</v>
      </c>
      <c r="D7316" s="267">
        <v>1</v>
      </c>
      <c r="E7316" s="267">
        <v>1</v>
      </c>
      <c r="F7316" s="267" t="s">
        <v>944</v>
      </c>
      <c r="G7316" s="267" t="s">
        <v>3926</v>
      </c>
      <c r="H7316" s="267" t="s">
        <v>12148</v>
      </c>
      <c r="I7316" s="267" t="s">
        <v>2985</v>
      </c>
      <c r="J7316" s="267" t="s">
        <v>3928</v>
      </c>
      <c r="K7316" s="267">
        <v>6824</v>
      </c>
      <c r="L7316" s="267">
        <v>61400</v>
      </c>
      <c r="M7316" s="267" t="s">
        <v>3960</v>
      </c>
      <c r="N7316" s="267" t="s">
        <v>3944</v>
      </c>
      <c r="O7316" s="267">
        <v>3027</v>
      </c>
      <c r="P7316" s="267" t="s">
        <v>3944</v>
      </c>
      <c r="Q7316" s="267" t="s">
        <v>3944</v>
      </c>
      <c r="R7316" s="267">
        <v>3027</v>
      </c>
      <c r="S7316" s="267">
        <v>22473</v>
      </c>
      <c r="T7316" s="267">
        <v>25500</v>
      </c>
      <c r="U7316" s="268" t="s">
        <v>3945</v>
      </c>
      <c r="V7316" s="267" t="s">
        <v>944</v>
      </c>
    </row>
    <row r="7317" spans="1:22" hidden="1" x14ac:dyDescent="0.25">
      <c r="A7317" s="269">
        <v>43801</v>
      </c>
      <c r="B7317" s="270">
        <v>2019</v>
      </c>
      <c r="C7317" s="270">
        <v>2020</v>
      </c>
      <c r="D7317" s="270">
        <v>1</v>
      </c>
      <c r="E7317" s="270">
        <v>1</v>
      </c>
      <c r="F7317" s="270" t="s">
        <v>944</v>
      </c>
      <c r="G7317" s="270" t="s">
        <v>3926</v>
      </c>
      <c r="H7317" s="270" t="s">
        <v>12149</v>
      </c>
      <c r="I7317" s="270" t="s">
        <v>5485</v>
      </c>
      <c r="J7317" s="270" t="s">
        <v>3928</v>
      </c>
      <c r="K7317" s="270">
        <v>6001</v>
      </c>
      <c r="L7317" s="270">
        <v>462102</v>
      </c>
      <c r="M7317" s="270" t="s">
        <v>3943</v>
      </c>
      <c r="N7317" s="270" t="s">
        <v>3944</v>
      </c>
      <c r="O7317" s="270">
        <v>3903</v>
      </c>
      <c r="P7317" s="270" t="s">
        <v>3944</v>
      </c>
      <c r="Q7317" s="270" t="s">
        <v>3944</v>
      </c>
      <c r="R7317" s="270">
        <v>3903</v>
      </c>
      <c r="S7317" s="270">
        <v>28857</v>
      </c>
      <c r="T7317" s="270">
        <v>32760</v>
      </c>
      <c r="U7317" s="271" t="s">
        <v>3945</v>
      </c>
      <c r="V7317" s="267" t="s">
        <v>944</v>
      </c>
    </row>
    <row r="7318" spans="1:22" hidden="1" x14ac:dyDescent="0.25">
      <c r="A7318" s="266">
        <v>43801</v>
      </c>
      <c r="B7318" s="267">
        <v>2019</v>
      </c>
      <c r="C7318" s="267">
        <v>2020</v>
      </c>
      <c r="D7318" s="267">
        <v>1</v>
      </c>
      <c r="E7318" s="267">
        <v>1</v>
      </c>
      <c r="F7318" s="267" t="s">
        <v>944</v>
      </c>
      <c r="G7318" s="267" t="s">
        <v>3926</v>
      </c>
      <c r="H7318" s="267" t="s">
        <v>12150</v>
      </c>
      <c r="I7318" s="267" t="s">
        <v>3954</v>
      </c>
      <c r="J7318" s="267" t="s">
        <v>3928</v>
      </c>
      <c r="K7318" s="267">
        <v>6357</v>
      </c>
      <c r="L7318" s="267">
        <v>870704</v>
      </c>
      <c r="M7318" s="267" t="s">
        <v>3935</v>
      </c>
      <c r="N7318" s="267" t="s">
        <v>3944</v>
      </c>
      <c r="O7318" s="267">
        <v>1969</v>
      </c>
      <c r="P7318" s="267" t="s">
        <v>3944</v>
      </c>
      <c r="Q7318" s="267" t="s">
        <v>3944</v>
      </c>
      <c r="R7318" s="267">
        <v>1969</v>
      </c>
      <c r="S7318" s="267">
        <v>16079</v>
      </c>
      <c r="T7318" s="267">
        <v>18048</v>
      </c>
      <c r="U7318" s="268" t="s">
        <v>3945</v>
      </c>
      <c r="V7318" s="267" t="s">
        <v>944</v>
      </c>
    </row>
    <row r="7319" spans="1:22" hidden="1" x14ac:dyDescent="0.25">
      <c r="A7319" s="269">
        <v>43801</v>
      </c>
      <c r="B7319" s="270">
        <v>2019</v>
      </c>
      <c r="C7319" s="270">
        <v>2020</v>
      </c>
      <c r="D7319" s="270">
        <v>1</v>
      </c>
      <c r="E7319" s="270">
        <v>1</v>
      </c>
      <c r="F7319" s="270" t="s">
        <v>944</v>
      </c>
      <c r="G7319" s="270" t="s">
        <v>3926</v>
      </c>
      <c r="H7319" s="270" t="s">
        <v>12151</v>
      </c>
      <c r="I7319" s="270" t="s">
        <v>4392</v>
      </c>
      <c r="J7319" s="270" t="s">
        <v>3928</v>
      </c>
      <c r="K7319" s="270">
        <v>6457</v>
      </c>
      <c r="L7319" s="270">
        <v>541402</v>
      </c>
      <c r="M7319" s="270" t="s">
        <v>3935</v>
      </c>
      <c r="N7319" s="270" t="s">
        <v>3944</v>
      </c>
      <c r="O7319" s="270">
        <v>3925</v>
      </c>
      <c r="P7319" s="270" t="s">
        <v>3944</v>
      </c>
      <c r="Q7319" s="270" t="s">
        <v>3944</v>
      </c>
      <c r="R7319" s="270">
        <v>3925</v>
      </c>
      <c r="S7319" s="270">
        <v>30952</v>
      </c>
      <c r="T7319" s="270">
        <v>34877</v>
      </c>
      <c r="U7319" s="271" t="s">
        <v>3945</v>
      </c>
      <c r="V7319" s="267" t="s">
        <v>944</v>
      </c>
    </row>
    <row r="7320" spans="1:22" hidden="1" x14ac:dyDescent="0.25">
      <c r="A7320" s="266">
        <v>43801</v>
      </c>
      <c r="B7320" s="267">
        <v>2019</v>
      </c>
      <c r="C7320" s="267">
        <v>2020</v>
      </c>
      <c r="D7320" s="267">
        <v>1</v>
      </c>
      <c r="E7320" s="267">
        <v>1</v>
      </c>
      <c r="F7320" s="267" t="s">
        <v>944</v>
      </c>
      <c r="G7320" s="267" t="s">
        <v>3926</v>
      </c>
      <c r="H7320" s="267" t="s">
        <v>12152</v>
      </c>
      <c r="I7320" s="267" t="s">
        <v>3971</v>
      </c>
      <c r="J7320" s="267" t="s">
        <v>3928</v>
      </c>
      <c r="K7320" s="267">
        <v>6084</v>
      </c>
      <c r="L7320" s="267">
        <v>533101</v>
      </c>
      <c r="M7320" s="267" t="s">
        <v>3943</v>
      </c>
      <c r="N7320" s="267" t="s">
        <v>3944</v>
      </c>
      <c r="O7320" s="267">
        <v>2430</v>
      </c>
      <c r="P7320" s="267" t="s">
        <v>3944</v>
      </c>
      <c r="Q7320" s="267" t="s">
        <v>3944</v>
      </c>
      <c r="R7320" s="267">
        <v>2430</v>
      </c>
      <c r="S7320" s="267">
        <v>18594</v>
      </c>
      <c r="T7320" s="267">
        <v>21024</v>
      </c>
      <c r="U7320" s="268" t="s">
        <v>3945</v>
      </c>
      <c r="V7320" s="267" t="s">
        <v>944</v>
      </c>
    </row>
    <row r="7321" spans="1:22" hidden="1" x14ac:dyDescent="0.25">
      <c r="A7321" s="269">
        <v>43801</v>
      </c>
      <c r="B7321" s="270">
        <v>2019</v>
      </c>
      <c r="C7321" s="270">
        <v>2020</v>
      </c>
      <c r="D7321" s="270">
        <v>1</v>
      </c>
      <c r="E7321" s="270">
        <v>1</v>
      </c>
      <c r="F7321" s="270" t="s">
        <v>944</v>
      </c>
      <c r="G7321" s="270" t="s">
        <v>3997</v>
      </c>
      <c r="H7321" s="270" t="s">
        <v>12153</v>
      </c>
      <c r="I7321" s="270" t="s">
        <v>3008</v>
      </c>
      <c r="J7321" s="270" t="s">
        <v>3928</v>
      </c>
      <c r="K7321" s="270">
        <v>6460</v>
      </c>
      <c r="L7321" s="270">
        <v>150300</v>
      </c>
      <c r="M7321" s="270" t="s">
        <v>3960</v>
      </c>
      <c r="N7321" s="270" t="s">
        <v>3944</v>
      </c>
      <c r="O7321" s="270">
        <v>1375.68</v>
      </c>
      <c r="P7321" s="270" t="s">
        <v>3944</v>
      </c>
      <c r="Q7321" s="270" t="s">
        <v>3944</v>
      </c>
      <c r="R7321" s="270">
        <v>1375.68</v>
      </c>
      <c r="S7321" s="270">
        <v>20847.36</v>
      </c>
      <c r="T7321" s="270">
        <v>22223.040000000001</v>
      </c>
      <c r="U7321" s="271" t="s">
        <v>3945</v>
      </c>
      <c r="V7321" s="267" t="s">
        <v>944</v>
      </c>
    </row>
    <row r="7322" spans="1:22" hidden="1" x14ac:dyDescent="0.25">
      <c r="A7322" s="266">
        <v>43801</v>
      </c>
      <c r="B7322" s="267">
        <v>2019</v>
      </c>
      <c r="C7322" s="267">
        <v>2020</v>
      </c>
      <c r="D7322" s="267">
        <v>1</v>
      </c>
      <c r="E7322" s="267">
        <v>1</v>
      </c>
      <c r="F7322" s="267" t="s">
        <v>944</v>
      </c>
      <c r="G7322" s="267" t="s">
        <v>3926</v>
      </c>
      <c r="H7322" s="267" t="s">
        <v>12154</v>
      </c>
      <c r="I7322" s="267" t="s">
        <v>3985</v>
      </c>
      <c r="J7322" s="267" t="s">
        <v>3928</v>
      </c>
      <c r="K7322" s="267">
        <v>6226</v>
      </c>
      <c r="L7322" s="267">
        <v>800300</v>
      </c>
      <c r="M7322" s="267">
        <v>-60</v>
      </c>
      <c r="N7322" s="267" t="s">
        <v>3944</v>
      </c>
      <c r="O7322" s="267">
        <v>1892</v>
      </c>
      <c r="P7322" s="267" t="s">
        <v>3944</v>
      </c>
      <c r="Q7322" s="267" t="s">
        <v>3944</v>
      </c>
      <c r="R7322" s="267">
        <v>1892</v>
      </c>
      <c r="S7322" s="267">
        <v>23556.5</v>
      </c>
      <c r="T7322" s="267">
        <v>25448.5</v>
      </c>
      <c r="U7322" s="268" t="s">
        <v>3945</v>
      </c>
      <c r="V7322" s="267" t="s">
        <v>944</v>
      </c>
    </row>
    <row r="7323" spans="1:22" hidden="1" x14ac:dyDescent="0.25">
      <c r="A7323" s="269">
        <v>43801</v>
      </c>
      <c r="B7323" s="270">
        <v>2019</v>
      </c>
      <c r="C7323" s="270">
        <v>2020</v>
      </c>
      <c r="D7323" s="270">
        <v>1</v>
      </c>
      <c r="E7323" s="270">
        <v>1</v>
      </c>
      <c r="F7323" s="270" t="s">
        <v>944</v>
      </c>
      <c r="G7323" s="270" t="s">
        <v>3926</v>
      </c>
      <c r="H7323" s="270" t="s">
        <v>12155</v>
      </c>
      <c r="I7323" s="270" t="s">
        <v>4069</v>
      </c>
      <c r="J7323" s="270" t="s">
        <v>3928</v>
      </c>
      <c r="K7323" s="270">
        <v>6902</v>
      </c>
      <c r="L7323" s="270">
        <v>22100</v>
      </c>
      <c r="M7323" s="270" t="s">
        <v>3940</v>
      </c>
      <c r="N7323" s="270" t="s">
        <v>3944</v>
      </c>
      <c r="O7323" s="270">
        <v>1196.48</v>
      </c>
      <c r="P7323" s="270" t="s">
        <v>3944</v>
      </c>
      <c r="Q7323" s="270" t="s">
        <v>3944</v>
      </c>
      <c r="R7323" s="270">
        <v>1196.48</v>
      </c>
      <c r="S7323" s="270">
        <v>17124.650000000001</v>
      </c>
      <c r="T7323" s="270">
        <v>18321.13</v>
      </c>
      <c r="U7323" s="271" t="s">
        <v>3945</v>
      </c>
      <c r="V7323" s="267" t="s">
        <v>944</v>
      </c>
    </row>
    <row r="7324" spans="1:22" hidden="1" x14ac:dyDescent="0.25">
      <c r="A7324" s="266">
        <v>43801</v>
      </c>
      <c r="B7324" s="267">
        <v>2019</v>
      </c>
      <c r="C7324" s="267">
        <v>2020</v>
      </c>
      <c r="D7324" s="267">
        <v>1</v>
      </c>
      <c r="E7324" s="267">
        <v>1</v>
      </c>
      <c r="F7324" s="267" t="s">
        <v>944</v>
      </c>
      <c r="G7324" s="267" t="s">
        <v>3926</v>
      </c>
      <c r="H7324" s="267" t="s">
        <v>12156</v>
      </c>
      <c r="I7324" s="267" t="s">
        <v>4353</v>
      </c>
      <c r="J7324" s="267" t="s">
        <v>3928</v>
      </c>
      <c r="K7324" s="267">
        <v>6416</v>
      </c>
      <c r="L7324" s="267">
        <v>570300</v>
      </c>
      <c r="M7324" s="267" t="s">
        <v>3940</v>
      </c>
      <c r="N7324" s="267" t="s">
        <v>3944</v>
      </c>
      <c r="O7324" s="267">
        <v>2241.33</v>
      </c>
      <c r="P7324" s="267" t="s">
        <v>3944</v>
      </c>
      <c r="Q7324" s="267" t="s">
        <v>3944</v>
      </c>
      <c r="R7324" s="267">
        <v>2241.33</v>
      </c>
      <c r="S7324" s="267">
        <v>30158.67</v>
      </c>
      <c r="T7324" s="267">
        <v>32400</v>
      </c>
      <c r="U7324" s="268" t="s">
        <v>3945</v>
      </c>
      <c r="V7324" s="267" t="s">
        <v>944</v>
      </c>
    </row>
    <row r="7325" spans="1:22" hidden="1" x14ac:dyDescent="0.25">
      <c r="A7325" s="269">
        <v>43801</v>
      </c>
      <c r="B7325" s="270">
        <v>2019</v>
      </c>
      <c r="C7325" s="270">
        <v>2020</v>
      </c>
      <c r="D7325" s="270">
        <v>1</v>
      </c>
      <c r="E7325" s="270">
        <v>1</v>
      </c>
      <c r="F7325" s="270" t="s">
        <v>944</v>
      </c>
      <c r="G7325" s="270" t="s">
        <v>3926</v>
      </c>
      <c r="H7325" s="270" t="s">
        <v>12157</v>
      </c>
      <c r="I7325" s="270" t="s">
        <v>943</v>
      </c>
      <c r="J7325" s="270" t="s">
        <v>3928</v>
      </c>
      <c r="K7325" s="270">
        <v>6513</v>
      </c>
      <c r="L7325" s="270">
        <v>142604</v>
      </c>
      <c r="M7325" s="270" t="s">
        <v>3935</v>
      </c>
      <c r="N7325" s="270" t="s">
        <v>3944</v>
      </c>
      <c r="O7325" s="270">
        <v>2901.68</v>
      </c>
      <c r="P7325" s="270" t="s">
        <v>3944</v>
      </c>
      <c r="Q7325" s="270" t="s">
        <v>3944</v>
      </c>
      <c r="R7325" s="270">
        <v>2901.68</v>
      </c>
      <c r="S7325" s="270">
        <v>37274.32</v>
      </c>
      <c r="T7325" s="270">
        <v>40176</v>
      </c>
      <c r="U7325" s="271" t="s">
        <v>3945</v>
      </c>
      <c r="V7325" s="267" t="s">
        <v>944</v>
      </c>
    </row>
    <row r="7326" spans="1:22" hidden="1" x14ac:dyDescent="0.25">
      <c r="A7326" s="266">
        <v>43801</v>
      </c>
      <c r="B7326" s="267">
        <v>2019</v>
      </c>
      <c r="C7326" s="267">
        <v>2020</v>
      </c>
      <c r="D7326" s="267">
        <v>1</v>
      </c>
      <c r="E7326" s="267">
        <v>1</v>
      </c>
      <c r="F7326" s="267" t="s">
        <v>944</v>
      </c>
      <c r="G7326" s="267" t="s">
        <v>3926</v>
      </c>
      <c r="H7326" s="267" t="s">
        <v>12158</v>
      </c>
      <c r="I7326" s="267" t="s">
        <v>3025</v>
      </c>
      <c r="J7326" s="267" t="s">
        <v>3928</v>
      </c>
      <c r="K7326" s="267">
        <v>6473</v>
      </c>
      <c r="L7326" s="267">
        <v>167300</v>
      </c>
      <c r="M7326" s="267" t="s">
        <v>3943</v>
      </c>
      <c r="N7326" s="267" t="s">
        <v>3944</v>
      </c>
      <c r="O7326" s="267">
        <v>2218.09</v>
      </c>
      <c r="P7326" s="267" t="s">
        <v>3944</v>
      </c>
      <c r="Q7326" s="267" t="s">
        <v>3944</v>
      </c>
      <c r="R7326" s="267">
        <v>2218.09</v>
      </c>
      <c r="S7326" s="267">
        <v>34069.910000000003</v>
      </c>
      <c r="T7326" s="267">
        <v>36288</v>
      </c>
      <c r="U7326" s="268" t="s">
        <v>3945</v>
      </c>
      <c r="V7326" s="267" t="s">
        <v>944</v>
      </c>
    </row>
    <row r="7327" spans="1:22" hidden="1" x14ac:dyDescent="0.25">
      <c r="A7327" s="269">
        <v>43801</v>
      </c>
      <c r="B7327" s="270">
        <v>2019</v>
      </c>
      <c r="C7327" s="270">
        <v>2020</v>
      </c>
      <c r="D7327" s="270">
        <v>1</v>
      </c>
      <c r="E7327" s="270">
        <v>1</v>
      </c>
      <c r="F7327" s="270" t="s">
        <v>944</v>
      </c>
      <c r="G7327" s="270" t="s">
        <v>3926</v>
      </c>
      <c r="H7327" s="270" t="s">
        <v>12159</v>
      </c>
      <c r="I7327" s="270" t="s">
        <v>950</v>
      </c>
      <c r="J7327" s="270" t="s">
        <v>3928</v>
      </c>
      <c r="K7327" s="270">
        <v>6516</v>
      </c>
      <c r="L7327" s="270">
        <v>154100</v>
      </c>
      <c r="M7327" s="270" t="s">
        <v>3940</v>
      </c>
      <c r="N7327" s="270" t="s">
        <v>3944</v>
      </c>
      <c r="O7327" s="270">
        <v>1509.03</v>
      </c>
      <c r="P7327" s="270" t="s">
        <v>3944</v>
      </c>
      <c r="Q7327" s="270" t="s">
        <v>3944</v>
      </c>
      <c r="R7327" s="270">
        <v>1509.03</v>
      </c>
      <c r="S7327" s="270">
        <v>17539.29</v>
      </c>
      <c r="T7327" s="270">
        <v>19048.32</v>
      </c>
      <c r="U7327" s="271" t="s">
        <v>3945</v>
      </c>
      <c r="V7327" s="267" t="s">
        <v>944</v>
      </c>
    </row>
    <row r="7328" spans="1:22" hidden="1" x14ac:dyDescent="0.25">
      <c r="A7328" s="266">
        <v>43801</v>
      </c>
      <c r="B7328" s="267">
        <v>2019</v>
      </c>
      <c r="C7328" s="267">
        <v>2020</v>
      </c>
      <c r="D7328" s="267">
        <v>1</v>
      </c>
      <c r="E7328" s="267">
        <v>1</v>
      </c>
      <c r="F7328" s="267" t="s">
        <v>944</v>
      </c>
      <c r="G7328" s="267" t="s">
        <v>3926</v>
      </c>
      <c r="H7328" s="267" t="s">
        <v>12160</v>
      </c>
      <c r="I7328" s="267" t="s">
        <v>4108</v>
      </c>
      <c r="J7328" s="267" t="s">
        <v>3928</v>
      </c>
      <c r="K7328" s="267">
        <v>6082</v>
      </c>
      <c r="L7328" s="267">
        <v>480900</v>
      </c>
      <c r="M7328" s="267" t="s">
        <v>3960</v>
      </c>
      <c r="N7328" s="267" t="s">
        <v>3944</v>
      </c>
      <c r="O7328" s="267">
        <v>788.31</v>
      </c>
      <c r="P7328" s="267" t="s">
        <v>3944</v>
      </c>
      <c r="Q7328" s="267" t="s">
        <v>3944</v>
      </c>
      <c r="R7328" s="267">
        <v>788.31</v>
      </c>
      <c r="S7328" s="267">
        <v>12393.14</v>
      </c>
      <c r="T7328" s="267">
        <v>13181.45</v>
      </c>
      <c r="U7328" s="268" t="s">
        <v>3945</v>
      </c>
      <c r="V7328" s="267" t="s">
        <v>944</v>
      </c>
    </row>
    <row r="7329" spans="1:22" hidden="1" x14ac:dyDescent="0.25">
      <c r="A7329" s="269">
        <v>43801</v>
      </c>
      <c r="B7329" s="270">
        <v>2019</v>
      </c>
      <c r="C7329" s="270">
        <v>2020</v>
      </c>
      <c r="D7329" s="270">
        <v>1</v>
      </c>
      <c r="E7329" s="270">
        <v>1</v>
      </c>
      <c r="F7329" s="270" t="s">
        <v>944</v>
      </c>
      <c r="G7329" s="270" t="s">
        <v>3926</v>
      </c>
      <c r="H7329" s="270" t="s">
        <v>12161</v>
      </c>
      <c r="I7329" s="270" t="s">
        <v>4114</v>
      </c>
      <c r="J7329" s="270" t="s">
        <v>3928</v>
      </c>
      <c r="K7329" s="270">
        <v>6410</v>
      </c>
      <c r="L7329" s="270">
        <v>343300</v>
      </c>
      <c r="M7329" s="270" t="s">
        <v>3943</v>
      </c>
      <c r="N7329" s="270" t="s">
        <v>3944</v>
      </c>
      <c r="O7329" s="270">
        <v>2084.3200000000002</v>
      </c>
      <c r="P7329" s="270" t="s">
        <v>3944</v>
      </c>
      <c r="Q7329" s="270" t="s">
        <v>3944</v>
      </c>
      <c r="R7329" s="270">
        <v>2084.3200000000002</v>
      </c>
      <c r="S7329" s="270">
        <v>39707.279999999999</v>
      </c>
      <c r="T7329" s="270">
        <v>41791.599999999999</v>
      </c>
      <c r="U7329" s="271" t="s">
        <v>3945</v>
      </c>
      <c r="V7329" s="267" t="s">
        <v>944</v>
      </c>
    </row>
    <row r="7330" spans="1:22" hidden="1" x14ac:dyDescent="0.25">
      <c r="A7330" s="266">
        <v>43801</v>
      </c>
      <c r="B7330" s="267">
        <v>2019</v>
      </c>
      <c r="C7330" s="267">
        <v>2020</v>
      </c>
      <c r="D7330" s="267">
        <v>1</v>
      </c>
      <c r="E7330" s="267">
        <v>1</v>
      </c>
      <c r="F7330" s="267" t="s">
        <v>944</v>
      </c>
      <c r="G7330" s="267" t="s">
        <v>3926</v>
      </c>
      <c r="H7330" s="267" t="s">
        <v>12162</v>
      </c>
      <c r="I7330" s="267" t="s">
        <v>2985</v>
      </c>
      <c r="J7330" s="267" t="s">
        <v>3928</v>
      </c>
      <c r="K7330" s="267">
        <v>6824</v>
      </c>
      <c r="L7330" s="267">
        <v>61500</v>
      </c>
      <c r="M7330" s="267" t="s">
        <v>3943</v>
      </c>
      <c r="N7330" s="267" t="s">
        <v>3944</v>
      </c>
      <c r="O7330" s="267">
        <v>1068.31</v>
      </c>
      <c r="P7330" s="267" t="s">
        <v>3944</v>
      </c>
      <c r="Q7330" s="267" t="s">
        <v>3944</v>
      </c>
      <c r="R7330" s="267">
        <v>1068.31</v>
      </c>
      <c r="S7330" s="267">
        <v>17843.47</v>
      </c>
      <c r="T7330" s="267">
        <v>18911.78</v>
      </c>
      <c r="U7330" s="268" t="s">
        <v>3945</v>
      </c>
      <c r="V7330" s="267" t="s">
        <v>944</v>
      </c>
    </row>
    <row r="7331" spans="1:22" hidden="1" x14ac:dyDescent="0.25">
      <c r="A7331" s="269">
        <v>43801</v>
      </c>
      <c r="B7331" s="270">
        <v>2019</v>
      </c>
      <c r="C7331" s="270">
        <v>2020</v>
      </c>
      <c r="D7331" s="270">
        <v>1</v>
      </c>
      <c r="E7331" s="270">
        <v>1</v>
      </c>
      <c r="F7331" s="270" t="s">
        <v>944</v>
      </c>
      <c r="G7331" s="270" t="s">
        <v>3926</v>
      </c>
      <c r="H7331" s="270" t="s">
        <v>12163</v>
      </c>
      <c r="I7331" s="270" t="s">
        <v>4552</v>
      </c>
      <c r="J7331" s="270" t="s">
        <v>3928</v>
      </c>
      <c r="K7331" s="270">
        <v>6469</v>
      </c>
      <c r="L7331" s="270">
        <v>595102</v>
      </c>
      <c r="M7331" s="270" t="s">
        <v>3960</v>
      </c>
      <c r="N7331" s="270" t="s">
        <v>3944</v>
      </c>
      <c r="O7331" s="270">
        <v>511.25</v>
      </c>
      <c r="P7331" s="270" t="s">
        <v>3944</v>
      </c>
      <c r="Q7331" s="270" t="s">
        <v>3944</v>
      </c>
      <c r="R7331" s="270">
        <v>511.25</v>
      </c>
      <c r="S7331" s="270">
        <v>8181.61</v>
      </c>
      <c r="T7331" s="270">
        <v>8692.86</v>
      </c>
      <c r="U7331" s="271" t="s">
        <v>3945</v>
      </c>
      <c r="V7331" s="267" t="s">
        <v>944</v>
      </c>
    </row>
    <row r="7332" spans="1:22" hidden="1" x14ac:dyDescent="0.25">
      <c r="A7332" s="266">
        <v>43801</v>
      </c>
      <c r="B7332" s="267">
        <v>2019</v>
      </c>
      <c r="C7332" s="267">
        <v>2020</v>
      </c>
      <c r="D7332" s="267">
        <v>1</v>
      </c>
      <c r="E7332" s="267">
        <v>1</v>
      </c>
      <c r="F7332" s="267" t="s">
        <v>944</v>
      </c>
      <c r="G7332" s="267" t="s">
        <v>3926</v>
      </c>
      <c r="H7332" s="267" t="s">
        <v>12164</v>
      </c>
      <c r="I7332" s="267" t="s">
        <v>4011</v>
      </c>
      <c r="J7332" s="267" t="s">
        <v>3928</v>
      </c>
      <c r="K7332" s="267">
        <v>6002</v>
      </c>
      <c r="L7332" s="267">
        <v>471500</v>
      </c>
      <c r="M7332" s="267" t="s">
        <v>3935</v>
      </c>
      <c r="N7332" s="267" t="s">
        <v>3944</v>
      </c>
      <c r="O7332" s="267">
        <v>1369.03</v>
      </c>
      <c r="P7332" s="267" t="s">
        <v>3944</v>
      </c>
      <c r="Q7332" s="267" t="s">
        <v>3944</v>
      </c>
      <c r="R7332" s="267">
        <v>1369.03</v>
      </c>
      <c r="S7332" s="267">
        <v>19213.84</v>
      </c>
      <c r="T7332" s="267">
        <v>20582.87</v>
      </c>
      <c r="U7332" s="268" t="s">
        <v>3945</v>
      </c>
      <c r="V7332" s="267" t="s">
        <v>944</v>
      </c>
    </row>
    <row r="7333" spans="1:22" hidden="1" x14ac:dyDescent="0.25">
      <c r="A7333" s="269">
        <v>43801</v>
      </c>
      <c r="B7333" s="270">
        <v>2019</v>
      </c>
      <c r="C7333" s="270">
        <v>2020</v>
      </c>
      <c r="D7333" s="270">
        <v>1</v>
      </c>
      <c r="E7333" s="270">
        <v>1</v>
      </c>
      <c r="F7333" s="270" t="s">
        <v>944</v>
      </c>
      <c r="G7333" s="270" t="s">
        <v>3926</v>
      </c>
      <c r="H7333" s="270" t="s">
        <v>12165</v>
      </c>
      <c r="I7333" s="270" t="s">
        <v>4005</v>
      </c>
      <c r="J7333" s="270" t="s">
        <v>3928</v>
      </c>
      <c r="K7333" s="270">
        <v>6118</v>
      </c>
      <c r="L7333" s="270">
        <v>510700</v>
      </c>
      <c r="M7333" s="270" t="s">
        <v>3940</v>
      </c>
      <c r="N7333" s="270" t="s">
        <v>3944</v>
      </c>
      <c r="O7333" s="270">
        <v>1438.29</v>
      </c>
      <c r="P7333" s="270" t="s">
        <v>3944</v>
      </c>
      <c r="Q7333" s="270" t="s">
        <v>3944</v>
      </c>
      <c r="R7333" s="270">
        <v>1438.29</v>
      </c>
      <c r="S7333" s="270">
        <v>21886.62</v>
      </c>
      <c r="T7333" s="270">
        <v>23324.91</v>
      </c>
      <c r="U7333" s="271" t="s">
        <v>3945</v>
      </c>
      <c r="V7333" s="267" t="s">
        <v>944</v>
      </c>
    </row>
    <row r="7334" spans="1:22" hidden="1" x14ac:dyDescent="0.25">
      <c r="A7334" s="266">
        <v>43801</v>
      </c>
      <c r="B7334" s="267">
        <v>2019</v>
      </c>
      <c r="C7334" s="267">
        <v>2020</v>
      </c>
      <c r="D7334" s="267">
        <v>1</v>
      </c>
      <c r="E7334" s="267">
        <v>1</v>
      </c>
      <c r="F7334" s="267" t="s">
        <v>944</v>
      </c>
      <c r="G7334" s="267" t="s">
        <v>3926</v>
      </c>
      <c r="H7334" s="267" t="s">
        <v>12166</v>
      </c>
      <c r="I7334" s="267" t="s">
        <v>3968</v>
      </c>
      <c r="J7334" s="267" t="s">
        <v>3928</v>
      </c>
      <c r="K7334" s="267">
        <v>6040</v>
      </c>
      <c r="L7334" s="267">
        <v>514300</v>
      </c>
      <c r="M7334" s="267" t="s">
        <v>3935</v>
      </c>
      <c r="N7334" s="267" t="s">
        <v>3944</v>
      </c>
      <c r="O7334" s="267">
        <v>2094.89</v>
      </c>
      <c r="P7334" s="267" t="s">
        <v>3944</v>
      </c>
      <c r="Q7334" s="267" t="s">
        <v>3944</v>
      </c>
      <c r="R7334" s="267">
        <v>2094.89</v>
      </c>
      <c r="S7334" s="267">
        <v>28901.98</v>
      </c>
      <c r="T7334" s="267">
        <v>30996.87</v>
      </c>
      <c r="U7334" s="268" t="s">
        <v>3945</v>
      </c>
      <c r="V7334" s="267" t="s">
        <v>944</v>
      </c>
    </row>
    <row r="7335" spans="1:22" hidden="1" x14ac:dyDescent="0.25">
      <c r="A7335" s="269">
        <v>43801</v>
      </c>
      <c r="B7335" s="270">
        <v>2019</v>
      </c>
      <c r="C7335" s="270">
        <v>2020</v>
      </c>
      <c r="D7335" s="270">
        <v>1</v>
      </c>
      <c r="E7335" s="270">
        <v>1</v>
      </c>
      <c r="F7335" s="270" t="s">
        <v>944</v>
      </c>
      <c r="G7335" s="270" t="s">
        <v>3926</v>
      </c>
      <c r="H7335" s="270" t="s">
        <v>12167</v>
      </c>
      <c r="I7335" s="270" t="s">
        <v>950</v>
      </c>
      <c r="J7335" s="270" t="s">
        <v>3928</v>
      </c>
      <c r="K7335" s="270">
        <v>6516</v>
      </c>
      <c r="L7335" s="270">
        <v>154800</v>
      </c>
      <c r="M7335" s="270" t="s">
        <v>3960</v>
      </c>
      <c r="N7335" s="270" t="s">
        <v>3944</v>
      </c>
      <c r="O7335" s="270">
        <v>1837.54</v>
      </c>
      <c r="P7335" s="270" t="s">
        <v>3944</v>
      </c>
      <c r="Q7335" s="270" t="s">
        <v>3944</v>
      </c>
      <c r="R7335" s="270">
        <v>1837.54</v>
      </c>
      <c r="S7335" s="270">
        <v>25189.46</v>
      </c>
      <c r="T7335" s="270">
        <v>27027</v>
      </c>
      <c r="U7335" s="271" t="s">
        <v>3945</v>
      </c>
      <c r="V7335" s="267" t="s">
        <v>944</v>
      </c>
    </row>
    <row r="7336" spans="1:22" hidden="1" x14ac:dyDescent="0.25">
      <c r="A7336" s="266">
        <v>43801</v>
      </c>
      <c r="B7336" s="267">
        <v>2019</v>
      </c>
      <c r="C7336" s="267">
        <v>2020</v>
      </c>
      <c r="D7336" s="267">
        <v>1</v>
      </c>
      <c r="E7336" s="267">
        <v>1</v>
      </c>
      <c r="F7336" s="267" t="s">
        <v>944</v>
      </c>
      <c r="G7336" s="267" t="s">
        <v>3926</v>
      </c>
      <c r="H7336" s="267" t="s">
        <v>12168</v>
      </c>
      <c r="I7336" s="267" t="s">
        <v>3025</v>
      </c>
      <c r="J7336" s="267" t="s">
        <v>3928</v>
      </c>
      <c r="K7336" s="267">
        <v>6473</v>
      </c>
      <c r="L7336" s="267">
        <v>167300</v>
      </c>
      <c r="M7336" s="267" t="s">
        <v>3943</v>
      </c>
      <c r="N7336" s="267" t="s">
        <v>3944</v>
      </c>
      <c r="O7336" s="267">
        <v>2155.48</v>
      </c>
      <c r="P7336" s="267" t="s">
        <v>3944</v>
      </c>
      <c r="Q7336" s="267" t="s">
        <v>3944</v>
      </c>
      <c r="R7336" s="267">
        <v>2155.48</v>
      </c>
      <c r="S7336" s="267">
        <v>27475.24</v>
      </c>
      <c r="T7336" s="267">
        <v>29630.720000000001</v>
      </c>
      <c r="U7336" s="268" t="s">
        <v>3945</v>
      </c>
      <c r="V7336" s="267" t="s">
        <v>944</v>
      </c>
    </row>
    <row r="7337" spans="1:22" hidden="1" x14ac:dyDescent="0.25">
      <c r="A7337" s="269">
        <v>43801</v>
      </c>
      <c r="B7337" s="270">
        <v>2019</v>
      </c>
      <c r="C7337" s="270">
        <v>2020</v>
      </c>
      <c r="D7337" s="270">
        <v>1</v>
      </c>
      <c r="E7337" s="270">
        <v>1</v>
      </c>
      <c r="F7337" s="270" t="s">
        <v>944</v>
      </c>
      <c r="G7337" s="270" t="s">
        <v>3926</v>
      </c>
      <c r="H7337" s="270" t="s">
        <v>12169</v>
      </c>
      <c r="I7337" s="270" t="s">
        <v>4073</v>
      </c>
      <c r="J7337" s="270" t="s">
        <v>3928</v>
      </c>
      <c r="K7337" s="270">
        <v>6776</v>
      </c>
      <c r="L7337" s="270">
        <v>253200</v>
      </c>
      <c r="M7337" s="270" t="s">
        <v>3960</v>
      </c>
      <c r="N7337" s="270" t="s">
        <v>3944</v>
      </c>
      <c r="O7337" s="270">
        <v>1444.73</v>
      </c>
      <c r="P7337" s="270" t="s">
        <v>3944</v>
      </c>
      <c r="Q7337" s="270" t="s">
        <v>3944</v>
      </c>
      <c r="R7337" s="270">
        <v>1444.73</v>
      </c>
      <c r="S7337" s="270">
        <v>25521.73</v>
      </c>
      <c r="T7337" s="270">
        <v>26966.46</v>
      </c>
      <c r="U7337" s="271" t="s">
        <v>3945</v>
      </c>
      <c r="V7337" s="267" t="s">
        <v>944</v>
      </c>
    </row>
    <row r="7338" spans="1:22" hidden="1" x14ac:dyDescent="0.25">
      <c r="A7338" s="266">
        <v>43801</v>
      </c>
      <c r="B7338" s="267">
        <v>2019</v>
      </c>
      <c r="C7338" s="267">
        <v>2020</v>
      </c>
      <c r="D7338" s="267">
        <v>1</v>
      </c>
      <c r="E7338" s="267">
        <v>1</v>
      </c>
      <c r="F7338" s="267" t="s">
        <v>944</v>
      </c>
      <c r="G7338" s="267" t="s">
        <v>3926</v>
      </c>
      <c r="H7338" s="267" t="s">
        <v>12170</v>
      </c>
      <c r="I7338" s="267" t="s">
        <v>953</v>
      </c>
      <c r="J7338" s="267" t="s">
        <v>3928</v>
      </c>
      <c r="K7338" s="267">
        <v>6518</v>
      </c>
      <c r="L7338" s="267">
        <v>166001</v>
      </c>
      <c r="M7338" s="267" t="s">
        <v>3935</v>
      </c>
      <c r="N7338" s="267" t="s">
        <v>3944</v>
      </c>
      <c r="O7338" s="267">
        <v>2159.19</v>
      </c>
      <c r="P7338" s="267" t="s">
        <v>3944</v>
      </c>
      <c r="Q7338" s="267" t="s">
        <v>3944</v>
      </c>
      <c r="R7338" s="267">
        <v>2159.19</v>
      </c>
      <c r="S7338" s="267">
        <v>38053.93</v>
      </c>
      <c r="T7338" s="267">
        <v>40213.120000000003</v>
      </c>
      <c r="U7338" s="268" t="s">
        <v>3945</v>
      </c>
      <c r="V7338" s="267" t="s">
        <v>944</v>
      </c>
    </row>
    <row r="7339" spans="1:22" hidden="1" x14ac:dyDescent="0.25">
      <c r="A7339" s="269">
        <v>43801</v>
      </c>
      <c r="B7339" s="270">
        <v>2019</v>
      </c>
      <c r="C7339" s="270">
        <v>2020</v>
      </c>
      <c r="D7339" s="270">
        <v>1</v>
      </c>
      <c r="E7339" s="270">
        <v>1</v>
      </c>
      <c r="F7339" s="270" t="s">
        <v>944</v>
      </c>
      <c r="G7339" s="270" t="s">
        <v>3926</v>
      </c>
      <c r="H7339" s="270" t="s">
        <v>12171</v>
      </c>
      <c r="I7339" s="270" t="s">
        <v>950</v>
      </c>
      <c r="J7339" s="270" t="s">
        <v>3928</v>
      </c>
      <c r="K7339" s="270">
        <v>6516</v>
      </c>
      <c r="L7339" s="270">
        <v>154100</v>
      </c>
      <c r="M7339" s="270" t="s">
        <v>3940</v>
      </c>
      <c r="N7339" s="270" t="s">
        <v>3944</v>
      </c>
      <c r="O7339" s="270">
        <v>1663.94</v>
      </c>
      <c r="P7339" s="270" t="s">
        <v>3944</v>
      </c>
      <c r="Q7339" s="270" t="s">
        <v>3944</v>
      </c>
      <c r="R7339" s="270">
        <v>1663.94</v>
      </c>
      <c r="S7339" s="270">
        <v>20559.099999999999</v>
      </c>
      <c r="T7339" s="270">
        <v>22223.040000000001</v>
      </c>
      <c r="U7339" s="271" t="s">
        <v>3945</v>
      </c>
      <c r="V7339" s="267" t="s">
        <v>944</v>
      </c>
    </row>
    <row r="7340" spans="1:22" hidden="1" x14ac:dyDescent="0.25">
      <c r="A7340" s="266">
        <v>43801</v>
      </c>
      <c r="B7340" s="267">
        <v>2019</v>
      </c>
      <c r="C7340" s="267">
        <v>2020</v>
      </c>
      <c r="D7340" s="267">
        <v>1</v>
      </c>
      <c r="E7340" s="267">
        <v>1</v>
      </c>
      <c r="F7340" s="267" t="s">
        <v>944</v>
      </c>
      <c r="G7340" s="267" t="s">
        <v>3926</v>
      </c>
      <c r="H7340" s="267" t="s">
        <v>12172</v>
      </c>
      <c r="I7340" s="267" t="s">
        <v>3012</v>
      </c>
      <c r="J7340" s="267" t="s">
        <v>3928</v>
      </c>
      <c r="K7340" s="267">
        <v>6477</v>
      </c>
      <c r="L7340" s="267">
        <v>157200</v>
      </c>
      <c r="M7340" s="267" t="s">
        <v>3943</v>
      </c>
      <c r="N7340" s="267" t="s">
        <v>3944</v>
      </c>
      <c r="O7340" s="267">
        <v>1513.16</v>
      </c>
      <c r="P7340" s="267" t="s">
        <v>3944</v>
      </c>
      <c r="Q7340" s="267" t="s">
        <v>3944</v>
      </c>
      <c r="R7340" s="267">
        <v>1513.16</v>
      </c>
      <c r="S7340" s="267">
        <v>20709.88</v>
      </c>
      <c r="T7340" s="267">
        <v>22223.040000000001</v>
      </c>
      <c r="U7340" s="268" t="s">
        <v>3945</v>
      </c>
      <c r="V7340" s="267" t="s">
        <v>944</v>
      </c>
    </row>
    <row r="7341" spans="1:22" hidden="1" x14ac:dyDescent="0.25">
      <c r="A7341" s="269">
        <v>43801</v>
      </c>
      <c r="B7341" s="270">
        <v>2019</v>
      </c>
      <c r="C7341" s="270">
        <v>2020</v>
      </c>
      <c r="D7341" s="270">
        <v>1</v>
      </c>
      <c r="E7341" s="270">
        <v>1</v>
      </c>
      <c r="F7341" s="270" t="s">
        <v>944</v>
      </c>
      <c r="G7341" s="270" t="s">
        <v>3926</v>
      </c>
      <c r="H7341" s="270" t="s">
        <v>12173</v>
      </c>
      <c r="I7341" s="270" t="s">
        <v>4392</v>
      </c>
      <c r="J7341" s="270" t="s">
        <v>3928</v>
      </c>
      <c r="K7341" s="270">
        <v>6457</v>
      </c>
      <c r="L7341" s="270">
        <v>541402</v>
      </c>
      <c r="M7341" s="270" t="s">
        <v>3935</v>
      </c>
      <c r="N7341" s="270" t="s">
        <v>3944</v>
      </c>
      <c r="O7341" s="270">
        <v>2203.7800000000002</v>
      </c>
      <c r="P7341" s="270" t="s">
        <v>3944</v>
      </c>
      <c r="Q7341" s="270" t="s">
        <v>3944</v>
      </c>
      <c r="R7341" s="270">
        <v>2203.7800000000002</v>
      </c>
      <c r="S7341" s="270">
        <v>37745.440000000002</v>
      </c>
      <c r="T7341" s="270">
        <v>39949.22</v>
      </c>
      <c r="U7341" s="271" t="s">
        <v>3945</v>
      </c>
      <c r="V7341" s="267" t="s">
        <v>944</v>
      </c>
    </row>
    <row r="7342" spans="1:22" hidden="1" x14ac:dyDescent="0.25">
      <c r="A7342" s="266">
        <v>43801</v>
      </c>
      <c r="B7342" s="267">
        <v>2019</v>
      </c>
      <c r="C7342" s="267">
        <v>2020</v>
      </c>
      <c r="D7342" s="267">
        <v>1</v>
      </c>
      <c r="E7342" s="267">
        <v>1</v>
      </c>
      <c r="F7342" s="267" t="s">
        <v>944</v>
      </c>
      <c r="G7342" s="267" t="s">
        <v>3926</v>
      </c>
      <c r="H7342" s="267" t="s">
        <v>12174</v>
      </c>
      <c r="I7342" s="267" t="s">
        <v>4108</v>
      </c>
      <c r="J7342" s="267" t="s">
        <v>3928</v>
      </c>
      <c r="K7342" s="267">
        <v>6082</v>
      </c>
      <c r="L7342" s="267">
        <v>481000</v>
      </c>
      <c r="M7342" s="267" t="s">
        <v>3943</v>
      </c>
      <c r="N7342" s="267" t="s">
        <v>3944</v>
      </c>
      <c r="O7342" s="267">
        <v>2903.32</v>
      </c>
      <c r="P7342" s="267" t="s">
        <v>3944</v>
      </c>
      <c r="Q7342" s="267" t="s">
        <v>3944</v>
      </c>
      <c r="R7342" s="267">
        <v>2903.32</v>
      </c>
      <c r="S7342" s="267">
        <v>40543.43</v>
      </c>
      <c r="T7342" s="267">
        <v>43446.75</v>
      </c>
      <c r="U7342" s="268" t="s">
        <v>3945</v>
      </c>
      <c r="V7342" s="267" t="s">
        <v>944</v>
      </c>
    </row>
    <row r="7343" spans="1:22" hidden="1" x14ac:dyDescent="0.25">
      <c r="A7343" s="269">
        <v>43801</v>
      </c>
      <c r="B7343" s="270">
        <v>2019</v>
      </c>
      <c r="C7343" s="270">
        <v>2020</v>
      </c>
      <c r="D7343" s="270">
        <v>1</v>
      </c>
      <c r="E7343" s="270">
        <v>1</v>
      </c>
      <c r="F7343" s="270" t="s">
        <v>944</v>
      </c>
      <c r="G7343" s="270" t="s">
        <v>3926</v>
      </c>
      <c r="H7343" s="270" t="s">
        <v>12175</v>
      </c>
      <c r="I7343" s="270" t="s">
        <v>4947</v>
      </c>
      <c r="J7343" s="270" t="s">
        <v>3928</v>
      </c>
      <c r="K7343" s="270">
        <v>6787</v>
      </c>
      <c r="L7343" s="270">
        <v>349100</v>
      </c>
      <c r="M7343" s="270" t="s">
        <v>3935</v>
      </c>
      <c r="N7343" s="270" t="s">
        <v>3944</v>
      </c>
      <c r="O7343" s="270">
        <v>2638.9</v>
      </c>
      <c r="P7343" s="270" t="s">
        <v>3944</v>
      </c>
      <c r="Q7343" s="270" t="s">
        <v>3944</v>
      </c>
      <c r="R7343" s="270">
        <v>2638.9</v>
      </c>
      <c r="S7343" s="270">
        <v>38178.89</v>
      </c>
      <c r="T7343" s="270">
        <v>40817.79</v>
      </c>
      <c r="U7343" s="271" t="s">
        <v>3945</v>
      </c>
      <c r="V7343" s="267" t="s">
        <v>944</v>
      </c>
    </row>
    <row r="7344" spans="1:22" hidden="1" x14ac:dyDescent="0.25">
      <c r="A7344" s="266">
        <v>43801</v>
      </c>
      <c r="B7344" s="267">
        <v>2019</v>
      </c>
      <c r="C7344" s="267">
        <v>2020</v>
      </c>
      <c r="D7344" s="267">
        <v>1</v>
      </c>
      <c r="E7344" s="267">
        <v>1</v>
      </c>
      <c r="F7344" s="267" t="s">
        <v>944</v>
      </c>
      <c r="G7344" s="267" t="s">
        <v>3997</v>
      </c>
      <c r="H7344" s="267" t="s">
        <v>12176</v>
      </c>
      <c r="I7344" s="267" t="s">
        <v>3025</v>
      </c>
      <c r="J7344" s="267" t="s">
        <v>3928</v>
      </c>
      <c r="K7344" s="267">
        <v>6473</v>
      </c>
      <c r="L7344" s="267">
        <v>167300</v>
      </c>
      <c r="M7344" s="267" t="s">
        <v>3943</v>
      </c>
      <c r="N7344" s="267" t="s">
        <v>12177</v>
      </c>
      <c r="O7344" s="267"/>
      <c r="P7344" s="267" t="s">
        <v>3944</v>
      </c>
      <c r="Q7344" s="267" t="s">
        <v>3930</v>
      </c>
      <c r="R7344" s="267">
        <v>0</v>
      </c>
      <c r="S7344" s="267">
        <v>689638.02</v>
      </c>
      <c r="T7344" s="267">
        <v>689638.02</v>
      </c>
      <c r="U7344" s="268" t="s">
        <v>4099</v>
      </c>
      <c r="V7344" s="267" t="s">
        <v>944</v>
      </c>
    </row>
    <row r="7345" spans="1:22" hidden="1" x14ac:dyDescent="0.25">
      <c r="A7345" s="269">
        <v>43801</v>
      </c>
      <c r="B7345" s="270">
        <v>2019</v>
      </c>
      <c r="C7345" s="270">
        <v>2020</v>
      </c>
      <c r="D7345" s="270">
        <v>1</v>
      </c>
      <c r="E7345" s="270">
        <v>1</v>
      </c>
      <c r="F7345" s="270" t="s">
        <v>944</v>
      </c>
      <c r="G7345" s="270" t="s">
        <v>3926</v>
      </c>
      <c r="H7345" s="270" t="s">
        <v>12178</v>
      </c>
      <c r="I7345" s="270" t="s">
        <v>4200</v>
      </c>
      <c r="J7345" s="270" t="s">
        <v>3928</v>
      </c>
      <c r="K7345" s="270">
        <v>6795</v>
      </c>
      <c r="L7345" s="270">
        <v>360200</v>
      </c>
      <c r="M7345" s="270" t="s">
        <v>3943</v>
      </c>
      <c r="N7345" s="270" t="s">
        <v>3944</v>
      </c>
      <c r="O7345" s="270">
        <v>2564.0300000000002</v>
      </c>
      <c r="P7345" s="270" t="s">
        <v>3944</v>
      </c>
      <c r="Q7345" s="270" t="s">
        <v>3944</v>
      </c>
      <c r="R7345" s="270">
        <v>2564.0300000000002</v>
      </c>
      <c r="S7345" s="270">
        <v>40203.97</v>
      </c>
      <c r="T7345" s="270">
        <v>42768</v>
      </c>
      <c r="U7345" s="271" t="s">
        <v>3945</v>
      </c>
      <c r="V7345" s="267" t="s">
        <v>944</v>
      </c>
    </row>
    <row r="7346" spans="1:22" hidden="1" x14ac:dyDescent="0.25">
      <c r="A7346" s="266">
        <v>43802</v>
      </c>
      <c r="B7346" s="267">
        <v>2019</v>
      </c>
      <c r="C7346" s="267">
        <v>2020</v>
      </c>
      <c r="D7346" s="267">
        <v>1</v>
      </c>
      <c r="E7346" s="267">
        <v>1</v>
      </c>
      <c r="F7346" s="267" t="s">
        <v>944</v>
      </c>
      <c r="G7346" s="267" t="s">
        <v>3926</v>
      </c>
      <c r="H7346" s="267" t="s">
        <v>12179</v>
      </c>
      <c r="I7346" s="267" t="s">
        <v>4114</v>
      </c>
      <c r="J7346" s="267" t="s">
        <v>3928</v>
      </c>
      <c r="K7346" s="267">
        <v>6410</v>
      </c>
      <c r="L7346" s="267">
        <v>343200</v>
      </c>
      <c r="M7346" s="267" t="s">
        <v>3943</v>
      </c>
      <c r="N7346" s="267" t="s">
        <v>12180</v>
      </c>
      <c r="O7346" s="267">
        <v>0</v>
      </c>
      <c r="P7346" s="267" t="s">
        <v>3930</v>
      </c>
      <c r="Q7346" s="267" t="s">
        <v>3930</v>
      </c>
      <c r="R7346" s="267">
        <v>0</v>
      </c>
      <c r="S7346" s="267">
        <v>36180.629999999997</v>
      </c>
      <c r="T7346" s="267">
        <v>36180.629999999997</v>
      </c>
      <c r="U7346" s="268" t="s">
        <v>3937</v>
      </c>
      <c r="V7346" s="267" t="s">
        <v>944</v>
      </c>
    </row>
    <row r="7347" spans="1:22" hidden="1" x14ac:dyDescent="0.25">
      <c r="A7347" s="269">
        <v>43802</v>
      </c>
      <c r="B7347" s="270">
        <v>2019</v>
      </c>
      <c r="C7347" s="270">
        <v>2020</v>
      </c>
      <c r="D7347" s="270">
        <v>1</v>
      </c>
      <c r="E7347" s="270">
        <v>1</v>
      </c>
      <c r="F7347" s="270" t="s">
        <v>944</v>
      </c>
      <c r="G7347" s="270" t="s">
        <v>3926</v>
      </c>
      <c r="H7347" s="270" t="s">
        <v>12181</v>
      </c>
      <c r="I7347" s="270" t="s">
        <v>4306</v>
      </c>
      <c r="J7347" s="270" t="s">
        <v>3928</v>
      </c>
      <c r="K7347" s="270">
        <v>6716</v>
      </c>
      <c r="L7347" s="270">
        <v>361200</v>
      </c>
      <c r="M7347" s="270" t="s">
        <v>3960</v>
      </c>
      <c r="N7347" s="270" t="s">
        <v>12182</v>
      </c>
      <c r="O7347" s="270">
        <v>3572</v>
      </c>
      <c r="P7347" s="270" t="s">
        <v>3930</v>
      </c>
      <c r="Q7347" s="270" t="s">
        <v>3930</v>
      </c>
      <c r="R7347" s="270">
        <v>3572</v>
      </c>
      <c r="S7347" s="270">
        <v>25996</v>
      </c>
      <c r="T7347" s="270">
        <v>29568</v>
      </c>
      <c r="U7347" s="271" t="s">
        <v>3937</v>
      </c>
      <c r="V7347" s="267" t="s">
        <v>944</v>
      </c>
    </row>
    <row r="7348" spans="1:22" hidden="1" x14ac:dyDescent="0.25">
      <c r="A7348" s="266">
        <v>43802</v>
      </c>
      <c r="B7348" s="267">
        <v>2019</v>
      </c>
      <c r="C7348" s="267">
        <v>2020</v>
      </c>
      <c r="D7348" s="267">
        <v>1</v>
      </c>
      <c r="E7348" s="267">
        <v>1</v>
      </c>
      <c r="F7348" s="267" t="s">
        <v>944</v>
      </c>
      <c r="G7348" s="267" t="s">
        <v>3926</v>
      </c>
      <c r="H7348" s="267" t="s">
        <v>12183</v>
      </c>
      <c r="I7348" s="267" t="s">
        <v>934</v>
      </c>
      <c r="J7348" s="267" t="s">
        <v>3928</v>
      </c>
      <c r="K7348" s="267">
        <v>6606</v>
      </c>
      <c r="L7348" s="267">
        <v>72500</v>
      </c>
      <c r="M7348" s="267" t="s">
        <v>3940</v>
      </c>
      <c r="N7348" s="267" t="s">
        <v>4103</v>
      </c>
      <c r="O7348" s="267">
        <v>2689.45</v>
      </c>
      <c r="P7348" s="267" t="s">
        <v>3930</v>
      </c>
      <c r="Q7348" s="267" t="s">
        <v>3931</v>
      </c>
      <c r="R7348" s="267">
        <v>7689.45</v>
      </c>
      <c r="S7348" s="267">
        <v>24145.599999999999</v>
      </c>
      <c r="T7348" s="267">
        <v>31835.05</v>
      </c>
      <c r="U7348" s="268" t="s">
        <v>3932</v>
      </c>
      <c r="V7348" s="267" t="s">
        <v>944</v>
      </c>
    </row>
    <row r="7349" spans="1:22" hidden="1" x14ac:dyDescent="0.25">
      <c r="A7349" s="269">
        <v>43802</v>
      </c>
      <c r="B7349" s="270">
        <v>2019</v>
      </c>
      <c r="C7349" s="270">
        <v>2020</v>
      </c>
      <c r="D7349" s="270">
        <v>1</v>
      </c>
      <c r="E7349" s="270">
        <v>1</v>
      </c>
      <c r="F7349" s="270" t="s">
        <v>944</v>
      </c>
      <c r="G7349" s="270" t="s">
        <v>3926</v>
      </c>
      <c r="H7349" s="270" t="s">
        <v>12184</v>
      </c>
      <c r="I7349" s="270" t="s">
        <v>956</v>
      </c>
      <c r="J7349" s="270" t="s">
        <v>3928</v>
      </c>
      <c r="K7349" s="270">
        <v>6614</v>
      </c>
      <c r="L7349" s="270">
        <v>81100</v>
      </c>
      <c r="M7349" s="270" t="s">
        <v>3960</v>
      </c>
      <c r="N7349" s="270" t="s">
        <v>7680</v>
      </c>
      <c r="O7349" s="270">
        <v>2050.6</v>
      </c>
      <c r="P7349" s="270" t="s">
        <v>3930</v>
      </c>
      <c r="Q7349" s="270" t="s">
        <v>3931</v>
      </c>
      <c r="R7349" s="270">
        <v>7050.6</v>
      </c>
      <c r="S7349" s="270">
        <v>11128</v>
      </c>
      <c r="T7349" s="270">
        <v>18178.599999999999</v>
      </c>
      <c r="U7349" s="271" t="s">
        <v>3932</v>
      </c>
      <c r="V7349" s="267" t="s">
        <v>944</v>
      </c>
    </row>
    <row r="7350" spans="1:22" hidden="1" x14ac:dyDescent="0.25">
      <c r="A7350" s="266">
        <v>43802</v>
      </c>
      <c r="B7350" s="267">
        <v>2019</v>
      </c>
      <c r="C7350" s="267">
        <v>2020</v>
      </c>
      <c r="D7350" s="267">
        <v>1</v>
      </c>
      <c r="E7350" s="267">
        <v>1</v>
      </c>
      <c r="F7350" s="267" t="s">
        <v>944</v>
      </c>
      <c r="G7350" s="267" t="s">
        <v>3926</v>
      </c>
      <c r="H7350" s="267" t="s">
        <v>12185</v>
      </c>
      <c r="I7350" s="267" t="s">
        <v>4269</v>
      </c>
      <c r="J7350" s="267" t="s">
        <v>3928</v>
      </c>
      <c r="K7350" s="267">
        <v>6117</v>
      </c>
      <c r="L7350" s="267">
        <v>497300</v>
      </c>
      <c r="M7350" s="267" t="s">
        <v>3943</v>
      </c>
      <c r="N7350" s="267" t="s">
        <v>4701</v>
      </c>
      <c r="O7350" s="267">
        <v>2291.73</v>
      </c>
      <c r="P7350" s="267" t="s">
        <v>3930</v>
      </c>
      <c r="Q7350" s="267" t="s">
        <v>3931</v>
      </c>
      <c r="R7350" s="267">
        <v>7291.73</v>
      </c>
      <c r="S7350" s="267">
        <v>34648</v>
      </c>
      <c r="T7350" s="267">
        <v>41939.730000000003</v>
      </c>
      <c r="U7350" s="268" t="s">
        <v>3932</v>
      </c>
      <c r="V7350" s="267" t="s">
        <v>944</v>
      </c>
    </row>
    <row r="7351" spans="1:22" hidden="1" x14ac:dyDescent="0.25">
      <c r="A7351" s="269">
        <v>43802</v>
      </c>
      <c r="B7351" s="270">
        <v>2019</v>
      </c>
      <c r="C7351" s="270">
        <v>2020</v>
      </c>
      <c r="D7351" s="270">
        <v>1</v>
      </c>
      <c r="E7351" s="270">
        <v>1</v>
      </c>
      <c r="F7351" s="270" t="s">
        <v>944</v>
      </c>
      <c r="G7351" s="270" t="s">
        <v>3926</v>
      </c>
      <c r="H7351" s="270" t="s">
        <v>12186</v>
      </c>
      <c r="I7351" s="270" t="s">
        <v>4094</v>
      </c>
      <c r="J7351" s="270" t="s">
        <v>3928</v>
      </c>
      <c r="K7351" s="270">
        <v>6096</v>
      </c>
      <c r="L7351" s="270">
        <v>476300</v>
      </c>
      <c r="M7351" s="270" t="s">
        <v>3940</v>
      </c>
      <c r="N7351" s="270" t="s">
        <v>9336</v>
      </c>
      <c r="O7351" s="270">
        <v>0</v>
      </c>
      <c r="P7351" s="270" t="s">
        <v>3930</v>
      </c>
      <c r="Q7351" s="270" t="s">
        <v>3930</v>
      </c>
      <c r="R7351" s="270">
        <v>0</v>
      </c>
      <c r="S7351" s="270">
        <v>13000</v>
      </c>
      <c r="T7351" s="270">
        <v>13000</v>
      </c>
      <c r="U7351" s="271" t="s">
        <v>3937</v>
      </c>
      <c r="V7351" s="267" t="s">
        <v>944</v>
      </c>
    </row>
    <row r="7352" spans="1:22" hidden="1" x14ac:dyDescent="0.25">
      <c r="A7352" s="266">
        <v>43802</v>
      </c>
      <c r="B7352" s="267">
        <v>2019</v>
      </c>
      <c r="C7352" s="267">
        <v>2020</v>
      </c>
      <c r="D7352" s="267">
        <v>1</v>
      </c>
      <c r="E7352" s="267">
        <v>1</v>
      </c>
      <c r="F7352" s="267" t="s">
        <v>944</v>
      </c>
      <c r="G7352" s="267" t="s">
        <v>3926</v>
      </c>
      <c r="H7352" s="267" t="s">
        <v>12187</v>
      </c>
      <c r="I7352" s="267" t="s">
        <v>4490</v>
      </c>
      <c r="J7352" s="267" t="s">
        <v>3928</v>
      </c>
      <c r="K7352" s="267">
        <v>6426</v>
      </c>
      <c r="L7352" s="267">
        <v>630100</v>
      </c>
      <c r="M7352" s="267" t="s">
        <v>3960</v>
      </c>
      <c r="N7352" s="267" t="s">
        <v>12188</v>
      </c>
      <c r="O7352" s="267">
        <v>5343</v>
      </c>
      <c r="P7352" s="267" t="s">
        <v>3930</v>
      </c>
      <c r="Q7352" s="267" t="s">
        <v>3930</v>
      </c>
      <c r="R7352" s="267">
        <v>5343</v>
      </c>
      <c r="S7352" s="267">
        <v>36833</v>
      </c>
      <c r="T7352" s="267">
        <v>42176</v>
      </c>
      <c r="U7352" s="268" t="s">
        <v>3937</v>
      </c>
      <c r="V7352" s="267" t="s">
        <v>944</v>
      </c>
    </row>
    <row r="7353" spans="1:22" hidden="1" x14ac:dyDescent="0.25">
      <c r="A7353" s="269">
        <v>43802</v>
      </c>
      <c r="B7353" s="270">
        <v>2019</v>
      </c>
      <c r="C7353" s="270">
        <v>2020</v>
      </c>
      <c r="D7353" s="270">
        <v>1</v>
      </c>
      <c r="E7353" s="270">
        <v>1</v>
      </c>
      <c r="F7353" s="270" t="s">
        <v>944</v>
      </c>
      <c r="G7353" s="270" t="s">
        <v>3926</v>
      </c>
      <c r="H7353" s="270" t="s">
        <v>12189</v>
      </c>
      <c r="I7353" s="270" t="s">
        <v>4035</v>
      </c>
      <c r="J7353" s="270" t="s">
        <v>3928</v>
      </c>
      <c r="K7353" s="270">
        <v>6074</v>
      </c>
      <c r="L7353" s="270">
        <v>487201</v>
      </c>
      <c r="M7353" s="270" t="s">
        <v>3943</v>
      </c>
      <c r="N7353" s="270" t="s">
        <v>3944</v>
      </c>
      <c r="O7353" s="270">
        <v>1244</v>
      </c>
      <c r="P7353" s="270" t="s">
        <v>3944</v>
      </c>
      <c r="Q7353" s="270" t="s">
        <v>3944</v>
      </c>
      <c r="R7353" s="270">
        <v>1244</v>
      </c>
      <c r="S7353" s="270">
        <v>15906.8</v>
      </c>
      <c r="T7353" s="270">
        <v>17150.8</v>
      </c>
      <c r="U7353" s="271" t="s">
        <v>3945</v>
      </c>
      <c r="V7353" s="267" t="s">
        <v>944</v>
      </c>
    </row>
    <row r="7354" spans="1:22" hidden="1" x14ac:dyDescent="0.25">
      <c r="A7354" s="266">
        <v>43802</v>
      </c>
      <c r="B7354" s="267">
        <v>2019</v>
      </c>
      <c r="C7354" s="267">
        <v>2020</v>
      </c>
      <c r="D7354" s="267">
        <v>1</v>
      </c>
      <c r="E7354" s="267">
        <v>1</v>
      </c>
      <c r="F7354" s="267" t="s">
        <v>944</v>
      </c>
      <c r="G7354" s="267" t="s">
        <v>3926</v>
      </c>
      <c r="H7354" s="267" t="s">
        <v>12190</v>
      </c>
      <c r="I7354" s="267" t="s">
        <v>4548</v>
      </c>
      <c r="J7354" s="267" t="s">
        <v>3928</v>
      </c>
      <c r="K7354" s="267">
        <v>6037</v>
      </c>
      <c r="L7354" s="267">
        <v>400200</v>
      </c>
      <c r="M7354" s="267" t="s">
        <v>3943</v>
      </c>
      <c r="N7354" s="267" t="s">
        <v>3944</v>
      </c>
      <c r="O7354" s="267">
        <v>2050</v>
      </c>
      <c r="P7354" s="267" t="s">
        <v>3944</v>
      </c>
      <c r="Q7354" s="267" t="s">
        <v>3944</v>
      </c>
      <c r="R7354" s="267">
        <v>2050</v>
      </c>
      <c r="S7354" s="267">
        <v>22520</v>
      </c>
      <c r="T7354" s="267">
        <v>24570</v>
      </c>
      <c r="U7354" s="268" t="s">
        <v>3945</v>
      </c>
      <c r="V7354" s="267" t="s">
        <v>944</v>
      </c>
    </row>
    <row r="7355" spans="1:22" hidden="1" x14ac:dyDescent="0.25">
      <c r="A7355" s="269">
        <v>43802</v>
      </c>
      <c r="B7355" s="270">
        <v>2019</v>
      </c>
      <c r="C7355" s="270">
        <v>2020</v>
      </c>
      <c r="D7355" s="270">
        <v>1</v>
      </c>
      <c r="E7355" s="270">
        <v>1</v>
      </c>
      <c r="F7355" s="270" t="s">
        <v>944</v>
      </c>
      <c r="G7355" s="270" t="s">
        <v>3926</v>
      </c>
      <c r="H7355" s="270" t="s">
        <v>12191</v>
      </c>
      <c r="I7355" s="270" t="s">
        <v>950</v>
      </c>
      <c r="J7355" s="270" t="s">
        <v>3928</v>
      </c>
      <c r="K7355" s="270">
        <v>6516</v>
      </c>
      <c r="L7355" s="270">
        <v>154700</v>
      </c>
      <c r="M7355" s="270" t="s">
        <v>3960</v>
      </c>
      <c r="N7355" s="270" t="s">
        <v>3944</v>
      </c>
      <c r="O7355" s="270">
        <v>4327</v>
      </c>
      <c r="P7355" s="270" t="s">
        <v>3944</v>
      </c>
      <c r="Q7355" s="270" t="s">
        <v>3944</v>
      </c>
      <c r="R7355" s="270">
        <v>4327</v>
      </c>
      <c r="S7355" s="270">
        <v>31168.5</v>
      </c>
      <c r="T7355" s="270">
        <v>35495.5</v>
      </c>
      <c r="U7355" s="271" t="s">
        <v>3945</v>
      </c>
      <c r="V7355" s="267" t="s">
        <v>944</v>
      </c>
    </row>
    <row r="7356" spans="1:22" hidden="1" x14ac:dyDescent="0.25">
      <c r="A7356" s="266">
        <v>43802</v>
      </c>
      <c r="B7356" s="267">
        <v>2019</v>
      </c>
      <c r="C7356" s="267">
        <v>2020</v>
      </c>
      <c r="D7356" s="267">
        <v>1</v>
      </c>
      <c r="E7356" s="267">
        <v>1</v>
      </c>
      <c r="F7356" s="267" t="s">
        <v>944</v>
      </c>
      <c r="G7356" s="267" t="s">
        <v>3926</v>
      </c>
      <c r="H7356" s="267" t="s">
        <v>12192</v>
      </c>
      <c r="I7356" s="267" t="s">
        <v>3939</v>
      </c>
      <c r="J7356" s="267" t="s">
        <v>3928</v>
      </c>
      <c r="K7356" s="267">
        <v>6512</v>
      </c>
      <c r="L7356" s="267">
        <v>180601</v>
      </c>
      <c r="M7356" s="267" t="s">
        <v>3940</v>
      </c>
      <c r="N7356" s="267" t="s">
        <v>3944</v>
      </c>
      <c r="O7356" s="267">
        <v>1584</v>
      </c>
      <c r="P7356" s="267" t="s">
        <v>3944</v>
      </c>
      <c r="Q7356" s="267" t="s">
        <v>3944</v>
      </c>
      <c r="R7356" s="267">
        <v>1584</v>
      </c>
      <c r="S7356" s="267">
        <v>17797.3</v>
      </c>
      <c r="T7356" s="267">
        <v>19381.3</v>
      </c>
      <c r="U7356" s="268" t="s">
        <v>3945</v>
      </c>
      <c r="V7356" s="267" t="s">
        <v>944</v>
      </c>
    </row>
    <row r="7357" spans="1:22" x14ac:dyDescent="0.25">
      <c r="A7357" s="269">
        <v>43802</v>
      </c>
      <c r="B7357" s="270">
        <v>2019</v>
      </c>
      <c r="C7357" s="270">
        <v>2020</v>
      </c>
      <c r="D7357" s="270">
        <v>1</v>
      </c>
      <c r="E7357" s="270">
        <v>1</v>
      </c>
      <c r="F7357" s="270" t="s">
        <v>944</v>
      </c>
      <c r="G7357" s="270" t="s">
        <v>3926</v>
      </c>
      <c r="H7357" s="270" t="s">
        <v>12193</v>
      </c>
      <c r="I7357" s="270" t="s">
        <v>943</v>
      </c>
      <c r="J7357" s="270" t="s">
        <v>3928</v>
      </c>
      <c r="K7357" s="270">
        <v>6513</v>
      </c>
      <c r="L7357" s="270">
        <v>142300</v>
      </c>
      <c r="M7357" s="270">
        <v>-60</v>
      </c>
      <c r="N7357" s="270" t="s">
        <v>3944</v>
      </c>
      <c r="O7357" s="270">
        <v>2228</v>
      </c>
      <c r="P7357" s="270" t="s">
        <v>3944</v>
      </c>
      <c r="Q7357" s="270" t="s">
        <v>3944</v>
      </c>
      <c r="R7357" s="270">
        <v>2228</v>
      </c>
      <c r="S7357" s="270">
        <v>26755</v>
      </c>
      <c r="T7357" s="270">
        <v>28983</v>
      </c>
      <c r="U7357" s="271" t="s">
        <v>3945</v>
      </c>
      <c r="V7357" s="276" t="s">
        <v>936</v>
      </c>
    </row>
    <row r="7358" spans="1:22" hidden="1" x14ac:dyDescent="0.25">
      <c r="A7358" s="266">
        <v>43802</v>
      </c>
      <c r="B7358" s="267">
        <v>2019</v>
      </c>
      <c r="C7358" s="267">
        <v>2020</v>
      </c>
      <c r="D7358" s="267">
        <v>1</v>
      </c>
      <c r="E7358" s="267">
        <v>1</v>
      </c>
      <c r="F7358" s="267" t="s">
        <v>944</v>
      </c>
      <c r="G7358" s="267" t="s">
        <v>3926</v>
      </c>
      <c r="H7358" s="267" t="s">
        <v>12194</v>
      </c>
      <c r="I7358" s="267" t="s">
        <v>2987</v>
      </c>
      <c r="J7358" s="267" t="s">
        <v>3928</v>
      </c>
      <c r="K7358" s="267">
        <v>6611</v>
      </c>
      <c r="L7358" s="267">
        <v>90200</v>
      </c>
      <c r="M7358" s="267" t="s">
        <v>3943</v>
      </c>
      <c r="N7358" s="267" t="s">
        <v>3944</v>
      </c>
      <c r="O7358" s="267">
        <v>2954</v>
      </c>
      <c r="P7358" s="267" t="s">
        <v>3944</v>
      </c>
      <c r="Q7358" s="267" t="s">
        <v>3944</v>
      </c>
      <c r="R7358" s="267">
        <v>2954</v>
      </c>
      <c r="S7358" s="267">
        <v>36003.15</v>
      </c>
      <c r="T7358" s="267">
        <v>38957.15</v>
      </c>
      <c r="U7358" s="268" t="s">
        <v>3945</v>
      </c>
      <c r="V7358" s="267" t="s">
        <v>944</v>
      </c>
    </row>
    <row r="7359" spans="1:22" hidden="1" x14ac:dyDescent="0.25">
      <c r="A7359" s="269">
        <v>43802</v>
      </c>
      <c r="B7359" s="270">
        <v>2019</v>
      </c>
      <c r="C7359" s="270">
        <v>2020</v>
      </c>
      <c r="D7359" s="270">
        <v>1</v>
      </c>
      <c r="E7359" s="270">
        <v>1</v>
      </c>
      <c r="F7359" s="270" t="s">
        <v>944</v>
      </c>
      <c r="G7359" s="270" t="s">
        <v>3926</v>
      </c>
      <c r="H7359" s="270" t="s">
        <v>12195</v>
      </c>
      <c r="I7359" s="270" t="s">
        <v>4297</v>
      </c>
      <c r="J7359" s="270" t="s">
        <v>3928</v>
      </c>
      <c r="K7359" s="270">
        <v>6248</v>
      </c>
      <c r="L7359" s="270">
        <v>526102</v>
      </c>
      <c r="M7359" s="270" t="s">
        <v>3943</v>
      </c>
      <c r="N7359" s="270" t="s">
        <v>3944</v>
      </c>
      <c r="O7359" s="270">
        <v>841</v>
      </c>
      <c r="P7359" s="270" t="s">
        <v>3944</v>
      </c>
      <c r="Q7359" s="270" t="s">
        <v>3944</v>
      </c>
      <c r="R7359" s="270">
        <v>841</v>
      </c>
      <c r="S7359" s="270">
        <v>8380</v>
      </c>
      <c r="T7359" s="270">
        <v>9221</v>
      </c>
      <c r="U7359" s="271" t="s">
        <v>3945</v>
      </c>
      <c r="V7359" s="267" t="s">
        <v>944</v>
      </c>
    </row>
    <row r="7360" spans="1:22" hidden="1" x14ac:dyDescent="0.25">
      <c r="A7360" s="266">
        <v>43802</v>
      </c>
      <c r="B7360" s="267">
        <v>2019</v>
      </c>
      <c r="C7360" s="267">
        <v>2020</v>
      </c>
      <c r="D7360" s="267">
        <v>1</v>
      </c>
      <c r="E7360" s="267">
        <v>1</v>
      </c>
      <c r="F7360" s="267" t="s">
        <v>944</v>
      </c>
      <c r="G7360" s="267" t="s">
        <v>3926</v>
      </c>
      <c r="H7360" s="267" t="s">
        <v>12196</v>
      </c>
      <c r="I7360" s="267" t="s">
        <v>4037</v>
      </c>
      <c r="J7360" s="267" t="s">
        <v>3928</v>
      </c>
      <c r="K7360" s="267">
        <v>6811</v>
      </c>
      <c r="L7360" s="267">
        <v>210800</v>
      </c>
      <c r="M7360" s="267" t="s">
        <v>3960</v>
      </c>
      <c r="N7360" s="267" t="s">
        <v>3944</v>
      </c>
      <c r="O7360" s="267">
        <v>5442</v>
      </c>
      <c r="P7360" s="267" t="s">
        <v>3944</v>
      </c>
      <c r="Q7360" s="267" t="s">
        <v>3944</v>
      </c>
      <c r="R7360" s="267">
        <v>5442</v>
      </c>
      <c r="S7360" s="267">
        <v>40974</v>
      </c>
      <c r="T7360" s="267">
        <v>46416</v>
      </c>
      <c r="U7360" s="268" t="s">
        <v>3945</v>
      </c>
      <c r="V7360" s="267" t="s">
        <v>944</v>
      </c>
    </row>
    <row r="7361" spans="1:22" hidden="1" x14ac:dyDescent="0.25">
      <c r="A7361" s="269">
        <v>43802</v>
      </c>
      <c r="B7361" s="270">
        <v>2019</v>
      </c>
      <c r="C7361" s="270">
        <v>2020</v>
      </c>
      <c r="D7361" s="270">
        <v>1</v>
      </c>
      <c r="E7361" s="270">
        <v>1</v>
      </c>
      <c r="F7361" s="270" t="s">
        <v>944</v>
      </c>
      <c r="G7361" s="270" t="s">
        <v>3926</v>
      </c>
      <c r="H7361" s="270" t="s">
        <v>12197</v>
      </c>
      <c r="I7361" s="270" t="s">
        <v>4235</v>
      </c>
      <c r="J7361" s="270" t="s">
        <v>3928</v>
      </c>
      <c r="K7361" s="270">
        <v>6066</v>
      </c>
      <c r="L7361" s="270">
        <v>530302</v>
      </c>
      <c r="M7361" s="270" t="s">
        <v>3935</v>
      </c>
      <c r="N7361" s="270" t="s">
        <v>3944</v>
      </c>
      <c r="O7361" s="270">
        <v>1701.49</v>
      </c>
      <c r="P7361" s="270" t="s">
        <v>3944</v>
      </c>
      <c r="Q7361" s="270" t="s">
        <v>3944</v>
      </c>
      <c r="R7361" s="270">
        <v>1701.49</v>
      </c>
      <c r="S7361" s="270">
        <v>15190.51</v>
      </c>
      <c r="T7361" s="270">
        <v>16892</v>
      </c>
      <c r="U7361" s="271" t="s">
        <v>3945</v>
      </c>
      <c r="V7361" s="267" t="s">
        <v>944</v>
      </c>
    </row>
    <row r="7362" spans="1:22" hidden="1" x14ac:dyDescent="0.25">
      <c r="A7362" s="266">
        <v>43802</v>
      </c>
      <c r="B7362" s="267">
        <v>2019</v>
      </c>
      <c r="C7362" s="267">
        <v>2020</v>
      </c>
      <c r="D7362" s="267">
        <v>1</v>
      </c>
      <c r="E7362" s="267">
        <v>1</v>
      </c>
      <c r="F7362" s="267" t="s">
        <v>944</v>
      </c>
      <c r="G7362" s="267" t="s">
        <v>3926</v>
      </c>
      <c r="H7362" s="267" t="s">
        <v>12198</v>
      </c>
      <c r="I7362" s="267" t="s">
        <v>4276</v>
      </c>
      <c r="J7362" s="267" t="s">
        <v>3928</v>
      </c>
      <c r="K7362" s="267">
        <v>6331</v>
      </c>
      <c r="L7362" s="267">
        <v>906100</v>
      </c>
      <c r="M7362" s="267" t="s">
        <v>3960</v>
      </c>
      <c r="N7362" s="267" t="s">
        <v>3944</v>
      </c>
      <c r="O7362" s="267">
        <v>3606.4</v>
      </c>
      <c r="P7362" s="267" t="s">
        <v>3944</v>
      </c>
      <c r="Q7362" s="267" t="s">
        <v>3944</v>
      </c>
      <c r="R7362" s="267">
        <v>3606.4</v>
      </c>
      <c r="S7362" s="267">
        <v>40728.17</v>
      </c>
      <c r="T7362" s="267">
        <v>44334.57</v>
      </c>
      <c r="U7362" s="268" t="s">
        <v>3945</v>
      </c>
      <c r="V7362" s="267" t="s">
        <v>944</v>
      </c>
    </row>
    <row r="7363" spans="1:22" hidden="1" x14ac:dyDescent="0.25">
      <c r="A7363" s="269">
        <v>43802</v>
      </c>
      <c r="B7363" s="270">
        <v>2019</v>
      </c>
      <c r="C7363" s="270">
        <v>2020</v>
      </c>
      <c r="D7363" s="270">
        <v>1</v>
      </c>
      <c r="E7363" s="270">
        <v>1</v>
      </c>
      <c r="F7363" s="270" t="s">
        <v>944</v>
      </c>
      <c r="G7363" s="270" t="s">
        <v>3926</v>
      </c>
      <c r="H7363" s="270" t="s">
        <v>12199</v>
      </c>
      <c r="I7363" s="270" t="s">
        <v>3996</v>
      </c>
      <c r="J7363" s="270" t="s">
        <v>3928</v>
      </c>
      <c r="K7363" s="270">
        <v>6790</v>
      </c>
      <c r="L7363" s="270">
        <v>310100</v>
      </c>
      <c r="M7363" s="270" t="s">
        <v>3940</v>
      </c>
      <c r="N7363" s="270" t="s">
        <v>3944</v>
      </c>
      <c r="O7363" s="270">
        <v>2220.58</v>
      </c>
      <c r="P7363" s="270" t="s">
        <v>3944</v>
      </c>
      <c r="Q7363" s="270" t="s">
        <v>3944</v>
      </c>
      <c r="R7363" s="270">
        <v>2220.58</v>
      </c>
      <c r="S7363" s="270">
        <v>30616.28</v>
      </c>
      <c r="T7363" s="270">
        <v>32836.86</v>
      </c>
      <c r="U7363" s="271" t="s">
        <v>3945</v>
      </c>
      <c r="V7363" s="267" t="s">
        <v>944</v>
      </c>
    </row>
    <row r="7364" spans="1:22" hidden="1" x14ac:dyDescent="0.25">
      <c r="A7364" s="266">
        <v>43802</v>
      </c>
      <c r="B7364" s="267">
        <v>2019</v>
      </c>
      <c r="C7364" s="267">
        <v>2020</v>
      </c>
      <c r="D7364" s="267">
        <v>1</v>
      </c>
      <c r="E7364" s="267">
        <v>1</v>
      </c>
      <c r="F7364" s="267" t="s">
        <v>944</v>
      </c>
      <c r="G7364" s="267" t="s">
        <v>3926</v>
      </c>
      <c r="H7364" s="267" t="s">
        <v>12200</v>
      </c>
      <c r="I7364" s="267" t="s">
        <v>4497</v>
      </c>
      <c r="J7364" s="267" t="s">
        <v>3928</v>
      </c>
      <c r="K7364" s="267">
        <v>6260</v>
      </c>
      <c r="L7364" s="267">
        <v>903200</v>
      </c>
      <c r="M7364" s="267" t="s">
        <v>3935</v>
      </c>
      <c r="N7364" s="267" t="s">
        <v>3944</v>
      </c>
      <c r="O7364" s="267">
        <v>2455.5700000000002</v>
      </c>
      <c r="P7364" s="267" t="s">
        <v>3944</v>
      </c>
      <c r="Q7364" s="267" t="s">
        <v>3944</v>
      </c>
      <c r="R7364" s="267">
        <v>2455.5700000000002</v>
      </c>
      <c r="S7364" s="267">
        <v>28801.43</v>
      </c>
      <c r="T7364" s="267">
        <v>31257</v>
      </c>
      <c r="U7364" s="268" t="s">
        <v>3945</v>
      </c>
      <c r="V7364" s="267" t="s">
        <v>944</v>
      </c>
    </row>
    <row r="7365" spans="1:22" hidden="1" x14ac:dyDescent="0.25">
      <c r="A7365" s="269">
        <v>43802</v>
      </c>
      <c r="B7365" s="270">
        <v>2019</v>
      </c>
      <c r="C7365" s="270">
        <v>2020</v>
      </c>
      <c r="D7365" s="270">
        <v>1</v>
      </c>
      <c r="E7365" s="270">
        <v>1</v>
      </c>
      <c r="F7365" s="270" t="s">
        <v>944</v>
      </c>
      <c r="G7365" s="270" t="s">
        <v>3926</v>
      </c>
      <c r="H7365" s="270" t="s">
        <v>12201</v>
      </c>
      <c r="I7365" s="270" t="s">
        <v>4035</v>
      </c>
      <c r="J7365" s="270" t="s">
        <v>3928</v>
      </c>
      <c r="K7365" s="270">
        <v>6074</v>
      </c>
      <c r="L7365" s="270">
        <v>487500</v>
      </c>
      <c r="M7365" s="270" t="s">
        <v>3935</v>
      </c>
      <c r="N7365" s="270" t="s">
        <v>3944</v>
      </c>
      <c r="O7365" s="270">
        <v>2095.52</v>
      </c>
      <c r="P7365" s="270" t="s">
        <v>3944</v>
      </c>
      <c r="Q7365" s="270" t="s">
        <v>3944</v>
      </c>
      <c r="R7365" s="270">
        <v>2095.52</v>
      </c>
      <c r="S7365" s="270">
        <v>15862.48</v>
      </c>
      <c r="T7365" s="270">
        <v>17958</v>
      </c>
      <c r="U7365" s="271" t="s">
        <v>3945</v>
      </c>
      <c r="V7365" s="267" t="s">
        <v>944</v>
      </c>
    </row>
    <row r="7366" spans="1:22" hidden="1" x14ac:dyDescent="0.25">
      <c r="A7366" s="266">
        <v>43802</v>
      </c>
      <c r="B7366" s="267">
        <v>2019</v>
      </c>
      <c r="C7366" s="267">
        <v>2020</v>
      </c>
      <c r="D7366" s="267">
        <v>1</v>
      </c>
      <c r="E7366" s="267">
        <v>1</v>
      </c>
      <c r="F7366" s="267" t="s">
        <v>944</v>
      </c>
      <c r="G7366" s="267" t="s">
        <v>3926</v>
      </c>
      <c r="H7366" s="267" t="s">
        <v>12202</v>
      </c>
      <c r="I7366" s="267" t="s">
        <v>3971</v>
      </c>
      <c r="J7366" s="267" t="s">
        <v>3928</v>
      </c>
      <c r="K7366" s="267">
        <v>6084</v>
      </c>
      <c r="L7366" s="267">
        <v>533102</v>
      </c>
      <c r="M7366" s="267" t="s">
        <v>3943</v>
      </c>
      <c r="N7366" s="267" t="s">
        <v>3944</v>
      </c>
      <c r="O7366" s="267">
        <v>1480.4</v>
      </c>
      <c r="P7366" s="267" t="s">
        <v>3944</v>
      </c>
      <c r="Q7366" s="267" t="s">
        <v>3944</v>
      </c>
      <c r="R7366" s="267">
        <v>1480.4</v>
      </c>
      <c r="S7366" s="267">
        <v>12757.6</v>
      </c>
      <c r="T7366" s="267">
        <v>14238</v>
      </c>
      <c r="U7366" s="268" t="s">
        <v>3945</v>
      </c>
      <c r="V7366" s="267" t="s">
        <v>944</v>
      </c>
    </row>
    <row r="7367" spans="1:22" hidden="1" x14ac:dyDescent="0.25">
      <c r="A7367" s="269">
        <v>43802</v>
      </c>
      <c r="B7367" s="270">
        <v>2019</v>
      </c>
      <c r="C7367" s="270">
        <v>2020</v>
      </c>
      <c r="D7367" s="270">
        <v>1</v>
      </c>
      <c r="E7367" s="270">
        <v>1</v>
      </c>
      <c r="F7367" s="270" t="s">
        <v>944</v>
      </c>
      <c r="G7367" s="270" t="s">
        <v>3926</v>
      </c>
      <c r="H7367" s="270" t="s">
        <v>12203</v>
      </c>
      <c r="I7367" s="270" t="s">
        <v>3956</v>
      </c>
      <c r="J7367" s="270" t="s">
        <v>3928</v>
      </c>
      <c r="K7367" s="270">
        <v>6112</v>
      </c>
      <c r="L7367" s="270">
        <v>501500</v>
      </c>
      <c r="M7367" s="270">
        <v>-60</v>
      </c>
      <c r="N7367" s="270" t="s">
        <v>3944</v>
      </c>
      <c r="O7367" s="270">
        <v>545.65</v>
      </c>
      <c r="P7367" s="270" t="s">
        <v>3944</v>
      </c>
      <c r="Q7367" s="270" t="s">
        <v>3944</v>
      </c>
      <c r="R7367" s="270">
        <v>545.65</v>
      </c>
      <c r="S7367" s="270">
        <v>9365.35</v>
      </c>
      <c r="T7367" s="270">
        <v>9911</v>
      </c>
      <c r="U7367" s="271" t="s">
        <v>3945</v>
      </c>
      <c r="V7367" s="267" t="s">
        <v>944</v>
      </c>
    </row>
    <row r="7368" spans="1:22" hidden="1" x14ac:dyDescent="0.25">
      <c r="A7368" s="266">
        <v>43802</v>
      </c>
      <c r="B7368" s="267">
        <v>2019</v>
      </c>
      <c r="C7368" s="267">
        <v>2020</v>
      </c>
      <c r="D7368" s="267">
        <v>1</v>
      </c>
      <c r="E7368" s="267">
        <v>1</v>
      </c>
      <c r="F7368" s="267" t="s">
        <v>944</v>
      </c>
      <c r="G7368" s="267" t="s">
        <v>3926</v>
      </c>
      <c r="H7368" s="267" t="s">
        <v>12204</v>
      </c>
      <c r="I7368" s="267" t="s">
        <v>4111</v>
      </c>
      <c r="J7368" s="267" t="s">
        <v>3928</v>
      </c>
      <c r="K7368" s="267">
        <v>6095</v>
      </c>
      <c r="L7368" s="267">
        <v>473501</v>
      </c>
      <c r="M7368" s="267" t="s">
        <v>3943</v>
      </c>
      <c r="N7368" s="267" t="s">
        <v>3944</v>
      </c>
      <c r="O7368" s="267">
        <v>2578.14</v>
      </c>
      <c r="P7368" s="267" t="s">
        <v>3944</v>
      </c>
      <c r="Q7368" s="267" t="s">
        <v>3944</v>
      </c>
      <c r="R7368" s="267">
        <v>2578.14</v>
      </c>
      <c r="S7368" s="267">
        <v>17777.86</v>
      </c>
      <c r="T7368" s="267">
        <v>20356</v>
      </c>
      <c r="U7368" s="268" t="s">
        <v>3945</v>
      </c>
      <c r="V7368" s="267" t="s">
        <v>944</v>
      </c>
    </row>
    <row r="7369" spans="1:22" hidden="1" x14ac:dyDescent="0.25">
      <c r="A7369" s="269">
        <v>43802</v>
      </c>
      <c r="B7369" s="270">
        <v>2019</v>
      </c>
      <c r="C7369" s="270">
        <v>2020</v>
      </c>
      <c r="D7369" s="270">
        <v>1</v>
      </c>
      <c r="E7369" s="270">
        <v>1</v>
      </c>
      <c r="F7369" s="270" t="s">
        <v>944</v>
      </c>
      <c r="G7369" s="270" t="s">
        <v>3926</v>
      </c>
      <c r="H7369" s="270" t="s">
        <v>12205</v>
      </c>
      <c r="I7369" s="270" t="s">
        <v>943</v>
      </c>
      <c r="J7369" s="270" t="s">
        <v>3928</v>
      </c>
      <c r="K7369" s="270">
        <v>6515</v>
      </c>
      <c r="L7369" s="270">
        <v>141100</v>
      </c>
      <c r="M7369" s="270" t="s">
        <v>3960</v>
      </c>
      <c r="N7369" s="270" t="s">
        <v>3944</v>
      </c>
      <c r="O7369" s="270">
        <v>1611.47</v>
      </c>
      <c r="P7369" s="270" t="s">
        <v>3944</v>
      </c>
      <c r="Q7369" s="270" t="s">
        <v>3944</v>
      </c>
      <c r="R7369" s="270">
        <v>1611.47</v>
      </c>
      <c r="S7369" s="270">
        <v>16552.53</v>
      </c>
      <c r="T7369" s="270">
        <v>18164</v>
      </c>
      <c r="U7369" s="271" t="s">
        <v>3945</v>
      </c>
      <c r="V7369" s="267" t="s">
        <v>944</v>
      </c>
    </row>
    <row r="7370" spans="1:22" hidden="1" x14ac:dyDescent="0.25">
      <c r="A7370" s="266">
        <v>43802</v>
      </c>
      <c r="B7370" s="267">
        <v>2019</v>
      </c>
      <c r="C7370" s="267">
        <v>2020</v>
      </c>
      <c r="D7370" s="267">
        <v>1</v>
      </c>
      <c r="E7370" s="267">
        <v>1</v>
      </c>
      <c r="F7370" s="267" t="s">
        <v>944</v>
      </c>
      <c r="G7370" s="267" t="s">
        <v>3926</v>
      </c>
      <c r="H7370" s="267" t="s">
        <v>12206</v>
      </c>
      <c r="I7370" s="267" t="s">
        <v>4392</v>
      </c>
      <c r="J7370" s="267" t="s">
        <v>3928</v>
      </c>
      <c r="K7370" s="267">
        <v>6457</v>
      </c>
      <c r="L7370" s="267">
        <v>542200</v>
      </c>
      <c r="M7370" s="267" t="s">
        <v>3960</v>
      </c>
      <c r="N7370" s="267" t="s">
        <v>3944</v>
      </c>
      <c r="O7370" s="267">
        <v>1506.33</v>
      </c>
      <c r="P7370" s="267" t="s">
        <v>3944</v>
      </c>
      <c r="Q7370" s="267" t="s">
        <v>3944</v>
      </c>
      <c r="R7370" s="267">
        <v>1506.33</v>
      </c>
      <c r="S7370" s="267">
        <v>18130.669999999998</v>
      </c>
      <c r="T7370" s="267">
        <v>19637</v>
      </c>
      <c r="U7370" s="268" t="s">
        <v>3945</v>
      </c>
      <c r="V7370" s="267" t="s">
        <v>944</v>
      </c>
    </row>
    <row r="7371" spans="1:22" hidden="1" x14ac:dyDescent="0.25">
      <c r="A7371" s="269">
        <v>43802</v>
      </c>
      <c r="B7371" s="270">
        <v>2019</v>
      </c>
      <c r="C7371" s="270">
        <v>2020</v>
      </c>
      <c r="D7371" s="270">
        <v>1</v>
      </c>
      <c r="E7371" s="270">
        <v>1</v>
      </c>
      <c r="F7371" s="270" t="s">
        <v>944</v>
      </c>
      <c r="G7371" s="270" t="s">
        <v>3926</v>
      </c>
      <c r="H7371" s="270" t="s">
        <v>12207</v>
      </c>
      <c r="I7371" s="270" t="s">
        <v>953</v>
      </c>
      <c r="J7371" s="270" t="s">
        <v>3928</v>
      </c>
      <c r="K7371" s="270">
        <v>6514</v>
      </c>
      <c r="L7371" s="270">
        <v>165700</v>
      </c>
      <c r="M7371" s="270" t="s">
        <v>3935</v>
      </c>
      <c r="N7371" s="270" t="s">
        <v>3944</v>
      </c>
      <c r="O7371" s="270">
        <v>1840.44</v>
      </c>
      <c r="P7371" s="270" t="s">
        <v>3944</v>
      </c>
      <c r="Q7371" s="270" t="s">
        <v>3944</v>
      </c>
      <c r="R7371" s="270">
        <v>1840.44</v>
      </c>
      <c r="S7371" s="270">
        <v>28928.76</v>
      </c>
      <c r="T7371" s="270">
        <v>30769.200000000001</v>
      </c>
      <c r="U7371" s="271" t="s">
        <v>3945</v>
      </c>
      <c r="V7371" s="267" t="s">
        <v>944</v>
      </c>
    </row>
    <row r="7372" spans="1:22" hidden="1" x14ac:dyDescent="0.25">
      <c r="A7372" s="266">
        <v>43802</v>
      </c>
      <c r="B7372" s="267">
        <v>2019</v>
      </c>
      <c r="C7372" s="267">
        <v>2020</v>
      </c>
      <c r="D7372" s="267">
        <v>1</v>
      </c>
      <c r="E7372" s="267">
        <v>1</v>
      </c>
      <c r="F7372" s="267" t="s">
        <v>944</v>
      </c>
      <c r="G7372" s="267" t="s">
        <v>3926</v>
      </c>
      <c r="H7372" s="267" t="s">
        <v>12208</v>
      </c>
      <c r="I7372" s="267" t="s">
        <v>4005</v>
      </c>
      <c r="J7372" s="267" t="s">
        <v>3928</v>
      </c>
      <c r="K7372" s="267">
        <v>6108</v>
      </c>
      <c r="L7372" s="267">
        <v>510100</v>
      </c>
      <c r="M7372" s="267" t="s">
        <v>3940</v>
      </c>
      <c r="N7372" s="267" t="s">
        <v>3944</v>
      </c>
      <c r="O7372" s="267">
        <v>820.68</v>
      </c>
      <c r="P7372" s="267" t="s">
        <v>3944</v>
      </c>
      <c r="Q7372" s="267" t="s">
        <v>3944</v>
      </c>
      <c r="R7372" s="267">
        <v>820.68</v>
      </c>
      <c r="S7372" s="267">
        <v>9846.32</v>
      </c>
      <c r="T7372" s="267">
        <v>10667</v>
      </c>
      <c r="U7372" s="268" t="s">
        <v>3945</v>
      </c>
      <c r="V7372" s="267" t="s">
        <v>944</v>
      </c>
    </row>
    <row r="7373" spans="1:22" hidden="1" x14ac:dyDescent="0.25">
      <c r="A7373" s="269">
        <v>43802</v>
      </c>
      <c r="B7373" s="270">
        <v>2019</v>
      </c>
      <c r="C7373" s="270">
        <v>2020</v>
      </c>
      <c r="D7373" s="270">
        <v>1</v>
      </c>
      <c r="E7373" s="270">
        <v>1</v>
      </c>
      <c r="F7373" s="270" t="s">
        <v>944</v>
      </c>
      <c r="G7373" s="270" t="s">
        <v>3926</v>
      </c>
      <c r="H7373" s="270" t="s">
        <v>12209</v>
      </c>
      <c r="I7373" s="270" t="s">
        <v>4119</v>
      </c>
      <c r="J7373" s="270" t="s">
        <v>3928</v>
      </c>
      <c r="K7373" s="270">
        <v>6093</v>
      </c>
      <c r="L7373" s="270">
        <v>477200</v>
      </c>
      <c r="M7373" s="270" t="s">
        <v>3943</v>
      </c>
      <c r="N7373" s="270" t="s">
        <v>3944</v>
      </c>
      <c r="O7373" s="270">
        <v>4419.42</v>
      </c>
      <c r="P7373" s="270" t="s">
        <v>3944</v>
      </c>
      <c r="Q7373" s="270" t="s">
        <v>3944</v>
      </c>
      <c r="R7373" s="270">
        <v>4419.42</v>
      </c>
      <c r="S7373" s="270">
        <v>35191.58</v>
      </c>
      <c r="T7373" s="270">
        <v>39611</v>
      </c>
      <c r="U7373" s="271" t="s">
        <v>3945</v>
      </c>
      <c r="V7373" s="267" t="s">
        <v>944</v>
      </c>
    </row>
    <row r="7374" spans="1:22" hidden="1" x14ac:dyDescent="0.25">
      <c r="A7374" s="266">
        <v>43802</v>
      </c>
      <c r="B7374" s="267">
        <v>2019</v>
      </c>
      <c r="C7374" s="267">
        <v>2020</v>
      </c>
      <c r="D7374" s="267">
        <v>1</v>
      </c>
      <c r="E7374" s="267">
        <v>1</v>
      </c>
      <c r="F7374" s="267" t="s">
        <v>944</v>
      </c>
      <c r="G7374" s="267" t="s">
        <v>3926</v>
      </c>
      <c r="H7374" s="267" t="s">
        <v>12210</v>
      </c>
      <c r="I7374" s="267" t="s">
        <v>3008</v>
      </c>
      <c r="J7374" s="267" t="s">
        <v>3928</v>
      </c>
      <c r="K7374" s="267">
        <v>6461</v>
      </c>
      <c r="L7374" s="267">
        <v>150600</v>
      </c>
      <c r="M7374" s="267" t="s">
        <v>3960</v>
      </c>
      <c r="N7374" s="267" t="s">
        <v>3944</v>
      </c>
      <c r="O7374" s="267">
        <v>1483.3</v>
      </c>
      <c r="P7374" s="267" t="s">
        <v>3944</v>
      </c>
      <c r="Q7374" s="267" t="s">
        <v>3944</v>
      </c>
      <c r="R7374" s="267">
        <v>1483.3</v>
      </c>
      <c r="S7374" s="267">
        <v>11360.7</v>
      </c>
      <c r="T7374" s="267">
        <v>12844</v>
      </c>
      <c r="U7374" s="268" t="s">
        <v>3945</v>
      </c>
      <c r="V7374" s="267" t="s">
        <v>944</v>
      </c>
    </row>
    <row r="7375" spans="1:22" hidden="1" x14ac:dyDescent="0.25">
      <c r="A7375" s="269">
        <v>43802</v>
      </c>
      <c r="B7375" s="270">
        <v>2019</v>
      </c>
      <c r="C7375" s="270">
        <v>2020</v>
      </c>
      <c r="D7375" s="270">
        <v>1</v>
      </c>
      <c r="E7375" s="270">
        <v>1</v>
      </c>
      <c r="F7375" s="270" t="s">
        <v>944</v>
      </c>
      <c r="G7375" s="270" t="s">
        <v>3926</v>
      </c>
      <c r="H7375" s="270" t="s">
        <v>12211</v>
      </c>
      <c r="I7375" s="270" t="s">
        <v>4111</v>
      </c>
      <c r="J7375" s="270" t="s">
        <v>3928</v>
      </c>
      <c r="K7375" s="270">
        <v>6095</v>
      </c>
      <c r="L7375" s="270">
        <v>473700</v>
      </c>
      <c r="M7375" s="270" t="s">
        <v>3935</v>
      </c>
      <c r="N7375" s="270" t="s">
        <v>3944</v>
      </c>
      <c r="O7375" s="270">
        <v>1402.84</v>
      </c>
      <c r="P7375" s="270" t="s">
        <v>3944</v>
      </c>
      <c r="Q7375" s="270" t="s">
        <v>3944</v>
      </c>
      <c r="R7375" s="270">
        <v>1402.84</v>
      </c>
      <c r="S7375" s="270">
        <v>12668.16</v>
      </c>
      <c r="T7375" s="270">
        <v>14071</v>
      </c>
      <c r="U7375" s="271" t="s">
        <v>3945</v>
      </c>
      <c r="V7375" s="267" t="s">
        <v>944</v>
      </c>
    </row>
    <row r="7376" spans="1:22" hidden="1" x14ac:dyDescent="0.25">
      <c r="A7376" s="266">
        <v>43802</v>
      </c>
      <c r="B7376" s="267">
        <v>2019</v>
      </c>
      <c r="C7376" s="267">
        <v>2020</v>
      </c>
      <c r="D7376" s="267">
        <v>1</v>
      </c>
      <c r="E7376" s="267">
        <v>1</v>
      </c>
      <c r="F7376" s="267" t="s">
        <v>944</v>
      </c>
      <c r="G7376" s="267" t="s">
        <v>3926</v>
      </c>
      <c r="H7376" s="267" t="s">
        <v>12212</v>
      </c>
      <c r="I7376" s="267" t="s">
        <v>4407</v>
      </c>
      <c r="J7376" s="267" t="s">
        <v>3928</v>
      </c>
      <c r="K7376" s="267">
        <v>6238</v>
      </c>
      <c r="L7376" s="267">
        <v>850100</v>
      </c>
      <c r="M7376" s="267" t="s">
        <v>3960</v>
      </c>
      <c r="N7376" s="267" t="s">
        <v>3944</v>
      </c>
      <c r="O7376" s="267">
        <v>2286.13</v>
      </c>
      <c r="P7376" s="267" t="s">
        <v>3944</v>
      </c>
      <c r="Q7376" s="267" t="s">
        <v>3944</v>
      </c>
      <c r="R7376" s="267">
        <v>2286.13</v>
      </c>
      <c r="S7376" s="267">
        <v>16382.87</v>
      </c>
      <c r="T7376" s="267">
        <v>18669</v>
      </c>
      <c r="U7376" s="268" t="s">
        <v>3945</v>
      </c>
      <c r="V7376" s="267" t="s">
        <v>944</v>
      </c>
    </row>
    <row r="7377" spans="1:22" hidden="1" x14ac:dyDescent="0.25">
      <c r="A7377" s="269">
        <v>43802</v>
      </c>
      <c r="B7377" s="270">
        <v>2019</v>
      </c>
      <c r="C7377" s="270">
        <v>2020</v>
      </c>
      <c r="D7377" s="270">
        <v>1</v>
      </c>
      <c r="E7377" s="270">
        <v>1</v>
      </c>
      <c r="F7377" s="270" t="s">
        <v>944</v>
      </c>
      <c r="G7377" s="270" t="s">
        <v>3926</v>
      </c>
      <c r="H7377" s="270" t="s">
        <v>12213</v>
      </c>
      <c r="I7377" s="270" t="s">
        <v>953</v>
      </c>
      <c r="J7377" s="270" t="s">
        <v>3928</v>
      </c>
      <c r="K7377" s="270">
        <v>6518</v>
      </c>
      <c r="L7377" s="270">
        <v>165900</v>
      </c>
      <c r="M7377" s="270" t="s">
        <v>3943</v>
      </c>
      <c r="N7377" s="270" t="s">
        <v>3944</v>
      </c>
      <c r="O7377" s="270">
        <v>2262.4699999999998</v>
      </c>
      <c r="P7377" s="270" t="s">
        <v>3944</v>
      </c>
      <c r="Q7377" s="270" t="s">
        <v>3944</v>
      </c>
      <c r="R7377" s="270">
        <v>2262.4699999999998</v>
      </c>
      <c r="S7377" s="270">
        <v>38109.69</v>
      </c>
      <c r="T7377" s="270">
        <v>40372.160000000003</v>
      </c>
      <c r="U7377" s="271" t="s">
        <v>3945</v>
      </c>
      <c r="V7377" s="267" t="s">
        <v>944</v>
      </c>
    </row>
    <row r="7378" spans="1:22" hidden="1" x14ac:dyDescent="0.25">
      <c r="A7378" s="266">
        <v>43802</v>
      </c>
      <c r="B7378" s="267">
        <v>2019</v>
      </c>
      <c r="C7378" s="267">
        <v>2020</v>
      </c>
      <c r="D7378" s="267">
        <v>1</v>
      </c>
      <c r="E7378" s="267">
        <v>1</v>
      </c>
      <c r="F7378" s="267" t="s">
        <v>944</v>
      </c>
      <c r="G7378" s="267" t="s">
        <v>3926</v>
      </c>
      <c r="H7378" s="267" t="s">
        <v>12214</v>
      </c>
      <c r="I7378" s="267" t="s">
        <v>950</v>
      </c>
      <c r="J7378" s="267" t="s">
        <v>3928</v>
      </c>
      <c r="K7378" s="267">
        <v>6516</v>
      </c>
      <c r="L7378" s="267">
        <v>154700</v>
      </c>
      <c r="M7378" s="267" t="s">
        <v>3960</v>
      </c>
      <c r="N7378" s="267" t="s">
        <v>3944</v>
      </c>
      <c r="O7378" s="267">
        <v>2452.0300000000002</v>
      </c>
      <c r="P7378" s="267" t="s">
        <v>3944</v>
      </c>
      <c r="Q7378" s="267" t="s">
        <v>3944</v>
      </c>
      <c r="R7378" s="267">
        <v>2452.0300000000002</v>
      </c>
      <c r="S7378" s="267">
        <v>38107.370000000003</v>
      </c>
      <c r="T7378" s="267">
        <v>40559.4</v>
      </c>
      <c r="U7378" s="268" t="s">
        <v>3945</v>
      </c>
      <c r="V7378" s="267" t="s">
        <v>944</v>
      </c>
    </row>
    <row r="7379" spans="1:22" x14ac:dyDescent="0.25">
      <c r="A7379" s="269">
        <v>43802</v>
      </c>
      <c r="B7379" s="270">
        <v>2019</v>
      </c>
      <c r="C7379" s="270">
        <v>2020</v>
      </c>
      <c r="D7379" s="270">
        <v>1</v>
      </c>
      <c r="E7379" s="270">
        <v>1</v>
      </c>
      <c r="F7379" s="270" t="s">
        <v>944</v>
      </c>
      <c r="G7379" s="270" t="s">
        <v>3926</v>
      </c>
      <c r="H7379" s="270" t="s">
        <v>12215</v>
      </c>
      <c r="I7379" s="270" t="s">
        <v>950</v>
      </c>
      <c r="J7379" s="270" t="s">
        <v>3928</v>
      </c>
      <c r="K7379" s="270">
        <v>6516</v>
      </c>
      <c r="L7379" s="270">
        <v>154500</v>
      </c>
      <c r="M7379" s="270">
        <v>-60</v>
      </c>
      <c r="N7379" s="270" t="s">
        <v>3944</v>
      </c>
      <c r="O7379" s="270">
        <v>1666</v>
      </c>
      <c r="P7379" s="270" t="s">
        <v>3944</v>
      </c>
      <c r="Q7379" s="270" t="s">
        <v>3944</v>
      </c>
      <c r="R7379" s="270">
        <v>1666</v>
      </c>
      <c r="S7379" s="270">
        <v>26195.17</v>
      </c>
      <c r="T7379" s="270">
        <v>27861.17</v>
      </c>
      <c r="U7379" s="271" t="s">
        <v>3945</v>
      </c>
      <c r="V7379" s="276" t="s">
        <v>936</v>
      </c>
    </row>
    <row r="7380" spans="1:22" hidden="1" x14ac:dyDescent="0.25">
      <c r="A7380" s="266">
        <v>43802</v>
      </c>
      <c r="B7380" s="267">
        <v>2019</v>
      </c>
      <c r="C7380" s="267">
        <v>2020</v>
      </c>
      <c r="D7380" s="267">
        <v>1</v>
      </c>
      <c r="E7380" s="267">
        <v>1</v>
      </c>
      <c r="F7380" s="267" t="s">
        <v>944</v>
      </c>
      <c r="G7380" s="267" t="s">
        <v>3926</v>
      </c>
      <c r="H7380" s="267" t="s">
        <v>12216</v>
      </c>
      <c r="I7380" s="267" t="s">
        <v>2987</v>
      </c>
      <c r="J7380" s="267" t="s">
        <v>3928</v>
      </c>
      <c r="K7380" s="267">
        <v>6611</v>
      </c>
      <c r="L7380" s="267">
        <v>90500</v>
      </c>
      <c r="M7380" s="267" t="s">
        <v>3943</v>
      </c>
      <c r="N7380" s="267" t="s">
        <v>3944</v>
      </c>
      <c r="O7380" s="267">
        <v>876.86</v>
      </c>
      <c r="P7380" s="267" t="s">
        <v>3944</v>
      </c>
      <c r="Q7380" s="267" t="s">
        <v>3944</v>
      </c>
      <c r="R7380" s="267">
        <v>876.86</v>
      </c>
      <c r="S7380" s="267">
        <v>9922.14</v>
      </c>
      <c r="T7380" s="267">
        <v>10799</v>
      </c>
      <c r="U7380" s="268" t="s">
        <v>3945</v>
      </c>
      <c r="V7380" s="267" t="s">
        <v>944</v>
      </c>
    </row>
    <row r="7381" spans="1:22" hidden="1" x14ac:dyDescent="0.25">
      <c r="A7381" s="269">
        <v>43802</v>
      </c>
      <c r="B7381" s="270">
        <v>2019</v>
      </c>
      <c r="C7381" s="270">
        <v>2020</v>
      </c>
      <c r="D7381" s="270">
        <v>1</v>
      </c>
      <c r="E7381" s="270">
        <v>1</v>
      </c>
      <c r="F7381" s="270" t="s">
        <v>944</v>
      </c>
      <c r="G7381" s="270" t="s">
        <v>3926</v>
      </c>
      <c r="H7381" s="270" t="s">
        <v>12217</v>
      </c>
      <c r="I7381" s="270" t="s">
        <v>953</v>
      </c>
      <c r="J7381" s="270" t="s">
        <v>3928</v>
      </c>
      <c r="K7381" s="270">
        <v>6514</v>
      </c>
      <c r="L7381" s="270">
        <v>165802</v>
      </c>
      <c r="M7381" s="270" t="s">
        <v>3943</v>
      </c>
      <c r="N7381" s="270" t="s">
        <v>3944</v>
      </c>
      <c r="O7381" s="270">
        <v>1321.53</v>
      </c>
      <c r="P7381" s="270" t="s">
        <v>3944</v>
      </c>
      <c r="Q7381" s="270" t="s">
        <v>3944</v>
      </c>
      <c r="R7381" s="270">
        <v>1321.53</v>
      </c>
      <c r="S7381" s="270">
        <v>22675.45</v>
      </c>
      <c r="T7381" s="270">
        <v>23996.98</v>
      </c>
      <c r="U7381" s="271" t="s">
        <v>3945</v>
      </c>
      <c r="V7381" s="267" t="s">
        <v>944</v>
      </c>
    </row>
    <row r="7382" spans="1:22" hidden="1" x14ac:dyDescent="0.25">
      <c r="A7382" s="266">
        <v>43802</v>
      </c>
      <c r="B7382" s="267">
        <v>2019</v>
      </c>
      <c r="C7382" s="267">
        <v>2020</v>
      </c>
      <c r="D7382" s="267">
        <v>1</v>
      </c>
      <c r="E7382" s="267">
        <v>1</v>
      </c>
      <c r="F7382" s="267" t="s">
        <v>944</v>
      </c>
      <c r="G7382" s="267" t="s">
        <v>3926</v>
      </c>
      <c r="H7382" s="267" t="s">
        <v>12218</v>
      </c>
      <c r="I7382" s="267" t="s">
        <v>943</v>
      </c>
      <c r="J7382" s="267" t="s">
        <v>3928</v>
      </c>
      <c r="K7382" s="267">
        <v>6512</v>
      </c>
      <c r="L7382" s="267">
        <v>142800</v>
      </c>
      <c r="M7382" s="267" t="s">
        <v>3940</v>
      </c>
      <c r="N7382" s="267" t="s">
        <v>3944</v>
      </c>
      <c r="O7382" s="267">
        <v>2003.23</v>
      </c>
      <c r="P7382" s="267" t="s">
        <v>3944</v>
      </c>
      <c r="Q7382" s="267" t="s">
        <v>3944</v>
      </c>
      <c r="R7382" s="267">
        <v>2003.23</v>
      </c>
      <c r="S7382" s="267">
        <v>31071.77</v>
      </c>
      <c r="T7382" s="267">
        <v>33075</v>
      </c>
      <c r="U7382" s="268" t="s">
        <v>3945</v>
      </c>
      <c r="V7382" s="267" t="s">
        <v>944</v>
      </c>
    </row>
    <row r="7383" spans="1:22" hidden="1" x14ac:dyDescent="0.25">
      <c r="A7383" s="269">
        <v>43802</v>
      </c>
      <c r="B7383" s="270">
        <v>2019</v>
      </c>
      <c r="C7383" s="270">
        <v>2020</v>
      </c>
      <c r="D7383" s="270">
        <v>1</v>
      </c>
      <c r="E7383" s="270">
        <v>1</v>
      </c>
      <c r="F7383" s="270" t="s">
        <v>944</v>
      </c>
      <c r="G7383" s="270" t="s">
        <v>3926</v>
      </c>
      <c r="H7383" s="270" t="s">
        <v>12219</v>
      </c>
      <c r="I7383" s="270" t="s">
        <v>3939</v>
      </c>
      <c r="J7383" s="270" t="s">
        <v>3928</v>
      </c>
      <c r="K7383" s="270">
        <v>6513</v>
      </c>
      <c r="L7383" s="270">
        <v>180602</v>
      </c>
      <c r="M7383" s="270" t="s">
        <v>3935</v>
      </c>
      <c r="N7383" s="270" t="s">
        <v>3944</v>
      </c>
      <c r="O7383" s="270">
        <v>3724.63</v>
      </c>
      <c r="P7383" s="270" t="s">
        <v>3944</v>
      </c>
      <c r="Q7383" s="270" t="s">
        <v>3944</v>
      </c>
      <c r="R7383" s="270">
        <v>3724.63</v>
      </c>
      <c r="S7383" s="270">
        <v>55016.57</v>
      </c>
      <c r="T7383" s="270">
        <v>58741.2</v>
      </c>
      <c r="U7383" s="271" t="s">
        <v>3945</v>
      </c>
      <c r="V7383" s="267" t="s">
        <v>944</v>
      </c>
    </row>
    <row r="7384" spans="1:22" hidden="1" x14ac:dyDescent="0.25">
      <c r="A7384" s="266">
        <v>43802</v>
      </c>
      <c r="B7384" s="267">
        <v>2019</v>
      </c>
      <c r="C7384" s="267">
        <v>2020</v>
      </c>
      <c r="D7384" s="267">
        <v>1</v>
      </c>
      <c r="E7384" s="267">
        <v>1</v>
      </c>
      <c r="F7384" s="267" t="s">
        <v>944</v>
      </c>
      <c r="G7384" s="267" t="s">
        <v>3926</v>
      </c>
      <c r="H7384" s="267" t="s">
        <v>12220</v>
      </c>
      <c r="I7384" s="267" t="s">
        <v>4042</v>
      </c>
      <c r="J7384" s="267" t="s">
        <v>3928</v>
      </c>
      <c r="K7384" s="267">
        <v>6370</v>
      </c>
      <c r="L7384" s="267">
        <v>695202</v>
      </c>
      <c r="M7384" s="267" t="s">
        <v>3935</v>
      </c>
      <c r="N7384" s="267" t="s">
        <v>3944</v>
      </c>
      <c r="O7384" s="267">
        <v>1752.28</v>
      </c>
      <c r="P7384" s="267" t="s">
        <v>3944</v>
      </c>
      <c r="Q7384" s="267" t="s">
        <v>3944</v>
      </c>
      <c r="R7384" s="267">
        <v>1752.28</v>
      </c>
      <c r="S7384" s="267">
        <v>11332.72</v>
      </c>
      <c r="T7384" s="267">
        <v>13085</v>
      </c>
      <c r="U7384" s="268" t="s">
        <v>3945</v>
      </c>
      <c r="V7384" s="267" t="s">
        <v>944</v>
      </c>
    </row>
    <row r="7385" spans="1:22" hidden="1" x14ac:dyDescent="0.25">
      <c r="A7385" s="269">
        <v>43802</v>
      </c>
      <c r="B7385" s="270">
        <v>2019</v>
      </c>
      <c r="C7385" s="270">
        <v>2020</v>
      </c>
      <c r="D7385" s="270">
        <v>1</v>
      </c>
      <c r="E7385" s="270">
        <v>1</v>
      </c>
      <c r="F7385" s="270" t="s">
        <v>944</v>
      </c>
      <c r="G7385" s="270" t="s">
        <v>3926</v>
      </c>
      <c r="H7385" s="270" t="s">
        <v>12221</v>
      </c>
      <c r="I7385" s="270" t="s">
        <v>3956</v>
      </c>
      <c r="J7385" s="270" t="s">
        <v>3928</v>
      </c>
      <c r="K7385" s="270">
        <v>6114</v>
      </c>
      <c r="L7385" s="270">
        <v>502600</v>
      </c>
      <c r="M7385" s="270">
        <v>-60</v>
      </c>
      <c r="N7385" s="270" t="s">
        <v>3944</v>
      </c>
      <c r="O7385" s="270">
        <v>2829.93</v>
      </c>
      <c r="P7385" s="270" t="s">
        <v>3944</v>
      </c>
      <c r="Q7385" s="270" t="s">
        <v>3944</v>
      </c>
      <c r="R7385" s="270">
        <v>2829.93</v>
      </c>
      <c r="S7385" s="270">
        <v>34275.31</v>
      </c>
      <c r="T7385" s="270">
        <v>37105.24</v>
      </c>
      <c r="U7385" s="271" t="s">
        <v>3945</v>
      </c>
      <c r="V7385" s="267" t="s">
        <v>944</v>
      </c>
    </row>
    <row r="7386" spans="1:22" hidden="1" x14ac:dyDescent="0.25">
      <c r="A7386" s="266">
        <v>43802</v>
      </c>
      <c r="B7386" s="267">
        <v>2019</v>
      </c>
      <c r="C7386" s="267">
        <v>2020</v>
      </c>
      <c r="D7386" s="267">
        <v>1</v>
      </c>
      <c r="E7386" s="267">
        <v>1</v>
      </c>
      <c r="F7386" s="267" t="s">
        <v>944</v>
      </c>
      <c r="G7386" s="267" t="s">
        <v>3926</v>
      </c>
      <c r="H7386" s="267" t="s">
        <v>12222</v>
      </c>
      <c r="I7386" s="267" t="s">
        <v>950</v>
      </c>
      <c r="J7386" s="267" t="s">
        <v>3928</v>
      </c>
      <c r="K7386" s="267">
        <v>6516</v>
      </c>
      <c r="L7386" s="267">
        <v>154600</v>
      </c>
      <c r="M7386" s="267">
        <v>-60</v>
      </c>
      <c r="N7386" s="267" t="s">
        <v>3944</v>
      </c>
      <c r="O7386" s="267">
        <v>2080.8200000000002</v>
      </c>
      <c r="P7386" s="267" t="s">
        <v>3944</v>
      </c>
      <c r="Q7386" s="267" t="s">
        <v>3944</v>
      </c>
      <c r="R7386" s="267">
        <v>2080.8200000000002</v>
      </c>
      <c r="S7386" s="267">
        <v>29434.93</v>
      </c>
      <c r="T7386" s="267">
        <v>31515.75</v>
      </c>
      <c r="U7386" s="268" t="s">
        <v>3945</v>
      </c>
      <c r="V7386" s="267" t="s">
        <v>944</v>
      </c>
    </row>
    <row r="7387" spans="1:22" hidden="1" x14ac:dyDescent="0.25">
      <c r="A7387" s="269">
        <v>43802</v>
      </c>
      <c r="B7387" s="270">
        <v>2019</v>
      </c>
      <c r="C7387" s="270">
        <v>2020</v>
      </c>
      <c r="D7387" s="270">
        <v>1</v>
      </c>
      <c r="E7387" s="270">
        <v>1</v>
      </c>
      <c r="F7387" s="270" t="s">
        <v>944</v>
      </c>
      <c r="G7387" s="270" t="s">
        <v>3926</v>
      </c>
      <c r="H7387" s="270" t="s">
        <v>12223</v>
      </c>
      <c r="I7387" s="270" t="s">
        <v>3964</v>
      </c>
      <c r="J7387" s="270" t="s">
        <v>3928</v>
      </c>
      <c r="K7387" s="270">
        <v>6033</v>
      </c>
      <c r="L7387" s="270">
        <v>520100</v>
      </c>
      <c r="M7387" s="270" t="s">
        <v>3943</v>
      </c>
      <c r="N7387" s="270" t="s">
        <v>3944</v>
      </c>
      <c r="O7387" s="270">
        <v>1191.0899999999999</v>
      </c>
      <c r="P7387" s="270" t="s">
        <v>3944</v>
      </c>
      <c r="Q7387" s="270" t="s">
        <v>3944</v>
      </c>
      <c r="R7387" s="270">
        <v>1191.0899999999999</v>
      </c>
      <c r="S7387" s="270">
        <v>13997.91</v>
      </c>
      <c r="T7387" s="270">
        <v>15189</v>
      </c>
      <c r="U7387" s="271" t="s">
        <v>3945</v>
      </c>
      <c r="V7387" s="267" t="s">
        <v>944</v>
      </c>
    </row>
    <row r="7388" spans="1:22" hidden="1" x14ac:dyDescent="0.25">
      <c r="A7388" s="266">
        <v>43802</v>
      </c>
      <c r="B7388" s="267">
        <v>2019</v>
      </c>
      <c r="C7388" s="267">
        <v>2020</v>
      </c>
      <c r="D7388" s="267">
        <v>1</v>
      </c>
      <c r="E7388" s="267">
        <v>1</v>
      </c>
      <c r="F7388" s="267" t="s">
        <v>944</v>
      </c>
      <c r="G7388" s="267" t="s">
        <v>3926</v>
      </c>
      <c r="H7388" s="267" t="s">
        <v>12224</v>
      </c>
      <c r="I7388" s="267" t="s">
        <v>4323</v>
      </c>
      <c r="J7388" s="267" t="s">
        <v>3928</v>
      </c>
      <c r="K7388" s="267">
        <v>6375</v>
      </c>
      <c r="L7388" s="267">
        <v>693600</v>
      </c>
      <c r="M7388" s="267" t="s">
        <v>3960</v>
      </c>
      <c r="N7388" s="267" t="s">
        <v>3944</v>
      </c>
      <c r="O7388" s="267">
        <v>2272.0300000000002</v>
      </c>
      <c r="P7388" s="267" t="s">
        <v>3944</v>
      </c>
      <c r="Q7388" s="267" t="s">
        <v>3944</v>
      </c>
      <c r="R7388" s="267">
        <v>2272.0300000000002</v>
      </c>
      <c r="S7388" s="267">
        <v>32036.720000000001</v>
      </c>
      <c r="T7388" s="267">
        <v>34308.75</v>
      </c>
      <c r="U7388" s="268" t="s">
        <v>3945</v>
      </c>
      <c r="V7388" s="267" t="s">
        <v>944</v>
      </c>
    </row>
    <row r="7389" spans="1:22" hidden="1" x14ac:dyDescent="0.25">
      <c r="A7389" s="269">
        <v>43802</v>
      </c>
      <c r="B7389" s="270">
        <v>2019</v>
      </c>
      <c r="C7389" s="270">
        <v>2020</v>
      </c>
      <c r="D7389" s="270">
        <v>1</v>
      </c>
      <c r="E7389" s="270">
        <v>1</v>
      </c>
      <c r="F7389" s="270" t="s">
        <v>944</v>
      </c>
      <c r="G7389" s="270" t="s">
        <v>3926</v>
      </c>
      <c r="H7389" s="270" t="s">
        <v>12225</v>
      </c>
      <c r="I7389" s="270" t="s">
        <v>4250</v>
      </c>
      <c r="J7389" s="270" t="s">
        <v>3928</v>
      </c>
      <c r="K7389" s="270">
        <v>6241</v>
      </c>
      <c r="L7389" s="270">
        <v>904100</v>
      </c>
      <c r="M7389" s="270" t="s">
        <v>3935</v>
      </c>
      <c r="N7389" s="270" t="s">
        <v>3944</v>
      </c>
      <c r="O7389" s="270">
        <v>1197.1099999999999</v>
      </c>
      <c r="P7389" s="270" t="s">
        <v>3944</v>
      </c>
      <c r="Q7389" s="270" t="s">
        <v>3944</v>
      </c>
      <c r="R7389" s="270">
        <v>1197.1099999999999</v>
      </c>
      <c r="S7389" s="270">
        <v>13088.89</v>
      </c>
      <c r="T7389" s="270">
        <v>14286</v>
      </c>
      <c r="U7389" s="271" t="s">
        <v>3945</v>
      </c>
      <c r="V7389" s="267" t="s">
        <v>944</v>
      </c>
    </row>
    <row r="7390" spans="1:22" hidden="1" x14ac:dyDescent="0.25">
      <c r="A7390" s="266">
        <v>43803</v>
      </c>
      <c r="B7390" s="267">
        <v>2019</v>
      </c>
      <c r="C7390" s="267">
        <v>2020</v>
      </c>
      <c r="D7390" s="267">
        <v>1</v>
      </c>
      <c r="E7390" s="267">
        <v>1</v>
      </c>
      <c r="F7390" s="267" t="s">
        <v>944</v>
      </c>
      <c r="G7390" s="267" t="s">
        <v>3926</v>
      </c>
      <c r="H7390" s="267" t="s">
        <v>12226</v>
      </c>
      <c r="I7390" s="267" t="s">
        <v>4124</v>
      </c>
      <c r="J7390" s="267" t="s">
        <v>3928</v>
      </c>
      <c r="K7390" s="267">
        <v>6482</v>
      </c>
      <c r="L7390" s="267">
        <v>230501</v>
      </c>
      <c r="M7390" s="267" t="s">
        <v>3943</v>
      </c>
      <c r="N7390" s="267" t="s">
        <v>12227</v>
      </c>
      <c r="O7390" s="267">
        <v>5711</v>
      </c>
      <c r="P7390" s="267" t="s">
        <v>3930</v>
      </c>
      <c r="Q7390" s="267" t="s">
        <v>3930</v>
      </c>
      <c r="R7390" s="267">
        <v>5711</v>
      </c>
      <c r="S7390" s="267">
        <v>59809</v>
      </c>
      <c r="T7390" s="267">
        <v>65520</v>
      </c>
      <c r="U7390" s="268" t="s">
        <v>3937</v>
      </c>
      <c r="V7390" s="267" t="s">
        <v>944</v>
      </c>
    </row>
    <row r="7391" spans="1:22" hidden="1" x14ac:dyDescent="0.25">
      <c r="A7391" s="269">
        <v>43803</v>
      </c>
      <c r="B7391" s="270">
        <v>2019</v>
      </c>
      <c r="C7391" s="270">
        <v>2020</v>
      </c>
      <c r="D7391" s="270">
        <v>1</v>
      </c>
      <c r="E7391" s="270">
        <v>1</v>
      </c>
      <c r="F7391" s="270" t="s">
        <v>944</v>
      </c>
      <c r="G7391" s="270" t="s">
        <v>3926</v>
      </c>
      <c r="H7391" s="270" t="s">
        <v>12228</v>
      </c>
      <c r="I7391" s="270" t="s">
        <v>3999</v>
      </c>
      <c r="J7391" s="270" t="s">
        <v>3928</v>
      </c>
      <c r="K7391" s="270">
        <v>6451</v>
      </c>
      <c r="L7391" s="270">
        <v>170400</v>
      </c>
      <c r="M7391" s="270" t="s">
        <v>3940</v>
      </c>
      <c r="N7391" s="270" t="s">
        <v>4103</v>
      </c>
      <c r="O7391" s="270">
        <v>4760.82</v>
      </c>
      <c r="P7391" s="270" t="s">
        <v>3930</v>
      </c>
      <c r="Q7391" s="270" t="s">
        <v>3931</v>
      </c>
      <c r="R7391" s="270">
        <v>9760.82</v>
      </c>
      <c r="S7391" s="270">
        <v>24145.599999999999</v>
      </c>
      <c r="T7391" s="270">
        <v>33906.42</v>
      </c>
      <c r="U7391" s="271" t="s">
        <v>3932</v>
      </c>
      <c r="V7391" s="267" t="s">
        <v>944</v>
      </c>
    </row>
    <row r="7392" spans="1:22" hidden="1" x14ac:dyDescent="0.25">
      <c r="A7392" s="266">
        <v>43803</v>
      </c>
      <c r="B7392" s="267">
        <v>2019</v>
      </c>
      <c r="C7392" s="267">
        <v>2020</v>
      </c>
      <c r="D7392" s="267">
        <v>1</v>
      </c>
      <c r="E7392" s="267">
        <v>1</v>
      </c>
      <c r="F7392" s="267" t="s">
        <v>944</v>
      </c>
      <c r="G7392" s="267" t="s">
        <v>3926</v>
      </c>
      <c r="H7392" s="267" t="s">
        <v>12229</v>
      </c>
      <c r="I7392" s="267" t="s">
        <v>934</v>
      </c>
      <c r="J7392" s="267" t="s">
        <v>3928</v>
      </c>
      <c r="K7392" s="267">
        <v>6605</v>
      </c>
      <c r="L7392" s="267">
        <v>71100</v>
      </c>
      <c r="M7392" s="267">
        <v>-60</v>
      </c>
      <c r="N7392" s="267" t="s">
        <v>4103</v>
      </c>
      <c r="O7392" s="267">
        <v>3642.94</v>
      </c>
      <c r="P7392" s="267" t="s">
        <v>3930</v>
      </c>
      <c r="Q7392" s="267" t="s">
        <v>3931</v>
      </c>
      <c r="R7392" s="267">
        <v>8642.94</v>
      </c>
      <c r="S7392" s="267">
        <v>24145.599999999999</v>
      </c>
      <c r="T7392" s="267">
        <v>32788.54</v>
      </c>
      <c r="U7392" s="268" t="s">
        <v>3932</v>
      </c>
      <c r="V7392" s="267" t="s">
        <v>944</v>
      </c>
    </row>
    <row r="7393" spans="1:22" hidden="1" x14ac:dyDescent="0.25">
      <c r="A7393" s="269">
        <v>43803</v>
      </c>
      <c r="B7393" s="270">
        <v>2019</v>
      </c>
      <c r="C7393" s="270">
        <v>2020</v>
      </c>
      <c r="D7393" s="270">
        <v>1</v>
      </c>
      <c r="E7393" s="270">
        <v>1</v>
      </c>
      <c r="F7393" s="270" t="s">
        <v>944</v>
      </c>
      <c r="G7393" s="270" t="s">
        <v>3997</v>
      </c>
      <c r="H7393" s="270" t="s">
        <v>12230</v>
      </c>
      <c r="I7393" s="270" t="s">
        <v>4392</v>
      </c>
      <c r="J7393" s="270" t="s">
        <v>3928</v>
      </c>
      <c r="K7393" s="270">
        <v>6457</v>
      </c>
      <c r="L7393" s="270">
        <v>542100</v>
      </c>
      <c r="M7393" s="270" t="s">
        <v>3940</v>
      </c>
      <c r="N7393" s="270" t="s">
        <v>4053</v>
      </c>
      <c r="O7393" s="270">
        <v>3024.5</v>
      </c>
      <c r="P7393" s="270" t="s">
        <v>3930</v>
      </c>
      <c r="Q7393" s="270" t="s">
        <v>3931</v>
      </c>
      <c r="R7393" s="270">
        <v>8024.5</v>
      </c>
      <c r="S7393" s="270">
        <v>18603.2</v>
      </c>
      <c r="T7393" s="270">
        <v>26627.7</v>
      </c>
      <c r="U7393" s="271" t="s">
        <v>3932</v>
      </c>
      <c r="V7393" s="267" t="s">
        <v>944</v>
      </c>
    </row>
    <row r="7394" spans="1:22" hidden="1" x14ac:dyDescent="0.25">
      <c r="A7394" s="266">
        <v>43803</v>
      </c>
      <c r="B7394" s="267">
        <v>2019</v>
      </c>
      <c r="C7394" s="267">
        <v>2020</v>
      </c>
      <c r="D7394" s="267">
        <v>1</v>
      </c>
      <c r="E7394" s="267">
        <v>1</v>
      </c>
      <c r="F7394" s="267" t="s">
        <v>944</v>
      </c>
      <c r="G7394" s="267" t="s">
        <v>3926</v>
      </c>
      <c r="H7394" s="267" t="s">
        <v>12231</v>
      </c>
      <c r="I7394" s="267" t="s">
        <v>4213</v>
      </c>
      <c r="J7394" s="267" t="s">
        <v>3928</v>
      </c>
      <c r="K7394" s="267">
        <v>6051</v>
      </c>
      <c r="L7394" s="267">
        <v>415300</v>
      </c>
      <c r="M7394" s="267">
        <v>-60</v>
      </c>
      <c r="N7394" s="267" t="s">
        <v>12232</v>
      </c>
      <c r="O7394" s="267">
        <v>0</v>
      </c>
      <c r="P7394" s="267" t="s">
        <v>3930</v>
      </c>
      <c r="Q7394" s="267" t="s">
        <v>3930</v>
      </c>
      <c r="R7394" s="267">
        <v>0</v>
      </c>
      <c r="S7394" s="267">
        <v>10020</v>
      </c>
      <c r="T7394" s="267">
        <v>10020</v>
      </c>
      <c r="U7394" s="268" t="s">
        <v>3937</v>
      </c>
      <c r="V7394" s="267" t="s">
        <v>944</v>
      </c>
    </row>
    <row r="7395" spans="1:22" hidden="1" x14ac:dyDescent="0.25">
      <c r="A7395" s="269">
        <v>43803</v>
      </c>
      <c r="B7395" s="270">
        <v>2019</v>
      </c>
      <c r="C7395" s="270">
        <v>2020</v>
      </c>
      <c r="D7395" s="270">
        <v>1</v>
      </c>
      <c r="E7395" s="270">
        <v>1</v>
      </c>
      <c r="F7395" s="270" t="s">
        <v>944</v>
      </c>
      <c r="G7395" s="270" t="s">
        <v>3926</v>
      </c>
      <c r="H7395" s="270" t="s">
        <v>12233</v>
      </c>
      <c r="I7395" s="270" t="s">
        <v>3968</v>
      </c>
      <c r="J7395" s="270" t="s">
        <v>3928</v>
      </c>
      <c r="K7395" s="270">
        <v>6042</v>
      </c>
      <c r="L7395" s="270">
        <v>514400</v>
      </c>
      <c r="M7395" s="270" t="s">
        <v>3940</v>
      </c>
      <c r="N7395" s="270" t="s">
        <v>12234</v>
      </c>
      <c r="O7395" s="270">
        <v>0</v>
      </c>
      <c r="P7395" s="270" t="s">
        <v>3930</v>
      </c>
      <c r="Q7395" s="270" t="s">
        <v>3930</v>
      </c>
      <c r="R7395" s="270">
        <v>0</v>
      </c>
      <c r="S7395" s="270">
        <v>11377.23</v>
      </c>
      <c r="T7395" s="270">
        <v>11377.23</v>
      </c>
      <c r="U7395" s="271" t="s">
        <v>3937</v>
      </c>
      <c r="V7395" s="267" t="s">
        <v>944</v>
      </c>
    </row>
    <row r="7396" spans="1:22" hidden="1" x14ac:dyDescent="0.25">
      <c r="A7396" s="266">
        <v>43803</v>
      </c>
      <c r="B7396" s="267">
        <v>2019</v>
      </c>
      <c r="C7396" s="267">
        <v>2020</v>
      </c>
      <c r="D7396" s="267">
        <v>1</v>
      </c>
      <c r="E7396" s="267">
        <v>1</v>
      </c>
      <c r="F7396" s="267" t="s">
        <v>944</v>
      </c>
      <c r="G7396" s="267" t="s">
        <v>3926</v>
      </c>
      <c r="H7396" s="267" t="s">
        <v>12235</v>
      </c>
      <c r="I7396" s="267" t="s">
        <v>4073</v>
      </c>
      <c r="J7396" s="267" t="s">
        <v>3928</v>
      </c>
      <c r="K7396" s="267">
        <v>6776</v>
      </c>
      <c r="L7396" s="267">
        <v>253200</v>
      </c>
      <c r="M7396" s="267" t="s">
        <v>3960</v>
      </c>
      <c r="N7396" s="267" t="s">
        <v>3944</v>
      </c>
      <c r="O7396" s="267">
        <v>4073</v>
      </c>
      <c r="P7396" s="267" t="s">
        <v>3944</v>
      </c>
      <c r="Q7396" s="267" t="s">
        <v>3944</v>
      </c>
      <c r="R7396" s="267">
        <v>4073</v>
      </c>
      <c r="S7396" s="267">
        <v>28811</v>
      </c>
      <c r="T7396" s="267">
        <v>32884</v>
      </c>
      <c r="U7396" s="268" t="s">
        <v>3945</v>
      </c>
      <c r="V7396" s="267" t="s">
        <v>944</v>
      </c>
    </row>
    <row r="7397" spans="1:22" hidden="1" x14ac:dyDescent="0.25">
      <c r="A7397" s="269">
        <v>43803</v>
      </c>
      <c r="B7397" s="270">
        <v>2019</v>
      </c>
      <c r="C7397" s="270">
        <v>2020</v>
      </c>
      <c r="D7397" s="270">
        <v>1</v>
      </c>
      <c r="E7397" s="270">
        <v>1</v>
      </c>
      <c r="F7397" s="270" t="s">
        <v>944</v>
      </c>
      <c r="G7397" s="270" t="s">
        <v>3926</v>
      </c>
      <c r="H7397" s="270" t="s">
        <v>12236</v>
      </c>
      <c r="I7397" s="270" t="s">
        <v>4073</v>
      </c>
      <c r="J7397" s="270" t="s">
        <v>3928</v>
      </c>
      <c r="K7397" s="270">
        <v>6776</v>
      </c>
      <c r="L7397" s="270">
        <v>253200</v>
      </c>
      <c r="M7397" s="270" t="s">
        <v>3960</v>
      </c>
      <c r="N7397" s="270" t="s">
        <v>3944</v>
      </c>
      <c r="O7397" s="270">
        <v>8629</v>
      </c>
      <c r="P7397" s="270" t="s">
        <v>3944</v>
      </c>
      <c r="Q7397" s="270" t="s">
        <v>3944</v>
      </c>
      <c r="R7397" s="270">
        <v>8629</v>
      </c>
      <c r="S7397" s="270">
        <v>81003.5</v>
      </c>
      <c r="T7397" s="270">
        <v>89632.5</v>
      </c>
      <c r="U7397" s="271" t="s">
        <v>3945</v>
      </c>
      <c r="V7397" s="267" t="s">
        <v>944</v>
      </c>
    </row>
    <row r="7398" spans="1:22" hidden="1" x14ac:dyDescent="0.25">
      <c r="A7398" s="266">
        <v>43803</v>
      </c>
      <c r="B7398" s="267">
        <v>2019</v>
      </c>
      <c r="C7398" s="267">
        <v>2020</v>
      </c>
      <c r="D7398" s="267">
        <v>1</v>
      </c>
      <c r="E7398" s="267">
        <v>1</v>
      </c>
      <c r="F7398" s="267" t="s">
        <v>944</v>
      </c>
      <c r="G7398" s="267" t="s">
        <v>3926</v>
      </c>
      <c r="H7398" s="267" t="s">
        <v>12237</v>
      </c>
      <c r="I7398" s="267" t="s">
        <v>4232</v>
      </c>
      <c r="J7398" s="267" t="s">
        <v>3928</v>
      </c>
      <c r="K7398" s="267">
        <v>6483</v>
      </c>
      <c r="L7398" s="267">
        <v>130200</v>
      </c>
      <c r="M7398" s="267" t="s">
        <v>3935</v>
      </c>
      <c r="N7398" s="267" t="s">
        <v>3944</v>
      </c>
      <c r="O7398" s="267">
        <v>4680</v>
      </c>
      <c r="P7398" s="267" t="s">
        <v>3944</v>
      </c>
      <c r="Q7398" s="267" t="s">
        <v>3944</v>
      </c>
      <c r="R7398" s="267">
        <v>4680</v>
      </c>
      <c r="S7398" s="267">
        <v>28577</v>
      </c>
      <c r="T7398" s="267">
        <v>33257</v>
      </c>
      <c r="U7398" s="268" t="s">
        <v>3945</v>
      </c>
      <c r="V7398" s="267" t="s">
        <v>944</v>
      </c>
    </row>
    <row r="7399" spans="1:22" hidden="1" x14ac:dyDescent="0.25">
      <c r="A7399" s="269">
        <v>43803</v>
      </c>
      <c r="B7399" s="270">
        <v>2019</v>
      </c>
      <c r="C7399" s="270">
        <v>2020</v>
      </c>
      <c r="D7399" s="270">
        <v>1</v>
      </c>
      <c r="E7399" s="270">
        <v>1</v>
      </c>
      <c r="F7399" s="270" t="s">
        <v>944</v>
      </c>
      <c r="G7399" s="270" t="s">
        <v>3926</v>
      </c>
      <c r="H7399" s="270" t="s">
        <v>12238</v>
      </c>
      <c r="I7399" s="270" t="s">
        <v>2987</v>
      </c>
      <c r="J7399" s="270" t="s">
        <v>3928</v>
      </c>
      <c r="K7399" s="270">
        <v>6611</v>
      </c>
      <c r="L7399" s="270">
        <v>90700</v>
      </c>
      <c r="M7399" s="270" t="s">
        <v>3943</v>
      </c>
      <c r="N7399" s="270" t="s">
        <v>3944</v>
      </c>
      <c r="O7399" s="270">
        <v>4871</v>
      </c>
      <c r="P7399" s="270" t="s">
        <v>3944</v>
      </c>
      <c r="Q7399" s="270" t="s">
        <v>3944</v>
      </c>
      <c r="R7399" s="270">
        <v>4871</v>
      </c>
      <c r="S7399" s="270">
        <v>34071</v>
      </c>
      <c r="T7399" s="270">
        <v>38942</v>
      </c>
      <c r="U7399" s="271" t="s">
        <v>3945</v>
      </c>
      <c r="V7399" s="267" t="s">
        <v>944</v>
      </c>
    </row>
    <row r="7400" spans="1:22" hidden="1" x14ac:dyDescent="0.25">
      <c r="A7400" s="266">
        <v>43803</v>
      </c>
      <c r="B7400" s="267">
        <v>2019</v>
      </c>
      <c r="C7400" s="267">
        <v>2020</v>
      </c>
      <c r="D7400" s="267">
        <v>1</v>
      </c>
      <c r="E7400" s="267">
        <v>1</v>
      </c>
      <c r="F7400" s="267" t="s">
        <v>944</v>
      </c>
      <c r="G7400" s="267" t="s">
        <v>3926</v>
      </c>
      <c r="H7400" s="267" t="s">
        <v>12239</v>
      </c>
      <c r="I7400" s="267" t="s">
        <v>5325</v>
      </c>
      <c r="J7400" s="267" t="s">
        <v>3928</v>
      </c>
      <c r="K7400" s="267">
        <v>6057</v>
      </c>
      <c r="L7400" s="267">
        <v>306100</v>
      </c>
      <c r="M7400" s="267" t="s">
        <v>3943</v>
      </c>
      <c r="N7400" s="267" t="s">
        <v>3944</v>
      </c>
      <c r="O7400" s="267">
        <v>4788</v>
      </c>
      <c r="P7400" s="267" t="s">
        <v>3944</v>
      </c>
      <c r="Q7400" s="267" t="s">
        <v>3944</v>
      </c>
      <c r="R7400" s="267">
        <v>4788</v>
      </c>
      <c r="S7400" s="267">
        <v>33052.75</v>
      </c>
      <c r="T7400" s="267">
        <v>37840.75</v>
      </c>
      <c r="U7400" s="268" t="s">
        <v>3945</v>
      </c>
      <c r="V7400" s="267" t="s">
        <v>944</v>
      </c>
    </row>
    <row r="7401" spans="1:22" hidden="1" x14ac:dyDescent="0.25">
      <c r="A7401" s="269">
        <v>43803</v>
      </c>
      <c r="B7401" s="270">
        <v>2019</v>
      </c>
      <c r="C7401" s="270">
        <v>2020</v>
      </c>
      <c r="D7401" s="270">
        <v>1</v>
      </c>
      <c r="E7401" s="270">
        <v>1</v>
      </c>
      <c r="F7401" s="270" t="s">
        <v>944</v>
      </c>
      <c r="G7401" s="270" t="s">
        <v>3926</v>
      </c>
      <c r="H7401" s="270" t="s">
        <v>12240</v>
      </c>
      <c r="I7401" s="270" t="s">
        <v>4871</v>
      </c>
      <c r="J7401" s="270" t="s">
        <v>3928</v>
      </c>
      <c r="K7401" s="270">
        <v>6877</v>
      </c>
      <c r="L7401" s="270">
        <v>245200</v>
      </c>
      <c r="M7401" s="270" t="s">
        <v>3943</v>
      </c>
      <c r="N7401" s="270" t="s">
        <v>3944</v>
      </c>
      <c r="O7401" s="270">
        <v>8629</v>
      </c>
      <c r="P7401" s="270" t="s">
        <v>3944</v>
      </c>
      <c r="Q7401" s="270" t="s">
        <v>3944</v>
      </c>
      <c r="R7401" s="270">
        <v>8629</v>
      </c>
      <c r="S7401" s="270">
        <v>89238.5</v>
      </c>
      <c r="T7401" s="270">
        <v>97867.5</v>
      </c>
      <c r="U7401" s="271" t="s">
        <v>3945</v>
      </c>
      <c r="V7401" s="267" t="s">
        <v>944</v>
      </c>
    </row>
    <row r="7402" spans="1:22" hidden="1" x14ac:dyDescent="0.25">
      <c r="A7402" s="266">
        <v>43803</v>
      </c>
      <c r="B7402" s="267">
        <v>2019</v>
      </c>
      <c r="C7402" s="267">
        <v>2020</v>
      </c>
      <c r="D7402" s="267">
        <v>1</v>
      </c>
      <c r="E7402" s="267">
        <v>1</v>
      </c>
      <c r="F7402" s="267" t="s">
        <v>944</v>
      </c>
      <c r="G7402" s="267" t="s">
        <v>3926</v>
      </c>
      <c r="H7402" s="267" t="s">
        <v>12241</v>
      </c>
      <c r="I7402" s="267" t="s">
        <v>4548</v>
      </c>
      <c r="J7402" s="267" t="s">
        <v>3928</v>
      </c>
      <c r="K7402" s="267">
        <v>6037</v>
      </c>
      <c r="L7402" s="267">
        <v>400100</v>
      </c>
      <c r="M7402" s="267" t="s">
        <v>3935</v>
      </c>
      <c r="N7402" s="267" t="s">
        <v>3944</v>
      </c>
      <c r="O7402" s="267">
        <v>2820</v>
      </c>
      <c r="P7402" s="267" t="s">
        <v>3944</v>
      </c>
      <c r="Q7402" s="267" t="s">
        <v>3944</v>
      </c>
      <c r="R7402" s="267">
        <v>2820</v>
      </c>
      <c r="S7402" s="267">
        <v>20332.5</v>
      </c>
      <c r="T7402" s="267">
        <v>23152.5</v>
      </c>
      <c r="U7402" s="268" t="s">
        <v>3945</v>
      </c>
      <c r="V7402" s="267" t="s">
        <v>944</v>
      </c>
    </row>
    <row r="7403" spans="1:22" hidden="1" x14ac:dyDescent="0.25">
      <c r="A7403" s="269">
        <v>43803</v>
      </c>
      <c r="B7403" s="270">
        <v>2019</v>
      </c>
      <c r="C7403" s="270">
        <v>2020</v>
      </c>
      <c r="D7403" s="270">
        <v>1</v>
      </c>
      <c r="E7403" s="270">
        <v>1</v>
      </c>
      <c r="F7403" s="270" t="s">
        <v>944</v>
      </c>
      <c r="G7403" s="270" t="s">
        <v>3926</v>
      </c>
      <c r="H7403" s="270" t="s">
        <v>12242</v>
      </c>
      <c r="I7403" s="270" t="s">
        <v>4073</v>
      </c>
      <c r="J7403" s="270" t="s">
        <v>3928</v>
      </c>
      <c r="K7403" s="270">
        <v>6776</v>
      </c>
      <c r="L7403" s="270">
        <v>253500</v>
      </c>
      <c r="M7403" s="270" t="s">
        <v>3943</v>
      </c>
      <c r="N7403" s="270" t="s">
        <v>3944</v>
      </c>
      <c r="O7403" s="270">
        <v>5731</v>
      </c>
      <c r="P7403" s="270" t="s">
        <v>3944</v>
      </c>
      <c r="Q7403" s="270" t="s">
        <v>3944</v>
      </c>
      <c r="R7403" s="270">
        <v>5731</v>
      </c>
      <c r="S7403" s="270">
        <v>41519</v>
      </c>
      <c r="T7403" s="270">
        <v>47250</v>
      </c>
      <c r="U7403" s="271" t="s">
        <v>3945</v>
      </c>
      <c r="V7403" s="267" t="s">
        <v>944</v>
      </c>
    </row>
    <row r="7404" spans="1:22" hidden="1" x14ac:dyDescent="0.25">
      <c r="A7404" s="266">
        <v>43803</v>
      </c>
      <c r="B7404" s="267">
        <v>2019</v>
      </c>
      <c r="C7404" s="267">
        <v>2020</v>
      </c>
      <c r="D7404" s="267">
        <v>1</v>
      </c>
      <c r="E7404" s="267">
        <v>1</v>
      </c>
      <c r="F7404" s="267" t="s">
        <v>944</v>
      </c>
      <c r="G7404" s="267" t="s">
        <v>3926</v>
      </c>
      <c r="H7404" s="267" t="s">
        <v>12243</v>
      </c>
      <c r="I7404" s="267" t="s">
        <v>4014</v>
      </c>
      <c r="J7404" s="267" t="s">
        <v>3928</v>
      </c>
      <c r="K7404" s="267">
        <v>6420</v>
      </c>
      <c r="L7404" s="267">
        <v>715100</v>
      </c>
      <c r="M7404" s="267" t="s">
        <v>3943</v>
      </c>
      <c r="N7404" s="267" t="s">
        <v>3944</v>
      </c>
      <c r="O7404" s="267">
        <v>5877</v>
      </c>
      <c r="P7404" s="267" t="s">
        <v>3944</v>
      </c>
      <c r="Q7404" s="267" t="s">
        <v>3944</v>
      </c>
      <c r="R7404" s="267">
        <v>5877</v>
      </c>
      <c r="S7404" s="267">
        <v>53523</v>
      </c>
      <c r="T7404" s="267">
        <v>59400</v>
      </c>
      <c r="U7404" s="268" t="s">
        <v>3945</v>
      </c>
      <c r="V7404" s="267" t="s">
        <v>944</v>
      </c>
    </row>
    <row r="7405" spans="1:22" hidden="1" x14ac:dyDescent="0.25">
      <c r="A7405" s="269">
        <v>43803</v>
      </c>
      <c r="B7405" s="270">
        <v>2019</v>
      </c>
      <c r="C7405" s="270">
        <v>2020</v>
      </c>
      <c r="D7405" s="270">
        <v>1</v>
      </c>
      <c r="E7405" s="270">
        <v>1</v>
      </c>
      <c r="F7405" s="270" t="s">
        <v>944</v>
      </c>
      <c r="G7405" s="270" t="s">
        <v>3926</v>
      </c>
      <c r="H7405" s="270" t="s">
        <v>12244</v>
      </c>
      <c r="I7405" s="270" t="s">
        <v>6052</v>
      </c>
      <c r="J7405" s="270" t="s">
        <v>3928</v>
      </c>
      <c r="K7405" s="270">
        <v>6039</v>
      </c>
      <c r="L7405" s="270">
        <v>261100</v>
      </c>
      <c r="M7405" s="270" t="s">
        <v>3935</v>
      </c>
      <c r="N7405" s="270" t="s">
        <v>3944</v>
      </c>
      <c r="O7405" s="270">
        <v>2687</v>
      </c>
      <c r="P7405" s="270" t="s">
        <v>3944</v>
      </c>
      <c r="Q7405" s="270" t="s">
        <v>3944</v>
      </c>
      <c r="R7405" s="270">
        <v>2687</v>
      </c>
      <c r="S7405" s="270">
        <v>21158</v>
      </c>
      <c r="T7405" s="270">
        <v>23845</v>
      </c>
      <c r="U7405" s="271" t="s">
        <v>3945</v>
      </c>
      <c r="V7405" s="267" t="s">
        <v>944</v>
      </c>
    </row>
    <row r="7406" spans="1:22" hidden="1" x14ac:dyDescent="0.25">
      <c r="A7406" s="266">
        <v>43803</v>
      </c>
      <c r="B7406" s="267">
        <v>2019</v>
      </c>
      <c r="C7406" s="267">
        <v>2020</v>
      </c>
      <c r="D7406" s="267">
        <v>1</v>
      </c>
      <c r="E7406" s="267">
        <v>1</v>
      </c>
      <c r="F7406" s="267" t="s">
        <v>944</v>
      </c>
      <c r="G7406" s="267" t="s">
        <v>3926</v>
      </c>
      <c r="H7406" s="267" t="s">
        <v>12245</v>
      </c>
      <c r="I7406" s="267" t="s">
        <v>953</v>
      </c>
      <c r="J7406" s="267" t="s">
        <v>3928</v>
      </c>
      <c r="K7406" s="267">
        <v>6517</v>
      </c>
      <c r="L7406" s="267">
        <v>165100</v>
      </c>
      <c r="M7406" s="267" t="s">
        <v>3935</v>
      </c>
      <c r="N7406" s="267" t="s">
        <v>3944</v>
      </c>
      <c r="O7406" s="267">
        <v>898.24</v>
      </c>
      <c r="P7406" s="267" t="s">
        <v>3944</v>
      </c>
      <c r="Q7406" s="267" t="s">
        <v>3944</v>
      </c>
      <c r="R7406" s="267">
        <v>898.24</v>
      </c>
      <c r="S7406" s="267">
        <v>12313.92</v>
      </c>
      <c r="T7406" s="267">
        <v>13212.16</v>
      </c>
      <c r="U7406" s="268" t="s">
        <v>3945</v>
      </c>
      <c r="V7406" s="267" t="s">
        <v>944</v>
      </c>
    </row>
    <row r="7407" spans="1:22" hidden="1" x14ac:dyDescent="0.25">
      <c r="A7407" s="269">
        <v>43803</v>
      </c>
      <c r="B7407" s="270">
        <v>2019</v>
      </c>
      <c r="C7407" s="270">
        <v>2020</v>
      </c>
      <c r="D7407" s="270">
        <v>1</v>
      </c>
      <c r="E7407" s="270">
        <v>1</v>
      </c>
      <c r="F7407" s="270" t="s">
        <v>944</v>
      </c>
      <c r="G7407" s="270" t="s">
        <v>3926</v>
      </c>
      <c r="H7407" s="270" t="s">
        <v>12246</v>
      </c>
      <c r="I7407" s="270" t="s">
        <v>6420</v>
      </c>
      <c r="J7407" s="270" t="s">
        <v>3928</v>
      </c>
      <c r="K7407" s="270">
        <v>6777</v>
      </c>
      <c r="L7407" s="270">
        <v>267100</v>
      </c>
      <c r="M7407" s="270" t="s">
        <v>3943</v>
      </c>
      <c r="N7407" s="270" t="s">
        <v>12247</v>
      </c>
      <c r="O7407" s="270">
        <v>0</v>
      </c>
      <c r="P7407" s="270" t="s">
        <v>3944</v>
      </c>
      <c r="Q7407" s="270" t="s">
        <v>12248</v>
      </c>
      <c r="R7407" s="270">
        <v>239400</v>
      </c>
      <c r="S7407" s="270">
        <v>140600</v>
      </c>
      <c r="T7407" s="270">
        <v>380000</v>
      </c>
      <c r="U7407" s="271" t="s">
        <v>5304</v>
      </c>
      <c r="V7407" s="267" t="s">
        <v>944</v>
      </c>
    </row>
    <row r="7408" spans="1:22" hidden="1" x14ac:dyDescent="0.25">
      <c r="A7408" s="266">
        <v>43803</v>
      </c>
      <c r="B7408" s="267">
        <v>2019</v>
      </c>
      <c r="C7408" s="267">
        <v>2020</v>
      </c>
      <c r="D7408" s="267">
        <v>1</v>
      </c>
      <c r="E7408" s="267">
        <v>1</v>
      </c>
      <c r="F7408" s="267" t="s">
        <v>944</v>
      </c>
      <c r="G7408" s="267" t="s">
        <v>3926</v>
      </c>
      <c r="H7408" s="267" t="s">
        <v>12249</v>
      </c>
      <c r="I7408" s="267" t="s">
        <v>3009</v>
      </c>
      <c r="J7408" s="267" t="s">
        <v>3928</v>
      </c>
      <c r="K7408" s="267">
        <v>6484</v>
      </c>
      <c r="L7408" s="267">
        <v>110500</v>
      </c>
      <c r="M7408" s="267" t="s">
        <v>3943</v>
      </c>
      <c r="N7408" s="267" t="s">
        <v>12250</v>
      </c>
      <c r="O7408" s="267">
        <v>0</v>
      </c>
      <c r="P7408" s="267" t="s">
        <v>3944</v>
      </c>
      <c r="Q7408" s="267" t="s">
        <v>12251</v>
      </c>
      <c r="R7408" s="267">
        <v>178667.6</v>
      </c>
      <c r="S7408" s="267">
        <v>104931.76</v>
      </c>
      <c r="T7408" s="267">
        <v>283599.35999999999</v>
      </c>
      <c r="U7408" s="268" t="s">
        <v>5304</v>
      </c>
      <c r="V7408" s="267" t="s">
        <v>944</v>
      </c>
    </row>
    <row r="7409" spans="1:22" hidden="1" x14ac:dyDescent="0.25">
      <c r="A7409" s="269">
        <v>43803</v>
      </c>
      <c r="B7409" s="270">
        <v>2019</v>
      </c>
      <c r="C7409" s="270">
        <v>2020</v>
      </c>
      <c r="D7409" s="270">
        <v>1</v>
      </c>
      <c r="E7409" s="270">
        <v>1</v>
      </c>
      <c r="F7409" s="270" t="s">
        <v>944</v>
      </c>
      <c r="G7409" s="270" t="s">
        <v>3926</v>
      </c>
      <c r="H7409" s="270" t="s">
        <v>12252</v>
      </c>
      <c r="I7409" s="270" t="s">
        <v>2987</v>
      </c>
      <c r="J7409" s="270" t="s">
        <v>3928</v>
      </c>
      <c r="K7409" s="270">
        <v>6611</v>
      </c>
      <c r="L7409" s="270">
        <v>90500</v>
      </c>
      <c r="M7409" s="270" t="s">
        <v>3943</v>
      </c>
      <c r="N7409" s="270" t="s">
        <v>3944</v>
      </c>
      <c r="O7409" s="270">
        <v>2287.36</v>
      </c>
      <c r="P7409" s="270" t="s">
        <v>3944</v>
      </c>
      <c r="Q7409" s="270" t="s">
        <v>3944</v>
      </c>
      <c r="R7409" s="270">
        <v>2287.36</v>
      </c>
      <c r="S7409" s="270">
        <v>30518.080000000002</v>
      </c>
      <c r="T7409" s="270">
        <v>32805.440000000002</v>
      </c>
      <c r="U7409" s="271" t="s">
        <v>3945</v>
      </c>
      <c r="V7409" s="267" t="s">
        <v>944</v>
      </c>
    </row>
    <row r="7410" spans="1:22" hidden="1" x14ac:dyDescent="0.25">
      <c r="A7410" s="266">
        <v>43804</v>
      </c>
      <c r="B7410" s="267">
        <v>2019</v>
      </c>
      <c r="C7410" s="267">
        <v>2020</v>
      </c>
      <c r="D7410" s="267">
        <v>1</v>
      </c>
      <c r="E7410" s="267">
        <v>1</v>
      </c>
      <c r="F7410" s="267" t="s">
        <v>944</v>
      </c>
      <c r="G7410" s="267" t="s">
        <v>3926</v>
      </c>
      <c r="H7410" s="267" t="s">
        <v>12253</v>
      </c>
      <c r="I7410" s="267" t="s">
        <v>3949</v>
      </c>
      <c r="J7410" s="267" t="s">
        <v>3928</v>
      </c>
      <c r="K7410" s="267">
        <v>6437</v>
      </c>
      <c r="L7410" s="267">
        <v>190100</v>
      </c>
      <c r="M7410" s="267" t="s">
        <v>3960</v>
      </c>
      <c r="N7410" s="267" t="s">
        <v>5483</v>
      </c>
      <c r="O7410" s="267">
        <v>2064</v>
      </c>
      <c r="P7410" s="267" t="s">
        <v>3930</v>
      </c>
      <c r="Q7410" s="267" t="s">
        <v>3930</v>
      </c>
      <c r="R7410" s="267">
        <v>2064</v>
      </c>
      <c r="S7410" s="267">
        <v>26944</v>
      </c>
      <c r="T7410" s="267">
        <v>29008</v>
      </c>
      <c r="U7410" s="268" t="s">
        <v>3937</v>
      </c>
      <c r="V7410" s="267" t="s">
        <v>944</v>
      </c>
    </row>
    <row r="7411" spans="1:22" hidden="1" x14ac:dyDescent="0.25">
      <c r="A7411" s="269">
        <v>43804</v>
      </c>
      <c r="B7411" s="270">
        <v>2019</v>
      </c>
      <c r="C7411" s="270">
        <v>2020</v>
      </c>
      <c r="D7411" s="270">
        <v>1</v>
      </c>
      <c r="E7411" s="270">
        <v>1</v>
      </c>
      <c r="F7411" s="270" t="s">
        <v>944</v>
      </c>
      <c r="G7411" s="270" t="s">
        <v>3926</v>
      </c>
      <c r="H7411" s="270" t="s">
        <v>12254</v>
      </c>
      <c r="I7411" s="270" t="s">
        <v>4731</v>
      </c>
      <c r="J7411" s="270" t="s">
        <v>3928</v>
      </c>
      <c r="K7411" s="270">
        <v>6478</v>
      </c>
      <c r="L7411" s="270">
        <v>346102</v>
      </c>
      <c r="M7411" s="270" t="s">
        <v>3943</v>
      </c>
      <c r="N7411" s="270" t="s">
        <v>12255</v>
      </c>
      <c r="O7411" s="270">
        <v>0</v>
      </c>
      <c r="P7411" s="270" t="s">
        <v>3930</v>
      </c>
      <c r="Q7411" s="270" t="s">
        <v>3930</v>
      </c>
      <c r="R7411" s="270">
        <v>0</v>
      </c>
      <c r="S7411" s="270">
        <v>10900</v>
      </c>
      <c r="T7411" s="270">
        <v>10900</v>
      </c>
      <c r="U7411" s="271" t="s">
        <v>3937</v>
      </c>
      <c r="V7411" s="267" t="s">
        <v>944</v>
      </c>
    </row>
    <row r="7412" spans="1:22" hidden="1" x14ac:dyDescent="0.25">
      <c r="A7412" s="266">
        <v>43804</v>
      </c>
      <c r="B7412" s="267">
        <v>2019</v>
      </c>
      <c r="C7412" s="267">
        <v>2020</v>
      </c>
      <c r="D7412" s="267">
        <v>1</v>
      </c>
      <c r="E7412" s="267">
        <v>1</v>
      </c>
      <c r="F7412" s="267" t="s">
        <v>944</v>
      </c>
      <c r="G7412" s="267" t="s">
        <v>3926</v>
      </c>
      <c r="H7412" s="267" t="s">
        <v>12256</v>
      </c>
      <c r="I7412" s="267" t="s">
        <v>3011</v>
      </c>
      <c r="J7412" s="267" t="s">
        <v>3928</v>
      </c>
      <c r="K7412" s="267">
        <v>6418</v>
      </c>
      <c r="L7412" s="267">
        <v>120200</v>
      </c>
      <c r="M7412" s="267">
        <v>-60</v>
      </c>
      <c r="N7412" s="267" t="s">
        <v>12257</v>
      </c>
      <c r="O7412" s="267">
        <v>4170</v>
      </c>
      <c r="P7412" s="267" t="s">
        <v>3930</v>
      </c>
      <c r="Q7412" s="267" t="s">
        <v>3930</v>
      </c>
      <c r="R7412" s="267">
        <v>4170</v>
      </c>
      <c r="S7412" s="267">
        <v>39120</v>
      </c>
      <c r="T7412" s="267">
        <v>43290</v>
      </c>
      <c r="U7412" s="268" t="s">
        <v>3937</v>
      </c>
      <c r="V7412" s="267" t="s">
        <v>944</v>
      </c>
    </row>
    <row r="7413" spans="1:22" hidden="1" x14ac:dyDescent="0.25">
      <c r="A7413" s="269">
        <v>43804</v>
      </c>
      <c r="B7413" s="270">
        <v>2019</v>
      </c>
      <c r="C7413" s="270">
        <v>2020</v>
      </c>
      <c r="D7413" s="270">
        <v>1</v>
      </c>
      <c r="E7413" s="270">
        <v>1</v>
      </c>
      <c r="F7413" s="270" t="s">
        <v>944</v>
      </c>
      <c r="G7413" s="270" t="s">
        <v>3926</v>
      </c>
      <c r="H7413" s="270" t="s">
        <v>12258</v>
      </c>
      <c r="I7413" s="270" t="s">
        <v>4200</v>
      </c>
      <c r="J7413" s="270" t="s">
        <v>3928</v>
      </c>
      <c r="K7413" s="270">
        <v>6779</v>
      </c>
      <c r="L7413" s="270">
        <v>360300</v>
      </c>
      <c r="M7413" s="270" t="s">
        <v>3935</v>
      </c>
      <c r="N7413" s="270" t="s">
        <v>12259</v>
      </c>
      <c r="O7413" s="270">
        <v>4798</v>
      </c>
      <c r="P7413" s="270" t="s">
        <v>3930</v>
      </c>
      <c r="Q7413" s="270" t="s">
        <v>3930</v>
      </c>
      <c r="R7413" s="270">
        <v>4798</v>
      </c>
      <c r="S7413" s="270">
        <v>34626</v>
      </c>
      <c r="T7413" s="270">
        <v>39424</v>
      </c>
      <c r="U7413" s="271" t="s">
        <v>3937</v>
      </c>
      <c r="V7413" s="267" t="s">
        <v>944</v>
      </c>
    </row>
    <row r="7414" spans="1:22" hidden="1" x14ac:dyDescent="0.25">
      <c r="A7414" s="266">
        <v>43804</v>
      </c>
      <c r="B7414" s="267">
        <v>2019</v>
      </c>
      <c r="C7414" s="267">
        <v>2020</v>
      </c>
      <c r="D7414" s="267">
        <v>1</v>
      </c>
      <c r="E7414" s="267">
        <v>1</v>
      </c>
      <c r="F7414" s="267" t="s">
        <v>944</v>
      </c>
      <c r="G7414" s="267" t="s">
        <v>3926</v>
      </c>
      <c r="H7414" s="267" t="s">
        <v>12260</v>
      </c>
      <c r="I7414" s="267" t="s">
        <v>4019</v>
      </c>
      <c r="J7414" s="267" t="s">
        <v>3928</v>
      </c>
      <c r="K7414" s="267">
        <v>6706</v>
      </c>
      <c r="L7414" s="267">
        <v>351500</v>
      </c>
      <c r="M7414" s="267" t="s">
        <v>3940</v>
      </c>
      <c r="N7414" s="267" t="s">
        <v>3983</v>
      </c>
      <c r="O7414" s="267">
        <v>1268.6500000000001</v>
      </c>
      <c r="P7414" s="267" t="s">
        <v>3930</v>
      </c>
      <c r="Q7414" s="267" t="s">
        <v>3931</v>
      </c>
      <c r="R7414" s="267">
        <v>6268.65</v>
      </c>
      <c r="S7414" s="267">
        <v>16504</v>
      </c>
      <c r="T7414" s="267">
        <v>22772.65</v>
      </c>
      <c r="U7414" s="268" t="s">
        <v>3932</v>
      </c>
      <c r="V7414" s="267" t="s">
        <v>944</v>
      </c>
    </row>
    <row r="7415" spans="1:22" hidden="1" x14ac:dyDescent="0.25">
      <c r="A7415" s="269">
        <v>43804</v>
      </c>
      <c r="B7415" s="270">
        <v>2019</v>
      </c>
      <c r="C7415" s="270">
        <v>2020</v>
      </c>
      <c r="D7415" s="270">
        <v>1</v>
      </c>
      <c r="E7415" s="270">
        <v>1</v>
      </c>
      <c r="F7415" s="270" t="s">
        <v>944</v>
      </c>
      <c r="G7415" s="270" t="s">
        <v>3926</v>
      </c>
      <c r="H7415" s="270" t="s">
        <v>12261</v>
      </c>
      <c r="I7415" s="270" t="s">
        <v>953</v>
      </c>
      <c r="J7415" s="270" t="s">
        <v>3928</v>
      </c>
      <c r="K7415" s="270">
        <v>6517</v>
      </c>
      <c r="L7415" s="270">
        <v>165100</v>
      </c>
      <c r="M7415" s="270" t="s">
        <v>3935</v>
      </c>
      <c r="N7415" s="270" t="s">
        <v>12262</v>
      </c>
      <c r="O7415" s="270">
        <v>0</v>
      </c>
      <c r="P7415" s="270" t="s">
        <v>3930</v>
      </c>
      <c r="Q7415" s="270" t="s">
        <v>3930</v>
      </c>
      <c r="R7415" s="270">
        <v>0</v>
      </c>
      <c r="S7415" s="270">
        <v>3120</v>
      </c>
      <c r="T7415" s="270">
        <v>3120</v>
      </c>
      <c r="U7415" s="271" t="s">
        <v>3937</v>
      </c>
      <c r="V7415" s="267" t="s">
        <v>944</v>
      </c>
    </row>
    <row r="7416" spans="1:22" x14ac:dyDescent="0.25">
      <c r="A7416" s="266">
        <v>43804</v>
      </c>
      <c r="B7416" s="267">
        <v>2019</v>
      </c>
      <c r="C7416" s="267">
        <v>2020</v>
      </c>
      <c r="D7416" s="267">
        <v>1</v>
      </c>
      <c r="E7416" s="267">
        <v>1</v>
      </c>
      <c r="F7416" s="267" t="s">
        <v>944</v>
      </c>
      <c r="G7416" s="267" t="s">
        <v>3926</v>
      </c>
      <c r="H7416" s="267" t="s">
        <v>12263</v>
      </c>
      <c r="I7416" s="267" t="s">
        <v>943</v>
      </c>
      <c r="J7416" s="267" t="s">
        <v>3928</v>
      </c>
      <c r="K7416" s="267">
        <v>6511</v>
      </c>
      <c r="L7416" s="267">
        <v>141500</v>
      </c>
      <c r="M7416" s="267">
        <v>-60</v>
      </c>
      <c r="N7416" s="267" t="s">
        <v>3983</v>
      </c>
      <c r="O7416" s="267">
        <v>1247.47</v>
      </c>
      <c r="P7416" s="267" t="s">
        <v>3930</v>
      </c>
      <c r="Q7416" s="267" t="s">
        <v>3931</v>
      </c>
      <c r="R7416" s="267">
        <v>6247.47</v>
      </c>
      <c r="S7416" s="267">
        <v>16504</v>
      </c>
      <c r="T7416" s="267">
        <v>22751.47</v>
      </c>
      <c r="U7416" s="268" t="s">
        <v>3932</v>
      </c>
      <c r="V7416" s="276" t="s">
        <v>936</v>
      </c>
    </row>
    <row r="7417" spans="1:22" hidden="1" x14ac:dyDescent="0.25">
      <c r="A7417" s="269">
        <v>43804</v>
      </c>
      <c r="B7417" s="270">
        <v>2019</v>
      </c>
      <c r="C7417" s="270">
        <v>2020</v>
      </c>
      <c r="D7417" s="270">
        <v>1</v>
      </c>
      <c r="E7417" s="270">
        <v>1</v>
      </c>
      <c r="F7417" s="270" t="s">
        <v>944</v>
      </c>
      <c r="G7417" s="270" t="s">
        <v>3926</v>
      </c>
      <c r="H7417" s="270" t="s">
        <v>12264</v>
      </c>
      <c r="I7417" s="270" t="s">
        <v>4073</v>
      </c>
      <c r="J7417" s="270" t="s">
        <v>3928</v>
      </c>
      <c r="K7417" s="270">
        <v>6776</v>
      </c>
      <c r="L7417" s="270">
        <v>253200</v>
      </c>
      <c r="M7417" s="270" t="s">
        <v>3960</v>
      </c>
      <c r="N7417" s="270" t="s">
        <v>3944</v>
      </c>
      <c r="O7417" s="270">
        <v>4718</v>
      </c>
      <c r="P7417" s="270" t="s">
        <v>3944</v>
      </c>
      <c r="Q7417" s="270" t="s">
        <v>3944</v>
      </c>
      <c r="R7417" s="270">
        <v>4718</v>
      </c>
      <c r="S7417" s="270">
        <v>43826</v>
      </c>
      <c r="T7417" s="270">
        <v>48544</v>
      </c>
      <c r="U7417" s="271" t="s">
        <v>3945</v>
      </c>
      <c r="V7417" s="267" t="s">
        <v>944</v>
      </c>
    </row>
    <row r="7418" spans="1:22" x14ac:dyDescent="0.25">
      <c r="A7418" s="266">
        <v>43804</v>
      </c>
      <c r="B7418" s="267">
        <v>2019</v>
      </c>
      <c r="C7418" s="267">
        <v>2020</v>
      </c>
      <c r="D7418" s="267">
        <v>1</v>
      </c>
      <c r="E7418" s="267">
        <v>1</v>
      </c>
      <c r="F7418" s="267" t="s">
        <v>944</v>
      </c>
      <c r="G7418" s="267" t="s">
        <v>3926</v>
      </c>
      <c r="H7418" s="267" t="s">
        <v>12265</v>
      </c>
      <c r="I7418" s="267" t="s">
        <v>943</v>
      </c>
      <c r="J7418" s="267" t="s">
        <v>3928</v>
      </c>
      <c r="K7418" s="267">
        <v>6513</v>
      </c>
      <c r="L7418" s="267">
        <v>142300</v>
      </c>
      <c r="M7418" s="267">
        <v>-60</v>
      </c>
      <c r="N7418" s="267" t="s">
        <v>3944</v>
      </c>
      <c r="O7418" s="267">
        <v>4221</v>
      </c>
      <c r="P7418" s="267" t="s">
        <v>3944</v>
      </c>
      <c r="Q7418" s="267" t="s">
        <v>3944</v>
      </c>
      <c r="R7418" s="267">
        <v>4221</v>
      </c>
      <c r="S7418" s="267">
        <v>45391.51</v>
      </c>
      <c r="T7418" s="267">
        <v>49612.51</v>
      </c>
      <c r="U7418" s="268" t="s">
        <v>3945</v>
      </c>
      <c r="V7418" s="276" t="s">
        <v>936</v>
      </c>
    </row>
    <row r="7419" spans="1:22" hidden="1" x14ac:dyDescent="0.25">
      <c r="A7419" s="269">
        <v>43804</v>
      </c>
      <c r="B7419" s="270">
        <v>2019</v>
      </c>
      <c r="C7419" s="270">
        <v>2020</v>
      </c>
      <c r="D7419" s="270">
        <v>1</v>
      </c>
      <c r="E7419" s="270">
        <v>1</v>
      </c>
      <c r="F7419" s="270" t="s">
        <v>944</v>
      </c>
      <c r="G7419" s="270" t="s">
        <v>3926</v>
      </c>
      <c r="H7419" s="270" t="s">
        <v>12266</v>
      </c>
      <c r="I7419" s="270" t="s">
        <v>2987</v>
      </c>
      <c r="J7419" s="270" t="s">
        <v>3928</v>
      </c>
      <c r="K7419" s="270">
        <v>6611</v>
      </c>
      <c r="L7419" s="270">
        <v>90300</v>
      </c>
      <c r="M7419" s="270" t="s">
        <v>3943</v>
      </c>
      <c r="N7419" s="270" t="s">
        <v>3944</v>
      </c>
      <c r="O7419" s="270">
        <v>4117</v>
      </c>
      <c r="P7419" s="270" t="s">
        <v>3944</v>
      </c>
      <c r="Q7419" s="270" t="s">
        <v>3944</v>
      </c>
      <c r="R7419" s="270">
        <v>4117</v>
      </c>
      <c r="S7419" s="270">
        <v>37943.800000000003</v>
      </c>
      <c r="T7419" s="270">
        <v>42060.800000000003</v>
      </c>
      <c r="U7419" s="271" t="s">
        <v>3945</v>
      </c>
      <c r="V7419" s="267" t="s">
        <v>944</v>
      </c>
    </row>
    <row r="7420" spans="1:22" hidden="1" x14ac:dyDescent="0.25">
      <c r="A7420" s="266">
        <v>43804</v>
      </c>
      <c r="B7420" s="267">
        <v>2019</v>
      </c>
      <c r="C7420" s="267">
        <v>2020</v>
      </c>
      <c r="D7420" s="267">
        <v>1</v>
      </c>
      <c r="E7420" s="267">
        <v>1</v>
      </c>
      <c r="F7420" s="267" t="s">
        <v>944</v>
      </c>
      <c r="G7420" s="267" t="s">
        <v>3926</v>
      </c>
      <c r="H7420" s="267" t="s">
        <v>12267</v>
      </c>
      <c r="I7420" s="267" t="s">
        <v>3964</v>
      </c>
      <c r="J7420" s="267" t="s">
        <v>3928</v>
      </c>
      <c r="K7420" s="267">
        <v>6073</v>
      </c>
      <c r="L7420" s="267">
        <v>520501</v>
      </c>
      <c r="M7420" s="267" t="s">
        <v>3943</v>
      </c>
      <c r="N7420" s="267" t="s">
        <v>3944</v>
      </c>
      <c r="O7420" s="267">
        <v>3265</v>
      </c>
      <c r="P7420" s="267" t="s">
        <v>3944</v>
      </c>
      <c r="Q7420" s="267" t="s">
        <v>3944</v>
      </c>
      <c r="R7420" s="267">
        <v>3265</v>
      </c>
      <c r="S7420" s="267">
        <v>40756</v>
      </c>
      <c r="T7420" s="267">
        <v>44021</v>
      </c>
      <c r="U7420" s="268" t="s">
        <v>3945</v>
      </c>
      <c r="V7420" s="267" t="s">
        <v>944</v>
      </c>
    </row>
    <row r="7421" spans="1:22" hidden="1" x14ac:dyDescent="0.25">
      <c r="A7421" s="269">
        <v>43804</v>
      </c>
      <c r="B7421" s="270">
        <v>2019</v>
      </c>
      <c r="C7421" s="270">
        <v>2020</v>
      </c>
      <c r="D7421" s="270">
        <v>1</v>
      </c>
      <c r="E7421" s="270">
        <v>1</v>
      </c>
      <c r="F7421" s="270" t="s">
        <v>944</v>
      </c>
      <c r="G7421" s="270" t="s">
        <v>3926</v>
      </c>
      <c r="H7421" s="270" t="s">
        <v>12268</v>
      </c>
      <c r="I7421" s="270" t="s">
        <v>4035</v>
      </c>
      <c r="J7421" s="270" t="s">
        <v>3928</v>
      </c>
      <c r="K7421" s="270">
        <v>6074</v>
      </c>
      <c r="L7421" s="270">
        <v>487400</v>
      </c>
      <c r="M7421" s="270" t="s">
        <v>3943</v>
      </c>
      <c r="N7421" s="270" t="s">
        <v>3944</v>
      </c>
      <c r="O7421" s="270">
        <v>3288</v>
      </c>
      <c r="P7421" s="270" t="s">
        <v>3944</v>
      </c>
      <c r="Q7421" s="270" t="s">
        <v>3944</v>
      </c>
      <c r="R7421" s="270">
        <v>3288</v>
      </c>
      <c r="S7421" s="270">
        <v>22275</v>
      </c>
      <c r="T7421" s="270">
        <v>25563</v>
      </c>
      <c r="U7421" s="271" t="s">
        <v>3945</v>
      </c>
      <c r="V7421" s="267" t="s">
        <v>944</v>
      </c>
    </row>
    <row r="7422" spans="1:22" hidden="1" x14ac:dyDescent="0.25">
      <c r="A7422" s="266">
        <v>43804</v>
      </c>
      <c r="B7422" s="267">
        <v>2019</v>
      </c>
      <c r="C7422" s="267">
        <v>2020</v>
      </c>
      <c r="D7422" s="267">
        <v>1</v>
      </c>
      <c r="E7422" s="267">
        <v>1</v>
      </c>
      <c r="F7422" s="267" t="s">
        <v>944</v>
      </c>
      <c r="G7422" s="267" t="s">
        <v>3926</v>
      </c>
      <c r="H7422" s="267" t="s">
        <v>12269</v>
      </c>
      <c r="I7422" s="267" t="s">
        <v>2985</v>
      </c>
      <c r="J7422" s="267" t="s">
        <v>3928</v>
      </c>
      <c r="K7422" s="267">
        <v>6824</v>
      </c>
      <c r="L7422" s="267">
        <v>61600</v>
      </c>
      <c r="M7422" s="267" t="s">
        <v>3943</v>
      </c>
      <c r="N7422" s="267" t="s">
        <v>3944</v>
      </c>
      <c r="O7422" s="267">
        <v>4458</v>
      </c>
      <c r="P7422" s="267" t="s">
        <v>3944</v>
      </c>
      <c r="Q7422" s="267" t="s">
        <v>3944</v>
      </c>
      <c r="R7422" s="267">
        <v>4458</v>
      </c>
      <c r="S7422" s="267">
        <v>41948</v>
      </c>
      <c r="T7422" s="267">
        <v>46406</v>
      </c>
      <c r="U7422" s="268" t="s">
        <v>3945</v>
      </c>
      <c r="V7422" s="267" t="s">
        <v>944</v>
      </c>
    </row>
    <row r="7423" spans="1:22" hidden="1" x14ac:dyDescent="0.25">
      <c r="A7423" s="269">
        <v>43804</v>
      </c>
      <c r="B7423" s="270">
        <v>2019</v>
      </c>
      <c r="C7423" s="270">
        <v>2020</v>
      </c>
      <c r="D7423" s="270">
        <v>1</v>
      </c>
      <c r="E7423" s="270">
        <v>1</v>
      </c>
      <c r="F7423" s="270" t="s">
        <v>944</v>
      </c>
      <c r="G7423" s="270" t="s">
        <v>3997</v>
      </c>
      <c r="H7423" s="270" t="s">
        <v>12270</v>
      </c>
      <c r="I7423" s="270" t="s">
        <v>3008</v>
      </c>
      <c r="J7423" s="270" t="s">
        <v>3928</v>
      </c>
      <c r="K7423" s="270">
        <v>6460</v>
      </c>
      <c r="L7423" s="270">
        <v>150900</v>
      </c>
      <c r="M7423" s="270" t="s">
        <v>3943</v>
      </c>
      <c r="N7423" s="270" t="s">
        <v>3944</v>
      </c>
      <c r="O7423" s="270">
        <v>1105.4100000000001</v>
      </c>
      <c r="P7423" s="270" t="s">
        <v>3944</v>
      </c>
      <c r="Q7423" s="270" t="s">
        <v>3944</v>
      </c>
      <c r="R7423" s="270">
        <v>1105.4100000000001</v>
      </c>
      <c r="S7423" s="270">
        <v>17942.91</v>
      </c>
      <c r="T7423" s="270">
        <v>19048.32</v>
      </c>
      <c r="U7423" s="271" t="s">
        <v>3945</v>
      </c>
      <c r="V7423" s="267" t="s">
        <v>944</v>
      </c>
    </row>
    <row r="7424" spans="1:22" hidden="1" x14ac:dyDescent="0.25">
      <c r="A7424" s="266">
        <v>43804</v>
      </c>
      <c r="B7424" s="267">
        <v>2019</v>
      </c>
      <c r="C7424" s="267">
        <v>2020</v>
      </c>
      <c r="D7424" s="267">
        <v>1</v>
      </c>
      <c r="E7424" s="267">
        <v>1</v>
      </c>
      <c r="F7424" s="267" t="s">
        <v>944</v>
      </c>
      <c r="G7424" s="267" t="s">
        <v>3926</v>
      </c>
      <c r="H7424" s="267" t="s">
        <v>12271</v>
      </c>
      <c r="I7424" s="267" t="s">
        <v>3968</v>
      </c>
      <c r="J7424" s="267" t="s">
        <v>3928</v>
      </c>
      <c r="K7424" s="267">
        <v>6040</v>
      </c>
      <c r="L7424" s="267">
        <v>514500</v>
      </c>
      <c r="M7424" s="267" t="s">
        <v>3935</v>
      </c>
      <c r="N7424" s="267" t="s">
        <v>3944</v>
      </c>
      <c r="O7424" s="267">
        <v>1386.84</v>
      </c>
      <c r="P7424" s="267" t="s">
        <v>3944</v>
      </c>
      <c r="Q7424" s="267" t="s">
        <v>3944</v>
      </c>
      <c r="R7424" s="267">
        <v>1386.84</v>
      </c>
      <c r="S7424" s="267">
        <v>17681.36</v>
      </c>
      <c r="T7424" s="267">
        <v>19068.2</v>
      </c>
      <c r="U7424" s="268" t="s">
        <v>3945</v>
      </c>
      <c r="V7424" s="267" t="s">
        <v>944</v>
      </c>
    </row>
    <row r="7425" spans="1:22" hidden="1" x14ac:dyDescent="0.25">
      <c r="A7425" s="269">
        <v>43804</v>
      </c>
      <c r="B7425" s="270">
        <v>2019</v>
      </c>
      <c r="C7425" s="270">
        <v>2020</v>
      </c>
      <c r="D7425" s="270">
        <v>1</v>
      </c>
      <c r="E7425" s="270">
        <v>1</v>
      </c>
      <c r="F7425" s="270" t="s">
        <v>944</v>
      </c>
      <c r="G7425" s="270" t="s">
        <v>3926</v>
      </c>
      <c r="H7425" s="270" t="s">
        <v>12272</v>
      </c>
      <c r="I7425" s="270" t="s">
        <v>934</v>
      </c>
      <c r="J7425" s="270" t="s">
        <v>3928</v>
      </c>
      <c r="K7425" s="270">
        <v>6606</v>
      </c>
      <c r="L7425" s="270">
        <v>72800</v>
      </c>
      <c r="M7425" s="270" t="s">
        <v>3940</v>
      </c>
      <c r="N7425" s="270" t="s">
        <v>3944</v>
      </c>
      <c r="O7425" s="270">
        <v>1254.75</v>
      </c>
      <c r="P7425" s="270" t="s">
        <v>3944</v>
      </c>
      <c r="Q7425" s="270" t="s">
        <v>3944</v>
      </c>
      <c r="R7425" s="270">
        <v>1254.75</v>
      </c>
      <c r="S7425" s="270">
        <v>19304.2</v>
      </c>
      <c r="T7425" s="270">
        <v>20558.95</v>
      </c>
      <c r="U7425" s="271" t="s">
        <v>3945</v>
      </c>
      <c r="V7425" s="267" t="s">
        <v>944</v>
      </c>
    </row>
    <row r="7426" spans="1:22" hidden="1" x14ac:dyDescent="0.25">
      <c r="A7426" s="266">
        <v>43804</v>
      </c>
      <c r="B7426" s="267">
        <v>2019</v>
      </c>
      <c r="C7426" s="267">
        <v>2020</v>
      </c>
      <c r="D7426" s="267">
        <v>1</v>
      </c>
      <c r="E7426" s="267">
        <v>1</v>
      </c>
      <c r="F7426" s="267" t="s">
        <v>944</v>
      </c>
      <c r="G7426" s="267" t="s">
        <v>3926</v>
      </c>
      <c r="H7426" s="267" t="s">
        <v>12273</v>
      </c>
      <c r="I7426" s="267" t="s">
        <v>4005</v>
      </c>
      <c r="J7426" s="267" t="s">
        <v>3928</v>
      </c>
      <c r="K7426" s="267">
        <v>6108</v>
      </c>
      <c r="L7426" s="267">
        <v>511300</v>
      </c>
      <c r="M7426" s="267">
        <v>-60</v>
      </c>
      <c r="N7426" s="267" t="s">
        <v>3944</v>
      </c>
      <c r="O7426" s="267">
        <v>1465.45</v>
      </c>
      <c r="P7426" s="267" t="s">
        <v>3944</v>
      </c>
      <c r="Q7426" s="267" t="s">
        <v>3944</v>
      </c>
      <c r="R7426" s="267">
        <v>1465.45</v>
      </c>
      <c r="S7426" s="267">
        <v>16678.55</v>
      </c>
      <c r="T7426" s="267">
        <v>18144</v>
      </c>
      <c r="U7426" s="268" t="s">
        <v>3945</v>
      </c>
      <c r="V7426" s="267" t="s">
        <v>944</v>
      </c>
    </row>
    <row r="7427" spans="1:22" hidden="1" x14ac:dyDescent="0.25">
      <c r="A7427" s="269">
        <v>43804</v>
      </c>
      <c r="B7427" s="270">
        <v>2019</v>
      </c>
      <c r="C7427" s="270">
        <v>2020</v>
      </c>
      <c r="D7427" s="270">
        <v>1</v>
      </c>
      <c r="E7427" s="270">
        <v>1</v>
      </c>
      <c r="F7427" s="270" t="s">
        <v>944</v>
      </c>
      <c r="G7427" s="270" t="s">
        <v>3926</v>
      </c>
      <c r="H7427" s="270" t="s">
        <v>12274</v>
      </c>
      <c r="I7427" s="270" t="s">
        <v>953</v>
      </c>
      <c r="J7427" s="270" t="s">
        <v>3928</v>
      </c>
      <c r="K7427" s="270">
        <v>6514</v>
      </c>
      <c r="L7427" s="270">
        <v>165700</v>
      </c>
      <c r="M7427" s="270" t="s">
        <v>3935</v>
      </c>
      <c r="N7427" s="270" t="s">
        <v>3944</v>
      </c>
      <c r="O7427" s="270">
        <v>1270.08</v>
      </c>
      <c r="P7427" s="270" t="s">
        <v>3944</v>
      </c>
      <c r="Q7427" s="270" t="s">
        <v>3944</v>
      </c>
      <c r="R7427" s="270">
        <v>1270.08</v>
      </c>
      <c r="S7427" s="270">
        <v>21102.02</v>
      </c>
      <c r="T7427" s="270">
        <v>22372.1</v>
      </c>
      <c r="U7427" s="271" t="s">
        <v>3945</v>
      </c>
      <c r="V7427" s="267" t="s">
        <v>944</v>
      </c>
    </row>
    <row r="7428" spans="1:22" hidden="1" x14ac:dyDescent="0.25">
      <c r="A7428" s="266">
        <v>43804</v>
      </c>
      <c r="B7428" s="267">
        <v>2019</v>
      </c>
      <c r="C7428" s="267">
        <v>2020</v>
      </c>
      <c r="D7428" s="267">
        <v>1</v>
      </c>
      <c r="E7428" s="267">
        <v>1</v>
      </c>
      <c r="F7428" s="267" t="s">
        <v>944</v>
      </c>
      <c r="G7428" s="267" t="s">
        <v>3926</v>
      </c>
      <c r="H7428" s="267" t="s">
        <v>12275</v>
      </c>
      <c r="I7428" s="267" t="s">
        <v>4094</v>
      </c>
      <c r="J7428" s="267" t="s">
        <v>3928</v>
      </c>
      <c r="K7428" s="267">
        <v>6096</v>
      </c>
      <c r="L7428" s="267">
        <v>476100</v>
      </c>
      <c r="M7428" s="267" t="s">
        <v>3940</v>
      </c>
      <c r="N7428" s="267" t="s">
        <v>3944</v>
      </c>
      <c r="O7428" s="267">
        <v>1450.54</v>
      </c>
      <c r="P7428" s="267" t="s">
        <v>3944</v>
      </c>
      <c r="Q7428" s="267" t="s">
        <v>3944</v>
      </c>
      <c r="R7428" s="267">
        <v>1450.54</v>
      </c>
      <c r="S7428" s="267">
        <v>20665.13</v>
      </c>
      <c r="T7428" s="267">
        <v>22115.67</v>
      </c>
      <c r="U7428" s="268" t="s">
        <v>3945</v>
      </c>
      <c r="V7428" s="267" t="s">
        <v>944</v>
      </c>
    </row>
    <row r="7429" spans="1:22" hidden="1" x14ac:dyDescent="0.25">
      <c r="A7429" s="269">
        <v>43804</v>
      </c>
      <c r="B7429" s="270">
        <v>2019</v>
      </c>
      <c r="C7429" s="270">
        <v>2020</v>
      </c>
      <c r="D7429" s="270">
        <v>1</v>
      </c>
      <c r="E7429" s="270">
        <v>1</v>
      </c>
      <c r="F7429" s="270" t="s">
        <v>944</v>
      </c>
      <c r="G7429" s="270" t="s">
        <v>3926</v>
      </c>
      <c r="H7429" s="270" t="s">
        <v>12276</v>
      </c>
      <c r="I7429" s="270" t="s">
        <v>4213</v>
      </c>
      <c r="J7429" s="270" t="s">
        <v>3928</v>
      </c>
      <c r="K7429" s="270">
        <v>6051</v>
      </c>
      <c r="L7429" s="270">
        <v>416100</v>
      </c>
      <c r="M7429" s="270">
        <v>-60</v>
      </c>
      <c r="N7429" s="270" t="s">
        <v>3944</v>
      </c>
      <c r="O7429" s="270">
        <v>984.94</v>
      </c>
      <c r="P7429" s="270" t="s">
        <v>3944</v>
      </c>
      <c r="Q7429" s="270" t="s">
        <v>3944</v>
      </c>
      <c r="R7429" s="270">
        <v>984.94</v>
      </c>
      <c r="S7429" s="270">
        <v>13519.69</v>
      </c>
      <c r="T7429" s="270">
        <v>14504.63</v>
      </c>
      <c r="U7429" s="271" t="s">
        <v>3945</v>
      </c>
      <c r="V7429" s="267" t="s">
        <v>944</v>
      </c>
    </row>
    <row r="7430" spans="1:22" hidden="1" x14ac:dyDescent="0.25">
      <c r="A7430" s="266">
        <v>43804</v>
      </c>
      <c r="B7430" s="267">
        <v>2019</v>
      </c>
      <c r="C7430" s="267">
        <v>2020</v>
      </c>
      <c r="D7430" s="267">
        <v>1</v>
      </c>
      <c r="E7430" s="267">
        <v>1</v>
      </c>
      <c r="F7430" s="267" t="s">
        <v>944</v>
      </c>
      <c r="G7430" s="267" t="s">
        <v>3926</v>
      </c>
      <c r="H7430" s="267" t="s">
        <v>12277</v>
      </c>
      <c r="I7430" s="267" t="s">
        <v>4392</v>
      </c>
      <c r="J7430" s="267" t="s">
        <v>3928</v>
      </c>
      <c r="K7430" s="267">
        <v>6457</v>
      </c>
      <c r="L7430" s="267">
        <v>542000</v>
      </c>
      <c r="M7430" s="267" t="s">
        <v>3935</v>
      </c>
      <c r="N7430" s="267" t="s">
        <v>3944</v>
      </c>
      <c r="O7430" s="267">
        <v>3678.99</v>
      </c>
      <c r="P7430" s="267" t="s">
        <v>3944</v>
      </c>
      <c r="Q7430" s="267" t="s">
        <v>3944</v>
      </c>
      <c r="R7430" s="267">
        <v>3678.99</v>
      </c>
      <c r="S7430" s="267">
        <v>55884.3</v>
      </c>
      <c r="T7430" s="267">
        <v>59563.29</v>
      </c>
      <c r="U7430" s="268" t="s">
        <v>3945</v>
      </c>
      <c r="V7430" s="267" t="s">
        <v>944</v>
      </c>
    </row>
    <row r="7431" spans="1:22" hidden="1" x14ac:dyDescent="0.25">
      <c r="A7431" s="269">
        <v>43804</v>
      </c>
      <c r="B7431" s="270">
        <v>2019</v>
      </c>
      <c r="C7431" s="270">
        <v>2020</v>
      </c>
      <c r="D7431" s="270">
        <v>1</v>
      </c>
      <c r="E7431" s="270">
        <v>1</v>
      </c>
      <c r="F7431" s="270" t="s">
        <v>944</v>
      </c>
      <c r="G7431" s="270" t="s">
        <v>3926</v>
      </c>
      <c r="H7431" s="270" t="s">
        <v>12278</v>
      </c>
      <c r="I7431" s="270" t="s">
        <v>4353</v>
      </c>
      <c r="J7431" s="270" t="s">
        <v>3928</v>
      </c>
      <c r="K7431" s="270">
        <v>6416</v>
      </c>
      <c r="L7431" s="270">
        <v>570100</v>
      </c>
      <c r="M7431" s="270" t="s">
        <v>3960</v>
      </c>
      <c r="N7431" s="270" t="s">
        <v>3944</v>
      </c>
      <c r="O7431" s="270">
        <v>1409.87</v>
      </c>
      <c r="P7431" s="270" t="s">
        <v>3944</v>
      </c>
      <c r="Q7431" s="270" t="s">
        <v>3944</v>
      </c>
      <c r="R7431" s="270">
        <v>1409.87</v>
      </c>
      <c r="S7431" s="270">
        <v>15640.13</v>
      </c>
      <c r="T7431" s="270">
        <v>17050</v>
      </c>
      <c r="U7431" s="271" t="s">
        <v>3945</v>
      </c>
      <c r="V7431" s="267" t="s">
        <v>944</v>
      </c>
    </row>
    <row r="7432" spans="1:22" hidden="1" x14ac:dyDescent="0.25">
      <c r="A7432" s="266">
        <v>43804</v>
      </c>
      <c r="B7432" s="267">
        <v>2019</v>
      </c>
      <c r="C7432" s="267">
        <v>2020</v>
      </c>
      <c r="D7432" s="267">
        <v>1</v>
      </c>
      <c r="E7432" s="267">
        <v>1</v>
      </c>
      <c r="F7432" s="267" t="s">
        <v>944</v>
      </c>
      <c r="G7432" s="267" t="s">
        <v>3926</v>
      </c>
      <c r="H7432" s="267" t="s">
        <v>12279</v>
      </c>
      <c r="I7432" s="267" t="s">
        <v>4011</v>
      </c>
      <c r="J7432" s="267" t="s">
        <v>3928</v>
      </c>
      <c r="K7432" s="267">
        <v>6002</v>
      </c>
      <c r="L7432" s="267">
        <v>471500</v>
      </c>
      <c r="M7432" s="267" t="s">
        <v>3935</v>
      </c>
      <c r="N7432" s="267" t="s">
        <v>3944</v>
      </c>
      <c r="O7432" s="267">
        <v>1489.53</v>
      </c>
      <c r="P7432" s="267" t="s">
        <v>3944</v>
      </c>
      <c r="Q7432" s="267" t="s">
        <v>3944</v>
      </c>
      <c r="R7432" s="267">
        <v>1489.53</v>
      </c>
      <c r="S7432" s="267">
        <v>17558.79</v>
      </c>
      <c r="T7432" s="267">
        <v>19048.32</v>
      </c>
      <c r="U7432" s="268" t="s">
        <v>3945</v>
      </c>
      <c r="V7432" s="267" t="s">
        <v>944</v>
      </c>
    </row>
    <row r="7433" spans="1:22" hidden="1" x14ac:dyDescent="0.25">
      <c r="A7433" s="269">
        <v>43804</v>
      </c>
      <c r="B7433" s="270">
        <v>2019</v>
      </c>
      <c r="C7433" s="270">
        <v>2020</v>
      </c>
      <c r="D7433" s="270">
        <v>1</v>
      </c>
      <c r="E7433" s="270">
        <v>1</v>
      </c>
      <c r="F7433" s="270" t="s">
        <v>944</v>
      </c>
      <c r="G7433" s="270" t="s">
        <v>3926</v>
      </c>
      <c r="H7433" s="270" t="s">
        <v>12280</v>
      </c>
      <c r="I7433" s="270" t="s">
        <v>4037</v>
      </c>
      <c r="J7433" s="270" t="s">
        <v>3928</v>
      </c>
      <c r="K7433" s="270">
        <v>6811</v>
      </c>
      <c r="L7433" s="270">
        <v>211300</v>
      </c>
      <c r="M7433" s="270" t="s">
        <v>3943</v>
      </c>
      <c r="N7433" s="270" t="s">
        <v>3944</v>
      </c>
      <c r="O7433" s="270">
        <v>2141.58</v>
      </c>
      <c r="P7433" s="270" t="s">
        <v>3944</v>
      </c>
      <c r="Q7433" s="270" t="s">
        <v>3944</v>
      </c>
      <c r="R7433" s="270">
        <v>2141.58</v>
      </c>
      <c r="S7433" s="270">
        <v>27147.54</v>
      </c>
      <c r="T7433" s="270">
        <v>29289.119999999999</v>
      </c>
      <c r="U7433" s="271" t="s">
        <v>3945</v>
      </c>
      <c r="V7433" s="267" t="s">
        <v>944</v>
      </c>
    </row>
    <row r="7434" spans="1:22" hidden="1" x14ac:dyDescent="0.25">
      <c r="A7434" s="266">
        <v>43804</v>
      </c>
      <c r="B7434" s="267">
        <v>2019</v>
      </c>
      <c r="C7434" s="267">
        <v>2020</v>
      </c>
      <c r="D7434" s="267">
        <v>1</v>
      </c>
      <c r="E7434" s="267">
        <v>1</v>
      </c>
      <c r="F7434" s="267" t="s">
        <v>944</v>
      </c>
      <c r="G7434" s="267" t="s">
        <v>3926</v>
      </c>
      <c r="H7434" s="267" t="s">
        <v>12281</v>
      </c>
      <c r="I7434" s="267" t="s">
        <v>3962</v>
      </c>
      <c r="J7434" s="267" t="s">
        <v>3928</v>
      </c>
      <c r="K7434" s="267">
        <v>6378</v>
      </c>
      <c r="L7434" s="267">
        <v>705400</v>
      </c>
      <c r="M7434" s="267" t="s">
        <v>3943</v>
      </c>
      <c r="N7434" s="267" t="s">
        <v>3944</v>
      </c>
      <c r="O7434" s="267">
        <v>2211.69</v>
      </c>
      <c r="P7434" s="267" t="s">
        <v>3944</v>
      </c>
      <c r="Q7434" s="267" t="s">
        <v>3944</v>
      </c>
      <c r="R7434" s="267">
        <v>2211.69</v>
      </c>
      <c r="S7434" s="267">
        <v>29534.51</v>
      </c>
      <c r="T7434" s="267">
        <v>31746.2</v>
      </c>
      <c r="U7434" s="268" t="s">
        <v>3945</v>
      </c>
      <c r="V7434" s="267" t="s">
        <v>944</v>
      </c>
    </row>
    <row r="7435" spans="1:22" hidden="1" x14ac:dyDescent="0.25">
      <c r="A7435" s="269">
        <v>43804</v>
      </c>
      <c r="B7435" s="270">
        <v>2019</v>
      </c>
      <c r="C7435" s="270">
        <v>2020</v>
      </c>
      <c r="D7435" s="270">
        <v>1</v>
      </c>
      <c r="E7435" s="270">
        <v>1</v>
      </c>
      <c r="F7435" s="270" t="s">
        <v>944</v>
      </c>
      <c r="G7435" s="270" t="s">
        <v>3926</v>
      </c>
      <c r="H7435" s="270" t="s">
        <v>12282</v>
      </c>
      <c r="I7435" s="270" t="s">
        <v>3999</v>
      </c>
      <c r="J7435" s="270" t="s">
        <v>3928</v>
      </c>
      <c r="K7435" s="270">
        <v>6450</v>
      </c>
      <c r="L7435" s="270">
        <v>171100</v>
      </c>
      <c r="M7435" s="270" t="s">
        <v>3940</v>
      </c>
      <c r="N7435" s="270" t="s">
        <v>3944</v>
      </c>
      <c r="O7435" s="270">
        <v>3627.16</v>
      </c>
      <c r="P7435" s="270" t="s">
        <v>3944</v>
      </c>
      <c r="Q7435" s="270" t="s">
        <v>3944</v>
      </c>
      <c r="R7435" s="270">
        <v>3627.16</v>
      </c>
      <c r="S7435" s="270">
        <v>43393.440000000002</v>
      </c>
      <c r="T7435" s="270">
        <v>47020.6</v>
      </c>
      <c r="U7435" s="271" t="s">
        <v>3945</v>
      </c>
      <c r="V7435" s="267" t="s">
        <v>944</v>
      </c>
    </row>
    <row r="7436" spans="1:22" hidden="1" x14ac:dyDescent="0.25">
      <c r="A7436" s="266">
        <v>43804</v>
      </c>
      <c r="B7436" s="267">
        <v>2019</v>
      </c>
      <c r="C7436" s="267">
        <v>2020</v>
      </c>
      <c r="D7436" s="267">
        <v>1</v>
      </c>
      <c r="E7436" s="267">
        <v>1</v>
      </c>
      <c r="F7436" s="267" t="s">
        <v>944</v>
      </c>
      <c r="G7436" s="267" t="s">
        <v>3926</v>
      </c>
      <c r="H7436" s="267" t="s">
        <v>12283</v>
      </c>
      <c r="I7436" s="267" t="s">
        <v>3014</v>
      </c>
      <c r="J7436" s="267" t="s">
        <v>3928</v>
      </c>
      <c r="K7436" s="267">
        <v>6525</v>
      </c>
      <c r="L7436" s="267">
        <v>160200</v>
      </c>
      <c r="M7436" s="267" t="s">
        <v>3943</v>
      </c>
      <c r="N7436" s="267" t="s">
        <v>3944</v>
      </c>
      <c r="O7436" s="267">
        <v>3626.74</v>
      </c>
      <c r="P7436" s="267" t="s">
        <v>3944</v>
      </c>
      <c r="Q7436" s="267" t="s">
        <v>3944</v>
      </c>
      <c r="R7436" s="267">
        <v>3626.74</v>
      </c>
      <c r="S7436" s="267">
        <v>56671.02</v>
      </c>
      <c r="T7436" s="267">
        <v>60297.760000000002</v>
      </c>
      <c r="U7436" s="268" t="s">
        <v>3945</v>
      </c>
      <c r="V7436" s="267" t="s">
        <v>944</v>
      </c>
    </row>
    <row r="7437" spans="1:22" hidden="1" x14ac:dyDescent="0.25">
      <c r="A7437" s="269">
        <v>43804</v>
      </c>
      <c r="B7437" s="270">
        <v>2019</v>
      </c>
      <c r="C7437" s="270">
        <v>2020</v>
      </c>
      <c r="D7437" s="270">
        <v>1</v>
      </c>
      <c r="E7437" s="270">
        <v>1</v>
      </c>
      <c r="F7437" s="270" t="s">
        <v>944</v>
      </c>
      <c r="G7437" s="270" t="s">
        <v>3926</v>
      </c>
      <c r="H7437" s="270" t="s">
        <v>12284</v>
      </c>
      <c r="I7437" s="270" t="s">
        <v>3014</v>
      </c>
      <c r="J7437" s="270" t="s">
        <v>3928</v>
      </c>
      <c r="K7437" s="270">
        <v>6525</v>
      </c>
      <c r="L7437" s="270">
        <v>160200</v>
      </c>
      <c r="M7437" s="270" t="s">
        <v>3943</v>
      </c>
      <c r="N7437" s="270" t="s">
        <v>3944</v>
      </c>
      <c r="O7437" s="270">
        <v>2234.2600000000002</v>
      </c>
      <c r="P7437" s="270" t="s">
        <v>3944</v>
      </c>
      <c r="Q7437" s="270" t="s">
        <v>3944</v>
      </c>
      <c r="R7437" s="270">
        <v>2234.2600000000002</v>
      </c>
      <c r="S7437" s="270">
        <v>31791.34</v>
      </c>
      <c r="T7437" s="270">
        <v>34025.599999999999</v>
      </c>
      <c r="U7437" s="271" t="s">
        <v>3945</v>
      </c>
      <c r="V7437" s="267" t="s">
        <v>944</v>
      </c>
    </row>
    <row r="7438" spans="1:22" hidden="1" x14ac:dyDescent="0.25">
      <c r="A7438" s="266">
        <v>43804</v>
      </c>
      <c r="B7438" s="267">
        <v>2019</v>
      </c>
      <c r="C7438" s="267">
        <v>2020</v>
      </c>
      <c r="D7438" s="267">
        <v>1</v>
      </c>
      <c r="E7438" s="267">
        <v>1</v>
      </c>
      <c r="F7438" s="267" t="s">
        <v>944</v>
      </c>
      <c r="G7438" s="267" t="s">
        <v>3926</v>
      </c>
      <c r="H7438" s="267" t="s">
        <v>12285</v>
      </c>
      <c r="I7438" s="267" t="s">
        <v>4016</v>
      </c>
      <c r="J7438" s="267" t="s">
        <v>3928</v>
      </c>
      <c r="K7438" s="267">
        <v>6770</v>
      </c>
      <c r="L7438" s="267">
        <v>345201</v>
      </c>
      <c r="M7438" s="267" t="s">
        <v>3935</v>
      </c>
      <c r="N7438" s="267" t="s">
        <v>3944</v>
      </c>
      <c r="O7438" s="267">
        <v>563.29</v>
      </c>
      <c r="P7438" s="267" t="s">
        <v>3944</v>
      </c>
      <c r="Q7438" s="267" t="s">
        <v>3944</v>
      </c>
      <c r="R7438" s="267">
        <v>563.29</v>
      </c>
      <c r="S7438" s="267">
        <v>9044.2099999999991</v>
      </c>
      <c r="T7438" s="267">
        <v>9607.5</v>
      </c>
      <c r="U7438" s="268" t="s">
        <v>3945</v>
      </c>
      <c r="V7438" s="267" t="s">
        <v>944</v>
      </c>
    </row>
    <row r="7439" spans="1:22" hidden="1" x14ac:dyDescent="0.25">
      <c r="A7439" s="269">
        <v>43804</v>
      </c>
      <c r="B7439" s="270">
        <v>2019</v>
      </c>
      <c r="C7439" s="270">
        <v>2020</v>
      </c>
      <c r="D7439" s="270">
        <v>1</v>
      </c>
      <c r="E7439" s="270">
        <v>1</v>
      </c>
      <c r="F7439" s="270" t="s">
        <v>944</v>
      </c>
      <c r="G7439" s="270" t="s">
        <v>3926</v>
      </c>
      <c r="H7439" s="270" t="s">
        <v>12286</v>
      </c>
      <c r="I7439" s="270" t="s">
        <v>4008</v>
      </c>
      <c r="J7439" s="270" t="s">
        <v>3928</v>
      </c>
      <c r="K7439" s="270">
        <v>6320</v>
      </c>
      <c r="L7439" s="270">
        <v>690900</v>
      </c>
      <c r="M7439" s="270" t="s">
        <v>3935</v>
      </c>
      <c r="N7439" s="270" t="s">
        <v>3944</v>
      </c>
      <c r="O7439" s="270">
        <v>1653.58</v>
      </c>
      <c r="P7439" s="270" t="s">
        <v>3944</v>
      </c>
      <c r="Q7439" s="270" t="s">
        <v>3944</v>
      </c>
      <c r="R7439" s="270">
        <v>1653.58</v>
      </c>
      <c r="S7439" s="270">
        <v>19919.89</v>
      </c>
      <c r="T7439" s="270">
        <v>21573.47</v>
      </c>
      <c r="U7439" s="271" t="s">
        <v>3945</v>
      </c>
      <c r="V7439" s="267" t="s">
        <v>944</v>
      </c>
    </row>
    <row r="7440" spans="1:22" hidden="1" x14ac:dyDescent="0.25">
      <c r="A7440" s="266">
        <v>43804</v>
      </c>
      <c r="B7440" s="267">
        <v>2019</v>
      </c>
      <c r="C7440" s="267">
        <v>2020</v>
      </c>
      <c r="D7440" s="267">
        <v>1</v>
      </c>
      <c r="E7440" s="267">
        <v>1</v>
      </c>
      <c r="F7440" s="267" t="s">
        <v>944</v>
      </c>
      <c r="G7440" s="267" t="s">
        <v>3926</v>
      </c>
      <c r="H7440" s="267" t="s">
        <v>12287</v>
      </c>
      <c r="I7440" s="267" t="s">
        <v>934</v>
      </c>
      <c r="J7440" s="267" t="s">
        <v>3928</v>
      </c>
      <c r="K7440" s="267">
        <v>6606</v>
      </c>
      <c r="L7440" s="267">
        <v>72600</v>
      </c>
      <c r="M7440" s="267" t="s">
        <v>3940</v>
      </c>
      <c r="N7440" s="267" t="s">
        <v>3944</v>
      </c>
      <c r="O7440" s="267">
        <v>1608.15</v>
      </c>
      <c r="P7440" s="267" t="s">
        <v>3944</v>
      </c>
      <c r="Q7440" s="267" t="s">
        <v>3944</v>
      </c>
      <c r="R7440" s="267">
        <v>1608.15</v>
      </c>
      <c r="S7440" s="267">
        <v>16376.78</v>
      </c>
      <c r="T7440" s="267">
        <v>17984.93</v>
      </c>
      <c r="U7440" s="268" t="s">
        <v>3945</v>
      </c>
      <c r="V7440" s="267" t="s">
        <v>944</v>
      </c>
    </row>
    <row r="7441" spans="1:22" hidden="1" x14ac:dyDescent="0.25">
      <c r="A7441" s="269">
        <v>43804</v>
      </c>
      <c r="B7441" s="270">
        <v>2019</v>
      </c>
      <c r="C7441" s="270">
        <v>2020</v>
      </c>
      <c r="D7441" s="270">
        <v>1</v>
      </c>
      <c r="E7441" s="270">
        <v>1</v>
      </c>
      <c r="F7441" s="270" t="s">
        <v>944</v>
      </c>
      <c r="G7441" s="270" t="s">
        <v>3926</v>
      </c>
      <c r="H7441" s="270" t="s">
        <v>12288</v>
      </c>
      <c r="I7441" s="270" t="s">
        <v>4011</v>
      </c>
      <c r="J7441" s="270" t="s">
        <v>3928</v>
      </c>
      <c r="K7441" s="270">
        <v>6002</v>
      </c>
      <c r="L7441" s="270">
        <v>471200</v>
      </c>
      <c r="M7441" s="270" t="s">
        <v>3940</v>
      </c>
      <c r="N7441" s="270" t="s">
        <v>3944</v>
      </c>
      <c r="O7441" s="270">
        <v>2338.1799999999998</v>
      </c>
      <c r="P7441" s="270" t="s">
        <v>3944</v>
      </c>
      <c r="Q7441" s="270" t="s">
        <v>3944</v>
      </c>
      <c r="R7441" s="270">
        <v>2338.1799999999998</v>
      </c>
      <c r="S7441" s="270">
        <v>31103.16</v>
      </c>
      <c r="T7441" s="270">
        <v>33441.339999999997</v>
      </c>
      <c r="U7441" s="271" t="s">
        <v>3945</v>
      </c>
      <c r="V7441" s="267" t="s">
        <v>944</v>
      </c>
    </row>
    <row r="7442" spans="1:22" hidden="1" x14ac:dyDescent="0.25">
      <c r="A7442" s="266">
        <v>43804</v>
      </c>
      <c r="B7442" s="267">
        <v>2019</v>
      </c>
      <c r="C7442" s="267">
        <v>2020</v>
      </c>
      <c r="D7442" s="267">
        <v>1</v>
      </c>
      <c r="E7442" s="267">
        <v>1</v>
      </c>
      <c r="F7442" s="267" t="s">
        <v>944</v>
      </c>
      <c r="G7442" s="267" t="s">
        <v>3926</v>
      </c>
      <c r="H7442" s="267" t="s">
        <v>12289</v>
      </c>
      <c r="I7442" s="267" t="s">
        <v>3996</v>
      </c>
      <c r="J7442" s="267" t="s">
        <v>3928</v>
      </c>
      <c r="K7442" s="267">
        <v>6790</v>
      </c>
      <c r="L7442" s="267">
        <v>310801</v>
      </c>
      <c r="M7442" s="267" t="s">
        <v>3940</v>
      </c>
      <c r="N7442" s="267" t="s">
        <v>3944</v>
      </c>
      <c r="O7442" s="267">
        <v>1641.12</v>
      </c>
      <c r="P7442" s="267" t="s">
        <v>3944</v>
      </c>
      <c r="Q7442" s="267" t="s">
        <v>3944</v>
      </c>
      <c r="R7442" s="267">
        <v>1641.12</v>
      </c>
      <c r="S7442" s="267">
        <v>21029.18</v>
      </c>
      <c r="T7442" s="267">
        <v>22670.3</v>
      </c>
      <c r="U7442" s="268" t="s">
        <v>3945</v>
      </c>
      <c r="V7442" s="267" t="s">
        <v>944</v>
      </c>
    </row>
    <row r="7443" spans="1:22" hidden="1" x14ac:dyDescent="0.25">
      <c r="A7443" s="269">
        <v>43804</v>
      </c>
      <c r="B7443" s="270">
        <v>2019</v>
      </c>
      <c r="C7443" s="270">
        <v>2020</v>
      </c>
      <c r="D7443" s="270">
        <v>1</v>
      </c>
      <c r="E7443" s="270">
        <v>1</v>
      </c>
      <c r="F7443" s="270" t="s">
        <v>944</v>
      </c>
      <c r="G7443" s="270" t="s">
        <v>3926</v>
      </c>
      <c r="H7443" s="270" t="s">
        <v>12290</v>
      </c>
      <c r="I7443" s="270" t="s">
        <v>4035</v>
      </c>
      <c r="J7443" s="270" t="s">
        <v>3928</v>
      </c>
      <c r="K7443" s="270">
        <v>6074</v>
      </c>
      <c r="L7443" s="270">
        <v>487500</v>
      </c>
      <c r="M7443" s="270" t="s">
        <v>3935</v>
      </c>
      <c r="N7443" s="270" t="s">
        <v>3944</v>
      </c>
      <c r="O7443" s="270">
        <v>2219.35</v>
      </c>
      <c r="P7443" s="270" t="s">
        <v>3944</v>
      </c>
      <c r="Q7443" s="270" t="s">
        <v>3944</v>
      </c>
      <c r="R7443" s="270">
        <v>2219.35</v>
      </c>
      <c r="S7443" s="270">
        <v>26393.15</v>
      </c>
      <c r="T7443" s="270">
        <v>28612.5</v>
      </c>
      <c r="U7443" s="271" t="s">
        <v>3945</v>
      </c>
      <c r="V7443" s="267" t="s">
        <v>944</v>
      </c>
    </row>
    <row r="7444" spans="1:22" x14ac:dyDescent="0.25">
      <c r="A7444" s="266">
        <v>43804</v>
      </c>
      <c r="B7444" s="267">
        <v>2019</v>
      </c>
      <c r="C7444" s="267">
        <v>2020</v>
      </c>
      <c r="D7444" s="267">
        <v>1</v>
      </c>
      <c r="E7444" s="267">
        <v>1</v>
      </c>
      <c r="F7444" s="267" t="s">
        <v>944</v>
      </c>
      <c r="G7444" s="267" t="s">
        <v>3926</v>
      </c>
      <c r="H7444" s="267" t="s">
        <v>12291</v>
      </c>
      <c r="I7444" s="267" t="s">
        <v>934</v>
      </c>
      <c r="J7444" s="267" t="s">
        <v>3928</v>
      </c>
      <c r="K7444" s="267">
        <v>6610</v>
      </c>
      <c r="L7444" s="267">
        <v>73100</v>
      </c>
      <c r="M7444" s="267">
        <v>-60</v>
      </c>
      <c r="N7444" s="267" t="s">
        <v>3944</v>
      </c>
      <c r="O7444" s="267">
        <v>1920.07</v>
      </c>
      <c r="P7444" s="267" t="s">
        <v>3944</v>
      </c>
      <c r="Q7444" s="267" t="s">
        <v>3944</v>
      </c>
      <c r="R7444" s="267">
        <v>1920.07</v>
      </c>
      <c r="S7444" s="267">
        <v>24535.93</v>
      </c>
      <c r="T7444" s="267">
        <v>26456</v>
      </c>
      <c r="U7444" s="268" t="s">
        <v>3945</v>
      </c>
      <c r="V7444" s="276" t="s">
        <v>936</v>
      </c>
    </row>
    <row r="7445" spans="1:22" hidden="1" x14ac:dyDescent="0.25">
      <c r="A7445" s="269">
        <v>43804</v>
      </c>
      <c r="B7445" s="270">
        <v>2019</v>
      </c>
      <c r="C7445" s="270">
        <v>2020</v>
      </c>
      <c r="D7445" s="270">
        <v>1</v>
      </c>
      <c r="E7445" s="270">
        <v>1</v>
      </c>
      <c r="F7445" s="270" t="s">
        <v>944</v>
      </c>
      <c r="G7445" s="270" t="s">
        <v>3926</v>
      </c>
      <c r="H7445" s="270" t="s">
        <v>12292</v>
      </c>
      <c r="I7445" s="270" t="s">
        <v>4839</v>
      </c>
      <c r="J7445" s="270" t="s">
        <v>3928</v>
      </c>
      <c r="K7445" s="270">
        <v>6524</v>
      </c>
      <c r="L7445" s="270">
        <v>161100</v>
      </c>
      <c r="M7445" s="270" t="s">
        <v>3943</v>
      </c>
      <c r="N7445" s="270" t="s">
        <v>3944</v>
      </c>
      <c r="O7445" s="270">
        <v>1280.48</v>
      </c>
      <c r="P7445" s="270" t="s">
        <v>3944</v>
      </c>
      <c r="Q7445" s="270" t="s">
        <v>3944</v>
      </c>
      <c r="R7445" s="270">
        <v>1280.48</v>
      </c>
      <c r="S7445" s="270">
        <v>20549.02</v>
      </c>
      <c r="T7445" s="270">
        <v>21829.5</v>
      </c>
      <c r="U7445" s="271" t="s">
        <v>3945</v>
      </c>
      <c r="V7445" s="267" t="s">
        <v>944</v>
      </c>
    </row>
    <row r="7446" spans="1:22" hidden="1" x14ac:dyDescent="0.25">
      <c r="A7446" s="266">
        <v>43804</v>
      </c>
      <c r="B7446" s="267">
        <v>2019</v>
      </c>
      <c r="C7446" s="267">
        <v>2020</v>
      </c>
      <c r="D7446" s="267">
        <v>1</v>
      </c>
      <c r="E7446" s="267">
        <v>1</v>
      </c>
      <c r="F7446" s="267" t="s">
        <v>944</v>
      </c>
      <c r="G7446" s="267" t="s">
        <v>3926</v>
      </c>
      <c r="H7446" s="267" t="s">
        <v>12293</v>
      </c>
      <c r="I7446" s="267" t="s">
        <v>3008</v>
      </c>
      <c r="J7446" s="267" t="s">
        <v>3928</v>
      </c>
      <c r="K7446" s="267">
        <v>6461</v>
      </c>
      <c r="L7446" s="267">
        <v>150600</v>
      </c>
      <c r="M7446" s="267" t="s">
        <v>3960</v>
      </c>
      <c r="N7446" s="267" t="s">
        <v>3944</v>
      </c>
      <c r="O7446" s="267">
        <v>1896.44</v>
      </c>
      <c r="P7446" s="267" t="s">
        <v>3944</v>
      </c>
      <c r="Q7446" s="267" t="s">
        <v>3944</v>
      </c>
      <c r="R7446" s="267">
        <v>1896.44</v>
      </c>
      <c r="S7446" s="267">
        <v>32508.7</v>
      </c>
      <c r="T7446" s="267">
        <v>34405.14</v>
      </c>
      <c r="U7446" s="268" t="s">
        <v>3945</v>
      </c>
      <c r="V7446" s="267" t="s">
        <v>944</v>
      </c>
    </row>
    <row r="7447" spans="1:22" hidden="1" x14ac:dyDescent="0.25">
      <c r="A7447" s="269">
        <v>43804</v>
      </c>
      <c r="B7447" s="270">
        <v>2019</v>
      </c>
      <c r="C7447" s="270">
        <v>2020</v>
      </c>
      <c r="D7447" s="270">
        <v>1</v>
      </c>
      <c r="E7447" s="270">
        <v>1</v>
      </c>
      <c r="F7447" s="270" t="s">
        <v>944</v>
      </c>
      <c r="G7447" s="270" t="s">
        <v>3926</v>
      </c>
      <c r="H7447" s="270" t="s">
        <v>12294</v>
      </c>
      <c r="I7447" s="270" t="s">
        <v>943</v>
      </c>
      <c r="J7447" s="270" t="s">
        <v>3928</v>
      </c>
      <c r="K7447" s="270">
        <v>6512</v>
      </c>
      <c r="L7447" s="270">
        <v>142700</v>
      </c>
      <c r="M7447" s="270">
        <v>-60</v>
      </c>
      <c r="N7447" s="270" t="s">
        <v>3944</v>
      </c>
      <c r="O7447" s="270">
        <v>1426.25</v>
      </c>
      <c r="P7447" s="270" t="s">
        <v>3944</v>
      </c>
      <c r="Q7447" s="270" t="s">
        <v>3944</v>
      </c>
      <c r="R7447" s="270">
        <v>1426.25</v>
      </c>
      <c r="S7447" s="270">
        <v>20985.64</v>
      </c>
      <c r="T7447" s="270">
        <v>22411.89</v>
      </c>
      <c r="U7447" s="271" t="s">
        <v>3945</v>
      </c>
      <c r="V7447" s="267" t="s">
        <v>944</v>
      </c>
    </row>
    <row r="7448" spans="1:22" hidden="1" x14ac:dyDescent="0.25">
      <c r="A7448" s="266">
        <v>43804</v>
      </c>
      <c r="B7448" s="267">
        <v>2019</v>
      </c>
      <c r="C7448" s="267">
        <v>2020</v>
      </c>
      <c r="D7448" s="267">
        <v>1</v>
      </c>
      <c r="E7448" s="267">
        <v>1</v>
      </c>
      <c r="F7448" s="267" t="s">
        <v>944</v>
      </c>
      <c r="G7448" s="267" t="s">
        <v>3926</v>
      </c>
      <c r="H7448" s="267" t="s">
        <v>12295</v>
      </c>
      <c r="I7448" s="267" t="s">
        <v>5147</v>
      </c>
      <c r="J7448" s="267" t="s">
        <v>3928</v>
      </c>
      <c r="K7448" s="267">
        <v>6468</v>
      </c>
      <c r="L7448" s="267">
        <v>100100</v>
      </c>
      <c r="M7448" s="267" t="s">
        <v>3943</v>
      </c>
      <c r="N7448" s="267" t="s">
        <v>3944</v>
      </c>
      <c r="O7448" s="267">
        <v>2644.5</v>
      </c>
      <c r="P7448" s="267" t="s">
        <v>3944</v>
      </c>
      <c r="Q7448" s="267" t="s">
        <v>3944</v>
      </c>
      <c r="R7448" s="267">
        <v>2644.5</v>
      </c>
      <c r="S7448" s="267">
        <v>43573.26</v>
      </c>
      <c r="T7448" s="267">
        <v>46217.760000000002</v>
      </c>
      <c r="U7448" s="268" t="s">
        <v>3945</v>
      </c>
      <c r="V7448" s="267" t="s">
        <v>944</v>
      </c>
    </row>
    <row r="7449" spans="1:22" hidden="1" x14ac:dyDescent="0.25">
      <c r="A7449" s="269">
        <v>43804</v>
      </c>
      <c r="B7449" s="270">
        <v>2019</v>
      </c>
      <c r="C7449" s="270">
        <v>2020</v>
      </c>
      <c r="D7449" s="270">
        <v>1</v>
      </c>
      <c r="E7449" s="270">
        <v>1</v>
      </c>
      <c r="F7449" s="270" t="s">
        <v>944</v>
      </c>
      <c r="G7449" s="270" t="s">
        <v>3926</v>
      </c>
      <c r="H7449" s="270" t="s">
        <v>12296</v>
      </c>
      <c r="I7449" s="270" t="s">
        <v>4016</v>
      </c>
      <c r="J7449" s="270" t="s">
        <v>3928</v>
      </c>
      <c r="K7449" s="270">
        <v>6770</v>
      </c>
      <c r="L7449" s="270">
        <v>345201</v>
      </c>
      <c r="M7449" s="270" t="s">
        <v>3935</v>
      </c>
      <c r="N7449" s="270" t="s">
        <v>3944</v>
      </c>
      <c r="O7449" s="270">
        <v>1290.42</v>
      </c>
      <c r="P7449" s="270" t="s">
        <v>3944</v>
      </c>
      <c r="Q7449" s="270" t="s">
        <v>3944</v>
      </c>
      <c r="R7449" s="270">
        <v>1290.42</v>
      </c>
      <c r="S7449" s="270">
        <v>17899.57</v>
      </c>
      <c r="T7449" s="270">
        <v>19189.990000000002</v>
      </c>
      <c r="U7449" s="271" t="s">
        <v>3945</v>
      </c>
      <c r="V7449" s="267" t="s">
        <v>944</v>
      </c>
    </row>
    <row r="7450" spans="1:22" hidden="1" x14ac:dyDescent="0.25">
      <c r="A7450" s="266">
        <v>43804</v>
      </c>
      <c r="B7450" s="267">
        <v>2019</v>
      </c>
      <c r="C7450" s="267">
        <v>2020</v>
      </c>
      <c r="D7450" s="267">
        <v>1</v>
      </c>
      <c r="E7450" s="267">
        <v>1</v>
      </c>
      <c r="F7450" s="267" t="s">
        <v>944</v>
      </c>
      <c r="G7450" s="267" t="s">
        <v>3926</v>
      </c>
      <c r="H7450" s="267" t="s">
        <v>12297</v>
      </c>
      <c r="I7450" s="267" t="s">
        <v>3008</v>
      </c>
      <c r="J7450" s="267" t="s">
        <v>3928</v>
      </c>
      <c r="K7450" s="267">
        <v>6460</v>
      </c>
      <c r="L7450" s="267">
        <v>150500</v>
      </c>
      <c r="M7450" s="267" t="s">
        <v>3960</v>
      </c>
      <c r="N7450" s="267" t="s">
        <v>3944</v>
      </c>
      <c r="O7450" s="267">
        <v>1017.7</v>
      </c>
      <c r="P7450" s="267" t="s">
        <v>3944</v>
      </c>
      <c r="Q7450" s="267" t="s">
        <v>3944</v>
      </c>
      <c r="R7450" s="267">
        <v>1017.7</v>
      </c>
      <c r="S7450" s="267">
        <v>15665.54</v>
      </c>
      <c r="T7450" s="267">
        <v>16683.240000000002</v>
      </c>
      <c r="U7450" s="268" t="s">
        <v>3945</v>
      </c>
      <c r="V7450" s="267" t="s">
        <v>944</v>
      </c>
    </row>
    <row r="7451" spans="1:22" hidden="1" x14ac:dyDescent="0.25">
      <c r="A7451" s="269">
        <v>43804</v>
      </c>
      <c r="B7451" s="270">
        <v>2019</v>
      </c>
      <c r="C7451" s="270">
        <v>2020</v>
      </c>
      <c r="D7451" s="270">
        <v>1</v>
      </c>
      <c r="E7451" s="270">
        <v>1</v>
      </c>
      <c r="F7451" s="270" t="s">
        <v>944</v>
      </c>
      <c r="G7451" s="270" t="s">
        <v>3926</v>
      </c>
      <c r="H7451" s="270" t="s">
        <v>12298</v>
      </c>
      <c r="I7451" s="270" t="s">
        <v>4042</v>
      </c>
      <c r="J7451" s="270" t="s">
        <v>3928</v>
      </c>
      <c r="K7451" s="270">
        <v>6382</v>
      </c>
      <c r="L7451" s="270">
        <v>870501</v>
      </c>
      <c r="M7451" s="270" t="s">
        <v>3935</v>
      </c>
      <c r="N7451" s="270" t="s">
        <v>3944</v>
      </c>
      <c r="O7451" s="270">
        <v>796.81</v>
      </c>
      <c r="P7451" s="270" t="s">
        <v>3944</v>
      </c>
      <c r="Q7451" s="270" t="s">
        <v>3944</v>
      </c>
      <c r="R7451" s="270">
        <v>796.81</v>
      </c>
      <c r="S7451" s="270">
        <v>11877.55</v>
      </c>
      <c r="T7451" s="270">
        <v>12674.36</v>
      </c>
      <c r="U7451" s="271" t="s">
        <v>3945</v>
      </c>
      <c r="V7451" s="267" t="s">
        <v>944</v>
      </c>
    </row>
    <row r="7452" spans="1:22" hidden="1" x14ac:dyDescent="0.25">
      <c r="A7452" s="266">
        <v>43804</v>
      </c>
      <c r="B7452" s="267">
        <v>2019</v>
      </c>
      <c r="C7452" s="267">
        <v>2020</v>
      </c>
      <c r="D7452" s="267">
        <v>1</v>
      </c>
      <c r="E7452" s="267">
        <v>1</v>
      </c>
      <c r="F7452" s="267" t="s">
        <v>944</v>
      </c>
      <c r="G7452" s="267" t="s">
        <v>3926</v>
      </c>
      <c r="H7452" s="267" t="s">
        <v>12299</v>
      </c>
      <c r="I7452" s="267" t="s">
        <v>5410</v>
      </c>
      <c r="J7452" s="267" t="s">
        <v>3928</v>
      </c>
      <c r="K7452" s="267">
        <v>6712</v>
      </c>
      <c r="L7452" s="267">
        <v>347200</v>
      </c>
      <c r="M7452" s="267" t="s">
        <v>3960</v>
      </c>
      <c r="N7452" s="267" t="s">
        <v>3944</v>
      </c>
      <c r="O7452" s="267">
        <v>2116.2800000000002</v>
      </c>
      <c r="P7452" s="267" t="s">
        <v>3944</v>
      </c>
      <c r="Q7452" s="267" t="s">
        <v>3944</v>
      </c>
      <c r="R7452" s="267">
        <v>2116.2800000000002</v>
      </c>
      <c r="S7452" s="267">
        <v>32385.599999999999</v>
      </c>
      <c r="T7452" s="267">
        <v>34501.879999999997</v>
      </c>
      <c r="U7452" s="268" t="s">
        <v>3945</v>
      </c>
      <c r="V7452" s="267" t="s">
        <v>944</v>
      </c>
    </row>
    <row r="7453" spans="1:22" hidden="1" x14ac:dyDescent="0.25">
      <c r="A7453" s="269">
        <v>43804</v>
      </c>
      <c r="B7453" s="270">
        <v>2019</v>
      </c>
      <c r="C7453" s="270">
        <v>2020</v>
      </c>
      <c r="D7453" s="270">
        <v>1</v>
      </c>
      <c r="E7453" s="270">
        <v>1</v>
      </c>
      <c r="F7453" s="270" t="s">
        <v>944</v>
      </c>
      <c r="G7453" s="270" t="s">
        <v>3926</v>
      </c>
      <c r="H7453" s="270" t="s">
        <v>12300</v>
      </c>
      <c r="I7453" s="270" t="s">
        <v>4019</v>
      </c>
      <c r="J7453" s="270" t="s">
        <v>3928</v>
      </c>
      <c r="K7453" s="270">
        <v>6704</v>
      </c>
      <c r="L7453" s="270">
        <v>350900</v>
      </c>
      <c r="M7453" s="270" t="s">
        <v>3935</v>
      </c>
      <c r="N7453" s="270" t="s">
        <v>3944</v>
      </c>
      <c r="O7453" s="270">
        <v>1854.55</v>
      </c>
      <c r="P7453" s="270" t="s">
        <v>3944</v>
      </c>
      <c r="Q7453" s="270" t="s">
        <v>3944</v>
      </c>
      <c r="R7453" s="270">
        <v>1854.55</v>
      </c>
      <c r="S7453" s="270">
        <v>30574.34</v>
      </c>
      <c r="T7453" s="270">
        <v>32428.89</v>
      </c>
      <c r="U7453" s="271" t="s">
        <v>3945</v>
      </c>
      <c r="V7453" s="267" t="s">
        <v>944</v>
      </c>
    </row>
    <row r="7454" spans="1:22" hidden="1" x14ac:dyDescent="0.25">
      <c r="A7454" s="266">
        <v>43804</v>
      </c>
      <c r="B7454" s="267">
        <v>2019</v>
      </c>
      <c r="C7454" s="267">
        <v>2020</v>
      </c>
      <c r="D7454" s="267">
        <v>1</v>
      </c>
      <c r="E7454" s="267">
        <v>1</v>
      </c>
      <c r="F7454" s="267" t="s">
        <v>944</v>
      </c>
      <c r="G7454" s="267" t="s">
        <v>3926</v>
      </c>
      <c r="H7454" s="267" t="s">
        <v>12301</v>
      </c>
      <c r="I7454" s="267" t="s">
        <v>4005</v>
      </c>
      <c r="J7454" s="267" t="s">
        <v>3928</v>
      </c>
      <c r="K7454" s="267">
        <v>6118</v>
      </c>
      <c r="L7454" s="267">
        <v>510800</v>
      </c>
      <c r="M7454" s="267" t="s">
        <v>3940</v>
      </c>
      <c r="N7454" s="267" t="s">
        <v>3944</v>
      </c>
      <c r="O7454" s="267">
        <v>967.51</v>
      </c>
      <c r="P7454" s="267" t="s">
        <v>3944</v>
      </c>
      <c r="Q7454" s="267" t="s">
        <v>3944</v>
      </c>
      <c r="R7454" s="267">
        <v>967.51</v>
      </c>
      <c r="S7454" s="267">
        <v>13243.83</v>
      </c>
      <c r="T7454" s="267">
        <v>14211.34</v>
      </c>
      <c r="U7454" s="268" t="s">
        <v>3945</v>
      </c>
      <c r="V7454" s="267" t="s">
        <v>944</v>
      </c>
    </row>
    <row r="7455" spans="1:22" hidden="1" x14ac:dyDescent="0.25">
      <c r="A7455" s="269">
        <v>43805</v>
      </c>
      <c r="B7455" s="270">
        <v>2019</v>
      </c>
      <c r="C7455" s="270">
        <v>2020</v>
      </c>
      <c r="D7455" s="270">
        <v>1</v>
      </c>
      <c r="E7455" s="270">
        <v>1</v>
      </c>
      <c r="F7455" s="270" t="s">
        <v>944</v>
      </c>
      <c r="G7455" s="270" t="s">
        <v>3926</v>
      </c>
      <c r="H7455" s="270" t="s">
        <v>12302</v>
      </c>
      <c r="I7455" s="270" t="s">
        <v>3968</v>
      </c>
      <c r="J7455" s="270" t="s">
        <v>3928</v>
      </c>
      <c r="K7455" s="270">
        <v>6040</v>
      </c>
      <c r="L7455" s="270">
        <v>514500</v>
      </c>
      <c r="M7455" s="270" t="s">
        <v>3935</v>
      </c>
      <c r="N7455" s="270" t="s">
        <v>12303</v>
      </c>
      <c r="O7455" s="270">
        <v>0</v>
      </c>
      <c r="P7455" s="270" t="s">
        <v>3930</v>
      </c>
      <c r="Q7455" s="270" t="s">
        <v>3930</v>
      </c>
      <c r="R7455" s="270">
        <v>0</v>
      </c>
      <c r="S7455" s="270">
        <v>4504.13</v>
      </c>
      <c r="T7455" s="270">
        <v>4504.13</v>
      </c>
      <c r="U7455" s="271" t="s">
        <v>3937</v>
      </c>
      <c r="V7455" s="267" t="s">
        <v>944</v>
      </c>
    </row>
    <row r="7456" spans="1:22" hidden="1" x14ac:dyDescent="0.25">
      <c r="A7456" s="266">
        <v>43805</v>
      </c>
      <c r="B7456" s="267">
        <v>2019</v>
      </c>
      <c r="C7456" s="267">
        <v>2020</v>
      </c>
      <c r="D7456" s="267">
        <v>1</v>
      </c>
      <c r="E7456" s="267">
        <v>1</v>
      </c>
      <c r="F7456" s="267" t="s">
        <v>944</v>
      </c>
      <c r="G7456" s="267" t="s">
        <v>3926</v>
      </c>
      <c r="H7456" s="267" t="s">
        <v>12304</v>
      </c>
      <c r="I7456" s="267" t="s">
        <v>4248</v>
      </c>
      <c r="J7456" s="267" t="s">
        <v>3928</v>
      </c>
      <c r="K7456" s="267">
        <v>6076</v>
      </c>
      <c r="L7456" s="267">
        <v>890201</v>
      </c>
      <c r="M7456" s="267" t="s">
        <v>3960</v>
      </c>
      <c r="N7456" s="267" t="s">
        <v>7937</v>
      </c>
      <c r="O7456" s="267">
        <v>0</v>
      </c>
      <c r="P7456" s="267" t="s">
        <v>3930</v>
      </c>
      <c r="Q7456" s="267" t="s">
        <v>3930</v>
      </c>
      <c r="R7456" s="267">
        <v>0</v>
      </c>
      <c r="S7456" s="267">
        <v>8100</v>
      </c>
      <c r="T7456" s="267">
        <v>8100</v>
      </c>
      <c r="U7456" s="268" t="s">
        <v>3937</v>
      </c>
      <c r="V7456" s="267" t="s">
        <v>944</v>
      </c>
    </row>
    <row r="7457" spans="1:22" hidden="1" x14ac:dyDescent="0.25">
      <c r="A7457" s="269">
        <v>43805</v>
      </c>
      <c r="B7457" s="270">
        <v>2019</v>
      </c>
      <c r="C7457" s="270">
        <v>2020</v>
      </c>
      <c r="D7457" s="270">
        <v>1</v>
      </c>
      <c r="E7457" s="270">
        <v>1</v>
      </c>
      <c r="F7457" s="270" t="s">
        <v>944</v>
      </c>
      <c r="G7457" s="270" t="s">
        <v>3926</v>
      </c>
      <c r="H7457" s="270" t="s">
        <v>12305</v>
      </c>
      <c r="I7457" s="270" t="s">
        <v>4114</v>
      </c>
      <c r="J7457" s="270" t="s">
        <v>3928</v>
      </c>
      <c r="K7457" s="270">
        <v>6410</v>
      </c>
      <c r="L7457" s="270">
        <v>343102</v>
      </c>
      <c r="M7457" s="270" t="s">
        <v>3943</v>
      </c>
      <c r="N7457" s="270" t="s">
        <v>5875</v>
      </c>
      <c r="O7457" s="270">
        <v>0</v>
      </c>
      <c r="P7457" s="270" t="s">
        <v>3930</v>
      </c>
      <c r="Q7457" s="270" t="s">
        <v>3930</v>
      </c>
      <c r="R7457" s="270">
        <v>0</v>
      </c>
      <c r="S7457" s="270">
        <v>9250</v>
      </c>
      <c r="T7457" s="270">
        <v>9250</v>
      </c>
      <c r="U7457" s="271" t="s">
        <v>3937</v>
      </c>
      <c r="V7457" s="267" t="s">
        <v>944</v>
      </c>
    </row>
    <row r="7458" spans="1:22" hidden="1" x14ac:dyDescent="0.25">
      <c r="A7458" s="266">
        <v>43805</v>
      </c>
      <c r="B7458" s="267">
        <v>2019</v>
      </c>
      <c r="C7458" s="267">
        <v>2020</v>
      </c>
      <c r="D7458" s="267">
        <v>1</v>
      </c>
      <c r="E7458" s="267">
        <v>1</v>
      </c>
      <c r="F7458" s="267" t="s">
        <v>944</v>
      </c>
      <c r="G7458" s="267" t="s">
        <v>3926</v>
      </c>
      <c r="H7458" s="267" t="s">
        <v>12306</v>
      </c>
      <c r="I7458" s="267" t="s">
        <v>4213</v>
      </c>
      <c r="J7458" s="267" t="s">
        <v>3928</v>
      </c>
      <c r="K7458" s="267">
        <v>6051</v>
      </c>
      <c r="L7458" s="267">
        <v>415800</v>
      </c>
      <c r="M7458" s="267">
        <v>-60</v>
      </c>
      <c r="N7458" s="267" t="s">
        <v>4534</v>
      </c>
      <c r="O7458" s="267">
        <v>0</v>
      </c>
      <c r="P7458" s="267" t="s">
        <v>3930</v>
      </c>
      <c r="Q7458" s="267" t="s">
        <v>3930</v>
      </c>
      <c r="R7458" s="267">
        <v>0</v>
      </c>
      <c r="S7458" s="267">
        <v>15227</v>
      </c>
      <c r="T7458" s="267">
        <v>15227</v>
      </c>
      <c r="U7458" s="268" t="s">
        <v>3937</v>
      </c>
      <c r="V7458" s="267" t="s">
        <v>944</v>
      </c>
    </row>
    <row r="7459" spans="1:22" x14ac:dyDescent="0.25">
      <c r="A7459" s="269">
        <v>43805</v>
      </c>
      <c r="B7459" s="270">
        <v>2019</v>
      </c>
      <c r="C7459" s="270">
        <v>2020</v>
      </c>
      <c r="D7459" s="270">
        <v>1</v>
      </c>
      <c r="E7459" s="270">
        <v>1</v>
      </c>
      <c r="F7459" s="270" t="s">
        <v>944</v>
      </c>
      <c r="G7459" s="270" t="s">
        <v>3997</v>
      </c>
      <c r="H7459" s="270" t="s">
        <v>12307</v>
      </c>
      <c r="I7459" s="270" t="s">
        <v>934</v>
      </c>
      <c r="J7459" s="270" t="s">
        <v>3928</v>
      </c>
      <c r="K7459" s="270">
        <v>6610</v>
      </c>
      <c r="L7459" s="270">
        <v>73700</v>
      </c>
      <c r="M7459" s="270">
        <v>-60</v>
      </c>
      <c r="N7459" s="270" t="s">
        <v>12308</v>
      </c>
      <c r="O7459" s="270">
        <v>1928.04</v>
      </c>
      <c r="P7459" s="270" t="s">
        <v>3930</v>
      </c>
      <c r="Q7459" s="270" t="s">
        <v>3931</v>
      </c>
      <c r="R7459" s="270">
        <v>6928.04</v>
      </c>
      <c r="S7459" s="270">
        <v>13255.6</v>
      </c>
      <c r="T7459" s="270">
        <v>20183.64</v>
      </c>
      <c r="U7459" s="271" t="s">
        <v>3932</v>
      </c>
      <c r="V7459" s="276" t="s">
        <v>936</v>
      </c>
    </row>
    <row r="7460" spans="1:22" hidden="1" x14ac:dyDescent="0.25">
      <c r="A7460" s="266">
        <v>43805</v>
      </c>
      <c r="B7460" s="267">
        <v>2019</v>
      </c>
      <c r="C7460" s="267">
        <v>2020</v>
      </c>
      <c r="D7460" s="267">
        <v>1</v>
      </c>
      <c r="E7460" s="267">
        <v>1</v>
      </c>
      <c r="F7460" s="267" t="s">
        <v>944</v>
      </c>
      <c r="G7460" s="267" t="s">
        <v>3926</v>
      </c>
      <c r="H7460" s="267" t="s">
        <v>12309</v>
      </c>
      <c r="I7460" s="267" t="s">
        <v>5032</v>
      </c>
      <c r="J7460" s="267" t="s">
        <v>3928</v>
      </c>
      <c r="K7460" s="267">
        <v>6062</v>
      </c>
      <c r="L7460" s="267">
        <v>420600</v>
      </c>
      <c r="M7460" s="267" t="s">
        <v>3935</v>
      </c>
      <c r="N7460" s="267" t="s">
        <v>12310</v>
      </c>
      <c r="O7460" s="267">
        <v>0</v>
      </c>
      <c r="P7460" s="267" t="s">
        <v>3930</v>
      </c>
      <c r="Q7460" s="267" t="s">
        <v>3930</v>
      </c>
      <c r="R7460" s="267">
        <v>0</v>
      </c>
      <c r="S7460" s="267">
        <v>3002</v>
      </c>
      <c r="T7460" s="267">
        <v>3002</v>
      </c>
      <c r="U7460" s="268" t="s">
        <v>3937</v>
      </c>
      <c r="V7460" s="267" t="s">
        <v>944</v>
      </c>
    </row>
    <row r="7461" spans="1:22" hidden="1" x14ac:dyDescent="0.25">
      <c r="A7461" s="269">
        <v>43805</v>
      </c>
      <c r="B7461" s="270">
        <v>2019</v>
      </c>
      <c r="C7461" s="270">
        <v>2020</v>
      </c>
      <c r="D7461" s="270">
        <v>1</v>
      </c>
      <c r="E7461" s="270">
        <v>1</v>
      </c>
      <c r="F7461" s="270" t="s">
        <v>944</v>
      </c>
      <c r="G7461" s="270" t="s">
        <v>3926</v>
      </c>
      <c r="H7461" s="270" t="s">
        <v>12311</v>
      </c>
      <c r="I7461" s="270" t="s">
        <v>956</v>
      </c>
      <c r="J7461" s="270" t="s">
        <v>3928</v>
      </c>
      <c r="K7461" s="270">
        <v>6615</v>
      </c>
      <c r="L7461" s="270">
        <v>80500</v>
      </c>
      <c r="M7461" s="270" t="s">
        <v>3960</v>
      </c>
      <c r="N7461" s="270" t="s">
        <v>4103</v>
      </c>
      <c r="O7461" s="270">
        <v>3823.83</v>
      </c>
      <c r="P7461" s="270" t="s">
        <v>3930</v>
      </c>
      <c r="Q7461" s="270" t="s">
        <v>3931</v>
      </c>
      <c r="R7461" s="270">
        <v>8823.83</v>
      </c>
      <c r="S7461" s="270">
        <v>24145.599999999999</v>
      </c>
      <c r="T7461" s="270">
        <v>32969.43</v>
      </c>
      <c r="U7461" s="271" t="s">
        <v>3932</v>
      </c>
      <c r="V7461" s="267" t="s">
        <v>944</v>
      </c>
    </row>
    <row r="7462" spans="1:22" hidden="1" x14ac:dyDescent="0.25">
      <c r="A7462" s="266">
        <v>43805</v>
      </c>
      <c r="B7462" s="267">
        <v>2019</v>
      </c>
      <c r="C7462" s="267">
        <v>2020</v>
      </c>
      <c r="D7462" s="267">
        <v>1</v>
      </c>
      <c r="E7462" s="267">
        <v>1</v>
      </c>
      <c r="F7462" s="267" t="s">
        <v>944</v>
      </c>
      <c r="G7462" s="267" t="s">
        <v>3926</v>
      </c>
      <c r="H7462" s="267" t="s">
        <v>12312</v>
      </c>
      <c r="I7462" s="267" t="s">
        <v>4111</v>
      </c>
      <c r="J7462" s="267" t="s">
        <v>3928</v>
      </c>
      <c r="K7462" s="267">
        <v>6095</v>
      </c>
      <c r="L7462" s="267">
        <v>473601</v>
      </c>
      <c r="M7462" s="267" t="s">
        <v>3943</v>
      </c>
      <c r="N7462" s="267" t="s">
        <v>3944</v>
      </c>
      <c r="O7462" s="267">
        <v>3644</v>
      </c>
      <c r="P7462" s="267" t="s">
        <v>3944</v>
      </c>
      <c r="Q7462" s="267" t="s">
        <v>3944</v>
      </c>
      <c r="R7462" s="267">
        <v>3644</v>
      </c>
      <c r="S7462" s="267">
        <v>29799.8</v>
      </c>
      <c r="T7462" s="267">
        <v>33443.800000000003</v>
      </c>
      <c r="U7462" s="268" t="s">
        <v>3945</v>
      </c>
      <c r="V7462" s="267" t="s">
        <v>944</v>
      </c>
    </row>
    <row r="7463" spans="1:22" hidden="1" x14ac:dyDescent="0.25">
      <c r="A7463" s="269">
        <v>43805</v>
      </c>
      <c r="B7463" s="270">
        <v>2019</v>
      </c>
      <c r="C7463" s="270">
        <v>2020</v>
      </c>
      <c r="D7463" s="270">
        <v>1</v>
      </c>
      <c r="E7463" s="270">
        <v>1</v>
      </c>
      <c r="F7463" s="270" t="s">
        <v>944</v>
      </c>
      <c r="G7463" s="270" t="s">
        <v>3926</v>
      </c>
      <c r="H7463" s="270" t="s">
        <v>12313</v>
      </c>
      <c r="I7463" s="270" t="s">
        <v>4029</v>
      </c>
      <c r="J7463" s="270" t="s">
        <v>3928</v>
      </c>
      <c r="K7463" s="270">
        <v>6854</v>
      </c>
      <c r="L7463" s="270">
        <v>44600</v>
      </c>
      <c r="M7463" s="270" t="s">
        <v>3943</v>
      </c>
      <c r="N7463" s="270" t="s">
        <v>3944</v>
      </c>
      <c r="O7463" s="270">
        <v>4907</v>
      </c>
      <c r="P7463" s="270" t="s">
        <v>3944</v>
      </c>
      <c r="Q7463" s="270" t="s">
        <v>3944</v>
      </c>
      <c r="R7463" s="270">
        <v>4907</v>
      </c>
      <c r="S7463" s="270">
        <v>37498</v>
      </c>
      <c r="T7463" s="270">
        <v>42405</v>
      </c>
      <c r="U7463" s="271" t="s">
        <v>3945</v>
      </c>
      <c r="V7463" s="267" t="s">
        <v>944</v>
      </c>
    </row>
    <row r="7464" spans="1:22" hidden="1" x14ac:dyDescent="0.25">
      <c r="A7464" s="266">
        <v>43805</v>
      </c>
      <c r="B7464" s="267">
        <v>2019</v>
      </c>
      <c r="C7464" s="267">
        <v>2020</v>
      </c>
      <c r="D7464" s="267">
        <v>1</v>
      </c>
      <c r="E7464" s="267">
        <v>1</v>
      </c>
      <c r="F7464" s="267" t="s">
        <v>944</v>
      </c>
      <c r="G7464" s="267" t="s">
        <v>3926</v>
      </c>
      <c r="H7464" s="267" t="s">
        <v>12314</v>
      </c>
      <c r="I7464" s="267" t="s">
        <v>4111</v>
      </c>
      <c r="J7464" s="267" t="s">
        <v>3928</v>
      </c>
      <c r="K7464" s="267">
        <v>6095</v>
      </c>
      <c r="L7464" s="267">
        <v>473502</v>
      </c>
      <c r="M7464" s="267" t="s">
        <v>3960</v>
      </c>
      <c r="N7464" s="267" t="s">
        <v>3944</v>
      </c>
      <c r="O7464" s="267">
        <v>3909</v>
      </c>
      <c r="P7464" s="267" t="s">
        <v>3944</v>
      </c>
      <c r="Q7464" s="267" t="s">
        <v>3944</v>
      </c>
      <c r="R7464" s="267">
        <v>3909</v>
      </c>
      <c r="S7464" s="267">
        <v>48411</v>
      </c>
      <c r="T7464" s="267">
        <v>52320</v>
      </c>
      <c r="U7464" s="268" t="s">
        <v>3945</v>
      </c>
      <c r="V7464" s="267" t="s">
        <v>944</v>
      </c>
    </row>
    <row r="7465" spans="1:22" hidden="1" x14ac:dyDescent="0.25">
      <c r="A7465" s="269">
        <v>43805</v>
      </c>
      <c r="B7465" s="270">
        <v>2019</v>
      </c>
      <c r="C7465" s="270">
        <v>2020</v>
      </c>
      <c r="D7465" s="270">
        <v>1</v>
      </c>
      <c r="E7465" s="270">
        <v>1</v>
      </c>
      <c r="F7465" s="270" t="s">
        <v>944</v>
      </c>
      <c r="G7465" s="270" t="s">
        <v>3926</v>
      </c>
      <c r="H7465" s="270" t="s">
        <v>12315</v>
      </c>
      <c r="I7465" s="270" t="s">
        <v>4422</v>
      </c>
      <c r="J7465" s="270" t="s">
        <v>3928</v>
      </c>
      <c r="K7465" s="270">
        <v>6801</v>
      </c>
      <c r="L7465" s="270">
        <v>200100</v>
      </c>
      <c r="M7465" s="270" t="s">
        <v>3935</v>
      </c>
      <c r="N7465" s="270" t="s">
        <v>3944</v>
      </c>
      <c r="O7465" s="270">
        <v>2868</v>
      </c>
      <c r="P7465" s="270" t="s">
        <v>3944</v>
      </c>
      <c r="Q7465" s="270" t="s">
        <v>3944</v>
      </c>
      <c r="R7465" s="270">
        <v>2868</v>
      </c>
      <c r="S7465" s="270">
        <v>23732</v>
      </c>
      <c r="T7465" s="270">
        <v>26600</v>
      </c>
      <c r="U7465" s="271" t="s">
        <v>3945</v>
      </c>
      <c r="V7465" s="267" t="s">
        <v>944</v>
      </c>
    </row>
    <row r="7466" spans="1:22" hidden="1" x14ac:dyDescent="0.25">
      <c r="A7466" s="266">
        <v>43805</v>
      </c>
      <c r="B7466" s="267">
        <v>2019</v>
      </c>
      <c r="C7466" s="267">
        <v>2020</v>
      </c>
      <c r="D7466" s="267">
        <v>1</v>
      </c>
      <c r="E7466" s="267">
        <v>1</v>
      </c>
      <c r="F7466" s="267" t="s">
        <v>944</v>
      </c>
      <c r="G7466" s="267" t="s">
        <v>3926</v>
      </c>
      <c r="H7466" s="267" t="s">
        <v>12316</v>
      </c>
      <c r="I7466" s="267" t="s">
        <v>4069</v>
      </c>
      <c r="J7466" s="267" t="s">
        <v>3928</v>
      </c>
      <c r="K7466" s="267">
        <v>6906</v>
      </c>
      <c r="L7466" s="267">
        <v>21100</v>
      </c>
      <c r="M7466" s="267" t="s">
        <v>3943</v>
      </c>
      <c r="N7466" s="267" t="s">
        <v>3944</v>
      </c>
      <c r="O7466" s="267">
        <v>5596</v>
      </c>
      <c r="P7466" s="267" t="s">
        <v>3944</v>
      </c>
      <c r="Q7466" s="267" t="s">
        <v>3944</v>
      </c>
      <c r="R7466" s="267">
        <v>5596</v>
      </c>
      <c r="S7466" s="267">
        <v>46691.3</v>
      </c>
      <c r="T7466" s="267">
        <v>52287.3</v>
      </c>
      <c r="U7466" s="268" t="s">
        <v>3945</v>
      </c>
      <c r="V7466" s="267" t="s">
        <v>944</v>
      </c>
    </row>
    <row r="7467" spans="1:22" hidden="1" x14ac:dyDescent="0.25">
      <c r="A7467" s="269">
        <v>43805</v>
      </c>
      <c r="B7467" s="270">
        <v>2019</v>
      </c>
      <c r="C7467" s="270">
        <v>2020</v>
      </c>
      <c r="D7467" s="270">
        <v>1</v>
      </c>
      <c r="E7467" s="270">
        <v>1</v>
      </c>
      <c r="F7467" s="270" t="s">
        <v>944</v>
      </c>
      <c r="G7467" s="270" t="s">
        <v>3926</v>
      </c>
      <c r="H7467" s="270" t="s">
        <v>12317</v>
      </c>
      <c r="I7467" s="270" t="s">
        <v>4003</v>
      </c>
      <c r="J7467" s="270" t="s">
        <v>3928</v>
      </c>
      <c r="K7467" s="270">
        <v>6374</v>
      </c>
      <c r="L7467" s="270">
        <v>907300</v>
      </c>
      <c r="M7467" s="270" t="s">
        <v>3935</v>
      </c>
      <c r="N7467" s="270" t="s">
        <v>3944</v>
      </c>
      <c r="O7467" s="270">
        <v>1610.84</v>
      </c>
      <c r="P7467" s="270" t="s">
        <v>3944</v>
      </c>
      <c r="Q7467" s="270" t="s">
        <v>3944</v>
      </c>
      <c r="R7467" s="270">
        <v>1610.84</v>
      </c>
      <c r="S7467" s="270">
        <v>21692.27</v>
      </c>
      <c r="T7467" s="270">
        <v>23303.11</v>
      </c>
      <c r="U7467" s="271" t="s">
        <v>3945</v>
      </c>
      <c r="V7467" s="267" t="s">
        <v>944</v>
      </c>
    </row>
    <row r="7468" spans="1:22" hidden="1" x14ac:dyDescent="0.25">
      <c r="A7468" s="266">
        <v>43805</v>
      </c>
      <c r="B7468" s="267">
        <v>2019</v>
      </c>
      <c r="C7468" s="267">
        <v>2020</v>
      </c>
      <c r="D7468" s="267">
        <v>1</v>
      </c>
      <c r="E7468" s="267">
        <v>1</v>
      </c>
      <c r="F7468" s="267" t="s">
        <v>944</v>
      </c>
      <c r="G7468" s="267" t="s">
        <v>3926</v>
      </c>
      <c r="H7468" s="267" t="s">
        <v>12318</v>
      </c>
      <c r="I7468" s="267" t="s">
        <v>956</v>
      </c>
      <c r="J7468" s="267" t="s">
        <v>3928</v>
      </c>
      <c r="K7468" s="267">
        <v>6614</v>
      </c>
      <c r="L7468" s="267">
        <v>80900</v>
      </c>
      <c r="M7468" s="267" t="s">
        <v>3960</v>
      </c>
      <c r="N7468" s="267" t="s">
        <v>3944</v>
      </c>
      <c r="O7468" s="267">
        <v>536.94000000000005</v>
      </c>
      <c r="P7468" s="267" t="s">
        <v>3944</v>
      </c>
      <c r="Q7468" s="267" t="s">
        <v>3944</v>
      </c>
      <c r="R7468" s="267">
        <v>536.94000000000005</v>
      </c>
      <c r="S7468" s="267">
        <v>7575.93</v>
      </c>
      <c r="T7468" s="267">
        <v>8112.87</v>
      </c>
      <c r="U7468" s="268" t="s">
        <v>3945</v>
      </c>
      <c r="V7468" s="267" t="s">
        <v>944</v>
      </c>
    </row>
    <row r="7469" spans="1:22" hidden="1" x14ac:dyDescent="0.25">
      <c r="A7469" s="269">
        <v>43805</v>
      </c>
      <c r="B7469" s="270">
        <v>2019</v>
      </c>
      <c r="C7469" s="270">
        <v>2020</v>
      </c>
      <c r="D7469" s="270">
        <v>1</v>
      </c>
      <c r="E7469" s="270">
        <v>1</v>
      </c>
      <c r="F7469" s="270" t="s">
        <v>944</v>
      </c>
      <c r="G7469" s="270" t="s">
        <v>3926</v>
      </c>
      <c r="H7469" s="270" t="s">
        <v>12319</v>
      </c>
      <c r="I7469" s="270" t="s">
        <v>4944</v>
      </c>
      <c r="J7469" s="270" t="s">
        <v>3928</v>
      </c>
      <c r="K7469" s="270">
        <v>6232</v>
      </c>
      <c r="L7469" s="270">
        <v>528100</v>
      </c>
      <c r="M7469" s="270" t="s">
        <v>3943</v>
      </c>
      <c r="N7469" s="270" t="s">
        <v>3944</v>
      </c>
      <c r="O7469" s="270">
        <v>1308.06</v>
      </c>
      <c r="P7469" s="270" t="s">
        <v>3944</v>
      </c>
      <c r="Q7469" s="270" t="s">
        <v>3944</v>
      </c>
      <c r="R7469" s="270">
        <v>1308.06</v>
      </c>
      <c r="S7469" s="270">
        <v>21427.72</v>
      </c>
      <c r="T7469" s="270">
        <v>22735.78</v>
      </c>
      <c r="U7469" s="271" t="s">
        <v>3945</v>
      </c>
      <c r="V7469" s="267" t="s">
        <v>944</v>
      </c>
    </row>
    <row r="7470" spans="1:22" hidden="1" x14ac:dyDescent="0.25">
      <c r="A7470" s="266">
        <v>43805</v>
      </c>
      <c r="B7470" s="267">
        <v>2019</v>
      </c>
      <c r="C7470" s="267">
        <v>2020</v>
      </c>
      <c r="D7470" s="267">
        <v>1</v>
      </c>
      <c r="E7470" s="267">
        <v>1</v>
      </c>
      <c r="F7470" s="267" t="s">
        <v>944</v>
      </c>
      <c r="G7470" s="267" t="s">
        <v>3926</v>
      </c>
      <c r="H7470" s="267" t="s">
        <v>12320</v>
      </c>
      <c r="I7470" s="267" t="s">
        <v>4005</v>
      </c>
      <c r="J7470" s="267" t="s">
        <v>3928</v>
      </c>
      <c r="K7470" s="267">
        <v>6108</v>
      </c>
      <c r="L7470" s="267">
        <v>510300</v>
      </c>
      <c r="M7470" s="267" t="s">
        <v>3940</v>
      </c>
      <c r="N7470" s="267" t="s">
        <v>3944</v>
      </c>
      <c r="O7470" s="267">
        <v>1371.93</v>
      </c>
      <c r="P7470" s="267" t="s">
        <v>3944</v>
      </c>
      <c r="Q7470" s="267" t="s">
        <v>3944</v>
      </c>
      <c r="R7470" s="267">
        <v>1371.93</v>
      </c>
      <c r="S7470" s="267">
        <v>20429.41</v>
      </c>
      <c r="T7470" s="267">
        <v>21801.34</v>
      </c>
      <c r="U7470" s="268" t="s">
        <v>3945</v>
      </c>
      <c r="V7470" s="267" t="s">
        <v>944</v>
      </c>
    </row>
    <row r="7471" spans="1:22" hidden="1" x14ac:dyDescent="0.25">
      <c r="A7471" s="269">
        <v>43805</v>
      </c>
      <c r="B7471" s="270">
        <v>2019</v>
      </c>
      <c r="C7471" s="270">
        <v>2020</v>
      </c>
      <c r="D7471" s="270">
        <v>1</v>
      </c>
      <c r="E7471" s="270">
        <v>1</v>
      </c>
      <c r="F7471" s="270" t="s">
        <v>944</v>
      </c>
      <c r="G7471" s="270" t="s">
        <v>3926</v>
      </c>
      <c r="H7471" s="270" t="s">
        <v>12321</v>
      </c>
      <c r="I7471" s="270" t="s">
        <v>4005</v>
      </c>
      <c r="J7471" s="270" t="s">
        <v>3928</v>
      </c>
      <c r="K7471" s="270">
        <v>6118</v>
      </c>
      <c r="L7471" s="270">
        <v>510700</v>
      </c>
      <c r="M7471" s="270" t="s">
        <v>3940</v>
      </c>
      <c r="N7471" s="270" t="s">
        <v>3944</v>
      </c>
      <c r="O7471" s="270">
        <v>1111.6400000000001</v>
      </c>
      <c r="P7471" s="270" t="s">
        <v>3944</v>
      </c>
      <c r="Q7471" s="270" t="s">
        <v>3944</v>
      </c>
      <c r="R7471" s="270">
        <v>1111.6400000000001</v>
      </c>
      <c r="S7471" s="270">
        <v>16199.06</v>
      </c>
      <c r="T7471" s="270">
        <v>17310.7</v>
      </c>
      <c r="U7471" s="271" t="s">
        <v>3945</v>
      </c>
      <c r="V7471" s="267" t="s">
        <v>944</v>
      </c>
    </row>
    <row r="7472" spans="1:22" hidden="1" x14ac:dyDescent="0.25">
      <c r="A7472" s="266">
        <v>43805</v>
      </c>
      <c r="B7472" s="267">
        <v>2019</v>
      </c>
      <c r="C7472" s="267">
        <v>2020</v>
      </c>
      <c r="D7472" s="267">
        <v>1</v>
      </c>
      <c r="E7472" s="267">
        <v>1</v>
      </c>
      <c r="F7472" s="267" t="s">
        <v>944</v>
      </c>
      <c r="G7472" s="267" t="s">
        <v>3926</v>
      </c>
      <c r="H7472" s="267" t="s">
        <v>12322</v>
      </c>
      <c r="I7472" s="267" t="s">
        <v>4094</v>
      </c>
      <c r="J7472" s="267" t="s">
        <v>3928</v>
      </c>
      <c r="K7472" s="267">
        <v>6096</v>
      </c>
      <c r="L7472" s="267">
        <v>476100</v>
      </c>
      <c r="M7472" s="267" t="s">
        <v>3940</v>
      </c>
      <c r="N7472" s="267" t="s">
        <v>3944</v>
      </c>
      <c r="O7472" s="267">
        <v>1945.37</v>
      </c>
      <c r="P7472" s="267" t="s">
        <v>3944</v>
      </c>
      <c r="Q7472" s="267" t="s">
        <v>3944</v>
      </c>
      <c r="R7472" s="267">
        <v>1945.37</v>
      </c>
      <c r="S7472" s="267">
        <v>37723.46</v>
      </c>
      <c r="T7472" s="267">
        <v>39668.83</v>
      </c>
      <c r="U7472" s="268" t="s">
        <v>3945</v>
      </c>
      <c r="V7472" s="267" t="s">
        <v>944</v>
      </c>
    </row>
    <row r="7473" spans="1:22" hidden="1" x14ac:dyDescent="0.25">
      <c r="A7473" s="269">
        <v>43805</v>
      </c>
      <c r="B7473" s="270">
        <v>2019</v>
      </c>
      <c r="C7473" s="270">
        <v>2020</v>
      </c>
      <c r="D7473" s="270">
        <v>1</v>
      </c>
      <c r="E7473" s="270">
        <v>1</v>
      </c>
      <c r="F7473" s="270" t="s">
        <v>944</v>
      </c>
      <c r="G7473" s="270" t="s">
        <v>3926</v>
      </c>
      <c r="H7473" s="270" t="s">
        <v>12323</v>
      </c>
      <c r="I7473" s="270" t="s">
        <v>3975</v>
      </c>
      <c r="J7473" s="270" t="s">
        <v>3928</v>
      </c>
      <c r="K7473" s="270">
        <v>6489</v>
      </c>
      <c r="L7473" s="270">
        <v>430601</v>
      </c>
      <c r="M7473" s="270" t="s">
        <v>3940</v>
      </c>
      <c r="N7473" s="270" t="s">
        <v>3944</v>
      </c>
      <c r="O7473" s="270">
        <v>1311.77</v>
      </c>
      <c r="P7473" s="270" t="s">
        <v>3944</v>
      </c>
      <c r="Q7473" s="270" t="s">
        <v>3944</v>
      </c>
      <c r="R7473" s="270">
        <v>1311.77</v>
      </c>
      <c r="S7473" s="270">
        <v>19287.61</v>
      </c>
      <c r="T7473" s="270">
        <v>20599.38</v>
      </c>
      <c r="U7473" s="271" t="s">
        <v>3945</v>
      </c>
      <c r="V7473" s="267" t="s">
        <v>944</v>
      </c>
    </row>
    <row r="7474" spans="1:22" hidden="1" x14ac:dyDescent="0.25">
      <c r="A7474" s="266">
        <v>43805</v>
      </c>
      <c r="B7474" s="267">
        <v>2019</v>
      </c>
      <c r="C7474" s="267">
        <v>2020</v>
      </c>
      <c r="D7474" s="267">
        <v>1</v>
      </c>
      <c r="E7474" s="267">
        <v>1</v>
      </c>
      <c r="F7474" s="267" t="s">
        <v>944</v>
      </c>
      <c r="G7474" s="267" t="s">
        <v>3926</v>
      </c>
      <c r="H7474" s="267" t="s">
        <v>12324</v>
      </c>
      <c r="I7474" s="267" t="s">
        <v>4699</v>
      </c>
      <c r="J7474" s="267" t="s">
        <v>3928</v>
      </c>
      <c r="K7474" s="267">
        <v>6377</v>
      </c>
      <c r="L7474" s="267">
        <v>908100</v>
      </c>
      <c r="M7474" s="267" t="s">
        <v>3935</v>
      </c>
      <c r="N7474" s="267" t="s">
        <v>3944</v>
      </c>
      <c r="O7474" s="267">
        <v>2206.6799999999998</v>
      </c>
      <c r="P7474" s="267" t="s">
        <v>3944</v>
      </c>
      <c r="Q7474" s="267" t="s">
        <v>3944</v>
      </c>
      <c r="R7474" s="267">
        <v>2206.6799999999998</v>
      </c>
      <c r="S7474" s="267">
        <v>31723.95</v>
      </c>
      <c r="T7474" s="267">
        <v>33930.629999999997</v>
      </c>
      <c r="U7474" s="268" t="s">
        <v>3945</v>
      </c>
      <c r="V7474" s="267" t="s">
        <v>944</v>
      </c>
    </row>
    <row r="7475" spans="1:22" hidden="1" x14ac:dyDescent="0.25">
      <c r="A7475" s="269">
        <v>43805</v>
      </c>
      <c r="B7475" s="270">
        <v>2019</v>
      </c>
      <c r="C7475" s="270">
        <v>2020</v>
      </c>
      <c r="D7475" s="270">
        <v>1</v>
      </c>
      <c r="E7475" s="270">
        <v>1</v>
      </c>
      <c r="F7475" s="270" t="s">
        <v>944</v>
      </c>
      <c r="G7475" s="270" t="s">
        <v>3926</v>
      </c>
      <c r="H7475" s="270" t="s">
        <v>12325</v>
      </c>
      <c r="I7475" s="270" t="s">
        <v>950</v>
      </c>
      <c r="J7475" s="270" t="s">
        <v>3928</v>
      </c>
      <c r="K7475" s="270">
        <v>6516</v>
      </c>
      <c r="L7475" s="270">
        <v>154700</v>
      </c>
      <c r="M7475" s="270" t="s">
        <v>3960</v>
      </c>
      <c r="N7475" s="270" t="s">
        <v>3944</v>
      </c>
      <c r="O7475" s="270">
        <v>2498.3000000000002</v>
      </c>
      <c r="P7475" s="270" t="s">
        <v>3944</v>
      </c>
      <c r="Q7475" s="270" t="s">
        <v>3944</v>
      </c>
      <c r="R7475" s="270">
        <v>2498.3000000000002</v>
      </c>
      <c r="S7475" s="270">
        <v>39459.699999999997</v>
      </c>
      <c r="T7475" s="270">
        <v>41958</v>
      </c>
      <c r="U7475" s="271" t="s">
        <v>3945</v>
      </c>
      <c r="V7475" s="267" t="s">
        <v>944</v>
      </c>
    </row>
    <row r="7476" spans="1:22" hidden="1" x14ac:dyDescent="0.25">
      <c r="A7476" s="266">
        <v>43805</v>
      </c>
      <c r="B7476" s="267">
        <v>2019</v>
      </c>
      <c r="C7476" s="267">
        <v>2020</v>
      </c>
      <c r="D7476" s="267">
        <v>1</v>
      </c>
      <c r="E7476" s="267">
        <v>1</v>
      </c>
      <c r="F7476" s="267" t="s">
        <v>944</v>
      </c>
      <c r="G7476" s="267" t="s">
        <v>3926</v>
      </c>
      <c r="H7476" s="267" t="s">
        <v>12326</v>
      </c>
      <c r="I7476" s="267" t="s">
        <v>956</v>
      </c>
      <c r="J7476" s="267" t="s">
        <v>3928</v>
      </c>
      <c r="K7476" s="267">
        <v>6614</v>
      </c>
      <c r="L7476" s="267">
        <v>81000</v>
      </c>
      <c r="M7476" s="267" t="s">
        <v>3940</v>
      </c>
      <c r="N7476" s="267" t="s">
        <v>3944</v>
      </c>
      <c r="O7476" s="267">
        <v>1244.78</v>
      </c>
      <c r="P7476" s="267" t="s">
        <v>3944</v>
      </c>
      <c r="Q7476" s="267" t="s">
        <v>3944</v>
      </c>
      <c r="R7476" s="267">
        <v>1244.78</v>
      </c>
      <c r="S7476" s="267">
        <v>19179.62</v>
      </c>
      <c r="T7476" s="267">
        <v>20424.400000000001</v>
      </c>
      <c r="U7476" s="268" t="s">
        <v>3945</v>
      </c>
      <c r="V7476" s="267" t="s">
        <v>944</v>
      </c>
    </row>
    <row r="7477" spans="1:22" hidden="1" x14ac:dyDescent="0.25">
      <c r="A7477" s="269">
        <v>43805</v>
      </c>
      <c r="B7477" s="270">
        <v>2019</v>
      </c>
      <c r="C7477" s="270">
        <v>2020</v>
      </c>
      <c r="D7477" s="270">
        <v>1</v>
      </c>
      <c r="E7477" s="270">
        <v>1</v>
      </c>
      <c r="F7477" s="270" t="s">
        <v>944</v>
      </c>
      <c r="G7477" s="270" t="s">
        <v>3926</v>
      </c>
      <c r="H7477" s="270" t="s">
        <v>12327</v>
      </c>
      <c r="I7477" s="270" t="s">
        <v>4254</v>
      </c>
      <c r="J7477" s="270" t="s">
        <v>3928</v>
      </c>
      <c r="K7477" s="270">
        <v>6076</v>
      </c>
      <c r="L7477" s="270">
        <v>890201</v>
      </c>
      <c r="M7477" s="270" t="s">
        <v>3960</v>
      </c>
      <c r="N7477" s="270" t="s">
        <v>3944</v>
      </c>
      <c r="O7477" s="270">
        <v>1444.94</v>
      </c>
      <c r="P7477" s="270" t="s">
        <v>3944</v>
      </c>
      <c r="Q7477" s="270" t="s">
        <v>3944</v>
      </c>
      <c r="R7477" s="270">
        <v>1444.94</v>
      </c>
      <c r="S7477" s="270">
        <v>20652.310000000001</v>
      </c>
      <c r="T7477" s="270">
        <v>22097.25</v>
      </c>
      <c r="U7477" s="271" t="s">
        <v>3945</v>
      </c>
      <c r="V7477" s="267" t="s">
        <v>944</v>
      </c>
    </row>
    <row r="7478" spans="1:22" hidden="1" x14ac:dyDescent="0.25">
      <c r="A7478" s="266">
        <v>43805</v>
      </c>
      <c r="B7478" s="267">
        <v>2019</v>
      </c>
      <c r="C7478" s="267">
        <v>2020</v>
      </c>
      <c r="D7478" s="267">
        <v>1</v>
      </c>
      <c r="E7478" s="267">
        <v>1</v>
      </c>
      <c r="F7478" s="267" t="s">
        <v>944</v>
      </c>
      <c r="G7478" s="267" t="s">
        <v>3926</v>
      </c>
      <c r="H7478" s="267" t="s">
        <v>12328</v>
      </c>
      <c r="I7478" s="267" t="s">
        <v>3996</v>
      </c>
      <c r="J7478" s="267" t="s">
        <v>3928</v>
      </c>
      <c r="K7478" s="267">
        <v>6790</v>
      </c>
      <c r="L7478" s="267">
        <v>310804</v>
      </c>
      <c r="M7478" s="267" t="s">
        <v>3935</v>
      </c>
      <c r="N7478" s="267" t="s">
        <v>3944</v>
      </c>
      <c r="O7478" s="267">
        <v>1344.35</v>
      </c>
      <c r="P7478" s="267" t="s">
        <v>3944</v>
      </c>
      <c r="Q7478" s="267" t="s">
        <v>3944</v>
      </c>
      <c r="R7478" s="267">
        <v>1344.35</v>
      </c>
      <c r="S7478" s="267">
        <v>18745.650000000001</v>
      </c>
      <c r="T7478" s="267">
        <v>20090</v>
      </c>
      <c r="U7478" s="268" t="s">
        <v>3945</v>
      </c>
      <c r="V7478" s="267" t="s">
        <v>944</v>
      </c>
    </row>
    <row r="7479" spans="1:22" hidden="1" x14ac:dyDescent="0.25">
      <c r="A7479" s="269">
        <v>43805</v>
      </c>
      <c r="B7479" s="270">
        <v>2019</v>
      </c>
      <c r="C7479" s="270">
        <v>2020</v>
      </c>
      <c r="D7479" s="270">
        <v>1</v>
      </c>
      <c r="E7479" s="270">
        <v>1</v>
      </c>
      <c r="F7479" s="270" t="s">
        <v>944</v>
      </c>
      <c r="G7479" s="270" t="s">
        <v>3926</v>
      </c>
      <c r="H7479" s="270" t="s">
        <v>12329</v>
      </c>
      <c r="I7479" s="270" t="s">
        <v>956</v>
      </c>
      <c r="J7479" s="270" t="s">
        <v>3928</v>
      </c>
      <c r="K7479" s="270">
        <v>6614</v>
      </c>
      <c r="L7479" s="270">
        <v>80900</v>
      </c>
      <c r="M7479" s="270" t="s">
        <v>3960</v>
      </c>
      <c r="N7479" s="270" t="s">
        <v>3944</v>
      </c>
      <c r="O7479" s="270">
        <v>1014.58</v>
      </c>
      <c r="P7479" s="270" t="s">
        <v>3944</v>
      </c>
      <c r="Q7479" s="270" t="s">
        <v>3944</v>
      </c>
      <c r="R7479" s="270">
        <v>1014.58</v>
      </c>
      <c r="S7479" s="270">
        <v>15768.62</v>
      </c>
      <c r="T7479" s="270">
        <v>16783.2</v>
      </c>
      <c r="U7479" s="271" t="s">
        <v>3945</v>
      </c>
      <c r="V7479" s="267" t="s">
        <v>944</v>
      </c>
    </row>
    <row r="7480" spans="1:22" hidden="1" x14ac:dyDescent="0.25">
      <c r="A7480" s="266">
        <v>43805</v>
      </c>
      <c r="B7480" s="267">
        <v>2019</v>
      </c>
      <c r="C7480" s="267">
        <v>2020</v>
      </c>
      <c r="D7480" s="267">
        <v>1</v>
      </c>
      <c r="E7480" s="267">
        <v>1</v>
      </c>
      <c r="F7480" s="267" t="s">
        <v>944</v>
      </c>
      <c r="G7480" s="267" t="s">
        <v>3926</v>
      </c>
      <c r="H7480" s="267" t="s">
        <v>12330</v>
      </c>
      <c r="I7480" s="267" t="s">
        <v>3008</v>
      </c>
      <c r="J7480" s="267" t="s">
        <v>3928</v>
      </c>
      <c r="K7480" s="267">
        <v>6460</v>
      </c>
      <c r="L7480" s="267">
        <v>150200</v>
      </c>
      <c r="M7480" s="267" t="s">
        <v>3935</v>
      </c>
      <c r="N7480" s="267" t="s">
        <v>3944</v>
      </c>
      <c r="O7480" s="267">
        <v>1641.96</v>
      </c>
      <c r="P7480" s="267" t="s">
        <v>3944</v>
      </c>
      <c r="Q7480" s="267" t="s">
        <v>3944</v>
      </c>
      <c r="R7480" s="267">
        <v>1641.96</v>
      </c>
      <c r="S7480" s="267">
        <v>30584.04</v>
      </c>
      <c r="T7480" s="267">
        <v>32226</v>
      </c>
      <c r="U7480" s="268" t="s">
        <v>3945</v>
      </c>
      <c r="V7480" s="267" t="s">
        <v>944</v>
      </c>
    </row>
    <row r="7481" spans="1:22" hidden="1" x14ac:dyDescent="0.25">
      <c r="A7481" s="269">
        <v>43805</v>
      </c>
      <c r="B7481" s="270">
        <v>2019</v>
      </c>
      <c r="C7481" s="270">
        <v>2020</v>
      </c>
      <c r="D7481" s="270">
        <v>1</v>
      </c>
      <c r="E7481" s="270">
        <v>1</v>
      </c>
      <c r="F7481" s="270" t="s">
        <v>944</v>
      </c>
      <c r="G7481" s="270" t="s">
        <v>3926</v>
      </c>
      <c r="H7481" s="270" t="s">
        <v>12331</v>
      </c>
      <c r="I7481" s="270" t="s">
        <v>4213</v>
      </c>
      <c r="J7481" s="270" t="s">
        <v>3928</v>
      </c>
      <c r="K7481" s="270">
        <v>6053</v>
      </c>
      <c r="L7481" s="270">
        <v>417500</v>
      </c>
      <c r="M7481" s="270" t="s">
        <v>3940</v>
      </c>
      <c r="N7481" s="270" t="s">
        <v>3944</v>
      </c>
      <c r="O7481" s="270">
        <v>1628.48</v>
      </c>
      <c r="P7481" s="270" t="s">
        <v>3944</v>
      </c>
      <c r="Q7481" s="270" t="s">
        <v>3944</v>
      </c>
      <c r="R7481" s="270">
        <v>1628.48</v>
      </c>
      <c r="S7481" s="270">
        <v>23585.09</v>
      </c>
      <c r="T7481" s="270">
        <v>25213.57</v>
      </c>
      <c r="U7481" s="271" t="s">
        <v>3945</v>
      </c>
      <c r="V7481" s="267" t="s">
        <v>944</v>
      </c>
    </row>
    <row r="7482" spans="1:22" hidden="1" x14ac:dyDescent="0.25">
      <c r="A7482" s="266">
        <v>43805</v>
      </c>
      <c r="B7482" s="267">
        <v>2019</v>
      </c>
      <c r="C7482" s="267">
        <v>2020</v>
      </c>
      <c r="D7482" s="267">
        <v>1</v>
      </c>
      <c r="E7482" s="267">
        <v>1</v>
      </c>
      <c r="F7482" s="267" t="s">
        <v>944</v>
      </c>
      <c r="G7482" s="267" t="s">
        <v>3926</v>
      </c>
      <c r="H7482" s="267" t="s">
        <v>12332</v>
      </c>
      <c r="I7482" s="267" t="s">
        <v>4042</v>
      </c>
      <c r="J7482" s="267" t="s">
        <v>3928</v>
      </c>
      <c r="K7482" s="267">
        <v>6370</v>
      </c>
      <c r="L7482" s="267">
        <v>695202</v>
      </c>
      <c r="M7482" s="267" t="s">
        <v>3935</v>
      </c>
      <c r="N7482" s="267" t="s">
        <v>3944</v>
      </c>
      <c r="O7482" s="267">
        <v>3225.01</v>
      </c>
      <c r="P7482" s="267" t="s">
        <v>3944</v>
      </c>
      <c r="Q7482" s="267" t="s">
        <v>3944</v>
      </c>
      <c r="R7482" s="267">
        <v>3225.01</v>
      </c>
      <c r="S7482" s="267">
        <v>50465.9</v>
      </c>
      <c r="T7482" s="267">
        <v>53690.91</v>
      </c>
      <c r="U7482" s="268" t="s">
        <v>3945</v>
      </c>
      <c r="V7482" s="267" t="s">
        <v>944</v>
      </c>
    </row>
    <row r="7483" spans="1:22" hidden="1" x14ac:dyDescent="0.25">
      <c r="A7483" s="269">
        <v>43805</v>
      </c>
      <c r="B7483" s="270">
        <v>2019</v>
      </c>
      <c r="C7483" s="270">
        <v>2020</v>
      </c>
      <c r="D7483" s="270">
        <v>1</v>
      </c>
      <c r="E7483" s="270">
        <v>1</v>
      </c>
      <c r="F7483" s="270" t="s">
        <v>944</v>
      </c>
      <c r="G7483" s="270" t="s">
        <v>3926</v>
      </c>
      <c r="H7483" s="270" t="s">
        <v>12333</v>
      </c>
      <c r="I7483" s="270" t="s">
        <v>3968</v>
      </c>
      <c r="J7483" s="270" t="s">
        <v>3928</v>
      </c>
      <c r="K7483" s="270">
        <v>6040</v>
      </c>
      <c r="L7483" s="270">
        <v>514500</v>
      </c>
      <c r="M7483" s="270" t="s">
        <v>3935</v>
      </c>
      <c r="N7483" s="270" t="s">
        <v>3944</v>
      </c>
      <c r="O7483" s="270">
        <v>1160.5999999999999</v>
      </c>
      <c r="P7483" s="270" t="s">
        <v>3944</v>
      </c>
      <c r="Q7483" s="270" t="s">
        <v>3944</v>
      </c>
      <c r="R7483" s="270">
        <v>1160.5999999999999</v>
      </c>
      <c r="S7483" s="270">
        <v>14519.4</v>
      </c>
      <c r="T7483" s="270">
        <v>15680</v>
      </c>
      <c r="U7483" s="271" t="s">
        <v>3945</v>
      </c>
      <c r="V7483" s="267" t="s">
        <v>944</v>
      </c>
    </row>
    <row r="7484" spans="1:22" hidden="1" x14ac:dyDescent="0.25">
      <c r="A7484" s="266">
        <v>43805</v>
      </c>
      <c r="B7484" s="267">
        <v>2019</v>
      </c>
      <c r="C7484" s="267">
        <v>2020</v>
      </c>
      <c r="D7484" s="267">
        <v>1</v>
      </c>
      <c r="E7484" s="267">
        <v>1</v>
      </c>
      <c r="F7484" s="267" t="s">
        <v>944</v>
      </c>
      <c r="G7484" s="267" t="s">
        <v>3926</v>
      </c>
      <c r="H7484" s="267" t="s">
        <v>12334</v>
      </c>
      <c r="I7484" s="267" t="s">
        <v>3934</v>
      </c>
      <c r="J7484" s="267" t="s">
        <v>3928</v>
      </c>
      <c r="K7484" s="267">
        <v>6405</v>
      </c>
      <c r="L7484" s="267">
        <v>184700</v>
      </c>
      <c r="M7484" s="267" t="s">
        <v>3935</v>
      </c>
      <c r="N7484" s="267" t="s">
        <v>3944</v>
      </c>
      <c r="O7484" s="267">
        <v>2475.06</v>
      </c>
      <c r="P7484" s="267" t="s">
        <v>3944</v>
      </c>
      <c r="Q7484" s="267" t="s">
        <v>3944</v>
      </c>
      <c r="R7484" s="267">
        <v>2475.06</v>
      </c>
      <c r="S7484" s="267">
        <v>41080.94</v>
      </c>
      <c r="T7484" s="267">
        <v>43556</v>
      </c>
      <c r="U7484" s="268" t="s">
        <v>3945</v>
      </c>
      <c r="V7484" s="267" t="s">
        <v>944</v>
      </c>
    </row>
    <row r="7485" spans="1:22" hidden="1" x14ac:dyDescent="0.25">
      <c r="A7485" s="269">
        <v>43806</v>
      </c>
      <c r="B7485" s="270">
        <v>2019</v>
      </c>
      <c r="C7485" s="270">
        <v>2020</v>
      </c>
      <c r="D7485" s="270">
        <v>1</v>
      </c>
      <c r="E7485" s="270">
        <v>1</v>
      </c>
      <c r="F7485" s="270" t="s">
        <v>944</v>
      </c>
      <c r="G7485" s="270" t="s">
        <v>3926</v>
      </c>
      <c r="H7485" s="270" t="s">
        <v>12335</v>
      </c>
      <c r="I7485" s="270" t="s">
        <v>3956</v>
      </c>
      <c r="J7485" s="270" t="s">
        <v>3928</v>
      </c>
      <c r="K7485" s="270">
        <v>6114</v>
      </c>
      <c r="L7485" s="270">
        <v>502400</v>
      </c>
      <c r="M7485" s="270">
        <v>-60</v>
      </c>
      <c r="N7485" s="270" t="s">
        <v>8223</v>
      </c>
      <c r="O7485" s="270">
        <v>2299.0500000000002</v>
      </c>
      <c r="P7485" s="270" t="s">
        <v>3930</v>
      </c>
      <c r="Q7485" s="270" t="s">
        <v>3931</v>
      </c>
      <c r="R7485" s="270">
        <v>7299.05</v>
      </c>
      <c r="S7485" s="270">
        <v>12702.4</v>
      </c>
      <c r="T7485" s="270">
        <v>20001.45</v>
      </c>
      <c r="U7485" s="271" t="s">
        <v>3932</v>
      </c>
      <c r="V7485" s="267" t="s">
        <v>944</v>
      </c>
    </row>
    <row r="7486" spans="1:22" hidden="1" x14ac:dyDescent="0.25">
      <c r="A7486" s="266">
        <v>43806</v>
      </c>
      <c r="B7486" s="267">
        <v>2019</v>
      </c>
      <c r="C7486" s="267">
        <v>2020</v>
      </c>
      <c r="D7486" s="267">
        <v>1</v>
      </c>
      <c r="E7486" s="267">
        <v>1</v>
      </c>
      <c r="F7486" s="267" t="s">
        <v>944</v>
      </c>
      <c r="G7486" s="267" t="s">
        <v>3926</v>
      </c>
      <c r="H7486" s="267" t="s">
        <v>12336</v>
      </c>
      <c r="I7486" s="267" t="s">
        <v>3009</v>
      </c>
      <c r="J7486" s="267" t="s">
        <v>3928</v>
      </c>
      <c r="K7486" s="267">
        <v>6484</v>
      </c>
      <c r="L7486" s="267">
        <v>110202</v>
      </c>
      <c r="M7486" s="267" t="s">
        <v>3935</v>
      </c>
      <c r="N7486" s="267" t="s">
        <v>4103</v>
      </c>
      <c r="O7486" s="267">
        <v>3649.41</v>
      </c>
      <c r="P7486" s="267" t="s">
        <v>3930</v>
      </c>
      <c r="Q7486" s="267" t="s">
        <v>3931</v>
      </c>
      <c r="R7486" s="267">
        <v>8649.41</v>
      </c>
      <c r="S7486" s="267">
        <v>24145.599999999999</v>
      </c>
      <c r="T7486" s="267">
        <v>32795.01</v>
      </c>
      <c r="U7486" s="268" t="s">
        <v>3932</v>
      </c>
      <c r="V7486" s="267" t="s">
        <v>944</v>
      </c>
    </row>
    <row r="7487" spans="1:22" hidden="1" x14ac:dyDescent="0.25">
      <c r="A7487" s="269">
        <v>43806</v>
      </c>
      <c r="B7487" s="270">
        <v>2019</v>
      </c>
      <c r="C7487" s="270">
        <v>2020</v>
      </c>
      <c r="D7487" s="270">
        <v>1</v>
      </c>
      <c r="E7487" s="270">
        <v>1</v>
      </c>
      <c r="F7487" s="270" t="s">
        <v>944</v>
      </c>
      <c r="G7487" s="270" t="s">
        <v>3926</v>
      </c>
      <c r="H7487" s="270" t="s">
        <v>12337</v>
      </c>
      <c r="I7487" s="270" t="s">
        <v>4019</v>
      </c>
      <c r="J7487" s="270" t="s">
        <v>3928</v>
      </c>
      <c r="K7487" s="270">
        <v>6705</v>
      </c>
      <c r="L7487" s="270">
        <v>352701</v>
      </c>
      <c r="M7487" s="270">
        <v>-60</v>
      </c>
      <c r="N7487" s="270" t="s">
        <v>3983</v>
      </c>
      <c r="O7487" s="270">
        <v>1251.8499999999999</v>
      </c>
      <c r="P7487" s="270" t="s">
        <v>3930</v>
      </c>
      <c r="Q7487" s="270" t="s">
        <v>3931</v>
      </c>
      <c r="R7487" s="270">
        <v>6251.85</v>
      </c>
      <c r="S7487" s="270">
        <v>16504</v>
      </c>
      <c r="T7487" s="270">
        <v>22755.85</v>
      </c>
      <c r="U7487" s="271" t="s">
        <v>3932</v>
      </c>
      <c r="V7487" s="267" t="s">
        <v>944</v>
      </c>
    </row>
    <row r="7488" spans="1:22" hidden="1" x14ac:dyDescent="0.25">
      <c r="A7488" s="266">
        <v>43806</v>
      </c>
      <c r="B7488" s="267">
        <v>2019</v>
      </c>
      <c r="C7488" s="267">
        <v>2020</v>
      </c>
      <c r="D7488" s="267">
        <v>1</v>
      </c>
      <c r="E7488" s="267">
        <v>1</v>
      </c>
      <c r="F7488" s="267" t="s">
        <v>944</v>
      </c>
      <c r="G7488" s="267" t="s">
        <v>3926</v>
      </c>
      <c r="H7488" s="267" t="s">
        <v>12338</v>
      </c>
      <c r="I7488" s="267" t="s">
        <v>956</v>
      </c>
      <c r="J7488" s="267" t="s">
        <v>3928</v>
      </c>
      <c r="K7488" s="267">
        <v>6614</v>
      </c>
      <c r="L7488" s="267">
        <v>80800</v>
      </c>
      <c r="M7488" s="267" t="s">
        <v>3960</v>
      </c>
      <c r="N7488" s="267" t="s">
        <v>3944</v>
      </c>
      <c r="O7488" s="267">
        <v>1500.52</v>
      </c>
      <c r="P7488" s="267" t="s">
        <v>3944</v>
      </c>
      <c r="Q7488" s="267" t="s">
        <v>3944</v>
      </c>
      <c r="R7488" s="267">
        <v>1500.52</v>
      </c>
      <c r="S7488" s="267">
        <v>24876.23</v>
      </c>
      <c r="T7488" s="267">
        <v>26376.75</v>
      </c>
      <c r="U7488" s="268" t="s">
        <v>3945</v>
      </c>
      <c r="V7488" s="267" t="s">
        <v>944</v>
      </c>
    </row>
    <row r="7489" spans="1:22" hidden="1" x14ac:dyDescent="0.25">
      <c r="A7489" s="269">
        <v>43808</v>
      </c>
      <c r="B7489" s="270">
        <v>2019</v>
      </c>
      <c r="C7489" s="270">
        <v>2020</v>
      </c>
      <c r="D7489" s="270">
        <v>1</v>
      </c>
      <c r="E7489" s="270">
        <v>1</v>
      </c>
      <c r="F7489" s="270" t="s">
        <v>944</v>
      </c>
      <c r="G7489" s="270" t="s">
        <v>3926</v>
      </c>
      <c r="H7489" s="270" t="s">
        <v>12339</v>
      </c>
      <c r="I7489" s="270" t="s">
        <v>4147</v>
      </c>
      <c r="J7489" s="270" t="s">
        <v>3928</v>
      </c>
      <c r="K7489" s="270">
        <v>6109</v>
      </c>
      <c r="L7489" s="270">
        <v>492600</v>
      </c>
      <c r="M7489" s="270" t="s">
        <v>3960</v>
      </c>
      <c r="N7489" s="270" t="s">
        <v>12340</v>
      </c>
      <c r="O7489" s="270">
        <v>0</v>
      </c>
      <c r="P7489" s="270" t="s">
        <v>3930</v>
      </c>
      <c r="Q7489" s="270" t="s">
        <v>3930</v>
      </c>
      <c r="R7489" s="270">
        <v>0</v>
      </c>
      <c r="S7489" s="270">
        <v>18905.46</v>
      </c>
      <c r="T7489" s="270">
        <v>18905.46</v>
      </c>
      <c r="U7489" s="271" t="s">
        <v>3937</v>
      </c>
      <c r="V7489" s="267" t="s">
        <v>944</v>
      </c>
    </row>
    <row r="7490" spans="1:22" hidden="1" x14ac:dyDescent="0.25">
      <c r="A7490" s="266">
        <v>43808</v>
      </c>
      <c r="B7490" s="267">
        <v>2019</v>
      </c>
      <c r="C7490" s="267">
        <v>2020</v>
      </c>
      <c r="D7490" s="267">
        <v>1</v>
      </c>
      <c r="E7490" s="267">
        <v>1</v>
      </c>
      <c r="F7490" s="267" t="s">
        <v>944</v>
      </c>
      <c r="G7490" s="267" t="s">
        <v>3926</v>
      </c>
      <c r="H7490" s="267" t="s">
        <v>12341</v>
      </c>
      <c r="I7490" s="267" t="s">
        <v>3025</v>
      </c>
      <c r="J7490" s="267" t="s">
        <v>3928</v>
      </c>
      <c r="K7490" s="267">
        <v>6473</v>
      </c>
      <c r="L7490" s="267">
        <v>167100</v>
      </c>
      <c r="M7490" s="267" t="s">
        <v>3943</v>
      </c>
      <c r="N7490" s="267" t="s">
        <v>12342</v>
      </c>
      <c r="O7490" s="267">
        <v>0</v>
      </c>
      <c r="P7490" s="267" t="s">
        <v>3930</v>
      </c>
      <c r="Q7490" s="267" t="s">
        <v>3930</v>
      </c>
      <c r="R7490" s="267">
        <v>0</v>
      </c>
      <c r="S7490" s="267">
        <v>12588</v>
      </c>
      <c r="T7490" s="267">
        <v>12588</v>
      </c>
      <c r="U7490" s="268" t="s">
        <v>3937</v>
      </c>
      <c r="V7490" s="267" t="s">
        <v>944</v>
      </c>
    </row>
    <row r="7491" spans="1:22" x14ac:dyDescent="0.25">
      <c r="A7491" s="269">
        <v>43808</v>
      </c>
      <c r="B7491" s="270">
        <v>2019</v>
      </c>
      <c r="C7491" s="270">
        <v>2020</v>
      </c>
      <c r="D7491" s="270">
        <v>1</v>
      </c>
      <c r="E7491" s="270">
        <v>1</v>
      </c>
      <c r="F7491" s="270" t="s">
        <v>944</v>
      </c>
      <c r="G7491" s="270" t="s">
        <v>3997</v>
      </c>
      <c r="H7491" s="270" t="s">
        <v>12343</v>
      </c>
      <c r="I7491" s="270" t="s">
        <v>943</v>
      </c>
      <c r="J7491" s="270" t="s">
        <v>3928</v>
      </c>
      <c r="K7491" s="270">
        <v>6511</v>
      </c>
      <c r="L7491" s="270">
        <v>141500</v>
      </c>
      <c r="M7491" s="270">
        <v>-60</v>
      </c>
      <c r="N7491" s="270" t="s">
        <v>7680</v>
      </c>
      <c r="O7491" s="270">
        <v>982.03</v>
      </c>
      <c r="P7491" s="270" t="s">
        <v>3930</v>
      </c>
      <c r="Q7491" s="270" t="s">
        <v>3931</v>
      </c>
      <c r="R7491" s="270">
        <v>5982.03</v>
      </c>
      <c r="S7491" s="270">
        <v>11128</v>
      </c>
      <c r="T7491" s="270">
        <v>17110.03</v>
      </c>
      <c r="U7491" s="271" t="s">
        <v>3932</v>
      </c>
      <c r="V7491" s="276" t="s">
        <v>936</v>
      </c>
    </row>
    <row r="7492" spans="1:22" hidden="1" x14ac:dyDescent="0.25">
      <c r="A7492" s="266">
        <v>43808</v>
      </c>
      <c r="B7492" s="267">
        <v>2019</v>
      </c>
      <c r="C7492" s="267">
        <v>2020</v>
      </c>
      <c r="D7492" s="267">
        <v>1</v>
      </c>
      <c r="E7492" s="267">
        <v>1</v>
      </c>
      <c r="F7492" s="267" t="s">
        <v>944</v>
      </c>
      <c r="G7492" s="267" t="s">
        <v>3926</v>
      </c>
      <c r="H7492" s="267" t="s">
        <v>12344</v>
      </c>
      <c r="I7492" s="267" t="s">
        <v>5122</v>
      </c>
      <c r="J7492" s="267" t="s">
        <v>3928</v>
      </c>
      <c r="K7492" s="267">
        <v>6019</v>
      </c>
      <c r="L7492" s="267">
        <v>464101</v>
      </c>
      <c r="M7492" s="267" t="s">
        <v>3943</v>
      </c>
      <c r="N7492" s="267" t="s">
        <v>6363</v>
      </c>
      <c r="O7492" s="267">
        <v>4586</v>
      </c>
      <c r="P7492" s="267" t="s">
        <v>3930</v>
      </c>
      <c r="Q7492" s="267" t="s">
        <v>3930</v>
      </c>
      <c r="R7492" s="267">
        <v>4586</v>
      </c>
      <c r="S7492" s="267">
        <v>30073</v>
      </c>
      <c r="T7492" s="267">
        <v>34659</v>
      </c>
      <c r="U7492" s="268" t="s">
        <v>3937</v>
      </c>
      <c r="V7492" s="267" t="s">
        <v>944</v>
      </c>
    </row>
    <row r="7493" spans="1:22" hidden="1" x14ac:dyDescent="0.25">
      <c r="A7493" s="269">
        <v>43808</v>
      </c>
      <c r="B7493" s="270">
        <v>2019</v>
      </c>
      <c r="C7493" s="270">
        <v>2020</v>
      </c>
      <c r="D7493" s="270">
        <v>1</v>
      </c>
      <c r="E7493" s="270">
        <v>1</v>
      </c>
      <c r="F7493" s="270" t="s">
        <v>944</v>
      </c>
      <c r="G7493" s="270" t="s">
        <v>3926</v>
      </c>
      <c r="H7493" s="270" t="s">
        <v>12345</v>
      </c>
      <c r="I7493" s="270" t="s">
        <v>4094</v>
      </c>
      <c r="J7493" s="270" t="s">
        <v>3928</v>
      </c>
      <c r="K7493" s="270">
        <v>6096</v>
      </c>
      <c r="L7493" s="270">
        <v>476300</v>
      </c>
      <c r="M7493" s="270" t="s">
        <v>3940</v>
      </c>
      <c r="N7493" s="270" t="s">
        <v>4103</v>
      </c>
      <c r="O7493" s="270">
        <v>1910.34</v>
      </c>
      <c r="P7493" s="270" t="s">
        <v>3930</v>
      </c>
      <c r="Q7493" s="270" t="s">
        <v>3931</v>
      </c>
      <c r="R7493" s="270">
        <v>6910.34</v>
      </c>
      <c r="S7493" s="270">
        <v>24145.599999999999</v>
      </c>
      <c r="T7493" s="270">
        <v>31055.94</v>
      </c>
      <c r="U7493" s="271" t="s">
        <v>3932</v>
      </c>
      <c r="V7493" s="267" t="s">
        <v>944</v>
      </c>
    </row>
    <row r="7494" spans="1:22" hidden="1" x14ac:dyDescent="0.25">
      <c r="A7494" s="266">
        <v>43808</v>
      </c>
      <c r="B7494" s="267">
        <v>2019</v>
      </c>
      <c r="C7494" s="267">
        <v>2020</v>
      </c>
      <c r="D7494" s="267">
        <v>1</v>
      </c>
      <c r="E7494" s="267">
        <v>1</v>
      </c>
      <c r="F7494" s="267" t="s">
        <v>944</v>
      </c>
      <c r="G7494" s="267" t="s">
        <v>3926</v>
      </c>
      <c r="H7494" s="267" t="s">
        <v>12346</v>
      </c>
      <c r="I7494" s="267" t="s">
        <v>934</v>
      </c>
      <c r="J7494" s="267" t="s">
        <v>3928</v>
      </c>
      <c r="K7494" s="267">
        <v>6606</v>
      </c>
      <c r="L7494" s="267">
        <v>72800</v>
      </c>
      <c r="M7494" s="267" t="s">
        <v>3940</v>
      </c>
      <c r="N7494" s="267" t="s">
        <v>3983</v>
      </c>
      <c r="O7494" s="267">
        <v>1167.8499999999999</v>
      </c>
      <c r="P7494" s="267" t="s">
        <v>3930</v>
      </c>
      <c r="Q7494" s="267" t="s">
        <v>3931</v>
      </c>
      <c r="R7494" s="267">
        <v>6167.85</v>
      </c>
      <c r="S7494" s="267">
        <v>16504</v>
      </c>
      <c r="T7494" s="267">
        <v>22671.85</v>
      </c>
      <c r="U7494" s="268" t="s">
        <v>3932</v>
      </c>
      <c r="V7494" s="267" t="s">
        <v>944</v>
      </c>
    </row>
    <row r="7495" spans="1:22" hidden="1" x14ac:dyDescent="0.25">
      <c r="A7495" s="269">
        <v>43808</v>
      </c>
      <c r="B7495" s="270">
        <v>2019</v>
      </c>
      <c r="C7495" s="270">
        <v>2020</v>
      </c>
      <c r="D7495" s="270">
        <v>1</v>
      </c>
      <c r="E7495" s="270">
        <v>1</v>
      </c>
      <c r="F7495" s="270" t="s">
        <v>944</v>
      </c>
      <c r="G7495" s="270" t="s">
        <v>3926</v>
      </c>
      <c r="H7495" s="270" t="s">
        <v>12347</v>
      </c>
      <c r="I7495" s="270" t="s">
        <v>3975</v>
      </c>
      <c r="J7495" s="270" t="s">
        <v>3928</v>
      </c>
      <c r="K7495" s="270">
        <v>6479</v>
      </c>
      <c r="L7495" s="270">
        <v>430302</v>
      </c>
      <c r="M7495" s="270" t="s">
        <v>3960</v>
      </c>
      <c r="N7495" s="270" t="s">
        <v>3944</v>
      </c>
      <c r="O7495" s="270">
        <v>1952</v>
      </c>
      <c r="P7495" s="270" t="s">
        <v>3944</v>
      </c>
      <c r="Q7495" s="270" t="s">
        <v>3944</v>
      </c>
      <c r="R7495" s="270">
        <v>1952</v>
      </c>
      <c r="S7495" s="270">
        <v>14746.5</v>
      </c>
      <c r="T7495" s="270">
        <v>16698.5</v>
      </c>
      <c r="U7495" s="271" t="s">
        <v>3945</v>
      </c>
      <c r="V7495" s="267" t="s">
        <v>944</v>
      </c>
    </row>
    <row r="7496" spans="1:22" hidden="1" x14ac:dyDescent="0.25">
      <c r="A7496" s="266">
        <v>43808</v>
      </c>
      <c r="B7496" s="267">
        <v>2019</v>
      </c>
      <c r="C7496" s="267">
        <v>2020</v>
      </c>
      <c r="D7496" s="267">
        <v>1</v>
      </c>
      <c r="E7496" s="267">
        <v>1</v>
      </c>
      <c r="F7496" s="267" t="s">
        <v>944</v>
      </c>
      <c r="G7496" s="267" t="s">
        <v>3926</v>
      </c>
      <c r="H7496" s="267" t="s">
        <v>12348</v>
      </c>
      <c r="I7496" s="267" t="s">
        <v>5147</v>
      </c>
      <c r="J7496" s="267" t="s">
        <v>3928</v>
      </c>
      <c r="K7496" s="267">
        <v>6468</v>
      </c>
      <c r="L7496" s="267">
        <v>100200</v>
      </c>
      <c r="M7496" s="267" t="s">
        <v>3943</v>
      </c>
      <c r="N7496" s="267" t="s">
        <v>3944</v>
      </c>
      <c r="O7496" s="267">
        <v>3786</v>
      </c>
      <c r="P7496" s="267" t="s">
        <v>3944</v>
      </c>
      <c r="Q7496" s="267" t="s">
        <v>3944</v>
      </c>
      <c r="R7496" s="267">
        <v>3786</v>
      </c>
      <c r="S7496" s="267">
        <v>33846</v>
      </c>
      <c r="T7496" s="267">
        <v>37632</v>
      </c>
      <c r="U7496" s="268" t="s">
        <v>3945</v>
      </c>
      <c r="V7496" s="267" t="s">
        <v>944</v>
      </c>
    </row>
    <row r="7497" spans="1:22" hidden="1" x14ac:dyDescent="0.25">
      <c r="A7497" s="269">
        <v>43808</v>
      </c>
      <c r="B7497" s="270">
        <v>2019</v>
      </c>
      <c r="C7497" s="270">
        <v>2020</v>
      </c>
      <c r="D7497" s="270">
        <v>1</v>
      </c>
      <c r="E7497" s="270">
        <v>1</v>
      </c>
      <c r="F7497" s="270" t="s">
        <v>944</v>
      </c>
      <c r="G7497" s="270" t="s">
        <v>3926</v>
      </c>
      <c r="H7497" s="270" t="s">
        <v>12349</v>
      </c>
      <c r="I7497" s="270" t="s">
        <v>3008</v>
      </c>
      <c r="J7497" s="270" t="s">
        <v>3928</v>
      </c>
      <c r="K7497" s="270">
        <v>6460</v>
      </c>
      <c r="L7497" s="270">
        <v>150100</v>
      </c>
      <c r="M7497" s="270" t="s">
        <v>3960</v>
      </c>
      <c r="N7497" s="270" t="s">
        <v>3944</v>
      </c>
      <c r="O7497" s="270">
        <v>2007</v>
      </c>
      <c r="P7497" s="270" t="s">
        <v>3944</v>
      </c>
      <c r="Q7497" s="270" t="s">
        <v>3944</v>
      </c>
      <c r="R7497" s="270">
        <v>2007</v>
      </c>
      <c r="S7497" s="270">
        <v>15753</v>
      </c>
      <c r="T7497" s="270">
        <v>17760</v>
      </c>
      <c r="U7497" s="271" t="s">
        <v>3945</v>
      </c>
      <c r="V7497" s="267" t="s">
        <v>944</v>
      </c>
    </row>
    <row r="7498" spans="1:22" hidden="1" x14ac:dyDescent="0.25">
      <c r="A7498" s="266">
        <v>43808</v>
      </c>
      <c r="B7498" s="267">
        <v>2019</v>
      </c>
      <c r="C7498" s="267">
        <v>2020</v>
      </c>
      <c r="D7498" s="267">
        <v>1</v>
      </c>
      <c r="E7498" s="267">
        <v>1</v>
      </c>
      <c r="F7498" s="267" t="s">
        <v>944</v>
      </c>
      <c r="G7498" s="267" t="s">
        <v>3997</v>
      </c>
      <c r="H7498" s="267" t="s">
        <v>12350</v>
      </c>
      <c r="I7498" s="267" t="s">
        <v>943</v>
      </c>
      <c r="J7498" s="267" t="s">
        <v>3928</v>
      </c>
      <c r="K7498" s="267">
        <v>6515</v>
      </c>
      <c r="L7498" s="267">
        <v>141000</v>
      </c>
      <c r="M7498" s="267" t="s">
        <v>3960</v>
      </c>
      <c r="N7498" s="267" t="s">
        <v>3944</v>
      </c>
      <c r="O7498" s="267">
        <v>1261.19</v>
      </c>
      <c r="P7498" s="267" t="s">
        <v>3944</v>
      </c>
      <c r="Q7498" s="267" t="s">
        <v>3944</v>
      </c>
      <c r="R7498" s="267">
        <v>1261.19</v>
      </c>
      <c r="S7498" s="267">
        <v>14612.41</v>
      </c>
      <c r="T7498" s="267">
        <v>15873.6</v>
      </c>
      <c r="U7498" s="268" t="s">
        <v>3945</v>
      </c>
      <c r="V7498" s="267" t="s">
        <v>944</v>
      </c>
    </row>
    <row r="7499" spans="1:22" hidden="1" x14ac:dyDescent="0.25">
      <c r="A7499" s="269">
        <v>43808</v>
      </c>
      <c r="B7499" s="270">
        <v>2019</v>
      </c>
      <c r="C7499" s="270">
        <v>2020</v>
      </c>
      <c r="D7499" s="270">
        <v>1</v>
      </c>
      <c r="E7499" s="270">
        <v>1</v>
      </c>
      <c r="F7499" s="270" t="s">
        <v>944</v>
      </c>
      <c r="G7499" s="270" t="s">
        <v>3926</v>
      </c>
      <c r="H7499" s="270" t="s">
        <v>12351</v>
      </c>
      <c r="I7499" s="270" t="s">
        <v>4244</v>
      </c>
      <c r="J7499" s="270" t="s">
        <v>3928</v>
      </c>
      <c r="K7499" s="270">
        <v>6250</v>
      </c>
      <c r="L7499" s="270">
        <v>881100</v>
      </c>
      <c r="M7499" s="270" t="s">
        <v>3935</v>
      </c>
      <c r="N7499" s="270" t="s">
        <v>3944</v>
      </c>
      <c r="O7499" s="270">
        <v>2826</v>
      </c>
      <c r="P7499" s="270" t="s">
        <v>3944</v>
      </c>
      <c r="Q7499" s="270" t="s">
        <v>3944</v>
      </c>
      <c r="R7499" s="270">
        <v>2826</v>
      </c>
      <c r="S7499" s="270">
        <v>22311</v>
      </c>
      <c r="T7499" s="270">
        <v>25137</v>
      </c>
      <c r="U7499" s="271" t="s">
        <v>3945</v>
      </c>
      <c r="V7499" s="267" t="s">
        <v>944</v>
      </c>
    </row>
    <row r="7500" spans="1:22" hidden="1" x14ac:dyDescent="0.25">
      <c r="A7500" s="266">
        <v>43808</v>
      </c>
      <c r="B7500" s="267">
        <v>2019</v>
      </c>
      <c r="C7500" s="267">
        <v>2020</v>
      </c>
      <c r="D7500" s="267">
        <v>1</v>
      </c>
      <c r="E7500" s="267">
        <v>1</v>
      </c>
      <c r="F7500" s="267" t="s">
        <v>944</v>
      </c>
      <c r="G7500" s="267" t="s">
        <v>3926</v>
      </c>
      <c r="H7500" s="267" t="s">
        <v>12352</v>
      </c>
      <c r="I7500" s="267" t="s">
        <v>6426</v>
      </c>
      <c r="J7500" s="267" t="s">
        <v>3928</v>
      </c>
      <c r="K7500" s="267">
        <v>6422</v>
      </c>
      <c r="L7500" s="267">
        <v>585100</v>
      </c>
      <c r="M7500" s="267" t="s">
        <v>3943</v>
      </c>
      <c r="N7500" s="267" t="s">
        <v>3944</v>
      </c>
      <c r="O7500" s="267">
        <v>1392</v>
      </c>
      <c r="P7500" s="267" t="s">
        <v>3944</v>
      </c>
      <c r="Q7500" s="267" t="s">
        <v>3944</v>
      </c>
      <c r="R7500" s="267">
        <v>1392</v>
      </c>
      <c r="S7500" s="267">
        <v>11511.6</v>
      </c>
      <c r="T7500" s="267">
        <v>12903.6</v>
      </c>
      <c r="U7500" s="268" t="s">
        <v>3945</v>
      </c>
      <c r="V7500" s="267" t="s">
        <v>944</v>
      </c>
    </row>
    <row r="7501" spans="1:22" hidden="1" x14ac:dyDescent="0.25">
      <c r="A7501" s="269">
        <v>43808</v>
      </c>
      <c r="B7501" s="270">
        <v>2019</v>
      </c>
      <c r="C7501" s="270">
        <v>2020</v>
      </c>
      <c r="D7501" s="270">
        <v>1</v>
      </c>
      <c r="E7501" s="270">
        <v>1</v>
      </c>
      <c r="F7501" s="270" t="s">
        <v>944</v>
      </c>
      <c r="G7501" s="270" t="s">
        <v>3926</v>
      </c>
      <c r="H7501" s="270" t="s">
        <v>12353</v>
      </c>
      <c r="I7501" s="270" t="s">
        <v>4293</v>
      </c>
      <c r="J7501" s="270" t="s">
        <v>3928</v>
      </c>
      <c r="K7501" s="270">
        <v>6412</v>
      </c>
      <c r="L7501" s="270">
        <v>600100</v>
      </c>
      <c r="M7501" s="270" t="s">
        <v>3960</v>
      </c>
      <c r="N7501" s="270" t="s">
        <v>3944</v>
      </c>
      <c r="O7501" s="270">
        <v>752.22</v>
      </c>
      <c r="P7501" s="270" t="s">
        <v>3944</v>
      </c>
      <c r="Q7501" s="270" t="s">
        <v>3944</v>
      </c>
      <c r="R7501" s="270">
        <v>752.22</v>
      </c>
      <c r="S7501" s="270">
        <v>11567.16</v>
      </c>
      <c r="T7501" s="270">
        <v>12319.38</v>
      </c>
      <c r="U7501" s="271" t="s">
        <v>3945</v>
      </c>
      <c r="V7501" s="267" t="s">
        <v>944</v>
      </c>
    </row>
    <row r="7502" spans="1:22" hidden="1" x14ac:dyDescent="0.25">
      <c r="A7502" s="266">
        <v>43808</v>
      </c>
      <c r="B7502" s="267">
        <v>2019</v>
      </c>
      <c r="C7502" s="267">
        <v>2020</v>
      </c>
      <c r="D7502" s="267">
        <v>1</v>
      </c>
      <c r="E7502" s="267">
        <v>1</v>
      </c>
      <c r="F7502" s="267" t="s">
        <v>944</v>
      </c>
      <c r="G7502" s="267" t="s">
        <v>3926</v>
      </c>
      <c r="H7502" s="267" t="s">
        <v>12354</v>
      </c>
      <c r="I7502" s="267" t="s">
        <v>4011</v>
      </c>
      <c r="J7502" s="267" t="s">
        <v>3928</v>
      </c>
      <c r="K7502" s="267">
        <v>6002</v>
      </c>
      <c r="L7502" s="267">
        <v>471500</v>
      </c>
      <c r="M7502" s="267" t="s">
        <v>3935</v>
      </c>
      <c r="N7502" s="267" t="s">
        <v>3944</v>
      </c>
      <c r="O7502" s="267">
        <v>1767.43</v>
      </c>
      <c r="P7502" s="267" t="s">
        <v>3944</v>
      </c>
      <c r="Q7502" s="267" t="s">
        <v>3944</v>
      </c>
      <c r="R7502" s="267">
        <v>1767.43</v>
      </c>
      <c r="S7502" s="267">
        <v>25119.11</v>
      </c>
      <c r="T7502" s="267">
        <v>26886.54</v>
      </c>
      <c r="U7502" s="268" t="s">
        <v>3945</v>
      </c>
      <c r="V7502" s="267" t="s">
        <v>944</v>
      </c>
    </row>
    <row r="7503" spans="1:22" hidden="1" x14ac:dyDescent="0.25">
      <c r="A7503" s="269">
        <v>43808</v>
      </c>
      <c r="B7503" s="270">
        <v>2019</v>
      </c>
      <c r="C7503" s="270">
        <v>2020</v>
      </c>
      <c r="D7503" s="270">
        <v>1</v>
      </c>
      <c r="E7503" s="270">
        <v>1</v>
      </c>
      <c r="F7503" s="270" t="s">
        <v>944</v>
      </c>
      <c r="G7503" s="270" t="s">
        <v>3926</v>
      </c>
      <c r="H7503" s="270" t="s">
        <v>12355</v>
      </c>
      <c r="I7503" s="270" t="s">
        <v>3975</v>
      </c>
      <c r="J7503" s="270" t="s">
        <v>3928</v>
      </c>
      <c r="K7503" s="270">
        <v>6489</v>
      </c>
      <c r="L7503" s="270">
        <v>430500</v>
      </c>
      <c r="M7503" s="270" t="s">
        <v>3943</v>
      </c>
      <c r="N7503" s="270" t="s">
        <v>3944</v>
      </c>
      <c r="O7503" s="270">
        <v>1714.34</v>
      </c>
      <c r="P7503" s="270" t="s">
        <v>3944</v>
      </c>
      <c r="Q7503" s="270" t="s">
        <v>3944</v>
      </c>
      <c r="R7503" s="270">
        <v>1714.34</v>
      </c>
      <c r="S7503" s="270">
        <v>26454.84</v>
      </c>
      <c r="T7503" s="270">
        <v>28169.18</v>
      </c>
      <c r="U7503" s="271" t="s">
        <v>3945</v>
      </c>
      <c r="V7503" s="267" t="s">
        <v>944</v>
      </c>
    </row>
    <row r="7504" spans="1:22" hidden="1" x14ac:dyDescent="0.25">
      <c r="A7504" s="266">
        <v>43808</v>
      </c>
      <c r="B7504" s="267">
        <v>2019</v>
      </c>
      <c r="C7504" s="267">
        <v>2020</v>
      </c>
      <c r="D7504" s="267">
        <v>1</v>
      </c>
      <c r="E7504" s="267">
        <v>1</v>
      </c>
      <c r="F7504" s="267" t="s">
        <v>944</v>
      </c>
      <c r="G7504" s="267" t="s">
        <v>3926</v>
      </c>
      <c r="H7504" s="267" t="s">
        <v>12356</v>
      </c>
      <c r="I7504" s="267" t="s">
        <v>3966</v>
      </c>
      <c r="J7504" s="267" t="s">
        <v>3928</v>
      </c>
      <c r="K7504" s="267">
        <v>6010</v>
      </c>
      <c r="L7504" s="267">
        <v>406002</v>
      </c>
      <c r="M7504" s="267" t="s">
        <v>3935</v>
      </c>
      <c r="N7504" s="267" t="s">
        <v>3944</v>
      </c>
      <c r="O7504" s="267">
        <v>1960.53</v>
      </c>
      <c r="P7504" s="267" t="s">
        <v>3944</v>
      </c>
      <c r="Q7504" s="267" t="s">
        <v>3944</v>
      </c>
      <c r="R7504" s="267">
        <v>1960.53</v>
      </c>
      <c r="S7504" s="267">
        <v>27869.97</v>
      </c>
      <c r="T7504" s="267">
        <v>29830.5</v>
      </c>
      <c r="U7504" s="268" t="s">
        <v>3945</v>
      </c>
      <c r="V7504" s="267" t="s">
        <v>944</v>
      </c>
    </row>
    <row r="7505" spans="1:22" hidden="1" x14ac:dyDescent="0.25">
      <c r="A7505" s="269">
        <v>43808</v>
      </c>
      <c r="B7505" s="270">
        <v>2019</v>
      </c>
      <c r="C7505" s="270">
        <v>2020</v>
      </c>
      <c r="D7505" s="270">
        <v>1</v>
      </c>
      <c r="E7505" s="270">
        <v>1</v>
      </c>
      <c r="F7505" s="270" t="s">
        <v>944</v>
      </c>
      <c r="G7505" s="270" t="s">
        <v>3926</v>
      </c>
      <c r="H7505" s="270" t="s">
        <v>12357</v>
      </c>
      <c r="I7505" s="270" t="s">
        <v>3956</v>
      </c>
      <c r="J7505" s="270" t="s">
        <v>3928</v>
      </c>
      <c r="K7505" s="270">
        <v>6112</v>
      </c>
      <c r="L7505" s="270">
        <v>503900</v>
      </c>
      <c r="M7505" s="270">
        <v>-60</v>
      </c>
      <c r="N7505" s="270" t="s">
        <v>3944</v>
      </c>
      <c r="O7505" s="270">
        <v>860.06</v>
      </c>
      <c r="P7505" s="270" t="s">
        <v>3944</v>
      </c>
      <c r="Q7505" s="270" t="s">
        <v>3944</v>
      </c>
      <c r="R7505" s="270">
        <v>860.06</v>
      </c>
      <c r="S7505" s="270">
        <v>12901.74</v>
      </c>
      <c r="T7505" s="270">
        <v>13761.8</v>
      </c>
      <c r="U7505" s="271" t="s">
        <v>3945</v>
      </c>
      <c r="V7505" s="267" t="s">
        <v>944</v>
      </c>
    </row>
    <row r="7506" spans="1:22" hidden="1" x14ac:dyDescent="0.25">
      <c r="A7506" s="266">
        <v>43808</v>
      </c>
      <c r="B7506" s="267">
        <v>2019</v>
      </c>
      <c r="C7506" s="267">
        <v>2020</v>
      </c>
      <c r="D7506" s="267">
        <v>1</v>
      </c>
      <c r="E7506" s="267">
        <v>1</v>
      </c>
      <c r="F7506" s="267" t="s">
        <v>944</v>
      </c>
      <c r="G7506" s="267" t="s">
        <v>3926</v>
      </c>
      <c r="H7506" s="267" t="s">
        <v>12358</v>
      </c>
      <c r="I7506" s="267" t="s">
        <v>4069</v>
      </c>
      <c r="J7506" s="267" t="s">
        <v>3928</v>
      </c>
      <c r="K7506" s="267">
        <v>6902</v>
      </c>
      <c r="L7506" s="267">
        <v>22300</v>
      </c>
      <c r="M7506" s="267" t="s">
        <v>3935</v>
      </c>
      <c r="N7506" s="267" t="s">
        <v>3944</v>
      </c>
      <c r="O7506" s="267">
        <v>1181.32</v>
      </c>
      <c r="P7506" s="267" t="s">
        <v>3944</v>
      </c>
      <c r="Q7506" s="267" t="s">
        <v>3944</v>
      </c>
      <c r="R7506" s="267">
        <v>1181.32</v>
      </c>
      <c r="S7506" s="267">
        <v>16836.68</v>
      </c>
      <c r="T7506" s="267">
        <v>18018</v>
      </c>
      <c r="U7506" s="268" t="s">
        <v>3945</v>
      </c>
      <c r="V7506" s="267" t="s">
        <v>944</v>
      </c>
    </row>
    <row r="7507" spans="1:22" hidden="1" x14ac:dyDescent="0.25">
      <c r="A7507" s="269">
        <v>43808</v>
      </c>
      <c r="B7507" s="270">
        <v>2019</v>
      </c>
      <c r="C7507" s="270">
        <v>2020</v>
      </c>
      <c r="D7507" s="270">
        <v>1</v>
      </c>
      <c r="E7507" s="270">
        <v>1</v>
      </c>
      <c r="F7507" s="270" t="s">
        <v>944</v>
      </c>
      <c r="G7507" s="270" t="s">
        <v>3926</v>
      </c>
      <c r="H7507" s="270" t="s">
        <v>12359</v>
      </c>
      <c r="I7507" s="270" t="s">
        <v>4124</v>
      </c>
      <c r="J7507" s="270" t="s">
        <v>3928</v>
      </c>
      <c r="K7507" s="270">
        <v>6482</v>
      </c>
      <c r="L7507" s="270">
        <v>230502</v>
      </c>
      <c r="M7507" s="270" t="s">
        <v>3943</v>
      </c>
      <c r="N7507" s="270" t="s">
        <v>3944</v>
      </c>
      <c r="O7507" s="270">
        <v>2586.4299999999998</v>
      </c>
      <c r="P7507" s="270" t="s">
        <v>3944</v>
      </c>
      <c r="Q7507" s="270" t="s">
        <v>3944</v>
      </c>
      <c r="R7507" s="270">
        <v>2586.4299999999998</v>
      </c>
      <c r="S7507" s="270">
        <v>33987.919999999998</v>
      </c>
      <c r="T7507" s="270">
        <v>36574.35</v>
      </c>
      <c r="U7507" s="271" t="s">
        <v>3945</v>
      </c>
      <c r="V7507" s="267" t="s">
        <v>944</v>
      </c>
    </row>
    <row r="7508" spans="1:22" hidden="1" x14ac:dyDescent="0.25">
      <c r="A7508" s="266">
        <v>43808</v>
      </c>
      <c r="B7508" s="267">
        <v>2019</v>
      </c>
      <c r="C7508" s="267">
        <v>2020</v>
      </c>
      <c r="D7508" s="267">
        <v>1</v>
      </c>
      <c r="E7508" s="267">
        <v>1</v>
      </c>
      <c r="F7508" s="267" t="s">
        <v>944</v>
      </c>
      <c r="G7508" s="267" t="s">
        <v>3926</v>
      </c>
      <c r="H7508" s="267" t="s">
        <v>12360</v>
      </c>
      <c r="I7508" s="267" t="s">
        <v>3968</v>
      </c>
      <c r="J7508" s="267" t="s">
        <v>3928</v>
      </c>
      <c r="K7508" s="267">
        <v>6042</v>
      </c>
      <c r="L7508" s="267">
        <v>514101</v>
      </c>
      <c r="M7508" s="267" t="s">
        <v>3960</v>
      </c>
      <c r="N7508" s="267" t="s">
        <v>3944</v>
      </c>
      <c r="O7508" s="267">
        <v>1001.11</v>
      </c>
      <c r="P7508" s="267" t="s">
        <v>3944</v>
      </c>
      <c r="Q7508" s="267" t="s">
        <v>3944</v>
      </c>
      <c r="R7508" s="267">
        <v>1001.11</v>
      </c>
      <c r="S7508" s="267">
        <v>13596.42</v>
      </c>
      <c r="T7508" s="267">
        <v>14597.53</v>
      </c>
      <c r="U7508" s="268" t="s">
        <v>3945</v>
      </c>
      <c r="V7508" s="267" t="s">
        <v>944</v>
      </c>
    </row>
    <row r="7509" spans="1:22" hidden="1" x14ac:dyDescent="0.25">
      <c r="A7509" s="269">
        <v>43808</v>
      </c>
      <c r="B7509" s="270">
        <v>2019</v>
      </c>
      <c r="C7509" s="270">
        <v>2020</v>
      </c>
      <c r="D7509" s="270">
        <v>1</v>
      </c>
      <c r="E7509" s="270">
        <v>1</v>
      </c>
      <c r="F7509" s="270" t="s">
        <v>944</v>
      </c>
      <c r="G7509" s="270" t="s">
        <v>3926</v>
      </c>
      <c r="H7509" s="270" t="s">
        <v>12361</v>
      </c>
      <c r="I7509" s="270" t="s">
        <v>4079</v>
      </c>
      <c r="J7509" s="270" t="s">
        <v>3928</v>
      </c>
      <c r="K7509" s="270">
        <v>6111</v>
      </c>
      <c r="L7509" s="270">
        <v>494500</v>
      </c>
      <c r="M7509" s="270" t="s">
        <v>3960</v>
      </c>
      <c r="N7509" s="270" t="s">
        <v>3944</v>
      </c>
      <c r="O7509" s="270">
        <v>2432.75</v>
      </c>
      <c r="P7509" s="270" t="s">
        <v>3944</v>
      </c>
      <c r="Q7509" s="270" t="s">
        <v>3944</v>
      </c>
      <c r="R7509" s="270">
        <v>2432.75</v>
      </c>
      <c r="S7509" s="270">
        <v>35329.449999999997</v>
      </c>
      <c r="T7509" s="270">
        <v>37762.199999999997</v>
      </c>
      <c r="U7509" s="271" t="s">
        <v>3945</v>
      </c>
      <c r="V7509" s="267" t="s">
        <v>944</v>
      </c>
    </row>
    <row r="7510" spans="1:22" hidden="1" x14ac:dyDescent="0.25">
      <c r="A7510" s="266">
        <v>43808</v>
      </c>
      <c r="B7510" s="267">
        <v>2019</v>
      </c>
      <c r="C7510" s="267">
        <v>2020</v>
      </c>
      <c r="D7510" s="267">
        <v>1</v>
      </c>
      <c r="E7510" s="267">
        <v>1</v>
      </c>
      <c r="F7510" s="267" t="s">
        <v>944</v>
      </c>
      <c r="G7510" s="267" t="s">
        <v>3926</v>
      </c>
      <c r="H7510" s="267" t="s">
        <v>12362</v>
      </c>
      <c r="I7510" s="267" t="s">
        <v>4035</v>
      </c>
      <c r="J7510" s="267" t="s">
        <v>3928</v>
      </c>
      <c r="K7510" s="267">
        <v>6074</v>
      </c>
      <c r="L7510" s="267">
        <v>487100</v>
      </c>
      <c r="M7510" s="267" t="s">
        <v>3943</v>
      </c>
      <c r="N7510" s="267" t="s">
        <v>3944</v>
      </c>
      <c r="O7510" s="267">
        <v>3299.87</v>
      </c>
      <c r="P7510" s="267" t="s">
        <v>3944</v>
      </c>
      <c r="Q7510" s="267" t="s">
        <v>3944</v>
      </c>
      <c r="R7510" s="267">
        <v>3299.87</v>
      </c>
      <c r="S7510" s="267">
        <v>57284.95</v>
      </c>
      <c r="T7510" s="267">
        <v>60584.82</v>
      </c>
      <c r="U7510" s="268" t="s">
        <v>3945</v>
      </c>
      <c r="V7510" s="267" t="s">
        <v>944</v>
      </c>
    </row>
    <row r="7511" spans="1:22" hidden="1" x14ac:dyDescent="0.25">
      <c r="A7511" s="269">
        <v>43808</v>
      </c>
      <c r="B7511" s="270">
        <v>2019</v>
      </c>
      <c r="C7511" s="270">
        <v>2020</v>
      </c>
      <c r="D7511" s="270">
        <v>1</v>
      </c>
      <c r="E7511" s="270">
        <v>1</v>
      </c>
      <c r="F7511" s="270" t="s">
        <v>944</v>
      </c>
      <c r="G7511" s="270" t="s">
        <v>3926</v>
      </c>
      <c r="H7511" s="270" t="s">
        <v>12363</v>
      </c>
      <c r="I7511" s="270" t="s">
        <v>5032</v>
      </c>
      <c r="J7511" s="270" t="s">
        <v>3928</v>
      </c>
      <c r="K7511" s="270">
        <v>6062</v>
      </c>
      <c r="L7511" s="270">
        <v>420600</v>
      </c>
      <c r="M7511" s="270" t="s">
        <v>3935</v>
      </c>
      <c r="N7511" s="270" t="s">
        <v>3944</v>
      </c>
      <c r="O7511" s="270">
        <v>2767.91</v>
      </c>
      <c r="P7511" s="270" t="s">
        <v>3944</v>
      </c>
      <c r="Q7511" s="270" t="s">
        <v>3944</v>
      </c>
      <c r="R7511" s="270">
        <v>2767.91</v>
      </c>
      <c r="S7511" s="270">
        <v>40823.519999999997</v>
      </c>
      <c r="T7511" s="270">
        <v>43591.43</v>
      </c>
      <c r="U7511" s="271" t="s">
        <v>3945</v>
      </c>
      <c r="V7511" s="267" t="s">
        <v>944</v>
      </c>
    </row>
    <row r="7512" spans="1:22" hidden="1" x14ac:dyDescent="0.25">
      <c r="A7512" s="266">
        <v>43808</v>
      </c>
      <c r="B7512" s="267">
        <v>2019</v>
      </c>
      <c r="C7512" s="267">
        <v>2020</v>
      </c>
      <c r="D7512" s="267">
        <v>1</v>
      </c>
      <c r="E7512" s="267">
        <v>1</v>
      </c>
      <c r="F7512" s="267" t="s">
        <v>944</v>
      </c>
      <c r="G7512" s="267" t="s">
        <v>3926</v>
      </c>
      <c r="H7512" s="267" t="s">
        <v>12364</v>
      </c>
      <c r="I7512" s="267" t="s">
        <v>7536</v>
      </c>
      <c r="J7512" s="267" t="s">
        <v>3928</v>
      </c>
      <c r="K7512" s="267">
        <v>6330</v>
      </c>
      <c r="L7512" s="267">
        <v>711100</v>
      </c>
      <c r="M7512" s="267" t="s">
        <v>3940</v>
      </c>
      <c r="N7512" s="267" t="s">
        <v>3944</v>
      </c>
      <c r="O7512" s="267">
        <v>2223.48</v>
      </c>
      <c r="P7512" s="267" t="s">
        <v>3944</v>
      </c>
      <c r="Q7512" s="267" t="s">
        <v>3944</v>
      </c>
      <c r="R7512" s="267">
        <v>2223.48</v>
      </c>
      <c r="S7512" s="267">
        <v>32502.14</v>
      </c>
      <c r="T7512" s="267">
        <v>34725.620000000003</v>
      </c>
      <c r="U7512" s="268" t="s">
        <v>3945</v>
      </c>
      <c r="V7512" s="267" t="s">
        <v>944</v>
      </c>
    </row>
    <row r="7513" spans="1:22" hidden="1" x14ac:dyDescent="0.25">
      <c r="A7513" s="269">
        <v>43808</v>
      </c>
      <c r="B7513" s="270">
        <v>2019</v>
      </c>
      <c r="C7513" s="270">
        <v>2020</v>
      </c>
      <c r="D7513" s="270">
        <v>1</v>
      </c>
      <c r="E7513" s="270">
        <v>1</v>
      </c>
      <c r="F7513" s="270" t="s">
        <v>944</v>
      </c>
      <c r="G7513" s="270" t="s">
        <v>3926</v>
      </c>
      <c r="H7513" s="270" t="s">
        <v>12365</v>
      </c>
      <c r="I7513" s="270" t="s">
        <v>4147</v>
      </c>
      <c r="J7513" s="270" t="s">
        <v>3928</v>
      </c>
      <c r="K7513" s="270">
        <v>6109</v>
      </c>
      <c r="L7513" s="270">
        <v>492400</v>
      </c>
      <c r="M7513" s="270" t="s">
        <v>3935</v>
      </c>
      <c r="N7513" s="270" t="s">
        <v>3944</v>
      </c>
      <c r="O7513" s="270">
        <v>1151.68</v>
      </c>
      <c r="P7513" s="270" t="s">
        <v>3944</v>
      </c>
      <c r="Q7513" s="270" t="s">
        <v>3944</v>
      </c>
      <c r="R7513" s="270">
        <v>1151.68</v>
      </c>
      <c r="S7513" s="270">
        <v>16660.419999999998</v>
      </c>
      <c r="T7513" s="270">
        <v>17812.099999999999</v>
      </c>
      <c r="U7513" s="271" t="s">
        <v>3945</v>
      </c>
      <c r="V7513" s="267" t="s">
        <v>944</v>
      </c>
    </row>
    <row r="7514" spans="1:22" hidden="1" x14ac:dyDescent="0.25">
      <c r="A7514" s="266">
        <v>43808</v>
      </c>
      <c r="B7514" s="267">
        <v>2019</v>
      </c>
      <c r="C7514" s="267">
        <v>2020</v>
      </c>
      <c r="D7514" s="267">
        <v>1</v>
      </c>
      <c r="E7514" s="267">
        <v>1</v>
      </c>
      <c r="F7514" s="267" t="s">
        <v>944</v>
      </c>
      <c r="G7514" s="267" t="s">
        <v>3926</v>
      </c>
      <c r="H7514" s="267" t="s">
        <v>12366</v>
      </c>
      <c r="I7514" s="267" t="s">
        <v>4392</v>
      </c>
      <c r="J7514" s="267" t="s">
        <v>3928</v>
      </c>
      <c r="K7514" s="267">
        <v>6457</v>
      </c>
      <c r="L7514" s="267">
        <v>542000</v>
      </c>
      <c r="M7514" s="267" t="s">
        <v>3935</v>
      </c>
      <c r="N7514" s="267" t="s">
        <v>3944</v>
      </c>
      <c r="O7514" s="267">
        <v>986.79</v>
      </c>
      <c r="P7514" s="267" t="s">
        <v>3944</v>
      </c>
      <c r="Q7514" s="267" t="s">
        <v>3944</v>
      </c>
      <c r="R7514" s="267">
        <v>986.79</v>
      </c>
      <c r="S7514" s="267">
        <v>14388.06</v>
      </c>
      <c r="T7514" s="267">
        <v>15374.85</v>
      </c>
      <c r="U7514" s="268" t="s">
        <v>3945</v>
      </c>
      <c r="V7514" s="267" t="s">
        <v>944</v>
      </c>
    </row>
    <row r="7515" spans="1:22" hidden="1" x14ac:dyDescent="0.25">
      <c r="A7515" s="269">
        <v>43809</v>
      </c>
      <c r="B7515" s="270">
        <v>2019</v>
      </c>
      <c r="C7515" s="270">
        <v>2020</v>
      </c>
      <c r="D7515" s="270">
        <v>1</v>
      </c>
      <c r="E7515" s="270">
        <v>1</v>
      </c>
      <c r="F7515" s="270" t="s">
        <v>944</v>
      </c>
      <c r="G7515" s="270" t="s">
        <v>3926</v>
      </c>
      <c r="H7515" s="270" t="s">
        <v>12367</v>
      </c>
      <c r="I7515" s="270" t="s">
        <v>953</v>
      </c>
      <c r="J7515" s="270" t="s">
        <v>3928</v>
      </c>
      <c r="K7515" s="270">
        <v>6514</v>
      </c>
      <c r="L7515" s="270">
        <v>165700</v>
      </c>
      <c r="M7515" s="270" t="s">
        <v>3935</v>
      </c>
      <c r="N7515" s="270" t="s">
        <v>12368</v>
      </c>
      <c r="O7515" s="270">
        <v>0</v>
      </c>
      <c r="P7515" s="270" t="s">
        <v>3930</v>
      </c>
      <c r="Q7515" s="270" t="s">
        <v>3930</v>
      </c>
      <c r="R7515" s="270">
        <v>0</v>
      </c>
      <c r="S7515" s="270">
        <v>22000</v>
      </c>
      <c r="T7515" s="270">
        <v>22000</v>
      </c>
      <c r="U7515" s="271" t="s">
        <v>3937</v>
      </c>
      <c r="V7515" s="267" t="s">
        <v>944</v>
      </c>
    </row>
    <row r="7516" spans="1:22" hidden="1" x14ac:dyDescent="0.25">
      <c r="A7516" s="266">
        <v>43809</v>
      </c>
      <c r="B7516" s="267">
        <v>2019</v>
      </c>
      <c r="C7516" s="267">
        <v>2020</v>
      </c>
      <c r="D7516" s="267">
        <v>1</v>
      </c>
      <c r="E7516" s="267">
        <v>1</v>
      </c>
      <c r="F7516" s="267" t="s">
        <v>944</v>
      </c>
      <c r="G7516" s="267" t="s">
        <v>3926</v>
      </c>
      <c r="H7516" s="267" t="s">
        <v>12369</v>
      </c>
      <c r="I7516" s="267" t="s">
        <v>3939</v>
      </c>
      <c r="J7516" s="267" t="s">
        <v>3928</v>
      </c>
      <c r="K7516" s="267">
        <v>6512</v>
      </c>
      <c r="L7516" s="267">
        <v>180500</v>
      </c>
      <c r="M7516" s="267" t="s">
        <v>3935</v>
      </c>
      <c r="N7516" s="267" t="s">
        <v>12370</v>
      </c>
      <c r="O7516" s="267">
        <v>4033</v>
      </c>
      <c r="P7516" s="267" t="s">
        <v>3930</v>
      </c>
      <c r="Q7516" s="267" t="s">
        <v>3930</v>
      </c>
      <c r="R7516" s="267">
        <v>4033</v>
      </c>
      <c r="S7516" s="267">
        <v>29322</v>
      </c>
      <c r="T7516" s="267">
        <v>33355</v>
      </c>
      <c r="U7516" s="268" t="s">
        <v>3937</v>
      </c>
      <c r="V7516" s="267" t="s">
        <v>944</v>
      </c>
    </row>
    <row r="7517" spans="1:22" hidden="1" x14ac:dyDescent="0.25">
      <c r="A7517" s="269">
        <v>43809</v>
      </c>
      <c r="B7517" s="270">
        <v>2019</v>
      </c>
      <c r="C7517" s="270">
        <v>2020</v>
      </c>
      <c r="D7517" s="270">
        <v>1</v>
      </c>
      <c r="E7517" s="270">
        <v>1</v>
      </c>
      <c r="F7517" s="270" t="s">
        <v>944</v>
      </c>
      <c r="G7517" s="270" t="s">
        <v>3926</v>
      </c>
      <c r="H7517" s="270" t="s">
        <v>12371</v>
      </c>
      <c r="I7517" s="270" t="s">
        <v>3996</v>
      </c>
      <c r="J7517" s="270" t="s">
        <v>3928</v>
      </c>
      <c r="K7517" s="270">
        <v>6790</v>
      </c>
      <c r="L7517" s="270">
        <v>310200</v>
      </c>
      <c r="M7517" s="270">
        <v>-60</v>
      </c>
      <c r="N7517" s="270" t="s">
        <v>4103</v>
      </c>
      <c r="O7517" s="270">
        <v>1554.63</v>
      </c>
      <c r="P7517" s="270" t="s">
        <v>3930</v>
      </c>
      <c r="Q7517" s="270" t="s">
        <v>3931</v>
      </c>
      <c r="R7517" s="270">
        <v>6554.63</v>
      </c>
      <c r="S7517" s="270">
        <v>24145.599999999999</v>
      </c>
      <c r="T7517" s="270">
        <v>30700.23</v>
      </c>
      <c r="U7517" s="271" t="s">
        <v>3932</v>
      </c>
      <c r="V7517" s="267" t="s">
        <v>944</v>
      </c>
    </row>
    <row r="7518" spans="1:22" hidden="1" x14ac:dyDescent="0.25">
      <c r="A7518" s="266">
        <v>43809</v>
      </c>
      <c r="B7518" s="267">
        <v>2019</v>
      </c>
      <c r="C7518" s="267">
        <v>2020</v>
      </c>
      <c r="D7518" s="267">
        <v>1</v>
      </c>
      <c r="E7518" s="267">
        <v>1</v>
      </c>
      <c r="F7518" s="267" t="s">
        <v>944</v>
      </c>
      <c r="G7518" s="267" t="s">
        <v>3926</v>
      </c>
      <c r="H7518" s="267" t="s">
        <v>12372</v>
      </c>
      <c r="I7518" s="267" t="s">
        <v>3939</v>
      </c>
      <c r="J7518" s="267" t="s">
        <v>3928</v>
      </c>
      <c r="K7518" s="267">
        <v>6512</v>
      </c>
      <c r="L7518" s="267">
        <v>180100</v>
      </c>
      <c r="M7518" s="267" t="s">
        <v>3940</v>
      </c>
      <c r="N7518" s="267" t="s">
        <v>9149</v>
      </c>
      <c r="O7518" s="267">
        <v>7390.24</v>
      </c>
      <c r="P7518" s="267" t="s">
        <v>3930</v>
      </c>
      <c r="Q7518" s="267" t="s">
        <v>3931</v>
      </c>
      <c r="R7518" s="267">
        <v>12390.24</v>
      </c>
      <c r="S7518" s="267">
        <v>32364</v>
      </c>
      <c r="T7518" s="267">
        <v>44754.239999999998</v>
      </c>
      <c r="U7518" s="268" t="s">
        <v>3932</v>
      </c>
      <c r="V7518" s="267" t="s">
        <v>944</v>
      </c>
    </row>
    <row r="7519" spans="1:22" hidden="1" x14ac:dyDescent="0.25">
      <c r="A7519" s="269">
        <v>43809</v>
      </c>
      <c r="B7519" s="270">
        <v>2019</v>
      </c>
      <c r="C7519" s="270">
        <v>2020</v>
      </c>
      <c r="D7519" s="270">
        <v>1</v>
      </c>
      <c r="E7519" s="270">
        <v>1</v>
      </c>
      <c r="F7519" s="270" t="s">
        <v>944</v>
      </c>
      <c r="G7519" s="270" t="s">
        <v>3926</v>
      </c>
      <c r="H7519" s="270" t="s">
        <v>12373</v>
      </c>
      <c r="I7519" s="270" t="s">
        <v>6330</v>
      </c>
      <c r="J7519" s="270" t="s">
        <v>3928</v>
      </c>
      <c r="K7519" s="270">
        <v>6791</v>
      </c>
      <c r="L7519" s="270">
        <v>298300</v>
      </c>
      <c r="M7519" s="270" t="s">
        <v>3943</v>
      </c>
      <c r="N7519" s="270" t="s">
        <v>3944</v>
      </c>
      <c r="O7519" s="270">
        <v>2210</v>
      </c>
      <c r="P7519" s="270" t="s">
        <v>3944</v>
      </c>
      <c r="Q7519" s="270" t="s">
        <v>3944</v>
      </c>
      <c r="R7519" s="270">
        <v>2210</v>
      </c>
      <c r="S7519" s="270">
        <v>34332.82</v>
      </c>
      <c r="T7519" s="270">
        <v>36542.82</v>
      </c>
      <c r="U7519" s="271" t="s">
        <v>3945</v>
      </c>
      <c r="V7519" s="267" t="s">
        <v>944</v>
      </c>
    </row>
    <row r="7520" spans="1:22" hidden="1" x14ac:dyDescent="0.25">
      <c r="A7520" s="266">
        <v>43809</v>
      </c>
      <c r="B7520" s="267">
        <v>2019</v>
      </c>
      <c r="C7520" s="267">
        <v>2020</v>
      </c>
      <c r="D7520" s="267">
        <v>1</v>
      </c>
      <c r="E7520" s="267">
        <v>1</v>
      </c>
      <c r="F7520" s="267" t="s">
        <v>944</v>
      </c>
      <c r="G7520" s="267" t="s">
        <v>3926</v>
      </c>
      <c r="H7520" s="267" t="s">
        <v>12374</v>
      </c>
      <c r="I7520" s="267" t="s">
        <v>4288</v>
      </c>
      <c r="J7520" s="267" t="s">
        <v>3928</v>
      </c>
      <c r="K7520" s="267">
        <v>6883</v>
      </c>
      <c r="L7520" s="267">
        <v>55100</v>
      </c>
      <c r="M7520" s="267" t="s">
        <v>3943</v>
      </c>
      <c r="N7520" s="267" t="s">
        <v>3944</v>
      </c>
      <c r="O7520" s="267">
        <v>5474</v>
      </c>
      <c r="P7520" s="267" t="s">
        <v>3944</v>
      </c>
      <c r="Q7520" s="267" t="s">
        <v>3944</v>
      </c>
      <c r="R7520" s="267">
        <v>5474</v>
      </c>
      <c r="S7520" s="267">
        <v>45538</v>
      </c>
      <c r="T7520" s="267">
        <v>51012</v>
      </c>
      <c r="U7520" s="268" t="s">
        <v>3945</v>
      </c>
      <c r="V7520" s="267" t="s">
        <v>944</v>
      </c>
    </row>
    <row r="7521" spans="1:22" hidden="1" x14ac:dyDescent="0.25">
      <c r="A7521" s="269">
        <v>43809</v>
      </c>
      <c r="B7521" s="270">
        <v>2019</v>
      </c>
      <c r="C7521" s="270">
        <v>2020</v>
      </c>
      <c r="D7521" s="270">
        <v>1</v>
      </c>
      <c r="E7521" s="270">
        <v>1</v>
      </c>
      <c r="F7521" s="270" t="s">
        <v>944</v>
      </c>
      <c r="G7521" s="270" t="s">
        <v>3926</v>
      </c>
      <c r="H7521" s="270" t="s">
        <v>12375</v>
      </c>
      <c r="I7521" s="270" t="s">
        <v>4029</v>
      </c>
      <c r="J7521" s="270" t="s">
        <v>3928</v>
      </c>
      <c r="K7521" s="270">
        <v>6854</v>
      </c>
      <c r="L7521" s="270">
        <v>44400</v>
      </c>
      <c r="M7521" s="270" t="s">
        <v>3935</v>
      </c>
      <c r="N7521" s="270" t="s">
        <v>3944</v>
      </c>
      <c r="O7521" s="270">
        <v>5048</v>
      </c>
      <c r="P7521" s="270" t="s">
        <v>3944</v>
      </c>
      <c r="Q7521" s="270" t="s">
        <v>3944</v>
      </c>
      <c r="R7521" s="270">
        <v>5048</v>
      </c>
      <c r="S7521" s="270">
        <v>44218</v>
      </c>
      <c r="T7521" s="270">
        <v>49266</v>
      </c>
      <c r="U7521" s="271" t="s">
        <v>3945</v>
      </c>
      <c r="V7521" s="267" t="s">
        <v>944</v>
      </c>
    </row>
    <row r="7522" spans="1:22" hidden="1" x14ac:dyDescent="0.25">
      <c r="A7522" s="266">
        <v>43809</v>
      </c>
      <c r="B7522" s="267">
        <v>2019</v>
      </c>
      <c r="C7522" s="267">
        <v>2020</v>
      </c>
      <c r="D7522" s="267">
        <v>1</v>
      </c>
      <c r="E7522" s="267">
        <v>1</v>
      </c>
      <c r="F7522" s="267" t="s">
        <v>944</v>
      </c>
      <c r="G7522" s="267" t="s">
        <v>3926</v>
      </c>
      <c r="H7522" s="267" t="s">
        <v>12376</v>
      </c>
      <c r="I7522" s="267" t="s">
        <v>3939</v>
      </c>
      <c r="J7522" s="267" t="s">
        <v>3928</v>
      </c>
      <c r="K7522" s="267">
        <v>6512</v>
      </c>
      <c r="L7522" s="267">
        <v>180100</v>
      </c>
      <c r="M7522" s="267" t="s">
        <v>3940</v>
      </c>
      <c r="N7522" s="267" t="s">
        <v>3944</v>
      </c>
      <c r="O7522" s="267">
        <v>4222</v>
      </c>
      <c r="P7522" s="267" t="s">
        <v>3944</v>
      </c>
      <c r="Q7522" s="267" t="s">
        <v>3944</v>
      </c>
      <c r="R7522" s="267">
        <v>4222</v>
      </c>
      <c r="S7522" s="267">
        <v>30372</v>
      </c>
      <c r="T7522" s="267">
        <v>34594</v>
      </c>
      <c r="U7522" s="268" t="s">
        <v>3945</v>
      </c>
      <c r="V7522" s="267" t="s">
        <v>944</v>
      </c>
    </row>
    <row r="7523" spans="1:22" hidden="1" x14ac:dyDescent="0.25">
      <c r="A7523" s="269">
        <v>43809</v>
      </c>
      <c r="B7523" s="270">
        <v>2019</v>
      </c>
      <c r="C7523" s="270">
        <v>2020</v>
      </c>
      <c r="D7523" s="270">
        <v>1</v>
      </c>
      <c r="E7523" s="270">
        <v>1</v>
      </c>
      <c r="F7523" s="270" t="s">
        <v>944</v>
      </c>
      <c r="G7523" s="270" t="s">
        <v>3926</v>
      </c>
      <c r="H7523" s="270" t="s">
        <v>12377</v>
      </c>
      <c r="I7523" s="270" t="s">
        <v>3966</v>
      </c>
      <c r="J7523" s="270" t="s">
        <v>3928</v>
      </c>
      <c r="K7523" s="270">
        <v>6010</v>
      </c>
      <c r="L7523" s="270">
        <v>405800</v>
      </c>
      <c r="M7523" s="270" t="s">
        <v>3935</v>
      </c>
      <c r="N7523" s="270" t="s">
        <v>3944</v>
      </c>
      <c r="O7523" s="270">
        <v>6049</v>
      </c>
      <c r="P7523" s="270" t="s">
        <v>3944</v>
      </c>
      <c r="Q7523" s="270" t="s">
        <v>3944</v>
      </c>
      <c r="R7523" s="270">
        <v>6049</v>
      </c>
      <c r="S7523" s="270">
        <v>39970</v>
      </c>
      <c r="T7523" s="270">
        <v>46019</v>
      </c>
      <c r="U7523" s="271" t="s">
        <v>3945</v>
      </c>
      <c r="V7523" s="267" t="s">
        <v>944</v>
      </c>
    </row>
    <row r="7524" spans="1:22" hidden="1" x14ac:dyDescent="0.25">
      <c r="A7524" s="266">
        <v>43809</v>
      </c>
      <c r="B7524" s="267">
        <v>2019</v>
      </c>
      <c r="C7524" s="267">
        <v>2020</v>
      </c>
      <c r="D7524" s="267">
        <v>1</v>
      </c>
      <c r="E7524" s="267">
        <v>1</v>
      </c>
      <c r="F7524" s="267" t="s">
        <v>944</v>
      </c>
      <c r="G7524" s="267" t="s">
        <v>3926</v>
      </c>
      <c r="H7524" s="267" t="s">
        <v>12378</v>
      </c>
      <c r="I7524" s="267" t="s">
        <v>3962</v>
      </c>
      <c r="J7524" s="267" t="s">
        <v>3928</v>
      </c>
      <c r="K7524" s="267">
        <v>6355</v>
      </c>
      <c r="L7524" s="267">
        <v>703000</v>
      </c>
      <c r="M7524" s="267" t="s">
        <v>3960</v>
      </c>
      <c r="N7524" s="267" t="s">
        <v>3944</v>
      </c>
      <c r="O7524" s="267">
        <v>3661</v>
      </c>
      <c r="P7524" s="267" t="s">
        <v>3944</v>
      </c>
      <c r="Q7524" s="267" t="s">
        <v>3944</v>
      </c>
      <c r="R7524" s="267">
        <v>3661</v>
      </c>
      <c r="S7524" s="267">
        <v>38939</v>
      </c>
      <c r="T7524" s="267">
        <v>42600</v>
      </c>
      <c r="U7524" s="268" t="s">
        <v>3945</v>
      </c>
      <c r="V7524" s="267" t="s">
        <v>944</v>
      </c>
    </row>
    <row r="7525" spans="1:22" hidden="1" x14ac:dyDescent="0.25">
      <c r="A7525" s="269">
        <v>43809</v>
      </c>
      <c r="B7525" s="270">
        <v>2019</v>
      </c>
      <c r="C7525" s="270">
        <v>2020</v>
      </c>
      <c r="D7525" s="270">
        <v>1</v>
      </c>
      <c r="E7525" s="270">
        <v>1</v>
      </c>
      <c r="F7525" s="270" t="s">
        <v>944</v>
      </c>
      <c r="G7525" s="270" t="s">
        <v>3926</v>
      </c>
      <c r="H7525" s="270" t="s">
        <v>12379</v>
      </c>
      <c r="I7525" s="270" t="s">
        <v>4594</v>
      </c>
      <c r="J7525" s="270" t="s">
        <v>3928</v>
      </c>
      <c r="K7525" s="270">
        <v>6488</v>
      </c>
      <c r="L7525" s="270">
        <v>348123</v>
      </c>
      <c r="M7525" s="270" t="s">
        <v>3943</v>
      </c>
      <c r="N7525" s="270" t="s">
        <v>3944</v>
      </c>
      <c r="O7525" s="270">
        <v>4131</v>
      </c>
      <c r="P7525" s="270" t="s">
        <v>3944</v>
      </c>
      <c r="Q7525" s="270" t="s">
        <v>3944</v>
      </c>
      <c r="R7525" s="270">
        <v>4131</v>
      </c>
      <c r="S7525" s="270">
        <v>44323</v>
      </c>
      <c r="T7525" s="270">
        <v>48454</v>
      </c>
      <c r="U7525" s="271" t="s">
        <v>3945</v>
      </c>
      <c r="V7525" s="267" t="s">
        <v>944</v>
      </c>
    </row>
    <row r="7526" spans="1:22" hidden="1" x14ac:dyDescent="0.25">
      <c r="A7526" s="266">
        <v>43809</v>
      </c>
      <c r="B7526" s="267">
        <v>2019</v>
      </c>
      <c r="C7526" s="267">
        <v>2020</v>
      </c>
      <c r="D7526" s="267">
        <v>1</v>
      </c>
      <c r="E7526" s="267">
        <v>1</v>
      </c>
      <c r="F7526" s="267" t="s">
        <v>944</v>
      </c>
      <c r="G7526" s="267" t="s">
        <v>3926</v>
      </c>
      <c r="H7526" s="267" t="s">
        <v>12380</v>
      </c>
      <c r="I7526" s="267" t="s">
        <v>2985</v>
      </c>
      <c r="J7526" s="267" t="s">
        <v>3928</v>
      </c>
      <c r="K7526" s="267">
        <v>6824</v>
      </c>
      <c r="L7526" s="267">
        <v>60700</v>
      </c>
      <c r="M7526" s="267" t="s">
        <v>3943</v>
      </c>
      <c r="N7526" s="267" t="s">
        <v>3944</v>
      </c>
      <c r="O7526" s="267">
        <v>2333</v>
      </c>
      <c r="P7526" s="267" t="s">
        <v>3944</v>
      </c>
      <c r="Q7526" s="267" t="s">
        <v>3944</v>
      </c>
      <c r="R7526" s="267">
        <v>2333</v>
      </c>
      <c r="S7526" s="267">
        <v>18069</v>
      </c>
      <c r="T7526" s="267">
        <v>20402</v>
      </c>
      <c r="U7526" s="268" t="s">
        <v>3945</v>
      </c>
      <c r="V7526" s="267" t="s">
        <v>944</v>
      </c>
    </row>
    <row r="7527" spans="1:22" hidden="1" x14ac:dyDescent="0.25">
      <c r="A7527" s="269">
        <v>43809</v>
      </c>
      <c r="B7527" s="270">
        <v>2019</v>
      </c>
      <c r="C7527" s="270">
        <v>2020</v>
      </c>
      <c r="D7527" s="270">
        <v>1</v>
      </c>
      <c r="E7527" s="270">
        <v>1</v>
      </c>
      <c r="F7527" s="270" t="s">
        <v>944</v>
      </c>
      <c r="G7527" s="270" t="s">
        <v>3926</v>
      </c>
      <c r="H7527" s="270" t="s">
        <v>12381</v>
      </c>
      <c r="I7527" s="270" t="s">
        <v>4029</v>
      </c>
      <c r="J7527" s="270" t="s">
        <v>3928</v>
      </c>
      <c r="K7527" s="270">
        <v>6850</v>
      </c>
      <c r="L7527" s="270">
        <v>43200</v>
      </c>
      <c r="M7527" s="270" t="s">
        <v>3935</v>
      </c>
      <c r="N7527" s="270" t="s">
        <v>3944</v>
      </c>
      <c r="O7527" s="270">
        <v>4086</v>
      </c>
      <c r="P7527" s="270" t="s">
        <v>3944</v>
      </c>
      <c r="Q7527" s="270" t="s">
        <v>3944</v>
      </c>
      <c r="R7527" s="270">
        <v>4086</v>
      </c>
      <c r="S7527" s="270">
        <v>25486</v>
      </c>
      <c r="T7527" s="270">
        <v>29572</v>
      </c>
      <c r="U7527" s="271" t="s">
        <v>3945</v>
      </c>
      <c r="V7527" s="267" t="s">
        <v>944</v>
      </c>
    </row>
    <row r="7528" spans="1:22" hidden="1" x14ac:dyDescent="0.25">
      <c r="A7528" s="266">
        <v>43809</v>
      </c>
      <c r="B7528" s="267">
        <v>2019</v>
      </c>
      <c r="C7528" s="267">
        <v>2020</v>
      </c>
      <c r="D7528" s="267">
        <v>1</v>
      </c>
      <c r="E7528" s="267">
        <v>1</v>
      </c>
      <c r="F7528" s="267" t="s">
        <v>944</v>
      </c>
      <c r="G7528" s="267" t="s">
        <v>3926</v>
      </c>
      <c r="H7528" s="267" t="s">
        <v>12382</v>
      </c>
      <c r="I7528" s="267" t="s">
        <v>4269</v>
      </c>
      <c r="J7528" s="267" t="s">
        <v>3928</v>
      </c>
      <c r="K7528" s="267">
        <v>6117</v>
      </c>
      <c r="L7528" s="267">
        <v>497500</v>
      </c>
      <c r="M7528" s="267" t="s">
        <v>3960</v>
      </c>
      <c r="N7528" s="267" t="s">
        <v>3944</v>
      </c>
      <c r="O7528" s="267">
        <v>3245</v>
      </c>
      <c r="P7528" s="267" t="s">
        <v>3944</v>
      </c>
      <c r="Q7528" s="267" t="s">
        <v>3944</v>
      </c>
      <c r="R7528" s="267">
        <v>3245</v>
      </c>
      <c r="S7528" s="267">
        <v>33121</v>
      </c>
      <c r="T7528" s="267">
        <v>36366</v>
      </c>
      <c r="U7528" s="268" t="s">
        <v>3945</v>
      </c>
      <c r="V7528" s="267" t="s">
        <v>944</v>
      </c>
    </row>
    <row r="7529" spans="1:22" hidden="1" x14ac:dyDescent="0.25">
      <c r="A7529" s="269">
        <v>43809</v>
      </c>
      <c r="B7529" s="270">
        <v>2019</v>
      </c>
      <c r="C7529" s="270">
        <v>2020</v>
      </c>
      <c r="D7529" s="270">
        <v>1</v>
      </c>
      <c r="E7529" s="270">
        <v>1</v>
      </c>
      <c r="F7529" s="270" t="s">
        <v>944</v>
      </c>
      <c r="G7529" s="270" t="s">
        <v>3926</v>
      </c>
      <c r="H7529" s="270" t="s">
        <v>12383</v>
      </c>
      <c r="I7529" s="270" t="s">
        <v>3008</v>
      </c>
      <c r="J7529" s="270" t="s">
        <v>3928</v>
      </c>
      <c r="K7529" s="270">
        <v>6460</v>
      </c>
      <c r="L7529" s="270">
        <v>150900</v>
      </c>
      <c r="M7529" s="270" t="s">
        <v>3943</v>
      </c>
      <c r="N7529" s="270" t="s">
        <v>3944</v>
      </c>
      <c r="O7529" s="270">
        <v>1402</v>
      </c>
      <c r="P7529" s="270" t="s">
        <v>3944</v>
      </c>
      <c r="Q7529" s="270" t="s">
        <v>3944</v>
      </c>
      <c r="R7529" s="270">
        <v>1402</v>
      </c>
      <c r="S7529" s="270">
        <v>11351</v>
      </c>
      <c r="T7529" s="270">
        <v>12753</v>
      </c>
      <c r="U7529" s="271" t="s">
        <v>3945</v>
      </c>
      <c r="V7529" s="267" t="s">
        <v>944</v>
      </c>
    </row>
    <row r="7530" spans="1:22" hidden="1" x14ac:dyDescent="0.25">
      <c r="A7530" s="266">
        <v>43809</v>
      </c>
      <c r="B7530" s="267">
        <v>2019</v>
      </c>
      <c r="C7530" s="267">
        <v>2020</v>
      </c>
      <c r="D7530" s="267">
        <v>1</v>
      </c>
      <c r="E7530" s="267">
        <v>1</v>
      </c>
      <c r="F7530" s="267" t="s">
        <v>944</v>
      </c>
      <c r="G7530" s="267" t="s">
        <v>3926</v>
      </c>
      <c r="H7530" s="267" t="s">
        <v>12384</v>
      </c>
      <c r="I7530" s="267" t="s">
        <v>4147</v>
      </c>
      <c r="J7530" s="267" t="s">
        <v>3928</v>
      </c>
      <c r="K7530" s="267">
        <v>6109</v>
      </c>
      <c r="L7530" s="267">
        <v>492200</v>
      </c>
      <c r="M7530" s="267" t="s">
        <v>3960</v>
      </c>
      <c r="N7530" s="267" t="s">
        <v>3944</v>
      </c>
      <c r="O7530" s="267">
        <v>1636.99</v>
      </c>
      <c r="P7530" s="267" t="s">
        <v>3944</v>
      </c>
      <c r="Q7530" s="267" t="s">
        <v>3944</v>
      </c>
      <c r="R7530" s="267">
        <v>1636.99</v>
      </c>
      <c r="S7530" s="267">
        <v>20583.560000000001</v>
      </c>
      <c r="T7530" s="267">
        <v>22220.55</v>
      </c>
      <c r="U7530" s="268" t="s">
        <v>3945</v>
      </c>
      <c r="V7530" s="267" t="s">
        <v>944</v>
      </c>
    </row>
    <row r="7531" spans="1:22" x14ac:dyDescent="0.25">
      <c r="A7531" s="269">
        <v>43809</v>
      </c>
      <c r="B7531" s="270">
        <v>2019</v>
      </c>
      <c r="C7531" s="270">
        <v>2020</v>
      </c>
      <c r="D7531" s="270">
        <v>1</v>
      </c>
      <c r="E7531" s="270">
        <v>1</v>
      </c>
      <c r="F7531" s="270" t="s">
        <v>944</v>
      </c>
      <c r="G7531" s="270" t="s">
        <v>3926</v>
      </c>
      <c r="H7531" s="270" t="s">
        <v>12385</v>
      </c>
      <c r="I7531" s="270" t="s">
        <v>934</v>
      </c>
      <c r="J7531" s="270" t="s">
        <v>3928</v>
      </c>
      <c r="K7531" s="270">
        <v>6606</v>
      </c>
      <c r="L7531" s="270">
        <v>72200</v>
      </c>
      <c r="M7531" s="270">
        <v>-60</v>
      </c>
      <c r="N7531" s="270" t="s">
        <v>3944</v>
      </c>
      <c r="O7531" s="270">
        <v>1527.89</v>
      </c>
      <c r="P7531" s="270" t="s">
        <v>3944</v>
      </c>
      <c r="Q7531" s="270" t="s">
        <v>3944</v>
      </c>
      <c r="R7531" s="270">
        <v>1527.89</v>
      </c>
      <c r="S7531" s="270">
        <v>21838.03</v>
      </c>
      <c r="T7531" s="270">
        <v>23365.919999999998</v>
      </c>
      <c r="U7531" s="271" t="s">
        <v>3945</v>
      </c>
      <c r="V7531" s="276" t="s">
        <v>936</v>
      </c>
    </row>
    <row r="7532" spans="1:22" hidden="1" x14ac:dyDescent="0.25">
      <c r="A7532" s="266">
        <v>43809</v>
      </c>
      <c r="B7532" s="267">
        <v>2019</v>
      </c>
      <c r="C7532" s="267">
        <v>2020</v>
      </c>
      <c r="D7532" s="267">
        <v>1</v>
      </c>
      <c r="E7532" s="267">
        <v>1</v>
      </c>
      <c r="F7532" s="267" t="s">
        <v>944</v>
      </c>
      <c r="G7532" s="267" t="s">
        <v>3926</v>
      </c>
      <c r="H7532" s="267" t="s">
        <v>12386</v>
      </c>
      <c r="I7532" s="267" t="s">
        <v>4037</v>
      </c>
      <c r="J7532" s="267" t="s">
        <v>3928</v>
      </c>
      <c r="K7532" s="267">
        <v>6811</v>
      </c>
      <c r="L7532" s="267">
        <v>211000</v>
      </c>
      <c r="M7532" s="267" t="s">
        <v>3960</v>
      </c>
      <c r="N7532" s="267" t="s">
        <v>3944</v>
      </c>
      <c r="O7532" s="267">
        <v>1972.15</v>
      </c>
      <c r="P7532" s="267" t="s">
        <v>3944</v>
      </c>
      <c r="Q7532" s="267" t="s">
        <v>3944</v>
      </c>
      <c r="R7532" s="267">
        <v>1972.15</v>
      </c>
      <c r="S7532" s="267">
        <v>17719.849999999999</v>
      </c>
      <c r="T7532" s="267">
        <v>19692</v>
      </c>
      <c r="U7532" s="268" t="s">
        <v>3945</v>
      </c>
      <c r="V7532" s="267" t="s">
        <v>944</v>
      </c>
    </row>
    <row r="7533" spans="1:22" hidden="1" x14ac:dyDescent="0.25">
      <c r="A7533" s="269">
        <v>43809</v>
      </c>
      <c r="B7533" s="270">
        <v>2019</v>
      </c>
      <c r="C7533" s="270">
        <v>2020</v>
      </c>
      <c r="D7533" s="270">
        <v>1</v>
      </c>
      <c r="E7533" s="270">
        <v>1</v>
      </c>
      <c r="F7533" s="270" t="s">
        <v>944</v>
      </c>
      <c r="G7533" s="270" t="s">
        <v>3926</v>
      </c>
      <c r="H7533" s="270" t="s">
        <v>12387</v>
      </c>
      <c r="I7533" s="270" t="s">
        <v>4548</v>
      </c>
      <c r="J7533" s="270" t="s">
        <v>3928</v>
      </c>
      <c r="K7533" s="270">
        <v>6037</v>
      </c>
      <c r="L7533" s="270">
        <v>400300</v>
      </c>
      <c r="M7533" s="270" t="s">
        <v>3960</v>
      </c>
      <c r="N7533" s="270" t="s">
        <v>3944</v>
      </c>
      <c r="O7533" s="270">
        <v>1586.17</v>
      </c>
      <c r="P7533" s="270" t="s">
        <v>3944</v>
      </c>
      <c r="Q7533" s="270" t="s">
        <v>3944</v>
      </c>
      <c r="R7533" s="270">
        <v>1586.17</v>
      </c>
      <c r="S7533" s="270">
        <v>28253.58</v>
      </c>
      <c r="T7533" s="270">
        <v>29839.75</v>
      </c>
      <c r="U7533" s="271" t="s">
        <v>3945</v>
      </c>
      <c r="V7533" s="267" t="s">
        <v>944</v>
      </c>
    </row>
    <row r="7534" spans="1:22" hidden="1" x14ac:dyDescent="0.25">
      <c r="A7534" s="266">
        <v>43809</v>
      </c>
      <c r="B7534" s="267">
        <v>2019</v>
      </c>
      <c r="C7534" s="267">
        <v>2020</v>
      </c>
      <c r="D7534" s="267">
        <v>1</v>
      </c>
      <c r="E7534" s="267">
        <v>1</v>
      </c>
      <c r="F7534" s="267" t="s">
        <v>944</v>
      </c>
      <c r="G7534" s="267" t="s">
        <v>3926</v>
      </c>
      <c r="H7534" s="267" t="s">
        <v>12388</v>
      </c>
      <c r="I7534" s="267" t="s">
        <v>3956</v>
      </c>
      <c r="J7534" s="267" t="s">
        <v>3928</v>
      </c>
      <c r="K7534" s="267">
        <v>6106</v>
      </c>
      <c r="L7534" s="267">
        <v>504900</v>
      </c>
      <c r="M7534" s="267">
        <v>-60</v>
      </c>
      <c r="N7534" s="267" t="s">
        <v>3944</v>
      </c>
      <c r="O7534" s="267">
        <v>660.98</v>
      </c>
      <c r="P7534" s="267" t="s">
        <v>3944</v>
      </c>
      <c r="Q7534" s="267" t="s">
        <v>3944</v>
      </c>
      <c r="R7534" s="267">
        <v>660.98</v>
      </c>
      <c r="S7534" s="267">
        <v>9489.02</v>
      </c>
      <c r="T7534" s="267">
        <v>10150</v>
      </c>
      <c r="U7534" s="268" t="s">
        <v>3945</v>
      </c>
      <c r="V7534" s="267" t="s">
        <v>944</v>
      </c>
    </row>
    <row r="7535" spans="1:22" hidden="1" x14ac:dyDescent="0.25">
      <c r="A7535" s="269">
        <v>43809</v>
      </c>
      <c r="B7535" s="270">
        <v>2019</v>
      </c>
      <c r="C7535" s="270">
        <v>2020</v>
      </c>
      <c r="D7535" s="270">
        <v>1</v>
      </c>
      <c r="E7535" s="270">
        <v>1</v>
      </c>
      <c r="F7535" s="270" t="s">
        <v>944</v>
      </c>
      <c r="G7535" s="270" t="s">
        <v>3926</v>
      </c>
      <c r="H7535" s="270" t="s">
        <v>12389</v>
      </c>
      <c r="I7535" s="270" t="s">
        <v>4323</v>
      </c>
      <c r="J7535" s="270" t="s">
        <v>3928</v>
      </c>
      <c r="K7535" s="270">
        <v>6385</v>
      </c>
      <c r="L7535" s="270">
        <v>693300</v>
      </c>
      <c r="M7535" s="270" t="s">
        <v>3935</v>
      </c>
      <c r="N7535" s="270" t="s">
        <v>3944</v>
      </c>
      <c r="O7535" s="270">
        <v>2117.5</v>
      </c>
      <c r="P7535" s="270" t="s">
        <v>3944</v>
      </c>
      <c r="Q7535" s="270" t="s">
        <v>3944</v>
      </c>
      <c r="R7535" s="270">
        <v>2117.5</v>
      </c>
      <c r="S7535" s="270">
        <v>15847.5</v>
      </c>
      <c r="T7535" s="270">
        <v>17965</v>
      </c>
      <c r="U7535" s="271" t="s">
        <v>3945</v>
      </c>
      <c r="V7535" s="267" t="s">
        <v>944</v>
      </c>
    </row>
    <row r="7536" spans="1:22" hidden="1" x14ac:dyDescent="0.25">
      <c r="A7536" s="266">
        <v>43809</v>
      </c>
      <c r="B7536" s="267">
        <v>2019</v>
      </c>
      <c r="C7536" s="267">
        <v>2020</v>
      </c>
      <c r="D7536" s="267">
        <v>1</v>
      </c>
      <c r="E7536" s="267">
        <v>1</v>
      </c>
      <c r="F7536" s="267" t="s">
        <v>944</v>
      </c>
      <c r="G7536" s="267" t="s">
        <v>3926</v>
      </c>
      <c r="H7536" s="267" t="s">
        <v>12390</v>
      </c>
      <c r="I7536" s="267" t="s">
        <v>4220</v>
      </c>
      <c r="J7536" s="267" t="s">
        <v>3928</v>
      </c>
      <c r="K7536" s="267">
        <v>6455</v>
      </c>
      <c r="L7536" s="267">
        <v>580100</v>
      </c>
      <c r="M7536" s="267" t="s">
        <v>3960</v>
      </c>
      <c r="N7536" s="267" t="s">
        <v>3944</v>
      </c>
      <c r="O7536" s="267">
        <v>2570.89</v>
      </c>
      <c r="P7536" s="267" t="s">
        <v>3944</v>
      </c>
      <c r="Q7536" s="267" t="s">
        <v>3944</v>
      </c>
      <c r="R7536" s="267">
        <v>2570.89</v>
      </c>
      <c r="S7536" s="267">
        <v>22416.11</v>
      </c>
      <c r="T7536" s="267">
        <v>24987</v>
      </c>
      <c r="U7536" s="268" t="s">
        <v>3945</v>
      </c>
      <c r="V7536" s="267" t="s">
        <v>944</v>
      </c>
    </row>
    <row r="7537" spans="1:22" hidden="1" x14ac:dyDescent="0.25">
      <c r="A7537" s="269">
        <v>43809</v>
      </c>
      <c r="B7537" s="270">
        <v>2019</v>
      </c>
      <c r="C7537" s="270">
        <v>2020</v>
      </c>
      <c r="D7537" s="270">
        <v>1</v>
      </c>
      <c r="E7537" s="270">
        <v>1</v>
      </c>
      <c r="F7537" s="270" t="s">
        <v>944</v>
      </c>
      <c r="G7537" s="270" t="s">
        <v>3926</v>
      </c>
      <c r="H7537" s="270" t="s">
        <v>12391</v>
      </c>
      <c r="I7537" s="270" t="s">
        <v>4062</v>
      </c>
      <c r="J7537" s="270" t="s">
        <v>3928</v>
      </c>
      <c r="K7537" s="270">
        <v>6758</v>
      </c>
      <c r="L7537" s="270">
        <v>303100</v>
      </c>
      <c r="M7537" s="270" t="s">
        <v>3960</v>
      </c>
      <c r="N7537" s="270" t="s">
        <v>3944</v>
      </c>
      <c r="O7537" s="270">
        <v>2483.9899999999998</v>
      </c>
      <c r="P7537" s="270" t="s">
        <v>3944</v>
      </c>
      <c r="Q7537" s="270" t="s">
        <v>3944</v>
      </c>
      <c r="R7537" s="270">
        <v>2483.9899999999998</v>
      </c>
      <c r="S7537" s="270">
        <v>41995.55</v>
      </c>
      <c r="T7537" s="270">
        <v>44479.54</v>
      </c>
      <c r="U7537" s="271" t="s">
        <v>3945</v>
      </c>
      <c r="V7537" s="267" t="s">
        <v>944</v>
      </c>
    </row>
    <row r="7538" spans="1:22" hidden="1" x14ac:dyDescent="0.25">
      <c r="A7538" s="266">
        <v>43809</v>
      </c>
      <c r="B7538" s="267">
        <v>2019</v>
      </c>
      <c r="C7538" s="267">
        <v>2020</v>
      </c>
      <c r="D7538" s="267">
        <v>1</v>
      </c>
      <c r="E7538" s="267">
        <v>1</v>
      </c>
      <c r="F7538" s="267" t="s">
        <v>944</v>
      </c>
      <c r="G7538" s="267" t="s">
        <v>3926</v>
      </c>
      <c r="H7538" s="267" t="s">
        <v>12392</v>
      </c>
      <c r="I7538" s="267" t="s">
        <v>4037</v>
      </c>
      <c r="J7538" s="267" t="s">
        <v>3928</v>
      </c>
      <c r="K7538" s="267">
        <v>6811</v>
      </c>
      <c r="L7538" s="267">
        <v>211400</v>
      </c>
      <c r="M7538" s="267" t="s">
        <v>3935</v>
      </c>
      <c r="N7538" s="267" t="s">
        <v>3944</v>
      </c>
      <c r="O7538" s="267">
        <v>3923.92</v>
      </c>
      <c r="P7538" s="267" t="s">
        <v>3944</v>
      </c>
      <c r="Q7538" s="267" t="s">
        <v>3944</v>
      </c>
      <c r="R7538" s="267">
        <v>3923.92</v>
      </c>
      <c r="S7538" s="267">
        <v>50475.68</v>
      </c>
      <c r="T7538" s="267">
        <v>54399.6</v>
      </c>
      <c r="U7538" s="268" t="s">
        <v>3945</v>
      </c>
      <c r="V7538" s="267" t="s">
        <v>944</v>
      </c>
    </row>
    <row r="7539" spans="1:22" x14ac:dyDescent="0.25">
      <c r="A7539" s="269">
        <v>43809</v>
      </c>
      <c r="B7539" s="270">
        <v>2019</v>
      </c>
      <c r="C7539" s="270">
        <v>2020</v>
      </c>
      <c r="D7539" s="270">
        <v>1</v>
      </c>
      <c r="E7539" s="270">
        <v>1</v>
      </c>
      <c r="F7539" s="270" t="s">
        <v>944</v>
      </c>
      <c r="G7539" s="270" t="s">
        <v>3926</v>
      </c>
      <c r="H7539" s="270" t="s">
        <v>12393</v>
      </c>
      <c r="I7539" s="270" t="s">
        <v>934</v>
      </c>
      <c r="J7539" s="270" t="s">
        <v>3928</v>
      </c>
      <c r="K7539" s="270">
        <v>6610</v>
      </c>
      <c r="L7539" s="270">
        <v>73100</v>
      </c>
      <c r="M7539" s="270">
        <v>-60</v>
      </c>
      <c r="N7539" s="270" t="s">
        <v>3944</v>
      </c>
      <c r="O7539" s="270">
        <v>1067.68</v>
      </c>
      <c r="P7539" s="270" t="s">
        <v>3944</v>
      </c>
      <c r="Q7539" s="270" t="s">
        <v>3944</v>
      </c>
      <c r="R7539" s="270">
        <v>1067.68</v>
      </c>
      <c r="S7539" s="270">
        <v>15111.42</v>
      </c>
      <c r="T7539" s="270">
        <v>16179.1</v>
      </c>
      <c r="U7539" s="271" t="s">
        <v>3945</v>
      </c>
      <c r="V7539" s="276" t="s">
        <v>936</v>
      </c>
    </row>
    <row r="7540" spans="1:22" hidden="1" x14ac:dyDescent="0.25">
      <c r="A7540" s="266">
        <v>43809</v>
      </c>
      <c r="B7540" s="267">
        <v>2019</v>
      </c>
      <c r="C7540" s="267">
        <v>2020</v>
      </c>
      <c r="D7540" s="267">
        <v>1</v>
      </c>
      <c r="E7540" s="267">
        <v>1</v>
      </c>
      <c r="F7540" s="267" t="s">
        <v>944</v>
      </c>
      <c r="G7540" s="267" t="s">
        <v>3926</v>
      </c>
      <c r="H7540" s="267" t="s">
        <v>12394</v>
      </c>
      <c r="I7540" s="267" t="s">
        <v>2987</v>
      </c>
      <c r="J7540" s="267" t="s">
        <v>3928</v>
      </c>
      <c r="K7540" s="267">
        <v>6611</v>
      </c>
      <c r="L7540" s="267">
        <v>90300</v>
      </c>
      <c r="M7540" s="267" t="s">
        <v>3943</v>
      </c>
      <c r="N7540" s="267" t="s">
        <v>3944</v>
      </c>
      <c r="O7540" s="267">
        <v>1440.99</v>
      </c>
      <c r="P7540" s="267" t="s">
        <v>3944</v>
      </c>
      <c r="Q7540" s="267" t="s">
        <v>3944</v>
      </c>
      <c r="R7540" s="267">
        <v>1440.99</v>
      </c>
      <c r="S7540" s="267">
        <v>12239.01</v>
      </c>
      <c r="T7540" s="267">
        <v>13680</v>
      </c>
      <c r="U7540" s="268" t="s">
        <v>3945</v>
      </c>
      <c r="V7540" s="267" t="s">
        <v>944</v>
      </c>
    </row>
    <row r="7541" spans="1:22" hidden="1" x14ac:dyDescent="0.25">
      <c r="A7541" s="269">
        <v>43809</v>
      </c>
      <c r="B7541" s="270">
        <v>2019</v>
      </c>
      <c r="C7541" s="270">
        <v>2020</v>
      </c>
      <c r="D7541" s="270">
        <v>1</v>
      </c>
      <c r="E7541" s="270">
        <v>1</v>
      </c>
      <c r="F7541" s="270" t="s">
        <v>944</v>
      </c>
      <c r="G7541" s="270" t="s">
        <v>3926</v>
      </c>
      <c r="H7541" s="270" t="s">
        <v>12395</v>
      </c>
      <c r="I7541" s="270" t="s">
        <v>6330</v>
      </c>
      <c r="J7541" s="270" t="s">
        <v>3928</v>
      </c>
      <c r="K7541" s="270">
        <v>6791</v>
      </c>
      <c r="L7541" s="270">
        <v>298400</v>
      </c>
      <c r="M7541" s="270" t="s">
        <v>3943</v>
      </c>
      <c r="N7541" s="270" t="s">
        <v>3944</v>
      </c>
      <c r="O7541" s="270">
        <v>1891.44</v>
      </c>
      <c r="P7541" s="270" t="s">
        <v>3944</v>
      </c>
      <c r="Q7541" s="270" t="s">
        <v>3944</v>
      </c>
      <c r="R7541" s="270">
        <v>1891.44</v>
      </c>
      <c r="S7541" s="270">
        <v>18349.599999999999</v>
      </c>
      <c r="T7541" s="270">
        <v>20241.04</v>
      </c>
      <c r="U7541" s="271" t="s">
        <v>3945</v>
      </c>
      <c r="V7541" s="267" t="s">
        <v>944</v>
      </c>
    </row>
    <row r="7542" spans="1:22" hidden="1" x14ac:dyDescent="0.25">
      <c r="A7542" s="266">
        <v>43809</v>
      </c>
      <c r="B7542" s="267">
        <v>2019</v>
      </c>
      <c r="C7542" s="267">
        <v>2020</v>
      </c>
      <c r="D7542" s="267">
        <v>1</v>
      </c>
      <c r="E7542" s="267">
        <v>1</v>
      </c>
      <c r="F7542" s="267" t="s">
        <v>944</v>
      </c>
      <c r="G7542" s="267" t="s">
        <v>3926</v>
      </c>
      <c r="H7542" s="267" t="s">
        <v>12396</v>
      </c>
      <c r="I7542" s="267" t="s">
        <v>3010</v>
      </c>
      <c r="J7542" s="267" t="s">
        <v>3928</v>
      </c>
      <c r="K7542" s="267">
        <v>6401</v>
      </c>
      <c r="L7542" s="267">
        <v>125200</v>
      </c>
      <c r="M7542" s="267">
        <v>-60</v>
      </c>
      <c r="N7542" s="267" t="s">
        <v>3944</v>
      </c>
      <c r="O7542" s="267">
        <v>1170.54</v>
      </c>
      <c r="P7542" s="267" t="s">
        <v>3944</v>
      </c>
      <c r="Q7542" s="267" t="s">
        <v>3944</v>
      </c>
      <c r="R7542" s="267">
        <v>1170.54</v>
      </c>
      <c r="S7542" s="267">
        <v>11691.46</v>
      </c>
      <c r="T7542" s="267">
        <v>12862</v>
      </c>
      <c r="U7542" s="268" t="s">
        <v>3945</v>
      </c>
      <c r="V7542" s="267" t="s">
        <v>944</v>
      </c>
    </row>
    <row r="7543" spans="1:22" hidden="1" x14ac:dyDescent="0.25">
      <c r="A7543" s="269">
        <v>43809</v>
      </c>
      <c r="B7543" s="270">
        <v>2019</v>
      </c>
      <c r="C7543" s="270">
        <v>2020</v>
      </c>
      <c r="D7543" s="270">
        <v>1</v>
      </c>
      <c r="E7543" s="270">
        <v>1</v>
      </c>
      <c r="F7543" s="270" t="s">
        <v>944</v>
      </c>
      <c r="G7543" s="270" t="s">
        <v>3926</v>
      </c>
      <c r="H7543" s="270" t="s">
        <v>12397</v>
      </c>
      <c r="I7543" s="270" t="s">
        <v>950</v>
      </c>
      <c r="J7543" s="270" t="s">
        <v>3928</v>
      </c>
      <c r="K7543" s="270">
        <v>6516</v>
      </c>
      <c r="L7543" s="270">
        <v>154200</v>
      </c>
      <c r="M7543" s="270" t="s">
        <v>3940</v>
      </c>
      <c r="N7543" s="270" t="s">
        <v>3944</v>
      </c>
      <c r="O7543" s="270">
        <v>1018.33</v>
      </c>
      <c r="P7543" s="270" t="s">
        <v>3944</v>
      </c>
      <c r="Q7543" s="270" t="s">
        <v>3944</v>
      </c>
      <c r="R7543" s="270">
        <v>1018.33</v>
      </c>
      <c r="S7543" s="270">
        <v>9453.67</v>
      </c>
      <c r="T7543" s="270">
        <v>10472</v>
      </c>
      <c r="U7543" s="271" t="s">
        <v>3945</v>
      </c>
      <c r="V7543" s="267" t="s">
        <v>944</v>
      </c>
    </row>
    <row r="7544" spans="1:22" hidden="1" x14ac:dyDescent="0.25">
      <c r="A7544" s="266">
        <v>43809</v>
      </c>
      <c r="B7544" s="267">
        <v>2019</v>
      </c>
      <c r="C7544" s="267">
        <v>2020</v>
      </c>
      <c r="D7544" s="267">
        <v>1</v>
      </c>
      <c r="E7544" s="267">
        <v>1</v>
      </c>
      <c r="F7544" s="267" t="s">
        <v>944</v>
      </c>
      <c r="G7544" s="267" t="s">
        <v>3926</v>
      </c>
      <c r="H7544" s="267" t="s">
        <v>12398</v>
      </c>
      <c r="I7544" s="267" t="s">
        <v>4011</v>
      </c>
      <c r="J7544" s="267" t="s">
        <v>3928</v>
      </c>
      <c r="K7544" s="267">
        <v>6002</v>
      </c>
      <c r="L7544" s="267">
        <v>471300</v>
      </c>
      <c r="M7544" s="267" t="s">
        <v>3935</v>
      </c>
      <c r="N7544" s="267" t="s">
        <v>3944</v>
      </c>
      <c r="O7544" s="267">
        <v>1598.21</v>
      </c>
      <c r="P7544" s="267" t="s">
        <v>3944</v>
      </c>
      <c r="Q7544" s="267" t="s">
        <v>3944</v>
      </c>
      <c r="R7544" s="267">
        <v>1598.21</v>
      </c>
      <c r="S7544" s="267">
        <v>34674.870000000003</v>
      </c>
      <c r="T7544" s="267">
        <v>36273.08</v>
      </c>
      <c r="U7544" s="268" t="s">
        <v>3945</v>
      </c>
      <c r="V7544" s="267" t="s">
        <v>944</v>
      </c>
    </row>
    <row r="7545" spans="1:22" hidden="1" x14ac:dyDescent="0.25">
      <c r="A7545" s="269">
        <v>43809</v>
      </c>
      <c r="B7545" s="270">
        <v>2019</v>
      </c>
      <c r="C7545" s="270">
        <v>2020</v>
      </c>
      <c r="D7545" s="270">
        <v>1</v>
      </c>
      <c r="E7545" s="270">
        <v>1</v>
      </c>
      <c r="F7545" s="270" t="s">
        <v>944</v>
      </c>
      <c r="G7545" s="270" t="s">
        <v>3926</v>
      </c>
      <c r="H7545" s="270" t="s">
        <v>12399</v>
      </c>
      <c r="I7545" s="270" t="s">
        <v>4203</v>
      </c>
      <c r="J7545" s="270" t="s">
        <v>3928</v>
      </c>
      <c r="K7545" s="270">
        <v>6071</v>
      </c>
      <c r="L7545" s="270">
        <v>538201</v>
      </c>
      <c r="M7545" s="270" t="s">
        <v>3943</v>
      </c>
      <c r="N7545" s="270" t="s">
        <v>3944</v>
      </c>
      <c r="O7545" s="270">
        <v>1208.48</v>
      </c>
      <c r="P7545" s="270" t="s">
        <v>3944</v>
      </c>
      <c r="Q7545" s="270" t="s">
        <v>3944</v>
      </c>
      <c r="R7545" s="270">
        <v>1208.48</v>
      </c>
      <c r="S7545" s="270">
        <v>9688.52</v>
      </c>
      <c r="T7545" s="270">
        <v>10897</v>
      </c>
      <c r="U7545" s="271" t="s">
        <v>3945</v>
      </c>
      <c r="V7545" s="267" t="s">
        <v>944</v>
      </c>
    </row>
    <row r="7546" spans="1:22" hidden="1" x14ac:dyDescent="0.25">
      <c r="A7546" s="266">
        <v>43809</v>
      </c>
      <c r="B7546" s="267">
        <v>2019</v>
      </c>
      <c r="C7546" s="267">
        <v>2020</v>
      </c>
      <c r="D7546" s="267">
        <v>1</v>
      </c>
      <c r="E7546" s="267">
        <v>1</v>
      </c>
      <c r="F7546" s="267" t="s">
        <v>944</v>
      </c>
      <c r="G7546" s="267" t="s">
        <v>3926</v>
      </c>
      <c r="H7546" s="267" t="s">
        <v>12400</v>
      </c>
      <c r="I7546" s="267" t="s">
        <v>4005</v>
      </c>
      <c r="J7546" s="267" t="s">
        <v>3928</v>
      </c>
      <c r="K7546" s="267">
        <v>6108</v>
      </c>
      <c r="L7546" s="267">
        <v>511300</v>
      </c>
      <c r="M7546" s="267">
        <v>-60</v>
      </c>
      <c r="N7546" s="267" t="s">
        <v>3944</v>
      </c>
      <c r="O7546" s="267">
        <v>1000.69</v>
      </c>
      <c r="P7546" s="267" t="s">
        <v>3944</v>
      </c>
      <c r="Q7546" s="267" t="s">
        <v>3944</v>
      </c>
      <c r="R7546" s="267">
        <v>1000.69</v>
      </c>
      <c r="S7546" s="267">
        <v>11033.31</v>
      </c>
      <c r="T7546" s="267">
        <v>12034</v>
      </c>
      <c r="U7546" s="268" t="s">
        <v>3945</v>
      </c>
      <c r="V7546" s="267" t="s">
        <v>944</v>
      </c>
    </row>
    <row r="7547" spans="1:22" hidden="1" x14ac:dyDescent="0.25">
      <c r="A7547" s="269">
        <v>43809</v>
      </c>
      <c r="B7547" s="270">
        <v>2019</v>
      </c>
      <c r="C7547" s="270">
        <v>2020</v>
      </c>
      <c r="D7547" s="270">
        <v>1</v>
      </c>
      <c r="E7547" s="270">
        <v>1</v>
      </c>
      <c r="F7547" s="270" t="s">
        <v>944</v>
      </c>
      <c r="G7547" s="270" t="s">
        <v>3926</v>
      </c>
      <c r="H7547" s="270" t="s">
        <v>12401</v>
      </c>
      <c r="I7547" s="270" t="s">
        <v>4005</v>
      </c>
      <c r="J7547" s="270" t="s">
        <v>3928</v>
      </c>
      <c r="K7547" s="270">
        <v>6118</v>
      </c>
      <c r="L7547" s="270">
        <v>511000</v>
      </c>
      <c r="M7547" s="270" t="s">
        <v>3935</v>
      </c>
      <c r="N7547" s="270" t="s">
        <v>3944</v>
      </c>
      <c r="O7547" s="270">
        <v>1798.97</v>
      </c>
      <c r="P7547" s="270" t="s">
        <v>3944</v>
      </c>
      <c r="Q7547" s="270" t="s">
        <v>3944</v>
      </c>
      <c r="R7547" s="270">
        <v>1798.97</v>
      </c>
      <c r="S7547" s="270">
        <v>14636.03</v>
      </c>
      <c r="T7547" s="270">
        <v>16435</v>
      </c>
      <c r="U7547" s="271" t="s">
        <v>3945</v>
      </c>
      <c r="V7547" s="267" t="s">
        <v>944</v>
      </c>
    </row>
    <row r="7548" spans="1:22" hidden="1" x14ac:dyDescent="0.25">
      <c r="A7548" s="266">
        <v>43809</v>
      </c>
      <c r="B7548" s="267">
        <v>2019</v>
      </c>
      <c r="C7548" s="267">
        <v>2020</v>
      </c>
      <c r="D7548" s="267">
        <v>1</v>
      </c>
      <c r="E7548" s="267">
        <v>1</v>
      </c>
      <c r="F7548" s="267" t="s">
        <v>944</v>
      </c>
      <c r="G7548" s="267" t="s">
        <v>3926</v>
      </c>
      <c r="H7548" s="267" t="s">
        <v>12402</v>
      </c>
      <c r="I7548" s="267" t="s">
        <v>4548</v>
      </c>
      <c r="J7548" s="267" t="s">
        <v>3928</v>
      </c>
      <c r="K7548" s="267">
        <v>6037</v>
      </c>
      <c r="L7548" s="267">
        <v>400300</v>
      </c>
      <c r="M7548" s="267" t="s">
        <v>3960</v>
      </c>
      <c r="N7548" s="267" t="s">
        <v>3944</v>
      </c>
      <c r="O7548" s="267">
        <v>2021.29</v>
      </c>
      <c r="P7548" s="267" t="s">
        <v>3944</v>
      </c>
      <c r="Q7548" s="267" t="s">
        <v>3944</v>
      </c>
      <c r="R7548" s="267">
        <v>2021.29</v>
      </c>
      <c r="S7548" s="267">
        <v>23857</v>
      </c>
      <c r="T7548" s="267">
        <v>25878.29</v>
      </c>
      <c r="U7548" s="268" t="s">
        <v>3945</v>
      </c>
      <c r="V7548" s="267" t="s">
        <v>944</v>
      </c>
    </row>
    <row r="7549" spans="1:22" hidden="1" x14ac:dyDescent="0.25">
      <c r="A7549" s="269">
        <v>43809</v>
      </c>
      <c r="B7549" s="270">
        <v>2019</v>
      </c>
      <c r="C7549" s="270">
        <v>2020</v>
      </c>
      <c r="D7549" s="270">
        <v>1</v>
      </c>
      <c r="E7549" s="270">
        <v>1</v>
      </c>
      <c r="F7549" s="270" t="s">
        <v>944</v>
      </c>
      <c r="G7549" s="270" t="s">
        <v>3926</v>
      </c>
      <c r="H7549" s="270" t="s">
        <v>12403</v>
      </c>
      <c r="I7549" s="270" t="s">
        <v>4019</v>
      </c>
      <c r="J7549" s="270" t="s">
        <v>3928</v>
      </c>
      <c r="K7549" s="270">
        <v>6705</v>
      </c>
      <c r="L7549" s="270">
        <v>352600</v>
      </c>
      <c r="M7549" s="270">
        <v>-60</v>
      </c>
      <c r="N7549" s="270" t="s">
        <v>3944</v>
      </c>
      <c r="O7549" s="270">
        <v>2065.46</v>
      </c>
      <c r="P7549" s="270" t="s">
        <v>3944</v>
      </c>
      <c r="Q7549" s="270" t="s">
        <v>3944</v>
      </c>
      <c r="R7549" s="270">
        <v>2065.46</v>
      </c>
      <c r="S7549" s="270">
        <v>34222.54</v>
      </c>
      <c r="T7549" s="270">
        <v>36288</v>
      </c>
      <c r="U7549" s="271" t="s">
        <v>3945</v>
      </c>
      <c r="V7549" s="267" t="s">
        <v>944</v>
      </c>
    </row>
    <row r="7550" spans="1:22" hidden="1" x14ac:dyDescent="0.25">
      <c r="A7550" s="266">
        <v>43809</v>
      </c>
      <c r="B7550" s="267">
        <v>2019</v>
      </c>
      <c r="C7550" s="267">
        <v>2020</v>
      </c>
      <c r="D7550" s="267">
        <v>1</v>
      </c>
      <c r="E7550" s="267">
        <v>1</v>
      </c>
      <c r="F7550" s="267" t="s">
        <v>944</v>
      </c>
      <c r="G7550" s="267" t="s">
        <v>3926</v>
      </c>
      <c r="H7550" s="267" t="s">
        <v>12404</v>
      </c>
      <c r="I7550" s="267" t="s">
        <v>953</v>
      </c>
      <c r="J7550" s="267" t="s">
        <v>3928</v>
      </c>
      <c r="K7550" s="267">
        <v>6514</v>
      </c>
      <c r="L7550" s="267">
        <v>165802</v>
      </c>
      <c r="M7550" s="267" t="s">
        <v>3943</v>
      </c>
      <c r="N7550" s="267" t="s">
        <v>3944</v>
      </c>
      <c r="O7550" s="267">
        <v>1442.04</v>
      </c>
      <c r="P7550" s="267" t="s">
        <v>3944</v>
      </c>
      <c r="Q7550" s="267" t="s">
        <v>3944</v>
      </c>
      <c r="R7550" s="267">
        <v>1442.04</v>
      </c>
      <c r="S7550" s="267">
        <v>16701.96</v>
      </c>
      <c r="T7550" s="267">
        <v>18144</v>
      </c>
      <c r="U7550" s="268" t="s">
        <v>3945</v>
      </c>
      <c r="V7550" s="267" t="s">
        <v>944</v>
      </c>
    </row>
    <row r="7551" spans="1:22" hidden="1" x14ac:dyDescent="0.25">
      <c r="A7551" s="269">
        <v>43810</v>
      </c>
      <c r="B7551" s="270">
        <v>2019</v>
      </c>
      <c r="C7551" s="270">
        <v>2020</v>
      </c>
      <c r="D7551" s="270">
        <v>1</v>
      </c>
      <c r="E7551" s="270">
        <v>1</v>
      </c>
      <c r="F7551" s="270" t="s">
        <v>944</v>
      </c>
      <c r="G7551" s="270" t="s">
        <v>3926</v>
      </c>
      <c r="H7551" s="270" t="s">
        <v>12405</v>
      </c>
      <c r="I7551" s="270" t="s">
        <v>4323</v>
      </c>
      <c r="J7551" s="270" t="s">
        <v>3928</v>
      </c>
      <c r="K7551" s="270">
        <v>6385</v>
      </c>
      <c r="L7551" s="270">
        <v>693500</v>
      </c>
      <c r="M7551" s="270" t="s">
        <v>3943</v>
      </c>
      <c r="N7551" s="270" t="s">
        <v>4975</v>
      </c>
      <c r="O7551" s="270">
        <v>0</v>
      </c>
      <c r="P7551" s="270" t="s">
        <v>3930</v>
      </c>
      <c r="Q7551" s="270" t="s">
        <v>3930</v>
      </c>
      <c r="R7551" s="270">
        <v>0</v>
      </c>
      <c r="S7551" s="270">
        <v>8405.7900000000009</v>
      </c>
      <c r="T7551" s="270">
        <v>8405.7900000000009</v>
      </c>
      <c r="U7551" s="271" t="s">
        <v>3937</v>
      </c>
      <c r="V7551" s="267" t="s">
        <v>944</v>
      </c>
    </row>
    <row r="7552" spans="1:22" hidden="1" x14ac:dyDescent="0.25">
      <c r="A7552" s="266">
        <v>43810</v>
      </c>
      <c r="B7552" s="267">
        <v>2019</v>
      </c>
      <c r="C7552" s="267">
        <v>2020</v>
      </c>
      <c r="D7552" s="267">
        <v>1</v>
      </c>
      <c r="E7552" s="267">
        <v>1</v>
      </c>
      <c r="F7552" s="267" t="s">
        <v>944</v>
      </c>
      <c r="G7552" s="267" t="s">
        <v>3926</v>
      </c>
      <c r="H7552" s="267" t="s">
        <v>12406</v>
      </c>
      <c r="I7552" s="267" t="s">
        <v>943</v>
      </c>
      <c r="J7552" s="267" t="s">
        <v>3928</v>
      </c>
      <c r="K7552" s="267">
        <v>6513</v>
      </c>
      <c r="L7552" s="267">
        <v>142601</v>
      </c>
      <c r="M7552" s="267" t="s">
        <v>3940</v>
      </c>
      <c r="N7552" s="267" t="s">
        <v>12407</v>
      </c>
      <c r="O7552" s="267">
        <v>0</v>
      </c>
      <c r="P7552" s="267" t="s">
        <v>3930</v>
      </c>
      <c r="Q7552" s="267" t="s">
        <v>3930</v>
      </c>
      <c r="R7552" s="267">
        <v>0</v>
      </c>
      <c r="S7552" s="267">
        <v>16336</v>
      </c>
      <c r="T7552" s="267">
        <v>16336</v>
      </c>
      <c r="U7552" s="268" t="s">
        <v>3937</v>
      </c>
      <c r="V7552" s="267" t="s">
        <v>944</v>
      </c>
    </row>
    <row r="7553" spans="1:22" hidden="1" x14ac:dyDescent="0.25">
      <c r="A7553" s="269">
        <v>43810</v>
      </c>
      <c r="B7553" s="270">
        <v>2019</v>
      </c>
      <c r="C7553" s="270">
        <v>2020</v>
      </c>
      <c r="D7553" s="270">
        <v>1</v>
      </c>
      <c r="E7553" s="270">
        <v>1</v>
      </c>
      <c r="F7553" s="270" t="s">
        <v>944</v>
      </c>
      <c r="G7553" s="270" t="s">
        <v>3926</v>
      </c>
      <c r="H7553" s="270" t="s">
        <v>12408</v>
      </c>
      <c r="I7553" s="270" t="s">
        <v>2985</v>
      </c>
      <c r="J7553" s="270" t="s">
        <v>3928</v>
      </c>
      <c r="K7553" s="270">
        <v>6824</v>
      </c>
      <c r="L7553" s="270">
        <v>61600</v>
      </c>
      <c r="M7553" s="270" t="s">
        <v>3943</v>
      </c>
      <c r="N7553" s="270" t="s">
        <v>12409</v>
      </c>
      <c r="O7553" s="270">
        <v>4779</v>
      </c>
      <c r="P7553" s="270" t="s">
        <v>3930</v>
      </c>
      <c r="Q7553" s="270" t="s">
        <v>3930</v>
      </c>
      <c r="R7553" s="270">
        <v>4779</v>
      </c>
      <c r="S7553" s="270">
        <v>27850</v>
      </c>
      <c r="T7553" s="270">
        <v>32629</v>
      </c>
      <c r="U7553" s="271" t="s">
        <v>3937</v>
      </c>
      <c r="V7553" s="267" t="s">
        <v>944</v>
      </c>
    </row>
    <row r="7554" spans="1:22" hidden="1" x14ac:dyDescent="0.25">
      <c r="A7554" s="266">
        <v>43810</v>
      </c>
      <c r="B7554" s="267">
        <v>2019</v>
      </c>
      <c r="C7554" s="267">
        <v>2020</v>
      </c>
      <c r="D7554" s="267">
        <v>1</v>
      </c>
      <c r="E7554" s="267">
        <v>1</v>
      </c>
      <c r="F7554" s="267" t="s">
        <v>944</v>
      </c>
      <c r="G7554" s="267" t="s">
        <v>3926</v>
      </c>
      <c r="H7554" s="267" t="s">
        <v>12410</v>
      </c>
      <c r="I7554" s="267" t="s">
        <v>12411</v>
      </c>
      <c r="J7554" s="267" t="s">
        <v>3928</v>
      </c>
      <c r="K7554" s="267">
        <v>6756</v>
      </c>
      <c r="L7554" s="267">
        <v>296100</v>
      </c>
      <c r="M7554" s="267" t="s">
        <v>3943</v>
      </c>
      <c r="N7554" s="267" t="s">
        <v>12412</v>
      </c>
      <c r="O7554" s="267">
        <v>6054</v>
      </c>
      <c r="P7554" s="267" t="s">
        <v>3930</v>
      </c>
      <c r="Q7554" s="267" t="s">
        <v>3930</v>
      </c>
      <c r="R7554" s="267">
        <v>6054</v>
      </c>
      <c r="S7554" s="267">
        <v>41152</v>
      </c>
      <c r="T7554" s="267">
        <v>47206</v>
      </c>
      <c r="U7554" s="268" t="s">
        <v>3937</v>
      </c>
      <c r="V7554" s="267" t="s">
        <v>944</v>
      </c>
    </row>
    <row r="7555" spans="1:22" hidden="1" x14ac:dyDescent="0.25">
      <c r="A7555" s="269">
        <v>43810</v>
      </c>
      <c r="B7555" s="270">
        <v>2019</v>
      </c>
      <c r="C7555" s="270">
        <v>2020</v>
      </c>
      <c r="D7555" s="270">
        <v>1</v>
      </c>
      <c r="E7555" s="270">
        <v>1</v>
      </c>
      <c r="F7555" s="270" t="s">
        <v>944</v>
      </c>
      <c r="G7555" s="270" t="s">
        <v>3926</v>
      </c>
      <c r="H7555" s="270" t="s">
        <v>12413</v>
      </c>
      <c r="I7555" s="270" t="s">
        <v>956</v>
      </c>
      <c r="J7555" s="270" t="s">
        <v>3928</v>
      </c>
      <c r="K7555" s="270">
        <v>6614</v>
      </c>
      <c r="L7555" s="270">
        <v>80100</v>
      </c>
      <c r="M7555" s="270" t="s">
        <v>3935</v>
      </c>
      <c r="N7555" s="270" t="s">
        <v>12414</v>
      </c>
      <c r="O7555" s="270">
        <v>0</v>
      </c>
      <c r="P7555" s="270" t="s">
        <v>3930</v>
      </c>
      <c r="Q7555" s="270" t="s">
        <v>3930</v>
      </c>
      <c r="R7555" s="270">
        <v>0</v>
      </c>
      <c r="S7555" s="270">
        <v>4800</v>
      </c>
      <c r="T7555" s="270">
        <v>4800</v>
      </c>
      <c r="U7555" s="271" t="s">
        <v>3937</v>
      </c>
      <c r="V7555" s="267" t="s">
        <v>944</v>
      </c>
    </row>
    <row r="7556" spans="1:22" hidden="1" x14ac:dyDescent="0.25">
      <c r="A7556" s="266">
        <v>43810</v>
      </c>
      <c r="B7556" s="267">
        <v>2019</v>
      </c>
      <c r="C7556" s="267">
        <v>2020</v>
      </c>
      <c r="D7556" s="267">
        <v>1</v>
      </c>
      <c r="E7556" s="267">
        <v>1</v>
      </c>
      <c r="F7556" s="267" t="s">
        <v>944</v>
      </c>
      <c r="G7556" s="267" t="s">
        <v>3926</v>
      </c>
      <c r="H7556" s="267" t="s">
        <v>12415</v>
      </c>
      <c r="I7556" s="267" t="s">
        <v>2987</v>
      </c>
      <c r="J7556" s="267" t="s">
        <v>3928</v>
      </c>
      <c r="K7556" s="267">
        <v>6611</v>
      </c>
      <c r="L7556" s="267">
        <v>90300</v>
      </c>
      <c r="M7556" s="267" t="s">
        <v>3943</v>
      </c>
      <c r="N7556" s="267" t="s">
        <v>5840</v>
      </c>
      <c r="O7556" s="267">
        <v>3132</v>
      </c>
      <c r="P7556" s="267" t="s">
        <v>3930</v>
      </c>
      <c r="Q7556" s="267" t="s">
        <v>3930</v>
      </c>
      <c r="R7556" s="267">
        <v>3132</v>
      </c>
      <c r="S7556" s="267">
        <v>33420</v>
      </c>
      <c r="T7556" s="267">
        <v>36552</v>
      </c>
      <c r="U7556" s="268" t="s">
        <v>3937</v>
      </c>
      <c r="V7556" s="267" t="s">
        <v>944</v>
      </c>
    </row>
    <row r="7557" spans="1:22" hidden="1" x14ac:dyDescent="0.25">
      <c r="A7557" s="269">
        <v>43810</v>
      </c>
      <c r="B7557" s="270">
        <v>2019</v>
      </c>
      <c r="C7557" s="270">
        <v>2020</v>
      </c>
      <c r="D7557" s="270">
        <v>1</v>
      </c>
      <c r="E7557" s="270">
        <v>1</v>
      </c>
      <c r="F7557" s="270" t="s">
        <v>944</v>
      </c>
      <c r="G7557" s="270" t="s">
        <v>3926</v>
      </c>
      <c r="H7557" s="270" t="s">
        <v>12416</v>
      </c>
      <c r="I7557" s="270" t="s">
        <v>4005</v>
      </c>
      <c r="J7557" s="270" t="s">
        <v>3928</v>
      </c>
      <c r="K7557" s="270">
        <v>6118</v>
      </c>
      <c r="L7557" s="270">
        <v>510800</v>
      </c>
      <c r="M7557" s="270" t="s">
        <v>3940</v>
      </c>
      <c r="N7557" s="270" t="s">
        <v>3983</v>
      </c>
      <c r="O7557" s="270">
        <v>1107.33</v>
      </c>
      <c r="P7557" s="270" t="s">
        <v>3930</v>
      </c>
      <c r="Q7557" s="270" t="s">
        <v>3931</v>
      </c>
      <c r="R7557" s="270">
        <v>6107.33</v>
      </c>
      <c r="S7557" s="270">
        <v>16504</v>
      </c>
      <c r="T7557" s="270">
        <v>22611.33</v>
      </c>
      <c r="U7557" s="271" t="s">
        <v>3932</v>
      </c>
      <c r="V7557" s="267" t="s">
        <v>944</v>
      </c>
    </row>
    <row r="7558" spans="1:22" hidden="1" x14ac:dyDescent="0.25">
      <c r="A7558" s="266">
        <v>43810</v>
      </c>
      <c r="B7558" s="267">
        <v>2019</v>
      </c>
      <c r="C7558" s="267">
        <v>2020</v>
      </c>
      <c r="D7558" s="267">
        <v>1</v>
      </c>
      <c r="E7558" s="267">
        <v>1</v>
      </c>
      <c r="F7558" s="267" t="s">
        <v>944</v>
      </c>
      <c r="G7558" s="267" t="s">
        <v>3926</v>
      </c>
      <c r="H7558" s="267" t="s">
        <v>12417</v>
      </c>
      <c r="I7558" s="267" t="s">
        <v>2987</v>
      </c>
      <c r="J7558" s="267" t="s">
        <v>3928</v>
      </c>
      <c r="K7558" s="267">
        <v>6611</v>
      </c>
      <c r="L7558" s="267">
        <v>90700</v>
      </c>
      <c r="M7558" s="267" t="s">
        <v>3943</v>
      </c>
      <c r="N7558" s="267" t="s">
        <v>3944</v>
      </c>
      <c r="O7558" s="267">
        <v>3608</v>
      </c>
      <c r="P7558" s="267" t="s">
        <v>3944</v>
      </c>
      <c r="Q7558" s="267" t="s">
        <v>3944</v>
      </c>
      <c r="R7558" s="267">
        <v>3608</v>
      </c>
      <c r="S7558" s="267">
        <v>41846.5</v>
      </c>
      <c r="T7558" s="267">
        <v>45454.5</v>
      </c>
      <c r="U7558" s="268" t="s">
        <v>3945</v>
      </c>
      <c r="V7558" s="267" t="s">
        <v>944</v>
      </c>
    </row>
    <row r="7559" spans="1:22" x14ac:dyDescent="0.25">
      <c r="A7559" s="269">
        <v>43810</v>
      </c>
      <c r="B7559" s="270">
        <v>2019</v>
      </c>
      <c r="C7559" s="270">
        <v>2020</v>
      </c>
      <c r="D7559" s="270">
        <v>1</v>
      </c>
      <c r="E7559" s="270">
        <v>1</v>
      </c>
      <c r="F7559" s="270" t="s">
        <v>944</v>
      </c>
      <c r="G7559" s="270" t="s">
        <v>3926</v>
      </c>
      <c r="H7559" s="270" t="s">
        <v>12418</v>
      </c>
      <c r="I7559" s="270" t="s">
        <v>943</v>
      </c>
      <c r="J7559" s="270" t="s">
        <v>3928</v>
      </c>
      <c r="K7559" s="270">
        <v>6513</v>
      </c>
      <c r="L7559" s="270">
        <v>142300</v>
      </c>
      <c r="M7559" s="270">
        <v>-60</v>
      </c>
      <c r="N7559" s="270" t="s">
        <v>3944</v>
      </c>
      <c r="O7559" s="270">
        <v>2133</v>
      </c>
      <c r="P7559" s="270" t="s">
        <v>3944</v>
      </c>
      <c r="Q7559" s="270" t="s">
        <v>3944</v>
      </c>
      <c r="R7559" s="270">
        <v>2133</v>
      </c>
      <c r="S7559" s="270">
        <v>7677.33</v>
      </c>
      <c r="T7559" s="270">
        <v>9810.33</v>
      </c>
      <c r="U7559" s="271" t="s">
        <v>3945</v>
      </c>
      <c r="V7559" s="276" t="s">
        <v>936</v>
      </c>
    </row>
    <row r="7560" spans="1:22" hidden="1" x14ac:dyDescent="0.25">
      <c r="A7560" s="266">
        <v>43810</v>
      </c>
      <c r="B7560" s="267">
        <v>2019</v>
      </c>
      <c r="C7560" s="267">
        <v>2020</v>
      </c>
      <c r="D7560" s="267">
        <v>1</v>
      </c>
      <c r="E7560" s="267">
        <v>1</v>
      </c>
      <c r="F7560" s="267" t="s">
        <v>944</v>
      </c>
      <c r="G7560" s="267" t="s">
        <v>3926</v>
      </c>
      <c r="H7560" s="267" t="s">
        <v>12419</v>
      </c>
      <c r="I7560" s="267" t="s">
        <v>5325</v>
      </c>
      <c r="J7560" s="267" t="s">
        <v>3928</v>
      </c>
      <c r="K7560" s="267">
        <v>6057</v>
      </c>
      <c r="L7560" s="267">
        <v>306100</v>
      </c>
      <c r="M7560" s="267" t="s">
        <v>3943</v>
      </c>
      <c r="N7560" s="267" t="s">
        <v>3944</v>
      </c>
      <c r="O7560" s="267">
        <v>3785</v>
      </c>
      <c r="P7560" s="267" t="s">
        <v>3944</v>
      </c>
      <c r="Q7560" s="267" t="s">
        <v>3944</v>
      </c>
      <c r="R7560" s="267">
        <v>3785</v>
      </c>
      <c r="S7560" s="267">
        <v>41835</v>
      </c>
      <c r="T7560" s="267">
        <v>45620</v>
      </c>
      <c r="U7560" s="268" t="s">
        <v>3945</v>
      </c>
      <c r="V7560" s="267" t="s">
        <v>944</v>
      </c>
    </row>
    <row r="7561" spans="1:22" hidden="1" x14ac:dyDescent="0.25">
      <c r="A7561" s="269">
        <v>43810</v>
      </c>
      <c r="B7561" s="270">
        <v>2019</v>
      </c>
      <c r="C7561" s="270">
        <v>2020</v>
      </c>
      <c r="D7561" s="270">
        <v>1</v>
      </c>
      <c r="E7561" s="270">
        <v>1</v>
      </c>
      <c r="F7561" s="270" t="s">
        <v>944</v>
      </c>
      <c r="G7561" s="270" t="s">
        <v>3926</v>
      </c>
      <c r="H7561" s="270" t="s">
        <v>12420</v>
      </c>
      <c r="I7561" s="270" t="s">
        <v>4137</v>
      </c>
      <c r="J7561" s="270" t="s">
        <v>3928</v>
      </c>
      <c r="K7561" s="270">
        <v>6067</v>
      </c>
      <c r="L7561" s="270">
        <v>490302</v>
      </c>
      <c r="M7561" s="270" t="s">
        <v>3960</v>
      </c>
      <c r="N7561" s="270" t="s">
        <v>3944</v>
      </c>
      <c r="O7561" s="270">
        <v>6132</v>
      </c>
      <c r="P7561" s="270" t="s">
        <v>3944</v>
      </c>
      <c r="Q7561" s="270" t="s">
        <v>3944</v>
      </c>
      <c r="R7561" s="270">
        <v>6132</v>
      </c>
      <c r="S7561" s="270">
        <v>46891.8</v>
      </c>
      <c r="T7561" s="270">
        <v>53023.8</v>
      </c>
      <c r="U7561" s="271" t="s">
        <v>3945</v>
      </c>
      <c r="V7561" s="267" t="s">
        <v>944</v>
      </c>
    </row>
    <row r="7562" spans="1:22" hidden="1" x14ac:dyDescent="0.25">
      <c r="A7562" s="266">
        <v>43810</v>
      </c>
      <c r="B7562" s="267">
        <v>2019</v>
      </c>
      <c r="C7562" s="267">
        <v>2020</v>
      </c>
      <c r="D7562" s="267">
        <v>1</v>
      </c>
      <c r="E7562" s="267">
        <v>1</v>
      </c>
      <c r="F7562" s="267" t="s">
        <v>944</v>
      </c>
      <c r="G7562" s="267" t="s">
        <v>3997</v>
      </c>
      <c r="H7562" s="267" t="s">
        <v>12421</v>
      </c>
      <c r="I7562" s="267" t="s">
        <v>950</v>
      </c>
      <c r="J7562" s="267" t="s">
        <v>3928</v>
      </c>
      <c r="K7562" s="267">
        <v>6516</v>
      </c>
      <c r="L7562" s="267">
        <v>154100</v>
      </c>
      <c r="M7562" s="267" t="s">
        <v>3940</v>
      </c>
      <c r="N7562" s="267" t="s">
        <v>3944</v>
      </c>
      <c r="O7562" s="267">
        <v>897.4</v>
      </c>
      <c r="P7562" s="267" t="s">
        <v>3944</v>
      </c>
      <c r="Q7562" s="267" t="s">
        <v>3944</v>
      </c>
      <c r="R7562" s="267">
        <v>897.4</v>
      </c>
      <c r="S7562" s="267">
        <v>11801.48</v>
      </c>
      <c r="T7562" s="267">
        <v>12698.88</v>
      </c>
      <c r="U7562" s="268" t="s">
        <v>3945</v>
      </c>
      <c r="V7562" s="267" t="s">
        <v>944</v>
      </c>
    </row>
    <row r="7563" spans="1:22" hidden="1" x14ac:dyDescent="0.25">
      <c r="A7563" s="269">
        <v>43810</v>
      </c>
      <c r="B7563" s="270">
        <v>2019</v>
      </c>
      <c r="C7563" s="270">
        <v>2020</v>
      </c>
      <c r="D7563" s="270">
        <v>1</v>
      </c>
      <c r="E7563" s="270">
        <v>1</v>
      </c>
      <c r="F7563" s="270" t="s">
        <v>944</v>
      </c>
      <c r="G7563" s="270" t="s">
        <v>3926</v>
      </c>
      <c r="H7563" s="270" t="s">
        <v>12422</v>
      </c>
      <c r="I7563" s="270" t="s">
        <v>4119</v>
      </c>
      <c r="J7563" s="270" t="s">
        <v>3928</v>
      </c>
      <c r="K7563" s="270">
        <v>6078</v>
      </c>
      <c r="L7563" s="270">
        <v>477102</v>
      </c>
      <c r="M7563" s="270" t="s">
        <v>3943</v>
      </c>
      <c r="N7563" s="270" t="s">
        <v>3944</v>
      </c>
      <c r="O7563" s="270">
        <v>1706.88</v>
      </c>
      <c r="P7563" s="270" t="s">
        <v>3944</v>
      </c>
      <c r="Q7563" s="270" t="s">
        <v>3944</v>
      </c>
      <c r="R7563" s="270">
        <v>1706.88</v>
      </c>
      <c r="S7563" s="270">
        <v>23861.97</v>
      </c>
      <c r="T7563" s="270">
        <v>25568.85</v>
      </c>
      <c r="U7563" s="271" t="s">
        <v>3945</v>
      </c>
      <c r="V7563" s="267" t="s">
        <v>944</v>
      </c>
    </row>
    <row r="7564" spans="1:22" hidden="1" x14ac:dyDescent="0.25">
      <c r="A7564" s="266">
        <v>43810</v>
      </c>
      <c r="B7564" s="267">
        <v>2019</v>
      </c>
      <c r="C7564" s="267">
        <v>2020</v>
      </c>
      <c r="D7564" s="267">
        <v>1</v>
      </c>
      <c r="E7564" s="267">
        <v>1</v>
      </c>
      <c r="F7564" s="267" t="s">
        <v>944</v>
      </c>
      <c r="G7564" s="267" t="s">
        <v>3926</v>
      </c>
      <c r="H7564" s="267" t="s">
        <v>12423</v>
      </c>
      <c r="I7564" s="267" t="s">
        <v>4310</v>
      </c>
      <c r="J7564" s="267" t="s">
        <v>3928</v>
      </c>
      <c r="K7564" s="267">
        <v>6351</v>
      </c>
      <c r="L7564" s="267">
        <v>710100</v>
      </c>
      <c r="M7564" s="267" t="s">
        <v>3960</v>
      </c>
      <c r="N7564" s="267" t="s">
        <v>3944</v>
      </c>
      <c r="O7564" s="267">
        <v>1666.21</v>
      </c>
      <c r="P7564" s="267" t="s">
        <v>3944</v>
      </c>
      <c r="Q7564" s="267" t="s">
        <v>3944</v>
      </c>
      <c r="R7564" s="267">
        <v>1666.21</v>
      </c>
      <c r="S7564" s="267">
        <v>23174.37</v>
      </c>
      <c r="T7564" s="267">
        <v>24840.58</v>
      </c>
      <c r="U7564" s="268" t="s">
        <v>3945</v>
      </c>
      <c r="V7564" s="267" t="s">
        <v>944</v>
      </c>
    </row>
    <row r="7565" spans="1:22" hidden="1" x14ac:dyDescent="0.25">
      <c r="A7565" s="269">
        <v>43810</v>
      </c>
      <c r="B7565" s="270">
        <v>2019</v>
      </c>
      <c r="C7565" s="270">
        <v>2020</v>
      </c>
      <c r="D7565" s="270">
        <v>1</v>
      </c>
      <c r="E7565" s="270">
        <v>1</v>
      </c>
      <c r="F7565" s="270" t="s">
        <v>944</v>
      </c>
      <c r="G7565" s="270" t="s">
        <v>3926</v>
      </c>
      <c r="H7565" s="270" t="s">
        <v>12424</v>
      </c>
      <c r="I7565" s="270" t="s">
        <v>953</v>
      </c>
      <c r="J7565" s="270" t="s">
        <v>3928</v>
      </c>
      <c r="K7565" s="270">
        <v>6514</v>
      </c>
      <c r="L7565" s="270">
        <v>165700</v>
      </c>
      <c r="M7565" s="270" t="s">
        <v>3935</v>
      </c>
      <c r="N7565" s="270" t="s">
        <v>3944</v>
      </c>
      <c r="O7565" s="270">
        <v>1076.18</v>
      </c>
      <c r="P7565" s="270" t="s">
        <v>3944</v>
      </c>
      <c r="Q7565" s="270" t="s">
        <v>3944</v>
      </c>
      <c r="R7565" s="270">
        <v>1076.18</v>
      </c>
      <c r="S7565" s="270">
        <v>15855.66</v>
      </c>
      <c r="T7565" s="270">
        <v>16931.84</v>
      </c>
      <c r="U7565" s="271" t="s">
        <v>3945</v>
      </c>
      <c r="V7565" s="267" t="s">
        <v>944</v>
      </c>
    </row>
    <row r="7566" spans="1:22" hidden="1" x14ac:dyDescent="0.25">
      <c r="A7566" s="266">
        <v>43810</v>
      </c>
      <c r="B7566" s="267">
        <v>2019</v>
      </c>
      <c r="C7566" s="267">
        <v>2020</v>
      </c>
      <c r="D7566" s="267">
        <v>1</v>
      </c>
      <c r="E7566" s="267">
        <v>1</v>
      </c>
      <c r="F7566" s="267" t="s">
        <v>944</v>
      </c>
      <c r="G7566" s="267" t="s">
        <v>3926</v>
      </c>
      <c r="H7566" s="267" t="s">
        <v>12425</v>
      </c>
      <c r="I7566" s="267" t="s">
        <v>5010</v>
      </c>
      <c r="J7566" s="267" t="s">
        <v>3928</v>
      </c>
      <c r="K7566" s="267">
        <v>6365</v>
      </c>
      <c r="L7566" s="267">
        <v>700100</v>
      </c>
      <c r="M7566" s="267" t="s">
        <v>3935</v>
      </c>
      <c r="N7566" s="267" t="s">
        <v>3944</v>
      </c>
      <c r="O7566" s="267">
        <v>2953.13</v>
      </c>
      <c r="P7566" s="267" t="s">
        <v>3944</v>
      </c>
      <c r="Q7566" s="267" t="s">
        <v>3944</v>
      </c>
      <c r="R7566" s="267">
        <v>2953.13</v>
      </c>
      <c r="S7566" s="267">
        <v>44524.58</v>
      </c>
      <c r="T7566" s="267">
        <v>47477.71</v>
      </c>
      <c r="U7566" s="268" t="s">
        <v>3945</v>
      </c>
      <c r="V7566" s="267" t="s">
        <v>944</v>
      </c>
    </row>
    <row r="7567" spans="1:22" hidden="1" x14ac:dyDescent="0.25">
      <c r="A7567" s="269">
        <v>43810</v>
      </c>
      <c r="B7567" s="270">
        <v>2019</v>
      </c>
      <c r="C7567" s="270">
        <v>2020</v>
      </c>
      <c r="D7567" s="270">
        <v>1</v>
      </c>
      <c r="E7567" s="270">
        <v>1</v>
      </c>
      <c r="F7567" s="270" t="s">
        <v>944</v>
      </c>
      <c r="G7567" s="270" t="s">
        <v>3926</v>
      </c>
      <c r="H7567" s="270" t="s">
        <v>12426</v>
      </c>
      <c r="I7567" s="270" t="s">
        <v>4042</v>
      </c>
      <c r="J7567" s="270" t="s">
        <v>3928</v>
      </c>
      <c r="K7567" s="270">
        <v>6370</v>
      </c>
      <c r="L7567" s="270">
        <v>695202</v>
      </c>
      <c r="M7567" s="270" t="s">
        <v>3935</v>
      </c>
      <c r="N7567" s="270" t="s">
        <v>3944</v>
      </c>
      <c r="O7567" s="270">
        <v>1436.65</v>
      </c>
      <c r="P7567" s="270" t="s">
        <v>3944</v>
      </c>
      <c r="Q7567" s="270" t="s">
        <v>3944</v>
      </c>
      <c r="R7567" s="270">
        <v>1436.65</v>
      </c>
      <c r="S7567" s="270">
        <v>24427.7</v>
      </c>
      <c r="T7567" s="270">
        <v>25864.35</v>
      </c>
      <c r="U7567" s="271" t="s">
        <v>3945</v>
      </c>
      <c r="V7567" s="267" t="s">
        <v>944</v>
      </c>
    </row>
    <row r="7568" spans="1:22" hidden="1" x14ac:dyDescent="0.25">
      <c r="A7568" s="266">
        <v>43810</v>
      </c>
      <c r="B7568" s="267">
        <v>2019</v>
      </c>
      <c r="C7568" s="267">
        <v>2020</v>
      </c>
      <c r="D7568" s="267">
        <v>1</v>
      </c>
      <c r="E7568" s="267">
        <v>1</v>
      </c>
      <c r="F7568" s="267" t="s">
        <v>944</v>
      </c>
      <c r="G7568" s="267" t="s">
        <v>3926</v>
      </c>
      <c r="H7568" s="267" t="s">
        <v>12427</v>
      </c>
      <c r="I7568" s="267" t="s">
        <v>4005</v>
      </c>
      <c r="J7568" s="267" t="s">
        <v>3928</v>
      </c>
      <c r="K7568" s="267">
        <v>6118</v>
      </c>
      <c r="L7568" s="267">
        <v>510700</v>
      </c>
      <c r="M7568" s="267" t="s">
        <v>3940</v>
      </c>
      <c r="N7568" s="267" t="s">
        <v>3944</v>
      </c>
      <c r="O7568" s="267">
        <v>801.78</v>
      </c>
      <c r="P7568" s="267" t="s">
        <v>3944</v>
      </c>
      <c r="Q7568" s="267" t="s">
        <v>3944</v>
      </c>
      <c r="R7568" s="267">
        <v>801.78</v>
      </c>
      <c r="S7568" s="267">
        <v>11785.62</v>
      </c>
      <c r="T7568" s="267">
        <v>12587.4</v>
      </c>
      <c r="U7568" s="268" t="s">
        <v>3945</v>
      </c>
      <c r="V7568" s="267" t="s">
        <v>944</v>
      </c>
    </row>
    <row r="7569" spans="1:22" hidden="1" x14ac:dyDescent="0.25">
      <c r="A7569" s="269">
        <v>43810</v>
      </c>
      <c r="B7569" s="270">
        <v>2019</v>
      </c>
      <c r="C7569" s="270">
        <v>2020</v>
      </c>
      <c r="D7569" s="270">
        <v>1</v>
      </c>
      <c r="E7569" s="270">
        <v>1</v>
      </c>
      <c r="F7569" s="270" t="s">
        <v>944</v>
      </c>
      <c r="G7569" s="270" t="s">
        <v>3926</v>
      </c>
      <c r="H7569" s="270" t="s">
        <v>12428</v>
      </c>
      <c r="I7569" s="270" t="s">
        <v>4213</v>
      </c>
      <c r="J7569" s="270" t="s">
        <v>3928</v>
      </c>
      <c r="K7569" s="270">
        <v>6051</v>
      </c>
      <c r="L7569" s="270">
        <v>415500</v>
      </c>
      <c r="M7569" s="270">
        <v>-60</v>
      </c>
      <c r="N7569" s="270" t="s">
        <v>3944</v>
      </c>
      <c r="O7569" s="270">
        <v>1333.36</v>
      </c>
      <c r="P7569" s="270" t="s">
        <v>3944</v>
      </c>
      <c r="Q7569" s="270" t="s">
        <v>3944</v>
      </c>
      <c r="R7569" s="270">
        <v>1333.36</v>
      </c>
      <c r="S7569" s="270">
        <v>19402.37</v>
      </c>
      <c r="T7569" s="270">
        <v>20735.73</v>
      </c>
      <c r="U7569" s="271" t="s">
        <v>3945</v>
      </c>
      <c r="V7569" s="267" t="s">
        <v>944</v>
      </c>
    </row>
    <row r="7570" spans="1:22" hidden="1" x14ac:dyDescent="0.25">
      <c r="A7570" s="266">
        <v>43810</v>
      </c>
      <c r="B7570" s="267">
        <v>2019</v>
      </c>
      <c r="C7570" s="267">
        <v>2020</v>
      </c>
      <c r="D7570" s="267">
        <v>1</v>
      </c>
      <c r="E7570" s="267">
        <v>1</v>
      </c>
      <c r="F7570" s="267" t="s">
        <v>944</v>
      </c>
      <c r="G7570" s="267" t="s">
        <v>3926</v>
      </c>
      <c r="H7570" s="267" t="s">
        <v>12429</v>
      </c>
      <c r="I7570" s="267" t="s">
        <v>3975</v>
      </c>
      <c r="J7570" s="267" t="s">
        <v>3928</v>
      </c>
      <c r="K7570" s="267">
        <v>6489</v>
      </c>
      <c r="L7570" s="267">
        <v>430601</v>
      </c>
      <c r="M7570" s="267" t="s">
        <v>3940</v>
      </c>
      <c r="N7570" s="267" t="s">
        <v>3944</v>
      </c>
      <c r="O7570" s="267">
        <v>1630.55</v>
      </c>
      <c r="P7570" s="267" t="s">
        <v>3944</v>
      </c>
      <c r="Q7570" s="267" t="s">
        <v>3944</v>
      </c>
      <c r="R7570" s="267">
        <v>1630.55</v>
      </c>
      <c r="S7570" s="267">
        <v>27907.91</v>
      </c>
      <c r="T7570" s="267">
        <v>29538.46</v>
      </c>
      <c r="U7570" s="268" t="s">
        <v>3945</v>
      </c>
      <c r="V7570" s="267" t="s">
        <v>944</v>
      </c>
    </row>
    <row r="7571" spans="1:22" hidden="1" x14ac:dyDescent="0.25">
      <c r="A7571" s="269">
        <v>43810</v>
      </c>
      <c r="B7571" s="270">
        <v>2019</v>
      </c>
      <c r="C7571" s="270">
        <v>2020</v>
      </c>
      <c r="D7571" s="270">
        <v>1</v>
      </c>
      <c r="E7571" s="270">
        <v>1</v>
      </c>
      <c r="F7571" s="270" t="s">
        <v>944</v>
      </c>
      <c r="G7571" s="270" t="s">
        <v>3926</v>
      </c>
      <c r="H7571" s="270" t="s">
        <v>12430</v>
      </c>
      <c r="I7571" s="270" t="s">
        <v>953</v>
      </c>
      <c r="J7571" s="270" t="s">
        <v>3928</v>
      </c>
      <c r="K7571" s="270">
        <v>6514</v>
      </c>
      <c r="L7571" s="270">
        <v>165700</v>
      </c>
      <c r="M7571" s="270" t="s">
        <v>3935</v>
      </c>
      <c r="N7571" s="270" t="s">
        <v>3944</v>
      </c>
      <c r="O7571" s="270">
        <v>2215.8200000000002</v>
      </c>
      <c r="P7571" s="270" t="s">
        <v>3944</v>
      </c>
      <c r="Q7571" s="270" t="s">
        <v>3944</v>
      </c>
      <c r="R7571" s="270">
        <v>2215.8200000000002</v>
      </c>
      <c r="S7571" s="270">
        <v>36537.67</v>
      </c>
      <c r="T7571" s="270">
        <v>38753.49</v>
      </c>
      <c r="U7571" s="271" t="s">
        <v>3945</v>
      </c>
      <c r="V7571" s="267" t="s">
        <v>944</v>
      </c>
    </row>
    <row r="7572" spans="1:22" hidden="1" x14ac:dyDescent="0.25">
      <c r="A7572" s="266">
        <v>43810</v>
      </c>
      <c r="B7572" s="267">
        <v>2019</v>
      </c>
      <c r="C7572" s="267">
        <v>2020</v>
      </c>
      <c r="D7572" s="267">
        <v>1</v>
      </c>
      <c r="E7572" s="267">
        <v>1</v>
      </c>
      <c r="F7572" s="267" t="s">
        <v>944</v>
      </c>
      <c r="G7572" s="267" t="s">
        <v>3926</v>
      </c>
      <c r="H7572" s="267" t="s">
        <v>12431</v>
      </c>
      <c r="I7572" s="267" t="s">
        <v>4353</v>
      </c>
      <c r="J7572" s="267" t="s">
        <v>3928</v>
      </c>
      <c r="K7572" s="267">
        <v>6416</v>
      </c>
      <c r="L7572" s="267">
        <v>570200</v>
      </c>
      <c r="M7572" s="267" t="s">
        <v>3943</v>
      </c>
      <c r="N7572" s="267" t="s">
        <v>3944</v>
      </c>
      <c r="O7572" s="267">
        <v>1417.54</v>
      </c>
      <c r="P7572" s="267" t="s">
        <v>3944</v>
      </c>
      <c r="Q7572" s="267" t="s">
        <v>3944</v>
      </c>
      <c r="R7572" s="267">
        <v>1417.54</v>
      </c>
      <c r="S7572" s="267">
        <v>18689.02</v>
      </c>
      <c r="T7572" s="267">
        <v>20106.560000000001</v>
      </c>
      <c r="U7572" s="268" t="s">
        <v>3945</v>
      </c>
      <c r="V7572" s="267" t="s">
        <v>944</v>
      </c>
    </row>
    <row r="7573" spans="1:22" hidden="1" x14ac:dyDescent="0.25">
      <c r="A7573" s="269">
        <v>43810</v>
      </c>
      <c r="B7573" s="270">
        <v>2019</v>
      </c>
      <c r="C7573" s="270">
        <v>2020</v>
      </c>
      <c r="D7573" s="270">
        <v>1</v>
      </c>
      <c r="E7573" s="270">
        <v>1</v>
      </c>
      <c r="F7573" s="270" t="s">
        <v>944</v>
      </c>
      <c r="G7573" s="270" t="s">
        <v>3926</v>
      </c>
      <c r="H7573" s="270" t="s">
        <v>12432</v>
      </c>
      <c r="I7573" s="270" t="s">
        <v>4232</v>
      </c>
      <c r="J7573" s="270" t="s">
        <v>3928</v>
      </c>
      <c r="K7573" s="270">
        <v>6483</v>
      </c>
      <c r="L7573" s="270">
        <v>130200</v>
      </c>
      <c r="M7573" s="270" t="s">
        <v>3935</v>
      </c>
      <c r="N7573" s="270" t="s">
        <v>3944</v>
      </c>
      <c r="O7573" s="270">
        <v>2325.75</v>
      </c>
      <c r="P7573" s="270" t="s">
        <v>3944</v>
      </c>
      <c r="Q7573" s="270" t="s">
        <v>3944</v>
      </c>
      <c r="R7573" s="270">
        <v>2325.75</v>
      </c>
      <c r="S7573" s="270">
        <v>37887.370000000003</v>
      </c>
      <c r="T7573" s="270">
        <v>40213.120000000003</v>
      </c>
      <c r="U7573" s="271" t="s">
        <v>3945</v>
      </c>
      <c r="V7573" s="267" t="s">
        <v>944</v>
      </c>
    </row>
    <row r="7574" spans="1:22" x14ac:dyDescent="0.25">
      <c r="A7574" s="266">
        <v>43810</v>
      </c>
      <c r="B7574" s="267">
        <v>2019</v>
      </c>
      <c r="C7574" s="267">
        <v>2020</v>
      </c>
      <c r="D7574" s="267">
        <v>1</v>
      </c>
      <c r="E7574" s="267">
        <v>1</v>
      </c>
      <c r="F7574" s="267" t="s">
        <v>944</v>
      </c>
      <c r="G7574" s="267" t="s">
        <v>3926</v>
      </c>
      <c r="H7574" s="267" t="s">
        <v>12433</v>
      </c>
      <c r="I7574" s="267" t="s">
        <v>943</v>
      </c>
      <c r="J7574" s="267" t="s">
        <v>3928</v>
      </c>
      <c r="K7574" s="267">
        <v>6511</v>
      </c>
      <c r="L7574" s="267">
        <v>140900</v>
      </c>
      <c r="M7574" s="267">
        <v>-60</v>
      </c>
      <c r="N7574" s="267" t="s">
        <v>3944</v>
      </c>
      <c r="O7574" s="267">
        <v>816.31</v>
      </c>
      <c r="P7574" s="267" t="s">
        <v>3944</v>
      </c>
      <c r="Q7574" s="267" t="s">
        <v>3944</v>
      </c>
      <c r="R7574" s="267">
        <v>816.31</v>
      </c>
      <c r="S7574" s="267">
        <v>9766.09</v>
      </c>
      <c r="T7574" s="267">
        <v>10582.4</v>
      </c>
      <c r="U7574" s="268" t="s">
        <v>3945</v>
      </c>
      <c r="V7574" s="276" t="s">
        <v>936</v>
      </c>
    </row>
    <row r="7575" spans="1:22" hidden="1" x14ac:dyDescent="0.25">
      <c r="A7575" s="269">
        <v>43810</v>
      </c>
      <c r="B7575" s="270">
        <v>2019</v>
      </c>
      <c r="C7575" s="270">
        <v>2020</v>
      </c>
      <c r="D7575" s="270">
        <v>1</v>
      </c>
      <c r="E7575" s="270">
        <v>1</v>
      </c>
      <c r="F7575" s="270" t="s">
        <v>944</v>
      </c>
      <c r="G7575" s="270" t="s">
        <v>3926</v>
      </c>
      <c r="H7575" s="270" t="s">
        <v>12434</v>
      </c>
      <c r="I7575" s="270" t="s">
        <v>4003</v>
      </c>
      <c r="J7575" s="270" t="s">
        <v>3928</v>
      </c>
      <c r="K7575" s="270">
        <v>6354</v>
      </c>
      <c r="L7575" s="270">
        <v>907200</v>
      </c>
      <c r="M7575" s="270" t="s">
        <v>3940</v>
      </c>
      <c r="N7575" s="270" t="s">
        <v>3944</v>
      </c>
      <c r="O7575" s="270">
        <v>1555.05</v>
      </c>
      <c r="P7575" s="270" t="s">
        <v>3944</v>
      </c>
      <c r="Q7575" s="270" t="s">
        <v>3944</v>
      </c>
      <c r="R7575" s="270">
        <v>1555.05</v>
      </c>
      <c r="S7575" s="270">
        <v>19609.75</v>
      </c>
      <c r="T7575" s="270">
        <v>21164.799999999999</v>
      </c>
      <c r="U7575" s="271" t="s">
        <v>3945</v>
      </c>
      <c r="V7575" s="267" t="s">
        <v>944</v>
      </c>
    </row>
    <row r="7576" spans="1:22" hidden="1" x14ac:dyDescent="0.25">
      <c r="A7576" s="266">
        <v>43810</v>
      </c>
      <c r="B7576" s="267">
        <v>2019</v>
      </c>
      <c r="C7576" s="267">
        <v>2020</v>
      </c>
      <c r="D7576" s="267">
        <v>1</v>
      </c>
      <c r="E7576" s="267">
        <v>1</v>
      </c>
      <c r="F7576" s="267" t="s">
        <v>944</v>
      </c>
      <c r="G7576" s="267" t="s">
        <v>3926</v>
      </c>
      <c r="H7576" s="267" t="s">
        <v>12435</v>
      </c>
      <c r="I7576" s="267" t="s">
        <v>956</v>
      </c>
      <c r="J7576" s="267" t="s">
        <v>3928</v>
      </c>
      <c r="K7576" s="267">
        <v>6614</v>
      </c>
      <c r="L7576" s="267">
        <v>80900</v>
      </c>
      <c r="M7576" s="267" t="s">
        <v>3960</v>
      </c>
      <c r="N7576" s="267" t="s">
        <v>3944</v>
      </c>
      <c r="O7576" s="267">
        <v>1051.51</v>
      </c>
      <c r="P7576" s="267" t="s">
        <v>3944</v>
      </c>
      <c r="Q7576" s="267" t="s">
        <v>3944</v>
      </c>
      <c r="R7576" s="267">
        <v>1051.51</v>
      </c>
      <c r="S7576" s="267">
        <v>15750.71</v>
      </c>
      <c r="T7576" s="267">
        <v>16802.22</v>
      </c>
      <c r="U7576" s="268" t="s">
        <v>3945</v>
      </c>
      <c r="V7576" s="267" t="s">
        <v>944</v>
      </c>
    </row>
    <row r="7577" spans="1:22" hidden="1" x14ac:dyDescent="0.25">
      <c r="A7577" s="269">
        <v>43810</v>
      </c>
      <c r="B7577" s="270">
        <v>2019</v>
      </c>
      <c r="C7577" s="270">
        <v>2020</v>
      </c>
      <c r="D7577" s="270">
        <v>1</v>
      </c>
      <c r="E7577" s="270">
        <v>1</v>
      </c>
      <c r="F7577" s="270" t="s">
        <v>944</v>
      </c>
      <c r="G7577" s="270" t="s">
        <v>3926</v>
      </c>
      <c r="H7577" s="270" t="s">
        <v>12436</v>
      </c>
      <c r="I7577" s="270" t="s">
        <v>4147</v>
      </c>
      <c r="J7577" s="270" t="s">
        <v>3928</v>
      </c>
      <c r="K7577" s="270">
        <v>6109</v>
      </c>
      <c r="L7577" s="270">
        <v>492300</v>
      </c>
      <c r="M7577" s="270" t="s">
        <v>3940</v>
      </c>
      <c r="N7577" s="270" t="s">
        <v>3944</v>
      </c>
      <c r="O7577" s="270">
        <v>1706.46</v>
      </c>
      <c r="P7577" s="270" t="s">
        <v>3944</v>
      </c>
      <c r="Q7577" s="270" t="s">
        <v>3944</v>
      </c>
      <c r="R7577" s="270">
        <v>1706.46</v>
      </c>
      <c r="S7577" s="270">
        <v>24946.7</v>
      </c>
      <c r="T7577" s="270">
        <v>26653.16</v>
      </c>
      <c r="U7577" s="271" t="s">
        <v>3945</v>
      </c>
      <c r="V7577" s="267" t="s">
        <v>944</v>
      </c>
    </row>
    <row r="7578" spans="1:22" hidden="1" x14ac:dyDescent="0.25">
      <c r="A7578" s="266">
        <v>43810</v>
      </c>
      <c r="B7578" s="267">
        <v>2019</v>
      </c>
      <c r="C7578" s="267">
        <v>2020</v>
      </c>
      <c r="D7578" s="267">
        <v>1</v>
      </c>
      <c r="E7578" s="267">
        <v>1</v>
      </c>
      <c r="F7578" s="267" t="s">
        <v>944</v>
      </c>
      <c r="G7578" s="267" t="s">
        <v>3926</v>
      </c>
      <c r="H7578" s="267" t="s">
        <v>12437</v>
      </c>
      <c r="I7578" s="267" t="s">
        <v>3975</v>
      </c>
      <c r="J7578" s="267" t="s">
        <v>3928</v>
      </c>
      <c r="K7578" s="267">
        <v>6489</v>
      </c>
      <c r="L7578" s="267">
        <v>430601</v>
      </c>
      <c r="M7578" s="267" t="s">
        <v>3940</v>
      </c>
      <c r="N7578" s="267" t="s">
        <v>3944</v>
      </c>
      <c r="O7578" s="267">
        <v>1315.72</v>
      </c>
      <c r="P7578" s="267" t="s">
        <v>3944</v>
      </c>
      <c r="Q7578" s="267" t="s">
        <v>3944</v>
      </c>
      <c r="R7578" s="267">
        <v>1315.72</v>
      </c>
      <c r="S7578" s="267">
        <v>18790.84</v>
      </c>
      <c r="T7578" s="267">
        <v>20106.560000000001</v>
      </c>
      <c r="U7578" s="268" t="s">
        <v>3945</v>
      </c>
      <c r="V7578" s="267" t="s">
        <v>944</v>
      </c>
    </row>
    <row r="7579" spans="1:22" hidden="1" x14ac:dyDescent="0.25">
      <c r="A7579" s="269">
        <v>43810</v>
      </c>
      <c r="B7579" s="270">
        <v>2019</v>
      </c>
      <c r="C7579" s="270">
        <v>2020</v>
      </c>
      <c r="D7579" s="270">
        <v>1</v>
      </c>
      <c r="E7579" s="270">
        <v>1</v>
      </c>
      <c r="F7579" s="270" t="s">
        <v>944</v>
      </c>
      <c r="G7579" s="270" t="s">
        <v>3926</v>
      </c>
      <c r="H7579" s="270" t="s">
        <v>12438</v>
      </c>
      <c r="I7579" s="270" t="s">
        <v>4392</v>
      </c>
      <c r="J7579" s="270" t="s">
        <v>3928</v>
      </c>
      <c r="K7579" s="270">
        <v>6457</v>
      </c>
      <c r="L7579" s="270">
        <v>541700</v>
      </c>
      <c r="M7579" s="270">
        <v>-60</v>
      </c>
      <c r="N7579" s="270" t="s">
        <v>3944</v>
      </c>
      <c r="O7579" s="270">
        <v>1301.4100000000001</v>
      </c>
      <c r="P7579" s="270" t="s">
        <v>3944</v>
      </c>
      <c r="Q7579" s="270" t="s">
        <v>3944</v>
      </c>
      <c r="R7579" s="270">
        <v>1301.4100000000001</v>
      </c>
      <c r="S7579" s="270">
        <v>18805.150000000001</v>
      </c>
      <c r="T7579" s="270">
        <v>20106.560000000001</v>
      </c>
      <c r="U7579" s="271" t="s">
        <v>3945</v>
      </c>
      <c r="V7579" s="267" t="s">
        <v>944</v>
      </c>
    </row>
    <row r="7580" spans="1:22" hidden="1" x14ac:dyDescent="0.25">
      <c r="A7580" s="266">
        <v>43811</v>
      </c>
      <c r="B7580" s="267">
        <v>2019</v>
      </c>
      <c r="C7580" s="267">
        <v>2020</v>
      </c>
      <c r="D7580" s="267">
        <v>1</v>
      </c>
      <c r="E7580" s="267">
        <v>1</v>
      </c>
      <c r="F7580" s="267" t="s">
        <v>944</v>
      </c>
      <c r="G7580" s="267" t="s">
        <v>3926</v>
      </c>
      <c r="H7580" s="267" t="s">
        <v>12439</v>
      </c>
      <c r="I7580" s="267" t="s">
        <v>4055</v>
      </c>
      <c r="J7580" s="267" t="s">
        <v>3928</v>
      </c>
      <c r="K7580" s="267">
        <v>6092</v>
      </c>
      <c r="L7580" s="267">
        <v>466202</v>
      </c>
      <c r="M7580" s="267" t="s">
        <v>3943</v>
      </c>
      <c r="N7580" s="267" t="s">
        <v>12440</v>
      </c>
      <c r="O7580" s="267">
        <v>3691</v>
      </c>
      <c r="P7580" s="267" t="s">
        <v>3930</v>
      </c>
      <c r="Q7580" s="267" t="s">
        <v>3930</v>
      </c>
      <c r="R7580" s="267">
        <v>3691</v>
      </c>
      <c r="S7580" s="267">
        <v>26299</v>
      </c>
      <c r="T7580" s="267">
        <v>29990</v>
      </c>
      <c r="U7580" s="268" t="s">
        <v>3937</v>
      </c>
      <c r="V7580" s="267" t="s">
        <v>944</v>
      </c>
    </row>
    <row r="7581" spans="1:22" hidden="1" x14ac:dyDescent="0.25">
      <c r="A7581" s="269">
        <v>43811</v>
      </c>
      <c r="B7581" s="270">
        <v>2019</v>
      </c>
      <c r="C7581" s="270">
        <v>2020</v>
      </c>
      <c r="D7581" s="270">
        <v>1</v>
      </c>
      <c r="E7581" s="270">
        <v>1</v>
      </c>
      <c r="F7581" s="270" t="s">
        <v>944</v>
      </c>
      <c r="G7581" s="270" t="s">
        <v>3926</v>
      </c>
      <c r="H7581" s="270" t="s">
        <v>12441</v>
      </c>
      <c r="I7581" s="270" t="s">
        <v>950</v>
      </c>
      <c r="J7581" s="270" t="s">
        <v>3928</v>
      </c>
      <c r="K7581" s="270">
        <v>6516</v>
      </c>
      <c r="L7581" s="270">
        <v>154800</v>
      </c>
      <c r="M7581" s="270" t="s">
        <v>3960</v>
      </c>
      <c r="N7581" s="270" t="s">
        <v>12442</v>
      </c>
      <c r="O7581" s="270">
        <v>3872</v>
      </c>
      <c r="P7581" s="270" t="s">
        <v>3930</v>
      </c>
      <c r="Q7581" s="270" t="s">
        <v>3930</v>
      </c>
      <c r="R7581" s="270">
        <v>3872</v>
      </c>
      <c r="S7581" s="270">
        <v>25679</v>
      </c>
      <c r="T7581" s="270">
        <v>29551</v>
      </c>
      <c r="U7581" s="271" t="s">
        <v>3937</v>
      </c>
      <c r="V7581" s="267" t="s">
        <v>944</v>
      </c>
    </row>
    <row r="7582" spans="1:22" hidden="1" x14ac:dyDescent="0.25">
      <c r="A7582" s="266">
        <v>43811</v>
      </c>
      <c r="B7582" s="267">
        <v>2019</v>
      </c>
      <c r="C7582" s="267">
        <v>2020</v>
      </c>
      <c r="D7582" s="267">
        <v>1</v>
      </c>
      <c r="E7582" s="267">
        <v>1</v>
      </c>
      <c r="F7582" s="267" t="s">
        <v>944</v>
      </c>
      <c r="G7582" s="267" t="s">
        <v>3926</v>
      </c>
      <c r="H7582" s="267" t="s">
        <v>12443</v>
      </c>
      <c r="I7582" s="267" t="s">
        <v>3010</v>
      </c>
      <c r="J7582" s="267" t="s">
        <v>3928</v>
      </c>
      <c r="K7582" s="267">
        <v>6401</v>
      </c>
      <c r="L7582" s="267">
        <v>125100</v>
      </c>
      <c r="M7582" s="267" t="s">
        <v>3960</v>
      </c>
      <c r="N7582" s="267" t="s">
        <v>12444</v>
      </c>
      <c r="O7582" s="267">
        <v>0</v>
      </c>
      <c r="P7582" s="267" t="s">
        <v>3930</v>
      </c>
      <c r="Q7582" s="267" t="s">
        <v>3930</v>
      </c>
      <c r="R7582" s="267">
        <v>0</v>
      </c>
      <c r="S7582" s="267">
        <v>3911</v>
      </c>
      <c r="T7582" s="267">
        <v>3911</v>
      </c>
      <c r="U7582" s="268" t="s">
        <v>3937</v>
      </c>
      <c r="V7582" s="267" t="s">
        <v>944</v>
      </c>
    </row>
    <row r="7583" spans="1:22" hidden="1" x14ac:dyDescent="0.25">
      <c r="A7583" s="269">
        <v>43811</v>
      </c>
      <c r="B7583" s="270">
        <v>2019</v>
      </c>
      <c r="C7583" s="270">
        <v>2020</v>
      </c>
      <c r="D7583" s="270">
        <v>1</v>
      </c>
      <c r="E7583" s="270">
        <v>1</v>
      </c>
      <c r="F7583" s="270" t="s">
        <v>944</v>
      </c>
      <c r="G7583" s="270" t="s">
        <v>3926</v>
      </c>
      <c r="H7583" s="270" t="s">
        <v>12445</v>
      </c>
      <c r="I7583" s="270" t="s">
        <v>4019</v>
      </c>
      <c r="J7583" s="270" t="s">
        <v>3928</v>
      </c>
      <c r="K7583" s="270">
        <v>6708</v>
      </c>
      <c r="L7583" s="270">
        <v>351602</v>
      </c>
      <c r="M7583" s="270" t="s">
        <v>3940</v>
      </c>
      <c r="N7583" s="270" t="s">
        <v>12446</v>
      </c>
      <c r="O7583" s="270">
        <v>2563</v>
      </c>
      <c r="P7583" s="270" t="s">
        <v>3930</v>
      </c>
      <c r="Q7583" s="270" t="s">
        <v>3930</v>
      </c>
      <c r="R7583" s="270">
        <v>2563</v>
      </c>
      <c r="S7583" s="270">
        <v>17370</v>
      </c>
      <c r="T7583" s="270">
        <v>19933</v>
      </c>
      <c r="U7583" s="271" t="s">
        <v>3937</v>
      </c>
      <c r="V7583" s="267" t="s">
        <v>944</v>
      </c>
    </row>
    <row r="7584" spans="1:22" hidden="1" x14ac:dyDescent="0.25">
      <c r="A7584" s="266">
        <v>43811</v>
      </c>
      <c r="B7584" s="267">
        <v>2019</v>
      </c>
      <c r="C7584" s="267">
        <v>2020</v>
      </c>
      <c r="D7584" s="267">
        <v>1</v>
      </c>
      <c r="E7584" s="267">
        <v>1</v>
      </c>
      <c r="F7584" s="267" t="s">
        <v>944</v>
      </c>
      <c r="G7584" s="267" t="s">
        <v>3926</v>
      </c>
      <c r="H7584" s="267" t="s">
        <v>12447</v>
      </c>
      <c r="I7584" s="267" t="s">
        <v>4203</v>
      </c>
      <c r="J7584" s="267" t="s">
        <v>3928</v>
      </c>
      <c r="K7584" s="267">
        <v>6071</v>
      </c>
      <c r="L7584" s="267">
        <v>538201</v>
      </c>
      <c r="M7584" s="267" t="s">
        <v>3943</v>
      </c>
      <c r="N7584" s="267" t="s">
        <v>12448</v>
      </c>
      <c r="O7584" s="267">
        <v>4158</v>
      </c>
      <c r="P7584" s="267" t="s">
        <v>3930</v>
      </c>
      <c r="Q7584" s="267" t="s">
        <v>3930</v>
      </c>
      <c r="R7584" s="267">
        <v>4158</v>
      </c>
      <c r="S7584" s="267">
        <v>30142</v>
      </c>
      <c r="T7584" s="267">
        <v>34300</v>
      </c>
      <c r="U7584" s="268" t="s">
        <v>3937</v>
      </c>
      <c r="V7584" s="267" t="s">
        <v>944</v>
      </c>
    </row>
    <row r="7585" spans="1:22" hidden="1" x14ac:dyDescent="0.25">
      <c r="A7585" s="269">
        <v>43811</v>
      </c>
      <c r="B7585" s="270">
        <v>2019</v>
      </c>
      <c r="C7585" s="270">
        <v>2020</v>
      </c>
      <c r="D7585" s="270">
        <v>1</v>
      </c>
      <c r="E7585" s="270">
        <v>1</v>
      </c>
      <c r="F7585" s="270" t="s">
        <v>944</v>
      </c>
      <c r="G7585" s="270" t="s">
        <v>3926</v>
      </c>
      <c r="H7585" s="270" t="s">
        <v>12449</v>
      </c>
      <c r="I7585" s="270" t="s">
        <v>4374</v>
      </c>
      <c r="J7585" s="270" t="s">
        <v>3928</v>
      </c>
      <c r="K7585" s="270">
        <v>6438</v>
      </c>
      <c r="L7585" s="270">
        <v>590100</v>
      </c>
      <c r="M7585" s="270" t="s">
        <v>3943</v>
      </c>
      <c r="N7585" s="270" t="s">
        <v>4701</v>
      </c>
      <c r="O7585" s="270">
        <v>5291.46</v>
      </c>
      <c r="P7585" s="270" t="s">
        <v>3930</v>
      </c>
      <c r="Q7585" s="270" t="s">
        <v>3931</v>
      </c>
      <c r="R7585" s="270">
        <v>10291.459999999999</v>
      </c>
      <c r="S7585" s="270">
        <v>34648</v>
      </c>
      <c r="T7585" s="270">
        <v>44939.46</v>
      </c>
      <c r="U7585" s="271" t="s">
        <v>3932</v>
      </c>
      <c r="V7585" s="267" t="s">
        <v>944</v>
      </c>
    </row>
    <row r="7586" spans="1:22" hidden="1" x14ac:dyDescent="0.25">
      <c r="A7586" s="266">
        <v>43811</v>
      </c>
      <c r="B7586" s="267">
        <v>2019</v>
      </c>
      <c r="C7586" s="267">
        <v>2020</v>
      </c>
      <c r="D7586" s="267">
        <v>1</v>
      </c>
      <c r="E7586" s="267">
        <v>1</v>
      </c>
      <c r="F7586" s="267" t="s">
        <v>944</v>
      </c>
      <c r="G7586" s="267" t="s">
        <v>3926</v>
      </c>
      <c r="H7586" s="267" t="s">
        <v>12450</v>
      </c>
      <c r="I7586" s="267" t="s">
        <v>4392</v>
      </c>
      <c r="J7586" s="267" t="s">
        <v>3928</v>
      </c>
      <c r="K7586" s="267">
        <v>6457</v>
      </c>
      <c r="L7586" s="267">
        <v>542100</v>
      </c>
      <c r="M7586" s="267" t="s">
        <v>3940</v>
      </c>
      <c r="N7586" s="267" t="s">
        <v>4053</v>
      </c>
      <c r="O7586" s="267">
        <v>1251.8499999999999</v>
      </c>
      <c r="P7586" s="267" t="s">
        <v>3930</v>
      </c>
      <c r="Q7586" s="267" t="s">
        <v>3931</v>
      </c>
      <c r="R7586" s="267">
        <v>6251.85</v>
      </c>
      <c r="S7586" s="267">
        <v>18603.2</v>
      </c>
      <c r="T7586" s="267">
        <v>24855.05</v>
      </c>
      <c r="U7586" s="268" t="s">
        <v>3932</v>
      </c>
      <c r="V7586" s="267" t="s">
        <v>944</v>
      </c>
    </row>
    <row r="7587" spans="1:22" hidden="1" x14ac:dyDescent="0.25">
      <c r="A7587" s="269">
        <v>43811</v>
      </c>
      <c r="B7587" s="270">
        <v>2019</v>
      </c>
      <c r="C7587" s="270">
        <v>2020</v>
      </c>
      <c r="D7587" s="270">
        <v>1</v>
      </c>
      <c r="E7587" s="270">
        <v>1</v>
      </c>
      <c r="F7587" s="270" t="s">
        <v>944</v>
      </c>
      <c r="G7587" s="270" t="s">
        <v>3926</v>
      </c>
      <c r="H7587" s="270" t="s">
        <v>12451</v>
      </c>
      <c r="I7587" s="270" t="s">
        <v>4003</v>
      </c>
      <c r="J7587" s="270" t="s">
        <v>3928</v>
      </c>
      <c r="K7587" s="270">
        <v>6354</v>
      </c>
      <c r="L7587" s="270">
        <v>907200</v>
      </c>
      <c r="M7587" s="270" t="s">
        <v>3940</v>
      </c>
      <c r="N7587" s="270" t="s">
        <v>12452</v>
      </c>
      <c r="O7587" s="270">
        <v>0</v>
      </c>
      <c r="P7587" s="270" t="s">
        <v>3930</v>
      </c>
      <c r="Q7587" s="270" t="s">
        <v>3930</v>
      </c>
      <c r="R7587" s="270">
        <v>0</v>
      </c>
      <c r="S7587" s="270">
        <v>6877</v>
      </c>
      <c r="T7587" s="270">
        <v>6877</v>
      </c>
      <c r="U7587" s="271" t="s">
        <v>3937</v>
      </c>
      <c r="V7587" s="267" t="s">
        <v>944</v>
      </c>
    </row>
    <row r="7588" spans="1:22" hidden="1" x14ac:dyDescent="0.25">
      <c r="A7588" s="266">
        <v>43811</v>
      </c>
      <c r="B7588" s="267">
        <v>2019</v>
      </c>
      <c r="C7588" s="267">
        <v>2020</v>
      </c>
      <c r="D7588" s="267">
        <v>1</v>
      </c>
      <c r="E7588" s="267">
        <v>1</v>
      </c>
      <c r="F7588" s="267" t="s">
        <v>944</v>
      </c>
      <c r="G7588" s="267" t="s">
        <v>3926</v>
      </c>
      <c r="H7588" s="267" t="s">
        <v>12453</v>
      </c>
      <c r="I7588" s="267" t="s">
        <v>6268</v>
      </c>
      <c r="J7588" s="267" t="s">
        <v>3928</v>
      </c>
      <c r="K7588" s="267">
        <v>6371</v>
      </c>
      <c r="L7588" s="267">
        <v>660101</v>
      </c>
      <c r="M7588" s="267" t="s">
        <v>3960</v>
      </c>
      <c r="N7588" s="267" t="s">
        <v>12454</v>
      </c>
      <c r="O7588" s="267">
        <v>0</v>
      </c>
      <c r="P7588" s="267" t="s">
        <v>3930</v>
      </c>
      <c r="Q7588" s="267" t="s">
        <v>3930</v>
      </c>
      <c r="R7588" s="267">
        <v>0</v>
      </c>
      <c r="S7588" s="267">
        <v>10834.51</v>
      </c>
      <c r="T7588" s="267">
        <v>10834.51</v>
      </c>
      <c r="U7588" s="268" t="s">
        <v>3937</v>
      </c>
      <c r="V7588" s="267" t="s">
        <v>944</v>
      </c>
    </row>
    <row r="7589" spans="1:22" hidden="1" x14ac:dyDescent="0.25">
      <c r="A7589" s="269">
        <v>43811</v>
      </c>
      <c r="B7589" s="270">
        <v>2019</v>
      </c>
      <c r="C7589" s="270">
        <v>2020</v>
      </c>
      <c r="D7589" s="270">
        <v>1</v>
      </c>
      <c r="E7589" s="270">
        <v>1</v>
      </c>
      <c r="F7589" s="270" t="s">
        <v>944</v>
      </c>
      <c r="G7589" s="270" t="s">
        <v>3926</v>
      </c>
      <c r="H7589" s="270" t="s">
        <v>12455</v>
      </c>
      <c r="I7589" s="270" t="s">
        <v>4108</v>
      </c>
      <c r="J7589" s="270" t="s">
        <v>3928</v>
      </c>
      <c r="K7589" s="270">
        <v>6082</v>
      </c>
      <c r="L7589" s="270">
        <v>480700</v>
      </c>
      <c r="M7589" s="270" t="s">
        <v>3940</v>
      </c>
      <c r="N7589" s="270" t="s">
        <v>12456</v>
      </c>
      <c r="O7589" s="270">
        <v>0</v>
      </c>
      <c r="P7589" s="270" t="s">
        <v>3930</v>
      </c>
      <c r="Q7589" s="270" t="s">
        <v>3930</v>
      </c>
      <c r="R7589" s="270">
        <v>0</v>
      </c>
      <c r="S7589" s="270">
        <v>11011</v>
      </c>
      <c r="T7589" s="270">
        <v>11011</v>
      </c>
      <c r="U7589" s="271" t="s">
        <v>3937</v>
      </c>
      <c r="V7589" s="267" t="s">
        <v>944</v>
      </c>
    </row>
    <row r="7590" spans="1:22" hidden="1" x14ac:dyDescent="0.25">
      <c r="A7590" s="266">
        <v>43811</v>
      </c>
      <c r="B7590" s="267">
        <v>2019</v>
      </c>
      <c r="C7590" s="267">
        <v>2020</v>
      </c>
      <c r="D7590" s="267">
        <v>1</v>
      </c>
      <c r="E7590" s="267">
        <v>1</v>
      </c>
      <c r="F7590" s="267" t="s">
        <v>944</v>
      </c>
      <c r="G7590" s="267" t="s">
        <v>3926</v>
      </c>
      <c r="H7590" s="267" t="s">
        <v>12457</v>
      </c>
      <c r="I7590" s="267" t="s">
        <v>4461</v>
      </c>
      <c r="J7590" s="267" t="s">
        <v>3928</v>
      </c>
      <c r="K7590" s="267">
        <v>6807</v>
      </c>
      <c r="L7590" s="267">
        <v>10202</v>
      </c>
      <c r="M7590" s="267" t="s">
        <v>3943</v>
      </c>
      <c r="N7590" s="267" t="s">
        <v>3944</v>
      </c>
      <c r="O7590" s="267">
        <v>3659</v>
      </c>
      <c r="P7590" s="267" t="s">
        <v>3944</v>
      </c>
      <c r="Q7590" s="267" t="s">
        <v>3944</v>
      </c>
      <c r="R7590" s="267">
        <v>3659</v>
      </c>
      <c r="S7590" s="267">
        <v>42824</v>
      </c>
      <c r="T7590" s="267">
        <v>46483</v>
      </c>
      <c r="U7590" s="268" t="s">
        <v>3945</v>
      </c>
      <c r="V7590" s="267" t="s">
        <v>944</v>
      </c>
    </row>
    <row r="7591" spans="1:22" hidden="1" x14ac:dyDescent="0.25">
      <c r="A7591" s="269">
        <v>43811</v>
      </c>
      <c r="B7591" s="270">
        <v>2019</v>
      </c>
      <c r="C7591" s="270">
        <v>2020</v>
      </c>
      <c r="D7591" s="270">
        <v>1</v>
      </c>
      <c r="E7591" s="270">
        <v>1</v>
      </c>
      <c r="F7591" s="270" t="s">
        <v>944</v>
      </c>
      <c r="G7591" s="270" t="s">
        <v>3926</v>
      </c>
      <c r="H7591" s="270" t="s">
        <v>12458</v>
      </c>
      <c r="I7591" s="270" t="s">
        <v>4035</v>
      </c>
      <c r="J7591" s="270" t="s">
        <v>3928</v>
      </c>
      <c r="K7591" s="270">
        <v>6074</v>
      </c>
      <c r="L7591" s="270">
        <v>487500</v>
      </c>
      <c r="M7591" s="270" t="s">
        <v>3935</v>
      </c>
      <c r="N7591" s="270" t="s">
        <v>3944</v>
      </c>
      <c r="O7591" s="270">
        <v>2944</v>
      </c>
      <c r="P7591" s="270" t="s">
        <v>3944</v>
      </c>
      <c r="Q7591" s="270" t="s">
        <v>3944</v>
      </c>
      <c r="R7591" s="270">
        <v>2944</v>
      </c>
      <c r="S7591" s="270">
        <v>35210.699999999997</v>
      </c>
      <c r="T7591" s="270">
        <v>38154.699999999997</v>
      </c>
      <c r="U7591" s="271" t="s">
        <v>3945</v>
      </c>
      <c r="V7591" s="267" t="s">
        <v>944</v>
      </c>
    </row>
    <row r="7592" spans="1:22" hidden="1" x14ac:dyDescent="0.25">
      <c r="A7592" s="266">
        <v>43811</v>
      </c>
      <c r="B7592" s="267">
        <v>2019</v>
      </c>
      <c r="C7592" s="267">
        <v>2020</v>
      </c>
      <c r="D7592" s="267">
        <v>1</v>
      </c>
      <c r="E7592" s="267">
        <v>1</v>
      </c>
      <c r="F7592" s="267" t="s">
        <v>944</v>
      </c>
      <c r="G7592" s="267" t="s">
        <v>3926</v>
      </c>
      <c r="H7592" s="267" t="s">
        <v>12459</v>
      </c>
      <c r="I7592" s="267" t="s">
        <v>4035</v>
      </c>
      <c r="J7592" s="267" t="s">
        <v>3928</v>
      </c>
      <c r="K7592" s="267">
        <v>6074</v>
      </c>
      <c r="L7592" s="267">
        <v>487202</v>
      </c>
      <c r="M7592" s="267" t="s">
        <v>3943</v>
      </c>
      <c r="N7592" s="267" t="s">
        <v>3944</v>
      </c>
      <c r="O7592" s="267">
        <v>2245</v>
      </c>
      <c r="P7592" s="267" t="s">
        <v>3944</v>
      </c>
      <c r="Q7592" s="267" t="s">
        <v>3944</v>
      </c>
      <c r="R7592" s="267">
        <v>2245</v>
      </c>
      <c r="S7592" s="267">
        <v>20089.400000000001</v>
      </c>
      <c r="T7592" s="267">
        <v>22334.400000000001</v>
      </c>
      <c r="U7592" s="268" t="s">
        <v>3945</v>
      </c>
      <c r="V7592" s="267" t="s">
        <v>944</v>
      </c>
    </row>
    <row r="7593" spans="1:22" hidden="1" x14ac:dyDescent="0.25">
      <c r="A7593" s="269">
        <v>43811</v>
      </c>
      <c r="B7593" s="270">
        <v>2019</v>
      </c>
      <c r="C7593" s="270">
        <v>2020</v>
      </c>
      <c r="D7593" s="270">
        <v>1</v>
      </c>
      <c r="E7593" s="270">
        <v>1</v>
      </c>
      <c r="F7593" s="270" t="s">
        <v>944</v>
      </c>
      <c r="G7593" s="270" t="s">
        <v>3926</v>
      </c>
      <c r="H7593" s="270" t="s">
        <v>12460</v>
      </c>
      <c r="I7593" s="270" t="s">
        <v>4019</v>
      </c>
      <c r="J7593" s="270" t="s">
        <v>3928</v>
      </c>
      <c r="K7593" s="270">
        <v>6708</v>
      </c>
      <c r="L7593" s="270">
        <v>352000</v>
      </c>
      <c r="M7593" s="270" t="s">
        <v>3935</v>
      </c>
      <c r="N7593" s="270" t="s">
        <v>3944</v>
      </c>
      <c r="O7593" s="270">
        <v>3025</v>
      </c>
      <c r="P7593" s="270" t="s">
        <v>3944</v>
      </c>
      <c r="Q7593" s="270" t="s">
        <v>3944</v>
      </c>
      <c r="R7593" s="270">
        <v>3025</v>
      </c>
      <c r="S7593" s="270">
        <v>23435</v>
      </c>
      <c r="T7593" s="270">
        <v>26460</v>
      </c>
      <c r="U7593" s="271" t="s">
        <v>3945</v>
      </c>
      <c r="V7593" s="267" t="s">
        <v>944</v>
      </c>
    </row>
    <row r="7594" spans="1:22" hidden="1" x14ac:dyDescent="0.25">
      <c r="A7594" s="266">
        <v>43811</v>
      </c>
      <c r="B7594" s="267">
        <v>2019</v>
      </c>
      <c r="C7594" s="267">
        <v>2020</v>
      </c>
      <c r="D7594" s="267">
        <v>1</v>
      </c>
      <c r="E7594" s="267">
        <v>1</v>
      </c>
      <c r="F7594" s="267" t="s">
        <v>944</v>
      </c>
      <c r="G7594" s="267" t="s">
        <v>3926</v>
      </c>
      <c r="H7594" s="267" t="s">
        <v>12461</v>
      </c>
      <c r="I7594" s="267" t="s">
        <v>4235</v>
      </c>
      <c r="J7594" s="267" t="s">
        <v>3928</v>
      </c>
      <c r="K7594" s="267">
        <v>6066</v>
      </c>
      <c r="L7594" s="267">
        <v>530600</v>
      </c>
      <c r="M7594" s="267" t="s">
        <v>3960</v>
      </c>
      <c r="N7594" s="267" t="s">
        <v>3944</v>
      </c>
      <c r="O7594" s="267">
        <v>1825</v>
      </c>
      <c r="P7594" s="267" t="s">
        <v>3944</v>
      </c>
      <c r="Q7594" s="267" t="s">
        <v>3944</v>
      </c>
      <c r="R7594" s="267">
        <v>1825</v>
      </c>
      <c r="S7594" s="267">
        <v>18965</v>
      </c>
      <c r="T7594" s="267">
        <v>20790</v>
      </c>
      <c r="U7594" s="268" t="s">
        <v>3945</v>
      </c>
      <c r="V7594" s="267" t="s">
        <v>944</v>
      </c>
    </row>
    <row r="7595" spans="1:22" hidden="1" x14ac:dyDescent="0.25">
      <c r="A7595" s="269">
        <v>43811</v>
      </c>
      <c r="B7595" s="270">
        <v>2019</v>
      </c>
      <c r="C7595" s="270">
        <v>2020</v>
      </c>
      <c r="D7595" s="270">
        <v>1</v>
      </c>
      <c r="E7595" s="270">
        <v>1</v>
      </c>
      <c r="F7595" s="270" t="s">
        <v>944</v>
      </c>
      <c r="G7595" s="270" t="s">
        <v>3926</v>
      </c>
      <c r="H7595" s="270" t="s">
        <v>12462</v>
      </c>
      <c r="I7595" s="270" t="s">
        <v>4594</v>
      </c>
      <c r="J7595" s="270" t="s">
        <v>3928</v>
      </c>
      <c r="K7595" s="270">
        <v>6488</v>
      </c>
      <c r="L7595" s="270">
        <v>348123</v>
      </c>
      <c r="M7595" s="270" t="s">
        <v>3943</v>
      </c>
      <c r="N7595" s="270" t="s">
        <v>3944</v>
      </c>
      <c r="O7595" s="270">
        <v>5782</v>
      </c>
      <c r="P7595" s="270" t="s">
        <v>3944</v>
      </c>
      <c r="Q7595" s="270" t="s">
        <v>3944</v>
      </c>
      <c r="R7595" s="270">
        <v>5782</v>
      </c>
      <c r="S7595" s="270">
        <v>78025.100000000006</v>
      </c>
      <c r="T7595" s="270">
        <v>83807.100000000006</v>
      </c>
      <c r="U7595" s="271" t="s">
        <v>3945</v>
      </c>
      <c r="V7595" s="267" t="s">
        <v>944</v>
      </c>
    </row>
    <row r="7596" spans="1:22" hidden="1" x14ac:dyDescent="0.25">
      <c r="A7596" s="266">
        <v>43811</v>
      </c>
      <c r="B7596" s="267">
        <v>2019</v>
      </c>
      <c r="C7596" s="267">
        <v>2020</v>
      </c>
      <c r="D7596" s="267">
        <v>1</v>
      </c>
      <c r="E7596" s="267">
        <v>1</v>
      </c>
      <c r="F7596" s="267" t="s">
        <v>944</v>
      </c>
      <c r="G7596" s="267" t="s">
        <v>3926</v>
      </c>
      <c r="H7596" s="267" t="s">
        <v>12463</v>
      </c>
      <c r="I7596" s="267" t="s">
        <v>4114</v>
      </c>
      <c r="J7596" s="267" t="s">
        <v>3928</v>
      </c>
      <c r="K7596" s="267">
        <v>6410</v>
      </c>
      <c r="L7596" s="267">
        <v>343200</v>
      </c>
      <c r="M7596" s="267" t="s">
        <v>3943</v>
      </c>
      <c r="N7596" s="267" t="s">
        <v>3944</v>
      </c>
      <c r="O7596" s="267">
        <v>3960</v>
      </c>
      <c r="P7596" s="267" t="s">
        <v>3944</v>
      </c>
      <c r="Q7596" s="267" t="s">
        <v>3944</v>
      </c>
      <c r="R7596" s="267">
        <v>3960</v>
      </c>
      <c r="S7596" s="267">
        <v>40244</v>
      </c>
      <c r="T7596" s="267">
        <v>44204</v>
      </c>
      <c r="U7596" s="268" t="s">
        <v>3945</v>
      </c>
      <c r="V7596" s="267" t="s">
        <v>944</v>
      </c>
    </row>
    <row r="7597" spans="1:22" hidden="1" x14ac:dyDescent="0.25">
      <c r="A7597" s="269">
        <v>43811</v>
      </c>
      <c r="B7597" s="270">
        <v>2019</v>
      </c>
      <c r="C7597" s="270">
        <v>2020</v>
      </c>
      <c r="D7597" s="270">
        <v>1</v>
      </c>
      <c r="E7597" s="270">
        <v>1</v>
      </c>
      <c r="F7597" s="270" t="s">
        <v>944</v>
      </c>
      <c r="G7597" s="270" t="s">
        <v>3926</v>
      </c>
      <c r="H7597" s="270" t="s">
        <v>12464</v>
      </c>
      <c r="I7597" s="270" t="s">
        <v>4170</v>
      </c>
      <c r="J7597" s="270" t="s">
        <v>3928</v>
      </c>
      <c r="K7597" s="270">
        <v>6498</v>
      </c>
      <c r="L7597" s="270">
        <v>680100</v>
      </c>
      <c r="M7597" s="270" t="s">
        <v>3935</v>
      </c>
      <c r="N7597" s="270" t="s">
        <v>3944</v>
      </c>
      <c r="O7597" s="270">
        <v>3323</v>
      </c>
      <c r="P7597" s="270" t="s">
        <v>3944</v>
      </c>
      <c r="Q7597" s="270" t="s">
        <v>3944</v>
      </c>
      <c r="R7597" s="270">
        <v>3323</v>
      </c>
      <c r="S7597" s="270">
        <v>56470</v>
      </c>
      <c r="T7597" s="270">
        <v>59793</v>
      </c>
      <c r="U7597" s="271" t="s">
        <v>3945</v>
      </c>
      <c r="V7597" s="267" t="s">
        <v>944</v>
      </c>
    </row>
    <row r="7598" spans="1:22" hidden="1" x14ac:dyDescent="0.25">
      <c r="A7598" s="266">
        <v>43811</v>
      </c>
      <c r="B7598" s="267">
        <v>2019</v>
      </c>
      <c r="C7598" s="267">
        <v>2020</v>
      </c>
      <c r="D7598" s="267">
        <v>1</v>
      </c>
      <c r="E7598" s="267">
        <v>1</v>
      </c>
      <c r="F7598" s="267" t="s">
        <v>944</v>
      </c>
      <c r="G7598" s="267" t="s">
        <v>3926</v>
      </c>
      <c r="H7598" s="267" t="s">
        <v>12465</v>
      </c>
      <c r="I7598" s="267" t="s">
        <v>4062</v>
      </c>
      <c r="J7598" s="267" t="s">
        <v>3928</v>
      </c>
      <c r="K7598" s="267">
        <v>6763</v>
      </c>
      <c r="L7598" s="267">
        <v>303100</v>
      </c>
      <c r="M7598" s="267" t="s">
        <v>3960</v>
      </c>
      <c r="N7598" s="267" t="s">
        <v>3944</v>
      </c>
      <c r="O7598" s="267">
        <v>3387</v>
      </c>
      <c r="P7598" s="267" t="s">
        <v>3944</v>
      </c>
      <c r="Q7598" s="267" t="s">
        <v>3944</v>
      </c>
      <c r="R7598" s="267">
        <v>3387</v>
      </c>
      <c r="S7598" s="267">
        <v>69511</v>
      </c>
      <c r="T7598" s="267">
        <v>72898</v>
      </c>
      <c r="U7598" s="268" t="s">
        <v>3945</v>
      </c>
      <c r="V7598" s="267" t="s">
        <v>944</v>
      </c>
    </row>
    <row r="7599" spans="1:22" hidden="1" x14ac:dyDescent="0.25">
      <c r="A7599" s="269">
        <v>43811</v>
      </c>
      <c r="B7599" s="270">
        <v>2019</v>
      </c>
      <c r="C7599" s="270">
        <v>2020</v>
      </c>
      <c r="D7599" s="270">
        <v>1</v>
      </c>
      <c r="E7599" s="270">
        <v>1</v>
      </c>
      <c r="F7599" s="270" t="s">
        <v>944</v>
      </c>
      <c r="G7599" s="270" t="s">
        <v>3926</v>
      </c>
      <c r="H7599" s="270" t="s">
        <v>12466</v>
      </c>
      <c r="I7599" s="270" t="s">
        <v>4040</v>
      </c>
      <c r="J7599" s="270" t="s">
        <v>3928</v>
      </c>
      <c r="K7599" s="270">
        <v>6339</v>
      </c>
      <c r="L7599" s="270">
        <v>701100</v>
      </c>
      <c r="M7599" s="270" t="s">
        <v>3960</v>
      </c>
      <c r="N7599" s="270" t="s">
        <v>3944</v>
      </c>
      <c r="O7599" s="270">
        <v>3787</v>
      </c>
      <c r="P7599" s="270" t="s">
        <v>3944</v>
      </c>
      <c r="Q7599" s="270" t="s">
        <v>3944</v>
      </c>
      <c r="R7599" s="270">
        <v>3787</v>
      </c>
      <c r="S7599" s="270">
        <v>21028.94</v>
      </c>
      <c r="T7599" s="270">
        <v>24815.94</v>
      </c>
      <c r="U7599" s="271" t="s">
        <v>3945</v>
      </c>
      <c r="V7599" s="267" t="s">
        <v>944</v>
      </c>
    </row>
    <row r="7600" spans="1:22" hidden="1" x14ac:dyDescent="0.25">
      <c r="A7600" s="266">
        <v>43811</v>
      </c>
      <c r="B7600" s="267">
        <v>2019</v>
      </c>
      <c r="C7600" s="267">
        <v>2020</v>
      </c>
      <c r="D7600" s="267">
        <v>1</v>
      </c>
      <c r="E7600" s="267">
        <v>1</v>
      </c>
      <c r="F7600" s="267" t="s">
        <v>944</v>
      </c>
      <c r="G7600" s="267" t="s">
        <v>3997</v>
      </c>
      <c r="H7600" s="267" t="s">
        <v>12467</v>
      </c>
      <c r="I7600" s="267" t="s">
        <v>3999</v>
      </c>
      <c r="J7600" s="267" t="s">
        <v>3928</v>
      </c>
      <c r="K7600" s="267">
        <v>6450</v>
      </c>
      <c r="L7600" s="267">
        <v>171400</v>
      </c>
      <c r="M7600" s="267">
        <v>-60</v>
      </c>
      <c r="N7600" s="267" t="s">
        <v>3944</v>
      </c>
      <c r="O7600" s="267">
        <v>1445.75</v>
      </c>
      <c r="P7600" s="267" t="s">
        <v>3944</v>
      </c>
      <c r="Q7600" s="267" t="s">
        <v>3944</v>
      </c>
      <c r="R7600" s="267">
        <v>1445.75</v>
      </c>
      <c r="S7600" s="267">
        <v>19719.05</v>
      </c>
      <c r="T7600" s="267">
        <v>21164.799999999999</v>
      </c>
      <c r="U7600" s="268" t="s">
        <v>3945</v>
      </c>
      <c r="V7600" s="267" t="s">
        <v>944</v>
      </c>
    </row>
    <row r="7601" spans="1:22" hidden="1" x14ac:dyDescent="0.25">
      <c r="A7601" s="269">
        <v>43811</v>
      </c>
      <c r="B7601" s="270">
        <v>2019</v>
      </c>
      <c r="C7601" s="270">
        <v>2020</v>
      </c>
      <c r="D7601" s="270">
        <v>1</v>
      </c>
      <c r="E7601" s="270">
        <v>1</v>
      </c>
      <c r="F7601" s="270" t="s">
        <v>944</v>
      </c>
      <c r="G7601" s="270" t="s">
        <v>3926</v>
      </c>
      <c r="H7601" s="270" t="s">
        <v>12468</v>
      </c>
      <c r="I7601" s="270" t="s">
        <v>3939</v>
      </c>
      <c r="J7601" s="270" t="s">
        <v>3928</v>
      </c>
      <c r="K7601" s="270">
        <v>6512</v>
      </c>
      <c r="L7601" s="270">
        <v>180200</v>
      </c>
      <c r="M7601" s="270" t="s">
        <v>3940</v>
      </c>
      <c r="N7601" s="270" t="s">
        <v>3944</v>
      </c>
      <c r="O7601" s="270">
        <v>4222</v>
      </c>
      <c r="P7601" s="270" t="s">
        <v>3944</v>
      </c>
      <c r="Q7601" s="270" t="s">
        <v>3944</v>
      </c>
      <c r="R7601" s="270">
        <v>4222</v>
      </c>
      <c r="S7601" s="270">
        <v>30372</v>
      </c>
      <c r="T7601" s="270">
        <v>34594</v>
      </c>
      <c r="U7601" s="271" t="s">
        <v>3945</v>
      </c>
      <c r="V7601" s="267" t="s">
        <v>944</v>
      </c>
    </row>
    <row r="7602" spans="1:22" hidden="1" x14ac:dyDescent="0.25">
      <c r="A7602" s="266">
        <v>43811</v>
      </c>
      <c r="B7602" s="267">
        <v>2019</v>
      </c>
      <c r="C7602" s="267">
        <v>2020</v>
      </c>
      <c r="D7602" s="267">
        <v>1</v>
      </c>
      <c r="E7602" s="267">
        <v>1</v>
      </c>
      <c r="F7602" s="267" t="s">
        <v>944</v>
      </c>
      <c r="G7602" s="267" t="s">
        <v>3926</v>
      </c>
      <c r="H7602" s="267" t="s">
        <v>12469</v>
      </c>
      <c r="I7602" s="267" t="s">
        <v>3025</v>
      </c>
      <c r="J7602" s="267" t="s">
        <v>3928</v>
      </c>
      <c r="K7602" s="267">
        <v>6473</v>
      </c>
      <c r="L7602" s="267">
        <v>180602</v>
      </c>
      <c r="M7602" s="267" t="s">
        <v>3935</v>
      </c>
      <c r="N7602" s="267" t="s">
        <v>3944</v>
      </c>
      <c r="O7602" s="267">
        <v>2878.44</v>
      </c>
      <c r="P7602" s="267" t="s">
        <v>3944</v>
      </c>
      <c r="Q7602" s="267" t="s">
        <v>3944</v>
      </c>
      <c r="R7602" s="267">
        <v>2878.44</v>
      </c>
      <c r="S7602" s="267">
        <v>45532.160000000003</v>
      </c>
      <c r="T7602" s="267">
        <v>48410.6</v>
      </c>
      <c r="U7602" s="268" t="s">
        <v>3945</v>
      </c>
      <c r="V7602" s="267" t="s">
        <v>944</v>
      </c>
    </row>
    <row r="7603" spans="1:22" hidden="1" x14ac:dyDescent="0.25">
      <c r="A7603" s="269">
        <v>43811</v>
      </c>
      <c r="B7603" s="270">
        <v>2019</v>
      </c>
      <c r="C7603" s="270">
        <v>2020</v>
      </c>
      <c r="D7603" s="270">
        <v>1</v>
      </c>
      <c r="E7603" s="270">
        <v>1</v>
      </c>
      <c r="F7603" s="270" t="s">
        <v>944</v>
      </c>
      <c r="G7603" s="270" t="s">
        <v>3926</v>
      </c>
      <c r="H7603" s="270" t="s">
        <v>12470</v>
      </c>
      <c r="I7603" s="270" t="s">
        <v>950</v>
      </c>
      <c r="J7603" s="270" t="s">
        <v>3928</v>
      </c>
      <c r="K7603" s="270">
        <v>6516</v>
      </c>
      <c r="L7603" s="270">
        <v>155000</v>
      </c>
      <c r="M7603" s="270" t="s">
        <v>3940</v>
      </c>
      <c r="N7603" s="270" t="s">
        <v>3944</v>
      </c>
      <c r="O7603" s="270">
        <v>1423.98</v>
      </c>
      <c r="P7603" s="270" t="s">
        <v>3944</v>
      </c>
      <c r="Q7603" s="270" t="s">
        <v>3944</v>
      </c>
      <c r="R7603" s="270">
        <v>1423.98</v>
      </c>
      <c r="S7603" s="270">
        <v>17624.34</v>
      </c>
      <c r="T7603" s="270">
        <v>19048.32</v>
      </c>
      <c r="U7603" s="271" t="s">
        <v>3945</v>
      </c>
      <c r="V7603" s="267" t="s">
        <v>944</v>
      </c>
    </row>
    <row r="7604" spans="1:22" hidden="1" x14ac:dyDescent="0.25">
      <c r="A7604" s="266">
        <v>43811</v>
      </c>
      <c r="B7604" s="267">
        <v>2019</v>
      </c>
      <c r="C7604" s="267">
        <v>2020</v>
      </c>
      <c r="D7604" s="267">
        <v>1</v>
      </c>
      <c r="E7604" s="267">
        <v>1</v>
      </c>
      <c r="F7604" s="267" t="s">
        <v>944</v>
      </c>
      <c r="G7604" s="267" t="s">
        <v>3926</v>
      </c>
      <c r="H7604" s="267" t="s">
        <v>12471</v>
      </c>
      <c r="I7604" s="267" t="s">
        <v>4040</v>
      </c>
      <c r="J7604" s="267" t="s">
        <v>3928</v>
      </c>
      <c r="K7604" s="267">
        <v>6339</v>
      </c>
      <c r="L7604" s="267">
        <v>701100</v>
      </c>
      <c r="M7604" s="267" t="s">
        <v>3960</v>
      </c>
      <c r="N7604" s="267" t="s">
        <v>3944</v>
      </c>
      <c r="O7604" s="267">
        <v>2559.9</v>
      </c>
      <c r="P7604" s="267" t="s">
        <v>3944</v>
      </c>
      <c r="Q7604" s="267" t="s">
        <v>3944</v>
      </c>
      <c r="R7604" s="267">
        <v>2559.9</v>
      </c>
      <c r="S7604" s="267">
        <v>40509.74</v>
      </c>
      <c r="T7604" s="267">
        <v>43069.64</v>
      </c>
      <c r="U7604" s="268" t="s">
        <v>3945</v>
      </c>
      <c r="V7604" s="267" t="s">
        <v>944</v>
      </c>
    </row>
    <row r="7605" spans="1:22" hidden="1" x14ac:dyDescent="0.25">
      <c r="A7605" s="269">
        <v>43811</v>
      </c>
      <c r="B7605" s="270">
        <v>2019</v>
      </c>
      <c r="C7605" s="270">
        <v>2020</v>
      </c>
      <c r="D7605" s="270">
        <v>1</v>
      </c>
      <c r="E7605" s="270">
        <v>1</v>
      </c>
      <c r="F7605" s="270" t="s">
        <v>944</v>
      </c>
      <c r="G7605" s="270" t="s">
        <v>3926</v>
      </c>
      <c r="H7605" s="270" t="s">
        <v>12472</v>
      </c>
      <c r="I7605" s="270" t="s">
        <v>956</v>
      </c>
      <c r="J7605" s="270" t="s">
        <v>3928</v>
      </c>
      <c r="K7605" s="270">
        <v>6614</v>
      </c>
      <c r="L7605" s="270">
        <v>80900</v>
      </c>
      <c r="M7605" s="270" t="s">
        <v>3960</v>
      </c>
      <c r="N7605" s="270" t="s">
        <v>3944</v>
      </c>
      <c r="O7605" s="270">
        <v>2237.59</v>
      </c>
      <c r="P7605" s="270" t="s">
        <v>3944</v>
      </c>
      <c r="Q7605" s="270" t="s">
        <v>3944</v>
      </c>
      <c r="R7605" s="270">
        <v>2237.59</v>
      </c>
      <c r="S7605" s="270">
        <v>33474.449999999997</v>
      </c>
      <c r="T7605" s="270">
        <v>35712.04</v>
      </c>
      <c r="U7605" s="271" t="s">
        <v>3945</v>
      </c>
      <c r="V7605" s="267" t="s">
        <v>944</v>
      </c>
    </row>
    <row r="7606" spans="1:22" hidden="1" x14ac:dyDescent="0.25">
      <c r="A7606" s="266">
        <v>43811</v>
      </c>
      <c r="B7606" s="267">
        <v>2019</v>
      </c>
      <c r="C7606" s="267">
        <v>2020</v>
      </c>
      <c r="D7606" s="267">
        <v>1</v>
      </c>
      <c r="E7606" s="267">
        <v>1</v>
      </c>
      <c r="F7606" s="267" t="s">
        <v>944</v>
      </c>
      <c r="G7606" s="267" t="s">
        <v>3926</v>
      </c>
      <c r="H7606" s="267" t="s">
        <v>12473</v>
      </c>
      <c r="I7606" s="267" t="s">
        <v>4159</v>
      </c>
      <c r="J7606" s="267" t="s">
        <v>3928</v>
      </c>
      <c r="K7606" s="267">
        <v>6088</v>
      </c>
      <c r="L7606" s="267">
        <v>484100</v>
      </c>
      <c r="M7606" s="267" t="s">
        <v>3935</v>
      </c>
      <c r="N7606" s="267" t="s">
        <v>3944</v>
      </c>
      <c r="O7606" s="267">
        <v>5458.67</v>
      </c>
      <c r="P7606" s="267" t="s">
        <v>3944</v>
      </c>
      <c r="Q7606" s="267" t="s">
        <v>3944</v>
      </c>
      <c r="R7606" s="267">
        <v>5458.67</v>
      </c>
      <c r="S7606" s="267">
        <v>65821.33</v>
      </c>
      <c r="T7606" s="267">
        <v>71280</v>
      </c>
      <c r="U7606" s="268" t="s">
        <v>3945</v>
      </c>
      <c r="V7606" s="267" t="s">
        <v>944</v>
      </c>
    </row>
    <row r="7607" spans="1:22" hidden="1" x14ac:dyDescent="0.25">
      <c r="A7607" s="269">
        <v>43811</v>
      </c>
      <c r="B7607" s="270">
        <v>2019</v>
      </c>
      <c r="C7607" s="270">
        <v>2020</v>
      </c>
      <c r="D7607" s="270">
        <v>1</v>
      </c>
      <c r="E7607" s="270">
        <v>1</v>
      </c>
      <c r="F7607" s="270" t="s">
        <v>944</v>
      </c>
      <c r="G7607" s="270" t="s">
        <v>3926</v>
      </c>
      <c r="H7607" s="270" t="s">
        <v>12474</v>
      </c>
      <c r="I7607" s="270" t="s">
        <v>3956</v>
      </c>
      <c r="J7607" s="270" t="s">
        <v>3928</v>
      </c>
      <c r="K7607" s="270">
        <v>6106</v>
      </c>
      <c r="L7607" s="270">
        <v>504800</v>
      </c>
      <c r="M7607" s="270" t="s">
        <v>3940</v>
      </c>
      <c r="N7607" s="270" t="s">
        <v>3944</v>
      </c>
      <c r="O7607" s="270">
        <v>2026.05</v>
      </c>
      <c r="P7607" s="270" t="s">
        <v>3944</v>
      </c>
      <c r="Q7607" s="270" t="s">
        <v>3944</v>
      </c>
      <c r="R7607" s="270">
        <v>2026.05</v>
      </c>
      <c r="S7607" s="270">
        <v>30120.22</v>
      </c>
      <c r="T7607" s="270">
        <v>32146.27</v>
      </c>
      <c r="U7607" s="271" t="s">
        <v>3945</v>
      </c>
      <c r="V7607" s="267" t="s">
        <v>944</v>
      </c>
    </row>
    <row r="7608" spans="1:22" hidden="1" x14ac:dyDescent="0.25">
      <c r="A7608" s="266">
        <v>43811</v>
      </c>
      <c r="B7608" s="267">
        <v>2019</v>
      </c>
      <c r="C7608" s="267">
        <v>2020</v>
      </c>
      <c r="D7608" s="267">
        <v>1</v>
      </c>
      <c r="E7608" s="267">
        <v>1</v>
      </c>
      <c r="F7608" s="267" t="s">
        <v>944</v>
      </c>
      <c r="G7608" s="267" t="s">
        <v>3926</v>
      </c>
      <c r="H7608" s="267" t="s">
        <v>12475</v>
      </c>
      <c r="I7608" s="267" t="s">
        <v>4269</v>
      </c>
      <c r="J7608" s="267" t="s">
        <v>3928</v>
      </c>
      <c r="K7608" s="267">
        <v>6110</v>
      </c>
      <c r="L7608" s="267">
        <v>496800</v>
      </c>
      <c r="M7608" s="267" t="s">
        <v>3935</v>
      </c>
      <c r="N7608" s="267" t="s">
        <v>3944</v>
      </c>
      <c r="O7608" s="267">
        <v>1322.58</v>
      </c>
      <c r="P7608" s="267" t="s">
        <v>3944</v>
      </c>
      <c r="Q7608" s="267" t="s">
        <v>3944</v>
      </c>
      <c r="R7608" s="267">
        <v>1322.58</v>
      </c>
      <c r="S7608" s="267">
        <v>18688.28</v>
      </c>
      <c r="T7608" s="267">
        <v>20010.86</v>
      </c>
      <c r="U7608" s="268" t="s">
        <v>3945</v>
      </c>
      <c r="V7608" s="267" t="s">
        <v>944</v>
      </c>
    </row>
    <row r="7609" spans="1:22" hidden="1" x14ac:dyDescent="0.25">
      <c r="A7609" s="269">
        <v>43811</v>
      </c>
      <c r="B7609" s="270">
        <v>2019</v>
      </c>
      <c r="C7609" s="270">
        <v>2020</v>
      </c>
      <c r="D7609" s="270">
        <v>1</v>
      </c>
      <c r="E7609" s="270">
        <v>1</v>
      </c>
      <c r="F7609" s="270" t="s">
        <v>944</v>
      </c>
      <c r="G7609" s="270" t="s">
        <v>3926</v>
      </c>
      <c r="H7609" s="270" t="s">
        <v>12476</v>
      </c>
      <c r="I7609" s="270" t="s">
        <v>3956</v>
      </c>
      <c r="J7609" s="270" t="s">
        <v>3928</v>
      </c>
      <c r="K7609" s="270">
        <v>6112</v>
      </c>
      <c r="L7609" s="270">
        <v>503900</v>
      </c>
      <c r="M7609" s="270">
        <v>-60</v>
      </c>
      <c r="N7609" s="270" t="s">
        <v>3944</v>
      </c>
      <c r="O7609" s="270">
        <v>1253.07</v>
      </c>
      <c r="P7609" s="270" t="s">
        <v>3944</v>
      </c>
      <c r="Q7609" s="270" t="s">
        <v>3944</v>
      </c>
      <c r="R7609" s="270">
        <v>1253.07</v>
      </c>
      <c r="S7609" s="270">
        <v>21165.53</v>
      </c>
      <c r="T7609" s="270">
        <v>22418.6</v>
      </c>
      <c r="U7609" s="271" t="s">
        <v>3945</v>
      </c>
      <c r="V7609" s="267" t="s">
        <v>944</v>
      </c>
    </row>
    <row r="7610" spans="1:22" hidden="1" x14ac:dyDescent="0.25">
      <c r="A7610" s="266">
        <v>43811</v>
      </c>
      <c r="B7610" s="267">
        <v>2019</v>
      </c>
      <c r="C7610" s="267">
        <v>2020</v>
      </c>
      <c r="D7610" s="267">
        <v>1</v>
      </c>
      <c r="E7610" s="267">
        <v>1</v>
      </c>
      <c r="F7610" s="267" t="s">
        <v>944</v>
      </c>
      <c r="G7610" s="267" t="s">
        <v>3926</v>
      </c>
      <c r="H7610" s="267" t="s">
        <v>12477</v>
      </c>
      <c r="I7610" s="267" t="s">
        <v>4947</v>
      </c>
      <c r="J7610" s="267" t="s">
        <v>3928</v>
      </c>
      <c r="K7610" s="267">
        <v>6787</v>
      </c>
      <c r="L7610" s="267">
        <v>349100</v>
      </c>
      <c r="M7610" s="267" t="s">
        <v>3935</v>
      </c>
      <c r="N7610" s="267" t="s">
        <v>3944</v>
      </c>
      <c r="O7610" s="267">
        <v>3742.87</v>
      </c>
      <c r="P7610" s="267" t="s">
        <v>3944</v>
      </c>
      <c r="Q7610" s="267" t="s">
        <v>3944</v>
      </c>
      <c r="R7610" s="267">
        <v>3742.87</v>
      </c>
      <c r="S7610" s="267">
        <v>55018.42</v>
      </c>
      <c r="T7610" s="267">
        <v>58761.29</v>
      </c>
      <c r="U7610" s="268" t="s">
        <v>3945</v>
      </c>
      <c r="V7610" s="267" t="s">
        <v>944</v>
      </c>
    </row>
    <row r="7611" spans="1:22" hidden="1" x14ac:dyDescent="0.25">
      <c r="A7611" s="269">
        <v>43811</v>
      </c>
      <c r="B7611" s="270">
        <v>2019</v>
      </c>
      <c r="C7611" s="270">
        <v>2020</v>
      </c>
      <c r="D7611" s="270">
        <v>1</v>
      </c>
      <c r="E7611" s="270">
        <v>1</v>
      </c>
      <c r="F7611" s="270" t="s">
        <v>944</v>
      </c>
      <c r="G7611" s="270" t="s">
        <v>3926</v>
      </c>
      <c r="H7611" s="270" t="s">
        <v>12478</v>
      </c>
      <c r="I7611" s="270" t="s">
        <v>3008</v>
      </c>
      <c r="J7611" s="270" t="s">
        <v>3928</v>
      </c>
      <c r="K7611" s="270">
        <v>6460</v>
      </c>
      <c r="L7611" s="270">
        <v>151100</v>
      </c>
      <c r="M7611" s="270" t="s">
        <v>3960</v>
      </c>
      <c r="N7611" s="270" t="s">
        <v>3944</v>
      </c>
      <c r="O7611" s="270">
        <v>1533.07</v>
      </c>
      <c r="P7611" s="270" t="s">
        <v>3944</v>
      </c>
      <c r="Q7611" s="270" t="s">
        <v>3944</v>
      </c>
      <c r="R7611" s="270">
        <v>1533.07</v>
      </c>
      <c r="S7611" s="270">
        <v>25094.59</v>
      </c>
      <c r="T7611" s="270">
        <v>26627.66</v>
      </c>
      <c r="U7611" s="271" t="s">
        <v>3945</v>
      </c>
      <c r="V7611" s="267" t="s">
        <v>944</v>
      </c>
    </row>
    <row r="7612" spans="1:22" hidden="1" x14ac:dyDescent="0.25">
      <c r="A7612" s="266">
        <v>43811</v>
      </c>
      <c r="B7612" s="267">
        <v>2019</v>
      </c>
      <c r="C7612" s="267">
        <v>2020</v>
      </c>
      <c r="D7612" s="267">
        <v>1</v>
      </c>
      <c r="E7612" s="267">
        <v>1</v>
      </c>
      <c r="F7612" s="267" t="s">
        <v>944</v>
      </c>
      <c r="G7612" s="267" t="s">
        <v>3926</v>
      </c>
      <c r="H7612" s="267" t="s">
        <v>12479</v>
      </c>
      <c r="I7612" s="267" t="s">
        <v>4079</v>
      </c>
      <c r="J7612" s="267" t="s">
        <v>3928</v>
      </c>
      <c r="K7612" s="267">
        <v>6111</v>
      </c>
      <c r="L7612" s="267">
        <v>494400</v>
      </c>
      <c r="M7612" s="267" t="s">
        <v>3935</v>
      </c>
      <c r="N7612" s="267" t="s">
        <v>3944</v>
      </c>
      <c r="O7612" s="267">
        <v>1319.68</v>
      </c>
      <c r="P7612" s="267" t="s">
        <v>3944</v>
      </c>
      <c r="Q7612" s="267" t="s">
        <v>3944</v>
      </c>
      <c r="R7612" s="267">
        <v>1319.68</v>
      </c>
      <c r="S7612" s="267">
        <v>21360.32</v>
      </c>
      <c r="T7612" s="267">
        <v>22680</v>
      </c>
      <c r="U7612" s="268" t="s">
        <v>3945</v>
      </c>
      <c r="V7612" s="267" t="s">
        <v>944</v>
      </c>
    </row>
    <row r="7613" spans="1:22" hidden="1" x14ac:dyDescent="0.25">
      <c r="A7613" s="269">
        <v>43811</v>
      </c>
      <c r="B7613" s="270">
        <v>2019</v>
      </c>
      <c r="C7613" s="270">
        <v>2020</v>
      </c>
      <c r="D7613" s="270">
        <v>1</v>
      </c>
      <c r="E7613" s="270">
        <v>1</v>
      </c>
      <c r="F7613" s="270" t="s">
        <v>944</v>
      </c>
      <c r="G7613" s="270" t="s">
        <v>3926</v>
      </c>
      <c r="H7613" s="270" t="s">
        <v>12480</v>
      </c>
      <c r="I7613" s="270" t="s">
        <v>4213</v>
      </c>
      <c r="J7613" s="270" t="s">
        <v>3928</v>
      </c>
      <c r="K7613" s="270">
        <v>6053</v>
      </c>
      <c r="L7613" s="270">
        <v>416700</v>
      </c>
      <c r="M7613" s="270">
        <v>-60</v>
      </c>
      <c r="N7613" s="270" t="s">
        <v>3944</v>
      </c>
      <c r="O7613" s="270">
        <v>2578.98</v>
      </c>
      <c r="P7613" s="270" t="s">
        <v>3944</v>
      </c>
      <c r="Q7613" s="270" t="s">
        <v>3944</v>
      </c>
      <c r="R7613" s="270">
        <v>2578.98</v>
      </c>
      <c r="S7613" s="270">
        <v>37930.28</v>
      </c>
      <c r="T7613" s="270">
        <v>40509.26</v>
      </c>
      <c r="U7613" s="271" t="s">
        <v>3945</v>
      </c>
      <c r="V7613" s="267" t="s">
        <v>944</v>
      </c>
    </row>
    <row r="7614" spans="1:22" hidden="1" x14ac:dyDescent="0.25">
      <c r="A7614" s="266">
        <v>43811</v>
      </c>
      <c r="B7614" s="267">
        <v>2019</v>
      </c>
      <c r="C7614" s="267">
        <v>2020</v>
      </c>
      <c r="D7614" s="267">
        <v>1</v>
      </c>
      <c r="E7614" s="267">
        <v>1</v>
      </c>
      <c r="F7614" s="267" t="s">
        <v>944</v>
      </c>
      <c r="G7614" s="267" t="s">
        <v>3926</v>
      </c>
      <c r="H7614" s="267" t="s">
        <v>12481</v>
      </c>
      <c r="I7614" s="267" t="s">
        <v>953</v>
      </c>
      <c r="J7614" s="267" t="s">
        <v>3928</v>
      </c>
      <c r="K7614" s="267">
        <v>6517</v>
      </c>
      <c r="L7614" s="267">
        <v>165100</v>
      </c>
      <c r="M7614" s="267" t="s">
        <v>3935</v>
      </c>
      <c r="N7614" s="267" t="s">
        <v>3944</v>
      </c>
      <c r="O7614" s="267">
        <v>1605.24</v>
      </c>
      <c r="P7614" s="267" t="s">
        <v>3944</v>
      </c>
      <c r="Q7614" s="267" t="s">
        <v>3944</v>
      </c>
      <c r="R7614" s="267">
        <v>1605.24</v>
      </c>
      <c r="S7614" s="267">
        <v>26647.759999999998</v>
      </c>
      <c r="T7614" s="267">
        <v>28253</v>
      </c>
      <c r="U7614" s="268" t="s">
        <v>3945</v>
      </c>
      <c r="V7614" s="267" t="s">
        <v>944</v>
      </c>
    </row>
    <row r="7615" spans="1:22" hidden="1" x14ac:dyDescent="0.25">
      <c r="A7615" s="269">
        <v>43811</v>
      </c>
      <c r="B7615" s="270">
        <v>2019</v>
      </c>
      <c r="C7615" s="270">
        <v>2020</v>
      </c>
      <c r="D7615" s="270">
        <v>1</v>
      </c>
      <c r="E7615" s="270">
        <v>1</v>
      </c>
      <c r="F7615" s="270" t="s">
        <v>944</v>
      </c>
      <c r="G7615" s="270" t="s">
        <v>3926</v>
      </c>
      <c r="H7615" s="270" t="s">
        <v>12482</v>
      </c>
      <c r="I7615" s="270" t="s">
        <v>4011</v>
      </c>
      <c r="J7615" s="270" t="s">
        <v>3928</v>
      </c>
      <c r="K7615" s="270">
        <v>6002</v>
      </c>
      <c r="L7615" s="270">
        <v>471400</v>
      </c>
      <c r="M7615" s="270" t="s">
        <v>3943</v>
      </c>
      <c r="N7615" s="270" t="s">
        <v>3944</v>
      </c>
      <c r="O7615" s="270">
        <v>1245.6199999999999</v>
      </c>
      <c r="P7615" s="270" t="s">
        <v>3944</v>
      </c>
      <c r="Q7615" s="270" t="s">
        <v>3944</v>
      </c>
      <c r="R7615" s="270">
        <v>1245.6199999999999</v>
      </c>
      <c r="S7615" s="270">
        <v>16424.62</v>
      </c>
      <c r="T7615" s="270">
        <v>17670.240000000002</v>
      </c>
      <c r="U7615" s="271" t="s">
        <v>3945</v>
      </c>
      <c r="V7615" s="267" t="s">
        <v>944</v>
      </c>
    </row>
    <row r="7616" spans="1:22" hidden="1" x14ac:dyDescent="0.25">
      <c r="A7616" s="266">
        <v>43811</v>
      </c>
      <c r="B7616" s="267">
        <v>2019</v>
      </c>
      <c r="C7616" s="267">
        <v>2020</v>
      </c>
      <c r="D7616" s="267">
        <v>1</v>
      </c>
      <c r="E7616" s="267">
        <v>1</v>
      </c>
      <c r="F7616" s="267" t="s">
        <v>944</v>
      </c>
      <c r="G7616" s="267" t="s">
        <v>3926</v>
      </c>
      <c r="H7616" s="267" t="s">
        <v>12483</v>
      </c>
      <c r="I7616" s="267" t="s">
        <v>4683</v>
      </c>
      <c r="J7616" s="267" t="s">
        <v>3928</v>
      </c>
      <c r="K7616" s="267">
        <v>6762</v>
      </c>
      <c r="L7616" s="267">
        <v>344200</v>
      </c>
      <c r="M7616" s="267" t="s">
        <v>3943</v>
      </c>
      <c r="N7616" s="267" t="s">
        <v>3944</v>
      </c>
      <c r="O7616" s="267">
        <v>2834.9</v>
      </c>
      <c r="P7616" s="267" t="s">
        <v>3944</v>
      </c>
      <c r="Q7616" s="267" t="s">
        <v>3944</v>
      </c>
      <c r="R7616" s="267">
        <v>2834.9</v>
      </c>
      <c r="S7616" s="267">
        <v>40398.85</v>
      </c>
      <c r="T7616" s="267">
        <v>43233.75</v>
      </c>
      <c r="U7616" s="268" t="s">
        <v>3945</v>
      </c>
      <c r="V7616" s="267" t="s">
        <v>944</v>
      </c>
    </row>
    <row r="7617" spans="1:22" hidden="1" x14ac:dyDescent="0.25">
      <c r="A7617" s="269">
        <v>43811</v>
      </c>
      <c r="B7617" s="270">
        <v>2019</v>
      </c>
      <c r="C7617" s="270">
        <v>2020</v>
      </c>
      <c r="D7617" s="270">
        <v>1</v>
      </c>
      <c r="E7617" s="270">
        <v>1</v>
      </c>
      <c r="F7617" s="270" t="s">
        <v>944</v>
      </c>
      <c r="G7617" s="270" t="s">
        <v>3926</v>
      </c>
      <c r="H7617" s="270" t="s">
        <v>12484</v>
      </c>
      <c r="I7617" s="270" t="s">
        <v>4159</v>
      </c>
      <c r="J7617" s="270" t="s">
        <v>3928</v>
      </c>
      <c r="K7617" s="270">
        <v>6088</v>
      </c>
      <c r="L7617" s="270">
        <v>484100</v>
      </c>
      <c r="M7617" s="270" t="s">
        <v>3935</v>
      </c>
      <c r="N7617" s="270" t="s">
        <v>3944</v>
      </c>
      <c r="O7617" s="270">
        <v>1811.81</v>
      </c>
      <c r="P7617" s="270" t="s">
        <v>3944</v>
      </c>
      <c r="Q7617" s="270" t="s">
        <v>3944</v>
      </c>
      <c r="R7617" s="270">
        <v>1811.81</v>
      </c>
      <c r="S7617" s="270">
        <v>25640.19</v>
      </c>
      <c r="T7617" s="270">
        <v>27452</v>
      </c>
      <c r="U7617" s="271" t="s">
        <v>3945</v>
      </c>
      <c r="V7617" s="267" t="s">
        <v>944</v>
      </c>
    </row>
    <row r="7618" spans="1:22" hidden="1" x14ac:dyDescent="0.25">
      <c r="A7618" s="266">
        <v>43811</v>
      </c>
      <c r="B7618" s="267">
        <v>2019</v>
      </c>
      <c r="C7618" s="267">
        <v>2020</v>
      </c>
      <c r="D7618" s="267">
        <v>1</v>
      </c>
      <c r="E7618" s="267">
        <v>1</v>
      </c>
      <c r="F7618" s="267" t="s">
        <v>944</v>
      </c>
      <c r="G7618" s="267" t="s">
        <v>3926</v>
      </c>
      <c r="H7618" s="267" t="s">
        <v>12485</v>
      </c>
      <c r="I7618" s="267" t="s">
        <v>3008</v>
      </c>
      <c r="J7618" s="267" t="s">
        <v>3928</v>
      </c>
      <c r="K7618" s="267">
        <v>6460</v>
      </c>
      <c r="L7618" s="267">
        <v>151000</v>
      </c>
      <c r="M7618" s="267" t="s">
        <v>3960</v>
      </c>
      <c r="N7618" s="267" t="s">
        <v>3944</v>
      </c>
      <c r="O7618" s="267">
        <v>2828.88</v>
      </c>
      <c r="P7618" s="267" t="s">
        <v>3944</v>
      </c>
      <c r="Q7618" s="267" t="s">
        <v>3944</v>
      </c>
      <c r="R7618" s="267">
        <v>2828.88</v>
      </c>
      <c r="S7618" s="267">
        <v>50565.07</v>
      </c>
      <c r="T7618" s="267">
        <v>53393.95</v>
      </c>
      <c r="U7618" s="268" t="s">
        <v>3945</v>
      </c>
      <c r="V7618" s="267" t="s">
        <v>944</v>
      </c>
    </row>
    <row r="7619" spans="1:22" hidden="1" x14ac:dyDescent="0.25">
      <c r="A7619" s="269">
        <v>43811</v>
      </c>
      <c r="B7619" s="270">
        <v>2019</v>
      </c>
      <c r="C7619" s="270">
        <v>2020</v>
      </c>
      <c r="D7619" s="270">
        <v>1</v>
      </c>
      <c r="E7619" s="270">
        <v>1</v>
      </c>
      <c r="F7619" s="270" t="s">
        <v>944</v>
      </c>
      <c r="G7619" s="270" t="s">
        <v>3926</v>
      </c>
      <c r="H7619" s="270" t="s">
        <v>12486</v>
      </c>
      <c r="I7619" s="270" t="s">
        <v>4172</v>
      </c>
      <c r="J7619" s="270" t="s">
        <v>3928</v>
      </c>
      <c r="K7619" s="270">
        <v>6786</v>
      </c>
      <c r="L7619" s="270">
        <v>425300</v>
      </c>
      <c r="M7619" s="270" t="s">
        <v>3960</v>
      </c>
      <c r="N7619" s="270" t="s">
        <v>3944</v>
      </c>
      <c r="O7619" s="270">
        <v>3434.69</v>
      </c>
      <c r="P7619" s="270" t="s">
        <v>3944</v>
      </c>
      <c r="Q7619" s="270" t="s">
        <v>3944</v>
      </c>
      <c r="R7619" s="270">
        <v>3434.69</v>
      </c>
      <c r="S7619" s="270">
        <v>47561.77</v>
      </c>
      <c r="T7619" s="270">
        <v>50996.46</v>
      </c>
      <c r="U7619" s="271" t="s">
        <v>3945</v>
      </c>
      <c r="V7619" s="267" t="s">
        <v>944</v>
      </c>
    </row>
    <row r="7620" spans="1:22" hidden="1" x14ac:dyDescent="0.25">
      <c r="A7620" s="266">
        <v>43811</v>
      </c>
      <c r="B7620" s="267">
        <v>2019</v>
      </c>
      <c r="C7620" s="267">
        <v>2020</v>
      </c>
      <c r="D7620" s="267">
        <v>1</v>
      </c>
      <c r="E7620" s="267">
        <v>1</v>
      </c>
      <c r="F7620" s="267" t="s">
        <v>944</v>
      </c>
      <c r="G7620" s="267" t="s">
        <v>3926</v>
      </c>
      <c r="H7620" s="267" t="s">
        <v>12487</v>
      </c>
      <c r="I7620" s="267" t="s">
        <v>4019</v>
      </c>
      <c r="J7620" s="267" t="s">
        <v>3928</v>
      </c>
      <c r="K7620" s="267">
        <v>6705</v>
      </c>
      <c r="L7620" s="267">
        <v>352600</v>
      </c>
      <c r="M7620" s="267">
        <v>-60</v>
      </c>
      <c r="N7620" s="267" t="s">
        <v>3944</v>
      </c>
      <c r="O7620" s="267">
        <v>747.67</v>
      </c>
      <c r="P7620" s="267" t="s">
        <v>3944</v>
      </c>
      <c r="Q7620" s="267" t="s">
        <v>3944</v>
      </c>
      <c r="R7620" s="267">
        <v>747.67</v>
      </c>
      <c r="S7620" s="267">
        <v>12223.91</v>
      </c>
      <c r="T7620" s="267">
        <v>12971.58</v>
      </c>
      <c r="U7620" s="268" t="s">
        <v>3945</v>
      </c>
      <c r="V7620" s="267" t="s">
        <v>944</v>
      </c>
    </row>
    <row r="7621" spans="1:22" hidden="1" x14ac:dyDescent="0.25">
      <c r="A7621" s="269">
        <v>43811</v>
      </c>
      <c r="B7621" s="270">
        <v>2019</v>
      </c>
      <c r="C7621" s="270">
        <v>2020</v>
      </c>
      <c r="D7621" s="270">
        <v>1</v>
      </c>
      <c r="E7621" s="270">
        <v>1</v>
      </c>
      <c r="F7621" s="270" t="s">
        <v>944</v>
      </c>
      <c r="G7621" s="270" t="s">
        <v>3926</v>
      </c>
      <c r="H7621" s="270" t="s">
        <v>12488</v>
      </c>
      <c r="I7621" s="270" t="s">
        <v>3008</v>
      </c>
      <c r="J7621" s="270" t="s">
        <v>3928</v>
      </c>
      <c r="K7621" s="270">
        <v>6460</v>
      </c>
      <c r="L7621" s="270">
        <v>151100</v>
      </c>
      <c r="M7621" s="270" t="s">
        <v>3960</v>
      </c>
      <c r="N7621" s="270" t="s">
        <v>3944</v>
      </c>
      <c r="O7621" s="270">
        <v>1766.8</v>
      </c>
      <c r="P7621" s="270" t="s">
        <v>3944</v>
      </c>
      <c r="Q7621" s="270" t="s">
        <v>3944</v>
      </c>
      <c r="R7621" s="270">
        <v>1766.8</v>
      </c>
      <c r="S7621" s="270">
        <v>29980.400000000001</v>
      </c>
      <c r="T7621" s="270">
        <v>31747.200000000001</v>
      </c>
      <c r="U7621" s="271" t="s">
        <v>3945</v>
      </c>
      <c r="V7621" s="267" t="s">
        <v>944</v>
      </c>
    </row>
    <row r="7622" spans="1:22" hidden="1" x14ac:dyDescent="0.25">
      <c r="A7622" s="266">
        <v>43811</v>
      </c>
      <c r="B7622" s="267">
        <v>2019</v>
      </c>
      <c r="C7622" s="267">
        <v>2020</v>
      </c>
      <c r="D7622" s="267">
        <v>1</v>
      </c>
      <c r="E7622" s="267">
        <v>1</v>
      </c>
      <c r="F7622" s="267" t="s">
        <v>944</v>
      </c>
      <c r="G7622" s="267" t="s">
        <v>3926</v>
      </c>
      <c r="H7622" s="267" t="s">
        <v>12489</v>
      </c>
      <c r="I7622" s="267" t="s">
        <v>4008</v>
      </c>
      <c r="J7622" s="267" t="s">
        <v>3928</v>
      </c>
      <c r="K7622" s="267">
        <v>6320</v>
      </c>
      <c r="L7622" s="267">
        <v>690800</v>
      </c>
      <c r="M7622" s="267">
        <v>-60</v>
      </c>
      <c r="N7622" s="267" t="s">
        <v>3944</v>
      </c>
      <c r="O7622" s="267">
        <v>978.08</v>
      </c>
      <c r="P7622" s="267" t="s">
        <v>3944</v>
      </c>
      <c r="Q7622" s="267" t="s">
        <v>3944</v>
      </c>
      <c r="R7622" s="267">
        <v>978.08</v>
      </c>
      <c r="S7622" s="267">
        <v>14406.52</v>
      </c>
      <c r="T7622" s="267">
        <v>15384.6</v>
      </c>
      <c r="U7622" s="268" t="s">
        <v>3945</v>
      </c>
      <c r="V7622" s="267" t="s">
        <v>944</v>
      </c>
    </row>
    <row r="7623" spans="1:22" hidden="1" x14ac:dyDescent="0.25">
      <c r="A7623" s="269">
        <v>43811</v>
      </c>
      <c r="B7623" s="270">
        <v>2019</v>
      </c>
      <c r="C7623" s="270">
        <v>2020</v>
      </c>
      <c r="D7623" s="270">
        <v>1</v>
      </c>
      <c r="E7623" s="270">
        <v>1</v>
      </c>
      <c r="F7623" s="270" t="s">
        <v>944</v>
      </c>
      <c r="G7623" s="270" t="s">
        <v>3926</v>
      </c>
      <c r="H7623" s="270" t="s">
        <v>12490</v>
      </c>
      <c r="I7623" s="270" t="s">
        <v>4213</v>
      </c>
      <c r="J7623" s="270" t="s">
        <v>3928</v>
      </c>
      <c r="K7623" s="270">
        <v>6053</v>
      </c>
      <c r="L7623" s="270">
        <v>416500</v>
      </c>
      <c r="M7623" s="270" t="s">
        <v>3940</v>
      </c>
      <c r="N7623" s="270" t="s">
        <v>3944</v>
      </c>
      <c r="O7623" s="270">
        <v>2841.93</v>
      </c>
      <c r="P7623" s="270" t="s">
        <v>3944</v>
      </c>
      <c r="Q7623" s="270" t="s">
        <v>3944</v>
      </c>
      <c r="R7623" s="270">
        <v>2841.93</v>
      </c>
      <c r="S7623" s="270">
        <v>42505.05</v>
      </c>
      <c r="T7623" s="270">
        <v>45346.98</v>
      </c>
      <c r="U7623" s="271" t="s">
        <v>3945</v>
      </c>
      <c r="V7623" s="267" t="s">
        <v>944</v>
      </c>
    </row>
    <row r="7624" spans="1:22" hidden="1" x14ac:dyDescent="0.25">
      <c r="A7624" s="266">
        <v>43811</v>
      </c>
      <c r="B7624" s="267">
        <v>2019</v>
      </c>
      <c r="C7624" s="267">
        <v>2020</v>
      </c>
      <c r="D7624" s="267">
        <v>1</v>
      </c>
      <c r="E7624" s="267">
        <v>1</v>
      </c>
      <c r="F7624" s="267" t="s">
        <v>944</v>
      </c>
      <c r="G7624" s="267" t="s">
        <v>3926</v>
      </c>
      <c r="H7624" s="267" t="s">
        <v>12491</v>
      </c>
      <c r="I7624" s="267" t="s">
        <v>5032</v>
      </c>
      <c r="J7624" s="267" t="s">
        <v>3928</v>
      </c>
      <c r="K7624" s="267">
        <v>6062</v>
      </c>
      <c r="L7624" s="267">
        <v>420700</v>
      </c>
      <c r="M7624" s="267" t="s">
        <v>3935</v>
      </c>
      <c r="N7624" s="267" t="s">
        <v>3944</v>
      </c>
      <c r="O7624" s="267">
        <v>3679.62</v>
      </c>
      <c r="P7624" s="267" t="s">
        <v>3944</v>
      </c>
      <c r="Q7624" s="267" t="s">
        <v>3944</v>
      </c>
      <c r="R7624" s="267">
        <v>3679.62</v>
      </c>
      <c r="S7624" s="267">
        <v>51606.45</v>
      </c>
      <c r="T7624" s="267">
        <v>55286.07</v>
      </c>
      <c r="U7624" s="268" t="s">
        <v>3945</v>
      </c>
      <c r="V7624" s="267" t="s">
        <v>944</v>
      </c>
    </row>
    <row r="7625" spans="1:22" hidden="1" x14ac:dyDescent="0.25">
      <c r="A7625" s="269">
        <v>43811</v>
      </c>
      <c r="B7625" s="270">
        <v>2019</v>
      </c>
      <c r="C7625" s="270">
        <v>2020</v>
      </c>
      <c r="D7625" s="270">
        <v>1</v>
      </c>
      <c r="E7625" s="270">
        <v>1</v>
      </c>
      <c r="F7625" s="270" t="s">
        <v>944</v>
      </c>
      <c r="G7625" s="270" t="s">
        <v>3926</v>
      </c>
      <c r="H7625" s="270" t="s">
        <v>12492</v>
      </c>
      <c r="I7625" s="270" t="s">
        <v>3939</v>
      </c>
      <c r="J7625" s="270" t="s">
        <v>3928</v>
      </c>
      <c r="K7625" s="270">
        <v>6512</v>
      </c>
      <c r="L7625" s="270">
        <v>180300</v>
      </c>
      <c r="M7625" s="270">
        <v>-60</v>
      </c>
      <c r="N7625" s="270" t="s">
        <v>3944</v>
      </c>
      <c r="O7625" s="270">
        <v>2351.06</v>
      </c>
      <c r="P7625" s="270" t="s">
        <v>3944</v>
      </c>
      <c r="Q7625" s="270" t="s">
        <v>3944</v>
      </c>
      <c r="R7625" s="270">
        <v>2351.06</v>
      </c>
      <c r="S7625" s="270">
        <v>39349.4</v>
      </c>
      <c r="T7625" s="270">
        <v>41700.46</v>
      </c>
      <c r="U7625" s="271" t="s">
        <v>3945</v>
      </c>
      <c r="V7625" s="267" t="s">
        <v>944</v>
      </c>
    </row>
    <row r="7626" spans="1:22" hidden="1" x14ac:dyDescent="0.25">
      <c r="A7626" s="266">
        <v>43811</v>
      </c>
      <c r="B7626" s="267">
        <v>2019</v>
      </c>
      <c r="C7626" s="267">
        <v>2020</v>
      </c>
      <c r="D7626" s="267">
        <v>1</v>
      </c>
      <c r="E7626" s="267">
        <v>1</v>
      </c>
      <c r="F7626" s="267" t="s">
        <v>944</v>
      </c>
      <c r="G7626" s="267" t="s">
        <v>3926</v>
      </c>
      <c r="H7626" s="267" t="s">
        <v>12493</v>
      </c>
      <c r="I7626" s="267" t="s">
        <v>943</v>
      </c>
      <c r="J7626" s="267" t="s">
        <v>3928</v>
      </c>
      <c r="K7626" s="267">
        <v>6512</v>
      </c>
      <c r="L7626" s="267">
        <v>142800</v>
      </c>
      <c r="M7626" s="267" t="s">
        <v>3940</v>
      </c>
      <c r="N7626" s="267" t="s">
        <v>3944</v>
      </c>
      <c r="O7626" s="267">
        <v>1033.6600000000001</v>
      </c>
      <c r="P7626" s="267" t="s">
        <v>3944</v>
      </c>
      <c r="Q7626" s="267" t="s">
        <v>3944</v>
      </c>
      <c r="R7626" s="267">
        <v>1033.6600000000001</v>
      </c>
      <c r="S7626" s="267">
        <v>18432.71</v>
      </c>
      <c r="T7626" s="267">
        <v>19466.37</v>
      </c>
      <c r="U7626" s="268" t="s">
        <v>3945</v>
      </c>
      <c r="V7626" s="267" t="s">
        <v>944</v>
      </c>
    </row>
    <row r="7627" spans="1:22" x14ac:dyDescent="0.25">
      <c r="A7627" s="269">
        <v>43811</v>
      </c>
      <c r="B7627" s="270">
        <v>2019</v>
      </c>
      <c r="C7627" s="270">
        <v>2020</v>
      </c>
      <c r="D7627" s="270">
        <v>1</v>
      </c>
      <c r="E7627" s="270">
        <v>1</v>
      </c>
      <c r="F7627" s="270" t="s">
        <v>944</v>
      </c>
      <c r="G7627" s="270" t="s">
        <v>3926</v>
      </c>
      <c r="H7627" s="270" t="s">
        <v>12494</v>
      </c>
      <c r="I7627" s="270" t="s">
        <v>934</v>
      </c>
      <c r="J7627" s="270" t="s">
        <v>3928</v>
      </c>
      <c r="K7627" s="270">
        <v>6605</v>
      </c>
      <c r="L7627" s="270">
        <v>70100</v>
      </c>
      <c r="M7627" s="270" t="s">
        <v>3960</v>
      </c>
      <c r="N7627" s="270" t="s">
        <v>3944</v>
      </c>
      <c r="O7627" s="270">
        <v>1731.35</v>
      </c>
      <c r="P7627" s="270" t="s">
        <v>3944</v>
      </c>
      <c r="Q7627" s="270" t="s">
        <v>3944</v>
      </c>
      <c r="R7627" s="270">
        <v>1731.35</v>
      </c>
      <c r="S7627" s="270">
        <v>27601.18</v>
      </c>
      <c r="T7627" s="270">
        <v>29332.53</v>
      </c>
      <c r="U7627" s="271" t="s">
        <v>3945</v>
      </c>
      <c r="V7627" s="276" t="s">
        <v>936</v>
      </c>
    </row>
    <row r="7628" spans="1:22" hidden="1" x14ac:dyDescent="0.25">
      <c r="A7628" s="266">
        <v>43811</v>
      </c>
      <c r="B7628" s="267">
        <v>2019</v>
      </c>
      <c r="C7628" s="267">
        <v>2020</v>
      </c>
      <c r="D7628" s="267">
        <v>1</v>
      </c>
      <c r="E7628" s="267">
        <v>1</v>
      </c>
      <c r="F7628" s="267" t="s">
        <v>944</v>
      </c>
      <c r="G7628" s="267" t="s">
        <v>3926</v>
      </c>
      <c r="H7628" s="267" t="s">
        <v>12495</v>
      </c>
      <c r="I7628" s="267" t="s">
        <v>4005</v>
      </c>
      <c r="J7628" s="267" t="s">
        <v>3928</v>
      </c>
      <c r="K7628" s="267">
        <v>6118</v>
      </c>
      <c r="L7628" s="267">
        <v>510800</v>
      </c>
      <c r="M7628" s="267" t="s">
        <v>3940</v>
      </c>
      <c r="N7628" s="267" t="s">
        <v>3944</v>
      </c>
      <c r="O7628" s="267">
        <v>1735.48</v>
      </c>
      <c r="P7628" s="267" t="s">
        <v>3944</v>
      </c>
      <c r="Q7628" s="267" t="s">
        <v>3944</v>
      </c>
      <c r="R7628" s="267">
        <v>1735.48</v>
      </c>
      <c r="S7628" s="267">
        <v>23555.42</v>
      </c>
      <c r="T7628" s="267">
        <v>25290.9</v>
      </c>
      <c r="U7628" s="268" t="s">
        <v>3945</v>
      </c>
      <c r="V7628" s="267" t="s">
        <v>944</v>
      </c>
    </row>
    <row r="7629" spans="1:22" hidden="1" x14ac:dyDescent="0.25">
      <c r="A7629" s="269">
        <v>43811</v>
      </c>
      <c r="B7629" s="270">
        <v>2019</v>
      </c>
      <c r="C7629" s="270">
        <v>2020</v>
      </c>
      <c r="D7629" s="270">
        <v>1</v>
      </c>
      <c r="E7629" s="270">
        <v>1</v>
      </c>
      <c r="F7629" s="270" t="s">
        <v>944</v>
      </c>
      <c r="G7629" s="270" t="s">
        <v>3926</v>
      </c>
      <c r="H7629" s="270" t="s">
        <v>12496</v>
      </c>
      <c r="I7629" s="270" t="s">
        <v>3996</v>
      </c>
      <c r="J7629" s="270" t="s">
        <v>3928</v>
      </c>
      <c r="K7629" s="270">
        <v>6790</v>
      </c>
      <c r="L7629" s="270">
        <v>310100</v>
      </c>
      <c r="M7629" s="270" t="s">
        <v>3940</v>
      </c>
      <c r="N7629" s="270" t="s">
        <v>3944</v>
      </c>
      <c r="O7629" s="270">
        <v>1436.23</v>
      </c>
      <c r="P7629" s="270" t="s">
        <v>3944</v>
      </c>
      <c r="Q7629" s="270" t="s">
        <v>3944</v>
      </c>
      <c r="R7629" s="270">
        <v>1436.23</v>
      </c>
      <c r="S7629" s="270">
        <v>18362.2</v>
      </c>
      <c r="T7629" s="270">
        <v>19798.43</v>
      </c>
      <c r="U7629" s="271" t="s">
        <v>3945</v>
      </c>
      <c r="V7629" s="267" t="s">
        <v>944</v>
      </c>
    </row>
    <row r="7630" spans="1:22" hidden="1" x14ac:dyDescent="0.25">
      <c r="A7630" s="266">
        <v>43811</v>
      </c>
      <c r="B7630" s="267">
        <v>2019</v>
      </c>
      <c r="C7630" s="267">
        <v>2020</v>
      </c>
      <c r="D7630" s="267">
        <v>1</v>
      </c>
      <c r="E7630" s="267">
        <v>1</v>
      </c>
      <c r="F7630" s="267" t="s">
        <v>944</v>
      </c>
      <c r="G7630" s="267" t="s">
        <v>3926</v>
      </c>
      <c r="H7630" s="267" t="s">
        <v>12497</v>
      </c>
      <c r="I7630" s="267" t="s">
        <v>4232</v>
      </c>
      <c r="J7630" s="267" t="s">
        <v>3928</v>
      </c>
      <c r="K7630" s="267">
        <v>6483</v>
      </c>
      <c r="L7630" s="267">
        <v>130101</v>
      </c>
      <c r="M7630" s="267" t="s">
        <v>3940</v>
      </c>
      <c r="N7630" s="267" t="s">
        <v>3944</v>
      </c>
      <c r="O7630" s="267">
        <v>871.68</v>
      </c>
      <c r="P7630" s="267" t="s">
        <v>3944</v>
      </c>
      <c r="Q7630" s="267" t="s">
        <v>3944</v>
      </c>
      <c r="R7630" s="267">
        <v>871.68</v>
      </c>
      <c r="S7630" s="267">
        <v>14528.32</v>
      </c>
      <c r="T7630" s="267">
        <v>15400</v>
      </c>
      <c r="U7630" s="268" t="s">
        <v>3945</v>
      </c>
      <c r="V7630" s="267" t="s">
        <v>944</v>
      </c>
    </row>
    <row r="7631" spans="1:22" hidden="1" x14ac:dyDescent="0.25">
      <c r="A7631" s="269">
        <v>43811</v>
      </c>
      <c r="B7631" s="270">
        <v>2019</v>
      </c>
      <c r="C7631" s="270">
        <v>2020</v>
      </c>
      <c r="D7631" s="270">
        <v>1</v>
      </c>
      <c r="E7631" s="270">
        <v>1</v>
      </c>
      <c r="F7631" s="270" t="s">
        <v>944</v>
      </c>
      <c r="G7631" s="270" t="s">
        <v>3926</v>
      </c>
      <c r="H7631" s="270" t="s">
        <v>12498</v>
      </c>
      <c r="I7631" s="270" t="s">
        <v>4594</v>
      </c>
      <c r="J7631" s="270" t="s">
        <v>3928</v>
      </c>
      <c r="K7631" s="270">
        <v>6488</v>
      </c>
      <c r="L7631" s="270">
        <v>348123</v>
      </c>
      <c r="M7631" s="270" t="s">
        <v>3943</v>
      </c>
      <c r="N7631" s="270" t="s">
        <v>3944</v>
      </c>
      <c r="O7631" s="270">
        <v>2313.92</v>
      </c>
      <c r="P7631" s="270" t="s">
        <v>3944</v>
      </c>
      <c r="Q7631" s="270" t="s">
        <v>3944</v>
      </c>
      <c r="R7631" s="270">
        <v>2313.92</v>
      </c>
      <c r="S7631" s="270">
        <v>42984.09</v>
      </c>
      <c r="T7631" s="270">
        <v>45298.01</v>
      </c>
      <c r="U7631" s="271" t="s">
        <v>3945</v>
      </c>
      <c r="V7631" s="267" t="s">
        <v>944</v>
      </c>
    </row>
    <row r="7632" spans="1:22" hidden="1" x14ac:dyDescent="0.25">
      <c r="A7632" s="266">
        <v>43811</v>
      </c>
      <c r="B7632" s="267">
        <v>2019</v>
      </c>
      <c r="C7632" s="267">
        <v>2020</v>
      </c>
      <c r="D7632" s="267">
        <v>1</v>
      </c>
      <c r="E7632" s="267">
        <v>1</v>
      </c>
      <c r="F7632" s="267" t="s">
        <v>944</v>
      </c>
      <c r="G7632" s="267" t="s">
        <v>3926</v>
      </c>
      <c r="H7632" s="267" t="s">
        <v>12499</v>
      </c>
      <c r="I7632" s="267" t="s">
        <v>4290</v>
      </c>
      <c r="J7632" s="267" t="s">
        <v>3928</v>
      </c>
      <c r="K7632" s="267">
        <v>6798</v>
      </c>
      <c r="L7632" s="267">
        <v>362102</v>
      </c>
      <c r="M7632" s="267" t="s">
        <v>3960</v>
      </c>
      <c r="N7632" s="267" t="s">
        <v>3944</v>
      </c>
      <c r="O7632" s="267">
        <v>3854.45</v>
      </c>
      <c r="P7632" s="267" t="s">
        <v>3944</v>
      </c>
      <c r="Q7632" s="267" t="s">
        <v>3944</v>
      </c>
      <c r="R7632" s="267">
        <v>3854.45</v>
      </c>
      <c r="S7632" s="267">
        <v>56646.61</v>
      </c>
      <c r="T7632" s="267">
        <v>60501.06</v>
      </c>
      <c r="U7632" s="268" t="s">
        <v>3945</v>
      </c>
      <c r="V7632" s="267" t="s">
        <v>944</v>
      </c>
    </row>
    <row r="7633" spans="1:22" hidden="1" x14ac:dyDescent="0.25">
      <c r="A7633" s="269">
        <v>43811</v>
      </c>
      <c r="B7633" s="270">
        <v>2019</v>
      </c>
      <c r="C7633" s="270">
        <v>2020</v>
      </c>
      <c r="D7633" s="270">
        <v>1</v>
      </c>
      <c r="E7633" s="270">
        <v>1</v>
      </c>
      <c r="F7633" s="270" t="s">
        <v>944</v>
      </c>
      <c r="G7633" s="270" t="s">
        <v>3926</v>
      </c>
      <c r="H7633" s="270" t="s">
        <v>12500</v>
      </c>
      <c r="I7633" s="270" t="s">
        <v>934</v>
      </c>
      <c r="J7633" s="270" t="s">
        <v>3928</v>
      </c>
      <c r="K7633" s="270">
        <v>6604</v>
      </c>
      <c r="L7633" s="270">
        <v>72100</v>
      </c>
      <c r="M7633" s="270" t="s">
        <v>3940</v>
      </c>
      <c r="N7633" s="270" t="s">
        <v>3944</v>
      </c>
      <c r="O7633" s="270">
        <v>723</v>
      </c>
      <c r="P7633" s="270" t="s">
        <v>3944</v>
      </c>
      <c r="Q7633" s="270" t="s">
        <v>3944</v>
      </c>
      <c r="R7633" s="270">
        <v>723</v>
      </c>
      <c r="S7633" s="270">
        <v>11155.02</v>
      </c>
      <c r="T7633" s="270">
        <v>11878.02</v>
      </c>
      <c r="U7633" s="271" t="s">
        <v>3945</v>
      </c>
      <c r="V7633" s="267" t="s">
        <v>944</v>
      </c>
    </row>
    <row r="7634" spans="1:22" hidden="1" x14ac:dyDescent="0.25">
      <c r="A7634" s="266">
        <v>43811</v>
      </c>
      <c r="B7634" s="267">
        <v>2019</v>
      </c>
      <c r="C7634" s="267">
        <v>2020</v>
      </c>
      <c r="D7634" s="267">
        <v>1</v>
      </c>
      <c r="E7634" s="267">
        <v>1</v>
      </c>
      <c r="F7634" s="267" t="s">
        <v>944</v>
      </c>
      <c r="G7634" s="267" t="s">
        <v>3926</v>
      </c>
      <c r="H7634" s="267" t="s">
        <v>12501</v>
      </c>
      <c r="I7634" s="267" t="s">
        <v>6426</v>
      </c>
      <c r="J7634" s="267" t="s">
        <v>3928</v>
      </c>
      <c r="K7634" s="267">
        <v>6422</v>
      </c>
      <c r="L7634" s="267">
        <v>585100</v>
      </c>
      <c r="M7634" s="267" t="s">
        <v>3943</v>
      </c>
      <c r="N7634" s="267" t="s">
        <v>3944</v>
      </c>
      <c r="O7634" s="267">
        <v>2639.74</v>
      </c>
      <c r="P7634" s="267" t="s">
        <v>3944</v>
      </c>
      <c r="Q7634" s="267" t="s">
        <v>3944</v>
      </c>
      <c r="R7634" s="267">
        <v>2639.74</v>
      </c>
      <c r="S7634" s="267">
        <v>42222.75</v>
      </c>
      <c r="T7634" s="267">
        <v>44862.49</v>
      </c>
      <c r="U7634" s="268" t="s">
        <v>3945</v>
      </c>
      <c r="V7634" s="267" t="s">
        <v>944</v>
      </c>
    </row>
    <row r="7635" spans="1:22" hidden="1" x14ac:dyDescent="0.25">
      <c r="A7635" s="269">
        <v>43811</v>
      </c>
      <c r="B7635" s="270">
        <v>2019</v>
      </c>
      <c r="C7635" s="270">
        <v>2020</v>
      </c>
      <c r="D7635" s="270">
        <v>1</v>
      </c>
      <c r="E7635" s="270">
        <v>1</v>
      </c>
      <c r="F7635" s="270" t="s">
        <v>944</v>
      </c>
      <c r="G7635" s="270" t="s">
        <v>3926</v>
      </c>
      <c r="H7635" s="270" t="s">
        <v>12502</v>
      </c>
      <c r="I7635" s="270" t="s">
        <v>3985</v>
      </c>
      <c r="J7635" s="270" t="s">
        <v>3928</v>
      </c>
      <c r="K7635" s="270">
        <v>6226</v>
      </c>
      <c r="L7635" s="270">
        <v>800700</v>
      </c>
      <c r="M7635" s="270">
        <v>-60</v>
      </c>
      <c r="N7635" s="270" t="s">
        <v>3944</v>
      </c>
      <c r="O7635" s="270">
        <v>697.27</v>
      </c>
      <c r="P7635" s="270" t="s">
        <v>3944</v>
      </c>
      <c r="Q7635" s="270" t="s">
        <v>3944</v>
      </c>
      <c r="R7635" s="270">
        <v>697.27</v>
      </c>
      <c r="S7635" s="270">
        <v>10159.33</v>
      </c>
      <c r="T7635" s="270">
        <v>10856.6</v>
      </c>
      <c r="U7635" s="271" t="s">
        <v>3945</v>
      </c>
      <c r="V7635" s="267" t="s">
        <v>944</v>
      </c>
    </row>
    <row r="7636" spans="1:22" hidden="1" x14ac:dyDescent="0.25">
      <c r="A7636" s="266">
        <v>43811</v>
      </c>
      <c r="B7636" s="267">
        <v>2019</v>
      </c>
      <c r="C7636" s="267">
        <v>2020</v>
      </c>
      <c r="D7636" s="267">
        <v>1</v>
      </c>
      <c r="E7636" s="267">
        <v>1</v>
      </c>
      <c r="F7636" s="267" t="s">
        <v>944</v>
      </c>
      <c r="G7636" s="267" t="s">
        <v>3926</v>
      </c>
      <c r="H7636" s="267" t="s">
        <v>12503</v>
      </c>
      <c r="I7636" s="267" t="s">
        <v>4029</v>
      </c>
      <c r="J7636" s="267" t="s">
        <v>3928</v>
      </c>
      <c r="K7636" s="267">
        <v>6851</v>
      </c>
      <c r="L7636" s="267">
        <v>43500</v>
      </c>
      <c r="M7636" s="267" t="s">
        <v>3943</v>
      </c>
      <c r="N7636" s="267" t="s">
        <v>3944</v>
      </c>
      <c r="O7636" s="267">
        <v>976.22</v>
      </c>
      <c r="P7636" s="267" t="s">
        <v>3944</v>
      </c>
      <c r="Q7636" s="267" t="s">
        <v>3944</v>
      </c>
      <c r="R7636" s="267">
        <v>976.22</v>
      </c>
      <c r="S7636" s="267">
        <v>15608.89</v>
      </c>
      <c r="T7636" s="267">
        <v>16585.11</v>
      </c>
      <c r="U7636" s="268" t="s">
        <v>3945</v>
      </c>
      <c r="V7636" s="267" t="s">
        <v>944</v>
      </c>
    </row>
    <row r="7637" spans="1:22" hidden="1" x14ac:dyDescent="0.25">
      <c r="A7637" s="269">
        <v>43811</v>
      </c>
      <c r="B7637" s="270">
        <v>2019</v>
      </c>
      <c r="C7637" s="270">
        <v>2020</v>
      </c>
      <c r="D7637" s="270">
        <v>1</v>
      </c>
      <c r="E7637" s="270">
        <v>1</v>
      </c>
      <c r="F7637" s="270" t="s">
        <v>944</v>
      </c>
      <c r="G7637" s="270" t="s">
        <v>3926</v>
      </c>
      <c r="H7637" s="270" t="s">
        <v>12504</v>
      </c>
      <c r="I7637" s="270" t="s">
        <v>4392</v>
      </c>
      <c r="J7637" s="270" t="s">
        <v>3928</v>
      </c>
      <c r="K7637" s="270">
        <v>6457</v>
      </c>
      <c r="L7637" s="270">
        <v>541401</v>
      </c>
      <c r="M7637" s="270" t="s">
        <v>3943</v>
      </c>
      <c r="N7637" s="270" t="s">
        <v>3944</v>
      </c>
      <c r="O7637" s="270">
        <v>1601.71</v>
      </c>
      <c r="P7637" s="270" t="s">
        <v>3944</v>
      </c>
      <c r="Q7637" s="270" t="s">
        <v>3944</v>
      </c>
      <c r="R7637" s="270">
        <v>1601.71</v>
      </c>
      <c r="S7637" s="270">
        <v>30902.29</v>
      </c>
      <c r="T7637" s="270">
        <v>32504</v>
      </c>
      <c r="U7637" s="271" t="s">
        <v>3945</v>
      </c>
      <c r="V7637" s="267" t="s">
        <v>944</v>
      </c>
    </row>
    <row r="7638" spans="1:22" hidden="1" x14ac:dyDescent="0.25">
      <c r="A7638" s="266">
        <v>43811</v>
      </c>
      <c r="B7638" s="267">
        <v>2019</v>
      </c>
      <c r="C7638" s="267">
        <v>2020</v>
      </c>
      <c r="D7638" s="267">
        <v>1</v>
      </c>
      <c r="E7638" s="267">
        <v>1</v>
      </c>
      <c r="F7638" s="267" t="s">
        <v>944</v>
      </c>
      <c r="G7638" s="267" t="s">
        <v>3926</v>
      </c>
      <c r="H7638" s="267" t="s">
        <v>12505</v>
      </c>
      <c r="I7638" s="267" t="s">
        <v>950</v>
      </c>
      <c r="J7638" s="267" t="s">
        <v>3928</v>
      </c>
      <c r="K7638" s="267">
        <v>6516</v>
      </c>
      <c r="L7638" s="267">
        <v>154600</v>
      </c>
      <c r="M7638" s="267">
        <v>-60</v>
      </c>
      <c r="N7638" s="267" t="s">
        <v>3944</v>
      </c>
      <c r="O7638" s="267">
        <v>998.83</v>
      </c>
      <c r="P7638" s="267" t="s">
        <v>3944</v>
      </c>
      <c r="Q7638" s="267" t="s">
        <v>3944</v>
      </c>
      <c r="R7638" s="267">
        <v>998.83</v>
      </c>
      <c r="S7638" s="267">
        <v>12758.29</v>
      </c>
      <c r="T7638" s="267">
        <v>13757.12</v>
      </c>
      <c r="U7638" s="268" t="s">
        <v>3945</v>
      </c>
      <c r="V7638" s="267" t="s">
        <v>944</v>
      </c>
    </row>
    <row r="7639" spans="1:22" hidden="1" x14ac:dyDescent="0.25">
      <c r="A7639" s="269">
        <v>43811</v>
      </c>
      <c r="B7639" s="270">
        <v>2019</v>
      </c>
      <c r="C7639" s="270">
        <v>2020</v>
      </c>
      <c r="D7639" s="270">
        <v>1</v>
      </c>
      <c r="E7639" s="270">
        <v>1</v>
      </c>
      <c r="F7639" s="270" t="s">
        <v>944</v>
      </c>
      <c r="G7639" s="270" t="s">
        <v>3926</v>
      </c>
      <c r="H7639" s="270" t="s">
        <v>12506</v>
      </c>
      <c r="I7639" s="270" t="s">
        <v>3962</v>
      </c>
      <c r="J7639" s="270" t="s">
        <v>3928</v>
      </c>
      <c r="K7639" s="270">
        <v>6379</v>
      </c>
      <c r="L7639" s="270">
        <v>705101</v>
      </c>
      <c r="M7639" s="270" t="s">
        <v>3935</v>
      </c>
      <c r="N7639" s="270" t="s">
        <v>3944</v>
      </c>
      <c r="O7639" s="270">
        <v>2615.69</v>
      </c>
      <c r="P7639" s="270" t="s">
        <v>3944</v>
      </c>
      <c r="Q7639" s="270" t="s">
        <v>3944</v>
      </c>
      <c r="R7639" s="270">
        <v>2615.69</v>
      </c>
      <c r="S7639" s="270">
        <v>39000.76</v>
      </c>
      <c r="T7639" s="270">
        <v>41616.449999999997</v>
      </c>
      <c r="U7639" s="271" t="s">
        <v>3945</v>
      </c>
      <c r="V7639" s="267" t="s">
        <v>944</v>
      </c>
    </row>
    <row r="7640" spans="1:22" hidden="1" x14ac:dyDescent="0.25">
      <c r="A7640" s="266">
        <v>43811</v>
      </c>
      <c r="B7640" s="267">
        <v>2019</v>
      </c>
      <c r="C7640" s="267">
        <v>2020</v>
      </c>
      <c r="D7640" s="267">
        <v>1</v>
      </c>
      <c r="E7640" s="267">
        <v>1</v>
      </c>
      <c r="F7640" s="267" t="s">
        <v>944</v>
      </c>
      <c r="G7640" s="267" t="s">
        <v>3926</v>
      </c>
      <c r="H7640" s="267" t="s">
        <v>12507</v>
      </c>
      <c r="I7640" s="267" t="s">
        <v>4040</v>
      </c>
      <c r="J7640" s="267" t="s">
        <v>3928</v>
      </c>
      <c r="K7640" s="267">
        <v>6335</v>
      </c>
      <c r="L7640" s="267">
        <v>701200</v>
      </c>
      <c r="M7640" s="267" t="s">
        <v>3960</v>
      </c>
      <c r="N7640" s="267" t="s">
        <v>3944</v>
      </c>
      <c r="O7640" s="267">
        <v>1445.75</v>
      </c>
      <c r="P7640" s="267" t="s">
        <v>3944</v>
      </c>
      <c r="Q7640" s="267" t="s">
        <v>3944</v>
      </c>
      <c r="R7640" s="267">
        <v>1445.75</v>
      </c>
      <c r="S7640" s="267">
        <v>24494.92</v>
      </c>
      <c r="T7640" s="267">
        <v>25940.67</v>
      </c>
      <c r="U7640" s="268" t="s">
        <v>3945</v>
      </c>
      <c r="V7640" s="267" t="s">
        <v>944</v>
      </c>
    </row>
    <row r="7641" spans="1:22" hidden="1" x14ac:dyDescent="0.25">
      <c r="A7641" s="269">
        <v>43811</v>
      </c>
      <c r="B7641" s="270">
        <v>2019</v>
      </c>
      <c r="C7641" s="270">
        <v>2020</v>
      </c>
      <c r="D7641" s="270">
        <v>1</v>
      </c>
      <c r="E7641" s="270">
        <v>1</v>
      </c>
      <c r="F7641" s="270" t="s">
        <v>944</v>
      </c>
      <c r="G7641" s="270" t="s">
        <v>3926</v>
      </c>
      <c r="H7641" s="270" t="s">
        <v>12508</v>
      </c>
      <c r="I7641" s="270" t="s">
        <v>956</v>
      </c>
      <c r="J7641" s="270" t="s">
        <v>3928</v>
      </c>
      <c r="K7641" s="270">
        <v>6614</v>
      </c>
      <c r="L7641" s="270">
        <v>81000</v>
      </c>
      <c r="M7641" s="270" t="s">
        <v>3940</v>
      </c>
      <c r="N7641" s="270" t="s">
        <v>3944</v>
      </c>
      <c r="O7641" s="270">
        <v>1443.26</v>
      </c>
      <c r="P7641" s="270" t="s">
        <v>3944</v>
      </c>
      <c r="Q7641" s="270" t="s">
        <v>3944</v>
      </c>
      <c r="R7641" s="270">
        <v>1443.26</v>
      </c>
      <c r="S7641" s="270">
        <v>21281.55</v>
      </c>
      <c r="T7641" s="270">
        <v>22724.81</v>
      </c>
      <c r="U7641" s="271" t="s">
        <v>3945</v>
      </c>
      <c r="V7641" s="267" t="s">
        <v>944</v>
      </c>
    </row>
    <row r="7642" spans="1:22" hidden="1" x14ac:dyDescent="0.25">
      <c r="A7642" s="266">
        <v>43811</v>
      </c>
      <c r="B7642" s="267">
        <v>2019</v>
      </c>
      <c r="C7642" s="267">
        <v>2020</v>
      </c>
      <c r="D7642" s="267">
        <v>1</v>
      </c>
      <c r="E7642" s="267">
        <v>1</v>
      </c>
      <c r="F7642" s="267" t="s">
        <v>944</v>
      </c>
      <c r="G7642" s="267" t="s">
        <v>3926</v>
      </c>
      <c r="H7642" s="267" t="s">
        <v>12509</v>
      </c>
      <c r="I7642" s="267" t="s">
        <v>4040</v>
      </c>
      <c r="J7642" s="267" t="s">
        <v>3928</v>
      </c>
      <c r="K7642" s="267">
        <v>6335</v>
      </c>
      <c r="L7642" s="267">
        <v>701200</v>
      </c>
      <c r="M7642" s="267" t="s">
        <v>3960</v>
      </c>
      <c r="N7642" s="267" t="s">
        <v>3944</v>
      </c>
      <c r="O7642" s="267">
        <v>1090.29</v>
      </c>
      <c r="P7642" s="267" t="s">
        <v>3944</v>
      </c>
      <c r="Q7642" s="267" t="s">
        <v>3944</v>
      </c>
      <c r="R7642" s="267">
        <v>1090.29</v>
      </c>
      <c r="S7642" s="267">
        <v>20032.16</v>
      </c>
      <c r="T7642" s="267">
        <v>21122.45</v>
      </c>
      <c r="U7642" s="268" t="s">
        <v>3945</v>
      </c>
      <c r="V7642" s="267" t="s">
        <v>944</v>
      </c>
    </row>
    <row r="7643" spans="1:22" hidden="1" x14ac:dyDescent="0.25">
      <c r="A7643" s="269">
        <v>43811</v>
      </c>
      <c r="B7643" s="270">
        <v>2019</v>
      </c>
      <c r="C7643" s="270">
        <v>2020</v>
      </c>
      <c r="D7643" s="270">
        <v>1</v>
      </c>
      <c r="E7643" s="270">
        <v>1</v>
      </c>
      <c r="F7643" s="270" t="s">
        <v>944</v>
      </c>
      <c r="G7643" s="270" t="s">
        <v>3926</v>
      </c>
      <c r="H7643" s="270" t="s">
        <v>12510</v>
      </c>
      <c r="I7643" s="270" t="s">
        <v>4035</v>
      </c>
      <c r="J7643" s="270" t="s">
        <v>3928</v>
      </c>
      <c r="K7643" s="270">
        <v>6074</v>
      </c>
      <c r="L7643" s="270">
        <v>487100</v>
      </c>
      <c r="M7643" s="270" t="s">
        <v>3943</v>
      </c>
      <c r="N7643" s="270" t="s">
        <v>3944</v>
      </c>
      <c r="O7643" s="270">
        <v>812.18</v>
      </c>
      <c r="P7643" s="270" t="s">
        <v>3944</v>
      </c>
      <c r="Q7643" s="270" t="s">
        <v>3944</v>
      </c>
      <c r="R7643" s="270">
        <v>812.18</v>
      </c>
      <c r="S7643" s="270">
        <v>11775.22</v>
      </c>
      <c r="T7643" s="270">
        <v>12587.4</v>
      </c>
      <c r="U7643" s="271" t="s">
        <v>3945</v>
      </c>
      <c r="V7643" s="267" t="s">
        <v>944</v>
      </c>
    </row>
    <row r="7644" spans="1:22" hidden="1" x14ac:dyDescent="0.25">
      <c r="A7644" s="266">
        <v>43811</v>
      </c>
      <c r="B7644" s="267">
        <v>2019</v>
      </c>
      <c r="C7644" s="267">
        <v>2020</v>
      </c>
      <c r="D7644" s="267">
        <v>1</v>
      </c>
      <c r="E7644" s="267">
        <v>1</v>
      </c>
      <c r="F7644" s="267" t="s">
        <v>944</v>
      </c>
      <c r="G7644" s="267" t="s">
        <v>3926</v>
      </c>
      <c r="H7644" s="267" t="s">
        <v>12511</v>
      </c>
      <c r="I7644" s="267" t="s">
        <v>4040</v>
      </c>
      <c r="J7644" s="267" t="s">
        <v>3928</v>
      </c>
      <c r="K7644" s="267">
        <v>6339</v>
      </c>
      <c r="L7644" s="267">
        <v>701100</v>
      </c>
      <c r="M7644" s="267" t="s">
        <v>3960</v>
      </c>
      <c r="N7644" s="267" t="s">
        <v>3944</v>
      </c>
      <c r="O7644" s="267">
        <v>1595.3</v>
      </c>
      <c r="P7644" s="267" t="s">
        <v>3944</v>
      </c>
      <c r="Q7644" s="267" t="s">
        <v>3944</v>
      </c>
      <c r="R7644" s="267">
        <v>1595.3</v>
      </c>
      <c r="S7644" s="267">
        <v>24499.62</v>
      </c>
      <c r="T7644" s="267">
        <v>26094.92</v>
      </c>
      <c r="U7644" s="268" t="s">
        <v>3945</v>
      </c>
      <c r="V7644" s="267" t="s">
        <v>944</v>
      </c>
    </row>
    <row r="7645" spans="1:22" hidden="1" x14ac:dyDescent="0.25">
      <c r="A7645" s="269">
        <v>43811</v>
      </c>
      <c r="B7645" s="270">
        <v>2019</v>
      </c>
      <c r="C7645" s="270">
        <v>2020</v>
      </c>
      <c r="D7645" s="270">
        <v>1</v>
      </c>
      <c r="E7645" s="270">
        <v>1</v>
      </c>
      <c r="F7645" s="270" t="s">
        <v>944</v>
      </c>
      <c r="G7645" s="270" t="s">
        <v>3926</v>
      </c>
      <c r="H7645" s="270" t="s">
        <v>12512</v>
      </c>
      <c r="I7645" s="270" t="s">
        <v>4019</v>
      </c>
      <c r="J7645" s="270" t="s">
        <v>3928</v>
      </c>
      <c r="K7645" s="270">
        <v>6704</v>
      </c>
      <c r="L7645" s="270">
        <v>351100</v>
      </c>
      <c r="M7645" s="270">
        <v>-60</v>
      </c>
      <c r="N7645" s="270" t="s">
        <v>3944</v>
      </c>
      <c r="O7645" s="270">
        <v>2802.14</v>
      </c>
      <c r="P7645" s="270" t="s">
        <v>3944</v>
      </c>
      <c r="Q7645" s="270" t="s">
        <v>3944</v>
      </c>
      <c r="R7645" s="270">
        <v>2802.14</v>
      </c>
      <c r="S7645" s="270">
        <v>39874.019999999997</v>
      </c>
      <c r="T7645" s="270">
        <v>42676.160000000003</v>
      </c>
      <c r="U7645" s="271" t="s">
        <v>3945</v>
      </c>
      <c r="V7645" s="267" t="s">
        <v>944</v>
      </c>
    </row>
    <row r="7646" spans="1:22" hidden="1" x14ac:dyDescent="0.25">
      <c r="A7646" s="266">
        <v>43812</v>
      </c>
      <c r="B7646" s="267">
        <v>2019</v>
      </c>
      <c r="C7646" s="267">
        <v>2020</v>
      </c>
      <c r="D7646" s="267">
        <v>1</v>
      </c>
      <c r="E7646" s="267">
        <v>1</v>
      </c>
      <c r="F7646" s="267" t="s">
        <v>944</v>
      </c>
      <c r="G7646" s="267" t="s">
        <v>3926</v>
      </c>
      <c r="H7646" s="267" t="s">
        <v>12513</v>
      </c>
      <c r="I7646" s="267" t="s">
        <v>3968</v>
      </c>
      <c r="J7646" s="267" t="s">
        <v>3928</v>
      </c>
      <c r="K7646" s="267">
        <v>6040</v>
      </c>
      <c r="L7646" s="267">
        <v>515101</v>
      </c>
      <c r="M7646" s="267" t="s">
        <v>3935</v>
      </c>
      <c r="N7646" s="267" t="s">
        <v>12514</v>
      </c>
      <c r="O7646" s="267">
        <v>0</v>
      </c>
      <c r="P7646" s="267" t="s">
        <v>3930</v>
      </c>
      <c r="Q7646" s="267" t="s">
        <v>3930</v>
      </c>
      <c r="R7646" s="267">
        <v>0</v>
      </c>
      <c r="S7646" s="267">
        <v>10202</v>
      </c>
      <c r="T7646" s="267">
        <v>10202</v>
      </c>
      <c r="U7646" s="268" t="s">
        <v>3937</v>
      </c>
      <c r="V7646" s="267" t="s">
        <v>944</v>
      </c>
    </row>
    <row r="7647" spans="1:22" hidden="1" x14ac:dyDescent="0.25">
      <c r="A7647" s="269">
        <v>43812</v>
      </c>
      <c r="B7647" s="270">
        <v>2019</v>
      </c>
      <c r="C7647" s="270">
        <v>2020</v>
      </c>
      <c r="D7647" s="270">
        <v>1</v>
      </c>
      <c r="E7647" s="270">
        <v>1</v>
      </c>
      <c r="F7647" s="270" t="s">
        <v>944</v>
      </c>
      <c r="G7647" s="270" t="s">
        <v>3926</v>
      </c>
      <c r="H7647" s="270" t="s">
        <v>12515</v>
      </c>
      <c r="I7647" s="270" t="s">
        <v>3011</v>
      </c>
      <c r="J7647" s="270" t="s">
        <v>3928</v>
      </c>
      <c r="K7647" s="270">
        <v>6418</v>
      </c>
      <c r="L7647" s="270">
        <v>120100</v>
      </c>
      <c r="M7647" s="270" t="s">
        <v>3940</v>
      </c>
      <c r="N7647" s="270" t="s">
        <v>4523</v>
      </c>
      <c r="O7647" s="270">
        <v>4645.08</v>
      </c>
      <c r="P7647" s="270" t="s">
        <v>3930</v>
      </c>
      <c r="Q7647" s="270" t="s">
        <v>3931</v>
      </c>
      <c r="R7647" s="270">
        <v>9645.08</v>
      </c>
      <c r="S7647" s="270">
        <v>25412.799999999999</v>
      </c>
      <c r="T7647" s="270">
        <v>35057.879999999997</v>
      </c>
      <c r="U7647" s="271" t="s">
        <v>3932</v>
      </c>
      <c r="V7647" s="267" t="s">
        <v>944</v>
      </c>
    </row>
    <row r="7648" spans="1:22" hidden="1" x14ac:dyDescent="0.25">
      <c r="A7648" s="266">
        <v>43812</v>
      </c>
      <c r="B7648" s="267">
        <v>2019</v>
      </c>
      <c r="C7648" s="267">
        <v>2020</v>
      </c>
      <c r="D7648" s="267">
        <v>1</v>
      </c>
      <c r="E7648" s="267">
        <v>1</v>
      </c>
      <c r="F7648" s="267" t="s">
        <v>944</v>
      </c>
      <c r="G7648" s="267" t="s">
        <v>3926</v>
      </c>
      <c r="H7648" s="267" t="s">
        <v>12516</v>
      </c>
      <c r="I7648" s="267" t="s">
        <v>4019</v>
      </c>
      <c r="J7648" s="267" t="s">
        <v>3928</v>
      </c>
      <c r="K7648" s="267">
        <v>6706</v>
      </c>
      <c r="L7648" s="267">
        <v>351500</v>
      </c>
      <c r="M7648" s="267" t="s">
        <v>3940</v>
      </c>
      <c r="N7648" s="267" t="s">
        <v>4103</v>
      </c>
      <c r="O7648" s="267">
        <v>1769.5</v>
      </c>
      <c r="P7648" s="267" t="s">
        <v>3930</v>
      </c>
      <c r="Q7648" s="267" t="s">
        <v>3931</v>
      </c>
      <c r="R7648" s="267">
        <v>6769.5</v>
      </c>
      <c r="S7648" s="267">
        <v>24145.599999999999</v>
      </c>
      <c r="T7648" s="267">
        <v>30915.1</v>
      </c>
      <c r="U7648" s="268" t="s">
        <v>3932</v>
      </c>
      <c r="V7648" s="267" t="s">
        <v>944</v>
      </c>
    </row>
    <row r="7649" spans="1:22" hidden="1" x14ac:dyDescent="0.25">
      <c r="A7649" s="269">
        <v>43812</v>
      </c>
      <c r="B7649" s="270">
        <v>2019</v>
      </c>
      <c r="C7649" s="270">
        <v>2020</v>
      </c>
      <c r="D7649" s="270">
        <v>1</v>
      </c>
      <c r="E7649" s="270">
        <v>1</v>
      </c>
      <c r="F7649" s="270" t="s">
        <v>944</v>
      </c>
      <c r="G7649" s="270" t="s">
        <v>3926</v>
      </c>
      <c r="H7649" s="270" t="s">
        <v>12517</v>
      </c>
      <c r="I7649" s="270" t="s">
        <v>4172</v>
      </c>
      <c r="J7649" s="270" t="s">
        <v>3928</v>
      </c>
      <c r="K7649" s="270">
        <v>6786</v>
      </c>
      <c r="L7649" s="270">
        <v>425500</v>
      </c>
      <c r="M7649" s="270" t="s">
        <v>3940</v>
      </c>
      <c r="N7649" s="270" t="s">
        <v>3944</v>
      </c>
      <c r="O7649" s="270">
        <v>3865</v>
      </c>
      <c r="P7649" s="270" t="s">
        <v>3944</v>
      </c>
      <c r="Q7649" s="270" t="s">
        <v>3944</v>
      </c>
      <c r="R7649" s="270">
        <v>3865</v>
      </c>
      <c r="S7649" s="270">
        <v>30471</v>
      </c>
      <c r="T7649" s="270">
        <v>34336</v>
      </c>
      <c r="U7649" s="271" t="s">
        <v>3945</v>
      </c>
      <c r="V7649" s="267" t="s">
        <v>944</v>
      </c>
    </row>
    <row r="7650" spans="1:22" hidden="1" x14ac:dyDescent="0.25">
      <c r="A7650" s="266">
        <v>43812</v>
      </c>
      <c r="B7650" s="267">
        <v>2019</v>
      </c>
      <c r="C7650" s="267">
        <v>2020</v>
      </c>
      <c r="D7650" s="267">
        <v>1</v>
      </c>
      <c r="E7650" s="267">
        <v>1</v>
      </c>
      <c r="F7650" s="267" t="s">
        <v>944</v>
      </c>
      <c r="G7650" s="267" t="s">
        <v>3926</v>
      </c>
      <c r="H7650" s="267" t="s">
        <v>12518</v>
      </c>
      <c r="I7650" s="267" t="s">
        <v>3966</v>
      </c>
      <c r="J7650" s="267" t="s">
        <v>3928</v>
      </c>
      <c r="K7650" s="267">
        <v>6010</v>
      </c>
      <c r="L7650" s="267">
        <v>405900</v>
      </c>
      <c r="M7650" s="267" t="s">
        <v>3960</v>
      </c>
      <c r="N7650" s="267" t="s">
        <v>3944</v>
      </c>
      <c r="O7650" s="267">
        <v>3656</v>
      </c>
      <c r="P7650" s="267" t="s">
        <v>3944</v>
      </c>
      <c r="Q7650" s="267" t="s">
        <v>3944</v>
      </c>
      <c r="R7650" s="267">
        <v>3656</v>
      </c>
      <c r="S7650" s="267">
        <v>26584</v>
      </c>
      <c r="T7650" s="267">
        <v>30240</v>
      </c>
      <c r="U7650" s="268" t="s">
        <v>3945</v>
      </c>
      <c r="V7650" s="267" t="s">
        <v>944</v>
      </c>
    </row>
    <row r="7651" spans="1:22" hidden="1" x14ac:dyDescent="0.25">
      <c r="A7651" s="269">
        <v>43812</v>
      </c>
      <c r="B7651" s="270">
        <v>2019</v>
      </c>
      <c r="C7651" s="270">
        <v>2020</v>
      </c>
      <c r="D7651" s="270">
        <v>1</v>
      </c>
      <c r="E7651" s="270">
        <v>1</v>
      </c>
      <c r="F7651" s="270" t="s">
        <v>944</v>
      </c>
      <c r="G7651" s="270" t="s">
        <v>3997</v>
      </c>
      <c r="H7651" s="270" t="s">
        <v>12519</v>
      </c>
      <c r="I7651" s="270" t="s">
        <v>3010</v>
      </c>
      <c r="J7651" s="270" t="s">
        <v>3928</v>
      </c>
      <c r="K7651" s="270">
        <v>6401</v>
      </c>
      <c r="L7651" s="270">
        <v>125200</v>
      </c>
      <c r="M7651" s="270">
        <v>-60</v>
      </c>
      <c r="N7651" s="270" t="s">
        <v>3944</v>
      </c>
      <c r="O7651" s="270">
        <v>2597.63</v>
      </c>
      <c r="P7651" s="270" t="s">
        <v>3944</v>
      </c>
      <c r="Q7651" s="270" t="s">
        <v>3944</v>
      </c>
      <c r="R7651" s="270">
        <v>2597.63</v>
      </c>
      <c r="S7651" s="270">
        <v>39731.97</v>
      </c>
      <c r="T7651" s="270">
        <v>42329.599999999999</v>
      </c>
      <c r="U7651" s="271" t="s">
        <v>3945</v>
      </c>
      <c r="V7651" s="267" t="s">
        <v>944</v>
      </c>
    </row>
    <row r="7652" spans="1:22" hidden="1" x14ac:dyDescent="0.25">
      <c r="A7652" s="266">
        <v>43812</v>
      </c>
      <c r="B7652" s="267">
        <v>2019</v>
      </c>
      <c r="C7652" s="267">
        <v>2020</v>
      </c>
      <c r="D7652" s="267">
        <v>1</v>
      </c>
      <c r="E7652" s="267">
        <v>1</v>
      </c>
      <c r="F7652" s="267" t="s">
        <v>944</v>
      </c>
      <c r="G7652" s="267" t="s">
        <v>3997</v>
      </c>
      <c r="H7652" s="267" t="s">
        <v>12520</v>
      </c>
      <c r="I7652" s="267" t="s">
        <v>950</v>
      </c>
      <c r="J7652" s="267" t="s">
        <v>3928</v>
      </c>
      <c r="K7652" s="267">
        <v>6516</v>
      </c>
      <c r="L7652" s="267">
        <v>154700</v>
      </c>
      <c r="M7652" s="267" t="s">
        <v>3960</v>
      </c>
      <c r="N7652" s="267" t="s">
        <v>3944</v>
      </c>
      <c r="O7652" s="267">
        <v>2305.84</v>
      </c>
      <c r="P7652" s="267" t="s">
        <v>3944</v>
      </c>
      <c r="Q7652" s="267" t="s">
        <v>3944</v>
      </c>
      <c r="R7652" s="267">
        <v>2305.84</v>
      </c>
      <c r="S7652" s="267">
        <v>36849.040000000001</v>
      </c>
      <c r="T7652" s="267">
        <v>39154.879999999997</v>
      </c>
      <c r="U7652" s="268" t="s">
        <v>3945</v>
      </c>
      <c r="V7652" s="267" t="s">
        <v>944</v>
      </c>
    </row>
    <row r="7653" spans="1:22" hidden="1" x14ac:dyDescent="0.25">
      <c r="A7653" s="269">
        <v>43812</v>
      </c>
      <c r="B7653" s="270">
        <v>2019</v>
      </c>
      <c r="C7653" s="270">
        <v>2020</v>
      </c>
      <c r="D7653" s="270">
        <v>1</v>
      </c>
      <c r="E7653" s="270">
        <v>1</v>
      </c>
      <c r="F7653" s="270" t="s">
        <v>944</v>
      </c>
      <c r="G7653" s="270" t="s">
        <v>3997</v>
      </c>
      <c r="H7653" s="270" t="s">
        <v>12521</v>
      </c>
      <c r="I7653" s="270" t="s">
        <v>934</v>
      </c>
      <c r="J7653" s="270" t="s">
        <v>3928</v>
      </c>
      <c r="K7653" s="270">
        <v>6606</v>
      </c>
      <c r="L7653" s="270">
        <v>72900</v>
      </c>
      <c r="M7653" s="270" t="s">
        <v>3940</v>
      </c>
      <c r="N7653" s="270" t="s">
        <v>3944</v>
      </c>
      <c r="O7653" s="270">
        <v>658.28</v>
      </c>
      <c r="P7653" s="270" t="s">
        <v>3944</v>
      </c>
      <c r="Q7653" s="270" t="s">
        <v>3944</v>
      </c>
      <c r="R7653" s="270">
        <v>658.28</v>
      </c>
      <c r="S7653" s="270">
        <v>7807.64</v>
      </c>
      <c r="T7653" s="270">
        <v>8465.92</v>
      </c>
      <c r="U7653" s="271" t="s">
        <v>3945</v>
      </c>
      <c r="V7653" s="267" t="s">
        <v>944</v>
      </c>
    </row>
    <row r="7654" spans="1:22" hidden="1" x14ac:dyDescent="0.25">
      <c r="A7654" s="266">
        <v>43812</v>
      </c>
      <c r="B7654" s="267">
        <v>2019</v>
      </c>
      <c r="C7654" s="267">
        <v>2020</v>
      </c>
      <c r="D7654" s="267">
        <v>1</v>
      </c>
      <c r="E7654" s="267">
        <v>1</v>
      </c>
      <c r="F7654" s="267" t="s">
        <v>944</v>
      </c>
      <c r="G7654" s="267" t="s">
        <v>3997</v>
      </c>
      <c r="H7654" s="267" t="s">
        <v>12522</v>
      </c>
      <c r="I7654" s="267" t="s">
        <v>3008</v>
      </c>
      <c r="J7654" s="267" t="s">
        <v>3928</v>
      </c>
      <c r="K7654" s="267">
        <v>6460</v>
      </c>
      <c r="L7654" s="267">
        <v>151200</v>
      </c>
      <c r="M7654" s="267" t="s">
        <v>3935</v>
      </c>
      <c r="N7654" s="267" t="s">
        <v>3944</v>
      </c>
      <c r="O7654" s="267">
        <v>1618.72</v>
      </c>
      <c r="P7654" s="267" t="s">
        <v>3944</v>
      </c>
      <c r="Q7654" s="267" t="s">
        <v>3944</v>
      </c>
      <c r="R7654" s="267">
        <v>1618.72</v>
      </c>
      <c r="S7654" s="267">
        <v>21662.560000000001</v>
      </c>
      <c r="T7654" s="267">
        <v>23281.279999999999</v>
      </c>
      <c r="U7654" s="268" t="s">
        <v>3945</v>
      </c>
      <c r="V7654" s="267" t="s">
        <v>944</v>
      </c>
    </row>
    <row r="7655" spans="1:22" hidden="1" x14ac:dyDescent="0.25">
      <c r="A7655" s="269">
        <v>43812</v>
      </c>
      <c r="B7655" s="270">
        <v>2019</v>
      </c>
      <c r="C7655" s="270">
        <v>2020</v>
      </c>
      <c r="D7655" s="270">
        <v>1</v>
      </c>
      <c r="E7655" s="270">
        <v>1</v>
      </c>
      <c r="F7655" s="270" t="s">
        <v>944</v>
      </c>
      <c r="G7655" s="270" t="s">
        <v>3997</v>
      </c>
      <c r="H7655" s="270" t="s">
        <v>12523</v>
      </c>
      <c r="I7655" s="270" t="s">
        <v>956</v>
      </c>
      <c r="J7655" s="270" t="s">
        <v>3928</v>
      </c>
      <c r="K7655" s="270">
        <v>6614</v>
      </c>
      <c r="L7655" s="270">
        <v>80900</v>
      </c>
      <c r="M7655" s="270" t="s">
        <v>3960</v>
      </c>
      <c r="N7655" s="270" t="s">
        <v>3944</v>
      </c>
      <c r="O7655" s="270">
        <v>1425.45</v>
      </c>
      <c r="P7655" s="270" t="s">
        <v>3944</v>
      </c>
      <c r="Q7655" s="270" t="s">
        <v>3944</v>
      </c>
      <c r="R7655" s="270">
        <v>1425.45</v>
      </c>
      <c r="S7655" s="270">
        <v>22914.07</v>
      </c>
      <c r="T7655" s="270">
        <v>24339.52</v>
      </c>
      <c r="U7655" s="271" t="s">
        <v>3945</v>
      </c>
      <c r="V7655" s="267" t="s">
        <v>944</v>
      </c>
    </row>
    <row r="7656" spans="1:22" hidden="1" x14ac:dyDescent="0.25">
      <c r="A7656" s="266">
        <v>43812</v>
      </c>
      <c r="B7656" s="267">
        <v>2019</v>
      </c>
      <c r="C7656" s="267">
        <v>2020</v>
      </c>
      <c r="D7656" s="267">
        <v>1</v>
      </c>
      <c r="E7656" s="267">
        <v>1</v>
      </c>
      <c r="F7656" s="267" t="s">
        <v>944</v>
      </c>
      <c r="G7656" s="267" t="s">
        <v>3926</v>
      </c>
      <c r="H7656" s="267" t="s">
        <v>12524</v>
      </c>
      <c r="I7656" s="267" t="s">
        <v>4003</v>
      </c>
      <c r="J7656" s="267" t="s">
        <v>3928</v>
      </c>
      <c r="K7656" s="267">
        <v>6374</v>
      </c>
      <c r="L7656" s="267">
        <v>907100</v>
      </c>
      <c r="M7656" s="267" t="s">
        <v>3935</v>
      </c>
      <c r="N7656" s="267" t="s">
        <v>3944</v>
      </c>
      <c r="O7656" s="267">
        <v>1081.3599999999999</v>
      </c>
      <c r="P7656" s="267" t="s">
        <v>3944</v>
      </c>
      <c r="Q7656" s="267" t="s">
        <v>3944</v>
      </c>
      <c r="R7656" s="267">
        <v>1081.3599999999999</v>
      </c>
      <c r="S7656" s="267">
        <v>14792.24</v>
      </c>
      <c r="T7656" s="267">
        <v>15873.6</v>
      </c>
      <c r="U7656" s="268" t="s">
        <v>3945</v>
      </c>
      <c r="V7656" s="267" t="s">
        <v>944</v>
      </c>
    </row>
    <row r="7657" spans="1:22" hidden="1" x14ac:dyDescent="0.25">
      <c r="A7657" s="269">
        <v>43812</v>
      </c>
      <c r="B7657" s="270">
        <v>2019</v>
      </c>
      <c r="C7657" s="270">
        <v>2020</v>
      </c>
      <c r="D7657" s="270">
        <v>1</v>
      </c>
      <c r="E7657" s="270">
        <v>1</v>
      </c>
      <c r="F7657" s="270" t="s">
        <v>944</v>
      </c>
      <c r="G7657" s="270" t="s">
        <v>3926</v>
      </c>
      <c r="H7657" s="270" t="s">
        <v>12525</v>
      </c>
      <c r="I7657" s="270" t="s">
        <v>953</v>
      </c>
      <c r="J7657" s="270" t="s">
        <v>3928</v>
      </c>
      <c r="K7657" s="270">
        <v>6514</v>
      </c>
      <c r="L7657" s="270">
        <v>165801</v>
      </c>
      <c r="M7657" s="270" t="s">
        <v>3935</v>
      </c>
      <c r="N7657" s="270" t="s">
        <v>3944</v>
      </c>
      <c r="O7657" s="270">
        <v>1300.99</v>
      </c>
      <c r="P7657" s="270" t="s">
        <v>3944</v>
      </c>
      <c r="Q7657" s="270" t="s">
        <v>3944</v>
      </c>
      <c r="R7657" s="270">
        <v>1300.99</v>
      </c>
      <c r="S7657" s="270">
        <v>17747.330000000002</v>
      </c>
      <c r="T7657" s="270">
        <v>19048.32</v>
      </c>
      <c r="U7657" s="271" t="s">
        <v>3945</v>
      </c>
      <c r="V7657" s="267" t="s">
        <v>944</v>
      </c>
    </row>
    <row r="7658" spans="1:22" hidden="1" x14ac:dyDescent="0.25">
      <c r="A7658" s="266">
        <v>43812</v>
      </c>
      <c r="B7658" s="267">
        <v>2019</v>
      </c>
      <c r="C7658" s="267">
        <v>2020</v>
      </c>
      <c r="D7658" s="267">
        <v>1</v>
      </c>
      <c r="E7658" s="267">
        <v>1</v>
      </c>
      <c r="F7658" s="267" t="s">
        <v>944</v>
      </c>
      <c r="G7658" s="267" t="s">
        <v>3926</v>
      </c>
      <c r="H7658" s="267" t="s">
        <v>12526</v>
      </c>
      <c r="I7658" s="267" t="s">
        <v>4301</v>
      </c>
      <c r="J7658" s="267" t="s">
        <v>3928</v>
      </c>
      <c r="K7658" s="267">
        <v>6359</v>
      </c>
      <c r="L7658" s="267">
        <v>707100</v>
      </c>
      <c r="M7658" s="267" t="s">
        <v>3935</v>
      </c>
      <c r="N7658" s="267" t="s">
        <v>3944</v>
      </c>
      <c r="O7658" s="267">
        <v>1641.54</v>
      </c>
      <c r="P7658" s="267" t="s">
        <v>3944</v>
      </c>
      <c r="Q7658" s="267" t="s">
        <v>3944</v>
      </c>
      <c r="R7658" s="267">
        <v>1641.54</v>
      </c>
      <c r="S7658" s="267">
        <v>19523.259999999998</v>
      </c>
      <c r="T7658" s="267">
        <v>21164.799999999999</v>
      </c>
      <c r="U7658" s="268" t="s">
        <v>3945</v>
      </c>
      <c r="V7658" s="267" t="s">
        <v>944</v>
      </c>
    </row>
    <row r="7659" spans="1:22" hidden="1" x14ac:dyDescent="0.25">
      <c r="A7659" s="269">
        <v>43812</v>
      </c>
      <c r="B7659" s="270">
        <v>2019</v>
      </c>
      <c r="C7659" s="270">
        <v>2020</v>
      </c>
      <c r="D7659" s="270">
        <v>1</v>
      </c>
      <c r="E7659" s="270">
        <v>1</v>
      </c>
      <c r="F7659" s="270" t="s">
        <v>944</v>
      </c>
      <c r="G7659" s="270" t="s">
        <v>3926</v>
      </c>
      <c r="H7659" s="270" t="s">
        <v>12527</v>
      </c>
      <c r="I7659" s="270" t="s">
        <v>4073</v>
      </c>
      <c r="J7659" s="270" t="s">
        <v>3928</v>
      </c>
      <c r="K7659" s="270">
        <v>6776</v>
      </c>
      <c r="L7659" s="270">
        <v>253200</v>
      </c>
      <c r="M7659" s="270" t="s">
        <v>3960</v>
      </c>
      <c r="N7659" s="270" t="s">
        <v>12528</v>
      </c>
      <c r="O7659" s="270"/>
      <c r="P7659" s="270" t="s">
        <v>3944</v>
      </c>
      <c r="Q7659" s="270" t="s">
        <v>3930</v>
      </c>
      <c r="R7659" s="270">
        <v>0</v>
      </c>
      <c r="S7659" s="270">
        <v>622751.99</v>
      </c>
      <c r="T7659" s="270">
        <v>622751.99</v>
      </c>
      <c r="U7659" s="271" t="s">
        <v>4099</v>
      </c>
      <c r="V7659" s="267" t="s">
        <v>944</v>
      </c>
    </row>
    <row r="7660" spans="1:22" x14ac:dyDescent="0.25">
      <c r="A7660" s="266">
        <v>43812</v>
      </c>
      <c r="B7660" s="267">
        <v>2019</v>
      </c>
      <c r="C7660" s="267">
        <v>2020</v>
      </c>
      <c r="D7660" s="267">
        <v>1</v>
      </c>
      <c r="E7660" s="267">
        <v>172</v>
      </c>
      <c r="F7660" s="267" t="s">
        <v>944</v>
      </c>
      <c r="G7660" s="267" t="s">
        <v>3997</v>
      </c>
      <c r="H7660" s="267" t="s">
        <v>12529</v>
      </c>
      <c r="I7660" s="267" t="s">
        <v>934</v>
      </c>
      <c r="J7660" s="267" t="s">
        <v>3928</v>
      </c>
      <c r="K7660" s="267">
        <v>6605</v>
      </c>
      <c r="L7660" s="267">
        <v>70300</v>
      </c>
      <c r="M7660" s="267">
        <v>-60</v>
      </c>
      <c r="N7660" s="267" t="s">
        <v>12530</v>
      </c>
      <c r="O7660" s="267"/>
      <c r="P7660" s="267" t="s">
        <v>3944</v>
      </c>
      <c r="Q7660" s="267" t="s">
        <v>3930</v>
      </c>
      <c r="R7660" s="267">
        <v>0</v>
      </c>
      <c r="S7660" s="267">
        <v>133000000</v>
      </c>
      <c r="T7660" s="267">
        <v>133000000</v>
      </c>
      <c r="U7660" s="268" t="s">
        <v>5605</v>
      </c>
      <c r="V7660" s="276" t="s">
        <v>936</v>
      </c>
    </row>
    <row r="7661" spans="1:22" hidden="1" x14ac:dyDescent="0.25">
      <c r="A7661" s="269">
        <v>43813</v>
      </c>
      <c r="B7661" s="270">
        <v>2019</v>
      </c>
      <c r="C7661" s="270">
        <v>2020</v>
      </c>
      <c r="D7661" s="270">
        <v>1</v>
      </c>
      <c r="E7661" s="270">
        <v>1</v>
      </c>
      <c r="F7661" s="270" t="s">
        <v>944</v>
      </c>
      <c r="G7661" s="270" t="s">
        <v>3926</v>
      </c>
      <c r="H7661" s="270" t="s">
        <v>12531</v>
      </c>
      <c r="I7661" s="270" t="s">
        <v>956</v>
      </c>
      <c r="J7661" s="270" t="s">
        <v>3928</v>
      </c>
      <c r="K7661" s="270">
        <v>6615</v>
      </c>
      <c r="L7661" s="270">
        <v>80500</v>
      </c>
      <c r="M7661" s="270" t="s">
        <v>3960</v>
      </c>
      <c r="N7661" s="270" t="s">
        <v>4103</v>
      </c>
      <c r="O7661" s="270">
        <v>1495.94</v>
      </c>
      <c r="P7661" s="270" t="s">
        <v>3930</v>
      </c>
      <c r="Q7661" s="270" t="s">
        <v>3931</v>
      </c>
      <c r="R7661" s="270">
        <v>6495.94</v>
      </c>
      <c r="S7661" s="270">
        <v>24145.599999999999</v>
      </c>
      <c r="T7661" s="270">
        <v>30641.54</v>
      </c>
      <c r="U7661" s="271" t="s">
        <v>3932</v>
      </c>
      <c r="V7661" s="267" t="s">
        <v>944</v>
      </c>
    </row>
    <row r="7662" spans="1:22" hidden="1" x14ac:dyDescent="0.25">
      <c r="A7662" s="266">
        <v>43813</v>
      </c>
      <c r="B7662" s="267">
        <v>2019</v>
      </c>
      <c r="C7662" s="267">
        <v>2020</v>
      </c>
      <c r="D7662" s="267">
        <v>1</v>
      </c>
      <c r="E7662" s="267">
        <v>1</v>
      </c>
      <c r="F7662" s="267" t="s">
        <v>944</v>
      </c>
      <c r="G7662" s="267" t="s">
        <v>3926</v>
      </c>
      <c r="H7662" s="267" t="s">
        <v>12532</v>
      </c>
      <c r="I7662" s="267" t="s">
        <v>4594</v>
      </c>
      <c r="J7662" s="267" t="s">
        <v>3928</v>
      </c>
      <c r="K7662" s="267">
        <v>6488</v>
      </c>
      <c r="L7662" s="267">
        <v>348123</v>
      </c>
      <c r="M7662" s="267" t="s">
        <v>3943</v>
      </c>
      <c r="N7662" s="267" t="s">
        <v>4495</v>
      </c>
      <c r="O7662" s="267">
        <v>2508.4499999999998</v>
      </c>
      <c r="P7662" s="267" t="s">
        <v>3930</v>
      </c>
      <c r="Q7662" s="267" t="s">
        <v>3931</v>
      </c>
      <c r="R7662" s="267">
        <v>7508.45</v>
      </c>
      <c r="S7662" s="267">
        <v>33976</v>
      </c>
      <c r="T7662" s="267">
        <v>41484.449999999997</v>
      </c>
      <c r="U7662" s="268" t="s">
        <v>3932</v>
      </c>
      <c r="V7662" s="267" t="s">
        <v>944</v>
      </c>
    </row>
    <row r="7663" spans="1:22" hidden="1" x14ac:dyDescent="0.25">
      <c r="A7663" s="269">
        <v>43813</v>
      </c>
      <c r="B7663" s="270">
        <v>2019</v>
      </c>
      <c r="C7663" s="270">
        <v>2020</v>
      </c>
      <c r="D7663" s="270">
        <v>1</v>
      </c>
      <c r="E7663" s="270">
        <v>1</v>
      </c>
      <c r="F7663" s="270" t="s">
        <v>944</v>
      </c>
      <c r="G7663" s="270" t="s">
        <v>3926</v>
      </c>
      <c r="H7663" s="270" t="s">
        <v>12533</v>
      </c>
      <c r="I7663" s="270" t="s">
        <v>934</v>
      </c>
      <c r="J7663" s="270" t="s">
        <v>3928</v>
      </c>
      <c r="K7663" s="270">
        <v>6604</v>
      </c>
      <c r="L7663" s="270">
        <v>72100</v>
      </c>
      <c r="M7663" s="270" t="s">
        <v>3940</v>
      </c>
      <c r="N7663" s="270" t="s">
        <v>7680</v>
      </c>
      <c r="O7663" s="270">
        <v>2877.21</v>
      </c>
      <c r="P7663" s="270" t="s">
        <v>3930</v>
      </c>
      <c r="Q7663" s="270" t="s">
        <v>3931</v>
      </c>
      <c r="R7663" s="270">
        <v>7877.21</v>
      </c>
      <c r="S7663" s="270">
        <v>11128</v>
      </c>
      <c r="T7663" s="270">
        <v>19005.21</v>
      </c>
      <c r="U7663" s="271" t="s">
        <v>3932</v>
      </c>
      <c r="V7663" s="267" t="s">
        <v>944</v>
      </c>
    </row>
    <row r="7664" spans="1:22" hidden="1" x14ac:dyDescent="0.25">
      <c r="A7664" s="266">
        <v>43813</v>
      </c>
      <c r="B7664" s="267">
        <v>2019</v>
      </c>
      <c r="C7664" s="267">
        <v>2020</v>
      </c>
      <c r="D7664" s="267">
        <v>1</v>
      </c>
      <c r="E7664" s="267">
        <v>1</v>
      </c>
      <c r="F7664" s="267" t="s">
        <v>944</v>
      </c>
      <c r="G7664" s="267" t="s">
        <v>3926</v>
      </c>
      <c r="H7664" s="267" t="s">
        <v>12534</v>
      </c>
      <c r="I7664" s="267" t="s">
        <v>2985</v>
      </c>
      <c r="J7664" s="267" t="s">
        <v>3928</v>
      </c>
      <c r="K7664" s="267">
        <v>6825</v>
      </c>
      <c r="L7664" s="267">
        <v>61100</v>
      </c>
      <c r="M7664" s="267" t="s">
        <v>3943</v>
      </c>
      <c r="N7664" s="267" t="s">
        <v>11934</v>
      </c>
      <c r="O7664" s="267">
        <v>1286.46</v>
      </c>
      <c r="P7664" s="267" t="s">
        <v>3930</v>
      </c>
      <c r="Q7664" s="267" t="s">
        <v>3931</v>
      </c>
      <c r="R7664" s="267">
        <v>6286.46</v>
      </c>
      <c r="S7664" s="267">
        <v>21288</v>
      </c>
      <c r="T7664" s="267">
        <v>27574.46</v>
      </c>
      <c r="U7664" s="268" t="s">
        <v>3932</v>
      </c>
      <c r="V7664" s="267" t="s">
        <v>944</v>
      </c>
    </row>
    <row r="7665" spans="1:22" hidden="1" x14ac:dyDescent="0.25">
      <c r="A7665" s="269">
        <v>43813</v>
      </c>
      <c r="B7665" s="270">
        <v>2019</v>
      </c>
      <c r="C7665" s="270">
        <v>2020</v>
      </c>
      <c r="D7665" s="270">
        <v>1</v>
      </c>
      <c r="E7665" s="270">
        <v>1</v>
      </c>
      <c r="F7665" s="270" t="s">
        <v>944</v>
      </c>
      <c r="G7665" s="270" t="s">
        <v>3926</v>
      </c>
      <c r="H7665" s="270" t="s">
        <v>12535</v>
      </c>
      <c r="I7665" s="270" t="s">
        <v>2987</v>
      </c>
      <c r="J7665" s="270" t="s">
        <v>3928</v>
      </c>
      <c r="K7665" s="270">
        <v>6611</v>
      </c>
      <c r="L7665" s="270">
        <v>90300</v>
      </c>
      <c r="M7665" s="270" t="s">
        <v>3943</v>
      </c>
      <c r="N7665" s="270" t="s">
        <v>8223</v>
      </c>
      <c r="O7665" s="270">
        <v>2393.83</v>
      </c>
      <c r="P7665" s="270" t="s">
        <v>3930</v>
      </c>
      <c r="Q7665" s="270" t="s">
        <v>3931</v>
      </c>
      <c r="R7665" s="270">
        <v>7393.83</v>
      </c>
      <c r="S7665" s="270">
        <v>12702.4</v>
      </c>
      <c r="T7665" s="270">
        <v>20096.23</v>
      </c>
      <c r="U7665" s="271" t="s">
        <v>3932</v>
      </c>
      <c r="V7665" s="267" t="s">
        <v>944</v>
      </c>
    </row>
    <row r="7666" spans="1:22" hidden="1" x14ac:dyDescent="0.25">
      <c r="A7666" s="266">
        <v>43814</v>
      </c>
      <c r="B7666" s="267">
        <v>2019</v>
      </c>
      <c r="C7666" s="267">
        <v>2020</v>
      </c>
      <c r="D7666" s="267">
        <v>1</v>
      </c>
      <c r="E7666" s="267">
        <v>1</v>
      </c>
      <c r="F7666" s="267" t="s">
        <v>944</v>
      </c>
      <c r="G7666" s="267" t="s">
        <v>3926</v>
      </c>
      <c r="H7666" s="267" t="s">
        <v>12536</v>
      </c>
      <c r="I7666" s="267" t="s">
        <v>3009</v>
      </c>
      <c r="J7666" s="267" t="s">
        <v>3928</v>
      </c>
      <c r="K7666" s="267">
        <v>6484</v>
      </c>
      <c r="L7666" s="267">
        <v>110202</v>
      </c>
      <c r="M7666" s="267" t="s">
        <v>3935</v>
      </c>
      <c r="N7666" s="267" t="s">
        <v>4495</v>
      </c>
      <c r="O7666" s="267">
        <v>2404.33</v>
      </c>
      <c r="P7666" s="267" t="s">
        <v>3930</v>
      </c>
      <c r="Q7666" s="267" t="s">
        <v>3931</v>
      </c>
      <c r="R7666" s="267">
        <v>7404.33</v>
      </c>
      <c r="S7666" s="267">
        <v>33976</v>
      </c>
      <c r="T7666" s="267">
        <v>41380.33</v>
      </c>
      <c r="U7666" s="268" t="s">
        <v>3932</v>
      </c>
      <c r="V7666" s="267" t="s">
        <v>944</v>
      </c>
    </row>
    <row r="7667" spans="1:22" hidden="1" x14ac:dyDescent="0.25">
      <c r="A7667" s="269">
        <v>43815</v>
      </c>
      <c r="B7667" s="270">
        <v>2019</v>
      </c>
      <c r="C7667" s="270">
        <v>2020</v>
      </c>
      <c r="D7667" s="270">
        <v>1</v>
      </c>
      <c r="E7667" s="270">
        <v>1</v>
      </c>
      <c r="F7667" s="270" t="s">
        <v>944</v>
      </c>
      <c r="G7667" s="270" t="s">
        <v>3926</v>
      </c>
      <c r="H7667" s="270" t="s">
        <v>12537</v>
      </c>
      <c r="I7667" s="270" t="s">
        <v>956</v>
      </c>
      <c r="J7667" s="270" t="s">
        <v>3928</v>
      </c>
      <c r="K7667" s="270">
        <v>6615</v>
      </c>
      <c r="L7667" s="270">
        <v>80500</v>
      </c>
      <c r="M7667" s="270" t="s">
        <v>3960</v>
      </c>
      <c r="N7667" s="270" t="s">
        <v>5483</v>
      </c>
      <c r="O7667" s="270">
        <v>0</v>
      </c>
      <c r="P7667" s="270" t="s">
        <v>3930</v>
      </c>
      <c r="Q7667" s="270" t="s">
        <v>3930</v>
      </c>
      <c r="R7667" s="270">
        <v>0</v>
      </c>
      <c r="S7667" s="270">
        <v>20700</v>
      </c>
      <c r="T7667" s="270">
        <v>20700</v>
      </c>
      <c r="U7667" s="271" t="s">
        <v>3937</v>
      </c>
      <c r="V7667" s="267" t="s">
        <v>944</v>
      </c>
    </row>
    <row r="7668" spans="1:22" hidden="1" x14ac:dyDescent="0.25">
      <c r="A7668" s="266">
        <v>43815</v>
      </c>
      <c r="B7668" s="267">
        <v>2019</v>
      </c>
      <c r="C7668" s="267">
        <v>2020</v>
      </c>
      <c r="D7668" s="267">
        <v>1</v>
      </c>
      <c r="E7668" s="267">
        <v>1</v>
      </c>
      <c r="F7668" s="267" t="s">
        <v>944</v>
      </c>
      <c r="G7668" s="267" t="s">
        <v>3926</v>
      </c>
      <c r="H7668" s="267" t="s">
        <v>12538</v>
      </c>
      <c r="I7668" s="267" t="s">
        <v>4235</v>
      </c>
      <c r="J7668" s="267" t="s">
        <v>3928</v>
      </c>
      <c r="K7668" s="267">
        <v>6066</v>
      </c>
      <c r="L7668" s="267">
        <v>530302</v>
      </c>
      <c r="M7668" s="267" t="s">
        <v>3935</v>
      </c>
      <c r="N7668" s="267" t="s">
        <v>12539</v>
      </c>
      <c r="O7668" s="267">
        <v>0</v>
      </c>
      <c r="P7668" s="267" t="s">
        <v>3930</v>
      </c>
      <c r="Q7668" s="267" t="s">
        <v>3930</v>
      </c>
      <c r="R7668" s="267">
        <v>0</v>
      </c>
      <c r="S7668" s="267">
        <v>6499</v>
      </c>
      <c r="T7668" s="267">
        <v>6499</v>
      </c>
      <c r="U7668" s="268" t="s">
        <v>3937</v>
      </c>
      <c r="V7668" s="267" t="s">
        <v>944</v>
      </c>
    </row>
    <row r="7669" spans="1:22" hidden="1" x14ac:dyDescent="0.25">
      <c r="A7669" s="269">
        <v>43815</v>
      </c>
      <c r="B7669" s="270">
        <v>2019</v>
      </c>
      <c r="C7669" s="270">
        <v>2020</v>
      </c>
      <c r="D7669" s="270">
        <v>1</v>
      </c>
      <c r="E7669" s="270">
        <v>1</v>
      </c>
      <c r="F7669" s="270" t="s">
        <v>944</v>
      </c>
      <c r="G7669" s="270" t="s">
        <v>3926</v>
      </c>
      <c r="H7669" s="270" t="s">
        <v>12540</v>
      </c>
      <c r="I7669" s="270" t="s">
        <v>4124</v>
      </c>
      <c r="J7669" s="270" t="s">
        <v>3928</v>
      </c>
      <c r="K7669" s="270">
        <v>6470</v>
      </c>
      <c r="L7669" s="270">
        <v>230502</v>
      </c>
      <c r="M7669" s="270" t="s">
        <v>3943</v>
      </c>
      <c r="N7669" s="270" t="s">
        <v>3944</v>
      </c>
      <c r="O7669" s="270">
        <v>3973</v>
      </c>
      <c r="P7669" s="270" t="s">
        <v>3944</v>
      </c>
      <c r="Q7669" s="270" t="s">
        <v>3944</v>
      </c>
      <c r="R7669" s="270">
        <v>3973</v>
      </c>
      <c r="S7669" s="270">
        <v>44305</v>
      </c>
      <c r="T7669" s="270">
        <v>48278</v>
      </c>
      <c r="U7669" s="271" t="s">
        <v>3945</v>
      </c>
      <c r="V7669" s="267" t="s">
        <v>944</v>
      </c>
    </row>
    <row r="7670" spans="1:22" hidden="1" x14ac:dyDescent="0.25">
      <c r="A7670" s="266">
        <v>43815</v>
      </c>
      <c r="B7670" s="267">
        <v>2019</v>
      </c>
      <c r="C7670" s="267">
        <v>2020</v>
      </c>
      <c r="D7670" s="267">
        <v>1</v>
      </c>
      <c r="E7670" s="267">
        <v>1</v>
      </c>
      <c r="F7670" s="267" t="s">
        <v>944</v>
      </c>
      <c r="G7670" s="267" t="s">
        <v>3926</v>
      </c>
      <c r="H7670" s="267" t="s">
        <v>12541</v>
      </c>
      <c r="I7670" s="267" t="s">
        <v>956</v>
      </c>
      <c r="J7670" s="267" t="s">
        <v>3928</v>
      </c>
      <c r="K7670" s="267">
        <v>6614</v>
      </c>
      <c r="L7670" s="267">
        <v>80800</v>
      </c>
      <c r="M7670" s="267" t="s">
        <v>3960</v>
      </c>
      <c r="N7670" s="267" t="s">
        <v>3944</v>
      </c>
      <c r="O7670" s="267">
        <v>1660</v>
      </c>
      <c r="P7670" s="267" t="s">
        <v>3944</v>
      </c>
      <c r="Q7670" s="267" t="s">
        <v>3944</v>
      </c>
      <c r="R7670" s="267">
        <v>1660</v>
      </c>
      <c r="S7670" s="267">
        <v>15549.4</v>
      </c>
      <c r="T7670" s="267">
        <v>17209.400000000001</v>
      </c>
      <c r="U7670" s="268" t="s">
        <v>3945</v>
      </c>
      <c r="V7670" s="267" t="s">
        <v>944</v>
      </c>
    </row>
    <row r="7671" spans="1:22" hidden="1" x14ac:dyDescent="0.25">
      <c r="A7671" s="269">
        <v>43815</v>
      </c>
      <c r="B7671" s="270">
        <v>2019</v>
      </c>
      <c r="C7671" s="270">
        <v>2020</v>
      </c>
      <c r="D7671" s="270">
        <v>1</v>
      </c>
      <c r="E7671" s="270">
        <v>1</v>
      </c>
      <c r="F7671" s="270" t="s">
        <v>944</v>
      </c>
      <c r="G7671" s="270" t="s">
        <v>3926</v>
      </c>
      <c r="H7671" s="270" t="s">
        <v>12542</v>
      </c>
      <c r="I7671" s="270" t="s">
        <v>3949</v>
      </c>
      <c r="J7671" s="270" t="s">
        <v>3928</v>
      </c>
      <c r="K7671" s="270">
        <v>6437</v>
      </c>
      <c r="L7671" s="270">
        <v>190200</v>
      </c>
      <c r="M7671" s="270" t="s">
        <v>3943</v>
      </c>
      <c r="N7671" s="270" t="s">
        <v>3944</v>
      </c>
      <c r="O7671" s="270">
        <v>3659</v>
      </c>
      <c r="P7671" s="270" t="s">
        <v>3944</v>
      </c>
      <c r="Q7671" s="270" t="s">
        <v>3944</v>
      </c>
      <c r="R7671" s="270">
        <v>3659</v>
      </c>
      <c r="S7671" s="270">
        <v>43102</v>
      </c>
      <c r="T7671" s="270">
        <v>46761</v>
      </c>
      <c r="U7671" s="271" t="s">
        <v>3945</v>
      </c>
      <c r="V7671" s="267" t="s">
        <v>944</v>
      </c>
    </row>
    <row r="7672" spans="1:22" hidden="1" x14ac:dyDescent="0.25">
      <c r="A7672" s="266">
        <v>43815</v>
      </c>
      <c r="B7672" s="267">
        <v>2019</v>
      </c>
      <c r="C7672" s="267">
        <v>2020</v>
      </c>
      <c r="D7672" s="267">
        <v>1</v>
      </c>
      <c r="E7672" s="267">
        <v>1</v>
      </c>
      <c r="F7672" s="267" t="s">
        <v>944</v>
      </c>
      <c r="G7672" s="267" t="s">
        <v>3926</v>
      </c>
      <c r="H7672" s="267" t="s">
        <v>12543</v>
      </c>
      <c r="I7672" s="267" t="s">
        <v>4114</v>
      </c>
      <c r="J7672" s="267" t="s">
        <v>3928</v>
      </c>
      <c r="K7672" s="267">
        <v>6410</v>
      </c>
      <c r="L7672" s="267">
        <v>343101</v>
      </c>
      <c r="M7672" s="267" t="s">
        <v>3943</v>
      </c>
      <c r="N7672" s="267" t="s">
        <v>3944</v>
      </c>
      <c r="O7672" s="267">
        <v>3770</v>
      </c>
      <c r="P7672" s="267" t="s">
        <v>3944</v>
      </c>
      <c r="Q7672" s="267" t="s">
        <v>3944</v>
      </c>
      <c r="R7672" s="267">
        <v>3770</v>
      </c>
      <c r="S7672" s="267">
        <v>29227</v>
      </c>
      <c r="T7672" s="267">
        <v>32997</v>
      </c>
      <c r="U7672" s="268" t="s">
        <v>3945</v>
      </c>
      <c r="V7672" s="267" t="s">
        <v>944</v>
      </c>
    </row>
    <row r="7673" spans="1:22" hidden="1" x14ac:dyDescent="0.25">
      <c r="A7673" s="269">
        <v>43815</v>
      </c>
      <c r="B7673" s="270">
        <v>2019</v>
      </c>
      <c r="C7673" s="270">
        <v>2020</v>
      </c>
      <c r="D7673" s="270">
        <v>1</v>
      </c>
      <c r="E7673" s="270">
        <v>1</v>
      </c>
      <c r="F7673" s="270" t="s">
        <v>944</v>
      </c>
      <c r="G7673" s="270" t="s">
        <v>3997</v>
      </c>
      <c r="H7673" s="270" t="s">
        <v>12544</v>
      </c>
      <c r="I7673" s="270" t="s">
        <v>3010</v>
      </c>
      <c r="J7673" s="270" t="s">
        <v>3928</v>
      </c>
      <c r="K7673" s="270">
        <v>6401</v>
      </c>
      <c r="L7673" s="270">
        <v>125200</v>
      </c>
      <c r="M7673" s="270">
        <v>-60</v>
      </c>
      <c r="N7673" s="270" t="s">
        <v>3944</v>
      </c>
      <c r="O7673" s="270">
        <v>1314.67</v>
      </c>
      <c r="P7673" s="270" t="s">
        <v>3944</v>
      </c>
      <c r="Q7673" s="270" t="s">
        <v>3944</v>
      </c>
      <c r="R7673" s="270">
        <v>1314.67</v>
      </c>
      <c r="S7673" s="270">
        <v>16675.41</v>
      </c>
      <c r="T7673" s="270">
        <v>17990.080000000002</v>
      </c>
      <c r="U7673" s="271" t="s">
        <v>3945</v>
      </c>
      <c r="V7673" s="267" t="s">
        <v>944</v>
      </c>
    </row>
    <row r="7674" spans="1:22" hidden="1" x14ac:dyDescent="0.25">
      <c r="A7674" s="266">
        <v>43815</v>
      </c>
      <c r="B7674" s="267">
        <v>2019</v>
      </c>
      <c r="C7674" s="267">
        <v>2020</v>
      </c>
      <c r="D7674" s="267">
        <v>1</v>
      </c>
      <c r="E7674" s="267">
        <v>1</v>
      </c>
      <c r="F7674" s="267" t="s">
        <v>944</v>
      </c>
      <c r="G7674" s="267" t="s">
        <v>3926</v>
      </c>
      <c r="H7674" s="267" t="s">
        <v>12545</v>
      </c>
      <c r="I7674" s="267" t="s">
        <v>5122</v>
      </c>
      <c r="J7674" s="267" t="s">
        <v>3928</v>
      </c>
      <c r="K7674" s="267">
        <v>6019</v>
      </c>
      <c r="L7674" s="267">
        <v>464101</v>
      </c>
      <c r="M7674" s="267" t="s">
        <v>3943</v>
      </c>
      <c r="N7674" s="267" t="s">
        <v>3944</v>
      </c>
      <c r="O7674" s="267">
        <v>4846</v>
      </c>
      <c r="P7674" s="267" t="s">
        <v>3944</v>
      </c>
      <c r="Q7674" s="267" t="s">
        <v>3944</v>
      </c>
      <c r="R7674" s="267">
        <v>4846</v>
      </c>
      <c r="S7674" s="267">
        <v>31029.200000000001</v>
      </c>
      <c r="T7674" s="267">
        <v>35875.199999999997</v>
      </c>
      <c r="U7674" s="268" t="s">
        <v>3945</v>
      </c>
      <c r="V7674" s="267" t="s">
        <v>944</v>
      </c>
    </row>
    <row r="7675" spans="1:22" hidden="1" x14ac:dyDescent="0.25">
      <c r="A7675" s="269">
        <v>43815</v>
      </c>
      <c r="B7675" s="270">
        <v>2019</v>
      </c>
      <c r="C7675" s="270">
        <v>2020</v>
      </c>
      <c r="D7675" s="270">
        <v>1</v>
      </c>
      <c r="E7675" s="270">
        <v>1</v>
      </c>
      <c r="F7675" s="270" t="s">
        <v>944</v>
      </c>
      <c r="G7675" s="270" t="s">
        <v>3997</v>
      </c>
      <c r="H7675" s="270" t="s">
        <v>12546</v>
      </c>
      <c r="I7675" s="270" t="s">
        <v>6209</v>
      </c>
      <c r="J7675" s="270" t="s">
        <v>3928</v>
      </c>
      <c r="K7675" s="270">
        <v>6403</v>
      </c>
      <c r="L7675" s="270">
        <v>341100</v>
      </c>
      <c r="M7675" s="270" t="s">
        <v>3935</v>
      </c>
      <c r="N7675" s="270" t="s">
        <v>3944</v>
      </c>
      <c r="O7675" s="270">
        <v>2576.4899999999998</v>
      </c>
      <c r="P7675" s="270" t="s">
        <v>3944</v>
      </c>
      <c r="Q7675" s="270" t="s">
        <v>3944</v>
      </c>
      <c r="R7675" s="270">
        <v>2576.4899999999998</v>
      </c>
      <c r="S7675" s="270">
        <v>43986.07</v>
      </c>
      <c r="T7675" s="270">
        <v>46562.559999999998</v>
      </c>
      <c r="U7675" s="271" t="s">
        <v>3945</v>
      </c>
      <c r="V7675" s="267" t="s">
        <v>944</v>
      </c>
    </row>
    <row r="7676" spans="1:22" hidden="1" x14ac:dyDescent="0.25">
      <c r="A7676" s="266">
        <v>43815</v>
      </c>
      <c r="B7676" s="267">
        <v>2019</v>
      </c>
      <c r="C7676" s="267">
        <v>2020</v>
      </c>
      <c r="D7676" s="267">
        <v>1</v>
      </c>
      <c r="E7676" s="267">
        <v>1</v>
      </c>
      <c r="F7676" s="267" t="s">
        <v>944</v>
      </c>
      <c r="G7676" s="267" t="s">
        <v>3997</v>
      </c>
      <c r="H7676" s="267" t="s">
        <v>12547</v>
      </c>
      <c r="I7676" s="267" t="s">
        <v>3999</v>
      </c>
      <c r="J7676" s="267" t="s">
        <v>3928</v>
      </c>
      <c r="K7676" s="267">
        <v>6451</v>
      </c>
      <c r="L7676" s="267">
        <v>170600</v>
      </c>
      <c r="M7676" s="267" t="s">
        <v>3940</v>
      </c>
      <c r="N7676" s="267" t="s">
        <v>3944</v>
      </c>
      <c r="O7676" s="267">
        <v>1358.67</v>
      </c>
      <c r="P7676" s="267" t="s">
        <v>3944</v>
      </c>
      <c r="Q7676" s="267" t="s">
        <v>3944</v>
      </c>
      <c r="R7676" s="267">
        <v>1358.67</v>
      </c>
      <c r="S7676" s="267">
        <v>16631.41</v>
      </c>
      <c r="T7676" s="267">
        <v>17990.080000000002</v>
      </c>
      <c r="U7676" s="268" t="s">
        <v>3945</v>
      </c>
      <c r="V7676" s="267" t="s">
        <v>944</v>
      </c>
    </row>
    <row r="7677" spans="1:22" hidden="1" x14ac:dyDescent="0.25">
      <c r="A7677" s="269">
        <v>43815</v>
      </c>
      <c r="B7677" s="270">
        <v>2019</v>
      </c>
      <c r="C7677" s="270">
        <v>2020</v>
      </c>
      <c r="D7677" s="270">
        <v>1</v>
      </c>
      <c r="E7677" s="270">
        <v>1</v>
      </c>
      <c r="F7677" s="270" t="s">
        <v>944</v>
      </c>
      <c r="G7677" s="270" t="s">
        <v>3926</v>
      </c>
      <c r="H7677" s="270" t="s">
        <v>12548</v>
      </c>
      <c r="I7677" s="270" t="s">
        <v>3962</v>
      </c>
      <c r="J7677" s="270" t="s">
        <v>3928</v>
      </c>
      <c r="K7677" s="270">
        <v>6355</v>
      </c>
      <c r="L7677" s="270">
        <v>703000</v>
      </c>
      <c r="M7677" s="270" t="s">
        <v>3960</v>
      </c>
      <c r="N7677" s="270" t="s">
        <v>3944</v>
      </c>
      <c r="O7677" s="270">
        <v>4170</v>
      </c>
      <c r="P7677" s="270" t="s">
        <v>3944</v>
      </c>
      <c r="Q7677" s="270" t="s">
        <v>3944</v>
      </c>
      <c r="R7677" s="270">
        <v>4170</v>
      </c>
      <c r="S7677" s="270">
        <v>25388</v>
      </c>
      <c r="T7677" s="270">
        <v>29558</v>
      </c>
      <c r="U7677" s="271" t="s">
        <v>3945</v>
      </c>
      <c r="V7677" s="267" t="s">
        <v>944</v>
      </c>
    </row>
    <row r="7678" spans="1:22" hidden="1" x14ac:dyDescent="0.25">
      <c r="A7678" s="266">
        <v>43815</v>
      </c>
      <c r="B7678" s="267">
        <v>2019</v>
      </c>
      <c r="C7678" s="267">
        <v>2020</v>
      </c>
      <c r="D7678" s="267">
        <v>1</v>
      </c>
      <c r="E7678" s="267">
        <v>1</v>
      </c>
      <c r="F7678" s="267" t="s">
        <v>944</v>
      </c>
      <c r="G7678" s="267" t="s">
        <v>3926</v>
      </c>
      <c r="H7678" s="267" t="s">
        <v>12549</v>
      </c>
      <c r="I7678" s="267" t="s">
        <v>4114</v>
      </c>
      <c r="J7678" s="267" t="s">
        <v>3928</v>
      </c>
      <c r="K7678" s="267">
        <v>6410</v>
      </c>
      <c r="L7678" s="267">
        <v>343101</v>
      </c>
      <c r="M7678" s="267" t="s">
        <v>3943</v>
      </c>
      <c r="N7678" s="267" t="s">
        <v>3944</v>
      </c>
      <c r="O7678" s="267">
        <v>5846</v>
      </c>
      <c r="P7678" s="267" t="s">
        <v>3944</v>
      </c>
      <c r="Q7678" s="267" t="s">
        <v>3944</v>
      </c>
      <c r="R7678" s="267">
        <v>5846</v>
      </c>
      <c r="S7678" s="267">
        <v>65963.199999999997</v>
      </c>
      <c r="T7678" s="267">
        <v>71809.2</v>
      </c>
      <c r="U7678" s="268" t="s">
        <v>3945</v>
      </c>
      <c r="V7678" s="267" t="s">
        <v>944</v>
      </c>
    </row>
    <row r="7679" spans="1:22" hidden="1" x14ac:dyDescent="0.25">
      <c r="A7679" s="269">
        <v>43815</v>
      </c>
      <c r="B7679" s="270">
        <v>2019</v>
      </c>
      <c r="C7679" s="270">
        <v>2020</v>
      </c>
      <c r="D7679" s="270">
        <v>1</v>
      </c>
      <c r="E7679" s="270">
        <v>1</v>
      </c>
      <c r="F7679" s="270" t="s">
        <v>944</v>
      </c>
      <c r="G7679" s="270" t="s">
        <v>3997</v>
      </c>
      <c r="H7679" s="270" t="s">
        <v>12550</v>
      </c>
      <c r="I7679" s="270" t="s">
        <v>4392</v>
      </c>
      <c r="J7679" s="270" t="s">
        <v>3928</v>
      </c>
      <c r="K7679" s="270">
        <v>6457</v>
      </c>
      <c r="L7679" s="270">
        <v>680200</v>
      </c>
      <c r="M7679" s="270" t="s">
        <v>3935</v>
      </c>
      <c r="N7679" s="270" t="s">
        <v>3944</v>
      </c>
      <c r="O7679" s="270">
        <v>1431.05</v>
      </c>
      <c r="P7679" s="270" t="s">
        <v>3944</v>
      </c>
      <c r="Q7679" s="270" t="s">
        <v>3944</v>
      </c>
      <c r="R7679" s="270">
        <v>1431.05</v>
      </c>
      <c r="S7679" s="270">
        <v>20791.990000000002</v>
      </c>
      <c r="T7679" s="270">
        <v>22223.040000000001</v>
      </c>
      <c r="U7679" s="271" t="s">
        <v>3945</v>
      </c>
      <c r="V7679" s="267" t="s">
        <v>944</v>
      </c>
    </row>
    <row r="7680" spans="1:22" hidden="1" x14ac:dyDescent="0.25">
      <c r="A7680" s="266">
        <v>43815</v>
      </c>
      <c r="B7680" s="267">
        <v>2019</v>
      </c>
      <c r="C7680" s="267">
        <v>2020</v>
      </c>
      <c r="D7680" s="267">
        <v>1</v>
      </c>
      <c r="E7680" s="267">
        <v>1</v>
      </c>
      <c r="F7680" s="267" t="s">
        <v>944</v>
      </c>
      <c r="G7680" s="267" t="s">
        <v>3926</v>
      </c>
      <c r="H7680" s="267" t="s">
        <v>12551</v>
      </c>
      <c r="I7680" s="267" t="s">
        <v>4235</v>
      </c>
      <c r="J7680" s="267" t="s">
        <v>3928</v>
      </c>
      <c r="K7680" s="267">
        <v>6066</v>
      </c>
      <c r="L7680" s="267">
        <v>530301</v>
      </c>
      <c r="M7680" s="267" t="s">
        <v>3940</v>
      </c>
      <c r="N7680" s="267" t="s">
        <v>3944</v>
      </c>
      <c r="O7680" s="267">
        <v>1061.6600000000001</v>
      </c>
      <c r="P7680" s="267" t="s">
        <v>3944</v>
      </c>
      <c r="Q7680" s="267" t="s">
        <v>3944</v>
      </c>
      <c r="R7680" s="267">
        <v>1061.6600000000001</v>
      </c>
      <c r="S7680" s="267">
        <v>16207.52</v>
      </c>
      <c r="T7680" s="267">
        <v>17269.18</v>
      </c>
      <c r="U7680" s="268" t="s">
        <v>3945</v>
      </c>
      <c r="V7680" s="267" t="s">
        <v>944</v>
      </c>
    </row>
    <row r="7681" spans="1:22" hidden="1" x14ac:dyDescent="0.25">
      <c r="A7681" s="269">
        <v>43815</v>
      </c>
      <c r="B7681" s="270">
        <v>2019</v>
      </c>
      <c r="C7681" s="270">
        <v>2020</v>
      </c>
      <c r="D7681" s="270">
        <v>1</v>
      </c>
      <c r="E7681" s="270">
        <v>1</v>
      </c>
      <c r="F7681" s="270" t="s">
        <v>944</v>
      </c>
      <c r="G7681" s="270" t="s">
        <v>3926</v>
      </c>
      <c r="H7681" s="270" t="s">
        <v>12552</v>
      </c>
      <c r="I7681" s="270" t="s">
        <v>4111</v>
      </c>
      <c r="J7681" s="270" t="s">
        <v>3928</v>
      </c>
      <c r="K7681" s="270">
        <v>6095</v>
      </c>
      <c r="L7681" s="270">
        <v>473800</v>
      </c>
      <c r="M7681" s="270" t="s">
        <v>3935</v>
      </c>
      <c r="N7681" s="270" t="s">
        <v>3944</v>
      </c>
      <c r="O7681" s="270">
        <v>1571.22</v>
      </c>
      <c r="P7681" s="270" t="s">
        <v>3944</v>
      </c>
      <c r="Q7681" s="270" t="s">
        <v>3944</v>
      </c>
      <c r="R7681" s="270">
        <v>1571.22</v>
      </c>
      <c r="S7681" s="270">
        <v>26322.33</v>
      </c>
      <c r="T7681" s="270">
        <v>27893.55</v>
      </c>
      <c r="U7681" s="271" t="s">
        <v>3945</v>
      </c>
      <c r="V7681" s="267" t="s">
        <v>944</v>
      </c>
    </row>
    <row r="7682" spans="1:22" hidden="1" x14ac:dyDescent="0.25">
      <c r="A7682" s="266">
        <v>43815</v>
      </c>
      <c r="B7682" s="267">
        <v>2019</v>
      </c>
      <c r="C7682" s="267">
        <v>2020</v>
      </c>
      <c r="D7682" s="267">
        <v>1</v>
      </c>
      <c r="E7682" s="267">
        <v>1</v>
      </c>
      <c r="F7682" s="267" t="s">
        <v>944</v>
      </c>
      <c r="G7682" s="267" t="s">
        <v>3926</v>
      </c>
      <c r="H7682" s="267" t="s">
        <v>12553</v>
      </c>
      <c r="I7682" s="267" t="s">
        <v>4374</v>
      </c>
      <c r="J7682" s="267" t="s">
        <v>3928</v>
      </c>
      <c r="K7682" s="267">
        <v>6441</v>
      </c>
      <c r="L7682" s="267">
        <v>590100</v>
      </c>
      <c r="M7682" s="267" t="s">
        <v>3943</v>
      </c>
      <c r="N7682" s="267" t="s">
        <v>3944</v>
      </c>
      <c r="O7682" s="267">
        <v>1543.43</v>
      </c>
      <c r="P7682" s="267" t="s">
        <v>3944</v>
      </c>
      <c r="Q7682" s="267" t="s">
        <v>3944</v>
      </c>
      <c r="R7682" s="267">
        <v>1543.43</v>
      </c>
      <c r="S7682" s="267">
        <v>21428.36</v>
      </c>
      <c r="T7682" s="267">
        <v>22971.79</v>
      </c>
      <c r="U7682" s="268" t="s">
        <v>3945</v>
      </c>
      <c r="V7682" s="267" t="s">
        <v>944</v>
      </c>
    </row>
    <row r="7683" spans="1:22" hidden="1" x14ac:dyDescent="0.25">
      <c r="A7683" s="269">
        <v>43815</v>
      </c>
      <c r="B7683" s="270">
        <v>2019</v>
      </c>
      <c r="C7683" s="270">
        <v>2020</v>
      </c>
      <c r="D7683" s="270">
        <v>1</v>
      </c>
      <c r="E7683" s="270">
        <v>1</v>
      </c>
      <c r="F7683" s="270" t="s">
        <v>944</v>
      </c>
      <c r="G7683" s="270" t="s">
        <v>3926</v>
      </c>
      <c r="H7683" s="270" t="s">
        <v>12554</v>
      </c>
      <c r="I7683" s="270" t="s">
        <v>5010</v>
      </c>
      <c r="J7683" s="270" t="s">
        <v>3928</v>
      </c>
      <c r="K7683" s="270">
        <v>6365</v>
      </c>
      <c r="L7683" s="270">
        <v>700100</v>
      </c>
      <c r="M7683" s="270" t="s">
        <v>3935</v>
      </c>
      <c r="N7683" s="270" t="s">
        <v>3944</v>
      </c>
      <c r="O7683" s="270">
        <v>4991.6000000000004</v>
      </c>
      <c r="P7683" s="270" t="s">
        <v>3944</v>
      </c>
      <c r="Q7683" s="270" t="s">
        <v>3944</v>
      </c>
      <c r="R7683" s="270">
        <v>4991.6000000000004</v>
      </c>
      <c r="S7683" s="270">
        <v>61847.4</v>
      </c>
      <c r="T7683" s="270">
        <v>66839</v>
      </c>
      <c r="U7683" s="271" t="s">
        <v>3945</v>
      </c>
      <c r="V7683" s="267" t="s">
        <v>944</v>
      </c>
    </row>
    <row r="7684" spans="1:22" hidden="1" x14ac:dyDescent="0.25">
      <c r="A7684" s="266">
        <v>43815</v>
      </c>
      <c r="B7684" s="267">
        <v>2019</v>
      </c>
      <c r="C7684" s="267">
        <v>2020</v>
      </c>
      <c r="D7684" s="267">
        <v>1</v>
      </c>
      <c r="E7684" s="267">
        <v>1</v>
      </c>
      <c r="F7684" s="267" t="s">
        <v>944</v>
      </c>
      <c r="G7684" s="267" t="s">
        <v>3926</v>
      </c>
      <c r="H7684" s="267" t="s">
        <v>12555</v>
      </c>
      <c r="I7684" s="267" t="s">
        <v>3008</v>
      </c>
      <c r="J7684" s="267" t="s">
        <v>3928</v>
      </c>
      <c r="K7684" s="267">
        <v>6460</v>
      </c>
      <c r="L7684" s="267">
        <v>151100</v>
      </c>
      <c r="M7684" s="267" t="s">
        <v>3960</v>
      </c>
      <c r="N7684" s="267" t="s">
        <v>3944</v>
      </c>
      <c r="O7684" s="267">
        <v>1966.72</v>
      </c>
      <c r="P7684" s="267" t="s">
        <v>3944</v>
      </c>
      <c r="Q7684" s="267" t="s">
        <v>3944</v>
      </c>
      <c r="R7684" s="267">
        <v>1966.72</v>
      </c>
      <c r="S7684" s="267">
        <v>24276.28</v>
      </c>
      <c r="T7684" s="267">
        <v>26243</v>
      </c>
      <c r="U7684" s="268" t="s">
        <v>3945</v>
      </c>
      <c r="V7684" s="267" t="s">
        <v>944</v>
      </c>
    </row>
    <row r="7685" spans="1:22" hidden="1" x14ac:dyDescent="0.25">
      <c r="A7685" s="269">
        <v>43815</v>
      </c>
      <c r="B7685" s="270">
        <v>2019</v>
      </c>
      <c r="C7685" s="270">
        <v>2020</v>
      </c>
      <c r="D7685" s="270">
        <v>1</v>
      </c>
      <c r="E7685" s="270">
        <v>1</v>
      </c>
      <c r="F7685" s="270" t="s">
        <v>944</v>
      </c>
      <c r="G7685" s="270" t="s">
        <v>3926</v>
      </c>
      <c r="H7685" s="270" t="s">
        <v>12556</v>
      </c>
      <c r="I7685" s="270" t="s">
        <v>4556</v>
      </c>
      <c r="J7685" s="270" t="s">
        <v>3928</v>
      </c>
      <c r="K7685" s="270">
        <v>6029</v>
      </c>
      <c r="L7685" s="270">
        <v>535100</v>
      </c>
      <c r="M7685" s="270" t="s">
        <v>3935</v>
      </c>
      <c r="N7685" s="270" t="s">
        <v>3944</v>
      </c>
      <c r="O7685" s="270">
        <v>3363.75</v>
      </c>
      <c r="P7685" s="270" t="s">
        <v>3944</v>
      </c>
      <c r="Q7685" s="270" t="s">
        <v>3944</v>
      </c>
      <c r="R7685" s="270">
        <v>3363.75</v>
      </c>
      <c r="S7685" s="270">
        <v>47959.25</v>
      </c>
      <c r="T7685" s="270">
        <v>51323</v>
      </c>
      <c r="U7685" s="271" t="s">
        <v>3945</v>
      </c>
      <c r="V7685" s="267" t="s">
        <v>944</v>
      </c>
    </row>
    <row r="7686" spans="1:22" hidden="1" x14ac:dyDescent="0.25">
      <c r="A7686" s="266">
        <v>43815</v>
      </c>
      <c r="B7686" s="267">
        <v>2019</v>
      </c>
      <c r="C7686" s="267">
        <v>2020</v>
      </c>
      <c r="D7686" s="267">
        <v>1</v>
      </c>
      <c r="E7686" s="267">
        <v>1</v>
      </c>
      <c r="F7686" s="267" t="s">
        <v>944</v>
      </c>
      <c r="G7686" s="267" t="s">
        <v>3926</v>
      </c>
      <c r="H7686" s="267" t="s">
        <v>12557</v>
      </c>
      <c r="I7686" s="267" t="s">
        <v>4019</v>
      </c>
      <c r="J7686" s="267" t="s">
        <v>3928</v>
      </c>
      <c r="K7686" s="267">
        <v>6705</v>
      </c>
      <c r="L7686" s="267">
        <v>352702</v>
      </c>
      <c r="M7686" s="267" t="s">
        <v>3940</v>
      </c>
      <c r="N7686" s="267" t="s">
        <v>3944</v>
      </c>
      <c r="O7686" s="267">
        <v>1644.44</v>
      </c>
      <c r="P7686" s="267" t="s">
        <v>3944</v>
      </c>
      <c r="Q7686" s="267" t="s">
        <v>3944</v>
      </c>
      <c r="R7686" s="267">
        <v>1644.44</v>
      </c>
      <c r="S7686" s="267">
        <v>23780.720000000001</v>
      </c>
      <c r="T7686" s="267">
        <v>25425.16</v>
      </c>
      <c r="U7686" s="268" t="s">
        <v>3945</v>
      </c>
      <c r="V7686" s="267" t="s">
        <v>944</v>
      </c>
    </row>
    <row r="7687" spans="1:22" hidden="1" x14ac:dyDescent="0.25">
      <c r="A7687" s="269">
        <v>43815</v>
      </c>
      <c r="B7687" s="270">
        <v>2019</v>
      </c>
      <c r="C7687" s="270">
        <v>2020</v>
      </c>
      <c r="D7687" s="270">
        <v>1</v>
      </c>
      <c r="E7687" s="270">
        <v>1</v>
      </c>
      <c r="F7687" s="270" t="s">
        <v>944</v>
      </c>
      <c r="G7687" s="270" t="s">
        <v>3926</v>
      </c>
      <c r="H7687" s="270" t="s">
        <v>12558</v>
      </c>
      <c r="I7687" s="270" t="s">
        <v>4035</v>
      </c>
      <c r="J7687" s="270" t="s">
        <v>3928</v>
      </c>
      <c r="K7687" s="270">
        <v>6074</v>
      </c>
      <c r="L7687" s="270">
        <v>487100</v>
      </c>
      <c r="M7687" s="270" t="s">
        <v>3943</v>
      </c>
      <c r="N7687" s="270" t="s">
        <v>3944</v>
      </c>
      <c r="O7687" s="270">
        <v>1936.03</v>
      </c>
      <c r="P7687" s="270" t="s">
        <v>3944</v>
      </c>
      <c r="Q7687" s="270" t="s">
        <v>3944</v>
      </c>
      <c r="R7687" s="270">
        <v>1936.03</v>
      </c>
      <c r="S7687" s="270">
        <v>30289.97</v>
      </c>
      <c r="T7687" s="270">
        <v>32226</v>
      </c>
      <c r="U7687" s="271" t="s">
        <v>3945</v>
      </c>
      <c r="V7687" s="267" t="s">
        <v>944</v>
      </c>
    </row>
    <row r="7688" spans="1:22" hidden="1" x14ac:dyDescent="0.25">
      <c r="A7688" s="266">
        <v>43815</v>
      </c>
      <c r="B7688" s="267">
        <v>2019</v>
      </c>
      <c r="C7688" s="267">
        <v>2020</v>
      </c>
      <c r="D7688" s="267">
        <v>1</v>
      </c>
      <c r="E7688" s="267">
        <v>1</v>
      </c>
      <c r="F7688" s="267" t="s">
        <v>944</v>
      </c>
      <c r="G7688" s="267" t="s">
        <v>3926</v>
      </c>
      <c r="H7688" s="267" t="s">
        <v>12559</v>
      </c>
      <c r="I7688" s="267" t="s">
        <v>4069</v>
      </c>
      <c r="J7688" s="267" t="s">
        <v>3928</v>
      </c>
      <c r="K7688" s="267">
        <v>6907</v>
      </c>
      <c r="L7688" s="267">
        <v>20900</v>
      </c>
      <c r="M7688" s="267" t="s">
        <v>3940</v>
      </c>
      <c r="N7688" s="267" t="s">
        <v>3944</v>
      </c>
      <c r="O7688" s="267">
        <v>1309.49</v>
      </c>
      <c r="P7688" s="267" t="s">
        <v>3944</v>
      </c>
      <c r="Q7688" s="267" t="s">
        <v>3944</v>
      </c>
      <c r="R7688" s="267">
        <v>1309.49</v>
      </c>
      <c r="S7688" s="267">
        <v>16680.59</v>
      </c>
      <c r="T7688" s="267">
        <v>17990.080000000002</v>
      </c>
      <c r="U7688" s="268" t="s">
        <v>3945</v>
      </c>
      <c r="V7688" s="267" t="s">
        <v>944</v>
      </c>
    </row>
    <row r="7689" spans="1:22" x14ac:dyDescent="0.25">
      <c r="A7689" s="269">
        <v>43815</v>
      </c>
      <c r="B7689" s="270">
        <v>2019</v>
      </c>
      <c r="C7689" s="270">
        <v>2020</v>
      </c>
      <c r="D7689" s="270">
        <v>1</v>
      </c>
      <c r="E7689" s="270">
        <v>1</v>
      </c>
      <c r="F7689" s="270" t="s">
        <v>944</v>
      </c>
      <c r="G7689" s="270" t="s">
        <v>3926</v>
      </c>
      <c r="H7689" s="270" t="s">
        <v>12560</v>
      </c>
      <c r="I7689" s="270" t="s">
        <v>934</v>
      </c>
      <c r="J7689" s="270" t="s">
        <v>3928</v>
      </c>
      <c r="K7689" s="270">
        <v>6607</v>
      </c>
      <c r="L7689" s="270">
        <v>74400</v>
      </c>
      <c r="M7689" s="270">
        <v>-60</v>
      </c>
      <c r="N7689" s="270" t="s">
        <v>3944</v>
      </c>
      <c r="O7689" s="270">
        <v>1429.16</v>
      </c>
      <c r="P7689" s="270" t="s">
        <v>3944</v>
      </c>
      <c r="Q7689" s="270" t="s">
        <v>3944</v>
      </c>
      <c r="R7689" s="270">
        <v>1429.16</v>
      </c>
      <c r="S7689" s="270">
        <v>21600.84</v>
      </c>
      <c r="T7689" s="270">
        <v>23030</v>
      </c>
      <c r="U7689" s="271" t="s">
        <v>3945</v>
      </c>
      <c r="V7689" s="276" t="s">
        <v>936</v>
      </c>
    </row>
    <row r="7690" spans="1:22" hidden="1" x14ac:dyDescent="0.25">
      <c r="A7690" s="266">
        <v>43816</v>
      </c>
      <c r="B7690" s="267">
        <v>2019</v>
      </c>
      <c r="C7690" s="267">
        <v>2020</v>
      </c>
      <c r="D7690" s="267">
        <v>1</v>
      </c>
      <c r="E7690" s="267">
        <v>1</v>
      </c>
      <c r="F7690" s="267" t="s">
        <v>944</v>
      </c>
      <c r="G7690" s="267" t="s">
        <v>3926</v>
      </c>
      <c r="H7690" s="267" t="s">
        <v>12561</v>
      </c>
      <c r="I7690" s="267" t="s">
        <v>3996</v>
      </c>
      <c r="J7690" s="267" t="s">
        <v>3928</v>
      </c>
      <c r="K7690" s="267">
        <v>6790</v>
      </c>
      <c r="L7690" s="267">
        <v>310804</v>
      </c>
      <c r="M7690" s="267" t="s">
        <v>3935</v>
      </c>
      <c r="N7690" s="267" t="s">
        <v>5363</v>
      </c>
      <c r="O7690" s="267">
        <v>0</v>
      </c>
      <c r="P7690" s="267" t="s">
        <v>3930</v>
      </c>
      <c r="Q7690" s="267" t="s">
        <v>3930</v>
      </c>
      <c r="R7690" s="267">
        <v>0</v>
      </c>
      <c r="S7690" s="267">
        <v>7800</v>
      </c>
      <c r="T7690" s="267">
        <v>7800</v>
      </c>
      <c r="U7690" s="268" t="s">
        <v>3937</v>
      </c>
      <c r="V7690" s="267" t="s">
        <v>944</v>
      </c>
    </row>
    <row r="7691" spans="1:22" hidden="1" x14ac:dyDescent="0.25">
      <c r="A7691" s="269">
        <v>43816</v>
      </c>
      <c r="B7691" s="270">
        <v>2019</v>
      </c>
      <c r="C7691" s="270">
        <v>2020</v>
      </c>
      <c r="D7691" s="270">
        <v>1</v>
      </c>
      <c r="E7691" s="270">
        <v>1</v>
      </c>
      <c r="F7691" s="270" t="s">
        <v>944</v>
      </c>
      <c r="G7691" s="270" t="s">
        <v>3926</v>
      </c>
      <c r="H7691" s="270" t="s">
        <v>12562</v>
      </c>
      <c r="I7691" s="270" t="s">
        <v>956</v>
      </c>
      <c r="J7691" s="270" t="s">
        <v>3928</v>
      </c>
      <c r="K7691" s="270">
        <v>6614</v>
      </c>
      <c r="L7691" s="270">
        <v>81000</v>
      </c>
      <c r="M7691" s="270" t="s">
        <v>3940</v>
      </c>
      <c r="N7691" s="270" t="s">
        <v>4103</v>
      </c>
      <c r="O7691" s="270">
        <v>1940.19</v>
      </c>
      <c r="P7691" s="270" t="s">
        <v>3930</v>
      </c>
      <c r="Q7691" s="270" t="s">
        <v>3931</v>
      </c>
      <c r="R7691" s="270">
        <v>6940.19</v>
      </c>
      <c r="S7691" s="270">
        <v>24145.599999999999</v>
      </c>
      <c r="T7691" s="270">
        <v>31085.79</v>
      </c>
      <c r="U7691" s="271" t="s">
        <v>3932</v>
      </c>
      <c r="V7691" s="267" t="s">
        <v>944</v>
      </c>
    </row>
    <row r="7692" spans="1:22" hidden="1" x14ac:dyDescent="0.25">
      <c r="A7692" s="266">
        <v>43816</v>
      </c>
      <c r="B7692" s="267">
        <v>2019</v>
      </c>
      <c r="C7692" s="267">
        <v>2020</v>
      </c>
      <c r="D7692" s="267">
        <v>1</v>
      </c>
      <c r="E7692" s="267">
        <v>1</v>
      </c>
      <c r="F7692" s="267" t="s">
        <v>944</v>
      </c>
      <c r="G7692" s="267" t="s">
        <v>3926</v>
      </c>
      <c r="H7692" s="267" t="s">
        <v>12563</v>
      </c>
      <c r="I7692" s="267" t="s">
        <v>4069</v>
      </c>
      <c r="J7692" s="267" t="s">
        <v>3928</v>
      </c>
      <c r="K7692" s="267">
        <v>6902</v>
      </c>
      <c r="L7692" s="267">
        <v>22300</v>
      </c>
      <c r="M7692" s="267" t="s">
        <v>3935</v>
      </c>
      <c r="N7692" s="267" t="s">
        <v>3944</v>
      </c>
      <c r="O7692" s="267">
        <v>4158</v>
      </c>
      <c r="P7692" s="267" t="s">
        <v>3944</v>
      </c>
      <c r="Q7692" s="267" t="s">
        <v>3944</v>
      </c>
      <c r="R7692" s="267">
        <v>4158</v>
      </c>
      <c r="S7692" s="267">
        <v>25958.5</v>
      </c>
      <c r="T7692" s="267">
        <v>30116.5</v>
      </c>
      <c r="U7692" s="268" t="s">
        <v>3945</v>
      </c>
      <c r="V7692" s="267" t="s">
        <v>944</v>
      </c>
    </row>
    <row r="7693" spans="1:22" hidden="1" x14ac:dyDescent="0.25">
      <c r="A7693" s="269">
        <v>43816</v>
      </c>
      <c r="B7693" s="270">
        <v>2019</v>
      </c>
      <c r="C7693" s="270">
        <v>2020</v>
      </c>
      <c r="D7693" s="270">
        <v>1</v>
      </c>
      <c r="E7693" s="270">
        <v>1</v>
      </c>
      <c r="F7693" s="270" t="s">
        <v>944</v>
      </c>
      <c r="G7693" s="270" t="s">
        <v>3926</v>
      </c>
      <c r="H7693" s="270" t="s">
        <v>12564</v>
      </c>
      <c r="I7693" s="270" t="s">
        <v>7169</v>
      </c>
      <c r="J7693" s="270" t="s">
        <v>3928</v>
      </c>
      <c r="K7693" s="270">
        <v>6069</v>
      </c>
      <c r="L7693" s="270">
        <v>262100</v>
      </c>
      <c r="M7693" s="270" t="s">
        <v>3935</v>
      </c>
      <c r="N7693" s="270" t="s">
        <v>3944</v>
      </c>
      <c r="O7693" s="270">
        <v>5382</v>
      </c>
      <c r="P7693" s="270" t="s">
        <v>3944</v>
      </c>
      <c r="Q7693" s="270" t="s">
        <v>3944</v>
      </c>
      <c r="R7693" s="270">
        <v>5382</v>
      </c>
      <c r="S7693" s="270">
        <v>36282</v>
      </c>
      <c r="T7693" s="270">
        <v>41664</v>
      </c>
      <c r="U7693" s="271" t="s">
        <v>3945</v>
      </c>
      <c r="V7693" s="267" t="s">
        <v>944</v>
      </c>
    </row>
    <row r="7694" spans="1:22" hidden="1" x14ac:dyDescent="0.25">
      <c r="A7694" s="266">
        <v>43816</v>
      </c>
      <c r="B7694" s="267">
        <v>2019</v>
      </c>
      <c r="C7694" s="267">
        <v>2020</v>
      </c>
      <c r="D7694" s="267">
        <v>1</v>
      </c>
      <c r="E7694" s="267">
        <v>1</v>
      </c>
      <c r="F7694" s="267" t="s">
        <v>944</v>
      </c>
      <c r="G7694" s="267" t="s">
        <v>3926</v>
      </c>
      <c r="H7694" s="267" t="s">
        <v>12565</v>
      </c>
      <c r="I7694" s="267" t="s">
        <v>3939</v>
      </c>
      <c r="J7694" s="267" t="s">
        <v>3928</v>
      </c>
      <c r="K7694" s="267">
        <v>6512</v>
      </c>
      <c r="L7694" s="267">
        <v>180100</v>
      </c>
      <c r="M7694" s="267" t="s">
        <v>3940</v>
      </c>
      <c r="N7694" s="267" t="s">
        <v>3944</v>
      </c>
      <c r="O7694" s="267">
        <v>1741</v>
      </c>
      <c r="P7694" s="267" t="s">
        <v>3944</v>
      </c>
      <c r="Q7694" s="267" t="s">
        <v>3944</v>
      </c>
      <c r="R7694" s="267">
        <v>1741</v>
      </c>
      <c r="S7694" s="267">
        <v>14865</v>
      </c>
      <c r="T7694" s="267">
        <v>16606</v>
      </c>
      <c r="U7694" s="268" t="s">
        <v>3945</v>
      </c>
      <c r="V7694" s="267" t="s">
        <v>944</v>
      </c>
    </row>
    <row r="7695" spans="1:22" hidden="1" x14ac:dyDescent="0.25">
      <c r="A7695" s="269">
        <v>43816</v>
      </c>
      <c r="B7695" s="270">
        <v>2019</v>
      </c>
      <c r="C7695" s="270">
        <v>2020</v>
      </c>
      <c r="D7695" s="270">
        <v>1</v>
      </c>
      <c r="E7695" s="270">
        <v>1</v>
      </c>
      <c r="F7695" s="270" t="s">
        <v>944</v>
      </c>
      <c r="G7695" s="270" t="s">
        <v>3926</v>
      </c>
      <c r="H7695" s="270" t="s">
        <v>12566</v>
      </c>
      <c r="I7695" s="270" t="s">
        <v>953</v>
      </c>
      <c r="J7695" s="270" t="s">
        <v>3928</v>
      </c>
      <c r="K7695" s="270">
        <v>6517</v>
      </c>
      <c r="L7695" s="270">
        <v>165100</v>
      </c>
      <c r="M7695" s="270" t="s">
        <v>3935</v>
      </c>
      <c r="N7695" s="270" t="s">
        <v>3944</v>
      </c>
      <c r="O7695" s="270">
        <v>3188</v>
      </c>
      <c r="P7695" s="270" t="s">
        <v>3944</v>
      </c>
      <c r="Q7695" s="270" t="s">
        <v>3944</v>
      </c>
      <c r="R7695" s="270">
        <v>3188</v>
      </c>
      <c r="S7695" s="270">
        <v>22925.14</v>
      </c>
      <c r="T7695" s="270">
        <v>26113.14</v>
      </c>
      <c r="U7695" s="271" t="s">
        <v>3945</v>
      </c>
      <c r="V7695" s="267" t="s">
        <v>944</v>
      </c>
    </row>
    <row r="7696" spans="1:22" hidden="1" x14ac:dyDescent="0.25">
      <c r="A7696" s="266">
        <v>43816</v>
      </c>
      <c r="B7696" s="267">
        <v>2019</v>
      </c>
      <c r="C7696" s="267">
        <v>2020</v>
      </c>
      <c r="D7696" s="267">
        <v>1</v>
      </c>
      <c r="E7696" s="267">
        <v>1</v>
      </c>
      <c r="F7696" s="267" t="s">
        <v>944</v>
      </c>
      <c r="G7696" s="267" t="s">
        <v>3926</v>
      </c>
      <c r="H7696" s="267" t="s">
        <v>12567</v>
      </c>
      <c r="I7696" s="267" t="s">
        <v>3939</v>
      </c>
      <c r="J7696" s="267" t="s">
        <v>3928</v>
      </c>
      <c r="K7696" s="267">
        <v>6512</v>
      </c>
      <c r="L7696" s="267">
        <v>180601</v>
      </c>
      <c r="M7696" s="267" t="s">
        <v>3940</v>
      </c>
      <c r="N7696" s="267" t="s">
        <v>3944</v>
      </c>
      <c r="O7696" s="267">
        <v>1497</v>
      </c>
      <c r="P7696" s="267" t="s">
        <v>3944</v>
      </c>
      <c r="Q7696" s="267" t="s">
        <v>3944</v>
      </c>
      <c r="R7696" s="267">
        <v>1497</v>
      </c>
      <c r="S7696" s="267">
        <v>17101</v>
      </c>
      <c r="T7696" s="267">
        <v>18598</v>
      </c>
      <c r="U7696" s="268" t="s">
        <v>3945</v>
      </c>
      <c r="V7696" s="267" t="s">
        <v>944</v>
      </c>
    </row>
    <row r="7697" spans="1:22" hidden="1" x14ac:dyDescent="0.25">
      <c r="A7697" s="269">
        <v>43816</v>
      </c>
      <c r="B7697" s="270">
        <v>2019</v>
      </c>
      <c r="C7697" s="270">
        <v>2020</v>
      </c>
      <c r="D7697" s="270">
        <v>1</v>
      </c>
      <c r="E7697" s="270">
        <v>1</v>
      </c>
      <c r="F7697" s="270" t="s">
        <v>944</v>
      </c>
      <c r="G7697" s="270" t="s">
        <v>3926</v>
      </c>
      <c r="H7697" s="270" t="s">
        <v>12568</v>
      </c>
      <c r="I7697" s="270" t="s">
        <v>5631</v>
      </c>
      <c r="J7697" s="270" t="s">
        <v>3928</v>
      </c>
      <c r="K7697" s="270">
        <v>6058</v>
      </c>
      <c r="L7697" s="270">
        <v>425600</v>
      </c>
      <c r="M7697" s="270" t="s">
        <v>3935</v>
      </c>
      <c r="N7697" s="270" t="s">
        <v>3944</v>
      </c>
      <c r="O7697" s="270">
        <v>1851</v>
      </c>
      <c r="P7697" s="270" t="s">
        <v>3944</v>
      </c>
      <c r="Q7697" s="270" t="s">
        <v>3944</v>
      </c>
      <c r="R7697" s="270">
        <v>1851</v>
      </c>
      <c r="S7697" s="270">
        <v>12037</v>
      </c>
      <c r="T7697" s="270">
        <v>13888</v>
      </c>
      <c r="U7697" s="271" t="s">
        <v>3945</v>
      </c>
      <c r="V7697" s="267" t="s">
        <v>944</v>
      </c>
    </row>
    <row r="7698" spans="1:22" hidden="1" x14ac:dyDescent="0.25">
      <c r="A7698" s="266">
        <v>43816</v>
      </c>
      <c r="B7698" s="267">
        <v>2019</v>
      </c>
      <c r="C7698" s="267">
        <v>2020</v>
      </c>
      <c r="D7698" s="267">
        <v>1</v>
      </c>
      <c r="E7698" s="267">
        <v>1</v>
      </c>
      <c r="F7698" s="267" t="s">
        <v>944</v>
      </c>
      <c r="G7698" s="267" t="s">
        <v>3926</v>
      </c>
      <c r="H7698" s="267" t="s">
        <v>12569</v>
      </c>
      <c r="I7698" s="267" t="s">
        <v>3026</v>
      </c>
      <c r="J7698" s="267" t="s">
        <v>3928</v>
      </c>
      <c r="K7698" s="267">
        <v>6471</v>
      </c>
      <c r="L7698" s="267">
        <v>186100</v>
      </c>
      <c r="M7698" s="267" t="s">
        <v>3935</v>
      </c>
      <c r="N7698" s="267" t="s">
        <v>3944</v>
      </c>
      <c r="O7698" s="267">
        <v>3365</v>
      </c>
      <c r="P7698" s="267" t="s">
        <v>3944</v>
      </c>
      <c r="Q7698" s="267" t="s">
        <v>3944</v>
      </c>
      <c r="R7698" s="267">
        <v>3365</v>
      </c>
      <c r="S7698" s="267">
        <v>26560</v>
      </c>
      <c r="T7698" s="267">
        <v>29925</v>
      </c>
      <c r="U7698" s="268" t="s">
        <v>3945</v>
      </c>
      <c r="V7698" s="267" t="s">
        <v>944</v>
      </c>
    </row>
    <row r="7699" spans="1:22" hidden="1" x14ac:dyDescent="0.25">
      <c r="A7699" s="269">
        <v>43816</v>
      </c>
      <c r="B7699" s="270">
        <v>2019</v>
      </c>
      <c r="C7699" s="270">
        <v>2020</v>
      </c>
      <c r="D7699" s="270">
        <v>1</v>
      </c>
      <c r="E7699" s="270">
        <v>1</v>
      </c>
      <c r="F7699" s="270" t="s">
        <v>944</v>
      </c>
      <c r="G7699" s="270" t="s">
        <v>3926</v>
      </c>
      <c r="H7699" s="270" t="s">
        <v>12570</v>
      </c>
      <c r="I7699" s="270" t="s">
        <v>3962</v>
      </c>
      <c r="J7699" s="270" t="s">
        <v>3928</v>
      </c>
      <c r="K7699" s="270">
        <v>6379</v>
      </c>
      <c r="L7699" s="270">
        <v>705200</v>
      </c>
      <c r="M7699" s="270" t="s">
        <v>3960</v>
      </c>
      <c r="N7699" s="270" t="s">
        <v>3944</v>
      </c>
      <c r="O7699" s="270">
        <v>1466</v>
      </c>
      <c r="P7699" s="270" t="s">
        <v>3944</v>
      </c>
      <c r="Q7699" s="270" t="s">
        <v>3944</v>
      </c>
      <c r="R7699" s="270">
        <v>1466</v>
      </c>
      <c r="S7699" s="270">
        <v>16174</v>
      </c>
      <c r="T7699" s="270">
        <v>17640</v>
      </c>
      <c r="U7699" s="271" t="s">
        <v>3945</v>
      </c>
      <c r="V7699" s="267" t="s">
        <v>944</v>
      </c>
    </row>
    <row r="7700" spans="1:22" hidden="1" x14ac:dyDescent="0.25">
      <c r="A7700" s="266">
        <v>43816</v>
      </c>
      <c r="B7700" s="267">
        <v>2019</v>
      </c>
      <c r="C7700" s="267">
        <v>2020</v>
      </c>
      <c r="D7700" s="267">
        <v>1</v>
      </c>
      <c r="E7700" s="267">
        <v>1</v>
      </c>
      <c r="F7700" s="267" t="s">
        <v>944</v>
      </c>
      <c r="G7700" s="267" t="s">
        <v>3997</v>
      </c>
      <c r="H7700" s="267" t="s">
        <v>12571</v>
      </c>
      <c r="I7700" s="267" t="s">
        <v>3954</v>
      </c>
      <c r="J7700" s="267" t="s">
        <v>3928</v>
      </c>
      <c r="K7700" s="267">
        <v>6357</v>
      </c>
      <c r="L7700" s="267">
        <v>870704</v>
      </c>
      <c r="M7700" s="267" t="s">
        <v>3935</v>
      </c>
      <c r="N7700" s="267" t="s">
        <v>3944</v>
      </c>
      <c r="O7700" s="267">
        <v>1869.46</v>
      </c>
      <c r="P7700" s="267" t="s">
        <v>3944</v>
      </c>
      <c r="Q7700" s="267" t="s">
        <v>3944</v>
      </c>
      <c r="R7700" s="267">
        <v>1869.46</v>
      </c>
      <c r="S7700" s="267">
        <v>27761.26</v>
      </c>
      <c r="T7700" s="267">
        <v>29630.720000000001</v>
      </c>
      <c r="U7700" s="268" t="s">
        <v>3945</v>
      </c>
      <c r="V7700" s="267" t="s">
        <v>944</v>
      </c>
    </row>
    <row r="7701" spans="1:22" hidden="1" x14ac:dyDescent="0.25">
      <c r="A7701" s="269">
        <v>43816</v>
      </c>
      <c r="B7701" s="270">
        <v>2019</v>
      </c>
      <c r="C7701" s="270">
        <v>2020</v>
      </c>
      <c r="D7701" s="270">
        <v>1</v>
      </c>
      <c r="E7701" s="270">
        <v>1</v>
      </c>
      <c r="F7701" s="270" t="s">
        <v>944</v>
      </c>
      <c r="G7701" s="270" t="s">
        <v>3926</v>
      </c>
      <c r="H7701" s="270" t="s">
        <v>12572</v>
      </c>
      <c r="I7701" s="270" t="s">
        <v>3008</v>
      </c>
      <c r="J7701" s="270" t="s">
        <v>3928</v>
      </c>
      <c r="K7701" s="270">
        <v>6460</v>
      </c>
      <c r="L7701" s="270">
        <v>151000</v>
      </c>
      <c r="M7701" s="270" t="s">
        <v>3960</v>
      </c>
      <c r="N7701" s="270" t="s">
        <v>3944</v>
      </c>
      <c r="O7701" s="270">
        <v>2255</v>
      </c>
      <c r="P7701" s="270" t="s">
        <v>3944</v>
      </c>
      <c r="Q7701" s="270" t="s">
        <v>3944</v>
      </c>
      <c r="R7701" s="270">
        <v>2255</v>
      </c>
      <c r="S7701" s="270">
        <v>20846.599999999999</v>
      </c>
      <c r="T7701" s="270">
        <v>23101.599999999999</v>
      </c>
      <c r="U7701" s="271" t="s">
        <v>3945</v>
      </c>
      <c r="V7701" s="267" t="s">
        <v>944</v>
      </c>
    </row>
    <row r="7702" spans="1:22" hidden="1" x14ac:dyDescent="0.25">
      <c r="A7702" s="266">
        <v>43816</v>
      </c>
      <c r="B7702" s="267">
        <v>2019</v>
      </c>
      <c r="C7702" s="267">
        <v>2020</v>
      </c>
      <c r="D7702" s="267">
        <v>1</v>
      </c>
      <c r="E7702" s="267">
        <v>1</v>
      </c>
      <c r="F7702" s="267" t="s">
        <v>944</v>
      </c>
      <c r="G7702" s="267" t="s">
        <v>3926</v>
      </c>
      <c r="H7702" s="267" t="s">
        <v>12573</v>
      </c>
      <c r="I7702" s="267" t="s">
        <v>4069</v>
      </c>
      <c r="J7702" s="267" t="s">
        <v>3928</v>
      </c>
      <c r="K7702" s="267">
        <v>6905</v>
      </c>
      <c r="L7702" s="267">
        <v>21200</v>
      </c>
      <c r="M7702" s="267" t="s">
        <v>3943</v>
      </c>
      <c r="N7702" s="267" t="s">
        <v>3944</v>
      </c>
      <c r="O7702" s="267">
        <v>1617.28</v>
      </c>
      <c r="P7702" s="267" t="s">
        <v>3944</v>
      </c>
      <c r="Q7702" s="267" t="s">
        <v>3944</v>
      </c>
      <c r="R7702" s="267">
        <v>1617.28</v>
      </c>
      <c r="S7702" s="267">
        <v>12358.72</v>
      </c>
      <c r="T7702" s="267">
        <v>13976</v>
      </c>
      <c r="U7702" s="268" t="s">
        <v>3945</v>
      </c>
      <c r="V7702" s="267" t="s">
        <v>944</v>
      </c>
    </row>
    <row r="7703" spans="1:22" hidden="1" x14ac:dyDescent="0.25">
      <c r="A7703" s="269">
        <v>43816</v>
      </c>
      <c r="B7703" s="270">
        <v>2019</v>
      </c>
      <c r="C7703" s="270">
        <v>2020</v>
      </c>
      <c r="D7703" s="270">
        <v>1</v>
      </c>
      <c r="E7703" s="270">
        <v>1</v>
      </c>
      <c r="F7703" s="270" t="s">
        <v>944</v>
      </c>
      <c r="G7703" s="270" t="s">
        <v>3926</v>
      </c>
      <c r="H7703" s="270" t="s">
        <v>12574</v>
      </c>
      <c r="I7703" s="270" t="s">
        <v>4016</v>
      </c>
      <c r="J7703" s="270" t="s">
        <v>3928</v>
      </c>
      <c r="K7703" s="270">
        <v>6770</v>
      </c>
      <c r="L7703" s="270">
        <v>345202</v>
      </c>
      <c r="M7703" s="270" t="s">
        <v>3960</v>
      </c>
      <c r="N7703" s="270" t="s">
        <v>3944</v>
      </c>
      <c r="O7703" s="270">
        <v>2114</v>
      </c>
      <c r="P7703" s="270" t="s">
        <v>3944</v>
      </c>
      <c r="Q7703" s="270" t="s">
        <v>3944</v>
      </c>
      <c r="R7703" s="270">
        <v>2114</v>
      </c>
      <c r="S7703" s="270">
        <v>31244.98</v>
      </c>
      <c r="T7703" s="270">
        <v>33358.980000000003</v>
      </c>
      <c r="U7703" s="271" t="s">
        <v>3945</v>
      </c>
      <c r="V7703" s="267" t="s">
        <v>944</v>
      </c>
    </row>
    <row r="7704" spans="1:22" hidden="1" x14ac:dyDescent="0.25">
      <c r="A7704" s="266">
        <v>43816</v>
      </c>
      <c r="B7704" s="267">
        <v>2019</v>
      </c>
      <c r="C7704" s="267">
        <v>2020</v>
      </c>
      <c r="D7704" s="267">
        <v>1</v>
      </c>
      <c r="E7704" s="267">
        <v>1</v>
      </c>
      <c r="F7704" s="267" t="s">
        <v>944</v>
      </c>
      <c r="G7704" s="267" t="s">
        <v>3926</v>
      </c>
      <c r="H7704" s="267" t="s">
        <v>12575</v>
      </c>
      <c r="I7704" s="267" t="s">
        <v>3996</v>
      </c>
      <c r="J7704" s="267" t="s">
        <v>3928</v>
      </c>
      <c r="K7704" s="267">
        <v>6790</v>
      </c>
      <c r="L7704" s="267">
        <v>310803</v>
      </c>
      <c r="M7704" s="267">
        <v>-60</v>
      </c>
      <c r="N7704" s="267" t="s">
        <v>3944</v>
      </c>
      <c r="O7704" s="267">
        <v>3069.26</v>
      </c>
      <c r="P7704" s="267" t="s">
        <v>3944</v>
      </c>
      <c r="Q7704" s="267" t="s">
        <v>3944</v>
      </c>
      <c r="R7704" s="267">
        <v>3069.26</v>
      </c>
      <c r="S7704" s="267">
        <v>41707.620000000003</v>
      </c>
      <c r="T7704" s="267">
        <v>44776.88</v>
      </c>
      <c r="U7704" s="268" t="s">
        <v>3945</v>
      </c>
      <c r="V7704" s="267" t="s">
        <v>944</v>
      </c>
    </row>
    <row r="7705" spans="1:22" hidden="1" x14ac:dyDescent="0.25">
      <c r="A7705" s="269">
        <v>43816</v>
      </c>
      <c r="B7705" s="270">
        <v>2019</v>
      </c>
      <c r="C7705" s="270">
        <v>2020</v>
      </c>
      <c r="D7705" s="270">
        <v>1</v>
      </c>
      <c r="E7705" s="270">
        <v>1</v>
      </c>
      <c r="F7705" s="270" t="s">
        <v>944</v>
      </c>
      <c r="G7705" s="270" t="s">
        <v>3926</v>
      </c>
      <c r="H7705" s="270" t="s">
        <v>12576</v>
      </c>
      <c r="I7705" s="270" t="s">
        <v>3968</v>
      </c>
      <c r="J7705" s="270" t="s">
        <v>3928</v>
      </c>
      <c r="K7705" s="270">
        <v>6040</v>
      </c>
      <c r="L7705" s="270">
        <v>515102</v>
      </c>
      <c r="M7705" s="270" t="s">
        <v>3935</v>
      </c>
      <c r="N7705" s="270" t="s">
        <v>3944</v>
      </c>
      <c r="O7705" s="270">
        <v>1104.5999999999999</v>
      </c>
      <c r="P7705" s="270" t="s">
        <v>3944</v>
      </c>
      <c r="Q7705" s="270" t="s">
        <v>3944</v>
      </c>
      <c r="R7705" s="270">
        <v>1104.5999999999999</v>
      </c>
      <c r="S7705" s="270">
        <v>15228.15</v>
      </c>
      <c r="T7705" s="270">
        <v>16332.75</v>
      </c>
      <c r="U7705" s="271" t="s">
        <v>3945</v>
      </c>
      <c r="V7705" s="267" t="s">
        <v>944</v>
      </c>
    </row>
    <row r="7706" spans="1:22" hidden="1" x14ac:dyDescent="0.25">
      <c r="A7706" s="266">
        <v>43816</v>
      </c>
      <c r="B7706" s="267">
        <v>2019</v>
      </c>
      <c r="C7706" s="267">
        <v>2020</v>
      </c>
      <c r="D7706" s="267">
        <v>1</v>
      </c>
      <c r="E7706" s="267">
        <v>1</v>
      </c>
      <c r="F7706" s="267" t="s">
        <v>944</v>
      </c>
      <c r="G7706" s="267" t="s">
        <v>3926</v>
      </c>
      <c r="H7706" s="267" t="s">
        <v>12577</v>
      </c>
      <c r="I7706" s="267" t="s">
        <v>4269</v>
      </c>
      <c r="J7706" s="267" t="s">
        <v>3928</v>
      </c>
      <c r="K7706" s="267">
        <v>6117</v>
      </c>
      <c r="L7706" s="267">
        <v>497500</v>
      </c>
      <c r="M7706" s="267" t="s">
        <v>3960</v>
      </c>
      <c r="N7706" s="267" t="s">
        <v>3944</v>
      </c>
      <c r="O7706" s="267">
        <v>2115.02</v>
      </c>
      <c r="P7706" s="267" t="s">
        <v>3944</v>
      </c>
      <c r="Q7706" s="267" t="s">
        <v>3944</v>
      </c>
      <c r="R7706" s="267">
        <v>2115.02</v>
      </c>
      <c r="S7706" s="267">
        <v>30138.06</v>
      </c>
      <c r="T7706" s="267">
        <v>32253.08</v>
      </c>
      <c r="U7706" s="268" t="s">
        <v>3945</v>
      </c>
      <c r="V7706" s="267" t="s">
        <v>944</v>
      </c>
    </row>
    <row r="7707" spans="1:22" hidden="1" x14ac:dyDescent="0.25">
      <c r="A7707" s="269">
        <v>43816</v>
      </c>
      <c r="B7707" s="270">
        <v>2019</v>
      </c>
      <c r="C7707" s="270">
        <v>2020</v>
      </c>
      <c r="D7707" s="270">
        <v>1</v>
      </c>
      <c r="E7707" s="270">
        <v>1</v>
      </c>
      <c r="F7707" s="270" t="s">
        <v>944</v>
      </c>
      <c r="G7707" s="270" t="s">
        <v>3926</v>
      </c>
      <c r="H7707" s="270" t="s">
        <v>12578</v>
      </c>
      <c r="I7707" s="270" t="s">
        <v>4079</v>
      </c>
      <c r="J7707" s="270" t="s">
        <v>3928</v>
      </c>
      <c r="K7707" s="270">
        <v>6111</v>
      </c>
      <c r="L7707" s="270">
        <v>494300</v>
      </c>
      <c r="M7707" s="270" t="s">
        <v>3935</v>
      </c>
      <c r="N7707" s="270" t="s">
        <v>3944</v>
      </c>
      <c r="O7707" s="270">
        <v>1465.87</v>
      </c>
      <c r="P7707" s="270" t="s">
        <v>3944</v>
      </c>
      <c r="Q7707" s="270" t="s">
        <v>3944</v>
      </c>
      <c r="R7707" s="270">
        <v>1465.87</v>
      </c>
      <c r="S7707" s="270">
        <v>22138.639999999999</v>
      </c>
      <c r="T7707" s="270">
        <v>23604.51</v>
      </c>
      <c r="U7707" s="271" t="s">
        <v>3945</v>
      </c>
      <c r="V7707" s="267" t="s">
        <v>944</v>
      </c>
    </row>
    <row r="7708" spans="1:22" hidden="1" x14ac:dyDescent="0.25">
      <c r="A7708" s="266">
        <v>43816</v>
      </c>
      <c r="B7708" s="267">
        <v>2019</v>
      </c>
      <c r="C7708" s="267">
        <v>2020</v>
      </c>
      <c r="D7708" s="267">
        <v>1</v>
      </c>
      <c r="E7708" s="267">
        <v>1</v>
      </c>
      <c r="F7708" s="267" t="s">
        <v>944</v>
      </c>
      <c r="G7708" s="267" t="s">
        <v>3926</v>
      </c>
      <c r="H7708" s="267" t="s">
        <v>12579</v>
      </c>
      <c r="I7708" s="267" t="s">
        <v>4029</v>
      </c>
      <c r="J7708" s="267" t="s">
        <v>3928</v>
      </c>
      <c r="K7708" s="267">
        <v>6851</v>
      </c>
      <c r="L7708" s="267">
        <v>43600</v>
      </c>
      <c r="M7708" s="267" t="s">
        <v>3960</v>
      </c>
      <c r="N7708" s="267" t="s">
        <v>3944</v>
      </c>
      <c r="O7708" s="267">
        <v>1379.6</v>
      </c>
      <c r="P7708" s="267" t="s">
        <v>3944</v>
      </c>
      <c r="Q7708" s="267" t="s">
        <v>3944</v>
      </c>
      <c r="R7708" s="267">
        <v>1379.6</v>
      </c>
      <c r="S7708" s="267">
        <v>20065.84</v>
      </c>
      <c r="T7708" s="267">
        <v>21445.439999999999</v>
      </c>
      <c r="U7708" s="268" t="s">
        <v>3945</v>
      </c>
      <c r="V7708" s="267" t="s">
        <v>944</v>
      </c>
    </row>
    <row r="7709" spans="1:22" hidden="1" x14ac:dyDescent="0.25">
      <c r="A7709" s="269">
        <v>43816</v>
      </c>
      <c r="B7709" s="270">
        <v>2019</v>
      </c>
      <c r="C7709" s="270">
        <v>2020</v>
      </c>
      <c r="D7709" s="270">
        <v>1</v>
      </c>
      <c r="E7709" s="270">
        <v>1</v>
      </c>
      <c r="F7709" s="270" t="s">
        <v>944</v>
      </c>
      <c r="G7709" s="270" t="s">
        <v>3926</v>
      </c>
      <c r="H7709" s="270" t="s">
        <v>12580</v>
      </c>
      <c r="I7709" s="270" t="s">
        <v>934</v>
      </c>
      <c r="J7709" s="270" t="s">
        <v>3928</v>
      </c>
      <c r="K7709" s="270">
        <v>6606</v>
      </c>
      <c r="L7709" s="270">
        <v>72800</v>
      </c>
      <c r="M7709" s="270" t="s">
        <v>3940</v>
      </c>
      <c r="N7709" s="270" t="s">
        <v>3944</v>
      </c>
      <c r="O7709" s="270">
        <v>2143.86</v>
      </c>
      <c r="P7709" s="270" t="s">
        <v>3944</v>
      </c>
      <c r="Q7709" s="270" t="s">
        <v>3944</v>
      </c>
      <c r="R7709" s="270">
        <v>2143.86</v>
      </c>
      <c r="S7709" s="270">
        <v>34296.86</v>
      </c>
      <c r="T7709" s="270">
        <v>36440.720000000001</v>
      </c>
      <c r="U7709" s="271" t="s">
        <v>3945</v>
      </c>
      <c r="V7709" s="267" t="s">
        <v>944</v>
      </c>
    </row>
    <row r="7710" spans="1:22" hidden="1" x14ac:dyDescent="0.25">
      <c r="A7710" s="266">
        <v>43816</v>
      </c>
      <c r="B7710" s="267">
        <v>2019</v>
      </c>
      <c r="C7710" s="267">
        <v>2020</v>
      </c>
      <c r="D7710" s="267">
        <v>1</v>
      </c>
      <c r="E7710" s="267">
        <v>1</v>
      </c>
      <c r="F7710" s="267" t="s">
        <v>944</v>
      </c>
      <c r="G7710" s="267" t="s">
        <v>3926</v>
      </c>
      <c r="H7710" s="267" t="s">
        <v>12581</v>
      </c>
      <c r="I7710" s="267" t="s">
        <v>4042</v>
      </c>
      <c r="J7710" s="267" t="s">
        <v>3928</v>
      </c>
      <c r="K7710" s="267">
        <v>6382</v>
      </c>
      <c r="L7710" s="267">
        <v>695201</v>
      </c>
      <c r="M7710" s="267" t="s">
        <v>3935</v>
      </c>
      <c r="N7710" s="267" t="s">
        <v>3944</v>
      </c>
      <c r="O7710" s="267">
        <v>1309.9100000000001</v>
      </c>
      <c r="P7710" s="267" t="s">
        <v>3944</v>
      </c>
      <c r="Q7710" s="267" t="s">
        <v>3944</v>
      </c>
      <c r="R7710" s="267">
        <v>1309.9100000000001</v>
      </c>
      <c r="S7710" s="267">
        <v>14133.09</v>
      </c>
      <c r="T7710" s="267">
        <v>15443</v>
      </c>
      <c r="U7710" s="268" t="s">
        <v>3945</v>
      </c>
      <c r="V7710" s="267" t="s">
        <v>944</v>
      </c>
    </row>
    <row r="7711" spans="1:22" hidden="1" x14ac:dyDescent="0.25">
      <c r="A7711" s="269">
        <v>43816</v>
      </c>
      <c r="B7711" s="270">
        <v>2019</v>
      </c>
      <c r="C7711" s="270">
        <v>2020</v>
      </c>
      <c r="D7711" s="270">
        <v>1</v>
      </c>
      <c r="E7711" s="270">
        <v>1</v>
      </c>
      <c r="F7711" s="270" t="s">
        <v>944</v>
      </c>
      <c r="G7711" s="270" t="s">
        <v>3926</v>
      </c>
      <c r="H7711" s="270" t="s">
        <v>12582</v>
      </c>
      <c r="I7711" s="270" t="s">
        <v>4168</v>
      </c>
      <c r="J7711" s="270" t="s">
        <v>3928</v>
      </c>
      <c r="K7711" s="270">
        <v>6475</v>
      </c>
      <c r="L7711" s="270">
        <v>670200</v>
      </c>
      <c r="M7711" s="270" t="s">
        <v>3935</v>
      </c>
      <c r="N7711" s="270" t="s">
        <v>3944</v>
      </c>
      <c r="O7711" s="270">
        <v>2282.81</v>
      </c>
      <c r="P7711" s="270" t="s">
        <v>3944</v>
      </c>
      <c r="Q7711" s="270" t="s">
        <v>3944</v>
      </c>
      <c r="R7711" s="270">
        <v>2282.81</v>
      </c>
      <c r="S7711" s="270">
        <v>19877.189999999999</v>
      </c>
      <c r="T7711" s="270">
        <v>22160</v>
      </c>
      <c r="U7711" s="271" t="s">
        <v>3945</v>
      </c>
      <c r="V7711" s="267" t="s">
        <v>944</v>
      </c>
    </row>
    <row r="7712" spans="1:22" hidden="1" x14ac:dyDescent="0.25">
      <c r="A7712" s="266">
        <v>43816</v>
      </c>
      <c r="B7712" s="267">
        <v>2019</v>
      </c>
      <c r="C7712" s="267">
        <v>2020</v>
      </c>
      <c r="D7712" s="267">
        <v>1</v>
      </c>
      <c r="E7712" s="267">
        <v>1</v>
      </c>
      <c r="F7712" s="267" t="s">
        <v>944</v>
      </c>
      <c r="G7712" s="267" t="s">
        <v>3926</v>
      </c>
      <c r="H7712" s="267" t="s">
        <v>12583</v>
      </c>
      <c r="I7712" s="267" t="s">
        <v>4037</v>
      </c>
      <c r="J7712" s="267" t="s">
        <v>3928</v>
      </c>
      <c r="K7712" s="267">
        <v>6811</v>
      </c>
      <c r="L7712" s="267">
        <v>210900</v>
      </c>
      <c r="M7712" s="267" t="s">
        <v>3943</v>
      </c>
      <c r="N7712" s="267" t="s">
        <v>3944</v>
      </c>
      <c r="O7712" s="267">
        <v>2639.95</v>
      </c>
      <c r="P7712" s="267" t="s">
        <v>3944</v>
      </c>
      <c r="Q7712" s="267" t="s">
        <v>3944</v>
      </c>
      <c r="R7712" s="267">
        <v>2639.95</v>
      </c>
      <c r="S7712" s="267">
        <v>17171.05</v>
      </c>
      <c r="T7712" s="267">
        <v>19811</v>
      </c>
      <c r="U7712" s="268" t="s">
        <v>3945</v>
      </c>
      <c r="V7712" s="267" t="s">
        <v>944</v>
      </c>
    </row>
    <row r="7713" spans="1:22" hidden="1" x14ac:dyDescent="0.25">
      <c r="A7713" s="269">
        <v>43816</v>
      </c>
      <c r="B7713" s="270">
        <v>2019</v>
      </c>
      <c r="C7713" s="270">
        <v>2020</v>
      </c>
      <c r="D7713" s="270">
        <v>1</v>
      </c>
      <c r="E7713" s="270">
        <v>1</v>
      </c>
      <c r="F7713" s="270" t="s">
        <v>944</v>
      </c>
      <c r="G7713" s="270" t="s">
        <v>3926</v>
      </c>
      <c r="H7713" s="270" t="s">
        <v>12584</v>
      </c>
      <c r="I7713" s="270" t="s">
        <v>4200</v>
      </c>
      <c r="J7713" s="270" t="s">
        <v>3928</v>
      </c>
      <c r="K7713" s="270">
        <v>6795</v>
      </c>
      <c r="L7713" s="270">
        <v>360200</v>
      </c>
      <c r="M7713" s="270" t="s">
        <v>3943</v>
      </c>
      <c r="N7713" s="270" t="s">
        <v>3944</v>
      </c>
      <c r="O7713" s="270">
        <v>1427.3</v>
      </c>
      <c r="P7713" s="270" t="s">
        <v>3944</v>
      </c>
      <c r="Q7713" s="270" t="s">
        <v>3944</v>
      </c>
      <c r="R7713" s="270">
        <v>1427.3</v>
      </c>
      <c r="S7713" s="270">
        <v>14452.7</v>
      </c>
      <c r="T7713" s="270">
        <v>15880</v>
      </c>
      <c r="U7713" s="271" t="s">
        <v>3945</v>
      </c>
      <c r="V7713" s="267" t="s">
        <v>944</v>
      </c>
    </row>
    <row r="7714" spans="1:22" hidden="1" x14ac:dyDescent="0.25">
      <c r="A7714" s="266">
        <v>43816</v>
      </c>
      <c r="B7714" s="267">
        <v>2019</v>
      </c>
      <c r="C7714" s="267">
        <v>2020</v>
      </c>
      <c r="D7714" s="267">
        <v>1</v>
      </c>
      <c r="E7714" s="267">
        <v>1</v>
      </c>
      <c r="F7714" s="267" t="s">
        <v>944</v>
      </c>
      <c r="G7714" s="267" t="s">
        <v>3926</v>
      </c>
      <c r="H7714" s="267" t="s">
        <v>12585</v>
      </c>
      <c r="I7714" s="267" t="s">
        <v>4310</v>
      </c>
      <c r="J7714" s="267" t="s">
        <v>3928</v>
      </c>
      <c r="K7714" s="267">
        <v>6351</v>
      </c>
      <c r="L7714" s="267">
        <v>710100</v>
      </c>
      <c r="M7714" s="267" t="s">
        <v>3960</v>
      </c>
      <c r="N7714" s="267" t="s">
        <v>3944</v>
      </c>
      <c r="O7714" s="267">
        <v>3245.97</v>
      </c>
      <c r="P7714" s="267" t="s">
        <v>3944</v>
      </c>
      <c r="Q7714" s="267" t="s">
        <v>3944</v>
      </c>
      <c r="R7714" s="267">
        <v>3245.97</v>
      </c>
      <c r="S7714" s="267">
        <v>49579.53</v>
      </c>
      <c r="T7714" s="267">
        <v>52825.5</v>
      </c>
      <c r="U7714" s="268" t="s">
        <v>3945</v>
      </c>
      <c r="V7714" s="267" t="s">
        <v>944</v>
      </c>
    </row>
    <row r="7715" spans="1:22" hidden="1" x14ac:dyDescent="0.25">
      <c r="A7715" s="269">
        <v>43816</v>
      </c>
      <c r="B7715" s="270">
        <v>2019</v>
      </c>
      <c r="C7715" s="270">
        <v>2020</v>
      </c>
      <c r="D7715" s="270">
        <v>1</v>
      </c>
      <c r="E7715" s="270">
        <v>1</v>
      </c>
      <c r="F7715" s="270" t="s">
        <v>944</v>
      </c>
      <c r="G7715" s="270" t="s">
        <v>3926</v>
      </c>
      <c r="H7715" s="270" t="s">
        <v>12586</v>
      </c>
      <c r="I7715" s="270" t="s">
        <v>956</v>
      </c>
      <c r="J7715" s="270" t="s">
        <v>3928</v>
      </c>
      <c r="K7715" s="270">
        <v>6614</v>
      </c>
      <c r="L7715" s="270">
        <v>81100</v>
      </c>
      <c r="M7715" s="270" t="s">
        <v>3960</v>
      </c>
      <c r="N7715" s="270" t="s">
        <v>3944</v>
      </c>
      <c r="O7715" s="270">
        <v>1671.01</v>
      </c>
      <c r="P7715" s="270" t="s">
        <v>3944</v>
      </c>
      <c r="Q7715" s="270" t="s">
        <v>3944</v>
      </c>
      <c r="R7715" s="270">
        <v>1671.01</v>
      </c>
      <c r="S7715" s="270">
        <v>26284.75</v>
      </c>
      <c r="T7715" s="270">
        <v>27955.759999999998</v>
      </c>
      <c r="U7715" s="271" t="s">
        <v>3945</v>
      </c>
      <c r="V7715" s="267" t="s">
        <v>944</v>
      </c>
    </row>
    <row r="7716" spans="1:22" x14ac:dyDescent="0.25">
      <c r="A7716" s="266">
        <v>43816</v>
      </c>
      <c r="B7716" s="267">
        <v>2019</v>
      </c>
      <c r="C7716" s="267">
        <v>2020</v>
      </c>
      <c r="D7716" s="267">
        <v>1</v>
      </c>
      <c r="E7716" s="267">
        <v>1</v>
      </c>
      <c r="F7716" s="267" t="s">
        <v>944</v>
      </c>
      <c r="G7716" s="267" t="s">
        <v>3926</v>
      </c>
      <c r="H7716" s="267" t="s">
        <v>12587</v>
      </c>
      <c r="I7716" s="267" t="s">
        <v>934</v>
      </c>
      <c r="J7716" s="267" t="s">
        <v>3928</v>
      </c>
      <c r="K7716" s="267">
        <v>6605</v>
      </c>
      <c r="L7716" s="267">
        <v>70200</v>
      </c>
      <c r="M7716" s="267">
        <v>-60</v>
      </c>
      <c r="N7716" s="267" t="s">
        <v>3944</v>
      </c>
      <c r="O7716" s="267">
        <v>1995.56</v>
      </c>
      <c r="P7716" s="267" t="s">
        <v>3944</v>
      </c>
      <c r="Q7716" s="267" t="s">
        <v>3944</v>
      </c>
      <c r="R7716" s="267">
        <v>1995.56</v>
      </c>
      <c r="S7716" s="267">
        <v>28773.64</v>
      </c>
      <c r="T7716" s="267">
        <v>30769.200000000001</v>
      </c>
      <c r="U7716" s="268" t="s">
        <v>3945</v>
      </c>
      <c r="V7716" s="276" t="s">
        <v>936</v>
      </c>
    </row>
    <row r="7717" spans="1:22" hidden="1" x14ac:dyDescent="0.25">
      <c r="A7717" s="269">
        <v>43816</v>
      </c>
      <c r="B7717" s="270">
        <v>2019</v>
      </c>
      <c r="C7717" s="270">
        <v>2020</v>
      </c>
      <c r="D7717" s="270">
        <v>1</v>
      </c>
      <c r="E7717" s="270">
        <v>1</v>
      </c>
      <c r="F7717" s="270" t="s">
        <v>944</v>
      </c>
      <c r="G7717" s="270" t="s">
        <v>3926</v>
      </c>
      <c r="H7717" s="270" t="s">
        <v>12588</v>
      </c>
      <c r="I7717" s="270" t="s">
        <v>6426</v>
      </c>
      <c r="J7717" s="270" t="s">
        <v>3928</v>
      </c>
      <c r="K7717" s="270">
        <v>6422</v>
      </c>
      <c r="L7717" s="270">
        <v>585100</v>
      </c>
      <c r="M7717" s="270" t="s">
        <v>3943</v>
      </c>
      <c r="N7717" s="270" t="s">
        <v>3944</v>
      </c>
      <c r="O7717" s="270">
        <v>1729.88</v>
      </c>
      <c r="P7717" s="270" t="s">
        <v>3944</v>
      </c>
      <c r="Q7717" s="270" t="s">
        <v>3944</v>
      </c>
      <c r="R7717" s="270">
        <v>1729.88</v>
      </c>
      <c r="S7717" s="270">
        <v>26233.47</v>
      </c>
      <c r="T7717" s="270">
        <v>27963.35</v>
      </c>
      <c r="U7717" s="271" t="s">
        <v>3945</v>
      </c>
      <c r="V7717" s="267" t="s">
        <v>944</v>
      </c>
    </row>
    <row r="7718" spans="1:22" hidden="1" x14ac:dyDescent="0.25">
      <c r="A7718" s="266">
        <v>43816</v>
      </c>
      <c r="B7718" s="267">
        <v>2019</v>
      </c>
      <c r="C7718" s="267">
        <v>2020</v>
      </c>
      <c r="D7718" s="267">
        <v>1</v>
      </c>
      <c r="E7718" s="267">
        <v>1</v>
      </c>
      <c r="F7718" s="267" t="s">
        <v>944</v>
      </c>
      <c r="G7718" s="267" t="s">
        <v>3926</v>
      </c>
      <c r="H7718" s="267" t="s">
        <v>12589</v>
      </c>
      <c r="I7718" s="267" t="s">
        <v>4556</v>
      </c>
      <c r="J7718" s="267" t="s">
        <v>3928</v>
      </c>
      <c r="K7718" s="267">
        <v>6029</v>
      </c>
      <c r="L7718" s="267">
        <v>535200</v>
      </c>
      <c r="M7718" s="267" t="s">
        <v>3960</v>
      </c>
      <c r="N7718" s="267" t="s">
        <v>3944</v>
      </c>
      <c r="O7718" s="267">
        <v>3030.48</v>
      </c>
      <c r="P7718" s="267" t="s">
        <v>3944</v>
      </c>
      <c r="Q7718" s="267" t="s">
        <v>3944</v>
      </c>
      <c r="R7718" s="267">
        <v>3030.48</v>
      </c>
      <c r="S7718" s="267">
        <v>41604.480000000003</v>
      </c>
      <c r="T7718" s="267">
        <v>44634.96</v>
      </c>
      <c r="U7718" s="268" t="s">
        <v>3945</v>
      </c>
      <c r="V7718" s="267" t="s">
        <v>944</v>
      </c>
    </row>
    <row r="7719" spans="1:22" hidden="1" x14ac:dyDescent="0.25">
      <c r="A7719" s="269">
        <v>43816</v>
      </c>
      <c r="B7719" s="270">
        <v>2019</v>
      </c>
      <c r="C7719" s="270">
        <v>2020</v>
      </c>
      <c r="D7719" s="270">
        <v>1</v>
      </c>
      <c r="E7719" s="270">
        <v>1</v>
      </c>
      <c r="F7719" s="270" t="s">
        <v>944</v>
      </c>
      <c r="G7719" s="270" t="s">
        <v>3926</v>
      </c>
      <c r="H7719" s="270" t="s">
        <v>12590</v>
      </c>
      <c r="I7719" s="270" t="s">
        <v>3008</v>
      </c>
      <c r="J7719" s="270" t="s">
        <v>3928</v>
      </c>
      <c r="K7719" s="270">
        <v>6460</v>
      </c>
      <c r="L7719" s="270">
        <v>150300</v>
      </c>
      <c r="M7719" s="270" t="s">
        <v>3960</v>
      </c>
      <c r="N7719" s="270" t="s">
        <v>3944</v>
      </c>
      <c r="O7719" s="270">
        <v>665.74</v>
      </c>
      <c r="P7719" s="270" t="s">
        <v>3944</v>
      </c>
      <c r="Q7719" s="270" t="s">
        <v>3944</v>
      </c>
      <c r="R7719" s="270">
        <v>665.74</v>
      </c>
      <c r="S7719" s="270">
        <v>10217.84</v>
      </c>
      <c r="T7719" s="270">
        <v>10883.58</v>
      </c>
      <c r="U7719" s="271" t="s">
        <v>3945</v>
      </c>
      <c r="V7719" s="267" t="s">
        <v>944</v>
      </c>
    </row>
    <row r="7720" spans="1:22" hidden="1" x14ac:dyDescent="0.25">
      <c r="A7720" s="266">
        <v>43816</v>
      </c>
      <c r="B7720" s="267">
        <v>2019</v>
      </c>
      <c r="C7720" s="267">
        <v>2020</v>
      </c>
      <c r="D7720" s="267">
        <v>1</v>
      </c>
      <c r="E7720" s="267">
        <v>1</v>
      </c>
      <c r="F7720" s="267" t="s">
        <v>944</v>
      </c>
      <c r="G7720" s="267" t="s">
        <v>3926</v>
      </c>
      <c r="H7720" s="267" t="s">
        <v>12591</v>
      </c>
      <c r="I7720" s="267" t="s">
        <v>4594</v>
      </c>
      <c r="J7720" s="267" t="s">
        <v>3928</v>
      </c>
      <c r="K7720" s="267">
        <v>6488</v>
      </c>
      <c r="L7720" s="267">
        <v>348111</v>
      </c>
      <c r="M7720" s="267" t="s">
        <v>3943</v>
      </c>
      <c r="N7720" s="267" t="s">
        <v>3944</v>
      </c>
      <c r="O7720" s="267">
        <v>949.87</v>
      </c>
      <c r="P7720" s="267" t="s">
        <v>3944</v>
      </c>
      <c r="Q7720" s="267" t="s">
        <v>3944</v>
      </c>
      <c r="R7720" s="267">
        <v>949.87</v>
      </c>
      <c r="S7720" s="267">
        <v>11685.13</v>
      </c>
      <c r="T7720" s="267">
        <v>12635</v>
      </c>
      <c r="U7720" s="268" t="s">
        <v>3945</v>
      </c>
      <c r="V7720" s="267" t="s">
        <v>944</v>
      </c>
    </row>
    <row r="7721" spans="1:22" hidden="1" x14ac:dyDescent="0.25">
      <c r="A7721" s="269">
        <v>43816</v>
      </c>
      <c r="B7721" s="270">
        <v>2019</v>
      </c>
      <c r="C7721" s="270">
        <v>2020</v>
      </c>
      <c r="D7721" s="270">
        <v>1</v>
      </c>
      <c r="E7721" s="270">
        <v>1</v>
      </c>
      <c r="F7721" s="270" t="s">
        <v>944</v>
      </c>
      <c r="G7721" s="270" t="s">
        <v>3926</v>
      </c>
      <c r="H7721" s="270" t="s">
        <v>12592</v>
      </c>
      <c r="I7721" s="270" t="s">
        <v>2985</v>
      </c>
      <c r="J7721" s="270" t="s">
        <v>3928</v>
      </c>
      <c r="K7721" s="270">
        <v>6824</v>
      </c>
      <c r="L7721" s="270">
        <v>61600</v>
      </c>
      <c r="M7721" s="270" t="s">
        <v>3943</v>
      </c>
      <c r="N7721" s="270" t="s">
        <v>3944</v>
      </c>
      <c r="O7721" s="270">
        <v>1027.6400000000001</v>
      </c>
      <c r="P7721" s="270" t="s">
        <v>3944</v>
      </c>
      <c r="Q7721" s="270" t="s">
        <v>3944</v>
      </c>
      <c r="R7721" s="270">
        <v>1027.6400000000001</v>
      </c>
      <c r="S7721" s="270">
        <v>15407.29</v>
      </c>
      <c r="T7721" s="270">
        <v>16434.93</v>
      </c>
      <c r="U7721" s="271" t="s">
        <v>3945</v>
      </c>
      <c r="V7721" s="267" t="s">
        <v>944</v>
      </c>
    </row>
    <row r="7722" spans="1:22" hidden="1" x14ac:dyDescent="0.25">
      <c r="A7722" s="266">
        <v>43816</v>
      </c>
      <c r="B7722" s="267">
        <v>2019</v>
      </c>
      <c r="C7722" s="267">
        <v>2020</v>
      </c>
      <c r="D7722" s="267">
        <v>1</v>
      </c>
      <c r="E7722" s="267">
        <v>1</v>
      </c>
      <c r="F7722" s="267" t="s">
        <v>944</v>
      </c>
      <c r="G7722" s="267" t="s">
        <v>3926</v>
      </c>
      <c r="H7722" s="267" t="s">
        <v>12593</v>
      </c>
      <c r="I7722" s="267" t="s">
        <v>4310</v>
      </c>
      <c r="J7722" s="267" t="s">
        <v>3928</v>
      </c>
      <c r="K7722" s="267">
        <v>6351</v>
      </c>
      <c r="L7722" s="267">
        <v>710100</v>
      </c>
      <c r="M7722" s="267" t="s">
        <v>3960</v>
      </c>
      <c r="N7722" s="267" t="s">
        <v>3944</v>
      </c>
      <c r="O7722" s="267">
        <v>1747.31</v>
      </c>
      <c r="P7722" s="267" t="s">
        <v>3944</v>
      </c>
      <c r="Q7722" s="267" t="s">
        <v>3944</v>
      </c>
      <c r="R7722" s="267">
        <v>1747.31</v>
      </c>
      <c r="S7722" s="267">
        <v>14332.69</v>
      </c>
      <c r="T7722" s="267">
        <v>16080</v>
      </c>
      <c r="U7722" s="268" t="s">
        <v>3945</v>
      </c>
      <c r="V7722" s="267" t="s">
        <v>944</v>
      </c>
    </row>
    <row r="7723" spans="1:22" hidden="1" x14ac:dyDescent="0.25">
      <c r="A7723" s="269">
        <v>43816</v>
      </c>
      <c r="B7723" s="270">
        <v>2019</v>
      </c>
      <c r="C7723" s="270">
        <v>2020</v>
      </c>
      <c r="D7723" s="270">
        <v>1</v>
      </c>
      <c r="E7723" s="270">
        <v>1</v>
      </c>
      <c r="F7723" s="270" t="s">
        <v>944</v>
      </c>
      <c r="G7723" s="270" t="s">
        <v>3926</v>
      </c>
      <c r="H7723" s="270" t="s">
        <v>12594</v>
      </c>
      <c r="I7723" s="270" t="s">
        <v>3964</v>
      </c>
      <c r="J7723" s="270" t="s">
        <v>3928</v>
      </c>
      <c r="K7723" s="270">
        <v>6073</v>
      </c>
      <c r="L7723" s="270">
        <v>520501</v>
      </c>
      <c r="M7723" s="270" t="s">
        <v>3943</v>
      </c>
      <c r="N7723" s="270" t="s">
        <v>3944</v>
      </c>
      <c r="O7723" s="270">
        <v>1830.47</v>
      </c>
      <c r="P7723" s="270" t="s">
        <v>3944</v>
      </c>
      <c r="Q7723" s="270" t="s">
        <v>3944</v>
      </c>
      <c r="R7723" s="270">
        <v>1830.47</v>
      </c>
      <c r="S7723" s="270">
        <v>27707.85</v>
      </c>
      <c r="T7723" s="270">
        <v>29538.32</v>
      </c>
      <c r="U7723" s="271" t="s">
        <v>3945</v>
      </c>
      <c r="V7723" s="267" t="s">
        <v>944</v>
      </c>
    </row>
    <row r="7724" spans="1:22" hidden="1" x14ac:dyDescent="0.25">
      <c r="A7724" s="266">
        <v>43816</v>
      </c>
      <c r="B7724" s="267">
        <v>2019</v>
      </c>
      <c r="C7724" s="267">
        <v>2020</v>
      </c>
      <c r="D7724" s="267">
        <v>1</v>
      </c>
      <c r="E7724" s="267">
        <v>1</v>
      </c>
      <c r="F7724" s="267" t="s">
        <v>944</v>
      </c>
      <c r="G7724" s="267" t="s">
        <v>3926</v>
      </c>
      <c r="H7724" s="267" t="s">
        <v>12595</v>
      </c>
      <c r="I7724" s="267" t="s">
        <v>4306</v>
      </c>
      <c r="J7724" s="267" t="s">
        <v>3928</v>
      </c>
      <c r="K7724" s="267">
        <v>6716</v>
      </c>
      <c r="L7724" s="267">
        <v>361100</v>
      </c>
      <c r="M7724" s="267" t="s">
        <v>3960</v>
      </c>
      <c r="N7724" s="267" t="s">
        <v>3944</v>
      </c>
      <c r="O7724" s="267">
        <v>1010.03</v>
      </c>
      <c r="P7724" s="267" t="s">
        <v>3944</v>
      </c>
      <c r="Q7724" s="267" t="s">
        <v>3944</v>
      </c>
      <c r="R7724" s="267">
        <v>1010.03</v>
      </c>
      <c r="S7724" s="267">
        <v>16283.47</v>
      </c>
      <c r="T7724" s="267">
        <v>17293.5</v>
      </c>
      <c r="U7724" s="268" t="s">
        <v>3945</v>
      </c>
      <c r="V7724" s="267" t="s">
        <v>944</v>
      </c>
    </row>
    <row r="7725" spans="1:22" hidden="1" x14ac:dyDescent="0.25">
      <c r="A7725" s="269">
        <v>43816</v>
      </c>
      <c r="B7725" s="270">
        <v>2019</v>
      </c>
      <c r="C7725" s="270">
        <v>2020</v>
      </c>
      <c r="D7725" s="270">
        <v>1</v>
      </c>
      <c r="E7725" s="270">
        <v>1</v>
      </c>
      <c r="F7725" s="270" t="s">
        <v>944</v>
      </c>
      <c r="G7725" s="270" t="s">
        <v>3926</v>
      </c>
      <c r="H7725" s="270" t="s">
        <v>12596</v>
      </c>
      <c r="I7725" s="270" t="s">
        <v>953</v>
      </c>
      <c r="J7725" s="270" t="s">
        <v>3928</v>
      </c>
      <c r="K7725" s="270">
        <v>6514</v>
      </c>
      <c r="L7725" s="270">
        <v>165700</v>
      </c>
      <c r="M7725" s="270" t="s">
        <v>3935</v>
      </c>
      <c r="N7725" s="270" t="s">
        <v>3944</v>
      </c>
      <c r="O7725" s="270">
        <v>2127.9</v>
      </c>
      <c r="P7725" s="270" t="s">
        <v>3944</v>
      </c>
      <c r="Q7725" s="270" t="s">
        <v>3944</v>
      </c>
      <c r="R7725" s="270">
        <v>2127.9</v>
      </c>
      <c r="S7725" s="270">
        <v>34488.370000000003</v>
      </c>
      <c r="T7725" s="270">
        <v>36616.269999999997</v>
      </c>
      <c r="U7725" s="271" t="s">
        <v>3945</v>
      </c>
      <c r="V7725" s="267" t="s">
        <v>944</v>
      </c>
    </row>
    <row r="7726" spans="1:22" hidden="1" x14ac:dyDescent="0.25">
      <c r="A7726" s="266">
        <v>43816</v>
      </c>
      <c r="B7726" s="267">
        <v>2019</v>
      </c>
      <c r="C7726" s="267">
        <v>2020</v>
      </c>
      <c r="D7726" s="267">
        <v>1</v>
      </c>
      <c r="E7726" s="267">
        <v>1</v>
      </c>
      <c r="F7726" s="267" t="s">
        <v>944</v>
      </c>
      <c r="G7726" s="267" t="s">
        <v>3926</v>
      </c>
      <c r="H7726" s="267" t="s">
        <v>12597</v>
      </c>
      <c r="I7726" s="267" t="s">
        <v>4323</v>
      </c>
      <c r="J7726" s="267" t="s">
        <v>3928</v>
      </c>
      <c r="K7726" s="267">
        <v>6385</v>
      </c>
      <c r="L7726" s="267">
        <v>693300</v>
      </c>
      <c r="M7726" s="267" t="s">
        <v>3935</v>
      </c>
      <c r="N7726" s="267" t="s">
        <v>3944</v>
      </c>
      <c r="O7726" s="267">
        <v>1435.18</v>
      </c>
      <c r="P7726" s="267" t="s">
        <v>3944</v>
      </c>
      <c r="Q7726" s="267" t="s">
        <v>3944</v>
      </c>
      <c r="R7726" s="267">
        <v>1435.18</v>
      </c>
      <c r="S7726" s="267">
        <v>24347.13</v>
      </c>
      <c r="T7726" s="267">
        <v>25782.31</v>
      </c>
      <c r="U7726" s="268" t="s">
        <v>3945</v>
      </c>
      <c r="V7726" s="267" t="s">
        <v>944</v>
      </c>
    </row>
    <row r="7727" spans="1:22" hidden="1" x14ac:dyDescent="0.25">
      <c r="A7727" s="269">
        <v>43816</v>
      </c>
      <c r="B7727" s="270">
        <v>2019</v>
      </c>
      <c r="C7727" s="270">
        <v>2020</v>
      </c>
      <c r="D7727" s="270">
        <v>1</v>
      </c>
      <c r="E7727" s="270">
        <v>1</v>
      </c>
      <c r="F7727" s="270" t="s">
        <v>944</v>
      </c>
      <c r="G7727" s="270" t="s">
        <v>3926</v>
      </c>
      <c r="H7727" s="270" t="s">
        <v>12598</v>
      </c>
      <c r="I7727" s="270" t="s">
        <v>4008</v>
      </c>
      <c r="J7727" s="270" t="s">
        <v>3928</v>
      </c>
      <c r="K7727" s="270">
        <v>6320</v>
      </c>
      <c r="L7727" s="270">
        <v>690300</v>
      </c>
      <c r="M7727" s="270">
        <v>-60</v>
      </c>
      <c r="N7727" s="270" t="s">
        <v>3944</v>
      </c>
      <c r="O7727" s="270">
        <v>1036.77</v>
      </c>
      <c r="P7727" s="270" t="s">
        <v>3944</v>
      </c>
      <c r="Q7727" s="270" t="s">
        <v>3944</v>
      </c>
      <c r="R7727" s="270">
        <v>1036.77</v>
      </c>
      <c r="S7727" s="270">
        <v>14719.3</v>
      </c>
      <c r="T7727" s="270">
        <v>15756.07</v>
      </c>
      <c r="U7727" s="271" t="s">
        <v>3945</v>
      </c>
      <c r="V7727" s="267" t="s">
        <v>944</v>
      </c>
    </row>
    <row r="7728" spans="1:22" hidden="1" x14ac:dyDescent="0.25">
      <c r="A7728" s="266">
        <v>43816</v>
      </c>
      <c r="B7728" s="267">
        <v>2019</v>
      </c>
      <c r="C7728" s="267">
        <v>2020</v>
      </c>
      <c r="D7728" s="267">
        <v>1</v>
      </c>
      <c r="E7728" s="267">
        <v>1</v>
      </c>
      <c r="F7728" s="267" t="s">
        <v>944</v>
      </c>
      <c r="G7728" s="267" t="s">
        <v>3926</v>
      </c>
      <c r="H7728" s="267" t="s">
        <v>12599</v>
      </c>
      <c r="I7728" s="267" t="s">
        <v>2985</v>
      </c>
      <c r="J7728" s="267" t="s">
        <v>3928</v>
      </c>
      <c r="K7728" s="267">
        <v>6825</v>
      </c>
      <c r="L7728" s="267">
        <v>61200</v>
      </c>
      <c r="M7728" s="267" t="s">
        <v>3935</v>
      </c>
      <c r="N7728" s="267" t="s">
        <v>3944</v>
      </c>
      <c r="O7728" s="267">
        <v>997.99</v>
      </c>
      <c r="P7728" s="267" t="s">
        <v>3944</v>
      </c>
      <c r="Q7728" s="267" t="s">
        <v>3944</v>
      </c>
      <c r="R7728" s="267">
        <v>997.99</v>
      </c>
      <c r="S7728" s="267">
        <v>12759.13</v>
      </c>
      <c r="T7728" s="267">
        <v>13757.12</v>
      </c>
      <c r="U7728" s="268" t="s">
        <v>3945</v>
      </c>
      <c r="V7728" s="267" t="s">
        <v>944</v>
      </c>
    </row>
    <row r="7729" spans="1:22" hidden="1" x14ac:dyDescent="0.25">
      <c r="A7729" s="269">
        <v>43816</v>
      </c>
      <c r="B7729" s="270">
        <v>2019</v>
      </c>
      <c r="C7729" s="270">
        <v>2020</v>
      </c>
      <c r="D7729" s="270">
        <v>1</v>
      </c>
      <c r="E7729" s="270">
        <v>1</v>
      </c>
      <c r="F7729" s="270" t="s">
        <v>944</v>
      </c>
      <c r="G7729" s="270" t="s">
        <v>3926</v>
      </c>
      <c r="H7729" s="270" t="s">
        <v>12600</v>
      </c>
      <c r="I7729" s="270" t="s">
        <v>3975</v>
      </c>
      <c r="J7729" s="270" t="s">
        <v>3928</v>
      </c>
      <c r="K7729" s="270">
        <v>6489</v>
      </c>
      <c r="L7729" s="270">
        <v>430100</v>
      </c>
      <c r="M7729" s="270" t="s">
        <v>3935</v>
      </c>
      <c r="N7729" s="270" t="s">
        <v>3944</v>
      </c>
      <c r="O7729" s="270">
        <v>1981.67</v>
      </c>
      <c r="P7729" s="270" t="s">
        <v>3944</v>
      </c>
      <c r="Q7729" s="270" t="s">
        <v>3944</v>
      </c>
      <c r="R7729" s="270">
        <v>1981.67</v>
      </c>
      <c r="S7729" s="270">
        <v>27970.44</v>
      </c>
      <c r="T7729" s="270">
        <v>29952.11</v>
      </c>
      <c r="U7729" s="271" t="s">
        <v>3945</v>
      </c>
      <c r="V7729" s="267" t="s">
        <v>944</v>
      </c>
    </row>
    <row r="7730" spans="1:22" hidden="1" x14ac:dyDescent="0.25">
      <c r="A7730" s="266">
        <v>43816</v>
      </c>
      <c r="B7730" s="267">
        <v>2019</v>
      </c>
      <c r="C7730" s="267">
        <v>2020</v>
      </c>
      <c r="D7730" s="267">
        <v>1</v>
      </c>
      <c r="E7730" s="267">
        <v>1</v>
      </c>
      <c r="F7730" s="267" t="s">
        <v>944</v>
      </c>
      <c r="G7730" s="267" t="s">
        <v>3926</v>
      </c>
      <c r="H7730" s="267" t="s">
        <v>12601</v>
      </c>
      <c r="I7730" s="267" t="s">
        <v>4119</v>
      </c>
      <c r="J7730" s="267" t="s">
        <v>3928</v>
      </c>
      <c r="K7730" s="267">
        <v>6078</v>
      </c>
      <c r="L7730" s="267">
        <v>477102</v>
      </c>
      <c r="M7730" s="267" t="s">
        <v>3943</v>
      </c>
      <c r="N7730" s="267" t="s">
        <v>3944</v>
      </c>
      <c r="O7730" s="267">
        <v>2671.27</v>
      </c>
      <c r="P7730" s="267" t="s">
        <v>3944</v>
      </c>
      <c r="Q7730" s="267" t="s">
        <v>3944</v>
      </c>
      <c r="R7730" s="267">
        <v>2671.27</v>
      </c>
      <c r="S7730" s="267">
        <v>39167.870000000003</v>
      </c>
      <c r="T7730" s="267">
        <v>41839.14</v>
      </c>
      <c r="U7730" s="268" t="s">
        <v>3945</v>
      </c>
      <c r="V7730" s="267" t="s">
        <v>944</v>
      </c>
    </row>
    <row r="7731" spans="1:22" hidden="1" x14ac:dyDescent="0.25">
      <c r="A7731" s="269">
        <v>43816</v>
      </c>
      <c r="B7731" s="270">
        <v>2019</v>
      </c>
      <c r="C7731" s="270">
        <v>2020</v>
      </c>
      <c r="D7731" s="270">
        <v>1</v>
      </c>
      <c r="E7731" s="270">
        <v>1</v>
      </c>
      <c r="F7731" s="270" t="s">
        <v>944</v>
      </c>
      <c r="G7731" s="270" t="s">
        <v>3926</v>
      </c>
      <c r="H7731" s="270" t="s">
        <v>12602</v>
      </c>
      <c r="I7731" s="270" t="s">
        <v>2987</v>
      </c>
      <c r="J7731" s="270" t="s">
        <v>3928</v>
      </c>
      <c r="K7731" s="270">
        <v>6611</v>
      </c>
      <c r="L7731" s="270">
        <v>90600</v>
      </c>
      <c r="M7731" s="270" t="s">
        <v>3960</v>
      </c>
      <c r="N7731" s="270" t="s">
        <v>3944</v>
      </c>
      <c r="O7731" s="270">
        <v>2784.5</v>
      </c>
      <c r="P7731" s="270" t="s">
        <v>3944</v>
      </c>
      <c r="Q7731" s="270" t="s">
        <v>3944</v>
      </c>
      <c r="R7731" s="270">
        <v>2784.5</v>
      </c>
      <c r="S7731" s="270">
        <v>63373.5</v>
      </c>
      <c r="T7731" s="270">
        <v>66158</v>
      </c>
      <c r="U7731" s="271" t="s">
        <v>3945</v>
      </c>
      <c r="V7731" s="267" t="s">
        <v>944</v>
      </c>
    </row>
    <row r="7732" spans="1:22" hidden="1" x14ac:dyDescent="0.25">
      <c r="A7732" s="266">
        <v>43816</v>
      </c>
      <c r="B7732" s="267">
        <v>2019</v>
      </c>
      <c r="C7732" s="267">
        <v>2020</v>
      </c>
      <c r="D7732" s="267">
        <v>1</v>
      </c>
      <c r="E7732" s="267">
        <v>1</v>
      </c>
      <c r="F7732" s="267" t="s">
        <v>944</v>
      </c>
      <c r="G7732" s="267" t="s">
        <v>3926</v>
      </c>
      <c r="H7732" s="267" t="s">
        <v>12603</v>
      </c>
      <c r="I7732" s="267" t="s">
        <v>4392</v>
      </c>
      <c r="J7732" s="267" t="s">
        <v>3928</v>
      </c>
      <c r="K7732" s="267">
        <v>6457</v>
      </c>
      <c r="L7732" s="267">
        <v>541401</v>
      </c>
      <c r="M7732" s="267" t="s">
        <v>3943</v>
      </c>
      <c r="N7732" s="267" t="s">
        <v>3944</v>
      </c>
      <c r="O7732" s="267">
        <v>1256.82</v>
      </c>
      <c r="P7732" s="267" t="s">
        <v>3944</v>
      </c>
      <c r="Q7732" s="267" t="s">
        <v>3944</v>
      </c>
      <c r="R7732" s="267">
        <v>1256.82</v>
      </c>
      <c r="S7732" s="267">
        <v>19576.37</v>
      </c>
      <c r="T7732" s="267">
        <v>20833.189999999999</v>
      </c>
      <c r="U7732" s="268" t="s">
        <v>3945</v>
      </c>
      <c r="V7732" s="267" t="s">
        <v>944</v>
      </c>
    </row>
    <row r="7733" spans="1:22" hidden="1" x14ac:dyDescent="0.25">
      <c r="A7733" s="269">
        <v>43816</v>
      </c>
      <c r="B7733" s="270">
        <v>2019</v>
      </c>
      <c r="C7733" s="270">
        <v>2020</v>
      </c>
      <c r="D7733" s="270">
        <v>1</v>
      </c>
      <c r="E7733" s="270">
        <v>1</v>
      </c>
      <c r="F7733" s="270" t="s">
        <v>944</v>
      </c>
      <c r="G7733" s="270" t="s">
        <v>3926</v>
      </c>
      <c r="H7733" s="270" t="s">
        <v>12604</v>
      </c>
      <c r="I7733" s="270" t="s">
        <v>4114</v>
      </c>
      <c r="J7733" s="270" t="s">
        <v>3928</v>
      </c>
      <c r="K7733" s="270">
        <v>6410</v>
      </c>
      <c r="L7733" s="270">
        <v>343300</v>
      </c>
      <c r="M7733" s="270" t="s">
        <v>3943</v>
      </c>
      <c r="N7733" s="270" t="s">
        <v>3944</v>
      </c>
      <c r="O7733" s="270">
        <v>2293.17</v>
      </c>
      <c r="P7733" s="270" t="s">
        <v>3944</v>
      </c>
      <c r="Q7733" s="270" t="s">
        <v>3944</v>
      </c>
      <c r="R7733" s="270">
        <v>2293.17</v>
      </c>
      <c r="S7733" s="270">
        <v>35065.230000000003</v>
      </c>
      <c r="T7733" s="270">
        <v>37358.400000000001</v>
      </c>
      <c r="U7733" s="271" t="s">
        <v>3945</v>
      </c>
      <c r="V7733" s="267" t="s">
        <v>944</v>
      </c>
    </row>
    <row r="7734" spans="1:22" hidden="1" x14ac:dyDescent="0.25">
      <c r="A7734" s="266">
        <v>43816</v>
      </c>
      <c r="B7734" s="267">
        <v>2019</v>
      </c>
      <c r="C7734" s="267">
        <v>2020</v>
      </c>
      <c r="D7734" s="267">
        <v>1</v>
      </c>
      <c r="E7734" s="267">
        <v>1</v>
      </c>
      <c r="F7734" s="267" t="s">
        <v>944</v>
      </c>
      <c r="G7734" s="267" t="s">
        <v>3926</v>
      </c>
      <c r="H7734" s="267" t="s">
        <v>12605</v>
      </c>
      <c r="I7734" s="267" t="s">
        <v>950</v>
      </c>
      <c r="J7734" s="267" t="s">
        <v>3928</v>
      </c>
      <c r="K7734" s="267">
        <v>6516</v>
      </c>
      <c r="L7734" s="267">
        <v>361500</v>
      </c>
      <c r="M7734" s="267" t="s">
        <v>3940</v>
      </c>
      <c r="N7734" s="267" t="s">
        <v>3944</v>
      </c>
      <c r="O7734" s="267">
        <v>1870.72</v>
      </c>
      <c r="P7734" s="267" t="s">
        <v>3944</v>
      </c>
      <c r="Q7734" s="267" t="s">
        <v>3944</v>
      </c>
      <c r="R7734" s="267">
        <v>1870.72</v>
      </c>
      <c r="S7734" s="267">
        <v>30731.78</v>
      </c>
      <c r="T7734" s="267">
        <v>32602.5</v>
      </c>
      <c r="U7734" s="268" t="s">
        <v>3945</v>
      </c>
      <c r="V7734" s="267" t="s">
        <v>944</v>
      </c>
    </row>
    <row r="7735" spans="1:22" hidden="1" x14ac:dyDescent="0.25">
      <c r="A7735" s="269">
        <v>43816</v>
      </c>
      <c r="B7735" s="270">
        <v>2019</v>
      </c>
      <c r="C7735" s="270">
        <v>2020</v>
      </c>
      <c r="D7735" s="270">
        <v>1</v>
      </c>
      <c r="E7735" s="270">
        <v>1</v>
      </c>
      <c r="F7735" s="270" t="s">
        <v>944</v>
      </c>
      <c r="G7735" s="270" t="s">
        <v>3926</v>
      </c>
      <c r="H7735" s="270" t="s">
        <v>12606</v>
      </c>
      <c r="I7735" s="270" t="s">
        <v>4094</v>
      </c>
      <c r="J7735" s="270" t="s">
        <v>3928</v>
      </c>
      <c r="K7735" s="270">
        <v>6096</v>
      </c>
      <c r="L7735" s="270">
        <v>476300</v>
      </c>
      <c r="M7735" s="270" t="s">
        <v>3940</v>
      </c>
      <c r="N7735" s="270" t="s">
        <v>3944</v>
      </c>
      <c r="O7735" s="270">
        <v>1258.08</v>
      </c>
      <c r="P7735" s="270" t="s">
        <v>3944</v>
      </c>
      <c r="Q7735" s="270" t="s">
        <v>3944</v>
      </c>
      <c r="R7735" s="270">
        <v>1258.08</v>
      </c>
      <c r="S7735" s="270">
        <v>15905.11</v>
      </c>
      <c r="T7735" s="270">
        <v>17163.189999999999</v>
      </c>
      <c r="U7735" s="271" t="s">
        <v>3945</v>
      </c>
      <c r="V7735" s="267" t="s">
        <v>944</v>
      </c>
    </row>
    <row r="7736" spans="1:22" hidden="1" x14ac:dyDescent="0.25">
      <c r="A7736" s="266">
        <v>43816</v>
      </c>
      <c r="B7736" s="267">
        <v>2019</v>
      </c>
      <c r="C7736" s="267">
        <v>2020</v>
      </c>
      <c r="D7736" s="267">
        <v>1</v>
      </c>
      <c r="E7736" s="267">
        <v>1</v>
      </c>
      <c r="F7736" s="267" t="s">
        <v>944</v>
      </c>
      <c r="G7736" s="267" t="s">
        <v>3926</v>
      </c>
      <c r="H7736" s="267" t="s">
        <v>12607</v>
      </c>
      <c r="I7736" s="267" t="s">
        <v>3966</v>
      </c>
      <c r="J7736" s="267" t="s">
        <v>3928</v>
      </c>
      <c r="K7736" s="267">
        <v>6010</v>
      </c>
      <c r="L7736" s="267">
        <v>405300</v>
      </c>
      <c r="M7736" s="267" t="s">
        <v>3940</v>
      </c>
      <c r="N7736" s="267" t="s">
        <v>3944</v>
      </c>
      <c r="O7736" s="267">
        <v>1483.93</v>
      </c>
      <c r="P7736" s="267" t="s">
        <v>3944</v>
      </c>
      <c r="Q7736" s="267" t="s">
        <v>3944</v>
      </c>
      <c r="R7736" s="267">
        <v>1483.93</v>
      </c>
      <c r="S7736" s="267">
        <v>15216.07</v>
      </c>
      <c r="T7736" s="267">
        <v>16700</v>
      </c>
      <c r="U7736" s="268" t="s">
        <v>3945</v>
      </c>
      <c r="V7736" s="267" t="s">
        <v>944</v>
      </c>
    </row>
    <row r="7737" spans="1:22" hidden="1" x14ac:dyDescent="0.25">
      <c r="A7737" s="269">
        <v>43816</v>
      </c>
      <c r="B7737" s="270">
        <v>2019</v>
      </c>
      <c r="C7737" s="270">
        <v>2020</v>
      </c>
      <c r="D7737" s="270">
        <v>1</v>
      </c>
      <c r="E7737" s="270">
        <v>1</v>
      </c>
      <c r="F7737" s="270" t="s">
        <v>944</v>
      </c>
      <c r="G7737" s="270" t="s">
        <v>3926</v>
      </c>
      <c r="H7737" s="270" t="s">
        <v>12608</v>
      </c>
      <c r="I7737" s="270" t="s">
        <v>3010</v>
      </c>
      <c r="J7737" s="270" t="s">
        <v>3928</v>
      </c>
      <c r="K7737" s="270">
        <v>6401</v>
      </c>
      <c r="L7737" s="270">
        <v>125100</v>
      </c>
      <c r="M7737" s="270" t="s">
        <v>3960</v>
      </c>
      <c r="N7737" s="270" t="s">
        <v>3944</v>
      </c>
      <c r="O7737" s="270">
        <v>1437.45</v>
      </c>
      <c r="P7737" s="270" t="s">
        <v>3944</v>
      </c>
      <c r="Q7737" s="270" t="s">
        <v>3944</v>
      </c>
      <c r="R7737" s="270">
        <v>1437.45</v>
      </c>
      <c r="S7737" s="270">
        <v>19821.650000000001</v>
      </c>
      <c r="T7737" s="270">
        <v>21259.1</v>
      </c>
      <c r="U7737" s="271" t="s">
        <v>3945</v>
      </c>
      <c r="V7737" s="267" t="s">
        <v>944</v>
      </c>
    </row>
    <row r="7738" spans="1:22" hidden="1" x14ac:dyDescent="0.25">
      <c r="A7738" s="266">
        <v>43816</v>
      </c>
      <c r="B7738" s="267">
        <v>2019</v>
      </c>
      <c r="C7738" s="267">
        <v>2020</v>
      </c>
      <c r="D7738" s="267">
        <v>1</v>
      </c>
      <c r="E7738" s="267">
        <v>1</v>
      </c>
      <c r="F7738" s="267" t="s">
        <v>944</v>
      </c>
      <c r="G7738" s="267" t="s">
        <v>3926</v>
      </c>
      <c r="H7738" s="267" t="s">
        <v>12609</v>
      </c>
      <c r="I7738" s="267" t="s">
        <v>953</v>
      </c>
      <c r="J7738" s="267" t="s">
        <v>3928</v>
      </c>
      <c r="K7738" s="267">
        <v>6518</v>
      </c>
      <c r="L7738" s="267">
        <v>165900</v>
      </c>
      <c r="M7738" s="267" t="s">
        <v>3943</v>
      </c>
      <c r="N7738" s="267" t="s">
        <v>3944</v>
      </c>
      <c r="O7738" s="267">
        <v>1684.27</v>
      </c>
      <c r="P7738" s="267" t="s">
        <v>3944</v>
      </c>
      <c r="Q7738" s="267" t="s">
        <v>3944</v>
      </c>
      <c r="R7738" s="267">
        <v>1684.27</v>
      </c>
      <c r="S7738" s="267">
        <v>26888.21</v>
      </c>
      <c r="T7738" s="267">
        <v>28572.48</v>
      </c>
      <c r="U7738" s="268" t="s">
        <v>3945</v>
      </c>
      <c r="V7738" s="267" t="s">
        <v>944</v>
      </c>
    </row>
    <row r="7739" spans="1:22" hidden="1" x14ac:dyDescent="0.25">
      <c r="A7739" s="269">
        <v>43816</v>
      </c>
      <c r="B7739" s="270">
        <v>2019</v>
      </c>
      <c r="C7739" s="270">
        <v>2020</v>
      </c>
      <c r="D7739" s="270">
        <v>1</v>
      </c>
      <c r="E7739" s="270">
        <v>1</v>
      </c>
      <c r="F7739" s="270" t="s">
        <v>944</v>
      </c>
      <c r="G7739" s="270" t="s">
        <v>3926</v>
      </c>
      <c r="H7739" s="270" t="s">
        <v>12610</v>
      </c>
      <c r="I7739" s="270" t="s">
        <v>4079</v>
      </c>
      <c r="J7739" s="270" t="s">
        <v>3928</v>
      </c>
      <c r="K7739" s="270">
        <v>6111</v>
      </c>
      <c r="L7739" s="270">
        <v>494500</v>
      </c>
      <c r="M7739" s="270" t="s">
        <v>3960</v>
      </c>
      <c r="N7739" s="270" t="s">
        <v>3944</v>
      </c>
      <c r="O7739" s="270">
        <v>1511.93</v>
      </c>
      <c r="P7739" s="270" t="s">
        <v>3944</v>
      </c>
      <c r="Q7739" s="270" t="s">
        <v>3944</v>
      </c>
      <c r="R7739" s="270">
        <v>1511.93</v>
      </c>
      <c r="S7739" s="270">
        <v>21240.240000000002</v>
      </c>
      <c r="T7739" s="270">
        <v>22752.17</v>
      </c>
      <c r="U7739" s="271" t="s">
        <v>3945</v>
      </c>
      <c r="V7739" s="267" t="s">
        <v>944</v>
      </c>
    </row>
    <row r="7740" spans="1:22" hidden="1" x14ac:dyDescent="0.25">
      <c r="A7740" s="266">
        <v>43816</v>
      </c>
      <c r="B7740" s="267">
        <v>2019</v>
      </c>
      <c r="C7740" s="267">
        <v>2020</v>
      </c>
      <c r="D7740" s="267">
        <v>1</v>
      </c>
      <c r="E7740" s="267">
        <v>1</v>
      </c>
      <c r="F7740" s="267" t="s">
        <v>944</v>
      </c>
      <c r="G7740" s="267" t="s">
        <v>3926</v>
      </c>
      <c r="H7740" s="267" t="s">
        <v>12611</v>
      </c>
      <c r="I7740" s="267" t="s">
        <v>4011</v>
      </c>
      <c r="J7740" s="267" t="s">
        <v>3928</v>
      </c>
      <c r="K7740" s="267">
        <v>6002</v>
      </c>
      <c r="L7740" s="267">
        <v>471300</v>
      </c>
      <c r="M7740" s="267" t="s">
        <v>3935</v>
      </c>
      <c r="N7740" s="267" t="s">
        <v>3944</v>
      </c>
      <c r="O7740" s="267">
        <v>1705.62</v>
      </c>
      <c r="P7740" s="267" t="s">
        <v>3944</v>
      </c>
      <c r="Q7740" s="267" t="s">
        <v>3944</v>
      </c>
      <c r="R7740" s="267">
        <v>1705.62</v>
      </c>
      <c r="S7740" s="267">
        <v>21464.38</v>
      </c>
      <c r="T7740" s="267">
        <v>23170</v>
      </c>
      <c r="U7740" s="268" t="s">
        <v>3945</v>
      </c>
      <c r="V7740" s="267" t="s">
        <v>944</v>
      </c>
    </row>
    <row r="7741" spans="1:22" hidden="1" x14ac:dyDescent="0.25">
      <c r="A7741" s="269">
        <v>43816</v>
      </c>
      <c r="B7741" s="270">
        <v>2019</v>
      </c>
      <c r="C7741" s="270">
        <v>2020</v>
      </c>
      <c r="D7741" s="270">
        <v>1</v>
      </c>
      <c r="E7741" s="270">
        <v>1</v>
      </c>
      <c r="F7741" s="270" t="s">
        <v>944</v>
      </c>
      <c r="G7741" s="270" t="s">
        <v>3926</v>
      </c>
      <c r="H7741" s="270" t="s">
        <v>12612</v>
      </c>
      <c r="I7741" s="270" t="s">
        <v>4172</v>
      </c>
      <c r="J7741" s="270" t="s">
        <v>3928</v>
      </c>
      <c r="K7741" s="270">
        <v>6786</v>
      </c>
      <c r="L7741" s="270">
        <v>425300</v>
      </c>
      <c r="M7741" s="270" t="s">
        <v>3960</v>
      </c>
      <c r="N7741" s="270" t="s">
        <v>3944</v>
      </c>
      <c r="O7741" s="270">
        <v>1726.17</v>
      </c>
      <c r="P7741" s="270" t="s">
        <v>3944</v>
      </c>
      <c r="Q7741" s="270" t="s">
        <v>3944</v>
      </c>
      <c r="R7741" s="270">
        <v>1726.17</v>
      </c>
      <c r="S7741" s="270">
        <v>28515.38</v>
      </c>
      <c r="T7741" s="270">
        <v>30241.55</v>
      </c>
      <c r="U7741" s="271" t="s">
        <v>3945</v>
      </c>
      <c r="V7741" s="267" t="s">
        <v>944</v>
      </c>
    </row>
    <row r="7742" spans="1:22" hidden="1" x14ac:dyDescent="0.25">
      <c r="A7742" s="266">
        <v>43816</v>
      </c>
      <c r="B7742" s="267">
        <v>2019</v>
      </c>
      <c r="C7742" s="267">
        <v>2020</v>
      </c>
      <c r="D7742" s="267">
        <v>1</v>
      </c>
      <c r="E7742" s="267">
        <v>1</v>
      </c>
      <c r="F7742" s="267" t="s">
        <v>944</v>
      </c>
      <c r="G7742" s="267" t="s">
        <v>3926</v>
      </c>
      <c r="H7742" s="267" t="s">
        <v>12613</v>
      </c>
      <c r="I7742" s="267" t="s">
        <v>2987</v>
      </c>
      <c r="J7742" s="267" t="s">
        <v>3928</v>
      </c>
      <c r="K7742" s="267">
        <v>6611</v>
      </c>
      <c r="L7742" s="267">
        <v>90500</v>
      </c>
      <c r="M7742" s="267" t="s">
        <v>3943</v>
      </c>
      <c r="N7742" s="267" t="s">
        <v>3944</v>
      </c>
      <c r="O7742" s="267">
        <v>2587.27</v>
      </c>
      <c r="P7742" s="267" t="s">
        <v>3944</v>
      </c>
      <c r="Q7742" s="267" t="s">
        <v>3944</v>
      </c>
      <c r="R7742" s="267">
        <v>2587.27</v>
      </c>
      <c r="S7742" s="267">
        <v>40652.199999999997</v>
      </c>
      <c r="T7742" s="267">
        <v>43239.47</v>
      </c>
      <c r="U7742" s="268" t="s">
        <v>3945</v>
      </c>
      <c r="V7742" s="267" t="s">
        <v>944</v>
      </c>
    </row>
    <row r="7743" spans="1:22" hidden="1" x14ac:dyDescent="0.25">
      <c r="A7743" s="269">
        <v>43816</v>
      </c>
      <c r="B7743" s="270">
        <v>2019</v>
      </c>
      <c r="C7743" s="270">
        <v>2020</v>
      </c>
      <c r="D7743" s="270">
        <v>1</v>
      </c>
      <c r="E7743" s="270">
        <v>1</v>
      </c>
      <c r="F7743" s="270" t="s">
        <v>944</v>
      </c>
      <c r="G7743" s="270" t="s">
        <v>3926</v>
      </c>
      <c r="H7743" s="270" t="s">
        <v>12614</v>
      </c>
      <c r="I7743" s="270" t="s">
        <v>4392</v>
      </c>
      <c r="J7743" s="270" t="s">
        <v>3928</v>
      </c>
      <c r="K7743" s="270">
        <v>6457</v>
      </c>
      <c r="L7743" s="270">
        <v>541200</v>
      </c>
      <c r="M7743" s="270" t="s">
        <v>3935</v>
      </c>
      <c r="N7743" s="270" t="s">
        <v>3944</v>
      </c>
      <c r="O7743" s="270">
        <v>1828.19</v>
      </c>
      <c r="P7743" s="270" t="s">
        <v>3944</v>
      </c>
      <c r="Q7743" s="270" t="s">
        <v>3944</v>
      </c>
      <c r="R7743" s="270">
        <v>1828.19</v>
      </c>
      <c r="S7743" s="270">
        <v>10189.81</v>
      </c>
      <c r="T7743" s="270">
        <v>12018</v>
      </c>
      <c r="U7743" s="271" t="s">
        <v>3945</v>
      </c>
      <c r="V7743" s="267" t="s">
        <v>944</v>
      </c>
    </row>
    <row r="7744" spans="1:22" x14ac:dyDescent="0.25">
      <c r="A7744" s="266">
        <v>43816</v>
      </c>
      <c r="B7744" s="267">
        <v>2019</v>
      </c>
      <c r="C7744" s="267">
        <v>2020</v>
      </c>
      <c r="D7744" s="267">
        <v>1</v>
      </c>
      <c r="E7744" s="267">
        <v>1</v>
      </c>
      <c r="F7744" s="267" t="s">
        <v>944</v>
      </c>
      <c r="G7744" s="267" t="s">
        <v>3926</v>
      </c>
      <c r="H7744" s="267" t="s">
        <v>12615</v>
      </c>
      <c r="I7744" s="267" t="s">
        <v>934</v>
      </c>
      <c r="J7744" s="267" t="s">
        <v>3928</v>
      </c>
      <c r="K7744" s="267">
        <v>6607</v>
      </c>
      <c r="L7744" s="267">
        <v>74300</v>
      </c>
      <c r="M7744" s="267">
        <v>-60</v>
      </c>
      <c r="N7744" s="267" t="s">
        <v>3944</v>
      </c>
      <c r="O7744" s="267">
        <v>876.86</v>
      </c>
      <c r="P7744" s="267" t="s">
        <v>3944</v>
      </c>
      <c r="Q7744" s="267" t="s">
        <v>3944</v>
      </c>
      <c r="R7744" s="267">
        <v>876.86</v>
      </c>
      <c r="S7744" s="267">
        <v>13109.14</v>
      </c>
      <c r="T7744" s="267">
        <v>13986</v>
      </c>
      <c r="U7744" s="268" t="s">
        <v>3945</v>
      </c>
      <c r="V7744" s="276" t="s">
        <v>936</v>
      </c>
    </row>
    <row r="7745" spans="1:22" hidden="1" x14ac:dyDescent="0.25">
      <c r="A7745" s="269">
        <v>43816</v>
      </c>
      <c r="B7745" s="270">
        <v>2019</v>
      </c>
      <c r="C7745" s="270">
        <v>2020</v>
      </c>
      <c r="D7745" s="270">
        <v>1</v>
      </c>
      <c r="E7745" s="270">
        <v>1</v>
      </c>
      <c r="F7745" s="270" t="s">
        <v>944</v>
      </c>
      <c r="G7745" s="270" t="s">
        <v>3926</v>
      </c>
      <c r="H7745" s="270" t="s">
        <v>12616</v>
      </c>
      <c r="I7745" s="270" t="s">
        <v>3968</v>
      </c>
      <c r="J7745" s="270" t="s">
        <v>3928</v>
      </c>
      <c r="K7745" s="270">
        <v>6040</v>
      </c>
      <c r="L7745" s="270">
        <v>514300</v>
      </c>
      <c r="M7745" s="270" t="s">
        <v>3935</v>
      </c>
      <c r="N7745" s="270" t="s">
        <v>3944</v>
      </c>
      <c r="O7745" s="270">
        <v>887.25</v>
      </c>
      <c r="P7745" s="270" t="s">
        <v>3944</v>
      </c>
      <c r="Q7745" s="270" t="s">
        <v>3944</v>
      </c>
      <c r="R7745" s="270">
        <v>887.25</v>
      </c>
      <c r="S7745" s="270">
        <v>12394.02</v>
      </c>
      <c r="T7745" s="270">
        <v>13281.27</v>
      </c>
      <c r="U7745" s="271" t="s">
        <v>3945</v>
      </c>
      <c r="V7745" s="267" t="s">
        <v>944</v>
      </c>
    </row>
    <row r="7746" spans="1:22" hidden="1" x14ac:dyDescent="0.25">
      <c r="A7746" s="266">
        <v>43816</v>
      </c>
      <c r="B7746" s="267">
        <v>2019</v>
      </c>
      <c r="C7746" s="267">
        <v>2020</v>
      </c>
      <c r="D7746" s="267">
        <v>1</v>
      </c>
      <c r="E7746" s="267">
        <v>1</v>
      </c>
      <c r="F7746" s="267" t="s">
        <v>944</v>
      </c>
      <c r="G7746" s="267" t="s">
        <v>3926</v>
      </c>
      <c r="H7746" s="267" t="s">
        <v>12617</v>
      </c>
      <c r="I7746" s="267" t="s">
        <v>4108</v>
      </c>
      <c r="J7746" s="267" t="s">
        <v>3928</v>
      </c>
      <c r="K7746" s="267">
        <v>6082</v>
      </c>
      <c r="L7746" s="267">
        <v>481300</v>
      </c>
      <c r="M7746" s="267" t="s">
        <v>3960</v>
      </c>
      <c r="N7746" s="267" t="s">
        <v>3944</v>
      </c>
      <c r="O7746" s="267">
        <v>1439.94</v>
      </c>
      <c r="P7746" s="267" t="s">
        <v>3944</v>
      </c>
      <c r="Q7746" s="267" t="s">
        <v>3944</v>
      </c>
      <c r="R7746" s="267">
        <v>1439.94</v>
      </c>
      <c r="S7746" s="267">
        <v>20106.060000000001</v>
      </c>
      <c r="T7746" s="267">
        <v>21546</v>
      </c>
      <c r="U7746" s="268" t="s">
        <v>3945</v>
      </c>
      <c r="V7746" s="267" t="s">
        <v>944</v>
      </c>
    </row>
    <row r="7747" spans="1:22" hidden="1" x14ac:dyDescent="0.25">
      <c r="A7747" s="269">
        <v>43816</v>
      </c>
      <c r="B7747" s="270">
        <v>2019</v>
      </c>
      <c r="C7747" s="270">
        <v>2020</v>
      </c>
      <c r="D7747" s="270">
        <v>1</v>
      </c>
      <c r="E7747" s="270">
        <v>1</v>
      </c>
      <c r="F7747" s="270" t="s">
        <v>944</v>
      </c>
      <c r="G7747" s="270" t="s">
        <v>3926</v>
      </c>
      <c r="H7747" s="270" t="s">
        <v>12618</v>
      </c>
      <c r="I7747" s="270" t="s">
        <v>4200</v>
      </c>
      <c r="J7747" s="270" t="s">
        <v>3928</v>
      </c>
      <c r="K7747" s="270">
        <v>6795</v>
      </c>
      <c r="L7747" s="270">
        <v>360200</v>
      </c>
      <c r="M7747" s="270" t="s">
        <v>3943</v>
      </c>
      <c r="N7747" s="270" t="s">
        <v>3944</v>
      </c>
      <c r="O7747" s="270">
        <v>1662.5</v>
      </c>
      <c r="P7747" s="270" t="s">
        <v>3944</v>
      </c>
      <c r="Q7747" s="270" t="s">
        <v>3944</v>
      </c>
      <c r="R7747" s="270">
        <v>1662.5</v>
      </c>
      <c r="S7747" s="270">
        <v>23365.58</v>
      </c>
      <c r="T7747" s="270">
        <v>25028.080000000002</v>
      </c>
      <c r="U7747" s="271" t="s">
        <v>3945</v>
      </c>
      <c r="V7747" s="267" t="s">
        <v>944</v>
      </c>
    </row>
    <row r="7748" spans="1:22" hidden="1" x14ac:dyDescent="0.25">
      <c r="A7748" s="266">
        <v>43816</v>
      </c>
      <c r="B7748" s="267">
        <v>2019</v>
      </c>
      <c r="C7748" s="267">
        <v>2020</v>
      </c>
      <c r="D7748" s="267">
        <v>1</v>
      </c>
      <c r="E7748" s="267">
        <v>1</v>
      </c>
      <c r="F7748" s="267" t="s">
        <v>944</v>
      </c>
      <c r="G7748" s="267" t="s">
        <v>3926</v>
      </c>
      <c r="H7748" s="267" t="s">
        <v>12619</v>
      </c>
      <c r="I7748" s="267" t="s">
        <v>4213</v>
      </c>
      <c r="J7748" s="267" t="s">
        <v>3928</v>
      </c>
      <c r="K7748" s="267">
        <v>6052</v>
      </c>
      <c r="L7748" s="267">
        <v>416400</v>
      </c>
      <c r="M7748" s="267" t="s">
        <v>3960</v>
      </c>
      <c r="N7748" s="267" t="s">
        <v>3944</v>
      </c>
      <c r="O7748" s="267">
        <v>2066.5100000000002</v>
      </c>
      <c r="P7748" s="267" t="s">
        <v>3944</v>
      </c>
      <c r="Q7748" s="267" t="s">
        <v>3944</v>
      </c>
      <c r="R7748" s="267">
        <v>2066.5100000000002</v>
      </c>
      <c r="S7748" s="267">
        <v>28940.75</v>
      </c>
      <c r="T7748" s="267">
        <v>31007.26</v>
      </c>
      <c r="U7748" s="268" t="s">
        <v>3945</v>
      </c>
      <c r="V7748" s="267" t="s">
        <v>944</v>
      </c>
    </row>
    <row r="7749" spans="1:22" hidden="1" x14ac:dyDescent="0.25">
      <c r="A7749" s="269">
        <v>43816</v>
      </c>
      <c r="B7749" s="270">
        <v>2019</v>
      </c>
      <c r="C7749" s="270">
        <v>2020</v>
      </c>
      <c r="D7749" s="270">
        <v>1</v>
      </c>
      <c r="E7749" s="270">
        <v>1</v>
      </c>
      <c r="F7749" s="270" t="s">
        <v>944</v>
      </c>
      <c r="G7749" s="270" t="s">
        <v>3926</v>
      </c>
      <c r="H7749" s="270" t="s">
        <v>12620</v>
      </c>
      <c r="I7749" s="270" t="s">
        <v>950</v>
      </c>
      <c r="J7749" s="270" t="s">
        <v>3928</v>
      </c>
      <c r="K7749" s="270">
        <v>6516</v>
      </c>
      <c r="L7749" s="270">
        <v>154700</v>
      </c>
      <c r="M7749" s="270" t="s">
        <v>3960</v>
      </c>
      <c r="N7749" s="270" t="s">
        <v>3944</v>
      </c>
      <c r="O7749" s="270">
        <v>1526.84</v>
      </c>
      <c r="P7749" s="270" t="s">
        <v>3944</v>
      </c>
      <c r="Q7749" s="270" t="s">
        <v>3944</v>
      </c>
      <c r="R7749" s="270">
        <v>1526.84</v>
      </c>
      <c r="S7749" s="270">
        <v>27053.86</v>
      </c>
      <c r="T7749" s="270">
        <v>28580.7</v>
      </c>
      <c r="U7749" s="271" t="s">
        <v>3945</v>
      </c>
      <c r="V7749" s="267" t="s">
        <v>944</v>
      </c>
    </row>
    <row r="7750" spans="1:22" hidden="1" x14ac:dyDescent="0.25">
      <c r="A7750" s="266">
        <v>43816</v>
      </c>
      <c r="B7750" s="267">
        <v>2019</v>
      </c>
      <c r="C7750" s="267">
        <v>2020</v>
      </c>
      <c r="D7750" s="267">
        <v>1</v>
      </c>
      <c r="E7750" s="267">
        <v>1</v>
      </c>
      <c r="F7750" s="267" t="s">
        <v>944</v>
      </c>
      <c r="G7750" s="267" t="s">
        <v>3926</v>
      </c>
      <c r="H7750" s="267" t="s">
        <v>12621</v>
      </c>
      <c r="I7750" s="267" t="s">
        <v>3990</v>
      </c>
      <c r="J7750" s="267" t="s">
        <v>3928</v>
      </c>
      <c r="K7750" s="267">
        <v>6804</v>
      </c>
      <c r="L7750" s="267">
        <v>205200</v>
      </c>
      <c r="M7750" s="267" t="s">
        <v>3943</v>
      </c>
      <c r="N7750" s="267" t="s">
        <v>3944</v>
      </c>
      <c r="O7750" s="267">
        <v>2927.4</v>
      </c>
      <c r="P7750" s="267" t="s">
        <v>3944</v>
      </c>
      <c r="Q7750" s="267" t="s">
        <v>3944</v>
      </c>
      <c r="R7750" s="267">
        <v>2927.4</v>
      </c>
      <c r="S7750" s="267">
        <v>42368.639999999999</v>
      </c>
      <c r="T7750" s="267">
        <v>45296.04</v>
      </c>
      <c r="U7750" s="268" t="s">
        <v>3945</v>
      </c>
      <c r="V7750" s="267" t="s">
        <v>944</v>
      </c>
    </row>
    <row r="7751" spans="1:22" hidden="1" x14ac:dyDescent="0.25">
      <c r="A7751" s="269">
        <v>43816</v>
      </c>
      <c r="B7751" s="270">
        <v>2019</v>
      </c>
      <c r="C7751" s="270">
        <v>2020</v>
      </c>
      <c r="D7751" s="270">
        <v>1</v>
      </c>
      <c r="E7751" s="270">
        <v>1</v>
      </c>
      <c r="F7751" s="270" t="s">
        <v>944</v>
      </c>
      <c r="G7751" s="270" t="s">
        <v>3926</v>
      </c>
      <c r="H7751" s="270" t="s">
        <v>12622</v>
      </c>
      <c r="I7751" s="270" t="s">
        <v>4016</v>
      </c>
      <c r="J7751" s="270" t="s">
        <v>3928</v>
      </c>
      <c r="K7751" s="270">
        <v>6770</v>
      </c>
      <c r="L7751" s="270">
        <v>347200</v>
      </c>
      <c r="M7751" s="270" t="s">
        <v>3960</v>
      </c>
      <c r="N7751" s="270" t="s">
        <v>3944</v>
      </c>
      <c r="O7751" s="270">
        <v>1486.21</v>
      </c>
      <c r="P7751" s="270" t="s">
        <v>3944</v>
      </c>
      <c r="Q7751" s="270" t="s">
        <v>3944</v>
      </c>
      <c r="R7751" s="270">
        <v>1486.21</v>
      </c>
      <c r="S7751" s="270">
        <v>21086.45</v>
      </c>
      <c r="T7751" s="270">
        <v>22572.66</v>
      </c>
      <c r="U7751" s="271" t="s">
        <v>3945</v>
      </c>
      <c r="V7751" s="267" t="s">
        <v>944</v>
      </c>
    </row>
    <row r="7752" spans="1:22" hidden="1" x14ac:dyDescent="0.25">
      <c r="A7752" s="266">
        <v>43816</v>
      </c>
      <c r="B7752" s="267">
        <v>2019</v>
      </c>
      <c r="C7752" s="267">
        <v>2020</v>
      </c>
      <c r="D7752" s="267">
        <v>1</v>
      </c>
      <c r="E7752" s="267">
        <v>1</v>
      </c>
      <c r="F7752" s="267" t="s">
        <v>944</v>
      </c>
      <c r="G7752" s="267" t="s">
        <v>3926</v>
      </c>
      <c r="H7752" s="267" t="s">
        <v>12623</v>
      </c>
      <c r="I7752" s="267" t="s">
        <v>4111</v>
      </c>
      <c r="J7752" s="267" t="s">
        <v>3928</v>
      </c>
      <c r="K7752" s="267">
        <v>6095</v>
      </c>
      <c r="L7752" s="267">
        <v>473100</v>
      </c>
      <c r="M7752" s="267" t="s">
        <v>3960</v>
      </c>
      <c r="N7752" s="267" t="s">
        <v>3944</v>
      </c>
      <c r="O7752" s="267">
        <v>1429.16</v>
      </c>
      <c r="P7752" s="267" t="s">
        <v>3944</v>
      </c>
      <c r="Q7752" s="267" t="s">
        <v>3944</v>
      </c>
      <c r="R7752" s="267">
        <v>1429.16</v>
      </c>
      <c r="S7752" s="267">
        <v>18678.84</v>
      </c>
      <c r="T7752" s="267">
        <v>20108</v>
      </c>
      <c r="U7752" s="268" t="s">
        <v>3945</v>
      </c>
      <c r="V7752" s="267" t="s">
        <v>944</v>
      </c>
    </row>
    <row r="7753" spans="1:22" hidden="1" x14ac:dyDescent="0.25">
      <c r="A7753" s="269">
        <v>43816</v>
      </c>
      <c r="B7753" s="270">
        <v>2019</v>
      </c>
      <c r="C7753" s="270">
        <v>2020</v>
      </c>
      <c r="D7753" s="270">
        <v>1</v>
      </c>
      <c r="E7753" s="270">
        <v>1</v>
      </c>
      <c r="F7753" s="270" t="s">
        <v>944</v>
      </c>
      <c r="G7753" s="270" t="s">
        <v>3926</v>
      </c>
      <c r="H7753" s="270" t="s">
        <v>12624</v>
      </c>
      <c r="I7753" s="270" t="s">
        <v>3954</v>
      </c>
      <c r="J7753" s="270" t="s">
        <v>3928</v>
      </c>
      <c r="K7753" s="270">
        <v>6357</v>
      </c>
      <c r="L7753" s="270">
        <v>870704</v>
      </c>
      <c r="M7753" s="270" t="s">
        <v>3935</v>
      </c>
      <c r="N7753" s="270" t="s">
        <v>3944</v>
      </c>
      <c r="O7753" s="270">
        <v>1139.01</v>
      </c>
      <c r="P7753" s="270" t="s">
        <v>3944</v>
      </c>
      <c r="Q7753" s="270" t="s">
        <v>3944</v>
      </c>
      <c r="R7753" s="270">
        <v>1139.01</v>
      </c>
      <c r="S7753" s="270">
        <v>18117.02</v>
      </c>
      <c r="T7753" s="270">
        <v>19256.03</v>
      </c>
      <c r="U7753" s="271" t="s">
        <v>3945</v>
      </c>
      <c r="V7753" s="267" t="s">
        <v>944</v>
      </c>
    </row>
    <row r="7754" spans="1:22" hidden="1" x14ac:dyDescent="0.25">
      <c r="A7754" s="266">
        <v>43816</v>
      </c>
      <c r="B7754" s="267">
        <v>2019</v>
      </c>
      <c r="C7754" s="267">
        <v>2020</v>
      </c>
      <c r="D7754" s="267">
        <v>1</v>
      </c>
      <c r="E7754" s="267">
        <v>1</v>
      </c>
      <c r="F7754" s="267" t="s">
        <v>944</v>
      </c>
      <c r="G7754" s="267" t="s">
        <v>3926</v>
      </c>
      <c r="H7754" s="267" t="s">
        <v>12625</v>
      </c>
      <c r="I7754" s="267" t="s">
        <v>950</v>
      </c>
      <c r="J7754" s="267" t="s">
        <v>3928</v>
      </c>
      <c r="K7754" s="267">
        <v>6516</v>
      </c>
      <c r="L7754" s="267">
        <v>154900</v>
      </c>
      <c r="M7754" s="267" t="s">
        <v>3935</v>
      </c>
      <c r="N7754" s="267" t="s">
        <v>3944</v>
      </c>
      <c r="O7754" s="267">
        <v>751.38</v>
      </c>
      <c r="P7754" s="267" t="s">
        <v>3944</v>
      </c>
      <c r="Q7754" s="267" t="s">
        <v>3944</v>
      </c>
      <c r="R7754" s="267">
        <v>751.38</v>
      </c>
      <c r="S7754" s="267">
        <v>11836.02</v>
      </c>
      <c r="T7754" s="267">
        <v>12587.4</v>
      </c>
      <c r="U7754" s="268" t="s">
        <v>3945</v>
      </c>
      <c r="V7754" s="267" t="s">
        <v>944</v>
      </c>
    </row>
    <row r="7755" spans="1:22" hidden="1" x14ac:dyDescent="0.25">
      <c r="A7755" s="269">
        <v>43816</v>
      </c>
      <c r="B7755" s="270">
        <v>2019</v>
      </c>
      <c r="C7755" s="270">
        <v>2020</v>
      </c>
      <c r="D7755" s="270">
        <v>1</v>
      </c>
      <c r="E7755" s="270">
        <v>1</v>
      </c>
      <c r="F7755" s="270" t="s">
        <v>944</v>
      </c>
      <c r="G7755" s="270" t="s">
        <v>3926</v>
      </c>
      <c r="H7755" s="270" t="s">
        <v>12626</v>
      </c>
      <c r="I7755" s="270" t="s">
        <v>3025</v>
      </c>
      <c r="J7755" s="270" t="s">
        <v>3928</v>
      </c>
      <c r="K7755" s="270">
        <v>6473</v>
      </c>
      <c r="L7755" s="270">
        <v>167300</v>
      </c>
      <c r="M7755" s="270" t="s">
        <v>3943</v>
      </c>
      <c r="N7755" s="270" t="s">
        <v>3944</v>
      </c>
      <c r="O7755" s="270">
        <v>2670.22</v>
      </c>
      <c r="P7755" s="270" t="s">
        <v>3944</v>
      </c>
      <c r="Q7755" s="270" t="s">
        <v>3944</v>
      </c>
      <c r="R7755" s="270">
        <v>2670.22</v>
      </c>
      <c r="S7755" s="270">
        <v>45230.49</v>
      </c>
      <c r="T7755" s="270">
        <v>47900.71</v>
      </c>
      <c r="U7755" s="271" t="s">
        <v>3945</v>
      </c>
      <c r="V7755" s="267" t="s">
        <v>944</v>
      </c>
    </row>
    <row r="7756" spans="1:22" hidden="1" x14ac:dyDescent="0.25">
      <c r="A7756" s="266">
        <v>43816</v>
      </c>
      <c r="B7756" s="267">
        <v>2019</v>
      </c>
      <c r="C7756" s="267">
        <v>2020</v>
      </c>
      <c r="D7756" s="267">
        <v>1</v>
      </c>
      <c r="E7756" s="267">
        <v>1</v>
      </c>
      <c r="F7756" s="267" t="s">
        <v>944</v>
      </c>
      <c r="G7756" s="267" t="s">
        <v>3926</v>
      </c>
      <c r="H7756" s="267" t="s">
        <v>12627</v>
      </c>
      <c r="I7756" s="267" t="s">
        <v>4200</v>
      </c>
      <c r="J7756" s="267" t="s">
        <v>3928</v>
      </c>
      <c r="K7756" s="267">
        <v>6779</v>
      </c>
      <c r="L7756" s="267">
        <v>360300</v>
      </c>
      <c r="M7756" s="267" t="s">
        <v>3935</v>
      </c>
      <c r="N7756" s="267" t="s">
        <v>3944</v>
      </c>
      <c r="O7756" s="267">
        <v>3417.47</v>
      </c>
      <c r="P7756" s="267" t="s">
        <v>3944</v>
      </c>
      <c r="Q7756" s="267" t="s">
        <v>3944</v>
      </c>
      <c r="R7756" s="267">
        <v>3417.47</v>
      </c>
      <c r="S7756" s="267">
        <v>49107.89</v>
      </c>
      <c r="T7756" s="267">
        <v>52525.36</v>
      </c>
      <c r="U7756" s="268" t="s">
        <v>3945</v>
      </c>
      <c r="V7756" s="267" t="s">
        <v>944</v>
      </c>
    </row>
    <row r="7757" spans="1:22" hidden="1" x14ac:dyDescent="0.25">
      <c r="A7757" s="269">
        <v>43817</v>
      </c>
      <c r="B7757" s="270">
        <v>2019</v>
      </c>
      <c r="C7757" s="270">
        <v>2020</v>
      </c>
      <c r="D7757" s="270">
        <v>1</v>
      </c>
      <c r="E7757" s="270">
        <v>1</v>
      </c>
      <c r="F7757" s="270" t="s">
        <v>944</v>
      </c>
      <c r="G7757" s="270" t="s">
        <v>3926</v>
      </c>
      <c r="H7757" s="270" t="s">
        <v>12628</v>
      </c>
      <c r="I7757" s="270" t="s">
        <v>4269</v>
      </c>
      <c r="J7757" s="270" t="s">
        <v>3928</v>
      </c>
      <c r="K7757" s="270">
        <v>6117</v>
      </c>
      <c r="L7757" s="270">
        <v>497300</v>
      </c>
      <c r="M7757" s="270" t="s">
        <v>3943</v>
      </c>
      <c r="N7757" s="270" t="s">
        <v>12629</v>
      </c>
      <c r="O7757" s="270">
        <v>0</v>
      </c>
      <c r="P7757" s="270" t="s">
        <v>3930</v>
      </c>
      <c r="Q7757" s="270" t="s">
        <v>3930</v>
      </c>
      <c r="R7757" s="270">
        <v>0</v>
      </c>
      <c r="S7757" s="270">
        <v>4446.67</v>
      </c>
      <c r="T7757" s="270">
        <v>4446.67</v>
      </c>
      <c r="U7757" s="271" t="s">
        <v>3937</v>
      </c>
      <c r="V7757" s="267" t="s">
        <v>944</v>
      </c>
    </row>
    <row r="7758" spans="1:22" hidden="1" x14ac:dyDescent="0.25">
      <c r="A7758" s="266">
        <v>43817</v>
      </c>
      <c r="B7758" s="267">
        <v>2019</v>
      </c>
      <c r="C7758" s="267">
        <v>2020</v>
      </c>
      <c r="D7758" s="267">
        <v>1</v>
      </c>
      <c r="E7758" s="267">
        <v>1</v>
      </c>
      <c r="F7758" s="267" t="s">
        <v>944</v>
      </c>
      <c r="G7758" s="267" t="s">
        <v>3926</v>
      </c>
      <c r="H7758" s="267" t="s">
        <v>12630</v>
      </c>
      <c r="I7758" s="267" t="s">
        <v>3996</v>
      </c>
      <c r="J7758" s="267" t="s">
        <v>3928</v>
      </c>
      <c r="K7758" s="267">
        <v>6790</v>
      </c>
      <c r="L7758" s="267">
        <v>310601</v>
      </c>
      <c r="M7758" s="267" t="s">
        <v>3960</v>
      </c>
      <c r="N7758" s="267" t="s">
        <v>12631</v>
      </c>
      <c r="O7758" s="267">
        <v>0</v>
      </c>
      <c r="P7758" s="267" t="s">
        <v>3930</v>
      </c>
      <c r="Q7758" s="267" t="s">
        <v>3930</v>
      </c>
      <c r="R7758" s="267">
        <v>0</v>
      </c>
      <c r="S7758" s="267">
        <v>12756.68</v>
      </c>
      <c r="T7758" s="267">
        <v>12756.68</v>
      </c>
      <c r="U7758" s="268" t="s">
        <v>3937</v>
      </c>
      <c r="V7758" s="267" t="s">
        <v>944</v>
      </c>
    </row>
    <row r="7759" spans="1:22" x14ac:dyDescent="0.25">
      <c r="A7759" s="269">
        <v>43817</v>
      </c>
      <c r="B7759" s="270">
        <v>2019</v>
      </c>
      <c r="C7759" s="270">
        <v>2020</v>
      </c>
      <c r="D7759" s="270">
        <v>1</v>
      </c>
      <c r="E7759" s="270">
        <v>1</v>
      </c>
      <c r="F7759" s="270" t="s">
        <v>944</v>
      </c>
      <c r="G7759" s="270" t="s">
        <v>3926</v>
      </c>
      <c r="H7759" s="270" t="s">
        <v>12632</v>
      </c>
      <c r="I7759" s="270" t="s">
        <v>4029</v>
      </c>
      <c r="J7759" s="270" t="s">
        <v>3928</v>
      </c>
      <c r="K7759" s="270">
        <v>6610</v>
      </c>
      <c r="L7759" s="270">
        <v>73100</v>
      </c>
      <c r="M7759" s="270">
        <v>-60</v>
      </c>
      <c r="N7759" s="270" t="s">
        <v>12633</v>
      </c>
      <c r="O7759" s="270">
        <v>0</v>
      </c>
      <c r="P7759" s="270" t="s">
        <v>3930</v>
      </c>
      <c r="Q7759" s="270" t="s">
        <v>3930</v>
      </c>
      <c r="R7759" s="270">
        <v>0</v>
      </c>
      <c r="S7759" s="270">
        <v>10450</v>
      </c>
      <c r="T7759" s="270">
        <v>10450</v>
      </c>
      <c r="U7759" s="271" t="s">
        <v>3937</v>
      </c>
      <c r="V7759" s="276" t="s">
        <v>936</v>
      </c>
    </row>
    <row r="7760" spans="1:22" hidden="1" x14ac:dyDescent="0.25">
      <c r="A7760" s="266">
        <v>43817</v>
      </c>
      <c r="B7760" s="267">
        <v>2019</v>
      </c>
      <c r="C7760" s="267">
        <v>2020</v>
      </c>
      <c r="D7760" s="267">
        <v>1</v>
      </c>
      <c r="E7760" s="267">
        <v>1</v>
      </c>
      <c r="F7760" s="267" t="s">
        <v>944</v>
      </c>
      <c r="G7760" s="267" t="s">
        <v>3926</v>
      </c>
      <c r="H7760" s="267" t="s">
        <v>12634</v>
      </c>
      <c r="I7760" s="267" t="s">
        <v>3008</v>
      </c>
      <c r="J7760" s="267" t="s">
        <v>3928</v>
      </c>
      <c r="K7760" s="267">
        <v>6460</v>
      </c>
      <c r="L7760" s="267">
        <v>150900</v>
      </c>
      <c r="M7760" s="267" t="s">
        <v>3943</v>
      </c>
      <c r="N7760" s="267" t="s">
        <v>12635</v>
      </c>
      <c r="O7760" s="267">
        <v>0</v>
      </c>
      <c r="P7760" s="267" t="s">
        <v>3930</v>
      </c>
      <c r="Q7760" s="267" t="s">
        <v>3930</v>
      </c>
      <c r="R7760" s="267">
        <v>0</v>
      </c>
      <c r="S7760" s="267">
        <v>5473</v>
      </c>
      <c r="T7760" s="267">
        <v>5473</v>
      </c>
      <c r="U7760" s="268" t="s">
        <v>3937</v>
      </c>
      <c r="V7760" s="267" t="s">
        <v>944</v>
      </c>
    </row>
    <row r="7761" spans="1:22" hidden="1" x14ac:dyDescent="0.25">
      <c r="A7761" s="269">
        <v>43817</v>
      </c>
      <c r="B7761" s="270">
        <v>2019</v>
      </c>
      <c r="C7761" s="270">
        <v>2020</v>
      </c>
      <c r="D7761" s="270">
        <v>1</v>
      </c>
      <c r="E7761" s="270">
        <v>1</v>
      </c>
      <c r="F7761" s="270" t="s">
        <v>944</v>
      </c>
      <c r="G7761" s="270" t="s">
        <v>3926</v>
      </c>
      <c r="H7761" s="270" t="s">
        <v>12636</v>
      </c>
      <c r="I7761" s="270" t="s">
        <v>4119</v>
      </c>
      <c r="J7761" s="270" t="s">
        <v>3928</v>
      </c>
      <c r="K7761" s="270">
        <v>6093</v>
      </c>
      <c r="L7761" s="270">
        <v>477200</v>
      </c>
      <c r="M7761" s="270" t="s">
        <v>3943</v>
      </c>
      <c r="N7761" s="270" t="s">
        <v>4701</v>
      </c>
      <c r="O7761" s="270">
        <v>1705.86</v>
      </c>
      <c r="P7761" s="270" t="s">
        <v>3930</v>
      </c>
      <c r="Q7761" s="270" t="s">
        <v>3931</v>
      </c>
      <c r="R7761" s="270">
        <v>6705.86</v>
      </c>
      <c r="S7761" s="270">
        <v>34648</v>
      </c>
      <c r="T7761" s="270">
        <v>41353.86</v>
      </c>
      <c r="U7761" s="271" t="s">
        <v>3932</v>
      </c>
      <c r="V7761" s="267" t="s">
        <v>944</v>
      </c>
    </row>
    <row r="7762" spans="1:22" hidden="1" x14ac:dyDescent="0.25">
      <c r="A7762" s="266">
        <v>43817</v>
      </c>
      <c r="B7762" s="267">
        <v>2019</v>
      </c>
      <c r="C7762" s="267">
        <v>2020</v>
      </c>
      <c r="D7762" s="267">
        <v>1</v>
      </c>
      <c r="E7762" s="267">
        <v>1</v>
      </c>
      <c r="F7762" s="267" t="s">
        <v>944</v>
      </c>
      <c r="G7762" s="267" t="s">
        <v>3926</v>
      </c>
      <c r="H7762" s="267" t="s">
        <v>12637</v>
      </c>
      <c r="I7762" s="267" t="s">
        <v>2987</v>
      </c>
      <c r="J7762" s="267" t="s">
        <v>3928</v>
      </c>
      <c r="K7762" s="267">
        <v>6611</v>
      </c>
      <c r="L7762" s="267">
        <v>90700</v>
      </c>
      <c r="M7762" s="267" t="s">
        <v>3943</v>
      </c>
      <c r="N7762" s="267" t="s">
        <v>3944</v>
      </c>
      <c r="O7762" s="267">
        <v>4623</v>
      </c>
      <c r="P7762" s="267" t="s">
        <v>3944</v>
      </c>
      <c r="Q7762" s="267" t="s">
        <v>3944</v>
      </c>
      <c r="R7762" s="267">
        <v>4623</v>
      </c>
      <c r="S7762" s="267">
        <v>44377</v>
      </c>
      <c r="T7762" s="267">
        <v>49000</v>
      </c>
      <c r="U7762" s="268" t="s">
        <v>3945</v>
      </c>
      <c r="V7762" s="267" t="s">
        <v>944</v>
      </c>
    </row>
    <row r="7763" spans="1:22" hidden="1" x14ac:dyDescent="0.25">
      <c r="A7763" s="269">
        <v>43817</v>
      </c>
      <c r="B7763" s="270">
        <v>2019</v>
      </c>
      <c r="C7763" s="270">
        <v>2020</v>
      </c>
      <c r="D7763" s="270">
        <v>1</v>
      </c>
      <c r="E7763" s="270">
        <v>1</v>
      </c>
      <c r="F7763" s="270" t="s">
        <v>944</v>
      </c>
      <c r="G7763" s="270" t="s">
        <v>3926</v>
      </c>
      <c r="H7763" s="270" t="s">
        <v>12638</v>
      </c>
      <c r="I7763" s="270" t="s">
        <v>4519</v>
      </c>
      <c r="J7763" s="270" t="s">
        <v>3928</v>
      </c>
      <c r="K7763" s="270">
        <v>6840</v>
      </c>
      <c r="L7763" s="270">
        <v>35100</v>
      </c>
      <c r="M7763" s="270" t="s">
        <v>3943</v>
      </c>
      <c r="N7763" s="270" t="s">
        <v>3944</v>
      </c>
      <c r="O7763" s="270">
        <v>3276</v>
      </c>
      <c r="P7763" s="270" t="s">
        <v>3944</v>
      </c>
      <c r="Q7763" s="270" t="s">
        <v>3944</v>
      </c>
      <c r="R7763" s="270">
        <v>3276</v>
      </c>
      <c r="S7763" s="270">
        <v>26083.5</v>
      </c>
      <c r="T7763" s="270">
        <v>29359.5</v>
      </c>
      <c r="U7763" s="271" t="s">
        <v>3945</v>
      </c>
      <c r="V7763" s="267" t="s">
        <v>944</v>
      </c>
    </row>
    <row r="7764" spans="1:22" hidden="1" x14ac:dyDescent="0.25">
      <c r="A7764" s="266">
        <v>43817</v>
      </c>
      <c r="B7764" s="267">
        <v>2019</v>
      </c>
      <c r="C7764" s="267">
        <v>2020</v>
      </c>
      <c r="D7764" s="267">
        <v>1</v>
      </c>
      <c r="E7764" s="267">
        <v>1</v>
      </c>
      <c r="F7764" s="267" t="s">
        <v>944</v>
      </c>
      <c r="G7764" s="267" t="s">
        <v>3926</v>
      </c>
      <c r="H7764" s="267" t="s">
        <v>12639</v>
      </c>
      <c r="I7764" s="267" t="s">
        <v>6426</v>
      </c>
      <c r="J7764" s="267" t="s">
        <v>3928</v>
      </c>
      <c r="K7764" s="267">
        <v>6422</v>
      </c>
      <c r="L7764" s="267">
        <v>585100</v>
      </c>
      <c r="M7764" s="267" t="s">
        <v>3943</v>
      </c>
      <c r="N7764" s="267" t="s">
        <v>3944</v>
      </c>
      <c r="O7764" s="267">
        <v>1684.06</v>
      </c>
      <c r="P7764" s="267" t="s">
        <v>3944</v>
      </c>
      <c r="Q7764" s="267" t="s">
        <v>3944</v>
      </c>
      <c r="R7764" s="267">
        <v>1684.06</v>
      </c>
      <c r="S7764" s="267">
        <v>19906.04</v>
      </c>
      <c r="T7764" s="267">
        <v>21590.1</v>
      </c>
      <c r="U7764" s="268" t="s">
        <v>3945</v>
      </c>
      <c r="V7764" s="267" t="s">
        <v>944</v>
      </c>
    </row>
    <row r="7765" spans="1:22" hidden="1" x14ac:dyDescent="0.25">
      <c r="A7765" s="269">
        <v>43817</v>
      </c>
      <c r="B7765" s="270">
        <v>2019</v>
      </c>
      <c r="C7765" s="270">
        <v>2020</v>
      </c>
      <c r="D7765" s="270">
        <v>1</v>
      </c>
      <c r="E7765" s="270">
        <v>1</v>
      </c>
      <c r="F7765" s="270" t="s">
        <v>944</v>
      </c>
      <c r="G7765" s="270" t="s">
        <v>3926</v>
      </c>
      <c r="H7765" s="270" t="s">
        <v>12640</v>
      </c>
      <c r="I7765" s="270" t="s">
        <v>4556</v>
      </c>
      <c r="J7765" s="270" t="s">
        <v>3928</v>
      </c>
      <c r="K7765" s="270">
        <v>6029</v>
      </c>
      <c r="L7765" s="270">
        <v>535100</v>
      </c>
      <c r="M7765" s="270" t="s">
        <v>3935</v>
      </c>
      <c r="N7765" s="270" t="s">
        <v>3944</v>
      </c>
      <c r="O7765" s="270">
        <v>3706.57</v>
      </c>
      <c r="P7765" s="270" t="s">
        <v>3944</v>
      </c>
      <c r="Q7765" s="270" t="s">
        <v>3944</v>
      </c>
      <c r="R7765" s="270">
        <v>3706.57</v>
      </c>
      <c r="S7765" s="270">
        <v>53922.93</v>
      </c>
      <c r="T7765" s="270">
        <v>57629.5</v>
      </c>
      <c r="U7765" s="271" t="s">
        <v>3945</v>
      </c>
      <c r="V7765" s="267" t="s">
        <v>944</v>
      </c>
    </row>
    <row r="7766" spans="1:22" hidden="1" x14ac:dyDescent="0.25">
      <c r="A7766" s="266">
        <v>43817</v>
      </c>
      <c r="B7766" s="267">
        <v>2019</v>
      </c>
      <c r="C7766" s="267">
        <v>2020</v>
      </c>
      <c r="D7766" s="267">
        <v>1</v>
      </c>
      <c r="E7766" s="267">
        <v>1</v>
      </c>
      <c r="F7766" s="267" t="s">
        <v>944</v>
      </c>
      <c r="G7766" s="267" t="s">
        <v>3926</v>
      </c>
      <c r="H7766" s="267" t="s">
        <v>12641</v>
      </c>
      <c r="I7766" s="267" t="s">
        <v>4019</v>
      </c>
      <c r="J7766" s="267" t="s">
        <v>3928</v>
      </c>
      <c r="K7766" s="267">
        <v>6704</v>
      </c>
      <c r="L7766" s="267">
        <v>352400</v>
      </c>
      <c r="M7766" s="267">
        <v>-60</v>
      </c>
      <c r="N7766" s="267" t="s">
        <v>3944</v>
      </c>
      <c r="O7766" s="267">
        <v>3101.39</v>
      </c>
      <c r="P7766" s="267" t="s">
        <v>3944</v>
      </c>
      <c r="Q7766" s="267" t="s">
        <v>3944</v>
      </c>
      <c r="R7766" s="267">
        <v>3101.39</v>
      </c>
      <c r="S7766" s="267">
        <v>37030.870000000003</v>
      </c>
      <c r="T7766" s="267">
        <v>40132.26</v>
      </c>
      <c r="U7766" s="268" t="s">
        <v>3945</v>
      </c>
      <c r="V7766" s="267" t="s">
        <v>944</v>
      </c>
    </row>
    <row r="7767" spans="1:22" hidden="1" x14ac:dyDescent="0.25">
      <c r="A7767" s="269">
        <v>43817</v>
      </c>
      <c r="B7767" s="270">
        <v>2019</v>
      </c>
      <c r="C7767" s="270">
        <v>2020</v>
      </c>
      <c r="D7767" s="270">
        <v>1</v>
      </c>
      <c r="E7767" s="270">
        <v>1</v>
      </c>
      <c r="F7767" s="270" t="s">
        <v>944</v>
      </c>
      <c r="G7767" s="270" t="s">
        <v>3926</v>
      </c>
      <c r="H7767" s="270" t="s">
        <v>12642</v>
      </c>
      <c r="I7767" s="270" t="s">
        <v>4035</v>
      </c>
      <c r="J7767" s="270" t="s">
        <v>3928</v>
      </c>
      <c r="K7767" s="270">
        <v>6074</v>
      </c>
      <c r="L7767" s="270">
        <v>487100</v>
      </c>
      <c r="M7767" s="270" t="s">
        <v>3943</v>
      </c>
      <c r="N7767" s="270" t="s">
        <v>3944</v>
      </c>
      <c r="O7767" s="270">
        <v>3862.15</v>
      </c>
      <c r="P7767" s="270" t="s">
        <v>3944</v>
      </c>
      <c r="Q7767" s="270" t="s">
        <v>3944</v>
      </c>
      <c r="R7767" s="270">
        <v>3862.15</v>
      </c>
      <c r="S7767" s="270">
        <v>57191.43</v>
      </c>
      <c r="T7767" s="270">
        <v>61053.58</v>
      </c>
      <c r="U7767" s="271" t="s">
        <v>3945</v>
      </c>
      <c r="V7767" s="267" t="s">
        <v>944</v>
      </c>
    </row>
    <row r="7768" spans="1:22" hidden="1" x14ac:dyDescent="0.25">
      <c r="A7768" s="266">
        <v>43817</v>
      </c>
      <c r="B7768" s="267">
        <v>2019</v>
      </c>
      <c r="C7768" s="267">
        <v>2020</v>
      </c>
      <c r="D7768" s="267">
        <v>1</v>
      </c>
      <c r="E7768" s="267">
        <v>1</v>
      </c>
      <c r="F7768" s="267" t="s">
        <v>944</v>
      </c>
      <c r="G7768" s="267" t="s">
        <v>3926</v>
      </c>
      <c r="H7768" s="267" t="s">
        <v>12643</v>
      </c>
      <c r="I7768" s="267" t="s">
        <v>6426</v>
      </c>
      <c r="J7768" s="267" t="s">
        <v>3928</v>
      </c>
      <c r="K7768" s="267">
        <v>6422</v>
      </c>
      <c r="L7768" s="267">
        <v>585100</v>
      </c>
      <c r="M7768" s="267" t="s">
        <v>3943</v>
      </c>
      <c r="N7768" s="267" t="s">
        <v>3944</v>
      </c>
      <c r="O7768" s="267">
        <v>2481.29</v>
      </c>
      <c r="P7768" s="267" t="s">
        <v>3944</v>
      </c>
      <c r="Q7768" s="267" t="s">
        <v>3944</v>
      </c>
      <c r="R7768" s="267">
        <v>2481.29</v>
      </c>
      <c r="S7768" s="267">
        <v>30468.97</v>
      </c>
      <c r="T7768" s="267">
        <v>32950.26</v>
      </c>
      <c r="U7768" s="268" t="s">
        <v>3945</v>
      </c>
      <c r="V7768" s="267" t="s">
        <v>944</v>
      </c>
    </row>
    <row r="7769" spans="1:22" hidden="1" x14ac:dyDescent="0.25">
      <c r="A7769" s="269">
        <v>43817</v>
      </c>
      <c r="B7769" s="270">
        <v>2019</v>
      </c>
      <c r="C7769" s="270">
        <v>2020</v>
      </c>
      <c r="D7769" s="270">
        <v>1</v>
      </c>
      <c r="E7769" s="270">
        <v>1</v>
      </c>
      <c r="F7769" s="270" t="s">
        <v>944</v>
      </c>
      <c r="G7769" s="270" t="s">
        <v>3926</v>
      </c>
      <c r="H7769" s="270" t="s">
        <v>12644</v>
      </c>
      <c r="I7769" s="270" t="s">
        <v>3025</v>
      </c>
      <c r="J7769" s="270" t="s">
        <v>3928</v>
      </c>
      <c r="K7769" s="270">
        <v>6473</v>
      </c>
      <c r="L7769" s="270">
        <v>180602</v>
      </c>
      <c r="M7769" s="270" t="s">
        <v>3935</v>
      </c>
      <c r="N7769" s="270" t="s">
        <v>3944</v>
      </c>
      <c r="O7769" s="270">
        <v>3933.69</v>
      </c>
      <c r="P7769" s="270" t="s">
        <v>3944</v>
      </c>
      <c r="Q7769" s="270" t="s">
        <v>3944</v>
      </c>
      <c r="R7769" s="270">
        <v>3933.69</v>
      </c>
      <c r="S7769" s="270">
        <v>51904.56</v>
      </c>
      <c r="T7769" s="270">
        <v>55838.25</v>
      </c>
      <c r="U7769" s="271" t="s">
        <v>3945</v>
      </c>
      <c r="V7769" s="267" t="s">
        <v>944</v>
      </c>
    </row>
    <row r="7770" spans="1:22" hidden="1" x14ac:dyDescent="0.25">
      <c r="A7770" s="266">
        <v>43817</v>
      </c>
      <c r="B7770" s="267">
        <v>2019</v>
      </c>
      <c r="C7770" s="267">
        <v>2020</v>
      </c>
      <c r="D7770" s="267">
        <v>1</v>
      </c>
      <c r="E7770" s="267">
        <v>1</v>
      </c>
      <c r="F7770" s="267" t="s">
        <v>944</v>
      </c>
      <c r="G7770" s="267" t="s">
        <v>3926</v>
      </c>
      <c r="H7770" s="267" t="s">
        <v>12645</v>
      </c>
      <c r="I7770" s="267" t="s">
        <v>4213</v>
      </c>
      <c r="J7770" s="267" t="s">
        <v>3928</v>
      </c>
      <c r="K7770" s="267">
        <v>6051</v>
      </c>
      <c r="L7770" s="267">
        <v>415600</v>
      </c>
      <c r="M7770" s="267">
        <v>-60</v>
      </c>
      <c r="N7770" s="267" t="s">
        <v>3944</v>
      </c>
      <c r="O7770" s="267">
        <v>2106.09</v>
      </c>
      <c r="P7770" s="267" t="s">
        <v>3944</v>
      </c>
      <c r="Q7770" s="267" t="s">
        <v>3944</v>
      </c>
      <c r="R7770" s="267">
        <v>2106.09</v>
      </c>
      <c r="S7770" s="267">
        <v>30391.17</v>
      </c>
      <c r="T7770" s="267">
        <v>32497.26</v>
      </c>
      <c r="U7770" s="268" t="s">
        <v>3945</v>
      </c>
      <c r="V7770" s="267" t="s">
        <v>944</v>
      </c>
    </row>
    <row r="7771" spans="1:22" hidden="1" x14ac:dyDescent="0.25">
      <c r="A7771" s="269">
        <v>43817</v>
      </c>
      <c r="B7771" s="270">
        <v>2019</v>
      </c>
      <c r="C7771" s="270">
        <v>2020</v>
      </c>
      <c r="D7771" s="270">
        <v>1</v>
      </c>
      <c r="E7771" s="270">
        <v>1</v>
      </c>
      <c r="F7771" s="270" t="s">
        <v>944</v>
      </c>
      <c r="G7771" s="270" t="s">
        <v>3926</v>
      </c>
      <c r="H7771" s="270" t="s">
        <v>12646</v>
      </c>
      <c r="I7771" s="270" t="s">
        <v>950</v>
      </c>
      <c r="J7771" s="270" t="s">
        <v>3928</v>
      </c>
      <c r="K7771" s="270">
        <v>6516</v>
      </c>
      <c r="L7771" s="270">
        <v>154800</v>
      </c>
      <c r="M7771" s="270" t="s">
        <v>3960</v>
      </c>
      <c r="N7771" s="270" t="s">
        <v>3944</v>
      </c>
      <c r="O7771" s="270">
        <v>1425.24</v>
      </c>
      <c r="P7771" s="270" t="s">
        <v>3944</v>
      </c>
      <c r="Q7771" s="270" t="s">
        <v>3944</v>
      </c>
      <c r="R7771" s="270">
        <v>1425.24</v>
      </c>
      <c r="S7771" s="270">
        <v>20356.669999999998</v>
      </c>
      <c r="T7771" s="270">
        <v>21781.91</v>
      </c>
      <c r="U7771" s="271" t="s">
        <v>3945</v>
      </c>
      <c r="V7771" s="267" t="s">
        <v>944</v>
      </c>
    </row>
    <row r="7772" spans="1:22" hidden="1" x14ac:dyDescent="0.25">
      <c r="A7772" s="266">
        <v>43817</v>
      </c>
      <c r="B7772" s="267">
        <v>2019</v>
      </c>
      <c r="C7772" s="267">
        <v>2020</v>
      </c>
      <c r="D7772" s="267">
        <v>1</v>
      </c>
      <c r="E7772" s="267">
        <v>1</v>
      </c>
      <c r="F7772" s="267" t="s">
        <v>944</v>
      </c>
      <c r="G7772" s="267" t="s">
        <v>3926</v>
      </c>
      <c r="H7772" s="267" t="s">
        <v>12647</v>
      </c>
      <c r="I7772" s="267" t="s">
        <v>4213</v>
      </c>
      <c r="J7772" s="267" t="s">
        <v>3928</v>
      </c>
      <c r="K7772" s="267">
        <v>6051</v>
      </c>
      <c r="L7772" s="267">
        <v>415300</v>
      </c>
      <c r="M7772" s="267">
        <v>-60</v>
      </c>
      <c r="N7772" s="267" t="s">
        <v>3944</v>
      </c>
      <c r="O7772" s="267">
        <v>1794.17</v>
      </c>
      <c r="P7772" s="267" t="s">
        <v>3944</v>
      </c>
      <c r="Q7772" s="267" t="s">
        <v>3944</v>
      </c>
      <c r="R7772" s="267">
        <v>1794.17</v>
      </c>
      <c r="S7772" s="267">
        <v>28668.01</v>
      </c>
      <c r="T7772" s="267">
        <v>30462.18</v>
      </c>
      <c r="U7772" s="268" t="s">
        <v>3945</v>
      </c>
      <c r="V7772" s="267" t="s">
        <v>944</v>
      </c>
    </row>
    <row r="7773" spans="1:22" hidden="1" x14ac:dyDescent="0.25">
      <c r="A7773" s="269">
        <v>43817</v>
      </c>
      <c r="B7773" s="270">
        <v>2019</v>
      </c>
      <c r="C7773" s="270">
        <v>2020</v>
      </c>
      <c r="D7773" s="270">
        <v>1</v>
      </c>
      <c r="E7773" s="270">
        <v>1</v>
      </c>
      <c r="F7773" s="270" t="s">
        <v>944</v>
      </c>
      <c r="G7773" s="270" t="s">
        <v>3926</v>
      </c>
      <c r="H7773" s="270" t="s">
        <v>12648</v>
      </c>
      <c r="I7773" s="270" t="s">
        <v>4073</v>
      </c>
      <c r="J7773" s="270" t="s">
        <v>3928</v>
      </c>
      <c r="K7773" s="270">
        <v>6776</v>
      </c>
      <c r="L7773" s="270">
        <v>253400</v>
      </c>
      <c r="M7773" s="270" t="s">
        <v>3943</v>
      </c>
      <c r="N7773" s="270" t="s">
        <v>3944</v>
      </c>
      <c r="O7773" s="270">
        <v>2331.77</v>
      </c>
      <c r="P7773" s="270" t="s">
        <v>3944</v>
      </c>
      <c r="Q7773" s="270" t="s">
        <v>3944</v>
      </c>
      <c r="R7773" s="270">
        <v>2331.77</v>
      </c>
      <c r="S7773" s="270">
        <v>29791.23</v>
      </c>
      <c r="T7773" s="270">
        <v>32123</v>
      </c>
      <c r="U7773" s="271" t="s">
        <v>3945</v>
      </c>
      <c r="V7773" s="267" t="s">
        <v>944</v>
      </c>
    </row>
    <row r="7774" spans="1:22" hidden="1" x14ac:dyDescent="0.25">
      <c r="A7774" s="266">
        <v>43817</v>
      </c>
      <c r="B7774" s="267">
        <v>2019</v>
      </c>
      <c r="C7774" s="267">
        <v>2020</v>
      </c>
      <c r="D7774" s="267">
        <v>1</v>
      </c>
      <c r="E7774" s="267">
        <v>1</v>
      </c>
      <c r="F7774" s="267" t="s">
        <v>944</v>
      </c>
      <c r="G7774" s="267" t="s">
        <v>3926</v>
      </c>
      <c r="H7774" s="267" t="s">
        <v>12649</v>
      </c>
      <c r="I7774" s="267" t="s">
        <v>3971</v>
      </c>
      <c r="J7774" s="267" t="s">
        <v>3928</v>
      </c>
      <c r="K7774" s="267">
        <v>6084</v>
      </c>
      <c r="L7774" s="267">
        <v>533101</v>
      </c>
      <c r="M7774" s="267" t="s">
        <v>3943</v>
      </c>
      <c r="N7774" s="267" t="s">
        <v>3944</v>
      </c>
      <c r="O7774" s="267">
        <v>1753.12</v>
      </c>
      <c r="P7774" s="267" t="s">
        <v>3944</v>
      </c>
      <c r="Q7774" s="267" t="s">
        <v>3944</v>
      </c>
      <c r="R7774" s="267">
        <v>1753.12</v>
      </c>
      <c r="S7774" s="267">
        <v>23311.88</v>
      </c>
      <c r="T7774" s="267">
        <v>25065</v>
      </c>
      <c r="U7774" s="268" t="s">
        <v>3945</v>
      </c>
      <c r="V7774" s="267" t="s">
        <v>944</v>
      </c>
    </row>
    <row r="7775" spans="1:22" hidden="1" x14ac:dyDescent="0.25">
      <c r="A7775" s="269">
        <v>43817</v>
      </c>
      <c r="B7775" s="270">
        <v>2019</v>
      </c>
      <c r="C7775" s="270">
        <v>2020</v>
      </c>
      <c r="D7775" s="270">
        <v>1</v>
      </c>
      <c r="E7775" s="270">
        <v>1</v>
      </c>
      <c r="F7775" s="270" t="s">
        <v>944</v>
      </c>
      <c r="G7775" s="270" t="s">
        <v>3926</v>
      </c>
      <c r="H7775" s="270" t="s">
        <v>12650</v>
      </c>
      <c r="I7775" s="270" t="s">
        <v>4147</v>
      </c>
      <c r="J7775" s="270" t="s">
        <v>3928</v>
      </c>
      <c r="K7775" s="270">
        <v>6109</v>
      </c>
      <c r="L7775" s="270">
        <v>492300</v>
      </c>
      <c r="M7775" s="270" t="s">
        <v>3940</v>
      </c>
      <c r="N7775" s="270" t="s">
        <v>3944</v>
      </c>
      <c r="O7775" s="270">
        <v>1570.21</v>
      </c>
      <c r="P7775" s="270" t="s">
        <v>3944</v>
      </c>
      <c r="Q7775" s="270" t="s">
        <v>3944</v>
      </c>
      <c r="R7775" s="270">
        <v>1570.21</v>
      </c>
      <c r="S7775" s="270">
        <v>22879.75</v>
      </c>
      <c r="T7775" s="270">
        <v>24449.96</v>
      </c>
      <c r="U7775" s="271" t="s">
        <v>3945</v>
      </c>
      <c r="V7775" s="267" t="s">
        <v>944</v>
      </c>
    </row>
    <row r="7776" spans="1:22" hidden="1" x14ac:dyDescent="0.25">
      <c r="A7776" s="266">
        <v>43817</v>
      </c>
      <c r="B7776" s="267">
        <v>2019</v>
      </c>
      <c r="C7776" s="267">
        <v>2020</v>
      </c>
      <c r="D7776" s="267">
        <v>1</v>
      </c>
      <c r="E7776" s="267">
        <v>1</v>
      </c>
      <c r="F7776" s="267" t="s">
        <v>944</v>
      </c>
      <c r="G7776" s="267" t="s">
        <v>3926</v>
      </c>
      <c r="H7776" s="267" t="s">
        <v>12651</v>
      </c>
      <c r="I7776" s="267" t="s">
        <v>4200</v>
      </c>
      <c r="J7776" s="267" t="s">
        <v>3928</v>
      </c>
      <c r="K7776" s="267">
        <v>6795</v>
      </c>
      <c r="L7776" s="267">
        <v>360200</v>
      </c>
      <c r="M7776" s="267" t="s">
        <v>3943</v>
      </c>
      <c r="N7776" s="267" t="s">
        <v>3944</v>
      </c>
      <c r="O7776" s="267">
        <v>574.91</v>
      </c>
      <c r="P7776" s="267" t="s">
        <v>3944</v>
      </c>
      <c r="Q7776" s="267" t="s">
        <v>3944</v>
      </c>
      <c r="R7776" s="267">
        <v>574.91</v>
      </c>
      <c r="S7776" s="267">
        <v>9032.59</v>
      </c>
      <c r="T7776" s="267">
        <v>9607.5</v>
      </c>
      <c r="U7776" s="268" t="s">
        <v>3945</v>
      </c>
      <c r="V7776" s="267" t="s">
        <v>944</v>
      </c>
    </row>
    <row r="7777" spans="1:22" hidden="1" x14ac:dyDescent="0.25">
      <c r="A7777" s="269">
        <v>43817</v>
      </c>
      <c r="B7777" s="270">
        <v>2019</v>
      </c>
      <c r="C7777" s="270">
        <v>2020</v>
      </c>
      <c r="D7777" s="270">
        <v>1</v>
      </c>
      <c r="E7777" s="270">
        <v>1</v>
      </c>
      <c r="F7777" s="270" t="s">
        <v>944</v>
      </c>
      <c r="G7777" s="270" t="s">
        <v>3926</v>
      </c>
      <c r="H7777" s="270" t="s">
        <v>12652</v>
      </c>
      <c r="I7777" s="270" t="s">
        <v>4392</v>
      </c>
      <c r="J7777" s="270" t="s">
        <v>3928</v>
      </c>
      <c r="K7777" s="270">
        <v>6457</v>
      </c>
      <c r="L7777" s="270">
        <v>541200</v>
      </c>
      <c r="M7777" s="270" t="s">
        <v>3935</v>
      </c>
      <c r="N7777" s="270" t="s">
        <v>3944</v>
      </c>
      <c r="O7777" s="270">
        <v>1494.08</v>
      </c>
      <c r="P7777" s="270" t="s">
        <v>3944</v>
      </c>
      <c r="Q7777" s="270" t="s">
        <v>3944</v>
      </c>
      <c r="R7777" s="270">
        <v>1494.08</v>
      </c>
      <c r="S7777" s="270">
        <v>20728.96</v>
      </c>
      <c r="T7777" s="270">
        <v>22223.040000000001</v>
      </c>
      <c r="U7777" s="271" t="s">
        <v>3945</v>
      </c>
      <c r="V7777" s="267" t="s">
        <v>944</v>
      </c>
    </row>
    <row r="7778" spans="1:22" hidden="1" x14ac:dyDescent="0.25">
      <c r="A7778" s="266">
        <v>43817</v>
      </c>
      <c r="B7778" s="267">
        <v>2019</v>
      </c>
      <c r="C7778" s="267">
        <v>2020</v>
      </c>
      <c r="D7778" s="267">
        <v>1</v>
      </c>
      <c r="E7778" s="267">
        <v>1</v>
      </c>
      <c r="F7778" s="267" t="s">
        <v>944</v>
      </c>
      <c r="G7778" s="267" t="s">
        <v>3926</v>
      </c>
      <c r="H7778" s="267" t="s">
        <v>12653</v>
      </c>
      <c r="I7778" s="267" t="s">
        <v>4548</v>
      </c>
      <c r="J7778" s="267" t="s">
        <v>3928</v>
      </c>
      <c r="K7778" s="267">
        <v>6037</v>
      </c>
      <c r="L7778" s="267">
        <v>400200</v>
      </c>
      <c r="M7778" s="267" t="s">
        <v>3943</v>
      </c>
      <c r="N7778" s="267" t="s">
        <v>3944</v>
      </c>
      <c r="O7778" s="267">
        <v>2269.33</v>
      </c>
      <c r="P7778" s="267" t="s">
        <v>3944</v>
      </c>
      <c r="Q7778" s="267" t="s">
        <v>3944</v>
      </c>
      <c r="R7778" s="267">
        <v>2269.33</v>
      </c>
      <c r="S7778" s="267">
        <v>29952.59</v>
      </c>
      <c r="T7778" s="267">
        <v>32221.919999999998</v>
      </c>
      <c r="U7778" s="268" t="s">
        <v>3945</v>
      </c>
      <c r="V7778" s="267" t="s">
        <v>944</v>
      </c>
    </row>
    <row r="7779" spans="1:22" hidden="1" x14ac:dyDescent="0.25">
      <c r="A7779" s="269">
        <v>43817</v>
      </c>
      <c r="B7779" s="270">
        <v>2019</v>
      </c>
      <c r="C7779" s="270">
        <v>2020</v>
      </c>
      <c r="D7779" s="270">
        <v>1</v>
      </c>
      <c r="E7779" s="270">
        <v>1</v>
      </c>
      <c r="F7779" s="270" t="s">
        <v>944</v>
      </c>
      <c r="G7779" s="270" t="s">
        <v>3926</v>
      </c>
      <c r="H7779" s="270" t="s">
        <v>12654</v>
      </c>
      <c r="I7779" s="270" t="s">
        <v>4079</v>
      </c>
      <c r="J7779" s="270" t="s">
        <v>3928</v>
      </c>
      <c r="K7779" s="270">
        <v>6111</v>
      </c>
      <c r="L7779" s="270">
        <v>494500</v>
      </c>
      <c r="M7779" s="270" t="s">
        <v>3960</v>
      </c>
      <c r="N7779" s="270" t="s">
        <v>3944</v>
      </c>
      <c r="O7779" s="270">
        <v>3224.17</v>
      </c>
      <c r="P7779" s="270" t="s">
        <v>3944</v>
      </c>
      <c r="Q7779" s="270" t="s">
        <v>3944</v>
      </c>
      <c r="R7779" s="270">
        <v>3224.17</v>
      </c>
      <c r="S7779" s="270">
        <v>50644.88</v>
      </c>
      <c r="T7779" s="270">
        <v>53869.05</v>
      </c>
      <c r="U7779" s="271" t="s">
        <v>3945</v>
      </c>
      <c r="V7779" s="267" t="s">
        <v>944</v>
      </c>
    </row>
    <row r="7780" spans="1:22" hidden="1" x14ac:dyDescent="0.25">
      <c r="A7780" s="266">
        <v>43817</v>
      </c>
      <c r="B7780" s="267">
        <v>2019</v>
      </c>
      <c r="C7780" s="267">
        <v>2020</v>
      </c>
      <c r="D7780" s="267">
        <v>1</v>
      </c>
      <c r="E7780" s="267">
        <v>1</v>
      </c>
      <c r="F7780" s="267" t="s">
        <v>944</v>
      </c>
      <c r="G7780" s="267" t="s">
        <v>3926</v>
      </c>
      <c r="H7780" s="267" t="s">
        <v>12655</v>
      </c>
      <c r="I7780" s="267" t="s">
        <v>4213</v>
      </c>
      <c r="J7780" s="267" t="s">
        <v>3928</v>
      </c>
      <c r="K7780" s="267">
        <v>6053</v>
      </c>
      <c r="L7780" s="267">
        <v>416800</v>
      </c>
      <c r="M7780" s="267" t="s">
        <v>3940</v>
      </c>
      <c r="N7780" s="267" t="s">
        <v>3944</v>
      </c>
      <c r="O7780" s="267">
        <v>994.67</v>
      </c>
      <c r="P7780" s="267" t="s">
        <v>3944</v>
      </c>
      <c r="Q7780" s="267" t="s">
        <v>3944</v>
      </c>
      <c r="R7780" s="267">
        <v>994.67</v>
      </c>
      <c r="S7780" s="267">
        <v>15338.08</v>
      </c>
      <c r="T7780" s="267">
        <v>16332.75</v>
      </c>
      <c r="U7780" s="268" t="s">
        <v>3945</v>
      </c>
      <c r="V7780" s="267" t="s">
        <v>944</v>
      </c>
    </row>
    <row r="7781" spans="1:22" hidden="1" x14ac:dyDescent="0.25">
      <c r="A7781" s="269">
        <v>43817</v>
      </c>
      <c r="B7781" s="270">
        <v>2019</v>
      </c>
      <c r="C7781" s="270">
        <v>2020</v>
      </c>
      <c r="D7781" s="270">
        <v>1</v>
      </c>
      <c r="E7781" s="270">
        <v>1</v>
      </c>
      <c r="F7781" s="270" t="s">
        <v>944</v>
      </c>
      <c r="G7781" s="270" t="s">
        <v>3926</v>
      </c>
      <c r="H7781" s="270" t="s">
        <v>12656</v>
      </c>
      <c r="I7781" s="270" t="s">
        <v>3968</v>
      </c>
      <c r="J7781" s="270" t="s">
        <v>3928</v>
      </c>
      <c r="K7781" s="270">
        <v>6042</v>
      </c>
      <c r="L7781" s="270">
        <v>514101</v>
      </c>
      <c r="M7781" s="270" t="s">
        <v>3960</v>
      </c>
      <c r="N7781" s="270" t="s">
        <v>3944</v>
      </c>
      <c r="O7781" s="270">
        <v>1291.8900000000001</v>
      </c>
      <c r="P7781" s="270" t="s">
        <v>3944</v>
      </c>
      <c r="Q7781" s="270" t="s">
        <v>3944</v>
      </c>
      <c r="R7781" s="270">
        <v>1291.8900000000001</v>
      </c>
      <c r="S7781" s="270">
        <v>18237.86</v>
      </c>
      <c r="T7781" s="270">
        <v>19529.75</v>
      </c>
      <c r="U7781" s="271" t="s">
        <v>3945</v>
      </c>
      <c r="V7781" s="267" t="s">
        <v>944</v>
      </c>
    </row>
    <row r="7782" spans="1:22" hidden="1" x14ac:dyDescent="0.25">
      <c r="A7782" s="266">
        <v>43817</v>
      </c>
      <c r="B7782" s="267">
        <v>2019</v>
      </c>
      <c r="C7782" s="267">
        <v>2020</v>
      </c>
      <c r="D7782" s="267">
        <v>1</v>
      </c>
      <c r="E7782" s="267">
        <v>1</v>
      </c>
      <c r="F7782" s="267" t="s">
        <v>944</v>
      </c>
      <c r="G7782" s="267" t="s">
        <v>3926</v>
      </c>
      <c r="H7782" s="267" t="s">
        <v>12657</v>
      </c>
      <c r="I7782" s="267" t="s">
        <v>4111</v>
      </c>
      <c r="J7782" s="267" t="s">
        <v>3928</v>
      </c>
      <c r="K7782" s="267">
        <v>6095</v>
      </c>
      <c r="L7782" s="267">
        <v>473100</v>
      </c>
      <c r="M7782" s="267" t="s">
        <v>3960</v>
      </c>
      <c r="N7782" s="267" t="s">
        <v>3944</v>
      </c>
      <c r="O7782" s="267">
        <v>1277.99</v>
      </c>
      <c r="P7782" s="267" t="s">
        <v>3944</v>
      </c>
      <c r="Q7782" s="267" t="s">
        <v>3944</v>
      </c>
      <c r="R7782" s="267">
        <v>1277.99</v>
      </c>
      <c r="S7782" s="267">
        <v>17769.36</v>
      </c>
      <c r="T7782" s="267">
        <v>19047.349999999999</v>
      </c>
      <c r="U7782" s="268" t="s">
        <v>3945</v>
      </c>
      <c r="V7782" s="267" t="s">
        <v>944</v>
      </c>
    </row>
    <row r="7783" spans="1:22" hidden="1" x14ac:dyDescent="0.25">
      <c r="A7783" s="269">
        <v>43817</v>
      </c>
      <c r="B7783" s="270">
        <v>2019</v>
      </c>
      <c r="C7783" s="270">
        <v>2020</v>
      </c>
      <c r="D7783" s="270">
        <v>1</v>
      </c>
      <c r="E7783" s="270">
        <v>1</v>
      </c>
      <c r="F7783" s="270" t="s">
        <v>944</v>
      </c>
      <c r="G7783" s="270" t="s">
        <v>3926</v>
      </c>
      <c r="H7783" s="270" t="s">
        <v>12658</v>
      </c>
      <c r="I7783" s="270" t="s">
        <v>4323</v>
      </c>
      <c r="J7783" s="270" t="s">
        <v>3928</v>
      </c>
      <c r="K7783" s="270">
        <v>6385</v>
      </c>
      <c r="L7783" s="270">
        <v>693700</v>
      </c>
      <c r="M7783" s="270" t="s">
        <v>3943</v>
      </c>
      <c r="N7783" s="270" t="s">
        <v>3944</v>
      </c>
      <c r="O7783" s="270">
        <v>2334.0500000000002</v>
      </c>
      <c r="P7783" s="270" t="s">
        <v>3944</v>
      </c>
      <c r="Q7783" s="270" t="s">
        <v>3944</v>
      </c>
      <c r="R7783" s="270">
        <v>2334.0500000000002</v>
      </c>
      <c r="S7783" s="270">
        <v>34451.22</v>
      </c>
      <c r="T7783" s="270">
        <v>36785.269999999997</v>
      </c>
      <c r="U7783" s="271" t="s">
        <v>3945</v>
      </c>
      <c r="V7783" s="267" t="s">
        <v>944</v>
      </c>
    </row>
    <row r="7784" spans="1:22" hidden="1" x14ac:dyDescent="0.25">
      <c r="A7784" s="266">
        <v>43817</v>
      </c>
      <c r="B7784" s="267">
        <v>2019</v>
      </c>
      <c r="C7784" s="267">
        <v>2020</v>
      </c>
      <c r="D7784" s="267">
        <v>1</v>
      </c>
      <c r="E7784" s="267">
        <v>1</v>
      </c>
      <c r="F7784" s="267" t="s">
        <v>944</v>
      </c>
      <c r="G7784" s="267" t="s">
        <v>3926</v>
      </c>
      <c r="H7784" s="267" t="s">
        <v>12659</v>
      </c>
      <c r="I7784" s="267" t="s">
        <v>4159</v>
      </c>
      <c r="J7784" s="267" t="s">
        <v>3928</v>
      </c>
      <c r="K7784" s="267">
        <v>6016</v>
      </c>
      <c r="L7784" s="267">
        <v>484200</v>
      </c>
      <c r="M7784" s="267" t="s">
        <v>3935</v>
      </c>
      <c r="N7784" s="267" t="s">
        <v>3944</v>
      </c>
      <c r="O7784" s="267">
        <v>2834.27</v>
      </c>
      <c r="P7784" s="267" t="s">
        <v>3944</v>
      </c>
      <c r="Q7784" s="267" t="s">
        <v>3944</v>
      </c>
      <c r="R7784" s="267">
        <v>2834.27</v>
      </c>
      <c r="S7784" s="267">
        <v>37739.57</v>
      </c>
      <c r="T7784" s="267">
        <v>40573.839999999997</v>
      </c>
      <c r="U7784" s="268" t="s">
        <v>3945</v>
      </c>
      <c r="V7784" s="267" t="s">
        <v>944</v>
      </c>
    </row>
    <row r="7785" spans="1:22" hidden="1" x14ac:dyDescent="0.25">
      <c r="A7785" s="269">
        <v>43817</v>
      </c>
      <c r="B7785" s="270">
        <v>2019</v>
      </c>
      <c r="C7785" s="270">
        <v>2020</v>
      </c>
      <c r="D7785" s="270">
        <v>1</v>
      </c>
      <c r="E7785" s="270">
        <v>1</v>
      </c>
      <c r="F7785" s="270" t="s">
        <v>944</v>
      </c>
      <c r="G7785" s="270" t="s">
        <v>3926</v>
      </c>
      <c r="H7785" s="270" t="s">
        <v>12660</v>
      </c>
      <c r="I7785" s="270" t="s">
        <v>4323</v>
      </c>
      <c r="J7785" s="270" t="s">
        <v>3928</v>
      </c>
      <c r="K7785" s="270">
        <v>6375</v>
      </c>
      <c r="L7785" s="270">
        <v>693600</v>
      </c>
      <c r="M7785" s="270" t="s">
        <v>3960</v>
      </c>
      <c r="N7785" s="270" t="s">
        <v>3944</v>
      </c>
      <c r="O7785" s="270">
        <v>824.6</v>
      </c>
      <c r="P7785" s="270" t="s">
        <v>3944</v>
      </c>
      <c r="Q7785" s="270" t="s">
        <v>3944</v>
      </c>
      <c r="R7785" s="270">
        <v>824.6</v>
      </c>
      <c r="S7785" s="270">
        <v>14000.22</v>
      </c>
      <c r="T7785" s="270">
        <v>14824.82</v>
      </c>
      <c r="U7785" s="271" t="s">
        <v>3945</v>
      </c>
      <c r="V7785" s="267" t="s">
        <v>944</v>
      </c>
    </row>
    <row r="7786" spans="1:22" hidden="1" x14ac:dyDescent="0.25">
      <c r="A7786" s="266">
        <v>43817</v>
      </c>
      <c r="B7786" s="267">
        <v>2019</v>
      </c>
      <c r="C7786" s="267">
        <v>2020</v>
      </c>
      <c r="D7786" s="267">
        <v>1</v>
      </c>
      <c r="E7786" s="267">
        <v>1</v>
      </c>
      <c r="F7786" s="267" t="s">
        <v>944</v>
      </c>
      <c r="G7786" s="267" t="s">
        <v>3926</v>
      </c>
      <c r="H7786" s="267" t="s">
        <v>12661</v>
      </c>
      <c r="I7786" s="267" t="s">
        <v>4213</v>
      </c>
      <c r="J7786" s="267" t="s">
        <v>3928</v>
      </c>
      <c r="K7786" s="267">
        <v>6053</v>
      </c>
      <c r="L7786" s="267">
        <v>417500</v>
      </c>
      <c r="M7786" s="267" t="s">
        <v>3940</v>
      </c>
      <c r="N7786" s="267" t="s">
        <v>3944</v>
      </c>
      <c r="O7786" s="267">
        <v>1445.75</v>
      </c>
      <c r="P7786" s="267" t="s">
        <v>3944</v>
      </c>
      <c r="Q7786" s="267" t="s">
        <v>3944</v>
      </c>
      <c r="R7786" s="267">
        <v>1445.75</v>
      </c>
      <c r="S7786" s="267">
        <v>22550.04</v>
      </c>
      <c r="T7786" s="267">
        <v>23995.79</v>
      </c>
      <c r="U7786" s="268" t="s">
        <v>3945</v>
      </c>
      <c r="V7786" s="267" t="s">
        <v>944</v>
      </c>
    </row>
    <row r="7787" spans="1:22" hidden="1" x14ac:dyDescent="0.25">
      <c r="A7787" s="269">
        <v>43817</v>
      </c>
      <c r="B7787" s="270">
        <v>2019</v>
      </c>
      <c r="C7787" s="270">
        <v>2020</v>
      </c>
      <c r="D7787" s="270">
        <v>1</v>
      </c>
      <c r="E7787" s="270">
        <v>1</v>
      </c>
      <c r="F7787" s="270" t="s">
        <v>944</v>
      </c>
      <c r="G7787" s="270" t="s">
        <v>3926</v>
      </c>
      <c r="H7787" s="270" t="s">
        <v>12662</v>
      </c>
      <c r="I7787" s="270" t="s">
        <v>4213</v>
      </c>
      <c r="J7787" s="270" t="s">
        <v>3928</v>
      </c>
      <c r="K7787" s="270">
        <v>6051</v>
      </c>
      <c r="L7787" s="270">
        <v>415500</v>
      </c>
      <c r="M7787" s="270">
        <v>-60</v>
      </c>
      <c r="N7787" s="270" t="s">
        <v>3944</v>
      </c>
      <c r="O7787" s="270">
        <v>665.53</v>
      </c>
      <c r="P7787" s="270" t="s">
        <v>3944</v>
      </c>
      <c r="Q7787" s="270" t="s">
        <v>3944</v>
      </c>
      <c r="R7787" s="270">
        <v>665.53</v>
      </c>
      <c r="S7787" s="270">
        <v>9839.89</v>
      </c>
      <c r="T7787" s="270">
        <v>10505.42</v>
      </c>
      <c r="U7787" s="271" t="s">
        <v>3945</v>
      </c>
      <c r="V7787" s="267" t="s">
        <v>944</v>
      </c>
    </row>
    <row r="7788" spans="1:22" hidden="1" x14ac:dyDescent="0.25">
      <c r="A7788" s="266">
        <v>43817</v>
      </c>
      <c r="B7788" s="267">
        <v>2019</v>
      </c>
      <c r="C7788" s="267">
        <v>2020</v>
      </c>
      <c r="D7788" s="267">
        <v>1</v>
      </c>
      <c r="E7788" s="267">
        <v>1</v>
      </c>
      <c r="F7788" s="267" t="s">
        <v>944</v>
      </c>
      <c r="G7788" s="267" t="s">
        <v>3926</v>
      </c>
      <c r="H7788" s="267" t="s">
        <v>12663</v>
      </c>
      <c r="I7788" s="267" t="s">
        <v>5032</v>
      </c>
      <c r="J7788" s="267" t="s">
        <v>3928</v>
      </c>
      <c r="K7788" s="267">
        <v>6062</v>
      </c>
      <c r="L7788" s="267">
        <v>420700</v>
      </c>
      <c r="M7788" s="267" t="s">
        <v>3935</v>
      </c>
      <c r="N7788" s="267" t="s">
        <v>3944</v>
      </c>
      <c r="O7788" s="267">
        <v>1348.06</v>
      </c>
      <c r="P7788" s="267" t="s">
        <v>3944</v>
      </c>
      <c r="Q7788" s="267" t="s">
        <v>3944</v>
      </c>
      <c r="R7788" s="267">
        <v>1348.06</v>
      </c>
      <c r="S7788" s="267">
        <v>15826.36</v>
      </c>
      <c r="T7788" s="267">
        <v>17174.419999999998</v>
      </c>
      <c r="U7788" s="268" t="s">
        <v>3945</v>
      </c>
      <c r="V7788" s="267" t="s">
        <v>944</v>
      </c>
    </row>
    <row r="7789" spans="1:22" hidden="1" x14ac:dyDescent="0.25">
      <c r="A7789" s="269">
        <v>43817</v>
      </c>
      <c r="B7789" s="270">
        <v>2019</v>
      </c>
      <c r="C7789" s="270">
        <v>2020</v>
      </c>
      <c r="D7789" s="270">
        <v>1</v>
      </c>
      <c r="E7789" s="270">
        <v>1</v>
      </c>
      <c r="F7789" s="270" t="s">
        <v>944</v>
      </c>
      <c r="G7789" s="270" t="s">
        <v>3926</v>
      </c>
      <c r="H7789" s="270" t="s">
        <v>12664</v>
      </c>
      <c r="I7789" s="270" t="s">
        <v>4172</v>
      </c>
      <c r="J7789" s="270" t="s">
        <v>3928</v>
      </c>
      <c r="K7789" s="270">
        <v>6786</v>
      </c>
      <c r="L7789" s="270">
        <v>425300</v>
      </c>
      <c r="M7789" s="270" t="s">
        <v>3960</v>
      </c>
      <c r="N7789" s="270" t="s">
        <v>3944</v>
      </c>
      <c r="O7789" s="270">
        <v>2541.84</v>
      </c>
      <c r="P7789" s="270" t="s">
        <v>3944</v>
      </c>
      <c r="Q7789" s="270" t="s">
        <v>3944</v>
      </c>
      <c r="R7789" s="270">
        <v>2541.84</v>
      </c>
      <c r="S7789" s="270">
        <v>38454.15</v>
      </c>
      <c r="T7789" s="270">
        <v>40995.99</v>
      </c>
      <c r="U7789" s="271" t="s">
        <v>3945</v>
      </c>
      <c r="V7789" s="267" t="s">
        <v>944</v>
      </c>
    </row>
    <row r="7790" spans="1:22" hidden="1" x14ac:dyDescent="0.25">
      <c r="A7790" s="266">
        <v>43817</v>
      </c>
      <c r="B7790" s="267">
        <v>2019</v>
      </c>
      <c r="C7790" s="267">
        <v>2020</v>
      </c>
      <c r="D7790" s="267">
        <v>1</v>
      </c>
      <c r="E7790" s="267">
        <v>1</v>
      </c>
      <c r="F7790" s="267" t="s">
        <v>944</v>
      </c>
      <c r="G7790" s="267" t="s">
        <v>3926</v>
      </c>
      <c r="H7790" s="267" t="s">
        <v>12665</v>
      </c>
      <c r="I7790" s="267" t="s">
        <v>2985</v>
      </c>
      <c r="J7790" s="267" t="s">
        <v>3928</v>
      </c>
      <c r="K7790" s="267">
        <v>6824</v>
      </c>
      <c r="L7790" s="267">
        <v>61500</v>
      </c>
      <c r="M7790" s="267" t="s">
        <v>3943</v>
      </c>
      <c r="N7790" s="267" t="s">
        <v>3944</v>
      </c>
      <c r="O7790" s="267">
        <v>1576.23</v>
      </c>
      <c r="P7790" s="267" t="s">
        <v>3944</v>
      </c>
      <c r="Q7790" s="267" t="s">
        <v>3944</v>
      </c>
      <c r="R7790" s="267">
        <v>1576.23</v>
      </c>
      <c r="S7790" s="267">
        <v>25743.19</v>
      </c>
      <c r="T7790" s="267">
        <v>27319.42</v>
      </c>
      <c r="U7790" s="268" t="s">
        <v>3945</v>
      </c>
      <c r="V7790" s="267" t="s">
        <v>944</v>
      </c>
    </row>
    <row r="7791" spans="1:22" hidden="1" x14ac:dyDescent="0.25">
      <c r="A7791" s="269">
        <v>43817</v>
      </c>
      <c r="B7791" s="270">
        <v>2019</v>
      </c>
      <c r="C7791" s="270">
        <v>2020</v>
      </c>
      <c r="D7791" s="270">
        <v>1</v>
      </c>
      <c r="E7791" s="270">
        <v>1</v>
      </c>
      <c r="F7791" s="270" t="s">
        <v>944</v>
      </c>
      <c r="G7791" s="270" t="s">
        <v>3926</v>
      </c>
      <c r="H7791" s="270" t="s">
        <v>12666</v>
      </c>
      <c r="I7791" s="270" t="s">
        <v>4392</v>
      </c>
      <c r="J7791" s="270" t="s">
        <v>3928</v>
      </c>
      <c r="K7791" s="270">
        <v>6457</v>
      </c>
      <c r="L7791" s="270">
        <v>541200</v>
      </c>
      <c r="M7791" s="270" t="s">
        <v>3935</v>
      </c>
      <c r="N7791" s="270" t="s">
        <v>3944</v>
      </c>
      <c r="O7791" s="270">
        <v>2441.88</v>
      </c>
      <c r="P7791" s="270" t="s">
        <v>3944</v>
      </c>
      <c r="Q7791" s="270" t="s">
        <v>3944</v>
      </c>
      <c r="R7791" s="270">
        <v>2441.88</v>
      </c>
      <c r="S7791" s="270">
        <v>34670.68</v>
      </c>
      <c r="T7791" s="270">
        <v>37112.559999999998</v>
      </c>
      <c r="U7791" s="271" t="s">
        <v>3945</v>
      </c>
      <c r="V7791" s="267" t="s">
        <v>944</v>
      </c>
    </row>
    <row r="7792" spans="1:22" hidden="1" x14ac:dyDescent="0.25">
      <c r="A7792" s="266">
        <v>43817</v>
      </c>
      <c r="B7792" s="267">
        <v>2019</v>
      </c>
      <c r="C7792" s="267">
        <v>2020</v>
      </c>
      <c r="D7792" s="267">
        <v>1</v>
      </c>
      <c r="E7792" s="267">
        <v>1</v>
      </c>
      <c r="F7792" s="267" t="s">
        <v>944</v>
      </c>
      <c r="G7792" s="267" t="s">
        <v>3926</v>
      </c>
      <c r="H7792" s="267" t="s">
        <v>12667</v>
      </c>
      <c r="I7792" s="267" t="s">
        <v>4005</v>
      </c>
      <c r="J7792" s="267" t="s">
        <v>3928</v>
      </c>
      <c r="K7792" s="267">
        <v>6118</v>
      </c>
      <c r="L7792" s="267">
        <v>511000</v>
      </c>
      <c r="M7792" s="267" t="s">
        <v>3935</v>
      </c>
      <c r="N7792" s="267" t="s">
        <v>3944</v>
      </c>
      <c r="O7792" s="267">
        <v>888.06</v>
      </c>
      <c r="P7792" s="267" t="s">
        <v>3944</v>
      </c>
      <c r="Q7792" s="267" t="s">
        <v>3944</v>
      </c>
      <c r="R7792" s="267">
        <v>888.06</v>
      </c>
      <c r="S7792" s="267">
        <v>13851.53</v>
      </c>
      <c r="T7792" s="267">
        <v>14739.59</v>
      </c>
      <c r="U7792" s="268" t="s">
        <v>3945</v>
      </c>
      <c r="V7792" s="267" t="s">
        <v>944</v>
      </c>
    </row>
    <row r="7793" spans="1:22" hidden="1" x14ac:dyDescent="0.25">
      <c r="A7793" s="269">
        <v>43817</v>
      </c>
      <c r="B7793" s="270">
        <v>2019</v>
      </c>
      <c r="C7793" s="270">
        <v>2020</v>
      </c>
      <c r="D7793" s="270">
        <v>1</v>
      </c>
      <c r="E7793" s="270">
        <v>1</v>
      </c>
      <c r="F7793" s="270" t="s">
        <v>944</v>
      </c>
      <c r="G7793" s="270" t="s">
        <v>3926</v>
      </c>
      <c r="H7793" s="270" t="s">
        <v>12668</v>
      </c>
      <c r="I7793" s="270" t="s">
        <v>4548</v>
      </c>
      <c r="J7793" s="270" t="s">
        <v>3928</v>
      </c>
      <c r="K7793" s="270">
        <v>6037</v>
      </c>
      <c r="L7793" s="270">
        <v>400300</v>
      </c>
      <c r="M7793" s="270" t="s">
        <v>3960</v>
      </c>
      <c r="N7793" s="270" t="s">
        <v>3944</v>
      </c>
      <c r="O7793" s="270">
        <v>1633.66</v>
      </c>
      <c r="P7793" s="270" t="s">
        <v>3944</v>
      </c>
      <c r="Q7793" s="270" t="s">
        <v>3944</v>
      </c>
      <c r="R7793" s="270">
        <v>1633.66</v>
      </c>
      <c r="S7793" s="270">
        <v>23007.08</v>
      </c>
      <c r="T7793" s="270">
        <v>24640.74</v>
      </c>
      <c r="U7793" s="271" t="s">
        <v>3945</v>
      </c>
      <c r="V7793" s="267" t="s">
        <v>944</v>
      </c>
    </row>
    <row r="7794" spans="1:22" hidden="1" x14ac:dyDescent="0.25">
      <c r="A7794" s="266">
        <v>43817</v>
      </c>
      <c r="B7794" s="267">
        <v>2019</v>
      </c>
      <c r="C7794" s="267">
        <v>2020</v>
      </c>
      <c r="D7794" s="267">
        <v>1</v>
      </c>
      <c r="E7794" s="267">
        <v>1</v>
      </c>
      <c r="F7794" s="267" t="s">
        <v>944</v>
      </c>
      <c r="G7794" s="267" t="s">
        <v>3926</v>
      </c>
      <c r="H7794" s="267" t="s">
        <v>12669</v>
      </c>
      <c r="I7794" s="267" t="s">
        <v>3968</v>
      </c>
      <c r="J7794" s="267" t="s">
        <v>3928</v>
      </c>
      <c r="K7794" s="267">
        <v>6042</v>
      </c>
      <c r="L7794" s="267">
        <v>514400</v>
      </c>
      <c r="M7794" s="267" t="s">
        <v>3940</v>
      </c>
      <c r="N7794" s="267" t="s">
        <v>3944</v>
      </c>
      <c r="O7794" s="267">
        <v>1467.13</v>
      </c>
      <c r="P7794" s="267" t="s">
        <v>3944</v>
      </c>
      <c r="Q7794" s="267" t="s">
        <v>3944</v>
      </c>
      <c r="R7794" s="267">
        <v>1467.13</v>
      </c>
      <c r="S7794" s="267">
        <v>23941.7</v>
      </c>
      <c r="T7794" s="267">
        <v>25408.83</v>
      </c>
      <c r="U7794" s="268" t="s">
        <v>3945</v>
      </c>
      <c r="V7794" s="267" t="s">
        <v>944</v>
      </c>
    </row>
    <row r="7795" spans="1:22" hidden="1" x14ac:dyDescent="0.25">
      <c r="A7795" s="269">
        <v>43817</v>
      </c>
      <c r="B7795" s="270">
        <v>2019</v>
      </c>
      <c r="C7795" s="270">
        <v>2020</v>
      </c>
      <c r="D7795" s="270">
        <v>1</v>
      </c>
      <c r="E7795" s="270">
        <v>1</v>
      </c>
      <c r="F7795" s="270" t="s">
        <v>944</v>
      </c>
      <c r="G7795" s="270" t="s">
        <v>3926</v>
      </c>
      <c r="H7795" s="270" t="s">
        <v>12670</v>
      </c>
      <c r="I7795" s="270" t="s">
        <v>4422</v>
      </c>
      <c r="J7795" s="270" t="s">
        <v>3928</v>
      </c>
      <c r="K7795" s="270">
        <v>6801</v>
      </c>
      <c r="L7795" s="270">
        <v>200200</v>
      </c>
      <c r="M7795" s="270" t="s">
        <v>3940</v>
      </c>
      <c r="N7795" s="270" t="s">
        <v>3944</v>
      </c>
      <c r="O7795" s="270">
        <v>2044.7</v>
      </c>
      <c r="P7795" s="270" t="s">
        <v>3944</v>
      </c>
      <c r="Q7795" s="270" t="s">
        <v>3944</v>
      </c>
      <c r="R7795" s="270">
        <v>2044.7</v>
      </c>
      <c r="S7795" s="270">
        <v>29147.94</v>
      </c>
      <c r="T7795" s="270">
        <v>31192.639999999999</v>
      </c>
      <c r="U7795" s="271" t="s">
        <v>3945</v>
      </c>
      <c r="V7795" s="267" t="s">
        <v>944</v>
      </c>
    </row>
    <row r="7796" spans="1:22" hidden="1" x14ac:dyDescent="0.25">
      <c r="A7796" s="266">
        <v>43817</v>
      </c>
      <c r="B7796" s="267">
        <v>2019</v>
      </c>
      <c r="C7796" s="267">
        <v>2020</v>
      </c>
      <c r="D7796" s="267">
        <v>1</v>
      </c>
      <c r="E7796" s="267">
        <v>1</v>
      </c>
      <c r="F7796" s="267" t="s">
        <v>944</v>
      </c>
      <c r="G7796" s="267" t="s">
        <v>3926</v>
      </c>
      <c r="H7796" s="267" t="s">
        <v>12671</v>
      </c>
      <c r="I7796" s="267" t="s">
        <v>2987</v>
      </c>
      <c r="J7796" s="267" t="s">
        <v>3928</v>
      </c>
      <c r="K7796" s="267">
        <v>6611</v>
      </c>
      <c r="L7796" s="267">
        <v>90300</v>
      </c>
      <c r="M7796" s="267" t="s">
        <v>3943</v>
      </c>
      <c r="N7796" s="267" t="s">
        <v>3944</v>
      </c>
      <c r="O7796" s="267">
        <v>1629.92</v>
      </c>
      <c r="P7796" s="267" t="s">
        <v>3944</v>
      </c>
      <c r="Q7796" s="267" t="s">
        <v>3944</v>
      </c>
      <c r="R7796" s="267">
        <v>1629.92</v>
      </c>
      <c r="S7796" s="267">
        <v>25446.2</v>
      </c>
      <c r="T7796" s="267">
        <v>27076.12</v>
      </c>
      <c r="U7796" s="268" t="s">
        <v>3945</v>
      </c>
      <c r="V7796" s="267" t="s">
        <v>944</v>
      </c>
    </row>
    <row r="7797" spans="1:22" hidden="1" x14ac:dyDescent="0.25">
      <c r="A7797" s="269">
        <v>43817</v>
      </c>
      <c r="B7797" s="270">
        <v>2019</v>
      </c>
      <c r="C7797" s="270">
        <v>2020</v>
      </c>
      <c r="D7797" s="270">
        <v>1</v>
      </c>
      <c r="E7797" s="270">
        <v>1</v>
      </c>
      <c r="F7797" s="270" t="s">
        <v>944</v>
      </c>
      <c r="G7797" s="270" t="s">
        <v>3997</v>
      </c>
      <c r="H7797" s="270" t="s">
        <v>12672</v>
      </c>
      <c r="I7797" s="270" t="s">
        <v>4087</v>
      </c>
      <c r="J7797" s="270" t="s">
        <v>3928</v>
      </c>
      <c r="K7797" s="270"/>
      <c r="L7797" s="270"/>
      <c r="M7797" s="270" t="s">
        <v>3944</v>
      </c>
      <c r="N7797" s="270" t="s">
        <v>12673</v>
      </c>
      <c r="O7797" s="270"/>
      <c r="P7797" s="270" t="s">
        <v>3944</v>
      </c>
      <c r="Q7797" s="270" t="s">
        <v>12674</v>
      </c>
      <c r="R7797" s="270">
        <v>5873188.4500000002</v>
      </c>
      <c r="S7797" s="270">
        <v>12126811.550000001</v>
      </c>
      <c r="T7797" s="270">
        <v>18000000</v>
      </c>
      <c r="U7797" s="271" t="s">
        <v>6886</v>
      </c>
      <c r="V7797" s="267" t="s">
        <v>944</v>
      </c>
    </row>
    <row r="7798" spans="1:22" x14ac:dyDescent="0.25">
      <c r="A7798" s="266">
        <v>43817</v>
      </c>
      <c r="B7798" s="267">
        <v>2019</v>
      </c>
      <c r="C7798" s="267">
        <v>2020</v>
      </c>
      <c r="D7798" s="267">
        <v>1</v>
      </c>
      <c r="E7798" s="267">
        <v>1</v>
      </c>
      <c r="F7798" s="267" t="s">
        <v>944</v>
      </c>
      <c r="G7798" s="267" t="s">
        <v>3926</v>
      </c>
      <c r="H7798" s="267" t="s">
        <v>12675</v>
      </c>
      <c r="I7798" s="267" t="s">
        <v>943</v>
      </c>
      <c r="J7798" s="267" t="s">
        <v>3928</v>
      </c>
      <c r="K7798" s="267">
        <v>6519</v>
      </c>
      <c r="L7798" s="267">
        <v>140300</v>
      </c>
      <c r="M7798" s="267">
        <v>-60</v>
      </c>
      <c r="N7798" s="267" t="s">
        <v>3944</v>
      </c>
      <c r="O7798" s="267">
        <v>1269.07</v>
      </c>
      <c r="P7798" s="267" t="s">
        <v>3944</v>
      </c>
      <c r="Q7798" s="267" t="s">
        <v>3944</v>
      </c>
      <c r="R7798" s="267">
        <v>1269.07</v>
      </c>
      <c r="S7798" s="267">
        <v>18147.53</v>
      </c>
      <c r="T7798" s="267">
        <v>19416.599999999999</v>
      </c>
      <c r="U7798" s="268" t="s">
        <v>3945</v>
      </c>
      <c r="V7798" s="276" t="s">
        <v>936</v>
      </c>
    </row>
    <row r="7799" spans="1:22" hidden="1" x14ac:dyDescent="0.25">
      <c r="A7799" s="269">
        <v>43817</v>
      </c>
      <c r="B7799" s="270">
        <v>2019</v>
      </c>
      <c r="C7799" s="270">
        <v>2020</v>
      </c>
      <c r="D7799" s="270">
        <v>1</v>
      </c>
      <c r="E7799" s="270">
        <v>1</v>
      </c>
      <c r="F7799" s="270" t="s">
        <v>944</v>
      </c>
      <c r="G7799" s="270" t="s">
        <v>3926</v>
      </c>
      <c r="H7799" s="270" t="s">
        <v>12676</v>
      </c>
      <c r="I7799" s="270" t="s">
        <v>4232</v>
      </c>
      <c r="J7799" s="270" t="s">
        <v>3928</v>
      </c>
      <c r="K7799" s="270">
        <v>6483</v>
      </c>
      <c r="L7799" s="270">
        <v>130200</v>
      </c>
      <c r="M7799" s="270" t="s">
        <v>3935</v>
      </c>
      <c r="N7799" s="270" t="s">
        <v>3944</v>
      </c>
      <c r="O7799" s="270">
        <v>1785.07</v>
      </c>
      <c r="P7799" s="270" t="s">
        <v>3944</v>
      </c>
      <c r="Q7799" s="270" t="s">
        <v>3944</v>
      </c>
      <c r="R7799" s="270">
        <v>1785.07</v>
      </c>
      <c r="S7799" s="270">
        <v>21944.03</v>
      </c>
      <c r="T7799" s="270">
        <v>23729.1</v>
      </c>
      <c r="U7799" s="271" t="s">
        <v>3945</v>
      </c>
      <c r="V7799" s="267" t="s">
        <v>944</v>
      </c>
    </row>
    <row r="7800" spans="1:22" hidden="1" x14ac:dyDescent="0.25">
      <c r="A7800" s="266">
        <v>43817</v>
      </c>
      <c r="B7800" s="267">
        <v>2019</v>
      </c>
      <c r="C7800" s="267">
        <v>2020</v>
      </c>
      <c r="D7800" s="267">
        <v>1</v>
      </c>
      <c r="E7800" s="267">
        <v>1</v>
      </c>
      <c r="F7800" s="267" t="s">
        <v>944</v>
      </c>
      <c r="G7800" s="267" t="s">
        <v>3926</v>
      </c>
      <c r="H7800" s="267" t="s">
        <v>12677</v>
      </c>
      <c r="I7800" s="267" t="s">
        <v>3009</v>
      </c>
      <c r="J7800" s="267" t="s">
        <v>3928</v>
      </c>
      <c r="K7800" s="267">
        <v>6484</v>
      </c>
      <c r="L7800" s="267">
        <v>110400</v>
      </c>
      <c r="M7800" s="267" t="s">
        <v>3943</v>
      </c>
      <c r="N7800" s="267" t="s">
        <v>3944</v>
      </c>
      <c r="O7800" s="267">
        <v>1924.65</v>
      </c>
      <c r="P7800" s="267" t="s">
        <v>3944</v>
      </c>
      <c r="Q7800" s="267" t="s">
        <v>3944</v>
      </c>
      <c r="R7800" s="267">
        <v>1924.65</v>
      </c>
      <c r="S7800" s="267">
        <v>28589.86</v>
      </c>
      <c r="T7800" s="267">
        <v>30514.51</v>
      </c>
      <c r="U7800" s="268" t="s">
        <v>3945</v>
      </c>
      <c r="V7800" s="267" t="s">
        <v>944</v>
      </c>
    </row>
    <row r="7801" spans="1:22" hidden="1" x14ac:dyDescent="0.25">
      <c r="A7801" s="269">
        <v>43817</v>
      </c>
      <c r="B7801" s="270">
        <v>2019</v>
      </c>
      <c r="C7801" s="270">
        <v>2020</v>
      </c>
      <c r="D7801" s="270">
        <v>1</v>
      </c>
      <c r="E7801" s="270">
        <v>1</v>
      </c>
      <c r="F7801" s="270" t="s">
        <v>944</v>
      </c>
      <c r="G7801" s="270" t="s">
        <v>3926</v>
      </c>
      <c r="H7801" s="270" t="s">
        <v>12678</v>
      </c>
      <c r="I7801" s="270" t="s">
        <v>4035</v>
      </c>
      <c r="J7801" s="270" t="s">
        <v>3928</v>
      </c>
      <c r="K7801" s="270">
        <v>6074</v>
      </c>
      <c r="L7801" s="270">
        <v>487100</v>
      </c>
      <c r="M7801" s="270" t="s">
        <v>3943</v>
      </c>
      <c r="N7801" s="270" t="s">
        <v>3944</v>
      </c>
      <c r="O7801" s="270">
        <v>3270.23</v>
      </c>
      <c r="P7801" s="270" t="s">
        <v>3944</v>
      </c>
      <c r="Q7801" s="270" t="s">
        <v>3944</v>
      </c>
      <c r="R7801" s="270">
        <v>3270.23</v>
      </c>
      <c r="S7801" s="270">
        <v>51642.05</v>
      </c>
      <c r="T7801" s="270">
        <v>54912.28</v>
      </c>
      <c r="U7801" s="271" t="s">
        <v>3945</v>
      </c>
      <c r="V7801" s="267" t="s">
        <v>944</v>
      </c>
    </row>
    <row r="7802" spans="1:22" hidden="1" x14ac:dyDescent="0.25">
      <c r="A7802" s="266">
        <v>43817</v>
      </c>
      <c r="B7802" s="267">
        <v>2019</v>
      </c>
      <c r="C7802" s="267">
        <v>2020</v>
      </c>
      <c r="D7802" s="267">
        <v>1</v>
      </c>
      <c r="E7802" s="267">
        <v>1</v>
      </c>
      <c r="F7802" s="267" t="s">
        <v>944</v>
      </c>
      <c r="G7802" s="267" t="s">
        <v>3926</v>
      </c>
      <c r="H7802" s="267" t="s">
        <v>12679</v>
      </c>
      <c r="I7802" s="267" t="s">
        <v>3966</v>
      </c>
      <c r="J7802" s="267" t="s">
        <v>3928</v>
      </c>
      <c r="K7802" s="267">
        <v>6010</v>
      </c>
      <c r="L7802" s="267">
        <v>405300</v>
      </c>
      <c r="M7802" s="267" t="s">
        <v>3940</v>
      </c>
      <c r="N7802" s="267" t="s">
        <v>3944</v>
      </c>
      <c r="O7802" s="267">
        <v>2070.4299999999998</v>
      </c>
      <c r="P7802" s="267" t="s">
        <v>3944</v>
      </c>
      <c r="Q7802" s="267" t="s">
        <v>3944</v>
      </c>
      <c r="R7802" s="267">
        <v>2070.4299999999998</v>
      </c>
      <c r="S7802" s="267">
        <v>26831.39</v>
      </c>
      <c r="T7802" s="267">
        <v>28901.82</v>
      </c>
      <c r="U7802" s="268" t="s">
        <v>3945</v>
      </c>
      <c r="V7802" s="267" t="s">
        <v>944</v>
      </c>
    </row>
    <row r="7803" spans="1:22" hidden="1" x14ac:dyDescent="0.25">
      <c r="A7803" s="269">
        <v>43817</v>
      </c>
      <c r="B7803" s="270">
        <v>2019</v>
      </c>
      <c r="C7803" s="270">
        <v>2020</v>
      </c>
      <c r="D7803" s="270">
        <v>1</v>
      </c>
      <c r="E7803" s="270">
        <v>1</v>
      </c>
      <c r="F7803" s="270" t="s">
        <v>944</v>
      </c>
      <c r="G7803" s="270" t="s">
        <v>3926</v>
      </c>
      <c r="H7803" s="270" t="s">
        <v>12680</v>
      </c>
      <c r="I7803" s="270" t="s">
        <v>3962</v>
      </c>
      <c r="J7803" s="270" t="s">
        <v>3928</v>
      </c>
      <c r="K7803" s="270">
        <v>6355</v>
      </c>
      <c r="L7803" s="270">
        <v>702100</v>
      </c>
      <c r="M7803" s="270" t="s">
        <v>3960</v>
      </c>
      <c r="N7803" s="270" t="s">
        <v>3944</v>
      </c>
      <c r="O7803" s="270">
        <v>2223.69</v>
      </c>
      <c r="P7803" s="270" t="s">
        <v>3944</v>
      </c>
      <c r="Q7803" s="270" t="s">
        <v>3944</v>
      </c>
      <c r="R7803" s="270">
        <v>2223.69</v>
      </c>
      <c r="S7803" s="270">
        <v>33527.440000000002</v>
      </c>
      <c r="T7803" s="270">
        <v>35751.129999999997</v>
      </c>
      <c r="U7803" s="271" t="s">
        <v>3945</v>
      </c>
      <c r="V7803" s="267" t="s">
        <v>944</v>
      </c>
    </row>
    <row r="7804" spans="1:22" hidden="1" x14ac:dyDescent="0.25">
      <c r="A7804" s="266">
        <v>43817</v>
      </c>
      <c r="B7804" s="267">
        <v>2019</v>
      </c>
      <c r="C7804" s="267">
        <v>2020</v>
      </c>
      <c r="D7804" s="267">
        <v>1</v>
      </c>
      <c r="E7804" s="267">
        <v>1</v>
      </c>
      <c r="F7804" s="267" t="s">
        <v>944</v>
      </c>
      <c r="G7804" s="267" t="s">
        <v>3926</v>
      </c>
      <c r="H7804" s="267" t="s">
        <v>12681</v>
      </c>
      <c r="I7804" s="267" t="s">
        <v>4079</v>
      </c>
      <c r="J7804" s="267" t="s">
        <v>3928</v>
      </c>
      <c r="K7804" s="267">
        <v>6111</v>
      </c>
      <c r="L7804" s="267">
        <v>494500</v>
      </c>
      <c r="M7804" s="267" t="s">
        <v>3960</v>
      </c>
      <c r="N7804" s="267" t="s">
        <v>3944</v>
      </c>
      <c r="O7804" s="267">
        <v>921.27</v>
      </c>
      <c r="P7804" s="267" t="s">
        <v>3944</v>
      </c>
      <c r="Q7804" s="267" t="s">
        <v>3944</v>
      </c>
      <c r="R7804" s="267">
        <v>921.27</v>
      </c>
      <c r="S7804" s="267">
        <v>15247.45</v>
      </c>
      <c r="T7804" s="267">
        <v>16168.72</v>
      </c>
      <c r="U7804" s="268" t="s">
        <v>3945</v>
      </c>
      <c r="V7804" s="267" t="s">
        <v>944</v>
      </c>
    </row>
    <row r="7805" spans="1:22" x14ac:dyDescent="0.25">
      <c r="A7805" s="269">
        <v>43818</v>
      </c>
      <c r="B7805" s="270">
        <v>2019</v>
      </c>
      <c r="C7805" s="270">
        <v>2020</v>
      </c>
      <c r="D7805" s="270">
        <v>1</v>
      </c>
      <c r="E7805" s="270">
        <v>1</v>
      </c>
      <c r="F7805" s="270" t="s">
        <v>944</v>
      </c>
      <c r="G7805" s="270" t="s">
        <v>3997</v>
      </c>
      <c r="H7805" s="270" t="s">
        <v>12682</v>
      </c>
      <c r="I7805" s="270" t="s">
        <v>943</v>
      </c>
      <c r="J7805" s="270" t="s">
        <v>3928</v>
      </c>
      <c r="K7805" s="270">
        <v>6519</v>
      </c>
      <c r="L7805" s="270">
        <v>140600</v>
      </c>
      <c r="M7805" s="270">
        <v>-60</v>
      </c>
      <c r="N7805" s="270" t="s">
        <v>8223</v>
      </c>
      <c r="O7805" s="270">
        <v>1867.45</v>
      </c>
      <c r="P7805" s="270" t="s">
        <v>3930</v>
      </c>
      <c r="Q7805" s="270" t="s">
        <v>3931</v>
      </c>
      <c r="R7805" s="270">
        <v>6867.45</v>
      </c>
      <c r="S7805" s="270">
        <v>12702.4</v>
      </c>
      <c r="T7805" s="270">
        <v>19569.849999999999</v>
      </c>
      <c r="U7805" s="271" t="s">
        <v>3932</v>
      </c>
      <c r="V7805" s="276" t="s">
        <v>936</v>
      </c>
    </row>
    <row r="7806" spans="1:22" hidden="1" x14ac:dyDescent="0.25">
      <c r="A7806" s="266">
        <v>43818</v>
      </c>
      <c r="B7806" s="267">
        <v>2019</v>
      </c>
      <c r="C7806" s="267">
        <v>2020</v>
      </c>
      <c r="D7806" s="267">
        <v>1</v>
      </c>
      <c r="E7806" s="267">
        <v>1</v>
      </c>
      <c r="F7806" s="267" t="s">
        <v>944</v>
      </c>
      <c r="G7806" s="267" t="s">
        <v>3997</v>
      </c>
      <c r="H7806" s="267" t="s">
        <v>12683</v>
      </c>
      <c r="I7806" s="267" t="s">
        <v>4005</v>
      </c>
      <c r="J7806" s="267" t="s">
        <v>3928</v>
      </c>
      <c r="K7806" s="267">
        <v>6118</v>
      </c>
      <c r="L7806" s="267">
        <v>510800</v>
      </c>
      <c r="M7806" s="267" t="s">
        <v>3940</v>
      </c>
      <c r="N7806" s="267" t="s">
        <v>3944</v>
      </c>
      <c r="O7806" s="267">
        <v>1643</v>
      </c>
      <c r="P7806" s="267" t="s">
        <v>3944</v>
      </c>
      <c r="Q7806" s="267" t="s">
        <v>3944</v>
      </c>
      <c r="R7806" s="267">
        <v>1643</v>
      </c>
      <c r="S7806" s="267">
        <v>6997</v>
      </c>
      <c r="T7806" s="267">
        <v>8640</v>
      </c>
      <c r="U7806" s="268" t="s">
        <v>3945</v>
      </c>
      <c r="V7806" s="267" t="s">
        <v>944</v>
      </c>
    </row>
    <row r="7807" spans="1:22" hidden="1" x14ac:dyDescent="0.25">
      <c r="A7807" s="269">
        <v>43818</v>
      </c>
      <c r="B7807" s="270">
        <v>2019</v>
      </c>
      <c r="C7807" s="270">
        <v>2020</v>
      </c>
      <c r="D7807" s="270">
        <v>1</v>
      </c>
      <c r="E7807" s="270">
        <v>1</v>
      </c>
      <c r="F7807" s="270" t="s">
        <v>944</v>
      </c>
      <c r="G7807" s="270" t="s">
        <v>3926</v>
      </c>
      <c r="H7807" s="270" t="s">
        <v>12684</v>
      </c>
      <c r="I7807" s="270" t="s">
        <v>4244</v>
      </c>
      <c r="J7807" s="270" t="s">
        <v>3928</v>
      </c>
      <c r="K7807" s="270">
        <v>6250</v>
      </c>
      <c r="L7807" s="270">
        <v>881500</v>
      </c>
      <c r="M7807" s="270" t="s">
        <v>3940</v>
      </c>
      <c r="N7807" s="270" t="s">
        <v>3944</v>
      </c>
      <c r="O7807" s="270">
        <v>2582.3000000000002</v>
      </c>
      <c r="P7807" s="270" t="s">
        <v>3944</v>
      </c>
      <c r="Q7807" s="270" t="s">
        <v>3944</v>
      </c>
      <c r="R7807" s="270">
        <v>2582.3000000000002</v>
      </c>
      <c r="S7807" s="270">
        <v>40010.93</v>
      </c>
      <c r="T7807" s="270">
        <v>42593.23</v>
      </c>
      <c r="U7807" s="271" t="s">
        <v>3945</v>
      </c>
      <c r="V7807" s="267" t="s">
        <v>944</v>
      </c>
    </row>
    <row r="7808" spans="1:22" hidden="1" x14ac:dyDescent="0.25">
      <c r="A7808" s="266">
        <v>43818</v>
      </c>
      <c r="B7808" s="267">
        <v>2019</v>
      </c>
      <c r="C7808" s="267">
        <v>2020</v>
      </c>
      <c r="D7808" s="267">
        <v>1</v>
      </c>
      <c r="E7808" s="267">
        <v>1</v>
      </c>
      <c r="F7808" s="267" t="s">
        <v>944</v>
      </c>
      <c r="G7808" s="267" t="s">
        <v>3926</v>
      </c>
      <c r="H7808" s="267" t="s">
        <v>12685</v>
      </c>
      <c r="I7808" s="267" t="s">
        <v>4042</v>
      </c>
      <c r="J7808" s="267" t="s">
        <v>3928</v>
      </c>
      <c r="K7808" s="267">
        <v>6370</v>
      </c>
      <c r="L7808" s="267">
        <v>695202</v>
      </c>
      <c r="M7808" s="267" t="s">
        <v>3935</v>
      </c>
      <c r="N7808" s="267" t="s">
        <v>3944</v>
      </c>
      <c r="O7808" s="267">
        <v>1921.33</v>
      </c>
      <c r="P7808" s="267" t="s">
        <v>3944</v>
      </c>
      <c r="Q7808" s="267" t="s">
        <v>3944</v>
      </c>
      <c r="R7808" s="267">
        <v>1921.33</v>
      </c>
      <c r="S7808" s="267">
        <v>27788.1</v>
      </c>
      <c r="T7808" s="267">
        <v>29709.43</v>
      </c>
      <c r="U7808" s="268" t="s">
        <v>3945</v>
      </c>
      <c r="V7808" s="267" t="s">
        <v>944</v>
      </c>
    </row>
    <row r="7809" spans="1:22" hidden="1" x14ac:dyDescent="0.25">
      <c r="A7809" s="269">
        <v>43818</v>
      </c>
      <c r="B7809" s="270">
        <v>2019</v>
      </c>
      <c r="C7809" s="270">
        <v>2020</v>
      </c>
      <c r="D7809" s="270">
        <v>1</v>
      </c>
      <c r="E7809" s="270">
        <v>1</v>
      </c>
      <c r="F7809" s="270" t="s">
        <v>944</v>
      </c>
      <c r="G7809" s="270" t="s">
        <v>3926</v>
      </c>
      <c r="H7809" s="270" t="s">
        <v>12686</v>
      </c>
      <c r="I7809" s="270" t="s">
        <v>4293</v>
      </c>
      <c r="J7809" s="270" t="s">
        <v>3928</v>
      </c>
      <c r="K7809" s="270">
        <v>6412</v>
      </c>
      <c r="L7809" s="270">
        <v>600100</v>
      </c>
      <c r="M7809" s="270" t="s">
        <v>3960</v>
      </c>
      <c r="N7809" s="270" t="s">
        <v>3944</v>
      </c>
      <c r="O7809" s="270">
        <v>2246.9299999999998</v>
      </c>
      <c r="P7809" s="270" t="s">
        <v>3944</v>
      </c>
      <c r="Q7809" s="270" t="s">
        <v>3944</v>
      </c>
      <c r="R7809" s="270">
        <v>2246.9299999999998</v>
      </c>
      <c r="S7809" s="270">
        <v>35727.910000000003</v>
      </c>
      <c r="T7809" s="270">
        <v>37974.839999999997</v>
      </c>
      <c r="U7809" s="271" t="s">
        <v>3945</v>
      </c>
      <c r="V7809" s="267" t="s">
        <v>944</v>
      </c>
    </row>
    <row r="7810" spans="1:22" hidden="1" x14ac:dyDescent="0.25">
      <c r="A7810" s="266">
        <v>43818</v>
      </c>
      <c r="B7810" s="267">
        <v>2019</v>
      </c>
      <c r="C7810" s="267">
        <v>2020</v>
      </c>
      <c r="D7810" s="267">
        <v>1</v>
      </c>
      <c r="E7810" s="267">
        <v>1</v>
      </c>
      <c r="F7810" s="267" t="s">
        <v>944</v>
      </c>
      <c r="G7810" s="267" t="s">
        <v>3926</v>
      </c>
      <c r="H7810" s="267" t="s">
        <v>12687</v>
      </c>
      <c r="I7810" s="267" t="s">
        <v>3939</v>
      </c>
      <c r="J7810" s="267" t="s">
        <v>3928</v>
      </c>
      <c r="K7810" s="267">
        <v>6513</v>
      </c>
      <c r="L7810" s="267">
        <v>180602</v>
      </c>
      <c r="M7810" s="267" t="s">
        <v>3935</v>
      </c>
      <c r="N7810" s="267" t="s">
        <v>3944</v>
      </c>
      <c r="O7810" s="267">
        <v>2186.98</v>
      </c>
      <c r="P7810" s="267" t="s">
        <v>3944</v>
      </c>
      <c r="Q7810" s="267" t="s">
        <v>3944</v>
      </c>
      <c r="R7810" s="267">
        <v>2186.98</v>
      </c>
      <c r="S7810" s="267">
        <v>33141.370000000003</v>
      </c>
      <c r="T7810" s="267">
        <v>35328.35</v>
      </c>
      <c r="U7810" s="268" t="s">
        <v>3945</v>
      </c>
      <c r="V7810" s="267" t="s">
        <v>944</v>
      </c>
    </row>
    <row r="7811" spans="1:22" hidden="1" x14ac:dyDescent="0.25">
      <c r="A7811" s="269">
        <v>43818</v>
      </c>
      <c r="B7811" s="270">
        <v>2019</v>
      </c>
      <c r="C7811" s="270">
        <v>2020</v>
      </c>
      <c r="D7811" s="270">
        <v>1</v>
      </c>
      <c r="E7811" s="270">
        <v>1</v>
      </c>
      <c r="F7811" s="270" t="s">
        <v>944</v>
      </c>
      <c r="G7811" s="270" t="s">
        <v>3926</v>
      </c>
      <c r="H7811" s="270" t="s">
        <v>12688</v>
      </c>
      <c r="I7811" s="270" t="s">
        <v>4085</v>
      </c>
      <c r="J7811" s="270" t="s">
        <v>3928</v>
      </c>
      <c r="K7811" s="270">
        <v>6351</v>
      </c>
      <c r="L7811" s="270">
        <v>709100</v>
      </c>
      <c r="M7811" s="270" t="s">
        <v>3935</v>
      </c>
      <c r="N7811" s="270" t="s">
        <v>3944</v>
      </c>
      <c r="O7811" s="270">
        <v>1444.1</v>
      </c>
      <c r="P7811" s="270" t="s">
        <v>3944</v>
      </c>
      <c r="Q7811" s="270" t="s">
        <v>3944</v>
      </c>
      <c r="R7811" s="270">
        <v>1444.1</v>
      </c>
      <c r="S7811" s="270">
        <v>21852.16</v>
      </c>
      <c r="T7811" s="270">
        <v>23296.26</v>
      </c>
      <c r="U7811" s="271" t="s">
        <v>3945</v>
      </c>
      <c r="V7811" s="267" t="s">
        <v>944</v>
      </c>
    </row>
    <row r="7812" spans="1:22" hidden="1" x14ac:dyDescent="0.25">
      <c r="A7812" s="266">
        <v>43818</v>
      </c>
      <c r="B7812" s="267">
        <v>2019</v>
      </c>
      <c r="C7812" s="267">
        <v>2020</v>
      </c>
      <c r="D7812" s="267">
        <v>1</v>
      </c>
      <c r="E7812" s="267">
        <v>1</v>
      </c>
      <c r="F7812" s="267" t="s">
        <v>944</v>
      </c>
      <c r="G7812" s="267" t="s">
        <v>3926</v>
      </c>
      <c r="H7812" s="267" t="s">
        <v>12689</v>
      </c>
      <c r="I7812" s="267" t="s">
        <v>4695</v>
      </c>
      <c r="J7812" s="267" t="s">
        <v>3928</v>
      </c>
      <c r="K7812" s="267">
        <v>6234</v>
      </c>
      <c r="L7812" s="267">
        <v>905100</v>
      </c>
      <c r="M7812" s="267" t="s">
        <v>3935</v>
      </c>
      <c r="N7812" s="267" t="s">
        <v>3944</v>
      </c>
      <c r="O7812" s="267">
        <v>2146.9699999999998</v>
      </c>
      <c r="P7812" s="267" t="s">
        <v>3944</v>
      </c>
      <c r="Q7812" s="267" t="s">
        <v>3944</v>
      </c>
      <c r="R7812" s="267">
        <v>2146.9699999999998</v>
      </c>
      <c r="S7812" s="267">
        <v>33451.230000000003</v>
      </c>
      <c r="T7812" s="267">
        <v>35598.199999999997</v>
      </c>
      <c r="U7812" s="268" t="s">
        <v>3945</v>
      </c>
      <c r="V7812" s="267" t="s">
        <v>944</v>
      </c>
    </row>
    <row r="7813" spans="1:22" hidden="1" x14ac:dyDescent="0.25">
      <c r="A7813" s="269">
        <v>43818</v>
      </c>
      <c r="B7813" s="270">
        <v>2019</v>
      </c>
      <c r="C7813" s="270">
        <v>2020</v>
      </c>
      <c r="D7813" s="270">
        <v>1</v>
      </c>
      <c r="E7813" s="270">
        <v>1</v>
      </c>
      <c r="F7813" s="270" t="s">
        <v>944</v>
      </c>
      <c r="G7813" s="270" t="s">
        <v>3926</v>
      </c>
      <c r="H7813" s="270" t="s">
        <v>12690</v>
      </c>
      <c r="I7813" s="270" t="s">
        <v>6268</v>
      </c>
      <c r="J7813" s="270" t="s">
        <v>3928</v>
      </c>
      <c r="K7813" s="270">
        <v>6371</v>
      </c>
      <c r="L7813" s="270">
        <v>660102</v>
      </c>
      <c r="M7813" s="270" t="s">
        <v>3960</v>
      </c>
      <c r="N7813" s="270" t="s">
        <v>3944</v>
      </c>
      <c r="O7813" s="270">
        <v>590.24</v>
      </c>
      <c r="P7813" s="270" t="s">
        <v>3944</v>
      </c>
      <c r="Q7813" s="270" t="s">
        <v>3944</v>
      </c>
      <c r="R7813" s="270">
        <v>590.24</v>
      </c>
      <c r="S7813" s="270">
        <v>9642.48</v>
      </c>
      <c r="T7813" s="270">
        <v>10232.719999999999</v>
      </c>
      <c r="U7813" s="271" t="s">
        <v>3945</v>
      </c>
      <c r="V7813" s="267" t="s">
        <v>944</v>
      </c>
    </row>
    <row r="7814" spans="1:22" hidden="1" x14ac:dyDescent="0.25">
      <c r="A7814" s="266">
        <v>43818</v>
      </c>
      <c r="B7814" s="267">
        <v>2019</v>
      </c>
      <c r="C7814" s="267">
        <v>2020</v>
      </c>
      <c r="D7814" s="267">
        <v>1</v>
      </c>
      <c r="E7814" s="267">
        <v>1</v>
      </c>
      <c r="F7814" s="267" t="s">
        <v>944</v>
      </c>
      <c r="G7814" s="267" t="s">
        <v>3926</v>
      </c>
      <c r="H7814" s="267" t="s">
        <v>12691</v>
      </c>
      <c r="I7814" s="267" t="s">
        <v>3954</v>
      </c>
      <c r="J7814" s="267" t="s">
        <v>3928</v>
      </c>
      <c r="K7814" s="267">
        <v>6357</v>
      </c>
      <c r="L7814" s="267">
        <v>870703</v>
      </c>
      <c r="M7814" s="267" t="s">
        <v>3935</v>
      </c>
      <c r="N7814" s="267" t="s">
        <v>3944</v>
      </c>
      <c r="O7814" s="267">
        <v>2355.61</v>
      </c>
      <c r="P7814" s="267" t="s">
        <v>3944</v>
      </c>
      <c r="Q7814" s="267" t="s">
        <v>3944</v>
      </c>
      <c r="R7814" s="267">
        <v>2355.61</v>
      </c>
      <c r="S7814" s="267">
        <v>35756.089999999997</v>
      </c>
      <c r="T7814" s="267">
        <v>38111.699999999997</v>
      </c>
      <c r="U7814" s="268" t="s">
        <v>3945</v>
      </c>
      <c r="V7814" s="267" t="s">
        <v>944</v>
      </c>
    </row>
    <row r="7815" spans="1:22" hidden="1" x14ac:dyDescent="0.25">
      <c r="A7815" s="269">
        <v>43818</v>
      </c>
      <c r="B7815" s="270">
        <v>2019</v>
      </c>
      <c r="C7815" s="270">
        <v>2020</v>
      </c>
      <c r="D7815" s="270">
        <v>1</v>
      </c>
      <c r="E7815" s="270">
        <v>1</v>
      </c>
      <c r="F7815" s="270" t="s">
        <v>944</v>
      </c>
      <c r="G7815" s="270" t="s">
        <v>3926</v>
      </c>
      <c r="H7815" s="270" t="s">
        <v>12692</v>
      </c>
      <c r="I7815" s="270" t="s">
        <v>953</v>
      </c>
      <c r="J7815" s="270" t="s">
        <v>3928</v>
      </c>
      <c r="K7815" s="270">
        <v>6518</v>
      </c>
      <c r="L7815" s="270">
        <v>165900</v>
      </c>
      <c r="M7815" s="270" t="s">
        <v>3943</v>
      </c>
      <c r="N7815" s="270" t="s">
        <v>3944</v>
      </c>
      <c r="O7815" s="270">
        <v>1749.58</v>
      </c>
      <c r="P7815" s="270" t="s">
        <v>3944</v>
      </c>
      <c r="Q7815" s="270" t="s">
        <v>3944</v>
      </c>
      <c r="R7815" s="270">
        <v>1749.58</v>
      </c>
      <c r="S7815" s="270">
        <v>26528.799999999999</v>
      </c>
      <c r="T7815" s="270">
        <v>28278.38</v>
      </c>
      <c r="U7815" s="271" t="s">
        <v>3945</v>
      </c>
      <c r="V7815" s="267" t="s">
        <v>944</v>
      </c>
    </row>
    <row r="7816" spans="1:22" hidden="1" x14ac:dyDescent="0.25">
      <c r="A7816" s="266">
        <v>43819</v>
      </c>
      <c r="B7816" s="267">
        <v>2019</v>
      </c>
      <c r="C7816" s="267">
        <v>2020</v>
      </c>
      <c r="D7816" s="267">
        <v>1</v>
      </c>
      <c r="E7816" s="267">
        <v>1</v>
      </c>
      <c r="F7816" s="267" t="s">
        <v>944</v>
      </c>
      <c r="G7816" s="267" t="s">
        <v>3926</v>
      </c>
      <c r="H7816" s="267" t="s">
        <v>12693</v>
      </c>
      <c r="I7816" s="267" t="s">
        <v>3964</v>
      </c>
      <c r="J7816" s="267" t="s">
        <v>3928</v>
      </c>
      <c r="K7816" s="267">
        <v>6033</v>
      </c>
      <c r="L7816" s="267">
        <v>520400</v>
      </c>
      <c r="M7816" s="267" t="s">
        <v>3943</v>
      </c>
      <c r="N7816" s="267" t="s">
        <v>3983</v>
      </c>
      <c r="O7816" s="267">
        <v>1131.76</v>
      </c>
      <c r="P7816" s="267" t="s">
        <v>3930</v>
      </c>
      <c r="Q7816" s="267" t="s">
        <v>3931</v>
      </c>
      <c r="R7816" s="267">
        <v>6131.76</v>
      </c>
      <c r="S7816" s="267">
        <v>16504</v>
      </c>
      <c r="T7816" s="267">
        <v>22635.759999999998</v>
      </c>
      <c r="U7816" s="268" t="s">
        <v>3932</v>
      </c>
      <c r="V7816" s="267" t="s">
        <v>944</v>
      </c>
    </row>
    <row r="7817" spans="1:22" hidden="1" x14ac:dyDescent="0.25">
      <c r="A7817" s="269">
        <v>43819</v>
      </c>
      <c r="B7817" s="270">
        <v>2019</v>
      </c>
      <c r="C7817" s="270">
        <v>2020</v>
      </c>
      <c r="D7817" s="270">
        <v>1</v>
      </c>
      <c r="E7817" s="270">
        <v>1</v>
      </c>
      <c r="F7817" s="270" t="s">
        <v>944</v>
      </c>
      <c r="G7817" s="270" t="s">
        <v>3926</v>
      </c>
      <c r="H7817" s="270" t="s">
        <v>12694</v>
      </c>
      <c r="I7817" s="270" t="s">
        <v>3985</v>
      </c>
      <c r="J7817" s="270" t="s">
        <v>3928</v>
      </c>
      <c r="K7817" s="270">
        <v>6226</v>
      </c>
      <c r="L7817" s="270">
        <v>800700</v>
      </c>
      <c r="M7817" s="270">
        <v>-60</v>
      </c>
      <c r="N7817" s="270" t="s">
        <v>3944</v>
      </c>
      <c r="O7817" s="270">
        <v>1890</v>
      </c>
      <c r="P7817" s="270" t="s">
        <v>3944</v>
      </c>
      <c r="Q7817" s="270" t="s">
        <v>3944</v>
      </c>
      <c r="R7817" s="270">
        <v>1890</v>
      </c>
      <c r="S7817" s="270">
        <v>13986</v>
      </c>
      <c r="T7817" s="270">
        <v>15876</v>
      </c>
      <c r="U7817" s="271" t="s">
        <v>3945</v>
      </c>
      <c r="V7817" s="267" t="s">
        <v>944</v>
      </c>
    </row>
    <row r="7818" spans="1:22" hidden="1" x14ac:dyDescent="0.25">
      <c r="A7818" s="266">
        <v>43819</v>
      </c>
      <c r="B7818" s="267">
        <v>2019</v>
      </c>
      <c r="C7818" s="267">
        <v>2020</v>
      </c>
      <c r="D7818" s="267">
        <v>1</v>
      </c>
      <c r="E7818" s="267">
        <v>1</v>
      </c>
      <c r="F7818" s="267" t="s">
        <v>944</v>
      </c>
      <c r="G7818" s="267" t="s">
        <v>3926</v>
      </c>
      <c r="H7818" s="267" t="s">
        <v>12695</v>
      </c>
      <c r="I7818" s="267" t="s">
        <v>4124</v>
      </c>
      <c r="J7818" s="267" t="s">
        <v>3928</v>
      </c>
      <c r="K7818" s="267">
        <v>6482</v>
      </c>
      <c r="L7818" s="267">
        <v>230502</v>
      </c>
      <c r="M7818" s="267" t="s">
        <v>3943</v>
      </c>
      <c r="N7818" s="267" t="s">
        <v>3944</v>
      </c>
      <c r="O7818" s="267">
        <v>2072</v>
      </c>
      <c r="P7818" s="267" t="s">
        <v>3944</v>
      </c>
      <c r="Q7818" s="267" t="s">
        <v>3944</v>
      </c>
      <c r="R7818" s="267">
        <v>2072</v>
      </c>
      <c r="S7818" s="267">
        <v>17339.16</v>
      </c>
      <c r="T7818" s="267">
        <v>19411.16</v>
      </c>
      <c r="U7818" s="268" t="s">
        <v>3945</v>
      </c>
      <c r="V7818" s="267" t="s">
        <v>944</v>
      </c>
    </row>
    <row r="7819" spans="1:22" hidden="1" x14ac:dyDescent="0.25">
      <c r="A7819" s="269">
        <v>43819</v>
      </c>
      <c r="B7819" s="270">
        <v>2019</v>
      </c>
      <c r="C7819" s="270">
        <v>2020</v>
      </c>
      <c r="D7819" s="270">
        <v>1</v>
      </c>
      <c r="E7819" s="270">
        <v>1</v>
      </c>
      <c r="F7819" s="270" t="s">
        <v>944</v>
      </c>
      <c r="G7819" s="270" t="s">
        <v>3926</v>
      </c>
      <c r="H7819" s="270" t="s">
        <v>12696</v>
      </c>
      <c r="I7819" s="270" t="s">
        <v>2985</v>
      </c>
      <c r="J7819" s="270" t="s">
        <v>3928</v>
      </c>
      <c r="K7819" s="270">
        <v>6824</v>
      </c>
      <c r="L7819" s="270">
        <v>61600</v>
      </c>
      <c r="M7819" s="270" t="s">
        <v>3943</v>
      </c>
      <c r="N7819" s="270" t="s">
        <v>3944</v>
      </c>
      <c r="O7819" s="270">
        <v>2645</v>
      </c>
      <c r="P7819" s="270" t="s">
        <v>3944</v>
      </c>
      <c r="Q7819" s="270" t="s">
        <v>3944</v>
      </c>
      <c r="R7819" s="270">
        <v>2645</v>
      </c>
      <c r="S7819" s="270">
        <v>26745</v>
      </c>
      <c r="T7819" s="270">
        <v>29390</v>
      </c>
      <c r="U7819" s="271" t="s">
        <v>3945</v>
      </c>
      <c r="V7819" s="267" t="s">
        <v>944</v>
      </c>
    </row>
    <row r="7820" spans="1:22" hidden="1" x14ac:dyDescent="0.25">
      <c r="A7820" s="266">
        <v>43819</v>
      </c>
      <c r="B7820" s="267">
        <v>2019</v>
      </c>
      <c r="C7820" s="267">
        <v>2020</v>
      </c>
      <c r="D7820" s="267">
        <v>1</v>
      </c>
      <c r="E7820" s="267">
        <v>1</v>
      </c>
      <c r="F7820" s="267" t="s">
        <v>944</v>
      </c>
      <c r="G7820" s="267" t="s">
        <v>3926</v>
      </c>
      <c r="H7820" s="267" t="s">
        <v>12697</v>
      </c>
      <c r="I7820" s="267" t="s">
        <v>4392</v>
      </c>
      <c r="J7820" s="267" t="s">
        <v>3928</v>
      </c>
      <c r="K7820" s="267">
        <v>6457</v>
      </c>
      <c r="L7820" s="267">
        <v>541401</v>
      </c>
      <c r="M7820" s="267" t="s">
        <v>3943</v>
      </c>
      <c r="N7820" s="267" t="s">
        <v>3944</v>
      </c>
      <c r="O7820" s="267">
        <v>4734</v>
      </c>
      <c r="P7820" s="267" t="s">
        <v>3944</v>
      </c>
      <c r="Q7820" s="267" t="s">
        <v>3944</v>
      </c>
      <c r="R7820" s="267">
        <v>4734</v>
      </c>
      <c r="S7820" s="267">
        <v>24603.8</v>
      </c>
      <c r="T7820" s="267">
        <v>29337.8</v>
      </c>
      <c r="U7820" s="268" t="s">
        <v>3945</v>
      </c>
      <c r="V7820" s="267" t="s">
        <v>944</v>
      </c>
    </row>
    <row r="7821" spans="1:22" hidden="1" x14ac:dyDescent="0.25">
      <c r="A7821" s="269">
        <v>43819</v>
      </c>
      <c r="B7821" s="270">
        <v>2019</v>
      </c>
      <c r="C7821" s="270">
        <v>2020</v>
      </c>
      <c r="D7821" s="270">
        <v>1</v>
      </c>
      <c r="E7821" s="270">
        <v>1</v>
      </c>
      <c r="F7821" s="270" t="s">
        <v>944</v>
      </c>
      <c r="G7821" s="270" t="s">
        <v>3926</v>
      </c>
      <c r="H7821" s="270" t="s">
        <v>12698</v>
      </c>
      <c r="I7821" s="270" t="s">
        <v>4461</v>
      </c>
      <c r="J7821" s="270" t="s">
        <v>3928</v>
      </c>
      <c r="K7821" s="270">
        <v>6831</v>
      </c>
      <c r="L7821" s="270">
        <v>10400</v>
      </c>
      <c r="M7821" s="270" t="s">
        <v>3943</v>
      </c>
      <c r="N7821" s="270" t="s">
        <v>3944</v>
      </c>
      <c r="O7821" s="270">
        <v>2698</v>
      </c>
      <c r="P7821" s="270" t="s">
        <v>3944</v>
      </c>
      <c r="Q7821" s="270" t="s">
        <v>3944</v>
      </c>
      <c r="R7821" s="270">
        <v>2698</v>
      </c>
      <c r="S7821" s="270">
        <v>19982</v>
      </c>
      <c r="T7821" s="270">
        <v>22680</v>
      </c>
      <c r="U7821" s="271" t="s">
        <v>3945</v>
      </c>
      <c r="V7821" s="267" t="s">
        <v>944</v>
      </c>
    </row>
    <row r="7822" spans="1:22" hidden="1" x14ac:dyDescent="0.25">
      <c r="A7822" s="266">
        <v>43819</v>
      </c>
      <c r="B7822" s="267">
        <v>2019</v>
      </c>
      <c r="C7822" s="267">
        <v>2020</v>
      </c>
      <c r="D7822" s="267">
        <v>1</v>
      </c>
      <c r="E7822" s="267">
        <v>1</v>
      </c>
      <c r="F7822" s="267" t="s">
        <v>944</v>
      </c>
      <c r="G7822" s="267" t="s">
        <v>3926</v>
      </c>
      <c r="H7822" s="267" t="s">
        <v>12699</v>
      </c>
      <c r="I7822" s="267" t="s">
        <v>953</v>
      </c>
      <c r="J7822" s="267" t="s">
        <v>3928</v>
      </c>
      <c r="K7822" s="267">
        <v>6518</v>
      </c>
      <c r="L7822" s="267">
        <v>166002</v>
      </c>
      <c r="M7822" s="267" t="s">
        <v>3960</v>
      </c>
      <c r="N7822" s="267" t="s">
        <v>3944</v>
      </c>
      <c r="O7822" s="267">
        <v>2592</v>
      </c>
      <c r="P7822" s="267" t="s">
        <v>3944</v>
      </c>
      <c r="Q7822" s="267" t="s">
        <v>3944</v>
      </c>
      <c r="R7822" s="267">
        <v>2592</v>
      </c>
      <c r="S7822" s="267">
        <v>47328</v>
      </c>
      <c r="T7822" s="267">
        <v>49920</v>
      </c>
      <c r="U7822" s="268" t="s">
        <v>3945</v>
      </c>
      <c r="V7822" s="267" t="s">
        <v>944</v>
      </c>
    </row>
    <row r="7823" spans="1:22" hidden="1" x14ac:dyDescent="0.25">
      <c r="A7823" s="269">
        <v>43819</v>
      </c>
      <c r="B7823" s="270">
        <v>2019</v>
      </c>
      <c r="C7823" s="270">
        <v>2020</v>
      </c>
      <c r="D7823" s="270">
        <v>1</v>
      </c>
      <c r="E7823" s="270">
        <v>1</v>
      </c>
      <c r="F7823" s="270" t="s">
        <v>944</v>
      </c>
      <c r="G7823" s="270" t="s">
        <v>3926</v>
      </c>
      <c r="H7823" s="270" t="s">
        <v>12700</v>
      </c>
      <c r="I7823" s="270" t="s">
        <v>3954</v>
      </c>
      <c r="J7823" s="270" t="s">
        <v>3928</v>
      </c>
      <c r="K7823" s="270">
        <v>6357</v>
      </c>
      <c r="L7823" s="270">
        <v>870704</v>
      </c>
      <c r="M7823" s="270" t="s">
        <v>3935</v>
      </c>
      <c r="N7823" s="270" t="s">
        <v>3944</v>
      </c>
      <c r="O7823" s="270">
        <v>3657</v>
      </c>
      <c r="P7823" s="270" t="s">
        <v>3944</v>
      </c>
      <c r="Q7823" s="270" t="s">
        <v>3944</v>
      </c>
      <c r="R7823" s="270">
        <v>3657</v>
      </c>
      <c r="S7823" s="270">
        <v>22683.599999999999</v>
      </c>
      <c r="T7823" s="270">
        <v>26340.6</v>
      </c>
      <c r="U7823" s="271" t="s">
        <v>3945</v>
      </c>
      <c r="V7823" s="267" t="s">
        <v>944</v>
      </c>
    </row>
    <row r="7824" spans="1:22" hidden="1" x14ac:dyDescent="0.25">
      <c r="A7824" s="266">
        <v>43819</v>
      </c>
      <c r="B7824" s="267">
        <v>2019</v>
      </c>
      <c r="C7824" s="267">
        <v>2020</v>
      </c>
      <c r="D7824" s="267">
        <v>1</v>
      </c>
      <c r="E7824" s="267">
        <v>1</v>
      </c>
      <c r="F7824" s="267" t="s">
        <v>944</v>
      </c>
      <c r="G7824" s="267" t="s">
        <v>3926</v>
      </c>
      <c r="H7824" s="267" t="s">
        <v>12701</v>
      </c>
      <c r="I7824" s="267" t="s">
        <v>7040</v>
      </c>
      <c r="J7824" s="267" t="s">
        <v>3928</v>
      </c>
      <c r="K7824" s="267">
        <v>6065</v>
      </c>
      <c r="L7824" s="267">
        <v>330100</v>
      </c>
      <c r="M7824" s="267" t="s">
        <v>3960</v>
      </c>
      <c r="N7824" s="267" t="s">
        <v>3944</v>
      </c>
      <c r="O7824" s="267">
        <v>1778.84</v>
      </c>
      <c r="P7824" s="267" t="s">
        <v>3944</v>
      </c>
      <c r="Q7824" s="267" t="s">
        <v>3944</v>
      </c>
      <c r="R7824" s="267">
        <v>1778.84</v>
      </c>
      <c r="S7824" s="267">
        <v>20605.060000000001</v>
      </c>
      <c r="T7824" s="267">
        <v>22383.9</v>
      </c>
      <c r="U7824" s="268" t="s">
        <v>3945</v>
      </c>
      <c r="V7824" s="267" t="s">
        <v>944</v>
      </c>
    </row>
    <row r="7825" spans="1:22" hidden="1" x14ac:dyDescent="0.25">
      <c r="A7825" s="269">
        <v>43819</v>
      </c>
      <c r="B7825" s="270">
        <v>2019</v>
      </c>
      <c r="C7825" s="270">
        <v>2020</v>
      </c>
      <c r="D7825" s="270">
        <v>1</v>
      </c>
      <c r="E7825" s="270">
        <v>1</v>
      </c>
      <c r="F7825" s="270" t="s">
        <v>944</v>
      </c>
      <c r="G7825" s="270" t="s">
        <v>3926</v>
      </c>
      <c r="H7825" s="270" t="s">
        <v>12702</v>
      </c>
      <c r="I7825" s="270" t="s">
        <v>4306</v>
      </c>
      <c r="J7825" s="270" t="s">
        <v>3928</v>
      </c>
      <c r="K7825" s="270">
        <v>6716</v>
      </c>
      <c r="L7825" s="270">
        <v>361200</v>
      </c>
      <c r="M7825" s="270" t="s">
        <v>3960</v>
      </c>
      <c r="N7825" s="270" t="s">
        <v>3944</v>
      </c>
      <c r="O7825" s="270">
        <v>3939.08</v>
      </c>
      <c r="P7825" s="270" t="s">
        <v>3944</v>
      </c>
      <c r="Q7825" s="270" t="s">
        <v>3944</v>
      </c>
      <c r="R7825" s="270">
        <v>3939.08</v>
      </c>
      <c r="S7825" s="270">
        <v>60185.919999999998</v>
      </c>
      <c r="T7825" s="270">
        <v>64125</v>
      </c>
      <c r="U7825" s="271" t="s">
        <v>3945</v>
      </c>
      <c r="V7825" s="267" t="s">
        <v>944</v>
      </c>
    </row>
    <row r="7826" spans="1:22" hidden="1" x14ac:dyDescent="0.25">
      <c r="A7826" s="266">
        <v>43819</v>
      </c>
      <c r="B7826" s="267">
        <v>2019</v>
      </c>
      <c r="C7826" s="267">
        <v>2020</v>
      </c>
      <c r="D7826" s="267">
        <v>1</v>
      </c>
      <c r="E7826" s="267">
        <v>1</v>
      </c>
      <c r="F7826" s="267" t="s">
        <v>944</v>
      </c>
      <c r="G7826" s="267" t="s">
        <v>3926</v>
      </c>
      <c r="H7826" s="267" t="s">
        <v>12703</v>
      </c>
      <c r="I7826" s="267" t="s">
        <v>4695</v>
      </c>
      <c r="J7826" s="267" t="s">
        <v>3928</v>
      </c>
      <c r="K7826" s="267">
        <v>6234</v>
      </c>
      <c r="L7826" s="267">
        <v>905100</v>
      </c>
      <c r="M7826" s="267" t="s">
        <v>3935</v>
      </c>
      <c r="N7826" s="267" t="s">
        <v>3944</v>
      </c>
      <c r="O7826" s="267">
        <v>2151.1</v>
      </c>
      <c r="P7826" s="267" t="s">
        <v>3944</v>
      </c>
      <c r="Q7826" s="267" t="s">
        <v>3944</v>
      </c>
      <c r="R7826" s="267">
        <v>2151.1</v>
      </c>
      <c r="S7826" s="267">
        <v>30979.46</v>
      </c>
      <c r="T7826" s="267">
        <v>33130.559999999998</v>
      </c>
      <c r="U7826" s="268" t="s">
        <v>3945</v>
      </c>
      <c r="V7826" s="267" t="s">
        <v>944</v>
      </c>
    </row>
    <row r="7827" spans="1:22" hidden="1" x14ac:dyDescent="0.25">
      <c r="A7827" s="269">
        <v>43819</v>
      </c>
      <c r="B7827" s="270">
        <v>2019</v>
      </c>
      <c r="C7827" s="270">
        <v>2020</v>
      </c>
      <c r="D7827" s="270">
        <v>1</v>
      </c>
      <c r="E7827" s="270">
        <v>1</v>
      </c>
      <c r="F7827" s="270" t="s">
        <v>944</v>
      </c>
      <c r="G7827" s="270" t="s">
        <v>3926</v>
      </c>
      <c r="H7827" s="270" t="s">
        <v>12704</v>
      </c>
      <c r="I7827" s="270" t="s">
        <v>4323</v>
      </c>
      <c r="J7827" s="270" t="s">
        <v>3928</v>
      </c>
      <c r="K7827" s="270">
        <v>6375</v>
      </c>
      <c r="L7827" s="270">
        <v>693600</v>
      </c>
      <c r="M7827" s="270" t="s">
        <v>3960</v>
      </c>
      <c r="N7827" s="270" t="s">
        <v>3944</v>
      </c>
      <c r="O7827" s="270">
        <v>472.64</v>
      </c>
      <c r="P7827" s="270" t="s">
        <v>3944</v>
      </c>
      <c r="Q7827" s="270" t="s">
        <v>3944</v>
      </c>
      <c r="R7827" s="270">
        <v>472.64</v>
      </c>
      <c r="S7827" s="270">
        <v>6243.14</v>
      </c>
      <c r="T7827" s="270">
        <v>6715.78</v>
      </c>
      <c r="U7827" s="271" t="s">
        <v>3945</v>
      </c>
      <c r="V7827" s="267" t="s">
        <v>944</v>
      </c>
    </row>
    <row r="7828" spans="1:22" hidden="1" x14ac:dyDescent="0.25">
      <c r="A7828" s="266">
        <v>43819</v>
      </c>
      <c r="B7828" s="267">
        <v>2019</v>
      </c>
      <c r="C7828" s="267">
        <v>2020</v>
      </c>
      <c r="D7828" s="267">
        <v>1</v>
      </c>
      <c r="E7828" s="267">
        <v>1</v>
      </c>
      <c r="F7828" s="267" t="s">
        <v>944</v>
      </c>
      <c r="G7828" s="267" t="s">
        <v>3926</v>
      </c>
      <c r="H7828" s="267" t="s">
        <v>12705</v>
      </c>
      <c r="I7828" s="267" t="s">
        <v>4323</v>
      </c>
      <c r="J7828" s="267" t="s">
        <v>3928</v>
      </c>
      <c r="K7828" s="267">
        <v>6375</v>
      </c>
      <c r="L7828" s="267">
        <v>693600</v>
      </c>
      <c r="M7828" s="267" t="s">
        <v>3960</v>
      </c>
      <c r="N7828" s="267" t="s">
        <v>3944</v>
      </c>
      <c r="O7828" s="267">
        <v>4324.01</v>
      </c>
      <c r="P7828" s="267" t="s">
        <v>3944</v>
      </c>
      <c r="Q7828" s="267" t="s">
        <v>3944</v>
      </c>
      <c r="R7828" s="267">
        <v>4324.01</v>
      </c>
      <c r="S7828" s="267">
        <v>64265.02</v>
      </c>
      <c r="T7828" s="267">
        <v>68589.03</v>
      </c>
      <c r="U7828" s="268" t="s">
        <v>3945</v>
      </c>
      <c r="V7828" s="267" t="s">
        <v>944</v>
      </c>
    </row>
    <row r="7829" spans="1:22" hidden="1" x14ac:dyDescent="0.25">
      <c r="A7829" s="269">
        <v>43819</v>
      </c>
      <c r="B7829" s="270">
        <v>2019</v>
      </c>
      <c r="C7829" s="270">
        <v>2020</v>
      </c>
      <c r="D7829" s="270">
        <v>1</v>
      </c>
      <c r="E7829" s="270">
        <v>1</v>
      </c>
      <c r="F7829" s="270" t="s">
        <v>944</v>
      </c>
      <c r="G7829" s="270" t="s">
        <v>3926</v>
      </c>
      <c r="H7829" s="270" t="s">
        <v>12706</v>
      </c>
      <c r="I7829" s="270" t="s">
        <v>956</v>
      </c>
      <c r="J7829" s="270" t="s">
        <v>3928</v>
      </c>
      <c r="K7829" s="270">
        <v>6614</v>
      </c>
      <c r="L7829" s="270">
        <v>80900</v>
      </c>
      <c r="M7829" s="270" t="s">
        <v>3960</v>
      </c>
      <c r="N7829" s="270" t="s">
        <v>3944</v>
      </c>
      <c r="O7829" s="270">
        <v>866.29</v>
      </c>
      <c r="P7829" s="270" t="s">
        <v>3944</v>
      </c>
      <c r="Q7829" s="270" t="s">
        <v>3944</v>
      </c>
      <c r="R7829" s="270">
        <v>866.29</v>
      </c>
      <c r="S7829" s="270">
        <v>14406.16</v>
      </c>
      <c r="T7829" s="270">
        <v>15272.45</v>
      </c>
      <c r="U7829" s="271" t="s">
        <v>3945</v>
      </c>
      <c r="V7829" s="267" t="s">
        <v>944</v>
      </c>
    </row>
    <row r="7830" spans="1:22" hidden="1" x14ac:dyDescent="0.25">
      <c r="A7830" s="266">
        <v>43819</v>
      </c>
      <c r="B7830" s="267">
        <v>2019</v>
      </c>
      <c r="C7830" s="267">
        <v>2020</v>
      </c>
      <c r="D7830" s="267">
        <v>1</v>
      </c>
      <c r="E7830" s="267">
        <v>1</v>
      </c>
      <c r="F7830" s="267" t="s">
        <v>944</v>
      </c>
      <c r="G7830" s="267" t="s">
        <v>3926</v>
      </c>
      <c r="H7830" s="267" t="s">
        <v>12707</v>
      </c>
      <c r="I7830" s="267" t="s">
        <v>4203</v>
      </c>
      <c r="J7830" s="267" t="s">
        <v>3928</v>
      </c>
      <c r="K7830" s="267">
        <v>6071</v>
      </c>
      <c r="L7830" s="267">
        <v>538201</v>
      </c>
      <c r="M7830" s="267" t="s">
        <v>3943</v>
      </c>
      <c r="N7830" s="267" t="s">
        <v>3944</v>
      </c>
      <c r="O7830" s="267">
        <v>2801.93</v>
      </c>
      <c r="P7830" s="267" t="s">
        <v>3944</v>
      </c>
      <c r="Q7830" s="267" t="s">
        <v>3944</v>
      </c>
      <c r="R7830" s="267">
        <v>2801.93</v>
      </c>
      <c r="S7830" s="267">
        <v>33986.07</v>
      </c>
      <c r="T7830" s="267">
        <v>36788</v>
      </c>
      <c r="U7830" s="268" t="s">
        <v>3945</v>
      </c>
      <c r="V7830" s="267" t="s">
        <v>944</v>
      </c>
    </row>
    <row r="7831" spans="1:22" hidden="1" x14ac:dyDescent="0.25">
      <c r="A7831" s="269">
        <v>43819</v>
      </c>
      <c r="B7831" s="270">
        <v>2019</v>
      </c>
      <c r="C7831" s="270">
        <v>2020</v>
      </c>
      <c r="D7831" s="270">
        <v>1</v>
      </c>
      <c r="E7831" s="270">
        <v>1</v>
      </c>
      <c r="F7831" s="270" t="s">
        <v>944</v>
      </c>
      <c r="G7831" s="270" t="s">
        <v>3926</v>
      </c>
      <c r="H7831" s="270" t="s">
        <v>12708</v>
      </c>
      <c r="I7831" s="270" t="s">
        <v>3949</v>
      </c>
      <c r="J7831" s="270" t="s">
        <v>3928</v>
      </c>
      <c r="K7831" s="270">
        <v>6437</v>
      </c>
      <c r="L7831" s="270">
        <v>190100</v>
      </c>
      <c r="M7831" s="270" t="s">
        <v>3960</v>
      </c>
      <c r="N7831" s="270" t="s">
        <v>12709</v>
      </c>
      <c r="O7831" s="270"/>
      <c r="P7831" s="270" t="s">
        <v>3944</v>
      </c>
      <c r="Q7831" s="270" t="s">
        <v>3930</v>
      </c>
      <c r="R7831" s="270">
        <v>0</v>
      </c>
      <c r="S7831" s="270">
        <v>126062.49</v>
      </c>
      <c r="T7831" s="270">
        <v>126062.49</v>
      </c>
      <c r="U7831" s="271" t="s">
        <v>4099</v>
      </c>
      <c r="V7831" s="267" t="s">
        <v>944</v>
      </c>
    </row>
    <row r="7832" spans="1:22" hidden="1" x14ac:dyDescent="0.25">
      <c r="A7832" s="266">
        <v>43820</v>
      </c>
      <c r="B7832" s="267">
        <v>2019</v>
      </c>
      <c r="C7832" s="267">
        <v>2020</v>
      </c>
      <c r="D7832" s="267">
        <v>1</v>
      </c>
      <c r="E7832" s="267">
        <v>1</v>
      </c>
      <c r="F7832" s="267" t="s">
        <v>944</v>
      </c>
      <c r="G7832" s="267" t="s">
        <v>3926</v>
      </c>
      <c r="H7832" s="267" t="s">
        <v>12710</v>
      </c>
      <c r="I7832" s="267" t="s">
        <v>3934</v>
      </c>
      <c r="J7832" s="267" t="s">
        <v>3928</v>
      </c>
      <c r="K7832" s="267">
        <v>6405</v>
      </c>
      <c r="L7832" s="267">
        <v>184300</v>
      </c>
      <c r="M7832" s="267" t="s">
        <v>3960</v>
      </c>
      <c r="N7832" s="267" t="s">
        <v>12711</v>
      </c>
      <c r="O7832" s="267">
        <v>0</v>
      </c>
      <c r="P7832" s="267" t="s">
        <v>3930</v>
      </c>
      <c r="Q7832" s="267" t="s">
        <v>3930</v>
      </c>
      <c r="R7832" s="267">
        <v>0</v>
      </c>
      <c r="S7832" s="267">
        <v>11335</v>
      </c>
      <c r="T7832" s="267">
        <v>11335</v>
      </c>
      <c r="U7832" s="268" t="s">
        <v>3937</v>
      </c>
      <c r="V7832" s="267" t="s">
        <v>944</v>
      </c>
    </row>
    <row r="7833" spans="1:22" x14ac:dyDescent="0.25">
      <c r="A7833" s="269">
        <v>43820</v>
      </c>
      <c r="B7833" s="270">
        <v>2019</v>
      </c>
      <c r="C7833" s="270">
        <v>2020</v>
      </c>
      <c r="D7833" s="270">
        <v>1</v>
      </c>
      <c r="E7833" s="270">
        <v>1</v>
      </c>
      <c r="F7833" s="270" t="s">
        <v>944</v>
      </c>
      <c r="G7833" s="270" t="s">
        <v>3997</v>
      </c>
      <c r="H7833" s="270" t="s">
        <v>12712</v>
      </c>
      <c r="I7833" s="270" t="s">
        <v>934</v>
      </c>
      <c r="J7833" s="270" t="s">
        <v>3928</v>
      </c>
      <c r="K7833" s="270">
        <v>6606</v>
      </c>
      <c r="L7833" s="270">
        <v>71900</v>
      </c>
      <c r="M7833" s="270">
        <v>-60</v>
      </c>
      <c r="N7833" s="270" t="s">
        <v>4523</v>
      </c>
      <c r="O7833" s="270">
        <v>4582.71</v>
      </c>
      <c r="P7833" s="270" t="s">
        <v>3930</v>
      </c>
      <c r="Q7833" s="270" t="s">
        <v>3931</v>
      </c>
      <c r="R7833" s="270">
        <v>9582.7099999999991</v>
      </c>
      <c r="S7833" s="270">
        <v>25412.799999999999</v>
      </c>
      <c r="T7833" s="270">
        <v>34995.51</v>
      </c>
      <c r="U7833" s="271" t="s">
        <v>3932</v>
      </c>
      <c r="V7833" s="276" t="s">
        <v>936</v>
      </c>
    </row>
    <row r="7834" spans="1:22" hidden="1" x14ac:dyDescent="0.25">
      <c r="A7834" s="266">
        <v>43820</v>
      </c>
      <c r="B7834" s="267">
        <v>2019</v>
      </c>
      <c r="C7834" s="267">
        <v>2020</v>
      </c>
      <c r="D7834" s="267">
        <v>1</v>
      </c>
      <c r="E7834" s="267">
        <v>1</v>
      </c>
      <c r="F7834" s="267" t="s">
        <v>944</v>
      </c>
      <c r="G7834" s="267" t="s">
        <v>3926</v>
      </c>
      <c r="H7834" s="267" t="s">
        <v>12713</v>
      </c>
      <c r="I7834" s="267" t="s">
        <v>943</v>
      </c>
      <c r="J7834" s="267" t="s">
        <v>3928</v>
      </c>
      <c r="K7834" s="267">
        <v>6515</v>
      </c>
      <c r="L7834" s="267">
        <v>141100</v>
      </c>
      <c r="M7834" s="267" t="s">
        <v>3960</v>
      </c>
      <c r="N7834" s="267" t="s">
        <v>4495</v>
      </c>
      <c r="O7834" s="267">
        <v>5088.66</v>
      </c>
      <c r="P7834" s="267" t="s">
        <v>3930</v>
      </c>
      <c r="Q7834" s="267" t="s">
        <v>3931</v>
      </c>
      <c r="R7834" s="267">
        <v>10088.66</v>
      </c>
      <c r="S7834" s="267">
        <v>33976</v>
      </c>
      <c r="T7834" s="267">
        <v>44064.66</v>
      </c>
      <c r="U7834" s="268" t="s">
        <v>3932</v>
      </c>
      <c r="V7834" s="267" t="s">
        <v>944</v>
      </c>
    </row>
    <row r="7835" spans="1:22" hidden="1" x14ac:dyDescent="0.25">
      <c r="A7835" s="269">
        <v>43821</v>
      </c>
      <c r="B7835" s="270">
        <v>2019</v>
      </c>
      <c r="C7835" s="270">
        <v>2020</v>
      </c>
      <c r="D7835" s="270">
        <v>1</v>
      </c>
      <c r="E7835" s="270">
        <v>1</v>
      </c>
      <c r="F7835" s="270" t="s">
        <v>944</v>
      </c>
      <c r="G7835" s="270" t="s">
        <v>3926</v>
      </c>
      <c r="H7835" s="270" t="s">
        <v>12714</v>
      </c>
      <c r="I7835" s="270" t="s">
        <v>2985</v>
      </c>
      <c r="J7835" s="270" t="s">
        <v>3928</v>
      </c>
      <c r="K7835" s="270">
        <v>6824</v>
      </c>
      <c r="L7835" s="270">
        <v>60300</v>
      </c>
      <c r="M7835" s="270" t="s">
        <v>3943</v>
      </c>
      <c r="N7835" s="270" t="s">
        <v>12715</v>
      </c>
      <c r="O7835" s="270">
        <v>5201</v>
      </c>
      <c r="P7835" s="270" t="s">
        <v>3930</v>
      </c>
      <c r="Q7835" s="270" t="s">
        <v>3930</v>
      </c>
      <c r="R7835" s="270">
        <v>5201</v>
      </c>
      <c r="S7835" s="270">
        <v>37536</v>
      </c>
      <c r="T7835" s="270">
        <v>42737</v>
      </c>
      <c r="U7835" s="271" t="s">
        <v>3937</v>
      </c>
      <c r="V7835" s="267" t="s">
        <v>944</v>
      </c>
    </row>
    <row r="7836" spans="1:22" hidden="1" x14ac:dyDescent="0.25">
      <c r="A7836" s="266">
        <v>43822</v>
      </c>
      <c r="B7836" s="267">
        <v>2019</v>
      </c>
      <c r="C7836" s="267">
        <v>2020</v>
      </c>
      <c r="D7836" s="267">
        <v>1</v>
      </c>
      <c r="E7836" s="267">
        <v>1</v>
      </c>
      <c r="F7836" s="267" t="s">
        <v>944</v>
      </c>
      <c r="G7836" s="267" t="s">
        <v>3926</v>
      </c>
      <c r="H7836" s="267" t="s">
        <v>12716</v>
      </c>
      <c r="I7836" s="267" t="s">
        <v>2987</v>
      </c>
      <c r="J7836" s="267" t="s">
        <v>3928</v>
      </c>
      <c r="K7836" s="267">
        <v>6611</v>
      </c>
      <c r="L7836" s="267">
        <v>90400</v>
      </c>
      <c r="M7836" s="267" t="s">
        <v>3943</v>
      </c>
      <c r="N7836" s="267" t="s">
        <v>4103</v>
      </c>
      <c r="O7836" s="267">
        <v>3665.97</v>
      </c>
      <c r="P7836" s="267" t="s">
        <v>3930</v>
      </c>
      <c r="Q7836" s="267" t="s">
        <v>3931</v>
      </c>
      <c r="R7836" s="267">
        <v>8665.9699999999993</v>
      </c>
      <c r="S7836" s="267">
        <v>24145.599999999999</v>
      </c>
      <c r="T7836" s="267">
        <v>32811.57</v>
      </c>
      <c r="U7836" s="268" t="s">
        <v>3932</v>
      </c>
      <c r="V7836" s="267" t="s">
        <v>944</v>
      </c>
    </row>
    <row r="7837" spans="1:22" hidden="1" x14ac:dyDescent="0.25">
      <c r="A7837" s="269">
        <v>43822</v>
      </c>
      <c r="B7837" s="270">
        <v>2019</v>
      </c>
      <c r="C7837" s="270">
        <v>2020</v>
      </c>
      <c r="D7837" s="270">
        <v>1</v>
      </c>
      <c r="E7837" s="270">
        <v>1</v>
      </c>
      <c r="F7837" s="270" t="s">
        <v>944</v>
      </c>
      <c r="G7837" s="270" t="s">
        <v>3926</v>
      </c>
      <c r="H7837" s="270" t="s">
        <v>12717</v>
      </c>
      <c r="I7837" s="270" t="s">
        <v>4073</v>
      </c>
      <c r="J7837" s="270" t="s">
        <v>3928</v>
      </c>
      <c r="K7837" s="270">
        <v>6776</v>
      </c>
      <c r="L7837" s="270">
        <v>253200</v>
      </c>
      <c r="M7837" s="270" t="s">
        <v>3960</v>
      </c>
      <c r="N7837" s="270" t="s">
        <v>3944</v>
      </c>
      <c r="O7837" s="270">
        <v>5085</v>
      </c>
      <c r="P7837" s="270" t="s">
        <v>3944</v>
      </c>
      <c r="Q7837" s="270" t="s">
        <v>3944</v>
      </c>
      <c r="R7837" s="270">
        <v>5085</v>
      </c>
      <c r="S7837" s="270">
        <v>66594.44</v>
      </c>
      <c r="T7837" s="270">
        <v>71679.44</v>
      </c>
      <c r="U7837" s="271" t="s">
        <v>3945</v>
      </c>
      <c r="V7837" s="267" t="s">
        <v>944</v>
      </c>
    </row>
    <row r="7838" spans="1:22" hidden="1" x14ac:dyDescent="0.25">
      <c r="A7838" s="266">
        <v>43822</v>
      </c>
      <c r="B7838" s="267">
        <v>2019</v>
      </c>
      <c r="C7838" s="267">
        <v>2020</v>
      </c>
      <c r="D7838" s="267">
        <v>1</v>
      </c>
      <c r="E7838" s="267">
        <v>1</v>
      </c>
      <c r="F7838" s="267" t="s">
        <v>944</v>
      </c>
      <c r="G7838" s="267" t="s">
        <v>3926</v>
      </c>
      <c r="H7838" s="267" t="s">
        <v>12718</v>
      </c>
      <c r="I7838" s="267" t="s">
        <v>4011</v>
      </c>
      <c r="J7838" s="267" t="s">
        <v>3928</v>
      </c>
      <c r="K7838" s="267">
        <v>6002</v>
      </c>
      <c r="L7838" s="267">
        <v>471400</v>
      </c>
      <c r="M7838" s="267" t="s">
        <v>3943</v>
      </c>
      <c r="N7838" s="267" t="s">
        <v>3944</v>
      </c>
      <c r="O7838" s="267">
        <v>3722</v>
      </c>
      <c r="P7838" s="267" t="s">
        <v>3944</v>
      </c>
      <c r="Q7838" s="267" t="s">
        <v>3944</v>
      </c>
      <c r="R7838" s="267">
        <v>3722</v>
      </c>
      <c r="S7838" s="267">
        <v>36891</v>
      </c>
      <c r="T7838" s="267">
        <v>40613</v>
      </c>
      <c r="U7838" s="268" t="s">
        <v>3945</v>
      </c>
      <c r="V7838" s="267" t="s">
        <v>944</v>
      </c>
    </row>
    <row r="7839" spans="1:22" hidden="1" x14ac:dyDescent="0.25">
      <c r="A7839" s="269">
        <v>43822</v>
      </c>
      <c r="B7839" s="270">
        <v>2019</v>
      </c>
      <c r="C7839" s="270">
        <v>2020</v>
      </c>
      <c r="D7839" s="270">
        <v>1</v>
      </c>
      <c r="E7839" s="270">
        <v>1</v>
      </c>
      <c r="F7839" s="270" t="s">
        <v>944</v>
      </c>
      <c r="G7839" s="270" t="s">
        <v>3997</v>
      </c>
      <c r="H7839" s="270" t="s">
        <v>12719</v>
      </c>
      <c r="I7839" s="270" t="s">
        <v>4042</v>
      </c>
      <c r="J7839" s="270" t="s">
        <v>3928</v>
      </c>
      <c r="K7839" s="270">
        <v>6382</v>
      </c>
      <c r="L7839" s="270">
        <v>870501</v>
      </c>
      <c r="M7839" s="270" t="s">
        <v>3935</v>
      </c>
      <c r="N7839" s="270" t="s">
        <v>3944</v>
      </c>
      <c r="O7839" s="270">
        <v>1781.12</v>
      </c>
      <c r="P7839" s="270" t="s">
        <v>3944</v>
      </c>
      <c r="Q7839" s="270" t="s">
        <v>3944</v>
      </c>
      <c r="R7839" s="270">
        <v>1781.12</v>
      </c>
      <c r="S7839" s="270">
        <v>22558.400000000001</v>
      </c>
      <c r="T7839" s="270">
        <v>24339.52</v>
      </c>
      <c r="U7839" s="271" t="s">
        <v>3945</v>
      </c>
      <c r="V7839" s="267" t="s">
        <v>944</v>
      </c>
    </row>
    <row r="7840" spans="1:22" hidden="1" x14ac:dyDescent="0.25">
      <c r="A7840" s="266">
        <v>43822</v>
      </c>
      <c r="B7840" s="267">
        <v>2019</v>
      </c>
      <c r="C7840" s="267">
        <v>2020</v>
      </c>
      <c r="D7840" s="267">
        <v>1</v>
      </c>
      <c r="E7840" s="267">
        <v>1</v>
      </c>
      <c r="F7840" s="267" t="s">
        <v>944</v>
      </c>
      <c r="G7840" s="267" t="s">
        <v>3926</v>
      </c>
      <c r="H7840" s="267" t="s">
        <v>12720</v>
      </c>
      <c r="I7840" s="267" t="s">
        <v>4011</v>
      </c>
      <c r="J7840" s="267" t="s">
        <v>3928</v>
      </c>
      <c r="K7840" s="267">
        <v>6002</v>
      </c>
      <c r="L7840" s="267">
        <v>471200</v>
      </c>
      <c r="M7840" s="267" t="s">
        <v>3940</v>
      </c>
      <c r="N7840" s="267" t="s">
        <v>3944</v>
      </c>
      <c r="O7840" s="267">
        <v>876.47</v>
      </c>
      <c r="P7840" s="267" t="s">
        <v>3944</v>
      </c>
      <c r="Q7840" s="267" t="s">
        <v>3944</v>
      </c>
      <c r="R7840" s="267">
        <v>876.47</v>
      </c>
      <c r="S7840" s="267">
        <v>13938.89</v>
      </c>
      <c r="T7840" s="267">
        <v>14815.36</v>
      </c>
      <c r="U7840" s="268" t="s">
        <v>3945</v>
      </c>
      <c r="V7840" s="267" t="s">
        <v>944</v>
      </c>
    </row>
    <row r="7841" spans="1:22" hidden="1" x14ac:dyDescent="0.25">
      <c r="A7841" s="269">
        <v>43822</v>
      </c>
      <c r="B7841" s="270">
        <v>2019</v>
      </c>
      <c r="C7841" s="270">
        <v>2020</v>
      </c>
      <c r="D7841" s="270">
        <v>1</v>
      </c>
      <c r="E7841" s="270">
        <v>1</v>
      </c>
      <c r="F7841" s="270" t="s">
        <v>944</v>
      </c>
      <c r="G7841" s="270" t="s">
        <v>3926</v>
      </c>
      <c r="H7841" s="270" t="s">
        <v>12721</v>
      </c>
      <c r="I7841" s="270" t="s">
        <v>953</v>
      </c>
      <c r="J7841" s="270" t="s">
        <v>3928</v>
      </c>
      <c r="K7841" s="270">
        <v>6518</v>
      </c>
      <c r="L7841" s="270">
        <v>166002</v>
      </c>
      <c r="M7841" s="270" t="s">
        <v>3960</v>
      </c>
      <c r="N7841" s="270" t="s">
        <v>3944</v>
      </c>
      <c r="O7841" s="270">
        <v>1989.33</v>
      </c>
      <c r="P7841" s="270" t="s">
        <v>3944</v>
      </c>
      <c r="Q7841" s="270" t="s">
        <v>3944</v>
      </c>
      <c r="R7841" s="270">
        <v>1989.33</v>
      </c>
      <c r="S7841" s="270">
        <v>30521.72</v>
      </c>
      <c r="T7841" s="270">
        <v>32511.05</v>
      </c>
      <c r="U7841" s="271" t="s">
        <v>3945</v>
      </c>
      <c r="V7841" s="267" t="s">
        <v>944</v>
      </c>
    </row>
    <row r="7842" spans="1:22" hidden="1" x14ac:dyDescent="0.25">
      <c r="A7842" s="266">
        <v>43822</v>
      </c>
      <c r="B7842" s="267">
        <v>2019</v>
      </c>
      <c r="C7842" s="267">
        <v>2020</v>
      </c>
      <c r="D7842" s="267">
        <v>1</v>
      </c>
      <c r="E7842" s="267">
        <v>1</v>
      </c>
      <c r="F7842" s="267" t="s">
        <v>944</v>
      </c>
      <c r="G7842" s="267" t="s">
        <v>3926</v>
      </c>
      <c r="H7842" s="267" t="s">
        <v>12722</v>
      </c>
      <c r="I7842" s="267" t="s">
        <v>956</v>
      </c>
      <c r="J7842" s="267" t="s">
        <v>3928</v>
      </c>
      <c r="K7842" s="267">
        <v>6614</v>
      </c>
      <c r="L7842" s="267">
        <v>81200</v>
      </c>
      <c r="M7842" s="267" t="s">
        <v>3943</v>
      </c>
      <c r="N7842" s="267" t="s">
        <v>3944</v>
      </c>
      <c r="O7842" s="267">
        <v>1928.78</v>
      </c>
      <c r="P7842" s="267" t="s">
        <v>3944</v>
      </c>
      <c r="Q7842" s="267" t="s">
        <v>3944</v>
      </c>
      <c r="R7842" s="267">
        <v>1928.78</v>
      </c>
      <c r="S7842" s="267">
        <v>30747.22</v>
      </c>
      <c r="T7842" s="267">
        <v>32676</v>
      </c>
      <c r="U7842" s="268" t="s">
        <v>3945</v>
      </c>
      <c r="V7842" s="267" t="s">
        <v>944</v>
      </c>
    </row>
    <row r="7843" spans="1:22" hidden="1" x14ac:dyDescent="0.25">
      <c r="A7843" s="269">
        <v>43822</v>
      </c>
      <c r="B7843" s="270">
        <v>2019</v>
      </c>
      <c r="C7843" s="270">
        <v>2020</v>
      </c>
      <c r="D7843" s="270">
        <v>1</v>
      </c>
      <c r="E7843" s="270">
        <v>1</v>
      </c>
      <c r="F7843" s="270" t="s">
        <v>944</v>
      </c>
      <c r="G7843" s="270" t="s">
        <v>3926</v>
      </c>
      <c r="H7843" s="270" t="s">
        <v>12723</v>
      </c>
      <c r="I7843" s="270" t="s">
        <v>956</v>
      </c>
      <c r="J7843" s="270" t="s">
        <v>3928</v>
      </c>
      <c r="K7843" s="270">
        <v>6614</v>
      </c>
      <c r="L7843" s="270">
        <v>81200</v>
      </c>
      <c r="M7843" s="270" t="s">
        <v>3943</v>
      </c>
      <c r="N7843" s="270" t="s">
        <v>3944</v>
      </c>
      <c r="O7843" s="270">
        <v>1740.48</v>
      </c>
      <c r="P7843" s="270" t="s">
        <v>3944</v>
      </c>
      <c r="Q7843" s="270" t="s">
        <v>3944</v>
      </c>
      <c r="R7843" s="270">
        <v>1740.48</v>
      </c>
      <c r="S7843" s="270">
        <v>31750.91</v>
      </c>
      <c r="T7843" s="270">
        <v>33491.39</v>
      </c>
      <c r="U7843" s="271" t="s">
        <v>3945</v>
      </c>
      <c r="V7843" s="267" t="s">
        <v>944</v>
      </c>
    </row>
    <row r="7844" spans="1:22" hidden="1" x14ac:dyDescent="0.25">
      <c r="A7844" s="266">
        <v>43822</v>
      </c>
      <c r="B7844" s="267">
        <v>2019</v>
      </c>
      <c r="C7844" s="267">
        <v>2020</v>
      </c>
      <c r="D7844" s="267">
        <v>1</v>
      </c>
      <c r="E7844" s="267">
        <v>1</v>
      </c>
      <c r="F7844" s="267" t="s">
        <v>944</v>
      </c>
      <c r="G7844" s="267" t="s">
        <v>3926</v>
      </c>
      <c r="H7844" s="267" t="s">
        <v>12724</v>
      </c>
      <c r="I7844" s="267" t="s">
        <v>4005</v>
      </c>
      <c r="J7844" s="267" t="s">
        <v>3928</v>
      </c>
      <c r="K7844" s="267">
        <v>6108</v>
      </c>
      <c r="L7844" s="267">
        <v>510200</v>
      </c>
      <c r="M7844" s="267">
        <v>-60</v>
      </c>
      <c r="N7844" s="267" t="s">
        <v>12725</v>
      </c>
      <c r="O7844" s="267"/>
      <c r="P7844" s="267" t="s">
        <v>3944</v>
      </c>
      <c r="Q7844" s="267" t="s">
        <v>3930</v>
      </c>
      <c r="R7844" s="267">
        <v>0</v>
      </c>
      <c r="S7844" s="267">
        <v>143600.24</v>
      </c>
      <c r="T7844" s="267">
        <v>143600.24</v>
      </c>
      <c r="U7844" s="268" t="s">
        <v>4099</v>
      </c>
      <c r="V7844" s="267" t="s">
        <v>944</v>
      </c>
    </row>
    <row r="7845" spans="1:22" x14ac:dyDescent="0.25">
      <c r="A7845" s="269">
        <v>43823</v>
      </c>
      <c r="B7845" s="270">
        <v>2019</v>
      </c>
      <c r="C7845" s="270">
        <v>2020</v>
      </c>
      <c r="D7845" s="270">
        <v>1</v>
      </c>
      <c r="E7845" s="270">
        <v>1</v>
      </c>
      <c r="F7845" s="270" t="s">
        <v>944</v>
      </c>
      <c r="G7845" s="270" t="s">
        <v>3926</v>
      </c>
      <c r="H7845" s="270" t="s">
        <v>12726</v>
      </c>
      <c r="I7845" s="270" t="s">
        <v>943</v>
      </c>
      <c r="J7845" s="270" t="s">
        <v>3928</v>
      </c>
      <c r="K7845" s="270">
        <v>6519</v>
      </c>
      <c r="L7845" s="270">
        <v>140500</v>
      </c>
      <c r="M7845" s="270">
        <v>-60</v>
      </c>
      <c r="N7845" s="270" t="s">
        <v>11119</v>
      </c>
      <c r="O7845" s="270">
        <v>0</v>
      </c>
      <c r="P7845" s="270" t="s">
        <v>3930</v>
      </c>
      <c r="Q7845" s="270" t="s">
        <v>3930</v>
      </c>
      <c r="R7845" s="270">
        <v>0</v>
      </c>
      <c r="S7845" s="270">
        <v>4250</v>
      </c>
      <c r="T7845" s="270">
        <v>4250</v>
      </c>
      <c r="U7845" s="271" t="s">
        <v>3937</v>
      </c>
      <c r="V7845" s="276" t="s">
        <v>936</v>
      </c>
    </row>
    <row r="7846" spans="1:22" hidden="1" x14ac:dyDescent="0.25">
      <c r="A7846" s="266">
        <v>43823</v>
      </c>
      <c r="B7846" s="267">
        <v>2019</v>
      </c>
      <c r="C7846" s="267">
        <v>2020</v>
      </c>
      <c r="D7846" s="267">
        <v>1</v>
      </c>
      <c r="E7846" s="267">
        <v>1</v>
      </c>
      <c r="F7846" s="267" t="s">
        <v>944</v>
      </c>
      <c r="G7846" s="267" t="s">
        <v>3926</v>
      </c>
      <c r="H7846" s="267" t="s">
        <v>12727</v>
      </c>
      <c r="I7846" s="267" t="s">
        <v>3968</v>
      </c>
      <c r="J7846" s="267" t="s">
        <v>3928</v>
      </c>
      <c r="K7846" s="267">
        <v>6042</v>
      </c>
      <c r="L7846" s="267">
        <v>514101</v>
      </c>
      <c r="M7846" s="267" t="s">
        <v>3960</v>
      </c>
      <c r="N7846" s="267" t="s">
        <v>7085</v>
      </c>
      <c r="O7846" s="267">
        <v>0</v>
      </c>
      <c r="P7846" s="267" t="s">
        <v>3930</v>
      </c>
      <c r="Q7846" s="267" t="s">
        <v>3930</v>
      </c>
      <c r="R7846" s="267">
        <v>0</v>
      </c>
      <c r="S7846" s="267">
        <v>11100</v>
      </c>
      <c r="T7846" s="267">
        <v>11100</v>
      </c>
      <c r="U7846" s="268" t="s">
        <v>3937</v>
      </c>
      <c r="V7846" s="267" t="s">
        <v>944</v>
      </c>
    </row>
    <row r="7847" spans="1:22" hidden="1" x14ac:dyDescent="0.25">
      <c r="A7847" s="269">
        <v>43823</v>
      </c>
      <c r="B7847" s="270">
        <v>2019</v>
      </c>
      <c r="C7847" s="270">
        <v>2020</v>
      </c>
      <c r="D7847" s="270">
        <v>1</v>
      </c>
      <c r="E7847" s="270">
        <v>1</v>
      </c>
      <c r="F7847" s="270" t="s">
        <v>944</v>
      </c>
      <c r="G7847" s="270" t="s">
        <v>3926</v>
      </c>
      <c r="H7847" s="270" t="s">
        <v>12728</v>
      </c>
      <c r="I7847" s="270" t="s">
        <v>4318</v>
      </c>
      <c r="J7847" s="270" t="s">
        <v>3928</v>
      </c>
      <c r="K7847" s="270">
        <v>6278</v>
      </c>
      <c r="L7847" s="270">
        <v>830100</v>
      </c>
      <c r="M7847" s="270" t="s">
        <v>3935</v>
      </c>
      <c r="N7847" s="270" t="s">
        <v>6873</v>
      </c>
      <c r="O7847" s="270">
        <v>0</v>
      </c>
      <c r="P7847" s="270" t="s">
        <v>3930</v>
      </c>
      <c r="Q7847" s="270" t="s">
        <v>3930</v>
      </c>
      <c r="R7847" s="270">
        <v>0</v>
      </c>
      <c r="S7847" s="270">
        <v>7200</v>
      </c>
      <c r="T7847" s="270">
        <v>7200</v>
      </c>
      <c r="U7847" s="271" t="s">
        <v>3937</v>
      </c>
      <c r="V7847" s="267" t="s">
        <v>944</v>
      </c>
    </row>
    <row r="7848" spans="1:22" hidden="1" x14ac:dyDescent="0.25">
      <c r="A7848" s="266">
        <v>43823</v>
      </c>
      <c r="B7848" s="267">
        <v>2019</v>
      </c>
      <c r="C7848" s="267">
        <v>2020</v>
      </c>
      <c r="D7848" s="267">
        <v>1</v>
      </c>
      <c r="E7848" s="267">
        <v>1</v>
      </c>
      <c r="F7848" s="267" t="s">
        <v>944</v>
      </c>
      <c r="G7848" s="267" t="s">
        <v>3926</v>
      </c>
      <c r="H7848" s="267" t="s">
        <v>12729</v>
      </c>
      <c r="I7848" s="267" t="s">
        <v>4269</v>
      </c>
      <c r="J7848" s="267" t="s">
        <v>3928</v>
      </c>
      <c r="K7848" s="267">
        <v>6107</v>
      </c>
      <c r="L7848" s="267">
        <v>496500</v>
      </c>
      <c r="M7848" s="267" t="s">
        <v>3943</v>
      </c>
      <c r="N7848" s="267" t="s">
        <v>12730</v>
      </c>
      <c r="O7848" s="267">
        <v>0</v>
      </c>
      <c r="P7848" s="267" t="s">
        <v>3930</v>
      </c>
      <c r="Q7848" s="267" t="s">
        <v>3930</v>
      </c>
      <c r="R7848" s="267">
        <v>0</v>
      </c>
      <c r="S7848" s="267">
        <v>24100</v>
      </c>
      <c r="T7848" s="267">
        <v>24100</v>
      </c>
      <c r="U7848" s="268" t="s">
        <v>3937</v>
      </c>
      <c r="V7848" s="267" t="s">
        <v>944</v>
      </c>
    </row>
    <row r="7849" spans="1:22" hidden="1" x14ac:dyDescent="0.25">
      <c r="A7849" s="269">
        <v>43823</v>
      </c>
      <c r="B7849" s="270">
        <v>2019</v>
      </c>
      <c r="C7849" s="270">
        <v>2020</v>
      </c>
      <c r="D7849" s="270">
        <v>1</v>
      </c>
      <c r="E7849" s="270">
        <v>1</v>
      </c>
      <c r="F7849" s="270" t="s">
        <v>944</v>
      </c>
      <c r="G7849" s="270" t="s">
        <v>3926</v>
      </c>
      <c r="H7849" s="270" t="s">
        <v>12731</v>
      </c>
      <c r="I7849" s="270" t="s">
        <v>3968</v>
      </c>
      <c r="J7849" s="270" t="s">
        <v>3928</v>
      </c>
      <c r="K7849" s="270">
        <v>6042</v>
      </c>
      <c r="L7849" s="270">
        <v>514900</v>
      </c>
      <c r="M7849" s="270" t="s">
        <v>3960</v>
      </c>
      <c r="N7849" s="270" t="s">
        <v>3944</v>
      </c>
      <c r="O7849" s="270">
        <v>1734.46</v>
      </c>
      <c r="P7849" s="270" t="s">
        <v>3944</v>
      </c>
      <c r="Q7849" s="270" t="s">
        <v>3944</v>
      </c>
      <c r="R7849" s="270">
        <v>1734.46</v>
      </c>
      <c r="S7849" s="270">
        <v>25717.79</v>
      </c>
      <c r="T7849" s="270">
        <v>27452.25</v>
      </c>
      <c r="U7849" s="271" t="s">
        <v>3945</v>
      </c>
      <c r="V7849" s="267" t="s">
        <v>944</v>
      </c>
    </row>
    <row r="7850" spans="1:22" hidden="1" x14ac:dyDescent="0.25">
      <c r="A7850" s="266">
        <v>43823</v>
      </c>
      <c r="B7850" s="267">
        <v>2019</v>
      </c>
      <c r="C7850" s="267">
        <v>2020</v>
      </c>
      <c r="D7850" s="267">
        <v>1</v>
      </c>
      <c r="E7850" s="267">
        <v>1</v>
      </c>
      <c r="F7850" s="267" t="s">
        <v>944</v>
      </c>
      <c r="G7850" s="267" t="s">
        <v>3926</v>
      </c>
      <c r="H7850" s="267" t="s">
        <v>12732</v>
      </c>
      <c r="I7850" s="267" t="s">
        <v>4079</v>
      </c>
      <c r="J7850" s="267" t="s">
        <v>3928</v>
      </c>
      <c r="K7850" s="267">
        <v>6111</v>
      </c>
      <c r="L7850" s="267">
        <v>494300</v>
      </c>
      <c r="M7850" s="267" t="s">
        <v>3935</v>
      </c>
      <c r="N7850" s="267" t="s">
        <v>3944</v>
      </c>
      <c r="O7850" s="267">
        <v>1243.1300000000001</v>
      </c>
      <c r="P7850" s="267" t="s">
        <v>3944</v>
      </c>
      <c r="Q7850" s="267" t="s">
        <v>3944</v>
      </c>
      <c r="R7850" s="267">
        <v>1243.1300000000001</v>
      </c>
      <c r="S7850" s="267">
        <v>17903.740000000002</v>
      </c>
      <c r="T7850" s="267">
        <v>19146.87</v>
      </c>
      <c r="U7850" s="268" t="s">
        <v>3945</v>
      </c>
      <c r="V7850" s="267" t="s">
        <v>944</v>
      </c>
    </row>
    <row r="7851" spans="1:22" hidden="1" x14ac:dyDescent="0.25">
      <c r="A7851" s="269">
        <v>43823</v>
      </c>
      <c r="B7851" s="270">
        <v>2019</v>
      </c>
      <c r="C7851" s="270">
        <v>2020</v>
      </c>
      <c r="D7851" s="270">
        <v>1</v>
      </c>
      <c r="E7851" s="270">
        <v>1</v>
      </c>
      <c r="F7851" s="270" t="s">
        <v>944</v>
      </c>
      <c r="G7851" s="270" t="s">
        <v>3926</v>
      </c>
      <c r="H7851" s="270" t="s">
        <v>12733</v>
      </c>
      <c r="I7851" s="270" t="s">
        <v>3025</v>
      </c>
      <c r="J7851" s="270" t="s">
        <v>3928</v>
      </c>
      <c r="K7851" s="270">
        <v>6473</v>
      </c>
      <c r="L7851" s="270">
        <v>167100</v>
      </c>
      <c r="M7851" s="270" t="s">
        <v>3943</v>
      </c>
      <c r="N7851" s="270" t="s">
        <v>3944</v>
      </c>
      <c r="O7851" s="270">
        <v>1707.9</v>
      </c>
      <c r="P7851" s="270" t="s">
        <v>3944</v>
      </c>
      <c r="Q7851" s="270" t="s">
        <v>3944</v>
      </c>
      <c r="R7851" s="270">
        <v>1707.9</v>
      </c>
      <c r="S7851" s="270">
        <v>24576.09</v>
      </c>
      <c r="T7851" s="270">
        <v>26283.99</v>
      </c>
      <c r="U7851" s="271" t="s">
        <v>3945</v>
      </c>
      <c r="V7851" s="267" t="s">
        <v>944</v>
      </c>
    </row>
    <row r="7852" spans="1:22" hidden="1" x14ac:dyDescent="0.25">
      <c r="A7852" s="266">
        <v>43823</v>
      </c>
      <c r="B7852" s="267">
        <v>2019</v>
      </c>
      <c r="C7852" s="267">
        <v>2020</v>
      </c>
      <c r="D7852" s="267">
        <v>1</v>
      </c>
      <c r="E7852" s="267">
        <v>1</v>
      </c>
      <c r="F7852" s="267" t="s">
        <v>944</v>
      </c>
      <c r="G7852" s="267" t="s">
        <v>3926</v>
      </c>
      <c r="H7852" s="267" t="s">
        <v>12734</v>
      </c>
      <c r="I7852" s="267" t="s">
        <v>4250</v>
      </c>
      <c r="J7852" s="267" t="s">
        <v>3928</v>
      </c>
      <c r="K7852" s="267">
        <v>6239</v>
      </c>
      <c r="L7852" s="267">
        <v>904100</v>
      </c>
      <c r="M7852" s="267" t="s">
        <v>3935</v>
      </c>
      <c r="N7852" s="267" t="s">
        <v>3944</v>
      </c>
      <c r="O7852" s="267">
        <v>1776.78</v>
      </c>
      <c r="P7852" s="267" t="s">
        <v>3944</v>
      </c>
      <c r="Q7852" s="267" t="s">
        <v>3944</v>
      </c>
      <c r="R7852" s="267">
        <v>1776.78</v>
      </c>
      <c r="S7852" s="267">
        <v>27045.72</v>
      </c>
      <c r="T7852" s="267">
        <v>28822.5</v>
      </c>
      <c r="U7852" s="268" t="s">
        <v>3945</v>
      </c>
      <c r="V7852" s="267" t="s">
        <v>944</v>
      </c>
    </row>
    <row r="7853" spans="1:22" hidden="1" x14ac:dyDescent="0.25">
      <c r="A7853" s="269">
        <v>43823</v>
      </c>
      <c r="B7853" s="270">
        <v>2019</v>
      </c>
      <c r="C7853" s="270">
        <v>2020</v>
      </c>
      <c r="D7853" s="270">
        <v>1</v>
      </c>
      <c r="E7853" s="270">
        <v>1</v>
      </c>
      <c r="F7853" s="270" t="s">
        <v>944</v>
      </c>
      <c r="G7853" s="270" t="s">
        <v>3926</v>
      </c>
      <c r="H7853" s="270" t="s">
        <v>12735</v>
      </c>
      <c r="I7853" s="270" t="s">
        <v>4079</v>
      </c>
      <c r="J7853" s="270" t="s">
        <v>3928</v>
      </c>
      <c r="K7853" s="270">
        <v>6111</v>
      </c>
      <c r="L7853" s="270">
        <v>494201</v>
      </c>
      <c r="M7853" s="270" t="s">
        <v>3935</v>
      </c>
      <c r="N7853" s="270" t="s">
        <v>3944</v>
      </c>
      <c r="O7853" s="270">
        <v>1165.78</v>
      </c>
      <c r="P7853" s="270" t="s">
        <v>3944</v>
      </c>
      <c r="Q7853" s="270" t="s">
        <v>3944</v>
      </c>
      <c r="R7853" s="270">
        <v>1165.78</v>
      </c>
      <c r="S7853" s="270">
        <v>17710.7</v>
      </c>
      <c r="T7853" s="270">
        <v>18876.48</v>
      </c>
      <c r="U7853" s="271" t="s">
        <v>3945</v>
      </c>
      <c r="V7853" s="267" t="s">
        <v>944</v>
      </c>
    </row>
    <row r="7854" spans="1:22" hidden="1" x14ac:dyDescent="0.25">
      <c r="A7854" s="266">
        <v>43823</v>
      </c>
      <c r="B7854" s="267">
        <v>2019</v>
      </c>
      <c r="C7854" s="267">
        <v>2020</v>
      </c>
      <c r="D7854" s="267">
        <v>1</v>
      </c>
      <c r="E7854" s="267">
        <v>1</v>
      </c>
      <c r="F7854" s="267" t="s">
        <v>944</v>
      </c>
      <c r="G7854" s="267" t="s">
        <v>3926</v>
      </c>
      <c r="H7854" s="267" t="s">
        <v>12736</v>
      </c>
      <c r="I7854" s="267" t="s">
        <v>3025</v>
      </c>
      <c r="J7854" s="267" t="s">
        <v>3928</v>
      </c>
      <c r="K7854" s="267">
        <v>6473</v>
      </c>
      <c r="L7854" s="267">
        <v>167201</v>
      </c>
      <c r="M7854" s="267" t="s">
        <v>3960</v>
      </c>
      <c r="N7854" s="267" t="s">
        <v>3944</v>
      </c>
      <c r="O7854" s="267">
        <v>2501.63</v>
      </c>
      <c r="P7854" s="267" t="s">
        <v>3944</v>
      </c>
      <c r="Q7854" s="267" t="s">
        <v>3944</v>
      </c>
      <c r="R7854" s="267">
        <v>2501.63</v>
      </c>
      <c r="S7854" s="267">
        <v>24106.37</v>
      </c>
      <c r="T7854" s="267">
        <v>26608</v>
      </c>
      <c r="U7854" s="268" t="s">
        <v>3945</v>
      </c>
      <c r="V7854" s="267" t="s">
        <v>944</v>
      </c>
    </row>
    <row r="7855" spans="1:22" hidden="1" x14ac:dyDescent="0.25">
      <c r="A7855" s="269">
        <v>43823</v>
      </c>
      <c r="B7855" s="270">
        <v>2019</v>
      </c>
      <c r="C7855" s="270">
        <v>2020</v>
      </c>
      <c r="D7855" s="270">
        <v>1</v>
      </c>
      <c r="E7855" s="270">
        <v>1</v>
      </c>
      <c r="F7855" s="270" t="s">
        <v>944</v>
      </c>
      <c r="G7855" s="270" t="s">
        <v>3926</v>
      </c>
      <c r="H7855" s="270" t="s">
        <v>12737</v>
      </c>
      <c r="I7855" s="270" t="s">
        <v>4323</v>
      </c>
      <c r="J7855" s="270" t="s">
        <v>3928</v>
      </c>
      <c r="K7855" s="270">
        <v>6385</v>
      </c>
      <c r="L7855" s="270">
        <v>693300</v>
      </c>
      <c r="M7855" s="270" t="s">
        <v>3935</v>
      </c>
      <c r="N7855" s="270" t="s">
        <v>3944</v>
      </c>
      <c r="O7855" s="270">
        <v>3062.4</v>
      </c>
      <c r="P7855" s="270" t="s">
        <v>3944</v>
      </c>
      <c r="Q7855" s="270" t="s">
        <v>3944</v>
      </c>
      <c r="R7855" s="270">
        <v>3062.4</v>
      </c>
      <c r="S7855" s="270">
        <v>49735.8</v>
      </c>
      <c r="T7855" s="270">
        <v>52798.2</v>
      </c>
      <c r="U7855" s="271" t="s">
        <v>3945</v>
      </c>
      <c r="V7855" s="267" t="s">
        <v>944</v>
      </c>
    </row>
    <row r="7856" spans="1:22" hidden="1" x14ac:dyDescent="0.25">
      <c r="A7856" s="266">
        <v>43823</v>
      </c>
      <c r="B7856" s="267">
        <v>2019</v>
      </c>
      <c r="C7856" s="267">
        <v>2020</v>
      </c>
      <c r="D7856" s="267">
        <v>1</v>
      </c>
      <c r="E7856" s="267">
        <v>1</v>
      </c>
      <c r="F7856" s="267" t="s">
        <v>944</v>
      </c>
      <c r="G7856" s="267" t="s">
        <v>3926</v>
      </c>
      <c r="H7856" s="267" t="s">
        <v>12738</v>
      </c>
      <c r="I7856" s="267" t="s">
        <v>7040</v>
      </c>
      <c r="J7856" s="267" t="s">
        <v>3928</v>
      </c>
      <c r="K7856" s="267">
        <v>6091</v>
      </c>
      <c r="L7856" s="267">
        <v>330100</v>
      </c>
      <c r="M7856" s="267" t="s">
        <v>3960</v>
      </c>
      <c r="N7856" s="267" t="s">
        <v>3944</v>
      </c>
      <c r="O7856" s="267">
        <v>1966.93</v>
      </c>
      <c r="P7856" s="267" t="s">
        <v>3944</v>
      </c>
      <c r="Q7856" s="267" t="s">
        <v>3944</v>
      </c>
      <c r="R7856" s="267">
        <v>1966.93</v>
      </c>
      <c r="S7856" s="267">
        <v>34106.050000000003</v>
      </c>
      <c r="T7856" s="267">
        <v>36072.980000000003</v>
      </c>
      <c r="U7856" s="268" t="s">
        <v>3945</v>
      </c>
      <c r="V7856" s="267" t="s">
        <v>944</v>
      </c>
    </row>
    <row r="7857" spans="1:22" hidden="1" x14ac:dyDescent="0.25">
      <c r="A7857" s="269">
        <v>43823</v>
      </c>
      <c r="B7857" s="270">
        <v>2019</v>
      </c>
      <c r="C7857" s="270">
        <v>2020</v>
      </c>
      <c r="D7857" s="270">
        <v>1</v>
      </c>
      <c r="E7857" s="270">
        <v>1</v>
      </c>
      <c r="F7857" s="270" t="s">
        <v>944</v>
      </c>
      <c r="G7857" s="270" t="s">
        <v>3926</v>
      </c>
      <c r="H7857" s="270" t="s">
        <v>12739</v>
      </c>
      <c r="I7857" s="270" t="s">
        <v>4213</v>
      </c>
      <c r="J7857" s="270" t="s">
        <v>3928</v>
      </c>
      <c r="K7857" s="270">
        <v>6053</v>
      </c>
      <c r="L7857" s="270">
        <v>416800</v>
      </c>
      <c r="M7857" s="270" t="s">
        <v>3940</v>
      </c>
      <c r="N7857" s="270" t="s">
        <v>3944</v>
      </c>
      <c r="O7857" s="270">
        <v>1341.24</v>
      </c>
      <c r="P7857" s="270" t="s">
        <v>3944</v>
      </c>
      <c r="Q7857" s="270" t="s">
        <v>3944</v>
      </c>
      <c r="R7857" s="270">
        <v>1341.24</v>
      </c>
      <c r="S7857" s="270">
        <v>19464.03</v>
      </c>
      <c r="T7857" s="270">
        <v>20805.27</v>
      </c>
      <c r="U7857" s="271" t="s">
        <v>3945</v>
      </c>
      <c r="V7857" s="267" t="s">
        <v>944</v>
      </c>
    </row>
    <row r="7858" spans="1:22" hidden="1" x14ac:dyDescent="0.25">
      <c r="A7858" s="266">
        <v>43823</v>
      </c>
      <c r="B7858" s="267">
        <v>2019</v>
      </c>
      <c r="C7858" s="267">
        <v>2020</v>
      </c>
      <c r="D7858" s="267">
        <v>1</v>
      </c>
      <c r="E7858" s="267">
        <v>1</v>
      </c>
      <c r="F7858" s="267" t="s">
        <v>944</v>
      </c>
      <c r="G7858" s="267" t="s">
        <v>3926</v>
      </c>
      <c r="H7858" s="267" t="s">
        <v>12740</v>
      </c>
      <c r="I7858" s="267" t="s">
        <v>4079</v>
      </c>
      <c r="J7858" s="267" t="s">
        <v>3928</v>
      </c>
      <c r="K7858" s="267">
        <v>6111</v>
      </c>
      <c r="L7858" s="267">
        <v>494600</v>
      </c>
      <c r="M7858" s="267" t="s">
        <v>3935</v>
      </c>
      <c r="N7858" s="267" t="s">
        <v>3944</v>
      </c>
      <c r="O7858" s="267">
        <v>884.77</v>
      </c>
      <c r="P7858" s="267" t="s">
        <v>3944</v>
      </c>
      <c r="Q7858" s="267" t="s">
        <v>3944</v>
      </c>
      <c r="R7858" s="267">
        <v>884.77</v>
      </c>
      <c r="S7858" s="267">
        <v>15182.53</v>
      </c>
      <c r="T7858" s="267">
        <v>16067.3</v>
      </c>
      <c r="U7858" s="268" t="s">
        <v>3945</v>
      </c>
      <c r="V7858" s="267" t="s">
        <v>944</v>
      </c>
    </row>
    <row r="7859" spans="1:22" hidden="1" x14ac:dyDescent="0.25">
      <c r="A7859" s="269">
        <v>43824</v>
      </c>
      <c r="B7859" s="270">
        <v>2019</v>
      </c>
      <c r="C7859" s="270">
        <v>2020</v>
      </c>
      <c r="D7859" s="270">
        <v>1</v>
      </c>
      <c r="E7859" s="270">
        <v>1</v>
      </c>
      <c r="F7859" s="270" t="s">
        <v>944</v>
      </c>
      <c r="G7859" s="270" t="s">
        <v>3926</v>
      </c>
      <c r="H7859" s="270" t="s">
        <v>12741</v>
      </c>
      <c r="I7859" s="270" t="s">
        <v>3008</v>
      </c>
      <c r="J7859" s="270" t="s">
        <v>3928</v>
      </c>
      <c r="K7859" s="270">
        <v>6460</v>
      </c>
      <c r="L7859" s="270">
        <v>150900</v>
      </c>
      <c r="M7859" s="270" t="s">
        <v>3943</v>
      </c>
      <c r="N7859" s="270" t="s">
        <v>12742</v>
      </c>
      <c r="O7859" s="270">
        <v>0</v>
      </c>
      <c r="P7859" s="270" t="s">
        <v>3930</v>
      </c>
      <c r="Q7859" s="270" t="s">
        <v>3930</v>
      </c>
      <c r="R7859" s="270">
        <v>0</v>
      </c>
      <c r="S7859" s="270">
        <v>8160</v>
      </c>
      <c r="T7859" s="270">
        <v>8160</v>
      </c>
      <c r="U7859" s="271" t="s">
        <v>3937</v>
      </c>
      <c r="V7859" s="267" t="s">
        <v>944</v>
      </c>
    </row>
    <row r="7860" spans="1:22" hidden="1" x14ac:dyDescent="0.25">
      <c r="A7860" s="266">
        <v>43825</v>
      </c>
      <c r="B7860" s="267">
        <v>2019</v>
      </c>
      <c r="C7860" s="267">
        <v>2020</v>
      </c>
      <c r="D7860" s="267">
        <v>1</v>
      </c>
      <c r="E7860" s="267">
        <v>1</v>
      </c>
      <c r="F7860" s="267" t="s">
        <v>944</v>
      </c>
      <c r="G7860" s="267" t="s">
        <v>3926</v>
      </c>
      <c r="H7860" s="267" t="s">
        <v>12743</v>
      </c>
      <c r="I7860" s="267" t="s">
        <v>4137</v>
      </c>
      <c r="J7860" s="267" t="s">
        <v>3928</v>
      </c>
      <c r="K7860" s="267">
        <v>6067</v>
      </c>
      <c r="L7860" s="267">
        <v>490100</v>
      </c>
      <c r="M7860" s="267" t="s">
        <v>3935</v>
      </c>
      <c r="N7860" s="267" t="s">
        <v>12744</v>
      </c>
      <c r="O7860" s="267">
        <v>0</v>
      </c>
      <c r="P7860" s="267" t="s">
        <v>3930</v>
      </c>
      <c r="Q7860" s="267" t="s">
        <v>3930</v>
      </c>
      <c r="R7860" s="267">
        <v>0</v>
      </c>
      <c r="S7860" s="267">
        <v>7980</v>
      </c>
      <c r="T7860" s="267">
        <v>7980</v>
      </c>
      <c r="U7860" s="268" t="s">
        <v>3937</v>
      </c>
      <c r="V7860" s="267" t="s">
        <v>944</v>
      </c>
    </row>
    <row r="7861" spans="1:22" hidden="1" x14ac:dyDescent="0.25">
      <c r="A7861" s="269">
        <v>43825</v>
      </c>
      <c r="B7861" s="270">
        <v>2019</v>
      </c>
      <c r="C7861" s="270">
        <v>2020</v>
      </c>
      <c r="D7861" s="270">
        <v>1</v>
      </c>
      <c r="E7861" s="270">
        <v>1</v>
      </c>
      <c r="F7861" s="270" t="s">
        <v>944</v>
      </c>
      <c r="G7861" s="270" t="s">
        <v>3926</v>
      </c>
      <c r="H7861" s="270" t="s">
        <v>12745</v>
      </c>
      <c r="I7861" s="270" t="s">
        <v>3939</v>
      </c>
      <c r="J7861" s="270" t="s">
        <v>3928</v>
      </c>
      <c r="K7861" s="270">
        <v>6512</v>
      </c>
      <c r="L7861" s="270">
        <v>180100</v>
      </c>
      <c r="M7861" s="270" t="s">
        <v>3940</v>
      </c>
      <c r="N7861" s="270" t="s">
        <v>12746</v>
      </c>
      <c r="O7861" s="270">
        <v>0</v>
      </c>
      <c r="P7861" s="270" t="s">
        <v>3930</v>
      </c>
      <c r="Q7861" s="270" t="s">
        <v>3930</v>
      </c>
      <c r="R7861" s="270">
        <v>0</v>
      </c>
      <c r="S7861" s="270">
        <v>6575</v>
      </c>
      <c r="T7861" s="270">
        <v>6575</v>
      </c>
      <c r="U7861" s="271" t="s">
        <v>3937</v>
      </c>
      <c r="V7861" s="267" t="s">
        <v>944</v>
      </c>
    </row>
    <row r="7862" spans="1:22" hidden="1" x14ac:dyDescent="0.25">
      <c r="A7862" s="266">
        <v>43826</v>
      </c>
      <c r="B7862" s="267">
        <v>2019</v>
      </c>
      <c r="C7862" s="267">
        <v>2020</v>
      </c>
      <c r="D7862" s="267">
        <v>1</v>
      </c>
      <c r="E7862" s="267">
        <v>1</v>
      </c>
      <c r="F7862" s="267" t="s">
        <v>944</v>
      </c>
      <c r="G7862" s="267" t="s">
        <v>3926</v>
      </c>
      <c r="H7862" s="267" t="s">
        <v>12747</v>
      </c>
      <c r="I7862" s="267" t="s">
        <v>3939</v>
      </c>
      <c r="J7862" s="267" t="s">
        <v>3928</v>
      </c>
      <c r="K7862" s="267">
        <v>6513</v>
      </c>
      <c r="L7862" s="267">
        <v>180602</v>
      </c>
      <c r="M7862" s="267" t="s">
        <v>3935</v>
      </c>
      <c r="N7862" s="267" t="s">
        <v>12748</v>
      </c>
      <c r="O7862" s="267">
        <v>0</v>
      </c>
      <c r="P7862" s="267" t="s">
        <v>3930</v>
      </c>
      <c r="Q7862" s="267" t="s">
        <v>3930</v>
      </c>
      <c r="R7862" s="267">
        <v>0</v>
      </c>
      <c r="S7862" s="267">
        <v>10156</v>
      </c>
      <c r="T7862" s="267">
        <v>10156</v>
      </c>
      <c r="U7862" s="268" t="s">
        <v>3937</v>
      </c>
      <c r="V7862" s="267" t="s">
        <v>944</v>
      </c>
    </row>
    <row r="7863" spans="1:22" hidden="1" x14ac:dyDescent="0.25">
      <c r="A7863" s="269">
        <v>43826</v>
      </c>
      <c r="B7863" s="270">
        <v>2019</v>
      </c>
      <c r="C7863" s="270">
        <v>2020</v>
      </c>
      <c r="D7863" s="270">
        <v>1</v>
      </c>
      <c r="E7863" s="270">
        <v>1</v>
      </c>
      <c r="F7863" s="270" t="s">
        <v>944</v>
      </c>
      <c r="G7863" s="270" t="s">
        <v>3926</v>
      </c>
      <c r="H7863" s="270" t="s">
        <v>12749</v>
      </c>
      <c r="I7863" s="270" t="s">
        <v>4490</v>
      </c>
      <c r="J7863" s="270" t="s">
        <v>3928</v>
      </c>
      <c r="K7863" s="270">
        <v>6426</v>
      </c>
      <c r="L7863" s="270">
        <v>630100</v>
      </c>
      <c r="M7863" s="270" t="s">
        <v>3960</v>
      </c>
      <c r="N7863" s="270" t="s">
        <v>7047</v>
      </c>
      <c r="O7863" s="270">
        <v>0</v>
      </c>
      <c r="P7863" s="270" t="s">
        <v>3930</v>
      </c>
      <c r="Q7863" s="270" t="s">
        <v>3930</v>
      </c>
      <c r="R7863" s="270">
        <v>0</v>
      </c>
      <c r="S7863" s="270">
        <v>8505</v>
      </c>
      <c r="T7863" s="270">
        <v>8505</v>
      </c>
      <c r="U7863" s="271" t="s">
        <v>3937</v>
      </c>
      <c r="V7863" s="267" t="s">
        <v>944</v>
      </c>
    </row>
    <row r="7864" spans="1:22" x14ac:dyDescent="0.25">
      <c r="A7864" s="266">
        <v>43826</v>
      </c>
      <c r="B7864" s="267">
        <v>2019</v>
      </c>
      <c r="C7864" s="267">
        <v>2020</v>
      </c>
      <c r="D7864" s="267">
        <v>1</v>
      </c>
      <c r="E7864" s="267">
        <v>1</v>
      </c>
      <c r="F7864" s="267" t="s">
        <v>944</v>
      </c>
      <c r="G7864" s="267" t="s">
        <v>3926</v>
      </c>
      <c r="H7864" s="267" t="s">
        <v>12750</v>
      </c>
      <c r="I7864" s="267" t="s">
        <v>934</v>
      </c>
      <c r="J7864" s="267" t="s">
        <v>3928</v>
      </c>
      <c r="K7864" s="267">
        <v>6610</v>
      </c>
      <c r="L7864" s="267">
        <v>73300</v>
      </c>
      <c r="M7864" s="267">
        <v>-60</v>
      </c>
      <c r="N7864" s="267" t="s">
        <v>7680</v>
      </c>
      <c r="O7864" s="267">
        <v>744.56</v>
      </c>
      <c r="P7864" s="267" t="s">
        <v>3930</v>
      </c>
      <c r="Q7864" s="267" t="s">
        <v>3931</v>
      </c>
      <c r="R7864" s="267">
        <v>5744.56</v>
      </c>
      <c r="S7864" s="267">
        <v>11128</v>
      </c>
      <c r="T7864" s="267">
        <v>16872.560000000001</v>
      </c>
      <c r="U7864" s="268" t="s">
        <v>3932</v>
      </c>
      <c r="V7864" s="276" t="s">
        <v>936</v>
      </c>
    </row>
    <row r="7865" spans="1:22" hidden="1" x14ac:dyDescent="0.25">
      <c r="A7865" s="269">
        <v>43826</v>
      </c>
      <c r="B7865" s="270">
        <v>2019</v>
      </c>
      <c r="C7865" s="270">
        <v>2020</v>
      </c>
      <c r="D7865" s="270">
        <v>1</v>
      </c>
      <c r="E7865" s="270">
        <v>1</v>
      </c>
      <c r="F7865" s="270" t="s">
        <v>944</v>
      </c>
      <c r="G7865" s="270" t="s">
        <v>3926</v>
      </c>
      <c r="H7865" s="270" t="s">
        <v>12751</v>
      </c>
      <c r="I7865" s="270" t="s">
        <v>3956</v>
      </c>
      <c r="J7865" s="270" t="s">
        <v>3928</v>
      </c>
      <c r="K7865" s="270">
        <v>6120</v>
      </c>
      <c r="L7865" s="270">
        <v>524400</v>
      </c>
      <c r="M7865" s="270">
        <v>-60</v>
      </c>
      <c r="N7865" s="270" t="s">
        <v>4053</v>
      </c>
      <c r="O7865" s="270">
        <v>1176.98</v>
      </c>
      <c r="P7865" s="270" t="s">
        <v>3930</v>
      </c>
      <c r="Q7865" s="270" t="s">
        <v>3931</v>
      </c>
      <c r="R7865" s="270">
        <v>6176.98</v>
      </c>
      <c r="S7865" s="270">
        <v>18603.2</v>
      </c>
      <c r="T7865" s="270">
        <v>24780.18</v>
      </c>
      <c r="U7865" s="271" t="s">
        <v>3932</v>
      </c>
      <c r="V7865" s="267" t="s">
        <v>944</v>
      </c>
    </row>
    <row r="7866" spans="1:22" hidden="1" x14ac:dyDescent="0.25">
      <c r="A7866" s="266">
        <v>43826</v>
      </c>
      <c r="B7866" s="267">
        <v>2019</v>
      </c>
      <c r="C7866" s="267">
        <v>2020</v>
      </c>
      <c r="D7866" s="267">
        <v>1</v>
      </c>
      <c r="E7866" s="267">
        <v>1</v>
      </c>
      <c r="F7866" s="267" t="s">
        <v>944</v>
      </c>
      <c r="G7866" s="267" t="s">
        <v>3926</v>
      </c>
      <c r="H7866" s="267" t="s">
        <v>12752</v>
      </c>
      <c r="I7866" s="267" t="s">
        <v>4040</v>
      </c>
      <c r="J7866" s="267" t="s">
        <v>3928</v>
      </c>
      <c r="K7866" s="267">
        <v>6339</v>
      </c>
      <c r="L7866" s="267">
        <v>701100</v>
      </c>
      <c r="M7866" s="267" t="s">
        <v>3960</v>
      </c>
      <c r="N7866" s="267" t="s">
        <v>12753</v>
      </c>
      <c r="O7866" s="267">
        <v>0</v>
      </c>
      <c r="P7866" s="267" t="s">
        <v>3930</v>
      </c>
      <c r="Q7866" s="267" t="s">
        <v>3930</v>
      </c>
      <c r="R7866" s="267">
        <v>0</v>
      </c>
      <c r="S7866" s="267">
        <v>10694.71</v>
      </c>
      <c r="T7866" s="267">
        <v>10694.71</v>
      </c>
      <c r="U7866" s="268" t="s">
        <v>3937</v>
      </c>
      <c r="V7866" s="267" t="s">
        <v>944</v>
      </c>
    </row>
    <row r="7867" spans="1:22" hidden="1" x14ac:dyDescent="0.25">
      <c r="A7867" s="269">
        <v>43826</v>
      </c>
      <c r="B7867" s="270">
        <v>2019</v>
      </c>
      <c r="C7867" s="270">
        <v>2020</v>
      </c>
      <c r="D7867" s="270">
        <v>1</v>
      </c>
      <c r="E7867" s="270">
        <v>1</v>
      </c>
      <c r="F7867" s="270" t="s">
        <v>944</v>
      </c>
      <c r="G7867" s="270" t="s">
        <v>3926</v>
      </c>
      <c r="H7867" s="270" t="s">
        <v>12754</v>
      </c>
      <c r="I7867" s="270" t="s">
        <v>2985</v>
      </c>
      <c r="J7867" s="270" t="s">
        <v>3928</v>
      </c>
      <c r="K7867" s="270">
        <v>6825</v>
      </c>
      <c r="L7867" s="270">
        <v>61100</v>
      </c>
      <c r="M7867" s="270" t="s">
        <v>3943</v>
      </c>
      <c r="N7867" s="270" t="s">
        <v>3944</v>
      </c>
      <c r="O7867" s="270">
        <v>1758</v>
      </c>
      <c r="P7867" s="270" t="s">
        <v>3944</v>
      </c>
      <c r="Q7867" s="270" t="s">
        <v>3944</v>
      </c>
      <c r="R7867" s="270">
        <v>1758</v>
      </c>
      <c r="S7867" s="270">
        <v>12410.7</v>
      </c>
      <c r="T7867" s="270">
        <v>14168.7</v>
      </c>
      <c r="U7867" s="271" t="s">
        <v>3945</v>
      </c>
      <c r="V7867" s="267" t="s">
        <v>944</v>
      </c>
    </row>
    <row r="7868" spans="1:22" hidden="1" x14ac:dyDescent="0.25">
      <c r="A7868" s="266">
        <v>43829</v>
      </c>
      <c r="B7868" s="267">
        <v>2019</v>
      </c>
      <c r="C7868" s="267">
        <v>2020</v>
      </c>
      <c r="D7868" s="267">
        <v>1</v>
      </c>
      <c r="E7868" s="267">
        <v>1</v>
      </c>
      <c r="F7868" s="267" t="s">
        <v>944</v>
      </c>
      <c r="G7868" s="267" t="s">
        <v>3926</v>
      </c>
      <c r="H7868" s="267" t="s">
        <v>12755</v>
      </c>
      <c r="I7868" s="267" t="s">
        <v>4079</v>
      </c>
      <c r="J7868" s="267" t="s">
        <v>3928</v>
      </c>
      <c r="K7868" s="267">
        <v>6111</v>
      </c>
      <c r="L7868" s="267">
        <v>494500</v>
      </c>
      <c r="M7868" s="267" t="s">
        <v>3960</v>
      </c>
      <c r="N7868" s="267" t="s">
        <v>11731</v>
      </c>
      <c r="O7868" s="267">
        <v>0</v>
      </c>
      <c r="P7868" s="267" t="s">
        <v>3930</v>
      </c>
      <c r="Q7868" s="267" t="s">
        <v>3930</v>
      </c>
      <c r="R7868" s="267">
        <v>0</v>
      </c>
      <c r="S7868" s="267">
        <v>11250</v>
      </c>
      <c r="T7868" s="267">
        <v>11250</v>
      </c>
      <c r="U7868" s="268" t="s">
        <v>3937</v>
      </c>
      <c r="V7868" s="267" t="s">
        <v>944</v>
      </c>
    </row>
    <row r="7869" spans="1:22" hidden="1" x14ac:dyDescent="0.25">
      <c r="A7869" s="269">
        <v>43829</v>
      </c>
      <c r="B7869" s="270">
        <v>2019</v>
      </c>
      <c r="C7869" s="270">
        <v>2020</v>
      </c>
      <c r="D7869" s="270">
        <v>1</v>
      </c>
      <c r="E7869" s="270">
        <v>1</v>
      </c>
      <c r="F7869" s="270" t="s">
        <v>944</v>
      </c>
      <c r="G7869" s="270" t="s">
        <v>3926</v>
      </c>
      <c r="H7869" s="270" t="s">
        <v>12756</v>
      </c>
      <c r="I7869" s="270" t="s">
        <v>4137</v>
      </c>
      <c r="J7869" s="270" t="s">
        <v>3928</v>
      </c>
      <c r="K7869" s="270">
        <v>6489</v>
      </c>
      <c r="L7869" s="270">
        <v>430202</v>
      </c>
      <c r="M7869" s="270" t="s">
        <v>3943</v>
      </c>
      <c r="N7869" s="270" t="s">
        <v>12757</v>
      </c>
      <c r="O7869" s="270">
        <v>0</v>
      </c>
      <c r="P7869" s="270" t="s">
        <v>3930</v>
      </c>
      <c r="Q7869" s="270" t="s">
        <v>3930</v>
      </c>
      <c r="R7869" s="270">
        <v>0</v>
      </c>
      <c r="S7869" s="270">
        <v>3780</v>
      </c>
      <c r="T7869" s="270">
        <v>3780</v>
      </c>
      <c r="U7869" s="271" t="s">
        <v>3937</v>
      </c>
      <c r="V7869" s="267" t="s">
        <v>944</v>
      </c>
    </row>
    <row r="7870" spans="1:22" hidden="1" x14ac:dyDescent="0.25">
      <c r="A7870" s="266">
        <v>43829</v>
      </c>
      <c r="B7870" s="267">
        <v>2019</v>
      </c>
      <c r="C7870" s="267">
        <v>2020</v>
      </c>
      <c r="D7870" s="267">
        <v>1</v>
      </c>
      <c r="E7870" s="267">
        <v>1</v>
      </c>
      <c r="F7870" s="267" t="s">
        <v>944</v>
      </c>
      <c r="G7870" s="267" t="s">
        <v>3926</v>
      </c>
      <c r="H7870" s="267" t="s">
        <v>12758</v>
      </c>
      <c r="I7870" s="267" t="s">
        <v>2985</v>
      </c>
      <c r="J7870" s="267" t="s">
        <v>3928</v>
      </c>
      <c r="K7870" s="267">
        <v>6890</v>
      </c>
      <c r="L7870" s="267">
        <v>60600</v>
      </c>
      <c r="M7870" s="267" t="s">
        <v>3943</v>
      </c>
      <c r="N7870" s="267" t="s">
        <v>4103</v>
      </c>
      <c r="O7870" s="267">
        <v>1902.46</v>
      </c>
      <c r="P7870" s="267" t="s">
        <v>3930</v>
      </c>
      <c r="Q7870" s="267" t="s">
        <v>3931</v>
      </c>
      <c r="R7870" s="267">
        <v>6902.46</v>
      </c>
      <c r="S7870" s="267">
        <v>24145.599999999999</v>
      </c>
      <c r="T7870" s="267">
        <v>31048.06</v>
      </c>
      <c r="U7870" s="268" t="s">
        <v>3932</v>
      </c>
      <c r="V7870" s="267" t="s">
        <v>944</v>
      </c>
    </row>
    <row r="7871" spans="1:22" hidden="1" x14ac:dyDescent="0.25">
      <c r="A7871" s="269">
        <v>43829</v>
      </c>
      <c r="B7871" s="270">
        <v>2019</v>
      </c>
      <c r="C7871" s="270">
        <v>2020</v>
      </c>
      <c r="D7871" s="270">
        <v>1</v>
      </c>
      <c r="E7871" s="270">
        <v>1</v>
      </c>
      <c r="F7871" s="270" t="s">
        <v>944</v>
      </c>
      <c r="G7871" s="270" t="s">
        <v>3926</v>
      </c>
      <c r="H7871" s="270" t="s">
        <v>12759</v>
      </c>
      <c r="I7871" s="270" t="s">
        <v>5122</v>
      </c>
      <c r="J7871" s="270" t="s">
        <v>3928</v>
      </c>
      <c r="K7871" s="270">
        <v>6019</v>
      </c>
      <c r="L7871" s="270">
        <v>464101</v>
      </c>
      <c r="M7871" s="270" t="s">
        <v>3943</v>
      </c>
      <c r="N7871" s="270" t="s">
        <v>12760</v>
      </c>
      <c r="O7871" s="270">
        <v>0</v>
      </c>
      <c r="P7871" s="270" t="s">
        <v>3930</v>
      </c>
      <c r="Q7871" s="270" t="s">
        <v>3930</v>
      </c>
      <c r="R7871" s="270">
        <v>0</v>
      </c>
      <c r="S7871" s="270">
        <v>13569.23</v>
      </c>
      <c r="T7871" s="270">
        <v>13569.23</v>
      </c>
      <c r="U7871" s="271" t="s">
        <v>3937</v>
      </c>
      <c r="V7871" s="267" t="s">
        <v>944</v>
      </c>
    </row>
    <row r="7872" spans="1:22" hidden="1" x14ac:dyDescent="0.25">
      <c r="A7872" s="266">
        <v>43829</v>
      </c>
      <c r="B7872" s="267">
        <v>2019</v>
      </c>
      <c r="C7872" s="267">
        <v>2020</v>
      </c>
      <c r="D7872" s="267">
        <v>1</v>
      </c>
      <c r="E7872" s="267">
        <v>1</v>
      </c>
      <c r="F7872" s="267" t="s">
        <v>944</v>
      </c>
      <c r="G7872" s="267" t="s">
        <v>3997</v>
      </c>
      <c r="H7872" s="267" t="s">
        <v>12761</v>
      </c>
      <c r="I7872" s="267" t="s">
        <v>950</v>
      </c>
      <c r="J7872" s="267" t="s">
        <v>3928</v>
      </c>
      <c r="K7872" s="267">
        <v>6516</v>
      </c>
      <c r="L7872" s="267">
        <v>361500</v>
      </c>
      <c r="M7872" s="267" t="s">
        <v>3940</v>
      </c>
      <c r="N7872" s="267" t="s">
        <v>3944</v>
      </c>
      <c r="O7872" s="267">
        <v>1176.56</v>
      </c>
      <c r="P7872" s="267" t="s">
        <v>3944</v>
      </c>
      <c r="Q7872" s="267" t="s">
        <v>3944</v>
      </c>
      <c r="R7872" s="267">
        <v>1176.56</v>
      </c>
      <c r="S7872" s="267">
        <v>15755.28</v>
      </c>
      <c r="T7872" s="267">
        <v>16931.84</v>
      </c>
      <c r="U7872" s="268" t="s">
        <v>3945</v>
      </c>
      <c r="V7872" s="267" t="s">
        <v>944</v>
      </c>
    </row>
    <row r="7873" spans="1:22" hidden="1" x14ac:dyDescent="0.25">
      <c r="A7873" s="269">
        <v>43829</v>
      </c>
      <c r="B7873" s="270">
        <v>2019</v>
      </c>
      <c r="C7873" s="270">
        <v>2020</v>
      </c>
      <c r="D7873" s="270">
        <v>1</v>
      </c>
      <c r="E7873" s="270">
        <v>1</v>
      </c>
      <c r="F7873" s="270" t="s">
        <v>944</v>
      </c>
      <c r="G7873" s="270" t="s">
        <v>3997</v>
      </c>
      <c r="H7873" s="270" t="s">
        <v>12762</v>
      </c>
      <c r="I7873" s="270" t="s">
        <v>953</v>
      </c>
      <c r="J7873" s="270" t="s">
        <v>3928</v>
      </c>
      <c r="K7873" s="270">
        <v>6518</v>
      </c>
      <c r="L7873" s="270">
        <v>166001</v>
      </c>
      <c r="M7873" s="270" t="s">
        <v>3935</v>
      </c>
      <c r="N7873" s="270" t="s">
        <v>3944</v>
      </c>
      <c r="O7873" s="270">
        <v>2393.34</v>
      </c>
      <c r="P7873" s="270" t="s">
        <v>3944</v>
      </c>
      <c r="Q7873" s="270" t="s">
        <v>3944</v>
      </c>
      <c r="R7873" s="270">
        <v>2393.34</v>
      </c>
      <c r="S7873" s="270">
        <v>27237.38</v>
      </c>
      <c r="T7873" s="270">
        <v>29630.720000000001</v>
      </c>
      <c r="U7873" s="271" t="s">
        <v>3945</v>
      </c>
      <c r="V7873" s="267" t="s">
        <v>944</v>
      </c>
    </row>
    <row r="7874" spans="1:22" hidden="1" x14ac:dyDescent="0.25">
      <c r="A7874" s="266">
        <v>43829</v>
      </c>
      <c r="B7874" s="267">
        <v>2019</v>
      </c>
      <c r="C7874" s="267">
        <v>2020</v>
      </c>
      <c r="D7874" s="267">
        <v>1</v>
      </c>
      <c r="E7874" s="267">
        <v>1</v>
      </c>
      <c r="F7874" s="267" t="s">
        <v>944</v>
      </c>
      <c r="G7874" s="267" t="s">
        <v>3926</v>
      </c>
      <c r="H7874" s="267" t="s">
        <v>12763</v>
      </c>
      <c r="I7874" s="267" t="s">
        <v>4019</v>
      </c>
      <c r="J7874" s="267" t="s">
        <v>3928</v>
      </c>
      <c r="K7874" s="267">
        <v>6708</v>
      </c>
      <c r="L7874" s="267">
        <v>352000</v>
      </c>
      <c r="M7874" s="267" t="s">
        <v>3935</v>
      </c>
      <c r="N7874" s="267" t="s">
        <v>3944</v>
      </c>
      <c r="O7874" s="267">
        <v>3359.41</v>
      </c>
      <c r="P7874" s="267" t="s">
        <v>3944</v>
      </c>
      <c r="Q7874" s="267" t="s">
        <v>3944</v>
      </c>
      <c r="R7874" s="267">
        <v>3359.41</v>
      </c>
      <c r="S7874" s="267">
        <v>46832.33</v>
      </c>
      <c r="T7874" s="267">
        <v>50191.74</v>
      </c>
      <c r="U7874" s="268" t="s">
        <v>3945</v>
      </c>
      <c r="V7874" s="267" t="s">
        <v>944</v>
      </c>
    </row>
    <row r="7875" spans="1:22" hidden="1" x14ac:dyDescent="0.25">
      <c r="A7875" s="269">
        <v>43829</v>
      </c>
      <c r="B7875" s="270">
        <v>2019</v>
      </c>
      <c r="C7875" s="270">
        <v>2020</v>
      </c>
      <c r="D7875" s="270">
        <v>1</v>
      </c>
      <c r="E7875" s="270">
        <v>1</v>
      </c>
      <c r="F7875" s="270" t="s">
        <v>944</v>
      </c>
      <c r="G7875" s="270" t="s">
        <v>3926</v>
      </c>
      <c r="H7875" s="270" t="s">
        <v>12764</v>
      </c>
      <c r="I7875" s="270" t="s">
        <v>4019</v>
      </c>
      <c r="J7875" s="270" t="s">
        <v>3928</v>
      </c>
      <c r="K7875" s="270">
        <v>6704</v>
      </c>
      <c r="L7875" s="270">
        <v>351100</v>
      </c>
      <c r="M7875" s="270">
        <v>-60</v>
      </c>
      <c r="N7875" s="270" t="s">
        <v>3944</v>
      </c>
      <c r="O7875" s="270">
        <v>1805.58</v>
      </c>
      <c r="P7875" s="270" t="s">
        <v>3944</v>
      </c>
      <c r="Q7875" s="270" t="s">
        <v>3944</v>
      </c>
      <c r="R7875" s="270">
        <v>1805.58</v>
      </c>
      <c r="S7875" s="270">
        <v>26695.43</v>
      </c>
      <c r="T7875" s="270">
        <v>28501.01</v>
      </c>
      <c r="U7875" s="271" t="s">
        <v>3945</v>
      </c>
      <c r="V7875" s="267" t="s">
        <v>944</v>
      </c>
    </row>
    <row r="7876" spans="1:22" hidden="1" x14ac:dyDescent="0.25">
      <c r="A7876" s="266">
        <v>43829</v>
      </c>
      <c r="B7876" s="267">
        <v>2019</v>
      </c>
      <c r="C7876" s="267">
        <v>2020</v>
      </c>
      <c r="D7876" s="267">
        <v>1</v>
      </c>
      <c r="E7876" s="267">
        <v>1</v>
      </c>
      <c r="F7876" s="267" t="s">
        <v>944</v>
      </c>
      <c r="G7876" s="267" t="s">
        <v>3926</v>
      </c>
      <c r="H7876" s="267" t="s">
        <v>12765</v>
      </c>
      <c r="I7876" s="267" t="s">
        <v>4200</v>
      </c>
      <c r="J7876" s="267" t="s">
        <v>3928</v>
      </c>
      <c r="K7876" s="267">
        <v>6795</v>
      </c>
      <c r="L7876" s="267">
        <v>360200</v>
      </c>
      <c r="M7876" s="267" t="s">
        <v>3943</v>
      </c>
      <c r="N7876" s="267" t="s">
        <v>3944</v>
      </c>
      <c r="O7876" s="267">
        <v>2502.85</v>
      </c>
      <c r="P7876" s="267" t="s">
        <v>3944</v>
      </c>
      <c r="Q7876" s="267" t="s">
        <v>3944</v>
      </c>
      <c r="R7876" s="267">
        <v>2502.85</v>
      </c>
      <c r="S7876" s="267">
        <v>34616.949999999997</v>
      </c>
      <c r="T7876" s="267">
        <v>37119.800000000003</v>
      </c>
      <c r="U7876" s="268" t="s">
        <v>3945</v>
      </c>
      <c r="V7876" s="267" t="s">
        <v>944</v>
      </c>
    </row>
    <row r="7877" spans="1:22" hidden="1" x14ac:dyDescent="0.25">
      <c r="A7877" s="269">
        <v>43829</v>
      </c>
      <c r="B7877" s="270">
        <v>2019</v>
      </c>
      <c r="C7877" s="270">
        <v>2020</v>
      </c>
      <c r="D7877" s="270">
        <v>1</v>
      </c>
      <c r="E7877" s="270">
        <v>1</v>
      </c>
      <c r="F7877" s="270" t="s">
        <v>944</v>
      </c>
      <c r="G7877" s="270" t="s">
        <v>3926</v>
      </c>
      <c r="H7877" s="270" t="s">
        <v>12766</v>
      </c>
      <c r="I7877" s="270" t="s">
        <v>4232</v>
      </c>
      <c r="J7877" s="270" t="s">
        <v>3928</v>
      </c>
      <c r="K7877" s="270">
        <v>6483</v>
      </c>
      <c r="L7877" s="270">
        <v>130200</v>
      </c>
      <c r="M7877" s="270" t="s">
        <v>3935</v>
      </c>
      <c r="N7877" s="270" t="s">
        <v>3944</v>
      </c>
      <c r="O7877" s="270">
        <v>2318.6799999999998</v>
      </c>
      <c r="P7877" s="270" t="s">
        <v>3944</v>
      </c>
      <c r="Q7877" s="270" t="s">
        <v>3944</v>
      </c>
      <c r="R7877" s="270">
        <v>2318.6799999999998</v>
      </c>
      <c r="S7877" s="270">
        <v>33527.08</v>
      </c>
      <c r="T7877" s="270">
        <v>35845.760000000002</v>
      </c>
      <c r="U7877" s="271" t="s">
        <v>3945</v>
      </c>
      <c r="V7877" s="267" t="s">
        <v>944</v>
      </c>
    </row>
    <row r="7878" spans="1:22" hidden="1" x14ac:dyDescent="0.25">
      <c r="A7878" s="266">
        <v>43829</v>
      </c>
      <c r="B7878" s="267">
        <v>2019</v>
      </c>
      <c r="C7878" s="267">
        <v>2020</v>
      </c>
      <c r="D7878" s="267">
        <v>1</v>
      </c>
      <c r="E7878" s="267">
        <v>1</v>
      </c>
      <c r="F7878" s="267" t="s">
        <v>944</v>
      </c>
      <c r="G7878" s="267" t="s">
        <v>3926</v>
      </c>
      <c r="H7878" s="267" t="s">
        <v>12767</v>
      </c>
      <c r="I7878" s="267" t="s">
        <v>4019</v>
      </c>
      <c r="J7878" s="267" t="s">
        <v>3928</v>
      </c>
      <c r="K7878" s="267">
        <v>6708</v>
      </c>
      <c r="L7878" s="267">
        <v>352100</v>
      </c>
      <c r="M7878" s="267" t="s">
        <v>3940</v>
      </c>
      <c r="N7878" s="267" t="s">
        <v>3944</v>
      </c>
      <c r="O7878" s="267">
        <v>742.07</v>
      </c>
      <c r="P7878" s="267" t="s">
        <v>3944</v>
      </c>
      <c r="Q7878" s="267" t="s">
        <v>3944</v>
      </c>
      <c r="R7878" s="267">
        <v>742.07</v>
      </c>
      <c r="S7878" s="267">
        <v>11388.49</v>
      </c>
      <c r="T7878" s="267">
        <v>12130.56</v>
      </c>
      <c r="U7878" s="268" t="s">
        <v>3945</v>
      </c>
      <c r="V7878" s="267" t="s">
        <v>944</v>
      </c>
    </row>
    <row r="7879" spans="1:22" hidden="1" x14ac:dyDescent="0.25">
      <c r="A7879" s="269">
        <v>43829</v>
      </c>
      <c r="B7879" s="270">
        <v>2019</v>
      </c>
      <c r="C7879" s="270">
        <v>2020</v>
      </c>
      <c r="D7879" s="270">
        <v>1</v>
      </c>
      <c r="E7879" s="270">
        <v>1</v>
      </c>
      <c r="F7879" s="270" t="s">
        <v>944</v>
      </c>
      <c r="G7879" s="270" t="s">
        <v>3926</v>
      </c>
      <c r="H7879" s="270" t="s">
        <v>12768</v>
      </c>
      <c r="I7879" s="270" t="s">
        <v>4200</v>
      </c>
      <c r="J7879" s="270" t="s">
        <v>3928</v>
      </c>
      <c r="K7879" s="270">
        <v>6779</v>
      </c>
      <c r="L7879" s="270">
        <v>360400</v>
      </c>
      <c r="M7879" s="270" t="s">
        <v>3940</v>
      </c>
      <c r="N7879" s="270" t="s">
        <v>3944</v>
      </c>
      <c r="O7879" s="270">
        <v>1070.79</v>
      </c>
      <c r="P7879" s="270" t="s">
        <v>3944</v>
      </c>
      <c r="Q7879" s="270" t="s">
        <v>3944</v>
      </c>
      <c r="R7879" s="270">
        <v>1070.79</v>
      </c>
      <c r="S7879" s="270">
        <v>15701.55</v>
      </c>
      <c r="T7879" s="270">
        <v>16772.34</v>
      </c>
      <c r="U7879" s="271" t="s">
        <v>3945</v>
      </c>
      <c r="V7879" s="267" t="s">
        <v>944</v>
      </c>
    </row>
    <row r="7880" spans="1:22" hidden="1" x14ac:dyDescent="0.25">
      <c r="A7880" s="266">
        <v>43829</v>
      </c>
      <c r="B7880" s="267">
        <v>2019</v>
      </c>
      <c r="C7880" s="267">
        <v>2020</v>
      </c>
      <c r="D7880" s="267">
        <v>1</v>
      </c>
      <c r="E7880" s="267">
        <v>1</v>
      </c>
      <c r="F7880" s="267" t="s">
        <v>944</v>
      </c>
      <c r="G7880" s="267" t="s">
        <v>3926</v>
      </c>
      <c r="H7880" s="267" t="s">
        <v>12769</v>
      </c>
      <c r="I7880" s="267" t="s">
        <v>4042</v>
      </c>
      <c r="J7880" s="267" t="s">
        <v>3928</v>
      </c>
      <c r="K7880" s="267">
        <v>6382</v>
      </c>
      <c r="L7880" s="267">
        <v>870502</v>
      </c>
      <c r="M7880" s="267" t="s">
        <v>3940</v>
      </c>
      <c r="N7880" s="267" t="s">
        <v>3944</v>
      </c>
      <c r="O7880" s="267">
        <v>1596.74</v>
      </c>
      <c r="P7880" s="267" t="s">
        <v>3944</v>
      </c>
      <c r="Q7880" s="267" t="s">
        <v>3944</v>
      </c>
      <c r="R7880" s="267">
        <v>1596.74</v>
      </c>
      <c r="S7880" s="267">
        <v>22595.08</v>
      </c>
      <c r="T7880" s="267">
        <v>24191.82</v>
      </c>
      <c r="U7880" s="268" t="s">
        <v>3945</v>
      </c>
      <c r="V7880" s="267" t="s">
        <v>944</v>
      </c>
    </row>
    <row r="7881" spans="1:22" hidden="1" x14ac:dyDescent="0.25">
      <c r="A7881" s="269">
        <v>43829</v>
      </c>
      <c r="B7881" s="270">
        <v>2019</v>
      </c>
      <c r="C7881" s="270">
        <v>2020</v>
      </c>
      <c r="D7881" s="270">
        <v>1</v>
      </c>
      <c r="E7881" s="270">
        <v>1</v>
      </c>
      <c r="F7881" s="270" t="s">
        <v>944</v>
      </c>
      <c r="G7881" s="270" t="s">
        <v>3926</v>
      </c>
      <c r="H7881" s="270" t="s">
        <v>12770</v>
      </c>
      <c r="I7881" s="270" t="s">
        <v>3954</v>
      </c>
      <c r="J7881" s="270" t="s">
        <v>3928</v>
      </c>
      <c r="K7881" s="270">
        <v>6333</v>
      </c>
      <c r="L7881" s="270">
        <v>716102</v>
      </c>
      <c r="M7881" s="270" t="s">
        <v>3943</v>
      </c>
      <c r="N7881" s="270" t="s">
        <v>3944</v>
      </c>
      <c r="O7881" s="270">
        <v>802.62</v>
      </c>
      <c r="P7881" s="270" t="s">
        <v>3944</v>
      </c>
      <c r="Q7881" s="270" t="s">
        <v>3944</v>
      </c>
      <c r="R7881" s="270">
        <v>802.62</v>
      </c>
      <c r="S7881" s="270">
        <v>11784.78</v>
      </c>
      <c r="T7881" s="270">
        <v>12587.4</v>
      </c>
      <c r="U7881" s="271" t="s">
        <v>3945</v>
      </c>
      <c r="V7881" s="267" t="s">
        <v>944</v>
      </c>
    </row>
    <row r="7882" spans="1:22" hidden="1" x14ac:dyDescent="0.25">
      <c r="A7882" s="266">
        <v>43829</v>
      </c>
      <c r="B7882" s="267">
        <v>2019</v>
      </c>
      <c r="C7882" s="267">
        <v>2020</v>
      </c>
      <c r="D7882" s="267">
        <v>1</v>
      </c>
      <c r="E7882" s="267">
        <v>1</v>
      </c>
      <c r="F7882" s="267" t="s">
        <v>944</v>
      </c>
      <c r="G7882" s="267" t="s">
        <v>3926</v>
      </c>
      <c r="H7882" s="267" t="s">
        <v>12771</v>
      </c>
      <c r="I7882" s="267" t="s">
        <v>3025</v>
      </c>
      <c r="J7882" s="267" t="s">
        <v>3928</v>
      </c>
      <c r="K7882" s="267">
        <v>6473</v>
      </c>
      <c r="L7882" s="267">
        <v>167300</v>
      </c>
      <c r="M7882" s="267" t="s">
        <v>3943</v>
      </c>
      <c r="N7882" s="267" t="s">
        <v>3944</v>
      </c>
      <c r="O7882" s="267">
        <v>3156.16</v>
      </c>
      <c r="P7882" s="267" t="s">
        <v>3944</v>
      </c>
      <c r="Q7882" s="267" t="s">
        <v>3944</v>
      </c>
      <c r="R7882" s="267">
        <v>3156.16</v>
      </c>
      <c r="S7882" s="267">
        <v>51664.27</v>
      </c>
      <c r="T7882" s="267">
        <v>54820.43</v>
      </c>
      <c r="U7882" s="268" t="s">
        <v>3945</v>
      </c>
      <c r="V7882" s="267" t="s">
        <v>944</v>
      </c>
    </row>
    <row r="7883" spans="1:22" x14ac:dyDescent="0.25">
      <c r="A7883" s="269">
        <v>43829</v>
      </c>
      <c r="B7883" s="270">
        <v>2019</v>
      </c>
      <c r="C7883" s="270">
        <v>2020</v>
      </c>
      <c r="D7883" s="270">
        <v>1</v>
      </c>
      <c r="E7883" s="270">
        <v>1</v>
      </c>
      <c r="F7883" s="270" t="s">
        <v>944</v>
      </c>
      <c r="G7883" s="270" t="s">
        <v>3926</v>
      </c>
      <c r="H7883" s="270" t="s">
        <v>12772</v>
      </c>
      <c r="I7883" s="270" t="s">
        <v>3999</v>
      </c>
      <c r="J7883" s="270" t="s">
        <v>3928</v>
      </c>
      <c r="K7883" s="270">
        <v>6450</v>
      </c>
      <c r="L7883" s="270">
        <v>170100</v>
      </c>
      <c r="M7883" s="270">
        <v>-60</v>
      </c>
      <c r="N7883" s="270" t="s">
        <v>3944</v>
      </c>
      <c r="O7883" s="270">
        <v>2194.6799999999998</v>
      </c>
      <c r="P7883" s="270" t="s">
        <v>3944</v>
      </c>
      <c r="Q7883" s="270" t="s">
        <v>3944</v>
      </c>
      <c r="R7883" s="270">
        <v>2194.6799999999998</v>
      </c>
      <c r="S7883" s="270">
        <v>37098.339999999997</v>
      </c>
      <c r="T7883" s="270">
        <v>39293.019999999997</v>
      </c>
      <c r="U7883" s="271" t="s">
        <v>3945</v>
      </c>
      <c r="V7883" s="267" t="s">
        <v>936</v>
      </c>
    </row>
    <row r="7884" spans="1:22" hidden="1" x14ac:dyDescent="0.25">
      <c r="A7884" s="266">
        <v>43829</v>
      </c>
      <c r="B7884" s="267">
        <v>2019</v>
      </c>
      <c r="C7884" s="267">
        <v>2020</v>
      </c>
      <c r="D7884" s="267">
        <v>1</v>
      </c>
      <c r="E7884" s="267">
        <v>1</v>
      </c>
      <c r="F7884" s="267" t="s">
        <v>944</v>
      </c>
      <c r="G7884" s="267" t="s">
        <v>3926</v>
      </c>
      <c r="H7884" s="267" t="s">
        <v>12773</v>
      </c>
      <c r="I7884" s="267" t="s">
        <v>3026</v>
      </c>
      <c r="J7884" s="267" t="s">
        <v>3928</v>
      </c>
      <c r="K7884" s="267">
        <v>6471</v>
      </c>
      <c r="L7884" s="267">
        <v>186100</v>
      </c>
      <c r="M7884" s="267" t="s">
        <v>3935</v>
      </c>
      <c r="N7884" s="267" t="s">
        <v>3944</v>
      </c>
      <c r="O7884" s="267">
        <v>2523.8200000000002</v>
      </c>
      <c r="P7884" s="267" t="s">
        <v>3944</v>
      </c>
      <c r="Q7884" s="267" t="s">
        <v>3944</v>
      </c>
      <c r="R7884" s="267">
        <v>2523.8200000000002</v>
      </c>
      <c r="S7884" s="267">
        <v>41288.730000000003</v>
      </c>
      <c r="T7884" s="267">
        <v>43812.55</v>
      </c>
      <c r="U7884" s="268" t="s">
        <v>3945</v>
      </c>
      <c r="V7884" s="267" t="s">
        <v>944</v>
      </c>
    </row>
    <row r="7885" spans="1:22" hidden="1" x14ac:dyDescent="0.25">
      <c r="A7885" s="269">
        <v>43829</v>
      </c>
      <c r="B7885" s="270">
        <v>2019</v>
      </c>
      <c r="C7885" s="270">
        <v>2020</v>
      </c>
      <c r="D7885" s="270">
        <v>1</v>
      </c>
      <c r="E7885" s="270">
        <v>1</v>
      </c>
      <c r="F7885" s="270" t="s">
        <v>944</v>
      </c>
      <c r="G7885" s="270" t="s">
        <v>3926</v>
      </c>
      <c r="H7885" s="270" t="s">
        <v>12774</v>
      </c>
      <c r="I7885" s="270" t="s">
        <v>950</v>
      </c>
      <c r="J7885" s="270" t="s">
        <v>3928</v>
      </c>
      <c r="K7885" s="270">
        <v>6516</v>
      </c>
      <c r="L7885" s="270">
        <v>154800</v>
      </c>
      <c r="M7885" s="270" t="s">
        <v>3960</v>
      </c>
      <c r="N7885" s="270" t="s">
        <v>3944</v>
      </c>
      <c r="O7885" s="270">
        <v>750.16</v>
      </c>
      <c r="P7885" s="270" t="s">
        <v>3944</v>
      </c>
      <c r="Q7885" s="270" t="s">
        <v>3944</v>
      </c>
      <c r="R7885" s="270">
        <v>750.16</v>
      </c>
      <c r="S7885" s="270">
        <v>14634.44</v>
      </c>
      <c r="T7885" s="270">
        <v>15384.6</v>
      </c>
      <c r="U7885" s="271" t="s">
        <v>3945</v>
      </c>
      <c r="V7885" s="267" t="s">
        <v>944</v>
      </c>
    </row>
    <row r="7886" spans="1:22" hidden="1" x14ac:dyDescent="0.25">
      <c r="A7886" s="266">
        <v>43829</v>
      </c>
      <c r="B7886" s="267">
        <v>2019</v>
      </c>
      <c r="C7886" s="267">
        <v>2020</v>
      </c>
      <c r="D7886" s="267">
        <v>1</v>
      </c>
      <c r="E7886" s="267">
        <v>1</v>
      </c>
      <c r="F7886" s="267" t="s">
        <v>944</v>
      </c>
      <c r="G7886" s="267" t="s">
        <v>3926</v>
      </c>
      <c r="H7886" s="267" t="s">
        <v>12775</v>
      </c>
      <c r="I7886" s="267" t="s">
        <v>4200</v>
      </c>
      <c r="J7886" s="267" t="s">
        <v>3928</v>
      </c>
      <c r="K7886" s="267">
        <v>6795</v>
      </c>
      <c r="L7886" s="267">
        <v>360200</v>
      </c>
      <c r="M7886" s="267" t="s">
        <v>3943</v>
      </c>
      <c r="N7886" s="267" t="s">
        <v>3944</v>
      </c>
      <c r="O7886" s="267">
        <v>1868.23</v>
      </c>
      <c r="P7886" s="267" t="s">
        <v>3944</v>
      </c>
      <c r="Q7886" s="267" t="s">
        <v>3944</v>
      </c>
      <c r="R7886" s="267">
        <v>1868.23</v>
      </c>
      <c r="S7886" s="267">
        <v>25377.27</v>
      </c>
      <c r="T7886" s="267">
        <v>27245.5</v>
      </c>
      <c r="U7886" s="268" t="s">
        <v>3945</v>
      </c>
      <c r="V7886" s="267" t="s">
        <v>944</v>
      </c>
    </row>
    <row r="7887" spans="1:22" hidden="1" x14ac:dyDescent="0.25">
      <c r="A7887" s="269">
        <v>43829</v>
      </c>
      <c r="B7887" s="270">
        <v>2019</v>
      </c>
      <c r="C7887" s="270">
        <v>2020</v>
      </c>
      <c r="D7887" s="270">
        <v>1</v>
      </c>
      <c r="E7887" s="270">
        <v>1</v>
      </c>
      <c r="F7887" s="270" t="s">
        <v>944</v>
      </c>
      <c r="G7887" s="270" t="s">
        <v>3926</v>
      </c>
      <c r="H7887" s="270" t="s">
        <v>12776</v>
      </c>
      <c r="I7887" s="270" t="s">
        <v>4306</v>
      </c>
      <c r="J7887" s="270" t="s">
        <v>3928</v>
      </c>
      <c r="K7887" s="270">
        <v>6716</v>
      </c>
      <c r="L7887" s="270">
        <v>361100</v>
      </c>
      <c r="M7887" s="270" t="s">
        <v>3960</v>
      </c>
      <c r="N7887" s="270" t="s">
        <v>3944</v>
      </c>
      <c r="O7887" s="270">
        <v>2319.73</v>
      </c>
      <c r="P7887" s="270" t="s">
        <v>3944</v>
      </c>
      <c r="Q7887" s="270" t="s">
        <v>3944</v>
      </c>
      <c r="R7887" s="270">
        <v>2319.73</v>
      </c>
      <c r="S7887" s="270">
        <v>33580.01</v>
      </c>
      <c r="T7887" s="270">
        <v>35899.74</v>
      </c>
      <c r="U7887" s="271" t="s">
        <v>3945</v>
      </c>
      <c r="V7887" s="267" t="s">
        <v>944</v>
      </c>
    </row>
    <row r="7888" spans="1:22" hidden="1" x14ac:dyDescent="0.25">
      <c r="A7888" s="266">
        <v>43829</v>
      </c>
      <c r="B7888" s="267">
        <v>2019</v>
      </c>
      <c r="C7888" s="267">
        <v>2020</v>
      </c>
      <c r="D7888" s="267">
        <v>1</v>
      </c>
      <c r="E7888" s="267">
        <v>1</v>
      </c>
      <c r="F7888" s="267" t="s">
        <v>944</v>
      </c>
      <c r="G7888" s="267" t="s">
        <v>3926</v>
      </c>
      <c r="H7888" s="267" t="s">
        <v>12777</v>
      </c>
      <c r="I7888" s="267" t="s">
        <v>950</v>
      </c>
      <c r="J7888" s="267" t="s">
        <v>3928</v>
      </c>
      <c r="K7888" s="267">
        <v>6516</v>
      </c>
      <c r="L7888" s="267">
        <v>154700</v>
      </c>
      <c r="M7888" s="267" t="s">
        <v>3960</v>
      </c>
      <c r="N7888" s="267" t="s">
        <v>3944</v>
      </c>
      <c r="O7888" s="267">
        <v>1249.1500000000001</v>
      </c>
      <c r="P7888" s="267" t="s">
        <v>3944</v>
      </c>
      <c r="Q7888" s="267" t="s">
        <v>3944</v>
      </c>
      <c r="R7888" s="267">
        <v>1249.1500000000001</v>
      </c>
      <c r="S7888" s="267">
        <v>21128.45</v>
      </c>
      <c r="T7888" s="267">
        <v>22377.599999999999</v>
      </c>
      <c r="U7888" s="268" t="s">
        <v>3945</v>
      </c>
      <c r="V7888" s="267" t="s">
        <v>944</v>
      </c>
    </row>
    <row r="7889" spans="1:22" hidden="1" x14ac:dyDescent="0.25">
      <c r="A7889" s="269">
        <v>43829</v>
      </c>
      <c r="B7889" s="270">
        <v>2019</v>
      </c>
      <c r="C7889" s="270">
        <v>2020</v>
      </c>
      <c r="D7889" s="270">
        <v>1</v>
      </c>
      <c r="E7889" s="270">
        <v>1</v>
      </c>
      <c r="F7889" s="270" t="s">
        <v>944</v>
      </c>
      <c r="G7889" s="270" t="s">
        <v>3926</v>
      </c>
      <c r="H7889" s="270" t="s">
        <v>12778</v>
      </c>
      <c r="I7889" s="270" t="s">
        <v>4114</v>
      </c>
      <c r="J7889" s="270" t="s">
        <v>3928</v>
      </c>
      <c r="K7889" s="270">
        <v>6410</v>
      </c>
      <c r="L7889" s="270">
        <v>343200</v>
      </c>
      <c r="M7889" s="270" t="s">
        <v>3943</v>
      </c>
      <c r="N7889" s="270" t="s">
        <v>3944</v>
      </c>
      <c r="O7889" s="270">
        <v>2438.98</v>
      </c>
      <c r="P7889" s="270" t="s">
        <v>3944</v>
      </c>
      <c r="Q7889" s="270" t="s">
        <v>3944</v>
      </c>
      <c r="R7889" s="270">
        <v>2438.98</v>
      </c>
      <c r="S7889" s="270">
        <v>36883.5</v>
      </c>
      <c r="T7889" s="270">
        <v>39322.480000000003</v>
      </c>
      <c r="U7889" s="271" t="s">
        <v>3945</v>
      </c>
      <c r="V7889" s="267" t="s">
        <v>944</v>
      </c>
    </row>
    <row r="7890" spans="1:22" hidden="1" x14ac:dyDescent="0.25">
      <c r="A7890" s="266">
        <v>43829</v>
      </c>
      <c r="B7890" s="267">
        <v>2019</v>
      </c>
      <c r="C7890" s="267">
        <v>2020</v>
      </c>
      <c r="D7890" s="267">
        <v>1</v>
      </c>
      <c r="E7890" s="267">
        <v>1</v>
      </c>
      <c r="F7890" s="267" t="s">
        <v>944</v>
      </c>
      <c r="G7890" s="267" t="s">
        <v>3926</v>
      </c>
      <c r="H7890" s="267" t="s">
        <v>12779</v>
      </c>
      <c r="I7890" s="267" t="s">
        <v>2985</v>
      </c>
      <c r="J7890" s="267" t="s">
        <v>3928</v>
      </c>
      <c r="K7890" s="267">
        <v>6824</v>
      </c>
      <c r="L7890" s="267">
        <v>61600</v>
      </c>
      <c r="M7890" s="267" t="s">
        <v>3943</v>
      </c>
      <c r="N7890" s="267" t="s">
        <v>12780</v>
      </c>
      <c r="O7890" s="267"/>
      <c r="P7890" s="267" t="s">
        <v>3944</v>
      </c>
      <c r="Q7890" s="267" t="s">
        <v>3930</v>
      </c>
      <c r="R7890" s="267">
        <v>0</v>
      </c>
      <c r="S7890" s="267">
        <v>280851.99</v>
      </c>
      <c r="T7890" s="267">
        <v>280851.99</v>
      </c>
      <c r="U7890" s="268" t="s">
        <v>4099</v>
      </c>
      <c r="V7890" s="267" t="s">
        <v>944</v>
      </c>
    </row>
    <row r="7891" spans="1:22" hidden="1" x14ac:dyDescent="0.25">
      <c r="A7891" s="269">
        <v>43829</v>
      </c>
      <c r="B7891" s="270">
        <v>2019</v>
      </c>
      <c r="C7891" s="270">
        <v>2020</v>
      </c>
      <c r="D7891" s="270">
        <v>1</v>
      </c>
      <c r="E7891" s="270">
        <v>1</v>
      </c>
      <c r="F7891" s="270" t="s">
        <v>944</v>
      </c>
      <c r="G7891" s="270" t="s">
        <v>3926</v>
      </c>
      <c r="H7891" s="270" t="s">
        <v>12781</v>
      </c>
      <c r="I7891" s="270" t="s">
        <v>5401</v>
      </c>
      <c r="J7891" s="270" t="s">
        <v>3928</v>
      </c>
      <c r="K7891" s="270">
        <v>6820</v>
      </c>
      <c r="L7891" s="270">
        <v>30400</v>
      </c>
      <c r="M7891" s="270" t="s">
        <v>3943</v>
      </c>
      <c r="N7891" s="270" t="s">
        <v>12782</v>
      </c>
      <c r="O7891" s="270"/>
      <c r="P7891" s="270" t="s">
        <v>3944</v>
      </c>
      <c r="Q7891" s="270" t="s">
        <v>3930</v>
      </c>
      <c r="R7891" s="270">
        <v>0</v>
      </c>
      <c r="S7891" s="270">
        <v>260082.19</v>
      </c>
      <c r="T7891" s="270">
        <v>260082.19</v>
      </c>
      <c r="U7891" s="271" t="s">
        <v>4099</v>
      </c>
      <c r="V7891" s="267" t="s">
        <v>944</v>
      </c>
    </row>
    <row r="7892" spans="1:22" hidden="1" x14ac:dyDescent="0.25">
      <c r="A7892" s="266">
        <v>43829</v>
      </c>
      <c r="B7892" s="267">
        <v>2019</v>
      </c>
      <c r="C7892" s="267">
        <v>2020</v>
      </c>
      <c r="D7892" s="267">
        <v>1</v>
      </c>
      <c r="E7892" s="267">
        <v>1</v>
      </c>
      <c r="F7892" s="267" t="s">
        <v>944</v>
      </c>
      <c r="G7892" s="267" t="s">
        <v>3926</v>
      </c>
      <c r="H7892" s="267" t="s">
        <v>12783</v>
      </c>
      <c r="I7892" s="267" t="s">
        <v>4016</v>
      </c>
      <c r="J7892" s="267" t="s">
        <v>3928</v>
      </c>
      <c r="K7892" s="267">
        <v>6770</v>
      </c>
      <c r="L7892" s="267">
        <v>345100</v>
      </c>
      <c r="M7892" s="267" t="s">
        <v>3940</v>
      </c>
      <c r="N7892" s="267" t="s">
        <v>3944</v>
      </c>
      <c r="O7892" s="267">
        <v>1430.63</v>
      </c>
      <c r="P7892" s="267" t="s">
        <v>3944</v>
      </c>
      <c r="Q7892" s="267" t="s">
        <v>3944</v>
      </c>
      <c r="R7892" s="267">
        <v>1430.63</v>
      </c>
      <c r="S7892" s="267">
        <v>20980.76</v>
      </c>
      <c r="T7892" s="267">
        <v>22411.39</v>
      </c>
      <c r="U7892" s="268" t="s">
        <v>3945</v>
      </c>
      <c r="V7892" s="267" t="s">
        <v>944</v>
      </c>
    </row>
    <row r="7893" spans="1:22" hidden="1" x14ac:dyDescent="0.25">
      <c r="A7893" s="269">
        <v>43829</v>
      </c>
      <c r="B7893" s="270">
        <v>2019</v>
      </c>
      <c r="C7893" s="270">
        <v>2020</v>
      </c>
      <c r="D7893" s="270">
        <v>1</v>
      </c>
      <c r="E7893" s="270">
        <v>1</v>
      </c>
      <c r="F7893" s="270" t="s">
        <v>944</v>
      </c>
      <c r="G7893" s="270" t="s">
        <v>3926</v>
      </c>
      <c r="H7893" s="270" t="s">
        <v>12784</v>
      </c>
      <c r="I7893" s="270" t="s">
        <v>3999</v>
      </c>
      <c r="J7893" s="270" t="s">
        <v>3928</v>
      </c>
      <c r="K7893" s="270">
        <v>6450</v>
      </c>
      <c r="L7893" s="270">
        <v>171100</v>
      </c>
      <c r="M7893" s="270" t="s">
        <v>3940</v>
      </c>
      <c r="N7893" s="270" t="s">
        <v>3944</v>
      </c>
      <c r="O7893" s="270">
        <v>974.16</v>
      </c>
      <c r="P7893" s="270" t="s">
        <v>3944</v>
      </c>
      <c r="Q7893" s="270" t="s">
        <v>3944</v>
      </c>
      <c r="R7893" s="270">
        <v>974.16</v>
      </c>
      <c r="S7893" s="270">
        <v>14899.44</v>
      </c>
      <c r="T7893" s="270">
        <v>15873.6</v>
      </c>
      <c r="U7893" s="271" t="s">
        <v>3945</v>
      </c>
      <c r="V7893" s="267" t="s">
        <v>944</v>
      </c>
    </row>
    <row r="7894" spans="1:22" hidden="1" x14ac:dyDescent="0.25">
      <c r="A7894" s="266">
        <v>43829</v>
      </c>
      <c r="B7894" s="267">
        <v>2019</v>
      </c>
      <c r="C7894" s="267">
        <v>2020</v>
      </c>
      <c r="D7894" s="267">
        <v>1</v>
      </c>
      <c r="E7894" s="267">
        <v>1</v>
      </c>
      <c r="F7894" s="267" t="s">
        <v>944</v>
      </c>
      <c r="G7894" s="267" t="s">
        <v>3926</v>
      </c>
      <c r="H7894" s="267" t="s">
        <v>12785</v>
      </c>
      <c r="I7894" s="267" t="s">
        <v>3996</v>
      </c>
      <c r="J7894" s="267" t="s">
        <v>3928</v>
      </c>
      <c r="K7894" s="267">
        <v>6790</v>
      </c>
      <c r="L7894" s="267">
        <v>310804</v>
      </c>
      <c r="M7894" s="267" t="s">
        <v>3935</v>
      </c>
      <c r="N7894" s="267" t="s">
        <v>3944</v>
      </c>
      <c r="O7894" s="267">
        <v>1002.12</v>
      </c>
      <c r="P7894" s="267" t="s">
        <v>3944</v>
      </c>
      <c r="Q7894" s="267" t="s">
        <v>3944</v>
      </c>
      <c r="R7894" s="267">
        <v>1002.12</v>
      </c>
      <c r="S7894" s="267">
        <v>15366.25</v>
      </c>
      <c r="T7894" s="267">
        <v>16368.37</v>
      </c>
      <c r="U7894" s="268" t="s">
        <v>3945</v>
      </c>
      <c r="V7894" s="267" t="s">
        <v>944</v>
      </c>
    </row>
    <row r="7895" spans="1:22" hidden="1" x14ac:dyDescent="0.25">
      <c r="A7895" s="269">
        <v>43829</v>
      </c>
      <c r="B7895" s="270">
        <v>2019</v>
      </c>
      <c r="C7895" s="270">
        <v>2020</v>
      </c>
      <c r="D7895" s="270">
        <v>1</v>
      </c>
      <c r="E7895" s="270">
        <v>1</v>
      </c>
      <c r="F7895" s="270" t="s">
        <v>944</v>
      </c>
      <c r="G7895" s="270" t="s">
        <v>3926</v>
      </c>
      <c r="H7895" s="270" t="s">
        <v>12786</v>
      </c>
      <c r="I7895" s="270" t="s">
        <v>4293</v>
      </c>
      <c r="J7895" s="270" t="s">
        <v>3928</v>
      </c>
      <c r="K7895" s="270">
        <v>6412</v>
      </c>
      <c r="L7895" s="270">
        <v>600100</v>
      </c>
      <c r="M7895" s="270" t="s">
        <v>3960</v>
      </c>
      <c r="N7895" s="270" t="s">
        <v>3944</v>
      </c>
      <c r="O7895" s="270">
        <v>1389.75</v>
      </c>
      <c r="P7895" s="270" t="s">
        <v>3944</v>
      </c>
      <c r="Q7895" s="270" t="s">
        <v>3944</v>
      </c>
      <c r="R7895" s="270">
        <v>1389.75</v>
      </c>
      <c r="S7895" s="270">
        <v>21663.119999999999</v>
      </c>
      <c r="T7895" s="270">
        <v>23052.87</v>
      </c>
      <c r="U7895" s="271" t="s">
        <v>3945</v>
      </c>
      <c r="V7895" s="267" t="s">
        <v>944</v>
      </c>
    </row>
    <row r="7896" spans="1:22" hidden="1" x14ac:dyDescent="0.25">
      <c r="A7896" s="266">
        <v>43829</v>
      </c>
      <c r="B7896" s="267">
        <v>2019</v>
      </c>
      <c r="C7896" s="267">
        <v>2020</v>
      </c>
      <c r="D7896" s="267">
        <v>1</v>
      </c>
      <c r="E7896" s="267">
        <v>1</v>
      </c>
      <c r="F7896" s="267" t="s">
        <v>944</v>
      </c>
      <c r="G7896" s="267" t="s">
        <v>3926</v>
      </c>
      <c r="H7896" s="267" t="s">
        <v>12787</v>
      </c>
      <c r="I7896" s="267" t="s">
        <v>4037</v>
      </c>
      <c r="J7896" s="267" t="s">
        <v>3928</v>
      </c>
      <c r="K7896" s="267">
        <v>6810</v>
      </c>
      <c r="L7896" s="267">
        <v>210600</v>
      </c>
      <c r="M7896" s="267" t="s">
        <v>3940</v>
      </c>
      <c r="N7896" s="267" t="s">
        <v>3944</v>
      </c>
      <c r="O7896" s="267">
        <v>1723.47</v>
      </c>
      <c r="P7896" s="267" t="s">
        <v>3944</v>
      </c>
      <c r="Q7896" s="267" t="s">
        <v>3944</v>
      </c>
      <c r="R7896" s="267">
        <v>1723.47</v>
      </c>
      <c r="S7896" s="267">
        <v>24346.62</v>
      </c>
      <c r="T7896" s="267">
        <v>26070.09</v>
      </c>
      <c r="U7896" s="268" t="s">
        <v>3945</v>
      </c>
      <c r="V7896" s="267" t="s">
        <v>944</v>
      </c>
    </row>
    <row r="7897" spans="1:22" hidden="1" x14ac:dyDescent="0.25">
      <c r="A7897" s="269">
        <v>43830</v>
      </c>
      <c r="B7897" s="270">
        <v>2019</v>
      </c>
      <c r="C7897" s="270">
        <v>2020</v>
      </c>
      <c r="D7897" s="270">
        <v>1</v>
      </c>
      <c r="E7897" s="270">
        <v>1</v>
      </c>
      <c r="F7897" s="270" t="s">
        <v>944</v>
      </c>
      <c r="G7897" s="270" t="s">
        <v>3926</v>
      </c>
      <c r="H7897" s="270" t="s">
        <v>12788</v>
      </c>
      <c r="I7897" s="270" t="s">
        <v>4035</v>
      </c>
      <c r="J7897" s="270" t="s">
        <v>3928</v>
      </c>
      <c r="K7897" s="270">
        <v>6074</v>
      </c>
      <c r="L7897" s="270">
        <v>487500</v>
      </c>
      <c r="M7897" s="270" t="s">
        <v>3935</v>
      </c>
      <c r="N7897" s="270" t="s">
        <v>12789</v>
      </c>
      <c r="O7897" s="270">
        <v>0</v>
      </c>
      <c r="P7897" s="270" t="s">
        <v>3930</v>
      </c>
      <c r="Q7897" s="270" t="s">
        <v>3930</v>
      </c>
      <c r="R7897" s="270">
        <v>0</v>
      </c>
      <c r="S7897" s="270">
        <v>14399.3</v>
      </c>
      <c r="T7897" s="270">
        <v>14399.3</v>
      </c>
      <c r="U7897" s="271" t="s">
        <v>3937</v>
      </c>
      <c r="V7897" s="267" t="s">
        <v>944</v>
      </c>
    </row>
    <row r="7898" spans="1:22" hidden="1" x14ac:dyDescent="0.25">
      <c r="A7898" s="272">
        <v>43830</v>
      </c>
      <c r="B7898" s="273">
        <v>2019</v>
      </c>
      <c r="C7898" s="273">
        <v>2020</v>
      </c>
      <c r="D7898" s="273">
        <v>1</v>
      </c>
      <c r="E7898" s="273">
        <v>1</v>
      </c>
      <c r="F7898" s="273" t="s">
        <v>944</v>
      </c>
      <c r="G7898" s="273" t="s">
        <v>3926</v>
      </c>
      <c r="H7898" s="273" t="s">
        <v>12790</v>
      </c>
      <c r="I7898" s="273" t="s">
        <v>4019</v>
      </c>
      <c r="J7898" s="273" t="s">
        <v>3928</v>
      </c>
      <c r="K7898" s="273">
        <v>6708</v>
      </c>
      <c r="L7898" s="273">
        <v>351800</v>
      </c>
      <c r="M7898" s="273" t="s">
        <v>3940</v>
      </c>
      <c r="N7898" s="273" t="s">
        <v>4103</v>
      </c>
      <c r="O7898" s="273">
        <v>3697.38</v>
      </c>
      <c r="P7898" s="273" t="s">
        <v>3930</v>
      </c>
      <c r="Q7898" s="273" t="s">
        <v>3931</v>
      </c>
      <c r="R7898" s="273">
        <v>8697.3799999999992</v>
      </c>
      <c r="S7898" s="273">
        <v>24145.599999999999</v>
      </c>
      <c r="T7898" s="273">
        <v>32842.980000000003</v>
      </c>
      <c r="U7898" s="274" t="s">
        <v>3932</v>
      </c>
      <c r="V7898" s="267" t="s">
        <v>944</v>
      </c>
    </row>
    <row r="7899" spans="1:22" x14ac:dyDescent="0.25">
      <c r="A7899" s="272"/>
      <c r="B7899" s="273"/>
      <c r="C7899" s="273"/>
      <c r="D7899" s="273"/>
      <c r="E7899" s="273"/>
      <c r="F7899" s="273"/>
      <c r="G7899" s="273"/>
      <c r="H7899" s="273"/>
      <c r="I7899" s="273"/>
      <c r="J7899" s="273"/>
      <c r="K7899" s="273"/>
      <c r="L7899" s="273"/>
      <c r="M7899" s="273"/>
      <c r="N7899" s="273"/>
      <c r="O7899" s="273">
        <f>SUM(Table7[CGBIncentiveAmount2])</f>
        <v>16497553.699999951</v>
      </c>
      <c r="P7899" s="273"/>
      <c r="Q7899" s="273"/>
      <c r="R7899" s="273"/>
      <c r="S7899" s="273"/>
      <c r="T7899" s="273"/>
      <c r="U7899" s="274"/>
      <c r="V7899" s="273"/>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16966-428C-436F-9DB4-F2BE0CFB47BF}">
  <sheetPr>
    <tabColor theme="7" tint="0.59999389629810485"/>
  </sheetPr>
  <dimension ref="A1:B1098"/>
  <sheetViews>
    <sheetView topLeftCell="A175" workbookViewId="0">
      <selection activeCell="E188" sqref="E188"/>
    </sheetView>
  </sheetViews>
  <sheetFormatPr defaultRowHeight="15" x14ac:dyDescent="0.25"/>
  <cols>
    <col min="1" max="1" width="12.28515625" bestFit="1" customWidth="1"/>
    <col min="2" max="2" width="17.42578125" bestFit="1" customWidth="1"/>
  </cols>
  <sheetData>
    <row r="1" spans="1:2" x14ac:dyDescent="0.25">
      <c r="A1" t="s">
        <v>2704</v>
      </c>
      <c r="B1" t="s">
        <v>2721</v>
      </c>
    </row>
    <row r="2" spans="1:2" x14ac:dyDescent="0.25">
      <c r="A2" s="176">
        <v>9001055100</v>
      </c>
      <c r="B2" t="s">
        <v>944</v>
      </c>
    </row>
    <row r="3" spans="1:2" x14ac:dyDescent="0.25">
      <c r="A3" s="176">
        <v>9001055200</v>
      </c>
      <c r="B3" t="s">
        <v>944</v>
      </c>
    </row>
    <row r="4" spans="1:2" x14ac:dyDescent="0.25">
      <c r="A4" s="176">
        <v>9001060100</v>
      </c>
      <c r="B4" t="s">
        <v>944</v>
      </c>
    </row>
    <row r="5" spans="1:2" x14ac:dyDescent="0.25">
      <c r="A5" s="176">
        <v>9001060200</v>
      </c>
      <c r="B5" t="s">
        <v>944</v>
      </c>
    </row>
    <row r="6" spans="1:2" x14ac:dyDescent="0.25">
      <c r="A6" s="176">
        <v>9001060300</v>
      </c>
      <c r="B6" t="s">
        <v>944</v>
      </c>
    </row>
    <row r="7" spans="1:2" x14ac:dyDescent="0.25">
      <c r="A7" s="176">
        <v>9001060400</v>
      </c>
      <c r="B7" t="s">
        <v>944</v>
      </c>
    </row>
    <row r="8" spans="1:2" x14ac:dyDescent="0.25">
      <c r="A8" s="176">
        <v>9001060500</v>
      </c>
      <c r="B8" t="s">
        <v>944</v>
      </c>
    </row>
    <row r="9" spans="1:2" x14ac:dyDescent="0.25">
      <c r="A9" s="176">
        <v>9001060600</v>
      </c>
      <c r="B9" t="s">
        <v>944</v>
      </c>
    </row>
    <row r="10" spans="1:2" x14ac:dyDescent="0.25">
      <c r="A10" s="176">
        <v>9001060700</v>
      </c>
      <c r="B10" t="s">
        <v>944</v>
      </c>
    </row>
    <row r="11" spans="1:2" x14ac:dyDescent="0.25">
      <c r="A11" s="176">
        <v>9001060800</v>
      </c>
      <c r="B11" t="s">
        <v>944</v>
      </c>
    </row>
    <row r="12" spans="1:2" x14ac:dyDescent="0.25">
      <c r="A12" s="176">
        <v>9001060900</v>
      </c>
      <c r="B12" t="s">
        <v>944</v>
      </c>
    </row>
    <row r="13" spans="1:2" x14ac:dyDescent="0.25">
      <c r="A13" s="176">
        <v>9001061000</v>
      </c>
      <c r="B13" t="s">
        <v>944</v>
      </c>
    </row>
    <row r="14" spans="1:2" x14ac:dyDescent="0.25">
      <c r="A14" s="176">
        <v>9001061100</v>
      </c>
      <c r="B14" t="s">
        <v>944</v>
      </c>
    </row>
    <row r="15" spans="1:2" x14ac:dyDescent="0.25">
      <c r="A15" s="176">
        <v>9001061200</v>
      </c>
      <c r="B15" t="s">
        <v>944</v>
      </c>
    </row>
    <row r="16" spans="1:2" x14ac:dyDescent="0.25">
      <c r="A16" s="176">
        <v>9001061300</v>
      </c>
      <c r="B16" t="s">
        <v>944</v>
      </c>
    </row>
    <row r="17" spans="1:2" x14ac:dyDescent="0.25">
      <c r="A17" s="176">
        <v>9001061400</v>
      </c>
      <c r="B17" t="s">
        <v>944</v>
      </c>
    </row>
    <row r="18" spans="1:2" x14ac:dyDescent="0.25">
      <c r="A18" s="176">
        <v>9001061500</v>
      </c>
      <c r="B18" t="s">
        <v>944</v>
      </c>
    </row>
    <row r="19" spans="1:2" x14ac:dyDescent="0.25">
      <c r="A19" s="176">
        <v>9001061600</v>
      </c>
      <c r="B19" t="s">
        <v>944</v>
      </c>
    </row>
    <row r="20" spans="1:2" x14ac:dyDescent="0.25">
      <c r="A20" s="176">
        <v>9001070100</v>
      </c>
      <c r="B20" t="s">
        <v>944</v>
      </c>
    </row>
    <row r="21" spans="1:2" x14ac:dyDescent="0.25">
      <c r="A21" s="176">
        <v>9001070200</v>
      </c>
      <c r="B21" t="s">
        <v>944</v>
      </c>
    </row>
    <row r="22" spans="1:2" x14ac:dyDescent="0.25">
      <c r="A22" s="176">
        <v>9001070600</v>
      </c>
      <c r="B22" t="s">
        <v>944</v>
      </c>
    </row>
    <row r="23" spans="1:2" x14ac:dyDescent="0.25">
      <c r="A23" s="176">
        <v>9001072000</v>
      </c>
      <c r="B23" t="s">
        <v>944</v>
      </c>
    </row>
    <row r="24" spans="1:2" x14ac:dyDescent="0.25">
      <c r="A24" s="176">
        <v>9001072100</v>
      </c>
      <c r="B24" t="s">
        <v>944</v>
      </c>
    </row>
    <row r="25" spans="1:2" x14ac:dyDescent="0.25">
      <c r="A25" s="176">
        <v>9001072200</v>
      </c>
      <c r="B25" t="s">
        <v>944</v>
      </c>
    </row>
    <row r="26" spans="1:2" x14ac:dyDescent="0.25">
      <c r="A26" s="176">
        <v>9001072300</v>
      </c>
      <c r="B26" t="s">
        <v>944</v>
      </c>
    </row>
    <row r="27" spans="1:2" x14ac:dyDescent="0.25">
      <c r="A27" s="176">
        <v>9001072400</v>
      </c>
      <c r="B27" t="s">
        <v>944</v>
      </c>
    </row>
    <row r="28" spans="1:2" x14ac:dyDescent="0.25">
      <c r="A28" s="176">
        <v>9001072500</v>
      </c>
      <c r="B28" t="s">
        <v>944</v>
      </c>
    </row>
    <row r="29" spans="1:2" x14ac:dyDescent="0.25">
      <c r="A29" s="176">
        <v>9001072600</v>
      </c>
      <c r="B29" t="s">
        <v>944</v>
      </c>
    </row>
    <row r="30" spans="1:2" x14ac:dyDescent="0.25">
      <c r="A30" s="176">
        <v>9001072700</v>
      </c>
      <c r="B30" t="s">
        <v>944</v>
      </c>
    </row>
    <row r="31" spans="1:2" x14ac:dyDescent="0.25">
      <c r="A31" s="176">
        <v>9001072800</v>
      </c>
      <c r="B31" t="s">
        <v>944</v>
      </c>
    </row>
    <row r="32" spans="1:2" x14ac:dyDescent="0.25">
      <c r="A32" s="176">
        <v>9001072900</v>
      </c>
      <c r="B32" t="s">
        <v>944</v>
      </c>
    </row>
    <row r="33" spans="1:2" x14ac:dyDescent="0.25">
      <c r="A33" s="176">
        <v>9001073000</v>
      </c>
      <c r="B33" t="s">
        <v>944</v>
      </c>
    </row>
    <row r="34" spans="1:2" x14ac:dyDescent="0.25">
      <c r="A34" s="176">
        <v>9001073100</v>
      </c>
      <c r="B34" t="s">
        <v>944</v>
      </c>
    </row>
    <row r="35" spans="1:2" x14ac:dyDescent="0.25">
      <c r="A35" s="176">
        <v>9001073200</v>
      </c>
      <c r="B35" t="s">
        <v>944</v>
      </c>
    </row>
    <row r="36" spans="1:2" x14ac:dyDescent="0.25">
      <c r="A36" s="176">
        <v>9001080100</v>
      </c>
      <c r="B36" t="s">
        <v>944</v>
      </c>
    </row>
    <row r="37" spans="1:2" x14ac:dyDescent="0.25">
      <c r="A37" s="176">
        <v>9001080200</v>
      </c>
      <c r="B37" t="s">
        <v>944</v>
      </c>
    </row>
    <row r="38" spans="1:2" x14ac:dyDescent="0.25">
      <c r="A38" s="176">
        <v>9001080400</v>
      </c>
      <c r="B38" t="s">
        <v>944</v>
      </c>
    </row>
    <row r="39" spans="1:2" x14ac:dyDescent="0.25">
      <c r="A39" s="176">
        <v>9001080500</v>
      </c>
      <c r="B39" t="s">
        <v>944</v>
      </c>
    </row>
    <row r="40" spans="1:2" x14ac:dyDescent="0.25">
      <c r="A40" s="176">
        <v>9001080600</v>
      </c>
      <c r="B40" t="s">
        <v>944</v>
      </c>
    </row>
    <row r="41" spans="1:2" x14ac:dyDescent="0.25">
      <c r="A41" s="176">
        <v>9001080700</v>
      </c>
      <c r="B41" t="s">
        <v>944</v>
      </c>
    </row>
    <row r="42" spans="1:2" x14ac:dyDescent="0.25">
      <c r="A42" s="176">
        <v>9001080800</v>
      </c>
      <c r="B42" t="s">
        <v>944</v>
      </c>
    </row>
    <row r="43" spans="1:2" x14ac:dyDescent="0.25">
      <c r="A43" s="176">
        <v>9001080900</v>
      </c>
      <c r="B43" t="s">
        <v>944</v>
      </c>
    </row>
    <row r="44" spans="1:2" x14ac:dyDescent="0.25">
      <c r="A44" s="176">
        <v>9001081000</v>
      </c>
      <c r="B44" t="s">
        <v>944</v>
      </c>
    </row>
    <row r="45" spans="1:2" x14ac:dyDescent="0.25">
      <c r="A45" s="176">
        <v>9001081100</v>
      </c>
      <c r="B45" t="s">
        <v>944</v>
      </c>
    </row>
    <row r="46" spans="1:2" x14ac:dyDescent="0.25">
      <c r="A46" s="176">
        <v>9001081200</v>
      </c>
      <c r="B46" t="s">
        <v>944</v>
      </c>
    </row>
    <row r="47" spans="1:2" x14ac:dyDescent="0.25">
      <c r="A47" s="176">
        <v>9001081300</v>
      </c>
      <c r="B47" t="s">
        <v>944</v>
      </c>
    </row>
    <row r="48" spans="1:2" x14ac:dyDescent="0.25">
      <c r="A48" s="176">
        <v>9001090100</v>
      </c>
      <c r="B48" t="s">
        <v>944</v>
      </c>
    </row>
    <row r="49" spans="1:2" x14ac:dyDescent="0.25">
      <c r="A49" s="176">
        <v>9001090200</v>
      </c>
      <c r="B49" t="s">
        <v>944</v>
      </c>
    </row>
    <row r="50" spans="1:2" x14ac:dyDescent="0.25">
      <c r="A50" s="176">
        <v>9001090300</v>
      </c>
      <c r="B50" t="s">
        <v>944</v>
      </c>
    </row>
    <row r="51" spans="1:2" x14ac:dyDescent="0.25">
      <c r="A51" s="176">
        <v>9001090400</v>
      </c>
      <c r="B51" t="s">
        <v>944</v>
      </c>
    </row>
    <row r="52" spans="1:2" x14ac:dyDescent="0.25">
      <c r="A52" s="176">
        <v>9001090500</v>
      </c>
      <c r="B52" t="s">
        <v>944</v>
      </c>
    </row>
    <row r="53" spans="1:2" x14ac:dyDescent="0.25">
      <c r="A53" s="176">
        <v>9001090600</v>
      </c>
      <c r="B53" t="s">
        <v>944</v>
      </c>
    </row>
    <row r="54" spans="1:2" x14ac:dyDescent="0.25">
      <c r="A54" s="176">
        <v>9001090700</v>
      </c>
      <c r="B54" t="s">
        <v>944</v>
      </c>
    </row>
    <row r="55" spans="1:2" x14ac:dyDescent="0.25">
      <c r="A55" s="176">
        <v>9001100100</v>
      </c>
      <c r="B55" t="s">
        <v>944</v>
      </c>
    </row>
    <row r="56" spans="1:2" x14ac:dyDescent="0.25">
      <c r="A56" s="176">
        <v>9001100200</v>
      </c>
      <c r="B56" t="s">
        <v>944</v>
      </c>
    </row>
    <row r="57" spans="1:2" x14ac:dyDescent="0.25">
      <c r="A57" s="176">
        <v>9001105100</v>
      </c>
      <c r="B57" t="s">
        <v>944</v>
      </c>
    </row>
    <row r="58" spans="1:2" x14ac:dyDescent="0.25">
      <c r="A58" s="176">
        <v>9001105200</v>
      </c>
      <c r="B58" t="s">
        <v>944</v>
      </c>
    </row>
    <row r="59" spans="1:2" x14ac:dyDescent="0.25">
      <c r="A59" s="176">
        <v>9001110100</v>
      </c>
      <c r="B59" t="s">
        <v>944</v>
      </c>
    </row>
    <row r="60" spans="1:2" x14ac:dyDescent="0.25">
      <c r="A60" s="176">
        <v>9001110201</v>
      </c>
      <c r="B60" t="s">
        <v>944</v>
      </c>
    </row>
    <row r="61" spans="1:2" x14ac:dyDescent="0.25">
      <c r="A61" s="176">
        <v>9001110202</v>
      </c>
      <c r="B61" t="s">
        <v>944</v>
      </c>
    </row>
    <row r="62" spans="1:2" x14ac:dyDescent="0.25">
      <c r="A62" s="176">
        <v>9001110301</v>
      </c>
      <c r="B62" t="s">
        <v>944</v>
      </c>
    </row>
    <row r="63" spans="1:2" x14ac:dyDescent="0.25">
      <c r="A63" s="176">
        <v>9001110302</v>
      </c>
      <c r="B63" t="s">
        <v>944</v>
      </c>
    </row>
    <row r="64" spans="1:2" x14ac:dyDescent="0.25">
      <c r="A64" s="176">
        <v>9001110400</v>
      </c>
      <c r="B64" t="s">
        <v>944</v>
      </c>
    </row>
    <row r="65" spans="1:2" x14ac:dyDescent="0.25">
      <c r="A65" s="176">
        <v>9001110500</v>
      </c>
      <c r="B65" t="s">
        <v>944</v>
      </c>
    </row>
    <row r="66" spans="1:2" x14ac:dyDescent="0.25">
      <c r="A66" s="176">
        <v>9001110600</v>
      </c>
      <c r="B66" t="s">
        <v>944</v>
      </c>
    </row>
    <row r="67" spans="1:2" x14ac:dyDescent="0.25">
      <c r="A67" s="176">
        <v>9001240200</v>
      </c>
      <c r="B67" t="s">
        <v>944</v>
      </c>
    </row>
    <row r="68" spans="1:2" x14ac:dyDescent="0.25">
      <c r="A68" s="176">
        <v>9009120100</v>
      </c>
      <c r="B68" t="s">
        <v>944</v>
      </c>
    </row>
    <row r="69" spans="1:2" x14ac:dyDescent="0.25">
      <c r="A69" s="176">
        <v>9009125100</v>
      </c>
      <c r="B69" t="s">
        <v>944</v>
      </c>
    </row>
    <row r="70" spans="1:2" x14ac:dyDescent="0.25">
      <c r="A70" s="176">
        <v>9009125200</v>
      </c>
      <c r="B70" t="s">
        <v>944</v>
      </c>
    </row>
    <row r="71" spans="1:2" x14ac:dyDescent="0.25">
      <c r="A71" s="176">
        <v>9009125300</v>
      </c>
      <c r="B71" t="s">
        <v>944</v>
      </c>
    </row>
    <row r="72" spans="1:2" x14ac:dyDescent="0.25">
      <c r="A72" s="176">
        <v>9009125400</v>
      </c>
      <c r="B72" t="s">
        <v>944</v>
      </c>
    </row>
    <row r="73" spans="1:2" x14ac:dyDescent="0.25">
      <c r="A73" s="176">
        <v>9009130101</v>
      </c>
      <c r="B73" t="s">
        <v>944</v>
      </c>
    </row>
    <row r="74" spans="1:2" x14ac:dyDescent="0.25">
      <c r="A74" s="176">
        <v>9009130102</v>
      </c>
      <c r="B74" t="s">
        <v>944</v>
      </c>
    </row>
    <row r="75" spans="1:2" x14ac:dyDescent="0.25">
      <c r="A75" s="176">
        <v>9009130200</v>
      </c>
      <c r="B75" t="s">
        <v>944</v>
      </c>
    </row>
    <row r="76" spans="1:2" x14ac:dyDescent="0.25">
      <c r="A76" s="176">
        <v>9009140100</v>
      </c>
      <c r="B76" t="s">
        <v>944</v>
      </c>
    </row>
    <row r="77" spans="1:2" x14ac:dyDescent="0.25">
      <c r="A77" s="176">
        <v>9009140400</v>
      </c>
      <c r="B77" t="s">
        <v>944</v>
      </c>
    </row>
    <row r="78" spans="1:2" x14ac:dyDescent="0.25">
      <c r="A78" s="176">
        <v>9009140700</v>
      </c>
      <c r="B78" t="s">
        <v>944</v>
      </c>
    </row>
    <row r="79" spans="1:2" x14ac:dyDescent="0.25">
      <c r="A79" s="176">
        <v>9009140800</v>
      </c>
      <c r="B79" t="s">
        <v>944</v>
      </c>
    </row>
    <row r="80" spans="1:2" x14ac:dyDescent="0.25">
      <c r="A80" s="176">
        <v>9009140900</v>
      </c>
      <c r="B80" t="s">
        <v>944</v>
      </c>
    </row>
    <row r="81" spans="1:2" x14ac:dyDescent="0.25">
      <c r="A81" s="176">
        <v>9009141000</v>
      </c>
      <c r="B81" t="s">
        <v>944</v>
      </c>
    </row>
    <row r="82" spans="1:2" x14ac:dyDescent="0.25">
      <c r="A82" s="176">
        <v>9009141100</v>
      </c>
      <c r="B82" t="s">
        <v>944</v>
      </c>
    </row>
    <row r="83" spans="1:2" x14ac:dyDescent="0.25">
      <c r="A83" s="176">
        <v>9009141200</v>
      </c>
      <c r="B83" t="s">
        <v>944</v>
      </c>
    </row>
    <row r="84" spans="1:2" x14ac:dyDescent="0.25">
      <c r="A84" s="176">
        <v>9009141300</v>
      </c>
      <c r="B84" t="s">
        <v>944</v>
      </c>
    </row>
    <row r="85" spans="1:2" x14ac:dyDescent="0.25">
      <c r="A85" s="176">
        <v>9009141400</v>
      </c>
      <c r="B85" t="s">
        <v>944</v>
      </c>
    </row>
    <row r="86" spans="1:2" x14ac:dyDescent="0.25">
      <c r="A86" s="176">
        <v>9009141800</v>
      </c>
      <c r="B86" t="s">
        <v>944</v>
      </c>
    </row>
    <row r="87" spans="1:2" x14ac:dyDescent="0.25">
      <c r="A87" s="176">
        <v>9009141900</v>
      </c>
      <c r="B87" t="s">
        <v>944</v>
      </c>
    </row>
    <row r="88" spans="1:2" x14ac:dyDescent="0.25">
      <c r="A88" s="176">
        <v>9009142000</v>
      </c>
      <c r="B88" t="s">
        <v>944</v>
      </c>
    </row>
    <row r="89" spans="1:2" x14ac:dyDescent="0.25">
      <c r="A89" s="176">
        <v>9009142100</v>
      </c>
      <c r="B89" t="s">
        <v>944</v>
      </c>
    </row>
    <row r="90" spans="1:2" x14ac:dyDescent="0.25">
      <c r="A90" s="176">
        <v>9009142200</v>
      </c>
      <c r="B90" t="s">
        <v>944</v>
      </c>
    </row>
    <row r="91" spans="1:2" x14ac:dyDescent="0.25">
      <c r="A91" s="176">
        <v>9009142601</v>
      </c>
      <c r="B91" t="s">
        <v>944</v>
      </c>
    </row>
    <row r="92" spans="1:2" x14ac:dyDescent="0.25">
      <c r="A92" s="176">
        <v>9009142603</v>
      </c>
      <c r="B92" t="s">
        <v>944</v>
      </c>
    </row>
    <row r="93" spans="1:2" x14ac:dyDescent="0.25">
      <c r="A93" s="176">
        <v>9009142604</v>
      </c>
      <c r="B93" t="s">
        <v>944</v>
      </c>
    </row>
    <row r="94" spans="1:2" x14ac:dyDescent="0.25">
      <c r="A94" s="176">
        <v>9009142800</v>
      </c>
      <c r="B94" t="s">
        <v>944</v>
      </c>
    </row>
    <row r="95" spans="1:2" x14ac:dyDescent="0.25">
      <c r="A95" s="176">
        <v>9009150100</v>
      </c>
      <c r="B95" t="s">
        <v>944</v>
      </c>
    </row>
    <row r="96" spans="1:2" x14ac:dyDescent="0.25">
      <c r="A96" s="176">
        <v>9009150200</v>
      </c>
      <c r="B96" t="s">
        <v>944</v>
      </c>
    </row>
    <row r="97" spans="1:2" x14ac:dyDescent="0.25">
      <c r="A97" s="176">
        <v>9009150300</v>
      </c>
      <c r="B97" t="s">
        <v>944</v>
      </c>
    </row>
    <row r="98" spans="1:2" x14ac:dyDescent="0.25">
      <c r="A98" s="176">
        <v>9009150400</v>
      </c>
      <c r="B98" t="s">
        <v>944</v>
      </c>
    </row>
    <row r="99" spans="1:2" x14ac:dyDescent="0.25">
      <c r="A99" s="176">
        <v>9009150500</v>
      </c>
      <c r="B99" t="s">
        <v>944</v>
      </c>
    </row>
    <row r="100" spans="1:2" x14ac:dyDescent="0.25">
      <c r="A100" s="176">
        <v>9009150600</v>
      </c>
      <c r="B100" t="s">
        <v>944</v>
      </c>
    </row>
    <row r="101" spans="1:2" x14ac:dyDescent="0.25">
      <c r="A101" s="176">
        <v>9009150700</v>
      </c>
      <c r="B101" t="s">
        <v>944</v>
      </c>
    </row>
    <row r="102" spans="1:2" x14ac:dyDescent="0.25">
      <c r="A102" s="176">
        <v>9009150800</v>
      </c>
      <c r="B102" t="s">
        <v>944</v>
      </c>
    </row>
    <row r="103" spans="1:2" x14ac:dyDescent="0.25">
      <c r="A103" s="176">
        <v>9009150900</v>
      </c>
      <c r="B103" t="s">
        <v>944</v>
      </c>
    </row>
    <row r="104" spans="1:2" x14ac:dyDescent="0.25">
      <c r="A104" s="176">
        <v>9009151000</v>
      </c>
      <c r="B104" t="s">
        <v>944</v>
      </c>
    </row>
    <row r="105" spans="1:2" x14ac:dyDescent="0.25">
      <c r="A105" s="176">
        <v>9009151100</v>
      </c>
      <c r="B105" t="s">
        <v>944</v>
      </c>
    </row>
    <row r="106" spans="1:2" x14ac:dyDescent="0.25">
      <c r="A106" s="176">
        <v>9009151200</v>
      </c>
      <c r="B106" t="s">
        <v>944</v>
      </c>
    </row>
    <row r="107" spans="1:2" x14ac:dyDescent="0.25">
      <c r="A107" s="176">
        <v>9009154100</v>
      </c>
      <c r="B107" t="s">
        <v>944</v>
      </c>
    </row>
    <row r="108" spans="1:2" x14ac:dyDescent="0.25">
      <c r="A108" s="176">
        <v>9009154200</v>
      </c>
      <c r="B108" t="s">
        <v>944</v>
      </c>
    </row>
    <row r="109" spans="1:2" x14ac:dyDescent="0.25">
      <c r="A109" s="176">
        <v>9009154500</v>
      </c>
      <c r="B109" t="s">
        <v>944</v>
      </c>
    </row>
    <row r="110" spans="1:2" x14ac:dyDescent="0.25">
      <c r="A110" s="176">
        <v>9009154600</v>
      </c>
      <c r="B110" t="s">
        <v>944</v>
      </c>
    </row>
    <row r="111" spans="1:2" x14ac:dyDescent="0.25">
      <c r="A111" s="176">
        <v>9009154700</v>
      </c>
      <c r="B111" t="s">
        <v>944</v>
      </c>
    </row>
    <row r="112" spans="1:2" x14ac:dyDescent="0.25">
      <c r="A112" s="176">
        <v>9009154800</v>
      </c>
      <c r="B112" t="s">
        <v>944</v>
      </c>
    </row>
    <row r="113" spans="1:2" x14ac:dyDescent="0.25">
      <c r="A113" s="176">
        <v>9009154900</v>
      </c>
      <c r="B113" t="s">
        <v>944</v>
      </c>
    </row>
    <row r="114" spans="1:2" x14ac:dyDescent="0.25">
      <c r="A114" s="176">
        <v>9009155000</v>
      </c>
      <c r="B114" t="s">
        <v>944</v>
      </c>
    </row>
    <row r="115" spans="1:2" x14ac:dyDescent="0.25">
      <c r="A115" s="176">
        <v>9009155100</v>
      </c>
      <c r="B115" t="s">
        <v>944</v>
      </c>
    </row>
    <row r="116" spans="1:2" x14ac:dyDescent="0.25">
      <c r="A116" s="176">
        <v>9009157100</v>
      </c>
      <c r="B116" t="s">
        <v>944</v>
      </c>
    </row>
    <row r="117" spans="1:2" x14ac:dyDescent="0.25">
      <c r="A117" s="176">
        <v>9009157200</v>
      </c>
      <c r="B117" t="s">
        <v>944</v>
      </c>
    </row>
    <row r="118" spans="1:2" x14ac:dyDescent="0.25">
      <c r="A118" s="176">
        <v>9009157300</v>
      </c>
      <c r="B118" t="s">
        <v>944</v>
      </c>
    </row>
    <row r="119" spans="1:2" x14ac:dyDescent="0.25">
      <c r="A119" s="176">
        <v>9009157400</v>
      </c>
      <c r="B119" t="s">
        <v>944</v>
      </c>
    </row>
    <row r="120" spans="1:2" x14ac:dyDescent="0.25">
      <c r="A120" s="176">
        <v>9009160100</v>
      </c>
      <c r="B120" t="s">
        <v>944</v>
      </c>
    </row>
    <row r="121" spans="1:2" x14ac:dyDescent="0.25">
      <c r="A121" s="176">
        <v>9009160200</v>
      </c>
      <c r="B121" t="s">
        <v>944</v>
      </c>
    </row>
    <row r="122" spans="1:2" x14ac:dyDescent="0.25">
      <c r="A122" s="176">
        <v>9009165100</v>
      </c>
      <c r="B122" t="s">
        <v>944</v>
      </c>
    </row>
    <row r="123" spans="1:2" x14ac:dyDescent="0.25">
      <c r="A123" s="176">
        <v>9009165200</v>
      </c>
      <c r="B123" t="s">
        <v>944</v>
      </c>
    </row>
    <row r="124" spans="1:2" x14ac:dyDescent="0.25">
      <c r="A124" s="176">
        <v>9009165300</v>
      </c>
      <c r="B124" t="s">
        <v>944</v>
      </c>
    </row>
    <row r="125" spans="1:2" x14ac:dyDescent="0.25">
      <c r="A125" s="176">
        <v>9009165400</v>
      </c>
      <c r="B125" t="s">
        <v>944</v>
      </c>
    </row>
    <row r="126" spans="1:2" x14ac:dyDescent="0.25">
      <c r="A126" s="176">
        <v>9009165600</v>
      </c>
      <c r="B126" t="s">
        <v>944</v>
      </c>
    </row>
    <row r="127" spans="1:2" x14ac:dyDescent="0.25">
      <c r="A127" s="176">
        <v>9009165700</v>
      </c>
      <c r="B127" t="s">
        <v>944</v>
      </c>
    </row>
    <row r="128" spans="1:2" x14ac:dyDescent="0.25">
      <c r="A128" s="176">
        <v>9009165801</v>
      </c>
      <c r="B128" t="s">
        <v>944</v>
      </c>
    </row>
    <row r="129" spans="1:2" x14ac:dyDescent="0.25">
      <c r="A129" s="176">
        <v>9009165802</v>
      </c>
      <c r="B129" t="s">
        <v>944</v>
      </c>
    </row>
    <row r="130" spans="1:2" x14ac:dyDescent="0.25">
      <c r="A130" s="176">
        <v>9009165900</v>
      </c>
      <c r="B130" t="s">
        <v>944</v>
      </c>
    </row>
    <row r="131" spans="1:2" x14ac:dyDescent="0.25">
      <c r="A131" s="176">
        <v>9009166001</v>
      </c>
      <c r="B131" t="s">
        <v>944</v>
      </c>
    </row>
    <row r="132" spans="1:2" x14ac:dyDescent="0.25">
      <c r="A132" s="176">
        <v>9009166002</v>
      </c>
      <c r="B132" t="s">
        <v>944</v>
      </c>
    </row>
    <row r="133" spans="1:2" x14ac:dyDescent="0.25">
      <c r="A133" s="176">
        <v>9009167100</v>
      </c>
      <c r="B133" t="s">
        <v>944</v>
      </c>
    </row>
    <row r="134" spans="1:2" x14ac:dyDescent="0.25">
      <c r="A134" s="176">
        <v>9009167201</v>
      </c>
      <c r="B134" t="s">
        <v>944</v>
      </c>
    </row>
    <row r="135" spans="1:2" x14ac:dyDescent="0.25">
      <c r="A135" s="176">
        <v>9009167202</v>
      </c>
      <c r="B135" t="s">
        <v>944</v>
      </c>
    </row>
    <row r="136" spans="1:2" x14ac:dyDescent="0.25">
      <c r="A136" s="176">
        <v>9009167300</v>
      </c>
      <c r="B136" t="s">
        <v>944</v>
      </c>
    </row>
    <row r="137" spans="1:2" x14ac:dyDescent="0.25">
      <c r="A137" s="176">
        <v>9009180100</v>
      </c>
      <c r="B137" t="s">
        <v>944</v>
      </c>
    </row>
    <row r="138" spans="1:2" x14ac:dyDescent="0.25">
      <c r="A138" s="176">
        <v>9009180200</v>
      </c>
      <c r="B138" t="s">
        <v>944</v>
      </c>
    </row>
    <row r="139" spans="1:2" x14ac:dyDescent="0.25">
      <c r="A139" s="176">
        <v>9009180300</v>
      </c>
      <c r="B139" t="s">
        <v>944</v>
      </c>
    </row>
    <row r="140" spans="1:2" x14ac:dyDescent="0.25">
      <c r="A140" s="176">
        <v>9009180400</v>
      </c>
      <c r="B140" t="s">
        <v>944</v>
      </c>
    </row>
    <row r="141" spans="1:2" x14ac:dyDescent="0.25">
      <c r="A141" s="176">
        <v>9009180500</v>
      </c>
      <c r="B141" t="s">
        <v>944</v>
      </c>
    </row>
    <row r="142" spans="1:2" x14ac:dyDescent="0.25">
      <c r="A142" s="176">
        <v>9009180601</v>
      </c>
      <c r="B142" t="s">
        <v>944</v>
      </c>
    </row>
    <row r="143" spans="1:2" x14ac:dyDescent="0.25">
      <c r="A143" s="176">
        <v>9009180602</v>
      </c>
      <c r="B143" t="s">
        <v>944</v>
      </c>
    </row>
    <row r="144" spans="1:2" x14ac:dyDescent="0.25">
      <c r="A144" s="176">
        <v>9009184700</v>
      </c>
      <c r="B144" t="s">
        <v>944</v>
      </c>
    </row>
    <row r="145" spans="1:2" x14ac:dyDescent="0.25">
      <c r="A145" s="176">
        <v>9009186100</v>
      </c>
      <c r="B145" t="s">
        <v>944</v>
      </c>
    </row>
    <row r="146" spans="1:2" x14ac:dyDescent="0.25">
      <c r="A146" s="176">
        <v>9009186200</v>
      </c>
      <c r="B146" t="s">
        <v>944</v>
      </c>
    </row>
    <row r="147" spans="1:2" x14ac:dyDescent="0.25">
      <c r="A147" s="176">
        <v>9009190302</v>
      </c>
      <c r="B147" t="s">
        <v>944</v>
      </c>
    </row>
    <row r="148" spans="1:2" x14ac:dyDescent="0.25">
      <c r="A148" s="176">
        <v>9009361401</v>
      </c>
      <c r="B148" t="s">
        <v>944</v>
      </c>
    </row>
    <row r="149" spans="1:2" x14ac:dyDescent="0.25">
      <c r="A149" s="176">
        <v>9009361402</v>
      </c>
      <c r="B149" t="s">
        <v>944</v>
      </c>
    </row>
    <row r="150" spans="1:2" x14ac:dyDescent="0.25">
      <c r="A150" s="176">
        <v>9009361500</v>
      </c>
      <c r="B150" t="s">
        <v>944</v>
      </c>
    </row>
    <row r="151" spans="1:2" x14ac:dyDescent="0.25">
      <c r="A151" s="176">
        <v>9001070300</v>
      </c>
      <c r="B151" t="s">
        <v>936</v>
      </c>
    </row>
    <row r="152" spans="1:2" x14ac:dyDescent="0.25">
      <c r="A152" s="176">
        <v>9001070400</v>
      </c>
      <c r="B152" t="s">
        <v>936</v>
      </c>
    </row>
    <row r="153" spans="1:2" x14ac:dyDescent="0.25">
      <c r="A153" s="176">
        <v>9001070500</v>
      </c>
      <c r="B153" t="s">
        <v>936</v>
      </c>
    </row>
    <row r="154" spans="1:2" x14ac:dyDescent="0.25">
      <c r="A154" s="176">
        <v>9001070900</v>
      </c>
      <c r="B154" t="s">
        <v>936</v>
      </c>
    </row>
    <row r="155" spans="1:2" x14ac:dyDescent="0.25">
      <c r="A155" s="176">
        <v>9001071000</v>
      </c>
      <c r="B155" t="s">
        <v>936</v>
      </c>
    </row>
    <row r="156" spans="1:2" x14ac:dyDescent="0.25">
      <c r="A156" s="176">
        <v>9001071100</v>
      </c>
      <c r="B156" t="s">
        <v>936</v>
      </c>
    </row>
    <row r="157" spans="1:2" x14ac:dyDescent="0.25">
      <c r="A157" s="176">
        <v>9001071200</v>
      </c>
      <c r="B157" t="s">
        <v>936</v>
      </c>
    </row>
    <row r="158" spans="1:2" x14ac:dyDescent="0.25">
      <c r="A158" s="176">
        <v>9001071300</v>
      </c>
      <c r="B158" t="s">
        <v>936</v>
      </c>
    </row>
    <row r="159" spans="1:2" x14ac:dyDescent="0.25">
      <c r="A159" s="176">
        <v>9001071400</v>
      </c>
      <c r="B159" t="s">
        <v>936</v>
      </c>
    </row>
    <row r="160" spans="1:2" x14ac:dyDescent="0.25">
      <c r="A160" s="176">
        <v>9001071600</v>
      </c>
      <c r="B160" t="s">
        <v>936</v>
      </c>
    </row>
    <row r="161" spans="1:2" x14ac:dyDescent="0.25">
      <c r="A161" s="176">
        <v>9001071900</v>
      </c>
      <c r="B161" t="s">
        <v>936</v>
      </c>
    </row>
    <row r="162" spans="1:2" x14ac:dyDescent="0.25">
      <c r="A162" s="176">
        <v>9001073300</v>
      </c>
      <c r="B162" t="s">
        <v>936</v>
      </c>
    </row>
    <row r="163" spans="1:2" x14ac:dyDescent="0.25">
      <c r="A163" s="176">
        <v>9001073400</v>
      </c>
      <c r="B163" t="s">
        <v>936</v>
      </c>
    </row>
    <row r="164" spans="1:2" x14ac:dyDescent="0.25">
      <c r="A164" s="176">
        <v>9001073500</v>
      </c>
      <c r="B164" t="s">
        <v>936</v>
      </c>
    </row>
    <row r="165" spans="1:2" x14ac:dyDescent="0.25">
      <c r="A165" s="176">
        <v>9001073600</v>
      </c>
      <c r="B165" t="s">
        <v>936</v>
      </c>
    </row>
    <row r="166" spans="1:2" x14ac:dyDescent="0.25">
      <c r="A166" s="176">
        <v>9001073700</v>
      </c>
      <c r="B166" t="s">
        <v>936</v>
      </c>
    </row>
    <row r="167" spans="1:2" x14ac:dyDescent="0.25">
      <c r="A167" s="176">
        <v>9001073800</v>
      </c>
      <c r="B167" t="s">
        <v>936</v>
      </c>
    </row>
    <row r="168" spans="1:2" x14ac:dyDescent="0.25">
      <c r="A168" s="176">
        <v>9001073900</v>
      </c>
      <c r="B168" t="s">
        <v>936</v>
      </c>
    </row>
    <row r="169" spans="1:2" x14ac:dyDescent="0.25">
      <c r="A169" s="176">
        <v>9001074000</v>
      </c>
      <c r="B169" t="s">
        <v>936</v>
      </c>
    </row>
    <row r="170" spans="1:2" x14ac:dyDescent="0.25">
      <c r="A170" s="176">
        <v>9001074300</v>
      </c>
      <c r="B170" t="s">
        <v>936</v>
      </c>
    </row>
    <row r="171" spans="1:2" x14ac:dyDescent="0.25">
      <c r="A171" s="176">
        <v>9001074400</v>
      </c>
      <c r="B171" t="s">
        <v>936</v>
      </c>
    </row>
    <row r="172" spans="1:2" x14ac:dyDescent="0.25">
      <c r="A172" s="176">
        <v>9001257200</v>
      </c>
      <c r="B172" t="s">
        <v>936</v>
      </c>
    </row>
    <row r="173" spans="1:2" x14ac:dyDescent="0.25">
      <c r="A173" s="176">
        <v>9009120200</v>
      </c>
      <c r="B173" t="s">
        <v>936</v>
      </c>
    </row>
    <row r="174" spans="1:2" x14ac:dyDescent="0.25">
      <c r="A174" s="176">
        <v>9009140200</v>
      </c>
      <c r="B174" t="s">
        <v>936</v>
      </c>
    </row>
    <row r="175" spans="1:2" x14ac:dyDescent="0.25">
      <c r="A175" s="176">
        <v>9009140300</v>
      </c>
      <c r="B175" t="s">
        <v>936</v>
      </c>
    </row>
    <row r="176" spans="1:2" x14ac:dyDescent="0.25">
      <c r="A176" s="176">
        <v>9009140500</v>
      </c>
      <c r="B176" t="s">
        <v>936</v>
      </c>
    </row>
    <row r="177" spans="1:2" x14ac:dyDescent="0.25">
      <c r="A177" s="176">
        <v>9009140600</v>
      </c>
      <c r="B177" t="s">
        <v>936</v>
      </c>
    </row>
    <row r="178" spans="1:2" x14ac:dyDescent="0.25">
      <c r="A178" s="176">
        <v>9009141500</v>
      </c>
      <c r="B178" t="s">
        <v>936</v>
      </c>
    </row>
    <row r="179" spans="1:2" x14ac:dyDescent="0.25">
      <c r="A179" s="176">
        <v>9009141600</v>
      </c>
      <c r="B179" t="s">
        <v>936</v>
      </c>
    </row>
    <row r="180" spans="1:2" x14ac:dyDescent="0.25">
      <c r="A180" s="176">
        <v>9009142300</v>
      </c>
      <c r="B180" t="s">
        <v>936</v>
      </c>
    </row>
    <row r="181" spans="1:2" x14ac:dyDescent="0.25">
      <c r="A181" s="176">
        <v>9009142400</v>
      </c>
      <c r="B181" t="s">
        <v>936</v>
      </c>
    </row>
    <row r="182" spans="1:2" x14ac:dyDescent="0.25">
      <c r="A182" s="176">
        <v>9009142500</v>
      </c>
      <c r="B182" t="s">
        <v>936</v>
      </c>
    </row>
    <row r="183" spans="1:2" x14ac:dyDescent="0.25">
      <c r="A183" s="176">
        <v>9009142700</v>
      </c>
      <c r="B183" t="s">
        <v>936</v>
      </c>
    </row>
    <row r="184" spans="1:2" x14ac:dyDescent="0.25">
      <c r="A184" s="176">
        <v>9009165500</v>
      </c>
      <c r="B184" t="s">
        <v>936</v>
      </c>
    </row>
    <row r="186" spans="1:2" x14ac:dyDescent="0.25">
      <c r="A186">
        <v>9001010101</v>
      </c>
      <c r="B186" t="s">
        <v>944</v>
      </c>
    </row>
    <row r="187" spans="1:2" x14ac:dyDescent="0.25">
      <c r="A187">
        <v>9001100100</v>
      </c>
      <c r="B187" t="s">
        <v>944</v>
      </c>
    </row>
    <row r="188" spans="1:2" x14ac:dyDescent="0.25">
      <c r="A188">
        <v>9001100100</v>
      </c>
      <c r="B188" t="s">
        <v>944</v>
      </c>
    </row>
    <row r="189" spans="1:2" x14ac:dyDescent="0.25">
      <c r="A189">
        <v>9013528100</v>
      </c>
      <c r="B189" t="s">
        <v>944</v>
      </c>
    </row>
    <row r="190" spans="1:2" x14ac:dyDescent="0.25">
      <c r="A190">
        <v>9013528100</v>
      </c>
      <c r="B190" t="s">
        <v>944</v>
      </c>
    </row>
    <row r="191" spans="1:2" x14ac:dyDescent="0.25">
      <c r="A191">
        <v>9001100200</v>
      </c>
      <c r="B191" t="s">
        <v>944</v>
      </c>
    </row>
    <row r="192" spans="1:2" x14ac:dyDescent="0.25">
      <c r="A192">
        <v>9001010102</v>
      </c>
      <c r="B192" t="s">
        <v>944</v>
      </c>
    </row>
    <row r="193" spans="1:2" x14ac:dyDescent="0.25">
      <c r="A193">
        <v>9013529100</v>
      </c>
      <c r="B193" t="s">
        <v>944</v>
      </c>
    </row>
    <row r="194" spans="1:2" x14ac:dyDescent="0.25">
      <c r="A194">
        <v>9013529100</v>
      </c>
      <c r="B194" t="s">
        <v>944</v>
      </c>
    </row>
    <row r="195" spans="1:2" x14ac:dyDescent="0.25">
      <c r="A195">
        <v>9001010201</v>
      </c>
      <c r="B195" t="s">
        <v>944</v>
      </c>
    </row>
    <row r="196" spans="1:2" x14ac:dyDescent="0.25">
      <c r="A196">
        <v>9001010202</v>
      </c>
      <c r="B196" t="s">
        <v>944</v>
      </c>
    </row>
    <row r="197" spans="1:2" x14ac:dyDescent="0.25">
      <c r="A197">
        <v>9001010202</v>
      </c>
      <c r="B197" t="s">
        <v>944</v>
      </c>
    </row>
    <row r="198" spans="1:2" x14ac:dyDescent="0.25">
      <c r="A198">
        <v>9001010300</v>
      </c>
      <c r="B198" t="s">
        <v>944</v>
      </c>
    </row>
    <row r="199" spans="1:2" x14ac:dyDescent="0.25">
      <c r="A199">
        <v>9013850100</v>
      </c>
      <c r="B199" t="s">
        <v>944</v>
      </c>
    </row>
    <row r="200" spans="1:2" x14ac:dyDescent="0.25">
      <c r="A200">
        <v>9013850100</v>
      </c>
      <c r="B200" t="s">
        <v>944</v>
      </c>
    </row>
    <row r="201" spans="1:2" x14ac:dyDescent="0.25">
      <c r="A201">
        <v>9001105200</v>
      </c>
      <c r="B201" t="s">
        <v>944</v>
      </c>
    </row>
    <row r="202" spans="1:2" x14ac:dyDescent="0.25">
      <c r="A202">
        <v>9001010500</v>
      </c>
      <c r="B202" t="s">
        <v>944</v>
      </c>
    </row>
    <row r="203" spans="1:2" x14ac:dyDescent="0.25">
      <c r="A203">
        <v>9001010600</v>
      </c>
      <c r="B203" t="s">
        <v>944</v>
      </c>
    </row>
    <row r="204" spans="1:2" x14ac:dyDescent="0.25">
      <c r="A204">
        <v>9015830100</v>
      </c>
      <c r="B204" t="s">
        <v>944</v>
      </c>
    </row>
    <row r="205" spans="1:2" x14ac:dyDescent="0.25">
      <c r="A205">
        <v>9001010700</v>
      </c>
      <c r="B205" t="s">
        <v>944</v>
      </c>
    </row>
    <row r="206" spans="1:2" x14ac:dyDescent="0.25">
      <c r="A206">
        <v>9001010800</v>
      </c>
      <c r="B206" t="s">
        <v>944</v>
      </c>
    </row>
    <row r="207" spans="1:2" x14ac:dyDescent="0.25">
      <c r="A207">
        <v>9015902200</v>
      </c>
      <c r="B207" t="s">
        <v>944</v>
      </c>
    </row>
    <row r="208" spans="1:2" x14ac:dyDescent="0.25">
      <c r="A208">
        <v>9015902200</v>
      </c>
      <c r="B208" t="s">
        <v>944</v>
      </c>
    </row>
    <row r="209" spans="1:2" x14ac:dyDescent="0.25">
      <c r="A209">
        <v>9015902200</v>
      </c>
      <c r="B209" t="s">
        <v>944</v>
      </c>
    </row>
    <row r="210" spans="1:2" x14ac:dyDescent="0.25">
      <c r="A210">
        <v>9001010900</v>
      </c>
      <c r="B210" t="s">
        <v>944</v>
      </c>
    </row>
    <row r="211" spans="1:2" x14ac:dyDescent="0.25">
      <c r="A211">
        <v>9001010400</v>
      </c>
      <c r="B211" t="s">
        <v>944</v>
      </c>
    </row>
    <row r="212" spans="1:2" x14ac:dyDescent="0.25">
      <c r="A212">
        <v>9003460301</v>
      </c>
      <c r="B212" t="s">
        <v>944</v>
      </c>
    </row>
    <row r="213" spans="1:2" x14ac:dyDescent="0.25">
      <c r="A213">
        <v>9003460301</v>
      </c>
      <c r="B213" t="s">
        <v>944</v>
      </c>
    </row>
    <row r="214" spans="1:2" x14ac:dyDescent="0.25">
      <c r="A214">
        <v>9001110500</v>
      </c>
      <c r="B214" t="s">
        <v>944</v>
      </c>
    </row>
    <row r="215" spans="1:2" x14ac:dyDescent="0.25">
      <c r="A215">
        <v>9003460302</v>
      </c>
      <c r="B215" t="s">
        <v>944</v>
      </c>
    </row>
    <row r="216" spans="1:2" x14ac:dyDescent="0.25">
      <c r="A216">
        <v>9003460302</v>
      </c>
      <c r="B216" t="s">
        <v>944</v>
      </c>
    </row>
    <row r="217" spans="1:2" x14ac:dyDescent="0.25">
      <c r="A217">
        <v>9003460302</v>
      </c>
      <c r="B217" t="s">
        <v>944</v>
      </c>
    </row>
    <row r="218" spans="1:2" x14ac:dyDescent="0.25">
      <c r="A218">
        <v>9001011000</v>
      </c>
      <c r="B218" t="s">
        <v>944</v>
      </c>
    </row>
    <row r="219" spans="1:2" x14ac:dyDescent="0.25">
      <c r="A219">
        <v>9001011100</v>
      </c>
      <c r="B219" t="s">
        <v>944</v>
      </c>
    </row>
    <row r="220" spans="1:2" x14ac:dyDescent="0.25">
      <c r="A220">
        <v>9001011200</v>
      </c>
      <c r="B220" t="s">
        <v>944</v>
      </c>
    </row>
    <row r="221" spans="1:2" x14ac:dyDescent="0.25">
      <c r="A221">
        <v>9001011300</v>
      </c>
      <c r="B221" t="s">
        <v>944</v>
      </c>
    </row>
    <row r="222" spans="1:2" x14ac:dyDescent="0.25">
      <c r="A222">
        <v>9003462101</v>
      </c>
      <c r="B222" t="s">
        <v>944</v>
      </c>
    </row>
    <row r="223" spans="1:2" x14ac:dyDescent="0.25">
      <c r="A223">
        <v>9003462101</v>
      </c>
      <c r="B223" t="s">
        <v>944</v>
      </c>
    </row>
    <row r="224" spans="1:2" x14ac:dyDescent="0.25">
      <c r="A224">
        <v>9009120200</v>
      </c>
      <c r="B224" t="s">
        <v>936</v>
      </c>
    </row>
    <row r="225" spans="1:2" x14ac:dyDescent="0.25">
      <c r="A225">
        <v>9009130101</v>
      </c>
      <c r="B225" t="s">
        <v>944</v>
      </c>
    </row>
    <row r="226" spans="1:2" x14ac:dyDescent="0.25">
      <c r="A226">
        <v>9009130101</v>
      </c>
      <c r="B226" t="s">
        <v>944</v>
      </c>
    </row>
    <row r="227" spans="1:2" x14ac:dyDescent="0.25">
      <c r="A227">
        <v>9003462102</v>
      </c>
      <c r="B227" t="s">
        <v>944</v>
      </c>
    </row>
    <row r="228" spans="1:2" x14ac:dyDescent="0.25">
      <c r="A228">
        <v>9009130102</v>
      </c>
      <c r="B228" t="s">
        <v>944</v>
      </c>
    </row>
    <row r="229" spans="1:2" x14ac:dyDescent="0.25">
      <c r="A229">
        <v>9003462201</v>
      </c>
      <c r="B229" t="s">
        <v>944</v>
      </c>
    </row>
    <row r="230" spans="1:2" x14ac:dyDescent="0.25">
      <c r="A230">
        <v>9003462202</v>
      </c>
      <c r="B230" t="s">
        <v>944</v>
      </c>
    </row>
    <row r="231" spans="1:2" x14ac:dyDescent="0.25">
      <c r="A231">
        <v>9009166002</v>
      </c>
      <c r="B231" t="s">
        <v>944</v>
      </c>
    </row>
    <row r="232" spans="1:2" x14ac:dyDescent="0.25">
      <c r="A232">
        <v>9003330100</v>
      </c>
      <c r="B232" t="s">
        <v>944</v>
      </c>
    </row>
    <row r="233" spans="1:2" x14ac:dyDescent="0.25">
      <c r="A233">
        <v>9003330100</v>
      </c>
      <c r="B233" t="s">
        <v>944</v>
      </c>
    </row>
    <row r="234" spans="1:2" x14ac:dyDescent="0.25">
      <c r="A234">
        <v>9003330100</v>
      </c>
      <c r="B234" t="s">
        <v>944</v>
      </c>
    </row>
    <row r="235" spans="1:2" x14ac:dyDescent="0.25">
      <c r="A235">
        <v>9009170200</v>
      </c>
      <c r="B235" t="s">
        <v>944</v>
      </c>
    </row>
    <row r="236" spans="1:2" x14ac:dyDescent="0.25">
      <c r="A236">
        <v>9009170300</v>
      </c>
      <c r="B236" t="s">
        <v>944</v>
      </c>
    </row>
    <row r="237" spans="1:2" x14ac:dyDescent="0.25">
      <c r="A237">
        <v>9009170400</v>
      </c>
      <c r="B237" t="s">
        <v>944</v>
      </c>
    </row>
    <row r="238" spans="1:2" x14ac:dyDescent="0.25">
      <c r="A238">
        <v>9005290100</v>
      </c>
      <c r="B238" t="s">
        <v>944</v>
      </c>
    </row>
    <row r="239" spans="1:2" x14ac:dyDescent="0.25">
      <c r="A239">
        <v>9005290100</v>
      </c>
      <c r="B239" t="s">
        <v>944</v>
      </c>
    </row>
    <row r="240" spans="1:2" x14ac:dyDescent="0.25">
      <c r="A240">
        <v>9009175700</v>
      </c>
      <c r="B240" t="s">
        <v>944</v>
      </c>
    </row>
    <row r="241" spans="1:2" x14ac:dyDescent="0.25">
      <c r="A241">
        <v>9005320100</v>
      </c>
      <c r="B241" t="s">
        <v>944</v>
      </c>
    </row>
    <row r="242" spans="1:2" x14ac:dyDescent="0.25">
      <c r="A242">
        <v>9005320100</v>
      </c>
      <c r="B242" t="s">
        <v>944</v>
      </c>
    </row>
    <row r="243" spans="1:2" x14ac:dyDescent="0.25">
      <c r="A243">
        <v>9001020100</v>
      </c>
      <c r="B243" t="s">
        <v>944</v>
      </c>
    </row>
    <row r="244" spans="1:2" x14ac:dyDescent="0.25">
      <c r="A244">
        <v>9009341100</v>
      </c>
      <c r="B244" t="s">
        <v>944</v>
      </c>
    </row>
    <row r="245" spans="1:2" x14ac:dyDescent="0.25">
      <c r="A245">
        <v>9009184100</v>
      </c>
      <c r="B245" t="s">
        <v>944</v>
      </c>
    </row>
    <row r="246" spans="1:2" x14ac:dyDescent="0.25">
      <c r="A246">
        <v>9001020200</v>
      </c>
      <c r="B246" t="s">
        <v>944</v>
      </c>
    </row>
    <row r="247" spans="1:2" x14ac:dyDescent="0.25">
      <c r="A247">
        <v>9001020200</v>
      </c>
      <c r="B247" t="s">
        <v>944</v>
      </c>
    </row>
    <row r="248" spans="1:2" x14ac:dyDescent="0.25">
      <c r="A248">
        <v>9009184400</v>
      </c>
      <c r="B248" t="s">
        <v>944</v>
      </c>
    </row>
    <row r="249" spans="1:2" x14ac:dyDescent="0.25">
      <c r="A249">
        <v>9009184500</v>
      </c>
      <c r="B249" t="s">
        <v>944</v>
      </c>
    </row>
    <row r="250" spans="1:2" x14ac:dyDescent="0.25">
      <c r="A250">
        <v>9003400100</v>
      </c>
      <c r="B250" t="s">
        <v>944</v>
      </c>
    </row>
    <row r="251" spans="1:2" x14ac:dyDescent="0.25">
      <c r="A251">
        <v>9003400100</v>
      </c>
      <c r="B251" t="s">
        <v>944</v>
      </c>
    </row>
    <row r="252" spans="1:2" x14ac:dyDescent="0.25">
      <c r="A252">
        <v>9009184600</v>
      </c>
      <c r="B252" t="s">
        <v>944</v>
      </c>
    </row>
    <row r="253" spans="1:2" x14ac:dyDescent="0.25">
      <c r="A253">
        <v>9009184700</v>
      </c>
      <c r="B253" t="s">
        <v>944</v>
      </c>
    </row>
    <row r="254" spans="1:2" x14ac:dyDescent="0.25">
      <c r="A254">
        <v>9001020300</v>
      </c>
      <c r="B254" t="s">
        <v>944</v>
      </c>
    </row>
    <row r="255" spans="1:2" x14ac:dyDescent="0.25">
      <c r="A255">
        <v>9009190303</v>
      </c>
      <c r="B255" t="s">
        <v>944</v>
      </c>
    </row>
    <row r="256" spans="1:2" x14ac:dyDescent="0.25">
      <c r="A256">
        <v>9009190303</v>
      </c>
      <c r="B256" t="s">
        <v>944</v>
      </c>
    </row>
    <row r="257" spans="1:2" x14ac:dyDescent="0.25">
      <c r="A257">
        <v>9003400200</v>
      </c>
      <c r="B257" t="s">
        <v>944</v>
      </c>
    </row>
    <row r="258" spans="1:2" x14ac:dyDescent="0.25">
      <c r="A258">
        <v>9009194202</v>
      </c>
      <c r="B258" t="s">
        <v>944</v>
      </c>
    </row>
    <row r="259" spans="1:2" x14ac:dyDescent="0.25">
      <c r="A259">
        <v>9001020400</v>
      </c>
      <c r="B259" t="s">
        <v>944</v>
      </c>
    </row>
    <row r="260" spans="1:2" x14ac:dyDescent="0.25">
      <c r="A260">
        <v>9001200100</v>
      </c>
      <c r="B260" t="s">
        <v>944</v>
      </c>
    </row>
    <row r="261" spans="1:2" x14ac:dyDescent="0.25">
      <c r="A261">
        <v>9001200100</v>
      </c>
      <c r="B261" t="s">
        <v>944</v>
      </c>
    </row>
    <row r="262" spans="1:2" x14ac:dyDescent="0.25">
      <c r="A262">
        <v>9003400300</v>
      </c>
      <c r="B262" t="s">
        <v>944</v>
      </c>
    </row>
    <row r="263" spans="1:2" x14ac:dyDescent="0.25">
      <c r="A263">
        <v>9003400300</v>
      </c>
      <c r="B263" t="s">
        <v>944</v>
      </c>
    </row>
    <row r="264" spans="1:2" x14ac:dyDescent="0.25">
      <c r="A264">
        <v>9001200200</v>
      </c>
      <c r="B264" t="s">
        <v>944</v>
      </c>
    </row>
    <row r="265" spans="1:2" x14ac:dyDescent="0.25">
      <c r="A265">
        <v>9001200301</v>
      </c>
      <c r="B265" t="s">
        <v>944</v>
      </c>
    </row>
    <row r="266" spans="1:2" x14ac:dyDescent="0.25">
      <c r="A266">
        <v>9001200301</v>
      </c>
      <c r="B266" t="s">
        <v>944</v>
      </c>
    </row>
    <row r="267" spans="1:2" x14ac:dyDescent="0.25">
      <c r="A267">
        <v>9001020500</v>
      </c>
      <c r="B267" t="s">
        <v>944</v>
      </c>
    </row>
    <row r="268" spans="1:2" x14ac:dyDescent="0.25">
      <c r="A268">
        <v>9003490302</v>
      </c>
      <c r="B268" t="s">
        <v>944</v>
      </c>
    </row>
    <row r="269" spans="1:2" x14ac:dyDescent="0.25">
      <c r="A269">
        <v>9003490302</v>
      </c>
      <c r="B269" t="s">
        <v>944</v>
      </c>
    </row>
    <row r="270" spans="1:2" x14ac:dyDescent="0.25">
      <c r="A270">
        <v>9001020600</v>
      </c>
      <c r="B270" t="s">
        <v>944</v>
      </c>
    </row>
    <row r="271" spans="1:2" x14ac:dyDescent="0.25">
      <c r="A271">
        <v>9001205100</v>
      </c>
      <c r="B271" t="s">
        <v>944</v>
      </c>
    </row>
    <row r="272" spans="1:2" x14ac:dyDescent="0.25">
      <c r="A272">
        <v>9009171600</v>
      </c>
      <c r="B272" t="s">
        <v>944</v>
      </c>
    </row>
    <row r="273" spans="1:2" x14ac:dyDescent="0.25">
      <c r="A273">
        <v>9009171600</v>
      </c>
      <c r="B273" t="s">
        <v>944</v>
      </c>
    </row>
    <row r="274" spans="1:2" x14ac:dyDescent="0.25">
      <c r="A274">
        <v>9001205200</v>
      </c>
      <c r="B274" t="s">
        <v>944</v>
      </c>
    </row>
    <row r="275" spans="1:2" x14ac:dyDescent="0.25">
      <c r="A275">
        <v>9001205200</v>
      </c>
      <c r="B275" t="s">
        <v>944</v>
      </c>
    </row>
    <row r="276" spans="1:2" x14ac:dyDescent="0.25">
      <c r="A276">
        <v>9001205300</v>
      </c>
      <c r="B276" t="s">
        <v>944</v>
      </c>
    </row>
    <row r="277" spans="1:2" x14ac:dyDescent="0.25">
      <c r="A277">
        <v>9001205300</v>
      </c>
      <c r="B277" t="s">
        <v>944</v>
      </c>
    </row>
    <row r="278" spans="1:2" x14ac:dyDescent="0.25">
      <c r="A278">
        <v>9001205300</v>
      </c>
      <c r="B278" t="s">
        <v>944</v>
      </c>
    </row>
    <row r="279" spans="1:2" x14ac:dyDescent="0.25">
      <c r="A279">
        <v>9001020700</v>
      </c>
      <c r="B279" t="s">
        <v>944</v>
      </c>
    </row>
    <row r="280" spans="1:2" x14ac:dyDescent="0.25">
      <c r="A280">
        <v>9009161100</v>
      </c>
      <c r="B280" t="s">
        <v>944</v>
      </c>
    </row>
    <row r="281" spans="1:2" x14ac:dyDescent="0.25">
      <c r="A281">
        <v>9001020800</v>
      </c>
      <c r="B281" t="s">
        <v>944</v>
      </c>
    </row>
    <row r="282" spans="1:2" x14ac:dyDescent="0.25">
      <c r="A282">
        <v>9001020900</v>
      </c>
      <c r="B282" t="s">
        <v>944</v>
      </c>
    </row>
    <row r="283" spans="1:2" x14ac:dyDescent="0.25">
      <c r="A283">
        <v>9001210100</v>
      </c>
      <c r="B283" t="s">
        <v>944</v>
      </c>
    </row>
    <row r="284" spans="1:2" x14ac:dyDescent="0.25">
      <c r="A284">
        <v>9001210200</v>
      </c>
      <c r="B284" t="s">
        <v>936</v>
      </c>
    </row>
    <row r="285" spans="1:2" x14ac:dyDescent="0.25">
      <c r="A285">
        <v>9001210500</v>
      </c>
      <c r="B285" t="s">
        <v>944</v>
      </c>
    </row>
    <row r="286" spans="1:2" x14ac:dyDescent="0.25">
      <c r="A286">
        <v>9001210500</v>
      </c>
      <c r="B286" t="s">
        <v>944</v>
      </c>
    </row>
    <row r="287" spans="1:2" x14ac:dyDescent="0.25">
      <c r="A287">
        <v>9001210500</v>
      </c>
      <c r="B287" t="s">
        <v>944</v>
      </c>
    </row>
    <row r="288" spans="1:2" x14ac:dyDescent="0.25">
      <c r="A288">
        <v>9001021000</v>
      </c>
      <c r="B288" t="s">
        <v>944</v>
      </c>
    </row>
    <row r="289" spans="1:2" x14ac:dyDescent="0.25">
      <c r="A289">
        <v>9001210600</v>
      </c>
      <c r="B289" t="s">
        <v>944</v>
      </c>
    </row>
    <row r="290" spans="1:2" x14ac:dyDescent="0.25">
      <c r="A290">
        <v>9001210800</v>
      </c>
      <c r="B290" t="s">
        <v>944</v>
      </c>
    </row>
    <row r="291" spans="1:2" x14ac:dyDescent="0.25">
      <c r="A291">
        <v>9001210900</v>
      </c>
      <c r="B291" t="s">
        <v>944</v>
      </c>
    </row>
    <row r="292" spans="1:2" x14ac:dyDescent="0.25">
      <c r="A292">
        <v>9001210900</v>
      </c>
      <c r="B292" t="s">
        <v>944</v>
      </c>
    </row>
    <row r="293" spans="1:2" x14ac:dyDescent="0.25">
      <c r="A293">
        <v>9001021100</v>
      </c>
      <c r="B293" t="s">
        <v>944</v>
      </c>
    </row>
    <row r="294" spans="1:2" x14ac:dyDescent="0.25">
      <c r="A294">
        <v>9001200302</v>
      </c>
      <c r="B294" t="s">
        <v>944</v>
      </c>
    </row>
    <row r="295" spans="1:2" x14ac:dyDescent="0.25">
      <c r="A295">
        <v>9001200302</v>
      </c>
      <c r="B295" t="s">
        <v>944</v>
      </c>
    </row>
    <row r="296" spans="1:2" x14ac:dyDescent="0.25">
      <c r="A296">
        <v>9001211000</v>
      </c>
      <c r="B296" t="s">
        <v>944</v>
      </c>
    </row>
    <row r="297" spans="1:2" x14ac:dyDescent="0.25">
      <c r="A297">
        <v>9001211000</v>
      </c>
      <c r="B297" t="s">
        <v>944</v>
      </c>
    </row>
    <row r="298" spans="1:2" x14ac:dyDescent="0.25">
      <c r="A298">
        <v>9001211200</v>
      </c>
      <c r="B298" t="s">
        <v>944</v>
      </c>
    </row>
    <row r="299" spans="1:2" x14ac:dyDescent="0.25">
      <c r="A299">
        <v>9001021200</v>
      </c>
      <c r="B299" t="s">
        <v>944</v>
      </c>
    </row>
    <row r="300" spans="1:2" x14ac:dyDescent="0.25">
      <c r="A300">
        <v>9001021400</v>
      </c>
      <c r="B300" t="s">
        <v>944</v>
      </c>
    </row>
    <row r="301" spans="1:2" x14ac:dyDescent="0.25">
      <c r="A301">
        <v>9001021400</v>
      </c>
      <c r="B301" t="s">
        <v>944</v>
      </c>
    </row>
    <row r="302" spans="1:2" x14ac:dyDescent="0.25">
      <c r="A302">
        <v>9001220200</v>
      </c>
      <c r="B302" t="s">
        <v>944</v>
      </c>
    </row>
    <row r="303" spans="1:2" x14ac:dyDescent="0.25">
      <c r="A303">
        <v>9001220200</v>
      </c>
      <c r="B303" t="s">
        <v>944</v>
      </c>
    </row>
    <row r="304" spans="1:2" x14ac:dyDescent="0.25">
      <c r="A304">
        <v>9001220200</v>
      </c>
      <c r="B304" t="s">
        <v>944</v>
      </c>
    </row>
    <row r="305" spans="1:2" x14ac:dyDescent="0.25">
      <c r="A305">
        <v>9001230100</v>
      </c>
      <c r="B305" t="s">
        <v>944</v>
      </c>
    </row>
    <row r="306" spans="1:2" x14ac:dyDescent="0.25">
      <c r="A306">
        <v>9001021300</v>
      </c>
      <c r="B306" t="s">
        <v>944</v>
      </c>
    </row>
    <row r="307" spans="1:2" x14ac:dyDescent="0.25">
      <c r="A307">
        <v>9001230200</v>
      </c>
      <c r="B307" t="s">
        <v>944</v>
      </c>
    </row>
    <row r="308" spans="1:2" x14ac:dyDescent="0.25">
      <c r="A308">
        <v>9001210400</v>
      </c>
      <c r="B308" t="s">
        <v>944</v>
      </c>
    </row>
    <row r="309" spans="1:2" x14ac:dyDescent="0.25">
      <c r="A309">
        <v>9001210400</v>
      </c>
      <c r="B309" t="s">
        <v>944</v>
      </c>
    </row>
    <row r="310" spans="1:2" x14ac:dyDescent="0.25">
      <c r="A310">
        <v>9001230300</v>
      </c>
      <c r="B310" t="s">
        <v>944</v>
      </c>
    </row>
    <row r="311" spans="1:2" x14ac:dyDescent="0.25">
      <c r="A311">
        <v>9001230400</v>
      </c>
      <c r="B311" t="s">
        <v>944</v>
      </c>
    </row>
    <row r="312" spans="1:2" x14ac:dyDescent="0.25">
      <c r="A312">
        <v>9001230400</v>
      </c>
      <c r="B312" t="s">
        <v>944</v>
      </c>
    </row>
    <row r="313" spans="1:2" x14ac:dyDescent="0.25">
      <c r="A313">
        <v>9001230400</v>
      </c>
      <c r="B313" t="s">
        <v>944</v>
      </c>
    </row>
    <row r="314" spans="1:2" x14ac:dyDescent="0.25">
      <c r="A314">
        <v>9001230501</v>
      </c>
      <c r="B314" t="s">
        <v>944</v>
      </c>
    </row>
    <row r="315" spans="1:2" x14ac:dyDescent="0.25">
      <c r="A315">
        <v>9001230502</v>
      </c>
      <c r="B315" t="s">
        <v>944</v>
      </c>
    </row>
    <row r="316" spans="1:2" x14ac:dyDescent="0.25">
      <c r="A316">
        <v>9001240100</v>
      </c>
      <c r="B316" t="s">
        <v>944</v>
      </c>
    </row>
    <row r="317" spans="1:2" x14ac:dyDescent="0.25">
      <c r="A317">
        <v>9001240100</v>
      </c>
      <c r="B317" t="s">
        <v>944</v>
      </c>
    </row>
    <row r="318" spans="1:2" x14ac:dyDescent="0.25">
      <c r="A318">
        <v>9001240100</v>
      </c>
      <c r="B318" t="s">
        <v>944</v>
      </c>
    </row>
    <row r="319" spans="1:2" x14ac:dyDescent="0.25">
      <c r="A319">
        <v>9001240200</v>
      </c>
      <c r="B319" t="s">
        <v>944</v>
      </c>
    </row>
    <row r="320" spans="1:2" x14ac:dyDescent="0.25">
      <c r="A320">
        <v>9001245100</v>
      </c>
      <c r="B320" t="s">
        <v>944</v>
      </c>
    </row>
    <row r="321" spans="1:2" x14ac:dyDescent="0.25">
      <c r="A321">
        <v>9001021500</v>
      </c>
      <c r="B321" t="s">
        <v>944</v>
      </c>
    </row>
    <row r="322" spans="1:2" x14ac:dyDescent="0.25">
      <c r="A322">
        <v>9001245200</v>
      </c>
      <c r="B322" t="s">
        <v>944</v>
      </c>
    </row>
    <row r="323" spans="1:2" x14ac:dyDescent="0.25">
      <c r="A323">
        <v>9001245200</v>
      </c>
      <c r="B323" t="s">
        <v>944</v>
      </c>
    </row>
    <row r="324" spans="1:2" x14ac:dyDescent="0.25">
      <c r="A324">
        <v>9001245200</v>
      </c>
      <c r="B324" t="s">
        <v>944</v>
      </c>
    </row>
    <row r="325" spans="1:2" x14ac:dyDescent="0.25">
      <c r="A325">
        <v>9001245400</v>
      </c>
      <c r="B325" t="s">
        <v>944</v>
      </c>
    </row>
    <row r="326" spans="1:2" x14ac:dyDescent="0.25">
      <c r="A326">
        <v>9001245500</v>
      </c>
      <c r="B326" t="s">
        <v>944</v>
      </c>
    </row>
    <row r="327" spans="1:2" x14ac:dyDescent="0.25">
      <c r="A327">
        <v>9001245600</v>
      </c>
      <c r="B327" t="s">
        <v>944</v>
      </c>
    </row>
    <row r="328" spans="1:2" x14ac:dyDescent="0.25">
      <c r="A328">
        <v>9001245600</v>
      </c>
      <c r="B328" t="s">
        <v>944</v>
      </c>
    </row>
    <row r="329" spans="1:2" x14ac:dyDescent="0.25">
      <c r="A329">
        <v>9001021600</v>
      </c>
      <c r="B329" t="s">
        <v>944</v>
      </c>
    </row>
    <row r="330" spans="1:2" x14ac:dyDescent="0.25">
      <c r="A330">
        <v>9005253200</v>
      </c>
      <c r="B330" t="s">
        <v>944</v>
      </c>
    </row>
    <row r="331" spans="1:2" x14ac:dyDescent="0.25">
      <c r="A331">
        <v>9005303100</v>
      </c>
      <c r="B331" t="s">
        <v>944</v>
      </c>
    </row>
    <row r="332" spans="1:2" x14ac:dyDescent="0.25">
      <c r="A332">
        <v>9005303100</v>
      </c>
      <c r="B332" t="s">
        <v>944</v>
      </c>
    </row>
    <row r="333" spans="1:2" x14ac:dyDescent="0.25">
      <c r="A333">
        <v>9005303100</v>
      </c>
      <c r="B333" t="s">
        <v>944</v>
      </c>
    </row>
    <row r="334" spans="1:2" x14ac:dyDescent="0.25">
      <c r="A334">
        <v>9005253400</v>
      </c>
      <c r="B334" t="s">
        <v>944</v>
      </c>
    </row>
    <row r="335" spans="1:2" x14ac:dyDescent="0.25">
      <c r="A335">
        <v>9005253400</v>
      </c>
      <c r="B335" t="s">
        <v>944</v>
      </c>
    </row>
    <row r="336" spans="1:2" x14ac:dyDescent="0.25">
      <c r="A336">
        <v>9005253400</v>
      </c>
      <c r="B336" t="s">
        <v>944</v>
      </c>
    </row>
    <row r="337" spans="1:2" x14ac:dyDescent="0.25">
      <c r="A337">
        <v>9005253500</v>
      </c>
      <c r="B337" t="s">
        <v>944</v>
      </c>
    </row>
    <row r="338" spans="1:2" x14ac:dyDescent="0.25">
      <c r="A338">
        <v>9005253500</v>
      </c>
      <c r="B338" t="s">
        <v>944</v>
      </c>
    </row>
    <row r="339" spans="1:2" x14ac:dyDescent="0.25">
      <c r="A339">
        <v>9005253500</v>
      </c>
      <c r="B339" t="s">
        <v>944</v>
      </c>
    </row>
    <row r="340" spans="1:2" x14ac:dyDescent="0.25">
      <c r="A340">
        <v>9001257100</v>
      </c>
      <c r="B340" t="s">
        <v>944</v>
      </c>
    </row>
    <row r="341" spans="1:2" x14ac:dyDescent="0.25">
      <c r="A341">
        <v>9001257100</v>
      </c>
      <c r="B341" t="s">
        <v>944</v>
      </c>
    </row>
    <row r="342" spans="1:2" x14ac:dyDescent="0.25">
      <c r="A342">
        <v>9001021700</v>
      </c>
      <c r="B342" t="s">
        <v>944</v>
      </c>
    </row>
    <row r="343" spans="1:2" x14ac:dyDescent="0.25">
      <c r="A343">
        <v>9005261100</v>
      </c>
      <c r="B343" t="s">
        <v>944</v>
      </c>
    </row>
    <row r="344" spans="1:2" x14ac:dyDescent="0.25">
      <c r="A344">
        <v>9005261100</v>
      </c>
      <c r="B344" t="s">
        <v>944</v>
      </c>
    </row>
    <row r="345" spans="1:2" x14ac:dyDescent="0.25">
      <c r="A345">
        <v>9005342100</v>
      </c>
      <c r="B345" t="s">
        <v>944</v>
      </c>
    </row>
    <row r="346" spans="1:2" x14ac:dyDescent="0.25">
      <c r="A346">
        <v>9005342100</v>
      </c>
      <c r="B346" t="s">
        <v>944</v>
      </c>
    </row>
    <row r="347" spans="1:2" x14ac:dyDescent="0.25">
      <c r="A347">
        <v>9005263200</v>
      </c>
      <c r="B347" t="s">
        <v>944</v>
      </c>
    </row>
    <row r="348" spans="1:2" x14ac:dyDescent="0.25">
      <c r="A348">
        <v>9005263200</v>
      </c>
      <c r="B348" t="s">
        <v>944</v>
      </c>
    </row>
    <row r="349" spans="1:2" x14ac:dyDescent="0.25">
      <c r="A349">
        <v>9005263200</v>
      </c>
      <c r="B349" t="s">
        <v>944</v>
      </c>
    </row>
    <row r="350" spans="1:2" x14ac:dyDescent="0.25">
      <c r="A350">
        <v>9005296100</v>
      </c>
      <c r="B350" t="s">
        <v>944</v>
      </c>
    </row>
    <row r="351" spans="1:2" x14ac:dyDescent="0.25">
      <c r="A351">
        <v>9005296100</v>
      </c>
      <c r="B351" t="s">
        <v>944</v>
      </c>
    </row>
    <row r="352" spans="1:2" x14ac:dyDescent="0.25">
      <c r="A352">
        <v>9005296100</v>
      </c>
      <c r="B352" t="s">
        <v>944</v>
      </c>
    </row>
    <row r="353" spans="1:2" x14ac:dyDescent="0.25">
      <c r="A353">
        <v>9001021801</v>
      </c>
      <c r="B353" t="s">
        <v>944</v>
      </c>
    </row>
    <row r="354" spans="1:2" x14ac:dyDescent="0.25">
      <c r="A354">
        <v>9005300100</v>
      </c>
      <c r="B354" t="s">
        <v>944</v>
      </c>
    </row>
    <row r="355" spans="1:2" x14ac:dyDescent="0.25">
      <c r="A355">
        <v>9005300100</v>
      </c>
      <c r="B355" t="s">
        <v>944</v>
      </c>
    </row>
    <row r="356" spans="1:2" x14ac:dyDescent="0.25">
      <c r="A356">
        <v>9005362102</v>
      </c>
      <c r="B356" t="s">
        <v>944</v>
      </c>
    </row>
    <row r="357" spans="1:2" x14ac:dyDescent="0.25">
      <c r="A357">
        <v>9005362102</v>
      </c>
      <c r="B357" t="s">
        <v>944</v>
      </c>
    </row>
    <row r="358" spans="1:2" x14ac:dyDescent="0.25">
      <c r="A358">
        <v>9005362102</v>
      </c>
      <c r="B358" t="s">
        <v>944</v>
      </c>
    </row>
    <row r="359" spans="1:2" x14ac:dyDescent="0.25">
      <c r="A359">
        <v>9005300400</v>
      </c>
      <c r="B359" t="s">
        <v>944</v>
      </c>
    </row>
    <row r="360" spans="1:2" x14ac:dyDescent="0.25">
      <c r="A360">
        <v>9005300400</v>
      </c>
      <c r="B360" t="s">
        <v>944</v>
      </c>
    </row>
    <row r="361" spans="1:2" x14ac:dyDescent="0.25">
      <c r="A361">
        <v>9005300500</v>
      </c>
      <c r="B361" t="s">
        <v>944</v>
      </c>
    </row>
    <row r="362" spans="1:2" x14ac:dyDescent="0.25">
      <c r="A362">
        <v>9005300500</v>
      </c>
      <c r="B362" t="s">
        <v>944</v>
      </c>
    </row>
    <row r="363" spans="1:2" x14ac:dyDescent="0.25">
      <c r="A363">
        <v>9001030100</v>
      </c>
      <c r="B363" t="s">
        <v>944</v>
      </c>
    </row>
    <row r="364" spans="1:2" x14ac:dyDescent="0.25">
      <c r="A364">
        <v>9001021802</v>
      </c>
      <c r="B364" t="s">
        <v>944</v>
      </c>
    </row>
    <row r="365" spans="1:2" x14ac:dyDescent="0.25">
      <c r="A365">
        <v>9001030200</v>
      </c>
      <c r="B365" t="s">
        <v>944</v>
      </c>
    </row>
    <row r="366" spans="1:2" x14ac:dyDescent="0.25">
      <c r="A366">
        <v>9003471100</v>
      </c>
      <c r="B366" t="s">
        <v>944</v>
      </c>
    </row>
    <row r="367" spans="1:2" x14ac:dyDescent="0.25">
      <c r="A367">
        <v>9003471100</v>
      </c>
      <c r="B367" t="s">
        <v>944</v>
      </c>
    </row>
    <row r="368" spans="1:2" x14ac:dyDescent="0.25">
      <c r="A368">
        <v>9001030500</v>
      </c>
      <c r="B368" t="s">
        <v>944</v>
      </c>
    </row>
    <row r="369" spans="1:2" x14ac:dyDescent="0.25">
      <c r="A369">
        <v>9005306100</v>
      </c>
      <c r="B369" t="s">
        <v>944</v>
      </c>
    </row>
    <row r="370" spans="1:2" x14ac:dyDescent="0.25">
      <c r="A370">
        <v>9005306100</v>
      </c>
      <c r="B370" t="s">
        <v>944</v>
      </c>
    </row>
    <row r="371" spans="1:2" x14ac:dyDescent="0.25">
      <c r="A371">
        <v>9005306100</v>
      </c>
      <c r="B371" t="s">
        <v>944</v>
      </c>
    </row>
    <row r="372" spans="1:2" x14ac:dyDescent="0.25">
      <c r="A372">
        <v>9001021900</v>
      </c>
      <c r="B372" t="s">
        <v>944</v>
      </c>
    </row>
    <row r="373" spans="1:2" x14ac:dyDescent="0.25">
      <c r="A373">
        <v>9005310601</v>
      </c>
      <c r="B373" t="s">
        <v>944</v>
      </c>
    </row>
    <row r="374" spans="1:2" x14ac:dyDescent="0.25">
      <c r="A374">
        <v>9003471200</v>
      </c>
      <c r="B374" t="s">
        <v>944</v>
      </c>
    </row>
    <row r="375" spans="1:2" x14ac:dyDescent="0.25">
      <c r="A375">
        <v>9001022000</v>
      </c>
      <c r="B375" t="s">
        <v>944</v>
      </c>
    </row>
    <row r="376" spans="1:2" x14ac:dyDescent="0.25">
      <c r="A376">
        <v>9003471300</v>
      </c>
      <c r="B376" t="s">
        <v>944</v>
      </c>
    </row>
    <row r="377" spans="1:2" x14ac:dyDescent="0.25">
      <c r="A377">
        <v>9009343200</v>
      </c>
      <c r="B377" t="s">
        <v>944</v>
      </c>
    </row>
    <row r="378" spans="1:2" x14ac:dyDescent="0.25">
      <c r="A378">
        <v>9001022100</v>
      </c>
      <c r="B378" t="s">
        <v>944</v>
      </c>
    </row>
    <row r="379" spans="1:2" x14ac:dyDescent="0.25">
      <c r="A379">
        <v>9009346102</v>
      </c>
      <c r="B379" t="s">
        <v>944</v>
      </c>
    </row>
    <row r="380" spans="1:2" x14ac:dyDescent="0.25">
      <c r="A380">
        <v>9009346102</v>
      </c>
      <c r="B380" t="s">
        <v>944</v>
      </c>
    </row>
    <row r="381" spans="1:2" x14ac:dyDescent="0.25">
      <c r="A381">
        <v>9009346102</v>
      </c>
      <c r="B381" t="s">
        <v>944</v>
      </c>
    </row>
    <row r="382" spans="1:2" x14ac:dyDescent="0.25">
      <c r="A382">
        <v>9003471400</v>
      </c>
      <c r="B382" t="s">
        <v>944</v>
      </c>
    </row>
    <row r="383" spans="1:2" x14ac:dyDescent="0.25">
      <c r="A383">
        <v>9003471400</v>
      </c>
      <c r="B383" t="s">
        <v>944</v>
      </c>
    </row>
    <row r="384" spans="1:2" x14ac:dyDescent="0.25">
      <c r="A384">
        <v>9005349100</v>
      </c>
      <c r="B384" t="s">
        <v>944</v>
      </c>
    </row>
    <row r="385" spans="1:2" x14ac:dyDescent="0.25">
      <c r="A385">
        <v>9005349100</v>
      </c>
      <c r="B385" t="s">
        <v>944</v>
      </c>
    </row>
    <row r="386" spans="1:2" x14ac:dyDescent="0.25">
      <c r="A386">
        <v>9005349100</v>
      </c>
      <c r="B386" t="s">
        <v>944</v>
      </c>
    </row>
    <row r="387" spans="1:2" x14ac:dyDescent="0.25">
      <c r="A387">
        <v>9005349200</v>
      </c>
      <c r="B387" t="s">
        <v>944</v>
      </c>
    </row>
    <row r="388" spans="1:2" x14ac:dyDescent="0.25">
      <c r="A388">
        <v>9005349200</v>
      </c>
      <c r="B388" t="s">
        <v>944</v>
      </c>
    </row>
    <row r="389" spans="1:2" x14ac:dyDescent="0.25">
      <c r="A389">
        <v>9005349200</v>
      </c>
      <c r="B389" t="s">
        <v>944</v>
      </c>
    </row>
    <row r="390" spans="1:2" x14ac:dyDescent="0.25">
      <c r="A390">
        <v>9001022200</v>
      </c>
      <c r="B390" t="s">
        <v>944</v>
      </c>
    </row>
    <row r="391" spans="1:2" x14ac:dyDescent="0.25">
      <c r="A391">
        <v>9003471500</v>
      </c>
      <c r="B391" t="s">
        <v>944</v>
      </c>
    </row>
    <row r="392" spans="1:2" x14ac:dyDescent="0.25">
      <c r="A392">
        <v>9001022300</v>
      </c>
      <c r="B392" t="s">
        <v>944</v>
      </c>
    </row>
    <row r="393" spans="1:2" x14ac:dyDescent="0.25">
      <c r="A393">
        <v>9009350300</v>
      </c>
      <c r="B393" t="s">
        <v>936</v>
      </c>
    </row>
    <row r="394" spans="1:2" x14ac:dyDescent="0.25">
      <c r="A394">
        <v>9003473100</v>
      </c>
      <c r="B394" t="s">
        <v>944</v>
      </c>
    </row>
    <row r="395" spans="1:2" x14ac:dyDescent="0.25">
      <c r="A395">
        <v>9009350400</v>
      </c>
      <c r="B395" t="s">
        <v>936</v>
      </c>
    </row>
    <row r="396" spans="1:2" x14ac:dyDescent="0.25">
      <c r="A396">
        <v>9001022400</v>
      </c>
      <c r="B396" t="s">
        <v>944</v>
      </c>
    </row>
    <row r="397" spans="1:2" x14ac:dyDescent="0.25">
      <c r="A397">
        <v>9009350500</v>
      </c>
      <c r="B397" t="s">
        <v>936</v>
      </c>
    </row>
    <row r="398" spans="1:2" x14ac:dyDescent="0.25">
      <c r="A398">
        <v>9003473501</v>
      </c>
      <c r="B398" t="s">
        <v>944</v>
      </c>
    </row>
    <row r="399" spans="1:2" x14ac:dyDescent="0.25">
      <c r="A399">
        <v>9009350800</v>
      </c>
      <c r="B399" t="s">
        <v>936</v>
      </c>
    </row>
    <row r="400" spans="1:2" x14ac:dyDescent="0.25">
      <c r="A400">
        <v>9009350900</v>
      </c>
      <c r="B400" t="s">
        <v>944</v>
      </c>
    </row>
    <row r="401" spans="1:2" x14ac:dyDescent="0.25">
      <c r="A401">
        <v>9003503900</v>
      </c>
      <c r="B401" t="s">
        <v>944</v>
      </c>
    </row>
    <row r="402" spans="1:2" x14ac:dyDescent="0.25">
      <c r="A402">
        <v>9003503900</v>
      </c>
      <c r="B402" t="s">
        <v>944</v>
      </c>
    </row>
    <row r="403" spans="1:2" x14ac:dyDescent="0.25">
      <c r="A403">
        <v>9009351000</v>
      </c>
      <c r="B403" t="s">
        <v>944</v>
      </c>
    </row>
    <row r="404" spans="1:2" x14ac:dyDescent="0.25">
      <c r="A404">
        <v>9009351100</v>
      </c>
      <c r="B404" t="s">
        <v>936</v>
      </c>
    </row>
    <row r="405" spans="1:2" x14ac:dyDescent="0.25">
      <c r="A405">
        <v>9009351200</v>
      </c>
      <c r="B405" t="s">
        <v>936</v>
      </c>
    </row>
    <row r="406" spans="1:2" x14ac:dyDescent="0.25">
      <c r="A406">
        <v>9003514900</v>
      </c>
      <c r="B406" t="s">
        <v>944</v>
      </c>
    </row>
    <row r="407" spans="1:2" x14ac:dyDescent="0.25">
      <c r="A407">
        <v>9003514900</v>
      </c>
      <c r="B407" t="s">
        <v>944</v>
      </c>
    </row>
    <row r="408" spans="1:2" x14ac:dyDescent="0.25">
      <c r="A408">
        <v>9009351300</v>
      </c>
      <c r="B408" t="s">
        <v>936</v>
      </c>
    </row>
    <row r="409" spans="1:2" x14ac:dyDescent="0.25">
      <c r="A409">
        <v>9009351400</v>
      </c>
      <c r="B409" t="s">
        <v>936</v>
      </c>
    </row>
    <row r="410" spans="1:2" x14ac:dyDescent="0.25">
      <c r="A410">
        <v>9001030300</v>
      </c>
      <c r="B410" t="s">
        <v>944</v>
      </c>
    </row>
    <row r="411" spans="1:2" x14ac:dyDescent="0.25">
      <c r="A411">
        <v>9009351800</v>
      </c>
      <c r="B411" t="s">
        <v>944</v>
      </c>
    </row>
    <row r="412" spans="1:2" x14ac:dyDescent="0.25">
      <c r="A412">
        <v>9013526102</v>
      </c>
      <c r="B412" t="s">
        <v>944</v>
      </c>
    </row>
    <row r="413" spans="1:2" x14ac:dyDescent="0.25">
      <c r="A413">
        <v>9013526102</v>
      </c>
      <c r="B413" t="s">
        <v>944</v>
      </c>
    </row>
    <row r="414" spans="1:2" x14ac:dyDescent="0.25">
      <c r="A414">
        <v>9013526102</v>
      </c>
      <c r="B414" t="s">
        <v>944</v>
      </c>
    </row>
    <row r="415" spans="1:2" x14ac:dyDescent="0.25">
      <c r="A415">
        <v>9001035100</v>
      </c>
      <c r="B415" t="s">
        <v>944</v>
      </c>
    </row>
    <row r="416" spans="1:2" x14ac:dyDescent="0.25">
      <c r="A416">
        <v>9001035100</v>
      </c>
      <c r="B416" t="s">
        <v>944</v>
      </c>
    </row>
    <row r="417" spans="1:2" x14ac:dyDescent="0.25">
      <c r="A417">
        <v>9009352701</v>
      </c>
      <c r="B417" t="s">
        <v>936</v>
      </c>
    </row>
    <row r="418" spans="1:2" x14ac:dyDescent="0.25">
      <c r="A418">
        <v>9009352702</v>
      </c>
      <c r="B418" t="s">
        <v>944</v>
      </c>
    </row>
    <row r="419" spans="1:2" x14ac:dyDescent="0.25">
      <c r="A419">
        <v>9001030400</v>
      </c>
      <c r="B419" t="s">
        <v>944</v>
      </c>
    </row>
    <row r="420" spans="1:2" x14ac:dyDescent="0.25">
      <c r="A420">
        <v>9009352800</v>
      </c>
      <c r="B420" t="s">
        <v>944</v>
      </c>
    </row>
    <row r="421" spans="1:2" x14ac:dyDescent="0.25">
      <c r="A421">
        <v>9009352800</v>
      </c>
      <c r="B421" t="s">
        <v>944</v>
      </c>
    </row>
    <row r="422" spans="1:2" x14ac:dyDescent="0.25">
      <c r="A422">
        <v>9001035200</v>
      </c>
      <c r="B422" t="s">
        <v>944</v>
      </c>
    </row>
    <row r="423" spans="1:2" x14ac:dyDescent="0.25">
      <c r="A423">
        <v>9001035400</v>
      </c>
      <c r="B423" t="s">
        <v>944</v>
      </c>
    </row>
    <row r="424" spans="1:2" x14ac:dyDescent="0.25">
      <c r="A424">
        <v>9001035400</v>
      </c>
      <c r="B424" t="s">
        <v>944</v>
      </c>
    </row>
    <row r="425" spans="1:2" x14ac:dyDescent="0.25">
      <c r="A425">
        <v>9013530600</v>
      </c>
      <c r="B425" t="s">
        <v>944</v>
      </c>
    </row>
    <row r="426" spans="1:2" x14ac:dyDescent="0.25">
      <c r="A426">
        <v>9013530600</v>
      </c>
      <c r="B426" t="s">
        <v>944</v>
      </c>
    </row>
    <row r="427" spans="1:2" x14ac:dyDescent="0.25">
      <c r="A427">
        <v>9013530600</v>
      </c>
      <c r="B427" t="s">
        <v>944</v>
      </c>
    </row>
    <row r="428" spans="1:2" x14ac:dyDescent="0.25">
      <c r="A428">
        <v>9001042500</v>
      </c>
      <c r="B428" t="s">
        <v>944</v>
      </c>
    </row>
    <row r="429" spans="1:2" x14ac:dyDescent="0.25">
      <c r="A429">
        <v>9001042700</v>
      </c>
      <c r="B429" t="s">
        <v>944</v>
      </c>
    </row>
    <row r="430" spans="1:2" x14ac:dyDescent="0.25">
      <c r="A430">
        <v>9001042800</v>
      </c>
      <c r="B430" t="s">
        <v>944</v>
      </c>
    </row>
    <row r="431" spans="1:2" x14ac:dyDescent="0.25">
      <c r="A431">
        <v>9001043100</v>
      </c>
      <c r="B431" t="s">
        <v>944</v>
      </c>
    </row>
    <row r="432" spans="1:2" x14ac:dyDescent="0.25">
      <c r="A432">
        <v>9001043200</v>
      </c>
      <c r="B432" t="s">
        <v>944</v>
      </c>
    </row>
    <row r="433" spans="1:2" x14ac:dyDescent="0.25">
      <c r="A433">
        <v>9001035300</v>
      </c>
      <c r="B433" t="s">
        <v>944</v>
      </c>
    </row>
    <row r="434" spans="1:2" x14ac:dyDescent="0.25">
      <c r="A434">
        <v>9001035300</v>
      </c>
      <c r="B434" t="s">
        <v>944</v>
      </c>
    </row>
    <row r="435" spans="1:2" x14ac:dyDescent="0.25">
      <c r="A435">
        <v>9001043300</v>
      </c>
      <c r="B435" t="s">
        <v>944</v>
      </c>
    </row>
    <row r="436" spans="1:2" x14ac:dyDescent="0.25">
      <c r="A436">
        <v>9001045102</v>
      </c>
      <c r="B436" t="s">
        <v>944</v>
      </c>
    </row>
    <row r="437" spans="1:2" x14ac:dyDescent="0.25">
      <c r="A437">
        <v>9009184200</v>
      </c>
      <c r="B437" t="s">
        <v>944</v>
      </c>
    </row>
    <row r="438" spans="1:2" x14ac:dyDescent="0.25">
      <c r="A438">
        <v>9001045400</v>
      </c>
      <c r="B438" t="s">
        <v>944</v>
      </c>
    </row>
    <row r="439" spans="1:2" x14ac:dyDescent="0.25">
      <c r="A439">
        <v>9009184300</v>
      </c>
      <c r="B439" t="s">
        <v>944</v>
      </c>
    </row>
    <row r="440" spans="1:2" x14ac:dyDescent="0.25">
      <c r="A440">
        <v>9001055100</v>
      </c>
      <c r="B440" t="s">
        <v>944</v>
      </c>
    </row>
    <row r="441" spans="1:2" x14ac:dyDescent="0.25">
      <c r="A441">
        <v>9001042600</v>
      </c>
      <c r="B441" t="s">
        <v>944</v>
      </c>
    </row>
    <row r="442" spans="1:2" x14ac:dyDescent="0.25">
      <c r="A442">
        <v>9001042900</v>
      </c>
      <c r="B442" t="s">
        <v>944</v>
      </c>
    </row>
    <row r="443" spans="1:2" x14ac:dyDescent="0.25">
      <c r="A443">
        <v>9005250100</v>
      </c>
      <c r="B443" t="s">
        <v>944</v>
      </c>
    </row>
    <row r="444" spans="1:2" x14ac:dyDescent="0.25">
      <c r="A444">
        <v>9001043000</v>
      </c>
      <c r="B444" t="s">
        <v>944</v>
      </c>
    </row>
    <row r="445" spans="1:2" x14ac:dyDescent="0.25">
      <c r="A445">
        <v>9005268100</v>
      </c>
      <c r="B445" t="s">
        <v>944</v>
      </c>
    </row>
    <row r="446" spans="1:2" x14ac:dyDescent="0.25">
      <c r="A446">
        <v>9005268100</v>
      </c>
      <c r="B446" t="s">
        <v>944</v>
      </c>
    </row>
    <row r="447" spans="1:2" x14ac:dyDescent="0.25">
      <c r="A447">
        <v>9005268100</v>
      </c>
      <c r="B447" t="s">
        <v>944</v>
      </c>
    </row>
    <row r="448" spans="1:2" x14ac:dyDescent="0.25">
      <c r="A448">
        <v>9003405100</v>
      </c>
      <c r="B448" t="s">
        <v>944</v>
      </c>
    </row>
    <row r="449" spans="1:2" x14ac:dyDescent="0.25">
      <c r="A449">
        <v>9003405200</v>
      </c>
      <c r="B449" t="s">
        <v>944</v>
      </c>
    </row>
    <row r="450" spans="1:2" x14ac:dyDescent="0.25">
      <c r="A450">
        <v>9015900100</v>
      </c>
      <c r="B450" t="s">
        <v>944</v>
      </c>
    </row>
    <row r="451" spans="1:2" x14ac:dyDescent="0.25">
      <c r="A451">
        <v>9003405300</v>
      </c>
      <c r="B451" t="s">
        <v>944</v>
      </c>
    </row>
    <row r="452" spans="1:2" x14ac:dyDescent="0.25">
      <c r="A452">
        <v>9015901100</v>
      </c>
      <c r="B452" t="s">
        <v>944</v>
      </c>
    </row>
    <row r="453" spans="1:2" x14ac:dyDescent="0.25">
      <c r="A453">
        <v>9015901100</v>
      </c>
      <c r="B453" t="s">
        <v>944</v>
      </c>
    </row>
    <row r="454" spans="1:2" x14ac:dyDescent="0.25">
      <c r="A454">
        <v>9015901100</v>
      </c>
      <c r="B454" t="s">
        <v>944</v>
      </c>
    </row>
    <row r="455" spans="1:2" x14ac:dyDescent="0.25">
      <c r="A455">
        <v>9001043400</v>
      </c>
      <c r="B455" t="s">
        <v>944</v>
      </c>
    </row>
    <row r="456" spans="1:2" x14ac:dyDescent="0.25">
      <c r="A456">
        <v>9003405401</v>
      </c>
      <c r="B456" t="s">
        <v>944</v>
      </c>
    </row>
    <row r="457" spans="1:2" x14ac:dyDescent="0.25">
      <c r="A457">
        <v>9003405401</v>
      </c>
      <c r="B457" t="s">
        <v>944</v>
      </c>
    </row>
    <row r="458" spans="1:2" x14ac:dyDescent="0.25">
      <c r="A458">
        <v>9015902500</v>
      </c>
      <c r="B458" t="s">
        <v>944</v>
      </c>
    </row>
    <row r="459" spans="1:2" x14ac:dyDescent="0.25">
      <c r="A459">
        <v>9015902500</v>
      </c>
      <c r="B459" t="s">
        <v>944</v>
      </c>
    </row>
    <row r="460" spans="1:2" x14ac:dyDescent="0.25">
      <c r="A460">
        <v>9015902500</v>
      </c>
      <c r="B460" t="s">
        <v>944</v>
      </c>
    </row>
    <row r="461" spans="1:2" x14ac:dyDescent="0.25">
      <c r="A461">
        <v>9001043500</v>
      </c>
      <c r="B461" t="s">
        <v>944</v>
      </c>
    </row>
    <row r="462" spans="1:2" x14ac:dyDescent="0.25">
      <c r="A462">
        <v>9015903100</v>
      </c>
      <c r="B462" t="s">
        <v>944</v>
      </c>
    </row>
    <row r="463" spans="1:2" x14ac:dyDescent="0.25">
      <c r="A463">
        <v>9003405402</v>
      </c>
      <c r="B463" t="s">
        <v>944</v>
      </c>
    </row>
    <row r="464" spans="1:2" x14ac:dyDescent="0.25">
      <c r="A464">
        <v>9015904100</v>
      </c>
      <c r="B464" t="s">
        <v>944</v>
      </c>
    </row>
    <row r="465" spans="1:2" x14ac:dyDescent="0.25">
      <c r="A465">
        <v>9015904100</v>
      </c>
      <c r="B465" t="s">
        <v>944</v>
      </c>
    </row>
    <row r="466" spans="1:2" x14ac:dyDescent="0.25">
      <c r="A466">
        <v>9001043600</v>
      </c>
      <c r="B466" t="s">
        <v>944</v>
      </c>
    </row>
    <row r="467" spans="1:2" x14ac:dyDescent="0.25">
      <c r="A467">
        <v>9015904500</v>
      </c>
      <c r="B467" t="s">
        <v>944</v>
      </c>
    </row>
    <row r="468" spans="1:2" x14ac:dyDescent="0.25">
      <c r="A468">
        <v>9003405500</v>
      </c>
      <c r="B468" t="s">
        <v>944</v>
      </c>
    </row>
    <row r="469" spans="1:2" x14ac:dyDescent="0.25">
      <c r="A469">
        <v>9001043700</v>
      </c>
      <c r="B469" t="s">
        <v>944</v>
      </c>
    </row>
    <row r="470" spans="1:2" x14ac:dyDescent="0.25">
      <c r="A470">
        <v>9015905100</v>
      </c>
      <c r="B470" t="s">
        <v>944</v>
      </c>
    </row>
    <row r="471" spans="1:2" x14ac:dyDescent="0.25">
      <c r="A471">
        <v>9015905100</v>
      </c>
      <c r="B471" t="s">
        <v>944</v>
      </c>
    </row>
    <row r="472" spans="1:2" x14ac:dyDescent="0.25">
      <c r="A472">
        <v>9015905100</v>
      </c>
      <c r="B472" t="s">
        <v>944</v>
      </c>
    </row>
    <row r="473" spans="1:2" x14ac:dyDescent="0.25">
      <c r="A473">
        <v>9003405600</v>
      </c>
      <c r="B473" t="s">
        <v>944</v>
      </c>
    </row>
    <row r="474" spans="1:2" x14ac:dyDescent="0.25">
      <c r="A474">
        <v>9001043800</v>
      </c>
      <c r="B474" t="s">
        <v>944</v>
      </c>
    </row>
    <row r="475" spans="1:2" x14ac:dyDescent="0.25">
      <c r="A475">
        <v>9003405700</v>
      </c>
      <c r="B475" t="s">
        <v>936</v>
      </c>
    </row>
    <row r="476" spans="1:2" x14ac:dyDescent="0.25">
      <c r="A476">
        <v>9015907100</v>
      </c>
      <c r="B476" t="s">
        <v>944</v>
      </c>
    </row>
    <row r="477" spans="1:2" x14ac:dyDescent="0.25">
      <c r="A477">
        <v>9015907100</v>
      </c>
      <c r="B477" t="s">
        <v>944</v>
      </c>
    </row>
    <row r="478" spans="1:2" x14ac:dyDescent="0.25">
      <c r="A478">
        <v>9001043900</v>
      </c>
      <c r="B478" t="s">
        <v>944</v>
      </c>
    </row>
    <row r="479" spans="1:2" x14ac:dyDescent="0.25">
      <c r="A479">
        <v>9001100300</v>
      </c>
      <c r="B479" t="s">
        <v>944</v>
      </c>
    </row>
    <row r="480" spans="1:2" x14ac:dyDescent="0.25">
      <c r="A480">
        <v>9001100300</v>
      </c>
      <c r="B480" t="s">
        <v>944</v>
      </c>
    </row>
    <row r="481" spans="1:2" x14ac:dyDescent="0.25">
      <c r="A481">
        <v>9003405800</v>
      </c>
      <c r="B481" t="s">
        <v>944</v>
      </c>
    </row>
    <row r="482" spans="1:2" x14ac:dyDescent="0.25">
      <c r="A482">
        <v>9001044000</v>
      </c>
      <c r="B482" t="s">
        <v>944</v>
      </c>
    </row>
    <row r="483" spans="1:2" x14ac:dyDescent="0.25">
      <c r="A483">
        <v>9003405900</v>
      </c>
      <c r="B483" t="s">
        <v>944</v>
      </c>
    </row>
    <row r="484" spans="1:2" x14ac:dyDescent="0.25">
      <c r="A484">
        <v>9003406001</v>
      </c>
      <c r="B484" t="s">
        <v>944</v>
      </c>
    </row>
    <row r="485" spans="1:2" x14ac:dyDescent="0.25">
      <c r="A485">
        <v>9003406001</v>
      </c>
      <c r="B485" t="s">
        <v>944</v>
      </c>
    </row>
    <row r="486" spans="1:2" x14ac:dyDescent="0.25">
      <c r="A486">
        <v>9001044200</v>
      </c>
      <c r="B486" t="s">
        <v>944</v>
      </c>
    </row>
    <row r="487" spans="1:2" x14ac:dyDescent="0.25">
      <c r="A487">
        <v>9009125300</v>
      </c>
      <c r="B487" t="s">
        <v>944</v>
      </c>
    </row>
    <row r="488" spans="1:2" x14ac:dyDescent="0.25">
      <c r="A488">
        <v>9003406002</v>
      </c>
      <c r="B488" t="s">
        <v>944</v>
      </c>
    </row>
    <row r="489" spans="1:2" x14ac:dyDescent="0.25">
      <c r="A489">
        <v>9003406002</v>
      </c>
      <c r="B489" t="s">
        <v>944</v>
      </c>
    </row>
    <row r="490" spans="1:2" x14ac:dyDescent="0.25">
      <c r="A490">
        <v>9009125400</v>
      </c>
      <c r="B490" t="s">
        <v>944</v>
      </c>
    </row>
    <row r="491" spans="1:2" x14ac:dyDescent="0.25">
      <c r="A491">
        <v>9009130200</v>
      </c>
      <c r="B491" t="s">
        <v>944</v>
      </c>
    </row>
    <row r="492" spans="1:2" x14ac:dyDescent="0.25">
      <c r="A492">
        <v>9001044300</v>
      </c>
      <c r="B492" t="s">
        <v>944</v>
      </c>
    </row>
    <row r="493" spans="1:2" x14ac:dyDescent="0.25">
      <c r="A493">
        <v>9003406100</v>
      </c>
      <c r="B493" t="s">
        <v>944</v>
      </c>
    </row>
    <row r="494" spans="1:2" x14ac:dyDescent="0.25">
      <c r="A494">
        <v>9001044400</v>
      </c>
      <c r="B494" t="s">
        <v>944</v>
      </c>
    </row>
    <row r="495" spans="1:2" x14ac:dyDescent="0.25">
      <c r="A495">
        <v>9003410101</v>
      </c>
      <c r="B495" t="s">
        <v>944</v>
      </c>
    </row>
    <row r="496" spans="1:2" x14ac:dyDescent="0.25">
      <c r="A496">
        <v>9003410101</v>
      </c>
      <c r="B496" t="s">
        <v>944</v>
      </c>
    </row>
    <row r="497" spans="1:2" x14ac:dyDescent="0.25">
      <c r="A497">
        <v>9003410101</v>
      </c>
      <c r="B497" t="s">
        <v>944</v>
      </c>
    </row>
    <row r="498" spans="1:2" x14ac:dyDescent="0.25">
      <c r="A498">
        <v>9001044500</v>
      </c>
      <c r="B498" t="s">
        <v>944</v>
      </c>
    </row>
    <row r="499" spans="1:2" x14ac:dyDescent="0.25">
      <c r="A499">
        <v>9003420500</v>
      </c>
      <c r="B499" t="s">
        <v>944</v>
      </c>
    </row>
    <row r="500" spans="1:2" x14ac:dyDescent="0.25">
      <c r="A500">
        <v>9003420500</v>
      </c>
      <c r="B500" t="s">
        <v>944</v>
      </c>
    </row>
    <row r="501" spans="1:2" x14ac:dyDescent="0.25">
      <c r="A501">
        <v>9001044600</v>
      </c>
      <c r="B501" t="s">
        <v>944</v>
      </c>
    </row>
    <row r="502" spans="1:2" x14ac:dyDescent="0.25">
      <c r="A502">
        <v>9003430601</v>
      </c>
      <c r="B502" t="s">
        <v>944</v>
      </c>
    </row>
    <row r="503" spans="1:2" x14ac:dyDescent="0.25">
      <c r="A503">
        <v>9003430601</v>
      </c>
      <c r="B503" t="s">
        <v>944</v>
      </c>
    </row>
    <row r="504" spans="1:2" x14ac:dyDescent="0.25">
      <c r="A504">
        <v>9005425400</v>
      </c>
      <c r="B504" t="s">
        <v>944</v>
      </c>
    </row>
    <row r="505" spans="1:2" x14ac:dyDescent="0.25">
      <c r="A505">
        <v>9005425400</v>
      </c>
      <c r="B505" t="s">
        <v>944</v>
      </c>
    </row>
    <row r="506" spans="1:2" x14ac:dyDescent="0.25">
      <c r="A506">
        <v>9001045300</v>
      </c>
      <c r="B506" t="s">
        <v>944</v>
      </c>
    </row>
    <row r="507" spans="1:2" x14ac:dyDescent="0.25">
      <c r="A507">
        <v>9001211400</v>
      </c>
      <c r="B507" t="s">
        <v>944</v>
      </c>
    </row>
    <row r="508" spans="1:2" x14ac:dyDescent="0.25">
      <c r="A508">
        <v>9001211400</v>
      </c>
      <c r="B508" t="s">
        <v>944</v>
      </c>
    </row>
    <row r="509" spans="1:2" x14ac:dyDescent="0.25">
      <c r="A509">
        <v>9001050400</v>
      </c>
      <c r="B509" t="s">
        <v>944</v>
      </c>
    </row>
    <row r="510" spans="1:2" x14ac:dyDescent="0.25">
      <c r="A510">
        <v>9003410102</v>
      </c>
      <c r="B510" t="s">
        <v>944</v>
      </c>
    </row>
    <row r="511" spans="1:2" x14ac:dyDescent="0.25">
      <c r="A511">
        <v>9003410102</v>
      </c>
      <c r="B511" t="s">
        <v>944</v>
      </c>
    </row>
    <row r="512" spans="1:2" x14ac:dyDescent="0.25">
      <c r="A512">
        <v>9003410102</v>
      </c>
      <c r="B512" t="s">
        <v>944</v>
      </c>
    </row>
    <row r="513" spans="1:2" x14ac:dyDescent="0.25">
      <c r="A513">
        <v>9005260200</v>
      </c>
      <c r="B513" t="s">
        <v>944</v>
      </c>
    </row>
    <row r="514" spans="1:2" x14ac:dyDescent="0.25">
      <c r="A514">
        <v>9005260200</v>
      </c>
      <c r="B514" t="s">
        <v>944</v>
      </c>
    </row>
    <row r="515" spans="1:2" x14ac:dyDescent="0.25">
      <c r="A515">
        <v>9005425600</v>
      </c>
      <c r="B515" t="s">
        <v>944</v>
      </c>
    </row>
    <row r="516" spans="1:2" x14ac:dyDescent="0.25">
      <c r="A516">
        <v>9005425600</v>
      </c>
      <c r="B516" t="s">
        <v>944</v>
      </c>
    </row>
    <row r="517" spans="1:2" x14ac:dyDescent="0.25">
      <c r="A517">
        <v>9015825000</v>
      </c>
      <c r="B517" t="s">
        <v>944</v>
      </c>
    </row>
    <row r="518" spans="1:2" x14ac:dyDescent="0.25">
      <c r="A518">
        <v>9015825000</v>
      </c>
      <c r="B518" t="s">
        <v>944</v>
      </c>
    </row>
    <row r="519" spans="1:2" x14ac:dyDescent="0.25">
      <c r="A519">
        <v>9015825000</v>
      </c>
      <c r="B519" t="s">
        <v>944</v>
      </c>
    </row>
    <row r="520" spans="1:2" x14ac:dyDescent="0.25">
      <c r="A520">
        <v>9015906100</v>
      </c>
      <c r="B520" t="s">
        <v>944</v>
      </c>
    </row>
    <row r="521" spans="1:2" x14ac:dyDescent="0.25">
      <c r="A521">
        <v>9015906100</v>
      </c>
      <c r="B521" t="s">
        <v>944</v>
      </c>
    </row>
    <row r="522" spans="1:2" x14ac:dyDescent="0.25">
      <c r="A522">
        <v>9003464101</v>
      </c>
      <c r="B522" t="s">
        <v>944</v>
      </c>
    </row>
    <row r="523" spans="1:2" x14ac:dyDescent="0.25">
      <c r="A523">
        <v>9003464101</v>
      </c>
      <c r="B523" t="s">
        <v>944</v>
      </c>
    </row>
    <row r="524" spans="1:2" x14ac:dyDescent="0.25">
      <c r="A524">
        <v>9003464102</v>
      </c>
      <c r="B524" t="s">
        <v>944</v>
      </c>
    </row>
    <row r="525" spans="1:2" x14ac:dyDescent="0.25">
      <c r="A525">
        <v>9003466102</v>
      </c>
      <c r="B525" t="s">
        <v>944</v>
      </c>
    </row>
    <row r="526" spans="1:2" x14ac:dyDescent="0.25">
      <c r="A526">
        <v>9003466102</v>
      </c>
      <c r="B526" t="s">
        <v>944</v>
      </c>
    </row>
    <row r="527" spans="1:2" x14ac:dyDescent="0.25">
      <c r="A527">
        <v>9003466202</v>
      </c>
      <c r="B527" t="s">
        <v>944</v>
      </c>
    </row>
    <row r="528" spans="1:2" x14ac:dyDescent="0.25">
      <c r="A528">
        <v>9003466202</v>
      </c>
      <c r="B528" t="s">
        <v>944</v>
      </c>
    </row>
    <row r="529" spans="1:2" x14ac:dyDescent="0.25">
      <c r="A529">
        <v>9013881100</v>
      </c>
      <c r="B529" t="s">
        <v>944</v>
      </c>
    </row>
    <row r="530" spans="1:2" x14ac:dyDescent="0.25">
      <c r="A530">
        <v>9013881100</v>
      </c>
      <c r="B530" t="s">
        <v>944</v>
      </c>
    </row>
    <row r="531" spans="1:2" x14ac:dyDescent="0.25">
      <c r="A531">
        <v>9015815000</v>
      </c>
      <c r="B531" t="s">
        <v>944</v>
      </c>
    </row>
    <row r="532" spans="1:2" x14ac:dyDescent="0.25">
      <c r="A532">
        <v>9015815000</v>
      </c>
      <c r="B532" t="s">
        <v>944</v>
      </c>
    </row>
    <row r="533" spans="1:2" x14ac:dyDescent="0.25">
      <c r="A533">
        <v>9009343101</v>
      </c>
      <c r="B533" t="s">
        <v>944</v>
      </c>
    </row>
    <row r="534" spans="1:2" x14ac:dyDescent="0.25">
      <c r="A534">
        <v>9009343101</v>
      </c>
      <c r="B534" t="s">
        <v>944</v>
      </c>
    </row>
    <row r="535" spans="1:2" x14ac:dyDescent="0.25">
      <c r="A535">
        <v>9009343101</v>
      </c>
      <c r="B535" t="s">
        <v>944</v>
      </c>
    </row>
    <row r="536" spans="1:2" x14ac:dyDescent="0.25">
      <c r="A536">
        <v>9009343102</v>
      </c>
      <c r="B536" t="s">
        <v>944</v>
      </c>
    </row>
    <row r="537" spans="1:2" x14ac:dyDescent="0.25">
      <c r="A537">
        <v>9009343300</v>
      </c>
      <c r="B537" t="s">
        <v>944</v>
      </c>
    </row>
    <row r="538" spans="1:2" x14ac:dyDescent="0.25">
      <c r="A538">
        <v>9009343400</v>
      </c>
      <c r="B538" t="s">
        <v>944</v>
      </c>
    </row>
    <row r="539" spans="1:2" x14ac:dyDescent="0.25">
      <c r="A539">
        <v>9009170500</v>
      </c>
      <c r="B539" t="s">
        <v>944</v>
      </c>
    </row>
    <row r="540" spans="1:2" x14ac:dyDescent="0.25">
      <c r="A540">
        <v>9009347100</v>
      </c>
      <c r="B540" t="s">
        <v>944</v>
      </c>
    </row>
    <row r="541" spans="1:2" x14ac:dyDescent="0.25">
      <c r="A541">
        <v>9009347100</v>
      </c>
      <c r="B541" t="s">
        <v>944</v>
      </c>
    </row>
    <row r="542" spans="1:2" x14ac:dyDescent="0.25">
      <c r="A542">
        <v>9009347100</v>
      </c>
      <c r="B542" t="s">
        <v>944</v>
      </c>
    </row>
    <row r="543" spans="1:2" x14ac:dyDescent="0.25">
      <c r="A543">
        <v>9009170600</v>
      </c>
      <c r="B543" t="s">
        <v>944</v>
      </c>
    </row>
    <row r="544" spans="1:2" x14ac:dyDescent="0.25">
      <c r="A544">
        <v>9009170700</v>
      </c>
      <c r="B544" t="s">
        <v>944</v>
      </c>
    </row>
    <row r="545" spans="1:2" x14ac:dyDescent="0.25">
      <c r="A545">
        <v>9009170800</v>
      </c>
      <c r="B545" t="s">
        <v>944</v>
      </c>
    </row>
    <row r="546" spans="1:2" x14ac:dyDescent="0.25">
      <c r="A546">
        <v>9007600100</v>
      </c>
      <c r="B546" t="s">
        <v>944</v>
      </c>
    </row>
    <row r="547" spans="1:2" x14ac:dyDescent="0.25">
      <c r="A547">
        <v>9009170900</v>
      </c>
      <c r="B547" t="s">
        <v>944</v>
      </c>
    </row>
    <row r="548" spans="1:2" x14ac:dyDescent="0.25">
      <c r="A548">
        <v>9007610100</v>
      </c>
      <c r="B548" t="s">
        <v>944</v>
      </c>
    </row>
    <row r="549" spans="1:2" x14ac:dyDescent="0.25">
      <c r="A549">
        <v>9009171000</v>
      </c>
      <c r="B549" t="s">
        <v>944</v>
      </c>
    </row>
    <row r="550" spans="1:2" x14ac:dyDescent="0.25">
      <c r="A550">
        <v>9007610200</v>
      </c>
      <c r="B550" t="s">
        <v>944</v>
      </c>
    </row>
    <row r="551" spans="1:2" x14ac:dyDescent="0.25">
      <c r="A551">
        <v>9009171100</v>
      </c>
      <c r="B551" t="s">
        <v>944</v>
      </c>
    </row>
    <row r="552" spans="1:2" x14ac:dyDescent="0.25">
      <c r="A552">
        <v>9007610300</v>
      </c>
      <c r="B552" t="s">
        <v>944</v>
      </c>
    </row>
    <row r="553" spans="1:2" x14ac:dyDescent="0.25">
      <c r="A553">
        <v>9009171200</v>
      </c>
      <c r="B553" t="s">
        <v>944</v>
      </c>
    </row>
    <row r="554" spans="1:2" x14ac:dyDescent="0.25">
      <c r="A554">
        <v>9007610400</v>
      </c>
      <c r="B554" t="s">
        <v>944</v>
      </c>
    </row>
    <row r="555" spans="1:2" x14ac:dyDescent="0.25">
      <c r="A555">
        <v>9009171300</v>
      </c>
      <c r="B555" t="s">
        <v>944</v>
      </c>
    </row>
    <row r="556" spans="1:2" x14ac:dyDescent="0.25">
      <c r="A556">
        <v>9007550201</v>
      </c>
      <c r="B556" t="s">
        <v>944</v>
      </c>
    </row>
    <row r="557" spans="1:2" x14ac:dyDescent="0.25">
      <c r="A557">
        <v>9007550201</v>
      </c>
      <c r="B557" t="s">
        <v>944</v>
      </c>
    </row>
    <row r="558" spans="1:2" x14ac:dyDescent="0.25">
      <c r="A558">
        <v>9009171400</v>
      </c>
      <c r="B558" t="s">
        <v>944</v>
      </c>
    </row>
    <row r="559" spans="1:2" x14ac:dyDescent="0.25">
      <c r="A559">
        <v>9009171500</v>
      </c>
      <c r="B559" t="s">
        <v>944</v>
      </c>
    </row>
    <row r="560" spans="1:2" x14ac:dyDescent="0.25">
      <c r="A560">
        <v>9007595101</v>
      </c>
      <c r="B560" t="s">
        <v>944</v>
      </c>
    </row>
    <row r="561" spans="1:2" x14ac:dyDescent="0.25">
      <c r="A561">
        <v>9007595101</v>
      </c>
      <c r="B561" t="s">
        <v>944</v>
      </c>
    </row>
    <row r="562" spans="1:2" x14ac:dyDescent="0.25">
      <c r="A562">
        <v>9007595101</v>
      </c>
      <c r="B562" t="s">
        <v>944</v>
      </c>
    </row>
    <row r="563" spans="1:2" x14ac:dyDescent="0.25">
      <c r="A563">
        <v>9009171700</v>
      </c>
      <c r="B563" t="s">
        <v>944</v>
      </c>
    </row>
    <row r="564" spans="1:2" x14ac:dyDescent="0.25">
      <c r="A564">
        <v>9011714101</v>
      </c>
      <c r="B564" t="s">
        <v>944</v>
      </c>
    </row>
    <row r="565" spans="1:2" x14ac:dyDescent="0.25">
      <c r="A565">
        <v>9011714103</v>
      </c>
      <c r="B565" t="s">
        <v>944</v>
      </c>
    </row>
    <row r="566" spans="1:2" x14ac:dyDescent="0.25">
      <c r="A566">
        <v>9011714104</v>
      </c>
      <c r="B566" t="s">
        <v>944</v>
      </c>
    </row>
    <row r="567" spans="1:2" x14ac:dyDescent="0.25">
      <c r="A567">
        <v>9011714104</v>
      </c>
      <c r="B567" t="s">
        <v>944</v>
      </c>
    </row>
    <row r="568" spans="1:2" x14ac:dyDescent="0.25">
      <c r="A568">
        <v>9011714104</v>
      </c>
      <c r="B568" t="s">
        <v>944</v>
      </c>
    </row>
    <row r="569" spans="1:2" x14ac:dyDescent="0.25">
      <c r="A569">
        <v>9009175400</v>
      </c>
      <c r="B569" t="s">
        <v>944</v>
      </c>
    </row>
    <row r="570" spans="1:2" x14ac:dyDescent="0.25">
      <c r="A570">
        <v>9011715100</v>
      </c>
      <c r="B570" t="s">
        <v>944</v>
      </c>
    </row>
    <row r="571" spans="1:2" x14ac:dyDescent="0.25">
      <c r="A571">
        <v>9011715100</v>
      </c>
      <c r="B571" t="s">
        <v>944</v>
      </c>
    </row>
    <row r="572" spans="1:2" x14ac:dyDescent="0.25">
      <c r="A572">
        <v>9011715100</v>
      </c>
      <c r="B572" t="s">
        <v>944</v>
      </c>
    </row>
    <row r="573" spans="1:2" x14ac:dyDescent="0.25">
      <c r="A573">
        <v>9011870100</v>
      </c>
      <c r="B573" t="s">
        <v>944</v>
      </c>
    </row>
    <row r="574" spans="1:2" x14ac:dyDescent="0.25">
      <c r="A574">
        <v>9011870100</v>
      </c>
      <c r="B574" t="s">
        <v>944</v>
      </c>
    </row>
    <row r="575" spans="1:2" x14ac:dyDescent="0.25">
      <c r="A575">
        <v>9011870100</v>
      </c>
      <c r="B575" t="s">
        <v>944</v>
      </c>
    </row>
    <row r="576" spans="1:2" x14ac:dyDescent="0.25">
      <c r="A576">
        <v>9013526101</v>
      </c>
      <c r="B576" t="s">
        <v>944</v>
      </c>
    </row>
    <row r="577" spans="1:2" x14ac:dyDescent="0.25">
      <c r="A577">
        <v>9013526101</v>
      </c>
      <c r="B577" t="s">
        <v>944</v>
      </c>
    </row>
    <row r="578" spans="1:2" x14ac:dyDescent="0.25">
      <c r="A578">
        <v>9013526101</v>
      </c>
      <c r="B578" t="s">
        <v>944</v>
      </c>
    </row>
    <row r="579" spans="1:2" x14ac:dyDescent="0.25">
      <c r="A579">
        <v>9009190100</v>
      </c>
      <c r="B579" t="s">
        <v>944</v>
      </c>
    </row>
    <row r="580" spans="1:2" x14ac:dyDescent="0.25">
      <c r="A580">
        <v>9009190200</v>
      </c>
      <c r="B580" t="s">
        <v>944</v>
      </c>
    </row>
    <row r="581" spans="1:2" x14ac:dyDescent="0.25">
      <c r="A581">
        <v>9009190301</v>
      </c>
      <c r="B581" t="s">
        <v>944</v>
      </c>
    </row>
    <row r="582" spans="1:2" x14ac:dyDescent="0.25">
      <c r="A582">
        <v>9009190301</v>
      </c>
      <c r="B582" t="s">
        <v>944</v>
      </c>
    </row>
    <row r="583" spans="1:2" x14ac:dyDescent="0.25">
      <c r="A583">
        <v>9005293100</v>
      </c>
      <c r="B583" t="s">
        <v>944</v>
      </c>
    </row>
    <row r="584" spans="1:2" x14ac:dyDescent="0.25">
      <c r="A584">
        <v>9009190302</v>
      </c>
      <c r="B584" t="s">
        <v>944</v>
      </c>
    </row>
    <row r="585" spans="1:2" x14ac:dyDescent="0.25">
      <c r="A585">
        <v>9013850200</v>
      </c>
      <c r="B585" t="s">
        <v>944</v>
      </c>
    </row>
    <row r="586" spans="1:2" x14ac:dyDescent="0.25">
      <c r="A586">
        <v>9013850200</v>
      </c>
      <c r="B586" t="s">
        <v>944</v>
      </c>
    </row>
    <row r="587" spans="1:2" x14ac:dyDescent="0.25">
      <c r="A587">
        <v>9013850200</v>
      </c>
      <c r="B587" t="s">
        <v>944</v>
      </c>
    </row>
    <row r="588" spans="1:2" x14ac:dyDescent="0.25">
      <c r="A588">
        <v>9009194100</v>
      </c>
      <c r="B588" t="s">
        <v>944</v>
      </c>
    </row>
    <row r="589" spans="1:2" x14ac:dyDescent="0.25">
      <c r="A589">
        <v>9009194201</v>
      </c>
      <c r="B589" t="s">
        <v>944</v>
      </c>
    </row>
    <row r="590" spans="1:2" x14ac:dyDescent="0.25">
      <c r="A590">
        <v>9009194201</v>
      </c>
      <c r="B590" t="s">
        <v>944</v>
      </c>
    </row>
    <row r="591" spans="1:2" x14ac:dyDescent="0.25">
      <c r="A591">
        <v>9013860100</v>
      </c>
      <c r="B591" t="s">
        <v>944</v>
      </c>
    </row>
    <row r="592" spans="1:2" x14ac:dyDescent="0.25">
      <c r="A592">
        <v>9013860100</v>
      </c>
      <c r="B592" t="s">
        <v>944</v>
      </c>
    </row>
    <row r="593" spans="1:2" x14ac:dyDescent="0.25">
      <c r="A593">
        <v>9005262100</v>
      </c>
      <c r="B593" t="s">
        <v>944</v>
      </c>
    </row>
    <row r="594" spans="1:2" x14ac:dyDescent="0.25">
      <c r="A594">
        <v>9005262100</v>
      </c>
      <c r="B594" t="s">
        <v>944</v>
      </c>
    </row>
    <row r="595" spans="1:2" x14ac:dyDescent="0.25">
      <c r="A595">
        <v>9005262100</v>
      </c>
      <c r="B595" t="s">
        <v>944</v>
      </c>
    </row>
    <row r="596" spans="1:2" x14ac:dyDescent="0.25">
      <c r="A596">
        <v>9001210300</v>
      </c>
      <c r="B596" t="s">
        <v>944</v>
      </c>
    </row>
    <row r="597" spans="1:2" x14ac:dyDescent="0.25">
      <c r="A597">
        <v>9001210701</v>
      </c>
      <c r="B597" t="s">
        <v>944</v>
      </c>
    </row>
    <row r="598" spans="1:2" x14ac:dyDescent="0.25">
      <c r="A598">
        <v>9005265100</v>
      </c>
      <c r="B598" t="s">
        <v>944</v>
      </c>
    </row>
    <row r="599" spans="1:2" x14ac:dyDescent="0.25">
      <c r="A599">
        <v>9005265100</v>
      </c>
      <c r="B599" t="s">
        <v>944</v>
      </c>
    </row>
    <row r="600" spans="1:2" x14ac:dyDescent="0.25">
      <c r="A600">
        <v>9005265100</v>
      </c>
      <c r="B600" t="s">
        <v>944</v>
      </c>
    </row>
    <row r="601" spans="1:2" x14ac:dyDescent="0.25">
      <c r="A601">
        <v>9005265100</v>
      </c>
      <c r="B601" t="s">
        <v>944</v>
      </c>
    </row>
    <row r="602" spans="1:2" x14ac:dyDescent="0.25">
      <c r="A602">
        <v>9001210702</v>
      </c>
      <c r="B602" t="s">
        <v>944</v>
      </c>
    </row>
    <row r="603" spans="1:2" x14ac:dyDescent="0.25">
      <c r="A603">
        <v>9001211300</v>
      </c>
      <c r="B603" t="s">
        <v>944</v>
      </c>
    </row>
    <row r="604" spans="1:2" x14ac:dyDescent="0.25">
      <c r="A604">
        <v>9005266100</v>
      </c>
      <c r="B604" t="s">
        <v>944</v>
      </c>
    </row>
    <row r="605" spans="1:2" x14ac:dyDescent="0.25">
      <c r="A605">
        <v>9005266100</v>
      </c>
      <c r="B605" t="s">
        <v>944</v>
      </c>
    </row>
    <row r="606" spans="1:2" x14ac:dyDescent="0.25">
      <c r="A606">
        <v>9005266100</v>
      </c>
      <c r="B606" t="s">
        <v>944</v>
      </c>
    </row>
    <row r="607" spans="1:2" x14ac:dyDescent="0.25">
      <c r="A607">
        <v>9005266100</v>
      </c>
      <c r="B607" t="s">
        <v>944</v>
      </c>
    </row>
    <row r="608" spans="1:2" x14ac:dyDescent="0.25">
      <c r="A608">
        <v>9005266100</v>
      </c>
      <c r="B608" t="s">
        <v>944</v>
      </c>
    </row>
    <row r="609" spans="1:2" x14ac:dyDescent="0.25">
      <c r="A609">
        <v>9007570100</v>
      </c>
      <c r="B609" t="s">
        <v>944</v>
      </c>
    </row>
    <row r="610" spans="1:2" x14ac:dyDescent="0.25">
      <c r="A610">
        <v>9007570200</v>
      </c>
      <c r="B610" t="s">
        <v>944</v>
      </c>
    </row>
    <row r="611" spans="1:2" x14ac:dyDescent="0.25">
      <c r="A611">
        <v>9001220100</v>
      </c>
      <c r="B611" t="s">
        <v>944</v>
      </c>
    </row>
    <row r="612" spans="1:2" x14ac:dyDescent="0.25">
      <c r="A612">
        <v>9007570300</v>
      </c>
      <c r="B612" t="s">
        <v>944</v>
      </c>
    </row>
    <row r="613" spans="1:2" x14ac:dyDescent="0.25">
      <c r="A613">
        <v>9001220300</v>
      </c>
      <c r="B613" t="s">
        <v>944</v>
      </c>
    </row>
    <row r="614" spans="1:2" x14ac:dyDescent="0.25">
      <c r="A614">
        <v>9001220300</v>
      </c>
      <c r="B614" t="s">
        <v>944</v>
      </c>
    </row>
    <row r="615" spans="1:2" x14ac:dyDescent="0.25">
      <c r="A615">
        <v>9001220300</v>
      </c>
      <c r="B615" t="s">
        <v>944</v>
      </c>
    </row>
    <row r="616" spans="1:2" x14ac:dyDescent="0.25">
      <c r="A616">
        <v>9001245300</v>
      </c>
      <c r="B616" t="s">
        <v>944</v>
      </c>
    </row>
    <row r="617" spans="1:2" x14ac:dyDescent="0.25">
      <c r="A617">
        <v>9005253100</v>
      </c>
      <c r="B617" t="s">
        <v>944</v>
      </c>
    </row>
    <row r="618" spans="1:2" x14ac:dyDescent="0.25">
      <c r="A618">
        <v>9005253300</v>
      </c>
      <c r="B618" t="s">
        <v>944</v>
      </c>
    </row>
    <row r="619" spans="1:2" x14ac:dyDescent="0.25">
      <c r="A619">
        <v>9005253600</v>
      </c>
      <c r="B619" t="s">
        <v>944</v>
      </c>
    </row>
    <row r="620" spans="1:2" x14ac:dyDescent="0.25">
      <c r="A620">
        <v>9005267100</v>
      </c>
      <c r="B620" t="s">
        <v>944</v>
      </c>
    </row>
    <row r="621" spans="1:2" x14ac:dyDescent="0.25">
      <c r="A621">
        <v>9005267100</v>
      </c>
      <c r="B621" t="s">
        <v>944</v>
      </c>
    </row>
    <row r="622" spans="1:2" x14ac:dyDescent="0.25">
      <c r="A622">
        <v>9005267100</v>
      </c>
      <c r="B622" t="s">
        <v>944</v>
      </c>
    </row>
    <row r="623" spans="1:2" x14ac:dyDescent="0.25">
      <c r="A623">
        <v>9005298300</v>
      </c>
      <c r="B623" t="s">
        <v>944</v>
      </c>
    </row>
    <row r="624" spans="1:2" x14ac:dyDescent="0.25">
      <c r="A624">
        <v>9005298400</v>
      </c>
      <c r="B624" t="s">
        <v>944</v>
      </c>
    </row>
    <row r="625" spans="1:2" x14ac:dyDescent="0.25">
      <c r="A625">
        <v>9005310100</v>
      </c>
      <c r="B625" t="s">
        <v>944</v>
      </c>
    </row>
    <row r="626" spans="1:2" x14ac:dyDescent="0.25">
      <c r="A626">
        <v>9005310200</v>
      </c>
      <c r="B626" t="s">
        <v>944</v>
      </c>
    </row>
    <row r="627" spans="1:2" x14ac:dyDescent="0.25">
      <c r="A627">
        <v>9005310300</v>
      </c>
      <c r="B627" t="s">
        <v>936</v>
      </c>
    </row>
    <row r="628" spans="1:2" x14ac:dyDescent="0.25">
      <c r="A628">
        <v>9005310400</v>
      </c>
      <c r="B628" t="s">
        <v>944</v>
      </c>
    </row>
    <row r="629" spans="1:2" x14ac:dyDescent="0.25">
      <c r="A629">
        <v>9005310400</v>
      </c>
      <c r="B629" t="s">
        <v>944</v>
      </c>
    </row>
    <row r="630" spans="1:2" x14ac:dyDescent="0.25">
      <c r="A630">
        <v>9005310500</v>
      </c>
      <c r="B630" t="s">
        <v>944</v>
      </c>
    </row>
    <row r="631" spans="1:2" x14ac:dyDescent="0.25">
      <c r="A631">
        <v>9005310602</v>
      </c>
      <c r="B631" t="s">
        <v>944</v>
      </c>
    </row>
    <row r="632" spans="1:2" x14ac:dyDescent="0.25">
      <c r="A632">
        <v>9005310700</v>
      </c>
      <c r="B632" t="s">
        <v>944</v>
      </c>
    </row>
    <row r="633" spans="1:2" x14ac:dyDescent="0.25">
      <c r="A633">
        <v>9007620100</v>
      </c>
      <c r="B633" t="s">
        <v>944</v>
      </c>
    </row>
    <row r="634" spans="1:2" x14ac:dyDescent="0.25">
      <c r="A634">
        <v>9005310801</v>
      </c>
      <c r="B634" t="s">
        <v>944</v>
      </c>
    </row>
    <row r="635" spans="1:2" x14ac:dyDescent="0.25">
      <c r="A635">
        <v>9005310803</v>
      </c>
      <c r="B635" t="s">
        <v>936</v>
      </c>
    </row>
    <row r="636" spans="1:2" x14ac:dyDescent="0.25">
      <c r="A636">
        <v>9005310804</v>
      </c>
      <c r="B636" t="s">
        <v>944</v>
      </c>
    </row>
    <row r="637" spans="1:2" x14ac:dyDescent="0.25">
      <c r="A637">
        <v>9007585100</v>
      </c>
      <c r="B637" t="s">
        <v>944</v>
      </c>
    </row>
    <row r="638" spans="1:2" x14ac:dyDescent="0.25">
      <c r="A638">
        <v>9007585100</v>
      </c>
      <c r="B638" t="s">
        <v>944</v>
      </c>
    </row>
    <row r="639" spans="1:2" x14ac:dyDescent="0.25">
      <c r="A639">
        <v>9005320200</v>
      </c>
      <c r="B639" t="s">
        <v>944</v>
      </c>
    </row>
    <row r="640" spans="1:2" x14ac:dyDescent="0.25">
      <c r="A640">
        <v>9003470100</v>
      </c>
      <c r="B640" t="s">
        <v>944</v>
      </c>
    </row>
    <row r="641" spans="1:2" x14ac:dyDescent="0.25">
      <c r="A641">
        <v>9003470100</v>
      </c>
      <c r="B641" t="s">
        <v>944</v>
      </c>
    </row>
    <row r="642" spans="1:2" x14ac:dyDescent="0.25">
      <c r="A642">
        <v>9003470100</v>
      </c>
      <c r="B642" t="s">
        <v>944</v>
      </c>
    </row>
    <row r="643" spans="1:2" x14ac:dyDescent="0.25">
      <c r="A643">
        <v>9009344100</v>
      </c>
      <c r="B643" t="s">
        <v>944</v>
      </c>
    </row>
    <row r="644" spans="1:2" x14ac:dyDescent="0.25">
      <c r="A644">
        <v>9009344100</v>
      </c>
      <c r="B644" t="s">
        <v>944</v>
      </c>
    </row>
    <row r="645" spans="1:2" x14ac:dyDescent="0.25">
      <c r="A645">
        <v>9009344200</v>
      </c>
      <c r="B645" t="s">
        <v>944</v>
      </c>
    </row>
    <row r="646" spans="1:2" x14ac:dyDescent="0.25">
      <c r="A646">
        <v>9009344200</v>
      </c>
      <c r="B646" t="s">
        <v>944</v>
      </c>
    </row>
    <row r="647" spans="1:2" x14ac:dyDescent="0.25">
      <c r="A647">
        <v>9009345100</v>
      </c>
      <c r="B647" t="s">
        <v>944</v>
      </c>
    </row>
    <row r="648" spans="1:2" x14ac:dyDescent="0.25">
      <c r="A648">
        <v>9009345100</v>
      </c>
      <c r="B648" t="s">
        <v>944</v>
      </c>
    </row>
    <row r="649" spans="1:2" x14ac:dyDescent="0.25">
      <c r="A649">
        <v>9003477101</v>
      </c>
      <c r="B649" t="s">
        <v>944</v>
      </c>
    </row>
    <row r="650" spans="1:2" x14ac:dyDescent="0.25">
      <c r="A650">
        <v>9003477101</v>
      </c>
      <c r="B650" t="s">
        <v>944</v>
      </c>
    </row>
    <row r="651" spans="1:2" x14ac:dyDescent="0.25">
      <c r="A651">
        <v>9009345201</v>
      </c>
      <c r="B651" t="s">
        <v>944</v>
      </c>
    </row>
    <row r="652" spans="1:2" x14ac:dyDescent="0.25">
      <c r="A652">
        <v>9009345202</v>
      </c>
      <c r="B652" t="s">
        <v>944</v>
      </c>
    </row>
    <row r="653" spans="1:2" x14ac:dyDescent="0.25">
      <c r="A653">
        <v>9009345300</v>
      </c>
      <c r="B653" t="s">
        <v>944</v>
      </c>
    </row>
    <row r="654" spans="1:2" x14ac:dyDescent="0.25">
      <c r="A654">
        <v>9009345300</v>
      </c>
      <c r="B654" t="s">
        <v>944</v>
      </c>
    </row>
    <row r="655" spans="1:2" x14ac:dyDescent="0.25">
      <c r="A655">
        <v>9003477200</v>
      </c>
      <c r="B655" t="s">
        <v>944</v>
      </c>
    </row>
    <row r="656" spans="1:2" x14ac:dyDescent="0.25">
      <c r="A656">
        <v>9003477200</v>
      </c>
      <c r="B656" t="s">
        <v>944</v>
      </c>
    </row>
    <row r="657" spans="1:2" x14ac:dyDescent="0.25">
      <c r="A657">
        <v>9009345400</v>
      </c>
      <c r="B657" t="s">
        <v>944</v>
      </c>
    </row>
    <row r="658" spans="1:2" x14ac:dyDescent="0.25">
      <c r="A658">
        <v>9009345400</v>
      </c>
      <c r="B658" t="s">
        <v>944</v>
      </c>
    </row>
    <row r="659" spans="1:2" x14ac:dyDescent="0.25">
      <c r="A659">
        <v>9009346101</v>
      </c>
      <c r="B659" t="s">
        <v>944</v>
      </c>
    </row>
    <row r="660" spans="1:2" x14ac:dyDescent="0.25">
      <c r="A660">
        <v>9007595102</v>
      </c>
      <c r="B660" t="s">
        <v>944</v>
      </c>
    </row>
    <row r="661" spans="1:2" x14ac:dyDescent="0.25">
      <c r="A661">
        <v>9007550100</v>
      </c>
      <c r="B661" t="s">
        <v>944</v>
      </c>
    </row>
    <row r="662" spans="1:2" x14ac:dyDescent="0.25">
      <c r="A662">
        <v>9009347200</v>
      </c>
      <c r="B662" t="s">
        <v>944</v>
      </c>
    </row>
    <row r="663" spans="1:2" x14ac:dyDescent="0.25">
      <c r="A663">
        <v>9009347200</v>
      </c>
      <c r="B663" t="s">
        <v>944</v>
      </c>
    </row>
    <row r="664" spans="1:2" x14ac:dyDescent="0.25">
      <c r="A664">
        <v>9007550202</v>
      </c>
      <c r="B664" t="s">
        <v>944</v>
      </c>
    </row>
    <row r="665" spans="1:2" x14ac:dyDescent="0.25">
      <c r="A665">
        <v>9009348111</v>
      </c>
      <c r="B665" t="s">
        <v>944</v>
      </c>
    </row>
    <row r="666" spans="1:2" x14ac:dyDescent="0.25">
      <c r="A666">
        <v>9007590100</v>
      </c>
      <c r="B666" t="s">
        <v>944</v>
      </c>
    </row>
    <row r="667" spans="1:2" x14ac:dyDescent="0.25">
      <c r="A667">
        <v>9007590100</v>
      </c>
      <c r="B667" t="s">
        <v>944</v>
      </c>
    </row>
    <row r="668" spans="1:2" x14ac:dyDescent="0.25">
      <c r="A668">
        <v>9007590100</v>
      </c>
      <c r="B668" t="s">
        <v>944</v>
      </c>
    </row>
    <row r="669" spans="1:2" x14ac:dyDescent="0.25">
      <c r="A669">
        <v>9007590100</v>
      </c>
      <c r="B669" t="s">
        <v>944</v>
      </c>
    </row>
    <row r="670" spans="1:2" x14ac:dyDescent="0.25">
      <c r="A670">
        <v>9009348122</v>
      </c>
      <c r="B670" t="s">
        <v>944</v>
      </c>
    </row>
    <row r="671" spans="1:2" x14ac:dyDescent="0.25">
      <c r="A671">
        <v>9009348123</v>
      </c>
      <c r="B671" t="s">
        <v>944</v>
      </c>
    </row>
    <row r="672" spans="1:2" x14ac:dyDescent="0.25">
      <c r="A672">
        <v>9009348124</v>
      </c>
      <c r="B672" t="s">
        <v>944</v>
      </c>
    </row>
    <row r="673" spans="1:2" x14ac:dyDescent="0.25">
      <c r="A673">
        <v>9009348125</v>
      </c>
      <c r="B673" t="s">
        <v>944</v>
      </c>
    </row>
    <row r="674" spans="1:2" x14ac:dyDescent="0.25">
      <c r="A674">
        <v>9009351602</v>
      </c>
      <c r="B674" t="s">
        <v>944</v>
      </c>
    </row>
    <row r="675" spans="1:2" x14ac:dyDescent="0.25">
      <c r="A675">
        <v>9003496900</v>
      </c>
      <c r="B675" t="s">
        <v>944</v>
      </c>
    </row>
    <row r="676" spans="1:2" x14ac:dyDescent="0.25">
      <c r="A676">
        <v>9003496900</v>
      </c>
      <c r="B676" t="s">
        <v>944</v>
      </c>
    </row>
    <row r="677" spans="1:2" x14ac:dyDescent="0.25">
      <c r="A677">
        <v>9003496900</v>
      </c>
      <c r="B677" t="s">
        <v>944</v>
      </c>
    </row>
    <row r="678" spans="1:2" x14ac:dyDescent="0.25">
      <c r="A678">
        <v>9009351700</v>
      </c>
      <c r="B678" t="s">
        <v>936</v>
      </c>
    </row>
    <row r="679" spans="1:2" x14ac:dyDescent="0.25">
      <c r="A679">
        <v>9009351900</v>
      </c>
      <c r="B679" t="s">
        <v>944</v>
      </c>
    </row>
    <row r="680" spans="1:2" x14ac:dyDescent="0.25">
      <c r="A680">
        <v>9009351900</v>
      </c>
      <c r="B680" t="s">
        <v>944</v>
      </c>
    </row>
    <row r="681" spans="1:2" x14ac:dyDescent="0.25">
      <c r="A681">
        <v>9003510100</v>
      </c>
      <c r="B681" t="s">
        <v>944</v>
      </c>
    </row>
    <row r="682" spans="1:2" x14ac:dyDescent="0.25">
      <c r="A682">
        <v>9009352000</v>
      </c>
      <c r="B682" t="s">
        <v>944</v>
      </c>
    </row>
    <row r="683" spans="1:2" x14ac:dyDescent="0.25">
      <c r="A683">
        <v>9003510200</v>
      </c>
      <c r="B683" t="s">
        <v>944</v>
      </c>
    </row>
    <row r="684" spans="1:2" x14ac:dyDescent="0.25">
      <c r="A684">
        <v>9009352100</v>
      </c>
      <c r="B684" t="s">
        <v>944</v>
      </c>
    </row>
    <row r="685" spans="1:2" x14ac:dyDescent="0.25">
      <c r="A685">
        <v>9009352100</v>
      </c>
      <c r="B685" t="s">
        <v>944</v>
      </c>
    </row>
    <row r="686" spans="1:2" x14ac:dyDescent="0.25">
      <c r="A686">
        <v>9003510300</v>
      </c>
      <c r="B686" t="s">
        <v>944</v>
      </c>
    </row>
    <row r="687" spans="1:2" x14ac:dyDescent="0.25">
      <c r="A687">
        <v>9009352200</v>
      </c>
      <c r="B687" t="s">
        <v>936</v>
      </c>
    </row>
    <row r="688" spans="1:2" x14ac:dyDescent="0.25">
      <c r="A688">
        <v>9003510400</v>
      </c>
      <c r="B688" t="s">
        <v>944</v>
      </c>
    </row>
    <row r="689" spans="1:2" x14ac:dyDescent="0.25">
      <c r="A689">
        <v>9009352300</v>
      </c>
      <c r="B689" t="s">
        <v>936</v>
      </c>
    </row>
    <row r="690" spans="1:2" x14ac:dyDescent="0.25">
      <c r="A690">
        <v>9003510500</v>
      </c>
      <c r="B690" t="s">
        <v>944</v>
      </c>
    </row>
    <row r="691" spans="1:2" x14ac:dyDescent="0.25">
      <c r="A691">
        <v>9009352400</v>
      </c>
      <c r="B691" t="s">
        <v>936</v>
      </c>
    </row>
    <row r="692" spans="1:2" x14ac:dyDescent="0.25">
      <c r="A692">
        <v>9003510600</v>
      </c>
      <c r="B692" t="s">
        <v>944</v>
      </c>
    </row>
    <row r="693" spans="1:2" x14ac:dyDescent="0.25">
      <c r="A693">
        <v>9009352500</v>
      </c>
      <c r="B693" t="s">
        <v>944</v>
      </c>
    </row>
    <row r="694" spans="1:2" x14ac:dyDescent="0.25">
      <c r="A694">
        <v>9003510700</v>
      </c>
      <c r="B694" t="s">
        <v>944</v>
      </c>
    </row>
    <row r="695" spans="1:2" x14ac:dyDescent="0.25">
      <c r="A695">
        <v>9003510700</v>
      </c>
      <c r="B695" t="s">
        <v>944</v>
      </c>
    </row>
    <row r="696" spans="1:2" x14ac:dyDescent="0.25">
      <c r="A696">
        <v>9009352600</v>
      </c>
      <c r="B696" t="s">
        <v>936</v>
      </c>
    </row>
    <row r="697" spans="1:2" x14ac:dyDescent="0.25">
      <c r="A697">
        <v>9005360200</v>
      </c>
      <c r="B697" t="s">
        <v>944</v>
      </c>
    </row>
    <row r="698" spans="1:2" x14ac:dyDescent="0.25">
      <c r="A698">
        <v>9003510800</v>
      </c>
      <c r="B698" t="s">
        <v>944</v>
      </c>
    </row>
    <row r="699" spans="1:2" x14ac:dyDescent="0.25">
      <c r="A699">
        <v>9005360300</v>
      </c>
      <c r="B699" t="s">
        <v>944</v>
      </c>
    </row>
    <row r="700" spans="1:2" x14ac:dyDescent="0.25">
      <c r="A700">
        <v>9003510900</v>
      </c>
      <c r="B700" t="s">
        <v>944</v>
      </c>
    </row>
    <row r="701" spans="1:2" x14ac:dyDescent="0.25">
      <c r="A701">
        <v>9005360400</v>
      </c>
      <c r="B701" t="s">
        <v>944</v>
      </c>
    </row>
    <row r="702" spans="1:2" x14ac:dyDescent="0.25">
      <c r="A702">
        <v>9003511000</v>
      </c>
      <c r="B702" t="s">
        <v>944</v>
      </c>
    </row>
    <row r="703" spans="1:2" x14ac:dyDescent="0.25">
      <c r="A703">
        <v>9009361100</v>
      </c>
      <c r="B703" t="s">
        <v>944</v>
      </c>
    </row>
    <row r="704" spans="1:2" x14ac:dyDescent="0.25">
      <c r="A704">
        <v>9003511100</v>
      </c>
      <c r="B704" t="s">
        <v>944</v>
      </c>
    </row>
    <row r="705" spans="1:2" x14ac:dyDescent="0.25">
      <c r="A705">
        <v>9003511200</v>
      </c>
      <c r="B705" t="s">
        <v>944</v>
      </c>
    </row>
    <row r="706" spans="1:2" x14ac:dyDescent="0.25">
      <c r="A706">
        <v>9003511300</v>
      </c>
      <c r="B706" t="s">
        <v>944</v>
      </c>
    </row>
    <row r="707" spans="1:2" x14ac:dyDescent="0.25">
      <c r="A707">
        <v>9003511400</v>
      </c>
      <c r="B707" t="s">
        <v>944</v>
      </c>
    </row>
    <row r="708" spans="1:2" x14ac:dyDescent="0.25">
      <c r="A708">
        <v>9003514102</v>
      </c>
      <c r="B708" t="s">
        <v>944</v>
      </c>
    </row>
    <row r="709" spans="1:2" x14ac:dyDescent="0.25">
      <c r="A709">
        <v>9003514102</v>
      </c>
      <c r="B709" t="s">
        <v>944</v>
      </c>
    </row>
    <row r="710" spans="1:2" x14ac:dyDescent="0.25">
      <c r="A710">
        <v>9003514102</v>
      </c>
      <c r="B710" t="s">
        <v>944</v>
      </c>
    </row>
    <row r="711" spans="1:2" x14ac:dyDescent="0.25">
      <c r="A711">
        <v>9011695202</v>
      </c>
      <c r="B711" t="s">
        <v>944</v>
      </c>
    </row>
    <row r="712" spans="1:2" x14ac:dyDescent="0.25">
      <c r="A712">
        <v>9011695202</v>
      </c>
      <c r="B712" t="s">
        <v>944</v>
      </c>
    </row>
    <row r="713" spans="1:2" x14ac:dyDescent="0.25">
      <c r="A713">
        <v>9011716101</v>
      </c>
      <c r="B713" t="s">
        <v>944</v>
      </c>
    </row>
    <row r="714" spans="1:2" x14ac:dyDescent="0.25">
      <c r="A714">
        <v>9011716102</v>
      </c>
      <c r="B714" t="s">
        <v>944</v>
      </c>
    </row>
    <row r="715" spans="1:2" x14ac:dyDescent="0.25">
      <c r="A715">
        <v>9011716102</v>
      </c>
      <c r="B715" t="s">
        <v>944</v>
      </c>
    </row>
    <row r="716" spans="1:2" x14ac:dyDescent="0.25">
      <c r="A716">
        <v>9011716102</v>
      </c>
      <c r="B716" t="s">
        <v>944</v>
      </c>
    </row>
    <row r="717" spans="1:2" x14ac:dyDescent="0.25">
      <c r="A717">
        <v>9011870701</v>
      </c>
      <c r="B717" t="s">
        <v>944</v>
      </c>
    </row>
    <row r="718" spans="1:2" x14ac:dyDescent="0.25">
      <c r="A718">
        <v>9003415400</v>
      </c>
      <c r="B718" t="s">
        <v>936</v>
      </c>
    </row>
    <row r="719" spans="1:2" x14ac:dyDescent="0.25">
      <c r="A719">
        <v>9011870703</v>
      </c>
      <c r="B719" t="s">
        <v>944</v>
      </c>
    </row>
    <row r="720" spans="1:2" x14ac:dyDescent="0.25">
      <c r="A720">
        <v>9003416500</v>
      </c>
      <c r="B720" t="s">
        <v>944</v>
      </c>
    </row>
    <row r="721" spans="1:2" x14ac:dyDescent="0.25">
      <c r="A721">
        <v>9011870704</v>
      </c>
      <c r="B721" t="s">
        <v>944</v>
      </c>
    </row>
    <row r="722" spans="1:2" x14ac:dyDescent="0.25">
      <c r="A722">
        <v>9003420600</v>
      </c>
      <c r="B722" t="s">
        <v>944</v>
      </c>
    </row>
    <row r="723" spans="1:2" x14ac:dyDescent="0.25">
      <c r="A723">
        <v>9003420600</v>
      </c>
      <c r="B723" t="s">
        <v>944</v>
      </c>
    </row>
    <row r="724" spans="1:2" x14ac:dyDescent="0.25">
      <c r="A724">
        <v>9003484100</v>
      </c>
      <c r="B724" t="s">
        <v>944</v>
      </c>
    </row>
    <row r="725" spans="1:2" x14ac:dyDescent="0.25">
      <c r="A725">
        <v>9003420700</v>
      </c>
      <c r="B725" t="s">
        <v>944</v>
      </c>
    </row>
    <row r="726" spans="1:2" x14ac:dyDescent="0.25">
      <c r="A726">
        <v>9003484200</v>
      </c>
      <c r="B726" t="s">
        <v>944</v>
      </c>
    </row>
    <row r="727" spans="1:2" x14ac:dyDescent="0.25">
      <c r="A727">
        <v>9003484200</v>
      </c>
      <c r="B727" t="s">
        <v>944</v>
      </c>
    </row>
    <row r="728" spans="1:2" x14ac:dyDescent="0.25">
      <c r="A728">
        <v>9003484200</v>
      </c>
      <c r="B728" t="s">
        <v>944</v>
      </c>
    </row>
    <row r="729" spans="1:2" x14ac:dyDescent="0.25">
      <c r="A729">
        <v>9005425500</v>
      </c>
      <c r="B729" t="s">
        <v>944</v>
      </c>
    </row>
    <row r="730" spans="1:2" x14ac:dyDescent="0.25">
      <c r="A730">
        <v>9003487100</v>
      </c>
      <c r="B730" t="s">
        <v>944</v>
      </c>
    </row>
    <row r="731" spans="1:2" x14ac:dyDescent="0.25">
      <c r="A731">
        <v>9003487100</v>
      </c>
      <c r="B731" t="s">
        <v>944</v>
      </c>
    </row>
    <row r="732" spans="1:2" x14ac:dyDescent="0.25">
      <c r="A732">
        <v>9003430100</v>
      </c>
      <c r="B732" t="s">
        <v>944</v>
      </c>
    </row>
    <row r="733" spans="1:2" x14ac:dyDescent="0.25">
      <c r="A733">
        <v>9003430202</v>
      </c>
      <c r="B733" t="s">
        <v>944</v>
      </c>
    </row>
    <row r="734" spans="1:2" x14ac:dyDescent="0.25">
      <c r="A734">
        <v>9013530100</v>
      </c>
      <c r="B734" t="s">
        <v>944</v>
      </c>
    </row>
    <row r="735" spans="1:2" x14ac:dyDescent="0.25">
      <c r="A735">
        <v>9013530100</v>
      </c>
      <c r="B735" t="s">
        <v>944</v>
      </c>
    </row>
    <row r="736" spans="1:2" x14ac:dyDescent="0.25">
      <c r="A736">
        <v>9003430301</v>
      </c>
      <c r="B736" t="s">
        <v>944</v>
      </c>
    </row>
    <row r="737" spans="1:2" x14ac:dyDescent="0.25">
      <c r="A737">
        <v>9003430301</v>
      </c>
      <c r="B737" t="s">
        <v>944</v>
      </c>
    </row>
    <row r="738" spans="1:2" x14ac:dyDescent="0.25">
      <c r="A738">
        <v>9003430400</v>
      </c>
      <c r="B738" t="s">
        <v>944</v>
      </c>
    </row>
    <row r="739" spans="1:2" x14ac:dyDescent="0.25">
      <c r="A739">
        <v>9003430500</v>
      </c>
      <c r="B739" t="s">
        <v>944</v>
      </c>
    </row>
    <row r="740" spans="1:2" x14ac:dyDescent="0.25">
      <c r="A740">
        <v>9013535100</v>
      </c>
      <c r="B740" t="s">
        <v>944</v>
      </c>
    </row>
    <row r="741" spans="1:2" x14ac:dyDescent="0.25">
      <c r="A741">
        <v>9013535100</v>
      </c>
      <c r="B741" t="s">
        <v>944</v>
      </c>
    </row>
    <row r="742" spans="1:2" x14ac:dyDescent="0.25">
      <c r="A742">
        <v>9013535200</v>
      </c>
      <c r="B742" t="s">
        <v>944</v>
      </c>
    </row>
    <row r="743" spans="1:2" x14ac:dyDescent="0.25">
      <c r="A743">
        <v>9013535200</v>
      </c>
      <c r="B743" t="s">
        <v>944</v>
      </c>
    </row>
    <row r="744" spans="1:2" x14ac:dyDescent="0.25">
      <c r="A744">
        <v>9013535200</v>
      </c>
      <c r="B744" t="s">
        <v>944</v>
      </c>
    </row>
    <row r="745" spans="1:2" x14ac:dyDescent="0.25">
      <c r="A745">
        <v>9013538201</v>
      </c>
      <c r="B745" t="s">
        <v>944</v>
      </c>
    </row>
    <row r="746" spans="1:2" x14ac:dyDescent="0.25">
      <c r="A746">
        <v>9013538201</v>
      </c>
      <c r="B746" t="s">
        <v>944</v>
      </c>
    </row>
    <row r="747" spans="1:2" x14ac:dyDescent="0.25">
      <c r="A747">
        <v>9013538202</v>
      </c>
      <c r="B747" t="s">
        <v>944</v>
      </c>
    </row>
    <row r="748" spans="1:2" x14ac:dyDescent="0.25">
      <c r="A748">
        <v>9013538202</v>
      </c>
      <c r="B748" t="s">
        <v>944</v>
      </c>
    </row>
    <row r="749" spans="1:2" x14ac:dyDescent="0.25">
      <c r="A749">
        <v>9003480300</v>
      </c>
      <c r="B749" t="s">
        <v>944</v>
      </c>
    </row>
    <row r="750" spans="1:2" x14ac:dyDescent="0.25">
      <c r="A750">
        <v>9003480400</v>
      </c>
      <c r="B750" t="s">
        <v>944</v>
      </c>
    </row>
    <row r="751" spans="1:2" x14ac:dyDescent="0.25">
      <c r="A751">
        <v>9003480500</v>
      </c>
      <c r="B751" t="s">
        <v>944</v>
      </c>
    </row>
    <row r="752" spans="1:2" x14ac:dyDescent="0.25">
      <c r="A752">
        <v>9003460202</v>
      </c>
      <c r="B752" t="s">
        <v>944</v>
      </c>
    </row>
    <row r="753" spans="1:2" x14ac:dyDescent="0.25">
      <c r="A753">
        <v>9003460202</v>
      </c>
      <c r="B753" t="s">
        <v>944</v>
      </c>
    </row>
    <row r="754" spans="1:2" x14ac:dyDescent="0.25">
      <c r="A754">
        <v>9003480600</v>
      </c>
      <c r="B754" t="s">
        <v>944</v>
      </c>
    </row>
    <row r="755" spans="1:2" x14ac:dyDescent="0.25">
      <c r="A755">
        <v>9003460204</v>
      </c>
      <c r="B755" t="s">
        <v>944</v>
      </c>
    </row>
    <row r="756" spans="1:2" x14ac:dyDescent="0.25">
      <c r="A756">
        <v>9003480700</v>
      </c>
      <c r="B756" t="s">
        <v>944</v>
      </c>
    </row>
    <row r="757" spans="1:2" x14ac:dyDescent="0.25">
      <c r="A757">
        <v>9003480800</v>
      </c>
      <c r="B757" t="s">
        <v>944</v>
      </c>
    </row>
    <row r="758" spans="1:2" x14ac:dyDescent="0.25">
      <c r="A758">
        <v>9003480900</v>
      </c>
      <c r="B758" t="s">
        <v>944</v>
      </c>
    </row>
    <row r="759" spans="1:2" x14ac:dyDescent="0.25">
      <c r="A759">
        <v>9003481000</v>
      </c>
      <c r="B759" t="s">
        <v>944</v>
      </c>
    </row>
    <row r="760" spans="1:2" x14ac:dyDescent="0.25">
      <c r="A760">
        <v>9003466300</v>
      </c>
      <c r="B760" t="s">
        <v>944</v>
      </c>
    </row>
    <row r="761" spans="1:2" x14ac:dyDescent="0.25">
      <c r="A761">
        <v>9003481100</v>
      </c>
      <c r="B761" t="s">
        <v>944</v>
      </c>
    </row>
    <row r="762" spans="1:2" x14ac:dyDescent="0.25">
      <c r="A762">
        <v>9003468101</v>
      </c>
      <c r="B762" t="s">
        <v>944</v>
      </c>
    </row>
    <row r="763" spans="1:2" x14ac:dyDescent="0.25">
      <c r="A763">
        <v>9003468101</v>
      </c>
      <c r="B763" t="s">
        <v>944</v>
      </c>
    </row>
    <row r="764" spans="1:2" x14ac:dyDescent="0.25">
      <c r="A764">
        <v>9003468102</v>
      </c>
      <c r="B764" t="s">
        <v>944</v>
      </c>
    </row>
    <row r="765" spans="1:2" x14ac:dyDescent="0.25">
      <c r="A765">
        <v>9003481200</v>
      </c>
      <c r="B765" t="s">
        <v>944</v>
      </c>
    </row>
    <row r="766" spans="1:2" x14ac:dyDescent="0.25">
      <c r="A766">
        <v>9003481300</v>
      </c>
      <c r="B766" t="s">
        <v>944</v>
      </c>
    </row>
    <row r="767" spans="1:2" x14ac:dyDescent="0.25">
      <c r="A767">
        <v>9003524300</v>
      </c>
      <c r="B767" t="s">
        <v>944</v>
      </c>
    </row>
    <row r="768" spans="1:2" x14ac:dyDescent="0.25">
      <c r="A768">
        <v>9007630100</v>
      </c>
      <c r="B768" t="s">
        <v>944</v>
      </c>
    </row>
    <row r="769" spans="1:2" x14ac:dyDescent="0.25">
      <c r="A769">
        <v>9007670100</v>
      </c>
      <c r="B769" t="s">
        <v>944</v>
      </c>
    </row>
    <row r="770" spans="1:2" x14ac:dyDescent="0.25">
      <c r="A770">
        <v>9007670100</v>
      </c>
      <c r="B770" t="s">
        <v>944</v>
      </c>
    </row>
    <row r="771" spans="1:2" x14ac:dyDescent="0.25">
      <c r="A771">
        <v>9003460100</v>
      </c>
      <c r="B771" t="s">
        <v>944</v>
      </c>
    </row>
    <row r="772" spans="1:2" x14ac:dyDescent="0.25">
      <c r="A772">
        <v>9003460100</v>
      </c>
      <c r="B772" t="s">
        <v>944</v>
      </c>
    </row>
    <row r="773" spans="1:2" x14ac:dyDescent="0.25">
      <c r="A773">
        <v>9003460100</v>
      </c>
      <c r="B773" t="s">
        <v>944</v>
      </c>
    </row>
    <row r="774" spans="1:2" x14ac:dyDescent="0.25">
      <c r="A774">
        <v>9003487400</v>
      </c>
      <c r="B774" t="s">
        <v>944</v>
      </c>
    </row>
    <row r="775" spans="1:2" x14ac:dyDescent="0.25">
      <c r="A775">
        <v>9003496400</v>
      </c>
      <c r="B775" t="s">
        <v>944</v>
      </c>
    </row>
    <row r="776" spans="1:2" x14ac:dyDescent="0.25">
      <c r="A776">
        <v>9003496500</v>
      </c>
      <c r="B776" t="s">
        <v>944</v>
      </c>
    </row>
    <row r="777" spans="1:2" x14ac:dyDescent="0.25">
      <c r="A777">
        <v>9003460203</v>
      </c>
      <c r="B777" t="s">
        <v>944</v>
      </c>
    </row>
    <row r="778" spans="1:2" x14ac:dyDescent="0.25">
      <c r="A778">
        <v>9003496600</v>
      </c>
      <c r="B778" t="s">
        <v>944</v>
      </c>
    </row>
    <row r="779" spans="1:2" x14ac:dyDescent="0.25">
      <c r="A779">
        <v>9003496700</v>
      </c>
      <c r="B779" t="s">
        <v>944</v>
      </c>
    </row>
    <row r="780" spans="1:2" x14ac:dyDescent="0.25">
      <c r="A780">
        <v>9003496700</v>
      </c>
      <c r="B780" t="s">
        <v>944</v>
      </c>
    </row>
    <row r="781" spans="1:2" x14ac:dyDescent="0.25">
      <c r="A781">
        <v>9003496200</v>
      </c>
      <c r="B781" t="s">
        <v>944</v>
      </c>
    </row>
    <row r="782" spans="1:2" x14ac:dyDescent="0.25">
      <c r="A782">
        <v>9003496200</v>
      </c>
      <c r="B782" t="s">
        <v>944</v>
      </c>
    </row>
    <row r="783" spans="1:2" x14ac:dyDescent="0.25">
      <c r="A783">
        <v>9003496200</v>
      </c>
      <c r="B783" t="s">
        <v>944</v>
      </c>
    </row>
    <row r="784" spans="1:2" x14ac:dyDescent="0.25">
      <c r="A784">
        <v>9003496200</v>
      </c>
      <c r="B784" t="s">
        <v>944</v>
      </c>
    </row>
    <row r="785" spans="1:2" x14ac:dyDescent="0.25">
      <c r="A785">
        <v>9003496200</v>
      </c>
      <c r="B785" t="s">
        <v>944</v>
      </c>
    </row>
    <row r="786" spans="1:2" x14ac:dyDescent="0.25">
      <c r="A786">
        <v>9003496800</v>
      </c>
      <c r="B786" t="s">
        <v>944</v>
      </c>
    </row>
    <row r="787" spans="1:2" x14ac:dyDescent="0.25">
      <c r="A787">
        <v>9003496800</v>
      </c>
      <c r="B787" t="s">
        <v>944</v>
      </c>
    </row>
    <row r="788" spans="1:2" x14ac:dyDescent="0.25">
      <c r="A788">
        <v>9003497000</v>
      </c>
      <c r="B788" t="s">
        <v>944</v>
      </c>
    </row>
    <row r="789" spans="1:2" x14ac:dyDescent="0.25">
      <c r="A789">
        <v>9003497100</v>
      </c>
      <c r="B789" t="s">
        <v>944</v>
      </c>
    </row>
    <row r="790" spans="1:2" x14ac:dyDescent="0.25">
      <c r="A790">
        <v>9003497100</v>
      </c>
      <c r="B790" t="s">
        <v>944</v>
      </c>
    </row>
    <row r="791" spans="1:2" x14ac:dyDescent="0.25">
      <c r="A791">
        <v>9011712100</v>
      </c>
      <c r="B791" t="s">
        <v>944</v>
      </c>
    </row>
    <row r="792" spans="1:2" x14ac:dyDescent="0.25">
      <c r="A792">
        <v>9011712100</v>
      </c>
      <c r="B792" t="s">
        <v>944</v>
      </c>
    </row>
    <row r="793" spans="1:2" x14ac:dyDescent="0.25">
      <c r="A793">
        <v>9003415300</v>
      </c>
      <c r="B793" t="s">
        <v>936</v>
      </c>
    </row>
    <row r="794" spans="1:2" x14ac:dyDescent="0.25">
      <c r="A794">
        <v>9003520100</v>
      </c>
      <c r="B794" t="s">
        <v>944</v>
      </c>
    </row>
    <row r="795" spans="1:2" x14ac:dyDescent="0.25">
      <c r="A795">
        <v>9003520100</v>
      </c>
      <c r="B795" t="s">
        <v>944</v>
      </c>
    </row>
    <row r="796" spans="1:2" x14ac:dyDescent="0.25">
      <c r="A796">
        <v>9003500100</v>
      </c>
      <c r="B796" t="s">
        <v>936</v>
      </c>
    </row>
    <row r="797" spans="1:2" x14ac:dyDescent="0.25">
      <c r="A797">
        <v>9003520201</v>
      </c>
      <c r="B797" t="s">
        <v>944</v>
      </c>
    </row>
    <row r="798" spans="1:2" x14ac:dyDescent="0.25">
      <c r="A798">
        <v>9003520201</v>
      </c>
      <c r="B798" t="s">
        <v>944</v>
      </c>
    </row>
    <row r="799" spans="1:2" x14ac:dyDescent="0.25">
      <c r="A799">
        <v>9003500500</v>
      </c>
      <c r="B799" t="s">
        <v>944</v>
      </c>
    </row>
    <row r="800" spans="1:2" x14ac:dyDescent="0.25">
      <c r="A800">
        <v>9003501400</v>
      </c>
      <c r="B800" t="s">
        <v>936</v>
      </c>
    </row>
    <row r="801" spans="1:2" x14ac:dyDescent="0.25">
      <c r="A801">
        <v>9003415500</v>
      </c>
      <c r="B801" t="s">
        <v>936</v>
      </c>
    </row>
    <row r="802" spans="1:2" x14ac:dyDescent="0.25">
      <c r="A802">
        <v>9003520202</v>
      </c>
      <c r="B802" t="s">
        <v>944</v>
      </c>
    </row>
    <row r="803" spans="1:2" x14ac:dyDescent="0.25">
      <c r="A803">
        <v>9003502100</v>
      </c>
      <c r="B803" t="s">
        <v>944</v>
      </c>
    </row>
    <row r="804" spans="1:2" x14ac:dyDescent="0.25">
      <c r="A804">
        <v>9003415600</v>
      </c>
      <c r="B804" t="s">
        <v>944</v>
      </c>
    </row>
    <row r="805" spans="1:2" x14ac:dyDescent="0.25">
      <c r="A805">
        <v>9003502500</v>
      </c>
      <c r="B805" t="s">
        <v>936</v>
      </c>
    </row>
    <row r="806" spans="1:2" x14ac:dyDescent="0.25">
      <c r="A806">
        <v>9003520301</v>
      </c>
      <c r="B806" t="s">
        <v>944</v>
      </c>
    </row>
    <row r="807" spans="1:2" x14ac:dyDescent="0.25">
      <c r="A807">
        <v>9003502600</v>
      </c>
      <c r="B807" t="s">
        <v>936</v>
      </c>
    </row>
    <row r="808" spans="1:2" x14ac:dyDescent="0.25">
      <c r="A808">
        <v>9003415700</v>
      </c>
      <c r="B808" t="s">
        <v>944</v>
      </c>
    </row>
    <row r="809" spans="1:2" x14ac:dyDescent="0.25">
      <c r="A809">
        <v>9003502700</v>
      </c>
      <c r="B809" t="s">
        <v>936</v>
      </c>
    </row>
    <row r="810" spans="1:2" x14ac:dyDescent="0.25">
      <c r="A810">
        <v>9003520302</v>
      </c>
      <c r="B810" t="s">
        <v>944</v>
      </c>
    </row>
    <row r="811" spans="1:2" x14ac:dyDescent="0.25">
      <c r="A811">
        <v>9003415800</v>
      </c>
      <c r="B811" t="s">
        <v>944</v>
      </c>
    </row>
    <row r="812" spans="1:2" x14ac:dyDescent="0.25">
      <c r="A812">
        <v>9003502900</v>
      </c>
      <c r="B812" t="s">
        <v>944</v>
      </c>
    </row>
    <row r="813" spans="1:2" x14ac:dyDescent="0.25">
      <c r="A813">
        <v>9003520400</v>
      </c>
      <c r="B813" t="s">
        <v>944</v>
      </c>
    </row>
    <row r="814" spans="1:2" x14ac:dyDescent="0.25">
      <c r="A814">
        <v>9003520501</v>
      </c>
      <c r="B814" t="s">
        <v>944</v>
      </c>
    </row>
    <row r="815" spans="1:2" x14ac:dyDescent="0.25">
      <c r="A815">
        <v>9003503100</v>
      </c>
      <c r="B815" t="s">
        <v>944</v>
      </c>
    </row>
    <row r="816" spans="1:2" x14ac:dyDescent="0.25">
      <c r="A816">
        <v>9003416000</v>
      </c>
      <c r="B816" t="s">
        <v>936</v>
      </c>
    </row>
    <row r="817" spans="1:2" x14ac:dyDescent="0.25">
      <c r="A817">
        <v>9003503700</v>
      </c>
      <c r="B817" t="s">
        <v>936</v>
      </c>
    </row>
    <row r="818" spans="1:2" x14ac:dyDescent="0.25">
      <c r="A818">
        <v>9007560100</v>
      </c>
      <c r="B818" t="s">
        <v>944</v>
      </c>
    </row>
    <row r="819" spans="1:2" x14ac:dyDescent="0.25">
      <c r="A819">
        <v>9007560100</v>
      </c>
      <c r="B819" t="s">
        <v>944</v>
      </c>
    </row>
    <row r="820" spans="1:2" x14ac:dyDescent="0.25">
      <c r="A820">
        <v>9003503800</v>
      </c>
      <c r="B820" t="s">
        <v>936</v>
      </c>
    </row>
    <row r="821" spans="1:2" x14ac:dyDescent="0.25">
      <c r="A821">
        <v>9003416100</v>
      </c>
      <c r="B821" t="s">
        <v>936</v>
      </c>
    </row>
    <row r="822" spans="1:2" x14ac:dyDescent="0.25">
      <c r="A822">
        <v>9003514400</v>
      </c>
      <c r="B822" t="s">
        <v>944</v>
      </c>
    </row>
    <row r="823" spans="1:2" x14ac:dyDescent="0.25">
      <c r="A823">
        <v>9003416200</v>
      </c>
      <c r="B823" t="s">
        <v>936</v>
      </c>
    </row>
    <row r="824" spans="1:2" x14ac:dyDescent="0.25">
      <c r="A824">
        <v>9003514500</v>
      </c>
      <c r="B824" t="s">
        <v>944</v>
      </c>
    </row>
    <row r="825" spans="1:2" x14ac:dyDescent="0.25">
      <c r="A825">
        <v>9003416300</v>
      </c>
      <c r="B825" t="s">
        <v>936</v>
      </c>
    </row>
    <row r="826" spans="1:2" x14ac:dyDescent="0.25">
      <c r="A826">
        <v>9003416300</v>
      </c>
      <c r="B826" t="s">
        <v>936</v>
      </c>
    </row>
    <row r="827" spans="1:2" x14ac:dyDescent="0.25">
      <c r="A827">
        <v>9003514600</v>
      </c>
      <c r="B827" t="s">
        <v>944</v>
      </c>
    </row>
    <row r="828" spans="1:2" x14ac:dyDescent="0.25">
      <c r="A828">
        <v>9003514700</v>
      </c>
      <c r="B828" t="s">
        <v>944</v>
      </c>
    </row>
    <row r="829" spans="1:2" x14ac:dyDescent="0.25">
      <c r="A829">
        <v>9003514800</v>
      </c>
      <c r="B829" t="s">
        <v>936</v>
      </c>
    </row>
    <row r="830" spans="1:2" x14ac:dyDescent="0.25">
      <c r="A830">
        <v>9003416400</v>
      </c>
      <c r="B830" t="s">
        <v>944</v>
      </c>
    </row>
    <row r="831" spans="1:2" x14ac:dyDescent="0.25">
      <c r="A831">
        <v>9003515000</v>
      </c>
      <c r="B831" t="s">
        <v>944</v>
      </c>
    </row>
    <row r="832" spans="1:2" x14ac:dyDescent="0.25">
      <c r="A832">
        <v>9003515102</v>
      </c>
      <c r="B832" t="s">
        <v>944</v>
      </c>
    </row>
    <row r="833" spans="1:2" x14ac:dyDescent="0.25">
      <c r="A833">
        <v>9003515200</v>
      </c>
      <c r="B833" t="s">
        <v>944</v>
      </c>
    </row>
    <row r="834" spans="1:2" x14ac:dyDescent="0.25">
      <c r="A834">
        <v>9003416600</v>
      </c>
      <c r="B834" t="s">
        <v>936</v>
      </c>
    </row>
    <row r="835" spans="1:2" x14ac:dyDescent="0.25">
      <c r="A835">
        <v>9003416700</v>
      </c>
      <c r="B835" t="s">
        <v>944</v>
      </c>
    </row>
    <row r="836" spans="1:2" x14ac:dyDescent="0.25">
      <c r="A836">
        <v>9003416800</v>
      </c>
      <c r="B836" t="s">
        <v>944</v>
      </c>
    </row>
    <row r="837" spans="1:2" x14ac:dyDescent="0.25">
      <c r="A837">
        <v>9003524501</v>
      </c>
      <c r="B837" t="s">
        <v>944</v>
      </c>
    </row>
    <row r="838" spans="1:2" x14ac:dyDescent="0.25">
      <c r="A838">
        <v>9003417400</v>
      </c>
      <c r="B838" t="s">
        <v>944</v>
      </c>
    </row>
    <row r="839" spans="1:2" x14ac:dyDescent="0.25">
      <c r="A839">
        <v>9003417500</v>
      </c>
      <c r="B839" t="s">
        <v>944</v>
      </c>
    </row>
    <row r="840" spans="1:2" x14ac:dyDescent="0.25">
      <c r="A840">
        <v>9003420400</v>
      </c>
      <c r="B840" t="s">
        <v>944</v>
      </c>
    </row>
    <row r="841" spans="1:2" x14ac:dyDescent="0.25">
      <c r="A841">
        <v>9007580100</v>
      </c>
      <c r="B841" t="s">
        <v>944</v>
      </c>
    </row>
    <row r="842" spans="1:2" x14ac:dyDescent="0.25">
      <c r="A842">
        <v>9007580100</v>
      </c>
      <c r="B842" t="s">
        <v>944</v>
      </c>
    </row>
    <row r="843" spans="1:2" x14ac:dyDescent="0.25">
      <c r="A843">
        <v>9003430201</v>
      </c>
      <c r="B843" t="s">
        <v>944</v>
      </c>
    </row>
    <row r="844" spans="1:2" x14ac:dyDescent="0.25">
      <c r="A844">
        <v>9003430203</v>
      </c>
      <c r="B844" t="s">
        <v>944</v>
      </c>
    </row>
    <row r="845" spans="1:2" x14ac:dyDescent="0.25">
      <c r="A845">
        <v>9003430302</v>
      </c>
      <c r="B845" t="s">
        <v>944</v>
      </c>
    </row>
    <row r="846" spans="1:2" x14ac:dyDescent="0.25">
      <c r="A846">
        <v>9015820000</v>
      </c>
      <c r="B846" t="s">
        <v>944</v>
      </c>
    </row>
    <row r="847" spans="1:2" x14ac:dyDescent="0.25">
      <c r="A847">
        <v>9011709100</v>
      </c>
      <c r="B847" t="s">
        <v>944</v>
      </c>
    </row>
    <row r="848" spans="1:2" x14ac:dyDescent="0.25">
      <c r="A848">
        <v>9011709100</v>
      </c>
      <c r="B848" t="s">
        <v>944</v>
      </c>
    </row>
    <row r="849" spans="1:2" x14ac:dyDescent="0.25">
      <c r="A849">
        <v>9011709100</v>
      </c>
      <c r="B849" t="s">
        <v>944</v>
      </c>
    </row>
    <row r="850" spans="1:2" x14ac:dyDescent="0.25">
      <c r="A850">
        <v>9011709100</v>
      </c>
      <c r="B850" t="s">
        <v>944</v>
      </c>
    </row>
    <row r="851" spans="1:2" x14ac:dyDescent="0.25">
      <c r="A851">
        <v>9013840100</v>
      </c>
      <c r="B851" t="s">
        <v>944</v>
      </c>
    </row>
    <row r="852" spans="1:2" x14ac:dyDescent="0.25">
      <c r="A852">
        <v>9013840100</v>
      </c>
      <c r="B852" t="s">
        <v>944</v>
      </c>
    </row>
    <row r="853" spans="1:2" x14ac:dyDescent="0.25">
      <c r="A853">
        <v>9013881200</v>
      </c>
      <c r="B853" t="s">
        <v>944</v>
      </c>
    </row>
    <row r="854" spans="1:2" x14ac:dyDescent="0.25">
      <c r="A854">
        <v>9013881300</v>
      </c>
      <c r="B854" t="s">
        <v>944</v>
      </c>
    </row>
    <row r="855" spans="1:2" x14ac:dyDescent="0.25">
      <c r="A855">
        <v>9011709200</v>
      </c>
      <c r="B855" t="s">
        <v>944</v>
      </c>
    </row>
    <row r="856" spans="1:2" x14ac:dyDescent="0.25">
      <c r="A856">
        <v>9011709200</v>
      </c>
      <c r="B856" t="s">
        <v>944</v>
      </c>
    </row>
    <row r="857" spans="1:2" x14ac:dyDescent="0.25">
      <c r="A857">
        <v>9011710100</v>
      </c>
      <c r="B857" t="s">
        <v>944</v>
      </c>
    </row>
    <row r="858" spans="1:2" x14ac:dyDescent="0.25">
      <c r="A858">
        <v>9011710100</v>
      </c>
      <c r="B858" t="s">
        <v>944</v>
      </c>
    </row>
    <row r="859" spans="1:2" x14ac:dyDescent="0.25">
      <c r="A859">
        <v>9003430602</v>
      </c>
      <c r="B859" t="s">
        <v>944</v>
      </c>
    </row>
    <row r="860" spans="1:2" x14ac:dyDescent="0.25">
      <c r="A860">
        <v>9011702100</v>
      </c>
      <c r="B860" t="s">
        <v>944</v>
      </c>
    </row>
    <row r="861" spans="1:2" x14ac:dyDescent="0.25">
      <c r="A861">
        <v>9011702100</v>
      </c>
      <c r="B861" t="s">
        <v>944</v>
      </c>
    </row>
    <row r="862" spans="1:2" x14ac:dyDescent="0.25">
      <c r="A862">
        <v>9009351500</v>
      </c>
      <c r="B862" t="s">
        <v>944</v>
      </c>
    </row>
    <row r="863" spans="1:2" x14ac:dyDescent="0.25">
      <c r="A863">
        <v>9011702400</v>
      </c>
      <c r="B863" t="s">
        <v>944</v>
      </c>
    </row>
    <row r="864" spans="1:2" x14ac:dyDescent="0.25">
      <c r="A864">
        <v>9009351601</v>
      </c>
      <c r="B864" t="s">
        <v>936</v>
      </c>
    </row>
    <row r="865" spans="1:2" x14ac:dyDescent="0.25">
      <c r="A865">
        <v>9011702600</v>
      </c>
      <c r="B865" t="s">
        <v>944</v>
      </c>
    </row>
    <row r="866" spans="1:2" x14ac:dyDescent="0.25">
      <c r="A866">
        <v>9011702700</v>
      </c>
      <c r="B866" t="s">
        <v>944</v>
      </c>
    </row>
    <row r="867" spans="1:2" x14ac:dyDescent="0.25">
      <c r="A867">
        <v>9005360100</v>
      </c>
      <c r="B867" t="s">
        <v>944</v>
      </c>
    </row>
    <row r="868" spans="1:2" x14ac:dyDescent="0.25">
      <c r="A868">
        <v>9011702800</v>
      </c>
      <c r="B868" t="s">
        <v>944</v>
      </c>
    </row>
    <row r="869" spans="1:2" x14ac:dyDescent="0.25">
      <c r="A869">
        <v>9011702800</v>
      </c>
      <c r="B869" t="s">
        <v>944</v>
      </c>
    </row>
    <row r="870" spans="1:2" x14ac:dyDescent="0.25">
      <c r="A870">
        <v>9011702900</v>
      </c>
      <c r="B870" t="s">
        <v>944</v>
      </c>
    </row>
    <row r="871" spans="1:2" x14ac:dyDescent="0.25">
      <c r="A871">
        <v>9011702900</v>
      </c>
      <c r="B871" t="s">
        <v>944</v>
      </c>
    </row>
    <row r="872" spans="1:2" x14ac:dyDescent="0.25">
      <c r="A872">
        <v>9011703000</v>
      </c>
      <c r="B872" t="s">
        <v>944</v>
      </c>
    </row>
    <row r="873" spans="1:2" x14ac:dyDescent="0.25">
      <c r="A873">
        <v>9011703000</v>
      </c>
      <c r="B873" t="s">
        <v>944</v>
      </c>
    </row>
    <row r="874" spans="1:2" x14ac:dyDescent="0.25">
      <c r="A874">
        <v>9003466101</v>
      </c>
      <c r="B874" t="s">
        <v>944</v>
      </c>
    </row>
    <row r="875" spans="1:2" x14ac:dyDescent="0.25">
      <c r="A875">
        <v>9003466201</v>
      </c>
      <c r="B875" t="s">
        <v>944</v>
      </c>
    </row>
    <row r="876" spans="1:2" x14ac:dyDescent="0.25">
      <c r="A876">
        <v>9003466400</v>
      </c>
      <c r="B876" t="s">
        <v>944</v>
      </c>
    </row>
    <row r="877" spans="1:2" x14ac:dyDescent="0.25">
      <c r="A877">
        <v>9003500200</v>
      </c>
      <c r="B877" t="s">
        <v>936</v>
      </c>
    </row>
    <row r="878" spans="1:2" x14ac:dyDescent="0.25">
      <c r="A878">
        <v>9003500400</v>
      </c>
      <c r="B878" t="s">
        <v>936</v>
      </c>
    </row>
    <row r="879" spans="1:2" x14ac:dyDescent="0.25">
      <c r="A879">
        <v>9003500900</v>
      </c>
      <c r="B879" t="s">
        <v>936</v>
      </c>
    </row>
    <row r="880" spans="1:2" x14ac:dyDescent="0.25">
      <c r="A880">
        <v>9003501200</v>
      </c>
      <c r="B880" t="s">
        <v>936</v>
      </c>
    </row>
    <row r="881" spans="1:2" x14ac:dyDescent="0.25">
      <c r="A881">
        <v>9003501300</v>
      </c>
      <c r="B881" t="s">
        <v>936</v>
      </c>
    </row>
    <row r="882" spans="1:2" x14ac:dyDescent="0.25">
      <c r="A882">
        <v>9003501500</v>
      </c>
      <c r="B882" t="s">
        <v>936</v>
      </c>
    </row>
    <row r="883" spans="1:2" x14ac:dyDescent="0.25">
      <c r="A883">
        <v>9003501700</v>
      </c>
      <c r="B883" t="s">
        <v>936</v>
      </c>
    </row>
    <row r="884" spans="1:2" x14ac:dyDescent="0.25">
      <c r="A884">
        <v>9003502300</v>
      </c>
      <c r="B884" t="s">
        <v>944</v>
      </c>
    </row>
    <row r="885" spans="1:2" x14ac:dyDescent="0.25">
      <c r="A885">
        <v>9005425300</v>
      </c>
      <c r="B885" t="s">
        <v>944</v>
      </c>
    </row>
    <row r="886" spans="1:2" x14ac:dyDescent="0.25">
      <c r="A886">
        <v>9005425300</v>
      </c>
      <c r="B886" t="s">
        <v>944</v>
      </c>
    </row>
    <row r="887" spans="1:2" x14ac:dyDescent="0.25">
      <c r="A887">
        <v>9005425300</v>
      </c>
      <c r="B887" t="s">
        <v>944</v>
      </c>
    </row>
    <row r="888" spans="1:2" x14ac:dyDescent="0.25">
      <c r="A888">
        <v>9003502400</v>
      </c>
      <c r="B888" t="s">
        <v>936</v>
      </c>
    </row>
    <row r="889" spans="1:2" x14ac:dyDescent="0.25">
      <c r="A889">
        <v>9003503300</v>
      </c>
      <c r="B889" t="s">
        <v>936</v>
      </c>
    </row>
    <row r="890" spans="1:2" x14ac:dyDescent="0.25">
      <c r="A890">
        <v>9003477102</v>
      </c>
      <c r="B890" t="s">
        <v>944</v>
      </c>
    </row>
    <row r="891" spans="1:2" x14ac:dyDescent="0.25">
      <c r="A891">
        <v>9003503500</v>
      </c>
      <c r="B891" t="s">
        <v>936</v>
      </c>
    </row>
    <row r="892" spans="1:2" x14ac:dyDescent="0.25">
      <c r="A892">
        <v>9003504000</v>
      </c>
      <c r="B892" t="s">
        <v>936</v>
      </c>
    </row>
    <row r="893" spans="1:2" x14ac:dyDescent="0.25">
      <c r="A893">
        <v>9003504100</v>
      </c>
      <c r="B893" t="s">
        <v>936</v>
      </c>
    </row>
    <row r="894" spans="1:2" x14ac:dyDescent="0.25">
      <c r="A894">
        <v>9003504200</v>
      </c>
      <c r="B894" t="s">
        <v>944</v>
      </c>
    </row>
    <row r="895" spans="1:2" x14ac:dyDescent="0.25">
      <c r="A895">
        <v>9003504300</v>
      </c>
      <c r="B895" t="s">
        <v>936</v>
      </c>
    </row>
    <row r="896" spans="1:2" x14ac:dyDescent="0.25">
      <c r="A896">
        <v>9003504500</v>
      </c>
      <c r="B896" t="s">
        <v>936</v>
      </c>
    </row>
    <row r="897" spans="1:2" x14ac:dyDescent="0.25">
      <c r="A897">
        <v>9003504800</v>
      </c>
      <c r="B897" t="s">
        <v>936</v>
      </c>
    </row>
    <row r="898" spans="1:2" x14ac:dyDescent="0.25">
      <c r="A898">
        <v>9003504900</v>
      </c>
      <c r="B898" t="s">
        <v>936</v>
      </c>
    </row>
    <row r="899" spans="1:2" x14ac:dyDescent="0.25">
      <c r="A899">
        <v>9003524400</v>
      </c>
      <c r="B899" t="s">
        <v>936</v>
      </c>
    </row>
    <row r="900" spans="1:2" x14ac:dyDescent="0.25">
      <c r="A900">
        <v>9003524502</v>
      </c>
      <c r="B900" t="s">
        <v>944</v>
      </c>
    </row>
    <row r="901" spans="1:2" x14ac:dyDescent="0.25">
      <c r="A901">
        <v>9003524600</v>
      </c>
      <c r="B901" t="s">
        <v>944</v>
      </c>
    </row>
    <row r="902" spans="1:2" x14ac:dyDescent="0.25">
      <c r="A902">
        <v>9003524700</v>
      </c>
      <c r="B902" t="s">
        <v>944</v>
      </c>
    </row>
    <row r="903" spans="1:2" x14ac:dyDescent="0.25">
      <c r="A903">
        <v>9003487201</v>
      </c>
      <c r="B903" t="s">
        <v>944</v>
      </c>
    </row>
    <row r="904" spans="1:2" x14ac:dyDescent="0.25">
      <c r="A904">
        <v>9003487201</v>
      </c>
      <c r="B904" t="s">
        <v>944</v>
      </c>
    </row>
    <row r="905" spans="1:2" x14ac:dyDescent="0.25">
      <c r="A905">
        <v>9003487202</v>
      </c>
      <c r="B905" t="s">
        <v>944</v>
      </c>
    </row>
    <row r="906" spans="1:2" x14ac:dyDescent="0.25">
      <c r="A906">
        <v>9003487202</v>
      </c>
      <c r="B906" t="s">
        <v>944</v>
      </c>
    </row>
    <row r="907" spans="1:2" x14ac:dyDescent="0.25">
      <c r="A907">
        <v>9003487300</v>
      </c>
      <c r="B907" t="s">
        <v>944</v>
      </c>
    </row>
    <row r="908" spans="1:2" x14ac:dyDescent="0.25">
      <c r="A908">
        <v>9003487500</v>
      </c>
      <c r="B908" t="s">
        <v>944</v>
      </c>
    </row>
    <row r="909" spans="1:2" x14ac:dyDescent="0.25">
      <c r="A909">
        <v>9003487500</v>
      </c>
      <c r="B909" t="s">
        <v>944</v>
      </c>
    </row>
    <row r="910" spans="1:2" x14ac:dyDescent="0.25">
      <c r="A910">
        <v>9003490100</v>
      </c>
      <c r="B910" t="s">
        <v>944</v>
      </c>
    </row>
    <row r="911" spans="1:2" x14ac:dyDescent="0.25">
      <c r="A911">
        <v>9003492600</v>
      </c>
      <c r="B911" t="s">
        <v>944</v>
      </c>
    </row>
    <row r="912" spans="1:2" x14ac:dyDescent="0.25">
      <c r="A912">
        <v>9003492600</v>
      </c>
      <c r="B912" t="s">
        <v>944</v>
      </c>
    </row>
    <row r="913" spans="1:2" x14ac:dyDescent="0.25">
      <c r="A913">
        <v>9003494100</v>
      </c>
      <c r="B913" t="s">
        <v>944</v>
      </c>
    </row>
    <row r="914" spans="1:2" x14ac:dyDescent="0.25">
      <c r="A914">
        <v>9003494201</v>
      </c>
      <c r="B914" t="s">
        <v>944</v>
      </c>
    </row>
    <row r="915" spans="1:2" x14ac:dyDescent="0.25">
      <c r="A915">
        <v>9003494202</v>
      </c>
      <c r="B915" t="s">
        <v>944</v>
      </c>
    </row>
    <row r="916" spans="1:2" x14ac:dyDescent="0.25">
      <c r="A916">
        <v>9003494300</v>
      </c>
      <c r="B916" t="s">
        <v>944</v>
      </c>
    </row>
    <row r="917" spans="1:2" x14ac:dyDescent="0.25">
      <c r="A917">
        <v>9003494300</v>
      </c>
      <c r="B917" t="s">
        <v>944</v>
      </c>
    </row>
    <row r="918" spans="1:2" x14ac:dyDescent="0.25">
      <c r="A918">
        <v>9003494400</v>
      </c>
      <c r="B918" t="s">
        <v>944</v>
      </c>
    </row>
    <row r="919" spans="1:2" x14ac:dyDescent="0.25">
      <c r="A919">
        <v>9003494500</v>
      </c>
      <c r="B919" t="s">
        <v>944</v>
      </c>
    </row>
    <row r="920" spans="1:2" x14ac:dyDescent="0.25">
      <c r="A920">
        <v>9003494600</v>
      </c>
      <c r="B920" t="s">
        <v>944</v>
      </c>
    </row>
    <row r="921" spans="1:2" x14ac:dyDescent="0.25">
      <c r="A921">
        <v>9015904400</v>
      </c>
      <c r="B921" t="s">
        <v>944</v>
      </c>
    </row>
    <row r="922" spans="1:2" x14ac:dyDescent="0.25">
      <c r="A922">
        <v>9003496100</v>
      </c>
      <c r="B922" t="s">
        <v>944</v>
      </c>
    </row>
    <row r="923" spans="1:2" x14ac:dyDescent="0.25">
      <c r="A923">
        <v>9003496300</v>
      </c>
      <c r="B923" t="s">
        <v>944</v>
      </c>
    </row>
    <row r="924" spans="1:2" x14ac:dyDescent="0.25">
      <c r="A924">
        <v>9015907200</v>
      </c>
      <c r="B924" t="s">
        <v>944</v>
      </c>
    </row>
    <row r="925" spans="1:2" x14ac:dyDescent="0.25">
      <c r="A925">
        <v>9015907200</v>
      </c>
      <c r="B925" t="s">
        <v>944</v>
      </c>
    </row>
    <row r="926" spans="1:2" x14ac:dyDescent="0.25">
      <c r="A926">
        <v>9015907200</v>
      </c>
      <c r="B926" t="s">
        <v>944</v>
      </c>
    </row>
    <row r="927" spans="1:2" x14ac:dyDescent="0.25">
      <c r="A927">
        <v>9007640100</v>
      </c>
      <c r="B927" t="s">
        <v>944</v>
      </c>
    </row>
    <row r="928" spans="1:2" x14ac:dyDescent="0.25">
      <c r="A928">
        <v>9011701100</v>
      </c>
      <c r="B928" t="s">
        <v>944</v>
      </c>
    </row>
    <row r="929" spans="1:2" x14ac:dyDescent="0.25">
      <c r="A929">
        <v>9011701200</v>
      </c>
      <c r="B929" t="s">
        <v>944</v>
      </c>
    </row>
    <row r="930" spans="1:2" x14ac:dyDescent="0.25">
      <c r="A930">
        <v>9011693400</v>
      </c>
      <c r="B930" t="s">
        <v>944</v>
      </c>
    </row>
    <row r="931" spans="1:2" x14ac:dyDescent="0.25">
      <c r="A931">
        <v>9011693400</v>
      </c>
      <c r="B931" t="s">
        <v>944</v>
      </c>
    </row>
    <row r="932" spans="1:2" x14ac:dyDescent="0.25">
      <c r="A932">
        <v>9011693400</v>
      </c>
      <c r="B932" t="s">
        <v>944</v>
      </c>
    </row>
    <row r="933" spans="1:2" x14ac:dyDescent="0.25">
      <c r="A933">
        <v>9011650100</v>
      </c>
      <c r="B933" t="s">
        <v>944</v>
      </c>
    </row>
    <row r="934" spans="1:2" x14ac:dyDescent="0.25">
      <c r="A934">
        <v>9011650100</v>
      </c>
      <c r="B934" t="s">
        <v>944</v>
      </c>
    </row>
    <row r="935" spans="1:2" x14ac:dyDescent="0.25">
      <c r="A935">
        <v>9003514101</v>
      </c>
      <c r="B935" t="s">
        <v>944</v>
      </c>
    </row>
    <row r="936" spans="1:2" x14ac:dyDescent="0.25">
      <c r="A936">
        <v>9003514101</v>
      </c>
      <c r="B936" t="s">
        <v>944</v>
      </c>
    </row>
    <row r="937" spans="1:2" x14ac:dyDescent="0.25">
      <c r="A937">
        <v>9003514200</v>
      </c>
      <c r="B937" t="s">
        <v>944</v>
      </c>
    </row>
    <row r="938" spans="1:2" x14ac:dyDescent="0.25">
      <c r="A938">
        <v>9003514300</v>
      </c>
      <c r="B938" t="s">
        <v>944</v>
      </c>
    </row>
    <row r="939" spans="1:2" x14ac:dyDescent="0.25">
      <c r="A939">
        <v>9003515101</v>
      </c>
      <c r="B939" t="s">
        <v>944</v>
      </c>
    </row>
    <row r="940" spans="1:2" x14ac:dyDescent="0.25">
      <c r="A940">
        <v>9013530500</v>
      </c>
      <c r="B940" t="s">
        <v>944</v>
      </c>
    </row>
    <row r="941" spans="1:2" x14ac:dyDescent="0.25">
      <c r="A941">
        <v>9013530500</v>
      </c>
      <c r="B941" t="s">
        <v>944</v>
      </c>
    </row>
    <row r="942" spans="1:2" x14ac:dyDescent="0.25">
      <c r="A942">
        <v>9013881500</v>
      </c>
      <c r="B942" t="s">
        <v>944</v>
      </c>
    </row>
    <row r="943" spans="1:2" x14ac:dyDescent="0.25">
      <c r="A943">
        <v>9003524100</v>
      </c>
      <c r="B943" t="s">
        <v>944</v>
      </c>
    </row>
    <row r="944" spans="1:2" x14ac:dyDescent="0.25">
      <c r="A944">
        <v>9003524200</v>
      </c>
      <c r="B944" t="s">
        <v>944</v>
      </c>
    </row>
    <row r="945" spans="1:2" x14ac:dyDescent="0.25">
      <c r="A945">
        <v>9013530200</v>
      </c>
      <c r="B945" t="s">
        <v>944</v>
      </c>
    </row>
    <row r="946" spans="1:2" x14ac:dyDescent="0.25">
      <c r="A946">
        <v>9013530301</v>
      </c>
      <c r="B946" t="s">
        <v>944</v>
      </c>
    </row>
    <row r="947" spans="1:2" x14ac:dyDescent="0.25">
      <c r="A947">
        <v>9013530301</v>
      </c>
      <c r="B947" t="s">
        <v>944</v>
      </c>
    </row>
    <row r="948" spans="1:2" x14ac:dyDescent="0.25">
      <c r="A948">
        <v>9013530302</v>
      </c>
      <c r="B948" t="s">
        <v>944</v>
      </c>
    </row>
    <row r="949" spans="1:2" x14ac:dyDescent="0.25">
      <c r="A949">
        <v>9013530302</v>
      </c>
      <c r="B949" t="s">
        <v>944</v>
      </c>
    </row>
    <row r="950" spans="1:2" x14ac:dyDescent="0.25">
      <c r="A950">
        <v>9013530400</v>
      </c>
      <c r="B950" t="s">
        <v>944</v>
      </c>
    </row>
    <row r="951" spans="1:2" x14ac:dyDescent="0.25">
      <c r="A951">
        <v>9013533101</v>
      </c>
      <c r="B951" t="s">
        <v>944</v>
      </c>
    </row>
    <row r="952" spans="1:2" x14ac:dyDescent="0.25">
      <c r="A952">
        <v>9013533102</v>
      </c>
      <c r="B952" t="s">
        <v>944</v>
      </c>
    </row>
    <row r="953" spans="1:2" x14ac:dyDescent="0.25">
      <c r="A953">
        <v>9007541100</v>
      </c>
      <c r="B953" t="s">
        <v>936</v>
      </c>
    </row>
    <row r="954" spans="1:2" x14ac:dyDescent="0.25">
      <c r="A954">
        <v>9007541200</v>
      </c>
      <c r="B954" t="s">
        <v>944</v>
      </c>
    </row>
    <row r="955" spans="1:2" x14ac:dyDescent="0.25">
      <c r="A955">
        <v>9007541300</v>
      </c>
      <c r="B955" t="s">
        <v>944</v>
      </c>
    </row>
    <row r="956" spans="1:2" x14ac:dyDescent="0.25">
      <c r="A956">
        <v>9007541401</v>
      </c>
      <c r="B956" t="s">
        <v>944</v>
      </c>
    </row>
    <row r="957" spans="1:2" x14ac:dyDescent="0.25">
      <c r="A957">
        <v>9007541402</v>
      </c>
      <c r="B957" t="s">
        <v>944</v>
      </c>
    </row>
    <row r="958" spans="1:2" x14ac:dyDescent="0.25">
      <c r="A958">
        <v>9007541500</v>
      </c>
      <c r="B958" t="s">
        <v>944</v>
      </c>
    </row>
    <row r="959" spans="1:2" x14ac:dyDescent="0.25">
      <c r="A959">
        <v>9007541600</v>
      </c>
      <c r="B959" t="s">
        <v>936</v>
      </c>
    </row>
    <row r="960" spans="1:2" x14ac:dyDescent="0.25">
      <c r="A960">
        <v>9007541700</v>
      </c>
      <c r="B960" t="s">
        <v>936</v>
      </c>
    </row>
    <row r="961" spans="1:2" x14ac:dyDescent="0.25">
      <c r="A961">
        <v>9007542000</v>
      </c>
      <c r="B961" t="s">
        <v>944</v>
      </c>
    </row>
    <row r="962" spans="1:2" x14ac:dyDescent="0.25">
      <c r="A962">
        <v>9007542100</v>
      </c>
      <c r="B962" t="s">
        <v>944</v>
      </c>
    </row>
    <row r="963" spans="1:2" x14ac:dyDescent="0.25">
      <c r="A963">
        <v>9007542200</v>
      </c>
      <c r="B963" t="s">
        <v>944</v>
      </c>
    </row>
    <row r="964" spans="1:2" x14ac:dyDescent="0.25">
      <c r="A964">
        <v>9007560200</v>
      </c>
      <c r="B964" t="s">
        <v>944</v>
      </c>
    </row>
    <row r="965" spans="1:2" x14ac:dyDescent="0.25">
      <c r="A965">
        <v>9007680200</v>
      </c>
      <c r="B965" t="s">
        <v>944</v>
      </c>
    </row>
    <row r="966" spans="1:2" x14ac:dyDescent="0.25">
      <c r="A966">
        <v>9011693600</v>
      </c>
      <c r="B966" t="s">
        <v>944</v>
      </c>
    </row>
    <row r="967" spans="1:2" x14ac:dyDescent="0.25">
      <c r="A967">
        <v>9011693600</v>
      </c>
      <c r="B967" t="s">
        <v>944</v>
      </c>
    </row>
    <row r="968" spans="1:2" x14ac:dyDescent="0.25">
      <c r="A968">
        <v>9011693600</v>
      </c>
      <c r="B968" t="s">
        <v>944</v>
      </c>
    </row>
    <row r="969" spans="1:2" x14ac:dyDescent="0.25">
      <c r="A969">
        <v>9011695201</v>
      </c>
      <c r="B969" t="s">
        <v>944</v>
      </c>
    </row>
    <row r="970" spans="1:2" x14ac:dyDescent="0.25">
      <c r="A970">
        <v>9011695201</v>
      </c>
      <c r="B970" t="s">
        <v>944</v>
      </c>
    </row>
    <row r="971" spans="1:2" x14ac:dyDescent="0.25">
      <c r="A971">
        <v>9011870501</v>
      </c>
      <c r="B971" t="s">
        <v>944</v>
      </c>
    </row>
    <row r="972" spans="1:2" x14ac:dyDescent="0.25">
      <c r="A972">
        <v>9011870502</v>
      </c>
      <c r="B972" t="s">
        <v>944</v>
      </c>
    </row>
    <row r="973" spans="1:2" x14ac:dyDescent="0.25">
      <c r="A973">
        <v>9011870502</v>
      </c>
      <c r="B973" t="s">
        <v>944</v>
      </c>
    </row>
    <row r="974" spans="1:2" x14ac:dyDescent="0.25">
      <c r="A974">
        <v>9011660101</v>
      </c>
      <c r="B974" t="s">
        <v>944</v>
      </c>
    </row>
    <row r="975" spans="1:2" x14ac:dyDescent="0.25">
      <c r="A975">
        <v>9011660102</v>
      </c>
      <c r="B975" t="s">
        <v>944</v>
      </c>
    </row>
    <row r="976" spans="1:2" x14ac:dyDescent="0.25">
      <c r="A976">
        <v>9007670200</v>
      </c>
      <c r="B976" t="s">
        <v>944</v>
      </c>
    </row>
    <row r="977" spans="1:2" x14ac:dyDescent="0.25">
      <c r="A977">
        <v>9011690300</v>
      </c>
      <c r="B977" t="s">
        <v>944</v>
      </c>
    </row>
    <row r="978" spans="1:2" x14ac:dyDescent="0.25">
      <c r="A978">
        <v>9011690300</v>
      </c>
      <c r="B978" t="s">
        <v>944</v>
      </c>
    </row>
    <row r="979" spans="1:2" x14ac:dyDescent="0.25">
      <c r="A979">
        <v>9011690400</v>
      </c>
      <c r="B979" t="s">
        <v>944</v>
      </c>
    </row>
    <row r="980" spans="1:2" x14ac:dyDescent="0.25">
      <c r="A980">
        <v>9011690500</v>
      </c>
      <c r="B980" t="s">
        <v>944</v>
      </c>
    </row>
    <row r="981" spans="1:2" x14ac:dyDescent="0.25">
      <c r="A981">
        <v>9011690700</v>
      </c>
      <c r="B981" t="s">
        <v>944</v>
      </c>
    </row>
    <row r="982" spans="1:2" x14ac:dyDescent="0.25">
      <c r="A982">
        <v>9011690800</v>
      </c>
      <c r="B982" t="s">
        <v>936</v>
      </c>
    </row>
    <row r="983" spans="1:2" x14ac:dyDescent="0.25">
      <c r="A983">
        <v>9011690900</v>
      </c>
      <c r="B983" t="s">
        <v>944</v>
      </c>
    </row>
    <row r="984" spans="1:2" x14ac:dyDescent="0.25">
      <c r="A984">
        <v>9011693300</v>
      </c>
      <c r="B984" t="s">
        <v>944</v>
      </c>
    </row>
    <row r="985" spans="1:2" x14ac:dyDescent="0.25">
      <c r="A985">
        <v>9011693500</v>
      </c>
      <c r="B985" t="s">
        <v>944</v>
      </c>
    </row>
    <row r="986" spans="1:2" x14ac:dyDescent="0.25">
      <c r="A986">
        <v>9011693700</v>
      </c>
      <c r="B986" t="s">
        <v>944</v>
      </c>
    </row>
    <row r="987" spans="1:2" x14ac:dyDescent="0.25">
      <c r="A987">
        <v>9011697000</v>
      </c>
      <c r="B987" t="s">
        <v>936</v>
      </c>
    </row>
    <row r="988" spans="1:2" x14ac:dyDescent="0.25">
      <c r="A988">
        <v>9011700100</v>
      </c>
      <c r="B988" t="s">
        <v>944</v>
      </c>
    </row>
    <row r="989" spans="1:2" x14ac:dyDescent="0.25">
      <c r="A989">
        <v>9011870300</v>
      </c>
      <c r="B989" t="s">
        <v>944</v>
      </c>
    </row>
    <row r="990" spans="1:2" x14ac:dyDescent="0.25">
      <c r="A990">
        <v>9011870300</v>
      </c>
      <c r="B990" t="s">
        <v>944</v>
      </c>
    </row>
    <row r="991" spans="1:2" x14ac:dyDescent="0.25">
      <c r="A991">
        <v>9011707100</v>
      </c>
      <c r="B991" t="s">
        <v>944</v>
      </c>
    </row>
    <row r="992" spans="1:2" x14ac:dyDescent="0.25">
      <c r="A992">
        <v>9011707100</v>
      </c>
      <c r="B992" t="s">
        <v>944</v>
      </c>
    </row>
    <row r="993" spans="1:2" x14ac:dyDescent="0.25">
      <c r="A993">
        <v>9011705101</v>
      </c>
      <c r="B993" t="s">
        <v>944</v>
      </c>
    </row>
    <row r="994" spans="1:2" x14ac:dyDescent="0.25">
      <c r="A994">
        <v>9011708100</v>
      </c>
      <c r="B994" t="s">
        <v>944</v>
      </c>
    </row>
    <row r="995" spans="1:2" x14ac:dyDescent="0.25">
      <c r="A995">
        <v>9011708100</v>
      </c>
      <c r="B995" t="s">
        <v>944</v>
      </c>
    </row>
    <row r="996" spans="1:2" x14ac:dyDescent="0.25">
      <c r="A996">
        <v>9011705102</v>
      </c>
      <c r="B996" t="s">
        <v>944</v>
      </c>
    </row>
    <row r="997" spans="1:2" x14ac:dyDescent="0.25">
      <c r="A997">
        <v>9011705200</v>
      </c>
      <c r="B997" t="s">
        <v>944</v>
      </c>
    </row>
    <row r="998" spans="1:2" x14ac:dyDescent="0.25">
      <c r="A998">
        <v>9011705300</v>
      </c>
      <c r="B998" t="s">
        <v>944</v>
      </c>
    </row>
    <row r="999" spans="1:2" x14ac:dyDescent="0.25">
      <c r="A999">
        <v>9011705400</v>
      </c>
      <c r="B999" t="s">
        <v>944</v>
      </c>
    </row>
    <row r="1000" spans="1:2" x14ac:dyDescent="0.25">
      <c r="A1000">
        <v>9015907300</v>
      </c>
      <c r="B1000" t="s">
        <v>944</v>
      </c>
    </row>
    <row r="1001" spans="1:2" x14ac:dyDescent="0.25">
      <c r="A1001">
        <v>9011711100</v>
      </c>
      <c r="B1001" t="s">
        <v>944</v>
      </c>
    </row>
    <row r="1002" spans="1:2" x14ac:dyDescent="0.25">
      <c r="A1002">
        <v>9015903200</v>
      </c>
      <c r="B1002" t="s">
        <v>944</v>
      </c>
    </row>
    <row r="1003" spans="1:2" x14ac:dyDescent="0.25">
      <c r="A1003">
        <v>9015903200</v>
      </c>
      <c r="B1003" t="s">
        <v>944</v>
      </c>
    </row>
    <row r="1004" spans="1:2" x14ac:dyDescent="0.25">
      <c r="A1004">
        <v>9013890202</v>
      </c>
      <c r="B1004" t="s">
        <v>944</v>
      </c>
    </row>
    <row r="1005" spans="1:2" x14ac:dyDescent="0.25">
      <c r="A1005">
        <v>9013890202</v>
      </c>
      <c r="B1005" t="s">
        <v>944</v>
      </c>
    </row>
    <row r="1006" spans="1:2" x14ac:dyDescent="0.25">
      <c r="A1006">
        <v>9013890202</v>
      </c>
      <c r="B1006" t="s">
        <v>944</v>
      </c>
    </row>
    <row r="1007" spans="1:2" x14ac:dyDescent="0.25">
      <c r="A1007">
        <v>9013890100</v>
      </c>
      <c r="B1007" t="s">
        <v>944</v>
      </c>
    </row>
    <row r="1008" spans="1:2" x14ac:dyDescent="0.25">
      <c r="A1008">
        <v>9013890100</v>
      </c>
      <c r="B1008" t="s">
        <v>944</v>
      </c>
    </row>
    <row r="1009" spans="1:2" x14ac:dyDescent="0.25">
      <c r="A1009">
        <v>9013890201</v>
      </c>
      <c r="B1009" t="s">
        <v>944</v>
      </c>
    </row>
    <row r="1010" spans="1:2" x14ac:dyDescent="0.25">
      <c r="A1010">
        <v>9013890201</v>
      </c>
      <c r="B1010" t="s">
        <v>944</v>
      </c>
    </row>
    <row r="1011" spans="1:2" x14ac:dyDescent="0.25">
      <c r="A1011">
        <v>9015900200</v>
      </c>
      <c r="B1011" t="s">
        <v>944</v>
      </c>
    </row>
    <row r="1012" spans="1:2" x14ac:dyDescent="0.25">
      <c r="A1012">
        <v>9003497200</v>
      </c>
      <c r="B1012" t="s">
        <v>944</v>
      </c>
    </row>
    <row r="1013" spans="1:2" x14ac:dyDescent="0.25">
      <c r="A1013">
        <v>9003497300</v>
      </c>
      <c r="B1013" t="s">
        <v>944</v>
      </c>
    </row>
    <row r="1014" spans="1:2" x14ac:dyDescent="0.25">
      <c r="A1014">
        <v>9003497400</v>
      </c>
      <c r="B1014" t="s">
        <v>944</v>
      </c>
    </row>
    <row r="1015" spans="1:2" x14ac:dyDescent="0.25">
      <c r="A1015">
        <v>9003497500</v>
      </c>
      <c r="B1015" t="s">
        <v>944</v>
      </c>
    </row>
    <row r="1016" spans="1:2" x14ac:dyDescent="0.25">
      <c r="A1016">
        <v>9003497600</v>
      </c>
      <c r="B1016" t="s">
        <v>944</v>
      </c>
    </row>
    <row r="1017" spans="1:2" x14ac:dyDescent="0.25">
      <c r="A1017">
        <v>9003497700</v>
      </c>
      <c r="B1017" t="s">
        <v>944</v>
      </c>
    </row>
    <row r="1018" spans="1:2" x14ac:dyDescent="0.25">
      <c r="A1018">
        <v>9007620100</v>
      </c>
      <c r="B1018" t="s">
        <v>944</v>
      </c>
    </row>
    <row r="1019" spans="1:2" x14ac:dyDescent="0.25">
      <c r="A1019">
        <v>9007680100</v>
      </c>
      <c r="B1019" t="s">
        <v>944</v>
      </c>
    </row>
    <row r="1020" spans="1:2" x14ac:dyDescent="0.25">
      <c r="A1020">
        <v>9001050100</v>
      </c>
      <c r="B1020" t="s">
        <v>944</v>
      </c>
    </row>
    <row r="1021" spans="1:2" x14ac:dyDescent="0.25">
      <c r="A1021">
        <v>9001050300</v>
      </c>
      <c r="B1021" t="s">
        <v>944</v>
      </c>
    </row>
    <row r="1022" spans="1:2" x14ac:dyDescent="0.25">
      <c r="A1022">
        <v>9001055100</v>
      </c>
      <c r="B1022" t="s">
        <v>944</v>
      </c>
    </row>
    <row r="1023" spans="1:2" x14ac:dyDescent="0.25">
      <c r="A1023">
        <v>9001055200</v>
      </c>
      <c r="B1023" t="s">
        <v>944</v>
      </c>
    </row>
    <row r="1024" spans="1:2" x14ac:dyDescent="0.25">
      <c r="A1024">
        <v>9001105100</v>
      </c>
      <c r="B1024" t="s">
        <v>944</v>
      </c>
    </row>
    <row r="1025" spans="1:2" x14ac:dyDescent="0.25">
      <c r="A1025">
        <v>9001042500</v>
      </c>
      <c r="B1025" t="s">
        <v>944</v>
      </c>
    </row>
    <row r="1026" spans="1:2" x14ac:dyDescent="0.25">
      <c r="A1026">
        <v>9001042600</v>
      </c>
      <c r="B1026" t="s">
        <v>944</v>
      </c>
    </row>
    <row r="1027" spans="1:2" x14ac:dyDescent="0.25">
      <c r="A1027">
        <v>9001043500</v>
      </c>
      <c r="B1027" t="s">
        <v>944</v>
      </c>
    </row>
    <row r="1028" spans="1:2" x14ac:dyDescent="0.25">
      <c r="A1028">
        <v>9001044300</v>
      </c>
      <c r="B1028" t="s">
        <v>944</v>
      </c>
    </row>
    <row r="1029" spans="1:2" x14ac:dyDescent="0.25">
      <c r="A1029">
        <v>9001045400</v>
      </c>
      <c r="B1029" t="s">
        <v>944</v>
      </c>
    </row>
    <row r="1030" spans="1:2" x14ac:dyDescent="0.25">
      <c r="A1030">
        <v>9001050100</v>
      </c>
      <c r="B1030" t="s">
        <v>944</v>
      </c>
    </row>
    <row r="1031" spans="1:2" x14ac:dyDescent="0.25">
      <c r="A1031">
        <v>9001050200</v>
      </c>
      <c r="B1031" t="s">
        <v>944</v>
      </c>
    </row>
    <row r="1032" spans="1:2" x14ac:dyDescent="0.25">
      <c r="A1032">
        <v>9001050300</v>
      </c>
      <c r="B1032" t="s">
        <v>944</v>
      </c>
    </row>
    <row r="1033" spans="1:2" x14ac:dyDescent="0.25">
      <c r="A1033">
        <v>9001050400</v>
      </c>
      <c r="B1033" t="s">
        <v>944</v>
      </c>
    </row>
    <row r="1034" spans="1:2" x14ac:dyDescent="0.25">
      <c r="A1034">
        <v>9001050500</v>
      </c>
      <c r="B1034" t="s">
        <v>944</v>
      </c>
    </row>
    <row r="1035" spans="1:2" x14ac:dyDescent="0.25">
      <c r="A1035">
        <v>9001050600</v>
      </c>
      <c r="B1035" t="s">
        <v>944</v>
      </c>
    </row>
    <row r="1036" spans="1:2" x14ac:dyDescent="0.25">
      <c r="A1036">
        <v>9001055200</v>
      </c>
      <c r="B1036" t="s">
        <v>944</v>
      </c>
    </row>
    <row r="1037" spans="1:2" x14ac:dyDescent="0.25">
      <c r="A1037">
        <v>9001060400</v>
      </c>
      <c r="B1037" t="s">
        <v>944</v>
      </c>
    </row>
    <row r="1038" spans="1:2" x14ac:dyDescent="0.25">
      <c r="A1038">
        <v>9003492100</v>
      </c>
      <c r="B1038" t="s">
        <v>944</v>
      </c>
    </row>
    <row r="1039" spans="1:2" x14ac:dyDescent="0.25">
      <c r="A1039">
        <v>9003492200</v>
      </c>
      <c r="B1039" t="s">
        <v>944</v>
      </c>
    </row>
    <row r="1040" spans="1:2" x14ac:dyDescent="0.25">
      <c r="A1040">
        <v>9003492300</v>
      </c>
      <c r="B1040" t="s">
        <v>944</v>
      </c>
    </row>
    <row r="1041" spans="1:2" x14ac:dyDescent="0.25">
      <c r="A1041">
        <v>9003492400</v>
      </c>
      <c r="B1041" t="s">
        <v>944</v>
      </c>
    </row>
    <row r="1042" spans="1:2" x14ac:dyDescent="0.25">
      <c r="A1042">
        <v>9003492500</v>
      </c>
      <c r="B1042" t="s">
        <v>944</v>
      </c>
    </row>
    <row r="1043" spans="1:2" x14ac:dyDescent="0.25">
      <c r="A1043">
        <v>9003492600</v>
      </c>
      <c r="B1043" t="s">
        <v>944</v>
      </c>
    </row>
    <row r="1044" spans="1:2" x14ac:dyDescent="0.25">
      <c r="A1044">
        <v>9003494100</v>
      </c>
      <c r="B1044" t="s">
        <v>944</v>
      </c>
    </row>
    <row r="1045" spans="1:2" x14ac:dyDescent="0.25">
      <c r="A1045">
        <v>9013840100</v>
      </c>
      <c r="B1045" t="s">
        <v>944</v>
      </c>
    </row>
    <row r="1046" spans="1:2" x14ac:dyDescent="0.25">
      <c r="A1046">
        <v>9013890201</v>
      </c>
      <c r="B1046" t="s">
        <v>944</v>
      </c>
    </row>
    <row r="1047" spans="1:2" x14ac:dyDescent="0.25">
      <c r="A1047">
        <v>9015830100</v>
      </c>
      <c r="B1047" t="s">
        <v>944</v>
      </c>
    </row>
    <row r="1048" spans="1:2" x14ac:dyDescent="0.25">
      <c r="A1048">
        <v>9001035400</v>
      </c>
      <c r="B1048" t="s">
        <v>944</v>
      </c>
    </row>
    <row r="1049" spans="1:2" x14ac:dyDescent="0.25">
      <c r="A1049">
        <v>9001042900</v>
      </c>
      <c r="B1049" t="s">
        <v>944</v>
      </c>
    </row>
    <row r="1050" spans="1:2" x14ac:dyDescent="0.25">
      <c r="A1050">
        <v>9001045101</v>
      </c>
      <c r="B1050" t="s">
        <v>944</v>
      </c>
    </row>
    <row r="1051" spans="1:2" x14ac:dyDescent="0.25">
      <c r="A1051">
        <v>9001045102</v>
      </c>
      <c r="B1051" t="s">
        <v>944</v>
      </c>
    </row>
    <row r="1052" spans="1:2" x14ac:dyDescent="0.25">
      <c r="A1052">
        <v>9001045200</v>
      </c>
      <c r="B1052" t="s">
        <v>944</v>
      </c>
    </row>
    <row r="1053" spans="1:2" x14ac:dyDescent="0.25">
      <c r="A1053">
        <v>9001045300</v>
      </c>
      <c r="B1053" t="s">
        <v>944</v>
      </c>
    </row>
    <row r="1054" spans="1:2" x14ac:dyDescent="0.25">
      <c r="A1054">
        <v>9001045400</v>
      </c>
      <c r="B1054" t="s">
        <v>944</v>
      </c>
    </row>
    <row r="1055" spans="1:2" x14ac:dyDescent="0.25">
      <c r="A1055">
        <v>9001055100</v>
      </c>
      <c r="B1055" t="s">
        <v>944</v>
      </c>
    </row>
    <row r="1056" spans="1:2" x14ac:dyDescent="0.25">
      <c r="A1056">
        <v>9001240100</v>
      </c>
      <c r="B1056" t="s">
        <v>944</v>
      </c>
    </row>
    <row r="1057" spans="1:2" x14ac:dyDescent="0.25">
      <c r="A1057">
        <v>9001245400</v>
      </c>
      <c r="B1057" t="s">
        <v>944</v>
      </c>
    </row>
    <row r="1058" spans="1:2" x14ac:dyDescent="0.25">
      <c r="A1058">
        <v>9005290100</v>
      </c>
      <c r="B1058" t="s">
        <v>944</v>
      </c>
    </row>
    <row r="1059" spans="1:2" x14ac:dyDescent="0.25">
      <c r="A1059">
        <v>9005293100</v>
      </c>
      <c r="B1059" t="s">
        <v>944</v>
      </c>
    </row>
    <row r="1060" spans="1:2" x14ac:dyDescent="0.25">
      <c r="A1060">
        <v>9005310700</v>
      </c>
      <c r="B1060" t="s">
        <v>944</v>
      </c>
    </row>
    <row r="1061" spans="1:2" x14ac:dyDescent="0.25">
      <c r="A1061">
        <v>9005320100</v>
      </c>
      <c r="B1061" t="s">
        <v>944</v>
      </c>
    </row>
    <row r="1062" spans="1:2" x14ac:dyDescent="0.25">
      <c r="A1062">
        <v>9005320200</v>
      </c>
      <c r="B1062" t="s">
        <v>944</v>
      </c>
    </row>
    <row r="1063" spans="1:2" x14ac:dyDescent="0.25">
      <c r="A1063">
        <v>9013881500</v>
      </c>
      <c r="B1063" t="s">
        <v>944</v>
      </c>
    </row>
    <row r="1064" spans="1:2" x14ac:dyDescent="0.25">
      <c r="A1064">
        <v>9015800300</v>
      </c>
      <c r="B1064" t="s">
        <v>936</v>
      </c>
    </row>
    <row r="1065" spans="1:2" x14ac:dyDescent="0.25">
      <c r="A1065">
        <v>9015800400</v>
      </c>
      <c r="B1065" t="s">
        <v>944</v>
      </c>
    </row>
    <row r="1066" spans="1:2" x14ac:dyDescent="0.25">
      <c r="A1066">
        <v>9015800500</v>
      </c>
      <c r="B1066" t="s">
        <v>944</v>
      </c>
    </row>
    <row r="1067" spans="1:2" x14ac:dyDescent="0.25">
      <c r="A1067">
        <v>9015800600</v>
      </c>
      <c r="B1067" t="s">
        <v>936</v>
      </c>
    </row>
    <row r="1068" spans="1:2" x14ac:dyDescent="0.25">
      <c r="A1068">
        <v>9015800700</v>
      </c>
      <c r="B1068" t="s">
        <v>936</v>
      </c>
    </row>
    <row r="1069" spans="1:2" x14ac:dyDescent="0.25">
      <c r="A1069">
        <v>9015815000</v>
      </c>
      <c r="B1069" t="s">
        <v>944</v>
      </c>
    </row>
    <row r="1070" spans="1:2" x14ac:dyDescent="0.25">
      <c r="A1070">
        <v>9015825000</v>
      </c>
      <c r="B1070" t="s">
        <v>944</v>
      </c>
    </row>
    <row r="1071" spans="1:2" x14ac:dyDescent="0.25">
      <c r="A1071">
        <v>9003470100</v>
      </c>
      <c r="B1071" t="s">
        <v>944</v>
      </c>
    </row>
    <row r="1072" spans="1:2" x14ac:dyDescent="0.25">
      <c r="A1072">
        <v>9003471400</v>
      </c>
      <c r="B1072" t="s">
        <v>944</v>
      </c>
    </row>
    <row r="1073" spans="1:2" x14ac:dyDescent="0.25">
      <c r="A1073">
        <v>9003473100</v>
      </c>
      <c r="B1073" t="s">
        <v>944</v>
      </c>
    </row>
    <row r="1074" spans="1:2" x14ac:dyDescent="0.25">
      <c r="A1074">
        <v>9003473400</v>
      </c>
      <c r="B1074" t="s">
        <v>944</v>
      </c>
    </row>
    <row r="1075" spans="1:2" x14ac:dyDescent="0.25">
      <c r="A1075">
        <v>9003473501</v>
      </c>
      <c r="B1075" t="s">
        <v>944</v>
      </c>
    </row>
    <row r="1076" spans="1:2" x14ac:dyDescent="0.25">
      <c r="A1076">
        <v>9003473502</v>
      </c>
      <c r="B1076" t="s">
        <v>944</v>
      </c>
    </row>
    <row r="1077" spans="1:2" x14ac:dyDescent="0.25">
      <c r="A1077">
        <v>9003473601</v>
      </c>
      <c r="B1077" t="s">
        <v>944</v>
      </c>
    </row>
    <row r="1078" spans="1:2" x14ac:dyDescent="0.25">
      <c r="A1078">
        <v>9003473602</v>
      </c>
      <c r="B1078" t="s">
        <v>944</v>
      </c>
    </row>
    <row r="1079" spans="1:2" x14ac:dyDescent="0.25">
      <c r="A1079">
        <v>9003473700</v>
      </c>
      <c r="B1079" t="s">
        <v>944</v>
      </c>
    </row>
    <row r="1080" spans="1:2" x14ac:dyDescent="0.25">
      <c r="A1080">
        <v>9003473800</v>
      </c>
      <c r="B1080" t="s">
        <v>944</v>
      </c>
    </row>
    <row r="1081" spans="1:2" x14ac:dyDescent="0.25">
      <c r="A1081">
        <v>9003524400</v>
      </c>
      <c r="B1081" t="s">
        <v>936</v>
      </c>
    </row>
    <row r="1082" spans="1:2" x14ac:dyDescent="0.25">
      <c r="A1082">
        <v>9003476100</v>
      </c>
      <c r="B1082" t="s">
        <v>944</v>
      </c>
    </row>
    <row r="1083" spans="1:2" x14ac:dyDescent="0.25">
      <c r="A1083">
        <v>9003476200</v>
      </c>
      <c r="B1083" t="s">
        <v>944</v>
      </c>
    </row>
    <row r="1084" spans="1:2" x14ac:dyDescent="0.25">
      <c r="A1084">
        <v>9003476300</v>
      </c>
      <c r="B1084" t="s">
        <v>944</v>
      </c>
    </row>
    <row r="1085" spans="1:2" x14ac:dyDescent="0.25">
      <c r="A1085">
        <v>9009352600</v>
      </c>
      <c r="B1085" t="s">
        <v>936</v>
      </c>
    </row>
    <row r="1086" spans="1:2" x14ac:dyDescent="0.25">
      <c r="A1086">
        <v>9009352701</v>
      </c>
      <c r="B1086" t="s">
        <v>936</v>
      </c>
    </row>
    <row r="1087" spans="1:2" x14ac:dyDescent="0.25">
      <c r="A1087">
        <v>9009352800</v>
      </c>
      <c r="B1087" t="s">
        <v>944</v>
      </c>
    </row>
    <row r="1088" spans="1:2" x14ac:dyDescent="0.25">
      <c r="A1088">
        <v>9009361100</v>
      </c>
      <c r="B1088" t="s">
        <v>944</v>
      </c>
    </row>
    <row r="1089" spans="1:2" x14ac:dyDescent="0.25">
      <c r="A1089">
        <v>9009361200</v>
      </c>
      <c r="B1089" t="s">
        <v>944</v>
      </c>
    </row>
    <row r="1090" spans="1:2" x14ac:dyDescent="0.25">
      <c r="A1090">
        <v>9009361300</v>
      </c>
      <c r="B1090" t="s">
        <v>944</v>
      </c>
    </row>
    <row r="1091" spans="1:2" x14ac:dyDescent="0.25">
      <c r="A1091">
        <v>9005342100</v>
      </c>
      <c r="B1091" t="s">
        <v>944</v>
      </c>
    </row>
    <row r="1092" spans="1:2" x14ac:dyDescent="0.25">
      <c r="A1092">
        <v>9005360200</v>
      </c>
      <c r="B1092" t="s">
        <v>944</v>
      </c>
    </row>
    <row r="1093" spans="1:2" x14ac:dyDescent="0.25">
      <c r="A1093">
        <v>9005362101</v>
      </c>
      <c r="B1093" t="s">
        <v>944</v>
      </c>
    </row>
    <row r="1094" spans="1:2" x14ac:dyDescent="0.25">
      <c r="A1094">
        <v>9005362102</v>
      </c>
      <c r="B1094" t="s">
        <v>944</v>
      </c>
    </row>
    <row r="1095" spans="1:2" x14ac:dyDescent="0.25">
      <c r="A1095">
        <v>9015900200</v>
      </c>
      <c r="B1095" t="s">
        <v>944</v>
      </c>
    </row>
    <row r="1096" spans="1:2" x14ac:dyDescent="0.25">
      <c r="A1096">
        <v>9015901100</v>
      </c>
      <c r="B1096" t="s">
        <v>944</v>
      </c>
    </row>
    <row r="1097" spans="1:2" x14ac:dyDescent="0.25">
      <c r="A1097">
        <v>9015902200</v>
      </c>
      <c r="B1097" t="s">
        <v>944</v>
      </c>
    </row>
    <row r="1098" spans="1:2" x14ac:dyDescent="0.25">
      <c r="A1098">
        <v>9015902500</v>
      </c>
      <c r="B1098" t="s">
        <v>944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542A9-F400-431F-8D8A-48F4899BD524}">
  <sheetPr>
    <tabColor theme="7" tint="0.59999389629810485"/>
  </sheetPr>
  <dimension ref="A1:U425"/>
  <sheetViews>
    <sheetView topLeftCell="K397" zoomScale="85" zoomScaleNormal="85" workbookViewId="0">
      <selection activeCell="M408" sqref="M408"/>
    </sheetView>
  </sheetViews>
  <sheetFormatPr defaultRowHeight="15" x14ac:dyDescent="0.25"/>
  <cols>
    <col min="1" max="1" width="15.28515625" customWidth="1"/>
    <col min="2" max="2" width="17.85546875" bestFit="1" customWidth="1"/>
    <col min="3" max="3" width="19.42578125" customWidth="1"/>
    <col min="4" max="4" width="17.7109375" customWidth="1"/>
    <col min="5" max="5" width="26.85546875" customWidth="1"/>
    <col min="6" max="6" width="25.140625" customWidth="1"/>
    <col min="7" max="7" width="34.28515625" customWidth="1"/>
    <col min="8" max="8" width="11" customWidth="1"/>
    <col min="9" max="9" width="11.5703125" customWidth="1"/>
    <col min="10" max="10" width="29.85546875" customWidth="1"/>
    <col min="11" max="11" width="40.28515625" customWidth="1"/>
    <col min="12" max="12" width="38.28515625" customWidth="1"/>
    <col min="13" max="13" width="49.28515625" customWidth="1"/>
    <col min="14" max="14" width="14.140625" customWidth="1"/>
    <col min="15" max="15" width="22.42578125" customWidth="1"/>
    <col min="16" max="16" width="32.85546875" customWidth="1"/>
    <col min="17" max="17" width="30.85546875" customWidth="1"/>
    <col min="18" max="18" width="41.28515625" customWidth="1"/>
    <col min="19" max="19" width="14.140625" customWidth="1"/>
  </cols>
  <sheetData>
    <row r="1" spans="1:21" x14ac:dyDescent="0.25">
      <c r="A1" s="305" t="s">
        <v>2703</v>
      </c>
      <c r="B1" s="306"/>
      <c r="C1" s="306"/>
      <c r="D1" s="306"/>
      <c r="E1" s="306"/>
      <c r="F1" s="306"/>
      <c r="G1" s="306"/>
      <c r="H1" s="306"/>
      <c r="I1" s="306"/>
      <c r="J1" s="306"/>
      <c r="K1" s="306"/>
      <c r="L1" s="306"/>
      <c r="M1" s="306"/>
      <c r="N1" s="306"/>
      <c r="O1" s="306"/>
      <c r="P1" s="306"/>
      <c r="Q1" s="306"/>
      <c r="R1" s="307"/>
    </row>
    <row r="2" spans="1:21" ht="15.75" thickBot="1" x14ac:dyDescent="0.3">
      <c r="A2" s="308"/>
      <c r="B2" s="309"/>
      <c r="C2" s="309"/>
      <c r="D2" s="309"/>
      <c r="E2" s="309"/>
      <c r="F2" s="309"/>
      <c r="G2" s="309"/>
      <c r="H2" s="309"/>
      <c r="I2" s="309"/>
      <c r="J2" s="309"/>
      <c r="K2" s="309"/>
      <c r="L2" s="309"/>
      <c r="M2" s="309"/>
      <c r="N2" s="309"/>
      <c r="O2" s="309"/>
      <c r="P2" s="309"/>
      <c r="Q2" s="309"/>
      <c r="R2" s="310"/>
    </row>
    <row r="3" spans="1:21" ht="16.5" thickBot="1" x14ac:dyDescent="0.3">
      <c r="A3" s="318" t="s">
        <v>923</v>
      </c>
      <c r="B3" s="319"/>
      <c r="C3" s="354"/>
      <c r="D3" s="302" t="s">
        <v>2689</v>
      </c>
      <c r="E3" s="303"/>
      <c r="F3" s="303"/>
      <c r="G3" s="303"/>
      <c r="H3" s="303"/>
      <c r="I3" s="303"/>
      <c r="J3" s="303"/>
      <c r="K3" s="303"/>
      <c r="L3" s="303"/>
      <c r="M3" s="303"/>
      <c r="N3" s="303"/>
      <c r="O3" s="303"/>
      <c r="P3" s="303"/>
      <c r="Q3" s="303"/>
      <c r="R3" s="304"/>
    </row>
    <row r="4" spans="1:21" ht="15.75" thickBot="1" x14ac:dyDescent="0.3">
      <c r="A4" s="327"/>
      <c r="B4" s="328"/>
      <c r="C4" s="355"/>
      <c r="D4" s="356" t="s">
        <v>2691</v>
      </c>
      <c r="E4" s="357"/>
      <c r="F4" s="357"/>
      <c r="G4" s="357"/>
      <c r="H4" s="203"/>
      <c r="I4" s="203"/>
      <c r="J4" s="333" t="s">
        <v>2692</v>
      </c>
      <c r="K4" s="334"/>
      <c r="L4" s="334"/>
      <c r="M4" s="334"/>
      <c r="N4" s="204"/>
      <c r="O4" s="358" t="s">
        <v>2693</v>
      </c>
      <c r="P4" s="331"/>
      <c r="Q4" s="331"/>
      <c r="R4" s="332"/>
    </row>
    <row r="5" spans="1:21" ht="48" thickBot="1" x14ac:dyDescent="0.3">
      <c r="A5" s="79" t="s">
        <v>2704</v>
      </c>
      <c r="B5" s="78" t="s">
        <v>2705</v>
      </c>
      <c r="C5" s="83" t="s">
        <v>2706</v>
      </c>
      <c r="D5" s="84" t="s">
        <v>2707</v>
      </c>
      <c r="E5" s="85" t="s">
        <v>2708</v>
      </c>
      <c r="F5" s="86" t="s">
        <v>2709</v>
      </c>
      <c r="G5" s="85" t="s">
        <v>2710</v>
      </c>
      <c r="H5" s="87" t="s">
        <v>2976</v>
      </c>
      <c r="I5" s="87" t="s">
        <v>2977</v>
      </c>
      <c r="J5" s="88" t="s">
        <v>2711</v>
      </c>
      <c r="K5" s="89" t="s">
        <v>2712</v>
      </c>
      <c r="L5" s="89" t="s">
        <v>2713</v>
      </c>
      <c r="M5" s="89" t="s">
        <v>2714</v>
      </c>
      <c r="N5" s="90" t="s">
        <v>2978</v>
      </c>
      <c r="O5" s="88" t="s">
        <v>2715</v>
      </c>
      <c r="P5" s="89" t="s">
        <v>2716</v>
      </c>
      <c r="Q5" s="89" t="s">
        <v>2717</v>
      </c>
      <c r="R5" s="91" t="s">
        <v>2718</v>
      </c>
      <c r="S5" s="115" t="s">
        <v>2979</v>
      </c>
      <c r="T5" s="173" t="s">
        <v>2721</v>
      </c>
      <c r="U5" s="173" t="s">
        <v>2720</v>
      </c>
    </row>
    <row r="6" spans="1:21" ht="15.75" thickBot="1" x14ac:dyDescent="0.3">
      <c r="A6" s="92" t="s">
        <v>2980</v>
      </c>
      <c r="B6" s="200" t="s">
        <v>2981</v>
      </c>
      <c r="C6" s="93" t="s">
        <v>944</v>
      </c>
      <c r="D6" s="94">
        <v>394.428</v>
      </c>
      <c r="E6" s="95">
        <v>1.3553941470087741E-5</v>
      </c>
      <c r="F6" s="96">
        <v>0</v>
      </c>
      <c r="G6" s="95">
        <v>0</v>
      </c>
      <c r="H6" s="95" t="s">
        <v>2982</v>
      </c>
      <c r="I6" s="95" t="str">
        <f>IF(ROUND(E6,5)&lt;0.00001,"N/A",IF(ROUND(E6,5)&lt;=ROUND(G6,5),"YES","NO"))</f>
        <v>NO</v>
      </c>
      <c r="J6" s="97">
        <v>394.428</v>
      </c>
      <c r="K6" s="98">
        <v>1.3553941470087741E-5</v>
      </c>
      <c r="L6" s="99">
        <v>0</v>
      </c>
      <c r="M6" s="98">
        <v>0</v>
      </c>
      <c r="N6" s="98" t="str">
        <f t="shared" ref="N6:N69" si="0">IF(ROUND(K6,5)&lt;0.00001,"N/A",IF(ROUND(K6,5)&lt;=ROUND(M6,5),"YES","NO"))</f>
        <v>NO</v>
      </c>
      <c r="O6" s="97">
        <v>0</v>
      </c>
      <c r="P6" s="100">
        <v>1.3553941470087741E-5</v>
      </c>
      <c r="Q6" s="99">
        <v>0</v>
      </c>
      <c r="R6" s="101">
        <v>0</v>
      </c>
      <c r="S6" t="str">
        <f t="shared" ref="S6:S69" si="1">IF(ROUND(P6,5)&lt;0.00001,"N/A",IF(ROUND(P6,5)&lt;=ROUND(R6,5),"YES","NO"))</f>
        <v>NO</v>
      </c>
      <c r="T6" t="e">
        <f>VLOOKUP(Table8[[#This Row],[Census Tract]],'UI EnergyBurden'!$A$2:$B$184,2,FALSE)</f>
        <v>#N/A</v>
      </c>
      <c r="U6" t="e">
        <f>VLOOKUP(Table8[[#This Row],[Census Tract]],'Population and Diversity Data'!$B$2:$K$823,10,FALSE)</f>
        <v>#N/A</v>
      </c>
    </row>
    <row r="7" spans="1:21" ht="15.75" thickBot="1" x14ac:dyDescent="0.3">
      <c r="A7" s="92" t="s">
        <v>2983</v>
      </c>
      <c r="B7" s="200" t="s">
        <v>2981</v>
      </c>
      <c r="C7" s="93" t="s">
        <v>944</v>
      </c>
      <c r="D7" s="94">
        <v>887.51059999999995</v>
      </c>
      <c r="E7" s="95">
        <v>3.049800401209461E-5</v>
      </c>
      <c r="F7" s="96">
        <v>0</v>
      </c>
      <c r="G7" s="95">
        <v>0</v>
      </c>
      <c r="H7" s="95" t="s">
        <v>2982</v>
      </c>
      <c r="I7" s="95" t="str">
        <f>IF(ROUND(E7,5)&lt;0.00001,"N/A",IF(ROUND(E7,5)&lt;=ROUND(G7,5),"YES","NO"))</f>
        <v>NO</v>
      </c>
      <c r="J7" s="97">
        <v>887.51059999999995</v>
      </c>
      <c r="K7" s="98">
        <v>3.049800401209461E-5</v>
      </c>
      <c r="L7" s="99">
        <v>0</v>
      </c>
      <c r="M7" s="98">
        <v>0</v>
      </c>
      <c r="N7" s="98" t="str">
        <f t="shared" si="0"/>
        <v>NO</v>
      </c>
      <c r="O7" s="97">
        <v>0</v>
      </c>
      <c r="P7" s="100">
        <v>3.049800401209461E-5</v>
      </c>
      <c r="Q7" s="99">
        <v>0</v>
      </c>
      <c r="R7" s="101">
        <v>0</v>
      </c>
      <c r="S7" t="str">
        <f t="shared" si="1"/>
        <v>NO</v>
      </c>
      <c r="T7" t="e">
        <f>VLOOKUP(Table8[[#This Row],[Census Tract]],'UI EnergyBurden'!$A$2:$B$184,2,FALSE)</f>
        <v>#N/A</v>
      </c>
      <c r="U7" t="e">
        <f>VLOOKUP(Table8[[#This Row],[Census Tract]],'Population and Diversity Data'!$B$2:$K$823,10,FALSE)</f>
        <v>#N/A</v>
      </c>
    </row>
    <row r="8" spans="1:21" ht="15.75" thickBot="1" x14ac:dyDescent="0.3">
      <c r="A8" s="92" t="s">
        <v>2984</v>
      </c>
      <c r="B8" s="200" t="s">
        <v>934</v>
      </c>
      <c r="C8" s="93" t="s">
        <v>944</v>
      </c>
      <c r="D8" s="94">
        <v>0.90290000000000004</v>
      </c>
      <c r="E8" s="95">
        <v>3.1026838240039302E-8</v>
      </c>
      <c r="F8" s="96">
        <v>0</v>
      </c>
      <c r="G8" s="95">
        <v>0</v>
      </c>
      <c r="H8" s="95" t="s">
        <v>2982</v>
      </c>
      <c r="I8" s="95" t="str">
        <f t="shared" ref="I8:I71" si="2">IF(ROUND(E8,5)&lt;0.00001,"N/A",IF(ROUND(E8,5)&lt;=ROUND(G8,5),"YES","NO"))</f>
        <v>N/A</v>
      </c>
      <c r="J8" s="97">
        <v>0</v>
      </c>
      <c r="K8" s="98">
        <v>3.1026838240039302E-8</v>
      </c>
      <c r="L8" s="99">
        <v>0</v>
      </c>
      <c r="M8" s="98">
        <v>0</v>
      </c>
      <c r="N8" s="98" t="str">
        <f t="shared" si="0"/>
        <v>N/A</v>
      </c>
      <c r="O8" s="97">
        <v>0.90290000000000004</v>
      </c>
      <c r="P8" s="100">
        <v>3.1026838240039302E-8</v>
      </c>
      <c r="Q8" s="99">
        <v>0</v>
      </c>
      <c r="R8" s="101">
        <v>0</v>
      </c>
      <c r="S8" t="str">
        <f t="shared" si="1"/>
        <v>N/A</v>
      </c>
      <c r="T8" t="e">
        <f>VLOOKUP(Table8[[#This Row],[Census Tract]],'UI EnergyBurden'!$A$2:$B$184,2,FALSE)</f>
        <v>#N/A</v>
      </c>
      <c r="U8" t="e">
        <f>VLOOKUP(Table8[[#This Row],[Census Tract]],'Population and Diversity Data'!$B$2:$K$823,10,FALSE)</f>
        <v>#N/A</v>
      </c>
    </row>
    <row r="9" spans="1:21" ht="15.75" thickBot="1" x14ac:dyDescent="0.3">
      <c r="A9" s="92" t="s">
        <v>2984</v>
      </c>
      <c r="B9" s="200" t="s">
        <v>2985</v>
      </c>
      <c r="C9" s="93" t="s">
        <v>944</v>
      </c>
      <c r="D9" s="94">
        <v>71392.777199999895</v>
      </c>
      <c r="E9" s="95">
        <v>2.453308394829508E-3</v>
      </c>
      <c r="F9" s="96">
        <v>20104.8</v>
      </c>
      <c r="G9" s="95">
        <v>1.1966439137924103E-3</v>
      </c>
      <c r="H9" s="95" t="s">
        <v>2986</v>
      </c>
      <c r="I9" s="95" t="str">
        <f t="shared" si="2"/>
        <v>NO</v>
      </c>
      <c r="J9" s="97">
        <v>58128.328499999901</v>
      </c>
      <c r="K9" s="98">
        <v>2.453308394829508E-3</v>
      </c>
      <c r="L9" s="99">
        <v>19857.8</v>
      </c>
      <c r="M9" s="98">
        <v>1.1966439137924103E-3</v>
      </c>
      <c r="N9" s="98" t="str">
        <f t="shared" si="0"/>
        <v>NO</v>
      </c>
      <c r="O9" s="97">
        <v>13264.448700000001</v>
      </c>
      <c r="P9" s="100">
        <v>2.453308394829508E-3</v>
      </c>
      <c r="Q9" s="99">
        <v>247</v>
      </c>
      <c r="R9" s="101">
        <v>1.1966439137924103E-3</v>
      </c>
      <c r="S9" t="str">
        <f t="shared" si="1"/>
        <v>NO</v>
      </c>
      <c r="T9" t="e">
        <f>VLOOKUP(Table8[[#This Row],[Census Tract]],'UI EnergyBurden'!$A$2:$B$184,2,FALSE)</f>
        <v>#N/A</v>
      </c>
      <c r="U9" t="e">
        <f>VLOOKUP(Table8[[#This Row],[Census Tract]],'Population and Diversity Data'!$B$2:$K$823,10,FALSE)</f>
        <v>#N/A</v>
      </c>
    </row>
    <row r="10" spans="1:21" ht="15.75" thickBot="1" x14ac:dyDescent="0.3">
      <c r="A10" s="92" t="s">
        <v>2984</v>
      </c>
      <c r="B10" s="200" t="s">
        <v>2987</v>
      </c>
      <c r="C10" s="93" t="s">
        <v>944</v>
      </c>
      <c r="D10" s="94">
        <v>106.00539999999999</v>
      </c>
      <c r="E10" s="95">
        <v>3.642720565257129E-6</v>
      </c>
      <c r="F10" s="96">
        <v>0</v>
      </c>
      <c r="G10" s="95">
        <v>0</v>
      </c>
      <c r="H10" s="95" t="s">
        <v>2982</v>
      </c>
      <c r="I10" s="95" t="str">
        <f t="shared" si="2"/>
        <v>N/A</v>
      </c>
      <c r="J10" s="97">
        <v>0</v>
      </c>
      <c r="K10" s="98">
        <v>3.642720565257129E-6</v>
      </c>
      <c r="L10" s="99">
        <v>0</v>
      </c>
      <c r="M10" s="98">
        <v>0</v>
      </c>
      <c r="N10" s="98" t="str">
        <f t="shared" si="0"/>
        <v>N/A</v>
      </c>
      <c r="O10" s="97">
        <v>106.00539999999999</v>
      </c>
      <c r="P10" s="100">
        <v>3.642720565257129E-6</v>
      </c>
      <c r="Q10" s="99">
        <v>0</v>
      </c>
      <c r="R10" s="101">
        <v>0</v>
      </c>
      <c r="S10" t="str">
        <f t="shared" si="1"/>
        <v>N/A</v>
      </c>
      <c r="T10" t="e">
        <f>VLOOKUP(Table8[[#This Row],[Census Tract]],'UI EnergyBurden'!$A$2:$B$184,2,FALSE)</f>
        <v>#N/A</v>
      </c>
      <c r="U10" t="e">
        <f>VLOOKUP(Table8[[#This Row],[Census Tract]],'Population and Diversity Data'!$B$2:$K$823,10,FALSE)</f>
        <v>#N/A</v>
      </c>
    </row>
    <row r="11" spans="1:21" ht="15.75" thickBot="1" x14ac:dyDescent="0.3">
      <c r="A11" s="92" t="s">
        <v>2988</v>
      </c>
      <c r="B11" s="200" t="s">
        <v>2985</v>
      </c>
      <c r="C11" s="93" t="s">
        <v>944</v>
      </c>
      <c r="D11" s="94">
        <v>96972.011800000007</v>
      </c>
      <c r="E11" s="95">
        <v>3.3323013887803549E-3</v>
      </c>
      <c r="F11" s="96">
        <v>31534.58</v>
      </c>
      <c r="G11" s="95">
        <v>1.8769479542696205E-3</v>
      </c>
      <c r="H11" s="95" t="s">
        <v>2986</v>
      </c>
      <c r="I11" s="95" t="str">
        <f t="shared" si="2"/>
        <v>NO</v>
      </c>
      <c r="J11" s="97">
        <v>78630.955100000006</v>
      </c>
      <c r="K11" s="98">
        <v>3.3323013887803549E-3</v>
      </c>
      <c r="L11" s="99">
        <v>29656.58</v>
      </c>
      <c r="M11" s="98">
        <v>1.8769479542696205E-3</v>
      </c>
      <c r="N11" s="98" t="str">
        <f t="shared" si="0"/>
        <v>NO</v>
      </c>
      <c r="O11" s="97">
        <v>18341.056700000001</v>
      </c>
      <c r="P11" s="100">
        <v>3.3323013887803549E-3</v>
      </c>
      <c r="Q11" s="99">
        <v>1878</v>
      </c>
      <c r="R11" s="101">
        <v>1.8769479542696205E-3</v>
      </c>
      <c r="S11" t="str">
        <f t="shared" si="1"/>
        <v>NO</v>
      </c>
      <c r="T11" t="e">
        <f>VLOOKUP(Table8[[#This Row],[Census Tract]],'UI EnergyBurden'!$A$2:$B$184,2,FALSE)</f>
        <v>#N/A</v>
      </c>
      <c r="U11" t="e">
        <f>VLOOKUP(Table8[[#This Row],[Census Tract]],'Population and Diversity Data'!$B$2:$K$823,10,FALSE)</f>
        <v>#N/A</v>
      </c>
    </row>
    <row r="12" spans="1:21" ht="15.75" thickBot="1" x14ac:dyDescent="0.3">
      <c r="A12" s="92" t="s">
        <v>2989</v>
      </c>
      <c r="B12" s="200" t="s">
        <v>2985</v>
      </c>
      <c r="C12" s="93" t="s">
        <v>944</v>
      </c>
      <c r="D12" s="94">
        <v>100651.4894000003</v>
      </c>
      <c r="E12" s="95">
        <v>3.4587412562109197E-3</v>
      </c>
      <c r="F12" s="96">
        <v>19540.71</v>
      </c>
      <c r="G12" s="95">
        <v>1.1630691025368313E-3</v>
      </c>
      <c r="H12" s="95" t="s">
        <v>2986</v>
      </c>
      <c r="I12" s="95" t="str">
        <f t="shared" si="2"/>
        <v>NO</v>
      </c>
      <c r="J12" s="97">
        <v>92872.916500000298</v>
      </c>
      <c r="K12" s="98">
        <v>3.4587412562109197E-3</v>
      </c>
      <c r="L12" s="99">
        <v>19540.71</v>
      </c>
      <c r="M12" s="98">
        <v>1.1630691025368313E-3</v>
      </c>
      <c r="N12" s="98" t="str">
        <f t="shared" si="0"/>
        <v>NO</v>
      </c>
      <c r="O12" s="97">
        <v>7778.5729000000001</v>
      </c>
      <c r="P12" s="100">
        <v>3.4587412562109197E-3</v>
      </c>
      <c r="Q12" s="99">
        <v>0</v>
      </c>
      <c r="R12" s="101">
        <v>1.1630691025368313E-3</v>
      </c>
      <c r="S12" t="str">
        <f t="shared" si="1"/>
        <v>NO</v>
      </c>
      <c r="T12" t="e">
        <f>VLOOKUP(Table8[[#This Row],[Census Tract]],'UI EnergyBurden'!$A$2:$B$184,2,FALSE)</f>
        <v>#N/A</v>
      </c>
      <c r="U12" t="e">
        <f>VLOOKUP(Table8[[#This Row],[Census Tract]],'Population and Diversity Data'!$B$2:$K$823,10,FALSE)</f>
        <v>#N/A</v>
      </c>
    </row>
    <row r="13" spans="1:21" ht="15.75" thickBot="1" x14ac:dyDescent="0.3">
      <c r="A13" s="92" t="s">
        <v>2990</v>
      </c>
      <c r="B13" s="200" t="s">
        <v>2985</v>
      </c>
      <c r="C13" s="93" t="s">
        <v>944</v>
      </c>
      <c r="D13" s="94">
        <v>167953.6121</v>
      </c>
      <c r="E13" s="95">
        <v>5.7714802906822541E-3</v>
      </c>
      <c r="F13" s="96">
        <v>16361.63</v>
      </c>
      <c r="G13" s="95">
        <v>9.738492777457777E-4</v>
      </c>
      <c r="H13" s="95" t="s">
        <v>2986</v>
      </c>
      <c r="I13" s="95" t="str">
        <f t="shared" si="2"/>
        <v>NO</v>
      </c>
      <c r="J13" s="97">
        <v>158569.57990000001</v>
      </c>
      <c r="K13" s="98">
        <v>5.7714802906822541E-3</v>
      </c>
      <c r="L13" s="99">
        <v>16361.63</v>
      </c>
      <c r="M13" s="98">
        <v>9.738492777457777E-4</v>
      </c>
      <c r="N13" s="98" t="str">
        <f t="shared" si="0"/>
        <v>NO</v>
      </c>
      <c r="O13" s="97">
        <v>9384.0321999999996</v>
      </c>
      <c r="P13" s="100">
        <v>5.7714802906822541E-3</v>
      </c>
      <c r="Q13" s="99">
        <v>0</v>
      </c>
      <c r="R13" s="101">
        <v>9.738492777457777E-4</v>
      </c>
      <c r="S13" t="str">
        <f t="shared" si="1"/>
        <v>NO</v>
      </c>
      <c r="T13" t="e">
        <f>VLOOKUP(Table8[[#This Row],[Census Tract]],'UI EnergyBurden'!$A$2:$B$184,2,FALSE)</f>
        <v>#N/A</v>
      </c>
      <c r="U13" t="e">
        <f>VLOOKUP(Table8[[#This Row],[Census Tract]],'Population and Diversity Data'!$B$2:$K$823,10,FALSE)</f>
        <v>#N/A</v>
      </c>
    </row>
    <row r="14" spans="1:21" ht="15.75" thickBot="1" x14ac:dyDescent="0.3">
      <c r="A14" s="92" t="s">
        <v>2991</v>
      </c>
      <c r="B14" s="200" t="s">
        <v>2985</v>
      </c>
      <c r="C14" s="93" t="s">
        <v>944</v>
      </c>
      <c r="D14" s="94">
        <v>77707.489599999899</v>
      </c>
      <c r="E14" s="95">
        <v>2.6703042528062166E-3</v>
      </c>
      <c r="F14" s="96">
        <v>7351.8</v>
      </c>
      <c r="G14" s="95">
        <v>4.3758140968420684E-4</v>
      </c>
      <c r="H14" s="95" t="s">
        <v>2986</v>
      </c>
      <c r="I14" s="95" t="str">
        <f t="shared" si="2"/>
        <v>NO</v>
      </c>
      <c r="J14" s="97">
        <v>71345.134499999898</v>
      </c>
      <c r="K14" s="98">
        <v>2.6703042528062166E-3</v>
      </c>
      <c r="L14" s="99">
        <v>7351.8</v>
      </c>
      <c r="M14" s="98">
        <v>4.3758140968420684E-4</v>
      </c>
      <c r="N14" s="98" t="str">
        <f t="shared" si="0"/>
        <v>NO</v>
      </c>
      <c r="O14" s="97">
        <v>6362.3550999999998</v>
      </c>
      <c r="P14" s="100">
        <v>2.6703042528062166E-3</v>
      </c>
      <c r="Q14" s="99">
        <v>0</v>
      </c>
      <c r="R14" s="101">
        <v>4.3758140968420684E-4</v>
      </c>
      <c r="S14" t="str">
        <f t="shared" si="1"/>
        <v>NO</v>
      </c>
      <c r="T14" t="e">
        <f>VLOOKUP(Table8[[#This Row],[Census Tract]],'UI EnergyBurden'!$A$2:$B$184,2,FALSE)</f>
        <v>#N/A</v>
      </c>
      <c r="U14" t="e">
        <f>VLOOKUP(Table8[[#This Row],[Census Tract]],'Population and Diversity Data'!$B$2:$K$823,10,FALSE)</f>
        <v>#N/A</v>
      </c>
    </row>
    <row r="15" spans="1:21" ht="15.75" thickBot="1" x14ac:dyDescent="0.3">
      <c r="A15" s="92" t="s">
        <v>2992</v>
      </c>
      <c r="B15" s="200" t="s">
        <v>2985</v>
      </c>
      <c r="C15" s="93" t="s">
        <v>944</v>
      </c>
      <c r="D15" s="94">
        <v>122971.57519999982</v>
      </c>
      <c r="E15" s="95">
        <v>4.2257383673199944E-3</v>
      </c>
      <c r="F15" s="96">
        <v>95807</v>
      </c>
      <c r="G15" s="95">
        <v>5.7024622701399392E-3</v>
      </c>
      <c r="H15" s="95" t="s">
        <v>2993</v>
      </c>
      <c r="I15" s="95" t="str">
        <f t="shared" si="2"/>
        <v>YES</v>
      </c>
      <c r="J15" s="97">
        <v>73188.417499999807</v>
      </c>
      <c r="K15" s="98">
        <v>4.2257383673199944E-3</v>
      </c>
      <c r="L15" s="99">
        <v>6296</v>
      </c>
      <c r="M15" s="98">
        <v>5.7024622701399392E-3</v>
      </c>
      <c r="N15" s="98" t="str">
        <f t="shared" si="0"/>
        <v>YES</v>
      </c>
      <c r="O15" s="97">
        <v>49783.157700000003</v>
      </c>
      <c r="P15" s="100">
        <v>4.2257383673199944E-3</v>
      </c>
      <c r="Q15" s="99">
        <v>89511</v>
      </c>
      <c r="R15" s="101">
        <v>5.7024622701399392E-3</v>
      </c>
      <c r="S15" t="str">
        <f t="shared" si="1"/>
        <v>YES</v>
      </c>
      <c r="T15" t="e">
        <f>VLOOKUP(Table8[[#This Row],[Census Tract]],'UI EnergyBurden'!$A$2:$B$184,2,FALSE)</f>
        <v>#N/A</v>
      </c>
      <c r="U15" t="e">
        <f>VLOOKUP(Table8[[#This Row],[Census Tract]],'Population and Diversity Data'!$B$2:$K$823,10,FALSE)</f>
        <v>#N/A</v>
      </c>
    </row>
    <row r="16" spans="1:21" ht="15.75" thickBot="1" x14ac:dyDescent="0.3">
      <c r="A16" s="92" t="s">
        <v>2994</v>
      </c>
      <c r="B16" s="200" t="s">
        <v>2985</v>
      </c>
      <c r="C16" s="93" t="s">
        <v>944</v>
      </c>
      <c r="D16" s="94">
        <v>117727.4436</v>
      </c>
      <c r="E16" s="95">
        <v>4.0455314530851143E-3</v>
      </c>
      <c r="F16" s="96">
        <v>8336.0400000000009</v>
      </c>
      <c r="G16" s="95">
        <v>4.9616367887917736E-4</v>
      </c>
      <c r="H16" s="95" t="s">
        <v>2986</v>
      </c>
      <c r="I16" s="95" t="str">
        <f t="shared" si="2"/>
        <v>NO</v>
      </c>
      <c r="J16" s="97">
        <v>98856.620699999999</v>
      </c>
      <c r="K16" s="98">
        <v>4.0455314530851143E-3</v>
      </c>
      <c r="L16" s="99">
        <v>8336.0400000000009</v>
      </c>
      <c r="M16" s="98">
        <v>4.9616367887917736E-4</v>
      </c>
      <c r="N16" s="98" t="str">
        <f t="shared" si="0"/>
        <v>NO</v>
      </c>
      <c r="O16" s="97">
        <v>18870.822899999999</v>
      </c>
      <c r="P16" s="100">
        <v>4.0455314530851143E-3</v>
      </c>
      <c r="Q16" s="99">
        <v>0</v>
      </c>
      <c r="R16" s="101">
        <v>4.9616367887917736E-4</v>
      </c>
      <c r="S16" t="str">
        <f t="shared" si="1"/>
        <v>NO</v>
      </c>
      <c r="T16" t="e">
        <f>VLOOKUP(Table8[[#This Row],[Census Tract]],'UI EnergyBurden'!$A$2:$B$184,2,FALSE)</f>
        <v>#N/A</v>
      </c>
      <c r="U16" t="e">
        <f>VLOOKUP(Table8[[#This Row],[Census Tract]],'Population and Diversity Data'!$B$2:$K$823,10,FALSE)</f>
        <v>#N/A</v>
      </c>
    </row>
    <row r="17" spans="1:21" ht="15.75" thickBot="1" x14ac:dyDescent="0.3">
      <c r="A17" s="92" t="s">
        <v>2995</v>
      </c>
      <c r="B17" s="200" t="s">
        <v>2985</v>
      </c>
      <c r="C17" s="93" t="s">
        <v>944</v>
      </c>
      <c r="D17" s="94">
        <v>41183.171700000006</v>
      </c>
      <c r="E17" s="95">
        <v>1.4151994756314813E-3</v>
      </c>
      <c r="F17" s="96">
        <v>4387.5200000000004</v>
      </c>
      <c r="G17" s="95">
        <v>2.6114654732414528E-4</v>
      </c>
      <c r="H17" s="95" t="s">
        <v>2986</v>
      </c>
      <c r="I17" s="95" t="str">
        <f t="shared" si="2"/>
        <v>NO</v>
      </c>
      <c r="J17" s="97">
        <v>39085.891300000003</v>
      </c>
      <c r="K17" s="98">
        <v>1.4151994756314813E-3</v>
      </c>
      <c r="L17" s="99">
        <v>4387.5200000000004</v>
      </c>
      <c r="M17" s="98">
        <v>2.6114654732414528E-4</v>
      </c>
      <c r="N17" s="98" t="str">
        <f t="shared" si="0"/>
        <v>NO</v>
      </c>
      <c r="O17" s="97">
        <v>2097.2804000000001</v>
      </c>
      <c r="P17" s="100">
        <v>1.4151994756314813E-3</v>
      </c>
      <c r="Q17" s="99">
        <v>0</v>
      </c>
      <c r="R17" s="101">
        <v>2.6114654732414528E-4</v>
      </c>
      <c r="S17" t="str">
        <f t="shared" si="1"/>
        <v>NO</v>
      </c>
      <c r="T17" t="e">
        <f>VLOOKUP(Table8[[#This Row],[Census Tract]],'UI EnergyBurden'!$A$2:$B$184,2,FALSE)</f>
        <v>#N/A</v>
      </c>
      <c r="U17" t="e">
        <f>VLOOKUP(Table8[[#This Row],[Census Tract]],'Population and Diversity Data'!$B$2:$K$823,10,FALSE)</f>
        <v>#N/A</v>
      </c>
    </row>
    <row r="18" spans="1:21" ht="15.75" thickBot="1" x14ac:dyDescent="0.3">
      <c r="A18" s="92" t="s">
        <v>2996</v>
      </c>
      <c r="B18" s="200" t="s">
        <v>2985</v>
      </c>
      <c r="C18" s="93" t="s">
        <v>944</v>
      </c>
      <c r="D18" s="94">
        <v>49269.364099999999</v>
      </c>
      <c r="E18" s="95">
        <v>1.693069653472477E-3</v>
      </c>
      <c r="F18" s="96">
        <v>30036.3</v>
      </c>
      <c r="G18" s="95">
        <v>1.7877698652979872E-3</v>
      </c>
      <c r="H18" s="95" t="s">
        <v>2993</v>
      </c>
      <c r="I18" s="95" t="str">
        <f t="shared" si="2"/>
        <v>YES</v>
      </c>
      <c r="J18" s="97">
        <v>48889.4</v>
      </c>
      <c r="K18" s="98">
        <v>1.693069653472477E-3</v>
      </c>
      <c r="L18" s="99">
        <v>30036.3</v>
      </c>
      <c r="M18" s="98">
        <v>1.7877698652979872E-3</v>
      </c>
      <c r="N18" s="98" t="str">
        <f t="shared" si="0"/>
        <v>YES</v>
      </c>
      <c r="O18" s="97">
        <v>379.96409999999997</v>
      </c>
      <c r="P18" s="100">
        <v>1.693069653472477E-3</v>
      </c>
      <c r="Q18" s="99">
        <v>0</v>
      </c>
      <c r="R18" s="101">
        <v>1.7877698652979872E-3</v>
      </c>
      <c r="S18" t="str">
        <f t="shared" si="1"/>
        <v>YES</v>
      </c>
      <c r="T18" t="e">
        <f>VLOOKUP(Table8[[#This Row],[Census Tract]],'UI EnergyBurden'!$A$2:$B$184,2,FALSE)</f>
        <v>#N/A</v>
      </c>
      <c r="U18" t="e">
        <f>VLOOKUP(Table8[[#This Row],[Census Tract]],'Population and Diversity Data'!$B$2:$K$823,10,FALSE)</f>
        <v>#N/A</v>
      </c>
    </row>
    <row r="19" spans="1:21" ht="15.75" thickBot="1" x14ac:dyDescent="0.3">
      <c r="A19" s="92" t="s">
        <v>2997</v>
      </c>
      <c r="B19" s="200" t="s">
        <v>2985</v>
      </c>
      <c r="C19" s="93" t="s">
        <v>944</v>
      </c>
      <c r="D19" s="94">
        <v>141435.50439999992</v>
      </c>
      <c r="E19" s="95">
        <v>4.8602242955113123E-3</v>
      </c>
      <c r="F19" s="96">
        <v>84443.99</v>
      </c>
      <c r="G19" s="95">
        <v>5.0261324007126237E-3</v>
      </c>
      <c r="H19" s="95" t="s">
        <v>2993</v>
      </c>
      <c r="I19" s="95" t="str">
        <f t="shared" si="2"/>
        <v>YES</v>
      </c>
      <c r="J19" s="97">
        <v>73580.641299999901</v>
      </c>
      <c r="K19" s="98">
        <v>4.8602242955113123E-3</v>
      </c>
      <c r="L19" s="99">
        <v>75486.320000000007</v>
      </c>
      <c r="M19" s="98">
        <v>5.0261324007126237E-3</v>
      </c>
      <c r="N19" s="98" t="str">
        <f t="shared" si="0"/>
        <v>YES</v>
      </c>
      <c r="O19" s="97">
        <v>67854.863100000002</v>
      </c>
      <c r="P19" s="100">
        <v>4.8602242955113123E-3</v>
      </c>
      <c r="Q19" s="99">
        <v>8957.67</v>
      </c>
      <c r="R19" s="101">
        <v>5.0261324007126237E-3</v>
      </c>
      <c r="S19" t="str">
        <f t="shared" si="1"/>
        <v>YES</v>
      </c>
      <c r="T19" t="e">
        <f>VLOOKUP(Table8[[#This Row],[Census Tract]],'UI EnergyBurden'!$A$2:$B$184,2,FALSE)</f>
        <v>#N/A</v>
      </c>
      <c r="U19" t="e">
        <f>VLOOKUP(Table8[[#This Row],[Census Tract]],'Population and Diversity Data'!$B$2:$K$823,10,FALSE)</f>
        <v>#N/A</v>
      </c>
    </row>
    <row r="20" spans="1:21" ht="15.75" thickBot="1" x14ac:dyDescent="0.3">
      <c r="A20" s="237" t="s">
        <v>2998</v>
      </c>
      <c r="B20" s="238" t="s">
        <v>2985</v>
      </c>
      <c r="C20" s="239" t="s">
        <v>944</v>
      </c>
      <c r="D20" s="94">
        <v>72876.102700000003</v>
      </c>
      <c r="E20" s="95">
        <v>2.5042807066534404E-3</v>
      </c>
      <c r="F20" s="96">
        <v>4473.07</v>
      </c>
      <c r="G20" s="95">
        <v>2.6623850978211254E-4</v>
      </c>
      <c r="H20" s="95" t="s">
        <v>2986</v>
      </c>
      <c r="I20" s="95" t="str">
        <f t="shared" si="2"/>
        <v>NO</v>
      </c>
      <c r="J20" s="102">
        <v>67549.058600000004</v>
      </c>
      <c r="K20" s="103">
        <v>2.5042807066534404E-3</v>
      </c>
      <c r="L20" s="104">
        <v>4173.07</v>
      </c>
      <c r="M20" s="103">
        <v>2.6623850978211254E-4</v>
      </c>
      <c r="N20" s="103" t="str">
        <f t="shared" si="0"/>
        <v>NO</v>
      </c>
      <c r="O20" s="102">
        <v>5327.0441000000001</v>
      </c>
      <c r="P20" s="105">
        <v>2.5042807066534404E-3</v>
      </c>
      <c r="Q20" s="104">
        <v>300</v>
      </c>
      <c r="R20" s="106">
        <v>2.6623850978211254E-4</v>
      </c>
      <c r="S20" t="str">
        <f t="shared" si="1"/>
        <v>NO</v>
      </c>
      <c r="T20" t="e">
        <f>VLOOKUP(Table8[[#This Row],[Census Tract]],'UI EnergyBurden'!$A$2:$B$184,2,FALSE)</f>
        <v>#N/A</v>
      </c>
      <c r="U20" t="e">
        <f>VLOOKUP(Table8[[#This Row],[Census Tract]],'Population and Diversity Data'!$B$2:$K$823,10,FALSE)</f>
        <v>#N/A</v>
      </c>
    </row>
    <row r="21" spans="1:21" ht="15.75" thickBot="1" x14ac:dyDescent="0.3">
      <c r="A21" s="237" t="s">
        <v>2999</v>
      </c>
      <c r="B21" s="238" t="s">
        <v>2985</v>
      </c>
      <c r="C21" s="239" t="s">
        <v>944</v>
      </c>
      <c r="D21" s="94">
        <v>37465.910400000001</v>
      </c>
      <c r="E21" s="95">
        <v>1.2874612265994087E-3</v>
      </c>
      <c r="F21" s="96">
        <v>19703.03</v>
      </c>
      <c r="G21" s="95">
        <v>1.1727304391373837E-3</v>
      </c>
      <c r="H21" s="95" t="s">
        <v>2993</v>
      </c>
      <c r="I21" s="95" t="str">
        <f t="shared" si="2"/>
        <v>NO</v>
      </c>
      <c r="J21" s="102">
        <v>35405.151700000002</v>
      </c>
      <c r="K21" s="103">
        <v>1.2874612265994087E-3</v>
      </c>
      <c r="L21" s="104">
        <v>19213.03</v>
      </c>
      <c r="M21" s="103">
        <v>1.1727304391373837E-3</v>
      </c>
      <c r="N21" s="103" t="str">
        <f t="shared" si="0"/>
        <v>NO</v>
      </c>
      <c r="O21" s="102">
        <v>2060.7586999999999</v>
      </c>
      <c r="P21" s="105">
        <v>1.2874612265994087E-3</v>
      </c>
      <c r="Q21" s="104">
        <v>490</v>
      </c>
      <c r="R21" s="106">
        <v>1.1727304391373837E-3</v>
      </c>
      <c r="S21" t="str">
        <f t="shared" si="1"/>
        <v>NO</v>
      </c>
      <c r="T21" t="e">
        <f>VLOOKUP(Table8[[#This Row],[Census Tract]],'UI EnergyBurden'!$A$2:$B$184,2,FALSE)</f>
        <v>#N/A</v>
      </c>
      <c r="U21" t="e">
        <f>VLOOKUP(Table8[[#This Row],[Census Tract]],'Population and Diversity Data'!$B$2:$K$823,10,FALSE)</f>
        <v>#N/A</v>
      </c>
    </row>
    <row r="22" spans="1:21" ht="15.75" thickBot="1" x14ac:dyDescent="0.3">
      <c r="A22" s="237" t="s">
        <v>3000</v>
      </c>
      <c r="B22" s="238" t="s">
        <v>2985</v>
      </c>
      <c r="C22" s="239" t="s">
        <v>944</v>
      </c>
      <c r="D22" s="94">
        <v>75361.948199999999</v>
      </c>
      <c r="E22" s="95">
        <v>2.5897031523486776E-3</v>
      </c>
      <c r="F22" s="96">
        <v>35125.230000000003</v>
      </c>
      <c r="G22" s="95">
        <v>2.0906645527465372E-3</v>
      </c>
      <c r="H22" s="95" t="s">
        <v>2986</v>
      </c>
      <c r="I22" s="95" t="str">
        <f t="shared" si="2"/>
        <v>NO</v>
      </c>
      <c r="J22" s="102">
        <v>51750.383699999998</v>
      </c>
      <c r="K22" s="103">
        <v>2.5897031523486776E-3</v>
      </c>
      <c r="L22" s="104">
        <v>7224.19</v>
      </c>
      <c r="M22" s="103">
        <v>2.0906645527465372E-3</v>
      </c>
      <c r="N22" s="103" t="str">
        <f t="shared" si="0"/>
        <v>NO</v>
      </c>
      <c r="O22" s="102">
        <v>23611.5645</v>
      </c>
      <c r="P22" s="105">
        <v>2.5897031523486776E-3</v>
      </c>
      <c r="Q22" s="104">
        <v>27901.040000000001</v>
      </c>
      <c r="R22" s="106">
        <v>2.0906645527465372E-3</v>
      </c>
      <c r="S22" t="str">
        <f t="shared" si="1"/>
        <v>NO</v>
      </c>
      <c r="T22" t="e">
        <f>VLOOKUP(Table8[[#This Row],[Census Tract]],'UI EnergyBurden'!$A$2:$B$184,2,FALSE)</f>
        <v>#N/A</v>
      </c>
      <c r="U22" t="e">
        <f>VLOOKUP(Table8[[#This Row],[Census Tract]],'Population and Diversity Data'!$B$2:$K$823,10,FALSE)</f>
        <v>#N/A</v>
      </c>
    </row>
    <row r="23" spans="1:21" ht="15.75" thickBot="1" x14ac:dyDescent="0.3">
      <c r="A23" s="237" t="s">
        <v>3001</v>
      </c>
      <c r="B23" s="238" t="s">
        <v>2985</v>
      </c>
      <c r="C23" s="239" t="s">
        <v>944</v>
      </c>
      <c r="D23" s="94">
        <v>118695.17509999999</v>
      </c>
      <c r="E23" s="95">
        <v>4.0787861310231923E-3</v>
      </c>
      <c r="F23" s="96">
        <v>8852.1899999999987</v>
      </c>
      <c r="G23" s="95">
        <v>5.2688508650839772E-4</v>
      </c>
      <c r="H23" s="95" t="s">
        <v>2986</v>
      </c>
      <c r="I23" s="95" t="str">
        <f t="shared" si="2"/>
        <v>NO</v>
      </c>
      <c r="J23" s="102">
        <v>47281.252</v>
      </c>
      <c r="K23" s="103">
        <v>4.0787861310231923E-3</v>
      </c>
      <c r="L23" s="104">
        <v>5299.19</v>
      </c>
      <c r="M23" s="103">
        <v>5.2688508650839772E-4</v>
      </c>
      <c r="N23" s="103" t="str">
        <f t="shared" si="0"/>
        <v>NO</v>
      </c>
      <c r="O23" s="102">
        <v>71413.9231</v>
      </c>
      <c r="P23" s="105">
        <v>4.0787861310231923E-3</v>
      </c>
      <c r="Q23" s="104">
        <v>3553</v>
      </c>
      <c r="R23" s="106">
        <v>5.2688508650839772E-4</v>
      </c>
      <c r="S23" t="str">
        <f t="shared" si="1"/>
        <v>NO</v>
      </c>
      <c r="T23" t="e">
        <f>VLOOKUP(Table8[[#This Row],[Census Tract]],'UI EnergyBurden'!$A$2:$B$184,2,FALSE)</f>
        <v>#N/A</v>
      </c>
      <c r="U23" t="e">
        <f>VLOOKUP(Table8[[#This Row],[Census Tract]],'Population and Diversity Data'!$B$2:$K$823,10,FALSE)</f>
        <v>#N/A</v>
      </c>
    </row>
    <row r="24" spans="1:21" ht="15.75" thickBot="1" x14ac:dyDescent="0.3">
      <c r="A24" s="237" t="s">
        <v>3002</v>
      </c>
      <c r="B24" s="238" t="s">
        <v>934</v>
      </c>
      <c r="C24" s="239" t="s">
        <v>944</v>
      </c>
      <c r="D24" s="94">
        <v>539.35699999999997</v>
      </c>
      <c r="E24" s="95">
        <v>1.8534214633550644E-5</v>
      </c>
      <c r="F24" s="96">
        <v>0</v>
      </c>
      <c r="G24" s="95">
        <v>0</v>
      </c>
      <c r="H24" s="95" t="s">
        <v>2982</v>
      </c>
      <c r="I24" s="95" t="str">
        <f t="shared" si="2"/>
        <v>NO</v>
      </c>
      <c r="J24" s="102">
        <v>0</v>
      </c>
      <c r="K24" s="103">
        <v>1.8534214633550644E-5</v>
      </c>
      <c r="L24" s="104">
        <v>0</v>
      </c>
      <c r="M24" s="103">
        <v>0</v>
      </c>
      <c r="N24" s="103" t="str">
        <f t="shared" si="0"/>
        <v>NO</v>
      </c>
      <c r="O24" s="102">
        <v>539.35699999999997</v>
      </c>
      <c r="P24" s="105">
        <v>1.8534214633550644E-5</v>
      </c>
      <c r="Q24" s="104">
        <v>0</v>
      </c>
      <c r="R24" s="106">
        <v>0</v>
      </c>
      <c r="S24" t="str">
        <f t="shared" si="1"/>
        <v>NO</v>
      </c>
      <c r="T24" t="e">
        <f>VLOOKUP(Table8[[#This Row],[Census Tract]],'UI EnergyBurden'!$A$2:$B$184,2,FALSE)</f>
        <v>#N/A</v>
      </c>
      <c r="U24" t="e">
        <f>VLOOKUP(Table8[[#This Row],[Census Tract]],'Population and Diversity Data'!$B$2:$K$823,10,FALSE)</f>
        <v>#N/A</v>
      </c>
    </row>
    <row r="25" spans="1:21" ht="15.75" thickBot="1" x14ac:dyDescent="0.3">
      <c r="A25" s="237" t="s">
        <v>3002</v>
      </c>
      <c r="B25" s="238" t="s">
        <v>2985</v>
      </c>
      <c r="C25" s="239" t="s">
        <v>944</v>
      </c>
      <c r="D25" s="94">
        <v>188421.01179999998</v>
      </c>
      <c r="E25" s="95">
        <v>6.4748125530436768E-3</v>
      </c>
      <c r="F25" s="96">
        <v>34700.67</v>
      </c>
      <c r="G25" s="95">
        <v>2.065394610243269E-3</v>
      </c>
      <c r="H25" s="95" t="s">
        <v>2986</v>
      </c>
      <c r="I25" s="95" t="str">
        <f t="shared" si="2"/>
        <v>NO</v>
      </c>
      <c r="J25" s="102">
        <v>104123.3682</v>
      </c>
      <c r="K25" s="103">
        <v>6.4748125530436768E-3</v>
      </c>
      <c r="L25" s="104">
        <v>13917.12</v>
      </c>
      <c r="M25" s="103">
        <v>2.065394610243269E-3</v>
      </c>
      <c r="N25" s="103" t="str">
        <f t="shared" si="0"/>
        <v>NO</v>
      </c>
      <c r="O25" s="102">
        <v>84297.643599999996</v>
      </c>
      <c r="P25" s="105">
        <v>6.4748125530436768E-3</v>
      </c>
      <c r="Q25" s="104">
        <v>20783.55</v>
      </c>
      <c r="R25" s="106">
        <v>2.065394610243269E-3</v>
      </c>
      <c r="S25" t="str">
        <f t="shared" si="1"/>
        <v>NO</v>
      </c>
      <c r="T25" t="e">
        <f>VLOOKUP(Table8[[#This Row],[Census Tract]],'UI EnergyBurden'!$A$2:$B$184,2,FALSE)</f>
        <v>#N/A</v>
      </c>
      <c r="U25" t="e">
        <f>VLOOKUP(Table8[[#This Row],[Census Tract]],'Population and Diversity Data'!$B$2:$K$823,10,FALSE)</f>
        <v>#N/A</v>
      </c>
    </row>
    <row r="26" spans="1:21" ht="15.75" thickBot="1" x14ac:dyDescent="0.3">
      <c r="A26" s="237" t="s">
        <v>3003</v>
      </c>
      <c r="B26" s="238" t="s">
        <v>2985</v>
      </c>
      <c r="C26" s="239" t="s">
        <v>944</v>
      </c>
      <c r="D26" s="94">
        <v>182195.8941</v>
      </c>
      <c r="E26" s="95">
        <v>6.2608954859231705E-3</v>
      </c>
      <c r="F26" s="96">
        <v>24755.48</v>
      </c>
      <c r="G26" s="95">
        <v>1.473453825703799E-3</v>
      </c>
      <c r="H26" s="95" t="s">
        <v>2986</v>
      </c>
      <c r="I26" s="95" t="str">
        <f t="shared" si="2"/>
        <v>NO</v>
      </c>
      <c r="J26" s="102">
        <v>114122.9146</v>
      </c>
      <c r="K26" s="103">
        <v>6.2608954859231705E-3</v>
      </c>
      <c r="L26" s="104">
        <v>10431.48</v>
      </c>
      <c r="M26" s="103">
        <v>1.473453825703799E-3</v>
      </c>
      <c r="N26" s="103" t="str">
        <f t="shared" si="0"/>
        <v>NO</v>
      </c>
      <c r="O26" s="102">
        <v>68072.979500000001</v>
      </c>
      <c r="P26" s="105">
        <v>6.2608954859231705E-3</v>
      </c>
      <c r="Q26" s="104">
        <v>14324</v>
      </c>
      <c r="R26" s="106">
        <v>1.473453825703799E-3</v>
      </c>
      <c r="S26" t="str">
        <f t="shared" si="1"/>
        <v>NO</v>
      </c>
      <c r="T26" t="e">
        <f>VLOOKUP(Table8[[#This Row],[Census Tract]],'UI EnergyBurden'!$A$2:$B$184,2,FALSE)</f>
        <v>#N/A</v>
      </c>
      <c r="U26" t="e">
        <f>VLOOKUP(Table8[[#This Row],[Census Tract]],'Population and Diversity Data'!$B$2:$K$823,10,FALSE)</f>
        <v>#N/A</v>
      </c>
    </row>
    <row r="27" spans="1:21" ht="15.75" thickBot="1" x14ac:dyDescent="0.3">
      <c r="A27" s="237" t="s">
        <v>3004</v>
      </c>
      <c r="B27" s="238" t="s">
        <v>3005</v>
      </c>
      <c r="C27" s="239" t="s">
        <v>944</v>
      </c>
      <c r="D27" s="94">
        <v>0</v>
      </c>
      <c r="E27" s="95">
        <v>0</v>
      </c>
      <c r="F27" s="96">
        <v>11586.15</v>
      </c>
      <c r="G27" s="95">
        <v>6.8961123123761155E-4</v>
      </c>
      <c r="H27" s="95" t="s">
        <v>2993</v>
      </c>
      <c r="I27" s="95" t="str">
        <f t="shared" si="2"/>
        <v>N/A</v>
      </c>
      <c r="J27" s="102">
        <v>0</v>
      </c>
      <c r="K27" s="103">
        <v>0</v>
      </c>
      <c r="L27" s="104">
        <v>11088.15</v>
      </c>
      <c r="M27" s="103">
        <v>6.8961123123761155E-4</v>
      </c>
      <c r="N27" s="103" t="str">
        <f t="shared" si="0"/>
        <v>N/A</v>
      </c>
      <c r="O27" s="102">
        <v>0</v>
      </c>
      <c r="P27" s="105">
        <v>0</v>
      </c>
      <c r="Q27" s="104">
        <v>498</v>
      </c>
      <c r="R27" s="106">
        <v>6.8961123123761155E-4</v>
      </c>
      <c r="S27" t="str">
        <f t="shared" si="1"/>
        <v>N/A</v>
      </c>
      <c r="T27" t="e">
        <f>VLOOKUP(Table8[[#This Row],[Census Tract]],'UI EnergyBurden'!$A$2:$B$184,2,FALSE)</f>
        <v>#N/A</v>
      </c>
      <c r="U27" t="e">
        <f>VLOOKUP(Table8[[#This Row],[Census Tract]],'Population and Diversity Data'!$B$2:$K$823,10,FALSE)</f>
        <v>#N/A</v>
      </c>
    </row>
    <row r="28" spans="1:21" ht="15.75" thickBot="1" x14ac:dyDescent="0.3">
      <c r="A28" s="174">
        <v>9001070100</v>
      </c>
      <c r="B28" s="238" t="s">
        <v>934</v>
      </c>
      <c r="C28" s="239" t="s">
        <v>936</v>
      </c>
      <c r="D28" s="94">
        <v>118414.09310000039</v>
      </c>
      <c r="E28" s="95">
        <v>4.0691271591036283E-3</v>
      </c>
      <c r="F28" s="96">
        <v>0</v>
      </c>
      <c r="G28" s="95">
        <v>0</v>
      </c>
      <c r="H28" s="95" t="s">
        <v>2982</v>
      </c>
      <c r="I28" s="95" t="str">
        <f t="shared" si="2"/>
        <v>NO</v>
      </c>
      <c r="J28" s="102">
        <v>87876.710500000394</v>
      </c>
      <c r="K28" s="103">
        <v>4.0691271591036283E-3</v>
      </c>
      <c r="L28" s="104">
        <v>0</v>
      </c>
      <c r="M28" s="103">
        <v>0</v>
      </c>
      <c r="N28" s="103" t="str">
        <f t="shared" si="0"/>
        <v>NO</v>
      </c>
      <c r="O28" s="102">
        <v>30537.382600000001</v>
      </c>
      <c r="P28" s="105">
        <v>4.0691271591036283E-3</v>
      </c>
      <c r="Q28" s="104">
        <v>0</v>
      </c>
      <c r="R28" s="106">
        <v>0</v>
      </c>
      <c r="S28" t="str">
        <f t="shared" si="1"/>
        <v>NO</v>
      </c>
      <c r="T28" t="str">
        <f>VLOOKUP(Table8[[#This Row],[Census Tract]],'UI EnergyBurden'!$A$2:$B$184,2,FALSE)</f>
        <v>No</v>
      </c>
      <c r="U28">
        <f>VLOOKUP(Table8[[#This Row],[Census Tract]],'Population and Diversity Data'!B2:K823,10,FALSE)</f>
        <v>4</v>
      </c>
    </row>
    <row r="29" spans="1:21" ht="15.75" thickBot="1" x14ac:dyDescent="0.3">
      <c r="A29" s="240">
        <v>9001070200</v>
      </c>
      <c r="B29" s="238" t="s">
        <v>3005</v>
      </c>
      <c r="C29" s="239" t="s">
        <v>944</v>
      </c>
      <c r="D29" s="94">
        <v>0</v>
      </c>
      <c r="E29" s="95">
        <v>0</v>
      </c>
      <c r="F29" s="96">
        <v>8670.73</v>
      </c>
      <c r="G29" s="95">
        <v>5.1608453118843578E-4</v>
      </c>
      <c r="H29" s="95" t="s">
        <v>2993</v>
      </c>
      <c r="I29" s="95" t="str">
        <f t="shared" si="2"/>
        <v>N/A</v>
      </c>
      <c r="J29" s="102">
        <v>0</v>
      </c>
      <c r="K29" s="103">
        <v>0</v>
      </c>
      <c r="L29" s="104">
        <v>2227.9299999999998</v>
      </c>
      <c r="M29" s="103">
        <v>5.1608453118843578E-4</v>
      </c>
      <c r="N29" s="103" t="str">
        <f t="shared" si="0"/>
        <v>N/A</v>
      </c>
      <c r="O29" s="102">
        <v>0</v>
      </c>
      <c r="P29" s="105">
        <v>0</v>
      </c>
      <c r="Q29" s="104">
        <v>6442.8</v>
      </c>
      <c r="R29" s="106">
        <v>5.1608453118843578E-4</v>
      </c>
      <c r="S29" t="str">
        <f t="shared" si="1"/>
        <v>N/A</v>
      </c>
      <c r="T29" t="str">
        <f>VLOOKUP(Table8[[#This Row],[Census Tract]],'UI EnergyBurden'!$A$2:$B$184,2,FALSE)</f>
        <v>No</v>
      </c>
      <c r="U29">
        <f>VLOOKUP(Table8[[#This Row],[Census Tract]],'Population and Diversity Data'!$B$2:$K$823,10,FALSE)</f>
        <v>4</v>
      </c>
    </row>
    <row r="30" spans="1:21" ht="15.75" thickBot="1" x14ac:dyDescent="0.3">
      <c r="A30" s="240">
        <v>9001070200</v>
      </c>
      <c r="B30" s="238" t="s">
        <v>934</v>
      </c>
      <c r="C30" s="239" t="s">
        <v>936</v>
      </c>
      <c r="D30" s="94">
        <v>67503.344800000006</v>
      </c>
      <c r="E30" s="95">
        <v>2.3196537377020692E-3</v>
      </c>
      <c r="F30" s="96">
        <v>0</v>
      </c>
      <c r="G30" s="95">
        <v>0</v>
      </c>
      <c r="H30" s="95" t="s">
        <v>2982</v>
      </c>
      <c r="I30" s="95" t="str">
        <f t="shared" si="2"/>
        <v>NO</v>
      </c>
      <c r="J30" s="102">
        <v>45704.852400000003</v>
      </c>
      <c r="K30" s="103">
        <v>2.3196537377020692E-3</v>
      </c>
      <c r="L30" s="104">
        <v>0</v>
      </c>
      <c r="M30" s="103">
        <v>0</v>
      </c>
      <c r="N30" s="103" t="str">
        <f t="shared" si="0"/>
        <v>NO</v>
      </c>
      <c r="O30" s="102">
        <v>21798.492399999999</v>
      </c>
      <c r="P30" s="105">
        <v>2.3196537377020692E-3</v>
      </c>
      <c r="Q30" s="104">
        <v>0</v>
      </c>
      <c r="R30" s="106">
        <v>0</v>
      </c>
      <c r="S30" t="str">
        <f t="shared" si="1"/>
        <v>NO</v>
      </c>
      <c r="T30" t="str">
        <f>VLOOKUP(Table8[[#This Row],[Census Tract]],'UI EnergyBurden'!$A$2:$B$184,2,FALSE)</f>
        <v>No</v>
      </c>
      <c r="U30">
        <f>VLOOKUP(Table8[[#This Row],[Census Tract]],'Population and Diversity Data'!$B$2:$K$823,10,FALSE)</f>
        <v>4</v>
      </c>
    </row>
    <row r="31" spans="1:21" ht="15.75" thickBot="1" x14ac:dyDescent="0.3">
      <c r="A31" s="240">
        <v>9001070200</v>
      </c>
      <c r="B31" s="238" t="s">
        <v>3006</v>
      </c>
      <c r="C31" s="239" t="s">
        <v>944</v>
      </c>
      <c r="D31" s="94">
        <v>0</v>
      </c>
      <c r="E31" s="95">
        <v>0</v>
      </c>
      <c r="F31" s="96">
        <v>749.66</v>
      </c>
      <c r="G31" s="95">
        <v>4.4619995046636532E-5</v>
      </c>
      <c r="H31" s="95" t="s">
        <v>2993</v>
      </c>
      <c r="I31" s="95" t="str">
        <f t="shared" si="2"/>
        <v>N/A</v>
      </c>
      <c r="J31" s="102">
        <v>0</v>
      </c>
      <c r="K31" s="103">
        <v>0</v>
      </c>
      <c r="L31" s="104">
        <v>749.66</v>
      </c>
      <c r="M31" s="103">
        <v>4.4619995046636532E-5</v>
      </c>
      <c r="N31" s="103" t="str">
        <f t="shared" si="0"/>
        <v>N/A</v>
      </c>
      <c r="O31" s="102">
        <v>0</v>
      </c>
      <c r="P31" s="105">
        <v>0</v>
      </c>
      <c r="Q31" s="104">
        <v>0</v>
      </c>
      <c r="R31" s="106">
        <v>4.4619995046636532E-5</v>
      </c>
      <c r="S31" t="str">
        <f t="shared" si="1"/>
        <v>N/A</v>
      </c>
      <c r="T31" t="str">
        <f>VLOOKUP(Table8[[#This Row],[Census Tract]],'UI EnergyBurden'!$A$2:$B$184,2,FALSE)</f>
        <v>No</v>
      </c>
      <c r="U31">
        <f>VLOOKUP(Table8[[#This Row],[Census Tract]],'Population and Diversity Data'!$B$2:$K$823,10,FALSE)</f>
        <v>4</v>
      </c>
    </row>
    <row r="32" spans="1:21" ht="15.75" thickBot="1" x14ac:dyDescent="0.3">
      <c r="A32" s="240">
        <v>9001070300</v>
      </c>
      <c r="B32" s="238" t="s">
        <v>3005</v>
      </c>
      <c r="C32" s="239" t="s">
        <v>944</v>
      </c>
      <c r="D32" s="94">
        <v>0</v>
      </c>
      <c r="E32" s="95">
        <v>0</v>
      </c>
      <c r="F32" s="96">
        <v>213519.3</v>
      </c>
      <c r="G32" s="95">
        <v>1.2708734770911213E-2</v>
      </c>
      <c r="H32" s="95" t="s">
        <v>2993</v>
      </c>
      <c r="I32" s="95" t="str">
        <f t="shared" si="2"/>
        <v>N/A</v>
      </c>
      <c r="J32" s="102">
        <v>0</v>
      </c>
      <c r="K32" s="103">
        <v>0</v>
      </c>
      <c r="L32" s="104">
        <v>202635.3</v>
      </c>
      <c r="M32" s="103">
        <v>1.2708734770911213E-2</v>
      </c>
      <c r="N32" s="103" t="str">
        <f t="shared" si="0"/>
        <v>N/A</v>
      </c>
      <c r="O32" s="102">
        <v>0</v>
      </c>
      <c r="P32" s="105">
        <v>0</v>
      </c>
      <c r="Q32" s="104">
        <v>10884</v>
      </c>
      <c r="R32" s="106">
        <v>1.2708734770911213E-2</v>
      </c>
      <c r="S32" t="str">
        <f t="shared" si="1"/>
        <v>N/A</v>
      </c>
      <c r="T32" t="str">
        <f>VLOOKUP(Table8[[#This Row],[Census Tract]],'UI EnergyBurden'!$A$2:$B$184,2,FALSE)</f>
        <v>Yes</v>
      </c>
      <c r="U32">
        <f>VLOOKUP(Table8[[#This Row],[Census Tract]],'Population and Diversity Data'!$B$2:$K$823,10,FALSE)</f>
        <v>4</v>
      </c>
    </row>
    <row r="33" spans="1:21" ht="15.75" thickBot="1" x14ac:dyDescent="0.3">
      <c r="A33" s="240">
        <v>9001070300</v>
      </c>
      <c r="B33" s="238" t="s">
        <v>934</v>
      </c>
      <c r="C33" s="239" t="s">
        <v>936</v>
      </c>
      <c r="D33" s="94">
        <v>52641.309099999999</v>
      </c>
      <c r="E33" s="95">
        <v>1.808941612791681E-3</v>
      </c>
      <c r="F33" s="96">
        <v>0</v>
      </c>
      <c r="G33" s="95">
        <v>0</v>
      </c>
      <c r="H33" s="95" t="s">
        <v>2982</v>
      </c>
      <c r="I33" s="95" t="str">
        <f t="shared" si="2"/>
        <v>NO</v>
      </c>
      <c r="J33" s="102">
        <v>16956.723999999998</v>
      </c>
      <c r="K33" s="103">
        <v>1.808941612791681E-3</v>
      </c>
      <c r="L33" s="104">
        <v>0</v>
      </c>
      <c r="M33" s="103">
        <v>0</v>
      </c>
      <c r="N33" s="103" t="str">
        <f t="shared" si="0"/>
        <v>NO</v>
      </c>
      <c r="O33" s="102">
        <v>35684.585099999997</v>
      </c>
      <c r="P33" s="105">
        <v>1.808941612791681E-3</v>
      </c>
      <c r="Q33" s="104">
        <v>0</v>
      </c>
      <c r="R33" s="106">
        <v>0</v>
      </c>
      <c r="S33" t="str">
        <f t="shared" si="1"/>
        <v>NO</v>
      </c>
      <c r="T33" t="str">
        <f>VLOOKUP(Table8[[#This Row],[Census Tract]],'UI EnergyBurden'!$A$2:$B$184,2,FALSE)</f>
        <v>Yes</v>
      </c>
      <c r="U33">
        <f>VLOOKUP(Table8[[#This Row],[Census Tract]],'Population and Diversity Data'!$B$2:$K$823,10,FALSE)</f>
        <v>4</v>
      </c>
    </row>
    <row r="34" spans="1:21" ht="15.75" thickBot="1" x14ac:dyDescent="0.3">
      <c r="A34" s="240">
        <v>9001070400</v>
      </c>
      <c r="B34" s="238" t="s">
        <v>3005</v>
      </c>
      <c r="C34" s="239" t="s">
        <v>944</v>
      </c>
      <c r="D34" s="94">
        <v>0</v>
      </c>
      <c r="E34" s="95">
        <v>0</v>
      </c>
      <c r="F34" s="96">
        <v>2503.5299999999997</v>
      </c>
      <c r="G34" s="95">
        <v>1.4901087986434646E-4</v>
      </c>
      <c r="H34" s="95" t="s">
        <v>2993</v>
      </c>
      <c r="I34" s="95" t="str">
        <f t="shared" si="2"/>
        <v>N/A</v>
      </c>
      <c r="J34" s="102">
        <v>0</v>
      </c>
      <c r="K34" s="103">
        <v>0</v>
      </c>
      <c r="L34" s="104">
        <v>1029.53</v>
      </c>
      <c r="M34" s="103">
        <v>1.4901087986434646E-4</v>
      </c>
      <c r="N34" s="103" t="str">
        <f t="shared" si="0"/>
        <v>N/A</v>
      </c>
      <c r="O34" s="102">
        <v>0</v>
      </c>
      <c r="P34" s="105">
        <v>0</v>
      </c>
      <c r="Q34" s="104">
        <v>1474</v>
      </c>
      <c r="R34" s="106">
        <v>1.4901087986434646E-4</v>
      </c>
      <c r="S34" t="str">
        <f t="shared" si="1"/>
        <v>N/A</v>
      </c>
      <c r="T34" t="str">
        <f>VLOOKUP(Table8[[#This Row],[Census Tract]],'UI EnergyBurden'!$A$2:$B$184,2,FALSE)</f>
        <v>Yes</v>
      </c>
      <c r="U34">
        <f>VLOOKUP(Table8[[#This Row],[Census Tract]],'Population and Diversity Data'!$B$2:$K$823,10,FALSE)</f>
        <v>5</v>
      </c>
    </row>
    <row r="35" spans="1:21" ht="15.75" thickBot="1" x14ac:dyDescent="0.3">
      <c r="A35" s="240">
        <v>9001070400</v>
      </c>
      <c r="B35" s="238" t="s">
        <v>934</v>
      </c>
      <c r="C35" s="239" t="s">
        <v>936</v>
      </c>
      <c r="D35" s="94">
        <v>23919.493000000002</v>
      </c>
      <c r="E35" s="95">
        <v>8.2195840081376946E-4</v>
      </c>
      <c r="F35" s="96">
        <v>0</v>
      </c>
      <c r="G35" s="95">
        <v>0</v>
      </c>
      <c r="H35" s="95" t="s">
        <v>2982</v>
      </c>
      <c r="I35" s="95" t="str">
        <f t="shared" si="2"/>
        <v>NO</v>
      </c>
      <c r="J35" s="102">
        <v>17866.1715</v>
      </c>
      <c r="K35" s="103">
        <v>8.2195840081376946E-4</v>
      </c>
      <c r="L35" s="104">
        <v>0</v>
      </c>
      <c r="M35" s="103">
        <v>0</v>
      </c>
      <c r="N35" s="103" t="str">
        <f t="shared" si="0"/>
        <v>NO</v>
      </c>
      <c r="O35" s="102">
        <v>6053.3215</v>
      </c>
      <c r="P35" s="105">
        <v>8.2195840081376946E-4</v>
      </c>
      <c r="Q35" s="104">
        <v>0</v>
      </c>
      <c r="R35" s="106">
        <v>0</v>
      </c>
      <c r="S35" t="str">
        <f t="shared" si="1"/>
        <v>NO</v>
      </c>
      <c r="T35" t="str">
        <f>VLOOKUP(Table8[[#This Row],[Census Tract]],'UI EnergyBurden'!$A$2:$B$184,2,FALSE)</f>
        <v>Yes</v>
      </c>
      <c r="U35">
        <f>VLOOKUP(Table8[[#This Row],[Census Tract]],'Population and Diversity Data'!$B$2:$K$823,10,FALSE)</f>
        <v>5</v>
      </c>
    </row>
    <row r="36" spans="1:21" ht="15.75" thickBot="1" x14ac:dyDescent="0.3">
      <c r="A36" s="240">
        <v>9001070400</v>
      </c>
      <c r="B36" s="238" t="s">
        <v>956</v>
      </c>
      <c r="C36" s="239" t="s">
        <v>936</v>
      </c>
      <c r="D36" s="94">
        <v>50.864100000000001</v>
      </c>
      <c r="E36" s="95">
        <v>1.7478704207832351E-6</v>
      </c>
      <c r="F36" s="96">
        <v>0</v>
      </c>
      <c r="G36" s="95">
        <v>0</v>
      </c>
      <c r="H36" s="95" t="s">
        <v>2982</v>
      </c>
      <c r="I36" s="95" t="str">
        <f t="shared" si="2"/>
        <v>N/A</v>
      </c>
      <c r="J36" s="102">
        <v>50.864100000000001</v>
      </c>
      <c r="K36" s="103">
        <v>1.7478704207832351E-6</v>
      </c>
      <c r="L36" s="104">
        <v>0</v>
      </c>
      <c r="M36" s="103">
        <v>0</v>
      </c>
      <c r="N36" s="103" t="str">
        <f t="shared" si="0"/>
        <v>N/A</v>
      </c>
      <c r="O36" s="102">
        <v>0</v>
      </c>
      <c r="P36" s="105">
        <v>1.7478704207832351E-6</v>
      </c>
      <c r="Q36" s="104">
        <v>0</v>
      </c>
      <c r="R36" s="106">
        <v>0</v>
      </c>
      <c r="S36" t="str">
        <f t="shared" si="1"/>
        <v>N/A</v>
      </c>
      <c r="T36" t="str">
        <f>VLOOKUP(Table8[[#This Row],[Census Tract]],'UI EnergyBurden'!$A$2:$B$184,2,FALSE)</f>
        <v>Yes</v>
      </c>
      <c r="U36">
        <f>VLOOKUP(Table8[[#This Row],[Census Tract]],'Population and Diversity Data'!$B$2:$K$823,10,FALSE)</f>
        <v>5</v>
      </c>
    </row>
    <row r="37" spans="1:21" ht="15.75" thickBot="1" x14ac:dyDescent="0.3">
      <c r="A37" s="240">
        <v>9001070500</v>
      </c>
      <c r="B37" s="238" t="s">
        <v>3005</v>
      </c>
      <c r="C37" s="239" t="s">
        <v>944</v>
      </c>
      <c r="D37" s="94">
        <v>0</v>
      </c>
      <c r="E37" s="95">
        <v>0</v>
      </c>
      <c r="F37" s="96">
        <v>16596.989999999998</v>
      </c>
      <c r="G37" s="95">
        <v>9.8785797773534145E-4</v>
      </c>
      <c r="H37" s="95" t="s">
        <v>2993</v>
      </c>
      <c r="I37" s="95" t="str">
        <f t="shared" si="2"/>
        <v>N/A</v>
      </c>
      <c r="J37" s="102">
        <v>0</v>
      </c>
      <c r="K37" s="103">
        <v>0</v>
      </c>
      <c r="L37" s="104">
        <v>359.75</v>
      </c>
      <c r="M37" s="103">
        <v>9.8785797773534145E-4</v>
      </c>
      <c r="N37" s="103" t="str">
        <f t="shared" si="0"/>
        <v>N/A</v>
      </c>
      <c r="O37" s="102">
        <v>0</v>
      </c>
      <c r="P37" s="105">
        <v>0</v>
      </c>
      <c r="Q37" s="104">
        <v>16237.24</v>
      </c>
      <c r="R37" s="106">
        <v>9.8785797773534145E-4</v>
      </c>
      <c r="S37" t="str">
        <f t="shared" si="1"/>
        <v>N/A</v>
      </c>
      <c r="T37" t="str">
        <f>VLOOKUP(Table8[[#This Row],[Census Tract]],'UI EnergyBurden'!$A$2:$B$184,2,FALSE)</f>
        <v>Yes</v>
      </c>
      <c r="U37">
        <f>VLOOKUP(Table8[[#This Row],[Census Tract]],'Population and Diversity Data'!$B$2:$K$823,10,FALSE)</f>
        <v>5</v>
      </c>
    </row>
    <row r="38" spans="1:21" ht="15.75" thickBot="1" x14ac:dyDescent="0.3">
      <c r="A38" s="240">
        <v>9001070500</v>
      </c>
      <c r="B38" s="238" t="s">
        <v>934</v>
      </c>
      <c r="C38" s="239" t="s">
        <v>936</v>
      </c>
      <c r="D38" s="94">
        <v>29086.940599999998</v>
      </c>
      <c r="E38" s="95">
        <v>9.995301815193616E-4</v>
      </c>
      <c r="F38" s="96">
        <v>0</v>
      </c>
      <c r="G38" s="95">
        <v>0</v>
      </c>
      <c r="H38" s="95" t="s">
        <v>2982</v>
      </c>
      <c r="I38" s="95" t="str">
        <f t="shared" si="2"/>
        <v>NO</v>
      </c>
      <c r="J38" s="102">
        <v>23101.568599999999</v>
      </c>
      <c r="K38" s="103">
        <v>9.995301815193616E-4</v>
      </c>
      <c r="L38" s="104">
        <v>0</v>
      </c>
      <c r="M38" s="103">
        <v>0</v>
      </c>
      <c r="N38" s="103" t="str">
        <f t="shared" si="0"/>
        <v>NO</v>
      </c>
      <c r="O38" s="102">
        <v>5985.3720000000003</v>
      </c>
      <c r="P38" s="105">
        <v>9.995301815193616E-4</v>
      </c>
      <c r="Q38" s="104">
        <v>0</v>
      </c>
      <c r="R38" s="106">
        <v>0</v>
      </c>
      <c r="S38" t="str">
        <f t="shared" si="1"/>
        <v>NO</v>
      </c>
      <c r="T38" t="str">
        <f>VLOOKUP(Table8[[#This Row],[Census Tract]],'UI EnergyBurden'!$A$2:$B$184,2,FALSE)</f>
        <v>Yes</v>
      </c>
      <c r="U38">
        <f>VLOOKUP(Table8[[#This Row],[Census Tract]],'Population and Diversity Data'!$B$2:$K$823,10,FALSE)</f>
        <v>5</v>
      </c>
    </row>
    <row r="39" spans="1:21" ht="15.75" thickBot="1" x14ac:dyDescent="0.3">
      <c r="A39" s="240">
        <v>9001070600</v>
      </c>
      <c r="B39" s="238" t="s">
        <v>3005</v>
      </c>
      <c r="C39" s="239" t="s">
        <v>944</v>
      </c>
      <c r="D39" s="94">
        <v>0</v>
      </c>
      <c r="E39" s="95">
        <v>0</v>
      </c>
      <c r="F39" s="96">
        <v>110631.34</v>
      </c>
      <c r="G39" s="95">
        <v>6.584811571649498E-3</v>
      </c>
      <c r="H39" s="95" t="s">
        <v>2993</v>
      </c>
      <c r="I39" s="95" t="str">
        <f t="shared" si="2"/>
        <v>N/A</v>
      </c>
      <c r="J39" s="102">
        <v>0</v>
      </c>
      <c r="K39" s="103">
        <v>0</v>
      </c>
      <c r="L39" s="104">
        <v>96774.69</v>
      </c>
      <c r="M39" s="103">
        <v>6.584811571649498E-3</v>
      </c>
      <c r="N39" s="103" t="str">
        <f t="shared" si="0"/>
        <v>N/A</v>
      </c>
      <c r="O39" s="102">
        <v>0</v>
      </c>
      <c r="P39" s="105">
        <v>0</v>
      </c>
      <c r="Q39" s="104">
        <v>13856.65</v>
      </c>
      <c r="R39" s="106">
        <v>6.584811571649498E-3</v>
      </c>
      <c r="S39" t="str">
        <f t="shared" si="1"/>
        <v>N/A</v>
      </c>
      <c r="T39" t="str">
        <f>VLOOKUP(Table8[[#This Row],[Census Tract]],'UI EnergyBurden'!$A$2:$B$184,2,FALSE)</f>
        <v>No</v>
      </c>
      <c r="U39">
        <f>VLOOKUP(Table8[[#This Row],[Census Tract]],'Population and Diversity Data'!$B$2:$K$823,10,FALSE)</f>
        <v>4</v>
      </c>
    </row>
    <row r="40" spans="1:21" ht="15.75" thickBot="1" x14ac:dyDescent="0.3">
      <c r="A40" s="240">
        <v>9001070600</v>
      </c>
      <c r="B40" s="238" t="s">
        <v>934</v>
      </c>
      <c r="C40" s="239" t="s">
        <v>936</v>
      </c>
      <c r="D40" s="94">
        <v>144313.22889999999</v>
      </c>
      <c r="E40" s="95">
        <v>4.9591130900188997E-3</v>
      </c>
      <c r="F40" s="96">
        <v>0</v>
      </c>
      <c r="G40" s="95">
        <v>0</v>
      </c>
      <c r="H40" s="95" t="s">
        <v>2982</v>
      </c>
      <c r="I40" s="95" t="str">
        <f t="shared" si="2"/>
        <v>NO</v>
      </c>
      <c r="J40" s="102">
        <v>35967.757299999997</v>
      </c>
      <c r="K40" s="103">
        <v>4.9591130900188997E-3</v>
      </c>
      <c r="L40" s="104">
        <v>0</v>
      </c>
      <c r="M40" s="103">
        <v>0</v>
      </c>
      <c r="N40" s="103" t="str">
        <f t="shared" si="0"/>
        <v>NO</v>
      </c>
      <c r="O40" s="102">
        <v>108345.4716</v>
      </c>
      <c r="P40" s="105">
        <v>4.9591130900188997E-3</v>
      </c>
      <c r="Q40" s="104">
        <v>0</v>
      </c>
      <c r="R40" s="106">
        <v>0</v>
      </c>
      <c r="S40" t="str">
        <f t="shared" si="1"/>
        <v>NO</v>
      </c>
      <c r="T40" t="str">
        <f>VLOOKUP(Table8[[#This Row],[Census Tract]],'UI EnergyBurden'!$A$2:$B$184,2,FALSE)</f>
        <v>No</v>
      </c>
      <c r="U40">
        <f>VLOOKUP(Table8[[#This Row],[Census Tract]],'Population and Diversity Data'!$B$2:$K$823,10,FALSE)</f>
        <v>4</v>
      </c>
    </row>
    <row r="41" spans="1:21" ht="15.75" thickBot="1" x14ac:dyDescent="0.3">
      <c r="A41" s="240">
        <v>9001070900</v>
      </c>
      <c r="B41" s="238" t="s">
        <v>3005</v>
      </c>
      <c r="C41" s="239" t="s">
        <v>944</v>
      </c>
      <c r="D41" s="94">
        <v>0</v>
      </c>
      <c r="E41" s="95">
        <v>0</v>
      </c>
      <c r="F41" s="96">
        <v>30327.010000000002</v>
      </c>
      <c r="G41" s="95">
        <v>1.805073014405593E-3</v>
      </c>
      <c r="H41" s="95" t="s">
        <v>2993</v>
      </c>
      <c r="I41" s="95" t="str">
        <f t="shared" si="2"/>
        <v>N/A</v>
      </c>
      <c r="J41" s="102">
        <v>0</v>
      </c>
      <c r="K41" s="103">
        <v>0</v>
      </c>
      <c r="L41" s="104">
        <v>4170.01</v>
      </c>
      <c r="M41" s="103">
        <v>1.805073014405593E-3</v>
      </c>
      <c r="N41" s="103" t="str">
        <f t="shared" si="0"/>
        <v>N/A</v>
      </c>
      <c r="O41" s="102">
        <v>0</v>
      </c>
      <c r="P41" s="105">
        <v>0</v>
      </c>
      <c r="Q41" s="104">
        <v>26157</v>
      </c>
      <c r="R41" s="106">
        <v>1.805073014405593E-3</v>
      </c>
      <c r="S41" t="str">
        <f t="shared" si="1"/>
        <v>N/A</v>
      </c>
      <c r="T41" t="str">
        <f>VLOOKUP(Table8[[#This Row],[Census Tract]],'UI EnergyBurden'!$A$2:$B$184,2,FALSE)</f>
        <v>Yes</v>
      </c>
      <c r="U41">
        <f>VLOOKUP(Table8[[#This Row],[Census Tract]],'Population and Diversity Data'!$B$2:$K$823,10,FALSE)</f>
        <v>5</v>
      </c>
    </row>
    <row r="42" spans="1:21" ht="15.75" thickBot="1" x14ac:dyDescent="0.3">
      <c r="A42" s="240">
        <v>9001070900</v>
      </c>
      <c r="B42" s="238" t="s">
        <v>934</v>
      </c>
      <c r="C42" s="239" t="s">
        <v>936</v>
      </c>
      <c r="D42" s="94">
        <v>40068.741500000004</v>
      </c>
      <c r="E42" s="95">
        <v>1.3769037113771734E-3</v>
      </c>
      <c r="F42" s="96">
        <v>0</v>
      </c>
      <c r="G42" s="95">
        <v>0</v>
      </c>
      <c r="H42" s="95" t="s">
        <v>2982</v>
      </c>
      <c r="I42" s="95" t="str">
        <f t="shared" si="2"/>
        <v>NO</v>
      </c>
      <c r="J42" s="102">
        <v>29174.958600000002</v>
      </c>
      <c r="K42" s="103">
        <v>1.3769037113771734E-3</v>
      </c>
      <c r="L42" s="104">
        <v>0</v>
      </c>
      <c r="M42" s="103">
        <v>0</v>
      </c>
      <c r="N42" s="103" t="str">
        <f t="shared" si="0"/>
        <v>NO</v>
      </c>
      <c r="O42" s="102">
        <v>10893.7829</v>
      </c>
      <c r="P42" s="105">
        <v>1.3769037113771734E-3</v>
      </c>
      <c r="Q42" s="104">
        <v>0</v>
      </c>
      <c r="R42" s="106">
        <v>0</v>
      </c>
      <c r="S42" t="str">
        <f t="shared" si="1"/>
        <v>NO</v>
      </c>
      <c r="T42" t="str">
        <f>VLOOKUP(Table8[[#This Row],[Census Tract]],'UI EnergyBurden'!$A$2:$B$184,2,FALSE)</f>
        <v>Yes</v>
      </c>
      <c r="U42">
        <f>VLOOKUP(Table8[[#This Row],[Census Tract]],'Population and Diversity Data'!$B$2:$K$823,10,FALSE)</f>
        <v>5</v>
      </c>
    </row>
    <row r="43" spans="1:21" ht="15.75" thickBot="1" x14ac:dyDescent="0.3">
      <c r="A43" s="240">
        <v>9001071000</v>
      </c>
      <c r="B43" s="238" t="s">
        <v>3005</v>
      </c>
      <c r="C43" s="239" t="s">
        <v>944</v>
      </c>
      <c r="D43" s="94">
        <v>0</v>
      </c>
      <c r="E43" s="95">
        <v>0</v>
      </c>
      <c r="F43" s="96">
        <v>17169.5</v>
      </c>
      <c r="G43" s="95">
        <v>1.0219339499949658E-3</v>
      </c>
      <c r="H43" s="95" t="s">
        <v>2993</v>
      </c>
      <c r="I43" s="95" t="str">
        <f t="shared" si="2"/>
        <v>N/A</v>
      </c>
      <c r="J43" s="102">
        <v>0</v>
      </c>
      <c r="K43" s="103">
        <v>0</v>
      </c>
      <c r="L43" s="104">
        <v>14379.5</v>
      </c>
      <c r="M43" s="103">
        <v>1.0219339499949658E-3</v>
      </c>
      <c r="N43" s="103" t="str">
        <f t="shared" si="0"/>
        <v>N/A</v>
      </c>
      <c r="O43" s="102">
        <v>0</v>
      </c>
      <c r="P43" s="105">
        <v>0</v>
      </c>
      <c r="Q43" s="104">
        <v>2790</v>
      </c>
      <c r="R43" s="106">
        <v>1.0219339499949658E-3</v>
      </c>
      <c r="S43" t="str">
        <f t="shared" si="1"/>
        <v>N/A</v>
      </c>
      <c r="T43" t="str">
        <f>VLOOKUP(Table8[[#This Row],[Census Tract]],'UI EnergyBurden'!$A$2:$B$184,2,FALSE)</f>
        <v>Yes</v>
      </c>
      <c r="U43">
        <f>VLOOKUP(Table8[[#This Row],[Census Tract]],'Population and Diversity Data'!$B$2:$K$823,10,FALSE)</f>
        <v>5</v>
      </c>
    </row>
    <row r="44" spans="1:21" ht="15.75" thickBot="1" x14ac:dyDescent="0.3">
      <c r="A44" s="240">
        <v>9001071000</v>
      </c>
      <c r="B44" s="238" t="s">
        <v>934</v>
      </c>
      <c r="C44" s="239" t="s">
        <v>936</v>
      </c>
      <c r="D44" s="94">
        <v>63545.393400000001</v>
      </c>
      <c r="E44" s="95">
        <v>2.1836445253311122E-3</v>
      </c>
      <c r="F44" s="96">
        <v>0</v>
      </c>
      <c r="G44" s="95">
        <v>0</v>
      </c>
      <c r="H44" s="95" t="s">
        <v>2982</v>
      </c>
      <c r="I44" s="95" t="str">
        <f t="shared" si="2"/>
        <v>NO</v>
      </c>
      <c r="J44" s="102">
        <v>37249.348899999997</v>
      </c>
      <c r="K44" s="103">
        <v>2.1836445253311122E-3</v>
      </c>
      <c r="L44" s="104">
        <v>0</v>
      </c>
      <c r="M44" s="103">
        <v>0</v>
      </c>
      <c r="N44" s="103" t="str">
        <f t="shared" si="0"/>
        <v>NO</v>
      </c>
      <c r="O44" s="102">
        <v>26296.0445</v>
      </c>
      <c r="P44" s="105">
        <v>2.1836445253311122E-3</v>
      </c>
      <c r="Q44" s="104">
        <v>0</v>
      </c>
      <c r="R44" s="106">
        <v>0</v>
      </c>
      <c r="S44" t="str">
        <f t="shared" si="1"/>
        <v>NO</v>
      </c>
      <c r="T44" t="str">
        <f>VLOOKUP(Table8[[#This Row],[Census Tract]],'UI EnergyBurden'!$A$2:$B$184,2,FALSE)</f>
        <v>Yes</v>
      </c>
      <c r="U44">
        <f>VLOOKUP(Table8[[#This Row],[Census Tract]],'Population and Diversity Data'!$B$2:$K$823,10,FALSE)</f>
        <v>5</v>
      </c>
    </row>
    <row r="45" spans="1:21" ht="15.75" thickBot="1" x14ac:dyDescent="0.3">
      <c r="A45" s="240">
        <v>9001071100</v>
      </c>
      <c r="B45" s="238" t="s">
        <v>934</v>
      </c>
      <c r="C45" s="239" t="s">
        <v>944</v>
      </c>
      <c r="D45" s="94">
        <v>66899.110799999995</v>
      </c>
      <c r="E45" s="95">
        <v>2.2988901198295114E-3</v>
      </c>
      <c r="F45" s="96">
        <v>29836.83</v>
      </c>
      <c r="G45" s="95">
        <v>1.7758973492080898E-3</v>
      </c>
      <c r="H45" s="95" t="s">
        <v>2986</v>
      </c>
      <c r="I45" s="95" t="str">
        <f t="shared" si="2"/>
        <v>NO</v>
      </c>
      <c r="J45" s="102">
        <v>51783.790099999998</v>
      </c>
      <c r="K45" s="103">
        <v>2.2988901198295114E-3</v>
      </c>
      <c r="L45" s="104">
        <v>21423.83</v>
      </c>
      <c r="M45" s="103">
        <v>1.7758973492080898E-3</v>
      </c>
      <c r="N45" s="103" t="str">
        <f t="shared" si="0"/>
        <v>NO</v>
      </c>
      <c r="O45" s="102">
        <v>15115.3207</v>
      </c>
      <c r="P45" s="105">
        <v>2.2988901198295114E-3</v>
      </c>
      <c r="Q45" s="104">
        <v>8413</v>
      </c>
      <c r="R45" s="106">
        <v>1.7758973492080898E-3</v>
      </c>
      <c r="S45" t="str">
        <f t="shared" si="1"/>
        <v>NO</v>
      </c>
      <c r="T45" t="str">
        <f>VLOOKUP(Table8[[#This Row],[Census Tract]],'UI EnergyBurden'!$A$2:$B$184,2,FALSE)</f>
        <v>Yes</v>
      </c>
      <c r="U45">
        <f>VLOOKUP(Table8[[#This Row],[Census Tract]],'Population and Diversity Data'!$B$2:$K$823,10,FALSE)</f>
        <v>5</v>
      </c>
    </row>
    <row r="46" spans="1:21" ht="15.75" thickBot="1" x14ac:dyDescent="0.3">
      <c r="A46" s="240">
        <v>9001071200</v>
      </c>
      <c r="B46" s="238" t="s">
        <v>3005</v>
      </c>
      <c r="C46" s="239" t="s">
        <v>944</v>
      </c>
      <c r="D46" s="94">
        <v>0</v>
      </c>
      <c r="E46" s="95">
        <v>0</v>
      </c>
      <c r="F46" s="96">
        <v>20104.86</v>
      </c>
      <c r="G46" s="95">
        <v>1.1966474850109664E-3</v>
      </c>
      <c r="H46" s="95" t="s">
        <v>2993</v>
      </c>
      <c r="I46" s="95" t="str">
        <f t="shared" si="2"/>
        <v>N/A</v>
      </c>
      <c r="J46" s="102">
        <v>0</v>
      </c>
      <c r="K46" s="103">
        <v>0</v>
      </c>
      <c r="L46" s="104">
        <v>4593.8599999999997</v>
      </c>
      <c r="M46" s="103">
        <v>1.1966474850109664E-3</v>
      </c>
      <c r="N46" s="103" t="str">
        <f t="shared" si="0"/>
        <v>N/A</v>
      </c>
      <c r="O46" s="102">
        <v>0</v>
      </c>
      <c r="P46" s="105">
        <v>0</v>
      </c>
      <c r="Q46" s="104">
        <v>15511</v>
      </c>
      <c r="R46" s="106">
        <v>1.1966474850109664E-3</v>
      </c>
      <c r="S46" t="str">
        <f t="shared" si="1"/>
        <v>N/A</v>
      </c>
      <c r="T46" t="str">
        <f>VLOOKUP(Table8[[#This Row],[Census Tract]],'UI EnergyBurden'!$A$2:$B$184,2,FALSE)</f>
        <v>Yes</v>
      </c>
      <c r="U46">
        <f>VLOOKUP(Table8[[#This Row],[Census Tract]],'Population and Diversity Data'!$B$2:$K$823,10,FALSE)</f>
        <v>5</v>
      </c>
    </row>
    <row r="47" spans="1:21" ht="15.75" thickBot="1" x14ac:dyDescent="0.3">
      <c r="A47" s="240">
        <v>9001071200</v>
      </c>
      <c r="B47" s="238" t="s">
        <v>934</v>
      </c>
      <c r="C47" s="239" t="s">
        <v>936</v>
      </c>
      <c r="D47" s="94">
        <v>65667.876300000004</v>
      </c>
      <c r="E47" s="95">
        <v>2.256580546602072E-3</v>
      </c>
      <c r="F47" s="96">
        <v>0</v>
      </c>
      <c r="G47" s="95">
        <v>0</v>
      </c>
      <c r="H47" s="95" t="s">
        <v>2982</v>
      </c>
      <c r="I47" s="95" t="str">
        <f t="shared" si="2"/>
        <v>NO</v>
      </c>
      <c r="J47" s="102">
        <v>45169.658199999998</v>
      </c>
      <c r="K47" s="103">
        <v>2.256580546602072E-3</v>
      </c>
      <c r="L47" s="104">
        <v>0</v>
      </c>
      <c r="M47" s="103">
        <v>0</v>
      </c>
      <c r="N47" s="103" t="str">
        <f t="shared" si="0"/>
        <v>NO</v>
      </c>
      <c r="O47" s="102">
        <v>20498.218099999998</v>
      </c>
      <c r="P47" s="105">
        <v>2.256580546602072E-3</v>
      </c>
      <c r="Q47" s="104">
        <v>0</v>
      </c>
      <c r="R47" s="106">
        <v>0</v>
      </c>
      <c r="S47" t="str">
        <f t="shared" si="1"/>
        <v>NO</v>
      </c>
      <c r="T47" t="str">
        <f>VLOOKUP(Table8[[#This Row],[Census Tract]],'UI EnergyBurden'!$A$2:$B$184,2,FALSE)</f>
        <v>Yes</v>
      </c>
      <c r="U47">
        <f>VLOOKUP(Table8[[#This Row],[Census Tract]],'Population and Diversity Data'!$B$2:$K$823,10,FALSE)</f>
        <v>5</v>
      </c>
    </row>
    <row r="48" spans="1:21" ht="15.75" thickBot="1" x14ac:dyDescent="0.3">
      <c r="A48" s="240">
        <v>9001071300</v>
      </c>
      <c r="B48" s="238" t="s">
        <v>3005</v>
      </c>
      <c r="C48" s="239" t="s">
        <v>944</v>
      </c>
      <c r="D48" s="94">
        <v>0</v>
      </c>
      <c r="E48" s="95">
        <v>0</v>
      </c>
      <c r="F48" s="96">
        <v>2772.3199999999997</v>
      </c>
      <c r="G48" s="95">
        <v>1.6500934379277458E-4</v>
      </c>
      <c r="H48" s="95" t="s">
        <v>2993</v>
      </c>
      <c r="I48" s="95" t="str">
        <f t="shared" si="2"/>
        <v>N/A</v>
      </c>
      <c r="J48" s="102">
        <v>0</v>
      </c>
      <c r="K48" s="103">
        <v>0</v>
      </c>
      <c r="L48" s="104">
        <v>1572.32</v>
      </c>
      <c r="M48" s="103">
        <v>1.6500934379277458E-4</v>
      </c>
      <c r="N48" s="103" t="str">
        <f t="shared" si="0"/>
        <v>N/A</v>
      </c>
      <c r="O48" s="102">
        <v>0</v>
      </c>
      <c r="P48" s="105">
        <v>0</v>
      </c>
      <c r="Q48" s="104">
        <v>1200</v>
      </c>
      <c r="R48" s="106">
        <v>1.6500934379277458E-4</v>
      </c>
      <c r="S48" t="str">
        <f t="shared" si="1"/>
        <v>N/A</v>
      </c>
      <c r="T48" t="str">
        <f>VLOOKUP(Table8[[#This Row],[Census Tract]],'UI EnergyBurden'!$A$2:$B$184,2,FALSE)</f>
        <v>Yes</v>
      </c>
      <c r="U48">
        <f>VLOOKUP(Table8[[#This Row],[Census Tract]],'Population and Diversity Data'!$B$2:$K$823,10,FALSE)</f>
        <v>5</v>
      </c>
    </row>
    <row r="49" spans="1:21" ht="15.75" thickBot="1" x14ac:dyDescent="0.3">
      <c r="A49" s="240">
        <v>9001071300</v>
      </c>
      <c r="B49" s="238" t="s">
        <v>934</v>
      </c>
      <c r="C49" s="239" t="s">
        <v>936</v>
      </c>
      <c r="D49" s="94">
        <v>54252.862399999998</v>
      </c>
      <c r="E49" s="95">
        <v>1.8643202854622997E-3</v>
      </c>
      <c r="F49" s="96">
        <v>0</v>
      </c>
      <c r="G49" s="95">
        <v>0</v>
      </c>
      <c r="H49" s="95" t="s">
        <v>2982</v>
      </c>
      <c r="I49" s="95" t="str">
        <f t="shared" si="2"/>
        <v>NO</v>
      </c>
      <c r="J49" s="102">
        <v>34389.4211</v>
      </c>
      <c r="K49" s="103">
        <v>1.8643202854622997E-3</v>
      </c>
      <c r="L49" s="104">
        <v>0</v>
      </c>
      <c r="M49" s="103">
        <v>0</v>
      </c>
      <c r="N49" s="103" t="str">
        <f t="shared" si="0"/>
        <v>NO</v>
      </c>
      <c r="O49" s="102">
        <v>19863.441299999999</v>
      </c>
      <c r="P49" s="105">
        <v>1.8643202854622997E-3</v>
      </c>
      <c r="Q49" s="104">
        <v>0</v>
      </c>
      <c r="R49" s="106">
        <v>0</v>
      </c>
      <c r="S49" t="str">
        <f t="shared" si="1"/>
        <v>NO</v>
      </c>
      <c r="T49" t="str">
        <f>VLOOKUP(Table8[[#This Row],[Census Tract]],'UI EnergyBurden'!$A$2:$B$184,2,FALSE)</f>
        <v>Yes</v>
      </c>
      <c r="U49">
        <f>VLOOKUP(Table8[[#This Row],[Census Tract]],'Population and Diversity Data'!$B$2:$K$823,10,FALSE)</f>
        <v>5</v>
      </c>
    </row>
    <row r="50" spans="1:21" ht="15.75" thickBot="1" x14ac:dyDescent="0.3">
      <c r="A50" s="240">
        <v>9001071400</v>
      </c>
      <c r="B50" s="238" t="s">
        <v>934</v>
      </c>
      <c r="C50" s="239" t="s">
        <v>944</v>
      </c>
      <c r="D50" s="94">
        <v>68350.4467</v>
      </c>
      <c r="E50" s="95">
        <v>2.3487631558260363E-3</v>
      </c>
      <c r="F50" s="96">
        <v>10239.369999999999</v>
      </c>
      <c r="G50" s="95">
        <v>6.094504691202395E-4</v>
      </c>
      <c r="H50" s="95" t="s">
        <v>2986</v>
      </c>
      <c r="I50" s="95" t="str">
        <f t="shared" si="2"/>
        <v>NO</v>
      </c>
      <c r="J50" s="102">
        <v>38432.275500000003</v>
      </c>
      <c r="K50" s="103">
        <v>2.3487631558260363E-3</v>
      </c>
      <c r="L50" s="104">
        <v>3327.16</v>
      </c>
      <c r="M50" s="103">
        <v>6.094504691202395E-4</v>
      </c>
      <c r="N50" s="103" t="str">
        <f t="shared" si="0"/>
        <v>NO</v>
      </c>
      <c r="O50" s="102">
        <v>29918.171200000001</v>
      </c>
      <c r="P50" s="105">
        <v>2.3487631558260363E-3</v>
      </c>
      <c r="Q50" s="104">
        <v>6912.21</v>
      </c>
      <c r="R50" s="106">
        <v>6.094504691202395E-4</v>
      </c>
      <c r="S50" t="str">
        <f t="shared" si="1"/>
        <v>NO</v>
      </c>
      <c r="T50" t="str">
        <f>VLOOKUP(Table8[[#This Row],[Census Tract]],'UI EnergyBurden'!$A$2:$B$184,2,FALSE)</f>
        <v>Yes</v>
      </c>
      <c r="U50">
        <f>VLOOKUP(Table8[[#This Row],[Census Tract]],'Population and Diversity Data'!$B$2:$K$823,10,FALSE)</f>
        <v>5</v>
      </c>
    </row>
    <row r="51" spans="1:21" ht="15.75" thickBot="1" x14ac:dyDescent="0.3">
      <c r="A51" s="240">
        <v>9001071600</v>
      </c>
      <c r="B51" s="238" t="s">
        <v>3005</v>
      </c>
      <c r="C51" s="239" t="s">
        <v>944</v>
      </c>
      <c r="D51" s="94">
        <v>0</v>
      </c>
      <c r="E51" s="95">
        <v>0</v>
      </c>
      <c r="F51" s="96">
        <v>1330.85</v>
      </c>
      <c r="G51" s="95">
        <v>7.9212603590716105E-5</v>
      </c>
      <c r="H51" s="95" t="s">
        <v>2993</v>
      </c>
      <c r="I51" s="95" t="str">
        <f t="shared" si="2"/>
        <v>N/A</v>
      </c>
      <c r="J51" s="102">
        <v>0</v>
      </c>
      <c r="K51" s="103">
        <v>0</v>
      </c>
      <c r="L51" s="104">
        <v>1330.85</v>
      </c>
      <c r="M51" s="103">
        <v>7.9212603590716105E-5</v>
      </c>
      <c r="N51" s="103" t="str">
        <f t="shared" si="0"/>
        <v>N/A</v>
      </c>
      <c r="O51" s="102">
        <v>0</v>
      </c>
      <c r="P51" s="105">
        <v>0</v>
      </c>
      <c r="Q51" s="104">
        <v>0</v>
      </c>
      <c r="R51" s="106">
        <v>7.9212603590716105E-5</v>
      </c>
      <c r="S51" t="str">
        <f t="shared" si="1"/>
        <v>N/A</v>
      </c>
      <c r="T51" t="str">
        <f>VLOOKUP(Table8[[#This Row],[Census Tract]],'UI EnergyBurden'!$A$2:$B$184,2,FALSE)</f>
        <v>Yes</v>
      </c>
      <c r="U51">
        <f>VLOOKUP(Table8[[#This Row],[Census Tract]],'Population and Diversity Data'!$B$2:$K$823,10,FALSE)</f>
        <v>4</v>
      </c>
    </row>
    <row r="52" spans="1:21" ht="15.75" thickBot="1" x14ac:dyDescent="0.3">
      <c r="A52" s="240">
        <v>9001071600</v>
      </c>
      <c r="B52" s="238" t="s">
        <v>934</v>
      </c>
      <c r="C52" s="239" t="s">
        <v>936</v>
      </c>
      <c r="D52" s="94">
        <v>31813.543699999998</v>
      </c>
      <c r="E52" s="95">
        <v>1.0932259100922819E-3</v>
      </c>
      <c r="F52" s="96">
        <v>0</v>
      </c>
      <c r="G52" s="95">
        <v>0</v>
      </c>
      <c r="H52" s="95" t="s">
        <v>2982</v>
      </c>
      <c r="I52" s="95" t="str">
        <f t="shared" si="2"/>
        <v>NO</v>
      </c>
      <c r="J52" s="102">
        <v>24529.813099999999</v>
      </c>
      <c r="K52" s="103">
        <v>1.0932259100922819E-3</v>
      </c>
      <c r="L52" s="104">
        <v>0</v>
      </c>
      <c r="M52" s="103">
        <v>0</v>
      </c>
      <c r="N52" s="103" t="str">
        <f t="shared" si="0"/>
        <v>NO</v>
      </c>
      <c r="O52" s="102">
        <v>7283.7305999999999</v>
      </c>
      <c r="P52" s="105">
        <v>1.0932259100922819E-3</v>
      </c>
      <c r="Q52" s="104">
        <v>0</v>
      </c>
      <c r="R52" s="106">
        <v>0</v>
      </c>
      <c r="S52" t="str">
        <f t="shared" si="1"/>
        <v>NO</v>
      </c>
      <c r="T52" t="str">
        <f>VLOOKUP(Table8[[#This Row],[Census Tract]],'UI EnergyBurden'!$A$2:$B$184,2,FALSE)</f>
        <v>Yes</v>
      </c>
      <c r="U52">
        <f>VLOOKUP(Table8[[#This Row],[Census Tract]],'Population and Diversity Data'!$B$2:$K$823,10,FALSE)</f>
        <v>4</v>
      </c>
    </row>
    <row r="53" spans="1:21" ht="15.75" thickBot="1" x14ac:dyDescent="0.3">
      <c r="A53" s="240">
        <v>9001071900</v>
      </c>
      <c r="B53" s="238" t="s">
        <v>3007</v>
      </c>
      <c r="C53" s="239" t="s">
        <v>944</v>
      </c>
      <c r="D53" s="94">
        <v>0</v>
      </c>
      <c r="E53" s="95">
        <v>0</v>
      </c>
      <c r="F53" s="96">
        <v>230</v>
      </c>
      <c r="G53" s="95">
        <v>1.3689671131881657E-5</v>
      </c>
      <c r="H53" s="95" t="s">
        <v>2993</v>
      </c>
      <c r="I53" s="95" t="str">
        <f t="shared" si="2"/>
        <v>N/A</v>
      </c>
      <c r="J53" s="102">
        <v>0</v>
      </c>
      <c r="K53" s="103">
        <v>0</v>
      </c>
      <c r="L53" s="104">
        <v>230</v>
      </c>
      <c r="M53" s="103">
        <v>1.3689671131881657E-5</v>
      </c>
      <c r="N53" s="103" t="str">
        <f t="shared" si="0"/>
        <v>N/A</v>
      </c>
      <c r="O53" s="102">
        <v>0</v>
      </c>
      <c r="P53" s="105">
        <v>0</v>
      </c>
      <c r="Q53" s="104">
        <v>0</v>
      </c>
      <c r="R53" s="106">
        <v>1.3689671131881657E-5</v>
      </c>
      <c r="S53" t="str">
        <f t="shared" si="1"/>
        <v>N/A</v>
      </c>
      <c r="T53" t="str">
        <f>VLOOKUP(Table8[[#This Row],[Census Tract]],'UI EnergyBurden'!$A$2:$B$184,2,FALSE)</f>
        <v>Yes</v>
      </c>
      <c r="U53">
        <f>VLOOKUP(Table8[[#This Row],[Census Tract]],'Population and Diversity Data'!$B$2:$K$823,10,FALSE)</f>
        <v>5</v>
      </c>
    </row>
    <row r="54" spans="1:21" ht="15.75" thickBot="1" x14ac:dyDescent="0.3">
      <c r="A54" s="240">
        <v>9001071900</v>
      </c>
      <c r="B54" s="238" t="s">
        <v>3005</v>
      </c>
      <c r="C54" s="239" t="s">
        <v>944</v>
      </c>
      <c r="D54" s="94">
        <v>0</v>
      </c>
      <c r="E54" s="95">
        <v>0</v>
      </c>
      <c r="F54" s="96">
        <v>8360.09</v>
      </c>
      <c r="G54" s="95">
        <v>4.9759514231709798E-4</v>
      </c>
      <c r="H54" s="95" t="s">
        <v>2993</v>
      </c>
      <c r="I54" s="95" t="str">
        <f t="shared" si="2"/>
        <v>N/A</v>
      </c>
      <c r="J54" s="102">
        <v>0</v>
      </c>
      <c r="K54" s="103">
        <v>0</v>
      </c>
      <c r="L54" s="104">
        <v>3390.23</v>
      </c>
      <c r="M54" s="103">
        <v>4.9759514231709798E-4</v>
      </c>
      <c r="N54" s="103" t="str">
        <f t="shared" si="0"/>
        <v>N/A</v>
      </c>
      <c r="O54" s="102">
        <v>0</v>
      </c>
      <c r="P54" s="105">
        <v>0</v>
      </c>
      <c r="Q54" s="104">
        <v>4969.8599999999997</v>
      </c>
      <c r="R54" s="106">
        <v>4.9759514231709798E-4</v>
      </c>
      <c r="S54" t="str">
        <f t="shared" si="1"/>
        <v>N/A</v>
      </c>
      <c r="T54" t="str">
        <f>VLOOKUP(Table8[[#This Row],[Census Tract]],'UI EnergyBurden'!$A$2:$B$184,2,FALSE)</f>
        <v>Yes</v>
      </c>
      <c r="U54">
        <f>VLOOKUP(Table8[[#This Row],[Census Tract]],'Population and Diversity Data'!$B$2:$K$823,10,FALSE)</f>
        <v>5</v>
      </c>
    </row>
    <row r="55" spans="1:21" ht="15.75" thickBot="1" x14ac:dyDescent="0.3">
      <c r="A55" s="240">
        <v>9001071900</v>
      </c>
      <c r="B55" s="238" t="s">
        <v>934</v>
      </c>
      <c r="C55" s="239" t="s">
        <v>936</v>
      </c>
      <c r="D55" s="94">
        <v>64668.711600000104</v>
      </c>
      <c r="E55" s="95">
        <v>2.2222457127090002E-3</v>
      </c>
      <c r="F55" s="96">
        <v>0</v>
      </c>
      <c r="G55" s="95">
        <v>0</v>
      </c>
      <c r="H55" s="95" t="s">
        <v>2982</v>
      </c>
      <c r="I55" s="95" t="str">
        <f t="shared" si="2"/>
        <v>NO</v>
      </c>
      <c r="J55" s="102">
        <v>46534.635900000103</v>
      </c>
      <c r="K55" s="103">
        <v>2.2222457127090002E-3</v>
      </c>
      <c r="L55" s="104">
        <v>0</v>
      </c>
      <c r="M55" s="103">
        <v>0</v>
      </c>
      <c r="N55" s="103" t="str">
        <f t="shared" si="0"/>
        <v>NO</v>
      </c>
      <c r="O55" s="102">
        <v>18134.075700000001</v>
      </c>
      <c r="P55" s="105">
        <v>2.2222457127090002E-3</v>
      </c>
      <c r="Q55" s="104">
        <v>0</v>
      </c>
      <c r="R55" s="106">
        <v>0</v>
      </c>
      <c r="S55" t="str">
        <f t="shared" si="1"/>
        <v>NO</v>
      </c>
      <c r="T55" t="str">
        <f>VLOOKUP(Table8[[#This Row],[Census Tract]],'UI EnergyBurden'!$A$2:$B$184,2,FALSE)</f>
        <v>Yes</v>
      </c>
      <c r="U55">
        <f>VLOOKUP(Table8[[#This Row],[Census Tract]],'Population and Diversity Data'!$B$2:$K$823,10,FALSE)</f>
        <v>5</v>
      </c>
    </row>
    <row r="56" spans="1:21" ht="15.75" thickBot="1" x14ac:dyDescent="0.3">
      <c r="A56" s="240">
        <v>9001072000</v>
      </c>
      <c r="B56" s="238" t="s">
        <v>3005</v>
      </c>
      <c r="C56" s="239" t="s">
        <v>944</v>
      </c>
      <c r="D56" s="94">
        <v>0</v>
      </c>
      <c r="E56" s="95">
        <v>0</v>
      </c>
      <c r="F56" s="96">
        <v>19104.27</v>
      </c>
      <c r="G56" s="95">
        <v>1.1370920587594469E-3</v>
      </c>
      <c r="H56" s="95" t="s">
        <v>2993</v>
      </c>
      <c r="I56" s="95" t="str">
        <f t="shared" si="2"/>
        <v>N/A</v>
      </c>
      <c r="J56" s="102">
        <v>0</v>
      </c>
      <c r="K56" s="103">
        <v>0</v>
      </c>
      <c r="L56" s="104">
        <v>19032.27</v>
      </c>
      <c r="M56" s="103">
        <v>1.1370920587594469E-3</v>
      </c>
      <c r="N56" s="103" t="str">
        <f t="shared" si="0"/>
        <v>N/A</v>
      </c>
      <c r="O56" s="102">
        <v>0</v>
      </c>
      <c r="P56" s="105">
        <v>0</v>
      </c>
      <c r="Q56" s="104">
        <v>72</v>
      </c>
      <c r="R56" s="106">
        <v>1.1370920587594469E-3</v>
      </c>
      <c r="S56" t="str">
        <f t="shared" si="1"/>
        <v>N/A</v>
      </c>
      <c r="T56" t="str">
        <f>VLOOKUP(Table8[[#This Row],[Census Tract]],'UI EnergyBurden'!$A$2:$B$184,2,FALSE)</f>
        <v>No</v>
      </c>
      <c r="U56">
        <f>VLOOKUP(Table8[[#This Row],[Census Tract]],'Population and Diversity Data'!$B$2:$K$823,10,FALSE)</f>
        <v>5</v>
      </c>
    </row>
    <row r="57" spans="1:21" ht="15.75" thickBot="1" x14ac:dyDescent="0.3">
      <c r="A57" s="175">
        <v>9001072000</v>
      </c>
      <c r="B57" s="200" t="s">
        <v>934</v>
      </c>
      <c r="C57" s="93" t="s">
        <v>936</v>
      </c>
      <c r="D57" s="94">
        <v>52439.411500000002</v>
      </c>
      <c r="E57" s="95">
        <v>1.8020036969912025E-3</v>
      </c>
      <c r="F57" s="96">
        <v>0</v>
      </c>
      <c r="G57" s="95">
        <v>0</v>
      </c>
      <c r="H57" s="95" t="s">
        <v>2982</v>
      </c>
      <c r="I57" s="95" t="str">
        <f t="shared" si="2"/>
        <v>NO</v>
      </c>
      <c r="J57" s="97">
        <v>43927.019899999999</v>
      </c>
      <c r="K57" s="98">
        <v>1.8020036969912025E-3</v>
      </c>
      <c r="L57" s="99">
        <v>0</v>
      </c>
      <c r="M57" s="98">
        <v>0</v>
      </c>
      <c r="N57" s="98" t="str">
        <f t="shared" si="0"/>
        <v>NO</v>
      </c>
      <c r="O57" s="97">
        <v>8512.3916000000008</v>
      </c>
      <c r="P57" s="100">
        <v>1.8020036969912025E-3</v>
      </c>
      <c r="Q57" s="99">
        <v>0</v>
      </c>
      <c r="R57" s="101">
        <v>0</v>
      </c>
      <c r="S57" t="str">
        <f t="shared" si="1"/>
        <v>NO</v>
      </c>
      <c r="T57" t="str">
        <f>VLOOKUP(Table8[[#This Row],[Census Tract]],'UI EnergyBurden'!$A$2:$B$184,2,FALSE)</f>
        <v>No</v>
      </c>
      <c r="U57">
        <f>VLOOKUP(Table8[[#This Row],[Census Tract]],'Population and Diversity Data'!$B$2:$K$823,10,FALSE)</f>
        <v>5</v>
      </c>
    </row>
    <row r="58" spans="1:21" ht="15.75" thickBot="1" x14ac:dyDescent="0.3">
      <c r="A58" s="175">
        <v>9001072100</v>
      </c>
      <c r="B58" s="200" t="s">
        <v>934</v>
      </c>
      <c r="C58" s="93" t="s">
        <v>944</v>
      </c>
      <c r="D58" s="94">
        <v>147726.3769</v>
      </c>
      <c r="E58" s="95">
        <v>5.0764009301842716E-3</v>
      </c>
      <c r="F58" s="96">
        <v>46711.47</v>
      </c>
      <c r="G58" s="95">
        <v>2.7802811408119831E-3</v>
      </c>
      <c r="H58" s="95" t="s">
        <v>2986</v>
      </c>
      <c r="I58" s="95" t="str">
        <f t="shared" si="2"/>
        <v>NO</v>
      </c>
      <c r="J58" s="97">
        <v>119833.8798</v>
      </c>
      <c r="K58" s="98">
        <v>5.0764009301842716E-3</v>
      </c>
      <c r="L58" s="99">
        <v>44620.47</v>
      </c>
      <c r="M58" s="98">
        <v>2.7802811408119831E-3</v>
      </c>
      <c r="N58" s="98" t="str">
        <f t="shared" si="0"/>
        <v>NO</v>
      </c>
      <c r="O58" s="97">
        <v>27892.497100000001</v>
      </c>
      <c r="P58" s="100">
        <v>5.0764009301842716E-3</v>
      </c>
      <c r="Q58" s="99">
        <v>2091</v>
      </c>
      <c r="R58" s="101">
        <v>2.7802811408119831E-3</v>
      </c>
      <c r="S58" t="str">
        <f t="shared" si="1"/>
        <v>NO</v>
      </c>
      <c r="T58" t="str">
        <f>VLOOKUP(Table8[[#This Row],[Census Tract]],'UI EnergyBurden'!$A$2:$B$184,2,FALSE)</f>
        <v>No</v>
      </c>
      <c r="U58">
        <f>VLOOKUP(Table8[[#This Row],[Census Tract]],'Population and Diversity Data'!$B$2:$K$823,10,FALSE)</f>
        <v>5</v>
      </c>
    </row>
    <row r="59" spans="1:21" ht="15.75" thickBot="1" x14ac:dyDescent="0.3">
      <c r="A59" s="175">
        <v>9001072100</v>
      </c>
      <c r="B59" s="200" t="s">
        <v>2985</v>
      </c>
      <c r="C59" s="93" t="s">
        <v>944</v>
      </c>
      <c r="D59" s="94">
        <v>383.21100000000001</v>
      </c>
      <c r="E59" s="95">
        <v>1.3168485667076864E-5</v>
      </c>
      <c r="F59" s="96">
        <v>0</v>
      </c>
      <c r="G59" s="95">
        <v>0</v>
      </c>
      <c r="H59" s="95" t="s">
        <v>2982</v>
      </c>
      <c r="I59" s="95" t="str">
        <f t="shared" si="2"/>
        <v>NO</v>
      </c>
      <c r="J59" s="97">
        <v>302.35410000000002</v>
      </c>
      <c r="K59" s="98">
        <v>1.3168485667076864E-5</v>
      </c>
      <c r="L59" s="99">
        <v>0</v>
      </c>
      <c r="M59" s="98">
        <v>0</v>
      </c>
      <c r="N59" s="98" t="str">
        <f t="shared" si="0"/>
        <v>NO</v>
      </c>
      <c r="O59" s="97">
        <v>80.856899999999996</v>
      </c>
      <c r="P59" s="100">
        <v>1.3168485667076864E-5</v>
      </c>
      <c r="Q59" s="99">
        <v>0</v>
      </c>
      <c r="R59" s="101">
        <v>0</v>
      </c>
      <c r="S59" t="str">
        <f t="shared" si="1"/>
        <v>NO</v>
      </c>
      <c r="T59" t="str">
        <f>VLOOKUP(Table8[[#This Row],[Census Tract]],'UI EnergyBurden'!$A$2:$B$184,2,FALSE)</f>
        <v>No</v>
      </c>
      <c r="U59">
        <f>VLOOKUP(Table8[[#This Row],[Census Tract]],'Population and Diversity Data'!$B$2:$K$823,10,FALSE)</f>
        <v>5</v>
      </c>
    </row>
    <row r="60" spans="1:21" ht="15.75" thickBot="1" x14ac:dyDescent="0.3">
      <c r="A60" s="175">
        <v>9001072200</v>
      </c>
      <c r="B60" s="200" t="s">
        <v>3005</v>
      </c>
      <c r="C60" s="93" t="s">
        <v>944</v>
      </c>
      <c r="D60" s="94">
        <v>0</v>
      </c>
      <c r="E60" s="95">
        <v>0</v>
      </c>
      <c r="F60" s="96">
        <v>74220.17</v>
      </c>
      <c r="G60" s="95">
        <v>4.4176074724015177E-3</v>
      </c>
      <c r="H60" s="95" t="s">
        <v>2993</v>
      </c>
      <c r="I60" s="95" t="str">
        <f t="shared" si="2"/>
        <v>N/A</v>
      </c>
      <c r="J60" s="97">
        <v>0</v>
      </c>
      <c r="K60" s="98">
        <v>0</v>
      </c>
      <c r="L60" s="99">
        <v>23077.93</v>
      </c>
      <c r="M60" s="98">
        <v>4.4176074724015177E-3</v>
      </c>
      <c r="N60" s="98" t="str">
        <f t="shared" si="0"/>
        <v>N/A</v>
      </c>
      <c r="O60" s="97">
        <v>0</v>
      </c>
      <c r="P60" s="100">
        <v>0</v>
      </c>
      <c r="Q60" s="99">
        <v>51142.239999999998</v>
      </c>
      <c r="R60" s="101">
        <v>4.4176074724015177E-3</v>
      </c>
      <c r="S60" t="str">
        <f t="shared" si="1"/>
        <v>N/A</v>
      </c>
      <c r="T60" t="str">
        <f>VLOOKUP(Table8[[#This Row],[Census Tract]],'UI EnergyBurden'!$A$2:$B$184,2,FALSE)</f>
        <v>No</v>
      </c>
      <c r="U60">
        <f>VLOOKUP(Table8[[#This Row],[Census Tract]],'Population and Diversity Data'!$B$2:$K$823,10,FALSE)</f>
        <v>4</v>
      </c>
    </row>
    <row r="61" spans="1:21" ht="15.75" thickBot="1" x14ac:dyDescent="0.3">
      <c r="A61" s="175">
        <v>9001072200</v>
      </c>
      <c r="B61" s="200" t="s">
        <v>934</v>
      </c>
      <c r="C61" s="93" t="s">
        <v>936</v>
      </c>
      <c r="D61" s="94">
        <v>48370.034999999996</v>
      </c>
      <c r="E61" s="95">
        <v>1.6621655239894111E-3</v>
      </c>
      <c r="F61" s="96">
        <v>0</v>
      </c>
      <c r="G61" s="95">
        <v>0</v>
      </c>
      <c r="H61" s="95" t="s">
        <v>2982</v>
      </c>
      <c r="I61" s="95" t="str">
        <f t="shared" si="2"/>
        <v>NO</v>
      </c>
      <c r="J61" s="97">
        <v>41166.362699999998</v>
      </c>
      <c r="K61" s="98">
        <v>1.6621655239894111E-3</v>
      </c>
      <c r="L61" s="99">
        <v>0</v>
      </c>
      <c r="M61" s="98">
        <v>0</v>
      </c>
      <c r="N61" s="98" t="str">
        <f t="shared" si="0"/>
        <v>NO</v>
      </c>
      <c r="O61" s="97">
        <v>7203.6723000000002</v>
      </c>
      <c r="P61" s="100">
        <v>1.6621655239894111E-3</v>
      </c>
      <c r="Q61" s="99">
        <v>0</v>
      </c>
      <c r="R61" s="101">
        <v>0</v>
      </c>
      <c r="S61" t="str">
        <f t="shared" si="1"/>
        <v>NO</v>
      </c>
      <c r="T61" t="str">
        <f>VLOOKUP(Table8[[#This Row],[Census Tract]],'UI EnergyBurden'!$A$2:$B$184,2,FALSE)</f>
        <v>No</v>
      </c>
      <c r="U61">
        <f>VLOOKUP(Table8[[#This Row],[Census Tract]],'Population and Diversity Data'!$B$2:$K$823,10,FALSE)</f>
        <v>4</v>
      </c>
    </row>
    <row r="62" spans="1:21" ht="15.75" thickBot="1" x14ac:dyDescent="0.3">
      <c r="A62" s="175">
        <v>9001072200</v>
      </c>
      <c r="B62" s="200" t="s">
        <v>2985</v>
      </c>
      <c r="C62" s="93" t="s">
        <v>936</v>
      </c>
      <c r="D62" s="94">
        <v>1.5974999999999999</v>
      </c>
      <c r="E62" s="95">
        <v>5.4895751565469905E-8</v>
      </c>
      <c r="F62" s="96">
        <v>0</v>
      </c>
      <c r="G62" s="95">
        <v>0</v>
      </c>
      <c r="H62" s="95" t="s">
        <v>2982</v>
      </c>
      <c r="I62" s="95" t="str">
        <f t="shared" si="2"/>
        <v>N/A</v>
      </c>
      <c r="J62" s="97">
        <v>0</v>
      </c>
      <c r="K62" s="98">
        <v>5.4895751565469905E-8</v>
      </c>
      <c r="L62" s="99">
        <v>0</v>
      </c>
      <c r="M62" s="98">
        <v>0</v>
      </c>
      <c r="N62" s="98" t="str">
        <f t="shared" si="0"/>
        <v>N/A</v>
      </c>
      <c r="O62" s="97">
        <v>1.5974999999999999</v>
      </c>
      <c r="P62" s="100">
        <v>5.4895751565469905E-8</v>
      </c>
      <c r="Q62" s="99">
        <v>0</v>
      </c>
      <c r="R62" s="101">
        <v>0</v>
      </c>
      <c r="S62" t="str">
        <f t="shared" si="1"/>
        <v>N/A</v>
      </c>
      <c r="T62" t="str">
        <f>VLOOKUP(Table8[[#This Row],[Census Tract]],'UI EnergyBurden'!$A$2:$B$184,2,FALSE)</f>
        <v>No</v>
      </c>
      <c r="U62">
        <f>VLOOKUP(Table8[[#This Row],[Census Tract]],'Population and Diversity Data'!$B$2:$K$823,10,FALSE)</f>
        <v>4</v>
      </c>
    </row>
    <row r="63" spans="1:21" ht="15.75" thickBot="1" x14ac:dyDescent="0.3">
      <c r="A63" s="175">
        <v>9001072300</v>
      </c>
      <c r="B63" s="200" t="s">
        <v>934</v>
      </c>
      <c r="C63" s="93" t="s">
        <v>944</v>
      </c>
      <c r="D63" s="94">
        <v>71996.736900000105</v>
      </c>
      <c r="E63" s="95">
        <v>2.4740625867836659E-3</v>
      </c>
      <c r="F63" s="96">
        <v>18750.489999999998</v>
      </c>
      <c r="G63" s="95">
        <v>1.116034963746242E-3</v>
      </c>
      <c r="H63" s="95" t="s">
        <v>2986</v>
      </c>
      <c r="I63" s="95" t="str">
        <f t="shared" si="2"/>
        <v>NO</v>
      </c>
      <c r="J63" s="97">
        <v>62912.309300000103</v>
      </c>
      <c r="K63" s="98">
        <v>2.4740625867836659E-3</v>
      </c>
      <c r="L63" s="99">
        <v>15404.49</v>
      </c>
      <c r="M63" s="98">
        <v>1.116034963746242E-3</v>
      </c>
      <c r="N63" s="98" t="str">
        <f t="shared" si="0"/>
        <v>NO</v>
      </c>
      <c r="O63" s="97">
        <v>9084.4276000000009</v>
      </c>
      <c r="P63" s="100">
        <v>2.4740625867836659E-3</v>
      </c>
      <c r="Q63" s="99">
        <v>3346</v>
      </c>
      <c r="R63" s="101">
        <v>1.116034963746242E-3</v>
      </c>
      <c r="S63" t="str">
        <f t="shared" si="1"/>
        <v>NO</v>
      </c>
      <c r="T63" t="str">
        <f>VLOOKUP(Table8[[#This Row],[Census Tract]],'UI EnergyBurden'!$A$2:$B$184,2,FALSE)</f>
        <v>No</v>
      </c>
      <c r="U63">
        <f>VLOOKUP(Table8[[#This Row],[Census Tract]],'Population and Diversity Data'!$B$2:$K$823,10,FALSE)</f>
        <v>5</v>
      </c>
    </row>
    <row r="64" spans="1:21" ht="15.75" thickBot="1" x14ac:dyDescent="0.3">
      <c r="A64" s="175">
        <v>9001072400</v>
      </c>
      <c r="B64" s="200" t="s">
        <v>934</v>
      </c>
      <c r="C64" s="93" t="s">
        <v>944</v>
      </c>
      <c r="D64" s="94">
        <v>46883.466399999998</v>
      </c>
      <c r="E64" s="95">
        <v>1.6110817677761852E-3</v>
      </c>
      <c r="F64" s="96">
        <v>33071.410000000003</v>
      </c>
      <c r="G64" s="95">
        <v>1.968420551163576E-3</v>
      </c>
      <c r="H64" s="95" t="s">
        <v>2993</v>
      </c>
      <c r="I64" s="95" t="str">
        <f t="shared" si="2"/>
        <v>YES</v>
      </c>
      <c r="J64" s="97">
        <v>38727.082199999997</v>
      </c>
      <c r="K64" s="98">
        <v>1.6110817677761852E-3</v>
      </c>
      <c r="L64" s="99">
        <v>29244.41</v>
      </c>
      <c r="M64" s="98">
        <v>1.968420551163576E-3</v>
      </c>
      <c r="N64" s="98" t="str">
        <f t="shared" si="0"/>
        <v>YES</v>
      </c>
      <c r="O64" s="97">
        <v>8156.3842000000004</v>
      </c>
      <c r="P64" s="100">
        <v>1.6110817677761852E-3</v>
      </c>
      <c r="Q64" s="99">
        <v>3827</v>
      </c>
      <c r="R64" s="101">
        <v>1.968420551163576E-3</v>
      </c>
      <c r="S64" t="str">
        <f t="shared" si="1"/>
        <v>YES</v>
      </c>
      <c r="T64" t="str">
        <f>VLOOKUP(Table8[[#This Row],[Census Tract]],'UI EnergyBurden'!$A$2:$B$184,2,FALSE)</f>
        <v>No</v>
      </c>
      <c r="U64">
        <f>VLOOKUP(Table8[[#This Row],[Census Tract]],'Population and Diversity Data'!$B$2:$K$823,10,FALSE)</f>
        <v>5</v>
      </c>
    </row>
    <row r="65" spans="1:21" ht="15.75" thickBot="1" x14ac:dyDescent="0.3">
      <c r="A65" s="175">
        <v>9001072500</v>
      </c>
      <c r="B65" s="200" t="s">
        <v>934</v>
      </c>
      <c r="C65" s="93" t="s">
        <v>944</v>
      </c>
      <c r="D65" s="94">
        <v>93619.371000000305</v>
      </c>
      <c r="E65" s="95">
        <v>3.2170927900667138E-3</v>
      </c>
      <c r="F65" s="96">
        <v>19820.64</v>
      </c>
      <c r="G65" s="95">
        <v>1.1797306227105168E-3</v>
      </c>
      <c r="H65" s="95" t="s">
        <v>2986</v>
      </c>
      <c r="I65" s="95" t="str">
        <f t="shared" si="2"/>
        <v>NO</v>
      </c>
      <c r="J65" s="97">
        <v>78001.035200000304</v>
      </c>
      <c r="K65" s="98">
        <v>3.2170927900667138E-3</v>
      </c>
      <c r="L65" s="99">
        <v>18716.64</v>
      </c>
      <c r="M65" s="98">
        <v>1.1797306227105168E-3</v>
      </c>
      <c r="N65" s="98" t="str">
        <f t="shared" si="0"/>
        <v>NO</v>
      </c>
      <c r="O65" s="97">
        <v>15618.335800000001</v>
      </c>
      <c r="P65" s="100">
        <v>3.2170927900667138E-3</v>
      </c>
      <c r="Q65" s="99">
        <v>1104</v>
      </c>
      <c r="R65" s="101">
        <v>1.1797306227105168E-3</v>
      </c>
      <c r="S65" t="str">
        <f t="shared" si="1"/>
        <v>NO</v>
      </c>
      <c r="T65" t="str">
        <f>VLOOKUP(Table8[[#This Row],[Census Tract]],'UI EnergyBurden'!$A$2:$B$184,2,FALSE)</f>
        <v>No</v>
      </c>
      <c r="U65">
        <f>VLOOKUP(Table8[[#This Row],[Census Tract]],'Population and Diversity Data'!$B$2:$K$823,10,FALSE)</f>
        <v>4</v>
      </c>
    </row>
    <row r="66" spans="1:21" ht="15.75" thickBot="1" x14ac:dyDescent="0.3">
      <c r="A66" s="175">
        <v>9001072500</v>
      </c>
      <c r="B66" s="200" t="s">
        <v>2985</v>
      </c>
      <c r="C66" s="93" t="s">
        <v>944</v>
      </c>
      <c r="D66" s="94">
        <v>55.980600000000003</v>
      </c>
      <c r="E66" s="95">
        <v>1.9236914617126416E-6</v>
      </c>
      <c r="F66" s="96">
        <v>0</v>
      </c>
      <c r="G66" s="95">
        <v>0</v>
      </c>
      <c r="H66" s="95" t="s">
        <v>2982</v>
      </c>
      <c r="I66" s="95" t="str">
        <f t="shared" si="2"/>
        <v>N/A</v>
      </c>
      <c r="J66" s="97">
        <v>0</v>
      </c>
      <c r="K66" s="98">
        <v>1.9236914617126416E-6</v>
      </c>
      <c r="L66" s="99">
        <v>0</v>
      </c>
      <c r="M66" s="98">
        <v>0</v>
      </c>
      <c r="N66" s="98" t="str">
        <f t="shared" si="0"/>
        <v>N/A</v>
      </c>
      <c r="O66" s="97">
        <v>55.980600000000003</v>
      </c>
      <c r="P66" s="100">
        <v>1.9236914617126416E-6</v>
      </c>
      <c r="Q66" s="99">
        <v>0</v>
      </c>
      <c r="R66" s="101">
        <v>0</v>
      </c>
      <c r="S66" t="str">
        <f t="shared" si="1"/>
        <v>N/A</v>
      </c>
      <c r="T66" t="str">
        <f>VLOOKUP(Table8[[#This Row],[Census Tract]],'UI EnergyBurden'!$A$2:$B$184,2,FALSE)</f>
        <v>No</v>
      </c>
      <c r="U66">
        <f>VLOOKUP(Table8[[#This Row],[Census Tract]],'Population and Diversity Data'!$B$2:$K$823,10,FALSE)</f>
        <v>4</v>
      </c>
    </row>
    <row r="67" spans="1:21" ht="15.75" thickBot="1" x14ac:dyDescent="0.3">
      <c r="A67" s="175">
        <v>9001072600</v>
      </c>
      <c r="B67" s="200" t="s">
        <v>934</v>
      </c>
      <c r="C67" s="93" t="s">
        <v>944</v>
      </c>
      <c r="D67" s="94">
        <v>150867.26629999999</v>
      </c>
      <c r="E67" s="95">
        <v>5.1843330016691017E-3</v>
      </c>
      <c r="F67" s="96">
        <v>51595.67</v>
      </c>
      <c r="G67" s="95">
        <v>3.0709902353438802E-3</v>
      </c>
      <c r="H67" s="95" t="s">
        <v>2986</v>
      </c>
      <c r="I67" s="95" t="str">
        <f t="shared" si="2"/>
        <v>NO</v>
      </c>
      <c r="J67" s="97">
        <v>118351.0931</v>
      </c>
      <c r="K67" s="98">
        <v>5.1843330016691017E-3</v>
      </c>
      <c r="L67" s="99">
        <v>43073.09</v>
      </c>
      <c r="M67" s="98">
        <v>3.0709902353438802E-3</v>
      </c>
      <c r="N67" s="98" t="str">
        <f t="shared" si="0"/>
        <v>NO</v>
      </c>
      <c r="O67" s="97">
        <v>32516.173200000001</v>
      </c>
      <c r="P67" s="100">
        <v>5.1843330016691017E-3</v>
      </c>
      <c r="Q67" s="99">
        <v>8522.58</v>
      </c>
      <c r="R67" s="101">
        <v>3.0709902353438802E-3</v>
      </c>
      <c r="S67" t="str">
        <f t="shared" si="1"/>
        <v>NO</v>
      </c>
      <c r="T67" t="str">
        <f>VLOOKUP(Table8[[#This Row],[Census Tract]],'UI EnergyBurden'!$A$2:$B$184,2,FALSE)</f>
        <v>No</v>
      </c>
      <c r="U67">
        <f>VLOOKUP(Table8[[#This Row],[Census Tract]],'Population and Diversity Data'!$B$2:$K$823,10,FALSE)</f>
        <v>3</v>
      </c>
    </row>
    <row r="68" spans="1:21" ht="15.75" thickBot="1" x14ac:dyDescent="0.3">
      <c r="A68" s="175">
        <v>9001072600</v>
      </c>
      <c r="B68" s="200" t="s">
        <v>2987</v>
      </c>
      <c r="C68" s="93" t="s">
        <v>944</v>
      </c>
      <c r="D68" s="94">
        <v>41.979599999999998</v>
      </c>
      <c r="E68" s="95">
        <v>1.4425675695886076E-6</v>
      </c>
      <c r="F68" s="96">
        <v>0</v>
      </c>
      <c r="G68" s="95">
        <v>0</v>
      </c>
      <c r="H68" s="95" t="s">
        <v>2982</v>
      </c>
      <c r="I68" s="95" t="str">
        <f t="shared" si="2"/>
        <v>N/A</v>
      </c>
      <c r="J68" s="97">
        <v>41.979599999999998</v>
      </c>
      <c r="K68" s="98">
        <v>1.4425675695886076E-6</v>
      </c>
      <c r="L68" s="99">
        <v>0</v>
      </c>
      <c r="M68" s="98">
        <v>0</v>
      </c>
      <c r="N68" s="98" t="str">
        <f t="shared" si="0"/>
        <v>N/A</v>
      </c>
      <c r="O68" s="97">
        <v>0</v>
      </c>
      <c r="P68" s="100">
        <v>1.4425675695886076E-6</v>
      </c>
      <c r="Q68" s="99">
        <v>0</v>
      </c>
      <c r="R68" s="101">
        <v>0</v>
      </c>
      <c r="S68" t="str">
        <f t="shared" si="1"/>
        <v>N/A</v>
      </c>
      <c r="T68" t="str">
        <f>VLOOKUP(Table8[[#This Row],[Census Tract]],'UI EnergyBurden'!$A$2:$B$184,2,FALSE)</f>
        <v>No</v>
      </c>
      <c r="U68">
        <f>VLOOKUP(Table8[[#This Row],[Census Tract]],'Population and Diversity Data'!$B$2:$K$823,10,FALSE)</f>
        <v>3</v>
      </c>
    </row>
    <row r="69" spans="1:21" ht="15.75" thickBot="1" x14ac:dyDescent="0.3">
      <c r="A69" s="175">
        <v>9001072700</v>
      </c>
      <c r="B69" s="200" t="s">
        <v>934</v>
      </c>
      <c r="C69" s="93" t="s">
        <v>944</v>
      </c>
      <c r="D69" s="94">
        <v>78752.083299999998</v>
      </c>
      <c r="E69" s="95">
        <v>2.70620018785602E-3</v>
      </c>
      <c r="F69" s="96">
        <v>53438.03</v>
      </c>
      <c r="G69" s="95">
        <v>3.1806480723288086E-3</v>
      </c>
      <c r="H69" s="95" t="s">
        <v>2993</v>
      </c>
      <c r="I69" s="95" t="str">
        <f t="shared" si="2"/>
        <v>YES</v>
      </c>
      <c r="J69" s="97">
        <v>59967.633300000001</v>
      </c>
      <c r="K69" s="98">
        <v>2.70620018785602E-3</v>
      </c>
      <c r="L69" s="99">
        <v>47344.93</v>
      </c>
      <c r="M69" s="98">
        <v>3.1806480723288086E-3</v>
      </c>
      <c r="N69" s="98" t="str">
        <f t="shared" si="0"/>
        <v>YES</v>
      </c>
      <c r="O69" s="97">
        <v>18784.45</v>
      </c>
      <c r="P69" s="100">
        <v>2.70620018785602E-3</v>
      </c>
      <c r="Q69" s="99">
        <v>6093.1</v>
      </c>
      <c r="R69" s="101">
        <v>3.1806480723288086E-3</v>
      </c>
      <c r="S69" t="str">
        <f t="shared" si="1"/>
        <v>YES</v>
      </c>
      <c r="T69" t="str">
        <f>VLOOKUP(Table8[[#This Row],[Census Tract]],'UI EnergyBurden'!$A$2:$B$184,2,FALSE)</f>
        <v>No</v>
      </c>
      <c r="U69">
        <f>VLOOKUP(Table8[[#This Row],[Census Tract]],'Population and Diversity Data'!$B$2:$K$823,10,FALSE)</f>
        <v>4</v>
      </c>
    </row>
    <row r="70" spans="1:21" ht="15.75" thickBot="1" x14ac:dyDescent="0.3">
      <c r="A70" s="175">
        <v>9001072700</v>
      </c>
      <c r="B70" s="200" t="s">
        <v>2987</v>
      </c>
      <c r="C70" s="93" t="s">
        <v>944</v>
      </c>
      <c r="D70" s="94">
        <v>284.05279999999999</v>
      </c>
      <c r="E70" s="95">
        <v>9.761059117543731E-6</v>
      </c>
      <c r="F70" s="96">
        <v>0</v>
      </c>
      <c r="G70" s="95">
        <v>0</v>
      </c>
      <c r="H70" s="95" t="s">
        <v>2982</v>
      </c>
      <c r="I70" s="95" t="str">
        <f t="shared" si="2"/>
        <v>NO</v>
      </c>
      <c r="J70" s="97">
        <v>284.05279999999999</v>
      </c>
      <c r="K70" s="98">
        <v>9.761059117543731E-6</v>
      </c>
      <c r="L70" s="99">
        <v>0</v>
      </c>
      <c r="M70" s="98">
        <v>0</v>
      </c>
      <c r="N70" s="98" t="str">
        <f t="shared" ref="N70:N133" si="3">IF(ROUND(K70,5)&lt;0.00001,"N/A",IF(ROUND(K70,5)&lt;=ROUND(M70,5),"YES","NO"))</f>
        <v>NO</v>
      </c>
      <c r="O70" s="97">
        <v>0</v>
      </c>
      <c r="P70" s="100">
        <v>9.761059117543731E-6</v>
      </c>
      <c r="Q70" s="99">
        <v>0</v>
      </c>
      <c r="R70" s="101">
        <v>0</v>
      </c>
      <c r="S70" t="str">
        <f t="shared" ref="S70:S133" si="4">IF(ROUND(P70,5)&lt;0.00001,"N/A",IF(ROUND(P70,5)&lt;=ROUND(R70,5),"YES","NO"))</f>
        <v>NO</v>
      </c>
      <c r="T70" t="str">
        <f>VLOOKUP(Table8[[#This Row],[Census Tract]],'UI EnergyBurden'!$A$2:$B$184,2,FALSE)</f>
        <v>No</v>
      </c>
      <c r="U70">
        <f>VLOOKUP(Table8[[#This Row],[Census Tract]],'Population and Diversity Data'!$B$2:$K$823,10,FALSE)</f>
        <v>4</v>
      </c>
    </row>
    <row r="71" spans="1:21" ht="15.75" thickBot="1" x14ac:dyDescent="0.3">
      <c r="A71" s="175">
        <v>9001072800</v>
      </c>
      <c r="B71" s="200" t="s">
        <v>934</v>
      </c>
      <c r="C71" s="93" t="s">
        <v>944</v>
      </c>
      <c r="D71" s="94">
        <v>77117.696200000093</v>
      </c>
      <c r="E71" s="95">
        <v>2.6500368650369879E-3</v>
      </c>
      <c r="F71" s="96">
        <v>239893.12</v>
      </c>
      <c r="G71" s="95">
        <v>1.4278512693917488E-2</v>
      </c>
      <c r="H71" s="95" t="s">
        <v>2993</v>
      </c>
      <c r="I71" s="95" t="str">
        <f t="shared" si="2"/>
        <v>YES</v>
      </c>
      <c r="J71" s="97">
        <v>67221.614200000098</v>
      </c>
      <c r="K71" s="98">
        <v>2.6500368650369879E-3</v>
      </c>
      <c r="L71" s="99">
        <v>239893.12</v>
      </c>
      <c r="M71" s="98">
        <v>1.4278512693917488E-2</v>
      </c>
      <c r="N71" s="98" t="str">
        <f t="shared" si="3"/>
        <v>YES</v>
      </c>
      <c r="O71" s="97">
        <v>9896.0820000000003</v>
      </c>
      <c r="P71" s="100">
        <v>2.6500368650369879E-3</v>
      </c>
      <c r="Q71" s="99">
        <v>0</v>
      </c>
      <c r="R71" s="101">
        <v>1.4278512693917488E-2</v>
      </c>
      <c r="S71" t="str">
        <f t="shared" si="4"/>
        <v>YES</v>
      </c>
      <c r="T71" t="str">
        <f>VLOOKUP(Table8[[#This Row],[Census Tract]],'UI EnergyBurden'!$A$2:$B$184,2,FALSE)</f>
        <v>No</v>
      </c>
      <c r="U71">
        <f>VLOOKUP(Table8[[#This Row],[Census Tract]],'Population and Diversity Data'!$B$2:$K$823,10,FALSE)</f>
        <v>5</v>
      </c>
    </row>
    <row r="72" spans="1:21" ht="15.75" thickBot="1" x14ac:dyDescent="0.3">
      <c r="A72" s="175">
        <v>9001072900</v>
      </c>
      <c r="B72" s="200" t="s">
        <v>934</v>
      </c>
      <c r="C72" s="93" t="s">
        <v>944</v>
      </c>
      <c r="D72" s="94">
        <v>78484.064900000099</v>
      </c>
      <c r="E72" s="95">
        <v>2.696990127448277E-3</v>
      </c>
      <c r="F72" s="96">
        <v>67359.210000000006</v>
      </c>
      <c r="G72" s="95">
        <v>4.0092410113189321E-3</v>
      </c>
      <c r="H72" s="95" t="s">
        <v>2993</v>
      </c>
      <c r="I72" s="95" t="str">
        <f t="shared" ref="I72:I135" si="5">IF(ROUND(E72,5)&lt;0.00001,"N/A",IF(ROUND(E72,5)&lt;=ROUND(G72,5),"YES","NO"))</f>
        <v>YES</v>
      </c>
      <c r="J72" s="97">
        <v>67436.167800000097</v>
      </c>
      <c r="K72" s="98">
        <v>2.696990127448277E-3</v>
      </c>
      <c r="L72" s="99">
        <v>53807.48</v>
      </c>
      <c r="M72" s="98">
        <v>4.0092410113189321E-3</v>
      </c>
      <c r="N72" s="98" t="str">
        <f t="shared" si="3"/>
        <v>YES</v>
      </c>
      <c r="O72" s="97">
        <v>11047.8971</v>
      </c>
      <c r="P72" s="100">
        <v>2.696990127448277E-3</v>
      </c>
      <c r="Q72" s="99">
        <v>13551.73</v>
      </c>
      <c r="R72" s="101">
        <v>4.0092410113189321E-3</v>
      </c>
      <c r="S72" t="str">
        <f t="shared" si="4"/>
        <v>YES</v>
      </c>
      <c r="T72" t="str">
        <f>VLOOKUP(Table8[[#This Row],[Census Tract]],'UI EnergyBurden'!$A$2:$B$184,2,FALSE)</f>
        <v>No</v>
      </c>
      <c r="U72">
        <f>VLOOKUP(Table8[[#This Row],[Census Tract]],'Population and Diversity Data'!$B$2:$K$823,10,FALSE)</f>
        <v>4</v>
      </c>
    </row>
    <row r="73" spans="1:21" ht="15.75" thickBot="1" x14ac:dyDescent="0.3">
      <c r="A73" s="175">
        <v>9001072900</v>
      </c>
      <c r="B73" s="200" t="s">
        <v>956</v>
      </c>
      <c r="C73" s="93" t="s">
        <v>944</v>
      </c>
      <c r="D73" s="94">
        <v>18.556000000000001</v>
      </c>
      <c r="E73" s="95">
        <v>6.376498066033551E-7</v>
      </c>
      <c r="F73" s="96">
        <v>0</v>
      </c>
      <c r="G73" s="95">
        <v>0</v>
      </c>
      <c r="H73" s="95" t="s">
        <v>2982</v>
      </c>
      <c r="I73" s="95" t="str">
        <f t="shared" si="5"/>
        <v>N/A</v>
      </c>
      <c r="J73" s="97">
        <v>18.556000000000001</v>
      </c>
      <c r="K73" s="98">
        <v>6.376498066033551E-7</v>
      </c>
      <c r="L73" s="99">
        <v>0</v>
      </c>
      <c r="M73" s="98">
        <v>0</v>
      </c>
      <c r="N73" s="98" t="str">
        <f t="shared" si="3"/>
        <v>N/A</v>
      </c>
      <c r="O73" s="97">
        <v>0</v>
      </c>
      <c r="P73" s="100">
        <v>6.376498066033551E-7</v>
      </c>
      <c r="Q73" s="99">
        <v>0</v>
      </c>
      <c r="R73" s="101">
        <v>0</v>
      </c>
      <c r="S73" t="str">
        <f t="shared" si="4"/>
        <v>N/A</v>
      </c>
      <c r="T73" t="str">
        <f>VLOOKUP(Table8[[#This Row],[Census Tract]],'UI EnergyBurden'!$A$2:$B$184,2,FALSE)</f>
        <v>No</v>
      </c>
      <c r="U73">
        <f>VLOOKUP(Table8[[#This Row],[Census Tract]],'Population and Diversity Data'!$B$2:$K$823,10,FALSE)</f>
        <v>4</v>
      </c>
    </row>
    <row r="74" spans="1:21" ht="15.75" thickBot="1" x14ac:dyDescent="0.3">
      <c r="A74" s="175">
        <v>9001072900</v>
      </c>
      <c r="B74" s="200" t="s">
        <v>2987</v>
      </c>
      <c r="C74" s="93" t="s">
        <v>944</v>
      </c>
      <c r="D74" s="94">
        <v>150.16140000000001</v>
      </c>
      <c r="E74" s="95">
        <v>5.1600769384182496E-6</v>
      </c>
      <c r="F74" s="96">
        <v>0</v>
      </c>
      <c r="G74" s="95">
        <v>0</v>
      </c>
      <c r="H74" s="95" t="s">
        <v>2982</v>
      </c>
      <c r="I74" s="95" t="str">
        <f t="shared" si="5"/>
        <v>NO</v>
      </c>
      <c r="J74" s="97">
        <v>78.866</v>
      </c>
      <c r="K74" s="98">
        <v>5.1600769384182496E-6</v>
      </c>
      <c r="L74" s="99">
        <v>0</v>
      </c>
      <c r="M74" s="98">
        <v>0</v>
      </c>
      <c r="N74" s="98" t="str">
        <f t="shared" si="3"/>
        <v>NO</v>
      </c>
      <c r="O74" s="97">
        <v>71.295400000000001</v>
      </c>
      <c r="P74" s="100">
        <v>5.1600769384182496E-6</v>
      </c>
      <c r="Q74" s="99">
        <v>0</v>
      </c>
      <c r="R74" s="101">
        <v>0</v>
      </c>
      <c r="S74" t="str">
        <f t="shared" si="4"/>
        <v>NO</v>
      </c>
      <c r="T74" t="str">
        <f>VLOOKUP(Table8[[#This Row],[Census Tract]],'UI EnergyBurden'!$A$2:$B$184,2,FALSE)</f>
        <v>No</v>
      </c>
      <c r="U74">
        <f>VLOOKUP(Table8[[#This Row],[Census Tract]],'Population and Diversity Data'!$B$2:$K$823,10,FALSE)</f>
        <v>4</v>
      </c>
    </row>
    <row r="75" spans="1:21" ht="15.75" thickBot="1" x14ac:dyDescent="0.3">
      <c r="A75" s="175">
        <v>9001073000</v>
      </c>
      <c r="B75" s="200" t="s">
        <v>934</v>
      </c>
      <c r="C75" s="93" t="s">
        <v>944</v>
      </c>
      <c r="D75" s="94">
        <v>44439.523699999998</v>
      </c>
      <c r="E75" s="95">
        <v>1.527099250530837E-3</v>
      </c>
      <c r="F75" s="96">
        <v>18098.66</v>
      </c>
      <c r="G75" s="95">
        <v>1.077237840555397E-3</v>
      </c>
      <c r="H75" s="95" t="s">
        <v>2986</v>
      </c>
      <c r="I75" s="95" t="str">
        <f t="shared" si="5"/>
        <v>NO</v>
      </c>
      <c r="J75" s="97">
        <v>27045.101699999999</v>
      </c>
      <c r="K75" s="98">
        <v>1.527099250530837E-3</v>
      </c>
      <c r="L75" s="99">
        <v>17678.66</v>
      </c>
      <c r="M75" s="98">
        <v>1.077237840555397E-3</v>
      </c>
      <c r="N75" s="98" t="str">
        <f t="shared" si="3"/>
        <v>NO</v>
      </c>
      <c r="O75" s="97">
        <v>17394.421999999999</v>
      </c>
      <c r="P75" s="100">
        <v>1.527099250530837E-3</v>
      </c>
      <c r="Q75" s="99">
        <v>420</v>
      </c>
      <c r="R75" s="101">
        <v>1.077237840555397E-3</v>
      </c>
      <c r="S75" t="str">
        <f t="shared" si="4"/>
        <v>NO</v>
      </c>
      <c r="T75" t="str">
        <f>VLOOKUP(Table8[[#This Row],[Census Tract]],'UI EnergyBurden'!$A$2:$B$184,2,FALSE)</f>
        <v>No</v>
      </c>
      <c r="U75">
        <f>VLOOKUP(Table8[[#This Row],[Census Tract]],'Population and Diversity Data'!$B$2:$K$823,10,FALSE)</f>
        <v>4</v>
      </c>
    </row>
    <row r="76" spans="1:21" ht="15.75" thickBot="1" x14ac:dyDescent="0.3">
      <c r="A76" s="175">
        <v>9001073000</v>
      </c>
      <c r="B76" s="200" t="s">
        <v>2987</v>
      </c>
      <c r="C76" s="93" t="s">
        <v>944</v>
      </c>
      <c r="D76" s="94">
        <v>118.6635</v>
      </c>
      <c r="E76" s="95">
        <v>4.0776976625284123E-6</v>
      </c>
      <c r="F76" s="96">
        <v>0</v>
      </c>
      <c r="G76" s="95">
        <v>0</v>
      </c>
      <c r="H76" s="95" t="s">
        <v>2982</v>
      </c>
      <c r="I76" s="95" t="str">
        <f t="shared" si="5"/>
        <v>N/A</v>
      </c>
      <c r="J76" s="97">
        <v>118.6635</v>
      </c>
      <c r="K76" s="98">
        <v>4.0776976625284123E-6</v>
      </c>
      <c r="L76" s="99">
        <v>0</v>
      </c>
      <c r="M76" s="98">
        <v>0</v>
      </c>
      <c r="N76" s="98" t="str">
        <f t="shared" si="3"/>
        <v>N/A</v>
      </c>
      <c r="O76" s="97">
        <v>0</v>
      </c>
      <c r="P76" s="100">
        <v>4.0776976625284123E-6</v>
      </c>
      <c r="Q76" s="99">
        <v>0</v>
      </c>
      <c r="R76" s="101">
        <v>0</v>
      </c>
      <c r="S76" t="str">
        <f t="shared" si="4"/>
        <v>N/A</v>
      </c>
      <c r="T76" t="str">
        <f>VLOOKUP(Table8[[#This Row],[Census Tract]],'UI EnergyBurden'!$A$2:$B$184,2,FALSE)</f>
        <v>No</v>
      </c>
      <c r="U76">
        <f>VLOOKUP(Table8[[#This Row],[Census Tract]],'Population and Diversity Data'!$B$2:$K$823,10,FALSE)</f>
        <v>4</v>
      </c>
    </row>
    <row r="77" spans="1:21" ht="15.75" thickBot="1" x14ac:dyDescent="0.3">
      <c r="A77" s="175">
        <v>9001073100</v>
      </c>
      <c r="B77" s="200" t="s">
        <v>3005</v>
      </c>
      <c r="C77" s="93" t="s">
        <v>944</v>
      </c>
      <c r="D77" s="94">
        <v>0</v>
      </c>
      <c r="E77" s="95">
        <v>0</v>
      </c>
      <c r="F77" s="96">
        <v>52814.18</v>
      </c>
      <c r="G77" s="95">
        <v>3.1435163273913114E-3</v>
      </c>
      <c r="H77" s="95" t="s">
        <v>2993</v>
      </c>
      <c r="I77" s="95" t="str">
        <f t="shared" si="5"/>
        <v>N/A</v>
      </c>
      <c r="J77" s="97">
        <v>0</v>
      </c>
      <c r="K77" s="98">
        <v>0</v>
      </c>
      <c r="L77" s="99">
        <v>34954.18</v>
      </c>
      <c r="M77" s="98">
        <v>3.1435163273913114E-3</v>
      </c>
      <c r="N77" s="98" t="str">
        <f t="shared" si="3"/>
        <v>N/A</v>
      </c>
      <c r="O77" s="97">
        <v>0</v>
      </c>
      <c r="P77" s="100">
        <v>0</v>
      </c>
      <c r="Q77" s="99">
        <v>17860</v>
      </c>
      <c r="R77" s="101">
        <v>3.1435163273913114E-3</v>
      </c>
      <c r="S77" t="str">
        <f t="shared" si="4"/>
        <v>N/A</v>
      </c>
      <c r="T77" t="str">
        <f>VLOOKUP(Table8[[#This Row],[Census Tract]],'UI EnergyBurden'!$A$2:$B$184,2,FALSE)</f>
        <v>No</v>
      </c>
      <c r="U77">
        <f>VLOOKUP(Table8[[#This Row],[Census Tract]],'Population and Diversity Data'!$B$2:$K$823,10,FALSE)</f>
        <v>5</v>
      </c>
    </row>
    <row r="78" spans="1:21" ht="15.75" thickBot="1" x14ac:dyDescent="0.3">
      <c r="A78" s="175">
        <v>9001073100</v>
      </c>
      <c r="B78" s="200" t="s">
        <v>934</v>
      </c>
      <c r="C78" s="93" t="s">
        <v>936</v>
      </c>
      <c r="D78" s="94">
        <v>94334.927800000005</v>
      </c>
      <c r="E78" s="95">
        <v>3.2416818531801825E-3</v>
      </c>
      <c r="F78" s="96">
        <v>0</v>
      </c>
      <c r="G78" s="95">
        <v>0</v>
      </c>
      <c r="H78" s="95" t="s">
        <v>2982</v>
      </c>
      <c r="I78" s="95" t="str">
        <f t="shared" si="5"/>
        <v>NO</v>
      </c>
      <c r="J78" s="97">
        <v>69620.792000000001</v>
      </c>
      <c r="K78" s="98">
        <v>3.2416818531801825E-3</v>
      </c>
      <c r="L78" s="99">
        <v>0</v>
      </c>
      <c r="M78" s="98">
        <v>0</v>
      </c>
      <c r="N78" s="98" t="str">
        <f t="shared" si="3"/>
        <v>NO</v>
      </c>
      <c r="O78" s="97">
        <v>24714.1358</v>
      </c>
      <c r="P78" s="100">
        <v>3.2416818531801825E-3</v>
      </c>
      <c r="Q78" s="99">
        <v>0</v>
      </c>
      <c r="R78" s="101">
        <v>0</v>
      </c>
      <c r="S78" t="str">
        <f t="shared" si="4"/>
        <v>NO</v>
      </c>
      <c r="T78" t="str">
        <f>VLOOKUP(Table8[[#This Row],[Census Tract]],'UI EnergyBurden'!$A$2:$B$184,2,FALSE)</f>
        <v>No</v>
      </c>
      <c r="U78">
        <f>VLOOKUP(Table8[[#This Row],[Census Tract]],'Population and Diversity Data'!$B$2:$K$823,10,FALSE)</f>
        <v>5</v>
      </c>
    </row>
    <row r="79" spans="1:21" ht="15.75" thickBot="1" x14ac:dyDescent="0.3">
      <c r="A79" s="175">
        <v>9001073100</v>
      </c>
      <c r="B79" s="200" t="s">
        <v>2987</v>
      </c>
      <c r="C79" s="93" t="s">
        <v>936</v>
      </c>
      <c r="D79" s="94">
        <v>99.9512</v>
      </c>
      <c r="E79" s="95">
        <v>3.4346768349737689E-6</v>
      </c>
      <c r="F79" s="96">
        <v>0</v>
      </c>
      <c r="G79" s="95">
        <v>0</v>
      </c>
      <c r="H79" s="95" t="s">
        <v>2982</v>
      </c>
      <c r="I79" s="95" t="str">
        <f t="shared" si="5"/>
        <v>N/A</v>
      </c>
      <c r="J79" s="97">
        <v>99.9512</v>
      </c>
      <c r="K79" s="98">
        <v>3.4346768349737689E-6</v>
      </c>
      <c r="L79" s="99">
        <v>0</v>
      </c>
      <c r="M79" s="98">
        <v>0</v>
      </c>
      <c r="N79" s="98" t="str">
        <f t="shared" si="3"/>
        <v>N/A</v>
      </c>
      <c r="O79" s="97">
        <v>0</v>
      </c>
      <c r="P79" s="100">
        <v>3.4346768349737689E-6</v>
      </c>
      <c r="Q79" s="99">
        <v>0</v>
      </c>
      <c r="R79" s="101">
        <v>0</v>
      </c>
      <c r="S79" t="str">
        <f t="shared" si="4"/>
        <v>N/A</v>
      </c>
      <c r="T79" t="str">
        <f>VLOOKUP(Table8[[#This Row],[Census Tract]],'UI EnergyBurden'!$A$2:$B$184,2,FALSE)</f>
        <v>No</v>
      </c>
      <c r="U79">
        <f>VLOOKUP(Table8[[#This Row],[Census Tract]],'Population and Diversity Data'!$B$2:$K$823,10,FALSE)</f>
        <v>5</v>
      </c>
    </row>
    <row r="80" spans="1:21" ht="15.75" thickBot="1" x14ac:dyDescent="0.3">
      <c r="A80" s="175">
        <v>9001073200</v>
      </c>
      <c r="B80" s="200" t="s">
        <v>934</v>
      </c>
      <c r="C80" s="93" t="s">
        <v>944</v>
      </c>
      <c r="D80" s="94">
        <v>26440.300999999999</v>
      </c>
      <c r="E80" s="95">
        <v>9.0858228169780637E-4</v>
      </c>
      <c r="F80" s="96">
        <v>3053.03</v>
      </c>
      <c r="G80" s="95">
        <v>1.8171728980768983E-4</v>
      </c>
      <c r="H80" s="95" t="s">
        <v>2986</v>
      </c>
      <c r="I80" s="95" t="str">
        <f t="shared" si="5"/>
        <v>NO</v>
      </c>
      <c r="J80" s="97">
        <v>24172.335500000001</v>
      </c>
      <c r="K80" s="98">
        <v>9.0858228169780637E-4</v>
      </c>
      <c r="L80" s="99">
        <v>3053.03</v>
      </c>
      <c r="M80" s="98">
        <v>1.8171728980768983E-4</v>
      </c>
      <c r="N80" s="98" t="str">
        <f t="shared" si="3"/>
        <v>NO</v>
      </c>
      <c r="O80" s="97">
        <v>2267.9654999999998</v>
      </c>
      <c r="P80" s="100">
        <v>9.0858228169780637E-4</v>
      </c>
      <c r="Q80" s="99">
        <v>0</v>
      </c>
      <c r="R80" s="101">
        <v>1.8171728980768983E-4</v>
      </c>
      <c r="S80" t="str">
        <f t="shared" si="4"/>
        <v>NO</v>
      </c>
      <c r="T80" t="str">
        <f>VLOOKUP(Table8[[#This Row],[Census Tract]],'UI EnergyBurden'!$A$2:$B$184,2,FALSE)</f>
        <v>No</v>
      </c>
      <c r="U80">
        <f>VLOOKUP(Table8[[#This Row],[Census Tract]],'Population and Diversity Data'!$B$2:$K$823,10,FALSE)</f>
        <v>5</v>
      </c>
    </row>
    <row r="81" spans="1:21" ht="15.75" thickBot="1" x14ac:dyDescent="0.3">
      <c r="A81" s="175">
        <v>9001073200</v>
      </c>
      <c r="B81" s="200" t="s">
        <v>956</v>
      </c>
      <c r="C81" s="93" t="s">
        <v>944</v>
      </c>
      <c r="D81" s="94">
        <v>37.274000000000001</v>
      </c>
      <c r="E81" s="95">
        <v>1.2808665063232084E-6</v>
      </c>
      <c r="F81" s="96">
        <v>0</v>
      </c>
      <c r="G81" s="95">
        <v>0</v>
      </c>
      <c r="H81" s="95" t="s">
        <v>2982</v>
      </c>
      <c r="I81" s="95" t="str">
        <f t="shared" si="5"/>
        <v>N/A</v>
      </c>
      <c r="J81" s="97">
        <v>37.274000000000001</v>
      </c>
      <c r="K81" s="98">
        <v>1.2808665063232084E-6</v>
      </c>
      <c r="L81" s="99">
        <v>0</v>
      </c>
      <c r="M81" s="98">
        <v>0</v>
      </c>
      <c r="N81" s="98" t="str">
        <f t="shared" si="3"/>
        <v>N/A</v>
      </c>
      <c r="O81" s="97">
        <v>0</v>
      </c>
      <c r="P81" s="100">
        <v>1.2808665063232084E-6</v>
      </c>
      <c r="Q81" s="99">
        <v>0</v>
      </c>
      <c r="R81" s="101">
        <v>0</v>
      </c>
      <c r="S81" t="str">
        <f t="shared" si="4"/>
        <v>N/A</v>
      </c>
      <c r="T81" t="str">
        <f>VLOOKUP(Table8[[#This Row],[Census Tract]],'UI EnergyBurden'!$A$2:$B$184,2,FALSE)</f>
        <v>No</v>
      </c>
      <c r="U81">
        <f>VLOOKUP(Table8[[#This Row],[Census Tract]],'Population and Diversity Data'!$B$2:$K$823,10,FALSE)</f>
        <v>5</v>
      </c>
    </row>
    <row r="82" spans="1:21" ht="15.75" thickBot="1" x14ac:dyDescent="0.3">
      <c r="A82" s="175">
        <v>9001073300</v>
      </c>
      <c r="B82" s="200" t="s">
        <v>3005</v>
      </c>
      <c r="C82" s="93" t="s">
        <v>944</v>
      </c>
      <c r="D82" s="94">
        <v>0</v>
      </c>
      <c r="E82" s="95">
        <v>0</v>
      </c>
      <c r="F82" s="96">
        <v>23786.65</v>
      </c>
      <c r="G82" s="95">
        <v>1.4157887644746646E-3</v>
      </c>
      <c r="H82" s="95" t="s">
        <v>2993</v>
      </c>
      <c r="I82" s="95" t="str">
        <f t="shared" si="5"/>
        <v>N/A</v>
      </c>
      <c r="J82" s="97">
        <v>0</v>
      </c>
      <c r="K82" s="98">
        <v>0</v>
      </c>
      <c r="L82" s="99">
        <v>21408.65</v>
      </c>
      <c r="M82" s="98">
        <v>1.4157887644746646E-3</v>
      </c>
      <c r="N82" s="98" t="str">
        <f t="shared" si="3"/>
        <v>N/A</v>
      </c>
      <c r="O82" s="97">
        <v>0</v>
      </c>
      <c r="P82" s="100">
        <v>0</v>
      </c>
      <c r="Q82" s="99">
        <v>2378</v>
      </c>
      <c r="R82" s="101">
        <v>1.4157887644746646E-3</v>
      </c>
      <c r="S82" t="str">
        <f t="shared" si="4"/>
        <v>N/A</v>
      </c>
      <c r="T82" t="str">
        <f>VLOOKUP(Table8[[#This Row],[Census Tract]],'UI EnergyBurden'!$A$2:$B$184,2,FALSE)</f>
        <v>Yes</v>
      </c>
      <c r="U82">
        <f>VLOOKUP(Table8[[#This Row],[Census Tract]],'Population and Diversity Data'!$B$2:$K$823,10,FALSE)</f>
        <v>5</v>
      </c>
    </row>
    <row r="83" spans="1:21" ht="15.75" thickBot="1" x14ac:dyDescent="0.3">
      <c r="A83" s="175">
        <v>9001073300</v>
      </c>
      <c r="B83" s="200" t="s">
        <v>934</v>
      </c>
      <c r="C83" s="93" t="s">
        <v>936</v>
      </c>
      <c r="D83" s="94">
        <v>72877.155399999901</v>
      </c>
      <c r="E83" s="95">
        <v>2.5043168811496328E-3</v>
      </c>
      <c r="F83" s="96">
        <v>0</v>
      </c>
      <c r="G83" s="95">
        <v>0</v>
      </c>
      <c r="H83" s="95" t="s">
        <v>2982</v>
      </c>
      <c r="I83" s="95" t="str">
        <f t="shared" si="5"/>
        <v>NO</v>
      </c>
      <c r="J83" s="97">
        <v>49786.050399999898</v>
      </c>
      <c r="K83" s="98">
        <v>2.5043168811496328E-3</v>
      </c>
      <c r="L83" s="99">
        <v>0</v>
      </c>
      <c r="M83" s="98">
        <v>0</v>
      </c>
      <c r="N83" s="98" t="str">
        <f t="shared" si="3"/>
        <v>NO</v>
      </c>
      <c r="O83" s="97">
        <v>23091.105</v>
      </c>
      <c r="P83" s="100">
        <v>2.5043168811496328E-3</v>
      </c>
      <c r="Q83" s="99">
        <v>0</v>
      </c>
      <c r="R83" s="101">
        <v>0</v>
      </c>
      <c r="S83" t="str">
        <f t="shared" si="4"/>
        <v>NO</v>
      </c>
      <c r="T83" t="str">
        <f>VLOOKUP(Table8[[#This Row],[Census Tract]],'UI EnergyBurden'!$A$2:$B$184,2,FALSE)</f>
        <v>Yes</v>
      </c>
      <c r="U83">
        <f>VLOOKUP(Table8[[#This Row],[Census Tract]],'Population and Diversity Data'!$B$2:$K$823,10,FALSE)</f>
        <v>5</v>
      </c>
    </row>
    <row r="84" spans="1:21" ht="15.75" thickBot="1" x14ac:dyDescent="0.3">
      <c r="A84" s="175">
        <v>9001073400</v>
      </c>
      <c r="B84" s="200" t="s">
        <v>3005</v>
      </c>
      <c r="C84" s="93" t="s">
        <v>944</v>
      </c>
      <c r="D84" s="94">
        <v>0</v>
      </c>
      <c r="E84" s="95">
        <v>0</v>
      </c>
      <c r="F84" s="96">
        <v>56114.62</v>
      </c>
      <c r="G84" s="95">
        <v>3.339959536915257E-3</v>
      </c>
      <c r="H84" s="95" t="s">
        <v>2993</v>
      </c>
      <c r="I84" s="95" t="str">
        <f t="shared" si="5"/>
        <v>N/A</v>
      </c>
      <c r="J84" s="97">
        <v>0</v>
      </c>
      <c r="K84" s="98">
        <v>0</v>
      </c>
      <c r="L84" s="99">
        <v>48424.62</v>
      </c>
      <c r="M84" s="98">
        <v>3.339959536915257E-3</v>
      </c>
      <c r="N84" s="98" t="str">
        <f t="shared" si="3"/>
        <v>N/A</v>
      </c>
      <c r="O84" s="97">
        <v>0</v>
      </c>
      <c r="P84" s="100">
        <v>0</v>
      </c>
      <c r="Q84" s="99">
        <v>7690</v>
      </c>
      <c r="R84" s="101">
        <v>3.339959536915257E-3</v>
      </c>
      <c r="S84" t="str">
        <f t="shared" si="4"/>
        <v>N/A</v>
      </c>
      <c r="T84" t="str">
        <f>VLOOKUP(Table8[[#This Row],[Census Tract]],'UI EnergyBurden'!$A$2:$B$184,2,FALSE)</f>
        <v>Yes</v>
      </c>
      <c r="U84">
        <f>VLOOKUP(Table8[[#This Row],[Census Tract]],'Population and Diversity Data'!$B$2:$K$823,10,FALSE)</f>
        <v>5</v>
      </c>
    </row>
    <row r="85" spans="1:21" ht="15.75" thickBot="1" x14ac:dyDescent="0.3">
      <c r="A85" s="175">
        <v>9001073400</v>
      </c>
      <c r="B85" s="200" t="s">
        <v>934</v>
      </c>
      <c r="C85" s="93" t="s">
        <v>936</v>
      </c>
      <c r="D85" s="94">
        <v>79920.725000000006</v>
      </c>
      <c r="E85" s="95">
        <v>2.7463588510373963E-3</v>
      </c>
      <c r="F85" s="96">
        <v>0</v>
      </c>
      <c r="G85" s="95">
        <v>0</v>
      </c>
      <c r="H85" s="95" t="s">
        <v>2982</v>
      </c>
      <c r="I85" s="95" t="str">
        <f t="shared" si="5"/>
        <v>NO</v>
      </c>
      <c r="J85" s="97">
        <v>53978.008699999998</v>
      </c>
      <c r="K85" s="98">
        <v>2.7463588510373963E-3</v>
      </c>
      <c r="L85" s="99">
        <v>0</v>
      </c>
      <c r="M85" s="98">
        <v>0</v>
      </c>
      <c r="N85" s="98" t="str">
        <f t="shared" si="3"/>
        <v>NO</v>
      </c>
      <c r="O85" s="97">
        <v>25942.7163</v>
      </c>
      <c r="P85" s="100">
        <v>2.7463588510373963E-3</v>
      </c>
      <c r="Q85" s="99">
        <v>0</v>
      </c>
      <c r="R85" s="101">
        <v>0</v>
      </c>
      <c r="S85" t="str">
        <f t="shared" si="4"/>
        <v>NO</v>
      </c>
      <c r="T85" t="str">
        <f>VLOOKUP(Table8[[#This Row],[Census Tract]],'UI EnergyBurden'!$A$2:$B$184,2,FALSE)</f>
        <v>Yes</v>
      </c>
      <c r="U85">
        <f>VLOOKUP(Table8[[#This Row],[Census Tract]],'Population and Diversity Data'!$B$2:$K$823,10,FALSE)</f>
        <v>5</v>
      </c>
    </row>
    <row r="86" spans="1:21" ht="15.75" thickBot="1" x14ac:dyDescent="0.3">
      <c r="A86" s="175">
        <v>9001073500</v>
      </c>
      <c r="B86" s="200" t="s">
        <v>3005</v>
      </c>
      <c r="C86" s="93" t="s">
        <v>944</v>
      </c>
      <c r="D86" s="94">
        <v>0</v>
      </c>
      <c r="E86" s="95">
        <v>0</v>
      </c>
      <c r="F86" s="96">
        <v>8303.2200000000012</v>
      </c>
      <c r="G86" s="95">
        <v>4.9421022232896711E-4</v>
      </c>
      <c r="H86" s="95" t="s">
        <v>2993</v>
      </c>
      <c r="I86" s="95" t="str">
        <f t="shared" si="5"/>
        <v>N/A</v>
      </c>
      <c r="J86" s="97">
        <v>0</v>
      </c>
      <c r="K86" s="98">
        <v>0</v>
      </c>
      <c r="L86" s="99">
        <v>7178.22</v>
      </c>
      <c r="M86" s="98">
        <v>4.9421022232896711E-4</v>
      </c>
      <c r="N86" s="98" t="str">
        <f t="shared" si="3"/>
        <v>N/A</v>
      </c>
      <c r="O86" s="97">
        <v>0</v>
      </c>
      <c r="P86" s="100">
        <v>0</v>
      </c>
      <c r="Q86" s="99">
        <v>1125</v>
      </c>
      <c r="R86" s="101">
        <v>4.9421022232896711E-4</v>
      </c>
      <c r="S86" t="str">
        <f t="shared" si="4"/>
        <v>N/A</v>
      </c>
      <c r="T86" t="str">
        <f>VLOOKUP(Table8[[#This Row],[Census Tract]],'UI EnergyBurden'!$A$2:$B$184,2,FALSE)</f>
        <v>Yes</v>
      </c>
      <c r="U86">
        <f>VLOOKUP(Table8[[#This Row],[Census Tract]],'Population and Diversity Data'!$B$2:$K$823,10,FALSE)</f>
        <v>5</v>
      </c>
    </row>
    <row r="87" spans="1:21" ht="15.75" thickBot="1" x14ac:dyDescent="0.3">
      <c r="A87" s="175">
        <v>9001073500</v>
      </c>
      <c r="B87" s="200" t="s">
        <v>934</v>
      </c>
      <c r="C87" s="93" t="s">
        <v>936</v>
      </c>
      <c r="D87" s="94">
        <v>48863.655799999993</v>
      </c>
      <c r="E87" s="95">
        <v>1.6791280809874381E-3</v>
      </c>
      <c r="F87" s="96">
        <v>0</v>
      </c>
      <c r="G87" s="95">
        <v>0</v>
      </c>
      <c r="H87" s="95" t="s">
        <v>2982</v>
      </c>
      <c r="I87" s="95" t="str">
        <f t="shared" si="5"/>
        <v>NO</v>
      </c>
      <c r="J87" s="97">
        <v>38030.339099999997</v>
      </c>
      <c r="K87" s="98">
        <v>1.6791280809874381E-3</v>
      </c>
      <c r="L87" s="99">
        <v>0</v>
      </c>
      <c r="M87" s="98">
        <v>0</v>
      </c>
      <c r="N87" s="98" t="str">
        <f t="shared" si="3"/>
        <v>NO</v>
      </c>
      <c r="O87" s="97">
        <v>10833.316699999999</v>
      </c>
      <c r="P87" s="100">
        <v>1.6791280809874381E-3</v>
      </c>
      <c r="Q87" s="99">
        <v>0</v>
      </c>
      <c r="R87" s="101">
        <v>0</v>
      </c>
      <c r="S87" t="str">
        <f t="shared" si="4"/>
        <v>NO</v>
      </c>
      <c r="T87" t="str">
        <f>VLOOKUP(Table8[[#This Row],[Census Tract]],'UI EnergyBurden'!$A$2:$B$184,2,FALSE)</f>
        <v>Yes</v>
      </c>
      <c r="U87">
        <f>VLOOKUP(Table8[[#This Row],[Census Tract]],'Population and Diversity Data'!$B$2:$K$823,10,FALSE)</f>
        <v>5</v>
      </c>
    </row>
    <row r="88" spans="1:21" ht="15.75" thickBot="1" x14ac:dyDescent="0.3">
      <c r="A88" s="175">
        <v>9001073600</v>
      </c>
      <c r="B88" s="200" t="s">
        <v>3005</v>
      </c>
      <c r="C88" s="93" t="s">
        <v>944</v>
      </c>
      <c r="D88" s="94">
        <v>0</v>
      </c>
      <c r="E88" s="95">
        <v>0</v>
      </c>
      <c r="F88" s="96">
        <v>2163.37</v>
      </c>
      <c r="G88" s="95">
        <v>1.2876445146338617E-4</v>
      </c>
      <c r="H88" s="95" t="s">
        <v>2993</v>
      </c>
      <c r="I88" s="95" t="str">
        <f t="shared" si="5"/>
        <v>N/A</v>
      </c>
      <c r="J88" s="97">
        <v>0</v>
      </c>
      <c r="K88" s="98">
        <v>0</v>
      </c>
      <c r="L88" s="99">
        <v>846.37</v>
      </c>
      <c r="M88" s="98">
        <v>1.2876445146338617E-4</v>
      </c>
      <c r="N88" s="98" t="str">
        <f t="shared" si="3"/>
        <v>N/A</v>
      </c>
      <c r="O88" s="97">
        <v>0</v>
      </c>
      <c r="P88" s="100">
        <v>0</v>
      </c>
      <c r="Q88" s="99">
        <v>1317</v>
      </c>
      <c r="R88" s="101">
        <v>1.2876445146338617E-4</v>
      </c>
      <c r="S88" t="str">
        <f t="shared" si="4"/>
        <v>N/A</v>
      </c>
      <c r="T88" t="str">
        <f>VLOOKUP(Table8[[#This Row],[Census Tract]],'UI EnergyBurden'!$A$2:$B$184,2,FALSE)</f>
        <v>Yes</v>
      </c>
      <c r="U88">
        <f>VLOOKUP(Table8[[#This Row],[Census Tract]],'Population and Diversity Data'!$B$2:$K$823,10,FALSE)</f>
        <v>5</v>
      </c>
    </row>
    <row r="89" spans="1:21" ht="15.75" thickBot="1" x14ac:dyDescent="0.3">
      <c r="A89" s="175">
        <v>9001073600</v>
      </c>
      <c r="B89" s="200" t="s">
        <v>934</v>
      </c>
      <c r="C89" s="93" t="s">
        <v>936</v>
      </c>
      <c r="D89" s="94">
        <v>31308.570500000002</v>
      </c>
      <c r="E89" s="95">
        <v>1.0758732444682317E-3</v>
      </c>
      <c r="F89" s="96">
        <v>0</v>
      </c>
      <c r="G89" s="95">
        <v>0</v>
      </c>
      <c r="H89" s="95" t="s">
        <v>2982</v>
      </c>
      <c r="I89" s="95" t="str">
        <f t="shared" si="5"/>
        <v>NO</v>
      </c>
      <c r="J89" s="97">
        <v>24351.613000000001</v>
      </c>
      <c r="K89" s="98">
        <v>1.0758732444682317E-3</v>
      </c>
      <c r="L89" s="99">
        <v>0</v>
      </c>
      <c r="M89" s="98">
        <v>0</v>
      </c>
      <c r="N89" s="98" t="str">
        <f t="shared" si="3"/>
        <v>NO</v>
      </c>
      <c r="O89" s="97">
        <v>6956.9575000000004</v>
      </c>
      <c r="P89" s="100">
        <v>1.0758732444682317E-3</v>
      </c>
      <c r="Q89" s="99">
        <v>0</v>
      </c>
      <c r="R89" s="101">
        <v>0</v>
      </c>
      <c r="S89" t="str">
        <f t="shared" si="4"/>
        <v>NO</v>
      </c>
      <c r="T89" t="str">
        <f>VLOOKUP(Table8[[#This Row],[Census Tract]],'UI EnergyBurden'!$A$2:$B$184,2,FALSE)</f>
        <v>Yes</v>
      </c>
      <c r="U89">
        <f>VLOOKUP(Table8[[#This Row],[Census Tract]],'Population and Diversity Data'!$B$2:$K$823,10,FALSE)</f>
        <v>5</v>
      </c>
    </row>
    <row r="90" spans="1:21" ht="15.75" thickBot="1" x14ac:dyDescent="0.3">
      <c r="A90" s="175">
        <v>9001073700</v>
      </c>
      <c r="B90" s="200" t="s">
        <v>3005</v>
      </c>
      <c r="C90" s="93" t="s">
        <v>944</v>
      </c>
      <c r="D90" s="94">
        <v>0</v>
      </c>
      <c r="E90" s="95">
        <v>0</v>
      </c>
      <c r="F90" s="96">
        <v>30385.83</v>
      </c>
      <c r="G90" s="95">
        <v>1.8085739989967984E-3</v>
      </c>
      <c r="H90" s="95" t="s">
        <v>2993</v>
      </c>
      <c r="I90" s="95" t="str">
        <f t="shared" si="5"/>
        <v>N/A</v>
      </c>
      <c r="J90" s="97">
        <v>0</v>
      </c>
      <c r="K90" s="98">
        <v>0</v>
      </c>
      <c r="L90" s="99">
        <v>24518.83</v>
      </c>
      <c r="M90" s="98">
        <v>1.8085739989967984E-3</v>
      </c>
      <c r="N90" s="98" t="str">
        <f t="shared" si="3"/>
        <v>N/A</v>
      </c>
      <c r="O90" s="97">
        <v>0</v>
      </c>
      <c r="P90" s="100">
        <v>0</v>
      </c>
      <c r="Q90" s="99">
        <v>5867</v>
      </c>
      <c r="R90" s="101">
        <v>1.8085739989967984E-3</v>
      </c>
      <c r="S90" t="str">
        <f t="shared" si="4"/>
        <v>N/A</v>
      </c>
      <c r="T90" t="str">
        <f>VLOOKUP(Table8[[#This Row],[Census Tract]],'UI EnergyBurden'!$A$2:$B$184,2,FALSE)</f>
        <v>Yes</v>
      </c>
      <c r="U90">
        <f>VLOOKUP(Table8[[#This Row],[Census Tract]],'Population and Diversity Data'!$B$2:$K$823,10,FALSE)</f>
        <v>5</v>
      </c>
    </row>
    <row r="91" spans="1:21" ht="15.75" thickBot="1" x14ac:dyDescent="0.3">
      <c r="A91" s="175">
        <v>9001073700</v>
      </c>
      <c r="B91" s="200" t="s">
        <v>934</v>
      </c>
      <c r="C91" s="93" t="s">
        <v>936</v>
      </c>
      <c r="D91" s="94">
        <v>87517.255000000092</v>
      </c>
      <c r="E91" s="95">
        <v>3.0074024965082219E-3</v>
      </c>
      <c r="F91" s="96">
        <v>0</v>
      </c>
      <c r="G91" s="95">
        <v>0</v>
      </c>
      <c r="H91" s="95" t="s">
        <v>2982</v>
      </c>
      <c r="I91" s="95" t="str">
        <f t="shared" si="5"/>
        <v>NO</v>
      </c>
      <c r="J91" s="97">
        <v>64008.1363000001</v>
      </c>
      <c r="K91" s="98">
        <v>3.0074024965082219E-3</v>
      </c>
      <c r="L91" s="99">
        <v>0</v>
      </c>
      <c r="M91" s="98">
        <v>0</v>
      </c>
      <c r="N91" s="98" t="str">
        <f t="shared" si="3"/>
        <v>NO</v>
      </c>
      <c r="O91" s="97">
        <v>23509.118699999999</v>
      </c>
      <c r="P91" s="100">
        <v>3.0074024965082219E-3</v>
      </c>
      <c r="Q91" s="99">
        <v>0</v>
      </c>
      <c r="R91" s="101">
        <v>0</v>
      </c>
      <c r="S91" t="str">
        <f t="shared" si="4"/>
        <v>NO</v>
      </c>
      <c r="T91" t="str">
        <f>VLOOKUP(Table8[[#This Row],[Census Tract]],'UI EnergyBurden'!$A$2:$B$184,2,FALSE)</f>
        <v>Yes</v>
      </c>
      <c r="U91">
        <f>VLOOKUP(Table8[[#This Row],[Census Tract]],'Population and Diversity Data'!$B$2:$K$823,10,FALSE)</f>
        <v>5</v>
      </c>
    </row>
    <row r="92" spans="1:21" ht="15.75" thickBot="1" x14ac:dyDescent="0.3">
      <c r="A92" s="175">
        <v>9001073700</v>
      </c>
      <c r="B92" s="200" t="s">
        <v>956</v>
      </c>
      <c r="C92" s="93" t="s">
        <v>936</v>
      </c>
      <c r="D92" s="94">
        <v>0.98970000000000002</v>
      </c>
      <c r="E92" s="95">
        <v>3.400959331727422E-8</v>
      </c>
      <c r="F92" s="96">
        <v>0</v>
      </c>
      <c r="G92" s="95">
        <v>0</v>
      </c>
      <c r="H92" s="95" t="s">
        <v>2982</v>
      </c>
      <c r="I92" s="95" t="str">
        <f t="shared" si="5"/>
        <v>N/A</v>
      </c>
      <c r="J92" s="97">
        <v>0</v>
      </c>
      <c r="K92" s="98">
        <v>3.400959331727422E-8</v>
      </c>
      <c r="L92" s="99">
        <v>0</v>
      </c>
      <c r="M92" s="98">
        <v>0</v>
      </c>
      <c r="N92" s="98" t="str">
        <f t="shared" si="3"/>
        <v>N/A</v>
      </c>
      <c r="O92" s="97">
        <v>0.98970000000000002</v>
      </c>
      <c r="P92" s="100">
        <v>3.400959331727422E-8</v>
      </c>
      <c r="Q92" s="99">
        <v>0</v>
      </c>
      <c r="R92" s="101">
        <v>0</v>
      </c>
      <c r="S92" t="str">
        <f t="shared" si="4"/>
        <v>N/A</v>
      </c>
      <c r="T92" t="str">
        <f>VLOOKUP(Table8[[#This Row],[Census Tract]],'UI EnergyBurden'!$A$2:$B$184,2,FALSE)</f>
        <v>Yes</v>
      </c>
      <c r="U92">
        <f>VLOOKUP(Table8[[#This Row],[Census Tract]],'Population and Diversity Data'!$B$2:$K$823,10,FALSE)</f>
        <v>5</v>
      </c>
    </row>
    <row r="93" spans="1:21" ht="15.75" thickBot="1" x14ac:dyDescent="0.3">
      <c r="A93" s="175">
        <v>9001073800</v>
      </c>
      <c r="B93" s="200" t="s">
        <v>3005</v>
      </c>
      <c r="C93" s="93" t="s">
        <v>944</v>
      </c>
      <c r="D93" s="94">
        <v>0</v>
      </c>
      <c r="E93" s="95">
        <v>0</v>
      </c>
      <c r="F93" s="96">
        <v>5184.29</v>
      </c>
      <c r="G93" s="95">
        <v>3.0857054414044677E-4</v>
      </c>
      <c r="H93" s="95" t="s">
        <v>2993</v>
      </c>
      <c r="I93" s="95" t="str">
        <f t="shared" si="5"/>
        <v>N/A</v>
      </c>
      <c r="J93" s="97">
        <v>0</v>
      </c>
      <c r="K93" s="98">
        <v>0</v>
      </c>
      <c r="L93" s="99">
        <v>2512.29</v>
      </c>
      <c r="M93" s="98">
        <v>3.0857054414044677E-4</v>
      </c>
      <c r="N93" s="98" t="str">
        <f t="shared" si="3"/>
        <v>N/A</v>
      </c>
      <c r="O93" s="97">
        <v>0</v>
      </c>
      <c r="P93" s="100">
        <v>0</v>
      </c>
      <c r="Q93" s="99">
        <v>2672</v>
      </c>
      <c r="R93" s="101">
        <v>3.0857054414044677E-4</v>
      </c>
      <c r="S93" t="str">
        <f t="shared" si="4"/>
        <v>N/A</v>
      </c>
      <c r="T93" t="str">
        <f>VLOOKUP(Table8[[#This Row],[Census Tract]],'UI EnergyBurden'!$A$2:$B$184,2,FALSE)</f>
        <v>Yes</v>
      </c>
      <c r="U93">
        <f>VLOOKUP(Table8[[#This Row],[Census Tract]],'Population and Diversity Data'!$B$2:$K$823,10,FALSE)</f>
        <v>5</v>
      </c>
    </row>
    <row r="94" spans="1:21" ht="15.75" thickBot="1" x14ac:dyDescent="0.3">
      <c r="A94" s="175">
        <v>9001073800</v>
      </c>
      <c r="B94" s="200" t="s">
        <v>934</v>
      </c>
      <c r="C94" s="93" t="s">
        <v>936</v>
      </c>
      <c r="D94" s="94">
        <v>44125.629799999995</v>
      </c>
      <c r="E94" s="95">
        <v>1.5163127456467578E-3</v>
      </c>
      <c r="F94" s="96">
        <v>0</v>
      </c>
      <c r="G94" s="95">
        <v>0</v>
      </c>
      <c r="H94" s="95" t="s">
        <v>2982</v>
      </c>
      <c r="I94" s="95" t="str">
        <f t="shared" si="5"/>
        <v>NO</v>
      </c>
      <c r="J94" s="97">
        <v>25510.301599999999</v>
      </c>
      <c r="K94" s="98">
        <v>1.5163127456467578E-3</v>
      </c>
      <c r="L94" s="99">
        <v>0</v>
      </c>
      <c r="M94" s="98">
        <v>0</v>
      </c>
      <c r="N94" s="98" t="str">
        <f t="shared" si="3"/>
        <v>NO</v>
      </c>
      <c r="O94" s="97">
        <v>18615.3282</v>
      </c>
      <c r="P94" s="100">
        <v>1.5163127456467578E-3</v>
      </c>
      <c r="Q94" s="99">
        <v>0</v>
      </c>
      <c r="R94" s="101">
        <v>0</v>
      </c>
      <c r="S94" t="str">
        <f t="shared" si="4"/>
        <v>NO</v>
      </c>
      <c r="T94" t="str">
        <f>VLOOKUP(Table8[[#This Row],[Census Tract]],'UI EnergyBurden'!$A$2:$B$184,2,FALSE)</f>
        <v>Yes</v>
      </c>
      <c r="U94">
        <f>VLOOKUP(Table8[[#This Row],[Census Tract]],'Population and Diversity Data'!$B$2:$K$823,10,FALSE)</f>
        <v>5</v>
      </c>
    </row>
    <row r="95" spans="1:21" ht="15.75" thickBot="1" x14ac:dyDescent="0.3">
      <c r="A95" s="175">
        <v>9001073900</v>
      </c>
      <c r="B95" s="200" t="s">
        <v>3005</v>
      </c>
      <c r="C95" s="93" t="s">
        <v>944</v>
      </c>
      <c r="D95" s="94">
        <v>0</v>
      </c>
      <c r="E95" s="95">
        <v>0</v>
      </c>
      <c r="F95" s="96">
        <v>111274.86</v>
      </c>
      <c r="G95" s="95">
        <v>6.6231140810703174E-3</v>
      </c>
      <c r="H95" s="95" t="s">
        <v>2993</v>
      </c>
      <c r="I95" s="95" t="str">
        <f t="shared" si="5"/>
        <v>N/A</v>
      </c>
      <c r="J95" s="97">
        <v>0</v>
      </c>
      <c r="K95" s="98">
        <v>0</v>
      </c>
      <c r="L95" s="99">
        <v>106775.64</v>
      </c>
      <c r="M95" s="98">
        <v>6.6231140810703174E-3</v>
      </c>
      <c r="N95" s="98" t="str">
        <f t="shared" si="3"/>
        <v>N/A</v>
      </c>
      <c r="O95" s="97">
        <v>0</v>
      </c>
      <c r="P95" s="100">
        <v>0</v>
      </c>
      <c r="Q95" s="99">
        <v>4499.22</v>
      </c>
      <c r="R95" s="101">
        <v>6.6231140810703174E-3</v>
      </c>
      <c r="S95" t="str">
        <f t="shared" si="4"/>
        <v>N/A</v>
      </c>
      <c r="T95" t="str">
        <f>VLOOKUP(Table8[[#This Row],[Census Tract]],'UI EnergyBurden'!$A$2:$B$184,2,FALSE)</f>
        <v>Yes</v>
      </c>
      <c r="U95">
        <f>VLOOKUP(Table8[[#This Row],[Census Tract]],'Population and Diversity Data'!$B$2:$K$823,10,FALSE)</f>
        <v>5</v>
      </c>
    </row>
    <row r="96" spans="1:21" ht="15.75" thickBot="1" x14ac:dyDescent="0.3">
      <c r="A96" s="175">
        <v>9001073900</v>
      </c>
      <c r="B96" s="200" t="s">
        <v>934</v>
      </c>
      <c r="C96" s="93" t="s">
        <v>936</v>
      </c>
      <c r="D96" s="94">
        <v>51179.499300000003</v>
      </c>
      <c r="E96" s="95">
        <v>1.7587086565370525E-3</v>
      </c>
      <c r="F96" s="96">
        <v>0</v>
      </c>
      <c r="G96" s="95">
        <v>0</v>
      </c>
      <c r="H96" s="95" t="s">
        <v>2982</v>
      </c>
      <c r="I96" s="95" t="str">
        <f t="shared" si="5"/>
        <v>NO</v>
      </c>
      <c r="J96" s="97">
        <v>35070.078800000003</v>
      </c>
      <c r="K96" s="98">
        <v>1.7587086565370525E-3</v>
      </c>
      <c r="L96" s="99">
        <v>0</v>
      </c>
      <c r="M96" s="98">
        <v>0</v>
      </c>
      <c r="N96" s="98" t="str">
        <f t="shared" si="3"/>
        <v>NO</v>
      </c>
      <c r="O96" s="97">
        <v>16109.4205</v>
      </c>
      <c r="P96" s="100">
        <v>1.7587086565370525E-3</v>
      </c>
      <c r="Q96" s="99">
        <v>0</v>
      </c>
      <c r="R96" s="101">
        <v>0</v>
      </c>
      <c r="S96" t="str">
        <f t="shared" si="4"/>
        <v>NO</v>
      </c>
      <c r="T96" t="str">
        <f>VLOOKUP(Table8[[#This Row],[Census Tract]],'UI EnergyBurden'!$A$2:$B$184,2,FALSE)</f>
        <v>Yes</v>
      </c>
      <c r="U96">
        <f>VLOOKUP(Table8[[#This Row],[Census Tract]],'Population and Diversity Data'!$B$2:$K$823,10,FALSE)</f>
        <v>5</v>
      </c>
    </row>
    <row r="97" spans="1:21" ht="15.75" thickBot="1" x14ac:dyDescent="0.3">
      <c r="A97" s="175">
        <v>9001074000</v>
      </c>
      <c r="B97" s="200" t="s">
        <v>3005</v>
      </c>
      <c r="C97" s="93" t="s">
        <v>944</v>
      </c>
      <c r="D97" s="94">
        <v>0</v>
      </c>
      <c r="E97" s="95">
        <v>0</v>
      </c>
      <c r="F97" s="96">
        <v>15337.06</v>
      </c>
      <c r="G97" s="95">
        <v>9.1286655447798644E-4</v>
      </c>
      <c r="H97" s="95" t="s">
        <v>2993</v>
      </c>
      <c r="I97" s="95" t="str">
        <f t="shared" si="5"/>
        <v>N/A</v>
      </c>
      <c r="J97" s="97">
        <v>0</v>
      </c>
      <c r="K97" s="98">
        <v>0</v>
      </c>
      <c r="L97" s="99">
        <v>13413.06</v>
      </c>
      <c r="M97" s="98">
        <v>9.1286655447798644E-4</v>
      </c>
      <c r="N97" s="98" t="str">
        <f t="shared" si="3"/>
        <v>N/A</v>
      </c>
      <c r="O97" s="97">
        <v>0</v>
      </c>
      <c r="P97" s="100">
        <v>0</v>
      </c>
      <c r="Q97" s="99">
        <v>1924</v>
      </c>
      <c r="R97" s="101">
        <v>9.1286655447798644E-4</v>
      </c>
      <c r="S97" t="str">
        <f t="shared" si="4"/>
        <v>N/A</v>
      </c>
      <c r="T97" t="str">
        <f>VLOOKUP(Table8[[#This Row],[Census Tract]],'UI EnergyBurden'!$A$2:$B$184,2,FALSE)</f>
        <v>Yes</v>
      </c>
      <c r="U97">
        <f>VLOOKUP(Table8[[#This Row],[Census Tract]],'Population and Diversity Data'!$B$2:$K$823,10,FALSE)</f>
        <v>5</v>
      </c>
    </row>
    <row r="98" spans="1:21" ht="15.75" thickBot="1" x14ac:dyDescent="0.3">
      <c r="A98" s="175">
        <v>9001074000</v>
      </c>
      <c r="B98" s="200" t="s">
        <v>934</v>
      </c>
      <c r="C98" s="93" t="s">
        <v>936</v>
      </c>
      <c r="D98" s="94">
        <v>45335.883000000002</v>
      </c>
      <c r="E98" s="95">
        <v>1.5579013271794747E-3</v>
      </c>
      <c r="F98" s="96">
        <v>0</v>
      </c>
      <c r="G98" s="95">
        <v>0</v>
      </c>
      <c r="H98" s="95" t="s">
        <v>2982</v>
      </c>
      <c r="I98" s="95" t="str">
        <f t="shared" si="5"/>
        <v>NO</v>
      </c>
      <c r="J98" s="97">
        <v>26942.261399999999</v>
      </c>
      <c r="K98" s="98">
        <v>1.5579013271794747E-3</v>
      </c>
      <c r="L98" s="99">
        <v>0</v>
      </c>
      <c r="M98" s="98">
        <v>0</v>
      </c>
      <c r="N98" s="98" t="str">
        <f t="shared" si="3"/>
        <v>NO</v>
      </c>
      <c r="O98" s="97">
        <v>18393.621599999999</v>
      </c>
      <c r="P98" s="100">
        <v>1.5579013271794747E-3</v>
      </c>
      <c r="Q98" s="99">
        <v>0</v>
      </c>
      <c r="R98" s="101">
        <v>0</v>
      </c>
      <c r="S98" t="str">
        <f t="shared" si="4"/>
        <v>NO</v>
      </c>
      <c r="T98" t="str">
        <f>VLOOKUP(Table8[[#This Row],[Census Tract]],'UI EnergyBurden'!$A$2:$B$184,2,FALSE)</f>
        <v>Yes</v>
      </c>
      <c r="U98">
        <f>VLOOKUP(Table8[[#This Row],[Census Tract]],'Population and Diversity Data'!$B$2:$K$823,10,FALSE)</f>
        <v>5</v>
      </c>
    </row>
    <row r="99" spans="1:21" ht="15.75" thickBot="1" x14ac:dyDescent="0.3">
      <c r="A99" s="175">
        <v>9001074300</v>
      </c>
      <c r="B99" s="200" t="s">
        <v>3005</v>
      </c>
      <c r="C99" s="93" t="s">
        <v>944</v>
      </c>
      <c r="D99" s="94">
        <v>0</v>
      </c>
      <c r="E99" s="95">
        <v>0</v>
      </c>
      <c r="F99" s="96">
        <v>19368.77</v>
      </c>
      <c r="G99" s="95">
        <v>1.1528351805611108E-3</v>
      </c>
      <c r="H99" s="95" t="s">
        <v>2993</v>
      </c>
      <c r="I99" s="95" t="str">
        <f t="shared" si="5"/>
        <v>N/A</v>
      </c>
      <c r="J99" s="97">
        <v>0</v>
      </c>
      <c r="K99" s="98">
        <v>0</v>
      </c>
      <c r="L99" s="99">
        <v>8289.77</v>
      </c>
      <c r="M99" s="98">
        <v>1.1528351805611108E-3</v>
      </c>
      <c r="N99" s="98" t="str">
        <f t="shared" si="3"/>
        <v>N/A</v>
      </c>
      <c r="O99" s="97">
        <v>0</v>
      </c>
      <c r="P99" s="100">
        <v>0</v>
      </c>
      <c r="Q99" s="99">
        <v>11079</v>
      </c>
      <c r="R99" s="101">
        <v>1.1528351805611108E-3</v>
      </c>
      <c r="S99" t="str">
        <f t="shared" si="4"/>
        <v>N/A</v>
      </c>
      <c r="T99" t="str">
        <f>VLOOKUP(Table8[[#This Row],[Census Tract]],'UI EnergyBurden'!$A$2:$B$184,2,FALSE)</f>
        <v>Yes</v>
      </c>
      <c r="U99">
        <f>VLOOKUP(Table8[[#This Row],[Census Tract]],'Population and Diversity Data'!$B$2:$K$823,10,FALSE)</f>
        <v>5</v>
      </c>
    </row>
    <row r="100" spans="1:21" ht="15.75" thickBot="1" x14ac:dyDescent="0.3">
      <c r="A100" s="175">
        <v>9001074300</v>
      </c>
      <c r="B100" s="200" t="s">
        <v>934</v>
      </c>
      <c r="C100" s="93" t="s">
        <v>936</v>
      </c>
      <c r="D100" s="94">
        <v>99612.751599999901</v>
      </c>
      <c r="E100" s="95">
        <v>3.4230465506018531E-3</v>
      </c>
      <c r="F100" s="96">
        <v>0</v>
      </c>
      <c r="G100" s="95">
        <v>0</v>
      </c>
      <c r="H100" s="95" t="s">
        <v>2982</v>
      </c>
      <c r="I100" s="95" t="str">
        <f t="shared" si="5"/>
        <v>NO</v>
      </c>
      <c r="J100" s="97">
        <v>51549.295899999903</v>
      </c>
      <c r="K100" s="98">
        <v>3.4230465506018531E-3</v>
      </c>
      <c r="L100" s="99">
        <v>0</v>
      </c>
      <c r="M100" s="98">
        <v>0</v>
      </c>
      <c r="N100" s="98" t="str">
        <f t="shared" si="3"/>
        <v>NO</v>
      </c>
      <c r="O100" s="97">
        <v>48063.455699999999</v>
      </c>
      <c r="P100" s="100">
        <v>3.4230465506018531E-3</v>
      </c>
      <c r="Q100" s="99">
        <v>0</v>
      </c>
      <c r="R100" s="101">
        <v>0</v>
      </c>
      <c r="S100" t="str">
        <f t="shared" si="4"/>
        <v>NO</v>
      </c>
      <c r="T100" t="str">
        <f>VLOOKUP(Table8[[#This Row],[Census Tract]],'UI EnergyBurden'!$A$2:$B$184,2,FALSE)</f>
        <v>Yes</v>
      </c>
      <c r="U100">
        <f>VLOOKUP(Table8[[#This Row],[Census Tract]],'Population and Diversity Data'!$B$2:$K$823,10,FALSE)</f>
        <v>5</v>
      </c>
    </row>
    <row r="101" spans="1:21" ht="15.75" thickBot="1" x14ac:dyDescent="0.3">
      <c r="A101" s="175">
        <v>9001074300</v>
      </c>
      <c r="B101" s="200" t="s">
        <v>956</v>
      </c>
      <c r="C101" s="93" t="s">
        <v>936</v>
      </c>
      <c r="D101" s="94">
        <v>78.454899999999995</v>
      </c>
      <c r="E101" s="95">
        <v>2.6959879183059687E-6</v>
      </c>
      <c r="F101" s="96">
        <v>0</v>
      </c>
      <c r="G101" s="95">
        <v>0</v>
      </c>
      <c r="H101" s="95" t="s">
        <v>2982</v>
      </c>
      <c r="I101" s="95" t="str">
        <f t="shared" si="5"/>
        <v>N/A</v>
      </c>
      <c r="J101" s="97">
        <v>69.194299999999998</v>
      </c>
      <c r="K101" s="98">
        <v>2.6959879183059687E-6</v>
      </c>
      <c r="L101" s="99">
        <v>0</v>
      </c>
      <c r="M101" s="98">
        <v>0</v>
      </c>
      <c r="N101" s="98" t="str">
        <f t="shared" si="3"/>
        <v>N/A</v>
      </c>
      <c r="O101" s="97">
        <v>9.2606000000000002</v>
      </c>
      <c r="P101" s="100">
        <v>2.6959879183059687E-6</v>
      </c>
      <c r="Q101" s="99">
        <v>0</v>
      </c>
      <c r="R101" s="101">
        <v>0</v>
      </c>
      <c r="S101" t="str">
        <f t="shared" si="4"/>
        <v>N/A</v>
      </c>
      <c r="T101" t="str">
        <f>VLOOKUP(Table8[[#This Row],[Census Tract]],'UI EnergyBurden'!$A$2:$B$184,2,FALSE)</f>
        <v>Yes</v>
      </c>
      <c r="U101">
        <f>VLOOKUP(Table8[[#This Row],[Census Tract]],'Population and Diversity Data'!$B$2:$K$823,10,FALSE)</f>
        <v>5</v>
      </c>
    </row>
    <row r="102" spans="1:21" ht="15.75" thickBot="1" x14ac:dyDescent="0.3">
      <c r="A102" s="175">
        <v>9001074400</v>
      </c>
      <c r="B102" s="200" t="s">
        <v>3005</v>
      </c>
      <c r="C102" s="93" t="s">
        <v>944</v>
      </c>
      <c r="D102" s="94">
        <v>0</v>
      </c>
      <c r="E102" s="95">
        <v>0</v>
      </c>
      <c r="F102" s="96">
        <v>47388.399999999994</v>
      </c>
      <c r="G102" s="95">
        <v>2.8205722237654813E-3</v>
      </c>
      <c r="H102" s="95" t="s">
        <v>2993</v>
      </c>
      <c r="I102" s="95" t="str">
        <f t="shared" si="5"/>
        <v>N/A</v>
      </c>
      <c r="J102" s="97">
        <v>0</v>
      </c>
      <c r="K102" s="98">
        <v>0</v>
      </c>
      <c r="L102" s="99">
        <v>20133.349999999999</v>
      </c>
      <c r="M102" s="98">
        <v>2.8205722237654813E-3</v>
      </c>
      <c r="N102" s="98" t="str">
        <f t="shared" si="3"/>
        <v>N/A</v>
      </c>
      <c r="O102" s="97">
        <v>0</v>
      </c>
      <c r="P102" s="100">
        <v>0</v>
      </c>
      <c r="Q102" s="99">
        <v>27255.05</v>
      </c>
      <c r="R102" s="101">
        <v>2.8205722237654813E-3</v>
      </c>
      <c r="S102" t="str">
        <f t="shared" si="4"/>
        <v>N/A</v>
      </c>
      <c r="T102" t="str">
        <f>VLOOKUP(Table8[[#This Row],[Census Tract]],'UI EnergyBurden'!$A$2:$B$184,2,FALSE)</f>
        <v>Yes</v>
      </c>
      <c r="U102">
        <f>VLOOKUP(Table8[[#This Row],[Census Tract]],'Population and Diversity Data'!$B$2:$K$823,10,FALSE)</f>
        <v>5</v>
      </c>
    </row>
    <row r="103" spans="1:21" ht="15.75" thickBot="1" x14ac:dyDescent="0.3">
      <c r="A103" s="175">
        <v>9001074400</v>
      </c>
      <c r="B103" s="200" t="s">
        <v>934</v>
      </c>
      <c r="C103" s="93" t="s">
        <v>936</v>
      </c>
      <c r="D103" s="94">
        <v>89778.143799999903</v>
      </c>
      <c r="E103" s="95">
        <v>3.0850946341495007E-3</v>
      </c>
      <c r="F103" s="96">
        <v>0</v>
      </c>
      <c r="G103" s="95">
        <v>0</v>
      </c>
      <c r="H103" s="95" t="s">
        <v>2982</v>
      </c>
      <c r="I103" s="95" t="str">
        <f t="shared" si="5"/>
        <v>NO</v>
      </c>
      <c r="J103" s="97">
        <v>54299.358399999903</v>
      </c>
      <c r="K103" s="98">
        <v>3.0850946341495007E-3</v>
      </c>
      <c r="L103" s="99">
        <v>0</v>
      </c>
      <c r="M103" s="98">
        <v>0</v>
      </c>
      <c r="N103" s="98" t="str">
        <f t="shared" si="3"/>
        <v>NO</v>
      </c>
      <c r="O103" s="97">
        <v>35478.785400000001</v>
      </c>
      <c r="P103" s="100">
        <v>3.0850946341495007E-3</v>
      </c>
      <c r="Q103" s="99">
        <v>0</v>
      </c>
      <c r="R103" s="101">
        <v>0</v>
      </c>
      <c r="S103" t="str">
        <f t="shared" si="4"/>
        <v>NO</v>
      </c>
      <c r="T103" t="str">
        <f>VLOOKUP(Table8[[#This Row],[Census Tract]],'UI EnergyBurden'!$A$2:$B$184,2,FALSE)</f>
        <v>Yes</v>
      </c>
      <c r="U103">
        <f>VLOOKUP(Table8[[#This Row],[Census Tract]],'Population and Diversity Data'!$B$2:$K$823,10,FALSE)</f>
        <v>5</v>
      </c>
    </row>
    <row r="104" spans="1:21" ht="15.75" thickBot="1" x14ac:dyDescent="0.3">
      <c r="A104" s="175">
        <v>9001080100</v>
      </c>
      <c r="B104" s="200" t="s">
        <v>934</v>
      </c>
      <c r="C104" s="93" t="s">
        <v>944</v>
      </c>
      <c r="D104" s="94">
        <v>259.25740000000002</v>
      </c>
      <c r="E104" s="95">
        <v>8.9090014534645754E-6</v>
      </c>
      <c r="F104" s="96">
        <v>0</v>
      </c>
      <c r="G104" s="95">
        <v>0</v>
      </c>
      <c r="H104" s="95" t="s">
        <v>2982</v>
      </c>
      <c r="I104" s="95" t="str">
        <f t="shared" si="5"/>
        <v>NO</v>
      </c>
      <c r="J104" s="97">
        <v>255.44900000000001</v>
      </c>
      <c r="K104" s="98">
        <v>8.9090014534645754E-6</v>
      </c>
      <c r="L104" s="99">
        <v>0</v>
      </c>
      <c r="M104" s="98">
        <v>0</v>
      </c>
      <c r="N104" s="98" t="str">
        <f t="shared" si="3"/>
        <v>NO</v>
      </c>
      <c r="O104" s="97">
        <v>3.8083999999999998</v>
      </c>
      <c r="P104" s="100">
        <v>8.9090014534645754E-6</v>
      </c>
      <c r="Q104" s="99">
        <v>0</v>
      </c>
      <c r="R104" s="101">
        <v>0</v>
      </c>
      <c r="S104" t="str">
        <f t="shared" si="4"/>
        <v>NO</v>
      </c>
      <c r="T104" t="str">
        <f>VLOOKUP(Table8[[#This Row],[Census Tract]],'UI EnergyBurden'!$A$2:$B$184,2,FALSE)</f>
        <v>No</v>
      </c>
      <c r="U104">
        <f>VLOOKUP(Table8[[#This Row],[Census Tract]],'Population and Diversity Data'!$B$2:$K$823,10,FALSE)</f>
        <v>5</v>
      </c>
    </row>
    <row r="105" spans="1:21" ht="15.75" thickBot="1" x14ac:dyDescent="0.3">
      <c r="A105" s="175">
        <v>9001080100</v>
      </c>
      <c r="B105" s="200" t="s">
        <v>956</v>
      </c>
      <c r="C105" s="93" t="s">
        <v>944</v>
      </c>
      <c r="D105" s="94">
        <v>77396.962000000101</v>
      </c>
      <c r="E105" s="95">
        <v>2.6596334258992931E-3</v>
      </c>
      <c r="F105" s="96">
        <v>25362.32</v>
      </c>
      <c r="G105" s="95">
        <v>1.5095731301806297E-3</v>
      </c>
      <c r="H105" s="95" t="s">
        <v>2986</v>
      </c>
      <c r="I105" s="95" t="str">
        <f t="shared" si="5"/>
        <v>NO</v>
      </c>
      <c r="J105" s="97">
        <v>59251.9010000001</v>
      </c>
      <c r="K105" s="98">
        <v>2.6596334258992931E-3</v>
      </c>
      <c r="L105" s="99">
        <v>22394.32</v>
      </c>
      <c r="M105" s="98">
        <v>1.5095731301806297E-3</v>
      </c>
      <c r="N105" s="98" t="str">
        <f t="shared" si="3"/>
        <v>NO</v>
      </c>
      <c r="O105" s="97">
        <v>18145.061000000002</v>
      </c>
      <c r="P105" s="100">
        <v>2.6596334258992931E-3</v>
      </c>
      <c r="Q105" s="99">
        <v>2968</v>
      </c>
      <c r="R105" s="101">
        <v>1.5095731301806297E-3</v>
      </c>
      <c r="S105" t="str">
        <f t="shared" si="4"/>
        <v>NO</v>
      </c>
      <c r="T105" t="str">
        <f>VLOOKUP(Table8[[#This Row],[Census Tract]],'UI EnergyBurden'!$A$2:$B$184,2,FALSE)</f>
        <v>No</v>
      </c>
      <c r="U105">
        <f>VLOOKUP(Table8[[#This Row],[Census Tract]],'Population and Diversity Data'!$B$2:$K$823,10,FALSE)</f>
        <v>5</v>
      </c>
    </row>
    <row r="106" spans="1:21" ht="15.75" thickBot="1" x14ac:dyDescent="0.3">
      <c r="A106" s="175">
        <v>9001080200</v>
      </c>
      <c r="B106" s="200" t="s">
        <v>956</v>
      </c>
      <c r="C106" s="93" t="s">
        <v>944</v>
      </c>
      <c r="D106" s="94">
        <v>85393.182599999898</v>
      </c>
      <c r="E106" s="95">
        <v>2.9344118543939922E-3</v>
      </c>
      <c r="F106" s="96">
        <v>33661.599999999999</v>
      </c>
      <c r="G106" s="95">
        <v>2.0035488424910764E-3</v>
      </c>
      <c r="H106" s="95" t="s">
        <v>2986</v>
      </c>
      <c r="I106" s="95" t="str">
        <f t="shared" si="5"/>
        <v>NO</v>
      </c>
      <c r="J106" s="97">
        <v>57737.786099999903</v>
      </c>
      <c r="K106" s="98">
        <v>2.9344118543939922E-3</v>
      </c>
      <c r="L106" s="99">
        <v>32132.799999999999</v>
      </c>
      <c r="M106" s="98">
        <v>2.0035488424910764E-3</v>
      </c>
      <c r="N106" s="98" t="str">
        <f t="shared" si="3"/>
        <v>NO</v>
      </c>
      <c r="O106" s="97">
        <v>27655.396499999999</v>
      </c>
      <c r="P106" s="100">
        <v>2.9344118543939922E-3</v>
      </c>
      <c r="Q106" s="99">
        <v>1528.8</v>
      </c>
      <c r="R106" s="101">
        <v>2.0035488424910764E-3</v>
      </c>
      <c r="S106" t="str">
        <f t="shared" si="4"/>
        <v>NO</v>
      </c>
      <c r="T106" t="str">
        <f>VLOOKUP(Table8[[#This Row],[Census Tract]],'UI EnergyBurden'!$A$2:$B$184,2,FALSE)</f>
        <v>No</v>
      </c>
      <c r="U106">
        <f>VLOOKUP(Table8[[#This Row],[Census Tract]],'Population and Diversity Data'!$B$2:$K$823,10,FALSE)</f>
        <v>4</v>
      </c>
    </row>
    <row r="107" spans="1:21" ht="15.75" thickBot="1" x14ac:dyDescent="0.3">
      <c r="A107" s="175">
        <v>9001080400</v>
      </c>
      <c r="B107" s="200" t="s">
        <v>934</v>
      </c>
      <c r="C107" s="93" t="s">
        <v>944</v>
      </c>
      <c r="D107" s="94">
        <v>29.934999999999999</v>
      </c>
      <c r="E107" s="95">
        <v>1.0286725027307304E-6</v>
      </c>
      <c r="F107" s="96">
        <v>0</v>
      </c>
      <c r="G107" s="95">
        <v>0</v>
      </c>
      <c r="H107" s="95" t="s">
        <v>2982</v>
      </c>
      <c r="I107" s="95" t="str">
        <f t="shared" si="5"/>
        <v>N/A</v>
      </c>
      <c r="J107" s="97">
        <v>0</v>
      </c>
      <c r="K107" s="98">
        <v>1.0286725027307304E-6</v>
      </c>
      <c r="L107" s="99">
        <v>0</v>
      </c>
      <c r="M107" s="98">
        <v>0</v>
      </c>
      <c r="N107" s="98" t="str">
        <f t="shared" si="3"/>
        <v>N/A</v>
      </c>
      <c r="O107" s="97">
        <v>29.934999999999999</v>
      </c>
      <c r="P107" s="100">
        <v>1.0286725027307304E-6</v>
      </c>
      <c r="Q107" s="99">
        <v>0</v>
      </c>
      <c r="R107" s="101">
        <v>0</v>
      </c>
      <c r="S107" t="str">
        <f t="shared" si="4"/>
        <v>N/A</v>
      </c>
      <c r="T107" t="str">
        <f>VLOOKUP(Table8[[#This Row],[Census Tract]],'UI EnergyBurden'!$A$2:$B$184,2,FALSE)</f>
        <v>No</v>
      </c>
      <c r="U107">
        <f>VLOOKUP(Table8[[#This Row],[Census Tract]],'Population and Diversity Data'!$B$2:$K$823,10,FALSE)</f>
        <v>3</v>
      </c>
    </row>
    <row r="108" spans="1:21" ht="15.75" thickBot="1" x14ac:dyDescent="0.3">
      <c r="A108" s="175">
        <v>9001080400</v>
      </c>
      <c r="B108" s="200" t="s">
        <v>956</v>
      </c>
      <c r="C108" s="93" t="s">
        <v>944</v>
      </c>
      <c r="D108" s="94">
        <v>165136.2267</v>
      </c>
      <c r="E108" s="95">
        <v>5.6746649611156925E-3</v>
      </c>
      <c r="F108" s="96">
        <v>36568.28</v>
      </c>
      <c r="G108" s="95">
        <v>2.1765553350372407E-3</v>
      </c>
      <c r="H108" s="95" t="s">
        <v>2986</v>
      </c>
      <c r="I108" s="95" t="str">
        <f t="shared" si="5"/>
        <v>NO</v>
      </c>
      <c r="J108" s="97">
        <v>78832.451199999996</v>
      </c>
      <c r="K108" s="98">
        <v>5.6746649611156925E-3</v>
      </c>
      <c r="L108" s="99">
        <v>18104.68</v>
      </c>
      <c r="M108" s="98">
        <v>2.1765553350372407E-3</v>
      </c>
      <c r="N108" s="98" t="str">
        <f t="shared" si="3"/>
        <v>NO</v>
      </c>
      <c r="O108" s="97">
        <v>86303.775500000003</v>
      </c>
      <c r="P108" s="100">
        <v>5.6746649611156925E-3</v>
      </c>
      <c r="Q108" s="99">
        <v>18463.599999999999</v>
      </c>
      <c r="R108" s="101">
        <v>2.1765553350372407E-3</v>
      </c>
      <c r="S108" t="str">
        <f t="shared" si="4"/>
        <v>NO</v>
      </c>
      <c r="T108" t="str">
        <f>VLOOKUP(Table8[[#This Row],[Census Tract]],'UI EnergyBurden'!$A$2:$B$184,2,FALSE)</f>
        <v>No</v>
      </c>
      <c r="U108">
        <f>VLOOKUP(Table8[[#This Row],[Census Tract]],'Population and Diversity Data'!$B$2:$K$823,10,FALSE)</f>
        <v>3</v>
      </c>
    </row>
    <row r="109" spans="1:21" ht="15.75" thickBot="1" x14ac:dyDescent="0.3">
      <c r="A109" s="175">
        <v>9001080500</v>
      </c>
      <c r="B109" s="200" t="s">
        <v>934</v>
      </c>
      <c r="C109" s="93" t="s">
        <v>944</v>
      </c>
      <c r="D109" s="94">
        <v>1.0708</v>
      </c>
      <c r="E109" s="95">
        <v>3.6796476229299019E-8</v>
      </c>
      <c r="F109" s="96">
        <v>0</v>
      </c>
      <c r="G109" s="95">
        <v>0</v>
      </c>
      <c r="H109" s="95" t="s">
        <v>2982</v>
      </c>
      <c r="I109" s="95" t="str">
        <f t="shared" si="5"/>
        <v>N/A</v>
      </c>
      <c r="J109" s="97">
        <v>0</v>
      </c>
      <c r="K109" s="98">
        <v>3.6796476229299019E-8</v>
      </c>
      <c r="L109" s="99">
        <v>0</v>
      </c>
      <c r="M109" s="98">
        <v>0</v>
      </c>
      <c r="N109" s="98" t="str">
        <f t="shared" si="3"/>
        <v>N/A</v>
      </c>
      <c r="O109" s="97">
        <v>1.0708</v>
      </c>
      <c r="P109" s="100">
        <v>3.6796476229299019E-8</v>
      </c>
      <c r="Q109" s="99">
        <v>0</v>
      </c>
      <c r="R109" s="101">
        <v>0</v>
      </c>
      <c r="S109" t="str">
        <f t="shared" si="4"/>
        <v>N/A</v>
      </c>
      <c r="T109" t="str">
        <f>VLOOKUP(Table8[[#This Row],[Census Tract]],'UI EnergyBurden'!$A$2:$B$184,2,FALSE)</f>
        <v>No</v>
      </c>
      <c r="U109">
        <f>VLOOKUP(Table8[[#This Row],[Census Tract]],'Population and Diversity Data'!$B$2:$K$823,10,FALSE)</f>
        <v>1</v>
      </c>
    </row>
    <row r="110" spans="1:21" ht="15.75" thickBot="1" x14ac:dyDescent="0.3">
      <c r="A110" s="175">
        <v>9001080500</v>
      </c>
      <c r="B110" s="200" t="s">
        <v>956</v>
      </c>
      <c r="C110" s="93" t="s">
        <v>944</v>
      </c>
      <c r="D110" s="94">
        <v>108865.58459999991</v>
      </c>
      <c r="E110" s="95">
        <v>3.7410066267488215E-3</v>
      </c>
      <c r="F110" s="96">
        <v>18949.27</v>
      </c>
      <c r="G110" s="95">
        <v>1.127866410822744E-3</v>
      </c>
      <c r="H110" s="95" t="s">
        <v>2986</v>
      </c>
      <c r="I110" s="95" t="str">
        <f t="shared" si="5"/>
        <v>NO</v>
      </c>
      <c r="J110" s="97">
        <v>67513.527999999904</v>
      </c>
      <c r="K110" s="98">
        <v>3.7410066267488215E-3</v>
      </c>
      <c r="L110" s="99">
        <v>10850.27</v>
      </c>
      <c r="M110" s="98">
        <v>1.127866410822744E-3</v>
      </c>
      <c r="N110" s="98" t="str">
        <f t="shared" si="3"/>
        <v>NO</v>
      </c>
      <c r="O110" s="97">
        <v>41352.056600000004</v>
      </c>
      <c r="P110" s="100">
        <v>3.7410066267488215E-3</v>
      </c>
      <c r="Q110" s="99">
        <v>8099</v>
      </c>
      <c r="R110" s="101">
        <v>1.127866410822744E-3</v>
      </c>
      <c r="S110" t="str">
        <f t="shared" si="4"/>
        <v>NO</v>
      </c>
      <c r="T110" t="str">
        <f>VLOOKUP(Table8[[#This Row],[Census Tract]],'UI EnergyBurden'!$A$2:$B$184,2,FALSE)</f>
        <v>No</v>
      </c>
      <c r="U110">
        <f>VLOOKUP(Table8[[#This Row],[Census Tract]],'Population and Diversity Data'!$B$2:$K$823,10,FALSE)</f>
        <v>1</v>
      </c>
    </row>
    <row r="111" spans="1:21" ht="15.75" thickBot="1" x14ac:dyDescent="0.3">
      <c r="A111" s="175">
        <v>9001080600</v>
      </c>
      <c r="B111" s="200" t="s">
        <v>956</v>
      </c>
      <c r="C111" s="93" t="s">
        <v>944</v>
      </c>
      <c r="D111" s="94">
        <v>63605.251900000098</v>
      </c>
      <c r="E111" s="95">
        <v>2.1857014751558925E-3</v>
      </c>
      <c r="F111" s="96">
        <v>11195.38</v>
      </c>
      <c r="G111" s="95">
        <v>6.6635247998454467E-4</v>
      </c>
      <c r="H111" s="95" t="s">
        <v>2986</v>
      </c>
      <c r="I111" s="95" t="str">
        <f t="shared" si="5"/>
        <v>NO</v>
      </c>
      <c r="J111" s="97">
        <v>43535.777800000098</v>
      </c>
      <c r="K111" s="98">
        <v>2.1857014751558925E-3</v>
      </c>
      <c r="L111" s="99">
        <v>10265.379999999999</v>
      </c>
      <c r="M111" s="98">
        <v>6.6635247998454467E-4</v>
      </c>
      <c r="N111" s="98" t="str">
        <f t="shared" si="3"/>
        <v>NO</v>
      </c>
      <c r="O111" s="97">
        <v>20069.474099999999</v>
      </c>
      <c r="P111" s="100">
        <v>2.1857014751558925E-3</v>
      </c>
      <c r="Q111" s="99">
        <v>930</v>
      </c>
      <c r="R111" s="101">
        <v>6.6635247998454467E-4</v>
      </c>
      <c r="S111" t="str">
        <f t="shared" si="4"/>
        <v>NO</v>
      </c>
      <c r="T111" t="str">
        <f>VLOOKUP(Table8[[#This Row],[Census Tract]],'UI EnergyBurden'!$A$2:$B$184,2,FALSE)</f>
        <v>No</v>
      </c>
      <c r="U111">
        <f>VLOOKUP(Table8[[#This Row],[Census Tract]],'Population and Diversity Data'!$B$2:$K$823,10,FALSE)</f>
        <v>2</v>
      </c>
    </row>
    <row r="112" spans="1:21" ht="15.75" thickBot="1" x14ac:dyDescent="0.3">
      <c r="A112" s="175">
        <v>9001080700</v>
      </c>
      <c r="B112" s="200" t="s">
        <v>956</v>
      </c>
      <c r="C112" s="93" t="s">
        <v>944</v>
      </c>
      <c r="D112" s="94">
        <v>87244.379400000107</v>
      </c>
      <c r="E112" s="95">
        <v>2.9980255255248867E-3</v>
      </c>
      <c r="F112" s="96">
        <v>99105.439999999988</v>
      </c>
      <c r="G112" s="95">
        <v>5.8987864390453457E-3</v>
      </c>
      <c r="H112" s="95" t="s">
        <v>2993</v>
      </c>
      <c r="I112" s="95" t="str">
        <f t="shared" si="5"/>
        <v>YES</v>
      </c>
      <c r="J112" s="97">
        <v>36457.738700000104</v>
      </c>
      <c r="K112" s="98">
        <v>2.9980255255248867E-3</v>
      </c>
      <c r="L112" s="99">
        <v>3191.4</v>
      </c>
      <c r="M112" s="98">
        <v>5.8987864390453457E-3</v>
      </c>
      <c r="N112" s="98" t="str">
        <f t="shared" si="3"/>
        <v>YES</v>
      </c>
      <c r="O112" s="97">
        <v>50786.640700000004</v>
      </c>
      <c r="P112" s="100">
        <v>2.9980255255248867E-3</v>
      </c>
      <c r="Q112" s="99">
        <v>95914.04</v>
      </c>
      <c r="R112" s="101">
        <v>5.8987864390453457E-3</v>
      </c>
      <c r="S112" t="str">
        <f t="shared" si="4"/>
        <v>YES</v>
      </c>
      <c r="T112" t="str">
        <f>VLOOKUP(Table8[[#This Row],[Census Tract]],'UI EnergyBurden'!$A$2:$B$184,2,FALSE)</f>
        <v>No</v>
      </c>
      <c r="U112">
        <f>VLOOKUP(Table8[[#This Row],[Census Tract]],'Population and Diversity Data'!$B$2:$K$823,10,FALSE)</f>
        <v>1</v>
      </c>
    </row>
    <row r="113" spans="1:21" ht="15.75" thickBot="1" x14ac:dyDescent="0.3">
      <c r="A113" s="175">
        <v>9001080800</v>
      </c>
      <c r="B113" s="200" t="s">
        <v>3008</v>
      </c>
      <c r="C113" s="93" t="s">
        <v>944</v>
      </c>
      <c r="D113" s="94">
        <v>4.7055999999999996</v>
      </c>
      <c r="E113" s="95">
        <v>1.6170106326539918E-7</v>
      </c>
      <c r="F113" s="96">
        <v>0</v>
      </c>
      <c r="G113" s="95">
        <v>0</v>
      </c>
      <c r="H113" s="95" t="s">
        <v>2982</v>
      </c>
      <c r="I113" s="95" t="str">
        <f t="shared" si="5"/>
        <v>N/A</v>
      </c>
      <c r="J113" s="97">
        <v>0</v>
      </c>
      <c r="K113" s="98">
        <v>1.6170106326539918E-7</v>
      </c>
      <c r="L113" s="99">
        <v>0</v>
      </c>
      <c r="M113" s="98">
        <v>0</v>
      </c>
      <c r="N113" s="98" t="str">
        <f t="shared" si="3"/>
        <v>N/A</v>
      </c>
      <c r="O113" s="97">
        <v>4.7055999999999996</v>
      </c>
      <c r="P113" s="100">
        <v>1.6170106326539918E-7</v>
      </c>
      <c r="Q113" s="99">
        <v>0</v>
      </c>
      <c r="R113" s="101">
        <v>0</v>
      </c>
      <c r="S113" t="str">
        <f t="shared" si="4"/>
        <v>N/A</v>
      </c>
      <c r="T113" t="str">
        <f>VLOOKUP(Table8[[#This Row],[Census Tract]],'UI EnergyBurden'!$A$2:$B$184,2,FALSE)</f>
        <v>No</v>
      </c>
      <c r="U113">
        <f>VLOOKUP(Table8[[#This Row],[Census Tract]],'Population and Diversity Data'!$B$2:$K$823,10,FALSE)</f>
        <v>2</v>
      </c>
    </row>
    <row r="114" spans="1:21" ht="15.75" thickBot="1" x14ac:dyDescent="0.3">
      <c r="A114" s="175">
        <v>9001080800</v>
      </c>
      <c r="B114" s="200" t="s">
        <v>956</v>
      </c>
      <c r="C114" s="93" t="s">
        <v>944</v>
      </c>
      <c r="D114" s="94">
        <v>121063.7563999999</v>
      </c>
      <c r="E114" s="95">
        <v>4.1601789639542797E-3</v>
      </c>
      <c r="F114" s="96">
        <v>18364.759999999998</v>
      </c>
      <c r="G114" s="95">
        <v>1.0930761948518912E-3</v>
      </c>
      <c r="H114" s="95" t="s">
        <v>2986</v>
      </c>
      <c r="I114" s="95" t="str">
        <f t="shared" si="5"/>
        <v>NO</v>
      </c>
      <c r="J114" s="97">
        <v>81784.641399999906</v>
      </c>
      <c r="K114" s="98">
        <v>4.1601789639542797E-3</v>
      </c>
      <c r="L114" s="99">
        <v>18364.759999999998</v>
      </c>
      <c r="M114" s="98">
        <v>1.0930761948518912E-3</v>
      </c>
      <c r="N114" s="98" t="str">
        <f t="shared" si="3"/>
        <v>NO</v>
      </c>
      <c r="O114" s="97">
        <v>39279.114999999998</v>
      </c>
      <c r="P114" s="100">
        <v>4.1601789639542797E-3</v>
      </c>
      <c r="Q114" s="99">
        <v>0</v>
      </c>
      <c r="R114" s="101">
        <v>1.0930761948518912E-3</v>
      </c>
      <c r="S114" t="str">
        <f t="shared" si="4"/>
        <v>NO</v>
      </c>
      <c r="T114" t="str">
        <f>VLOOKUP(Table8[[#This Row],[Census Tract]],'UI EnergyBurden'!$A$2:$B$184,2,FALSE)</f>
        <v>No</v>
      </c>
      <c r="U114">
        <f>VLOOKUP(Table8[[#This Row],[Census Tract]],'Population and Diversity Data'!$B$2:$K$823,10,FALSE)</f>
        <v>2</v>
      </c>
    </row>
    <row r="115" spans="1:21" ht="15.75" thickBot="1" x14ac:dyDescent="0.3">
      <c r="A115" s="175">
        <v>9001080900</v>
      </c>
      <c r="B115" s="200" t="s">
        <v>934</v>
      </c>
      <c r="C115" s="93" t="s">
        <v>944</v>
      </c>
      <c r="D115" s="94">
        <v>10.1404</v>
      </c>
      <c r="E115" s="95">
        <v>3.4846001826259223E-7</v>
      </c>
      <c r="F115" s="96">
        <v>0</v>
      </c>
      <c r="G115" s="95">
        <v>0</v>
      </c>
      <c r="H115" s="95" t="s">
        <v>2982</v>
      </c>
      <c r="I115" s="95" t="str">
        <f t="shared" si="5"/>
        <v>N/A</v>
      </c>
      <c r="J115" s="97">
        <v>0</v>
      </c>
      <c r="K115" s="98">
        <v>3.4846001826259223E-7</v>
      </c>
      <c r="L115" s="99">
        <v>0</v>
      </c>
      <c r="M115" s="98">
        <v>0</v>
      </c>
      <c r="N115" s="98" t="str">
        <f t="shared" si="3"/>
        <v>N/A</v>
      </c>
      <c r="O115" s="97">
        <v>10.1404</v>
      </c>
      <c r="P115" s="100">
        <v>3.4846001826259223E-7</v>
      </c>
      <c r="Q115" s="99">
        <v>0</v>
      </c>
      <c r="R115" s="101">
        <v>0</v>
      </c>
      <c r="S115" t="str">
        <f t="shared" si="4"/>
        <v>N/A</v>
      </c>
      <c r="T115" t="str">
        <f>VLOOKUP(Table8[[#This Row],[Census Tract]],'UI EnergyBurden'!$A$2:$B$184,2,FALSE)</f>
        <v>No</v>
      </c>
      <c r="U115">
        <f>VLOOKUP(Table8[[#This Row],[Census Tract]],'Population and Diversity Data'!$B$2:$K$823,10,FALSE)</f>
        <v>4</v>
      </c>
    </row>
    <row r="116" spans="1:21" ht="15.75" thickBot="1" x14ac:dyDescent="0.3">
      <c r="A116" s="175">
        <v>9001080900</v>
      </c>
      <c r="B116" s="200" t="s">
        <v>956</v>
      </c>
      <c r="C116" s="93" t="s">
        <v>944</v>
      </c>
      <c r="D116" s="94">
        <v>99349.360500000097</v>
      </c>
      <c r="E116" s="95">
        <v>3.4139955005923722E-3</v>
      </c>
      <c r="F116" s="96">
        <v>57893.05</v>
      </c>
      <c r="G116" s="95">
        <v>3.4458122405286152E-3</v>
      </c>
      <c r="H116" s="95" t="s">
        <v>2993</v>
      </c>
      <c r="I116" s="95" t="str">
        <f t="shared" si="5"/>
        <v>YES</v>
      </c>
      <c r="J116" s="97">
        <v>79381.614400000093</v>
      </c>
      <c r="K116" s="98">
        <v>3.4139955005923722E-3</v>
      </c>
      <c r="L116" s="99">
        <v>46203.07</v>
      </c>
      <c r="M116" s="98">
        <v>3.4458122405286152E-3</v>
      </c>
      <c r="N116" s="98" t="str">
        <f t="shared" si="3"/>
        <v>YES</v>
      </c>
      <c r="O116" s="97">
        <v>19967.7461</v>
      </c>
      <c r="P116" s="100">
        <v>3.4139955005923722E-3</v>
      </c>
      <c r="Q116" s="99">
        <v>11689.98</v>
      </c>
      <c r="R116" s="101">
        <v>3.4458122405286152E-3</v>
      </c>
      <c r="S116" t="str">
        <f t="shared" si="4"/>
        <v>YES</v>
      </c>
      <c r="T116" t="str">
        <f>VLOOKUP(Table8[[#This Row],[Census Tract]],'UI EnergyBurden'!$A$2:$B$184,2,FALSE)</f>
        <v>No</v>
      </c>
      <c r="U116">
        <f>VLOOKUP(Table8[[#This Row],[Census Tract]],'Population and Diversity Data'!$B$2:$K$823,10,FALSE)</f>
        <v>4</v>
      </c>
    </row>
    <row r="117" spans="1:21" ht="15.75" thickBot="1" x14ac:dyDescent="0.3">
      <c r="A117" s="175">
        <v>9001081000</v>
      </c>
      <c r="B117" s="200" t="s">
        <v>934</v>
      </c>
      <c r="C117" s="93" t="s">
        <v>944</v>
      </c>
      <c r="D117" s="94">
        <v>201.1875</v>
      </c>
      <c r="E117" s="95">
        <v>6.9135142523179825E-6</v>
      </c>
      <c r="F117" s="96">
        <v>1039.02</v>
      </c>
      <c r="G117" s="95">
        <v>6.1842791736729043E-5</v>
      </c>
      <c r="H117" s="95" t="s">
        <v>2993</v>
      </c>
      <c r="I117" s="95" t="str">
        <f t="shared" si="5"/>
        <v>YES</v>
      </c>
      <c r="J117" s="97">
        <v>71.845299999999995</v>
      </c>
      <c r="K117" s="98">
        <v>6.9135142523179825E-6</v>
      </c>
      <c r="L117" s="99">
        <v>0</v>
      </c>
      <c r="M117" s="98">
        <v>6.1842791736729043E-5</v>
      </c>
      <c r="N117" s="98" t="str">
        <f t="shared" si="3"/>
        <v>YES</v>
      </c>
      <c r="O117" s="97">
        <v>129.34219999999999</v>
      </c>
      <c r="P117" s="100">
        <v>6.9135142523179825E-6</v>
      </c>
      <c r="Q117" s="99">
        <v>1039.02</v>
      </c>
      <c r="R117" s="101">
        <v>6.1842791736729043E-5</v>
      </c>
      <c r="S117" t="str">
        <f t="shared" si="4"/>
        <v>YES</v>
      </c>
      <c r="T117" t="str">
        <f>VLOOKUP(Table8[[#This Row],[Census Tract]],'UI EnergyBurden'!$A$2:$B$184,2,FALSE)</f>
        <v>No</v>
      </c>
      <c r="U117">
        <f>VLOOKUP(Table8[[#This Row],[Census Tract]],'Population and Diversity Data'!$B$2:$K$823,10,FALSE)</f>
        <v>2</v>
      </c>
    </row>
    <row r="118" spans="1:21" ht="15.75" thickBot="1" x14ac:dyDescent="0.3">
      <c r="A118" s="175">
        <v>9001081000</v>
      </c>
      <c r="B118" s="200" t="s">
        <v>956</v>
      </c>
      <c r="C118" s="93" t="s">
        <v>944</v>
      </c>
      <c r="D118" s="94">
        <v>73983.143899999894</v>
      </c>
      <c r="E118" s="95">
        <v>2.5423225587272642E-3</v>
      </c>
      <c r="F118" s="96">
        <v>32052.07</v>
      </c>
      <c r="G118" s="95">
        <v>1.9077491191132614E-3</v>
      </c>
      <c r="H118" s="95" t="s">
        <v>2986</v>
      </c>
      <c r="I118" s="95" t="str">
        <f t="shared" si="5"/>
        <v>NO</v>
      </c>
      <c r="J118" s="97">
        <v>69046.922199999899</v>
      </c>
      <c r="K118" s="98">
        <v>2.5423225587272642E-3</v>
      </c>
      <c r="L118" s="99">
        <v>32052.07</v>
      </c>
      <c r="M118" s="98">
        <v>1.9077491191132614E-3</v>
      </c>
      <c r="N118" s="98" t="str">
        <f t="shared" si="3"/>
        <v>NO</v>
      </c>
      <c r="O118" s="97">
        <v>4936.2217000000001</v>
      </c>
      <c r="P118" s="100">
        <v>2.5423225587272642E-3</v>
      </c>
      <c r="Q118" s="99">
        <v>0</v>
      </c>
      <c r="R118" s="101">
        <v>1.9077491191132614E-3</v>
      </c>
      <c r="S118" t="str">
        <f t="shared" si="4"/>
        <v>NO</v>
      </c>
      <c r="T118" t="str">
        <f>VLOOKUP(Table8[[#This Row],[Census Tract]],'UI EnergyBurden'!$A$2:$B$184,2,FALSE)</f>
        <v>No</v>
      </c>
      <c r="U118">
        <f>VLOOKUP(Table8[[#This Row],[Census Tract]],'Population and Diversity Data'!$B$2:$K$823,10,FALSE)</f>
        <v>2</v>
      </c>
    </row>
    <row r="119" spans="1:21" ht="15.75" thickBot="1" x14ac:dyDescent="0.3">
      <c r="A119" s="175">
        <v>9001081100</v>
      </c>
      <c r="B119" s="200" t="s">
        <v>956</v>
      </c>
      <c r="C119" s="93" t="s">
        <v>944</v>
      </c>
      <c r="D119" s="94">
        <v>100324.87719999999</v>
      </c>
      <c r="E119" s="95">
        <v>3.4475177055445861E-3</v>
      </c>
      <c r="F119" s="96">
        <v>43808.35</v>
      </c>
      <c r="G119" s="95">
        <v>2.6074865405668166E-3</v>
      </c>
      <c r="H119" s="95" t="s">
        <v>2986</v>
      </c>
      <c r="I119" s="95" t="str">
        <f t="shared" si="5"/>
        <v>NO</v>
      </c>
      <c r="J119" s="97">
        <v>77966.711299999995</v>
      </c>
      <c r="K119" s="98">
        <v>3.4475177055445861E-3</v>
      </c>
      <c r="L119" s="99">
        <v>38688.35</v>
      </c>
      <c r="M119" s="98">
        <v>2.6074865405668166E-3</v>
      </c>
      <c r="N119" s="98" t="str">
        <f t="shared" si="3"/>
        <v>NO</v>
      </c>
      <c r="O119" s="97">
        <v>22358.1659</v>
      </c>
      <c r="P119" s="100">
        <v>3.4475177055445861E-3</v>
      </c>
      <c r="Q119" s="99">
        <v>5120</v>
      </c>
      <c r="R119" s="101">
        <v>2.6074865405668166E-3</v>
      </c>
      <c r="S119" t="str">
        <f t="shared" si="4"/>
        <v>NO</v>
      </c>
      <c r="T119" t="str">
        <f>VLOOKUP(Table8[[#This Row],[Census Tract]],'UI EnergyBurden'!$A$2:$B$184,2,FALSE)</f>
        <v>No</v>
      </c>
      <c r="U119">
        <f>VLOOKUP(Table8[[#This Row],[Census Tract]],'Population and Diversity Data'!$B$2:$K$823,10,FALSE)</f>
        <v>1</v>
      </c>
    </row>
    <row r="120" spans="1:21" ht="15.75" thickBot="1" x14ac:dyDescent="0.3">
      <c r="A120" s="175">
        <v>9001081100</v>
      </c>
      <c r="B120" s="200" t="s">
        <v>2987</v>
      </c>
      <c r="C120" s="93" t="s">
        <v>944</v>
      </c>
      <c r="D120" s="94">
        <v>354.03429999999997</v>
      </c>
      <c r="E120" s="95">
        <v>1.2165871035026631E-5</v>
      </c>
      <c r="F120" s="96">
        <v>302.25</v>
      </c>
      <c r="G120" s="95">
        <v>1.799001347657057E-5</v>
      </c>
      <c r="H120" s="95" t="s">
        <v>2993</v>
      </c>
      <c r="I120" s="95" t="str">
        <f t="shared" si="5"/>
        <v>YES</v>
      </c>
      <c r="J120" s="97">
        <v>354.03429999999997</v>
      </c>
      <c r="K120" s="98">
        <v>1.2165871035026631E-5</v>
      </c>
      <c r="L120" s="99">
        <v>302.25</v>
      </c>
      <c r="M120" s="98">
        <v>1.799001347657057E-5</v>
      </c>
      <c r="N120" s="98" t="str">
        <f t="shared" si="3"/>
        <v>YES</v>
      </c>
      <c r="O120" s="97">
        <v>0</v>
      </c>
      <c r="P120" s="100">
        <v>1.2165871035026631E-5</v>
      </c>
      <c r="Q120" s="99">
        <v>0</v>
      </c>
      <c r="R120" s="101">
        <v>1.799001347657057E-5</v>
      </c>
      <c r="S120" t="str">
        <f t="shared" si="4"/>
        <v>YES</v>
      </c>
      <c r="T120" t="str">
        <f>VLOOKUP(Table8[[#This Row],[Census Tract]],'UI EnergyBurden'!$A$2:$B$184,2,FALSE)</f>
        <v>No</v>
      </c>
      <c r="U120">
        <f>VLOOKUP(Table8[[#This Row],[Census Tract]],'Population and Diversity Data'!$B$2:$K$823,10,FALSE)</f>
        <v>1</v>
      </c>
    </row>
    <row r="121" spans="1:21" ht="15.75" thickBot="1" x14ac:dyDescent="0.3">
      <c r="A121" s="175">
        <v>9001081200</v>
      </c>
      <c r="B121" s="200" t="s">
        <v>934</v>
      </c>
      <c r="C121" s="93" t="s">
        <v>944</v>
      </c>
      <c r="D121" s="94">
        <v>876.92470000000003</v>
      </c>
      <c r="E121" s="95">
        <v>3.013423503776165E-5</v>
      </c>
      <c r="F121" s="96">
        <v>0</v>
      </c>
      <c r="G121" s="95">
        <v>0</v>
      </c>
      <c r="H121" s="95" t="s">
        <v>2982</v>
      </c>
      <c r="I121" s="95" t="str">
        <f t="shared" si="5"/>
        <v>NO</v>
      </c>
      <c r="J121" s="97">
        <v>120.8455</v>
      </c>
      <c r="K121" s="98">
        <v>3.013423503776165E-5</v>
      </c>
      <c r="L121" s="99">
        <v>0</v>
      </c>
      <c r="M121" s="98">
        <v>0</v>
      </c>
      <c r="N121" s="98" t="str">
        <f t="shared" si="3"/>
        <v>NO</v>
      </c>
      <c r="O121" s="97">
        <v>756.07920000000001</v>
      </c>
      <c r="P121" s="100">
        <v>3.013423503776165E-5</v>
      </c>
      <c r="Q121" s="99">
        <v>0</v>
      </c>
      <c r="R121" s="101">
        <v>0</v>
      </c>
      <c r="S121" t="str">
        <f t="shared" si="4"/>
        <v>NO</v>
      </c>
      <c r="T121" t="str">
        <f>VLOOKUP(Table8[[#This Row],[Census Tract]],'UI EnergyBurden'!$A$2:$B$184,2,FALSE)</f>
        <v>No</v>
      </c>
      <c r="U121">
        <f>VLOOKUP(Table8[[#This Row],[Census Tract]],'Population and Diversity Data'!$B$2:$K$823,10,FALSE)</f>
        <v>3</v>
      </c>
    </row>
    <row r="122" spans="1:21" ht="15.75" thickBot="1" x14ac:dyDescent="0.3">
      <c r="A122" s="175">
        <v>9001081200</v>
      </c>
      <c r="B122" s="200" t="s">
        <v>956</v>
      </c>
      <c r="C122" s="93" t="s">
        <v>944</v>
      </c>
      <c r="D122" s="94">
        <v>120023.7007</v>
      </c>
      <c r="E122" s="95">
        <v>4.1244389706388213E-3</v>
      </c>
      <c r="F122" s="96">
        <v>48139.41</v>
      </c>
      <c r="G122" s="95">
        <v>2.8652725712296316E-3</v>
      </c>
      <c r="H122" s="95" t="s">
        <v>2986</v>
      </c>
      <c r="I122" s="95" t="str">
        <f t="shared" si="5"/>
        <v>NO</v>
      </c>
      <c r="J122" s="97">
        <v>102590.0885</v>
      </c>
      <c r="K122" s="98">
        <v>4.1244389706388213E-3</v>
      </c>
      <c r="L122" s="99">
        <v>41624.550000000003</v>
      </c>
      <c r="M122" s="98">
        <v>2.8652725712296316E-3</v>
      </c>
      <c r="N122" s="98" t="str">
        <f t="shared" si="3"/>
        <v>NO</v>
      </c>
      <c r="O122" s="97">
        <v>17433.6122</v>
      </c>
      <c r="P122" s="100">
        <v>4.1244389706388213E-3</v>
      </c>
      <c r="Q122" s="99">
        <v>6514.86</v>
      </c>
      <c r="R122" s="101">
        <v>2.8652725712296316E-3</v>
      </c>
      <c r="S122" t="str">
        <f t="shared" si="4"/>
        <v>NO</v>
      </c>
      <c r="T122" t="str">
        <f>VLOOKUP(Table8[[#This Row],[Census Tract]],'UI EnergyBurden'!$A$2:$B$184,2,FALSE)</f>
        <v>No</v>
      </c>
      <c r="U122">
        <f>VLOOKUP(Table8[[#This Row],[Census Tract]],'Population and Diversity Data'!$B$2:$K$823,10,FALSE)</f>
        <v>3</v>
      </c>
    </row>
    <row r="123" spans="1:21" ht="15.75" thickBot="1" x14ac:dyDescent="0.3">
      <c r="A123" s="175">
        <v>9001081300</v>
      </c>
      <c r="B123" s="200" t="s">
        <v>956</v>
      </c>
      <c r="C123" s="93" t="s">
        <v>944</v>
      </c>
      <c r="D123" s="94">
        <v>113193.0867</v>
      </c>
      <c r="E123" s="95">
        <v>3.8897149085520477E-3</v>
      </c>
      <c r="F123" s="96">
        <v>21977.66</v>
      </c>
      <c r="G123" s="95">
        <v>1.3081171202100445E-3</v>
      </c>
      <c r="H123" s="95" t="s">
        <v>2986</v>
      </c>
      <c r="I123" s="95" t="str">
        <f t="shared" si="5"/>
        <v>NO</v>
      </c>
      <c r="J123" s="97">
        <v>100014.4032</v>
      </c>
      <c r="K123" s="98">
        <v>3.8897149085520477E-3</v>
      </c>
      <c r="L123" s="99">
        <v>16907.099999999999</v>
      </c>
      <c r="M123" s="98">
        <v>1.3081171202100445E-3</v>
      </c>
      <c r="N123" s="98" t="str">
        <f t="shared" si="3"/>
        <v>NO</v>
      </c>
      <c r="O123" s="97">
        <v>13178.683499999999</v>
      </c>
      <c r="P123" s="100">
        <v>3.8897149085520477E-3</v>
      </c>
      <c r="Q123" s="99">
        <v>5070.5600000000004</v>
      </c>
      <c r="R123" s="101">
        <v>1.3081171202100445E-3</v>
      </c>
      <c r="S123" t="str">
        <f t="shared" si="4"/>
        <v>NO</v>
      </c>
      <c r="T123" t="str">
        <f>VLOOKUP(Table8[[#This Row],[Census Tract]],'UI EnergyBurden'!$A$2:$B$184,2,FALSE)</f>
        <v>No</v>
      </c>
      <c r="U123">
        <f>VLOOKUP(Table8[[#This Row],[Census Tract]],'Population and Diversity Data'!$B$2:$K$823,10,FALSE)</f>
        <v>4</v>
      </c>
    </row>
    <row r="124" spans="1:21" ht="15.75" thickBot="1" x14ac:dyDescent="0.3">
      <c r="A124" s="175">
        <v>9001090100</v>
      </c>
      <c r="B124" s="200" t="s">
        <v>2985</v>
      </c>
      <c r="C124" s="93" t="s">
        <v>944</v>
      </c>
      <c r="D124" s="94">
        <v>462.76580000000001</v>
      </c>
      <c r="E124" s="95">
        <v>1.5902270040560837E-5</v>
      </c>
      <c r="F124" s="96">
        <v>0</v>
      </c>
      <c r="G124" s="95">
        <v>0</v>
      </c>
      <c r="H124" s="95" t="s">
        <v>2982</v>
      </c>
      <c r="I124" s="95" t="str">
        <f t="shared" si="5"/>
        <v>NO</v>
      </c>
      <c r="J124" s="97">
        <v>462.76580000000001</v>
      </c>
      <c r="K124" s="98">
        <v>1.5902270040560837E-5</v>
      </c>
      <c r="L124" s="99">
        <v>0</v>
      </c>
      <c r="M124" s="98">
        <v>0</v>
      </c>
      <c r="N124" s="98" t="str">
        <f t="shared" si="3"/>
        <v>NO</v>
      </c>
      <c r="O124" s="97">
        <v>0</v>
      </c>
      <c r="P124" s="100">
        <v>1.5902270040560837E-5</v>
      </c>
      <c r="Q124" s="99">
        <v>0</v>
      </c>
      <c r="R124" s="101">
        <v>0</v>
      </c>
      <c r="S124" t="str">
        <f t="shared" si="4"/>
        <v>NO</v>
      </c>
      <c r="T124" t="str">
        <f>VLOOKUP(Table8[[#This Row],[Census Tract]],'UI EnergyBurden'!$A$2:$B$184,2,FALSE)</f>
        <v>No</v>
      </c>
      <c r="U124">
        <f>VLOOKUP(Table8[[#This Row],[Census Tract]],'Population and Diversity Data'!$B$2:$K$823,10,FALSE)</f>
        <v>1</v>
      </c>
    </row>
    <row r="125" spans="1:21" ht="15.75" thickBot="1" x14ac:dyDescent="0.3">
      <c r="A125" s="175">
        <v>9001090100</v>
      </c>
      <c r="B125" s="200" t="s">
        <v>2987</v>
      </c>
      <c r="C125" s="93" t="s">
        <v>944</v>
      </c>
      <c r="D125" s="94">
        <v>86625.2886</v>
      </c>
      <c r="E125" s="95">
        <v>2.9767513754445901E-3</v>
      </c>
      <c r="F125" s="96">
        <v>15400.41</v>
      </c>
      <c r="G125" s="95">
        <v>9.1663716607018092E-4</v>
      </c>
      <c r="H125" s="95" t="s">
        <v>2986</v>
      </c>
      <c r="I125" s="95" t="str">
        <f t="shared" si="5"/>
        <v>NO</v>
      </c>
      <c r="J125" s="97">
        <v>71254.085099999997</v>
      </c>
      <c r="K125" s="98">
        <v>2.9767513754445901E-3</v>
      </c>
      <c r="L125" s="99">
        <v>15275.41</v>
      </c>
      <c r="M125" s="98">
        <v>9.1663716607018092E-4</v>
      </c>
      <c r="N125" s="98" t="str">
        <f t="shared" si="3"/>
        <v>NO</v>
      </c>
      <c r="O125" s="97">
        <v>15371.2035</v>
      </c>
      <c r="P125" s="100">
        <v>2.9767513754445901E-3</v>
      </c>
      <c r="Q125" s="99">
        <v>125</v>
      </c>
      <c r="R125" s="101">
        <v>9.1663716607018092E-4</v>
      </c>
      <c r="S125" t="str">
        <f t="shared" si="4"/>
        <v>NO</v>
      </c>
      <c r="T125" t="str">
        <f>VLOOKUP(Table8[[#This Row],[Census Tract]],'UI EnergyBurden'!$A$2:$B$184,2,FALSE)</f>
        <v>No</v>
      </c>
      <c r="U125">
        <f>VLOOKUP(Table8[[#This Row],[Census Tract]],'Population and Diversity Data'!$B$2:$K$823,10,FALSE)</f>
        <v>1</v>
      </c>
    </row>
    <row r="126" spans="1:21" ht="15.75" thickBot="1" x14ac:dyDescent="0.3">
      <c r="A126" s="175">
        <v>9001090200</v>
      </c>
      <c r="B126" s="200" t="s">
        <v>934</v>
      </c>
      <c r="C126" s="93" t="s">
        <v>944</v>
      </c>
      <c r="D126" s="94">
        <v>62.474600000000002</v>
      </c>
      <c r="E126" s="95">
        <v>2.1468482759011624E-6</v>
      </c>
      <c r="F126" s="96">
        <v>0</v>
      </c>
      <c r="G126" s="95">
        <v>0</v>
      </c>
      <c r="H126" s="95" t="s">
        <v>2982</v>
      </c>
      <c r="I126" s="95" t="str">
        <f t="shared" si="5"/>
        <v>N/A</v>
      </c>
      <c r="J126" s="97">
        <v>0</v>
      </c>
      <c r="K126" s="98">
        <v>2.1468482759011624E-6</v>
      </c>
      <c r="L126" s="99">
        <v>0</v>
      </c>
      <c r="M126" s="98">
        <v>0</v>
      </c>
      <c r="N126" s="98" t="str">
        <f t="shared" si="3"/>
        <v>N/A</v>
      </c>
      <c r="O126" s="97">
        <v>62.474600000000002</v>
      </c>
      <c r="P126" s="100">
        <v>2.1468482759011624E-6</v>
      </c>
      <c r="Q126" s="99">
        <v>0</v>
      </c>
      <c r="R126" s="101">
        <v>0</v>
      </c>
      <c r="S126" t="str">
        <f t="shared" si="4"/>
        <v>N/A</v>
      </c>
      <c r="T126" t="str">
        <f>VLOOKUP(Table8[[#This Row],[Census Tract]],'UI EnergyBurden'!$A$2:$B$184,2,FALSE)</f>
        <v>No</v>
      </c>
      <c r="U126">
        <f>VLOOKUP(Table8[[#This Row],[Census Tract]],'Population and Diversity Data'!$B$2:$K$823,10,FALSE)</f>
        <v>3</v>
      </c>
    </row>
    <row r="127" spans="1:21" ht="15.75" thickBot="1" x14ac:dyDescent="0.3">
      <c r="A127" s="175">
        <v>9001090200</v>
      </c>
      <c r="B127" s="200" t="s">
        <v>2987</v>
      </c>
      <c r="C127" s="93" t="s">
        <v>944</v>
      </c>
      <c r="D127" s="94">
        <v>164245.96470000001</v>
      </c>
      <c r="E127" s="95">
        <v>5.6440724092658165E-3</v>
      </c>
      <c r="F127" s="96">
        <v>38024.18</v>
      </c>
      <c r="G127" s="95">
        <v>2.2632109533020518E-3</v>
      </c>
      <c r="H127" s="95" t="s">
        <v>2986</v>
      </c>
      <c r="I127" s="95" t="str">
        <f t="shared" si="5"/>
        <v>NO</v>
      </c>
      <c r="J127" s="97">
        <v>141902.04870000001</v>
      </c>
      <c r="K127" s="98">
        <v>5.6440724092658165E-3</v>
      </c>
      <c r="L127" s="99">
        <v>33204.18</v>
      </c>
      <c r="M127" s="98">
        <v>2.2632109533020518E-3</v>
      </c>
      <c r="N127" s="98" t="str">
        <f t="shared" si="3"/>
        <v>NO</v>
      </c>
      <c r="O127" s="97">
        <v>22343.916000000001</v>
      </c>
      <c r="P127" s="100">
        <v>5.6440724092658165E-3</v>
      </c>
      <c r="Q127" s="99">
        <v>4820</v>
      </c>
      <c r="R127" s="101">
        <v>2.2632109533020518E-3</v>
      </c>
      <c r="S127" t="str">
        <f t="shared" si="4"/>
        <v>NO</v>
      </c>
      <c r="T127" t="str">
        <f>VLOOKUP(Table8[[#This Row],[Census Tract]],'UI EnergyBurden'!$A$2:$B$184,2,FALSE)</f>
        <v>No</v>
      </c>
      <c r="U127">
        <f>VLOOKUP(Table8[[#This Row],[Census Tract]],'Population and Diversity Data'!$B$2:$K$823,10,FALSE)</f>
        <v>3</v>
      </c>
    </row>
    <row r="128" spans="1:21" ht="15.75" thickBot="1" x14ac:dyDescent="0.3">
      <c r="A128" s="175">
        <v>9001090300</v>
      </c>
      <c r="B128" s="200" t="s">
        <v>934</v>
      </c>
      <c r="C128" s="93" t="s">
        <v>944</v>
      </c>
      <c r="D128" s="94">
        <v>190.06890000000001</v>
      </c>
      <c r="E128" s="95">
        <v>6.531439821422313E-6</v>
      </c>
      <c r="F128" s="96">
        <v>0</v>
      </c>
      <c r="G128" s="95">
        <v>0</v>
      </c>
      <c r="H128" s="95" t="s">
        <v>2982</v>
      </c>
      <c r="I128" s="95" t="str">
        <f t="shared" si="5"/>
        <v>NO</v>
      </c>
      <c r="J128" s="97">
        <v>190.06890000000001</v>
      </c>
      <c r="K128" s="98">
        <v>6.531439821422313E-6</v>
      </c>
      <c r="L128" s="99">
        <v>0</v>
      </c>
      <c r="M128" s="98">
        <v>0</v>
      </c>
      <c r="N128" s="98" t="str">
        <f t="shared" si="3"/>
        <v>NO</v>
      </c>
      <c r="O128" s="97">
        <v>0</v>
      </c>
      <c r="P128" s="100">
        <v>6.531439821422313E-6</v>
      </c>
      <c r="Q128" s="99">
        <v>0</v>
      </c>
      <c r="R128" s="101">
        <v>0</v>
      </c>
      <c r="S128" t="str">
        <f t="shared" si="4"/>
        <v>NO</v>
      </c>
      <c r="T128" t="str">
        <f>VLOOKUP(Table8[[#This Row],[Census Tract]],'UI EnergyBurden'!$A$2:$B$184,2,FALSE)</f>
        <v>No</v>
      </c>
      <c r="U128">
        <f>VLOOKUP(Table8[[#This Row],[Census Tract]],'Population and Diversity Data'!$B$2:$K$823,10,FALSE)</f>
        <v>3</v>
      </c>
    </row>
    <row r="129" spans="1:21" ht="15.75" thickBot="1" x14ac:dyDescent="0.3">
      <c r="A129" s="175">
        <v>9001090300</v>
      </c>
      <c r="B129" s="200" t="s">
        <v>2987</v>
      </c>
      <c r="C129" s="93" t="s">
        <v>944</v>
      </c>
      <c r="D129" s="94">
        <v>147312.39360000001</v>
      </c>
      <c r="E129" s="95">
        <v>5.0621749994243003E-3</v>
      </c>
      <c r="F129" s="96">
        <v>40817.300000000003</v>
      </c>
      <c r="G129" s="95">
        <v>2.4294583195276229E-3</v>
      </c>
      <c r="H129" s="95" t="s">
        <v>2986</v>
      </c>
      <c r="I129" s="95" t="str">
        <f t="shared" si="5"/>
        <v>NO</v>
      </c>
      <c r="J129" s="97">
        <v>88643.617499999993</v>
      </c>
      <c r="K129" s="98">
        <v>5.0621749994243003E-3</v>
      </c>
      <c r="L129" s="99">
        <v>37237.230000000003</v>
      </c>
      <c r="M129" s="98">
        <v>2.4294583195276229E-3</v>
      </c>
      <c r="N129" s="98" t="str">
        <f t="shared" si="3"/>
        <v>NO</v>
      </c>
      <c r="O129" s="97">
        <v>58668.776100000003</v>
      </c>
      <c r="P129" s="100">
        <v>5.0621749994243003E-3</v>
      </c>
      <c r="Q129" s="99">
        <v>3580.07</v>
      </c>
      <c r="R129" s="101">
        <v>2.4294583195276229E-3</v>
      </c>
      <c r="S129" t="str">
        <f t="shared" si="4"/>
        <v>NO</v>
      </c>
      <c r="T129" t="str">
        <f>VLOOKUP(Table8[[#This Row],[Census Tract]],'UI EnergyBurden'!$A$2:$B$184,2,FALSE)</f>
        <v>No</v>
      </c>
      <c r="U129">
        <f>VLOOKUP(Table8[[#This Row],[Census Tract]],'Population and Diversity Data'!$B$2:$K$823,10,FALSE)</f>
        <v>3</v>
      </c>
    </row>
    <row r="130" spans="1:21" ht="15.75" thickBot="1" x14ac:dyDescent="0.3">
      <c r="A130" s="175">
        <v>9001090400</v>
      </c>
      <c r="B130" s="200" t="s">
        <v>934</v>
      </c>
      <c r="C130" s="93" t="s">
        <v>944</v>
      </c>
      <c r="D130" s="94">
        <v>5.79E-2</v>
      </c>
      <c r="E130" s="95">
        <v>1.9896488360818202E-9</v>
      </c>
      <c r="F130" s="96">
        <v>0</v>
      </c>
      <c r="G130" s="95">
        <v>0</v>
      </c>
      <c r="H130" s="95" t="s">
        <v>2982</v>
      </c>
      <c r="I130" s="95" t="str">
        <f t="shared" si="5"/>
        <v>N/A</v>
      </c>
      <c r="J130" s="97">
        <v>0</v>
      </c>
      <c r="K130" s="98">
        <v>1.9896488360818202E-9</v>
      </c>
      <c r="L130" s="99">
        <v>0</v>
      </c>
      <c r="M130" s="98">
        <v>0</v>
      </c>
      <c r="N130" s="98" t="str">
        <f t="shared" si="3"/>
        <v>N/A</v>
      </c>
      <c r="O130" s="97">
        <v>5.79E-2</v>
      </c>
      <c r="P130" s="100">
        <v>1.9896488360818202E-9</v>
      </c>
      <c r="Q130" s="99">
        <v>0</v>
      </c>
      <c r="R130" s="101">
        <v>0</v>
      </c>
      <c r="S130" t="str">
        <f t="shared" si="4"/>
        <v>N/A</v>
      </c>
      <c r="T130" t="str">
        <f>VLOOKUP(Table8[[#This Row],[Census Tract]],'UI EnergyBurden'!$A$2:$B$184,2,FALSE)</f>
        <v>No</v>
      </c>
      <c r="U130">
        <f>VLOOKUP(Table8[[#This Row],[Census Tract]],'Population and Diversity Data'!$B$2:$K$823,10,FALSE)</f>
        <v>4</v>
      </c>
    </row>
    <row r="131" spans="1:21" ht="15.75" thickBot="1" x14ac:dyDescent="0.3">
      <c r="A131" s="175">
        <v>9001090400</v>
      </c>
      <c r="B131" s="200" t="s">
        <v>2987</v>
      </c>
      <c r="C131" s="93" t="s">
        <v>944</v>
      </c>
      <c r="D131" s="94">
        <v>153834.68300000002</v>
      </c>
      <c r="E131" s="95">
        <v>5.2863039374778211E-3</v>
      </c>
      <c r="F131" s="96">
        <v>63291.130000000005</v>
      </c>
      <c r="G131" s="95">
        <v>3.7671076315876923E-3</v>
      </c>
      <c r="H131" s="95" t="s">
        <v>2986</v>
      </c>
      <c r="I131" s="95" t="str">
        <f t="shared" si="5"/>
        <v>NO</v>
      </c>
      <c r="J131" s="97">
        <v>107562.7838</v>
      </c>
      <c r="K131" s="98">
        <v>5.2863039374778211E-3</v>
      </c>
      <c r="L131" s="99">
        <v>26510.74</v>
      </c>
      <c r="M131" s="98">
        <v>3.7671076315876923E-3</v>
      </c>
      <c r="N131" s="98" t="str">
        <f t="shared" si="3"/>
        <v>NO</v>
      </c>
      <c r="O131" s="97">
        <v>46271.8992</v>
      </c>
      <c r="P131" s="100">
        <v>5.2863039374778211E-3</v>
      </c>
      <c r="Q131" s="99">
        <v>36780.39</v>
      </c>
      <c r="R131" s="101">
        <v>3.7671076315876923E-3</v>
      </c>
      <c r="S131" t="str">
        <f t="shared" si="4"/>
        <v>NO</v>
      </c>
      <c r="T131" t="str">
        <f>VLOOKUP(Table8[[#This Row],[Census Tract]],'UI EnergyBurden'!$A$2:$B$184,2,FALSE)</f>
        <v>No</v>
      </c>
      <c r="U131">
        <f>VLOOKUP(Table8[[#This Row],[Census Tract]],'Population and Diversity Data'!$B$2:$K$823,10,FALSE)</f>
        <v>4</v>
      </c>
    </row>
    <row r="132" spans="1:21" ht="15.75" thickBot="1" x14ac:dyDescent="0.3">
      <c r="A132" s="175">
        <v>9001090500</v>
      </c>
      <c r="B132" s="200" t="s">
        <v>934</v>
      </c>
      <c r="C132" s="93" t="s">
        <v>944</v>
      </c>
      <c r="D132" s="94">
        <v>338.9221</v>
      </c>
      <c r="E132" s="95">
        <v>1.1646562379747949E-5</v>
      </c>
      <c r="F132" s="96">
        <v>5570.37</v>
      </c>
      <c r="G132" s="95">
        <v>3.3155014514304185E-4</v>
      </c>
      <c r="H132" s="95" t="s">
        <v>2993</v>
      </c>
      <c r="I132" s="95" t="str">
        <f t="shared" si="5"/>
        <v>YES</v>
      </c>
      <c r="J132" s="97">
        <v>338.9221</v>
      </c>
      <c r="K132" s="98">
        <v>1.1646562379747949E-5</v>
      </c>
      <c r="L132" s="99">
        <v>5570.37</v>
      </c>
      <c r="M132" s="98">
        <v>3.3155014514304185E-4</v>
      </c>
      <c r="N132" s="98" t="str">
        <f t="shared" si="3"/>
        <v>YES</v>
      </c>
      <c r="O132" s="97">
        <v>0</v>
      </c>
      <c r="P132" s="100">
        <v>1.1646562379747949E-5</v>
      </c>
      <c r="Q132" s="99">
        <v>0</v>
      </c>
      <c r="R132" s="101">
        <v>3.3155014514304185E-4</v>
      </c>
      <c r="S132" t="str">
        <f t="shared" si="4"/>
        <v>YES</v>
      </c>
      <c r="T132" t="str">
        <f>VLOOKUP(Table8[[#This Row],[Census Tract]],'UI EnergyBurden'!$A$2:$B$184,2,FALSE)</f>
        <v>No</v>
      </c>
      <c r="U132">
        <f>VLOOKUP(Table8[[#This Row],[Census Tract]],'Population and Diversity Data'!$B$2:$K$823,10,FALSE)</f>
        <v>3</v>
      </c>
    </row>
    <row r="133" spans="1:21" ht="15.75" thickBot="1" x14ac:dyDescent="0.3">
      <c r="A133" s="175">
        <v>9001090500</v>
      </c>
      <c r="B133" s="200" t="s">
        <v>3009</v>
      </c>
      <c r="C133" s="93" t="s">
        <v>944</v>
      </c>
      <c r="D133" s="94">
        <v>43.634999999999998</v>
      </c>
      <c r="E133" s="95">
        <v>1.4994529699901592E-6</v>
      </c>
      <c r="F133" s="96">
        <v>0</v>
      </c>
      <c r="G133" s="95">
        <v>0</v>
      </c>
      <c r="H133" s="95" t="s">
        <v>2982</v>
      </c>
      <c r="I133" s="95" t="str">
        <f t="shared" si="5"/>
        <v>N/A</v>
      </c>
      <c r="J133" s="97">
        <v>0</v>
      </c>
      <c r="K133" s="98">
        <v>1.4994529699901592E-6</v>
      </c>
      <c r="L133" s="99">
        <v>0</v>
      </c>
      <c r="M133" s="98">
        <v>0</v>
      </c>
      <c r="N133" s="98" t="str">
        <f t="shared" si="3"/>
        <v>N/A</v>
      </c>
      <c r="O133" s="97">
        <v>43.634999999999998</v>
      </c>
      <c r="P133" s="100">
        <v>1.4994529699901592E-6</v>
      </c>
      <c r="Q133" s="99">
        <v>0</v>
      </c>
      <c r="R133" s="101">
        <v>0</v>
      </c>
      <c r="S133" t="str">
        <f t="shared" si="4"/>
        <v>N/A</v>
      </c>
      <c r="T133" t="str">
        <f>VLOOKUP(Table8[[#This Row],[Census Tract]],'UI EnergyBurden'!$A$2:$B$184,2,FALSE)</f>
        <v>No</v>
      </c>
      <c r="U133">
        <f>VLOOKUP(Table8[[#This Row],[Census Tract]],'Population and Diversity Data'!$B$2:$K$823,10,FALSE)</f>
        <v>3</v>
      </c>
    </row>
    <row r="134" spans="1:21" ht="15.75" thickBot="1" x14ac:dyDescent="0.3">
      <c r="A134" s="175">
        <v>9001090500</v>
      </c>
      <c r="B134" s="200" t="s">
        <v>956</v>
      </c>
      <c r="C134" s="93" t="s">
        <v>944</v>
      </c>
      <c r="D134" s="94">
        <v>183.69639999999998</v>
      </c>
      <c r="E134" s="95">
        <v>6.3124581770711647E-6</v>
      </c>
      <c r="F134" s="96">
        <v>0</v>
      </c>
      <c r="G134" s="95">
        <v>0</v>
      </c>
      <c r="H134" s="95" t="s">
        <v>2982</v>
      </c>
      <c r="I134" s="95" t="str">
        <f t="shared" si="5"/>
        <v>NO</v>
      </c>
      <c r="J134" s="97">
        <v>171.0093</v>
      </c>
      <c r="K134" s="98">
        <v>6.3124581770711647E-6</v>
      </c>
      <c r="L134" s="99">
        <v>0</v>
      </c>
      <c r="M134" s="98">
        <v>0</v>
      </c>
      <c r="N134" s="98" t="str">
        <f t="shared" ref="N134:N197" si="6">IF(ROUND(K134,5)&lt;0.00001,"N/A",IF(ROUND(K134,5)&lt;=ROUND(M134,5),"YES","NO"))</f>
        <v>NO</v>
      </c>
      <c r="O134" s="97">
        <v>12.687099999999999</v>
      </c>
      <c r="P134" s="100">
        <v>6.3124581770711647E-6</v>
      </c>
      <c r="Q134" s="99">
        <v>0</v>
      </c>
      <c r="R134" s="101">
        <v>0</v>
      </c>
      <c r="S134" t="str">
        <f t="shared" ref="S134:S197" si="7">IF(ROUND(P134,5)&lt;0.00001,"N/A",IF(ROUND(P134,5)&lt;=ROUND(R134,5),"YES","NO"))</f>
        <v>NO</v>
      </c>
      <c r="T134" t="str">
        <f>VLOOKUP(Table8[[#This Row],[Census Tract]],'UI EnergyBurden'!$A$2:$B$184,2,FALSE)</f>
        <v>No</v>
      </c>
      <c r="U134">
        <f>VLOOKUP(Table8[[#This Row],[Census Tract]],'Population and Diversity Data'!$B$2:$K$823,10,FALSE)</f>
        <v>3</v>
      </c>
    </row>
    <row r="135" spans="1:21" ht="15.75" thickBot="1" x14ac:dyDescent="0.3">
      <c r="A135" s="175">
        <v>9001090500</v>
      </c>
      <c r="B135" s="200" t="s">
        <v>2987</v>
      </c>
      <c r="C135" s="93" t="s">
        <v>944</v>
      </c>
      <c r="D135" s="94">
        <v>112896.4971000001</v>
      </c>
      <c r="E135" s="95">
        <v>3.8795230406343658E-3</v>
      </c>
      <c r="F135" s="96">
        <v>47987.56</v>
      </c>
      <c r="G135" s="95">
        <v>2.8562344122671258E-3</v>
      </c>
      <c r="H135" s="95" t="s">
        <v>2986</v>
      </c>
      <c r="I135" s="95" t="str">
        <f t="shared" si="5"/>
        <v>NO</v>
      </c>
      <c r="J135" s="97">
        <v>87751.845200000098</v>
      </c>
      <c r="K135" s="98">
        <v>3.8795230406343658E-3</v>
      </c>
      <c r="L135" s="99">
        <v>41902.559999999998</v>
      </c>
      <c r="M135" s="98">
        <v>2.8562344122671258E-3</v>
      </c>
      <c r="N135" s="98" t="str">
        <f t="shared" si="6"/>
        <v>NO</v>
      </c>
      <c r="O135" s="97">
        <v>25144.651900000001</v>
      </c>
      <c r="P135" s="100">
        <v>3.8795230406343658E-3</v>
      </c>
      <c r="Q135" s="99">
        <v>6085</v>
      </c>
      <c r="R135" s="101">
        <v>2.8562344122671258E-3</v>
      </c>
      <c r="S135" t="str">
        <f t="shared" si="7"/>
        <v>NO</v>
      </c>
      <c r="T135" t="str">
        <f>VLOOKUP(Table8[[#This Row],[Census Tract]],'UI EnergyBurden'!$A$2:$B$184,2,FALSE)</f>
        <v>No</v>
      </c>
      <c r="U135">
        <f>VLOOKUP(Table8[[#This Row],[Census Tract]],'Population and Diversity Data'!$B$2:$K$823,10,FALSE)</f>
        <v>3</v>
      </c>
    </row>
    <row r="136" spans="1:21" ht="15.75" thickBot="1" x14ac:dyDescent="0.3">
      <c r="A136" s="175">
        <v>9001090600</v>
      </c>
      <c r="B136" s="200" t="s">
        <v>3009</v>
      </c>
      <c r="C136" s="93" t="s">
        <v>944</v>
      </c>
      <c r="D136" s="94">
        <v>46.748899999999999</v>
      </c>
      <c r="E136" s="95">
        <v>1.6064575902090743E-6</v>
      </c>
      <c r="F136" s="96">
        <v>690.47</v>
      </c>
      <c r="G136" s="95">
        <v>4.1096987941001428E-5</v>
      </c>
      <c r="H136" s="95" t="s">
        <v>2993</v>
      </c>
      <c r="I136" s="95" t="str">
        <f t="shared" ref="I136:I199" si="8">IF(ROUND(E136,5)&lt;0.00001,"N/A",IF(ROUND(E136,5)&lt;=ROUND(G136,5),"YES","NO"))</f>
        <v>N/A</v>
      </c>
      <c r="J136" s="97">
        <v>46.748899999999999</v>
      </c>
      <c r="K136" s="98">
        <v>1.6064575902090743E-6</v>
      </c>
      <c r="L136" s="99">
        <v>690.47</v>
      </c>
      <c r="M136" s="98">
        <v>4.1096987941001428E-5</v>
      </c>
      <c r="N136" s="98" t="str">
        <f t="shared" si="6"/>
        <v>N/A</v>
      </c>
      <c r="O136" s="97">
        <v>0</v>
      </c>
      <c r="P136" s="100">
        <v>1.6064575902090743E-6</v>
      </c>
      <c r="Q136" s="99">
        <v>0</v>
      </c>
      <c r="R136" s="101">
        <v>4.1096987941001428E-5</v>
      </c>
      <c r="S136" t="str">
        <f t="shared" si="7"/>
        <v>N/A</v>
      </c>
      <c r="T136" t="str">
        <f>VLOOKUP(Table8[[#This Row],[Census Tract]],'UI EnergyBurden'!$A$2:$B$184,2,FALSE)</f>
        <v>No</v>
      </c>
      <c r="U136">
        <f>VLOOKUP(Table8[[#This Row],[Census Tract]],'Population and Diversity Data'!$B$2:$K$823,10,FALSE)</f>
        <v>2</v>
      </c>
    </row>
    <row r="137" spans="1:21" ht="15.75" thickBot="1" x14ac:dyDescent="0.3">
      <c r="A137" s="175">
        <v>9001090600</v>
      </c>
      <c r="B137" s="200" t="s">
        <v>2987</v>
      </c>
      <c r="C137" s="93" t="s">
        <v>944</v>
      </c>
      <c r="D137" s="94">
        <v>79421.60430000021</v>
      </c>
      <c r="E137" s="95">
        <v>2.7292072980180711E-3</v>
      </c>
      <c r="F137" s="96">
        <v>29909.49</v>
      </c>
      <c r="G137" s="95">
        <v>1.7802220948795789E-3</v>
      </c>
      <c r="H137" s="95" t="s">
        <v>2986</v>
      </c>
      <c r="I137" s="95" t="str">
        <f t="shared" si="8"/>
        <v>NO</v>
      </c>
      <c r="J137" s="97">
        <v>74716.111200000203</v>
      </c>
      <c r="K137" s="98">
        <v>2.7292072980180711E-3</v>
      </c>
      <c r="L137" s="99">
        <v>29909.49</v>
      </c>
      <c r="M137" s="98">
        <v>1.7802220948795789E-3</v>
      </c>
      <c r="N137" s="98" t="str">
        <f t="shared" si="6"/>
        <v>NO</v>
      </c>
      <c r="O137" s="97">
        <v>4705.4930999999997</v>
      </c>
      <c r="P137" s="100">
        <v>2.7292072980180711E-3</v>
      </c>
      <c r="Q137" s="99">
        <v>0</v>
      </c>
      <c r="R137" s="101">
        <v>1.7802220948795789E-3</v>
      </c>
      <c r="S137" t="str">
        <f t="shared" si="7"/>
        <v>NO</v>
      </c>
      <c r="T137" t="str">
        <f>VLOOKUP(Table8[[#This Row],[Census Tract]],'UI EnergyBurden'!$A$2:$B$184,2,FALSE)</f>
        <v>No</v>
      </c>
      <c r="U137">
        <f>VLOOKUP(Table8[[#This Row],[Census Tract]],'Population and Diversity Data'!$B$2:$K$823,10,FALSE)</f>
        <v>2</v>
      </c>
    </row>
    <row r="138" spans="1:21" ht="15.75" thickBot="1" x14ac:dyDescent="0.3">
      <c r="A138" s="175">
        <v>9001090700</v>
      </c>
      <c r="B138" s="200" t="s">
        <v>934</v>
      </c>
      <c r="C138" s="93" t="s">
        <v>944</v>
      </c>
      <c r="D138" s="94">
        <v>34.380099999999999</v>
      </c>
      <c r="E138" s="95">
        <v>1.1814218644106491E-6</v>
      </c>
      <c r="F138" s="96">
        <v>0</v>
      </c>
      <c r="G138" s="95">
        <v>0</v>
      </c>
      <c r="H138" s="95" t="s">
        <v>2982</v>
      </c>
      <c r="I138" s="95" t="str">
        <f t="shared" si="8"/>
        <v>N/A</v>
      </c>
      <c r="J138" s="97">
        <v>0</v>
      </c>
      <c r="K138" s="98">
        <v>1.1814218644106491E-6</v>
      </c>
      <c r="L138" s="99">
        <v>0</v>
      </c>
      <c r="M138" s="98">
        <v>0</v>
      </c>
      <c r="N138" s="98" t="str">
        <f t="shared" si="6"/>
        <v>N/A</v>
      </c>
      <c r="O138" s="97">
        <v>34.380099999999999</v>
      </c>
      <c r="P138" s="100">
        <v>1.1814218644106491E-6</v>
      </c>
      <c r="Q138" s="99">
        <v>0</v>
      </c>
      <c r="R138" s="101">
        <v>0</v>
      </c>
      <c r="S138" t="str">
        <f t="shared" si="7"/>
        <v>N/A</v>
      </c>
      <c r="T138" t="str">
        <f>VLOOKUP(Table8[[#This Row],[Census Tract]],'UI EnergyBurden'!$A$2:$B$184,2,FALSE)</f>
        <v>No</v>
      </c>
      <c r="U138">
        <f>VLOOKUP(Table8[[#This Row],[Census Tract]],'Population and Diversity Data'!$B$2:$K$823,10,FALSE)</f>
        <v>3</v>
      </c>
    </row>
    <row r="139" spans="1:21" ht="15.75" thickBot="1" x14ac:dyDescent="0.3">
      <c r="A139" s="175">
        <v>9001090700</v>
      </c>
      <c r="B139" s="200" t="s">
        <v>3009</v>
      </c>
      <c r="C139" s="93" t="s">
        <v>944</v>
      </c>
      <c r="D139" s="94">
        <v>415.14870000000002</v>
      </c>
      <c r="E139" s="95">
        <v>1.4265978026871861E-5</v>
      </c>
      <c r="F139" s="96">
        <v>-1200</v>
      </c>
      <c r="G139" s="95">
        <v>-7.1424371122860822E-5</v>
      </c>
      <c r="H139" s="95" t="s">
        <v>2982</v>
      </c>
      <c r="I139" s="95" t="str">
        <f t="shared" si="8"/>
        <v>NO</v>
      </c>
      <c r="J139" s="97">
        <v>415.14870000000002</v>
      </c>
      <c r="K139" s="98">
        <v>1.4265978026871861E-5</v>
      </c>
      <c r="L139" s="99">
        <v>-1200</v>
      </c>
      <c r="M139" s="98">
        <v>-7.1424371122860822E-5</v>
      </c>
      <c r="N139" s="98" t="str">
        <f t="shared" si="6"/>
        <v>NO</v>
      </c>
      <c r="O139" s="97">
        <v>0</v>
      </c>
      <c r="P139" s="100">
        <v>1.4265978026871861E-5</v>
      </c>
      <c r="Q139" s="99">
        <v>0</v>
      </c>
      <c r="R139" s="101">
        <v>-7.1424371122860822E-5</v>
      </c>
      <c r="S139" t="str">
        <f t="shared" si="7"/>
        <v>NO</v>
      </c>
      <c r="T139" t="str">
        <f>VLOOKUP(Table8[[#This Row],[Census Tract]],'UI EnergyBurden'!$A$2:$B$184,2,FALSE)</f>
        <v>No</v>
      </c>
      <c r="U139">
        <f>VLOOKUP(Table8[[#This Row],[Census Tract]],'Population and Diversity Data'!$B$2:$K$823,10,FALSE)</f>
        <v>3</v>
      </c>
    </row>
    <row r="140" spans="1:21" ht="15.75" thickBot="1" x14ac:dyDescent="0.3">
      <c r="A140" s="175">
        <v>9001090700</v>
      </c>
      <c r="B140" s="200" t="s">
        <v>2987</v>
      </c>
      <c r="C140" s="93" t="s">
        <v>944</v>
      </c>
      <c r="D140" s="94">
        <v>134792.9963</v>
      </c>
      <c r="E140" s="95">
        <v>4.6319642176213486E-3</v>
      </c>
      <c r="F140" s="96">
        <v>44452.04</v>
      </c>
      <c r="G140" s="95">
        <v>2.6457991684402118E-3</v>
      </c>
      <c r="H140" s="95" t="s">
        <v>2986</v>
      </c>
      <c r="I140" s="95" t="str">
        <f t="shared" si="8"/>
        <v>NO</v>
      </c>
      <c r="J140" s="97">
        <v>109772.8824</v>
      </c>
      <c r="K140" s="98">
        <v>4.6319642176213486E-3</v>
      </c>
      <c r="L140" s="99">
        <v>36474.04</v>
      </c>
      <c r="M140" s="98">
        <v>2.6457991684402118E-3</v>
      </c>
      <c r="N140" s="98" t="str">
        <f t="shared" si="6"/>
        <v>NO</v>
      </c>
      <c r="O140" s="97">
        <v>25020.1139</v>
      </c>
      <c r="P140" s="100">
        <v>4.6319642176213486E-3</v>
      </c>
      <c r="Q140" s="99">
        <v>7978</v>
      </c>
      <c r="R140" s="101">
        <v>2.6457991684402118E-3</v>
      </c>
      <c r="S140" t="str">
        <f t="shared" si="7"/>
        <v>NO</v>
      </c>
      <c r="T140" t="str">
        <f>VLOOKUP(Table8[[#This Row],[Census Tract]],'UI EnergyBurden'!$A$2:$B$184,2,FALSE)</f>
        <v>No</v>
      </c>
      <c r="U140">
        <f>VLOOKUP(Table8[[#This Row],[Census Tract]],'Population and Diversity Data'!$B$2:$K$823,10,FALSE)</f>
        <v>3</v>
      </c>
    </row>
    <row r="141" spans="1:21" ht="15.75" thickBot="1" x14ac:dyDescent="0.3">
      <c r="A141" s="175">
        <v>9001100100</v>
      </c>
      <c r="B141" s="200" t="s">
        <v>3009</v>
      </c>
      <c r="C141" s="93" t="s">
        <v>944</v>
      </c>
      <c r="D141" s="94">
        <v>278.06810000000002</v>
      </c>
      <c r="E141" s="95">
        <v>9.5554036531344254E-6</v>
      </c>
      <c r="F141" s="96">
        <v>0</v>
      </c>
      <c r="G141" s="95">
        <v>0</v>
      </c>
      <c r="H141" s="95" t="s">
        <v>2982</v>
      </c>
      <c r="I141" s="95" t="str">
        <f t="shared" si="8"/>
        <v>NO</v>
      </c>
      <c r="J141" s="97">
        <v>278.06810000000002</v>
      </c>
      <c r="K141" s="98">
        <v>9.5554036531344254E-6</v>
      </c>
      <c r="L141" s="99">
        <v>0</v>
      </c>
      <c r="M141" s="98">
        <v>0</v>
      </c>
      <c r="N141" s="98" t="str">
        <f t="shared" si="6"/>
        <v>NO</v>
      </c>
      <c r="O141" s="97">
        <v>0</v>
      </c>
      <c r="P141" s="100">
        <v>9.5554036531344254E-6</v>
      </c>
      <c r="Q141" s="99">
        <v>0</v>
      </c>
      <c r="R141" s="101">
        <v>0</v>
      </c>
      <c r="S141" t="str">
        <f t="shared" si="7"/>
        <v>NO</v>
      </c>
      <c r="T141" t="str">
        <f>VLOOKUP(Table8[[#This Row],[Census Tract]],'UI EnergyBurden'!$A$2:$B$184,2,FALSE)</f>
        <v>No</v>
      </c>
      <c r="U141">
        <f>VLOOKUP(Table8[[#This Row],[Census Tract]],'Population and Diversity Data'!$B$2:$K$823,10,FALSE)</f>
        <v>3</v>
      </c>
    </row>
    <row r="142" spans="1:21" ht="15.75" thickBot="1" x14ac:dyDescent="0.3">
      <c r="A142" s="175">
        <v>9001100100</v>
      </c>
      <c r="B142" s="200" t="s">
        <v>2987</v>
      </c>
      <c r="C142" s="93" t="s">
        <v>944</v>
      </c>
      <c r="D142" s="94">
        <v>601.6232</v>
      </c>
      <c r="E142" s="95">
        <v>2.0673901548183421E-5</v>
      </c>
      <c r="F142" s="96">
        <v>0</v>
      </c>
      <c r="G142" s="95">
        <v>0</v>
      </c>
      <c r="H142" s="95" t="s">
        <v>2982</v>
      </c>
      <c r="I142" s="95" t="str">
        <f t="shared" si="8"/>
        <v>NO</v>
      </c>
      <c r="J142" s="97">
        <v>84.520700000000005</v>
      </c>
      <c r="K142" s="98">
        <v>2.0673901548183421E-5</v>
      </c>
      <c r="L142" s="99">
        <v>0</v>
      </c>
      <c r="M142" s="98">
        <v>0</v>
      </c>
      <c r="N142" s="98" t="str">
        <f t="shared" si="6"/>
        <v>NO</v>
      </c>
      <c r="O142" s="97">
        <v>517.10249999999996</v>
      </c>
      <c r="P142" s="100">
        <v>2.0673901548183421E-5</v>
      </c>
      <c r="Q142" s="99">
        <v>0</v>
      </c>
      <c r="R142" s="101">
        <v>0</v>
      </c>
      <c r="S142" t="str">
        <f t="shared" si="7"/>
        <v>NO</v>
      </c>
      <c r="T142" t="str">
        <f>VLOOKUP(Table8[[#This Row],[Census Tract]],'UI EnergyBurden'!$A$2:$B$184,2,FALSE)</f>
        <v>No</v>
      </c>
      <c r="U142">
        <f>VLOOKUP(Table8[[#This Row],[Census Tract]],'Population and Diversity Data'!$B$2:$K$823,10,FALSE)</f>
        <v>3</v>
      </c>
    </row>
    <row r="143" spans="1:21" ht="15.75" thickBot="1" x14ac:dyDescent="0.3">
      <c r="A143" s="175">
        <v>9001100200</v>
      </c>
      <c r="B143" s="200" t="s">
        <v>3009</v>
      </c>
      <c r="C143" s="93" t="s">
        <v>944</v>
      </c>
      <c r="D143" s="94">
        <v>569.35</v>
      </c>
      <c r="E143" s="95">
        <v>1.9564880221471233E-5</v>
      </c>
      <c r="F143" s="96">
        <v>0</v>
      </c>
      <c r="G143" s="95">
        <v>0</v>
      </c>
      <c r="H143" s="95" t="s">
        <v>2982</v>
      </c>
      <c r="I143" s="95" t="str">
        <f t="shared" si="8"/>
        <v>NO</v>
      </c>
      <c r="J143" s="97">
        <v>569.35</v>
      </c>
      <c r="K143" s="98">
        <v>1.9564880221471233E-5</v>
      </c>
      <c r="L143" s="99">
        <v>0</v>
      </c>
      <c r="M143" s="98">
        <v>0</v>
      </c>
      <c r="N143" s="98" t="str">
        <f t="shared" si="6"/>
        <v>NO</v>
      </c>
      <c r="O143" s="97">
        <v>0</v>
      </c>
      <c r="P143" s="100">
        <v>1.9564880221471233E-5</v>
      </c>
      <c r="Q143" s="99">
        <v>0</v>
      </c>
      <c r="R143" s="101">
        <v>0</v>
      </c>
      <c r="S143" t="str">
        <f t="shared" si="7"/>
        <v>NO</v>
      </c>
      <c r="T143" t="str">
        <f>VLOOKUP(Table8[[#This Row],[Census Tract]],'UI EnergyBurden'!$A$2:$B$184,2,FALSE)</f>
        <v>No</v>
      </c>
      <c r="U143">
        <f>VLOOKUP(Table8[[#This Row],[Census Tract]],'Population and Diversity Data'!$B$2:$K$823,10,FALSE)</f>
        <v>4</v>
      </c>
    </row>
    <row r="144" spans="1:21" ht="15.75" thickBot="1" x14ac:dyDescent="0.3">
      <c r="A144" s="175">
        <v>9001105100</v>
      </c>
      <c r="B144" s="200" t="s">
        <v>2981</v>
      </c>
      <c r="C144" s="93" t="s">
        <v>944</v>
      </c>
      <c r="D144" s="94">
        <v>113043.8214</v>
      </c>
      <c r="E144" s="95">
        <v>3.8845856247798128E-3</v>
      </c>
      <c r="F144" s="96">
        <v>42489.84</v>
      </c>
      <c r="G144" s="95">
        <v>2.5290084175924803E-3</v>
      </c>
      <c r="H144" s="95" t="s">
        <v>2986</v>
      </c>
      <c r="I144" s="95" t="str">
        <f t="shared" si="8"/>
        <v>NO</v>
      </c>
      <c r="J144" s="97">
        <v>107348.76489999999</v>
      </c>
      <c r="K144" s="98">
        <v>3.8845856247798128E-3</v>
      </c>
      <c r="L144" s="99">
        <v>42369.84</v>
      </c>
      <c r="M144" s="98">
        <v>2.5290084175924803E-3</v>
      </c>
      <c r="N144" s="98" t="str">
        <f t="shared" si="6"/>
        <v>NO</v>
      </c>
      <c r="O144" s="97">
        <v>5695.0564999999997</v>
      </c>
      <c r="P144" s="100">
        <v>3.8845856247798128E-3</v>
      </c>
      <c r="Q144" s="99">
        <v>120</v>
      </c>
      <c r="R144" s="101">
        <v>2.5290084175924803E-3</v>
      </c>
      <c r="S144" t="str">
        <f t="shared" si="7"/>
        <v>NO</v>
      </c>
      <c r="T144" t="str">
        <f>VLOOKUP(Table8[[#This Row],[Census Tract]],'UI EnergyBurden'!$A$2:$B$184,2,FALSE)</f>
        <v>No</v>
      </c>
      <c r="U144">
        <f>VLOOKUP(Table8[[#This Row],[Census Tract]],'Population and Diversity Data'!$B$2:$K$823,10,FALSE)</f>
        <v>1</v>
      </c>
    </row>
    <row r="145" spans="1:21" ht="15.75" thickBot="1" x14ac:dyDescent="0.3">
      <c r="A145" s="175">
        <v>9001105100</v>
      </c>
      <c r="B145" s="200" t="s">
        <v>2985</v>
      </c>
      <c r="C145" s="93" t="s">
        <v>944</v>
      </c>
      <c r="D145" s="94">
        <v>155.9145</v>
      </c>
      <c r="E145" s="95">
        <v>5.3577738074832291E-6</v>
      </c>
      <c r="F145" s="96">
        <v>0</v>
      </c>
      <c r="G145" s="95">
        <v>0</v>
      </c>
      <c r="H145" s="95" t="s">
        <v>2982</v>
      </c>
      <c r="I145" s="95" t="str">
        <f t="shared" si="8"/>
        <v>NO</v>
      </c>
      <c r="J145" s="97">
        <v>155.9145</v>
      </c>
      <c r="K145" s="98">
        <v>5.3577738074832291E-6</v>
      </c>
      <c r="L145" s="99">
        <v>0</v>
      </c>
      <c r="M145" s="98">
        <v>0</v>
      </c>
      <c r="N145" s="98" t="str">
        <f t="shared" si="6"/>
        <v>NO</v>
      </c>
      <c r="O145" s="97">
        <v>0</v>
      </c>
      <c r="P145" s="100">
        <v>5.3577738074832291E-6</v>
      </c>
      <c r="Q145" s="99">
        <v>0</v>
      </c>
      <c r="R145" s="101">
        <v>0</v>
      </c>
      <c r="S145" t="str">
        <f t="shared" si="7"/>
        <v>NO</v>
      </c>
      <c r="T145" t="str">
        <f>VLOOKUP(Table8[[#This Row],[Census Tract]],'UI EnergyBurden'!$A$2:$B$184,2,FALSE)</f>
        <v>No</v>
      </c>
      <c r="U145">
        <f>VLOOKUP(Table8[[#This Row],[Census Tract]],'Population and Diversity Data'!$B$2:$K$823,10,FALSE)</f>
        <v>1</v>
      </c>
    </row>
    <row r="146" spans="1:21" ht="15.75" thickBot="1" x14ac:dyDescent="0.3">
      <c r="A146" s="175">
        <v>9001105100</v>
      </c>
      <c r="B146" s="200" t="s">
        <v>2987</v>
      </c>
      <c r="C146" s="93" t="s">
        <v>944</v>
      </c>
      <c r="D146" s="94">
        <v>416.27140000000003</v>
      </c>
      <c r="E146" s="95">
        <v>1.4304557970710706E-5</v>
      </c>
      <c r="F146" s="96">
        <v>0</v>
      </c>
      <c r="G146" s="95">
        <v>0</v>
      </c>
      <c r="H146" s="95" t="s">
        <v>2982</v>
      </c>
      <c r="I146" s="95" t="str">
        <f t="shared" si="8"/>
        <v>NO</v>
      </c>
      <c r="J146" s="97">
        <v>416.27140000000003</v>
      </c>
      <c r="K146" s="98">
        <v>1.4304557970710706E-5</v>
      </c>
      <c r="L146" s="99">
        <v>0</v>
      </c>
      <c r="M146" s="98">
        <v>0</v>
      </c>
      <c r="N146" s="98" t="str">
        <f t="shared" si="6"/>
        <v>NO</v>
      </c>
      <c r="O146" s="97">
        <v>0</v>
      </c>
      <c r="P146" s="100">
        <v>1.4304557970710706E-5</v>
      </c>
      <c r="Q146" s="99">
        <v>0</v>
      </c>
      <c r="R146" s="101">
        <v>0</v>
      </c>
      <c r="S146" t="str">
        <f t="shared" si="7"/>
        <v>NO</v>
      </c>
      <c r="T146" t="str">
        <f>VLOOKUP(Table8[[#This Row],[Census Tract]],'UI EnergyBurden'!$A$2:$B$184,2,FALSE)</f>
        <v>No</v>
      </c>
      <c r="U146">
        <f>VLOOKUP(Table8[[#This Row],[Census Tract]],'Population and Diversity Data'!$B$2:$K$823,10,FALSE)</f>
        <v>1</v>
      </c>
    </row>
    <row r="147" spans="1:21" ht="15.75" thickBot="1" x14ac:dyDescent="0.3">
      <c r="A147" s="175">
        <v>9001105200</v>
      </c>
      <c r="B147" s="200" t="s">
        <v>2981</v>
      </c>
      <c r="C147" s="93" t="s">
        <v>944</v>
      </c>
      <c r="D147" s="94">
        <v>103477.73060000001</v>
      </c>
      <c r="E147" s="95">
        <v>3.5558609023951327E-3</v>
      </c>
      <c r="F147" s="96">
        <v>26179.83</v>
      </c>
      <c r="G147" s="95">
        <v>1.5582315782111714E-3</v>
      </c>
      <c r="H147" s="95" t="s">
        <v>2986</v>
      </c>
      <c r="I147" s="95" t="str">
        <f t="shared" si="8"/>
        <v>NO</v>
      </c>
      <c r="J147" s="97">
        <v>95201.057400000005</v>
      </c>
      <c r="K147" s="98">
        <v>3.5558609023951327E-3</v>
      </c>
      <c r="L147" s="99">
        <v>23739.83</v>
      </c>
      <c r="M147" s="98">
        <v>1.5582315782111714E-3</v>
      </c>
      <c r="N147" s="98" t="str">
        <f t="shared" si="6"/>
        <v>NO</v>
      </c>
      <c r="O147" s="97">
        <v>8276.6731999999993</v>
      </c>
      <c r="P147" s="100">
        <v>3.5558609023951327E-3</v>
      </c>
      <c r="Q147" s="99">
        <v>2440</v>
      </c>
      <c r="R147" s="101">
        <v>1.5582315782111714E-3</v>
      </c>
      <c r="S147" t="str">
        <f t="shared" si="7"/>
        <v>NO</v>
      </c>
      <c r="T147" t="str">
        <f>VLOOKUP(Table8[[#This Row],[Census Tract]],'UI EnergyBurden'!$A$2:$B$184,2,FALSE)</f>
        <v>No</v>
      </c>
      <c r="U147">
        <f>VLOOKUP(Table8[[#This Row],[Census Tract]],'Population and Diversity Data'!$B$2:$K$823,10,FALSE)</f>
        <v>3</v>
      </c>
    </row>
    <row r="148" spans="1:21" ht="15.75" thickBot="1" x14ac:dyDescent="0.3">
      <c r="A148" s="175">
        <v>9001105200</v>
      </c>
      <c r="B148" s="200" t="s">
        <v>2987</v>
      </c>
      <c r="C148" s="93" t="s">
        <v>944</v>
      </c>
      <c r="D148" s="94">
        <v>85.672499999999999</v>
      </c>
      <c r="E148" s="95">
        <v>2.9440101884148486E-6</v>
      </c>
      <c r="F148" s="96">
        <v>0</v>
      </c>
      <c r="G148" s="95">
        <v>0</v>
      </c>
      <c r="H148" s="95" t="s">
        <v>2982</v>
      </c>
      <c r="I148" s="95" t="str">
        <f t="shared" si="8"/>
        <v>N/A</v>
      </c>
      <c r="J148" s="97">
        <v>85.672499999999999</v>
      </c>
      <c r="K148" s="98">
        <v>2.9440101884148486E-6</v>
      </c>
      <c r="L148" s="99">
        <v>0</v>
      </c>
      <c r="M148" s="98">
        <v>0</v>
      </c>
      <c r="N148" s="98" t="str">
        <f t="shared" si="6"/>
        <v>N/A</v>
      </c>
      <c r="O148" s="97">
        <v>0</v>
      </c>
      <c r="P148" s="100">
        <v>2.9440101884148486E-6</v>
      </c>
      <c r="Q148" s="99">
        <v>0</v>
      </c>
      <c r="R148" s="101">
        <v>0</v>
      </c>
      <c r="S148" t="str">
        <f t="shared" si="7"/>
        <v>N/A</v>
      </c>
      <c r="T148" t="str">
        <f>VLOOKUP(Table8[[#This Row],[Census Tract]],'UI EnergyBurden'!$A$2:$B$184,2,FALSE)</f>
        <v>No</v>
      </c>
      <c r="U148">
        <f>VLOOKUP(Table8[[#This Row],[Census Tract]],'Population and Diversity Data'!$B$2:$K$823,10,FALSE)</f>
        <v>3</v>
      </c>
    </row>
    <row r="149" spans="1:21" ht="15.75" thickBot="1" x14ac:dyDescent="0.3">
      <c r="A149" s="175">
        <v>9001110100</v>
      </c>
      <c r="B149" s="200" t="s">
        <v>3009</v>
      </c>
      <c r="C149" s="93" t="s">
        <v>944</v>
      </c>
      <c r="D149" s="94">
        <v>76802.463000000003</v>
      </c>
      <c r="E149" s="95">
        <v>2.639204337066789E-3</v>
      </c>
      <c r="F149" s="96">
        <v>1501.1600000000008</v>
      </c>
      <c r="G149" s="95">
        <v>8.9349507462328168E-5</v>
      </c>
      <c r="H149" s="95" t="s">
        <v>2986</v>
      </c>
      <c r="I149" s="95" t="str">
        <f t="shared" si="8"/>
        <v>NO</v>
      </c>
      <c r="J149" s="97">
        <v>47814.0262</v>
      </c>
      <c r="K149" s="98">
        <v>2.639204337066789E-3</v>
      </c>
      <c r="L149" s="99">
        <v>-4972.1099999999997</v>
      </c>
      <c r="M149" s="98">
        <v>8.9349507462328168E-5</v>
      </c>
      <c r="N149" s="98" t="str">
        <f t="shared" si="6"/>
        <v>NO</v>
      </c>
      <c r="O149" s="97">
        <v>28988.436799999999</v>
      </c>
      <c r="P149" s="100">
        <v>2.639204337066789E-3</v>
      </c>
      <c r="Q149" s="99">
        <v>6473.27</v>
      </c>
      <c r="R149" s="101">
        <v>8.9349507462328168E-5</v>
      </c>
      <c r="S149" t="str">
        <f t="shared" si="7"/>
        <v>NO</v>
      </c>
      <c r="T149" t="str">
        <f>VLOOKUP(Table8[[#This Row],[Census Tract]],'UI EnergyBurden'!$A$2:$B$184,2,FALSE)</f>
        <v>No</v>
      </c>
      <c r="U149">
        <f>VLOOKUP(Table8[[#This Row],[Census Tract]],'Population and Diversity Data'!$B$2:$K$823,10,FALSE)</f>
        <v>3</v>
      </c>
    </row>
    <row r="150" spans="1:21" ht="15.75" thickBot="1" x14ac:dyDescent="0.3">
      <c r="A150" s="175">
        <v>9001110201</v>
      </c>
      <c r="B150" s="200" t="s">
        <v>3009</v>
      </c>
      <c r="C150" s="93" t="s">
        <v>944</v>
      </c>
      <c r="D150" s="94">
        <v>100583.50819999989</v>
      </c>
      <c r="E150" s="95">
        <v>3.4564051816779969E-3</v>
      </c>
      <c r="F150" s="96">
        <v>53772.12</v>
      </c>
      <c r="G150" s="95">
        <v>3.2005332124525059E-3</v>
      </c>
      <c r="H150" s="95" t="s">
        <v>2993</v>
      </c>
      <c r="I150" s="95" t="str">
        <f t="shared" si="8"/>
        <v>NO</v>
      </c>
      <c r="J150" s="97">
        <v>91460.939399999901</v>
      </c>
      <c r="K150" s="98">
        <v>3.4564051816779969E-3</v>
      </c>
      <c r="L150" s="99">
        <v>53772.12</v>
      </c>
      <c r="M150" s="98">
        <v>3.2005332124525059E-3</v>
      </c>
      <c r="N150" s="98" t="str">
        <f t="shared" si="6"/>
        <v>NO</v>
      </c>
      <c r="O150" s="97">
        <v>9122.5687999999991</v>
      </c>
      <c r="P150" s="100">
        <v>3.4564051816779969E-3</v>
      </c>
      <c r="Q150" s="99">
        <v>0</v>
      </c>
      <c r="R150" s="101">
        <v>3.2005332124525059E-3</v>
      </c>
      <c r="S150" t="str">
        <f t="shared" si="7"/>
        <v>NO</v>
      </c>
      <c r="T150" t="str">
        <f>VLOOKUP(Table8[[#This Row],[Census Tract]],'UI EnergyBurden'!$A$2:$B$184,2,FALSE)</f>
        <v>No</v>
      </c>
      <c r="U150">
        <f>VLOOKUP(Table8[[#This Row],[Census Tract]],'Population and Diversity Data'!$B$2:$K$823,10,FALSE)</f>
        <v>4</v>
      </c>
    </row>
    <row r="151" spans="1:21" ht="15.75" thickBot="1" x14ac:dyDescent="0.3">
      <c r="A151" s="175">
        <v>9001110202</v>
      </c>
      <c r="B151" s="200" t="s">
        <v>3009</v>
      </c>
      <c r="C151" s="93" t="s">
        <v>944</v>
      </c>
      <c r="D151" s="94">
        <v>150544.62339999981</v>
      </c>
      <c r="E151" s="95">
        <v>5.1732458501931875E-3</v>
      </c>
      <c r="F151" s="96">
        <v>67803.7</v>
      </c>
      <c r="G151" s="95">
        <v>4.0356971935859316E-3</v>
      </c>
      <c r="H151" s="95" t="s">
        <v>2986</v>
      </c>
      <c r="I151" s="95" t="str">
        <f t="shared" si="8"/>
        <v>NO</v>
      </c>
      <c r="J151" s="97">
        <v>88933.272799999802</v>
      </c>
      <c r="K151" s="98">
        <v>5.1732458501931875E-3</v>
      </c>
      <c r="L151" s="99">
        <v>62510.7</v>
      </c>
      <c r="M151" s="98">
        <v>4.0356971935859316E-3</v>
      </c>
      <c r="N151" s="98" t="str">
        <f t="shared" si="6"/>
        <v>NO</v>
      </c>
      <c r="O151" s="97">
        <v>61611.350599999998</v>
      </c>
      <c r="P151" s="100">
        <v>5.1732458501931875E-3</v>
      </c>
      <c r="Q151" s="99">
        <v>5293</v>
      </c>
      <c r="R151" s="101">
        <v>4.0356971935859316E-3</v>
      </c>
      <c r="S151" t="str">
        <f t="shared" si="7"/>
        <v>NO</v>
      </c>
      <c r="T151" t="str">
        <f>VLOOKUP(Table8[[#This Row],[Census Tract]],'UI EnergyBurden'!$A$2:$B$184,2,FALSE)</f>
        <v>No</v>
      </c>
      <c r="U151">
        <f>VLOOKUP(Table8[[#This Row],[Census Tract]],'Population and Diversity Data'!$B$2:$K$823,10,FALSE)</f>
        <v>2</v>
      </c>
    </row>
    <row r="152" spans="1:21" ht="15.75" thickBot="1" x14ac:dyDescent="0.3">
      <c r="A152" s="175">
        <v>9001110202</v>
      </c>
      <c r="B152" s="200" t="s">
        <v>956</v>
      </c>
      <c r="C152" s="93" t="s">
        <v>944</v>
      </c>
      <c r="D152" s="94">
        <v>112.0247</v>
      </c>
      <c r="E152" s="95">
        <v>3.8495650080727996E-6</v>
      </c>
      <c r="F152" s="96">
        <v>0</v>
      </c>
      <c r="G152" s="95">
        <v>0</v>
      </c>
      <c r="H152" s="95" t="s">
        <v>2982</v>
      </c>
      <c r="I152" s="95" t="str">
        <f t="shared" si="8"/>
        <v>N/A</v>
      </c>
      <c r="J152" s="97">
        <v>112.0247</v>
      </c>
      <c r="K152" s="98">
        <v>3.8495650080727996E-6</v>
      </c>
      <c r="L152" s="99">
        <v>0</v>
      </c>
      <c r="M152" s="98">
        <v>0</v>
      </c>
      <c r="N152" s="98" t="str">
        <f t="shared" si="6"/>
        <v>N/A</v>
      </c>
      <c r="O152" s="97">
        <v>0</v>
      </c>
      <c r="P152" s="100">
        <v>3.8495650080727996E-6</v>
      </c>
      <c r="Q152" s="99">
        <v>0</v>
      </c>
      <c r="R152" s="101">
        <v>0</v>
      </c>
      <c r="S152" t="str">
        <f t="shared" si="7"/>
        <v>N/A</v>
      </c>
      <c r="T152" t="str">
        <f>VLOOKUP(Table8[[#This Row],[Census Tract]],'UI EnergyBurden'!$A$2:$B$184,2,FALSE)</f>
        <v>No</v>
      </c>
      <c r="U152">
        <f>VLOOKUP(Table8[[#This Row],[Census Tract]],'Population and Diversity Data'!$B$2:$K$823,10,FALSE)</f>
        <v>2</v>
      </c>
    </row>
    <row r="153" spans="1:21" ht="15.75" thickBot="1" x14ac:dyDescent="0.3">
      <c r="A153" s="175">
        <v>9001110301</v>
      </c>
      <c r="B153" s="200" t="s">
        <v>3009</v>
      </c>
      <c r="C153" s="93" t="s">
        <v>944</v>
      </c>
      <c r="D153" s="94">
        <v>155648.57490000001</v>
      </c>
      <c r="E153" s="95">
        <v>5.3486356802690677E-3</v>
      </c>
      <c r="F153" s="96">
        <v>33246.5</v>
      </c>
      <c r="G153" s="95">
        <v>1.9788419621134938E-3</v>
      </c>
      <c r="H153" s="95" t="s">
        <v>2986</v>
      </c>
      <c r="I153" s="95" t="str">
        <f t="shared" si="8"/>
        <v>NO</v>
      </c>
      <c r="J153" s="97">
        <v>119372.9991</v>
      </c>
      <c r="K153" s="98">
        <v>5.3486356802690677E-3</v>
      </c>
      <c r="L153" s="99">
        <v>26013.5</v>
      </c>
      <c r="M153" s="98">
        <v>1.9788419621134938E-3</v>
      </c>
      <c r="N153" s="98" t="str">
        <f t="shared" si="6"/>
        <v>NO</v>
      </c>
      <c r="O153" s="97">
        <v>36275.575799999999</v>
      </c>
      <c r="P153" s="100">
        <v>5.3486356802690677E-3</v>
      </c>
      <c r="Q153" s="99">
        <v>7233</v>
      </c>
      <c r="R153" s="101">
        <v>1.9788419621134938E-3</v>
      </c>
      <c r="S153" t="str">
        <f t="shared" si="7"/>
        <v>NO</v>
      </c>
      <c r="T153" t="str">
        <f>VLOOKUP(Table8[[#This Row],[Census Tract]],'UI EnergyBurden'!$A$2:$B$184,2,FALSE)</f>
        <v>No</v>
      </c>
      <c r="U153">
        <f>VLOOKUP(Table8[[#This Row],[Census Tract]],'Population and Diversity Data'!$B$2:$K$823,10,FALSE)</f>
        <v>3</v>
      </c>
    </row>
    <row r="154" spans="1:21" ht="15.75" thickBot="1" x14ac:dyDescent="0.3">
      <c r="A154" s="175">
        <v>9001110302</v>
      </c>
      <c r="B154" s="200" t="s">
        <v>3009</v>
      </c>
      <c r="C154" s="93" t="s">
        <v>944</v>
      </c>
      <c r="D154" s="94">
        <v>161465.7861</v>
      </c>
      <c r="E154" s="95">
        <v>5.5485356369758404E-3</v>
      </c>
      <c r="F154" s="96">
        <v>42956.18</v>
      </c>
      <c r="G154" s="95">
        <v>2.5567651186170098E-3</v>
      </c>
      <c r="H154" s="95" t="s">
        <v>2986</v>
      </c>
      <c r="I154" s="95" t="str">
        <f t="shared" si="8"/>
        <v>NO</v>
      </c>
      <c r="J154" s="97">
        <v>65182.709900000002</v>
      </c>
      <c r="K154" s="98">
        <v>5.5485356369758404E-3</v>
      </c>
      <c r="L154" s="99">
        <v>23476.27</v>
      </c>
      <c r="M154" s="98">
        <v>2.5567651186170098E-3</v>
      </c>
      <c r="N154" s="98" t="str">
        <f t="shared" si="6"/>
        <v>NO</v>
      </c>
      <c r="O154" s="97">
        <v>96283.076199999996</v>
      </c>
      <c r="P154" s="100">
        <v>5.5485356369758404E-3</v>
      </c>
      <c r="Q154" s="99">
        <v>19479.91</v>
      </c>
      <c r="R154" s="101">
        <v>2.5567651186170098E-3</v>
      </c>
      <c r="S154" t="str">
        <f t="shared" si="7"/>
        <v>NO</v>
      </c>
      <c r="T154" t="str">
        <f>VLOOKUP(Table8[[#This Row],[Census Tract]],'UI EnergyBurden'!$A$2:$B$184,2,FALSE)</f>
        <v>No</v>
      </c>
      <c r="U154">
        <f>VLOOKUP(Table8[[#This Row],[Census Tract]],'Population and Diversity Data'!$B$2:$K$823,10,FALSE)</f>
        <v>3</v>
      </c>
    </row>
    <row r="155" spans="1:21" ht="15.75" thickBot="1" x14ac:dyDescent="0.3">
      <c r="A155" s="175">
        <v>9001110302</v>
      </c>
      <c r="B155" s="200" t="s">
        <v>956</v>
      </c>
      <c r="C155" s="93" t="s">
        <v>944</v>
      </c>
      <c r="D155" s="94">
        <v>92.837900000000005</v>
      </c>
      <c r="E155" s="95">
        <v>3.1902386818528571E-6</v>
      </c>
      <c r="F155" s="96">
        <v>0</v>
      </c>
      <c r="G155" s="95">
        <v>0</v>
      </c>
      <c r="H155" s="95" t="s">
        <v>2982</v>
      </c>
      <c r="I155" s="95" t="str">
        <f t="shared" si="8"/>
        <v>N/A</v>
      </c>
      <c r="J155" s="97">
        <v>92.837900000000005</v>
      </c>
      <c r="K155" s="98">
        <v>3.1902386818528571E-6</v>
      </c>
      <c r="L155" s="99">
        <v>0</v>
      </c>
      <c r="M155" s="98">
        <v>0</v>
      </c>
      <c r="N155" s="98" t="str">
        <f t="shared" si="6"/>
        <v>N/A</v>
      </c>
      <c r="O155" s="97">
        <v>0</v>
      </c>
      <c r="P155" s="100">
        <v>3.1902386818528571E-6</v>
      </c>
      <c r="Q155" s="99">
        <v>0</v>
      </c>
      <c r="R155" s="101">
        <v>0</v>
      </c>
      <c r="S155" t="str">
        <f t="shared" si="7"/>
        <v>N/A</v>
      </c>
      <c r="T155" t="str">
        <f>VLOOKUP(Table8[[#This Row],[Census Tract]],'UI EnergyBurden'!$A$2:$B$184,2,FALSE)</f>
        <v>No</v>
      </c>
      <c r="U155">
        <f>VLOOKUP(Table8[[#This Row],[Census Tract]],'Population and Diversity Data'!$B$2:$K$823,10,FALSE)</f>
        <v>3</v>
      </c>
    </row>
    <row r="156" spans="1:21" ht="15.75" thickBot="1" x14ac:dyDescent="0.3">
      <c r="A156" s="175">
        <v>9001110302</v>
      </c>
      <c r="B156" s="200" t="s">
        <v>2987</v>
      </c>
      <c r="C156" s="93" t="s">
        <v>944</v>
      </c>
      <c r="D156" s="94">
        <v>146.7696</v>
      </c>
      <c r="E156" s="95">
        <v>5.0435226910568964E-6</v>
      </c>
      <c r="F156" s="96">
        <v>0</v>
      </c>
      <c r="G156" s="95">
        <v>0</v>
      </c>
      <c r="H156" s="95" t="s">
        <v>2982</v>
      </c>
      <c r="I156" s="95" t="str">
        <f t="shared" si="8"/>
        <v>NO</v>
      </c>
      <c r="J156" s="97">
        <v>146.7696</v>
      </c>
      <c r="K156" s="98">
        <v>5.0435226910568964E-6</v>
      </c>
      <c r="L156" s="99">
        <v>0</v>
      </c>
      <c r="M156" s="98">
        <v>0</v>
      </c>
      <c r="N156" s="98" t="str">
        <f t="shared" si="6"/>
        <v>NO</v>
      </c>
      <c r="O156" s="97">
        <v>0</v>
      </c>
      <c r="P156" s="100">
        <v>5.0435226910568964E-6</v>
      </c>
      <c r="Q156" s="99">
        <v>0</v>
      </c>
      <c r="R156" s="101">
        <v>0</v>
      </c>
      <c r="S156" t="str">
        <f t="shared" si="7"/>
        <v>NO</v>
      </c>
      <c r="T156" t="str">
        <f>VLOOKUP(Table8[[#This Row],[Census Tract]],'UI EnergyBurden'!$A$2:$B$184,2,FALSE)</f>
        <v>No</v>
      </c>
      <c r="U156">
        <f>VLOOKUP(Table8[[#This Row],[Census Tract]],'Population and Diversity Data'!$B$2:$K$823,10,FALSE)</f>
        <v>3</v>
      </c>
    </row>
    <row r="157" spans="1:21" ht="15.75" thickBot="1" x14ac:dyDescent="0.3">
      <c r="A157" s="175">
        <v>9001110400</v>
      </c>
      <c r="B157" s="200" t="s">
        <v>3009</v>
      </c>
      <c r="C157" s="93" t="s">
        <v>944</v>
      </c>
      <c r="D157" s="94">
        <v>106295.3988</v>
      </c>
      <c r="E157" s="95">
        <v>3.6526859499701712E-3</v>
      </c>
      <c r="F157" s="96">
        <v>30417.33</v>
      </c>
      <c r="G157" s="95">
        <v>1.8104488887387736E-3</v>
      </c>
      <c r="H157" s="95" t="s">
        <v>2986</v>
      </c>
      <c r="I157" s="95" t="str">
        <f t="shared" si="8"/>
        <v>NO</v>
      </c>
      <c r="J157" s="97">
        <v>94505.718299999993</v>
      </c>
      <c r="K157" s="98">
        <v>3.6526859499701712E-3</v>
      </c>
      <c r="L157" s="99">
        <v>30417.33</v>
      </c>
      <c r="M157" s="98">
        <v>1.8104488887387736E-3</v>
      </c>
      <c r="N157" s="98" t="str">
        <f t="shared" si="6"/>
        <v>NO</v>
      </c>
      <c r="O157" s="97">
        <v>11789.6805</v>
      </c>
      <c r="P157" s="100">
        <v>3.6526859499701712E-3</v>
      </c>
      <c r="Q157" s="99">
        <v>0</v>
      </c>
      <c r="R157" s="101">
        <v>1.8104488887387736E-3</v>
      </c>
      <c r="S157" t="str">
        <f t="shared" si="7"/>
        <v>NO</v>
      </c>
      <c r="T157" t="str">
        <f>VLOOKUP(Table8[[#This Row],[Census Tract]],'UI EnergyBurden'!$A$2:$B$184,2,FALSE)</f>
        <v>No</v>
      </c>
      <c r="U157">
        <f>VLOOKUP(Table8[[#This Row],[Census Tract]],'Population and Diversity Data'!$B$2:$K$823,10,FALSE)</f>
        <v>2</v>
      </c>
    </row>
    <row r="158" spans="1:21" ht="15.75" thickBot="1" x14ac:dyDescent="0.3">
      <c r="A158" s="175">
        <v>9001110500</v>
      </c>
      <c r="B158" s="200" t="s">
        <v>3009</v>
      </c>
      <c r="C158" s="93" t="s">
        <v>944</v>
      </c>
      <c r="D158" s="94">
        <v>126502.59270000001</v>
      </c>
      <c r="E158" s="95">
        <v>4.3470766204989223E-3</v>
      </c>
      <c r="F158" s="96">
        <v>41721.480000000003</v>
      </c>
      <c r="G158" s="95">
        <v>2.4832753927625131E-3</v>
      </c>
      <c r="H158" s="95" t="s">
        <v>2986</v>
      </c>
      <c r="I158" s="95" t="str">
        <f t="shared" si="8"/>
        <v>NO</v>
      </c>
      <c r="J158" s="97">
        <v>117735.0469</v>
      </c>
      <c r="K158" s="98">
        <v>4.3470766204989223E-3</v>
      </c>
      <c r="L158" s="99">
        <v>41521.480000000003</v>
      </c>
      <c r="M158" s="98">
        <v>2.4832753927625131E-3</v>
      </c>
      <c r="N158" s="98" t="str">
        <f t="shared" si="6"/>
        <v>NO</v>
      </c>
      <c r="O158" s="97">
        <v>8767.5457999999999</v>
      </c>
      <c r="P158" s="100">
        <v>4.3470766204989223E-3</v>
      </c>
      <c r="Q158" s="99">
        <v>200</v>
      </c>
      <c r="R158" s="101">
        <v>2.4832753927625131E-3</v>
      </c>
      <c r="S158" t="str">
        <f t="shared" si="7"/>
        <v>NO</v>
      </c>
      <c r="T158" t="str">
        <f>VLOOKUP(Table8[[#This Row],[Census Tract]],'UI EnergyBurden'!$A$2:$B$184,2,FALSE)</f>
        <v>No</v>
      </c>
      <c r="U158">
        <f>VLOOKUP(Table8[[#This Row],[Census Tract]],'Population and Diversity Data'!$B$2:$K$823,10,FALSE)</f>
        <v>1</v>
      </c>
    </row>
    <row r="159" spans="1:21" ht="15.75" thickBot="1" x14ac:dyDescent="0.3">
      <c r="A159" s="175">
        <v>9001110500</v>
      </c>
      <c r="B159" s="200" t="s">
        <v>2987</v>
      </c>
      <c r="C159" s="93" t="s">
        <v>944</v>
      </c>
      <c r="D159" s="94">
        <v>63.001300000000001</v>
      </c>
      <c r="E159" s="95">
        <v>2.1649475512373332E-6</v>
      </c>
      <c r="F159" s="96">
        <v>0</v>
      </c>
      <c r="G159" s="95">
        <v>0</v>
      </c>
      <c r="H159" s="95" t="s">
        <v>2982</v>
      </c>
      <c r="I159" s="95" t="str">
        <f t="shared" si="8"/>
        <v>N/A</v>
      </c>
      <c r="J159" s="97">
        <v>63.001300000000001</v>
      </c>
      <c r="K159" s="98">
        <v>2.1649475512373332E-6</v>
      </c>
      <c r="L159" s="99">
        <v>0</v>
      </c>
      <c r="M159" s="98">
        <v>0</v>
      </c>
      <c r="N159" s="98" t="str">
        <f t="shared" si="6"/>
        <v>N/A</v>
      </c>
      <c r="O159" s="97">
        <v>0</v>
      </c>
      <c r="P159" s="100">
        <v>2.1649475512373332E-6</v>
      </c>
      <c r="Q159" s="99">
        <v>0</v>
      </c>
      <c r="R159" s="101">
        <v>0</v>
      </c>
      <c r="S159" t="str">
        <f t="shared" si="7"/>
        <v>N/A</v>
      </c>
      <c r="T159" t="str">
        <f>VLOOKUP(Table8[[#This Row],[Census Tract]],'UI EnergyBurden'!$A$2:$B$184,2,FALSE)</f>
        <v>No</v>
      </c>
      <c r="U159">
        <f>VLOOKUP(Table8[[#This Row],[Census Tract]],'Population and Diversity Data'!$B$2:$K$823,10,FALSE)</f>
        <v>1</v>
      </c>
    </row>
    <row r="160" spans="1:21" ht="15.75" thickBot="1" x14ac:dyDescent="0.3">
      <c r="A160" s="175">
        <v>9001110600</v>
      </c>
      <c r="B160" s="200" t="s">
        <v>2985</v>
      </c>
      <c r="C160" s="93" t="s">
        <v>944</v>
      </c>
      <c r="D160" s="94">
        <v>729.55909999999994</v>
      </c>
      <c r="E160" s="95">
        <v>2.5070231678202077E-5</v>
      </c>
      <c r="F160" s="96">
        <v>0</v>
      </c>
      <c r="G160" s="95">
        <v>0</v>
      </c>
      <c r="H160" s="95" t="s">
        <v>2982</v>
      </c>
      <c r="I160" s="95" t="str">
        <f t="shared" si="8"/>
        <v>NO</v>
      </c>
      <c r="J160" s="97">
        <v>729.55909999999994</v>
      </c>
      <c r="K160" s="98">
        <v>2.5070231678202077E-5</v>
      </c>
      <c r="L160" s="99">
        <v>0</v>
      </c>
      <c r="M160" s="98">
        <v>0</v>
      </c>
      <c r="N160" s="98" t="str">
        <f t="shared" si="6"/>
        <v>NO</v>
      </c>
      <c r="O160" s="97">
        <v>0</v>
      </c>
      <c r="P160" s="100">
        <v>2.5070231678202077E-5</v>
      </c>
      <c r="Q160" s="99">
        <v>0</v>
      </c>
      <c r="R160" s="101">
        <v>0</v>
      </c>
      <c r="S160" t="str">
        <f t="shared" si="7"/>
        <v>NO</v>
      </c>
      <c r="T160" t="str">
        <f>VLOOKUP(Table8[[#This Row],[Census Tract]],'UI EnergyBurden'!$A$2:$B$184,2,FALSE)</f>
        <v>No</v>
      </c>
      <c r="U160">
        <f>VLOOKUP(Table8[[#This Row],[Census Tract]],'Population and Diversity Data'!$B$2:$K$823,10,FALSE)</f>
        <v>2</v>
      </c>
    </row>
    <row r="161" spans="1:21" ht="15.75" thickBot="1" x14ac:dyDescent="0.3">
      <c r="A161" s="175">
        <v>9001110600</v>
      </c>
      <c r="B161" s="200" t="s">
        <v>3009</v>
      </c>
      <c r="C161" s="93" t="s">
        <v>944</v>
      </c>
      <c r="D161" s="94">
        <v>165474.9019</v>
      </c>
      <c r="E161" s="95">
        <v>5.6863030391379682E-3</v>
      </c>
      <c r="F161" s="96">
        <v>60951.54</v>
      </c>
      <c r="G161" s="95">
        <v>3.6278545112249138E-3</v>
      </c>
      <c r="H161" s="95" t="s">
        <v>2986</v>
      </c>
      <c r="I161" s="95" t="str">
        <f t="shared" si="8"/>
        <v>NO</v>
      </c>
      <c r="J161" s="97">
        <v>151887.48259999999</v>
      </c>
      <c r="K161" s="98">
        <v>5.6863030391379682E-3</v>
      </c>
      <c r="L161" s="99">
        <v>38865.54</v>
      </c>
      <c r="M161" s="98">
        <v>3.6278545112249138E-3</v>
      </c>
      <c r="N161" s="98" t="str">
        <f t="shared" si="6"/>
        <v>NO</v>
      </c>
      <c r="O161" s="97">
        <v>13587.4193</v>
      </c>
      <c r="P161" s="100">
        <v>5.6863030391379682E-3</v>
      </c>
      <c r="Q161" s="99">
        <v>22086</v>
      </c>
      <c r="R161" s="101">
        <v>3.6278545112249138E-3</v>
      </c>
      <c r="S161" t="str">
        <f t="shared" si="7"/>
        <v>NO</v>
      </c>
      <c r="T161" t="str">
        <f>VLOOKUP(Table8[[#This Row],[Census Tract]],'UI EnergyBurden'!$A$2:$B$184,2,FALSE)</f>
        <v>No</v>
      </c>
      <c r="U161">
        <f>VLOOKUP(Table8[[#This Row],[Census Tract]],'Population and Diversity Data'!$B$2:$K$823,10,FALSE)</f>
        <v>2</v>
      </c>
    </row>
    <row r="162" spans="1:21" ht="15.75" thickBot="1" x14ac:dyDescent="0.3">
      <c r="A162" s="175">
        <v>9001240200</v>
      </c>
      <c r="B162" s="200" t="s">
        <v>2981</v>
      </c>
      <c r="C162" s="93" t="s">
        <v>944</v>
      </c>
      <c r="D162" s="94">
        <v>1626.9322999999999</v>
      </c>
      <c r="E162" s="95">
        <v>5.5907149517770613E-5</v>
      </c>
      <c r="F162" s="96">
        <v>0</v>
      </c>
      <c r="G162" s="95">
        <v>0</v>
      </c>
      <c r="H162" s="95" t="s">
        <v>2982</v>
      </c>
      <c r="I162" s="95" t="str">
        <f t="shared" si="8"/>
        <v>NO</v>
      </c>
      <c r="J162" s="97">
        <v>1588.1765</v>
      </c>
      <c r="K162" s="98">
        <v>5.5907149517770613E-5</v>
      </c>
      <c r="L162" s="99">
        <v>0</v>
      </c>
      <c r="M162" s="98">
        <v>0</v>
      </c>
      <c r="N162" s="98" t="str">
        <f t="shared" si="6"/>
        <v>NO</v>
      </c>
      <c r="O162" s="97">
        <v>38.755800000000001</v>
      </c>
      <c r="P162" s="100">
        <v>5.5907149517770613E-5</v>
      </c>
      <c r="Q162" s="99">
        <v>0</v>
      </c>
      <c r="R162" s="101">
        <v>0</v>
      </c>
      <c r="S162" t="str">
        <f t="shared" si="7"/>
        <v>NO</v>
      </c>
      <c r="T162" t="str">
        <f>VLOOKUP(Table8[[#This Row],[Census Tract]],'UI EnergyBurden'!$A$2:$B$184,2,FALSE)</f>
        <v>No</v>
      </c>
      <c r="U162">
        <f>VLOOKUP(Table8[[#This Row],[Census Tract]],'Population and Diversity Data'!$B$2:$K$823,10,FALSE)</f>
        <v>2</v>
      </c>
    </row>
    <row r="163" spans="1:21" ht="15.75" thickBot="1" x14ac:dyDescent="0.3">
      <c r="A163" s="175">
        <v>9001257200</v>
      </c>
      <c r="B163" s="200" t="s">
        <v>934</v>
      </c>
      <c r="C163" s="93" t="s">
        <v>944</v>
      </c>
      <c r="D163" s="94">
        <v>114172.0988999999</v>
      </c>
      <c r="E163" s="95">
        <v>3.9233572312504881E-3</v>
      </c>
      <c r="F163" s="96">
        <v>65899.740000000005</v>
      </c>
      <c r="G163" s="95">
        <v>3.9223729055500303E-3</v>
      </c>
      <c r="H163" s="95" t="s">
        <v>2993</v>
      </c>
      <c r="I163" s="95" t="str">
        <f t="shared" si="8"/>
        <v>YES</v>
      </c>
      <c r="J163" s="97">
        <v>46248.605099999899</v>
      </c>
      <c r="K163" s="98">
        <v>3.9233572312504881E-3</v>
      </c>
      <c r="L163" s="99">
        <v>7200.74</v>
      </c>
      <c r="M163" s="98">
        <v>3.9223729055500303E-3</v>
      </c>
      <c r="N163" s="98" t="str">
        <f t="shared" si="6"/>
        <v>YES</v>
      </c>
      <c r="O163" s="97">
        <v>67923.493799999997</v>
      </c>
      <c r="P163" s="100">
        <v>3.9233572312504881E-3</v>
      </c>
      <c r="Q163" s="99">
        <v>58699</v>
      </c>
      <c r="R163" s="101">
        <v>3.9223729055500303E-3</v>
      </c>
      <c r="S163" t="str">
        <f t="shared" si="7"/>
        <v>YES</v>
      </c>
      <c r="T163" t="str">
        <f>VLOOKUP(Table8[[#This Row],[Census Tract]],'UI EnergyBurden'!$A$2:$B$184,2,FALSE)</f>
        <v>Yes</v>
      </c>
      <c r="U163">
        <f>VLOOKUP(Table8[[#This Row],[Census Tract]],'Population and Diversity Data'!$B$2:$K$823,10,FALSE)</f>
        <v>4</v>
      </c>
    </row>
    <row r="164" spans="1:21" ht="15.75" thickBot="1" x14ac:dyDescent="0.3">
      <c r="A164" s="175">
        <v>9009120100</v>
      </c>
      <c r="B164" s="200" t="s">
        <v>3010</v>
      </c>
      <c r="C164" s="93" t="s">
        <v>944</v>
      </c>
      <c r="D164" s="94">
        <v>735.65949999999998</v>
      </c>
      <c r="E164" s="95">
        <v>2.5279863003929773E-5</v>
      </c>
      <c r="F164" s="96">
        <v>0</v>
      </c>
      <c r="G164" s="95">
        <v>0</v>
      </c>
      <c r="H164" s="95" t="s">
        <v>2982</v>
      </c>
      <c r="I164" s="95" t="str">
        <f t="shared" si="8"/>
        <v>NO</v>
      </c>
      <c r="J164" s="97">
        <v>185.57749999999999</v>
      </c>
      <c r="K164" s="98">
        <v>2.5279863003929773E-5</v>
      </c>
      <c r="L164" s="99">
        <v>0</v>
      </c>
      <c r="M164" s="98">
        <v>0</v>
      </c>
      <c r="N164" s="98" t="str">
        <f t="shared" si="6"/>
        <v>NO</v>
      </c>
      <c r="O164" s="97">
        <v>550.08199999999999</v>
      </c>
      <c r="P164" s="100">
        <v>2.5279863003929773E-5</v>
      </c>
      <c r="Q164" s="99">
        <v>0</v>
      </c>
      <c r="R164" s="101">
        <v>0</v>
      </c>
      <c r="S164" t="str">
        <f t="shared" si="7"/>
        <v>NO</v>
      </c>
      <c r="T164" t="str">
        <f>VLOOKUP(Table8[[#This Row],[Census Tract]],'UI EnergyBurden'!$A$2:$B$184,2,FALSE)</f>
        <v>No</v>
      </c>
      <c r="U164">
        <f>VLOOKUP(Table8[[#This Row],[Census Tract]],'Population and Diversity Data'!$B$2:$K$823,10,FALSE)</f>
        <v>2</v>
      </c>
    </row>
    <row r="165" spans="1:21" ht="15.75" thickBot="1" x14ac:dyDescent="0.3">
      <c r="A165" s="175">
        <v>9009120100</v>
      </c>
      <c r="B165" s="200" t="s">
        <v>3011</v>
      </c>
      <c r="C165" s="93" t="s">
        <v>944</v>
      </c>
      <c r="D165" s="94">
        <v>148041.85739999998</v>
      </c>
      <c r="E165" s="95">
        <v>5.0872419562573538E-3</v>
      </c>
      <c r="F165" s="96">
        <v>44710.98</v>
      </c>
      <c r="G165" s="95">
        <v>2.6612113573223403E-3</v>
      </c>
      <c r="H165" s="95" t="s">
        <v>2986</v>
      </c>
      <c r="I165" s="95" t="str">
        <f t="shared" si="8"/>
        <v>NO</v>
      </c>
      <c r="J165" s="97">
        <v>113942.43889999999</v>
      </c>
      <c r="K165" s="98">
        <v>5.0872419562573538E-3</v>
      </c>
      <c r="L165" s="99">
        <v>39504.980000000003</v>
      </c>
      <c r="M165" s="98">
        <v>2.6612113573223403E-3</v>
      </c>
      <c r="N165" s="98" t="str">
        <f t="shared" si="6"/>
        <v>NO</v>
      </c>
      <c r="O165" s="97">
        <v>34099.4185</v>
      </c>
      <c r="P165" s="100">
        <v>5.0872419562573538E-3</v>
      </c>
      <c r="Q165" s="99">
        <v>5206</v>
      </c>
      <c r="R165" s="101">
        <v>2.6612113573223403E-3</v>
      </c>
      <c r="S165" t="str">
        <f t="shared" si="7"/>
        <v>NO</v>
      </c>
      <c r="T165" t="str">
        <f>VLOOKUP(Table8[[#This Row],[Census Tract]],'UI EnergyBurden'!$A$2:$B$184,2,FALSE)</f>
        <v>No</v>
      </c>
      <c r="U165">
        <f>VLOOKUP(Table8[[#This Row],[Census Tract]],'Population and Diversity Data'!$B$2:$K$823,10,FALSE)</f>
        <v>2</v>
      </c>
    </row>
    <row r="166" spans="1:21" ht="15.75" thickBot="1" x14ac:dyDescent="0.3">
      <c r="A166" s="175">
        <v>9009120100</v>
      </c>
      <c r="B166" s="200" t="s">
        <v>3012</v>
      </c>
      <c r="C166" s="93" t="s">
        <v>944</v>
      </c>
      <c r="D166" s="94">
        <v>106.81569999999999</v>
      </c>
      <c r="E166" s="95">
        <v>3.6705653399009477E-6</v>
      </c>
      <c r="F166" s="96">
        <v>0</v>
      </c>
      <c r="G166" s="95">
        <v>0</v>
      </c>
      <c r="H166" s="95" t="s">
        <v>2982</v>
      </c>
      <c r="I166" s="95" t="str">
        <f t="shared" si="8"/>
        <v>N/A</v>
      </c>
      <c r="J166" s="97">
        <v>94.284899999999993</v>
      </c>
      <c r="K166" s="98">
        <v>3.6705653399009477E-6</v>
      </c>
      <c r="L166" s="99">
        <v>0</v>
      </c>
      <c r="M166" s="98">
        <v>0</v>
      </c>
      <c r="N166" s="98" t="str">
        <f t="shared" si="6"/>
        <v>N/A</v>
      </c>
      <c r="O166" s="97">
        <v>12.530799999999999</v>
      </c>
      <c r="P166" s="100">
        <v>3.6705653399009477E-6</v>
      </c>
      <c r="Q166" s="99">
        <v>0</v>
      </c>
      <c r="R166" s="101">
        <v>0</v>
      </c>
      <c r="S166" t="str">
        <f t="shared" si="7"/>
        <v>N/A</v>
      </c>
      <c r="T166" t="str">
        <f>VLOOKUP(Table8[[#This Row],[Census Tract]],'UI EnergyBurden'!$A$2:$B$184,2,FALSE)</f>
        <v>No</v>
      </c>
      <c r="U166">
        <f>VLOOKUP(Table8[[#This Row],[Census Tract]],'Population and Diversity Data'!$B$2:$K$823,10,FALSE)</f>
        <v>2</v>
      </c>
    </row>
    <row r="167" spans="1:21" ht="15.75" thickBot="1" x14ac:dyDescent="0.3">
      <c r="A167" s="175">
        <v>9009120200</v>
      </c>
      <c r="B167" s="200" t="s">
        <v>3010</v>
      </c>
      <c r="C167" s="93" t="s">
        <v>944</v>
      </c>
      <c r="D167" s="94">
        <v>53.532299999999999</v>
      </c>
      <c r="E167" s="95">
        <v>1.8395592122242285E-6</v>
      </c>
      <c r="F167" s="96">
        <v>95.74</v>
      </c>
      <c r="G167" s="95">
        <v>5.6984744094189124E-6</v>
      </c>
      <c r="H167" s="95" t="s">
        <v>2993</v>
      </c>
      <c r="I167" s="95" t="str">
        <f t="shared" si="8"/>
        <v>N/A</v>
      </c>
      <c r="J167" s="97">
        <v>53.532299999999999</v>
      </c>
      <c r="K167" s="98">
        <v>1.8395592122242285E-6</v>
      </c>
      <c r="L167" s="99">
        <v>95.74</v>
      </c>
      <c r="M167" s="98">
        <v>5.6984744094189124E-6</v>
      </c>
      <c r="N167" s="98" t="str">
        <f t="shared" si="6"/>
        <v>N/A</v>
      </c>
      <c r="O167" s="97">
        <v>0</v>
      </c>
      <c r="P167" s="100">
        <v>1.8395592122242285E-6</v>
      </c>
      <c r="Q167" s="99">
        <v>0</v>
      </c>
      <c r="R167" s="101">
        <v>5.6984744094189124E-6</v>
      </c>
      <c r="S167" t="str">
        <f t="shared" si="7"/>
        <v>N/A</v>
      </c>
      <c r="T167" t="str">
        <f>VLOOKUP(Table8[[#This Row],[Census Tract]],'UI EnergyBurden'!$A$2:$B$184,2,FALSE)</f>
        <v>Yes</v>
      </c>
      <c r="U167">
        <f>VLOOKUP(Table8[[#This Row],[Census Tract]],'Population and Diversity Data'!$B$2:$K$823,10,FALSE)</f>
        <v>4</v>
      </c>
    </row>
    <row r="168" spans="1:21" ht="15.75" thickBot="1" x14ac:dyDescent="0.3">
      <c r="A168" s="175">
        <v>9009120200</v>
      </c>
      <c r="B168" s="200" t="s">
        <v>3011</v>
      </c>
      <c r="C168" s="93" t="s">
        <v>944</v>
      </c>
      <c r="D168" s="94">
        <v>162530.9524000001</v>
      </c>
      <c r="E168" s="95">
        <v>5.5851385193424856E-3</v>
      </c>
      <c r="F168" s="96">
        <v>40637.49</v>
      </c>
      <c r="G168" s="95">
        <v>2.4187559727179547E-3</v>
      </c>
      <c r="H168" s="95" t="s">
        <v>2986</v>
      </c>
      <c r="I168" s="95" t="str">
        <f t="shared" si="8"/>
        <v>NO</v>
      </c>
      <c r="J168" s="97">
        <v>98942.964100000099</v>
      </c>
      <c r="K168" s="98">
        <v>5.5851385193424856E-3</v>
      </c>
      <c r="L168" s="99">
        <v>18608.64</v>
      </c>
      <c r="M168" s="98">
        <v>2.4187559727179547E-3</v>
      </c>
      <c r="N168" s="98" t="str">
        <f t="shared" si="6"/>
        <v>NO</v>
      </c>
      <c r="O168" s="97">
        <v>63587.988299999997</v>
      </c>
      <c r="P168" s="100">
        <v>5.5851385193424856E-3</v>
      </c>
      <c r="Q168" s="99">
        <v>22028.85</v>
      </c>
      <c r="R168" s="101">
        <v>2.4187559727179547E-3</v>
      </c>
      <c r="S168" t="str">
        <f t="shared" si="7"/>
        <v>NO</v>
      </c>
      <c r="T168" t="str">
        <f>VLOOKUP(Table8[[#This Row],[Census Tract]],'UI EnergyBurden'!$A$2:$B$184,2,FALSE)</f>
        <v>Yes</v>
      </c>
      <c r="U168">
        <f>VLOOKUP(Table8[[#This Row],[Census Tract]],'Population and Diversity Data'!$B$2:$K$823,10,FALSE)</f>
        <v>4</v>
      </c>
    </row>
    <row r="169" spans="1:21" ht="15.75" thickBot="1" x14ac:dyDescent="0.3">
      <c r="A169" s="175">
        <v>9009120200</v>
      </c>
      <c r="B169" s="200" t="s">
        <v>3009</v>
      </c>
      <c r="C169" s="93" t="s">
        <v>944</v>
      </c>
      <c r="D169" s="94">
        <v>4.3757000000000001</v>
      </c>
      <c r="E169" s="95">
        <v>1.5036453215964113E-7</v>
      </c>
      <c r="F169" s="96">
        <v>0</v>
      </c>
      <c r="G169" s="95">
        <v>0</v>
      </c>
      <c r="H169" s="95" t="s">
        <v>2982</v>
      </c>
      <c r="I169" s="95" t="str">
        <f t="shared" si="8"/>
        <v>N/A</v>
      </c>
      <c r="J169" s="97">
        <v>0</v>
      </c>
      <c r="K169" s="98">
        <v>1.5036453215964113E-7</v>
      </c>
      <c r="L169" s="99">
        <v>0</v>
      </c>
      <c r="M169" s="98">
        <v>0</v>
      </c>
      <c r="N169" s="98" t="str">
        <f t="shared" si="6"/>
        <v>N/A</v>
      </c>
      <c r="O169" s="97">
        <v>4.3757000000000001</v>
      </c>
      <c r="P169" s="100">
        <v>1.5036453215964113E-7</v>
      </c>
      <c r="Q169" s="99">
        <v>0</v>
      </c>
      <c r="R169" s="101">
        <v>0</v>
      </c>
      <c r="S169" t="str">
        <f t="shared" si="7"/>
        <v>N/A</v>
      </c>
      <c r="T169" t="str">
        <f>VLOOKUP(Table8[[#This Row],[Census Tract]],'UI EnergyBurden'!$A$2:$B$184,2,FALSE)</f>
        <v>Yes</v>
      </c>
      <c r="U169">
        <f>VLOOKUP(Table8[[#This Row],[Census Tract]],'Population and Diversity Data'!$B$2:$K$823,10,FALSE)</f>
        <v>4</v>
      </c>
    </row>
    <row r="170" spans="1:21" ht="15.75" thickBot="1" x14ac:dyDescent="0.3">
      <c r="A170" s="175">
        <v>9009125100</v>
      </c>
      <c r="B170" s="200" t="s">
        <v>3010</v>
      </c>
      <c r="C170" s="93" t="s">
        <v>944</v>
      </c>
      <c r="D170" s="94">
        <v>77782.796199999997</v>
      </c>
      <c r="E170" s="95">
        <v>2.6728920539986082E-3</v>
      </c>
      <c r="F170" s="96">
        <v>37210.910000000003</v>
      </c>
      <c r="G170" s="95">
        <v>2.2148048713828109E-3</v>
      </c>
      <c r="H170" s="95" t="s">
        <v>2986</v>
      </c>
      <c r="I170" s="95" t="str">
        <f t="shared" si="8"/>
        <v>NO</v>
      </c>
      <c r="J170" s="97">
        <v>74097.026599999997</v>
      </c>
      <c r="K170" s="98">
        <v>2.6728920539986082E-3</v>
      </c>
      <c r="L170" s="99">
        <v>37210.910000000003</v>
      </c>
      <c r="M170" s="98">
        <v>2.2148048713828109E-3</v>
      </c>
      <c r="N170" s="98" t="str">
        <f t="shared" si="6"/>
        <v>NO</v>
      </c>
      <c r="O170" s="97">
        <v>3685.7696000000001</v>
      </c>
      <c r="P170" s="100">
        <v>2.6728920539986082E-3</v>
      </c>
      <c r="Q170" s="99">
        <v>0</v>
      </c>
      <c r="R170" s="101">
        <v>2.2148048713828109E-3</v>
      </c>
      <c r="S170" t="str">
        <f t="shared" si="7"/>
        <v>NO</v>
      </c>
      <c r="T170" t="str">
        <f>VLOOKUP(Table8[[#This Row],[Census Tract]],'UI EnergyBurden'!$A$2:$B$184,2,FALSE)</f>
        <v>No</v>
      </c>
      <c r="U170">
        <f>VLOOKUP(Table8[[#This Row],[Census Tract]],'Population and Diversity Data'!$B$2:$K$823,10,FALSE)</f>
        <v>1</v>
      </c>
    </row>
    <row r="171" spans="1:21" ht="15.75" thickBot="1" x14ac:dyDescent="0.3">
      <c r="A171" s="175">
        <v>9009125100</v>
      </c>
      <c r="B171" s="200" t="s">
        <v>3011</v>
      </c>
      <c r="C171" s="93" t="s">
        <v>944</v>
      </c>
      <c r="D171" s="94">
        <v>727.59120000000007</v>
      </c>
      <c r="E171" s="95">
        <v>2.5002607672251726E-5</v>
      </c>
      <c r="F171" s="96">
        <v>0</v>
      </c>
      <c r="G171" s="95">
        <v>0</v>
      </c>
      <c r="H171" s="95" t="s">
        <v>2982</v>
      </c>
      <c r="I171" s="95" t="str">
        <f t="shared" si="8"/>
        <v>NO</v>
      </c>
      <c r="J171" s="97">
        <v>700.05820000000006</v>
      </c>
      <c r="K171" s="98">
        <v>2.5002607672251726E-5</v>
      </c>
      <c r="L171" s="99">
        <v>0</v>
      </c>
      <c r="M171" s="98">
        <v>0</v>
      </c>
      <c r="N171" s="98" t="str">
        <f t="shared" si="6"/>
        <v>NO</v>
      </c>
      <c r="O171" s="97">
        <v>27.533000000000001</v>
      </c>
      <c r="P171" s="100">
        <v>2.5002607672251726E-5</v>
      </c>
      <c r="Q171" s="99">
        <v>0</v>
      </c>
      <c r="R171" s="101">
        <v>0</v>
      </c>
      <c r="S171" t="str">
        <f t="shared" si="7"/>
        <v>NO</v>
      </c>
      <c r="T171" t="str">
        <f>VLOOKUP(Table8[[#This Row],[Census Tract]],'UI EnergyBurden'!$A$2:$B$184,2,FALSE)</f>
        <v>No</v>
      </c>
      <c r="U171">
        <f>VLOOKUP(Table8[[#This Row],[Census Tract]],'Population and Diversity Data'!$B$2:$K$823,10,FALSE)</f>
        <v>1</v>
      </c>
    </row>
    <row r="172" spans="1:21" ht="15.75" thickBot="1" x14ac:dyDescent="0.3">
      <c r="A172" s="175">
        <v>9009125200</v>
      </c>
      <c r="B172" s="200" t="s">
        <v>3010</v>
      </c>
      <c r="C172" s="93" t="s">
        <v>944</v>
      </c>
      <c r="D172" s="94">
        <v>130296.8024</v>
      </c>
      <c r="E172" s="95">
        <v>4.4774590887796707E-3</v>
      </c>
      <c r="F172" s="96">
        <v>28569.48</v>
      </c>
      <c r="G172" s="95">
        <v>1.7004642852559582E-3</v>
      </c>
      <c r="H172" s="95" t="s">
        <v>2986</v>
      </c>
      <c r="I172" s="95" t="str">
        <f t="shared" si="8"/>
        <v>NO</v>
      </c>
      <c r="J172" s="97">
        <v>85166.804499999998</v>
      </c>
      <c r="K172" s="98">
        <v>4.4774590887796707E-3</v>
      </c>
      <c r="L172" s="99">
        <v>22374.48</v>
      </c>
      <c r="M172" s="98">
        <v>1.7004642852559582E-3</v>
      </c>
      <c r="N172" s="98" t="str">
        <f t="shared" si="6"/>
        <v>NO</v>
      </c>
      <c r="O172" s="97">
        <v>45129.997900000002</v>
      </c>
      <c r="P172" s="100">
        <v>4.4774590887796707E-3</v>
      </c>
      <c r="Q172" s="99">
        <v>6195</v>
      </c>
      <c r="R172" s="101">
        <v>1.7004642852559582E-3</v>
      </c>
      <c r="S172" t="str">
        <f t="shared" si="7"/>
        <v>NO</v>
      </c>
      <c r="T172" t="str">
        <f>VLOOKUP(Table8[[#This Row],[Census Tract]],'UI EnergyBurden'!$A$2:$B$184,2,FALSE)</f>
        <v>No</v>
      </c>
      <c r="U172">
        <f>VLOOKUP(Table8[[#This Row],[Census Tract]],'Population and Diversity Data'!$B$2:$K$823,10,FALSE)</f>
        <v>3</v>
      </c>
    </row>
    <row r="173" spans="1:21" ht="15.75" thickBot="1" x14ac:dyDescent="0.3">
      <c r="A173" s="175">
        <v>9009125300</v>
      </c>
      <c r="B173" s="200" t="s">
        <v>3007</v>
      </c>
      <c r="C173" s="93" t="s">
        <v>944</v>
      </c>
      <c r="D173" s="94">
        <v>0</v>
      </c>
      <c r="E173" s="95">
        <v>0</v>
      </c>
      <c r="F173" s="96">
        <v>24495.21</v>
      </c>
      <c r="G173" s="95">
        <v>1.4579624748103431E-3</v>
      </c>
      <c r="H173" s="95" t="s">
        <v>2993</v>
      </c>
      <c r="I173" s="95" t="str">
        <f t="shared" si="8"/>
        <v>N/A</v>
      </c>
      <c r="J173" s="97">
        <v>0</v>
      </c>
      <c r="K173" s="98">
        <v>0</v>
      </c>
      <c r="L173" s="99">
        <v>19066.36</v>
      </c>
      <c r="M173" s="98">
        <v>1.4579624748103431E-3</v>
      </c>
      <c r="N173" s="98" t="str">
        <f t="shared" si="6"/>
        <v>N/A</v>
      </c>
      <c r="O173" s="97">
        <v>0</v>
      </c>
      <c r="P173" s="100">
        <v>0</v>
      </c>
      <c r="Q173" s="99">
        <v>5428.85</v>
      </c>
      <c r="R173" s="101">
        <v>1.4579624748103431E-3</v>
      </c>
      <c r="S173" t="str">
        <f t="shared" si="7"/>
        <v>N/A</v>
      </c>
      <c r="T173" t="str">
        <f>VLOOKUP(Table8[[#This Row],[Census Tract]],'UI EnergyBurden'!$A$2:$B$184,2,FALSE)</f>
        <v>No</v>
      </c>
      <c r="U173">
        <f>VLOOKUP(Table8[[#This Row],[Census Tract]],'Population and Diversity Data'!$B$2:$K$823,10,FALSE)</f>
        <v>5</v>
      </c>
    </row>
    <row r="174" spans="1:21" ht="15.75" thickBot="1" x14ac:dyDescent="0.3">
      <c r="A174" s="175">
        <v>9009125300</v>
      </c>
      <c r="B174" s="200" t="s">
        <v>3010</v>
      </c>
      <c r="C174" s="93" t="s">
        <v>936</v>
      </c>
      <c r="D174" s="94">
        <v>109179.47779999999</v>
      </c>
      <c r="E174" s="95">
        <v>3.7517931075784269E-3</v>
      </c>
      <c r="F174" s="96">
        <v>0</v>
      </c>
      <c r="G174" s="95">
        <v>0</v>
      </c>
      <c r="H174" s="95" t="s">
        <v>2982</v>
      </c>
      <c r="I174" s="95" t="str">
        <f t="shared" si="8"/>
        <v>NO</v>
      </c>
      <c r="J174" s="97">
        <v>72329.1342</v>
      </c>
      <c r="K174" s="98">
        <v>3.7517931075784269E-3</v>
      </c>
      <c r="L174" s="99">
        <v>0</v>
      </c>
      <c r="M174" s="98">
        <v>0</v>
      </c>
      <c r="N174" s="98" t="str">
        <f t="shared" si="6"/>
        <v>NO</v>
      </c>
      <c r="O174" s="97">
        <v>36850.3436</v>
      </c>
      <c r="P174" s="100">
        <v>3.7517931075784269E-3</v>
      </c>
      <c r="Q174" s="99">
        <v>0</v>
      </c>
      <c r="R174" s="101">
        <v>0</v>
      </c>
      <c r="S174" t="str">
        <f t="shared" si="7"/>
        <v>NO</v>
      </c>
      <c r="T174" t="str">
        <f>VLOOKUP(Table8[[#This Row],[Census Tract]],'UI EnergyBurden'!$A$2:$B$184,2,FALSE)</f>
        <v>No</v>
      </c>
      <c r="U174">
        <f>VLOOKUP(Table8[[#This Row],[Census Tract]],'Population and Diversity Data'!$B$2:$K$823,10,FALSE)</f>
        <v>5</v>
      </c>
    </row>
    <row r="175" spans="1:21" ht="15.75" thickBot="1" x14ac:dyDescent="0.3">
      <c r="A175" s="175">
        <v>9009125300</v>
      </c>
      <c r="B175" s="200" t="s">
        <v>3013</v>
      </c>
      <c r="C175" s="93" t="s">
        <v>944</v>
      </c>
      <c r="D175" s="94">
        <v>0</v>
      </c>
      <c r="E175" s="95">
        <v>0</v>
      </c>
      <c r="F175" s="96">
        <v>250</v>
      </c>
      <c r="G175" s="95">
        <v>1.4880077317262672E-5</v>
      </c>
      <c r="H175" s="95" t="s">
        <v>2993</v>
      </c>
      <c r="I175" s="95" t="str">
        <f t="shared" si="8"/>
        <v>N/A</v>
      </c>
      <c r="J175" s="97">
        <v>0</v>
      </c>
      <c r="K175" s="98">
        <v>0</v>
      </c>
      <c r="L175" s="99">
        <v>250</v>
      </c>
      <c r="M175" s="98">
        <v>1.4880077317262672E-5</v>
      </c>
      <c r="N175" s="98" t="str">
        <f t="shared" si="6"/>
        <v>N/A</v>
      </c>
      <c r="O175" s="97">
        <v>0</v>
      </c>
      <c r="P175" s="100">
        <v>0</v>
      </c>
      <c r="Q175" s="99">
        <v>0</v>
      </c>
      <c r="R175" s="101">
        <v>1.4880077317262672E-5</v>
      </c>
      <c r="S175" t="str">
        <f t="shared" si="7"/>
        <v>N/A</v>
      </c>
      <c r="T175" t="str">
        <f>VLOOKUP(Table8[[#This Row],[Census Tract]],'UI EnergyBurden'!$A$2:$B$184,2,FALSE)</f>
        <v>No</v>
      </c>
      <c r="U175">
        <f>VLOOKUP(Table8[[#This Row],[Census Tract]],'Population and Diversity Data'!$B$2:$K$823,10,FALSE)</f>
        <v>5</v>
      </c>
    </row>
    <row r="176" spans="1:21" ht="15.75" thickBot="1" x14ac:dyDescent="0.3">
      <c r="A176" s="175">
        <v>9009125400</v>
      </c>
      <c r="B176" s="200" t="s">
        <v>3010</v>
      </c>
      <c r="C176" s="93" t="s">
        <v>944</v>
      </c>
      <c r="D176" s="94">
        <v>56573.526800000102</v>
      </c>
      <c r="E176" s="95">
        <v>1.9440665241910859E-3</v>
      </c>
      <c r="F176" s="96">
        <v>19599.37</v>
      </c>
      <c r="G176" s="95">
        <v>1.166560563878554E-3</v>
      </c>
      <c r="H176" s="95" t="s">
        <v>2986</v>
      </c>
      <c r="I176" s="95" t="str">
        <f t="shared" si="8"/>
        <v>NO</v>
      </c>
      <c r="J176" s="97">
        <v>50934.988800000101</v>
      </c>
      <c r="K176" s="98">
        <v>1.9440665241910859E-3</v>
      </c>
      <c r="L176" s="99">
        <v>19181.37</v>
      </c>
      <c r="M176" s="98">
        <v>1.166560563878554E-3</v>
      </c>
      <c r="N176" s="98" t="str">
        <f t="shared" si="6"/>
        <v>NO</v>
      </c>
      <c r="O176" s="97">
        <v>5638.5379999999996</v>
      </c>
      <c r="P176" s="100">
        <v>1.9440665241910859E-3</v>
      </c>
      <c r="Q176" s="99">
        <v>418</v>
      </c>
      <c r="R176" s="101">
        <v>1.166560563878554E-3</v>
      </c>
      <c r="S176" t="str">
        <f t="shared" si="7"/>
        <v>NO</v>
      </c>
      <c r="T176" t="str">
        <f>VLOOKUP(Table8[[#This Row],[Census Tract]],'UI EnergyBurden'!$A$2:$B$184,2,FALSE)</f>
        <v>No</v>
      </c>
      <c r="U176">
        <f>VLOOKUP(Table8[[#This Row],[Census Tract]],'Population and Diversity Data'!$B$2:$K$823,10,FALSE)</f>
        <v>3</v>
      </c>
    </row>
    <row r="177" spans="1:21" ht="15.75" thickBot="1" x14ac:dyDescent="0.3">
      <c r="A177" s="175">
        <v>9009130101</v>
      </c>
      <c r="B177" s="200" t="s">
        <v>3014</v>
      </c>
      <c r="C177" s="93" t="s">
        <v>944</v>
      </c>
      <c r="D177" s="94">
        <v>226.78720000000001</v>
      </c>
      <c r="E177" s="95">
        <v>7.7932105098144223E-6</v>
      </c>
      <c r="F177" s="96">
        <v>0</v>
      </c>
      <c r="G177" s="95">
        <v>0</v>
      </c>
      <c r="H177" s="95" t="s">
        <v>2982</v>
      </c>
      <c r="I177" s="95" t="str">
        <f t="shared" si="8"/>
        <v>NO</v>
      </c>
      <c r="J177" s="97">
        <v>226.78720000000001</v>
      </c>
      <c r="K177" s="98">
        <v>7.7932105098144223E-6</v>
      </c>
      <c r="L177" s="99">
        <v>0</v>
      </c>
      <c r="M177" s="98">
        <v>0</v>
      </c>
      <c r="N177" s="98" t="str">
        <f t="shared" si="6"/>
        <v>NO</v>
      </c>
      <c r="O177" s="97">
        <v>0</v>
      </c>
      <c r="P177" s="100">
        <v>7.7932105098144223E-6</v>
      </c>
      <c r="Q177" s="99">
        <v>0</v>
      </c>
      <c r="R177" s="101">
        <v>0</v>
      </c>
      <c r="S177" t="str">
        <f t="shared" si="7"/>
        <v>NO</v>
      </c>
      <c r="T177" t="str">
        <f>VLOOKUP(Table8[[#This Row],[Census Tract]],'UI EnergyBurden'!$A$2:$B$184,2,FALSE)</f>
        <v>No</v>
      </c>
      <c r="U177">
        <f>VLOOKUP(Table8[[#This Row],[Census Tract]],'Population and Diversity Data'!$B$2:$K$823,10,FALSE)</f>
        <v>2</v>
      </c>
    </row>
    <row r="178" spans="1:21" ht="15.75" thickBot="1" x14ac:dyDescent="0.3">
      <c r="A178" s="175">
        <v>9009130102</v>
      </c>
      <c r="B178" s="200" t="s">
        <v>3010</v>
      </c>
      <c r="C178" s="93" t="s">
        <v>944</v>
      </c>
      <c r="D178" s="94">
        <v>151.18</v>
      </c>
      <c r="E178" s="95">
        <v>5.1950796379766766E-6</v>
      </c>
      <c r="F178" s="96">
        <v>0</v>
      </c>
      <c r="G178" s="95">
        <v>0</v>
      </c>
      <c r="H178" s="95" t="s">
        <v>2982</v>
      </c>
      <c r="I178" s="95" t="str">
        <f t="shared" si="8"/>
        <v>NO</v>
      </c>
      <c r="J178" s="97">
        <v>151.18</v>
      </c>
      <c r="K178" s="98">
        <v>5.1950796379766766E-6</v>
      </c>
      <c r="L178" s="99">
        <v>0</v>
      </c>
      <c r="M178" s="98">
        <v>0</v>
      </c>
      <c r="N178" s="98" t="str">
        <f t="shared" si="6"/>
        <v>NO</v>
      </c>
      <c r="O178" s="97">
        <v>0</v>
      </c>
      <c r="P178" s="100">
        <v>5.1950796379766766E-6</v>
      </c>
      <c r="Q178" s="99">
        <v>0</v>
      </c>
      <c r="R178" s="101">
        <v>0</v>
      </c>
      <c r="S178" t="str">
        <f t="shared" si="7"/>
        <v>NO</v>
      </c>
      <c r="T178" t="str">
        <f>VLOOKUP(Table8[[#This Row],[Census Tract]],'UI EnergyBurden'!$A$2:$B$184,2,FALSE)</f>
        <v>No</v>
      </c>
      <c r="U178">
        <f>VLOOKUP(Table8[[#This Row],[Census Tract]],'Population and Diversity Data'!$B$2:$K$823,10,FALSE)</f>
        <v>2</v>
      </c>
    </row>
    <row r="179" spans="1:21" ht="15.75" thickBot="1" x14ac:dyDescent="0.3">
      <c r="A179" s="175">
        <v>9009130200</v>
      </c>
      <c r="B179" s="200" t="s">
        <v>3010</v>
      </c>
      <c r="C179" s="93" t="s">
        <v>944</v>
      </c>
      <c r="D179" s="94">
        <v>622.11829999999998</v>
      </c>
      <c r="E179" s="95">
        <v>2.1378185690849752E-5</v>
      </c>
      <c r="F179" s="96">
        <v>0</v>
      </c>
      <c r="G179" s="95">
        <v>0</v>
      </c>
      <c r="H179" s="95" t="s">
        <v>2982</v>
      </c>
      <c r="I179" s="95" t="str">
        <f t="shared" si="8"/>
        <v>NO</v>
      </c>
      <c r="J179" s="97">
        <v>65.553799999999995</v>
      </c>
      <c r="K179" s="98">
        <v>2.1378185690849752E-5</v>
      </c>
      <c r="L179" s="99">
        <v>0</v>
      </c>
      <c r="M179" s="98">
        <v>0</v>
      </c>
      <c r="N179" s="98" t="str">
        <f t="shared" si="6"/>
        <v>NO</v>
      </c>
      <c r="O179" s="97">
        <v>556.56449999999995</v>
      </c>
      <c r="P179" s="100">
        <v>2.1378185690849752E-5</v>
      </c>
      <c r="Q179" s="99">
        <v>0</v>
      </c>
      <c r="R179" s="101">
        <v>0</v>
      </c>
      <c r="S179" t="str">
        <f t="shared" si="7"/>
        <v>NO</v>
      </c>
      <c r="T179" t="str">
        <f>VLOOKUP(Table8[[#This Row],[Census Tract]],'UI EnergyBurden'!$A$2:$B$184,2,FALSE)</f>
        <v>No</v>
      </c>
      <c r="U179">
        <f>VLOOKUP(Table8[[#This Row],[Census Tract]],'Population and Diversity Data'!$B$2:$K$823,10,FALSE)</f>
        <v>3</v>
      </c>
    </row>
    <row r="180" spans="1:21" ht="15.75" thickBot="1" x14ac:dyDescent="0.3">
      <c r="A180" s="175">
        <v>9009130200</v>
      </c>
      <c r="B180" s="200" t="s">
        <v>3011</v>
      </c>
      <c r="C180" s="93" t="s">
        <v>944</v>
      </c>
      <c r="D180" s="94">
        <v>128.1962</v>
      </c>
      <c r="E180" s="95">
        <v>4.4052749588965844E-6</v>
      </c>
      <c r="F180" s="96">
        <v>0</v>
      </c>
      <c r="G180" s="95">
        <v>0</v>
      </c>
      <c r="H180" s="95" t="s">
        <v>2982</v>
      </c>
      <c r="I180" s="95" t="str">
        <f t="shared" si="8"/>
        <v>N/A</v>
      </c>
      <c r="J180" s="97">
        <v>128.1962</v>
      </c>
      <c r="K180" s="98">
        <v>4.4052749588965844E-6</v>
      </c>
      <c r="L180" s="99">
        <v>0</v>
      </c>
      <c r="M180" s="98">
        <v>0</v>
      </c>
      <c r="N180" s="98" t="str">
        <f t="shared" si="6"/>
        <v>N/A</v>
      </c>
      <c r="O180" s="97">
        <v>0</v>
      </c>
      <c r="P180" s="100">
        <v>4.4052749588965844E-6</v>
      </c>
      <c r="Q180" s="99">
        <v>0</v>
      </c>
      <c r="R180" s="101">
        <v>0</v>
      </c>
      <c r="S180" t="str">
        <f t="shared" si="7"/>
        <v>N/A</v>
      </c>
      <c r="T180" t="str">
        <f>VLOOKUP(Table8[[#This Row],[Census Tract]],'UI EnergyBurden'!$A$2:$B$184,2,FALSE)</f>
        <v>No</v>
      </c>
      <c r="U180">
        <f>VLOOKUP(Table8[[#This Row],[Census Tract]],'Population and Diversity Data'!$B$2:$K$823,10,FALSE)</f>
        <v>3</v>
      </c>
    </row>
    <row r="181" spans="1:21" ht="15.75" thickBot="1" x14ac:dyDescent="0.3">
      <c r="A181" s="175">
        <v>9009140100</v>
      </c>
      <c r="B181" s="200" t="s">
        <v>3015</v>
      </c>
      <c r="C181" s="93" t="s">
        <v>944</v>
      </c>
      <c r="D181" s="94">
        <v>0</v>
      </c>
      <c r="E181" s="95">
        <v>0</v>
      </c>
      <c r="F181" s="96">
        <v>464948.41</v>
      </c>
      <c r="G181" s="95">
        <v>2.7673873157353378E-2</v>
      </c>
      <c r="H181" s="95" t="s">
        <v>2993</v>
      </c>
      <c r="I181" s="95" t="str">
        <f t="shared" si="8"/>
        <v>N/A</v>
      </c>
      <c r="J181" s="97">
        <v>0</v>
      </c>
      <c r="K181" s="98">
        <v>0</v>
      </c>
      <c r="L181" s="99">
        <v>370.41</v>
      </c>
      <c r="M181" s="98">
        <v>2.7673873157353378E-2</v>
      </c>
      <c r="N181" s="98" t="str">
        <f t="shared" si="6"/>
        <v>N/A</v>
      </c>
      <c r="O181" s="97">
        <v>0</v>
      </c>
      <c r="P181" s="100">
        <v>0</v>
      </c>
      <c r="Q181" s="99">
        <v>464578</v>
      </c>
      <c r="R181" s="101">
        <v>2.7673873157353378E-2</v>
      </c>
      <c r="S181" t="str">
        <f t="shared" si="7"/>
        <v>N/A</v>
      </c>
      <c r="T181" t="str">
        <f>VLOOKUP(Table8[[#This Row],[Census Tract]],'UI EnergyBurden'!$A$2:$B$184,2,FALSE)</f>
        <v>No</v>
      </c>
      <c r="U181">
        <f>VLOOKUP(Table8[[#This Row],[Census Tract]],'Population and Diversity Data'!$B$2:$K$823,10,FALSE)</f>
        <v>5</v>
      </c>
    </row>
    <row r="182" spans="1:21" ht="15.75" thickBot="1" x14ac:dyDescent="0.3">
      <c r="A182" s="175">
        <v>9009140100</v>
      </c>
      <c r="B182" s="200" t="s">
        <v>943</v>
      </c>
      <c r="C182" s="93" t="s">
        <v>936</v>
      </c>
      <c r="D182" s="94">
        <v>223658.3899999999</v>
      </c>
      <c r="E182" s="95">
        <v>7.6856935292475585E-3</v>
      </c>
      <c r="F182" s="96">
        <v>0</v>
      </c>
      <c r="G182" s="95">
        <v>0</v>
      </c>
      <c r="H182" s="95" t="s">
        <v>2982</v>
      </c>
      <c r="I182" s="95" t="str">
        <f t="shared" si="8"/>
        <v>NO</v>
      </c>
      <c r="J182" s="97">
        <v>53179.4405999999</v>
      </c>
      <c r="K182" s="98">
        <v>7.6856935292475585E-3</v>
      </c>
      <c r="L182" s="99">
        <v>0</v>
      </c>
      <c r="M182" s="98">
        <v>0</v>
      </c>
      <c r="N182" s="98" t="str">
        <f t="shared" si="6"/>
        <v>NO</v>
      </c>
      <c r="O182" s="97">
        <v>170478.94940000001</v>
      </c>
      <c r="P182" s="100">
        <v>7.6856935292475585E-3</v>
      </c>
      <c r="Q182" s="99">
        <v>0</v>
      </c>
      <c r="R182" s="101">
        <v>0</v>
      </c>
      <c r="S182" t="str">
        <f t="shared" si="7"/>
        <v>NO</v>
      </c>
      <c r="T182" t="str">
        <f>VLOOKUP(Table8[[#This Row],[Census Tract]],'UI EnergyBurden'!$A$2:$B$184,2,FALSE)</f>
        <v>No</v>
      </c>
      <c r="U182">
        <f>VLOOKUP(Table8[[#This Row],[Census Tract]],'Population and Diversity Data'!$B$2:$K$823,10,FALSE)</f>
        <v>5</v>
      </c>
    </row>
    <row r="183" spans="1:21" ht="15.75" thickBot="1" x14ac:dyDescent="0.3">
      <c r="A183" s="175">
        <v>9009140200</v>
      </c>
      <c r="B183" s="200" t="s">
        <v>3015</v>
      </c>
      <c r="C183" s="93" t="s">
        <v>944</v>
      </c>
      <c r="D183" s="94">
        <v>0</v>
      </c>
      <c r="E183" s="95">
        <v>0</v>
      </c>
      <c r="F183" s="96">
        <v>5050</v>
      </c>
      <c r="G183" s="95">
        <v>3.0057756180870595E-4</v>
      </c>
      <c r="H183" s="95" t="s">
        <v>2993</v>
      </c>
      <c r="I183" s="95" t="str">
        <f t="shared" si="8"/>
        <v>N/A</v>
      </c>
      <c r="J183" s="97">
        <v>0</v>
      </c>
      <c r="K183" s="98">
        <v>0</v>
      </c>
      <c r="L183" s="99">
        <v>0</v>
      </c>
      <c r="M183" s="98">
        <v>3.0057756180870595E-4</v>
      </c>
      <c r="N183" s="98" t="str">
        <f t="shared" si="6"/>
        <v>N/A</v>
      </c>
      <c r="O183" s="97">
        <v>0</v>
      </c>
      <c r="P183" s="100">
        <v>0</v>
      </c>
      <c r="Q183" s="99">
        <v>5050</v>
      </c>
      <c r="R183" s="101">
        <v>3.0057756180870595E-4</v>
      </c>
      <c r="S183" t="str">
        <f t="shared" si="7"/>
        <v>N/A</v>
      </c>
      <c r="T183" t="str">
        <f>VLOOKUP(Table8[[#This Row],[Census Tract]],'UI EnergyBurden'!$A$2:$B$184,2,FALSE)</f>
        <v>Yes</v>
      </c>
      <c r="U183">
        <f>VLOOKUP(Table8[[#This Row],[Census Tract]],'Population and Diversity Data'!$B$2:$K$823,10,FALSE)</f>
        <v>3</v>
      </c>
    </row>
    <row r="184" spans="1:21" ht="15.75" thickBot="1" x14ac:dyDescent="0.3">
      <c r="A184" s="175">
        <v>9009140200</v>
      </c>
      <c r="B184" s="200" t="s">
        <v>943</v>
      </c>
      <c r="C184" s="93" t="s">
        <v>936</v>
      </c>
      <c r="D184" s="94">
        <v>64359.294299999994</v>
      </c>
      <c r="E184" s="95">
        <v>2.2116130396380366E-3</v>
      </c>
      <c r="F184" s="96">
        <v>0</v>
      </c>
      <c r="G184" s="95">
        <v>0</v>
      </c>
      <c r="H184" s="95" t="s">
        <v>2982</v>
      </c>
      <c r="I184" s="95" t="str">
        <f t="shared" si="8"/>
        <v>NO</v>
      </c>
      <c r="J184" s="97">
        <v>5569.7996999999996</v>
      </c>
      <c r="K184" s="98">
        <v>2.2116130396380366E-3</v>
      </c>
      <c r="L184" s="99">
        <v>0</v>
      </c>
      <c r="M184" s="98">
        <v>0</v>
      </c>
      <c r="N184" s="98" t="str">
        <f t="shared" si="6"/>
        <v>NO</v>
      </c>
      <c r="O184" s="97">
        <v>58789.494599999998</v>
      </c>
      <c r="P184" s="100">
        <v>2.2116130396380366E-3</v>
      </c>
      <c r="Q184" s="99">
        <v>0</v>
      </c>
      <c r="R184" s="101">
        <v>0</v>
      </c>
      <c r="S184" t="str">
        <f t="shared" si="7"/>
        <v>NO</v>
      </c>
      <c r="T184" t="str">
        <f>VLOOKUP(Table8[[#This Row],[Census Tract]],'UI EnergyBurden'!$A$2:$B$184,2,FALSE)</f>
        <v>Yes</v>
      </c>
      <c r="U184">
        <f>VLOOKUP(Table8[[#This Row],[Census Tract]],'Population and Diversity Data'!$B$2:$K$823,10,FALSE)</f>
        <v>3</v>
      </c>
    </row>
    <row r="185" spans="1:21" ht="15.75" thickBot="1" x14ac:dyDescent="0.3">
      <c r="A185" s="175">
        <v>9009140300</v>
      </c>
      <c r="B185" s="200" t="s">
        <v>3015</v>
      </c>
      <c r="C185" s="93" t="s">
        <v>944</v>
      </c>
      <c r="D185" s="94">
        <v>0</v>
      </c>
      <c r="E185" s="95">
        <v>0</v>
      </c>
      <c r="F185" s="96">
        <v>5299.45</v>
      </c>
      <c r="G185" s="95">
        <v>3.1542490295587063E-4</v>
      </c>
      <c r="H185" s="95" t="s">
        <v>2993</v>
      </c>
      <c r="I185" s="95" t="str">
        <f t="shared" si="8"/>
        <v>N/A</v>
      </c>
      <c r="J185" s="97">
        <v>0</v>
      </c>
      <c r="K185" s="98">
        <v>0</v>
      </c>
      <c r="L185" s="99">
        <v>2174.4499999999998</v>
      </c>
      <c r="M185" s="98">
        <v>3.1542490295587063E-4</v>
      </c>
      <c r="N185" s="98" t="str">
        <f t="shared" si="6"/>
        <v>N/A</v>
      </c>
      <c r="O185" s="97">
        <v>0</v>
      </c>
      <c r="P185" s="100">
        <v>0</v>
      </c>
      <c r="Q185" s="99">
        <v>3125</v>
      </c>
      <c r="R185" s="101">
        <v>3.1542490295587063E-4</v>
      </c>
      <c r="S185" t="str">
        <f t="shared" si="7"/>
        <v>N/A</v>
      </c>
      <c r="T185" t="str">
        <f>VLOOKUP(Table8[[#This Row],[Census Tract]],'UI EnergyBurden'!$A$2:$B$184,2,FALSE)</f>
        <v>Yes</v>
      </c>
      <c r="U185">
        <f>VLOOKUP(Table8[[#This Row],[Census Tract]],'Population and Diversity Data'!$B$2:$K$823,10,FALSE)</f>
        <v>5</v>
      </c>
    </row>
    <row r="186" spans="1:21" ht="15.75" thickBot="1" x14ac:dyDescent="0.3">
      <c r="A186" s="175">
        <v>9009140300</v>
      </c>
      <c r="B186" s="200" t="s">
        <v>943</v>
      </c>
      <c r="C186" s="93" t="s">
        <v>936</v>
      </c>
      <c r="D186" s="94">
        <v>53310.823499999999</v>
      </c>
      <c r="E186" s="95">
        <v>1.8319484961543755E-3</v>
      </c>
      <c r="F186" s="96">
        <v>0</v>
      </c>
      <c r="G186" s="95">
        <v>0</v>
      </c>
      <c r="H186" s="95" t="s">
        <v>2982</v>
      </c>
      <c r="I186" s="95" t="str">
        <f t="shared" si="8"/>
        <v>NO</v>
      </c>
      <c r="J186" s="97">
        <v>27566.794900000001</v>
      </c>
      <c r="K186" s="98">
        <v>1.8319484961543755E-3</v>
      </c>
      <c r="L186" s="99">
        <v>0</v>
      </c>
      <c r="M186" s="98">
        <v>0</v>
      </c>
      <c r="N186" s="98" t="str">
        <f t="shared" si="6"/>
        <v>NO</v>
      </c>
      <c r="O186" s="97">
        <v>25744.028600000001</v>
      </c>
      <c r="P186" s="100">
        <v>1.8319484961543755E-3</v>
      </c>
      <c r="Q186" s="99">
        <v>0</v>
      </c>
      <c r="R186" s="101">
        <v>0</v>
      </c>
      <c r="S186" t="str">
        <f t="shared" si="7"/>
        <v>NO</v>
      </c>
      <c r="T186" t="str">
        <f>VLOOKUP(Table8[[#This Row],[Census Tract]],'UI EnergyBurden'!$A$2:$B$184,2,FALSE)</f>
        <v>Yes</v>
      </c>
      <c r="U186">
        <f>VLOOKUP(Table8[[#This Row],[Census Tract]],'Population and Diversity Data'!$B$2:$K$823,10,FALSE)</f>
        <v>5</v>
      </c>
    </row>
    <row r="187" spans="1:21" ht="15.75" thickBot="1" x14ac:dyDescent="0.3">
      <c r="A187" s="175">
        <v>9009140400</v>
      </c>
      <c r="B187" s="200" t="s">
        <v>3015</v>
      </c>
      <c r="C187" s="93" t="s">
        <v>944</v>
      </c>
      <c r="D187" s="94">
        <v>0</v>
      </c>
      <c r="E187" s="95">
        <v>0</v>
      </c>
      <c r="F187" s="96">
        <v>7578.48</v>
      </c>
      <c r="G187" s="95">
        <v>4.5107347338931524E-4</v>
      </c>
      <c r="H187" s="95" t="s">
        <v>2993</v>
      </c>
      <c r="I187" s="95" t="str">
        <f t="shared" si="8"/>
        <v>N/A</v>
      </c>
      <c r="J187" s="97">
        <v>0</v>
      </c>
      <c r="K187" s="98">
        <v>0</v>
      </c>
      <c r="L187" s="99">
        <v>1533.48</v>
      </c>
      <c r="M187" s="98">
        <v>4.5107347338931524E-4</v>
      </c>
      <c r="N187" s="98" t="str">
        <f t="shared" si="6"/>
        <v>N/A</v>
      </c>
      <c r="O187" s="97">
        <v>0</v>
      </c>
      <c r="P187" s="100">
        <v>0</v>
      </c>
      <c r="Q187" s="99">
        <v>6045</v>
      </c>
      <c r="R187" s="101">
        <v>4.5107347338931524E-4</v>
      </c>
      <c r="S187" t="str">
        <f t="shared" si="7"/>
        <v>N/A</v>
      </c>
      <c r="T187" t="str">
        <f>VLOOKUP(Table8[[#This Row],[Census Tract]],'UI EnergyBurden'!$A$2:$B$184,2,FALSE)</f>
        <v>No</v>
      </c>
      <c r="U187">
        <f>VLOOKUP(Table8[[#This Row],[Census Tract]],'Population and Diversity Data'!$B$2:$K$823,10,FALSE)</f>
        <v>5</v>
      </c>
    </row>
    <row r="188" spans="1:21" ht="15.75" thickBot="1" x14ac:dyDescent="0.3">
      <c r="A188" s="175">
        <v>9009140400</v>
      </c>
      <c r="B188" s="200" t="s">
        <v>943</v>
      </c>
      <c r="C188" s="93" t="s">
        <v>936</v>
      </c>
      <c r="D188" s="94">
        <v>59717.657400000098</v>
      </c>
      <c r="E188" s="95">
        <v>2.0521099747744923E-3</v>
      </c>
      <c r="F188" s="96">
        <v>0</v>
      </c>
      <c r="G188" s="95">
        <v>0</v>
      </c>
      <c r="H188" s="95" t="s">
        <v>2982</v>
      </c>
      <c r="I188" s="95" t="str">
        <f t="shared" si="8"/>
        <v>NO</v>
      </c>
      <c r="J188" s="97">
        <v>41243.352400000098</v>
      </c>
      <c r="K188" s="98">
        <v>2.0521099747744923E-3</v>
      </c>
      <c r="L188" s="99">
        <v>0</v>
      </c>
      <c r="M188" s="98">
        <v>0</v>
      </c>
      <c r="N188" s="98" t="str">
        <f t="shared" si="6"/>
        <v>NO</v>
      </c>
      <c r="O188" s="97">
        <v>18474.305</v>
      </c>
      <c r="P188" s="100">
        <v>2.0521099747744923E-3</v>
      </c>
      <c r="Q188" s="99">
        <v>0</v>
      </c>
      <c r="R188" s="101">
        <v>0</v>
      </c>
      <c r="S188" t="str">
        <f t="shared" si="7"/>
        <v>NO</v>
      </c>
      <c r="T188" t="str">
        <f>VLOOKUP(Table8[[#This Row],[Census Tract]],'UI EnergyBurden'!$A$2:$B$184,2,FALSE)</f>
        <v>No</v>
      </c>
      <c r="U188">
        <f>VLOOKUP(Table8[[#This Row],[Census Tract]],'Population and Diversity Data'!$B$2:$K$823,10,FALSE)</f>
        <v>5</v>
      </c>
    </row>
    <row r="189" spans="1:21" ht="15.75" thickBot="1" x14ac:dyDescent="0.3">
      <c r="A189" s="175">
        <v>9009140500</v>
      </c>
      <c r="B189" s="200" t="s">
        <v>3015</v>
      </c>
      <c r="C189" s="93" t="s">
        <v>944</v>
      </c>
      <c r="D189" s="94">
        <v>0</v>
      </c>
      <c r="E189" s="95">
        <v>0</v>
      </c>
      <c r="F189" s="96">
        <v>9221.9500000000007</v>
      </c>
      <c r="G189" s="95">
        <v>5.4889331606372202E-4</v>
      </c>
      <c r="H189" s="95" t="s">
        <v>2993</v>
      </c>
      <c r="I189" s="95" t="str">
        <f t="shared" si="8"/>
        <v>N/A</v>
      </c>
      <c r="J189" s="97">
        <v>0</v>
      </c>
      <c r="K189" s="98">
        <v>0</v>
      </c>
      <c r="L189" s="99">
        <v>2256.9499999999998</v>
      </c>
      <c r="M189" s="98">
        <v>5.4889331606372202E-4</v>
      </c>
      <c r="N189" s="98" t="str">
        <f t="shared" si="6"/>
        <v>N/A</v>
      </c>
      <c r="O189" s="97">
        <v>0</v>
      </c>
      <c r="P189" s="100">
        <v>0</v>
      </c>
      <c r="Q189" s="99">
        <v>6965</v>
      </c>
      <c r="R189" s="101">
        <v>5.4889331606372202E-4</v>
      </c>
      <c r="S189" t="str">
        <f t="shared" si="7"/>
        <v>N/A</v>
      </c>
      <c r="T189" t="str">
        <f>VLOOKUP(Table8[[#This Row],[Census Tract]],'UI EnergyBurden'!$A$2:$B$184,2,FALSE)</f>
        <v>Yes</v>
      </c>
      <c r="U189">
        <f>VLOOKUP(Table8[[#This Row],[Census Tract]],'Population and Diversity Data'!$B$2:$K$823,10,FALSE)</f>
        <v>5</v>
      </c>
    </row>
    <row r="190" spans="1:21" ht="15.75" thickBot="1" x14ac:dyDescent="0.3">
      <c r="A190" s="175">
        <v>9009140500</v>
      </c>
      <c r="B190" s="200" t="s">
        <v>943</v>
      </c>
      <c r="C190" s="93" t="s">
        <v>936</v>
      </c>
      <c r="D190" s="94">
        <v>65779.7380999999</v>
      </c>
      <c r="E190" s="95">
        <v>2.2604245137898406E-3</v>
      </c>
      <c r="F190" s="96">
        <v>0</v>
      </c>
      <c r="G190" s="95">
        <v>0</v>
      </c>
      <c r="H190" s="95" t="s">
        <v>2982</v>
      </c>
      <c r="I190" s="95" t="str">
        <f t="shared" si="8"/>
        <v>NO</v>
      </c>
      <c r="J190" s="97">
        <v>40619.569599999901</v>
      </c>
      <c r="K190" s="98">
        <v>2.2604245137898406E-3</v>
      </c>
      <c r="L190" s="99">
        <v>0</v>
      </c>
      <c r="M190" s="98">
        <v>0</v>
      </c>
      <c r="N190" s="98" t="str">
        <f t="shared" si="6"/>
        <v>NO</v>
      </c>
      <c r="O190" s="97">
        <v>25160.1685</v>
      </c>
      <c r="P190" s="100">
        <v>2.2604245137898406E-3</v>
      </c>
      <c r="Q190" s="99">
        <v>0</v>
      </c>
      <c r="R190" s="101">
        <v>0</v>
      </c>
      <c r="S190" t="str">
        <f t="shared" si="7"/>
        <v>NO</v>
      </c>
      <c r="T190" t="str">
        <f>VLOOKUP(Table8[[#This Row],[Census Tract]],'UI EnergyBurden'!$A$2:$B$184,2,FALSE)</f>
        <v>Yes</v>
      </c>
      <c r="U190">
        <f>VLOOKUP(Table8[[#This Row],[Census Tract]],'Population and Diversity Data'!$B$2:$K$823,10,FALSE)</f>
        <v>5</v>
      </c>
    </row>
    <row r="191" spans="1:21" ht="15.75" thickBot="1" x14ac:dyDescent="0.3">
      <c r="A191" s="175">
        <v>9009140600</v>
      </c>
      <c r="B191" s="200" t="s">
        <v>3015</v>
      </c>
      <c r="C191" s="93" t="s">
        <v>944</v>
      </c>
      <c r="D191" s="94">
        <v>0</v>
      </c>
      <c r="E191" s="95">
        <v>0</v>
      </c>
      <c r="F191" s="96">
        <v>28049.65</v>
      </c>
      <c r="G191" s="95">
        <v>1.6695238428886276E-3</v>
      </c>
      <c r="H191" s="95" t="s">
        <v>2993</v>
      </c>
      <c r="I191" s="95" t="str">
        <f t="shared" si="8"/>
        <v>N/A</v>
      </c>
      <c r="J191" s="97">
        <v>0</v>
      </c>
      <c r="K191" s="98">
        <v>0</v>
      </c>
      <c r="L191" s="99">
        <v>3999.65</v>
      </c>
      <c r="M191" s="98">
        <v>1.6695238428886276E-3</v>
      </c>
      <c r="N191" s="98" t="str">
        <f t="shared" si="6"/>
        <v>N/A</v>
      </c>
      <c r="O191" s="97">
        <v>0</v>
      </c>
      <c r="P191" s="100">
        <v>0</v>
      </c>
      <c r="Q191" s="99">
        <v>24050</v>
      </c>
      <c r="R191" s="101">
        <v>1.6695238428886276E-3</v>
      </c>
      <c r="S191" t="str">
        <f t="shared" si="7"/>
        <v>N/A</v>
      </c>
      <c r="T191" t="str">
        <f>VLOOKUP(Table8[[#This Row],[Census Tract]],'UI EnergyBurden'!$A$2:$B$184,2,FALSE)</f>
        <v>Yes</v>
      </c>
      <c r="U191">
        <f>VLOOKUP(Table8[[#This Row],[Census Tract]],'Population and Diversity Data'!$B$2:$K$823,10,FALSE)</f>
        <v>5</v>
      </c>
    </row>
    <row r="192" spans="1:21" ht="15.75" thickBot="1" x14ac:dyDescent="0.3">
      <c r="A192" s="175">
        <v>9009140600</v>
      </c>
      <c r="B192" s="200" t="s">
        <v>943</v>
      </c>
      <c r="C192" s="93" t="s">
        <v>936</v>
      </c>
      <c r="D192" s="94">
        <v>78663.046799999895</v>
      </c>
      <c r="E192" s="95">
        <v>2.7031405787265898E-3</v>
      </c>
      <c r="F192" s="96">
        <v>0</v>
      </c>
      <c r="G192" s="95">
        <v>0</v>
      </c>
      <c r="H192" s="95" t="s">
        <v>2982</v>
      </c>
      <c r="I192" s="95" t="str">
        <f t="shared" si="8"/>
        <v>NO</v>
      </c>
      <c r="J192" s="97">
        <v>52288.773399999904</v>
      </c>
      <c r="K192" s="98">
        <v>2.7031405787265898E-3</v>
      </c>
      <c r="L192" s="99">
        <v>0</v>
      </c>
      <c r="M192" s="98">
        <v>0</v>
      </c>
      <c r="N192" s="98" t="str">
        <f t="shared" si="6"/>
        <v>NO</v>
      </c>
      <c r="O192" s="97">
        <v>26374.273399999998</v>
      </c>
      <c r="P192" s="100">
        <v>2.7031405787265898E-3</v>
      </c>
      <c r="Q192" s="99">
        <v>0</v>
      </c>
      <c r="R192" s="101">
        <v>0</v>
      </c>
      <c r="S192" t="str">
        <f t="shared" si="7"/>
        <v>NO</v>
      </c>
      <c r="T192" t="str">
        <f>VLOOKUP(Table8[[#This Row],[Census Tract]],'UI EnergyBurden'!$A$2:$B$184,2,FALSE)</f>
        <v>Yes</v>
      </c>
      <c r="U192">
        <f>VLOOKUP(Table8[[#This Row],[Census Tract]],'Population and Diversity Data'!$B$2:$K$823,10,FALSE)</f>
        <v>5</v>
      </c>
    </row>
    <row r="193" spans="1:21" ht="15.75" thickBot="1" x14ac:dyDescent="0.3">
      <c r="A193" s="175">
        <v>9009140700</v>
      </c>
      <c r="B193" s="200" t="s">
        <v>3015</v>
      </c>
      <c r="C193" s="93" t="s">
        <v>944</v>
      </c>
      <c r="D193" s="94">
        <v>0</v>
      </c>
      <c r="E193" s="95">
        <v>0</v>
      </c>
      <c r="F193" s="96">
        <v>11814.03</v>
      </c>
      <c r="G193" s="95">
        <v>7.0317471931384296E-4</v>
      </c>
      <c r="H193" s="95" t="s">
        <v>2993</v>
      </c>
      <c r="I193" s="95" t="str">
        <f t="shared" si="8"/>
        <v>N/A</v>
      </c>
      <c r="J193" s="97">
        <v>0</v>
      </c>
      <c r="K193" s="98">
        <v>0</v>
      </c>
      <c r="L193" s="99">
        <v>2774.03</v>
      </c>
      <c r="M193" s="98">
        <v>7.0317471931384296E-4</v>
      </c>
      <c r="N193" s="98" t="str">
        <f t="shared" si="6"/>
        <v>N/A</v>
      </c>
      <c r="O193" s="97">
        <v>0</v>
      </c>
      <c r="P193" s="100">
        <v>0</v>
      </c>
      <c r="Q193" s="99">
        <v>9040</v>
      </c>
      <c r="R193" s="101">
        <v>7.0317471931384296E-4</v>
      </c>
      <c r="S193" t="str">
        <f t="shared" si="7"/>
        <v>N/A</v>
      </c>
      <c r="T193" t="str">
        <f>VLOOKUP(Table8[[#This Row],[Census Tract]],'UI EnergyBurden'!$A$2:$B$184,2,FALSE)</f>
        <v>No</v>
      </c>
      <c r="U193">
        <f>VLOOKUP(Table8[[#This Row],[Census Tract]],'Population and Diversity Data'!$B$2:$K$823,10,FALSE)</f>
        <v>5</v>
      </c>
    </row>
    <row r="194" spans="1:21" ht="15.75" thickBot="1" x14ac:dyDescent="0.3">
      <c r="A194" s="175">
        <v>9009140700</v>
      </c>
      <c r="B194" s="200" t="s">
        <v>943</v>
      </c>
      <c r="C194" s="93" t="s">
        <v>936</v>
      </c>
      <c r="D194" s="94">
        <v>77617.0153999998</v>
      </c>
      <c r="E194" s="95">
        <v>2.6671952392185549E-3</v>
      </c>
      <c r="F194" s="96">
        <v>0</v>
      </c>
      <c r="G194" s="95">
        <v>0</v>
      </c>
      <c r="H194" s="95" t="s">
        <v>2982</v>
      </c>
      <c r="I194" s="95" t="str">
        <f t="shared" si="8"/>
        <v>NO</v>
      </c>
      <c r="J194" s="97">
        <v>46744.9413999998</v>
      </c>
      <c r="K194" s="98">
        <v>2.6671952392185549E-3</v>
      </c>
      <c r="L194" s="99">
        <v>0</v>
      </c>
      <c r="M194" s="98">
        <v>0</v>
      </c>
      <c r="N194" s="98" t="str">
        <f t="shared" si="6"/>
        <v>NO</v>
      </c>
      <c r="O194" s="97">
        <v>30872.074000000001</v>
      </c>
      <c r="P194" s="100">
        <v>2.6671952392185549E-3</v>
      </c>
      <c r="Q194" s="99">
        <v>0</v>
      </c>
      <c r="R194" s="101">
        <v>0</v>
      </c>
      <c r="S194" t="str">
        <f t="shared" si="7"/>
        <v>NO</v>
      </c>
      <c r="T194" t="str">
        <f>VLOOKUP(Table8[[#This Row],[Census Tract]],'UI EnergyBurden'!$A$2:$B$184,2,FALSE)</f>
        <v>No</v>
      </c>
      <c r="U194">
        <f>VLOOKUP(Table8[[#This Row],[Census Tract]],'Population and Diversity Data'!$B$2:$K$823,10,FALSE)</f>
        <v>5</v>
      </c>
    </row>
    <row r="195" spans="1:21" ht="15.75" thickBot="1" x14ac:dyDescent="0.3">
      <c r="A195" s="175">
        <v>9009140800</v>
      </c>
      <c r="B195" s="200" t="s">
        <v>3005</v>
      </c>
      <c r="C195" s="93" t="s">
        <v>944</v>
      </c>
      <c r="D195" s="94">
        <v>0</v>
      </c>
      <c r="E195" s="95">
        <v>0</v>
      </c>
      <c r="F195" s="96">
        <v>275</v>
      </c>
      <c r="G195" s="95">
        <v>1.6368085048988939E-5</v>
      </c>
      <c r="H195" s="95" t="s">
        <v>2993</v>
      </c>
      <c r="I195" s="95" t="str">
        <f t="shared" si="8"/>
        <v>N/A</v>
      </c>
      <c r="J195" s="97">
        <v>0</v>
      </c>
      <c r="K195" s="98">
        <v>0</v>
      </c>
      <c r="L195" s="99">
        <v>275</v>
      </c>
      <c r="M195" s="98">
        <v>1.6368085048988939E-5</v>
      </c>
      <c r="N195" s="98" t="str">
        <f t="shared" si="6"/>
        <v>N/A</v>
      </c>
      <c r="O195" s="97">
        <v>0</v>
      </c>
      <c r="P195" s="100">
        <v>0</v>
      </c>
      <c r="Q195" s="99">
        <v>0</v>
      </c>
      <c r="R195" s="101">
        <v>1.6368085048988939E-5</v>
      </c>
      <c r="S195" t="str">
        <f t="shared" si="7"/>
        <v>N/A</v>
      </c>
      <c r="T195" t="str">
        <f>VLOOKUP(Table8[[#This Row],[Census Tract]],'UI EnergyBurden'!$A$2:$B$184,2,FALSE)</f>
        <v>No</v>
      </c>
      <c r="U195">
        <f>VLOOKUP(Table8[[#This Row],[Census Tract]],'Population and Diversity Data'!$B$2:$K$823,10,FALSE)</f>
        <v>4</v>
      </c>
    </row>
    <row r="196" spans="1:21" ht="15.75" thickBot="1" x14ac:dyDescent="0.3">
      <c r="A196" s="175">
        <v>9009140800</v>
      </c>
      <c r="B196" s="200" t="s">
        <v>3016</v>
      </c>
      <c r="C196" s="93" t="s">
        <v>944</v>
      </c>
      <c r="D196" s="94">
        <v>0</v>
      </c>
      <c r="E196" s="95">
        <v>0</v>
      </c>
      <c r="F196" s="96">
        <v>110</v>
      </c>
      <c r="G196" s="95">
        <v>6.5472340195955756E-6</v>
      </c>
      <c r="H196" s="95" t="s">
        <v>2993</v>
      </c>
      <c r="I196" s="95" t="str">
        <f t="shared" si="8"/>
        <v>N/A</v>
      </c>
      <c r="J196" s="97">
        <v>0</v>
      </c>
      <c r="K196" s="98">
        <v>0</v>
      </c>
      <c r="L196" s="99">
        <v>110</v>
      </c>
      <c r="M196" s="98">
        <v>6.5472340195955756E-6</v>
      </c>
      <c r="N196" s="98" t="str">
        <f t="shared" si="6"/>
        <v>N/A</v>
      </c>
      <c r="O196" s="97">
        <v>0</v>
      </c>
      <c r="P196" s="100">
        <v>0</v>
      </c>
      <c r="Q196" s="99">
        <v>0</v>
      </c>
      <c r="R196" s="101">
        <v>6.5472340195955756E-6</v>
      </c>
      <c r="S196" t="str">
        <f t="shared" si="7"/>
        <v>N/A</v>
      </c>
      <c r="T196" t="str">
        <f>VLOOKUP(Table8[[#This Row],[Census Tract]],'UI EnergyBurden'!$A$2:$B$184,2,FALSE)</f>
        <v>No</v>
      </c>
      <c r="U196">
        <f>VLOOKUP(Table8[[#This Row],[Census Tract]],'Population and Diversity Data'!$B$2:$K$823,10,FALSE)</f>
        <v>4</v>
      </c>
    </row>
    <row r="197" spans="1:21" ht="15.75" thickBot="1" x14ac:dyDescent="0.3">
      <c r="A197" s="175">
        <v>9009140800</v>
      </c>
      <c r="B197" s="200" t="s">
        <v>2985</v>
      </c>
      <c r="C197" s="93" t="s">
        <v>944</v>
      </c>
      <c r="D197" s="94">
        <v>739.49120000000005</v>
      </c>
      <c r="E197" s="95">
        <v>2.5411533771550063E-5</v>
      </c>
      <c r="F197" s="96">
        <v>860</v>
      </c>
      <c r="G197" s="95">
        <v>5.1187465971383593E-5</v>
      </c>
      <c r="H197" s="95" t="s">
        <v>2993</v>
      </c>
      <c r="I197" s="95" t="str">
        <f t="shared" si="8"/>
        <v>YES</v>
      </c>
      <c r="J197" s="97">
        <v>0</v>
      </c>
      <c r="K197" s="98">
        <v>2.5411533771550063E-5</v>
      </c>
      <c r="L197" s="99">
        <v>860</v>
      </c>
      <c r="M197" s="98">
        <v>5.1187465971383593E-5</v>
      </c>
      <c r="N197" s="98" t="str">
        <f t="shared" si="6"/>
        <v>YES</v>
      </c>
      <c r="O197" s="97">
        <v>739.49120000000005</v>
      </c>
      <c r="P197" s="100">
        <v>2.5411533771550063E-5</v>
      </c>
      <c r="Q197" s="99">
        <v>0</v>
      </c>
      <c r="R197" s="101">
        <v>5.1187465971383593E-5</v>
      </c>
      <c r="S197" t="str">
        <f t="shared" si="7"/>
        <v>YES</v>
      </c>
      <c r="T197" t="str">
        <f>VLOOKUP(Table8[[#This Row],[Census Tract]],'UI EnergyBurden'!$A$2:$B$184,2,FALSE)</f>
        <v>No</v>
      </c>
      <c r="U197">
        <f>VLOOKUP(Table8[[#This Row],[Census Tract]],'Population and Diversity Data'!$B$2:$K$823,10,FALSE)</f>
        <v>4</v>
      </c>
    </row>
    <row r="198" spans="1:21" ht="15.75" thickBot="1" x14ac:dyDescent="0.3">
      <c r="A198" s="175">
        <v>9009140800</v>
      </c>
      <c r="B198" s="200" t="s">
        <v>3017</v>
      </c>
      <c r="C198" s="93" t="s">
        <v>944</v>
      </c>
      <c r="D198" s="94">
        <v>0</v>
      </c>
      <c r="E198" s="95">
        <v>0</v>
      </c>
      <c r="F198" s="96">
        <v>155</v>
      </c>
      <c r="G198" s="95">
        <v>9.2256479367028557E-6</v>
      </c>
      <c r="H198" s="95" t="s">
        <v>2993</v>
      </c>
      <c r="I198" s="95" t="str">
        <f t="shared" si="8"/>
        <v>N/A</v>
      </c>
      <c r="J198" s="97">
        <v>0</v>
      </c>
      <c r="K198" s="98">
        <v>0</v>
      </c>
      <c r="L198" s="99">
        <v>155</v>
      </c>
      <c r="M198" s="98">
        <v>9.2256479367028557E-6</v>
      </c>
      <c r="N198" s="98" t="str">
        <f t="shared" ref="N198:N261" si="9">IF(ROUND(K198,5)&lt;0.00001,"N/A",IF(ROUND(K198,5)&lt;=ROUND(M198,5),"YES","NO"))</f>
        <v>N/A</v>
      </c>
      <c r="O198" s="97">
        <v>0</v>
      </c>
      <c r="P198" s="100">
        <v>0</v>
      </c>
      <c r="Q198" s="99">
        <v>0</v>
      </c>
      <c r="R198" s="101">
        <v>9.2256479367028557E-6</v>
      </c>
      <c r="S198" t="str">
        <f t="shared" ref="S198:S261" si="10">IF(ROUND(P198,5)&lt;0.00001,"N/A",IF(ROUND(P198,5)&lt;=ROUND(R198,5),"YES","NO"))</f>
        <v>N/A</v>
      </c>
      <c r="T198" t="str">
        <f>VLOOKUP(Table8[[#This Row],[Census Tract]],'UI EnergyBurden'!$A$2:$B$184,2,FALSE)</f>
        <v>No</v>
      </c>
      <c r="U198">
        <f>VLOOKUP(Table8[[#This Row],[Census Tract]],'Population and Diversity Data'!$B$2:$K$823,10,FALSE)</f>
        <v>4</v>
      </c>
    </row>
    <row r="199" spans="1:21" ht="15.75" thickBot="1" x14ac:dyDescent="0.3">
      <c r="A199" s="175">
        <v>9009140800</v>
      </c>
      <c r="B199" s="200" t="s">
        <v>3018</v>
      </c>
      <c r="C199" s="93" t="s">
        <v>944</v>
      </c>
      <c r="D199" s="94">
        <v>0</v>
      </c>
      <c r="E199" s="95">
        <v>0</v>
      </c>
      <c r="F199" s="96">
        <v>95</v>
      </c>
      <c r="G199" s="95">
        <v>5.654429380559815E-6</v>
      </c>
      <c r="H199" s="95" t="s">
        <v>2993</v>
      </c>
      <c r="I199" s="95" t="str">
        <f t="shared" si="8"/>
        <v>N/A</v>
      </c>
      <c r="J199" s="97">
        <v>0</v>
      </c>
      <c r="K199" s="98">
        <v>0</v>
      </c>
      <c r="L199" s="99">
        <v>95</v>
      </c>
      <c r="M199" s="98">
        <v>5.654429380559815E-6</v>
      </c>
      <c r="N199" s="98" t="str">
        <f t="shared" si="9"/>
        <v>N/A</v>
      </c>
      <c r="O199" s="97">
        <v>0</v>
      </c>
      <c r="P199" s="100">
        <v>0</v>
      </c>
      <c r="Q199" s="99">
        <v>0</v>
      </c>
      <c r="R199" s="101">
        <v>5.654429380559815E-6</v>
      </c>
      <c r="S199" t="str">
        <f t="shared" si="10"/>
        <v>N/A</v>
      </c>
      <c r="T199" t="str">
        <f>VLOOKUP(Table8[[#This Row],[Census Tract]],'UI EnergyBurden'!$A$2:$B$184,2,FALSE)</f>
        <v>No</v>
      </c>
      <c r="U199">
        <f>VLOOKUP(Table8[[#This Row],[Census Tract]],'Population and Diversity Data'!$B$2:$K$823,10,FALSE)</f>
        <v>4</v>
      </c>
    </row>
    <row r="200" spans="1:21" ht="15.75" thickBot="1" x14ac:dyDescent="0.3">
      <c r="A200" s="175">
        <v>9009140800</v>
      </c>
      <c r="B200" s="200" t="s">
        <v>3015</v>
      </c>
      <c r="C200" s="93" t="s">
        <v>944</v>
      </c>
      <c r="D200" s="94">
        <v>0</v>
      </c>
      <c r="E200" s="95">
        <v>0</v>
      </c>
      <c r="F200" s="96">
        <v>5663.71</v>
      </c>
      <c r="G200" s="95">
        <v>3.3710577081021506E-4</v>
      </c>
      <c r="H200" s="95" t="s">
        <v>2993</v>
      </c>
      <c r="I200" s="95" t="str">
        <f t="shared" ref="I200:I263" si="11">IF(ROUND(E200,5)&lt;0.00001,"N/A",IF(ROUND(E200,5)&lt;=ROUND(G200,5),"YES","NO"))</f>
        <v>N/A</v>
      </c>
      <c r="J200" s="97">
        <v>0</v>
      </c>
      <c r="K200" s="98">
        <v>0</v>
      </c>
      <c r="L200" s="99">
        <v>3852.71</v>
      </c>
      <c r="M200" s="98">
        <v>3.3710577081021506E-4</v>
      </c>
      <c r="N200" s="98" t="str">
        <f t="shared" si="9"/>
        <v>N/A</v>
      </c>
      <c r="O200" s="97">
        <v>0</v>
      </c>
      <c r="P200" s="100">
        <v>0</v>
      </c>
      <c r="Q200" s="99">
        <v>1811</v>
      </c>
      <c r="R200" s="101">
        <v>3.3710577081021506E-4</v>
      </c>
      <c r="S200" t="str">
        <f t="shared" si="10"/>
        <v>N/A</v>
      </c>
      <c r="T200" t="str">
        <f>VLOOKUP(Table8[[#This Row],[Census Tract]],'UI EnergyBurden'!$A$2:$B$184,2,FALSE)</f>
        <v>No</v>
      </c>
      <c r="U200">
        <f>VLOOKUP(Table8[[#This Row],[Census Tract]],'Population and Diversity Data'!$B$2:$K$823,10,FALSE)</f>
        <v>4</v>
      </c>
    </row>
    <row r="201" spans="1:21" ht="15.75" thickBot="1" x14ac:dyDescent="0.3">
      <c r="A201" s="175">
        <v>9009140800</v>
      </c>
      <c r="B201" s="200" t="s">
        <v>943</v>
      </c>
      <c r="C201" s="93" t="s">
        <v>936</v>
      </c>
      <c r="D201" s="94">
        <v>79702.388000000006</v>
      </c>
      <c r="E201" s="95">
        <v>2.7388560192943292E-3</v>
      </c>
      <c r="F201" s="96">
        <v>0</v>
      </c>
      <c r="G201" s="95">
        <v>0</v>
      </c>
      <c r="H201" s="95" t="s">
        <v>2982</v>
      </c>
      <c r="I201" s="95" t="str">
        <f t="shared" si="11"/>
        <v>NO</v>
      </c>
      <c r="J201" s="97">
        <v>50564.050300000003</v>
      </c>
      <c r="K201" s="98">
        <v>2.7388560192943292E-3</v>
      </c>
      <c r="L201" s="99">
        <v>0</v>
      </c>
      <c r="M201" s="98">
        <v>0</v>
      </c>
      <c r="N201" s="98" t="str">
        <f t="shared" si="9"/>
        <v>NO</v>
      </c>
      <c r="O201" s="97">
        <v>29138.3377</v>
      </c>
      <c r="P201" s="100">
        <v>2.7388560192943292E-3</v>
      </c>
      <c r="Q201" s="99">
        <v>0</v>
      </c>
      <c r="R201" s="101">
        <v>0</v>
      </c>
      <c r="S201" t="str">
        <f t="shared" si="10"/>
        <v>NO</v>
      </c>
      <c r="T201" t="str">
        <f>VLOOKUP(Table8[[#This Row],[Census Tract]],'UI EnergyBurden'!$A$2:$B$184,2,FALSE)</f>
        <v>No</v>
      </c>
      <c r="U201">
        <f>VLOOKUP(Table8[[#This Row],[Census Tract]],'Population and Diversity Data'!$B$2:$K$823,10,FALSE)</f>
        <v>4</v>
      </c>
    </row>
    <row r="202" spans="1:21" ht="15.75" thickBot="1" x14ac:dyDescent="0.3">
      <c r="A202" s="175">
        <v>9009140800</v>
      </c>
      <c r="B202" s="200" t="s">
        <v>3019</v>
      </c>
      <c r="C202" s="93" t="s">
        <v>944</v>
      </c>
      <c r="D202" s="94">
        <v>0</v>
      </c>
      <c r="E202" s="95">
        <v>0</v>
      </c>
      <c r="F202" s="96">
        <v>25</v>
      </c>
      <c r="G202" s="95">
        <v>1.4880077317262672E-6</v>
      </c>
      <c r="H202" s="95" t="s">
        <v>2993</v>
      </c>
      <c r="I202" s="95" t="str">
        <f t="shared" si="11"/>
        <v>N/A</v>
      </c>
      <c r="J202" s="97">
        <v>0</v>
      </c>
      <c r="K202" s="98">
        <v>0</v>
      </c>
      <c r="L202" s="99">
        <v>25</v>
      </c>
      <c r="M202" s="98">
        <v>1.4880077317262672E-6</v>
      </c>
      <c r="N202" s="98" t="str">
        <f t="shared" si="9"/>
        <v>N/A</v>
      </c>
      <c r="O202" s="97">
        <v>0</v>
      </c>
      <c r="P202" s="100">
        <v>0</v>
      </c>
      <c r="Q202" s="99">
        <v>0</v>
      </c>
      <c r="R202" s="101">
        <v>1.4880077317262672E-6</v>
      </c>
      <c r="S202" t="str">
        <f t="shared" si="10"/>
        <v>N/A</v>
      </c>
      <c r="T202" t="str">
        <f>VLOOKUP(Table8[[#This Row],[Census Tract]],'UI EnergyBurden'!$A$2:$B$184,2,FALSE)</f>
        <v>No</v>
      </c>
      <c r="U202">
        <f>VLOOKUP(Table8[[#This Row],[Census Tract]],'Population and Diversity Data'!$B$2:$K$823,10,FALSE)</f>
        <v>4</v>
      </c>
    </row>
    <row r="203" spans="1:21" ht="15.75" thickBot="1" x14ac:dyDescent="0.3">
      <c r="A203" s="175">
        <v>9009140800</v>
      </c>
      <c r="B203" s="200" t="s">
        <v>3020</v>
      </c>
      <c r="C203" s="93" t="s">
        <v>944</v>
      </c>
      <c r="D203" s="94">
        <v>0</v>
      </c>
      <c r="E203" s="95">
        <v>0</v>
      </c>
      <c r="F203" s="96">
        <v>275</v>
      </c>
      <c r="G203" s="95">
        <v>1.6368085048988939E-5</v>
      </c>
      <c r="H203" s="95" t="s">
        <v>2993</v>
      </c>
      <c r="I203" s="95" t="str">
        <f t="shared" si="11"/>
        <v>N/A</v>
      </c>
      <c r="J203" s="97">
        <v>0</v>
      </c>
      <c r="K203" s="98">
        <v>0</v>
      </c>
      <c r="L203" s="99">
        <v>275</v>
      </c>
      <c r="M203" s="98">
        <v>1.6368085048988939E-5</v>
      </c>
      <c r="N203" s="98" t="str">
        <f t="shared" si="9"/>
        <v>N/A</v>
      </c>
      <c r="O203" s="97">
        <v>0</v>
      </c>
      <c r="P203" s="100">
        <v>0</v>
      </c>
      <c r="Q203" s="99">
        <v>0</v>
      </c>
      <c r="R203" s="101">
        <v>1.6368085048988939E-5</v>
      </c>
      <c r="S203" t="str">
        <f t="shared" si="10"/>
        <v>N/A</v>
      </c>
      <c r="T203" t="str">
        <f>VLOOKUP(Table8[[#This Row],[Census Tract]],'UI EnergyBurden'!$A$2:$B$184,2,FALSE)</f>
        <v>No</v>
      </c>
      <c r="U203">
        <f>VLOOKUP(Table8[[#This Row],[Census Tract]],'Population and Diversity Data'!$B$2:$K$823,10,FALSE)</f>
        <v>4</v>
      </c>
    </row>
    <row r="204" spans="1:21" ht="15.75" thickBot="1" x14ac:dyDescent="0.3">
      <c r="A204" s="175">
        <v>9009140800</v>
      </c>
      <c r="B204" s="200" t="s">
        <v>3021</v>
      </c>
      <c r="C204" s="93" t="s">
        <v>944</v>
      </c>
      <c r="D204" s="94">
        <v>0</v>
      </c>
      <c r="E204" s="95">
        <v>0</v>
      </c>
      <c r="F204" s="96">
        <v>595</v>
      </c>
      <c r="G204" s="95">
        <v>3.5414584015085156E-5</v>
      </c>
      <c r="H204" s="95" t="s">
        <v>2993</v>
      </c>
      <c r="I204" s="95" t="str">
        <f t="shared" si="11"/>
        <v>N/A</v>
      </c>
      <c r="J204" s="97">
        <v>0</v>
      </c>
      <c r="K204" s="98">
        <v>0</v>
      </c>
      <c r="L204" s="99">
        <v>595</v>
      </c>
      <c r="M204" s="98">
        <v>3.5414584015085156E-5</v>
      </c>
      <c r="N204" s="98" t="str">
        <f t="shared" si="9"/>
        <v>N/A</v>
      </c>
      <c r="O204" s="97">
        <v>0</v>
      </c>
      <c r="P204" s="100">
        <v>0</v>
      </c>
      <c r="Q204" s="99">
        <v>0</v>
      </c>
      <c r="R204" s="101">
        <v>3.5414584015085156E-5</v>
      </c>
      <c r="S204" t="str">
        <f t="shared" si="10"/>
        <v>N/A</v>
      </c>
      <c r="T204" t="str">
        <f>VLOOKUP(Table8[[#This Row],[Census Tract]],'UI EnergyBurden'!$A$2:$B$184,2,FALSE)</f>
        <v>No</v>
      </c>
      <c r="U204">
        <f>VLOOKUP(Table8[[#This Row],[Census Tract]],'Population and Diversity Data'!$B$2:$K$823,10,FALSE)</f>
        <v>4</v>
      </c>
    </row>
    <row r="205" spans="1:21" ht="15.75" thickBot="1" x14ac:dyDescent="0.3">
      <c r="A205" s="175">
        <v>9009140800</v>
      </c>
      <c r="B205" s="200" t="s">
        <v>3022</v>
      </c>
      <c r="C205" s="93" t="s">
        <v>944</v>
      </c>
      <c r="D205" s="94">
        <v>0</v>
      </c>
      <c r="E205" s="95">
        <v>0</v>
      </c>
      <c r="F205" s="96">
        <v>25</v>
      </c>
      <c r="G205" s="95">
        <v>1.4880077317262672E-6</v>
      </c>
      <c r="H205" s="95" t="s">
        <v>2993</v>
      </c>
      <c r="I205" s="95" t="str">
        <f t="shared" si="11"/>
        <v>N/A</v>
      </c>
      <c r="J205" s="97">
        <v>0</v>
      </c>
      <c r="K205" s="98">
        <v>0</v>
      </c>
      <c r="L205" s="99">
        <v>25</v>
      </c>
      <c r="M205" s="98">
        <v>1.4880077317262672E-6</v>
      </c>
      <c r="N205" s="98" t="str">
        <f t="shared" si="9"/>
        <v>N/A</v>
      </c>
      <c r="O205" s="97">
        <v>0</v>
      </c>
      <c r="P205" s="100">
        <v>0</v>
      </c>
      <c r="Q205" s="99">
        <v>0</v>
      </c>
      <c r="R205" s="101">
        <v>1.4880077317262672E-6</v>
      </c>
      <c r="S205" t="str">
        <f t="shared" si="10"/>
        <v>N/A</v>
      </c>
      <c r="T205" t="str">
        <f>VLOOKUP(Table8[[#This Row],[Census Tract]],'UI EnergyBurden'!$A$2:$B$184,2,FALSE)</f>
        <v>No</v>
      </c>
      <c r="U205">
        <f>VLOOKUP(Table8[[#This Row],[Census Tract]],'Population and Diversity Data'!$B$2:$K$823,10,FALSE)</f>
        <v>4</v>
      </c>
    </row>
    <row r="206" spans="1:21" ht="15.75" thickBot="1" x14ac:dyDescent="0.3">
      <c r="A206" s="175">
        <v>9009140800</v>
      </c>
      <c r="B206" s="200" t="s">
        <v>3006</v>
      </c>
      <c r="C206" s="93" t="s">
        <v>944</v>
      </c>
      <c r="D206" s="94">
        <v>0</v>
      </c>
      <c r="E206" s="95">
        <v>0</v>
      </c>
      <c r="F206" s="96">
        <v>320</v>
      </c>
      <c r="G206" s="95">
        <v>1.9046498966096221E-5</v>
      </c>
      <c r="H206" s="95" t="s">
        <v>2993</v>
      </c>
      <c r="I206" s="95" t="str">
        <f t="shared" si="11"/>
        <v>N/A</v>
      </c>
      <c r="J206" s="97">
        <v>0</v>
      </c>
      <c r="K206" s="98">
        <v>0</v>
      </c>
      <c r="L206" s="99">
        <v>320</v>
      </c>
      <c r="M206" s="98">
        <v>1.9046498966096221E-5</v>
      </c>
      <c r="N206" s="98" t="str">
        <f t="shared" si="9"/>
        <v>N/A</v>
      </c>
      <c r="O206" s="97">
        <v>0</v>
      </c>
      <c r="P206" s="100">
        <v>0</v>
      </c>
      <c r="Q206" s="99">
        <v>0</v>
      </c>
      <c r="R206" s="101">
        <v>1.9046498966096221E-5</v>
      </c>
      <c r="S206" t="str">
        <f t="shared" si="10"/>
        <v>N/A</v>
      </c>
      <c r="T206" t="str">
        <f>VLOOKUP(Table8[[#This Row],[Census Tract]],'UI EnergyBurden'!$A$2:$B$184,2,FALSE)</f>
        <v>No</v>
      </c>
      <c r="U206">
        <f>VLOOKUP(Table8[[#This Row],[Census Tract]],'Population and Diversity Data'!$B$2:$K$823,10,FALSE)</f>
        <v>4</v>
      </c>
    </row>
    <row r="207" spans="1:21" ht="15.75" thickBot="1" x14ac:dyDescent="0.3">
      <c r="A207" s="175">
        <v>9009140800</v>
      </c>
      <c r="B207" s="200" t="s">
        <v>3023</v>
      </c>
      <c r="C207" s="93" t="s">
        <v>944</v>
      </c>
      <c r="D207" s="94">
        <v>0</v>
      </c>
      <c r="E207" s="95">
        <v>0</v>
      </c>
      <c r="F207" s="96">
        <v>350</v>
      </c>
      <c r="G207" s="95">
        <v>2.0832108244167739E-5</v>
      </c>
      <c r="H207" s="95" t="s">
        <v>2993</v>
      </c>
      <c r="I207" s="95" t="str">
        <f t="shared" si="11"/>
        <v>N/A</v>
      </c>
      <c r="J207" s="97">
        <v>0</v>
      </c>
      <c r="K207" s="98">
        <v>0</v>
      </c>
      <c r="L207" s="99">
        <v>350</v>
      </c>
      <c r="M207" s="98">
        <v>2.0832108244167739E-5</v>
      </c>
      <c r="N207" s="98" t="str">
        <f t="shared" si="9"/>
        <v>N/A</v>
      </c>
      <c r="O207" s="97">
        <v>0</v>
      </c>
      <c r="P207" s="100">
        <v>0</v>
      </c>
      <c r="Q207" s="99">
        <v>0</v>
      </c>
      <c r="R207" s="101">
        <v>2.0832108244167739E-5</v>
      </c>
      <c r="S207" t="str">
        <f t="shared" si="10"/>
        <v>N/A</v>
      </c>
      <c r="T207" t="str">
        <f>VLOOKUP(Table8[[#This Row],[Census Tract]],'UI EnergyBurden'!$A$2:$B$184,2,FALSE)</f>
        <v>No</v>
      </c>
      <c r="U207">
        <f>VLOOKUP(Table8[[#This Row],[Census Tract]],'Population and Diversity Data'!$B$2:$K$823,10,FALSE)</f>
        <v>4</v>
      </c>
    </row>
    <row r="208" spans="1:21" ht="15.75" thickBot="1" x14ac:dyDescent="0.3">
      <c r="A208" s="175">
        <v>9009140800</v>
      </c>
      <c r="B208" s="200" t="s">
        <v>950</v>
      </c>
      <c r="C208" s="93" t="s">
        <v>936</v>
      </c>
      <c r="D208" s="94">
        <v>43.247199999999999</v>
      </c>
      <c r="E208" s="95">
        <v>1.4861267900483195E-6</v>
      </c>
      <c r="F208" s="96">
        <v>0</v>
      </c>
      <c r="G208" s="95">
        <v>0</v>
      </c>
      <c r="H208" s="95" t="s">
        <v>2982</v>
      </c>
      <c r="I208" s="95" t="str">
        <f t="shared" si="11"/>
        <v>N/A</v>
      </c>
      <c r="J208" s="97">
        <v>43.247199999999999</v>
      </c>
      <c r="K208" s="98">
        <v>1.4861267900483195E-6</v>
      </c>
      <c r="L208" s="99">
        <v>0</v>
      </c>
      <c r="M208" s="98">
        <v>0</v>
      </c>
      <c r="N208" s="98" t="str">
        <f t="shared" si="9"/>
        <v>N/A</v>
      </c>
      <c r="O208" s="97">
        <v>0</v>
      </c>
      <c r="P208" s="100">
        <v>1.4861267900483195E-6</v>
      </c>
      <c r="Q208" s="99">
        <v>0</v>
      </c>
      <c r="R208" s="101">
        <v>0</v>
      </c>
      <c r="S208" t="str">
        <f t="shared" si="10"/>
        <v>N/A</v>
      </c>
      <c r="T208" t="str">
        <f>VLOOKUP(Table8[[#This Row],[Census Tract]],'UI EnergyBurden'!$A$2:$B$184,2,FALSE)</f>
        <v>No</v>
      </c>
      <c r="U208">
        <f>VLOOKUP(Table8[[#This Row],[Census Tract]],'Population and Diversity Data'!$B$2:$K$823,10,FALSE)</f>
        <v>4</v>
      </c>
    </row>
    <row r="209" spans="1:21" ht="15.75" thickBot="1" x14ac:dyDescent="0.3">
      <c r="A209" s="175">
        <v>9009140900</v>
      </c>
      <c r="B209" s="200" t="s">
        <v>3017</v>
      </c>
      <c r="C209" s="93" t="s">
        <v>944</v>
      </c>
      <c r="D209" s="94">
        <v>0</v>
      </c>
      <c r="E209" s="95">
        <v>0</v>
      </c>
      <c r="F209" s="96">
        <v>97.04</v>
      </c>
      <c r="G209" s="95">
        <v>5.775850811468679E-6</v>
      </c>
      <c r="H209" s="95" t="s">
        <v>2993</v>
      </c>
      <c r="I209" s="95" t="str">
        <f t="shared" si="11"/>
        <v>N/A</v>
      </c>
      <c r="J209" s="97">
        <v>0</v>
      </c>
      <c r="K209" s="98">
        <v>0</v>
      </c>
      <c r="L209" s="99">
        <v>97.04</v>
      </c>
      <c r="M209" s="98">
        <v>5.775850811468679E-6</v>
      </c>
      <c r="N209" s="98" t="str">
        <f t="shared" si="9"/>
        <v>N/A</v>
      </c>
      <c r="O209" s="97">
        <v>0</v>
      </c>
      <c r="P209" s="100">
        <v>0</v>
      </c>
      <c r="Q209" s="99">
        <v>0</v>
      </c>
      <c r="R209" s="101">
        <v>5.775850811468679E-6</v>
      </c>
      <c r="S209" t="str">
        <f t="shared" si="10"/>
        <v>N/A</v>
      </c>
      <c r="T209" t="str">
        <f>VLOOKUP(Table8[[#This Row],[Census Tract]],'UI EnergyBurden'!$A$2:$B$184,2,FALSE)</f>
        <v>No</v>
      </c>
      <c r="U209">
        <f>VLOOKUP(Table8[[#This Row],[Census Tract]],'Population and Diversity Data'!$B$2:$K$823,10,FALSE)</f>
        <v>3</v>
      </c>
    </row>
    <row r="210" spans="1:21" ht="15.75" thickBot="1" x14ac:dyDescent="0.3">
      <c r="A210" s="175">
        <v>9009140900</v>
      </c>
      <c r="B210" s="200" t="s">
        <v>3015</v>
      </c>
      <c r="C210" s="93" t="s">
        <v>944</v>
      </c>
      <c r="D210" s="94">
        <v>0</v>
      </c>
      <c r="E210" s="95">
        <v>0</v>
      </c>
      <c r="F210" s="96">
        <v>11883.67</v>
      </c>
      <c r="G210" s="95">
        <v>7.0731971365133961E-4</v>
      </c>
      <c r="H210" s="95" t="s">
        <v>2993</v>
      </c>
      <c r="I210" s="95" t="str">
        <f t="shared" si="11"/>
        <v>N/A</v>
      </c>
      <c r="J210" s="97">
        <v>0</v>
      </c>
      <c r="K210" s="98">
        <v>0</v>
      </c>
      <c r="L210" s="99">
        <v>5327.67</v>
      </c>
      <c r="M210" s="98">
        <v>7.0731971365133961E-4</v>
      </c>
      <c r="N210" s="98" t="str">
        <f t="shared" si="9"/>
        <v>N/A</v>
      </c>
      <c r="O210" s="97">
        <v>0</v>
      </c>
      <c r="P210" s="100">
        <v>0</v>
      </c>
      <c r="Q210" s="99">
        <v>6556</v>
      </c>
      <c r="R210" s="101">
        <v>7.0731971365133961E-4</v>
      </c>
      <c r="S210" t="str">
        <f t="shared" si="10"/>
        <v>N/A</v>
      </c>
      <c r="T210" t="str">
        <f>VLOOKUP(Table8[[#This Row],[Census Tract]],'UI EnergyBurden'!$A$2:$B$184,2,FALSE)</f>
        <v>No</v>
      </c>
      <c r="U210">
        <f>VLOOKUP(Table8[[#This Row],[Census Tract]],'Population and Diversity Data'!$B$2:$K$823,10,FALSE)</f>
        <v>3</v>
      </c>
    </row>
    <row r="211" spans="1:21" ht="15.75" thickBot="1" x14ac:dyDescent="0.3">
      <c r="A211" s="175">
        <v>9009140900</v>
      </c>
      <c r="B211" s="200" t="s">
        <v>943</v>
      </c>
      <c r="C211" s="93" t="s">
        <v>936</v>
      </c>
      <c r="D211" s="94">
        <v>67556.210999999894</v>
      </c>
      <c r="E211" s="95">
        <v>2.3214704073617901E-3</v>
      </c>
      <c r="F211" s="96">
        <v>0</v>
      </c>
      <c r="G211" s="95">
        <v>0</v>
      </c>
      <c r="H211" s="95" t="s">
        <v>2982</v>
      </c>
      <c r="I211" s="95" t="str">
        <f t="shared" si="11"/>
        <v>NO</v>
      </c>
      <c r="J211" s="97">
        <v>55064.527799999902</v>
      </c>
      <c r="K211" s="98">
        <v>2.3214704073617901E-3</v>
      </c>
      <c r="L211" s="99">
        <v>0</v>
      </c>
      <c r="M211" s="98">
        <v>0</v>
      </c>
      <c r="N211" s="98" t="str">
        <f t="shared" si="9"/>
        <v>NO</v>
      </c>
      <c r="O211" s="97">
        <v>12491.683199999999</v>
      </c>
      <c r="P211" s="100">
        <v>2.3214704073617901E-3</v>
      </c>
      <c r="Q211" s="99">
        <v>0</v>
      </c>
      <c r="R211" s="101">
        <v>0</v>
      </c>
      <c r="S211" t="str">
        <f t="shared" si="10"/>
        <v>NO</v>
      </c>
      <c r="T211" t="str">
        <f>VLOOKUP(Table8[[#This Row],[Census Tract]],'UI EnergyBurden'!$A$2:$B$184,2,FALSE)</f>
        <v>No</v>
      </c>
      <c r="U211">
        <f>VLOOKUP(Table8[[#This Row],[Census Tract]],'Population and Diversity Data'!$B$2:$K$823,10,FALSE)</f>
        <v>3</v>
      </c>
    </row>
    <row r="212" spans="1:21" ht="15.75" thickBot="1" x14ac:dyDescent="0.3">
      <c r="A212" s="175">
        <v>9009141000</v>
      </c>
      <c r="B212" s="200" t="s">
        <v>943</v>
      </c>
      <c r="C212" s="93" t="s">
        <v>944</v>
      </c>
      <c r="D212" s="94">
        <v>65807.797799999898</v>
      </c>
      <c r="E212" s="95">
        <v>2.2613887443502169E-3</v>
      </c>
      <c r="F212" s="96">
        <v>10094.89</v>
      </c>
      <c r="G212" s="95">
        <v>6.0085097483704702E-4</v>
      </c>
      <c r="H212" s="95" t="s">
        <v>2986</v>
      </c>
      <c r="I212" s="95" t="str">
        <f t="shared" si="11"/>
        <v>NO</v>
      </c>
      <c r="J212" s="97">
        <v>59341.469599999902</v>
      </c>
      <c r="K212" s="98">
        <v>2.2613887443502169E-3</v>
      </c>
      <c r="L212" s="99">
        <v>8974.89</v>
      </c>
      <c r="M212" s="98">
        <v>6.0085097483704702E-4</v>
      </c>
      <c r="N212" s="98" t="str">
        <f t="shared" si="9"/>
        <v>NO</v>
      </c>
      <c r="O212" s="97">
        <v>6466.3281999999999</v>
      </c>
      <c r="P212" s="100">
        <v>2.2613887443502169E-3</v>
      </c>
      <c r="Q212" s="99">
        <v>1120</v>
      </c>
      <c r="R212" s="101">
        <v>6.0085097483704702E-4</v>
      </c>
      <c r="S212" t="str">
        <f t="shared" si="10"/>
        <v>NO</v>
      </c>
      <c r="T212" t="str">
        <f>VLOOKUP(Table8[[#This Row],[Census Tract]],'UI EnergyBurden'!$A$2:$B$184,2,FALSE)</f>
        <v>No</v>
      </c>
      <c r="U212">
        <f>VLOOKUP(Table8[[#This Row],[Census Tract]],'Population and Diversity Data'!$B$2:$K$823,10,FALSE)</f>
        <v>4</v>
      </c>
    </row>
    <row r="213" spans="1:21" ht="15.75" thickBot="1" x14ac:dyDescent="0.3">
      <c r="A213" s="175">
        <v>9009141100</v>
      </c>
      <c r="B213" s="200" t="s">
        <v>943</v>
      </c>
      <c r="C213" s="93" t="s">
        <v>944</v>
      </c>
      <c r="D213" s="94">
        <v>51563.689100000003</v>
      </c>
      <c r="E213" s="95">
        <v>1.7719107772348852E-3</v>
      </c>
      <c r="F213" s="96">
        <v>26111.11</v>
      </c>
      <c r="G213" s="95">
        <v>1.5541413425582021E-3</v>
      </c>
      <c r="H213" s="95" t="s">
        <v>2993</v>
      </c>
      <c r="I213" s="95" t="str">
        <f t="shared" si="11"/>
        <v>NO</v>
      </c>
      <c r="J213" s="97">
        <v>50898.5147</v>
      </c>
      <c r="K213" s="98">
        <v>1.7719107772348852E-3</v>
      </c>
      <c r="L213" s="99">
        <v>26111.11</v>
      </c>
      <c r="M213" s="98">
        <v>1.5541413425582021E-3</v>
      </c>
      <c r="N213" s="98" t="str">
        <f t="shared" si="9"/>
        <v>NO</v>
      </c>
      <c r="O213" s="97">
        <v>665.17439999999999</v>
      </c>
      <c r="P213" s="100">
        <v>1.7719107772348852E-3</v>
      </c>
      <c r="Q213" s="99">
        <v>0</v>
      </c>
      <c r="R213" s="101">
        <v>1.5541413425582021E-3</v>
      </c>
      <c r="S213" t="str">
        <f t="shared" si="10"/>
        <v>NO</v>
      </c>
      <c r="T213" t="str">
        <f>VLOOKUP(Table8[[#This Row],[Census Tract]],'UI EnergyBurden'!$A$2:$B$184,2,FALSE)</f>
        <v>No</v>
      </c>
      <c r="U213">
        <f>VLOOKUP(Table8[[#This Row],[Census Tract]],'Population and Diversity Data'!$B$2:$K$823,10,FALSE)</f>
        <v>4</v>
      </c>
    </row>
    <row r="214" spans="1:21" ht="15.75" thickBot="1" x14ac:dyDescent="0.3">
      <c r="A214" s="175">
        <v>9009141100</v>
      </c>
      <c r="B214" s="200" t="s">
        <v>950</v>
      </c>
      <c r="C214" s="93" t="s">
        <v>944</v>
      </c>
      <c r="D214" s="94">
        <v>27.741399999999999</v>
      </c>
      <c r="E214" s="95">
        <v>9.5329264630881185E-7</v>
      </c>
      <c r="F214" s="96">
        <v>0</v>
      </c>
      <c r="G214" s="95">
        <v>0</v>
      </c>
      <c r="H214" s="95" t="s">
        <v>2982</v>
      </c>
      <c r="I214" s="95" t="str">
        <f t="shared" si="11"/>
        <v>N/A</v>
      </c>
      <c r="J214" s="97">
        <v>0</v>
      </c>
      <c r="K214" s="98">
        <v>9.5329264630881185E-7</v>
      </c>
      <c r="L214" s="99">
        <v>0</v>
      </c>
      <c r="M214" s="98">
        <v>0</v>
      </c>
      <c r="N214" s="98" t="str">
        <f t="shared" si="9"/>
        <v>N/A</v>
      </c>
      <c r="O214" s="97">
        <v>27.741399999999999</v>
      </c>
      <c r="P214" s="100">
        <v>9.5329264630881185E-7</v>
      </c>
      <c r="Q214" s="99">
        <v>0</v>
      </c>
      <c r="R214" s="101">
        <v>0</v>
      </c>
      <c r="S214" t="str">
        <f t="shared" si="10"/>
        <v>N/A</v>
      </c>
      <c r="T214" t="str">
        <f>VLOOKUP(Table8[[#This Row],[Census Tract]],'UI EnergyBurden'!$A$2:$B$184,2,FALSE)</f>
        <v>No</v>
      </c>
      <c r="U214">
        <f>VLOOKUP(Table8[[#This Row],[Census Tract]],'Population and Diversity Data'!$B$2:$K$823,10,FALSE)</f>
        <v>4</v>
      </c>
    </row>
    <row r="215" spans="1:21" ht="15.75" thickBot="1" x14ac:dyDescent="0.3">
      <c r="A215" s="175">
        <v>9009141200</v>
      </c>
      <c r="B215" s="200" t="s">
        <v>943</v>
      </c>
      <c r="C215" s="93" t="s">
        <v>944</v>
      </c>
      <c r="D215" s="94">
        <v>111323.1893999999</v>
      </c>
      <c r="E215" s="95">
        <v>3.8254586220833478E-3</v>
      </c>
      <c r="F215" s="96">
        <v>28964.71</v>
      </c>
      <c r="G215" s="95">
        <v>1.7239884970883651E-3</v>
      </c>
      <c r="H215" s="95" t="s">
        <v>2986</v>
      </c>
      <c r="I215" s="95" t="str">
        <f t="shared" si="11"/>
        <v>NO</v>
      </c>
      <c r="J215" s="97">
        <v>62230.979699999902</v>
      </c>
      <c r="K215" s="98">
        <v>3.8254586220833478E-3</v>
      </c>
      <c r="L215" s="99">
        <v>18001.45</v>
      </c>
      <c r="M215" s="98">
        <v>1.7239884970883651E-3</v>
      </c>
      <c r="N215" s="98" t="str">
        <f t="shared" si="9"/>
        <v>NO</v>
      </c>
      <c r="O215" s="97">
        <v>49092.209699999999</v>
      </c>
      <c r="P215" s="100">
        <v>3.8254586220833478E-3</v>
      </c>
      <c r="Q215" s="99">
        <v>10963.26</v>
      </c>
      <c r="R215" s="101">
        <v>1.7239884970883651E-3</v>
      </c>
      <c r="S215" t="str">
        <f t="shared" si="10"/>
        <v>NO</v>
      </c>
      <c r="T215" t="str">
        <f>VLOOKUP(Table8[[#This Row],[Census Tract]],'UI EnergyBurden'!$A$2:$B$184,2,FALSE)</f>
        <v>No</v>
      </c>
      <c r="U215">
        <f>VLOOKUP(Table8[[#This Row],[Census Tract]],'Population and Diversity Data'!$B$2:$K$823,10,FALSE)</f>
        <v>5</v>
      </c>
    </row>
    <row r="216" spans="1:21" ht="15.75" thickBot="1" x14ac:dyDescent="0.3">
      <c r="A216" s="175">
        <v>9009141200</v>
      </c>
      <c r="B216" s="200" t="s">
        <v>3014</v>
      </c>
      <c r="C216" s="93" t="s">
        <v>944</v>
      </c>
      <c r="D216" s="94">
        <v>710.14639999999997</v>
      </c>
      <c r="E216" s="95">
        <v>2.4403142628803018E-5</v>
      </c>
      <c r="F216" s="96">
        <v>0</v>
      </c>
      <c r="G216" s="95">
        <v>0</v>
      </c>
      <c r="H216" s="95" t="s">
        <v>2982</v>
      </c>
      <c r="I216" s="95" t="str">
        <f t="shared" si="11"/>
        <v>NO</v>
      </c>
      <c r="J216" s="97">
        <v>0</v>
      </c>
      <c r="K216" s="98">
        <v>2.4403142628803018E-5</v>
      </c>
      <c r="L216" s="99">
        <v>0</v>
      </c>
      <c r="M216" s="98">
        <v>0</v>
      </c>
      <c r="N216" s="98" t="str">
        <f t="shared" si="9"/>
        <v>NO</v>
      </c>
      <c r="O216" s="97">
        <v>710.14639999999997</v>
      </c>
      <c r="P216" s="100">
        <v>2.4403142628803018E-5</v>
      </c>
      <c r="Q216" s="99">
        <v>0</v>
      </c>
      <c r="R216" s="101">
        <v>0</v>
      </c>
      <c r="S216" t="str">
        <f t="shared" si="10"/>
        <v>NO</v>
      </c>
      <c r="T216" t="str">
        <f>VLOOKUP(Table8[[#This Row],[Census Tract]],'UI EnergyBurden'!$A$2:$B$184,2,FALSE)</f>
        <v>No</v>
      </c>
      <c r="U216">
        <f>VLOOKUP(Table8[[#This Row],[Census Tract]],'Population and Diversity Data'!$B$2:$K$823,10,FALSE)</f>
        <v>5</v>
      </c>
    </row>
    <row r="217" spans="1:21" ht="15.75" thickBot="1" x14ac:dyDescent="0.3">
      <c r="A217" s="175">
        <v>9009141300</v>
      </c>
      <c r="B217" s="200" t="s">
        <v>953</v>
      </c>
      <c r="C217" s="93" t="s">
        <v>936</v>
      </c>
      <c r="D217" s="94">
        <v>168.33519999999999</v>
      </c>
      <c r="E217" s="95">
        <v>5.7845930008911986E-6</v>
      </c>
      <c r="F217" s="96">
        <v>0</v>
      </c>
      <c r="G217" s="95">
        <v>0</v>
      </c>
      <c r="H217" s="95" t="s">
        <v>2982</v>
      </c>
      <c r="I217" s="95" t="str">
        <f t="shared" si="11"/>
        <v>NO</v>
      </c>
      <c r="J217" s="97">
        <v>143.75399999999999</v>
      </c>
      <c r="K217" s="98">
        <v>5.7845930008911986E-6</v>
      </c>
      <c r="L217" s="99">
        <v>0</v>
      </c>
      <c r="M217" s="98">
        <v>0</v>
      </c>
      <c r="N217" s="98" t="str">
        <f t="shared" si="9"/>
        <v>NO</v>
      </c>
      <c r="O217" s="97">
        <v>24.581199999999999</v>
      </c>
      <c r="P217" s="100">
        <v>5.7845930008911986E-6</v>
      </c>
      <c r="Q217" s="99">
        <v>0</v>
      </c>
      <c r="R217" s="101">
        <v>0</v>
      </c>
      <c r="S217" t="str">
        <f t="shared" si="10"/>
        <v>NO</v>
      </c>
      <c r="T217" t="str">
        <f>VLOOKUP(Table8[[#This Row],[Census Tract]],'UI EnergyBurden'!$A$2:$B$184,2,FALSE)</f>
        <v>No</v>
      </c>
      <c r="U217">
        <f>VLOOKUP(Table8[[#This Row],[Census Tract]],'Population and Diversity Data'!$B$2:$K$823,10,FALSE)</f>
        <v>3</v>
      </c>
    </row>
    <row r="218" spans="1:21" ht="15.75" thickBot="1" x14ac:dyDescent="0.3">
      <c r="A218" s="175">
        <v>9009141300</v>
      </c>
      <c r="B218" s="200" t="s">
        <v>3015</v>
      </c>
      <c r="C218" s="93" t="s">
        <v>944</v>
      </c>
      <c r="D218" s="94">
        <v>0</v>
      </c>
      <c r="E218" s="95">
        <v>0</v>
      </c>
      <c r="F218" s="96">
        <v>44071.01</v>
      </c>
      <c r="G218" s="95">
        <v>2.6231201449994257E-3</v>
      </c>
      <c r="H218" s="95" t="s">
        <v>2993</v>
      </c>
      <c r="I218" s="95" t="str">
        <f t="shared" si="11"/>
        <v>N/A</v>
      </c>
      <c r="J218" s="97">
        <v>0</v>
      </c>
      <c r="K218" s="98">
        <v>0</v>
      </c>
      <c r="L218" s="99">
        <v>5178.01</v>
      </c>
      <c r="M218" s="98">
        <v>2.6231201449994257E-3</v>
      </c>
      <c r="N218" s="98" t="str">
        <f t="shared" si="9"/>
        <v>N/A</v>
      </c>
      <c r="O218" s="97">
        <v>0</v>
      </c>
      <c r="P218" s="100">
        <v>0</v>
      </c>
      <c r="Q218" s="99">
        <v>38893</v>
      </c>
      <c r="R218" s="101">
        <v>2.6231201449994257E-3</v>
      </c>
      <c r="S218" t="str">
        <f t="shared" si="10"/>
        <v>N/A</v>
      </c>
      <c r="T218" t="str">
        <f>VLOOKUP(Table8[[#This Row],[Census Tract]],'UI EnergyBurden'!$A$2:$B$184,2,FALSE)</f>
        <v>No</v>
      </c>
      <c r="U218">
        <f>VLOOKUP(Table8[[#This Row],[Census Tract]],'Population and Diversity Data'!$B$2:$K$823,10,FALSE)</f>
        <v>3</v>
      </c>
    </row>
    <row r="219" spans="1:21" ht="15.75" thickBot="1" x14ac:dyDescent="0.3">
      <c r="A219" s="175">
        <v>9009141300</v>
      </c>
      <c r="B219" s="200" t="s">
        <v>943</v>
      </c>
      <c r="C219" s="93" t="s">
        <v>936</v>
      </c>
      <c r="D219" s="94">
        <v>122039.11440000001</v>
      </c>
      <c r="E219" s="95">
        <v>4.1936957154130594E-3</v>
      </c>
      <c r="F219" s="96">
        <v>0</v>
      </c>
      <c r="G219" s="95">
        <v>0</v>
      </c>
      <c r="H219" s="95" t="s">
        <v>2982</v>
      </c>
      <c r="I219" s="95" t="str">
        <f t="shared" si="11"/>
        <v>NO</v>
      </c>
      <c r="J219" s="97">
        <v>76079.437600000005</v>
      </c>
      <c r="K219" s="98">
        <v>4.1936957154130594E-3</v>
      </c>
      <c r="L219" s="99">
        <v>0</v>
      </c>
      <c r="M219" s="98">
        <v>0</v>
      </c>
      <c r="N219" s="98" t="str">
        <f t="shared" si="9"/>
        <v>NO</v>
      </c>
      <c r="O219" s="97">
        <v>45959.676800000001</v>
      </c>
      <c r="P219" s="100">
        <v>4.1936957154130594E-3</v>
      </c>
      <c r="Q219" s="99">
        <v>0</v>
      </c>
      <c r="R219" s="101">
        <v>0</v>
      </c>
      <c r="S219" t="str">
        <f t="shared" si="10"/>
        <v>NO</v>
      </c>
      <c r="T219" t="str">
        <f>VLOOKUP(Table8[[#This Row],[Census Tract]],'UI EnergyBurden'!$A$2:$B$184,2,FALSE)</f>
        <v>No</v>
      </c>
      <c r="U219">
        <f>VLOOKUP(Table8[[#This Row],[Census Tract]],'Population and Diversity Data'!$B$2:$K$823,10,FALSE)</f>
        <v>3</v>
      </c>
    </row>
    <row r="220" spans="1:21" ht="15.75" thickBot="1" x14ac:dyDescent="0.3">
      <c r="A220" s="175">
        <v>9009141400</v>
      </c>
      <c r="B220" s="200" t="s">
        <v>953</v>
      </c>
      <c r="C220" s="93" t="s">
        <v>944</v>
      </c>
      <c r="D220" s="94">
        <v>152.922</v>
      </c>
      <c r="E220" s="95">
        <v>5.254940920747912E-6</v>
      </c>
      <c r="F220" s="96">
        <v>0</v>
      </c>
      <c r="G220" s="95">
        <v>0</v>
      </c>
      <c r="H220" s="95" t="s">
        <v>2982</v>
      </c>
      <c r="I220" s="95" t="str">
        <f t="shared" si="11"/>
        <v>NO</v>
      </c>
      <c r="J220" s="97">
        <v>152.922</v>
      </c>
      <c r="K220" s="98">
        <v>5.254940920747912E-6</v>
      </c>
      <c r="L220" s="99">
        <v>0</v>
      </c>
      <c r="M220" s="98">
        <v>0</v>
      </c>
      <c r="N220" s="98" t="str">
        <f t="shared" si="9"/>
        <v>NO</v>
      </c>
      <c r="O220" s="97">
        <v>0</v>
      </c>
      <c r="P220" s="100">
        <v>5.254940920747912E-6</v>
      </c>
      <c r="Q220" s="99">
        <v>0</v>
      </c>
      <c r="R220" s="101">
        <v>0</v>
      </c>
      <c r="S220" t="str">
        <f t="shared" si="10"/>
        <v>NO</v>
      </c>
      <c r="T220" t="str">
        <f>VLOOKUP(Table8[[#This Row],[Census Tract]],'UI EnergyBurden'!$A$2:$B$184,2,FALSE)</f>
        <v>No</v>
      </c>
      <c r="U220">
        <f>VLOOKUP(Table8[[#This Row],[Census Tract]],'Population and Diversity Data'!$B$2:$K$823,10,FALSE)</f>
        <v>5</v>
      </c>
    </row>
    <row r="221" spans="1:21" ht="15.75" thickBot="1" x14ac:dyDescent="0.3">
      <c r="A221" s="175">
        <v>9009141400</v>
      </c>
      <c r="B221" s="200" t="s">
        <v>943</v>
      </c>
      <c r="C221" s="93" t="s">
        <v>944</v>
      </c>
      <c r="D221" s="94">
        <v>82482.437299999991</v>
      </c>
      <c r="E221" s="95">
        <v>2.8343883483788719E-3</v>
      </c>
      <c r="F221" s="96">
        <v>17788.36</v>
      </c>
      <c r="G221" s="95">
        <v>1.0587686885892105E-3</v>
      </c>
      <c r="H221" s="95" t="s">
        <v>2986</v>
      </c>
      <c r="I221" s="95" t="str">
        <f t="shared" si="11"/>
        <v>NO</v>
      </c>
      <c r="J221" s="97">
        <v>67783.353199999998</v>
      </c>
      <c r="K221" s="98">
        <v>2.8343883483788719E-3</v>
      </c>
      <c r="L221" s="99">
        <v>12592.36</v>
      </c>
      <c r="M221" s="98">
        <v>1.0587686885892105E-3</v>
      </c>
      <c r="N221" s="98" t="str">
        <f t="shared" si="9"/>
        <v>NO</v>
      </c>
      <c r="O221" s="97">
        <v>14699.0841</v>
      </c>
      <c r="P221" s="100">
        <v>2.8343883483788719E-3</v>
      </c>
      <c r="Q221" s="99">
        <v>5196</v>
      </c>
      <c r="R221" s="101">
        <v>1.0587686885892105E-3</v>
      </c>
      <c r="S221" t="str">
        <f t="shared" si="10"/>
        <v>NO</v>
      </c>
      <c r="T221" t="str">
        <f>VLOOKUP(Table8[[#This Row],[Census Tract]],'UI EnergyBurden'!$A$2:$B$184,2,FALSE)</f>
        <v>No</v>
      </c>
      <c r="U221">
        <f>VLOOKUP(Table8[[#This Row],[Census Tract]],'Population and Diversity Data'!$B$2:$K$823,10,FALSE)</f>
        <v>5</v>
      </c>
    </row>
    <row r="222" spans="1:21" ht="15.75" thickBot="1" x14ac:dyDescent="0.3">
      <c r="A222" s="175">
        <v>9009141500</v>
      </c>
      <c r="B222" s="200" t="s">
        <v>953</v>
      </c>
      <c r="C222" s="93" t="s">
        <v>936</v>
      </c>
      <c r="D222" s="94">
        <v>94.991</v>
      </c>
      <c r="E222" s="95">
        <v>3.2642268149956509E-6</v>
      </c>
      <c r="F222" s="96">
        <v>0</v>
      </c>
      <c r="G222" s="95">
        <v>0</v>
      </c>
      <c r="H222" s="95" t="s">
        <v>2982</v>
      </c>
      <c r="I222" s="95" t="str">
        <f t="shared" si="11"/>
        <v>N/A</v>
      </c>
      <c r="J222" s="97">
        <v>94.991</v>
      </c>
      <c r="K222" s="98">
        <v>3.2642268149956509E-6</v>
      </c>
      <c r="L222" s="99">
        <v>0</v>
      </c>
      <c r="M222" s="98">
        <v>0</v>
      </c>
      <c r="N222" s="98" t="str">
        <f t="shared" si="9"/>
        <v>N/A</v>
      </c>
      <c r="O222" s="97">
        <v>0</v>
      </c>
      <c r="P222" s="100">
        <v>3.2642268149956509E-6</v>
      </c>
      <c r="Q222" s="99">
        <v>0</v>
      </c>
      <c r="R222" s="101">
        <v>0</v>
      </c>
      <c r="S222" t="str">
        <f t="shared" si="10"/>
        <v>N/A</v>
      </c>
      <c r="T222" t="str">
        <f>VLOOKUP(Table8[[#This Row],[Census Tract]],'UI EnergyBurden'!$A$2:$B$184,2,FALSE)</f>
        <v>Yes</v>
      </c>
      <c r="U222">
        <f>VLOOKUP(Table8[[#This Row],[Census Tract]],'Population and Diversity Data'!$B$2:$K$823,10,FALSE)</f>
        <v>3</v>
      </c>
    </row>
    <row r="223" spans="1:21" ht="15.75" thickBot="1" x14ac:dyDescent="0.3">
      <c r="A223" s="175">
        <v>9009141500</v>
      </c>
      <c r="B223" s="200" t="s">
        <v>3015</v>
      </c>
      <c r="C223" s="93" t="s">
        <v>944</v>
      </c>
      <c r="D223" s="94">
        <v>0</v>
      </c>
      <c r="E223" s="95">
        <v>0</v>
      </c>
      <c r="F223" s="96">
        <v>49058.57</v>
      </c>
      <c r="G223" s="95">
        <v>2.919981258697372E-3</v>
      </c>
      <c r="H223" s="95" t="s">
        <v>2993</v>
      </c>
      <c r="I223" s="95" t="str">
        <f t="shared" si="11"/>
        <v>N/A</v>
      </c>
      <c r="J223" s="97">
        <v>0</v>
      </c>
      <c r="K223" s="98">
        <v>0</v>
      </c>
      <c r="L223" s="99">
        <v>47450.57</v>
      </c>
      <c r="M223" s="98">
        <v>2.919981258697372E-3</v>
      </c>
      <c r="N223" s="98" t="str">
        <f t="shared" si="9"/>
        <v>N/A</v>
      </c>
      <c r="O223" s="97">
        <v>0</v>
      </c>
      <c r="P223" s="100">
        <v>0</v>
      </c>
      <c r="Q223" s="99">
        <v>1608</v>
      </c>
      <c r="R223" s="101">
        <v>2.919981258697372E-3</v>
      </c>
      <c r="S223" t="str">
        <f t="shared" si="10"/>
        <v>N/A</v>
      </c>
      <c r="T223" t="str">
        <f>VLOOKUP(Table8[[#This Row],[Census Tract]],'UI EnergyBurden'!$A$2:$B$184,2,FALSE)</f>
        <v>Yes</v>
      </c>
      <c r="U223">
        <f>VLOOKUP(Table8[[#This Row],[Census Tract]],'Population and Diversity Data'!$B$2:$K$823,10,FALSE)</f>
        <v>3</v>
      </c>
    </row>
    <row r="224" spans="1:21" ht="15.75" thickBot="1" x14ac:dyDescent="0.3">
      <c r="A224" s="175">
        <v>9009141500</v>
      </c>
      <c r="B224" s="200" t="s">
        <v>943</v>
      </c>
      <c r="C224" s="93" t="s">
        <v>936</v>
      </c>
      <c r="D224" s="94">
        <v>103988.89869999999</v>
      </c>
      <c r="E224" s="95">
        <v>3.5734264466992277E-3</v>
      </c>
      <c r="F224" s="96">
        <v>0</v>
      </c>
      <c r="G224" s="95">
        <v>0</v>
      </c>
      <c r="H224" s="95" t="s">
        <v>2982</v>
      </c>
      <c r="I224" s="95" t="str">
        <f t="shared" si="11"/>
        <v>NO</v>
      </c>
      <c r="J224" s="97">
        <v>89500.176099999997</v>
      </c>
      <c r="K224" s="98">
        <v>3.5734264466992277E-3</v>
      </c>
      <c r="L224" s="99">
        <v>0</v>
      </c>
      <c r="M224" s="98">
        <v>0</v>
      </c>
      <c r="N224" s="98" t="str">
        <f t="shared" si="9"/>
        <v>NO</v>
      </c>
      <c r="O224" s="97">
        <v>14488.722599999999</v>
      </c>
      <c r="P224" s="100">
        <v>3.5734264466992277E-3</v>
      </c>
      <c r="Q224" s="99">
        <v>0</v>
      </c>
      <c r="R224" s="101">
        <v>0</v>
      </c>
      <c r="S224" t="str">
        <f t="shared" si="10"/>
        <v>NO</v>
      </c>
      <c r="T224" t="str">
        <f>VLOOKUP(Table8[[#This Row],[Census Tract]],'UI EnergyBurden'!$A$2:$B$184,2,FALSE)</f>
        <v>Yes</v>
      </c>
      <c r="U224">
        <f>VLOOKUP(Table8[[#This Row],[Census Tract]],'Population and Diversity Data'!$B$2:$K$823,10,FALSE)</f>
        <v>3</v>
      </c>
    </row>
    <row r="225" spans="1:21" ht="15.75" thickBot="1" x14ac:dyDescent="0.3">
      <c r="A225" s="175">
        <v>9009141600</v>
      </c>
      <c r="B225" s="200" t="s">
        <v>3015</v>
      </c>
      <c r="C225" s="93" t="s">
        <v>944</v>
      </c>
      <c r="D225" s="94">
        <v>0</v>
      </c>
      <c r="E225" s="95">
        <v>0</v>
      </c>
      <c r="F225" s="96">
        <v>20225.870000000003</v>
      </c>
      <c r="G225" s="95">
        <v>1.2038500376356143E-3</v>
      </c>
      <c r="H225" s="95" t="s">
        <v>2993</v>
      </c>
      <c r="I225" s="95" t="str">
        <f t="shared" si="11"/>
        <v>N/A</v>
      </c>
      <c r="J225" s="97">
        <v>0</v>
      </c>
      <c r="K225" s="98">
        <v>0</v>
      </c>
      <c r="L225" s="99">
        <v>10815.87</v>
      </c>
      <c r="M225" s="98">
        <v>1.2038500376356143E-3</v>
      </c>
      <c r="N225" s="98" t="str">
        <f t="shared" si="9"/>
        <v>N/A</v>
      </c>
      <c r="O225" s="97">
        <v>0</v>
      </c>
      <c r="P225" s="100">
        <v>0</v>
      </c>
      <c r="Q225" s="99">
        <v>9410</v>
      </c>
      <c r="R225" s="101">
        <v>1.2038500376356143E-3</v>
      </c>
      <c r="S225" t="str">
        <f t="shared" si="10"/>
        <v>N/A</v>
      </c>
      <c r="T225" t="str">
        <f>VLOOKUP(Table8[[#This Row],[Census Tract]],'UI EnergyBurden'!$A$2:$B$184,2,FALSE)</f>
        <v>Yes</v>
      </c>
      <c r="U225">
        <f>VLOOKUP(Table8[[#This Row],[Census Tract]],'Population and Diversity Data'!$B$2:$K$823,10,FALSE)</f>
        <v>4</v>
      </c>
    </row>
    <row r="226" spans="1:21" ht="15.75" thickBot="1" x14ac:dyDescent="0.3">
      <c r="A226" s="175">
        <v>9009141600</v>
      </c>
      <c r="B226" s="200" t="s">
        <v>943</v>
      </c>
      <c r="C226" s="93" t="s">
        <v>936</v>
      </c>
      <c r="D226" s="94">
        <v>92860.256100000101</v>
      </c>
      <c r="E226" s="95">
        <v>3.1910069165392908E-3</v>
      </c>
      <c r="F226" s="96">
        <v>0</v>
      </c>
      <c r="G226" s="95">
        <v>0</v>
      </c>
      <c r="H226" s="95" t="s">
        <v>2982</v>
      </c>
      <c r="I226" s="95" t="str">
        <f t="shared" si="11"/>
        <v>NO</v>
      </c>
      <c r="J226" s="97">
        <v>59212.536800000104</v>
      </c>
      <c r="K226" s="98">
        <v>3.1910069165392908E-3</v>
      </c>
      <c r="L226" s="99">
        <v>0</v>
      </c>
      <c r="M226" s="98">
        <v>0</v>
      </c>
      <c r="N226" s="98" t="str">
        <f t="shared" si="9"/>
        <v>NO</v>
      </c>
      <c r="O226" s="97">
        <v>33647.719299999997</v>
      </c>
      <c r="P226" s="100">
        <v>3.1910069165392908E-3</v>
      </c>
      <c r="Q226" s="99">
        <v>0</v>
      </c>
      <c r="R226" s="101">
        <v>0</v>
      </c>
      <c r="S226" t="str">
        <f t="shared" si="10"/>
        <v>NO</v>
      </c>
      <c r="T226" t="str">
        <f>VLOOKUP(Table8[[#This Row],[Census Tract]],'UI EnergyBurden'!$A$2:$B$184,2,FALSE)</f>
        <v>Yes</v>
      </c>
      <c r="U226">
        <f>VLOOKUP(Table8[[#This Row],[Census Tract]],'Population and Diversity Data'!$B$2:$K$823,10,FALSE)</f>
        <v>4</v>
      </c>
    </row>
    <row r="227" spans="1:21" ht="15.75" thickBot="1" x14ac:dyDescent="0.3">
      <c r="A227" s="175">
        <v>9009141800</v>
      </c>
      <c r="B227" s="200" t="s">
        <v>953</v>
      </c>
      <c r="C227" s="93" t="s">
        <v>944</v>
      </c>
      <c r="D227" s="94">
        <v>182.3767</v>
      </c>
      <c r="E227" s="95">
        <v>6.2671086162943579E-6</v>
      </c>
      <c r="F227" s="96">
        <v>0</v>
      </c>
      <c r="G227" s="95">
        <v>0</v>
      </c>
      <c r="H227" s="95" t="s">
        <v>2982</v>
      </c>
      <c r="I227" s="95" t="str">
        <f t="shared" si="11"/>
        <v>NO</v>
      </c>
      <c r="J227" s="97">
        <v>177.19649999999999</v>
      </c>
      <c r="K227" s="98">
        <v>6.2671086162943579E-6</v>
      </c>
      <c r="L227" s="99">
        <v>0</v>
      </c>
      <c r="M227" s="98">
        <v>0</v>
      </c>
      <c r="N227" s="98" t="str">
        <f t="shared" si="9"/>
        <v>NO</v>
      </c>
      <c r="O227" s="97">
        <v>5.1802000000000001</v>
      </c>
      <c r="P227" s="100">
        <v>6.2671086162943579E-6</v>
      </c>
      <c r="Q227" s="99">
        <v>0</v>
      </c>
      <c r="R227" s="101">
        <v>0</v>
      </c>
      <c r="S227" t="str">
        <f t="shared" si="10"/>
        <v>NO</v>
      </c>
      <c r="T227" t="str">
        <f>VLOOKUP(Table8[[#This Row],[Census Tract]],'UI EnergyBurden'!$A$2:$B$184,2,FALSE)</f>
        <v>No</v>
      </c>
      <c r="U227">
        <f>VLOOKUP(Table8[[#This Row],[Census Tract]],'Population and Diversity Data'!$B$2:$K$823,10,FALSE)</f>
        <v>5</v>
      </c>
    </row>
    <row r="228" spans="1:21" ht="15.75" thickBot="1" x14ac:dyDescent="0.3">
      <c r="A228" s="175">
        <v>9009141800</v>
      </c>
      <c r="B228" s="200" t="s">
        <v>943</v>
      </c>
      <c r="C228" s="93" t="s">
        <v>944</v>
      </c>
      <c r="D228" s="94">
        <v>77768.583400000003</v>
      </c>
      <c r="E228" s="95">
        <v>2.6724036519091879E-3</v>
      </c>
      <c r="F228" s="96">
        <v>18564.900000000001</v>
      </c>
      <c r="G228" s="95">
        <v>1.1049885895489991E-3</v>
      </c>
      <c r="H228" s="95" t="s">
        <v>2986</v>
      </c>
      <c r="I228" s="95" t="str">
        <f t="shared" si="11"/>
        <v>NO</v>
      </c>
      <c r="J228" s="97">
        <v>54159.681900000003</v>
      </c>
      <c r="K228" s="98">
        <v>2.6724036519091879E-3</v>
      </c>
      <c r="L228" s="99">
        <v>6368.9</v>
      </c>
      <c r="M228" s="98">
        <v>1.1049885895489991E-3</v>
      </c>
      <c r="N228" s="98" t="str">
        <f t="shared" si="9"/>
        <v>NO</v>
      </c>
      <c r="O228" s="97">
        <v>23608.9015</v>
      </c>
      <c r="P228" s="100">
        <v>2.6724036519091879E-3</v>
      </c>
      <c r="Q228" s="99">
        <v>12196</v>
      </c>
      <c r="R228" s="101">
        <v>1.1049885895489991E-3</v>
      </c>
      <c r="S228" t="str">
        <f t="shared" si="10"/>
        <v>NO</v>
      </c>
      <c r="T228" t="str">
        <f>VLOOKUP(Table8[[#This Row],[Census Tract]],'UI EnergyBurden'!$A$2:$B$184,2,FALSE)</f>
        <v>No</v>
      </c>
      <c r="U228">
        <f>VLOOKUP(Table8[[#This Row],[Census Tract]],'Population and Diversity Data'!$B$2:$K$823,10,FALSE)</f>
        <v>5</v>
      </c>
    </row>
    <row r="229" spans="1:21" ht="15.75" thickBot="1" x14ac:dyDescent="0.3">
      <c r="A229" s="175">
        <v>9009141900</v>
      </c>
      <c r="B229" s="200" t="s">
        <v>953</v>
      </c>
      <c r="C229" s="93" t="s">
        <v>944</v>
      </c>
      <c r="D229" s="94">
        <v>41.586100000000002</v>
      </c>
      <c r="E229" s="95">
        <v>1.4290455174815578E-6</v>
      </c>
      <c r="F229" s="96">
        <v>0</v>
      </c>
      <c r="G229" s="95">
        <v>0</v>
      </c>
      <c r="H229" s="95" t="s">
        <v>2982</v>
      </c>
      <c r="I229" s="95" t="str">
        <f t="shared" si="11"/>
        <v>N/A</v>
      </c>
      <c r="J229" s="97">
        <v>41.586100000000002</v>
      </c>
      <c r="K229" s="98">
        <v>1.4290455174815578E-6</v>
      </c>
      <c r="L229" s="99">
        <v>0</v>
      </c>
      <c r="M229" s="98">
        <v>0</v>
      </c>
      <c r="N229" s="98" t="str">
        <f t="shared" si="9"/>
        <v>N/A</v>
      </c>
      <c r="O229" s="97">
        <v>0</v>
      </c>
      <c r="P229" s="100">
        <v>1.4290455174815578E-6</v>
      </c>
      <c r="Q229" s="99">
        <v>0</v>
      </c>
      <c r="R229" s="101">
        <v>0</v>
      </c>
      <c r="S229" t="str">
        <f t="shared" si="10"/>
        <v>N/A</v>
      </c>
      <c r="T229" t="str">
        <f>VLOOKUP(Table8[[#This Row],[Census Tract]],'UI EnergyBurden'!$A$2:$B$184,2,FALSE)</f>
        <v>No</v>
      </c>
      <c r="U229">
        <f>VLOOKUP(Table8[[#This Row],[Census Tract]],'Population and Diversity Data'!$B$2:$K$823,10,FALSE)</f>
        <v>5</v>
      </c>
    </row>
    <row r="230" spans="1:21" ht="15.75" thickBot="1" x14ac:dyDescent="0.3">
      <c r="A230" s="175">
        <v>9009141900</v>
      </c>
      <c r="B230" s="200" t="s">
        <v>943</v>
      </c>
      <c r="C230" s="93" t="s">
        <v>944</v>
      </c>
      <c r="D230" s="94">
        <v>91913.4742999999</v>
      </c>
      <c r="E230" s="95">
        <v>3.1584721444081363E-3</v>
      </c>
      <c r="F230" s="96">
        <v>9862.59</v>
      </c>
      <c r="G230" s="95">
        <v>5.8702440699384662E-4</v>
      </c>
      <c r="H230" s="95" t="s">
        <v>2986</v>
      </c>
      <c r="I230" s="95" t="str">
        <f t="shared" si="11"/>
        <v>NO</v>
      </c>
      <c r="J230" s="97">
        <v>72665.771399999896</v>
      </c>
      <c r="K230" s="98">
        <v>3.1584721444081363E-3</v>
      </c>
      <c r="L230" s="99">
        <v>9616.59</v>
      </c>
      <c r="M230" s="98">
        <v>5.8702440699384662E-4</v>
      </c>
      <c r="N230" s="98" t="str">
        <f t="shared" si="9"/>
        <v>NO</v>
      </c>
      <c r="O230" s="97">
        <v>19247.7029</v>
      </c>
      <c r="P230" s="100">
        <v>3.1584721444081363E-3</v>
      </c>
      <c r="Q230" s="99">
        <v>246</v>
      </c>
      <c r="R230" s="101">
        <v>5.8702440699384662E-4</v>
      </c>
      <c r="S230" t="str">
        <f t="shared" si="10"/>
        <v>NO</v>
      </c>
      <c r="T230" t="str">
        <f>VLOOKUP(Table8[[#This Row],[Census Tract]],'UI EnergyBurden'!$A$2:$B$184,2,FALSE)</f>
        <v>No</v>
      </c>
      <c r="U230">
        <f>VLOOKUP(Table8[[#This Row],[Census Tract]],'Population and Diversity Data'!$B$2:$K$823,10,FALSE)</f>
        <v>5</v>
      </c>
    </row>
    <row r="231" spans="1:21" ht="15.75" thickBot="1" x14ac:dyDescent="0.3">
      <c r="A231" s="175">
        <v>9009142000</v>
      </c>
      <c r="B231" s="200" t="s">
        <v>943</v>
      </c>
      <c r="C231" s="93" t="s">
        <v>944</v>
      </c>
      <c r="D231" s="94">
        <v>111628.7067000001</v>
      </c>
      <c r="E231" s="95">
        <v>3.8359572773570653E-3</v>
      </c>
      <c r="F231" s="96">
        <v>4006.46</v>
      </c>
      <c r="G231" s="95">
        <v>2.3846573827408083E-4</v>
      </c>
      <c r="H231" s="95" t="s">
        <v>2986</v>
      </c>
      <c r="I231" s="95" t="str">
        <f t="shared" si="11"/>
        <v>NO</v>
      </c>
      <c r="J231" s="97">
        <v>47650.880900000098</v>
      </c>
      <c r="K231" s="98">
        <v>3.8359572773570653E-3</v>
      </c>
      <c r="L231" s="99">
        <v>2599.46</v>
      </c>
      <c r="M231" s="98">
        <v>2.3846573827408083E-4</v>
      </c>
      <c r="N231" s="98" t="str">
        <f t="shared" si="9"/>
        <v>NO</v>
      </c>
      <c r="O231" s="97">
        <v>63977.825799999999</v>
      </c>
      <c r="P231" s="100">
        <v>3.8359572773570653E-3</v>
      </c>
      <c r="Q231" s="99">
        <v>1407</v>
      </c>
      <c r="R231" s="101">
        <v>2.3846573827408083E-4</v>
      </c>
      <c r="S231" t="str">
        <f t="shared" si="10"/>
        <v>NO</v>
      </c>
      <c r="T231" t="str">
        <f>VLOOKUP(Table8[[#This Row],[Census Tract]],'UI EnergyBurden'!$A$2:$B$184,2,FALSE)</f>
        <v>No</v>
      </c>
      <c r="U231">
        <f>VLOOKUP(Table8[[#This Row],[Census Tract]],'Population and Diversity Data'!$B$2:$K$823,10,FALSE)</f>
        <v>5</v>
      </c>
    </row>
    <row r="232" spans="1:21" ht="15.75" thickBot="1" x14ac:dyDescent="0.3">
      <c r="A232" s="175">
        <v>9009142100</v>
      </c>
      <c r="B232" s="200" t="s">
        <v>3015</v>
      </c>
      <c r="C232" s="93" t="s">
        <v>944</v>
      </c>
      <c r="D232" s="94">
        <v>0</v>
      </c>
      <c r="E232" s="95">
        <v>0</v>
      </c>
      <c r="F232" s="96">
        <v>4781.9799999999996</v>
      </c>
      <c r="G232" s="95">
        <v>2.8462492851841496E-4</v>
      </c>
      <c r="H232" s="95" t="s">
        <v>2993</v>
      </c>
      <c r="I232" s="95" t="str">
        <f t="shared" si="11"/>
        <v>N/A</v>
      </c>
      <c r="J232" s="97">
        <v>0</v>
      </c>
      <c r="K232" s="98">
        <v>0</v>
      </c>
      <c r="L232" s="99">
        <v>26.98</v>
      </c>
      <c r="M232" s="98">
        <v>2.8462492851841496E-4</v>
      </c>
      <c r="N232" s="98" t="str">
        <f t="shared" si="9"/>
        <v>N/A</v>
      </c>
      <c r="O232" s="97">
        <v>0</v>
      </c>
      <c r="P232" s="100">
        <v>0</v>
      </c>
      <c r="Q232" s="99">
        <v>4755</v>
      </c>
      <c r="R232" s="101">
        <v>2.8462492851841496E-4</v>
      </c>
      <c r="S232" t="str">
        <f t="shared" si="10"/>
        <v>N/A</v>
      </c>
      <c r="T232" t="str">
        <f>VLOOKUP(Table8[[#This Row],[Census Tract]],'UI EnergyBurden'!$A$2:$B$184,2,FALSE)</f>
        <v>No</v>
      </c>
      <c r="U232">
        <f>VLOOKUP(Table8[[#This Row],[Census Tract]],'Population and Diversity Data'!$B$2:$K$823,10,FALSE)</f>
        <v>5</v>
      </c>
    </row>
    <row r="233" spans="1:21" ht="15.75" thickBot="1" x14ac:dyDescent="0.3">
      <c r="A233" s="175">
        <v>9009142100</v>
      </c>
      <c r="B233" s="200" t="s">
        <v>943</v>
      </c>
      <c r="C233" s="93" t="s">
        <v>936</v>
      </c>
      <c r="D233" s="94">
        <v>43050.957000000002</v>
      </c>
      <c r="E233" s="95">
        <v>1.4793831863084369E-3</v>
      </c>
      <c r="F233" s="96">
        <v>0</v>
      </c>
      <c r="G233" s="95">
        <v>0</v>
      </c>
      <c r="H233" s="95" t="s">
        <v>2982</v>
      </c>
      <c r="I233" s="95" t="str">
        <f t="shared" si="11"/>
        <v>NO</v>
      </c>
      <c r="J233" s="97">
        <v>14835.8009</v>
      </c>
      <c r="K233" s="98">
        <v>1.4793831863084369E-3</v>
      </c>
      <c r="L233" s="99">
        <v>0</v>
      </c>
      <c r="M233" s="98">
        <v>0</v>
      </c>
      <c r="N233" s="98" t="str">
        <f t="shared" si="9"/>
        <v>NO</v>
      </c>
      <c r="O233" s="97">
        <v>28215.1561</v>
      </c>
      <c r="P233" s="100">
        <v>1.4793831863084369E-3</v>
      </c>
      <c r="Q233" s="99">
        <v>0</v>
      </c>
      <c r="R233" s="101">
        <v>0</v>
      </c>
      <c r="S233" t="str">
        <f t="shared" si="10"/>
        <v>NO</v>
      </c>
      <c r="T233" t="str">
        <f>VLOOKUP(Table8[[#This Row],[Census Tract]],'UI EnergyBurden'!$A$2:$B$184,2,FALSE)</f>
        <v>No</v>
      </c>
      <c r="U233">
        <f>VLOOKUP(Table8[[#This Row],[Census Tract]],'Population and Diversity Data'!$B$2:$K$823,10,FALSE)</f>
        <v>5</v>
      </c>
    </row>
    <row r="234" spans="1:21" ht="15.75" thickBot="1" x14ac:dyDescent="0.3">
      <c r="A234" s="175">
        <v>9009142200</v>
      </c>
      <c r="B234" s="200" t="s">
        <v>943</v>
      </c>
      <c r="C234" s="93" t="s">
        <v>944</v>
      </c>
      <c r="D234" s="94">
        <v>65092.286600000007</v>
      </c>
      <c r="E234" s="95">
        <v>2.2368012482140635E-3</v>
      </c>
      <c r="F234" s="96">
        <v>49701.1</v>
      </c>
      <c r="G234" s="95">
        <v>2.958224843012015E-3</v>
      </c>
      <c r="H234" s="95" t="s">
        <v>2993</v>
      </c>
      <c r="I234" s="95" t="str">
        <f t="shared" si="11"/>
        <v>YES</v>
      </c>
      <c r="J234" s="97">
        <v>31597.2291</v>
      </c>
      <c r="K234" s="98">
        <v>2.2368012482140635E-3</v>
      </c>
      <c r="L234" s="99">
        <v>3747.81</v>
      </c>
      <c r="M234" s="98">
        <v>2.958224843012015E-3</v>
      </c>
      <c r="N234" s="98" t="str">
        <f t="shared" si="9"/>
        <v>YES</v>
      </c>
      <c r="O234" s="97">
        <v>33495.057500000003</v>
      </c>
      <c r="P234" s="100">
        <v>2.2368012482140635E-3</v>
      </c>
      <c r="Q234" s="99">
        <v>45953.29</v>
      </c>
      <c r="R234" s="101">
        <v>2.958224843012015E-3</v>
      </c>
      <c r="S234" t="str">
        <f t="shared" si="10"/>
        <v>YES</v>
      </c>
      <c r="T234" t="str">
        <f>VLOOKUP(Table8[[#This Row],[Census Tract]],'UI EnergyBurden'!$A$2:$B$184,2,FALSE)</f>
        <v>No</v>
      </c>
      <c r="U234">
        <f>VLOOKUP(Table8[[#This Row],[Census Tract]],'Population and Diversity Data'!$B$2:$K$823,10,FALSE)</f>
        <v>4</v>
      </c>
    </row>
    <row r="235" spans="1:21" ht="15.75" thickBot="1" x14ac:dyDescent="0.3">
      <c r="A235" s="175">
        <v>9009142300</v>
      </c>
      <c r="B235" s="200" t="s">
        <v>3024</v>
      </c>
      <c r="C235" s="93" t="s">
        <v>936</v>
      </c>
      <c r="D235" s="94">
        <v>27.602499999999999</v>
      </c>
      <c r="E235" s="95">
        <v>9.4851955091448089E-7</v>
      </c>
      <c r="F235" s="96">
        <v>0</v>
      </c>
      <c r="G235" s="95">
        <v>0</v>
      </c>
      <c r="H235" s="95" t="s">
        <v>2982</v>
      </c>
      <c r="I235" s="95" t="str">
        <f t="shared" si="11"/>
        <v>N/A</v>
      </c>
      <c r="J235" s="97">
        <v>0</v>
      </c>
      <c r="K235" s="98">
        <v>9.4851955091448089E-7</v>
      </c>
      <c r="L235" s="99">
        <v>0</v>
      </c>
      <c r="M235" s="98">
        <v>0</v>
      </c>
      <c r="N235" s="98" t="str">
        <f t="shared" si="9"/>
        <v>N/A</v>
      </c>
      <c r="O235" s="97">
        <v>27.602499999999999</v>
      </c>
      <c r="P235" s="100">
        <v>9.4851955091448089E-7</v>
      </c>
      <c r="Q235" s="99">
        <v>0</v>
      </c>
      <c r="R235" s="101">
        <v>0</v>
      </c>
      <c r="S235" t="str">
        <f t="shared" si="10"/>
        <v>N/A</v>
      </c>
      <c r="T235" t="str">
        <f>VLOOKUP(Table8[[#This Row],[Census Tract]],'UI EnergyBurden'!$A$2:$B$184,2,FALSE)</f>
        <v>Yes</v>
      </c>
      <c r="U235">
        <f>VLOOKUP(Table8[[#This Row],[Census Tract]],'Population and Diversity Data'!$B$2:$K$823,10,FALSE)</f>
        <v>5</v>
      </c>
    </row>
    <row r="236" spans="1:21" ht="15.75" thickBot="1" x14ac:dyDescent="0.3">
      <c r="A236" s="175">
        <v>9009142300</v>
      </c>
      <c r="B236" s="200" t="s">
        <v>3015</v>
      </c>
      <c r="C236" s="93" t="s">
        <v>944</v>
      </c>
      <c r="D236" s="94">
        <v>0</v>
      </c>
      <c r="E236" s="95">
        <v>0</v>
      </c>
      <c r="F236" s="96">
        <v>33023.97</v>
      </c>
      <c r="G236" s="95">
        <v>1.9655969076918518E-3</v>
      </c>
      <c r="H236" s="95" t="s">
        <v>2993</v>
      </c>
      <c r="I236" s="95" t="str">
        <f t="shared" si="11"/>
        <v>N/A</v>
      </c>
      <c r="J236" s="97">
        <v>0</v>
      </c>
      <c r="K236" s="98">
        <v>0</v>
      </c>
      <c r="L236" s="99">
        <v>10400.34</v>
      </c>
      <c r="M236" s="98">
        <v>1.9655969076918518E-3</v>
      </c>
      <c r="N236" s="98" t="str">
        <f t="shared" si="9"/>
        <v>N/A</v>
      </c>
      <c r="O236" s="97">
        <v>0</v>
      </c>
      <c r="P236" s="100">
        <v>0</v>
      </c>
      <c r="Q236" s="99">
        <v>22623.63</v>
      </c>
      <c r="R236" s="101">
        <v>1.9655969076918518E-3</v>
      </c>
      <c r="S236" t="str">
        <f t="shared" si="10"/>
        <v>N/A</v>
      </c>
      <c r="T236" t="str">
        <f>VLOOKUP(Table8[[#This Row],[Census Tract]],'UI EnergyBurden'!$A$2:$B$184,2,FALSE)</f>
        <v>Yes</v>
      </c>
      <c r="U236">
        <f>VLOOKUP(Table8[[#This Row],[Census Tract]],'Population and Diversity Data'!$B$2:$K$823,10,FALSE)</f>
        <v>5</v>
      </c>
    </row>
    <row r="237" spans="1:21" ht="15.75" thickBot="1" x14ac:dyDescent="0.3">
      <c r="A237" s="175">
        <v>9009142300</v>
      </c>
      <c r="B237" s="200" t="s">
        <v>943</v>
      </c>
      <c r="C237" s="93" t="s">
        <v>936</v>
      </c>
      <c r="D237" s="94">
        <v>87668.701799999893</v>
      </c>
      <c r="E237" s="95">
        <v>3.0126067443380653E-3</v>
      </c>
      <c r="F237" s="96">
        <v>0</v>
      </c>
      <c r="G237" s="95">
        <v>0</v>
      </c>
      <c r="H237" s="95" t="s">
        <v>2982</v>
      </c>
      <c r="I237" s="95" t="str">
        <f t="shared" si="11"/>
        <v>NO</v>
      </c>
      <c r="J237" s="97">
        <v>53392.115599999903</v>
      </c>
      <c r="K237" s="98">
        <v>3.0126067443380653E-3</v>
      </c>
      <c r="L237" s="99">
        <v>0</v>
      </c>
      <c r="M237" s="98">
        <v>0</v>
      </c>
      <c r="N237" s="98" t="str">
        <f t="shared" si="9"/>
        <v>NO</v>
      </c>
      <c r="O237" s="97">
        <v>34276.586199999998</v>
      </c>
      <c r="P237" s="100">
        <v>3.0126067443380653E-3</v>
      </c>
      <c r="Q237" s="99">
        <v>0</v>
      </c>
      <c r="R237" s="101">
        <v>0</v>
      </c>
      <c r="S237" t="str">
        <f t="shared" si="10"/>
        <v>NO</v>
      </c>
      <c r="T237" t="str">
        <f>VLOOKUP(Table8[[#This Row],[Census Tract]],'UI EnergyBurden'!$A$2:$B$184,2,FALSE)</f>
        <v>Yes</v>
      </c>
      <c r="U237">
        <f>VLOOKUP(Table8[[#This Row],[Census Tract]],'Population and Diversity Data'!$B$2:$K$823,10,FALSE)</f>
        <v>5</v>
      </c>
    </row>
    <row r="238" spans="1:21" ht="15.75" thickBot="1" x14ac:dyDescent="0.3">
      <c r="A238" s="175">
        <v>9009142400</v>
      </c>
      <c r="B238" s="200" t="s">
        <v>3015</v>
      </c>
      <c r="C238" s="93" t="s">
        <v>944</v>
      </c>
      <c r="D238" s="94">
        <v>0</v>
      </c>
      <c r="E238" s="95">
        <v>0</v>
      </c>
      <c r="F238" s="96">
        <v>18440.37</v>
      </c>
      <c r="G238" s="95">
        <v>1.0975765254357241E-3</v>
      </c>
      <c r="H238" s="95" t="s">
        <v>2993</v>
      </c>
      <c r="I238" s="95" t="str">
        <f t="shared" si="11"/>
        <v>N/A</v>
      </c>
      <c r="J238" s="97">
        <v>0</v>
      </c>
      <c r="K238" s="98">
        <v>0</v>
      </c>
      <c r="L238" s="99">
        <v>6815.37</v>
      </c>
      <c r="M238" s="98">
        <v>1.0975765254357241E-3</v>
      </c>
      <c r="N238" s="98" t="str">
        <f t="shared" si="9"/>
        <v>N/A</v>
      </c>
      <c r="O238" s="97">
        <v>0</v>
      </c>
      <c r="P238" s="100">
        <v>0</v>
      </c>
      <c r="Q238" s="99">
        <v>11625</v>
      </c>
      <c r="R238" s="101">
        <v>1.0975765254357241E-3</v>
      </c>
      <c r="S238" t="str">
        <f t="shared" si="10"/>
        <v>N/A</v>
      </c>
      <c r="T238" t="str">
        <f>VLOOKUP(Table8[[#This Row],[Census Tract]],'UI EnergyBurden'!$A$2:$B$184,2,FALSE)</f>
        <v>Yes</v>
      </c>
      <c r="U238">
        <f>VLOOKUP(Table8[[#This Row],[Census Tract]],'Population and Diversity Data'!$B$2:$K$823,10,FALSE)</f>
        <v>5</v>
      </c>
    </row>
    <row r="239" spans="1:21" ht="15.75" thickBot="1" x14ac:dyDescent="0.3">
      <c r="A239" s="175">
        <v>9009142400</v>
      </c>
      <c r="B239" s="200" t="s">
        <v>943</v>
      </c>
      <c r="C239" s="93" t="s">
        <v>936</v>
      </c>
      <c r="D239" s="94">
        <v>90482.525799999901</v>
      </c>
      <c r="E239" s="95">
        <v>3.1092996916012622E-3</v>
      </c>
      <c r="F239" s="96">
        <v>0</v>
      </c>
      <c r="G239" s="95">
        <v>0</v>
      </c>
      <c r="H239" s="95" t="s">
        <v>2982</v>
      </c>
      <c r="I239" s="95" t="str">
        <f t="shared" si="11"/>
        <v>NO</v>
      </c>
      <c r="J239" s="97">
        <v>54491.1928999999</v>
      </c>
      <c r="K239" s="98">
        <v>3.1092996916012622E-3</v>
      </c>
      <c r="L239" s="99">
        <v>0</v>
      </c>
      <c r="M239" s="98">
        <v>0</v>
      </c>
      <c r="N239" s="98" t="str">
        <f t="shared" si="9"/>
        <v>NO</v>
      </c>
      <c r="O239" s="97">
        <v>35991.332900000001</v>
      </c>
      <c r="P239" s="100">
        <v>3.1092996916012622E-3</v>
      </c>
      <c r="Q239" s="99">
        <v>0</v>
      </c>
      <c r="R239" s="101">
        <v>0</v>
      </c>
      <c r="S239" t="str">
        <f t="shared" si="10"/>
        <v>NO</v>
      </c>
      <c r="T239" t="str">
        <f>VLOOKUP(Table8[[#This Row],[Census Tract]],'UI EnergyBurden'!$A$2:$B$184,2,FALSE)</f>
        <v>Yes</v>
      </c>
      <c r="U239">
        <f>VLOOKUP(Table8[[#This Row],[Census Tract]],'Population and Diversity Data'!$B$2:$K$823,10,FALSE)</f>
        <v>5</v>
      </c>
    </row>
    <row r="240" spans="1:21" ht="15.75" thickBot="1" x14ac:dyDescent="0.3">
      <c r="A240" s="175">
        <v>9009142500</v>
      </c>
      <c r="B240" s="200" t="s">
        <v>953</v>
      </c>
      <c r="C240" s="93" t="s">
        <v>936</v>
      </c>
      <c r="D240" s="94">
        <v>682.77530000000002</v>
      </c>
      <c r="E240" s="95">
        <v>2.3462574800525313E-5</v>
      </c>
      <c r="F240" s="96">
        <v>0</v>
      </c>
      <c r="G240" s="95">
        <v>0</v>
      </c>
      <c r="H240" s="95" t="s">
        <v>2982</v>
      </c>
      <c r="I240" s="95" t="str">
        <f t="shared" si="11"/>
        <v>NO</v>
      </c>
      <c r="J240" s="97">
        <v>231.15710000000001</v>
      </c>
      <c r="K240" s="98">
        <v>2.3462574800525313E-5</v>
      </c>
      <c r="L240" s="99">
        <v>0</v>
      </c>
      <c r="M240" s="98">
        <v>0</v>
      </c>
      <c r="N240" s="98" t="str">
        <f t="shared" si="9"/>
        <v>NO</v>
      </c>
      <c r="O240" s="97">
        <v>451.6182</v>
      </c>
      <c r="P240" s="100">
        <v>2.3462574800525313E-5</v>
      </c>
      <c r="Q240" s="99">
        <v>0</v>
      </c>
      <c r="R240" s="101">
        <v>0</v>
      </c>
      <c r="S240" t="str">
        <f t="shared" si="10"/>
        <v>NO</v>
      </c>
      <c r="T240" t="str">
        <f>VLOOKUP(Table8[[#This Row],[Census Tract]],'UI EnergyBurden'!$A$2:$B$184,2,FALSE)</f>
        <v>Yes</v>
      </c>
      <c r="U240">
        <f>VLOOKUP(Table8[[#This Row],[Census Tract]],'Population and Diversity Data'!$B$2:$K$823,10,FALSE)</f>
        <v>5</v>
      </c>
    </row>
    <row r="241" spans="1:21" ht="15.75" thickBot="1" x14ac:dyDescent="0.3">
      <c r="A241" s="175">
        <v>9009142500</v>
      </c>
      <c r="B241" s="200" t="s">
        <v>3015</v>
      </c>
      <c r="C241" s="93" t="s">
        <v>944</v>
      </c>
      <c r="D241" s="94">
        <v>0</v>
      </c>
      <c r="E241" s="95">
        <v>0</v>
      </c>
      <c r="F241" s="96">
        <v>10257.39</v>
      </c>
      <c r="G241" s="95">
        <v>6.1052302509326782E-4</v>
      </c>
      <c r="H241" s="95" t="s">
        <v>2993</v>
      </c>
      <c r="I241" s="95" t="str">
        <f t="shared" si="11"/>
        <v>N/A</v>
      </c>
      <c r="J241" s="97">
        <v>0</v>
      </c>
      <c r="K241" s="98">
        <v>0</v>
      </c>
      <c r="L241" s="99">
        <v>7352.41</v>
      </c>
      <c r="M241" s="98">
        <v>6.1052302509326782E-4</v>
      </c>
      <c r="N241" s="98" t="str">
        <f t="shared" si="9"/>
        <v>N/A</v>
      </c>
      <c r="O241" s="97">
        <v>0</v>
      </c>
      <c r="P241" s="100">
        <v>0</v>
      </c>
      <c r="Q241" s="99">
        <v>2904.98</v>
      </c>
      <c r="R241" s="101">
        <v>6.1052302509326782E-4</v>
      </c>
      <c r="S241" t="str">
        <f t="shared" si="10"/>
        <v>N/A</v>
      </c>
      <c r="T241" t="str">
        <f>VLOOKUP(Table8[[#This Row],[Census Tract]],'UI EnergyBurden'!$A$2:$B$184,2,FALSE)</f>
        <v>Yes</v>
      </c>
      <c r="U241">
        <f>VLOOKUP(Table8[[#This Row],[Census Tract]],'Population and Diversity Data'!$B$2:$K$823,10,FALSE)</f>
        <v>5</v>
      </c>
    </row>
    <row r="242" spans="1:21" ht="15.75" thickBot="1" x14ac:dyDescent="0.3">
      <c r="A242" s="175">
        <v>9009142500</v>
      </c>
      <c r="B242" s="200" t="s">
        <v>943</v>
      </c>
      <c r="C242" s="93" t="s">
        <v>936</v>
      </c>
      <c r="D242" s="94">
        <v>86699.675800000099</v>
      </c>
      <c r="E242" s="95">
        <v>2.9793075828003688E-3</v>
      </c>
      <c r="F242" s="96">
        <v>0</v>
      </c>
      <c r="G242" s="95">
        <v>0</v>
      </c>
      <c r="H242" s="95" t="s">
        <v>2982</v>
      </c>
      <c r="I242" s="95" t="str">
        <f t="shared" si="11"/>
        <v>NO</v>
      </c>
      <c r="J242" s="97">
        <v>64777.257400000097</v>
      </c>
      <c r="K242" s="98">
        <v>2.9793075828003688E-3</v>
      </c>
      <c r="L242" s="99">
        <v>0</v>
      </c>
      <c r="M242" s="98">
        <v>0</v>
      </c>
      <c r="N242" s="98" t="str">
        <f t="shared" si="9"/>
        <v>NO</v>
      </c>
      <c r="O242" s="97">
        <v>21922.418399999999</v>
      </c>
      <c r="P242" s="100">
        <v>2.9793075828003688E-3</v>
      </c>
      <c r="Q242" s="99">
        <v>0</v>
      </c>
      <c r="R242" s="101">
        <v>0</v>
      </c>
      <c r="S242" t="str">
        <f t="shared" si="10"/>
        <v>NO</v>
      </c>
      <c r="T242" t="str">
        <f>VLOOKUP(Table8[[#This Row],[Census Tract]],'UI EnergyBurden'!$A$2:$B$184,2,FALSE)</f>
        <v>Yes</v>
      </c>
      <c r="U242">
        <f>VLOOKUP(Table8[[#This Row],[Census Tract]],'Population and Diversity Data'!$B$2:$K$823,10,FALSE)</f>
        <v>5</v>
      </c>
    </row>
    <row r="243" spans="1:21" ht="15.75" thickBot="1" x14ac:dyDescent="0.3">
      <c r="A243" s="175">
        <v>9009142601</v>
      </c>
      <c r="B243" s="200" t="s">
        <v>3024</v>
      </c>
      <c r="C243" s="93" t="s">
        <v>944</v>
      </c>
      <c r="D243" s="94">
        <v>67.625799999999998</v>
      </c>
      <c r="E243" s="95">
        <v>2.3238617315907073E-6</v>
      </c>
      <c r="F243" s="96">
        <v>0</v>
      </c>
      <c r="G243" s="95">
        <v>0</v>
      </c>
      <c r="H243" s="95" t="s">
        <v>2982</v>
      </c>
      <c r="I243" s="95" t="str">
        <f t="shared" si="11"/>
        <v>N/A</v>
      </c>
      <c r="J243" s="97">
        <v>67.625799999999998</v>
      </c>
      <c r="K243" s="98">
        <v>2.3238617315907073E-6</v>
      </c>
      <c r="L243" s="99">
        <v>0</v>
      </c>
      <c r="M243" s="98">
        <v>0</v>
      </c>
      <c r="N243" s="98" t="str">
        <f t="shared" si="9"/>
        <v>N/A</v>
      </c>
      <c r="O243" s="97">
        <v>0</v>
      </c>
      <c r="P243" s="100">
        <v>2.3238617315907073E-6</v>
      </c>
      <c r="Q243" s="99">
        <v>0</v>
      </c>
      <c r="R243" s="101">
        <v>0</v>
      </c>
      <c r="S243" t="str">
        <f t="shared" si="10"/>
        <v>N/A</v>
      </c>
      <c r="T243" t="str">
        <f>VLOOKUP(Table8[[#This Row],[Census Tract]],'UI EnergyBurden'!$A$2:$B$184,2,FALSE)</f>
        <v>No</v>
      </c>
      <c r="U243">
        <f>VLOOKUP(Table8[[#This Row],[Census Tract]],'Population and Diversity Data'!$B$2:$K$823,10,FALSE)</f>
        <v>5</v>
      </c>
    </row>
    <row r="244" spans="1:21" ht="15.75" thickBot="1" x14ac:dyDescent="0.3">
      <c r="A244" s="175">
        <v>9009142601</v>
      </c>
      <c r="B244" s="200" t="s">
        <v>943</v>
      </c>
      <c r="C244" s="93" t="s">
        <v>944</v>
      </c>
      <c r="D244" s="94">
        <v>118628.3470000001</v>
      </c>
      <c r="E244" s="95">
        <v>4.0764896810856731E-3</v>
      </c>
      <c r="F244" s="96">
        <v>33793.160000000003</v>
      </c>
      <c r="G244" s="95">
        <v>2.0113793343785129E-3</v>
      </c>
      <c r="H244" s="95" t="s">
        <v>2986</v>
      </c>
      <c r="I244" s="95" t="str">
        <f t="shared" si="11"/>
        <v>NO</v>
      </c>
      <c r="J244" s="97">
        <v>92154.619600000093</v>
      </c>
      <c r="K244" s="98">
        <v>4.0764896810856731E-3</v>
      </c>
      <c r="L244" s="99">
        <v>25570.16</v>
      </c>
      <c r="M244" s="98">
        <v>2.0113793343785129E-3</v>
      </c>
      <c r="N244" s="98" t="str">
        <f t="shared" si="9"/>
        <v>NO</v>
      </c>
      <c r="O244" s="97">
        <v>26473.7274</v>
      </c>
      <c r="P244" s="100">
        <v>4.0764896810856731E-3</v>
      </c>
      <c r="Q244" s="99">
        <v>8223</v>
      </c>
      <c r="R244" s="101">
        <v>2.0113793343785129E-3</v>
      </c>
      <c r="S244" t="str">
        <f t="shared" si="10"/>
        <v>NO</v>
      </c>
      <c r="T244" t="str">
        <f>VLOOKUP(Table8[[#This Row],[Census Tract]],'UI EnergyBurden'!$A$2:$B$184,2,FALSE)</f>
        <v>No</v>
      </c>
      <c r="U244">
        <f>VLOOKUP(Table8[[#This Row],[Census Tract]],'Population and Diversity Data'!$B$2:$K$823,10,FALSE)</f>
        <v>5</v>
      </c>
    </row>
    <row r="245" spans="1:21" ht="15.75" thickBot="1" x14ac:dyDescent="0.3">
      <c r="A245" s="175">
        <v>9009142601</v>
      </c>
      <c r="B245" s="200" t="s">
        <v>3025</v>
      </c>
      <c r="C245" s="93" t="s">
        <v>944</v>
      </c>
      <c r="D245" s="94">
        <v>529.9402</v>
      </c>
      <c r="E245" s="95">
        <v>1.8210620071208413E-5</v>
      </c>
      <c r="F245" s="96">
        <v>0</v>
      </c>
      <c r="G245" s="95">
        <v>0</v>
      </c>
      <c r="H245" s="95" t="s">
        <v>2982</v>
      </c>
      <c r="I245" s="95" t="str">
        <f t="shared" si="11"/>
        <v>NO</v>
      </c>
      <c r="J245" s="97">
        <v>529.9402</v>
      </c>
      <c r="K245" s="98">
        <v>1.8210620071208413E-5</v>
      </c>
      <c r="L245" s="99">
        <v>0</v>
      </c>
      <c r="M245" s="98">
        <v>0</v>
      </c>
      <c r="N245" s="98" t="str">
        <f t="shared" si="9"/>
        <v>NO</v>
      </c>
      <c r="O245" s="97">
        <v>0</v>
      </c>
      <c r="P245" s="100">
        <v>1.8210620071208413E-5</v>
      </c>
      <c r="Q245" s="99">
        <v>0</v>
      </c>
      <c r="R245" s="101">
        <v>0</v>
      </c>
      <c r="S245" t="str">
        <f t="shared" si="10"/>
        <v>NO</v>
      </c>
      <c r="T245" t="str">
        <f>VLOOKUP(Table8[[#This Row],[Census Tract]],'UI EnergyBurden'!$A$2:$B$184,2,FALSE)</f>
        <v>No</v>
      </c>
      <c r="U245">
        <f>VLOOKUP(Table8[[#This Row],[Census Tract]],'Population and Diversity Data'!$B$2:$K$823,10,FALSE)</f>
        <v>5</v>
      </c>
    </row>
    <row r="246" spans="1:21" ht="15.75" thickBot="1" x14ac:dyDescent="0.3">
      <c r="A246" s="175">
        <v>9009142603</v>
      </c>
      <c r="B246" s="200" t="s">
        <v>3024</v>
      </c>
      <c r="C246" s="93" t="s">
        <v>936</v>
      </c>
      <c r="D246" s="94">
        <v>258.6438</v>
      </c>
      <c r="E246" s="95">
        <v>8.8879159866973938E-6</v>
      </c>
      <c r="F246" s="96">
        <v>0</v>
      </c>
      <c r="G246" s="95">
        <v>0</v>
      </c>
      <c r="H246" s="95" t="s">
        <v>2982</v>
      </c>
      <c r="I246" s="95" t="str">
        <f t="shared" si="11"/>
        <v>NO</v>
      </c>
      <c r="J246" s="97">
        <v>0</v>
      </c>
      <c r="K246" s="98">
        <v>8.8879159866973938E-6</v>
      </c>
      <c r="L246" s="99">
        <v>0</v>
      </c>
      <c r="M246" s="98">
        <v>0</v>
      </c>
      <c r="N246" s="98" t="str">
        <f t="shared" si="9"/>
        <v>NO</v>
      </c>
      <c r="O246" s="97">
        <v>258.6438</v>
      </c>
      <c r="P246" s="100">
        <v>8.8879159866973938E-6</v>
      </c>
      <c r="Q246" s="99">
        <v>0</v>
      </c>
      <c r="R246" s="101">
        <v>0</v>
      </c>
      <c r="S246" t="str">
        <f t="shared" si="10"/>
        <v>NO</v>
      </c>
      <c r="T246" t="str">
        <f>VLOOKUP(Table8[[#This Row],[Census Tract]],'UI EnergyBurden'!$A$2:$B$184,2,FALSE)</f>
        <v>No</v>
      </c>
      <c r="U246">
        <f>VLOOKUP(Table8[[#This Row],[Census Tract]],'Population and Diversity Data'!$B$2:$K$823,10,FALSE)</f>
        <v>5</v>
      </c>
    </row>
    <row r="247" spans="1:21" ht="15.75" thickBot="1" x14ac:dyDescent="0.3">
      <c r="A247" s="175">
        <v>9009142603</v>
      </c>
      <c r="B247" s="200" t="s">
        <v>3015</v>
      </c>
      <c r="C247" s="93" t="s">
        <v>944</v>
      </c>
      <c r="D247" s="94">
        <v>0</v>
      </c>
      <c r="E247" s="95">
        <v>0</v>
      </c>
      <c r="F247" s="96">
        <v>24238.39</v>
      </c>
      <c r="G247" s="95">
        <v>1.4426764689838654E-3</v>
      </c>
      <c r="H247" s="95" t="s">
        <v>2993</v>
      </c>
      <c r="I247" s="95" t="str">
        <f t="shared" si="11"/>
        <v>N/A</v>
      </c>
      <c r="J247" s="97">
        <v>0</v>
      </c>
      <c r="K247" s="98">
        <v>0</v>
      </c>
      <c r="L247" s="99">
        <v>14190.36</v>
      </c>
      <c r="M247" s="98">
        <v>1.4426764689838654E-3</v>
      </c>
      <c r="N247" s="98" t="str">
        <f t="shared" si="9"/>
        <v>N/A</v>
      </c>
      <c r="O247" s="97">
        <v>0</v>
      </c>
      <c r="P247" s="100">
        <v>0</v>
      </c>
      <c r="Q247" s="99">
        <v>10048.030000000001</v>
      </c>
      <c r="R247" s="101">
        <v>1.4426764689838654E-3</v>
      </c>
      <c r="S247" t="str">
        <f t="shared" si="10"/>
        <v>N/A</v>
      </c>
      <c r="T247" t="str">
        <f>VLOOKUP(Table8[[#This Row],[Census Tract]],'UI EnergyBurden'!$A$2:$B$184,2,FALSE)</f>
        <v>No</v>
      </c>
      <c r="U247">
        <f>VLOOKUP(Table8[[#This Row],[Census Tract]],'Population and Diversity Data'!$B$2:$K$823,10,FALSE)</f>
        <v>5</v>
      </c>
    </row>
    <row r="248" spans="1:21" ht="15.75" thickBot="1" x14ac:dyDescent="0.3">
      <c r="A248" s="175">
        <v>9009142603</v>
      </c>
      <c r="B248" s="200" t="s">
        <v>943</v>
      </c>
      <c r="C248" s="93" t="s">
        <v>936</v>
      </c>
      <c r="D248" s="94">
        <v>54462.847300000001</v>
      </c>
      <c r="E248" s="95">
        <v>1.8715361095016738E-3</v>
      </c>
      <c r="F248" s="96">
        <v>0</v>
      </c>
      <c r="G248" s="95">
        <v>0</v>
      </c>
      <c r="H248" s="95" t="s">
        <v>2982</v>
      </c>
      <c r="I248" s="95" t="str">
        <f t="shared" si="11"/>
        <v>NO</v>
      </c>
      <c r="J248" s="97">
        <v>45179.0501</v>
      </c>
      <c r="K248" s="98">
        <v>1.8715361095016738E-3</v>
      </c>
      <c r="L248" s="99">
        <v>0</v>
      </c>
      <c r="M248" s="98">
        <v>0</v>
      </c>
      <c r="N248" s="98" t="str">
        <f t="shared" si="9"/>
        <v>NO</v>
      </c>
      <c r="O248" s="97">
        <v>9283.7972000000009</v>
      </c>
      <c r="P248" s="100">
        <v>1.8715361095016738E-3</v>
      </c>
      <c r="Q248" s="99">
        <v>0</v>
      </c>
      <c r="R248" s="101">
        <v>0</v>
      </c>
      <c r="S248" t="str">
        <f t="shared" si="10"/>
        <v>NO</v>
      </c>
      <c r="T248" t="str">
        <f>VLOOKUP(Table8[[#This Row],[Census Tract]],'UI EnergyBurden'!$A$2:$B$184,2,FALSE)</f>
        <v>No</v>
      </c>
      <c r="U248">
        <f>VLOOKUP(Table8[[#This Row],[Census Tract]],'Population and Diversity Data'!$B$2:$K$823,10,FALSE)</f>
        <v>5</v>
      </c>
    </row>
    <row r="249" spans="1:21" ht="15.75" thickBot="1" x14ac:dyDescent="0.3">
      <c r="A249" s="175">
        <v>9009142604</v>
      </c>
      <c r="B249" s="200" t="s">
        <v>3024</v>
      </c>
      <c r="C249" s="93" t="s">
        <v>944</v>
      </c>
      <c r="D249" s="94">
        <v>588.71630000000005</v>
      </c>
      <c r="E249" s="95">
        <v>2.0230374802718407E-5</v>
      </c>
      <c r="F249" s="96">
        <v>0</v>
      </c>
      <c r="G249" s="95">
        <v>0</v>
      </c>
      <c r="H249" s="95" t="s">
        <v>2982</v>
      </c>
      <c r="I249" s="95" t="str">
        <f t="shared" si="11"/>
        <v>NO</v>
      </c>
      <c r="J249" s="97">
        <v>588.71630000000005</v>
      </c>
      <c r="K249" s="98">
        <v>2.0230374802718407E-5</v>
      </c>
      <c r="L249" s="99">
        <v>0</v>
      </c>
      <c r="M249" s="98">
        <v>0</v>
      </c>
      <c r="N249" s="98" t="str">
        <f t="shared" si="9"/>
        <v>NO</v>
      </c>
      <c r="O249" s="97">
        <v>0</v>
      </c>
      <c r="P249" s="100">
        <v>2.0230374802718407E-5</v>
      </c>
      <c r="Q249" s="99">
        <v>0</v>
      </c>
      <c r="R249" s="101">
        <v>0</v>
      </c>
      <c r="S249" t="str">
        <f t="shared" si="10"/>
        <v>NO</v>
      </c>
      <c r="T249" t="str">
        <f>VLOOKUP(Table8[[#This Row],[Census Tract]],'UI EnergyBurden'!$A$2:$B$184,2,FALSE)</f>
        <v>No</v>
      </c>
      <c r="U249">
        <f>VLOOKUP(Table8[[#This Row],[Census Tract]],'Population and Diversity Data'!$B$2:$K$823,10,FALSE)</f>
        <v>4</v>
      </c>
    </row>
    <row r="250" spans="1:21" ht="15.75" thickBot="1" x14ac:dyDescent="0.3">
      <c r="A250" s="175">
        <v>9009142604</v>
      </c>
      <c r="B250" s="200" t="s">
        <v>943</v>
      </c>
      <c r="C250" s="93" t="s">
        <v>944</v>
      </c>
      <c r="D250" s="94">
        <v>47275.427100000001</v>
      </c>
      <c r="E250" s="95">
        <v>1.6245509240895672E-3</v>
      </c>
      <c r="F250" s="96">
        <v>17477.72</v>
      </c>
      <c r="G250" s="95">
        <v>1.0402792997178726E-3</v>
      </c>
      <c r="H250" s="95" t="s">
        <v>2986</v>
      </c>
      <c r="I250" s="95" t="str">
        <f t="shared" si="11"/>
        <v>NO</v>
      </c>
      <c r="J250" s="97">
        <v>40066.7255</v>
      </c>
      <c r="K250" s="98">
        <v>1.6245509240895672E-3</v>
      </c>
      <c r="L250" s="99">
        <v>16767.72</v>
      </c>
      <c r="M250" s="98">
        <v>1.0402792997178726E-3</v>
      </c>
      <c r="N250" s="98" t="str">
        <f t="shared" si="9"/>
        <v>NO</v>
      </c>
      <c r="O250" s="97">
        <v>7208.7016000000003</v>
      </c>
      <c r="P250" s="100">
        <v>1.6245509240895672E-3</v>
      </c>
      <c r="Q250" s="99">
        <v>710</v>
      </c>
      <c r="R250" s="101">
        <v>1.0402792997178726E-3</v>
      </c>
      <c r="S250" t="str">
        <f t="shared" si="10"/>
        <v>NO</v>
      </c>
      <c r="T250" t="str">
        <f>VLOOKUP(Table8[[#This Row],[Census Tract]],'UI EnergyBurden'!$A$2:$B$184,2,FALSE)</f>
        <v>No</v>
      </c>
      <c r="U250">
        <f>VLOOKUP(Table8[[#This Row],[Census Tract]],'Population and Diversity Data'!$B$2:$K$823,10,FALSE)</f>
        <v>4</v>
      </c>
    </row>
    <row r="251" spans="1:21" ht="15.75" thickBot="1" x14ac:dyDescent="0.3">
      <c r="A251" s="175">
        <v>9009142604</v>
      </c>
      <c r="B251" s="200" t="s">
        <v>3025</v>
      </c>
      <c r="C251" s="93" t="s">
        <v>944</v>
      </c>
      <c r="D251" s="94">
        <v>8.3750999999999998</v>
      </c>
      <c r="E251" s="95">
        <v>2.8779806506163821E-7</v>
      </c>
      <c r="F251" s="96">
        <v>0</v>
      </c>
      <c r="G251" s="95">
        <v>0</v>
      </c>
      <c r="H251" s="95" t="s">
        <v>2982</v>
      </c>
      <c r="I251" s="95" t="str">
        <f t="shared" si="11"/>
        <v>N/A</v>
      </c>
      <c r="J251" s="97">
        <v>8.3750999999999998</v>
      </c>
      <c r="K251" s="98">
        <v>2.8779806506163821E-7</v>
      </c>
      <c r="L251" s="99">
        <v>0</v>
      </c>
      <c r="M251" s="98">
        <v>0</v>
      </c>
      <c r="N251" s="98" t="str">
        <f t="shared" si="9"/>
        <v>N/A</v>
      </c>
      <c r="O251" s="97">
        <v>0</v>
      </c>
      <c r="P251" s="100">
        <v>2.8779806506163821E-7</v>
      </c>
      <c r="Q251" s="99">
        <v>0</v>
      </c>
      <c r="R251" s="101">
        <v>0</v>
      </c>
      <c r="S251" t="str">
        <f t="shared" si="10"/>
        <v>N/A</v>
      </c>
      <c r="T251" t="str">
        <f>VLOOKUP(Table8[[#This Row],[Census Tract]],'UI EnergyBurden'!$A$2:$B$184,2,FALSE)</f>
        <v>No</v>
      </c>
      <c r="U251">
        <f>VLOOKUP(Table8[[#This Row],[Census Tract]],'Population and Diversity Data'!$B$2:$K$823,10,FALSE)</f>
        <v>4</v>
      </c>
    </row>
    <row r="252" spans="1:21" ht="15.75" thickBot="1" x14ac:dyDescent="0.3">
      <c r="A252" s="175">
        <v>9009142604</v>
      </c>
      <c r="B252" s="200" t="s">
        <v>3023</v>
      </c>
      <c r="C252" s="93" t="s">
        <v>944</v>
      </c>
      <c r="D252" s="94">
        <v>0</v>
      </c>
      <c r="E252" s="95">
        <v>0</v>
      </c>
      <c r="F252" s="96">
        <v>3171.78</v>
      </c>
      <c r="G252" s="95">
        <v>1.8878532653338959E-4</v>
      </c>
      <c r="H252" s="95" t="s">
        <v>2993</v>
      </c>
      <c r="I252" s="95" t="str">
        <f t="shared" si="11"/>
        <v>N/A</v>
      </c>
      <c r="J252" s="97">
        <v>0</v>
      </c>
      <c r="K252" s="98">
        <v>0</v>
      </c>
      <c r="L252" s="99">
        <v>3171.78</v>
      </c>
      <c r="M252" s="98">
        <v>1.8878532653338959E-4</v>
      </c>
      <c r="N252" s="98" t="str">
        <f t="shared" si="9"/>
        <v>N/A</v>
      </c>
      <c r="O252" s="97">
        <v>0</v>
      </c>
      <c r="P252" s="100">
        <v>0</v>
      </c>
      <c r="Q252" s="99">
        <v>0</v>
      </c>
      <c r="R252" s="101">
        <v>1.8878532653338959E-4</v>
      </c>
      <c r="S252" t="str">
        <f t="shared" si="10"/>
        <v>N/A</v>
      </c>
      <c r="T252" t="str">
        <f>VLOOKUP(Table8[[#This Row],[Census Tract]],'UI EnergyBurden'!$A$2:$B$184,2,FALSE)</f>
        <v>No</v>
      </c>
      <c r="U252">
        <f>VLOOKUP(Table8[[#This Row],[Census Tract]],'Population and Diversity Data'!$B$2:$K$823,10,FALSE)</f>
        <v>4</v>
      </c>
    </row>
    <row r="253" spans="1:21" ht="15.75" thickBot="1" x14ac:dyDescent="0.3">
      <c r="A253" s="175">
        <v>9009142700</v>
      </c>
      <c r="B253" s="200" t="s">
        <v>3024</v>
      </c>
      <c r="C253" s="93" t="s">
        <v>944</v>
      </c>
      <c r="D253" s="94">
        <v>828.46839999999997</v>
      </c>
      <c r="E253" s="95">
        <v>2.84691051431877E-5</v>
      </c>
      <c r="F253" s="96">
        <v>0</v>
      </c>
      <c r="G253" s="95">
        <v>0</v>
      </c>
      <c r="H253" s="95" t="s">
        <v>2982</v>
      </c>
      <c r="I253" s="95" t="str">
        <f t="shared" si="11"/>
        <v>NO</v>
      </c>
      <c r="J253" s="97">
        <v>752.1549</v>
      </c>
      <c r="K253" s="98">
        <v>2.84691051431877E-5</v>
      </c>
      <c r="L253" s="99">
        <v>0</v>
      </c>
      <c r="M253" s="98">
        <v>0</v>
      </c>
      <c r="N253" s="98" t="str">
        <f t="shared" si="9"/>
        <v>NO</v>
      </c>
      <c r="O253" s="97">
        <v>76.313500000000005</v>
      </c>
      <c r="P253" s="100">
        <v>2.84691051431877E-5</v>
      </c>
      <c r="Q253" s="99">
        <v>0</v>
      </c>
      <c r="R253" s="101">
        <v>0</v>
      </c>
      <c r="S253" t="str">
        <f t="shared" si="10"/>
        <v>NO</v>
      </c>
      <c r="T253" t="str">
        <f>VLOOKUP(Table8[[#This Row],[Census Tract]],'UI EnergyBurden'!$A$2:$B$184,2,FALSE)</f>
        <v>Yes</v>
      </c>
      <c r="U253">
        <f>VLOOKUP(Table8[[#This Row],[Census Tract]],'Population and Diversity Data'!$B$2:$K$823,10,FALSE)</f>
        <v>5</v>
      </c>
    </row>
    <row r="254" spans="1:21" ht="15.75" thickBot="1" x14ac:dyDescent="0.3">
      <c r="A254" s="175">
        <v>9009142700</v>
      </c>
      <c r="B254" s="200" t="s">
        <v>943</v>
      </c>
      <c r="C254" s="93" t="s">
        <v>944</v>
      </c>
      <c r="D254" s="94">
        <v>121562.99810000011</v>
      </c>
      <c r="E254" s="95">
        <v>4.1773346749616885E-3</v>
      </c>
      <c r="F254" s="96">
        <v>47158.96</v>
      </c>
      <c r="G254" s="95">
        <v>2.8069158840067906E-3</v>
      </c>
      <c r="H254" s="95" t="s">
        <v>2986</v>
      </c>
      <c r="I254" s="95" t="str">
        <f t="shared" si="11"/>
        <v>NO</v>
      </c>
      <c r="J254" s="97">
        <v>83322.580300000103</v>
      </c>
      <c r="K254" s="98">
        <v>4.1773346749616885E-3</v>
      </c>
      <c r="L254" s="99">
        <v>29975.46</v>
      </c>
      <c r="M254" s="98">
        <v>2.8069158840067906E-3</v>
      </c>
      <c r="N254" s="98" t="str">
        <f t="shared" si="9"/>
        <v>NO</v>
      </c>
      <c r="O254" s="97">
        <v>38240.417800000003</v>
      </c>
      <c r="P254" s="100">
        <v>4.1773346749616885E-3</v>
      </c>
      <c r="Q254" s="99">
        <v>17183.5</v>
      </c>
      <c r="R254" s="101">
        <v>2.8069158840067906E-3</v>
      </c>
      <c r="S254" t="str">
        <f t="shared" si="10"/>
        <v>NO</v>
      </c>
      <c r="T254" t="str">
        <f>VLOOKUP(Table8[[#This Row],[Census Tract]],'UI EnergyBurden'!$A$2:$B$184,2,FALSE)</f>
        <v>Yes</v>
      </c>
      <c r="U254">
        <f>VLOOKUP(Table8[[#This Row],[Census Tract]],'Population and Diversity Data'!$B$2:$K$823,10,FALSE)</f>
        <v>5</v>
      </c>
    </row>
    <row r="255" spans="1:21" ht="15.75" thickBot="1" x14ac:dyDescent="0.3">
      <c r="A255" s="175">
        <v>9009142800</v>
      </c>
      <c r="B255" s="200" t="s">
        <v>3024</v>
      </c>
      <c r="C255" s="93" t="s">
        <v>944</v>
      </c>
      <c r="D255" s="94">
        <v>1088.9469999999999</v>
      </c>
      <c r="E255" s="95">
        <v>3.7420071348960097E-5</v>
      </c>
      <c r="F255" s="96">
        <v>0</v>
      </c>
      <c r="G255" s="95">
        <v>0</v>
      </c>
      <c r="H255" s="95" t="s">
        <v>2982</v>
      </c>
      <c r="I255" s="95" t="str">
        <f t="shared" si="11"/>
        <v>NO</v>
      </c>
      <c r="J255" s="97">
        <v>897.51229999999998</v>
      </c>
      <c r="K255" s="98">
        <v>3.7420071348960097E-5</v>
      </c>
      <c r="L255" s="99">
        <v>0</v>
      </c>
      <c r="M255" s="98">
        <v>0</v>
      </c>
      <c r="N255" s="98" t="str">
        <f t="shared" si="9"/>
        <v>NO</v>
      </c>
      <c r="O255" s="97">
        <v>191.43469999999999</v>
      </c>
      <c r="P255" s="100">
        <v>3.7420071348960097E-5</v>
      </c>
      <c r="Q255" s="99">
        <v>0</v>
      </c>
      <c r="R255" s="101">
        <v>0</v>
      </c>
      <c r="S255" t="str">
        <f t="shared" si="10"/>
        <v>NO</v>
      </c>
      <c r="T255" t="str">
        <f>VLOOKUP(Table8[[#This Row],[Census Tract]],'UI EnergyBurden'!$A$2:$B$184,2,FALSE)</f>
        <v>No</v>
      </c>
      <c r="U255">
        <f>VLOOKUP(Table8[[#This Row],[Census Tract]],'Population and Diversity Data'!$B$2:$K$823,10,FALSE)</f>
        <v>3</v>
      </c>
    </row>
    <row r="256" spans="1:21" ht="15.75" thickBot="1" x14ac:dyDescent="0.3">
      <c r="A256" s="175">
        <v>9009142800</v>
      </c>
      <c r="B256" s="200" t="s">
        <v>3016</v>
      </c>
      <c r="C256" s="93" t="s">
        <v>944</v>
      </c>
      <c r="D256" s="94">
        <v>0</v>
      </c>
      <c r="E256" s="95">
        <v>0</v>
      </c>
      <c r="F256" s="96">
        <v>490.74</v>
      </c>
      <c r="G256" s="95">
        <v>2.9208996570693934E-5</v>
      </c>
      <c r="H256" s="95" t="s">
        <v>2993</v>
      </c>
      <c r="I256" s="95" t="str">
        <f t="shared" si="11"/>
        <v>N/A</v>
      </c>
      <c r="J256" s="97">
        <v>0</v>
      </c>
      <c r="K256" s="98">
        <v>0</v>
      </c>
      <c r="L256" s="99">
        <v>490.74</v>
      </c>
      <c r="M256" s="98">
        <v>2.9208996570693934E-5</v>
      </c>
      <c r="N256" s="98" t="str">
        <f t="shared" si="9"/>
        <v>N/A</v>
      </c>
      <c r="O256" s="97">
        <v>0</v>
      </c>
      <c r="P256" s="100">
        <v>0</v>
      </c>
      <c r="Q256" s="99">
        <v>0</v>
      </c>
      <c r="R256" s="101">
        <v>2.9208996570693934E-5</v>
      </c>
      <c r="S256" t="str">
        <f t="shared" si="10"/>
        <v>N/A</v>
      </c>
      <c r="T256" t="str">
        <f>VLOOKUP(Table8[[#This Row],[Census Tract]],'UI EnergyBurden'!$A$2:$B$184,2,FALSE)</f>
        <v>No</v>
      </c>
      <c r="U256">
        <f>VLOOKUP(Table8[[#This Row],[Census Tract]],'Population and Diversity Data'!$B$2:$K$823,10,FALSE)</f>
        <v>3</v>
      </c>
    </row>
    <row r="257" spans="1:21" ht="15.75" thickBot="1" x14ac:dyDescent="0.3">
      <c r="A257" s="175">
        <v>9009142800</v>
      </c>
      <c r="B257" s="200" t="s">
        <v>943</v>
      </c>
      <c r="C257" s="93" t="s">
        <v>944</v>
      </c>
      <c r="D257" s="94">
        <v>88958.958700000105</v>
      </c>
      <c r="E257" s="95">
        <v>3.0569445360363718E-3</v>
      </c>
      <c r="F257" s="96">
        <v>68373.72</v>
      </c>
      <c r="G257" s="95">
        <v>4.0696249602754763E-3</v>
      </c>
      <c r="H257" s="95" t="s">
        <v>2993</v>
      </c>
      <c r="I257" s="95" t="str">
        <f t="shared" si="11"/>
        <v>YES</v>
      </c>
      <c r="J257" s="97">
        <v>77725.744400000098</v>
      </c>
      <c r="K257" s="98">
        <v>3.0569445360363718E-3</v>
      </c>
      <c r="L257" s="99">
        <v>67092.72</v>
      </c>
      <c r="M257" s="98">
        <v>4.0696249602754763E-3</v>
      </c>
      <c r="N257" s="98" t="str">
        <f t="shared" si="9"/>
        <v>YES</v>
      </c>
      <c r="O257" s="97">
        <v>11233.2143</v>
      </c>
      <c r="P257" s="100">
        <v>3.0569445360363718E-3</v>
      </c>
      <c r="Q257" s="99">
        <v>1281</v>
      </c>
      <c r="R257" s="101">
        <v>4.0696249602754763E-3</v>
      </c>
      <c r="S257" t="str">
        <f t="shared" si="10"/>
        <v>YES</v>
      </c>
      <c r="T257" t="str">
        <f>VLOOKUP(Table8[[#This Row],[Census Tract]],'UI EnergyBurden'!$A$2:$B$184,2,FALSE)</f>
        <v>No</v>
      </c>
      <c r="U257">
        <f>VLOOKUP(Table8[[#This Row],[Census Tract]],'Population and Diversity Data'!$B$2:$K$823,10,FALSE)</f>
        <v>3</v>
      </c>
    </row>
    <row r="258" spans="1:21" ht="15.75" thickBot="1" x14ac:dyDescent="0.3">
      <c r="A258" s="175">
        <v>9009150100</v>
      </c>
      <c r="B258" s="200" t="s">
        <v>3008</v>
      </c>
      <c r="C258" s="93" t="s">
        <v>944</v>
      </c>
      <c r="D258" s="94">
        <v>179186.3455</v>
      </c>
      <c r="E258" s="95">
        <v>6.1574767489780639E-3</v>
      </c>
      <c r="F258" s="96">
        <v>14849.91</v>
      </c>
      <c r="G258" s="95">
        <v>8.8387123581756843E-4</v>
      </c>
      <c r="H258" s="95" t="s">
        <v>2986</v>
      </c>
      <c r="I258" s="95" t="str">
        <f t="shared" si="11"/>
        <v>NO</v>
      </c>
      <c r="J258" s="97">
        <v>88019.366599999994</v>
      </c>
      <c r="K258" s="98">
        <v>6.1574767489780639E-3</v>
      </c>
      <c r="L258" s="99">
        <v>10986.41</v>
      </c>
      <c r="M258" s="98">
        <v>8.8387123581756843E-4</v>
      </c>
      <c r="N258" s="98" t="str">
        <f t="shared" si="9"/>
        <v>NO</v>
      </c>
      <c r="O258" s="97">
        <v>91166.978900000002</v>
      </c>
      <c r="P258" s="100">
        <v>6.1574767489780639E-3</v>
      </c>
      <c r="Q258" s="99">
        <v>3863.5</v>
      </c>
      <c r="R258" s="101">
        <v>8.8387123581756843E-4</v>
      </c>
      <c r="S258" t="str">
        <f t="shared" si="10"/>
        <v>NO</v>
      </c>
      <c r="T258" t="str">
        <f>VLOOKUP(Table8[[#This Row],[Census Tract]],'UI EnergyBurden'!$A$2:$B$184,2,FALSE)</f>
        <v>No</v>
      </c>
      <c r="U258">
        <f>VLOOKUP(Table8[[#This Row],[Census Tract]],'Population and Diversity Data'!$B$2:$K$823,10,FALSE)</f>
        <v>3</v>
      </c>
    </row>
    <row r="259" spans="1:21" ht="15.75" thickBot="1" x14ac:dyDescent="0.3">
      <c r="A259" s="175">
        <v>9009150200</v>
      </c>
      <c r="B259" s="200" t="s">
        <v>3008</v>
      </c>
      <c r="C259" s="93" t="s">
        <v>944</v>
      </c>
      <c r="D259" s="94">
        <v>76832.7527999999</v>
      </c>
      <c r="E259" s="95">
        <v>2.640245201752712E-3</v>
      </c>
      <c r="F259" s="96">
        <v>304163.26</v>
      </c>
      <c r="G259" s="95">
        <v>1.8103891303482673E-2</v>
      </c>
      <c r="H259" s="95" t="s">
        <v>2993</v>
      </c>
      <c r="I259" s="95" t="str">
        <f t="shared" si="11"/>
        <v>YES</v>
      </c>
      <c r="J259" s="97">
        <v>58587.509199999899</v>
      </c>
      <c r="K259" s="98">
        <v>2.640245201752712E-3</v>
      </c>
      <c r="L259" s="99">
        <v>301300.26</v>
      </c>
      <c r="M259" s="98">
        <v>1.8103891303482673E-2</v>
      </c>
      <c r="N259" s="98" t="str">
        <f t="shared" si="9"/>
        <v>YES</v>
      </c>
      <c r="O259" s="97">
        <v>18245.243600000002</v>
      </c>
      <c r="P259" s="100">
        <v>2.640245201752712E-3</v>
      </c>
      <c r="Q259" s="99">
        <v>2863</v>
      </c>
      <c r="R259" s="101">
        <v>1.8103891303482673E-2</v>
      </c>
      <c r="S259" t="str">
        <f t="shared" si="10"/>
        <v>YES</v>
      </c>
      <c r="T259" t="str">
        <f>VLOOKUP(Table8[[#This Row],[Census Tract]],'UI EnergyBurden'!$A$2:$B$184,2,FALSE)</f>
        <v>No</v>
      </c>
      <c r="U259">
        <f>VLOOKUP(Table8[[#This Row],[Census Tract]],'Population and Diversity Data'!$B$2:$K$823,10,FALSE)</f>
        <v>4</v>
      </c>
    </row>
    <row r="260" spans="1:21" ht="15.75" thickBot="1" x14ac:dyDescent="0.3">
      <c r="A260" s="175">
        <v>9009150300</v>
      </c>
      <c r="B260" s="200" t="s">
        <v>3008</v>
      </c>
      <c r="C260" s="93" t="s">
        <v>944</v>
      </c>
      <c r="D260" s="94">
        <v>125257.4150000001</v>
      </c>
      <c r="E260" s="95">
        <v>4.3042879095918432E-3</v>
      </c>
      <c r="F260" s="96">
        <v>29667.52</v>
      </c>
      <c r="G260" s="95">
        <v>1.7658199656457466E-3</v>
      </c>
      <c r="H260" s="95" t="s">
        <v>2986</v>
      </c>
      <c r="I260" s="95" t="str">
        <f t="shared" si="11"/>
        <v>NO</v>
      </c>
      <c r="J260" s="97">
        <v>70907.985900000102</v>
      </c>
      <c r="K260" s="98">
        <v>4.3042879095918432E-3</v>
      </c>
      <c r="L260" s="99">
        <v>9897.52</v>
      </c>
      <c r="M260" s="98">
        <v>1.7658199656457466E-3</v>
      </c>
      <c r="N260" s="98" t="str">
        <f t="shared" si="9"/>
        <v>NO</v>
      </c>
      <c r="O260" s="97">
        <v>54349.429100000001</v>
      </c>
      <c r="P260" s="100">
        <v>4.3042879095918432E-3</v>
      </c>
      <c r="Q260" s="99">
        <v>19770</v>
      </c>
      <c r="R260" s="101">
        <v>1.7658199656457466E-3</v>
      </c>
      <c r="S260" t="str">
        <f t="shared" si="10"/>
        <v>NO</v>
      </c>
      <c r="T260" t="str">
        <f>VLOOKUP(Table8[[#This Row],[Census Tract]],'UI EnergyBurden'!$A$2:$B$184,2,FALSE)</f>
        <v>No</v>
      </c>
      <c r="U260">
        <f>VLOOKUP(Table8[[#This Row],[Census Tract]],'Population and Diversity Data'!$B$2:$K$823,10,FALSE)</f>
        <v>3</v>
      </c>
    </row>
    <row r="261" spans="1:21" ht="15.75" thickBot="1" x14ac:dyDescent="0.3">
      <c r="A261" s="175">
        <v>9009150400</v>
      </c>
      <c r="B261" s="200" t="s">
        <v>3008</v>
      </c>
      <c r="C261" s="93" t="s">
        <v>944</v>
      </c>
      <c r="D261" s="94">
        <v>81023.231900000013</v>
      </c>
      <c r="E261" s="95">
        <v>2.7842448885219764E-3</v>
      </c>
      <c r="F261" s="96">
        <v>15749.52</v>
      </c>
      <c r="G261" s="95">
        <v>9.3741630123909915E-4</v>
      </c>
      <c r="H261" s="95" t="s">
        <v>2986</v>
      </c>
      <c r="I261" s="95" t="str">
        <f t="shared" si="11"/>
        <v>NO</v>
      </c>
      <c r="J261" s="97">
        <v>72449.754100000006</v>
      </c>
      <c r="K261" s="98">
        <v>2.7842448885219764E-3</v>
      </c>
      <c r="L261" s="99">
        <v>15589.52</v>
      </c>
      <c r="M261" s="98">
        <v>9.3741630123909915E-4</v>
      </c>
      <c r="N261" s="98" t="str">
        <f t="shared" si="9"/>
        <v>NO</v>
      </c>
      <c r="O261" s="97">
        <v>8573.4778000000006</v>
      </c>
      <c r="P261" s="100">
        <v>2.7842448885219764E-3</v>
      </c>
      <c r="Q261" s="99">
        <v>160</v>
      </c>
      <c r="R261" s="101">
        <v>9.3741630123909915E-4</v>
      </c>
      <c r="S261" t="str">
        <f t="shared" si="10"/>
        <v>NO</v>
      </c>
      <c r="T261" t="str">
        <f>VLOOKUP(Table8[[#This Row],[Census Tract]],'UI EnergyBurden'!$A$2:$B$184,2,FALSE)</f>
        <v>No</v>
      </c>
      <c r="U261">
        <f>VLOOKUP(Table8[[#This Row],[Census Tract]],'Population and Diversity Data'!$B$2:$K$823,10,FALSE)</f>
        <v>4</v>
      </c>
    </row>
    <row r="262" spans="1:21" ht="15.75" thickBot="1" x14ac:dyDescent="0.3">
      <c r="A262" s="175">
        <v>9009150500</v>
      </c>
      <c r="B262" s="200" t="s">
        <v>3008</v>
      </c>
      <c r="C262" s="93" t="s">
        <v>944</v>
      </c>
      <c r="D262" s="94">
        <v>108858.66749999981</v>
      </c>
      <c r="E262" s="95">
        <v>3.7407689307218045E-3</v>
      </c>
      <c r="F262" s="96">
        <v>23082.76</v>
      </c>
      <c r="G262" s="95">
        <v>1.3738930139832724E-3</v>
      </c>
      <c r="H262" s="95" t="s">
        <v>2986</v>
      </c>
      <c r="I262" s="95" t="str">
        <f t="shared" si="11"/>
        <v>NO</v>
      </c>
      <c r="J262" s="97">
        <v>76013.063599999805</v>
      </c>
      <c r="K262" s="98">
        <v>3.7407689307218045E-3</v>
      </c>
      <c r="L262" s="99">
        <v>23082.76</v>
      </c>
      <c r="M262" s="98">
        <v>1.3738930139832724E-3</v>
      </c>
      <c r="N262" s="98" t="str">
        <f t="shared" ref="N262:N325" si="12">IF(ROUND(K262,5)&lt;0.00001,"N/A",IF(ROUND(K262,5)&lt;=ROUND(M262,5),"YES","NO"))</f>
        <v>NO</v>
      </c>
      <c r="O262" s="97">
        <v>32845.603900000002</v>
      </c>
      <c r="P262" s="100">
        <v>3.7407689307218045E-3</v>
      </c>
      <c r="Q262" s="99">
        <v>0</v>
      </c>
      <c r="R262" s="101">
        <v>1.3738930139832724E-3</v>
      </c>
      <c r="S262" t="str">
        <f t="shared" ref="S262:S325" si="13">IF(ROUND(P262,5)&lt;0.00001,"N/A",IF(ROUND(P262,5)&lt;=ROUND(R262,5),"YES","NO"))</f>
        <v>NO</v>
      </c>
      <c r="T262" t="str">
        <f>VLOOKUP(Table8[[#This Row],[Census Tract]],'UI EnergyBurden'!$A$2:$B$184,2,FALSE)</f>
        <v>No</v>
      </c>
      <c r="U262">
        <f>VLOOKUP(Table8[[#This Row],[Census Tract]],'Population and Diversity Data'!$B$2:$K$823,10,FALSE)</f>
        <v>2</v>
      </c>
    </row>
    <row r="263" spans="1:21" ht="15.75" thickBot="1" x14ac:dyDescent="0.3">
      <c r="A263" s="175">
        <v>9009150500</v>
      </c>
      <c r="B263" s="200" t="s">
        <v>3021</v>
      </c>
      <c r="C263" s="93" t="s">
        <v>944</v>
      </c>
      <c r="D263" s="94">
        <v>0</v>
      </c>
      <c r="E263" s="95">
        <v>0</v>
      </c>
      <c r="F263" s="96">
        <v>181.36</v>
      </c>
      <c r="G263" s="95">
        <v>1.0794603289035033E-5</v>
      </c>
      <c r="H263" s="95" t="s">
        <v>2993</v>
      </c>
      <c r="I263" s="95" t="str">
        <f t="shared" si="11"/>
        <v>N/A</v>
      </c>
      <c r="J263" s="97">
        <v>0</v>
      </c>
      <c r="K263" s="98">
        <v>0</v>
      </c>
      <c r="L263" s="99">
        <v>181.36</v>
      </c>
      <c r="M263" s="98">
        <v>1.0794603289035033E-5</v>
      </c>
      <c r="N263" s="98" t="str">
        <f t="shared" si="12"/>
        <v>N/A</v>
      </c>
      <c r="O263" s="97">
        <v>0</v>
      </c>
      <c r="P263" s="100">
        <v>0</v>
      </c>
      <c r="Q263" s="99">
        <v>0</v>
      </c>
      <c r="R263" s="101">
        <v>1.0794603289035033E-5</v>
      </c>
      <c r="S263" t="str">
        <f t="shared" si="13"/>
        <v>N/A</v>
      </c>
      <c r="T263" t="str">
        <f>VLOOKUP(Table8[[#This Row],[Census Tract]],'UI EnergyBurden'!$A$2:$B$184,2,FALSE)</f>
        <v>No</v>
      </c>
      <c r="U263">
        <f>VLOOKUP(Table8[[#This Row],[Census Tract]],'Population and Diversity Data'!$B$2:$K$823,10,FALSE)</f>
        <v>2</v>
      </c>
    </row>
    <row r="264" spans="1:21" ht="15.75" thickBot="1" x14ac:dyDescent="0.3">
      <c r="A264" s="175">
        <v>9009150600</v>
      </c>
      <c r="B264" s="200" t="s">
        <v>3008</v>
      </c>
      <c r="C264" s="93" t="s">
        <v>944</v>
      </c>
      <c r="D264" s="94">
        <v>172473.5906</v>
      </c>
      <c r="E264" s="95">
        <v>5.9268027425240476E-3</v>
      </c>
      <c r="F264" s="96">
        <v>204525.41999999998</v>
      </c>
      <c r="G264" s="95">
        <v>1.2173416251782483E-2</v>
      </c>
      <c r="H264" s="95" t="s">
        <v>2993</v>
      </c>
      <c r="I264" s="95" t="str">
        <f t="shared" ref="I264:I327" si="14">IF(ROUND(E264,5)&lt;0.00001,"N/A",IF(ROUND(E264,5)&lt;=ROUND(G264,5),"YES","NO"))</f>
        <v>YES</v>
      </c>
      <c r="J264" s="97">
        <v>118660.9953</v>
      </c>
      <c r="K264" s="98">
        <v>5.9268027425240476E-3</v>
      </c>
      <c r="L264" s="99">
        <v>120779.61</v>
      </c>
      <c r="M264" s="98">
        <v>1.2173416251782483E-2</v>
      </c>
      <c r="N264" s="98" t="str">
        <f t="shared" si="12"/>
        <v>YES</v>
      </c>
      <c r="O264" s="97">
        <v>53812.595300000001</v>
      </c>
      <c r="P264" s="100">
        <v>5.9268027425240476E-3</v>
      </c>
      <c r="Q264" s="99">
        <v>83745.81</v>
      </c>
      <c r="R264" s="101">
        <v>1.2173416251782483E-2</v>
      </c>
      <c r="S264" t="str">
        <f t="shared" si="13"/>
        <v>YES</v>
      </c>
      <c r="T264" t="str">
        <f>VLOOKUP(Table8[[#This Row],[Census Tract]],'UI EnergyBurden'!$A$2:$B$184,2,FALSE)</f>
        <v>No</v>
      </c>
      <c r="U264">
        <f>VLOOKUP(Table8[[#This Row],[Census Tract]],'Population and Diversity Data'!$B$2:$K$823,10,FALSE)</f>
        <v>3</v>
      </c>
    </row>
    <row r="265" spans="1:21" ht="15.75" thickBot="1" x14ac:dyDescent="0.3">
      <c r="A265" s="175">
        <v>9009150700</v>
      </c>
      <c r="B265" s="200" t="s">
        <v>2985</v>
      </c>
      <c r="C265" s="93" t="s">
        <v>944</v>
      </c>
      <c r="D265" s="94">
        <v>454.1302</v>
      </c>
      <c r="E265" s="95">
        <v>1.5605520273913717E-5</v>
      </c>
      <c r="F265" s="96">
        <v>0</v>
      </c>
      <c r="G265" s="95">
        <v>0</v>
      </c>
      <c r="H265" s="95" t="s">
        <v>2982</v>
      </c>
      <c r="I265" s="95" t="str">
        <f t="shared" si="14"/>
        <v>NO</v>
      </c>
      <c r="J265" s="97">
        <v>454.1302</v>
      </c>
      <c r="K265" s="98">
        <v>1.5605520273913717E-5</v>
      </c>
      <c r="L265" s="99">
        <v>0</v>
      </c>
      <c r="M265" s="98">
        <v>0</v>
      </c>
      <c r="N265" s="98" t="str">
        <f t="shared" si="12"/>
        <v>NO</v>
      </c>
      <c r="O265" s="97">
        <v>0</v>
      </c>
      <c r="P265" s="100">
        <v>1.5605520273913717E-5</v>
      </c>
      <c r="Q265" s="99">
        <v>0</v>
      </c>
      <c r="R265" s="101">
        <v>0</v>
      </c>
      <c r="S265" t="str">
        <f t="shared" si="13"/>
        <v>NO</v>
      </c>
      <c r="T265" t="str">
        <f>VLOOKUP(Table8[[#This Row],[Census Tract]],'UI EnergyBurden'!$A$2:$B$184,2,FALSE)</f>
        <v>No</v>
      </c>
      <c r="U265">
        <f>VLOOKUP(Table8[[#This Row],[Census Tract]],'Population and Diversity Data'!$B$2:$K$823,10,FALSE)</f>
        <v>3</v>
      </c>
    </row>
    <row r="266" spans="1:21" ht="15.75" thickBot="1" x14ac:dyDescent="0.3">
      <c r="A266" s="175">
        <v>9009150700</v>
      </c>
      <c r="B266" s="200" t="s">
        <v>3008</v>
      </c>
      <c r="C266" s="93" t="s">
        <v>944</v>
      </c>
      <c r="D266" s="94">
        <v>107368.7398999998</v>
      </c>
      <c r="E266" s="95">
        <v>3.6895697473852554E-3</v>
      </c>
      <c r="F266" s="96">
        <v>19090.919999999998</v>
      </c>
      <c r="G266" s="95">
        <v>1.1362974626307051E-3</v>
      </c>
      <c r="H266" s="95" t="s">
        <v>2986</v>
      </c>
      <c r="I266" s="95" t="str">
        <f t="shared" si="14"/>
        <v>NO</v>
      </c>
      <c r="J266" s="97">
        <v>83005.870799999801</v>
      </c>
      <c r="K266" s="98">
        <v>3.6895697473852554E-3</v>
      </c>
      <c r="L266" s="99">
        <v>19090.919999999998</v>
      </c>
      <c r="M266" s="98">
        <v>1.1362974626307051E-3</v>
      </c>
      <c r="N266" s="98" t="str">
        <f t="shared" si="12"/>
        <v>NO</v>
      </c>
      <c r="O266" s="97">
        <v>24362.8691</v>
      </c>
      <c r="P266" s="100">
        <v>3.6895697473852554E-3</v>
      </c>
      <c r="Q266" s="99">
        <v>0</v>
      </c>
      <c r="R266" s="101">
        <v>1.1362974626307051E-3</v>
      </c>
      <c r="S266" t="str">
        <f t="shared" si="13"/>
        <v>NO</v>
      </c>
      <c r="T266" t="str">
        <f>VLOOKUP(Table8[[#This Row],[Census Tract]],'UI EnergyBurden'!$A$2:$B$184,2,FALSE)</f>
        <v>No</v>
      </c>
      <c r="U266">
        <f>VLOOKUP(Table8[[#This Row],[Census Tract]],'Population and Diversity Data'!$B$2:$K$823,10,FALSE)</f>
        <v>3</v>
      </c>
    </row>
    <row r="267" spans="1:21" ht="15.75" thickBot="1" x14ac:dyDescent="0.3">
      <c r="A267" s="175">
        <v>9009150700</v>
      </c>
      <c r="B267" s="200" t="s">
        <v>3012</v>
      </c>
      <c r="C267" s="93" t="s">
        <v>944</v>
      </c>
      <c r="D267" s="94">
        <v>728.59849999999994</v>
      </c>
      <c r="E267" s="95">
        <v>2.5037222063833506E-5</v>
      </c>
      <c r="F267" s="96">
        <v>1151.49</v>
      </c>
      <c r="G267" s="95">
        <v>6.853704092021917E-5</v>
      </c>
      <c r="H267" s="95" t="s">
        <v>2993</v>
      </c>
      <c r="I267" s="95" t="str">
        <f t="shared" si="14"/>
        <v>YES</v>
      </c>
      <c r="J267" s="97">
        <v>728.59849999999994</v>
      </c>
      <c r="K267" s="98">
        <v>2.5037222063833506E-5</v>
      </c>
      <c r="L267" s="99">
        <v>1151.49</v>
      </c>
      <c r="M267" s="98">
        <v>6.853704092021917E-5</v>
      </c>
      <c r="N267" s="98" t="str">
        <f t="shared" si="12"/>
        <v>YES</v>
      </c>
      <c r="O267" s="97">
        <v>0</v>
      </c>
      <c r="P267" s="100">
        <v>2.5037222063833506E-5</v>
      </c>
      <c r="Q267" s="99">
        <v>0</v>
      </c>
      <c r="R267" s="101">
        <v>6.853704092021917E-5</v>
      </c>
      <c r="S267" t="str">
        <f t="shared" si="13"/>
        <v>YES</v>
      </c>
      <c r="T267" t="str">
        <f>VLOOKUP(Table8[[#This Row],[Census Tract]],'UI EnergyBurden'!$A$2:$B$184,2,FALSE)</f>
        <v>No</v>
      </c>
      <c r="U267">
        <f>VLOOKUP(Table8[[#This Row],[Census Tract]],'Population and Diversity Data'!$B$2:$K$823,10,FALSE)</f>
        <v>3</v>
      </c>
    </row>
    <row r="268" spans="1:21" ht="15.75" thickBot="1" x14ac:dyDescent="0.3">
      <c r="A268" s="175">
        <v>9009150800</v>
      </c>
      <c r="B268" s="200" t="s">
        <v>3008</v>
      </c>
      <c r="C268" s="93" t="s">
        <v>944</v>
      </c>
      <c r="D268" s="94">
        <v>190234.08669999999</v>
      </c>
      <c r="E268" s="95">
        <v>6.5371162208245782E-3</v>
      </c>
      <c r="F268" s="96">
        <v>118095.83</v>
      </c>
      <c r="G268" s="95">
        <v>7.029100324985234E-3</v>
      </c>
      <c r="H268" s="95" t="s">
        <v>2993</v>
      </c>
      <c r="I268" s="95" t="str">
        <f t="shared" si="14"/>
        <v>YES</v>
      </c>
      <c r="J268" s="97">
        <v>69671.752900000007</v>
      </c>
      <c r="K268" s="98">
        <v>6.5371162208245782E-3</v>
      </c>
      <c r="L268" s="99">
        <v>9704.3799999999992</v>
      </c>
      <c r="M268" s="98">
        <v>7.029100324985234E-3</v>
      </c>
      <c r="N268" s="98" t="str">
        <f t="shared" si="12"/>
        <v>YES</v>
      </c>
      <c r="O268" s="97">
        <v>120562.33379999999</v>
      </c>
      <c r="P268" s="100">
        <v>6.5371162208245782E-3</v>
      </c>
      <c r="Q268" s="99">
        <v>108391.45</v>
      </c>
      <c r="R268" s="101">
        <v>7.029100324985234E-3</v>
      </c>
      <c r="S268" t="str">
        <f t="shared" si="13"/>
        <v>YES</v>
      </c>
      <c r="T268" t="str">
        <f>VLOOKUP(Table8[[#This Row],[Census Tract]],'UI EnergyBurden'!$A$2:$B$184,2,FALSE)</f>
        <v>No</v>
      </c>
      <c r="U268">
        <f>VLOOKUP(Table8[[#This Row],[Census Tract]],'Population and Diversity Data'!$B$2:$K$823,10,FALSE)</f>
        <v>4</v>
      </c>
    </row>
    <row r="269" spans="1:21" ht="15.75" thickBot="1" x14ac:dyDescent="0.3">
      <c r="A269" s="175">
        <v>9009150900</v>
      </c>
      <c r="B269" s="200" t="s">
        <v>3008</v>
      </c>
      <c r="C269" s="93" t="s">
        <v>944</v>
      </c>
      <c r="D269" s="94">
        <v>124130.36009999999</v>
      </c>
      <c r="E269" s="95">
        <v>4.2655583159824217E-3</v>
      </c>
      <c r="F269" s="96">
        <v>22622.400000000001</v>
      </c>
      <c r="G269" s="95">
        <v>1.3464922444081724E-3</v>
      </c>
      <c r="H269" s="95" t="s">
        <v>2986</v>
      </c>
      <c r="I269" s="95" t="str">
        <f t="shared" si="14"/>
        <v>NO</v>
      </c>
      <c r="J269" s="97">
        <v>80824.2261</v>
      </c>
      <c r="K269" s="98">
        <v>4.2655583159824217E-3</v>
      </c>
      <c r="L269" s="99">
        <v>18168.400000000001</v>
      </c>
      <c r="M269" s="98">
        <v>1.3464922444081724E-3</v>
      </c>
      <c r="N269" s="98" t="str">
        <f t="shared" si="12"/>
        <v>NO</v>
      </c>
      <c r="O269" s="97">
        <v>43306.133999999998</v>
      </c>
      <c r="P269" s="100">
        <v>4.2655583159824217E-3</v>
      </c>
      <c r="Q269" s="99">
        <v>4454</v>
      </c>
      <c r="R269" s="101">
        <v>1.3464922444081724E-3</v>
      </c>
      <c r="S269" t="str">
        <f t="shared" si="13"/>
        <v>NO</v>
      </c>
      <c r="T269" t="str">
        <f>VLOOKUP(Table8[[#This Row],[Census Tract]],'UI EnergyBurden'!$A$2:$B$184,2,FALSE)</f>
        <v>No</v>
      </c>
      <c r="U269">
        <f>VLOOKUP(Table8[[#This Row],[Census Tract]],'Population and Diversity Data'!$B$2:$K$823,10,FALSE)</f>
        <v>1</v>
      </c>
    </row>
    <row r="270" spans="1:21" ht="15.75" thickBot="1" x14ac:dyDescent="0.3">
      <c r="A270" s="175">
        <v>9009151000</v>
      </c>
      <c r="B270" s="200" t="s">
        <v>3008</v>
      </c>
      <c r="C270" s="93" t="s">
        <v>944</v>
      </c>
      <c r="D270" s="94">
        <v>80815.845700000093</v>
      </c>
      <c r="E270" s="95">
        <v>2.777118365008172E-3</v>
      </c>
      <c r="F270" s="96">
        <v>11692.4</v>
      </c>
      <c r="G270" s="95">
        <v>6.9593526409744819E-4</v>
      </c>
      <c r="H270" s="95" t="s">
        <v>2986</v>
      </c>
      <c r="I270" s="95" t="str">
        <f t="shared" si="14"/>
        <v>NO</v>
      </c>
      <c r="J270" s="97">
        <v>77262.277400000094</v>
      </c>
      <c r="K270" s="98">
        <v>2.777118365008172E-3</v>
      </c>
      <c r="L270" s="99">
        <v>11582.4</v>
      </c>
      <c r="M270" s="98">
        <v>6.9593526409744819E-4</v>
      </c>
      <c r="N270" s="98" t="str">
        <f t="shared" si="12"/>
        <v>NO</v>
      </c>
      <c r="O270" s="97">
        <v>3553.5682999999999</v>
      </c>
      <c r="P270" s="100">
        <v>2.777118365008172E-3</v>
      </c>
      <c r="Q270" s="99">
        <v>110</v>
      </c>
      <c r="R270" s="101">
        <v>6.9593526409744819E-4</v>
      </c>
      <c r="S270" t="str">
        <f t="shared" si="13"/>
        <v>NO</v>
      </c>
      <c r="T270" t="str">
        <f>VLOOKUP(Table8[[#This Row],[Census Tract]],'UI EnergyBurden'!$A$2:$B$184,2,FALSE)</f>
        <v>No</v>
      </c>
      <c r="U270">
        <f>VLOOKUP(Table8[[#This Row],[Census Tract]],'Population and Diversity Data'!$B$2:$K$823,10,FALSE)</f>
        <v>3</v>
      </c>
    </row>
    <row r="271" spans="1:21" ht="15.75" thickBot="1" x14ac:dyDescent="0.3">
      <c r="A271" s="175">
        <v>9009151100</v>
      </c>
      <c r="B271" s="200" t="s">
        <v>3008</v>
      </c>
      <c r="C271" s="93" t="s">
        <v>944</v>
      </c>
      <c r="D271" s="94">
        <v>167726.98670000001</v>
      </c>
      <c r="E271" s="95">
        <v>5.7636926401928492E-3</v>
      </c>
      <c r="F271" s="96">
        <v>32483.33</v>
      </c>
      <c r="G271" s="95">
        <v>1.9334178476886324E-3</v>
      </c>
      <c r="H271" s="95" t="s">
        <v>2986</v>
      </c>
      <c r="I271" s="95" t="str">
        <f t="shared" si="14"/>
        <v>NO</v>
      </c>
      <c r="J271" s="97">
        <v>116407.5059</v>
      </c>
      <c r="K271" s="98">
        <v>5.7636926401928492E-3</v>
      </c>
      <c r="L271" s="99">
        <v>22949.33</v>
      </c>
      <c r="M271" s="98">
        <v>1.9334178476886324E-3</v>
      </c>
      <c r="N271" s="98" t="str">
        <f t="shared" si="12"/>
        <v>NO</v>
      </c>
      <c r="O271" s="97">
        <v>51319.480799999998</v>
      </c>
      <c r="P271" s="100">
        <v>5.7636926401928492E-3</v>
      </c>
      <c r="Q271" s="99">
        <v>9534</v>
      </c>
      <c r="R271" s="101">
        <v>1.9334178476886324E-3</v>
      </c>
      <c r="S271" t="str">
        <f t="shared" si="13"/>
        <v>NO</v>
      </c>
      <c r="T271" t="str">
        <f>VLOOKUP(Table8[[#This Row],[Census Tract]],'UI EnergyBurden'!$A$2:$B$184,2,FALSE)</f>
        <v>No</v>
      </c>
      <c r="U271">
        <f>VLOOKUP(Table8[[#This Row],[Census Tract]],'Population and Diversity Data'!$B$2:$K$823,10,FALSE)</f>
        <v>3</v>
      </c>
    </row>
    <row r="272" spans="1:21" ht="15.75" thickBot="1" x14ac:dyDescent="0.3">
      <c r="A272" s="175">
        <v>9009151200</v>
      </c>
      <c r="B272" s="200" t="s">
        <v>3008</v>
      </c>
      <c r="C272" s="93" t="s">
        <v>944</v>
      </c>
      <c r="D272" s="94">
        <v>100733.4038000001</v>
      </c>
      <c r="E272" s="95">
        <v>3.4615561247880867E-3</v>
      </c>
      <c r="F272" s="96">
        <v>23223.09</v>
      </c>
      <c r="G272" s="95">
        <v>1.3822454989829984E-3</v>
      </c>
      <c r="H272" s="95" t="s">
        <v>2986</v>
      </c>
      <c r="I272" s="95" t="str">
        <f t="shared" si="14"/>
        <v>NO</v>
      </c>
      <c r="J272" s="97">
        <v>55146.045800000102</v>
      </c>
      <c r="K272" s="98">
        <v>3.4615561247880867E-3</v>
      </c>
      <c r="L272" s="99">
        <v>21109.09</v>
      </c>
      <c r="M272" s="98">
        <v>1.3822454989829984E-3</v>
      </c>
      <c r="N272" s="98" t="str">
        <f t="shared" si="12"/>
        <v>NO</v>
      </c>
      <c r="O272" s="97">
        <v>45587.358</v>
      </c>
      <c r="P272" s="100">
        <v>3.4615561247880867E-3</v>
      </c>
      <c r="Q272" s="99">
        <v>2114</v>
      </c>
      <c r="R272" s="101">
        <v>1.3822454989829984E-3</v>
      </c>
      <c r="S272" t="str">
        <f t="shared" si="13"/>
        <v>NO</v>
      </c>
      <c r="T272" t="str">
        <f>VLOOKUP(Table8[[#This Row],[Census Tract]],'UI EnergyBurden'!$A$2:$B$184,2,FALSE)</f>
        <v>No</v>
      </c>
      <c r="U272">
        <f>VLOOKUP(Table8[[#This Row],[Census Tract]],'Population and Diversity Data'!$B$2:$K$823,10,FALSE)</f>
        <v>2</v>
      </c>
    </row>
    <row r="273" spans="1:21" ht="15.75" thickBot="1" x14ac:dyDescent="0.3">
      <c r="A273" s="175">
        <v>9009151200</v>
      </c>
      <c r="B273" s="200" t="s">
        <v>3012</v>
      </c>
      <c r="C273" s="93" t="s">
        <v>944</v>
      </c>
      <c r="D273" s="94">
        <v>10.418200000000001</v>
      </c>
      <c r="E273" s="95">
        <v>3.5800620905125425E-7</v>
      </c>
      <c r="F273" s="96">
        <v>0</v>
      </c>
      <c r="G273" s="95">
        <v>0</v>
      </c>
      <c r="H273" s="95" t="s">
        <v>2982</v>
      </c>
      <c r="I273" s="95" t="str">
        <f t="shared" si="14"/>
        <v>N/A</v>
      </c>
      <c r="J273" s="97">
        <v>0</v>
      </c>
      <c r="K273" s="98">
        <v>3.5800620905125425E-7</v>
      </c>
      <c r="L273" s="99">
        <v>0</v>
      </c>
      <c r="M273" s="98">
        <v>0</v>
      </c>
      <c r="N273" s="98" t="str">
        <f t="shared" si="12"/>
        <v>N/A</v>
      </c>
      <c r="O273" s="97">
        <v>10.418200000000001</v>
      </c>
      <c r="P273" s="100">
        <v>3.5800620905125425E-7</v>
      </c>
      <c r="Q273" s="99">
        <v>0</v>
      </c>
      <c r="R273" s="101">
        <v>0</v>
      </c>
      <c r="S273" t="str">
        <f t="shared" si="13"/>
        <v>N/A</v>
      </c>
      <c r="T273" t="str">
        <f>VLOOKUP(Table8[[#This Row],[Census Tract]],'UI EnergyBurden'!$A$2:$B$184,2,FALSE)</f>
        <v>No</v>
      </c>
      <c r="U273">
        <f>VLOOKUP(Table8[[#This Row],[Census Tract]],'Population and Diversity Data'!$B$2:$K$823,10,FALSE)</f>
        <v>2</v>
      </c>
    </row>
    <row r="274" spans="1:21" ht="15.75" thickBot="1" x14ac:dyDescent="0.3">
      <c r="A274" s="175">
        <v>9009151200</v>
      </c>
      <c r="B274" s="200" t="s">
        <v>950</v>
      </c>
      <c r="C274" s="93" t="s">
        <v>944</v>
      </c>
      <c r="D274" s="94">
        <v>43.496099999999998</v>
      </c>
      <c r="E274" s="95">
        <v>1.4946798745958283E-6</v>
      </c>
      <c r="F274" s="96">
        <v>0</v>
      </c>
      <c r="G274" s="95">
        <v>0</v>
      </c>
      <c r="H274" s="95" t="s">
        <v>2982</v>
      </c>
      <c r="I274" s="95" t="str">
        <f t="shared" si="14"/>
        <v>N/A</v>
      </c>
      <c r="J274" s="97">
        <v>43.496099999999998</v>
      </c>
      <c r="K274" s="98">
        <v>1.4946798745958283E-6</v>
      </c>
      <c r="L274" s="99">
        <v>0</v>
      </c>
      <c r="M274" s="98">
        <v>0</v>
      </c>
      <c r="N274" s="98" t="str">
        <f t="shared" si="12"/>
        <v>N/A</v>
      </c>
      <c r="O274" s="97">
        <v>0</v>
      </c>
      <c r="P274" s="100">
        <v>1.4946798745958283E-6</v>
      </c>
      <c r="Q274" s="99">
        <v>0</v>
      </c>
      <c r="R274" s="101">
        <v>0</v>
      </c>
      <c r="S274" t="str">
        <f t="shared" si="13"/>
        <v>N/A</v>
      </c>
      <c r="T274" t="str">
        <f>VLOOKUP(Table8[[#This Row],[Census Tract]],'UI EnergyBurden'!$A$2:$B$184,2,FALSE)</f>
        <v>No</v>
      </c>
      <c r="U274">
        <f>VLOOKUP(Table8[[#This Row],[Census Tract]],'Population and Diversity Data'!$B$2:$K$823,10,FALSE)</f>
        <v>2</v>
      </c>
    </row>
    <row r="275" spans="1:21" ht="15.75" thickBot="1" x14ac:dyDescent="0.3">
      <c r="A275" s="175">
        <v>9009154100</v>
      </c>
      <c r="B275" s="200" t="s">
        <v>3024</v>
      </c>
      <c r="C275" s="93" t="s">
        <v>944</v>
      </c>
      <c r="D275" s="94">
        <v>88.630099999999999</v>
      </c>
      <c r="E275" s="95">
        <v>3.0456437876824754E-6</v>
      </c>
      <c r="F275" s="96">
        <v>0</v>
      </c>
      <c r="G275" s="95">
        <v>0</v>
      </c>
      <c r="H275" s="95" t="s">
        <v>2982</v>
      </c>
      <c r="I275" s="95" t="str">
        <f t="shared" si="14"/>
        <v>N/A</v>
      </c>
      <c r="J275" s="97">
        <v>88.630099999999999</v>
      </c>
      <c r="K275" s="98">
        <v>3.0456437876824754E-6</v>
      </c>
      <c r="L275" s="99">
        <v>0</v>
      </c>
      <c r="M275" s="98">
        <v>0</v>
      </c>
      <c r="N275" s="98" t="str">
        <f t="shared" si="12"/>
        <v>N/A</v>
      </c>
      <c r="O275" s="97">
        <v>0</v>
      </c>
      <c r="P275" s="100">
        <v>3.0456437876824754E-6</v>
      </c>
      <c r="Q275" s="99">
        <v>0</v>
      </c>
      <c r="R275" s="101">
        <v>0</v>
      </c>
      <c r="S275" t="str">
        <f t="shared" si="13"/>
        <v>N/A</v>
      </c>
      <c r="T275" t="str">
        <f>VLOOKUP(Table8[[#This Row],[Census Tract]],'UI EnergyBurden'!$A$2:$B$184,2,FALSE)</f>
        <v>No</v>
      </c>
      <c r="U275">
        <f>VLOOKUP(Table8[[#This Row],[Census Tract]],'Population and Diversity Data'!$B$2:$K$823,10,FALSE)</f>
        <v>4</v>
      </c>
    </row>
    <row r="276" spans="1:21" ht="15.75" thickBot="1" x14ac:dyDescent="0.3">
      <c r="A276" s="175">
        <v>9009154100</v>
      </c>
      <c r="B276" s="200" t="s">
        <v>943</v>
      </c>
      <c r="C276" s="93" t="s">
        <v>944</v>
      </c>
      <c r="D276" s="94">
        <v>138.0009</v>
      </c>
      <c r="E276" s="95">
        <v>4.7421991375344327E-6</v>
      </c>
      <c r="F276" s="96">
        <v>0</v>
      </c>
      <c r="G276" s="95">
        <v>0</v>
      </c>
      <c r="H276" s="95" t="s">
        <v>2982</v>
      </c>
      <c r="I276" s="95" t="str">
        <f t="shared" si="14"/>
        <v>N/A</v>
      </c>
      <c r="J276" s="97">
        <v>138.0009</v>
      </c>
      <c r="K276" s="98">
        <v>4.7421991375344327E-6</v>
      </c>
      <c r="L276" s="99">
        <v>0</v>
      </c>
      <c r="M276" s="98">
        <v>0</v>
      </c>
      <c r="N276" s="98" t="str">
        <f t="shared" si="12"/>
        <v>N/A</v>
      </c>
      <c r="O276" s="97">
        <v>0</v>
      </c>
      <c r="P276" s="100">
        <v>4.7421991375344327E-6</v>
      </c>
      <c r="Q276" s="99">
        <v>0</v>
      </c>
      <c r="R276" s="101">
        <v>0</v>
      </c>
      <c r="S276" t="str">
        <f t="shared" si="13"/>
        <v>N/A</v>
      </c>
      <c r="T276" t="str">
        <f>VLOOKUP(Table8[[#This Row],[Census Tract]],'UI EnergyBurden'!$A$2:$B$184,2,FALSE)</f>
        <v>No</v>
      </c>
      <c r="U276">
        <f>VLOOKUP(Table8[[#This Row],[Census Tract]],'Population and Diversity Data'!$B$2:$K$823,10,FALSE)</f>
        <v>4</v>
      </c>
    </row>
    <row r="277" spans="1:21" ht="15.75" thickBot="1" x14ac:dyDescent="0.3">
      <c r="A277" s="175">
        <v>9009154100</v>
      </c>
      <c r="B277" s="200" t="s">
        <v>950</v>
      </c>
      <c r="C277" s="93" t="s">
        <v>944</v>
      </c>
      <c r="D277" s="94">
        <v>198882.78960000002</v>
      </c>
      <c r="E277" s="95">
        <v>6.8343162494705631E-3</v>
      </c>
      <c r="F277" s="96">
        <v>140493.75</v>
      </c>
      <c r="G277" s="95">
        <v>8.3622314503686897E-3</v>
      </c>
      <c r="H277" s="95" t="s">
        <v>2993</v>
      </c>
      <c r="I277" s="95" t="str">
        <f t="shared" si="14"/>
        <v>YES</v>
      </c>
      <c r="J277" s="97">
        <v>140097.96650000001</v>
      </c>
      <c r="K277" s="98">
        <v>6.8343162494705631E-3</v>
      </c>
      <c r="L277" s="99">
        <v>129756.75</v>
      </c>
      <c r="M277" s="98">
        <v>8.3622314503686897E-3</v>
      </c>
      <c r="N277" s="98" t="str">
        <f t="shared" si="12"/>
        <v>YES</v>
      </c>
      <c r="O277" s="97">
        <v>58784.823100000001</v>
      </c>
      <c r="P277" s="100">
        <v>6.8343162494705631E-3</v>
      </c>
      <c r="Q277" s="99">
        <v>10737</v>
      </c>
      <c r="R277" s="101">
        <v>8.3622314503686897E-3</v>
      </c>
      <c r="S277" t="str">
        <f t="shared" si="13"/>
        <v>YES</v>
      </c>
      <c r="T277" t="str">
        <f>VLOOKUP(Table8[[#This Row],[Census Tract]],'UI EnergyBurden'!$A$2:$B$184,2,FALSE)</f>
        <v>No</v>
      </c>
      <c r="U277">
        <f>VLOOKUP(Table8[[#This Row],[Census Tract]],'Population and Diversity Data'!$B$2:$K$823,10,FALSE)</f>
        <v>4</v>
      </c>
    </row>
    <row r="278" spans="1:21" ht="15.75" thickBot="1" x14ac:dyDescent="0.3">
      <c r="A278" s="175">
        <v>9009154200</v>
      </c>
      <c r="B278" s="200" t="s">
        <v>3024</v>
      </c>
      <c r="C278" s="93" t="s">
        <v>944</v>
      </c>
      <c r="D278" s="94">
        <v>546.85829999999999</v>
      </c>
      <c r="E278" s="95">
        <v>1.8791985839320947E-5</v>
      </c>
      <c r="F278" s="96">
        <v>0</v>
      </c>
      <c r="G278" s="95">
        <v>0</v>
      </c>
      <c r="H278" s="95" t="s">
        <v>2982</v>
      </c>
      <c r="I278" s="95" t="str">
        <f t="shared" si="14"/>
        <v>NO</v>
      </c>
      <c r="J278" s="97">
        <v>546.85829999999999</v>
      </c>
      <c r="K278" s="98">
        <v>1.8791985839320947E-5</v>
      </c>
      <c r="L278" s="99">
        <v>0</v>
      </c>
      <c r="M278" s="98">
        <v>0</v>
      </c>
      <c r="N278" s="98" t="str">
        <f t="shared" si="12"/>
        <v>NO</v>
      </c>
      <c r="O278" s="97">
        <v>0</v>
      </c>
      <c r="P278" s="100">
        <v>1.8791985839320947E-5</v>
      </c>
      <c r="Q278" s="99">
        <v>0</v>
      </c>
      <c r="R278" s="101">
        <v>0</v>
      </c>
      <c r="S278" t="str">
        <f t="shared" si="13"/>
        <v>NO</v>
      </c>
      <c r="T278" t="str">
        <f>VLOOKUP(Table8[[#This Row],[Census Tract]],'UI EnergyBurden'!$A$2:$B$184,2,FALSE)</f>
        <v>No</v>
      </c>
      <c r="U278">
        <f>VLOOKUP(Table8[[#This Row],[Census Tract]],'Population and Diversity Data'!$B$2:$K$823,10,FALSE)</f>
        <v>4</v>
      </c>
    </row>
    <row r="279" spans="1:21" ht="15.75" thickBot="1" x14ac:dyDescent="0.3">
      <c r="A279" s="175">
        <v>9009154200</v>
      </c>
      <c r="B279" s="200" t="s">
        <v>3025</v>
      </c>
      <c r="C279" s="93" t="s">
        <v>944</v>
      </c>
      <c r="D279" s="94">
        <v>495.87259999999998</v>
      </c>
      <c r="E279" s="95">
        <v>1.7039936812346563E-5</v>
      </c>
      <c r="F279" s="96">
        <v>1460.87</v>
      </c>
      <c r="G279" s="95">
        <v>8.6951434201878067E-5</v>
      </c>
      <c r="H279" s="95" t="s">
        <v>2993</v>
      </c>
      <c r="I279" s="95" t="str">
        <f t="shared" si="14"/>
        <v>YES</v>
      </c>
      <c r="J279" s="97">
        <v>476.2285</v>
      </c>
      <c r="K279" s="98">
        <v>1.7039936812346563E-5</v>
      </c>
      <c r="L279" s="99">
        <v>1460.87</v>
      </c>
      <c r="M279" s="98">
        <v>8.6951434201878067E-5</v>
      </c>
      <c r="N279" s="98" t="str">
        <f t="shared" si="12"/>
        <v>YES</v>
      </c>
      <c r="O279" s="97">
        <v>19.644100000000002</v>
      </c>
      <c r="P279" s="100">
        <v>1.7039936812346563E-5</v>
      </c>
      <c r="Q279" s="99">
        <v>0</v>
      </c>
      <c r="R279" s="101">
        <v>8.6951434201878067E-5</v>
      </c>
      <c r="S279" t="str">
        <f t="shared" si="13"/>
        <v>YES</v>
      </c>
      <c r="T279" t="str">
        <f>VLOOKUP(Table8[[#This Row],[Census Tract]],'UI EnergyBurden'!$A$2:$B$184,2,FALSE)</f>
        <v>No</v>
      </c>
      <c r="U279">
        <f>VLOOKUP(Table8[[#This Row],[Census Tract]],'Population and Diversity Data'!$B$2:$K$823,10,FALSE)</f>
        <v>4</v>
      </c>
    </row>
    <row r="280" spans="1:21" ht="15.75" thickBot="1" x14ac:dyDescent="0.3">
      <c r="A280" s="175">
        <v>9009154200</v>
      </c>
      <c r="B280" s="200" t="s">
        <v>950</v>
      </c>
      <c r="C280" s="93" t="s">
        <v>944</v>
      </c>
      <c r="D280" s="94">
        <v>158777.90529999998</v>
      </c>
      <c r="E280" s="95">
        <v>5.4561705436209753E-3</v>
      </c>
      <c r="F280" s="96">
        <v>33646.18</v>
      </c>
      <c r="G280" s="95">
        <v>2.0026310393221479E-3</v>
      </c>
      <c r="H280" s="95" t="s">
        <v>2986</v>
      </c>
      <c r="I280" s="95" t="str">
        <f t="shared" si="14"/>
        <v>NO</v>
      </c>
      <c r="J280" s="97">
        <v>124643.2671</v>
      </c>
      <c r="K280" s="98">
        <v>5.4561705436209753E-3</v>
      </c>
      <c r="L280" s="99">
        <v>33276.18</v>
      </c>
      <c r="M280" s="98">
        <v>2.0026310393221479E-3</v>
      </c>
      <c r="N280" s="98" t="str">
        <f t="shared" si="12"/>
        <v>NO</v>
      </c>
      <c r="O280" s="97">
        <v>34134.638200000001</v>
      </c>
      <c r="P280" s="100">
        <v>5.4561705436209753E-3</v>
      </c>
      <c r="Q280" s="99">
        <v>370</v>
      </c>
      <c r="R280" s="101">
        <v>2.0026310393221479E-3</v>
      </c>
      <c r="S280" t="str">
        <f t="shared" si="13"/>
        <v>NO</v>
      </c>
      <c r="T280" t="str">
        <f>VLOOKUP(Table8[[#This Row],[Census Tract]],'UI EnergyBurden'!$A$2:$B$184,2,FALSE)</f>
        <v>No</v>
      </c>
      <c r="U280">
        <f>VLOOKUP(Table8[[#This Row],[Census Tract]],'Population and Diversity Data'!$B$2:$K$823,10,FALSE)</f>
        <v>4</v>
      </c>
    </row>
    <row r="281" spans="1:21" ht="15.75" thickBot="1" x14ac:dyDescent="0.3">
      <c r="A281" s="175">
        <v>9009154500</v>
      </c>
      <c r="B281" s="200" t="s">
        <v>3024</v>
      </c>
      <c r="C281" s="93" t="s">
        <v>936</v>
      </c>
      <c r="D281" s="94">
        <v>1968.8759</v>
      </c>
      <c r="E281" s="95">
        <v>6.7657541326848818E-5</v>
      </c>
      <c r="F281" s="96">
        <v>0</v>
      </c>
      <c r="G281" s="95">
        <v>0</v>
      </c>
      <c r="H281" s="95" t="s">
        <v>2982</v>
      </c>
      <c r="I281" s="95" t="str">
        <f t="shared" si="14"/>
        <v>NO</v>
      </c>
      <c r="J281" s="97">
        <v>645.16579999999999</v>
      </c>
      <c r="K281" s="98">
        <v>6.7657541326848818E-5</v>
      </c>
      <c r="L281" s="99">
        <v>0</v>
      </c>
      <c r="M281" s="98">
        <v>0</v>
      </c>
      <c r="N281" s="98" t="str">
        <f t="shared" si="12"/>
        <v>NO</v>
      </c>
      <c r="O281" s="97">
        <v>1323.7101</v>
      </c>
      <c r="P281" s="100">
        <v>6.7657541326848818E-5</v>
      </c>
      <c r="Q281" s="99">
        <v>0</v>
      </c>
      <c r="R281" s="101">
        <v>0</v>
      </c>
      <c r="S281" t="str">
        <f t="shared" si="13"/>
        <v>NO</v>
      </c>
      <c r="T281" t="str">
        <f>VLOOKUP(Table8[[#This Row],[Census Tract]],'UI EnergyBurden'!$A$2:$B$184,2,FALSE)</f>
        <v>No</v>
      </c>
      <c r="U281">
        <f>VLOOKUP(Table8[[#This Row],[Census Tract]],'Population and Diversity Data'!$B$2:$K$823,10,FALSE)</f>
        <v>4</v>
      </c>
    </row>
    <row r="282" spans="1:21" ht="15.75" thickBot="1" x14ac:dyDescent="0.3">
      <c r="A282" s="175">
        <v>9009154500</v>
      </c>
      <c r="B282" s="200" t="s">
        <v>943</v>
      </c>
      <c r="C282" s="93" t="s">
        <v>936</v>
      </c>
      <c r="D282" s="94">
        <v>7.0670000000000002</v>
      </c>
      <c r="E282" s="95">
        <v>2.4284712132280179E-7</v>
      </c>
      <c r="F282" s="96">
        <v>0</v>
      </c>
      <c r="G282" s="95">
        <v>0</v>
      </c>
      <c r="H282" s="95" t="s">
        <v>2982</v>
      </c>
      <c r="I282" s="95" t="str">
        <f t="shared" si="14"/>
        <v>N/A</v>
      </c>
      <c r="J282" s="97">
        <v>0</v>
      </c>
      <c r="K282" s="98">
        <v>2.4284712132280179E-7</v>
      </c>
      <c r="L282" s="99">
        <v>0</v>
      </c>
      <c r="M282" s="98">
        <v>0</v>
      </c>
      <c r="N282" s="98" t="str">
        <f t="shared" si="12"/>
        <v>N/A</v>
      </c>
      <c r="O282" s="97">
        <v>7.0670000000000002</v>
      </c>
      <c r="P282" s="100">
        <v>2.4284712132280179E-7</v>
      </c>
      <c r="Q282" s="99">
        <v>0</v>
      </c>
      <c r="R282" s="101">
        <v>0</v>
      </c>
      <c r="S282" t="str">
        <f t="shared" si="13"/>
        <v>N/A</v>
      </c>
      <c r="T282" t="str">
        <f>VLOOKUP(Table8[[#This Row],[Census Tract]],'UI EnergyBurden'!$A$2:$B$184,2,FALSE)</f>
        <v>No</v>
      </c>
      <c r="U282">
        <f>VLOOKUP(Table8[[#This Row],[Census Tract]],'Population and Diversity Data'!$B$2:$K$823,10,FALSE)</f>
        <v>4</v>
      </c>
    </row>
    <row r="283" spans="1:21" ht="15.75" thickBot="1" x14ac:dyDescent="0.3">
      <c r="A283" s="175">
        <v>9009154500</v>
      </c>
      <c r="B283" s="200" t="s">
        <v>3025</v>
      </c>
      <c r="C283" s="93" t="s">
        <v>936</v>
      </c>
      <c r="D283" s="94">
        <v>36.828400000000002</v>
      </c>
      <c r="E283" s="95">
        <v>1.2655541138990625E-6</v>
      </c>
      <c r="F283" s="96">
        <v>0</v>
      </c>
      <c r="G283" s="95">
        <v>0</v>
      </c>
      <c r="H283" s="95" t="s">
        <v>2982</v>
      </c>
      <c r="I283" s="95" t="str">
        <f t="shared" si="14"/>
        <v>N/A</v>
      </c>
      <c r="J283" s="97">
        <v>0</v>
      </c>
      <c r="K283" s="98">
        <v>1.2655541138990625E-6</v>
      </c>
      <c r="L283" s="99">
        <v>0</v>
      </c>
      <c r="M283" s="98">
        <v>0</v>
      </c>
      <c r="N283" s="98" t="str">
        <f t="shared" si="12"/>
        <v>N/A</v>
      </c>
      <c r="O283" s="97">
        <v>36.828400000000002</v>
      </c>
      <c r="P283" s="100">
        <v>1.2655541138990625E-6</v>
      </c>
      <c r="Q283" s="99">
        <v>0</v>
      </c>
      <c r="R283" s="101">
        <v>0</v>
      </c>
      <c r="S283" t="str">
        <f t="shared" si="13"/>
        <v>N/A</v>
      </c>
      <c r="T283" t="str">
        <f>VLOOKUP(Table8[[#This Row],[Census Tract]],'UI EnergyBurden'!$A$2:$B$184,2,FALSE)</f>
        <v>No</v>
      </c>
      <c r="U283">
        <f>VLOOKUP(Table8[[#This Row],[Census Tract]],'Population and Diversity Data'!$B$2:$K$823,10,FALSE)</f>
        <v>4</v>
      </c>
    </row>
    <row r="284" spans="1:21" ht="15.75" thickBot="1" x14ac:dyDescent="0.3">
      <c r="A284" s="175">
        <v>9009154500</v>
      </c>
      <c r="B284" s="200" t="s">
        <v>3023</v>
      </c>
      <c r="C284" s="93" t="s">
        <v>944</v>
      </c>
      <c r="D284" s="94">
        <v>0</v>
      </c>
      <c r="E284" s="95">
        <v>0</v>
      </c>
      <c r="F284" s="96">
        <v>15384.05</v>
      </c>
      <c r="G284" s="95">
        <v>9.1566341381053916E-4</v>
      </c>
      <c r="H284" s="95" t="s">
        <v>2993</v>
      </c>
      <c r="I284" s="95" t="str">
        <f t="shared" si="14"/>
        <v>N/A</v>
      </c>
      <c r="J284" s="97">
        <v>0</v>
      </c>
      <c r="K284" s="98">
        <v>0</v>
      </c>
      <c r="L284" s="99">
        <v>6856.05</v>
      </c>
      <c r="M284" s="98">
        <v>9.1566341381053916E-4</v>
      </c>
      <c r="N284" s="98" t="str">
        <f t="shared" si="12"/>
        <v>N/A</v>
      </c>
      <c r="O284" s="97">
        <v>0</v>
      </c>
      <c r="P284" s="100">
        <v>0</v>
      </c>
      <c r="Q284" s="99">
        <v>8528</v>
      </c>
      <c r="R284" s="101">
        <v>9.1566341381053916E-4</v>
      </c>
      <c r="S284" t="str">
        <f t="shared" si="13"/>
        <v>N/A</v>
      </c>
      <c r="T284" t="str">
        <f>VLOOKUP(Table8[[#This Row],[Census Tract]],'UI EnergyBurden'!$A$2:$B$184,2,FALSE)</f>
        <v>No</v>
      </c>
      <c r="U284">
        <f>VLOOKUP(Table8[[#This Row],[Census Tract]],'Population and Diversity Data'!$B$2:$K$823,10,FALSE)</f>
        <v>4</v>
      </c>
    </row>
    <row r="285" spans="1:21" ht="15.75" thickBot="1" x14ac:dyDescent="0.3">
      <c r="A285" s="175">
        <v>9009154500</v>
      </c>
      <c r="B285" s="200" t="s">
        <v>950</v>
      </c>
      <c r="C285" s="93" t="s">
        <v>936</v>
      </c>
      <c r="D285" s="94">
        <v>102170.4350999998</v>
      </c>
      <c r="E285" s="95">
        <v>3.5109376041224136E-3</v>
      </c>
      <c r="F285" s="96">
        <v>0</v>
      </c>
      <c r="G285" s="95">
        <v>0</v>
      </c>
      <c r="H285" s="95" t="s">
        <v>2982</v>
      </c>
      <c r="I285" s="95" t="str">
        <f t="shared" si="14"/>
        <v>NO</v>
      </c>
      <c r="J285" s="97">
        <v>67239.908799999801</v>
      </c>
      <c r="K285" s="98">
        <v>3.5109376041224136E-3</v>
      </c>
      <c r="L285" s="99">
        <v>0</v>
      </c>
      <c r="M285" s="98">
        <v>0</v>
      </c>
      <c r="N285" s="98" t="str">
        <f t="shared" si="12"/>
        <v>NO</v>
      </c>
      <c r="O285" s="97">
        <v>34930.526299999998</v>
      </c>
      <c r="P285" s="100">
        <v>3.5109376041224136E-3</v>
      </c>
      <c r="Q285" s="99">
        <v>0</v>
      </c>
      <c r="R285" s="101">
        <v>0</v>
      </c>
      <c r="S285" t="str">
        <f t="shared" si="13"/>
        <v>NO</v>
      </c>
      <c r="T285" t="str">
        <f>VLOOKUP(Table8[[#This Row],[Census Tract]],'UI EnergyBurden'!$A$2:$B$184,2,FALSE)</f>
        <v>No</v>
      </c>
      <c r="U285">
        <f>VLOOKUP(Table8[[#This Row],[Census Tract]],'Population and Diversity Data'!$B$2:$K$823,10,FALSE)</f>
        <v>4</v>
      </c>
    </row>
    <row r="286" spans="1:21" ht="15.75" thickBot="1" x14ac:dyDescent="0.3">
      <c r="A286" s="175">
        <v>9009154600</v>
      </c>
      <c r="B286" s="200" t="s">
        <v>3024</v>
      </c>
      <c r="C286" s="93" t="s">
        <v>944</v>
      </c>
      <c r="D286" s="94">
        <v>716.68090000000007</v>
      </c>
      <c r="E286" s="95">
        <v>2.4627691166270667E-5</v>
      </c>
      <c r="F286" s="96">
        <v>0</v>
      </c>
      <c r="G286" s="95">
        <v>0</v>
      </c>
      <c r="H286" s="95" t="s">
        <v>2982</v>
      </c>
      <c r="I286" s="95" t="str">
        <f t="shared" si="14"/>
        <v>NO</v>
      </c>
      <c r="J286" s="97">
        <v>123.0565</v>
      </c>
      <c r="K286" s="98">
        <v>2.4627691166270667E-5</v>
      </c>
      <c r="L286" s="99">
        <v>0</v>
      </c>
      <c r="M286" s="98">
        <v>0</v>
      </c>
      <c r="N286" s="98" t="str">
        <f t="shared" si="12"/>
        <v>NO</v>
      </c>
      <c r="O286" s="97">
        <v>593.62440000000004</v>
      </c>
      <c r="P286" s="100">
        <v>2.4627691166270667E-5</v>
      </c>
      <c r="Q286" s="99">
        <v>0</v>
      </c>
      <c r="R286" s="101">
        <v>0</v>
      </c>
      <c r="S286" t="str">
        <f t="shared" si="13"/>
        <v>NO</v>
      </c>
      <c r="T286" t="str">
        <f>VLOOKUP(Table8[[#This Row],[Census Tract]],'UI EnergyBurden'!$A$2:$B$184,2,FALSE)</f>
        <v>No</v>
      </c>
      <c r="U286">
        <f>VLOOKUP(Table8[[#This Row],[Census Tract]],'Population and Diversity Data'!$B$2:$K$823,10,FALSE)</f>
        <v>5</v>
      </c>
    </row>
    <row r="287" spans="1:21" ht="15.75" thickBot="1" x14ac:dyDescent="0.3">
      <c r="A287" s="175">
        <v>9009154600</v>
      </c>
      <c r="B287" s="200" t="s">
        <v>943</v>
      </c>
      <c r="C287" s="93" t="s">
        <v>944</v>
      </c>
      <c r="D287" s="94">
        <v>9.6715999999999998</v>
      </c>
      <c r="E287" s="95">
        <v>3.3235039176250316E-7</v>
      </c>
      <c r="F287" s="96">
        <v>0</v>
      </c>
      <c r="G287" s="95">
        <v>0</v>
      </c>
      <c r="H287" s="95" t="s">
        <v>2982</v>
      </c>
      <c r="I287" s="95" t="str">
        <f t="shared" si="14"/>
        <v>N/A</v>
      </c>
      <c r="J287" s="97">
        <v>9.6715999999999998</v>
      </c>
      <c r="K287" s="98">
        <v>3.3235039176250316E-7</v>
      </c>
      <c r="L287" s="99">
        <v>0</v>
      </c>
      <c r="M287" s="98">
        <v>0</v>
      </c>
      <c r="N287" s="98" t="str">
        <f t="shared" si="12"/>
        <v>N/A</v>
      </c>
      <c r="O287" s="97">
        <v>0</v>
      </c>
      <c r="P287" s="100">
        <v>3.3235039176250316E-7</v>
      </c>
      <c r="Q287" s="99">
        <v>0</v>
      </c>
      <c r="R287" s="101">
        <v>0</v>
      </c>
      <c r="S287" t="str">
        <f t="shared" si="13"/>
        <v>N/A</v>
      </c>
      <c r="T287" t="str">
        <f>VLOOKUP(Table8[[#This Row],[Census Tract]],'UI EnergyBurden'!$A$2:$B$184,2,FALSE)</f>
        <v>No</v>
      </c>
      <c r="U287">
        <f>VLOOKUP(Table8[[#This Row],[Census Tract]],'Population and Diversity Data'!$B$2:$K$823,10,FALSE)</f>
        <v>5</v>
      </c>
    </row>
    <row r="288" spans="1:21" ht="15.75" thickBot="1" x14ac:dyDescent="0.3">
      <c r="A288" s="175">
        <v>9009154600</v>
      </c>
      <c r="B288" s="200" t="s">
        <v>3025</v>
      </c>
      <c r="C288" s="93" t="s">
        <v>944</v>
      </c>
      <c r="D288" s="94">
        <v>174.66720000000001</v>
      </c>
      <c r="E288" s="95">
        <v>6.0021829219632214E-6</v>
      </c>
      <c r="F288" s="96">
        <v>0</v>
      </c>
      <c r="G288" s="95">
        <v>0</v>
      </c>
      <c r="H288" s="95" t="s">
        <v>2982</v>
      </c>
      <c r="I288" s="95" t="str">
        <f t="shared" si="14"/>
        <v>NO</v>
      </c>
      <c r="J288" s="97">
        <v>174.66720000000001</v>
      </c>
      <c r="K288" s="98">
        <v>6.0021829219632214E-6</v>
      </c>
      <c r="L288" s="99">
        <v>0</v>
      </c>
      <c r="M288" s="98">
        <v>0</v>
      </c>
      <c r="N288" s="98" t="str">
        <f t="shared" si="12"/>
        <v>NO</v>
      </c>
      <c r="O288" s="97">
        <v>0</v>
      </c>
      <c r="P288" s="100">
        <v>6.0021829219632214E-6</v>
      </c>
      <c r="Q288" s="99">
        <v>0</v>
      </c>
      <c r="R288" s="101">
        <v>0</v>
      </c>
      <c r="S288" t="str">
        <f t="shared" si="13"/>
        <v>NO</v>
      </c>
      <c r="T288" t="str">
        <f>VLOOKUP(Table8[[#This Row],[Census Tract]],'UI EnergyBurden'!$A$2:$B$184,2,FALSE)</f>
        <v>No</v>
      </c>
      <c r="U288">
        <f>VLOOKUP(Table8[[#This Row],[Census Tract]],'Population and Diversity Data'!$B$2:$K$823,10,FALSE)</f>
        <v>5</v>
      </c>
    </row>
    <row r="289" spans="1:21" ht="15.75" thickBot="1" x14ac:dyDescent="0.3">
      <c r="A289" s="175">
        <v>9009154600</v>
      </c>
      <c r="B289" s="200" t="s">
        <v>950</v>
      </c>
      <c r="C289" s="93" t="s">
        <v>944</v>
      </c>
      <c r="D289" s="94">
        <v>124524.1572999999</v>
      </c>
      <c r="E289" s="95">
        <v>4.2790905809328896E-3</v>
      </c>
      <c r="F289" s="96">
        <v>23862.09</v>
      </c>
      <c r="G289" s="95">
        <v>1.4202789766059216E-3</v>
      </c>
      <c r="H289" s="95" t="s">
        <v>2986</v>
      </c>
      <c r="I289" s="95" t="str">
        <f t="shared" si="14"/>
        <v>NO</v>
      </c>
      <c r="J289" s="97">
        <v>74841.980299999894</v>
      </c>
      <c r="K289" s="98">
        <v>4.2790905809328896E-3</v>
      </c>
      <c r="L289" s="99">
        <v>16304.8</v>
      </c>
      <c r="M289" s="98">
        <v>1.4202789766059216E-3</v>
      </c>
      <c r="N289" s="98" t="str">
        <f t="shared" si="12"/>
        <v>NO</v>
      </c>
      <c r="O289" s="97">
        <v>49682.177000000003</v>
      </c>
      <c r="P289" s="100">
        <v>4.2790905809328896E-3</v>
      </c>
      <c r="Q289" s="99">
        <v>7557.29</v>
      </c>
      <c r="R289" s="101">
        <v>1.4202789766059216E-3</v>
      </c>
      <c r="S289" t="str">
        <f t="shared" si="13"/>
        <v>NO</v>
      </c>
      <c r="T289" t="str">
        <f>VLOOKUP(Table8[[#This Row],[Census Tract]],'UI EnergyBurden'!$A$2:$B$184,2,FALSE)</f>
        <v>No</v>
      </c>
      <c r="U289">
        <f>VLOOKUP(Table8[[#This Row],[Census Tract]],'Population and Diversity Data'!$B$2:$K$823,10,FALSE)</f>
        <v>5</v>
      </c>
    </row>
    <row r="290" spans="1:21" ht="15.75" thickBot="1" x14ac:dyDescent="0.3">
      <c r="A290" s="175">
        <v>9009154700</v>
      </c>
      <c r="B290" s="200" t="s">
        <v>3025</v>
      </c>
      <c r="C290" s="93" t="s">
        <v>944</v>
      </c>
      <c r="D290" s="94">
        <v>313.58850000000001</v>
      </c>
      <c r="E290" s="95">
        <v>1.0776010259648426E-5</v>
      </c>
      <c r="F290" s="96">
        <v>0</v>
      </c>
      <c r="G290" s="95">
        <v>0</v>
      </c>
      <c r="H290" s="95" t="s">
        <v>2982</v>
      </c>
      <c r="I290" s="95" t="str">
        <f t="shared" si="14"/>
        <v>NO</v>
      </c>
      <c r="J290" s="97">
        <v>313.58850000000001</v>
      </c>
      <c r="K290" s="98">
        <v>1.0776010259648426E-5</v>
      </c>
      <c r="L290" s="99">
        <v>0</v>
      </c>
      <c r="M290" s="98">
        <v>0</v>
      </c>
      <c r="N290" s="98" t="str">
        <f t="shared" si="12"/>
        <v>NO</v>
      </c>
      <c r="O290" s="97">
        <v>0</v>
      </c>
      <c r="P290" s="100">
        <v>1.0776010259648426E-5</v>
      </c>
      <c r="Q290" s="99">
        <v>0</v>
      </c>
      <c r="R290" s="101">
        <v>0</v>
      </c>
      <c r="S290" t="str">
        <f t="shared" si="13"/>
        <v>NO</v>
      </c>
      <c r="T290" t="str">
        <f>VLOOKUP(Table8[[#This Row],[Census Tract]],'UI EnergyBurden'!$A$2:$B$184,2,FALSE)</f>
        <v>No</v>
      </c>
      <c r="U290">
        <f>VLOOKUP(Table8[[#This Row],[Census Tract]],'Population and Diversity Data'!$B$2:$K$823,10,FALSE)</f>
        <v>3</v>
      </c>
    </row>
    <row r="291" spans="1:21" ht="15.75" thickBot="1" x14ac:dyDescent="0.3">
      <c r="A291" s="175">
        <v>9009154700</v>
      </c>
      <c r="B291" s="200" t="s">
        <v>950</v>
      </c>
      <c r="C291" s="93" t="s">
        <v>944</v>
      </c>
      <c r="D291" s="94">
        <v>134719.53969999999</v>
      </c>
      <c r="E291" s="95">
        <v>4.629439988973809E-3</v>
      </c>
      <c r="F291" s="96">
        <v>69735.48000000001</v>
      </c>
      <c r="G291" s="95">
        <v>4.1506773366256997E-3</v>
      </c>
      <c r="H291" s="95" t="s">
        <v>2993</v>
      </c>
      <c r="I291" s="95" t="str">
        <f t="shared" si="14"/>
        <v>NO</v>
      </c>
      <c r="J291" s="97">
        <v>110784.84239999999</v>
      </c>
      <c r="K291" s="98">
        <v>4.629439988973809E-3</v>
      </c>
      <c r="L291" s="99">
        <v>34515.480000000003</v>
      </c>
      <c r="M291" s="98">
        <v>4.1506773366256997E-3</v>
      </c>
      <c r="N291" s="98" t="str">
        <f t="shared" si="12"/>
        <v>NO</v>
      </c>
      <c r="O291" s="97">
        <v>23934.6973</v>
      </c>
      <c r="P291" s="100">
        <v>4.629439988973809E-3</v>
      </c>
      <c r="Q291" s="99">
        <v>35220</v>
      </c>
      <c r="R291" s="101">
        <v>4.1506773366256997E-3</v>
      </c>
      <c r="S291" t="str">
        <f t="shared" si="13"/>
        <v>NO</v>
      </c>
      <c r="T291" t="str">
        <f>VLOOKUP(Table8[[#This Row],[Census Tract]],'UI EnergyBurden'!$A$2:$B$184,2,FALSE)</f>
        <v>No</v>
      </c>
      <c r="U291">
        <f>VLOOKUP(Table8[[#This Row],[Census Tract]],'Population and Diversity Data'!$B$2:$K$823,10,FALSE)</f>
        <v>3</v>
      </c>
    </row>
    <row r="292" spans="1:21" ht="15.75" thickBot="1" x14ac:dyDescent="0.3">
      <c r="A292" s="175">
        <v>9009154800</v>
      </c>
      <c r="B292" s="200" t="s">
        <v>3024</v>
      </c>
      <c r="C292" s="93" t="s">
        <v>944</v>
      </c>
      <c r="D292" s="94">
        <v>529.83010000000002</v>
      </c>
      <c r="E292" s="95">
        <v>1.8206836645701457E-5</v>
      </c>
      <c r="F292" s="96">
        <v>0</v>
      </c>
      <c r="G292" s="95">
        <v>0</v>
      </c>
      <c r="H292" s="95" t="s">
        <v>2982</v>
      </c>
      <c r="I292" s="95" t="str">
        <f t="shared" si="14"/>
        <v>NO</v>
      </c>
      <c r="J292" s="97">
        <v>147.84030000000001</v>
      </c>
      <c r="K292" s="98">
        <v>1.8206836645701457E-5</v>
      </c>
      <c r="L292" s="99">
        <v>0</v>
      </c>
      <c r="M292" s="98">
        <v>0</v>
      </c>
      <c r="N292" s="98" t="str">
        <f t="shared" si="12"/>
        <v>NO</v>
      </c>
      <c r="O292" s="97">
        <v>381.9898</v>
      </c>
      <c r="P292" s="100">
        <v>1.8206836645701457E-5</v>
      </c>
      <c r="Q292" s="99">
        <v>0</v>
      </c>
      <c r="R292" s="101">
        <v>0</v>
      </c>
      <c r="S292" t="str">
        <f t="shared" si="13"/>
        <v>NO</v>
      </c>
      <c r="T292" t="str">
        <f>VLOOKUP(Table8[[#This Row],[Census Tract]],'UI EnergyBurden'!$A$2:$B$184,2,FALSE)</f>
        <v>No</v>
      </c>
      <c r="U292">
        <f>VLOOKUP(Table8[[#This Row],[Census Tract]],'Population and Diversity Data'!$B$2:$K$823,10,FALSE)</f>
        <v>2</v>
      </c>
    </row>
    <row r="293" spans="1:21" ht="15.75" thickBot="1" x14ac:dyDescent="0.3">
      <c r="A293" s="175">
        <v>9009154800</v>
      </c>
      <c r="B293" s="200" t="s">
        <v>3025</v>
      </c>
      <c r="C293" s="93" t="s">
        <v>944</v>
      </c>
      <c r="D293" s="94">
        <v>110.60680000000001</v>
      </c>
      <c r="E293" s="95">
        <v>3.8008409478883365E-6</v>
      </c>
      <c r="F293" s="96">
        <v>980.87</v>
      </c>
      <c r="G293" s="95">
        <v>5.8381685752733748E-5</v>
      </c>
      <c r="H293" s="95" t="s">
        <v>2993</v>
      </c>
      <c r="I293" s="95" t="str">
        <f t="shared" si="14"/>
        <v>N/A</v>
      </c>
      <c r="J293" s="97">
        <v>110.60680000000001</v>
      </c>
      <c r="K293" s="98">
        <v>3.8008409478883365E-6</v>
      </c>
      <c r="L293" s="99">
        <v>980.87</v>
      </c>
      <c r="M293" s="98">
        <v>5.8381685752733748E-5</v>
      </c>
      <c r="N293" s="98" t="str">
        <f t="shared" si="12"/>
        <v>N/A</v>
      </c>
      <c r="O293" s="97">
        <v>0</v>
      </c>
      <c r="P293" s="100">
        <v>3.8008409478883365E-6</v>
      </c>
      <c r="Q293" s="99">
        <v>0</v>
      </c>
      <c r="R293" s="101">
        <v>5.8381685752733748E-5</v>
      </c>
      <c r="S293" t="str">
        <f t="shared" si="13"/>
        <v>N/A</v>
      </c>
      <c r="T293" t="str">
        <f>VLOOKUP(Table8[[#This Row],[Census Tract]],'UI EnergyBurden'!$A$2:$B$184,2,FALSE)</f>
        <v>No</v>
      </c>
      <c r="U293">
        <f>VLOOKUP(Table8[[#This Row],[Census Tract]],'Population and Diversity Data'!$B$2:$K$823,10,FALSE)</f>
        <v>2</v>
      </c>
    </row>
    <row r="294" spans="1:21" ht="15.75" thickBot="1" x14ac:dyDescent="0.3">
      <c r="A294" s="175">
        <v>9009154800</v>
      </c>
      <c r="B294" s="200" t="s">
        <v>950</v>
      </c>
      <c r="C294" s="93" t="s">
        <v>944</v>
      </c>
      <c r="D294" s="94">
        <v>94170.673299999995</v>
      </c>
      <c r="E294" s="95">
        <v>3.2360374874678124E-3</v>
      </c>
      <c r="F294" s="96">
        <v>35812.9</v>
      </c>
      <c r="G294" s="95">
        <v>2.1315948838215855E-3</v>
      </c>
      <c r="H294" s="95" t="s">
        <v>2986</v>
      </c>
      <c r="I294" s="95" t="str">
        <f t="shared" si="14"/>
        <v>NO</v>
      </c>
      <c r="J294" s="97">
        <v>88384.266499999998</v>
      </c>
      <c r="K294" s="98">
        <v>3.2360374874678124E-3</v>
      </c>
      <c r="L294" s="99">
        <v>33572.9</v>
      </c>
      <c r="M294" s="98">
        <v>2.1315948838215855E-3</v>
      </c>
      <c r="N294" s="98" t="str">
        <f t="shared" si="12"/>
        <v>NO</v>
      </c>
      <c r="O294" s="97">
        <v>5786.4067999999997</v>
      </c>
      <c r="P294" s="100">
        <v>3.2360374874678124E-3</v>
      </c>
      <c r="Q294" s="99">
        <v>2240</v>
      </c>
      <c r="R294" s="101">
        <v>2.1315948838215855E-3</v>
      </c>
      <c r="S294" t="str">
        <f t="shared" si="13"/>
        <v>NO</v>
      </c>
      <c r="T294" t="str">
        <f>VLOOKUP(Table8[[#This Row],[Census Tract]],'UI EnergyBurden'!$A$2:$B$184,2,FALSE)</f>
        <v>No</v>
      </c>
      <c r="U294">
        <f>VLOOKUP(Table8[[#This Row],[Census Tract]],'Population and Diversity Data'!$B$2:$K$823,10,FALSE)</f>
        <v>2</v>
      </c>
    </row>
    <row r="295" spans="1:21" ht="15.75" thickBot="1" x14ac:dyDescent="0.3">
      <c r="A295" s="175">
        <v>9009154900</v>
      </c>
      <c r="B295" s="200" t="s">
        <v>3024</v>
      </c>
      <c r="C295" s="93" t="s">
        <v>944</v>
      </c>
      <c r="D295" s="94">
        <v>621.81140000000005</v>
      </c>
      <c r="E295" s="95">
        <v>2.1367639521112388E-5</v>
      </c>
      <c r="F295" s="96">
        <v>0</v>
      </c>
      <c r="G295" s="95">
        <v>0</v>
      </c>
      <c r="H295" s="95" t="s">
        <v>2982</v>
      </c>
      <c r="I295" s="95" t="str">
        <f t="shared" si="14"/>
        <v>NO</v>
      </c>
      <c r="J295" s="97">
        <v>40.914700000000003</v>
      </c>
      <c r="K295" s="98">
        <v>2.1367639521112388E-5</v>
      </c>
      <c r="L295" s="99">
        <v>0</v>
      </c>
      <c r="M295" s="98">
        <v>0</v>
      </c>
      <c r="N295" s="98" t="str">
        <f t="shared" si="12"/>
        <v>NO</v>
      </c>
      <c r="O295" s="97">
        <v>580.89670000000001</v>
      </c>
      <c r="P295" s="100">
        <v>2.1367639521112388E-5</v>
      </c>
      <c r="Q295" s="99">
        <v>0</v>
      </c>
      <c r="R295" s="101">
        <v>0</v>
      </c>
      <c r="S295" t="str">
        <f t="shared" si="13"/>
        <v>NO</v>
      </c>
      <c r="T295" t="str">
        <f>VLOOKUP(Table8[[#This Row],[Census Tract]],'UI EnergyBurden'!$A$2:$B$184,2,FALSE)</f>
        <v>No</v>
      </c>
      <c r="U295">
        <f>VLOOKUP(Table8[[#This Row],[Census Tract]],'Population and Diversity Data'!$B$2:$K$823,10,FALSE)</f>
        <v>2</v>
      </c>
    </row>
    <row r="296" spans="1:21" ht="15.75" thickBot="1" x14ac:dyDescent="0.3">
      <c r="A296" s="175">
        <v>9009154900</v>
      </c>
      <c r="B296" s="200" t="s">
        <v>950</v>
      </c>
      <c r="C296" s="93" t="s">
        <v>944</v>
      </c>
      <c r="D296" s="94">
        <v>79701.9739999999</v>
      </c>
      <c r="E296" s="95">
        <v>2.7388417927896942E-3</v>
      </c>
      <c r="F296" s="96">
        <v>16260.45</v>
      </c>
      <c r="G296" s="95">
        <v>9.6782701285393524E-4</v>
      </c>
      <c r="H296" s="95" t="s">
        <v>2986</v>
      </c>
      <c r="I296" s="95" t="str">
        <f t="shared" si="14"/>
        <v>NO</v>
      </c>
      <c r="J296" s="97">
        <v>60957.443399999902</v>
      </c>
      <c r="K296" s="98">
        <v>2.7388417927896942E-3</v>
      </c>
      <c r="L296" s="99">
        <v>11480.45</v>
      </c>
      <c r="M296" s="98">
        <v>9.6782701285393524E-4</v>
      </c>
      <c r="N296" s="98" t="str">
        <f t="shared" si="12"/>
        <v>NO</v>
      </c>
      <c r="O296" s="97">
        <v>18744.530599999998</v>
      </c>
      <c r="P296" s="100">
        <v>2.7388417927896942E-3</v>
      </c>
      <c r="Q296" s="99">
        <v>4780</v>
      </c>
      <c r="R296" s="101">
        <v>9.6782701285393524E-4</v>
      </c>
      <c r="S296" t="str">
        <f t="shared" si="13"/>
        <v>NO</v>
      </c>
      <c r="T296" t="str">
        <f>VLOOKUP(Table8[[#This Row],[Census Tract]],'UI EnergyBurden'!$A$2:$B$184,2,FALSE)</f>
        <v>No</v>
      </c>
      <c r="U296">
        <f>VLOOKUP(Table8[[#This Row],[Census Tract]],'Population and Diversity Data'!$B$2:$K$823,10,FALSE)</f>
        <v>2</v>
      </c>
    </row>
    <row r="297" spans="1:21" ht="15.75" thickBot="1" x14ac:dyDescent="0.3">
      <c r="A297" s="175">
        <v>9009155000</v>
      </c>
      <c r="B297" s="200" t="s">
        <v>3024</v>
      </c>
      <c r="C297" s="93" t="s">
        <v>944</v>
      </c>
      <c r="D297" s="94">
        <v>310.54989999999998</v>
      </c>
      <c r="E297" s="95">
        <v>1.067159321382255E-5</v>
      </c>
      <c r="F297" s="96">
        <v>0</v>
      </c>
      <c r="G297" s="95">
        <v>0</v>
      </c>
      <c r="H297" s="95" t="s">
        <v>2982</v>
      </c>
      <c r="I297" s="95" t="str">
        <f t="shared" si="14"/>
        <v>NO</v>
      </c>
      <c r="J297" s="97">
        <v>151.34780000000001</v>
      </c>
      <c r="K297" s="98">
        <v>1.067159321382255E-5</v>
      </c>
      <c r="L297" s="99">
        <v>0</v>
      </c>
      <c r="M297" s="98">
        <v>0</v>
      </c>
      <c r="N297" s="98" t="str">
        <f t="shared" si="12"/>
        <v>NO</v>
      </c>
      <c r="O297" s="97">
        <v>159.2021</v>
      </c>
      <c r="P297" s="100">
        <v>1.067159321382255E-5</v>
      </c>
      <c r="Q297" s="99">
        <v>0</v>
      </c>
      <c r="R297" s="101">
        <v>0</v>
      </c>
      <c r="S297" t="str">
        <f t="shared" si="13"/>
        <v>NO</v>
      </c>
      <c r="T297" t="str">
        <f>VLOOKUP(Table8[[#This Row],[Census Tract]],'UI EnergyBurden'!$A$2:$B$184,2,FALSE)</f>
        <v>No</v>
      </c>
      <c r="U297">
        <f>VLOOKUP(Table8[[#This Row],[Census Tract]],'Population and Diversity Data'!$B$2:$K$823,10,FALSE)</f>
        <v>5</v>
      </c>
    </row>
    <row r="298" spans="1:21" ht="15.75" thickBot="1" x14ac:dyDescent="0.3">
      <c r="A298" s="175">
        <v>9009155000</v>
      </c>
      <c r="B298" s="200" t="s">
        <v>3025</v>
      </c>
      <c r="C298" s="93" t="s">
        <v>944</v>
      </c>
      <c r="D298" s="94">
        <v>975.27269999999999</v>
      </c>
      <c r="E298" s="95">
        <v>3.3513820249004734E-5</v>
      </c>
      <c r="F298" s="96">
        <v>0</v>
      </c>
      <c r="G298" s="95">
        <v>0</v>
      </c>
      <c r="H298" s="95" t="s">
        <v>2982</v>
      </c>
      <c r="I298" s="95" t="str">
        <f t="shared" si="14"/>
        <v>NO</v>
      </c>
      <c r="J298" s="97">
        <v>7.1828000000000003</v>
      </c>
      <c r="K298" s="98">
        <v>3.3513820249004734E-5</v>
      </c>
      <c r="L298" s="99">
        <v>0</v>
      </c>
      <c r="M298" s="98">
        <v>0</v>
      </c>
      <c r="N298" s="98" t="str">
        <f t="shared" si="12"/>
        <v>NO</v>
      </c>
      <c r="O298" s="97">
        <v>968.08989999999994</v>
      </c>
      <c r="P298" s="100">
        <v>3.3513820249004734E-5</v>
      </c>
      <c r="Q298" s="99">
        <v>0</v>
      </c>
      <c r="R298" s="101">
        <v>0</v>
      </c>
      <c r="S298" t="str">
        <f t="shared" si="13"/>
        <v>NO</v>
      </c>
      <c r="T298" t="str">
        <f>VLOOKUP(Table8[[#This Row],[Census Tract]],'UI EnergyBurden'!$A$2:$B$184,2,FALSE)</f>
        <v>No</v>
      </c>
      <c r="U298">
        <f>VLOOKUP(Table8[[#This Row],[Census Tract]],'Population and Diversity Data'!$B$2:$K$823,10,FALSE)</f>
        <v>5</v>
      </c>
    </row>
    <row r="299" spans="1:21" ht="15.75" thickBot="1" x14ac:dyDescent="0.3">
      <c r="A299" s="175">
        <v>9009155000</v>
      </c>
      <c r="B299" s="200" t="s">
        <v>950</v>
      </c>
      <c r="C299" s="93" t="s">
        <v>944</v>
      </c>
      <c r="D299" s="94">
        <v>89677.704299999896</v>
      </c>
      <c r="E299" s="95">
        <v>3.0816431775990403E-3</v>
      </c>
      <c r="F299" s="96">
        <v>16873.419999999998</v>
      </c>
      <c r="G299" s="95">
        <v>1.0043111768265852E-3</v>
      </c>
      <c r="H299" s="95" t="s">
        <v>2986</v>
      </c>
      <c r="I299" s="95" t="str">
        <f t="shared" si="14"/>
        <v>NO</v>
      </c>
      <c r="J299" s="97">
        <v>74234.418299999903</v>
      </c>
      <c r="K299" s="98">
        <v>3.0816431775990403E-3</v>
      </c>
      <c r="L299" s="99">
        <v>15127.42</v>
      </c>
      <c r="M299" s="98">
        <v>1.0043111768265852E-3</v>
      </c>
      <c r="N299" s="98" t="str">
        <f t="shared" si="12"/>
        <v>NO</v>
      </c>
      <c r="O299" s="97">
        <v>15443.286</v>
      </c>
      <c r="P299" s="100">
        <v>3.0816431775990403E-3</v>
      </c>
      <c r="Q299" s="99">
        <v>1746</v>
      </c>
      <c r="R299" s="101">
        <v>1.0043111768265852E-3</v>
      </c>
      <c r="S299" t="str">
        <f t="shared" si="13"/>
        <v>NO</v>
      </c>
      <c r="T299" t="str">
        <f>VLOOKUP(Table8[[#This Row],[Census Tract]],'UI EnergyBurden'!$A$2:$B$184,2,FALSE)</f>
        <v>No</v>
      </c>
      <c r="U299">
        <f>VLOOKUP(Table8[[#This Row],[Census Tract]],'Population and Diversity Data'!$B$2:$K$823,10,FALSE)</f>
        <v>5</v>
      </c>
    </row>
    <row r="300" spans="1:21" ht="15.75" thickBot="1" x14ac:dyDescent="0.3">
      <c r="A300" s="175">
        <v>9009155100</v>
      </c>
      <c r="B300" s="200" t="s">
        <v>3024</v>
      </c>
      <c r="C300" s="93" t="s">
        <v>936</v>
      </c>
      <c r="D300" s="94">
        <v>851.66629999999998</v>
      </c>
      <c r="E300" s="95">
        <v>2.9266267055701386E-5</v>
      </c>
      <c r="F300" s="96">
        <v>0</v>
      </c>
      <c r="G300" s="95">
        <v>0</v>
      </c>
      <c r="H300" s="95" t="s">
        <v>2982</v>
      </c>
      <c r="I300" s="95" t="str">
        <f t="shared" si="14"/>
        <v>NO</v>
      </c>
      <c r="J300" s="97">
        <v>102.4053</v>
      </c>
      <c r="K300" s="98">
        <v>2.9266267055701386E-5</v>
      </c>
      <c r="L300" s="99">
        <v>0</v>
      </c>
      <c r="M300" s="98">
        <v>0</v>
      </c>
      <c r="N300" s="98" t="str">
        <f t="shared" si="12"/>
        <v>NO</v>
      </c>
      <c r="O300" s="97">
        <v>749.26099999999997</v>
      </c>
      <c r="P300" s="100">
        <v>2.9266267055701386E-5</v>
      </c>
      <c r="Q300" s="99">
        <v>0</v>
      </c>
      <c r="R300" s="101">
        <v>0</v>
      </c>
      <c r="S300" t="str">
        <f t="shared" si="13"/>
        <v>NO</v>
      </c>
      <c r="T300" t="str">
        <f>VLOOKUP(Table8[[#This Row],[Census Tract]],'UI EnergyBurden'!$A$2:$B$184,2,FALSE)</f>
        <v>No</v>
      </c>
      <c r="U300">
        <f>VLOOKUP(Table8[[#This Row],[Census Tract]],'Population and Diversity Data'!$B$2:$K$823,10,FALSE)</f>
        <v>4</v>
      </c>
    </row>
    <row r="301" spans="1:21" ht="15.75" thickBot="1" x14ac:dyDescent="0.3">
      <c r="A301" s="175">
        <v>9009155100</v>
      </c>
      <c r="B301" s="200" t="s">
        <v>3016</v>
      </c>
      <c r="C301" s="93" t="s">
        <v>944</v>
      </c>
      <c r="D301" s="94">
        <v>0</v>
      </c>
      <c r="E301" s="95">
        <v>0</v>
      </c>
      <c r="F301" s="96">
        <v>60</v>
      </c>
      <c r="G301" s="95">
        <v>3.5712185561430412E-6</v>
      </c>
      <c r="H301" s="95" t="s">
        <v>2993</v>
      </c>
      <c r="I301" s="95" t="str">
        <f t="shared" si="14"/>
        <v>N/A</v>
      </c>
      <c r="J301" s="97">
        <v>0</v>
      </c>
      <c r="K301" s="98">
        <v>0</v>
      </c>
      <c r="L301" s="99">
        <v>0</v>
      </c>
      <c r="M301" s="98">
        <v>3.5712185561430412E-6</v>
      </c>
      <c r="N301" s="98" t="str">
        <f t="shared" si="12"/>
        <v>N/A</v>
      </c>
      <c r="O301" s="97">
        <v>0</v>
      </c>
      <c r="P301" s="100">
        <v>0</v>
      </c>
      <c r="Q301" s="99">
        <v>60</v>
      </c>
      <c r="R301" s="101">
        <v>3.5712185561430412E-6</v>
      </c>
      <c r="S301" t="str">
        <f t="shared" si="13"/>
        <v>N/A</v>
      </c>
      <c r="T301" t="str">
        <f>VLOOKUP(Table8[[#This Row],[Census Tract]],'UI EnergyBurden'!$A$2:$B$184,2,FALSE)</f>
        <v>No</v>
      </c>
      <c r="U301">
        <f>VLOOKUP(Table8[[#This Row],[Census Tract]],'Population and Diversity Data'!$B$2:$K$823,10,FALSE)</f>
        <v>4</v>
      </c>
    </row>
    <row r="302" spans="1:21" ht="15.75" thickBot="1" x14ac:dyDescent="0.3">
      <c r="A302" s="175">
        <v>9009155100</v>
      </c>
      <c r="B302" s="200" t="s">
        <v>3019</v>
      </c>
      <c r="C302" s="93" t="s">
        <v>944</v>
      </c>
      <c r="D302" s="94">
        <v>0</v>
      </c>
      <c r="E302" s="95">
        <v>0</v>
      </c>
      <c r="F302" s="96">
        <v>4790</v>
      </c>
      <c r="G302" s="95">
        <v>2.8510228139875279E-4</v>
      </c>
      <c r="H302" s="95" t="s">
        <v>2993</v>
      </c>
      <c r="I302" s="95" t="str">
        <f t="shared" si="14"/>
        <v>N/A</v>
      </c>
      <c r="J302" s="97">
        <v>0</v>
      </c>
      <c r="K302" s="98">
        <v>0</v>
      </c>
      <c r="L302" s="99">
        <v>0</v>
      </c>
      <c r="M302" s="98">
        <v>2.8510228139875279E-4</v>
      </c>
      <c r="N302" s="98" t="str">
        <f t="shared" si="12"/>
        <v>N/A</v>
      </c>
      <c r="O302" s="97">
        <v>0</v>
      </c>
      <c r="P302" s="100">
        <v>0</v>
      </c>
      <c r="Q302" s="99">
        <v>4790</v>
      </c>
      <c r="R302" s="101">
        <v>2.8510228139875279E-4</v>
      </c>
      <c r="S302" t="str">
        <f t="shared" si="13"/>
        <v>N/A</v>
      </c>
      <c r="T302" t="str">
        <f>VLOOKUP(Table8[[#This Row],[Census Tract]],'UI EnergyBurden'!$A$2:$B$184,2,FALSE)</f>
        <v>No</v>
      </c>
      <c r="U302">
        <f>VLOOKUP(Table8[[#This Row],[Census Tract]],'Population and Diversity Data'!$B$2:$K$823,10,FALSE)</f>
        <v>4</v>
      </c>
    </row>
    <row r="303" spans="1:21" ht="15.75" thickBot="1" x14ac:dyDescent="0.3">
      <c r="A303" s="175">
        <v>9009155100</v>
      </c>
      <c r="B303" s="200" t="s">
        <v>3025</v>
      </c>
      <c r="C303" s="93" t="s">
        <v>936</v>
      </c>
      <c r="D303" s="94">
        <v>2413.5888999999997</v>
      </c>
      <c r="E303" s="95">
        <v>8.2939453293005182E-5</v>
      </c>
      <c r="F303" s="96">
        <v>0</v>
      </c>
      <c r="G303" s="95">
        <v>0</v>
      </c>
      <c r="H303" s="95" t="s">
        <v>2982</v>
      </c>
      <c r="I303" s="95" t="str">
        <f t="shared" si="14"/>
        <v>NO</v>
      </c>
      <c r="J303" s="97">
        <v>231.11080000000001</v>
      </c>
      <c r="K303" s="98">
        <v>8.2939453293005182E-5</v>
      </c>
      <c r="L303" s="99">
        <v>0</v>
      </c>
      <c r="M303" s="98">
        <v>0</v>
      </c>
      <c r="N303" s="98" t="str">
        <f t="shared" si="12"/>
        <v>NO</v>
      </c>
      <c r="O303" s="97">
        <v>2182.4780999999998</v>
      </c>
      <c r="P303" s="100">
        <v>8.2939453293005182E-5</v>
      </c>
      <c r="Q303" s="99">
        <v>0</v>
      </c>
      <c r="R303" s="101">
        <v>0</v>
      </c>
      <c r="S303" t="str">
        <f t="shared" si="13"/>
        <v>NO</v>
      </c>
      <c r="T303" t="str">
        <f>VLOOKUP(Table8[[#This Row],[Census Tract]],'UI EnergyBurden'!$A$2:$B$184,2,FALSE)</f>
        <v>No</v>
      </c>
      <c r="U303">
        <f>VLOOKUP(Table8[[#This Row],[Census Tract]],'Population and Diversity Data'!$B$2:$K$823,10,FALSE)</f>
        <v>4</v>
      </c>
    </row>
    <row r="304" spans="1:21" ht="15.75" thickBot="1" x14ac:dyDescent="0.3">
      <c r="A304" s="175">
        <v>9009155100</v>
      </c>
      <c r="B304" s="200" t="s">
        <v>3023</v>
      </c>
      <c r="C304" s="93" t="s">
        <v>944</v>
      </c>
      <c r="D304" s="94">
        <v>0</v>
      </c>
      <c r="E304" s="95">
        <v>0</v>
      </c>
      <c r="F304" s="96">
        <v>5543.92</v>
      </c>
      <c r="G304" s="95">
        <v>3.2997583296287547E-4</v>
      </c>
      <c r="H304" s="95" t="s">
        <v>2993</v>
      </c>
      <c r="I304" s="95" t="str">
        <f t="shared" si="14"/>
        <v>N/A</v>
      </c>
      <c r="J304" s="97">
        <v>0</v>
      </c>
      <c r="K304" s="98">
        <v>0</v>
      </c>
      <c r="L304" s="99">
        <v>3513.67</v>
      </c>
      <c r="M304" s="98">
        <v>3.2997583296287547E-4</v>
      </c>
      <c r="N304" s="98" t="str">
        <f t="shared" si="12"/>
        <v>N/A</v>
      </c>
      <c r="O304" s="97">
        <v>0</v>
      </c>
      <c r="P304" s="100">
        <v>0</v>
      </c>
      <c r="Q304" s="99">
        <v>2030.25</v>
      </c>
      <c r="R304" s="101">
        <v>3.2997583296287547E-4</v>
      </c>
      <c r="S304" t="str">
        <f t="shared" si="13"/>
        <v>N/A</v>
      </c>
      <c r="T304" t="str">
        <f>VLOOKUP(Table8[[#This Row],[Census Tract]],'UI EnergyBurden'!$A$2:$B$184,2,FALSE)</f>
        <v>No</v>
      </c>
      <c r="U304">
        <f>VLOOKUP(Table8[[#This Row],[Census Tract]],'Population and Diversity Data'!$B$2:$K$823,10,FALSE)</f>
        <v>4</v>
      </c>
    </row>
    <row r="305" spans="1:21" ht="15.75" thickBot="1" x14ac:dyDescent="0.3">
      <c r="A305" s="175">
        <v>9009155100</v>
      </c>
      <c r="B305" s="200" t="s">
        <v>950</v>
      </c>
      <c r="C305" s="93" t="s">
        <v>936</v>
      </c>
      <c r="D305" s="94">
        <v>67787.651499999891</v>
      </c>
      <c r="E305" s="95">
        <v>2.3294235217218452E-3</v>
      </c>
      <c r="F305" s="96">
        <v>0</v>
      </c>
      <c r="G305" s="95">
        <v>0</v>
      </c>
      <c r="H305" s="95" t="s">
        <v>2982</v>
      </c>
      <c r="I305" s="95" t="str">
        <f t="shared" si="14"/>
        <v>NO</v>
      </c>
      <c r="J305" s="97">
        <v>52121.565699999897</v>
      </c>
      <c r="K305" s="98">
        <v>2.3294235217218452E-3</v>
      </c>
      <c r="L305" s="99">
        <v>0</v>
      </c>
      <c r="M305" s="98">
        <v>0</v>
      </c>
      <c r="N305" s="98" t="str">
        <f t="shared" si="12"/>
        <v>NO</v>
      </c>
      <c r="O305" s="97">
        <v>15666.085800000001</v>
      </c>
      <c r="P305" s="100">
        <v>2.3294235217218452E-3</v>
      </c>
      <c r="Q305" s="99">
        <v>0</v>
      </c>
      <c r="R305" s="101">
        <v>0</v>
      </c>
      <c r="S305" t="str">
        <f t="shared" si="13"/>
        <v>NO</v>
      </c>
      <c r="T305" t="str">
        <f>VLOOKUP(Table8[[#This Row],[Census Tract]],'UI EnergyBurden'!$A$2:$B$184,2,FALSE)</f>
        <v>No</v>
      </c>
      <c r="U305">
        <f>VLOOKUP(Table8[[#This Row],[Census Tract]],'Population and Diversity Data'!$B$2:$K$823,10,FALSE)</f>
        <v>4</v>
      </c>
    </row>
    <row r="306" spans="1:21" ht="15.75" thickBot="1" x14ac:dyDescent="0.3">
      <c r="A306" s="175">
        <v>9009157100</v>
      </c>
      <c r="B306" s="200" t="s">
        <v>3008</v>
      </c>
      <c r="C306" s="93" t="s">
        <v>944</v>
      </c>
      <c r="D306" s="94">
        <v>104.54689999999999</v>
      </c>
      <c r="E306" s="95">
        <v>3.5926013454397658E-6</v>
      </c>
      <c r="F306" s="96">
        <v>0</v>
      </c>
      <c r="G306" s="95">
        <v>0</v>
      </c>
      <c r="H306" s="95" t="s">
        <v>2982</v>
      </c>
      <c r="I306" s="95" t="str">
        <f t="shared" si="14"/>
        <v>N/A</v>
      </c>
      <c r="J306" s="97">
        <v>104.54689999999999</v>
      </c>
      <c r="K306" s="98">
        <v>3.5926013454397658E-6</v>
      </c>
      <c r="L306" s="99">
        <v>0</v>
      </c>
      <c r="M306" s="98">
        <v>0</v>
      </c>
      <c r="N306" s="98" t="str">
        <f t="shared" si="12"/>
        <v>N/A</v>
      </c>
      <c r="O306" s="97">
        <v>0</v>
      </c>
      <c r="P306" s="100">
        <v>3.5926013454397658E-6</v>
      </c>
      <c r="Q306" s="99">
        <v>0</v>
      </c>
      <c r="R306" s="101">
        <v>0</v>
      </c>
      <c r="S306" t="str">
        <f t="shared" si="13"/>
        <v>N/A</v>
      </c>
      <c r="T306" t="str">
        <f>VLOOKUP(Table8[[#This Row],[Census Tract]],'UI EnergyBurden'!$A$2:$B$184,2,FALSE)</f>
        <v>No</v>
      </c>
      <c r="U306">
        <f>VLOOKUP(Table8[[#This Row],[Census Tract]],'Population and Diversity Data'!$B$2:$K$823,10,FALSE)</f>
        <v>5</v>
      </c>
    </row>
    <row r="307" spans="1:21" ht="15.75" thickBot="1" x14ac:dyDescent="0.3">
      <c r="A307" s="175">
        <v>9009157100</v>
      </c>
      <c r="B307" s="200" t="s">
        <v>3012</v>
      </c>
      <c r="C307" s="93" t="s">
        <v>944</v>
      </c>
      <c r="D307" s="94">
        <v>217535.91900000011</v>
      </c>
      <c r="E307" s="95">
        <v>7.4753037658780545E-3</v>
      </c>
      <c r="F307" s="96">
        <v>79009.16</v>
      </c>
      <c r="G307" s="95">
        <v>4.7026496382879092E-3</v>
      </c>
      <c r="H307" s="95" t="s">
        <v>2986</v>
      </c>
      <c r="I307" s="95" t="str">
        <f t="shared" si="14"/>
        <v>NO</v>
      </c>
      <c r="J307" s="97">
        <v>54371.503700000103</v>
      </c>
      <c r="K307" s="98">
        <v>7.4753037658780545E-3</v>
      </c>
      <c r="L307" s="99">
        <v>14309.76</v>
      </c>
      <c r="M307" s="98">
        <v>4.7026496382879092E-3</v>
      </c>
      <c r="N307" s="98" t="str">
        <f t="shared" si="12"/>
        <v>NO</v>
      </c>
      <c r="O307" s="97">
        <v>163164.41529999999</v>
      </c>
      <c r="P307" s="100">
        <v>7.4753037658780545E-3</v>
      </c>
      <c r="Q307" s="99">
        <v>64699.4</v>
      </c>
      <c r="R307" s="101">
        <v>4.7026496382879092E-3</v>
      </c>
      <c r="S307" t="str">
        <f t="shared" si="13"/>
        <v>NO</v>
      </c>
      <c r="T307" t="str">
        <f>VLOOKUP(Table8[[#This Row],[Census Tract]],'UI EnergyBurden'!$A$2:$B$184,2,FALSE)</f>
        <v>No</v>
      </c>
      <c r="U307">
        <f>VLOOKUP(Table8[[#This Row],[Census Tract]],'Population and Diversity Data'!$B$2:$K$823,10,FALSE)</f>
        <v>5</v>
      </c>
    </row>
    <row r="308" spans="1:21" ht="15.75" thickBot="1" x14ac:dyDescent="0.3">
      <c r="A308" s="175">
        <v>9009157100</v>
      </c>
      <c r="B308" s="200" t="s">
        <v>950</v>
      </c>
      <c r="C308" s="93" t="s">
        <v>944</v>
      </c>
      <c r="D308" s="94">
        <v>7.5473999999999997</v>
      </c>
      <c r="E308" s="95">
        <v>2.5935536486086233E-7</v>
      </c>
      <c r="F308" s="96">
        <v>0</v>
      </c>
      <c r="G308" s="95">
        <v>0</v>
      </c>
      <c r="H308" s="95" t="s">
        <v>2982</v>
      </c>
      <c r="I308" s="95" t="str">
        <f t="shared" si="14"/>
        <v>N/A</v>
      </c>
      <c r="J308" s="97">
        <v>0</v>
      </c>
      <c r="K308" s="98">
        <v>2.5935536486086233E-7</v>
      </c>
      <c r="L308" s="99">
        <v>0</v>
      </c>
      <c r="M308" s="98">
        <v>0</v>
      </c>
      <c r="N308" s="98" t="str">
        <f t="shared" si="12"/>
        <v>N/A</v>
      </c>
      <c r="O308" s="97">
        <v>7.5473999999999997</v>
      </c>
      <c r="P308" s="100">
        <v>2.5935536486086233E-7</v>
      </c>
      <c r="Q308" s="99">
        <v>0</v>
      </c>
      <c r="R308" s="101">
        <v>0</v>
      </c>
      <c r="S308" t="str">
        <f t="shared" si="13"/>
        <v>N/A</v>
      </c>
      <c r="T308" t="str">
        <f>VLOOKUP(Table8[[#This Row],[Census Tract]],'UI EnergyBurden'!$A$2:$B$184,2,FALSE)</f>
        <v>No</v>
      </c>
      <c r="U308">
        <f>VLOOKUP(Table8[[#This Row],[Census Tract]],'Population and Diversity Data'!$B$2:$K$823,10,FALSE)</f>
        <v>5</v>
      </c>
    </row>
    <row r="309" spans="1:21" ht="15.75" thickBot="1" x14ac:dyDescent="0.3">
      <c r="A309" s="175">
        <v>9009157200</v>
      </c>
      <c r="B309" s="200" t="s">
        <v>3017</v>
      </c>
      <c r="C309" s="93" t="s">
        <v>944</v>
      </c>
      <c r="D309" s="94">
        <v>0</v>
      </c>
      <c r="E309" s="95">
        <v>0</v>
      </c>
      <c r="F309" s="96">
        <v>121.71</v>
      </c>
      <c r="G309" s="95">
        <v>7.2442168411361585E-6</v>
      </c>
      <c r="H309" s="95" t="s">
        <v>2993</v>
      </c>
      <c r="I309" s="95" t="str">
        <f t="shared" si="14"/>
        <v>N/A</v>
      </c>
      <c r="J309" s="97">
        <v>0</v>
      </c>
      <c r="K309" s="98">
        <v>0</v>
      </c>
      <c r="L309" s="99">
        <v>121.71</v>
      </c>
      <c r="M309" s="98">
        <v>7.2442168411361585E-6</v>
      </c>
      <c r="N309" s="98" t="str">
        <f t="shared" si="12"/>
        <v>N/A</v>
      </c>
      <c r="O309" s="97">
        <v>0</v>
      </c>
      <c r="P309" s="100">
        <v>0</v>
      </c>
      <c r="Q309" s="99">
        <v>0</v>
      </c>
      <c r="R309" s="101">
        <v>7.2442168411361585E-6</v>
      </c>
      <c r="S309" t="str">
        <f t="shared" si="13"/>
        <v>N/A</v>
      </c>
      <c r="T309" t="str">
        <f>VLOOKUP(Table8[[#This Row],[Census Tract]],'UI EnergyBurden'!$A$2:$B$184,2,FALSE)</f>
        <v>No</v>
      </c>
      <c r="U309">
        <f>VLOOKUP(Table8[[#This Row],[Census Tract]],'Population and Diversity Data'!$B$2:$K$823,10,FALSE)</f>
        <v>2</v>
      </c>
    </row>
    <row r="310" spans="1:21" ht="15.75" thickBot="1" x14ac:dyDescent="0.3">
      <c r="A310" s="175">
        <v>9009157200</v>
      </c>
      <c r="B310" s="200" t="s">
        <v>3008</v>
      </c>
      <c r="C310" s="93" t="s">
        <v>944</v>
      </c>
      <c r="D310" s="94">
        <v>71.1738</v>
      </c>
      <c r="E310" s="95">
        <v>2.4457835635495725E-6</v>
      </c>
      <c r="F310" s="96">
        <v>0</v>
      </c>
      <c r="G310" s="95">
        <v>0</v>
      </c>
      <c r="H310" s="95" t="s">
        <v>2982</v>
      </c>
      <c r="I310" s="95" t="str">
        <f t="shared" si="14"/>
        <v>N/A</v>
      </c>
      <c r="J310" s="97">
        <v>71.1738</v>
      </c>
      <c r="K310" s="98">
        <v>2.4457835635495725E-6</v>
      </c>
      <c r="L310" s="99">
        <v>0</v>
      </c>
      <c r="M310" s="98">
        <v>0</v>
      </c>
      <c r="N310" s="98" t="str">
        <f t="shared" si="12"/>
        <v>N/A</v>
      </c>
      <c r="O310" s="97">
        <v>0</v>
      </c>
      <c r="P310" s="100">
        <v>2.4457835635495725E-6</v>
      </c>
      <c r="Q310" s="99">
        <v>0</v>
      </c>
      <c r="R310" s="101">
        <v>0</v>
      </c>
      <c r="S310" t="str">
        <f t="shared" si="13"/>
        <v>N/A</v>
      </c>
      <c r="T310" t="str">
        <f>VLOOKUP(Table8[[#This Row],[Census Tract]],'UI EnergyBurden'!$A$2:$B$184,2,FALSE)</f>
        <v>No</v>
      </c>
      <c r="U310">
        <f>VLOOKUP(Table8[[#This Row],[Census Tract]],'Population and Diversity Data'!$B$2:$K$823,10,FALSE)</f>
        <v>2</v>
      </c>
    </row>
    <row r="311" spans="1:21" ht="15.75" thickBot="1" x14ac:dyDescent="0.3">
      <c r="A311" s="175">
        <v>9009157200</v>
      </c>
      <c r="B311" s="200" t="s">
        <v>3012</v>
      </c>
      <c r="C311" s="93" t="s">
        <v>944</v>
      </c>
      <c r="D311" s="94">
        <v>101114.48050000009</v>
      </c>
      <c r="E311" s="95">
        <v>3.4746512683565302E-3</v>
      </c>
      <c r="F311" s="96">
        <v>62612.52</v>
      </c>
      <c r="G311" s="95">
        <v>3.7267165545146214E-3</v>
      </c>
      <c r="H311" s="95" t="s">
        <v>2993</v>
      </c>
      <c r="I311" s="95" t="str">
        <f t="shared" si="14"/>
        <v>YES</v>
      </c>
      <c r="J311" s="97">
        <v>81277.952100000097</v>
      </c>
      <c r="K311" s="98">
        <v>3.4746512683565302E-3</v>
      </c>
      <c r="L311" s="99">
        <v>62612.52</v>
      </c>
      <c r="M311" s="98">
        <v>3.7267165545146214E-3</v>
      </c>
      <c r="N311" s="98" t="str">
        <f t="shared" si="12"/>
        <v>YES</v>
      </c>
      <c r="O311" s="97">
        <v>19836.528399999999</v>
      </c>
      <c r="P311" s="100">
        <v>3.4746512683565302E-3</v>
      </c>
      <c r="Q311" s="99">
        <v>0</v>
      </c>
      <c r="R311" s="101">
        <v>3.7267165545146214E-3</v>
      </c>
      <c r="S311" t="str">
        <f t="shared" si="13"/>
        <v>YES</v>
      </c>
      <c r="T311" t="str">
        <f>VLOOKUP(Table8[[#This Row],[Census Tract]],'UI EnergyBurden'!$A$2:$B$184,2,FALSE)</f>
        <v>No</v>
      </c>
      <c r="U311">
        <f>VLOOKUP(Table8[[#This Row],[Census Tract]],'Population and Diversity Data'!$B$2:$K$823,10,FALSE)</f>
        <v>2</v>
      </c>
    </row>
    <row r="312" spans="1:21" ht="15.75" thickBot="1" x14ac:dyDescent="0.3">
      <c r="A312" s="175">
        <v>9009157300</v>
      </c>
      <c r="B312" s="200" t="s">
        <v>3011</v>
      </c>
      <c r="C312" s="93" t="s">
        <v>944</v>
      </c>
      <c r="D312" s="94">
        <v>12793.3539</v>
      </c>
      <c r="E312" s="95">
        <v>4.3962489977060129E-4</v>
      </c>
      <c r="F312" s="96">
        <v>7125.33</v>
      </c>
      <c r="G312" s="95">
        <v>4.2410184524404492E-4</v>
      </c>
      <c r="H312" s="95" t="s">
        <v>2993</v>
      </c>
      <c r="I312" s="95" t="str">
        <f t="shared" si="14"/>
        <v>NO</v>
      </c>
      <c r="J312" s="97">
        <v>7500.3773000000001</v>
      </c>
      <c r="K312" s="98">
        <v>4.3962489977060129E-4</v>
      </c>
      <c r="L312" s="99">
        <v>6065.33</v>
      </c>
      <c r="M312" s="98">
        <v>4.2410184524404492E-4</v>
      </c>
      <c r="N312" s="98" t="str">
        <f t="shared" si="12"/>
        <v>NO</v>
      </c>
      <c r="O312" s="97">
        <v>5292.9766</v>
      </c>
      <c r="P312" s="100">
        <v>4.3962489977060129E-4</v>
      </c>
      <c r="Q312" s="99">
        <v>1060</v>
      </c>
      <c r="R312" s="101">
        <v>4.2410184524404492E-4</v>
      </c>
      <c r="S312" t="str">
        <f t="shared" si="13"/>
        <v>NO</v>
      </c>
      <c r="T312" t="str">
        <f>VLOOKUP(Table8[[#This Row],[Census Tract]],'UI EnergyBurden'!$A$2:$B$184,2,FALSE)</f>
        <v>No</v>
      </c>
      <c r="U312">
        <f>VLOOKUP(Table8[[#This Row],[Census Tract]],'Population and Diversity Data'!$B$2:$K$823,10,FALSE)</f>
        <v>3</v>
      </c>
    </row>
    <row r="313" spans="1:21" ht="15.75" thickBot="1" x14ac:dyDescent="0.3">
      <c r="A313" s="175">
        <v>9009157300</v>
      </c>
      <c r="B313" s="200" t="s">
        <v>3012</v>
      </c>
      <c r="C313" s="93" t="s">
        <v>944</v>
      </c>
      <c r="D313" s="94">
        <v>82969.595099999904</v>
      </c>
      <c r="E313" s="95">
        <v>2.8511288138323783E-3</v>
      </c>
      <c r="F313" s="96">
        <v>44691.62</v>
      </c>
      <c r="G313" s="95">
        <v>2.6600590441348913E-3</v>
      </c>
      <c r="H313" s="95" t="s">
        <v>2993</v>
      </c>
      <c r="I313" s="95" t="str">
        <f t="shared" si="14"/>
        <v>NO</v>
      </c>
      <c r="J313" s="97">
        <v>77580.580099999905</v>
      </c>
      <c r="K313" s="98">
        <v>2.8511288138323783E-3</v>
      </c>
      <c r="L313" s="99">
        <v>44691.62</v>
      </c>
      <c r="M313" s="98">
        <v>2.6600590441348913E-3</v>
      </c>
      <c r="N313" s="98" t="str">
        <f t="shared" si="12"/>
        <v>NO</v>
      </c>
      <c r="O313" s="97">
        <v>5389.0150000000003</v>
      </c>
      <c r="P313" s="100">
        <v>2.8511288138323783E-3</v>
      </c>
      <c r="Q313" s="99">
        <v>0</v>
      </c>
      <c r="R313" s="101">
        <v>2.6600590441348913E-3</v>
      </c>
      <c r="S313" t="str">
        <f t="shared" si="13"/>
        <v>NO</v>
      </c>
      <c r="T313" t="str">
        <f>VLOOKUP(Table8[[#This Row],[Census Tract]],'UI EnergyBurden'!$A$2:$B$184,2,FALSE)</f>
        <v>No</v>
      </c>
      <c r="U313">
        <f>VLOOKUP(Table8[[#This Row],[Census Tract]],'Population and Diversity Data'!$B$2:$K$823,10,FALSE)</f>
        <v>3</v>
      </c>
    </row>
    <row r="314" spans="1:21" ht="15.75" thickBot="1" x14ac:dyDescent="0.3">
      <c r="A314" s="175">
        <v>9009157400</v>
      </c>
      <c r="B314" s="200" t="s">
        <v>3012</v>
      </c>
      <c r="C314" s="93" t="s">
        <v>944</v>
      </c>
      <c r="D314" s="94">
        <v>107625.53199999999</v>
      </c>
      <c r="E314" s="95">
        <v>3.6983940324090965E-3</v>
      </c>
      <c r="F314" s="96">
        <v>99254.12</v>
      </c>
      <c r="G314" s="95">
        <v>5.9076359186274689E-3</v>
      </c>
      <c r="H314" s="95" t="s">
        <v>2993</v>
      </c>
      <c r="I314" s="95" t="str">
        <f t="shared" si="14"/>
        <v>YES</v>
      </c>
      <c r="J314" s="97">
        <v>93459.739199999996</v>
      </c>
      <c r="K314" s="98">
        <v>3.6983940324090965E-3</v>
      </c>
      <c r="L314" s="99">
        <v>63453.120000000003</v>
      </c>
      <c r="M314" s="98">
        <v>5.9076359186274689E-3</v>
      </c>
      <c r="N314" s="98" t="str">
        <f t="shared" si="12"/>
        <v>YES</v>
      </c>
      <c r="O314" s="97">
        <v>14165.792799999999</v>
      </c>
      <c r="P314" s="100">
        <v>3.6983940324090965E-3</v>
      </c>
      <c r="Q314" s="99">
        <v>35801</v>
      </c>
      <c r="R314" s="101">
        <v>5.9076359186274689E-3</v>
      </c>
      <c r="S314" t="str">
        <f t="shared" si="13"/>
        <v>YES</v>
      </c>
      <c r="T314" t="str">
        <f>VLOOKUP(Table8[[#This Row],[Census Tract]],'UI EnergyBurden'!$A$2:$B$184,2,FALSE)</f>
        <v>No</v>
      </c>
      <c r="U314">
        <f>VLOOKUP(Table8[[#This Row],[Census Tract]],'Population and Diversity Data'!$B$2:$K$823,10,FALSE)</f>
        <v>3</v>
      </c>
    </row>
    <row r="315" spans="1:21" ht="15.75" thickBot="1" x14ac:dyDescent="0.3">
      <c r="A315" s="175">
        <v>9009160100</v>
      </c>
      <c r="B315" s="200" t="s">
        <v>3010</v>
      </c>
      <c r="C315" s="93" t="s">
        <v>944</v>
      </c>
      <c r="D315" s="94">
        <v>364.3947</v>
      </c>
      <c r="E315" s="95">
        <v>1.2521891031595579E-5</v>
      </c>
      <c r="F315" s="96">
        <v>0</v>
      </c>
      <c r="G315" s="95">
        <v>0</v>
      </c>
      <c r="H315" s="95" t="s">
        <v>2982</v>
      </c>
      <c r="I315" s="95" t="str">
        <f t="shared" si="14"/>
        <v>NO</v>
      </c>
      <c r="J315" s="97">
        <v>364.3947</v>
      </c>
      <c r="K315" s="98">
        <v>1.2521891031595579E-5</v>
      </c>
      <c r="L315" s="99">
        <v>0</v>
      </c>
      <c r="M315" s="98">
        <v>0</v>
      </c>
      <c r="N315" s="98" t="str">
        <f t="shared" si="12"/>
        <v>NO</v>
      </c>
      <c r="O315" s="97">
        <v>0</v>
      </c>
      <c r="P315" s="100">
        <v>1.2521891031595579E-5</v>
      </c>
      <c r="Q315" s="99">
        <v>0</v>
      </c>
      <c r="R315" s="101">
        <v>0</v>
      </c>
      <c r="S315" t="str">
        <f t="shared" si="13"/>
        <v>NO</v>
      </c>
      <c r="T315" t="str">
        <f>VLOOKUP(Table8[[#This Row],[Census Tract]],'UI EnergyBurden'!$A$2:$B$184,2,FALSE)</f>
        <v>No</v>
      </c>
      <c r="U315">
        <f>VLOOKUP(Table8[[#This Row],[Census Tract]],'Population and Diversity Data'!$B$2:$K$823,10,FALSE)</f>
        <v>5</v>
      </c>
    </row>
    <row r="316" spans="1:21" ht="15.75" thickBot="1" x14ac:dyDescent="0.3">
      <c r="A316" s="175">
        <v>9009160100</v>
      </c>
      <c r="B316" s="200" t="s">
        <v>3014</v>
      </c>
      <c r="C316" s="93" t="s">
        <v>944</v>
      </c>
      <c r="D316" s="94">
        <v>94425.923599999907</v>
      </c>
      <c r="E316" s="95">
        <v>3.2448087907891313E-3</v>
      </c>
      <c r="F316" s="96">
        <v>35951.83</v>
      </c>
      <c r="G316" s="95">
        <v>2.1398640403883346E-3</v>
      </c>
      <c r="H316" s="95" t="s">
        <v>2986</v>
      </c>
      <c r="I316" s="95" t="str">
        <f t="shared" si="14"/>
        <v>NO</v>
      </c>
      <c r="J316" s="97">
        <v>88447.433699999907</v>
      </c>
      <c r="K316" s="98">
        <v>3.2448087907891313E-3</v>
      </c>
      <c r="L316" s="99">
        <v>35951.83</v>
      </c>
      <c r="M316" s="98">
        <v>2.1398640403883346E-3</v>
      </c>
      <c r="N316" s="98" t="str">
        <f t="shared" si="12"/>
        <v>NO</v>
      </c>
      <c r="O316" s="97">
        <v>5978.4898999999996</v>
      </c>
      <c r="P316" s="100">
        <v>3.2448087907891313E-3</v>
      </c>
      <c r="Q316" s="99">
        <v>0</v>
      </c>
      <c r="R316" s="101">
        <v>2.1398640403883346E-3</v>
      </c>
      <c r="S316" t="str">
        <f t="shared" si="13"/>
        <v>NO</v>
      </c>
      <c r="T316" t="str">
        <f>VLOOKUP(Table8[[#This Row],[Census Tract]],'UI EnergyBurden'!$A$2:$B$184,2,FALSE)</f>
        <v>No</v>
      </c>
      <c r="U316">
        <f>VLOOKUP(Table8[[#This Row],[Census Tract]],'Population and Diversity Data'!$B$2:$K$823,10,FALSE)</f>
        <v>5</v>
      </c>
    </row>
    <row r="317" spans="1:21" ht="15.75" thickBot="1" x14ac:dyDescent="0.3">
      <c r="A317" s="175">
        <v>9009160200</v>
      </c>
      <c r="B317" s="200" t="s">
        <v>943</v>
      </c>
      <c r="C317" s="93" t="s">
        <v>944</v>
      </c>
      <c r="D317" s="94">
        <v>161.4941</v>
      </c>
      <c r="E317" s="95">
        <v>5.5495086027475147E-6</v>
      </c>
      <c r="F317" s="96">
        <v>0</v>
      </c>
      <c r="G317" s="95">
        <v>0</v>
      </c>
      <c r="H317" s="95" t="s">
        <v>2982</v>
      </c>
      <c r="I317" s="95" t="str">
        <f t="shared" si="14"/>
        <v>NO</v>
      </c>
      <c r="J317" s="97">
        <v>38.472200000000001</v>
      </c>
      <c r="K317" s="98">
        <v>5.5495086027475147E-6</v>
      </c>
      <c r="L317" s="99">
        <v>0</v>
      </c>
      <c r="M317" s="98">
        <v>0</v>
      </c>
      <c r="N317" s="98" t="str">
        <f t="shared" si="12"/>
        <v>NO</v>
      </c>
      <c r="O317" s="97">
        <v>123.0219</v>
      </c>
      <c r="P317" s="100">
        <v>5.5495086027475147E-6</v>
      </c>
      <c r="Q317" s="99">
        <v>0</v>
      </c>
      <c r="R317" s="101">
        <v>0</v>
      </c>
      <c r="S317" t="str">
        <f t="shared" si="13"/>
        <v>NO</v>
      </c>
      <c r="T317" t="str">
        <f>VLOOKUP(Table8[[#This Row],[Census Tract]],'UI EnergyBurden'!$A$2:$B$184,2,FALSE)</f>
        <v>No</v>
      </c>
      <c r="U317">
        <f>VLOOKUP(Table8[[#This Row],[Census Tract]],'Population and Diversity Data'!$B$2:$K$823,10,FALSE)</f>
        <v>4</v>
      </c>
    </row>
    <row r="318" spans="1:21" ht="15.75" thickBot="1" x14ac:dyDescent="0.3">
      <c r="A318" s="175">
        <v>9009160200</v>
      </c>
      <c r="B318" s="200" t="s">
        <v>3014</v>
      </c>
      <c r="C318" s="93" t="s">
        <v>944</v>
      </c>
      <c r="D318" s="94">
        <v>176689.11550000001</v>
      </c>
      <c r="E318" s="95">
        <v>6.0716630915872427E-3</v>
      </c>
      <c r="F318" s="96">
        <v>43838.21</v>
      </c>
      <c r="G318" s="95">
        <v>2.6092638170015906E-3</v>
      </c>
      <c r="H318" s="95" t="s">
        <v>2986</v>
      </c>
      <c r="I318" s="95" t="str">
        <f t="shared" si="14"/>
        <v>NO</v>
      </c>
      <c r="J318" s="97">
        <v>127202.5885</v>
      </c>
      <c r="K318" s="98">
        <v>6.0716630915872427E-3</v>
      </c>
      <c r="L318" s="99">
        <v>40561.25</v>
      </c>
      <c r="M318" s="98">
        <v>2.6092638170015906E-3</v>
      </c>
      <c r="N318" s="98" t="str">
        <f t="shared" si="12"/>
        <v>NO</v>
      </c>
      <c r="O318" s="97">
        <v>49486.527000000002</v>
      </c>
      <c r="P318" s="100">
        <v>6.0716630915872427E-3</v>
      </c>
      <c r="Q318" s="99">
        <v>3276.96</v>
      </c>
      <c r="R318" s="101">
        <v>2.6092638170015906E-3</v>
      </c>
      <c r="S318" t="str">
        <f t="shared" si="13"/>
        <v>NO</v>
      </c>
      <c r="T318" t="str">
        <f>VLOOKUP(Table8[[#This Row],[Census Tract]],'UI EnergyBurden'!$A$2:$B$184,2,FALSE)</f>
        <v>No</v>
      </c>
      <c r="U318">
        <f>VLOOKUP(Table8[[#This Row],[Census Tract]],'Population and Diversity Data'!$B$2:$K$823,10,FALSE)</f>
        <v>4</v>
      </c>
    </row>
    <row r="319" spans="1:21" ht="15.75" thickBot="1" x14ac:dyDescent="0.3">
      <c r="A319" s="175">
        <v>9009165100</v>
      </c>
      <c r="B319" s="200" t="s">
        <v>953</v>
      </c>
      <c r="C319" s="93" t="s">
        <v>944</v>
      </c>
      <c r="D319" s="94">
        <v>88673.902800000098</v>
      </c>
      <c r="E319" s="95">
        <v>3.0471490068541044E-3</v>
      </c>
      <c r="F319" s="96">
        <v>54862.47</v>
      </c>
      <c r="G319" s="95">
        <v>3.2654311816640151E-3</v>
      </c>
      <c r="H319" s="95" t="s">
        <v>2993</v>
      </c>
      <c r="I319" s="95" t="str">
        <f t="shared" si="14"/>
        <v>YES</v>
      </c>
      <c r="J319" s="97">
        <v>60626.775900000102</v>
      </c>
      <c r="K319" s="98">
        <v>3.0471490068541044E-3</v>
      </c>
      <c r="L319" s="99">
        <v>29109.47</v>
      </c>
      <c r="M319" s="98">
        <v>3.2654311816640151E-3</v>
      </c>
      <c r="N319" s="98" t="str">
        <f t="shared" si="12"/>
        <v>YES</v>
      </c>
      <c r="O319" s="97">
        <v>28047.126899999999</v>
      </c>
      <c r="P319" s="100">
        <v>3.0471490068541044E-3</v>
      </c>
      <c r="Q319" s="99">
        <v>25753</v>
      </c>
      <c r="R319" s="101">
        <v>3.2654311816640151E-3</v>
      </c>
      <c r="S319" t="str">
        <f t="shared" si="13"/>
        <v>YES</v>
      </c>
      <c r="T319" t="str">
        <f>VLOOKUP(Table8[[#This Row],[Census Tract]],'UI EnergyBurden'!$A$2:$B$184,2,FALSE)</f>
        <v>No</v>
      </c>
      <c r="U319">
        <f>VLOOKUP(Table8[[#This Row],[Census Tract]],'Population and Diversity Data'!$B$2:$K$823,10,FALSE)</f>
        <v>5</v>
      </c>
    </row>
    <row r="320" spans="1:21" ht="15.75" thickBot="1" x14ac:dyDescent="0.3">
      <c r="A320" s="175">
        <v>9009165100</v>
      </c>
      <c r="B320" s="200" t="s">
        <v>3025</v>
      </c>
      <c r="C320" s="93" t="s">
        <v>944</v>
      </c>
      <c r="D320" s="94">
        <v>154.1491</v>
      </c>
      <c r="E320" s="95">
        <v>5.2971084179284997E-6</v>
      </c>
      <c r="F320" s="96">
        <v>0</v>
      </c>
      <c r="G320" s="95">
        <v>0</v>
      </c>
      <c r="H320" s="95" t="s">
        <v>2982</v>
      </c>
      <c r="I320" s="95" t="str">
        <f t="shared" si="14"/>
        <v>NO</v>
      </c>
      <c r="J320" s="97">
        <v>0</v>
      </c>
      <c r="K320" s="98">
        <v>5.2971084179284997E-6</v>
      </c>
      <c r="L320" s="99">
        <v>0</v>
      </c>
      <c r="M320" s="98">
        <v>0</v>
      </c>
      <c r="N320" s="98" t="str">
        <f t="shared" si="12"/>
        <v>NO</v>
      </c>
      <c r="O320" s="97">
        <v>154.1491</v>
      </c>
      <c r="P320" s="100">
        <v>5.2971084179284997E-6</v>
      </c>
      <c r="Q320" s="99">
        <v>0</v>
      </c>
      <c r="R320" s="101">
        <v>0</v>
      </c>
      <c r="S320" t="str">
        <f t="shared" si="13"/>
        <v>NO</v>
      </c>
      <c r="T320" t="str">
        <f>VLOOKUP(Table8[[#This Row],[Census Tract]],'UI EnergyBurden'!$A$2:$B$184,2,FALSE)</f>
        <v>No</v>
      </c>
      <c r="U320">
        <f>VLOOKUP(Table8[[#This Row],[Census Tract]],'Population and Diversity Data'!$B$2:$K$823,10,FALSE)</f>
        <v>5</v>
      </c>
    </row>
    <row r="321" spans="1:21" ht="15.75" thickBot="1" x14ac:dyDescent="0.3">
      <c r="A321" s="175">
        <v>9009165200</v>
      </c>
      <c r="B321" s="200" t="s">
        <v>953</v>
      </c>
      <c r="C321" s="93" t="s">
        <v>944</v>
      </c>
      <c r="D321" s="94">
        <v>59173.9615999999</v>
      </c>
      <c r="E321" s="95">
        <v>2.0334266636233183E-3</v>
      </c>
      <c r="F321" s="96">
        <v>16705.620000000003</v>
      </c>
      <c r="G321" s="95">
        <v>9.9432366893123861E-4</v>
      </c>
      <c r="H321" s="95" t="s">
        <v>2986</v>
      </c>
      <c r="I321" s="95" t="str">
        <f t="shared" si="14"/>
        <v>NO</v>
      </c>
      <c r="J321" s="97">
        <v>48468.042599999899</v>
      </c>
      <c r="K321" s="98">
        <v>2.0334266636233183E-3</v>
      </c>
      <c r="L321" s="99">
        <v>13366.62</v>
      </c>
      <c r="M321" s="98">
        <v>9.9432366893123861E-4</v>
      </c>
      <c r="N321" s="98" t="str">
        <f t="shared" si="12"/>
        <v>NO</v>
      </c>
      <c r="O321" s="97">
        <v>10705.919</v>
      </c>
      <c r="P321" s="100">
        <v>2.0334266636233183E-3</v>
      </c>
      <c r="Q321" s="99">
        <v>3339</v>
      </c>
      <c r="R321" s="101">
        <v>9.9432366893123861E-4</v>
      </c>
      <c r="S321" t="str">
        <f t="shared" si="13"/>
        <v>NO</v>
      </c>
      <c r="T321" t="str">
        <f>VLOOKUP(Table8[[#This Row],[Census Tract]],'UI EnergyBurden'!$A$2:$B$184,2,FALSE)</f>
        <v>No</v>
      </c>
      <c r="U321">
        <f>VLOOKUP(Table8[[#This Row],[Census Tract]],'Population and Diversity Data'!$B$2:$K$823,10,FALSE)</f>
        <v>3</v>
      </c>
    </row>
    <row r="322" spans="1:21" ht="15.75" thickBot="1" x14ac:dyDescent="0.3">
      <c r="A322" s="175">
        <v>9009165200</v>
      </c>
      <c r="B322" s="200" t="s">
        <v>3025</v>
      </c>
      <c r="C322" s="93" t="s">
        <v>944</v>
      </c>
      <c r="D322" s="94">
        <v>132.12629999999999</v>
      </c>
      <c r="E322" s="95">
        <v>4.5403270986320791E-6</v>
      </c>
      <c r="F322" s="96">
        <v>0</v>
      </c>
      <c r="G322" s="95">
        <v>0</v>
      </c>
      <c r="H322" s="95" t="s">
        <v>2982</v>
      </c>
      <c r="I322" s="95" t="str">
        <f t="shared" si="14"/>
        <v>N/A</v>
      </c>
      <c r="J322" s="97">
        <v>0</v>
      </c>
      <c r="K322" s="98">
        <v>4.5403270986320791E-6</v>
      </c>
      <c r="L322" s="99">
        <v>0</v>
      </c>
      <c r="M322" s="98">
        <v>0</v>
      </c>
      <c r="N322" s="98" t="str">
        <f t="shared" si="12"/>
        <v>N/A</v>
      </c>
      <c r="O322" s="97">
        <v>132.12629999999999</v>
      </c>
      <c r="P322" s="100">
        <v>4.5403270986320791E-6</v>
      </c>
      <c r="Q322" s="99">
        <v>0</v>
      </c>
      <c r="R322" s="101">
        <v>0</v>
      </c>
      <c r="S322" t="str">
        <f t="shared" si="13"/>
        <v>N/A</v>
      </c>
      <c r="T322" t="str">
        <f>VLOOKUP(Table8[[#This Row],[Census Tract]],'UI EnergyBurden'!$A$2:$B$184,2,FALSE)</f>
        <v>No</v>
      </c>
      <c r="U322">
        <f>VLOOKUP(Table8[[#This Row],[Census Tract]],'Population and Diversity Data'!$B$2:$K$823,10,FALSE)</f>
        <v>3</v>
      </c>
    </row>
    <row r="323" spans="1:21" ht="15.75" thickBot="1" x14ac:dyDescent="0.3">
      <c r="A323" s="175">
        <v>9009165300</v>
      </c>
      <c r="B323" s="200" t="s">
        <v>953</v>
      </c>
      <c r="C323" s="93" t="s">
        <v>944</v>
      </c>
      <c r="D323" s="94">
        <v>48786.757100000003</v>
      </c>
      <c r="E323" s="95">
        <v>1.6764855696065886E-3</v>
      </c>
      <c r="F323" s="96">
        <v>14148.03</v>
      </c>
      <c r="G323" s="95">
        <v>8.4209512114780723E-4</v>
      </c>
      <c r="H323" s="95" t="s">
        <v>2986</v>
      </c>
      <c r="I323" s="95" t="str">
        <f t="shared" si="14"/>
        <v>NO</v>
      </c>
      <c r="J323" s="97">
        <v>34716.817999999999</v>
      </c>
      <c r="K323" s="98">
        <v>1.6764855696065886E-3</v>
      </c>
      <c r="L323" s="99">
        <v>13678.03</v>
      </c>
      <c r="M323" s="98">
        <v>8.4209512114780723E-4</v>
      </c>
      <c r="N323" s="98" t="str">
        <f t="shared" si="12"/>
        <v>NO</v>
      </c>
      <c r="O323" s="97">
        <v>14069.9391</v>
      </c>
      <c r="P323" s="100">
        <v>1.6764855696065886E-3</v>
      </c>
      <c r="Q323" s="99">
        <v>470</v>
      </c>
      <c r="R323" s="101">
        <v>8.4209512114780723E-4</v>
      </c>
      <c r="S323" t="str">
        <f t="shared" si="13"/>
        <v>NO</v>
      </c>
      <c r="T323" t="str">
        <f>VLOOKUP(Table8[[#This Row],[Census Tract]],'UI EnergyBurden'!$A$2:$B$184,2,FALSE)</f>
        <v>No</v>
      </c>
      <c r="U323">
        <f>VLOOKUP(Table8[[#This Row],[Census Tract]],'Population and Diversity Data'!$B$2:$K$823,10,FALSE)</f>
        <v>2</v>
      </c>
    </row>
    <row r="324" spans="1:21" ht="15.75" thickBot="1" x14ac:dyDescent="0.3">
      <c r="A324" s="175">
        <v>9009165400</v>
      </c>
      <c r="B324" s="200" t="s">
        <v>953</v>
      </c>
      <c r="C324" s="93" t="s">
        <v>944</v>
      </c>
      <c r="D324" s="94">
        <v>103157.10000000021</v>
      </c>
      <c r="E324" s="95">
        <v>3.5448429006662585E-3</v>
      </c>
      <c r="F324" s="96">
        <v>134567.1</v>
      </c>
      <c r="G324" s="95">
        <v>8.009475409439271E-3</v>
      </c>
      <c r="H324" s="95" t="s">
        <v>2993</v>
      </c>
      <c r="I324" s="95" t="str">
        <f t="shared" si="14"/>
        <v>YES</v>
      </c>
      <c r="J324" s="97">
        <v>82247.570100000201</v>
      </c>
      <c r="K324" s="98">
        <v>3.5448429006662585E-3</v>
      </c>
      <c r="L324" s="99">
        <v>93458.42</v>
      </c>
      <c r="M324" s="98">
        <v>8.009475409439271E-3</v>
      </c>
      <c r="N324" s="98" t="str">
        <f t="shared" si="12"/>
        <v>YES</v>
      </c>
      <c r="O324" s="97">
        <v>20909.529900000001</v>
      </c>
      <c r="P324" s="100">
        <v>3.5448429006662585E-3</v>
      </c>
      <c r="Q324" s="99">
        <v>41108.68</v>
      </c>
      <c r="R324" s="101">
        <v>8.009475409439271E-3</v>
      </c>
      <c r="S324" t="str">
        <f t="shared" si="13"/>
        <v>YES</v>
      </c>
      <c r="T324" t="str">
        <f>VLOOKUP(Table8[[#This Row],[Census Tract]],'UI EnergyBurden'!$A$2:$B$184,2,FALSE)</f>
        <v>No</v>
      </c>
      <c r="U324">
        <f>VLOOKUP(Table8[[#This Row],[Census Tract]],'Population and Diversity Data'!$B$2:$K$823,10,FALSE)</f>
        <v>3</v>
      </c>
    </row>
    <row r="325" spans="1:21" ht="15.75" thickBot="1" x14ac:dyDescent="0.3">
      <c r="A325" s="175">
        <v>9009165400</v>
      </c>
      <c r="B325" s="200" t="s">
        <v>943</v>
      </c>
      <c r="C325" s="93" t="s">
        <v>944</v>
      </c>
      <c r="D325" s="94">
        <v>427.53480000000002</v>
      </c>
      <c r="E325" s="95">
        <v>1.4691608241873469E-5</v>
      </c>
      <c r="F325" s="96">
        <v>0</v>
      </c>
      <c r="G325" s="95">
        <v>0</v>
      </c>
      <c r="H325" s="95" t="s">
        <v>2982</v>
      </c>
      <c r="I325" s="95" t="str">
        <f t="shared" si="14"/>
        <v>NO</v>
      </c>
      <c r="J325" s="97">
        <v>0</v>
      </c>
      <c r="K325" s="98">
        <v>1.4691608241873469E-5</v>
      </c>
      <c r="L325" s="99">
        <v>0</v>
      </c>
      <c r="M325" s="98">
        <v>0</v>
      </c>
      <c r="N325" s="98" t="str">
        <f t="shared" si="12"/>
        <v>NO</v>
      </c>
      <c r="O325" s="97">
        <v>427.53480000000002</v>
      </c>
      <c r="P325" s="100">
        <v>1.4691608241873469E-5</v>
      </c>
      <c r="Q325" s="99">
        <v>0</v>
      </c>
      <c r="R325" s="101">
        <v>0</v>
      </c>
      <c r="S325" t="str">
        <f t="shared" si="13"/>
        <v>NO</v>
      </c>
      <c r="T325" t="str">
        <f>VLOOKUP(Table8[[#This Row],[Census Tract]],'UI EnergyBurden'!$A$2:$B$184,2,FALSE)</f>
        <v>No</v>
      </c>
      <c r="U325">
        <f>VLOOKUP(Table8[[#This Row],[Census Tract]],'Population and Diversity Data'!$B$2:$K$823,10,FALSE)</f>
        <v>3</v>
      </c>
    </row>
    <row r="326" spans="1:21" ht="15.75" thickBot="1" x14ac:dyDescent="0.3">
      <c r="A326" s="175">
        <v>9009165500</v>
      </c>
      <c r="B326" s="200" t="s">
        <v>3017</v>
      </c>
      <c r="C326" s="93" t="s">
        <v>944</v>
      </c>
      <c r="D326" s="94">
        <v>0</v>
      </c>
      <c r="E326" s="95">
        <v>0</v>
      </c>
      <c r="F326" s="96">
        <v>92839.35</v>
      </c>
      <c r="G326" s="95">
        <v>5.5258268243376409E-3</v>
      </c>
      <c r="H326" s="95" t="s">
        <v>2993</v>
      </c>
      <c r="I326" s="95" t="str">
        <f t="shared" si="14"/>
        <v>N/A</v>
      </c>
      <c r="J326" s="97">
        <v>0</v>
      </c>
      <c r="K326" s="98">
        <v>0</v>
      </c>
      <c r="L326" s="99">
        <v>42110.68</v>
      </c>
      <c r="M326" s="98">
        <v>5.5258268243376409E-3</v>
      </c>
      <c r="N326" s="98" t="str">
        <f t="shared" ref="N326:N389" si="15">IF(ROUND(K326,5)&lt;0.00001,"N/A",IF(ROUND(K326,5)&lt;=ROUND(M326,5),"YES","NO"))</f>
        <v>N/A</v>
      </c>
      <c r="O326" s="97">
        <v>0</v>
      </c>
      <c r="P326" s="100">
        <v>0</v>
      </c>
      <c r="Q326" s="99">
        <v>50728.67</v>
      </c>
      <c r="R326" s="101">
        <v>5.5258268243376409E-3</v>
      </c>
      <c r="S326" t="str">
        <f t="shared" ref="S326:S389" si="16">IF(ROUND(P326,5)&lt;0.00001,"N/A",IF(ROUND(P326,5)&lt;=ROUND(R326,5),"YES","NO"))</f>
        <v>N/A</v>
      </c>
      <c r="T326" t="str">
        <f>VLOOKUP(Table8[[#This Row],[Census Tract]],'UI EnergyBurden'!$A$2:$B$184,2,FALSE)</f>
        <v>Yes</v>
      </c>
      <c r="U326">
        <f>VLOOKUP(Table8[[#This Row],[Census Tract]],'Population and Diversity Data'!$B$2:$K$823,10,FALSE)</f>
        <v>4</v>
      </c>
    </row>
    <row r="327" spans="1:21" ht="15.75" thickBot="1" x14ac:dyDescent="0.3">
      <c r="A327" s="175">
        <v>9009165500</v>
      </c>
      <c r="B327" s="200" t="s">
        <v>953</v>
      </c>
      <c r="C327" s="93" t="s">
        <v>936</v>
      </c>
      <c r="D327" s="94">
        <v>107105.2402</v>
      </c>
      <c r="E327" s="95">
        <v>3.6805149654955747E-3</v>
      </c>
      <c r="F327" s="96">
        <v>0</v>
      </c>
      <c r="G327" s="95">
        <v>0</v>
      </c>
      <c r="H327" s="95" t="s">
        <v>2982</v>
      </c>
      <c r="I327" s="95" t="str">
        <f t="shared" si="14"/>
        <v>NO</v>
      </c>
      <c r="J327" s="97">
        <v>67465.568400000004</v>
      </c>
      <c r="K327" s="98">
        <v>3.6805149654955747E-3</v>
      </c>
      <c r="L327" s="99">
        <v>0</v>
      </c>
      <c r="M327" s="98">
        <v>0</v>
      </c>
      <c r="N327" s="98" t="str">
        <f t="shared" si="15"/>
        <v>NO</v>
      </c>
      <c r="O327" s="97">
        <v>39639.671799999996</v>
      </c>
      <c r="P327" s="100">
        <v>3.6805149654955747E-3</v>
      </c>
      <c r="Q327" s="99">
        <v>0</v>
      </c>
      <c r="R327" s="101">
        <v>0</v>
      </c>
      <c r="S327" t="str">
        <f t="shared" si="16"/>
        <v>NO</v>
      </c>
      <c r="T327" t="str">
        <f>VLOOKUP(Table8[[#This Row],[Census Tract]],'UI EnergyBurden'!$A$2:$B$184,2,FALSE)</f>
        <v>Yes</v>
      </c>
      <c r="U327">
        <f>VLOOKUP(Table8[[#This Row],[Census Tract]],'Population and Diversity Data'!$B$2:$K$823,10,FALSE)</f>
        <v>4</v>
      </c>
    </row>
    <row r="328" spans="1:21" ht="15.75" thickBot="1" x14ac:dyDescent="0.3">
      <c r="A328" s="175">
        <v>9009165500</v>
      </c>
      <c r="B328" s="200" t="s">
        <v>3015</v>
      </c>
      <c r="C328" s="93" t="s">
        <v>944</v>
      </c>
      <c r="D328" s="94">
        <v>0</v>
      </c>
      <c r="E328" s="95">
        <v>0</v>
      </c>
      <c r="F328" s="96">
        <v>1.370000000000001</v>
      </c>
      <c r="G328" s="95">
        <v>8.15428236985995E-8</v>
      </c>
      <c r="H328" s="95" t="s">
        <v>2993</v>
      </c>
      <c r="I328" s="95" t="str">
        <f t="shared" ref="I328:I391" si="17">IF(ROUND(E328,5)&lt;0.00001,"N/A",IF(ROUND(E328,5)&lt;=ROUND(G328,5),"YES","NO"))</f>
        <v>N/A</v>
      </c>
      <c r="J328" s="97">
        <v>0</v>
      </c>
      <c r="K328" s="98">
        <v>0</v>
      </c>
      <c r="L328" s="99">
        <v>26.37</v>
      </c>
      <c r="M328" s="98">
        <v>8.15428236985995E-8</v>
      </c>
      <c r="N328" s="98" t="str">
        <f t="shared" si="15"/>
        <v>N/A</v>
      </c>
      <c r="O328" s="97">
        <v>0</v>
      </c>
      <c r="P328" s="100">
        <v>0</v>
      </c>
      <c r="Q328" s="99">
        <v>-25</v>
      </c>
      <c r="R328" s="101">
        <v>8.15428236985995E-8</v>
      </c>
      <c r="S328" t="str">
        <f t="shared" si="16"/>
        <v>N/A</v>
      </c>
      <c r="T328" t="str">
        <f>VLOOKUP(Table8[[#This Row],[Census Tract]],'UI EnergyBurden'!$A$2:$B$184,2,FALSE)</f>
        <v>Yes</v>
      </c>
      <c r="U328">
        <f>VLOOKUP(Table8[[#This Row],[Census Tract]],'Population and Diversity Data'!$B$2:$K$823,10,FALSE)</f>
        <v>4</v>
      </c>
    </row>
    <row r="329" spans="1:21" ht="15.75" thickBot="1" x14ac:dyDescent="0.3">
      <c r="A329" s="175">
        <v>9009165500</v>
      </c>
      <c r="B329" s="200" t="s">
        <v>943</v>
      </c>
      <c r="C329" s="93" t="s">
        <v>936</v>
      </c>
      <c r="D329" s="94">
        <v>1290.6613</v>
      </c>
      <c r="E329" s="95">
        <v>4.4351688312968033E-5</v>
      </c>
      <c r="F329" s="96">
        <v>0</v>
      </c>
      <c r="G329" s="95">
        <v>0</v>
      </c>
      <c r="H329" s="95" t="s">
        <v>2982</v>
      </c>
      <c r="I329" s="95" t="str">
        <f t="shared" si="17"/>
        <v>NO</v>
      </c>
      <c r="J329" s="97">
        <v>766.12699999999995</v>
      </c>
      <c r="K329" s="98">
        <v>4.4351688312968033E-5</v>
      </c>
      <c r="L329" s="99">
        <v>0</v>
      </c>
      <c r="M329" s="98">
        <v>0</v>
      </c>
      <c r="N329" s="98" t="str">
        <f t="shared" si="15"/>
        <v>NO</v>
      </c>
      <c r="O329" s="97">
        <v>524.53430000000003</v>
      </c>
      <c r="P329" s="100">
        <v>4.4351688312968033E-5</v>
      </c>
      <c r="Q329" s="99">
        <v>0</v>
      </c>
      <c r="R329" s="101">
        <v>0</v>
      </c>
      <c r="S329" t="str">
        <f t="shared" si="16"/>
        <v>NO</v>
      </c>
      <c r="T329" t="str">
        <f>VLOOKUP(Table8[[#This Row],[Census Tract]],'UI EnergyBurden'!$A$2:$B$184,2,FALSE)</f>
        <v>Yes</v>
      </c>
      <c r="U329">
        <f>VLOOKUP(Table8[[#This Row],[Census Tract]],'Population and Diversity Data'!$B$2:$K$823,10,FALSE)</f>
        <v>4</v>
      </c>
    </row>
    <row r="330" spans="1:21" ht="15.75" thickBot="1" x14ac:dyDescent="0.3">
      <c r="A330" s="175">
        <v>9009165600</v>
      </c>
      <c r="B330" s="200" t="s">
        <v>953</v>
      </c>
      <c r="C330" s="93" t="s">
        <v>944</v>
      </c>
      <c r="D330" s="94">
        <v>139055.67680000019</v>
      </c>
      <c r="E330" s="95">
        <v>4.778444999925564E-3</v>
      </c>
      <c r="F330" s="96">
        <v>63384.259999999995</v>
      </c>
      <c r="G330" s="95">
        <v>3.7726507579899184E-3</v>
      </c>
      <c r="H330" s="95" t="s">
        <v>2986</v>
      </c>
      <c r="I330" s="95" t="str">
        <f t="shared" si="17"/>
        <v>NO</v>
      </c>
      <c r="J330" s="97">
        <v>85902.613000000201</v>
      </c>
      <c r="K330" s="98">
        <v>4.778444999925564E-3</v>
      </c>
      <c r="L330" s="99">
        <v>29461.26</v>
      </c>
      <c r="M330" s="98">
        <v>3.7726507579899184E-3</v>
      </c>
      <c r="N330" s="98" t="str">
        <f t="shared" si="15"/>
        <v>NO</v>
      </c>
      <c r="O330" s="97">
        <v>53153.063800000004</v>
      </c>
      <c r="P330" s="100">
        <v>4.778444999925564E-3</v>
      </c>
      <c r="Q330" s="99">
        <v>33923</v>
      </c>
      <c r="R330" s="101">
        <v>3.7726507579899184E-3</v>
      </c>
      <c r="S330" t="str">
        <f t="shared" si="16"/>
        <v>NO</v>
      </c>
      <c r="T330" t="str">
        <f>VLOOKUP(Table8[[#This Row],[Census Tract]],'UI EnergyBurden'!$A$2:$B$184,2,FALSE)</f>
        <v>No</v>
      </c>
      <c r="U330">
        <f>VLOOKUP(Table8[[#This Row],[Census Tract]],'Population and Diversity Data'!$B$2:$K$823,10,FALSE)</f>
        <v>5</v>
      </c>
    </row>
    <row r="331" spans="1:21" ht="15.75" thickBot="1" x14ac:dyDescent="0.3">
      <c r="A331" s="175">
        <v>9009165700</v>
      </c>
      <c r="B331" s="200" t="s">
        <v>953</v>
      </c>
      <c r="C331" s="93" t="s">
        <v>944</v>
      </c>
      <c r="D331" s="94">
        <v>70767.650900000008</v>
      </c>
      <c r="E331" s="95">
        <v>2.4318268436170913E-3</v>
      </c>
      <c r="F331" s="96">
        <v>53703</v>
      </c>
      <c r="G331" s="95">
        <v>3.1964191686758292E-3</v>
      </c>
      <c r="H331" s="95" t="s">
        <v>2993</v>
      </c>
      <c r="I331" s="95" t="str">
        <f t="shared" si="17"/>
        <v>YES</v>
      </c>
      <c r="J331" s="97">
        <v>67016.043900000004</v>
      </c>
      <c r="K331" s="98">
        <v>2.4318268436170913E-3</v>
      </c>
      <c r="L331" s="99">
        <v>53703</v>
      </c>
      <c r="M331" s="98">
        <v>3.1964191686758292E-3</v>
      </c>
      <c r="N331" s="98" t="str">
        <f t="shared" si="15"/>
        <v>YES</v>
      </c>
      <c r="O331" s="97">
        <v>3751.607</v>
      </c>
      <c r="P331" s="100">
        <v>2.4318268436170913E-3</v>
      </c>
      <c r="Q331" s="99">
        <v>0</v>
      </c>
      <c r="R331" s="101">
        <v>3.1964191686758292E-3</v>
      </c>
      <c r="S331" t="str">
        <f t="shared" si="16"/>
        <v>YES</v>
      </c>
      <c r="T331" t="str">
        <f>VLOOKUP(Table8[[#This Row],[Census Tract]],'UI EnergyBurden'!$A$2:$B$184,2,FALSE)</f>
        <v>No</v>
      </c>
      <c r="U331">
        <f>VLOOKUP(Table8[[#This Row],[Census Tract]],'Population and Diversity Data'!$B$2:$K$823,10,FALSE)</f>
        <v>4</v>
      </c>
    </row>
    <row r="332" spans="1:21" ht="15.75" thickBot="1" x14ac:dyDescent="0.3">
      <c r="A332" s="175">
        <v>9009165700</v>
      </c>
      <c r="B332" s="200" t="s">
        <v>943</v>
      </c>
      <c r="C332" s="93" t="s">
        <v>944</v>
      </c>
      <c r="D332" s="94">
        <v>8.9306999999999999</v>
      </c>
      <c r="E332" s="95">
        <v>3.0689044663896221E-7</v>
      </c>
      <c r="F332" s="96">
        <v>0</v>
      </c>
      <c r="G332" s="95">
        <v>0</v>
      </c>
      <c r="H332" s="95" t="s">
        <v>2982</v>
      </c>
      <c r="I332" s="95" t="str">
        <f t="shared" si="17"/>
        <v>N/A</v>
      </c>
      <c r="J332" s="97">
        <v>0</v>
      </c>
      <c r="K332" s="98">
        <v>3.0689044663896221E-7</v>
      </c>
      <c r="L332" s="99">
        <v>0</v>
      </c>
      <c r="M332" s="98">
        <v>0</v>
      </c>
      <c r="N332" s="98" t="str">
        <f t="shared" si="15"/>
        <v>N/A</v>
      </c>
      <c r="O332" s="97">
        <v>8.9306999999999999</v>
      </c>
      <c r="P332" s="100">
        <v>3.0689044663896221E-7</v>
      </c>
      <c r="Q332" s="99">
        <v>0</v>
      </c>
      <c r="R332" s="101">
        <v>0</v>
      </c>
      <c r="S332" t="str">
        <f t="shared" si="16"/>
        <v>N/A</v>
      </c>
      <c r="T332" t="str">
        <f>VLOOKUP(Table8[[#This Row],[Census Tract]],'UI EnergyBurden'!$A$2:$B$184,2,FALSE)</f>
        <v>No</v>
      </c>
      <c r="U332">
        <f>VLOOKUP(Table8[[#This Row],[Census Tract]],'Population and Diversity Data'!$B$2:$K$823,10,FALSE)</f>
        <v>4</v>
      </c>
    </row>
    <row r="333" spans="1:21" ht="15.75" thickBot="1" x14ac:dyDescent="0.3">
      <c r="A333" s="175">
        <v>9009165700</v>
      </c>
      <c r="B333" s="200" t="s">
        <v>3019</v>
      </c>
      <c r="C333" s="93" t="s">
        <v>944</v>
      </c>
      <c r="D333" s="94">
        <v>0</v>
      </c>
      <c r="E333" s="95">
        <v>0</v>
      </c>
      <c r="F333" s="96">
        <v>924.07</v>
      </c>
      <c r="G333" s="95">
        <v>5.5000932186251667E-5</v>
      </c>
      <c r="H333" s="95" t="s">
        <v>2993</v>
      </c>
      <c r="I333" s="95" t="str">
        <f t="shared" si="17"/>
        <v>N/A</v>
      </c>
      <c r="J333" s="97">
        <v>0</v>
      </c>
      <c r="K333" s="98">
        <v>0</v>
      </c>
      <c r="L333" s="99">
        <v>924.07</v>
      </c>
      <c r="M333" s="98">
        <v>5.5000932186251667E-5</v>
      </c>
      <c r="N333" s="98" t="str">
        <f t="shared" si="15"/>
        <v>N/A</v>
      </c>
      <c r="O333" s="97">
        <v>0</v>
      </c>
      <c r="P333" s="100">
        <v>0</v>
      </c>
      <c r="Q333" s="99">
        <v>0</v>
      </c>
      <c r="R333" s="101">
        <v>5.5000932186251667E-5</v>
      </c>
      <c r="S333" t="str">
        <f t="shared" si="16"/>
        <v>N/A</v>
      </c>
      <c r="T333" t="str">
        <f>VLOOKUP(Table8[[#This Row],[Census Tract]],'UI EnergyBurden'!$A$2:$B$184,2,FALSE)</f>
        <v>No</v>
      </c>
      <c r="U333">
        <f>VLOOKUP(Table8[[#This Row],[Census Tract]],'Population and Diversity Data'!$B$2:$K$823,10,FALSE)</f>
        <v>4</v>
      </c>
    </row>
    <row r="334" spans="1:21" ht="15.75" thickBot="1" x14ac:dyDescent="0.3">
      <c r="A334" s="175">
        <v>9009165801</v>
      </c>
      <c r="B334" s="200" t="s">
        <v>953</v>
      </c>
      <c r="C334" s="93" t="s">
        <v>944</v>
      </c>
      <c r="D334" s="94">
        <v>144128.05559999999</v>
      </c>
      <c r="E334" s="95">
        <v>4.9527498803329162E-3</v>
      </c>
      <c r="F334" s="96">
        <v>73665.38</v>
      </c>
      <c r="G334" s="95">
        <v>4.3845862000221414E-3</v>
      </c>
      <c r="H334" s="95" t="s">
        <v>2993</v>
      </c>
      <c r="I334" s="95" t="str">
        <f t="shared" si="17"/>
        <v>NO</v>
      </c>
      <c r="J334" s="97">
        <v>77328.733099999998</v>
      </c>
      <c r="K334" s="98">
        <v>4.9527498803329162E-3</v>
      </c>
      <c r="L334" s="99">
        <v>12576.38</v>
      </c>
      <c r="M334" s="98">
        <v>4.3845862000221414E-3</v>
      </c>
      <c r="N334" s="98" t="str">
        <f t="shared" si="15"/>
        <v>NO</v>
      </c>
      <c r="O334" s="97">
        <v>66799.322499999995</v>
      </c>
      <c r="P334" s="100">
        <v>4.9527498803329162E-3</v>
      </c>
      <c r="Q334" s="99">
        <v>61089</v>
      </c>
      <c r="R334" s="101">
        <v>4.3845862000221414E-3</v>
      </c>
      <c r="S334" t="str">
        <f t="shared" si="16"/>
        <v>NO</v>
      </c>
      <c r="T334" t="str">
        <f>VLOOKUP(Table8[[#This Row],[Census Tract]],'UI EnergyBurden'!$A$2:$B$184,2,FALSE)</f>
        <v>No</v>
      </c>
      <c r="U334">
        <f>VLOOKUP(Table8[[#This Row],[Census Tract]],'Population and Diversity Data'!$B$2:$K$823,10,FALSE)</f>
        <v>4</v>
      </c>
    </row>
    <row r="335" spans="1:21" ht="15.75" thickBot="1" x14ac:dyDescent="0.3">
      <c r="A335" s="175">
        <v>9009165802</v>
      </c>
      <c r="B335" s="200" t="s">
        <v>953</v>
      </c>
      <c r="C335" s="93" t="s">
        <v>944</v>
      </c>
      <c r="D335" s="94">
        <v>84035.247599999901</v>
      </c>
      <c r="E335" s="95">
        <v>2.8877484037510776E-3</v>
      </c>
      <c r="F335" s="96">
        <v>53663.18</v>
      </c>
      <c r="G335" s="95">
        <v>3.1940490699607356E-3</v>
      </c>
      <c r="H335" s="95" t="s">
        <v>2993</v>
      </c>
      <c r="I335" s="95" t="str">
        <f t="shared" si="17"/>
        <v>YES</v>
      </c>
      <c r="J335" s="97">
        <v>76841.958499999906</v>
      </c>
      <c r="K335" s="98">
        <v>2.8877484037510776E-3</v>
      </c>
      <c r="L335" s="99">
        <v>50093.18</v>
      </c>
      <c r="M335" s="98">
        <v>3.1940490699607356E-3</v>
      </c>
      <c r="N335" s="98" t="str">
        <f t="shared" si="15"/>
        <v>YES</v>
      </c>
      <c r="O335" s="97">
        <v>7193.2891</v>
      </c>
      <c r="P335" s="100">
        <v>2.8877484037510776E-3</v>
      </c>
      <c r="Q335" s="99">
        <v>3570</v>
      </c>
      <c r="R335" s="101">
        <v>3.1940490699607356E-3</v>
      </c>
      <c r="S335" t="str">
        <f t="shared" si="16"/>
        <v>YES</v>
      </c>
      <c r="T335" t="str">
        <f>VLOOKUP(Table8[[#This Row],[Census Tract]],'UI EnergyBurden'!$A$2:$B$184,2,FALSE)</f>
        <v>No</v>
      </c>
      <c r="U335">
        <f>VLOOKUP(Table8[[#This Row],[Census Tract]],'Population and Diversity Data'!$B$2:$K$823,10,FALSE)</f>
        <v>3</v>
      </c>
    </row>
    <row r="336" spans="1:21" ht="15.75" thickBot="1" x14ac:dyDescent="0.3">
      <c r="A336" s="175">
        <v>9009165802</v>
      </c>
      <c r="B336" s="200" t="s">
        <v>943</v>
      </c>
      <c r="C336" s="93" t="s">
        <v>944</v>
      </c>
      <c r="D336" s="94">
        <v>218.60890000000001</v>
      </c>
      <c r="E336" s="95">
        <v>7.5121751889831961E-6</v>
      </c>
      <c r="F336" s="96">
        <v>0</v>
      </c>
      <c r="G336" s="95">
        <v>0</v>
      </c>
      <c r="H336" s="95" t="s">
        <v>2982</v>
      </c>
      <c r="I336" s="95" t="str">
        <f t="shared" si="17"/>
        <v>NO</v>
      </c>
      <c r="J336" s="97">
        <v>0</v>
      </c>
      <c r="K336" s="98">
        <v>7.5121751889831961E-6</v>
      </c>
      <c r="L336" s="99">
        <v>0</v>
      </c>
      <c r="M336" s="98">
        <v>0</v>
      </c>
      <c r="N336" s="98" t="str">
        <f t="shared" si="15"/>
        <v>NO</v>
      </c>
      <c r="O336" s="97">
        <v>218.60890000000001</v>
      </c>
      <c r="P336" s="100">
        <v>7.5121751889831961E-6</v>
      </c>
      <c r="Q336" s="99">
        <v>0</v>
      </c>
      <c r="R336" s="101">
        <v>0</v>
      </c>
      <c r="S336" t="str">
        <f t="shared" si="16"/>
        <v>NO</v>
      </c>
      <c r="T336" t="str">
        <f>VLOOKUP(Table8[[#This Row],[Census Tract]],'UI EnergyBurden'!$A$2:$B$184,2,FALSE)</f>
        <v>No</v>
      </c>
      <c r="U336">
        <f>VLOOKUP(Table8[[#This Row],[Census Tract]],'Population and Diversity Data'!$B$2:$K$823,10,FALSE)</f>
        <v>3</v>
      </c>
    </row>
    <row r="337" spans="1:21" ht="15.75" thickBot="1" x14ac:dyDescent="0.3">
      <c r="A337" s="175">
        <v>9009165900</v>
      </c>
      <c r="B337" s="200" t="s">
        <v>953</v>
      </c>
      <c r="C337" s="93" t="s">
        <v>944</v>
      </c>
      <c r="D337" s="94">
        <v>205920.86439999999</v>
      </c>
      <c r="E337" s="95">
        <v>7.0761693985910588E-3</v>
      </c>
      <c r="F337" s="96">
        <v>76798.03</v>
      </c>
      <c r="G337" s="95">
        <v>4.5710424968538324E-3</v>
      </c>
      <c r="H337" s="95" t="s">
        <v>2986</v>
      </c>
      <c r="I337" s="95" t="str">
        <f t="shared" si="17"/>
        <v>NO</v>
      </c>
      <c r="J337" s="97">
        <v>144930.68359999999</v>
      </c>
      <c r="K337" s="98">
        <v>7.0761693985910588E-3</v>
      </c>
      <c r="L337" s="99">
        <v>65336.89</v>
      </c>
      <c r="M337" s="98">
        <v>4.5710424968538324E-3</v>
      </c>
      <c r="N337" s="98" t="str">
        <f t="shared" si="15"/>
        <v>NO</v>
      </c>
      <c r="O337" s="97">
        <v>60990.180800000002</v>
      </c>
      <c r="P337" s="100">
        <v>7.0761693985910588E-3</v>
      </c>
      <c r="Q337" s="99">
        <v>11461.14</v>
      </c>
      <c r="R337" s="101">
        <v>4.5710424968538324E-3</v>
      </c>
      <c r="S337" t="str">
        <f t="shared" si="16"/>
        <v>NO</v>
      </c>
      <c r="T337" t="str">
        <f>VLOOKUP(Table8[[#This Row],[Census Tract]],'UI EnergyBurden'!$A$2:$B$184,2,FALSE)</f>
        <v>No</v>
      </c>
      <c r="U337">
        <f>VLOOKUP(Table8[[#This Row],[Census Tract]],'Population and Diversity Data'!$B$2:$K$823,10,FALSE)</f>
        <v>3</v>
      </c>
    </row>
    <row r="338" spans="1:21" ht="15.75" thickBot="1" x14ac:dyDescent="0.3">
      <c r="A338" s="175">
        <v>9009166001</v>
      </c>
      <c r="B338" s="200" t="s">
        <v>953</v>
      </c>
      <c r="C338" s="93" t="s">
        <v>944</v>
      </c>
      <c r="D338" s="94">
        <v>167033.9798</v>
      </c>
      <c r="E338" s="95">
        <v>5.7398784714194177E-3</v>
      </c>
      <c r="F338" s="96">
        <v>87662.760000000009</v>
      </c>
      <c r="G338" s="95">
        <v>5.2177145865785661E-3</v>
      </c>
      <c r="H338" s="95" t="s">
        <v>2993</v>
      </c>
      <c r="I338" s="95" t="str">
        <f t="shared" si="17"/>
        <v>NO</v>
      </c>
      <c r="J338" s="97">
        <v>103220.78479999999</v>
      </c>
      <c r="K338" s="98">
        <v>5.7398784714194177E-3</v>
      </c>
      <c r="L338" s="99">
        <v>63414.76</v>
      </c>
      <c r="M338" s="98">
        <v>5.2177145865785661E-3</v>
      </c>
      <c r="N338" s="98" t="str">
        <f t="shared" si="15"/>
        <v>NO</v>
      </c>
      <c r="O338" s="97">
        <v>63813.195</v>
      </c>
      <c r="P338" s="100">
        <v>5.7398784714194177E-3</v>
      </c>
      <c r="Q338" s="99">
        <v>24248</v>
      </c>
      <c r="R338" s="101">
        <v>5.2177145865785661E-3</v>
      </c>
      <c r="S338" t="str">
        <f t="shared" si="16"/>
        <v>NO</v>
      </c>
      <c r="T338" t="str">
        <f>VLOOKUP(Table8[[#This Row],[Census Tract]],'UI EnergyBurden'!$A$2:$B$184,2,FALSE)</f>
        <v>No</v>
      </c>
      <c r="U338">
        <f>VLOOKUP(Table8[[#This Row],[Census Tract]],'Population and Diversity Data'!$B$2:$K$823,10,FALSE)</f>
        <v>4</v>
      </c>
    </row>
    <row r="339" spans="1:21" ht="15.75" thickBot="1" x14ac:dyDescent="0.3">
      <c r="A339" s="175">
        <v>9009166002</v>
      </c>
      <c r="B339" s="200" t="s">
        <v>953</v>
      </c>
      <c r="C339" s="93" t="s">
        <v>944</v>
      </c>
      <c r="D339" s="94">
        <v>128871.69100000011</v>
      </c>
      <c r="E339" s="95">
        <v>4.4284872193790367E-3</v>
      </c>
      <c r="F339" s="96">
        <v>36273.01</v>
      </c>
      <c r="G339" s="95">
        <v>2.1589807733193682E-3</v>
      </c>
      <c r="H339" s="95" t="s">
        <v>2986</v>
      </c>
      <c r="I339" s="95" t="str">
        <f t="shared" si="17"/>
        <v>NO</v>
      </c>
      <c r="J339" s="97">
        <v>88585.424700000105</v>
      </c>
      <c r="K339" s="98">
        <v>4.4284872193790367E-3</v>
      </c>
      <c r="L339" s="99">
        <v>25722.63</v>
      </c>
      <c r="M339" s="98">
        <v>2.1589807733193682E-3</v>
      </c>
      <c r="N339" s="98" t="str">
        <f t="shared" si="15"/>
        <v>NO</v>
      </c>
      <c r="O339" s="97">
        <v>40286.266300000003</v>
      </c>
      <c r="P339" s="100">
        <v>4.4284872193790367E-3</v>
      </c>
      <c r="Q339" s="99">
        <v>10550.38</v>
      </c>
      <c r="R339" s="101">
        <v>2.1589807733193682E-3</v>
      </c>
      <c r="S339" t="str">
        <f t="shared" si="16"/>
        <v>NO</v>
      </c>
      <c r="T339" t="str">
        <f>VLOOKUP(Table8[[#This Row],[Census Tract]],'UI EnergyBurden'!$A$2:$B$184,2,FALSE)</f>
        <v>No</v>
      </c>
      <c r="U339">
        <f>VLOOKUP(Table8[[#This Row],[Census Tract]],'Population and Diversity Data'!$B$2:$K$823,10,FALSE)</f>
        <v>3</v>
      </c>
    </row>
    <row r="340" spans="1:21" ht="15.75" thickBot="1" x14ac:dyDescent="0.3">
      <c r="A340" s="175">
        <v>9009166002</v>
      </c>
      <c r="B340" s="200" t="s">
        <v>943</v>
      </c>
      <c r="C340" s="93" t="s">
        <v>944</v>
      </c>
      <c r="D340" s="94">
        <v>459.02100000000002</v>
      </c>
      <c r="E340" s="95">
        <v>1.5773585464371559E-5</v>
      </c>
      <c r="F340" s="96">
        <v>0</v>
      </c>
      <c r="G340" s="95">
        <v>0</v>
      </c>
      <c r="H340" s="95" t="s">
        <v>2982</v>
      </c>
      <c r="I340" s="95" t="str">
        <f t="shared" si="17"/>
        <v>NO</v>
      </c>
      <c r="J340" s="97">
        <v>0</v>
      </c>
      <c r="K340" s="98">
        <v>1.5773585464371559E-5</v>
      </c>
      <c r="L340" s="99">
        <v>0</v>
      </c>
      <c r="M340" s="98">
        <v>0</v>
      </c>
      <c r="N340" s="98" t="str">
        <f t="shared" si="15"/>
        <v>NO</v>
      </c>
      <c r="O340" s="97">
        <v>459.02100000000002</v>
      </c>
      <c r="P340" s="100">
        <v>1.5773585464371559E-5</v>
      </c>
      <c r="Q340" s="99">
        <v>0</v>
      </c>
      <c r="R340" s="101">
        <v>0</v>
      </c>
      <c r="S340" t="str">
        <f t="shared" si="16"/>
        <v>NO</v>
      </c>
      <c r="T340" t="str">
        <f>VLOOKUP(Table8[[#This Row],[Census Tract]],'UI EnergyBurden'!$A$2:$B$184,2,FALSE)</f>
        <v>No</v>
      </c>
      <c r="U340">
        <f>VLOOKUP(Table8[[#This Row],[Census Tract]],'Population and Diversity Data'!$B$2:$K$823,10,FALSE)</f>
        <v>3</v>
      </c>
    </row>
    <row r="341" spans="1:21" ht="15.75" thickBot="1" x14ac:dyDescent="0.3">
      <c r="A341" s="175">
        <v>9009166002</v>
      </c>
      <c r="B341" s="200" t="s">
        <v>3025</v>
      </c>
      <c r="C341" s="93" t="s">
        <v>944</v>
      </c>
      <c r="D341" s="94">
        <v>227.32550000000001</v>
      </c>
      <c r="E341" s="95">
        <v>7.8117084021885638E-6</v>
      </c>
      <c r="F341" s="96">
        <v>0</v>
      </c>
      <c r="G341" s="95">
        <v>0</v>
      </c>
      <c r="H341" s="95" t="s">
        <v>2982</v>
      </c>
      <c r="I341" s="95" t="str">
        <f t="shared" si="17"/>
        <v>NO</v>
      </c>
      <c r="J341" s="97">
        <v>227.32550000000001</v>
      </c>
      <c r="K341" s="98">
        <v>7.8117084021885638E-6</v>
      </c>
      <c r="L341" s="99">
        <v>0</v>
      </c>
      <c r="M341" s="98">
        <v>0</v>
      </c>
      <c r="N341" s="98" t="str">
        <f t="shared" si="15"/>
        <v>NO</v>
      </c>
      <c r="O341" s="97">
        <v>0</v>
      </c>
      <c r="P341" s="100">
        <v>7.8117084021885638E-6</v>
      </c>
      <c r="Q341" s="99">
        <v>0</v>
      </c>
      <c r="R341" s="101">
        <v>0</v>
      </c>
      <c r="S341" t="str">
        <f t="shared" si="16"/>
        <v>NO</v>
      </c>
      <c r="T341" t="str">
        <f>VLOOKUP(Table8[[#This Row],[Census Tract]],'UI EnergyBurden'!$A$2:$B$184,2,FALSE)</f>
        <v>No</v>
      </c>
      <c r="U341">
        <f>VLOOKUP(Table8[[#This Row],[Census Tract]],'Population and Diversity Data'!$B$2:$K$823,10,FALSE)</f>
        <v>3</v>
      </c>
    </row>
    <row r="342" spans="1:21" ht="15.75" thickBot="1" x14ac:dyDescent="0.3">
      <c r="A342" s="175">
        <v>9009167100</v>
      </c>
      <c r="B342" s="200" t="s">
        <v>953</v>
      </c>
      <c r="C342" s="93" t="s">
        <v>944</v>
      </c>
      <c r="D342" s="94">
        <v>940.88679999999999</v>
      </c>
      <c r="E342" s="95">
        <v>3.2332199076075105E-5</v>
      </c>
      <c r="F342" s="96">
        <v>0</v>
      </c>
      <c r="G342" s="95">
        <v>0</v>
      </c>
      <c r="H342" s="95" t="s">
        <v>2982</v>
      </c>
      <c r="I342" s="95" t="str">
        <f t="shared" si="17"/>
        <v>NO</v>
      </c>
      <c r="J342" s="97">
        <v>695.01679999999999</v>
      </c>
      <c r="K342" s="98">
        <v>3.2332199076075105E-5</v>
      </c>
      <c r="L342" s="99">
        <v>0</v>
      </c>
      <c r="M342" s="98">
        <v>0</v>
      </c>
      <c r="N342" s="98" t="str">
        <f t="shared" si="15"/>
        <v>NO</v>
      </c>
      <c r="O342" s="97">
        <v>245.87</v>
      </c>
      <c r="P342" s="100">
        <v>3.2332199076075105E-5</v>
      </c>
      <c r="Q342" s="99">
        <v>0</v>
      </c>
      <c r="R342" s="101">
        <v>0</v>
      </c>
      <c r="S342" t="str">
        <f t="shared" si="16"/>
        <v>NO</v>
      </c>
      <c r="T342" t="str">
        <f>VLOOKUP(Table8[[#This Row],[Census Tract]],'UI EnergyBurden'!$A$2:$B$184,2,FALSE)</f>
        <v>No</v>
      </c>
      <c r="U342">
        <f>VLOOKUP(Table8[[#This Row],[Census Tract]],'Population and Diversity Data'!$B$2:$K$823,10,FALSE)</f>
        <v>3</v>
      </c>
    </row>
    <row r="343" spans="1:21" ht="15.75" thickBot="1" x14ac:dyDescent="0.3">
      <c r="A343" s="175">
        <v>9009167100</v>
      </c>
      <c r="B343" s="200" t="s">
        <v>3025</v>
      </c>
      <c r="C343" s="93" t="s">
        <v>944</v>
      </c>
      <c r="D343" s="94">
        <v>246281.63460000002</v>
      </c>
      <c r="E343" s="95">
        <v>8.4631082492265669E-3</v>
      </c>
      <c r="F343" s="96">
        <v>163233.22</v>
      </c>
      <c r="G343" s="95">
        <v>9.71569173738299E-3</v>
      </c>
      <c r="H343" s="95" t="s">
        <v>2993</v>
      </c>
      <c r="I343" s="95" t="str">
        <f t="shared" si="17"/>
        <v>YES</v>
      </c>
      <c r="J343" s="97">
        <v>175927.88690000001</v>
      </c>
      <c r="K343" s="98">
        <v>8.4631082492265669E-3</v>
      </c>
      <c r="L343" s="99">
        <v>93222.22</v>
      </c>
      <c r="M343" s="98">
        <v>9.71569173738299E-3</v>
      </c>
      <c r="N343" s="98" t="str">
        <f t="shared" si="15"/>
        <v>YES</v>
      </c>
      <c r="O343" s="97">
        <v>70353.747700000007</v>
      </c>
      <c r="P343" s="100">
        <v>8.4631082492265669E-3</v>
      </c>
      <c r="Q343" s="99">
        <v>70011</v>
      </c>
      <c r="R343" s="101">
        <v>9.71569173738299E-3</v>
      </c>
      <c r="S343" t="str">
        <f t="shared" si="16"/>
        <v>YES</v>
      </c>
      <c r="T343" t="str">
        <f>VLOOKUP(Table8[[#This Row],[Census Tract]],'UI EnergyBurden'!$A$2:$B$184,2,FALSE)</f>
        <v>No</v>
      </c>
      <c r="U343">
        <f>VLOOKUP(Table8[[#This Row],[Census Tract]],'Population and Diversity Data'!$B$2:$K$823,10,FALSE)</f>
        <v>3</v>
      </c>
    </row>
    <row r="344" spans="1:21" ht="15.75" thickBot="1" x14ac:dyDescent="0.3">
      <c r="A344" s="175">
        <v>9009167201</v>
      </c>
      <c r="B344" s="200" t="s">
        <v>3024</v>
      </c>
      <c r="C344" s="93" t="s">
        <v>944</v>
      </c>
      <c r="D344" s="94">
        <v>82.957800000000006</v>
      </c>
      <c r="E344" s="95">
        <v>2.8507234924681942E-6</v>
      </c>
      <c r="F344" s="96">
        <v>0</v>
      </c>
      <c r="G344" s="95">
        <v>0</v>
      </c>
      <c r="H344" s="95" t="s">
        <v>2982</v>
      </c>
      <c r="I344" s="95" t="str">
        <f t="shared" si="17"/>
        <v>N/A</v>
      </c>
      <c r="J344" s="97">
        <v>0</v>
      </c>
      <c r="K344" s="98">
        <v>2.8507234924681942E-6</v>
      </c>
      <c r="L344" s="99">
        <v>0</v>
      </c>
      <c r="M344" s="98">
        <v>0</v>
      </c>
      <c r="N344" s="98" t="str">
        <f t="shared" si="15"/>
        <v>N/A</v>
      </c>
      <c r="O344" s="97">
        <v>82.957800000000006</v>
      </c>
      <c r="P344" s="100">
        <v>2.8507234924681942E-6</v>
      </c>
      <c r="Q344" s="99">
        <v>0</v>
      </c>
      <c r="R344" s="101">
        <v>0</v>
      </c>
      <c r="S344" t="str">
        <f t="shared" si="16"/>
        <v>N/A</v>
      </c>
      <c r="T344" t="str">
        <f>VLOOKUP(Table8[[#This Row],[Census Tract]],'UI EnergyBurden'!$A$2:$B$184,2,FALSE)</f>
        <v>No</v>
      </c>
      <c r="U344">
        <f>VLOOKUP(Table8[[#This Row],[Census Tract]],'Population and Diversity Data'!$B$2:$K$823,10,FALSE)</f>
        <v>2</v>
      </c>
    </row>
    <row r="345" spans="1:21" ht="15.75" thickBot="1" x14ac:dyDescent="0.3">
      <c r="A345" s="175">
        <v>9009167201</v>
      </c>
      <c r="B345" s="200" t="s">
        <v>3017</v>
      </c>
      <c r="C345" s="93" t="s">
        <v>944</v>
      </c>
      <c r="D345" s="94">
        <v>0</v>
      </c>
      <c r="E345" s="95">
        <v>0</v>
      </c>
      <c r="F345" s="96">
        <v>481.11</v>
      </c>
      <c r="G345" s="95">
        <v>2.8635815992432975E-5</v>
      </c>
      <c r="H345" s="95" t="s">
        <v>2993</v>
      </c>
      <c r="I345" s="95" t="str">
        <f t="shared" si="17"/>
        <v>N/A</v>
      </c>
      <c r="J345" s="97">
        <v>0</v>
      </c>
      <c r="K345" s="98">
        <v>0</v>
      </c>
      <c r="L345" s="99">
        <v>481.11</v>
      </c>
      <c r="M345" s="98">
        <v>2.8635815992432975E-5</v>
      </c>
      <c r="N345" s="98" t="str">
        <f t="shared" si="15"/>
        <v>N/A</v>
      </c>
      <c r="O345" s="97">
        <v>0</v>
      </c>
      <c r="P345" s="100">
        <v>0</v>
      </c>
      <c r="Q345" s="99">
        <v>0</v>
      </c>
      <c r="R345" s="101">
        <v>2.8635815992432975E-5</v>
      </c>
      <c r="S345" t="str">
        <f t="shared" si="16"/>
        <v>N/A</v>
      </c>
      <c r="T345" t="str">
        <f>VLOOKUP(Table8[[#This Row],[Census Tract]],'UI EnergyBurden'!$A$2:$B$184,2,FALSE)</f>
        <v>No</v>
      </c>
      <c r="U345">
        <f>VLOOKUP(Table8[[#This Row],[Census Tract]],'Population and Diversity Data'!$B$2:$K$823,10,FALSE)</f>
        <v>2</v>
      </c>
    </row>
    <row r="346" spans="1:21" ht="15.75" thickBot="1" x14ac:dyDescent="0.3">
      <c r="A346" s="175">
        <v>9009167201</v>
      </c>
      <c r="B346" s="200" t="s">
        <v>3025</v>
      </c>
      <c r="C346" s="93" t="s">
        <v>944</v>
      </c>
      <c r="D346" s="94">
        <v>149986.28679999991</v>
      </c>
      <c r="E346" s="95">
        <v>5.1540594293584437E-3</v>
      </c>
      <c r="F346" s="96">
        <v>71909.149999999994</v>
      </c>
      <c r="G346" s="95">
        <v>4.2800548472745562E-3</v>
      </c>
      <c r="H346" s="95" t="s">
        <v>2986</v>
      </c>
      <c r="I346" s="95" t="str">
        <f t="shared" si="17"/>
        <v>NO</v>
      </c>
      <c r="J346" s="97">
        <v>81742.303499999907</v>
      </c>
      <c r="K346" s="98">
        <v>5.1540594293584437E-3</v>
      </c>
      <c r="L346" s="99">
        <v>33941.129999999997</v>
      </c>
      <c r="M346" s="98">
        <v>4.2800548472745562E-3</v>
      </c>
      <c r="N346" s="98" t="str">
        <f t="shared" si="15"/>
        <v>NO</v>
      </c>
      <c r="O346" s="97">
        <v>68243.983300000007</v>
      </c>
      <c r="P346" s="100">
        <v>5.1540594293584437E-3</v>
      </c>
      <c r="Q346" s="99">
        <v>37968.019999999997</v>
      </c>
      <c r="R346" s="101">
        <v>4.2800548472745562E-3</v>
      </c>
      <c r="S346" t="str">
        <f t="shared" si="16"/>
        <v>NO</v>
      </c>
      <c r="T346" t="str">
        <f>VLOOKUP(Table8[[#This Row],[Census Tract]],'UI EnergyBurden'!$A$2:$B$184,2,FALSE)</f>
        <v>No</v>
      </c>
      <c r="U346">
        <f>VLOOKUP(Table8[[#This Row],[Census Tract]],'Population and Diversity Data'!$B$2:$K$823,10,FALSE)</f>
        <v>2</v>
      </c>
    </row>
    <row r="347" spans="1:21" ht="15.75" thickBot="1" x14ac:dyDescent="0.3">
      <c r="A347" s="175">
        <v>9009167201</v>
      </c>
      <c r="B347" s="200" t="s">
        <v>950</v>
      </c>
      <c r="C347" s="93" t="s">
        <v>944</v>
      </c>
      <c r="D347" s="94">
        <v>896.29680000000008</v>
      </c>
      <c r="E347" s="95">
        <v>3.0799928927527809E-5</v>
      </c>
      <c r="F347" s="96">
        <v>0</v>
      </c>
      <c r="G347" s="95">
        <v>0</v>
      </c>
      <c r="H347" s="95" t="s">
        <v>2982</v>
      </c>
      <c r="I347" s="95" t="str">
        <f t="shared" si="17"/>
        <v>NO</v>
      </c>
      <c r="J347" s="97">
        <v>565.22900000000004</v>
      </c>
      <c r="K347" s="98">
        <v>3.0799928927527809E-5</v>
      </c>
      <c r="L347" s="99">
        <v>0</v>
      </c>
      <c r="M347" s="98">
        <v>0</v>
      </c>
      <c r="N347" s="98" t="str">
        <f t="shared" si="15"/>
        <v>NO</v>
      </c>
      <c r="O347" s="97">
        <v>331.06779999999998</v>
      </c>
      <c r="P347" s="100">
        <v>3.0799928927527809E-5</v>
      </c>
      <c r="Q347" s="99">
        <v>0</v>
      </c>
      <c r="R347" s="101">
        <v>0</v>
      </c>
      <c r="S347" t="str">
        <f t="shared" si="16"/>
        <v>NO</v>
      </c>
      <c r="T347" t="str">
        <f>VLOOKUP(Table8[[#This Row],[Census Tract]],'UI EnergyBurden'!$A$2:$B$184,2,FALSE)</f>
        <v>No</v>
      </c>
      <c r="U347">
        <f>VLOOKUP(Table8[[#This Row],[Census Tract]],'Population and Diversity Data'!$B$2:$K$823,10,FALSE)</f>
        <v>2</v>
      </c>
    </row>
    <row r="348" spans="1:21" ht="15.75" thickBot="1" x14ac:dyDescent="0.3">
      <c r="A348" s="175">
        <v>9009167202</v>
      </c>
      <c r="B348" s="200" t="s">
        <v>3024</v>
      </c>
      <c r="C348" s="93" t="s">
        <v>944</v>
      </c>
      <c r="D348" s="94">
        <v>82.199700000000007</v>
      </c>
      <c r="E348" s="95">
        <v>2.8246724944952472E-6</v>
      </c>
      <c r="F348" s="96">
        <v>0</v>
      </c>
      <c r="G348" s="95">
        <v>0</v>
      </c>
      <c r="H348" s="95" t="s">
        <v>2982</v>
      </c>
      <c r="I348" s="95" t="str">
        <f t="shared" si="17"/>
        <v>N/A</v>
      </c>
      <c r="J348" s="97">
        <v>34.721600000000002</v>
      </c>
      <c r="K348" s="98">
        <v>2.8246724944952472E-6</v>
      </c>
      <c r="L348" s="99">
        <v>0</v>
      </c>
      <c r="M348" s="98">
        <v>0</v>
      </c>
      <c r="N348" s="98" t="str">
        <f t="shared" si="15"/>
        <v>N/A</v>
      </c>
      <c r="O348" s="97">
        <v>47.478099999999998</v>
      </c>
      <c r="P348" s="100">
        <v>2.8246724944952472E-6</v>
      </c>
      <c r="Q348" s="99">
        <v>0</v>
      </c>
      <c r="R348" s="101">
        <v>0</v>
      </c>
      <c r="S348" t="str">
        <f t="shared" si="16"/>
        <v>N/A</v>
      </c>
      <c r="T348" t="str">
        <f>VLOOKUP(Table8[[#This Row],[Census Tract]],'UI EnergyBurden'!$A$2:$B$184,2,FALSE)</f>
        <v>No</v>
      </c>
      <c r="U348">
        <f>VLOOKUP(Table8[[#This Row],[Census Tract]],'Population and Diversity Data'!$B$2:$K$823,10,FALSE)</f>
        <v>4</v>
      </c>
    </row>
    <row r="349" spans="1:21" ht="15.75" thickBot="1" x14ac:dyDescent="0.3">
      <c r="A349" s="175">
        <v>9009167202</v>
      </c>
      <c r="B349" s="200" t="s">
        <v>943</v>
      </c>
      <c r="C349" s="93" t="s">
        <v>944</v>
      </c>
      <c r="D349" s="94">
        <v>0.1389</v>
      </c>
      <c r="E349" s="95">
        <v>4.7730953943309985E-9</v>
      </c>
      <c r="F349" s="96">
        <v>0</v>
      </c>
      <c r="G349" s="95">
        <v>0</v>
      </c>
      <c r="H349" s="95" t="s">
        <v>2982</v>
      </c>
      <c r="I349" s="95" t="str">
        <f t="shared" si="17"/>
        <v>N/A</v>
      </c>
      <c r="J349" s="97">
        <v>0.1389</v>
      </c>
      <c r="K349" s="98">
        <v>4.7730953943309985E-9</v>
      </c>
      <c r="L349" s="99">
        <v>0</v>
      </c>
      <c r="M349" s="98">
        <v>0</v>
      </c>
      <c r="N349" s="98" t="str">
        <f t="shared" si="15"/>
        <v>N/A</v>
      </c>
      <c r="O349" s="97">
        <v>0</v>
      </c>
      <c r="P349" s="100">
        <v>4.7730953943309985E-9</v>
      </c>
      <c r="Q349" s="99">
        <v>0</v>
      </c>
      <c r="R349" s="101">
        <v>0</v>
      </c>
      <c r="S349" t="str">
        <f t="shared" si="16"/>
        <v>N/A</v>
      </c>
      <c r="T349" t="str">
        <f>VLOOKUP(Table8[[#This Row],[Census Tract]],'UI EnergyBurden'!$A$2:$B$184,2,FALSE)</f>
        <v>No</v>
      </c>
      <c r="U349">
        <f>VLOOKUP(Table8[[#This Row],[Census Tract]],'Population and Diversity Data'!$B$2:$K$823,10,FALSE)</f>
        <v>4</v>
      </c>
    </row>
    <row r="350" spans="1:21" ht="15.75" thickBot="1" x14ac:dyDescent="0.3">
      <c r="A350" s="175">
        <v>9009167202</v>
      </c>
      <c r="B350" s="200" t="s">
        <v>3025</v>
      </c>
      <c r="C350" s="93" t="s">
        <v>944</v>
      </c>
      <c r="D350" s="94">
        <v>179562.57229999988</v>
      </c>
      <c r="E350" s="95">
        <v>6.1704052328247407E-3</v>
      </c>
      <c r="F350" s="96">
        <v>72155.41</v>
      </c>
      <c r="G350" s="95">
        <v>4.294712318635153E-3</v>
      </c>
      <c r="H350" s="95" t="s">
        <v>2986</v>
      </c>
      <c r="I350" s="95" t="str">
        <f t="shared" si="17"/>
        <v>NO</v>
      </c>
      <c r="J350" s="97">
        <v>87141.806999999899</v>
      </c>
      <c r="K350" s="98">
        <v>6.1704052328247407E-3</v>
      </c>
      <c r="L350" s="99">
        <v>38271.480000000003</v>
      </c>
      <c r="M350" s="98">
        <v>4.294712318635153E-3</v>
      </c>
      <c r="N350" s="98" t="str">
        <f t="shared" si="15"/>
        <v>NO</v>
      </c>
      <c r="O350" s="97">
        <v>92420.765299999999</v>
      </c>
      <c r="P350" s="100">
        <v>6.1704052328247407E-3</v>
      </c>
      <c r="Q350" s="99">
        <v>33883.93</v>
      </c>
      <c r="R350" s="101">
        <v>4.294712318635153E-3</v>
      </c>
      <c r="S350" t="str">
        <f t="shared" si="16"/>
        <v>NO</v>
      </c>
      <c r="T350" t="str">
        <f>VLOOKUP(Table8[[#This Row],[Census Tract]],'UI EnergyBurden'!$A$2:$B$184,2,FALSE)</f>
        <v>No</v>
      </c>
      <c r="U350">
        <f>VLOOKUP(Table8[[#This Row],[Census Tract]],'Population and Diversity Data'!$B$2:$K$823,10,FALSE)</f>
        <v>4</v>
      </c>
    </row>
    <row r="351" spans="1:21" ht="15.75" thickBot="1" x14ac:dyDescent="0.3">
      <c r="A351" s="175">
        <v>9009167202</v>
      </c>
      <c r="B351" s="200" t="s">
        <v>950</v>
      </c>
      <c r="C351" s="93" t="s">
        <v>944</v>
      </c>
      <c r="D351" s="94">
        <v>789.17419999999993</v>
      </c>
      <c r="E351" s="95">
        <v>2.711881741788949E-5</v>
      </c>
      <c r="F351" s="96">
        <v>0</v>
      </c>
      <c r="G351" s="95">
        <v>0</v>
      </c>
      <c r="H351" s="95" t="s">
        <v>2982</v>
      </c>
      <c r="I351" s="95" t="str">
        <f t="shared" si="17"/>
        <v>NO</v>
      </c>
      <c r="J351" s="97">
        <v>764.91129999999998</v>
      </c>
      <c r="K351" s="98">
        <v>2.711881741788949E-5</v>
      </c>
      <c r="L351" s="99">
        <v>0</v>
      </c>
      <c r="M351" s="98">
        <v>0</v>
      </c>
      <c r="N351" s="98" t="str">
        <f t="shared" si="15"/>
        <v>NO</v>
      </c>
      <c r="O351" s="97">
        <v>24.262899999999998</v>
      </c>
      <c r="P351" s="100">
        <v>2.711881741788949E-5</v>
      </c>
      <c r="Q351" s="99">
        <v>0</v>
      </c>
      <c r="R351" s="101">
        <v>0</v>
      </c>
      <c r="S351" t="str">
        <f t="shared" si="16"/>
        <v>NO</v>
      </c>
      <c r="T351" t="str">
        <f>VLOOKUP(Table8[[#This Row],[Census Tract]],'UI EnergyBurden'!$A$2:$B$184,2,FALSE)</f>
        <v>No</v>
      </c>
      <c r="U351">
        <f>VLOOKUP(Table8[[#This Row],[Census Tract]],'Population and Diversity Data'!$B$2:$K$823,10,FALSE)</f>
        <v>4</v>
      </c>
    </row>
    <row r="352" spans="1:21" ht="15.75" thickBot="1" x14ac:dyDescent="0.3">
      <c r="A352" s="175">
        <v>9009167300</v>
      </c>
      <c r="B352" s="200" t="s">
        <v>3024</v>
      </c>
      <c r="C352" s="93" t="s">
        <v>944</v>
      </c>
      <c r="D352" s="94">
        <v>442.22449999999998</v>
      </c>
      <c r="E352" s="95">
        <v>1.519639830245017E-5</v>
      </c>
      <c r="F352" s="96">
        <v>0</v>
      </c>
      <c r="G352" s="95">
        <v>0</v>
      </c>
      <c r="H352" s="95" t="s">
        <v>2982</v>
      </c>
      <c r="I352" s="95" t="str">
        <f t="shared" si="17"/>
        <v>NO</v>
      </c>
      <c r="J352" s="97">
        <v>442.22449999999998</v>
      </c>
      <c r="K352" s="98">
        <v>1.519639830245017E-5</v>
      </c>
      <c r="L352" s="99">
        <v>0</v>
      </c>
      <c r="M352" s="98">
        <v>0</v>
      </c>
      <c r="N352" s="98" t="str">
        <f t="shared" si="15"/>
        <v>NO</v>
      </c>
      <c r="O352" s="97">
        <v>0</v>
      </c>
      <c r="P352" s="100">
        <v>1.519639830245017E-5</v>
      </c>
      <c r="Q352" s="99">
        <v>0</v>
      </c>
      <c r="R352" s="101">
        <v>0</v>
      </c>
      <c r="S352" t="str">
        <f t="shared" si="16"/>
        <v>NO</v>
      </c>
      <c r="T352" t="str">
        <f>VLOOKUP(Table8[[#This Row],[Census Tract]],'UI EnergyBurden'!$A$2:$B$184,2,FALSE)</f>
        <v>No</v>
      </c>
      <c r="U352">
        <f>VLOOKUP(Table8[[#This Row],[Census Tract]],'Population and Diversity Data'!$B$2:$K$823,10,FALSE)</f>
        <v>2</v>
      </c>
    </row>
    <row r="353" spans="1:21" ht="15.75" thickBot="1" x14ac:dyDescent="0.3">
      <c r="A353" s="175">
        <v>9009167300</v>
      </c>
      <c r="B353" s="200" t="s">
        <v>943</v>
      </c>
      <c r="C353" s="93" t="s">
        <v>944</v>
      </c>
      <c r="D353" s="94">
        <v>19.053799999999999</v>
      </c>
      <c r="E353" s="95">
        <v>6.5475597569837277E-7</v>
      </c>
      <c r="F353" s="96">
        <v>0</v>
      </c>
      <c r="G353" s="95">
        <v>0</v>
      </c>
      <c r="H353" s="95" t="s">
        <v>2982</v>
      </c>
      <c r="I353" s="95" t="str">
        <f t="shared" si="17"/>
        <v>N/A</v>
      </c>
      <c r="J353" s="97">
        <v>19.053799999999999</v>
      </c>
      <c r="K353" s="98">
        <v>6.5475597569837277E-7</v>
      </c>
      <c r="L353" s="99">
        <v>0</v>
      </c>
      <c r="M353" s="98">
        <v>0</v>
      </c>
      <c r="N353" s="98" t="str">
        <f t="shared" si="15"/>
        <v>N/A</v>
      </c>
      <c r="O353" s="97">
        <v>0</v>
      </c>
      <c r="P353" s="100">
        <v>6.5475597569837277E-7</v>
      </c>
      <c r="Q353" s="99">
        <v>0</v>
      </c>
      <c r="R353" s="101">
        <v>0</v>
      </c>
      <c r="S353" t="str">
        <f t="shared" si="16"/>
        <v>N/A</v>
      </c>
      <c r="T353" t="str">
        <f>VLOOKUP(Table8[[#This Row],[Census Tract]],'UI EnergyBurden'!$A$2:$B$184,2,FALSE)</f>
        <v>No</v>
      </c>
      <c r="U353">
        <f>VLOOKUP(Table8[[#This Row],[Census Tract]],'Population and Diversity Data'!$B$2:$K$823,10,FALSE)</f>
        <v>2</v>
      </c>
    </row>
    <row r="354" spans="1:21" ht="15.75" thickBot="1" x14ac:dyDescent="0.3">
      <c r="A354" s="175">
        <v>9009167300</v>
      </c>
      <c r="B354" s="200" t="s">
        <v>3025</v>
      </c>
      <c r="C354" s="93" t="s">
        <v>944</v>
      </c>
      <c r="D354" s="94">
        <v>198502.89509999999</v>
      </c>
      <c r="E354" s="95">
        <v>6.8212617304764531E-3</v>
      </c>
      <c r="F354" s="96">
        <v>76697.72</v>
      </c>
      <c r="G354" s="95">
        <v>4.5650720146310541E-3</v>
      </c>
      <c r="H354" s="95" t="s">
        <v>2986</v>
      </c>
      <c r="I354" s="95" t="str">
        <f t="shared" si="17"/>
        <v>NO</v>
      </c>
      <c r="J354" s="97">
        <v>148627.13149999999</v>
      </c>
      <c r="K354" s="98">
        <v>6.8212617304764531E-3</v>
      </c>
      <c r="L354" s="99">
        <v>68371.47</v>
      </c>
      <c r="M354" s="98">
        <v>4.5650720146310541E-3</v>
      </c>
      <c r="N354" s="98" t="str">
        <f t="shared" si="15"/>
        <v>NO</v>
      </c>
      <c r="O354" s="97">
        <v>49875.763599999998</v>
      </c>
      <c r="P354" s="100">
        <v>6.8212617304764531E-3</v>
      </c>
      <c r="Q354" s="99">
        <v>8326.25</v>
      </c>
      <c r="R354" s="101">
        <v>4.5650720146310541E-3</v>
      </c>
      <c r="S354" t="str">
        <f t="shared" si="16"/>
        <v>NO</v>
      </c>
      <c r="T354" t="str">
        <f>VLOOKUP(Table8[[#This Row],[Census Tract]],'UI EnergyBurden'!$A$2:$B$184,2,FALSE)</f>
        <v>No</v>
      </c>
      <c r="U354">
        <f>VLOOKUP(Table8[[#This Row],[Census Tract]],'Population and Diversity Data'!$B$2:$K$823,10,FALSE)</f>
        <v>2</v>
      </c>
    </row>
    <row r="355" spans="1:21" ht="15.75" thickBot="1" x14ac:dyDescent="0.3">
      <c r="A355" s="175">
        <v>9009180100</v>
      </c>
      <c r="B355" s="200" t="s">
        <v>3024</v>
      </c>
      <c r="C355" s="93" t="s">
        <v>944</v>
      </c>
      <c r="D355" s="94">
        <v>142873.6575</v>
      </c>
      <c r="E355" s="95">
        <v>4.909644323862308E-3</v>
      </c>
      <c r="F355" s="96">
        <v>0</v>
      </c>
      <c r="G355" s="95">
        <v>0</v>
      </c>
      <c r="H355" s="95" t="s">
        <v>2982</v>
      </c>
      <c r="I355" s="95" t="str">
        <f t="shared" si="17"/>
        <v>NO</v>
      </c>
      <c r="J355" s="97">
        <v>115517.04399999999</v>
      </c>
      <c r="K355" s="98">
        <v>4.909644323862308E-3</v>
      </c>
      <c r="L355" s="99">
        <v>0</v>
      </c>
      <c r="M355" s="98">
        <v>0</v>
      </c>
      <c r="N355" s="98" t="str">
        <f t="shared" si="15"/>
        <v>NO</v>
      </c>
      <c r="O355" s="97">
        <v>27356.613499999999</v>
      </c>
      <c r="P355" s="100">
        <v>4.909644323862308E-3</v>
      </c>
      <c r="Q355" s="99">
        <v>0</v>
      </c>
      <c r="R355" s="101">
        <v>0</v>
      </c>
      <c r="S355" t="str">
        <f t="shared" si="16"/>
        <v>NO</v>
      </c>
      <c r="T355" t="str">
        <f>VLOOKUP(Table8[[#This Row],[Census Tract]],'UI EnergyBurden'!$A$2:$B$184,2,FALSE)</f>
        <v>No</v>
      </c>
      <c r="U355">
        <f>VLOOKUP(Table8[[#This Row],[Census Tract]],'Population and Diversity Data'!$B$2:$K$823,10,FALSE)</f>
        <v>5</v>
      </c>
    </row>
    <row r="356" spans="1:21" ht="15.75" thickBot="1" x14ac:dyDescent="0.3">
      <c r="A356" s="175">
        <v>9009180100</v>
      </c>
      <c r="B356" s="200" t="s">
        <v>3016</v>
      </c>
      <c r="C356" s="93" t="s">
        <v>944</v>
      </c>
      <c r="D356" s="94">
        <v>0</v>
      </c>
      <c r="E356" s="95">
        <v>0</v>
      </c>
      <c r="F356" s="96">
        <v>31919.03</v>
      </c>
      <c r="G356" s="95">
        <v>1.8998305371681068E-3</v>
      </c>
      <c r="H356" s="95" t="s">
        <v>2993</v>
      </c>
      <c r="I356" s="95" t="str">
        <f t="shared" si="17"/>
        <v>N/A</v>
      </c>
      <c r="J356" s="97">
        <v>0</v>
      </c>
      <c r="K356" s="98">
        <v>0</v>
      </c>
      <c r="L356" s="99">
        <v>23509.03</v>
      </c>
      <c r="M356" s="98">
        <v>1.8998305371681068E-3</v>
      </c>
      <c r="N356" s="98" t="str">
        <f t="shared" si="15"/>
        <v>N/A</v>
      </c>
      <c r="O356" s="97">
        <v>0</v>
      </c>
      <c r="P356" s="100">
        <v>0</v>
      </c>
      <c r="Q356" s="99">
        <v>8410</v>
      </c>
      <c r="R356" s="101">
        <v>1.8998305371681068E-3</v>
      </c>
      <c r="S356" t="str">
        <f t="shared" si="16"/>
        <v>N/A</v>
      </c>
      <c r="T356" t="str">
        <f>VLOOKUP(Table8[[#This Row],[Census Tract]],'UI EnergyBurden'!$A$2:$B$184,2,FALSE)</f>
        <v>No</v>
      </c>
      <c r="U356">
        <f>VLOOKUP(Table8[[#This Row],[Census Tract]],'Population and Diversity Data'!$B$2:$K$823,10,FALSE)</f>
        <v>5</v>
      </c>
    </row>
    <row r="357" spans="1:21" ht="15.75" thickBot="1" x14ac:dyDescent="0.3">
      <c r="A357" s="175">
        <v>9009180100</v>
      </c>
      <c r="B357" s="200" t="s">
        <v>943</v>
      </c>
      <c r="C357" s="93" t="s">
        <v>944</v>
      </c>
      <c r="D357" s="94">
        <v>41.904400000000003</v>
      </c>
      <c r="E357" s="95">
        <v>1.4399834315493442E-6</v>
      </c>
      <c r="F357" s="96">
        <v>0</v>
      </c>
      <c r="G357" s="95">
        <v>0</v>
      </c>
      <c r="H357" s="95" t="s">
        <v>2982</v>
      </c>
      <c r="I357" s="95" t="str">
        <f t="shared" si="17"/>
        <v>N/A</v>
      </c>
      <c r="J357" s="97">
        <v>0</v>
      </c>
      <c r="K357" s="98">
        <v>1.4399834315493442E-6</v>
      </c>
      <c r="L357" s="99">
        <v>0</v>
      </c>
      <c r="M357" s="98">
        <v>0</v>
      </c>
      <c r="N357" s="98" t="str">
        <f t="shared" si="15"/>
        <v>N/A</v>
      </c>
      <c r="O357" s="97">
        <v>41.904400000000003</v>
      </c>
      <c r="P357" s="100">
        <v>1.4399834315493442E-6</v>
      </c>
      <c r="Q357" s="99">
        <v>0</v>
      </c>
      <c r="R357" s="101">
        <v>0</v>
      </c>
      <c r="S357" t="str">
        <f t="shared" si="16"/>
        <v>N/A</v>
      </c>
      <c r="T357" t="str">
        <f>VLOOKUP(Table8[[#This Row],[Census Tract]],'UI EnergyBurden'!$A$2:$B$184,2,FALSE)</f>
        <v>No</v>
      </c>
      <c r="U357">
        <f>VLOOKUP(Table8[[#This Row],[Census Tract]],'Population and Diversity Data'!$B$2:$K$823,10,FALSE)</f>
        <v>5</v>
      </c>
    </row>
    <row r="358" spans="1:21" ht="15.75" thickBot="1" x14ac:dyDescent="0.3">
      <c r="A358" s="175">
        <v>9009180100</v>
      </c>
      <c r="B358" s="200" t="s">
        <v>3025</v>
      </c>
      <c r="C358" s="93" t="s">
        <v>944</v>
      </c>
      <c r="D358" s="94">
        <v>54.371499999999997</v>
      </c>
      <c r="E358" s="95">
        <v>1.8683970931092E-6</v>
      </c>
      <c r="F358" s="96">
        <v>0</v>
      </c>
      <c r="G358" s="95">
        <v>0</v>
      </c>
      <c r="H358" s="95" t="s">
        <v>2982</v>
      </c>
      <c r="I358" s="95" t="str">
        <f t="shared" si="17"/>
        <v>N/A</v>
      </c>
      <c r="J358" s="97">
        <v>54.371499999999997</v>
      </c>
      <c r="K358" s="98">
        <v>1.8683970931092E-6</v>
      </c>
      <c r="L358" s="99">
        <v>0</v>
      </c>
      <c r="M358" s="98">
        <v>0</v>
      </c>
      <c r="N358" s="98" t="str">
        <f t="shared" si="15"/>
        <v>N/A</v>
      </c>
      <c r="O358" s="97">
        <v>0</v>
      </c>
      <c r="P358" s="100">
        <v>1.8683970931092E-6</v>
      </c>
      <c r="Q358" s="99">
        <v>0</v>
      </c>
      <c r="R358" s="101">
        <v>0</v>
      </c>
      <c r="S358" t="str">
        <f t="shared" si="16"/>
        <v>N/A</v>
      </c>
      <c r="T358" t="str">
        <f>VLOOKUP(Table8[[#This Row],[Census Tract]],'UI EnergyBurden'!$A$2:$B$184,2,FALSE)</f>
        <v>No</v>
      </c>
      <c r="U358">
        <f>VLOOKUP(Table8[[#This Row],[Census Tract]],'Population and Diversity Data'!$B$2:$K$823,10,FALSE)</f>
        <v>5</v>
      </c>
    </row>
    <row r="359" spans="1:21" ht="15.75" thickBot="1" x14ac:dyDescent="0.3">
      <c r="A359" s="175">
        <v>9009180100</v>
      </c>
      <c r="B359" s="200" t="s">
        <v>950</v>
      </c>
      <c r="C359" s="93" t="s">
        <v>944</v>
      </c>
      <c r="D359" s="94">
        <v>264.08440000000002</v>
      </c>
      <c r="E359" s="95">
        <v>9.0748742502135723E-6</v>
      </c>
      <c r="F359" s="96">
        <v>0</v>
      </c>
      <c r="G359" s="95">
        <v>0</v>
      </c>
      <c r="H359" s="95" t="s">
        <v>2982</v>
      </c>
      <c r="I359" s="95" t="str">
        <f t="shared" si="17"/>
        <v>NO</v>
      </c>
      <c r="J359" s="97">
        <v>264.08440000000002</v>
      </c>
      <c r="K359" s="98">
        <v>9.0748742502135723E-6</v>
      </c>
      <c r="L359" s="99">
        <v>0</v>
      </c>
      <c r="M359" s="98">
        <v>0</v>
      </c>
      <c r="N359" s="98" t="str">
        <f t="shared" si="15"/>
        <v>NO</v>
      </c>
      <c r="O359" s="97">
        <v>0</v>
      </c>
      <c r="P359" s="100">
        <v>9.0748742502135723E-6</v>
      </c>
      <c r="Q359" s="99">
        <v>0</v>
      </c>
      <c r="R359" s="101">
        <v>0</v>
      </c>
      <c r="S359" t="str">
        <f t="shared" si="16"/>
        <v>NO</v>
      </c>
      <c r="T359" t="str">
        <f>VLOOKUP(Table8[[#This Row],[Census Tract]],'UI EnergyBurden'!$A$2:$B$184,2,FALSE)</f>
        <v>No</v>
      </c>
      <c r="U359">
        <f>VLOOKUP(Table8[[#This Row],[Census Tract]],'Population and Diversity Data'!$B$2:$K$823,10,FALSE)</f>
        <v>5</v>
      </c>
    </row>
    <row r="360" spans="1:21" ht="15.75" thickBot="1" x14ac:dyDescent="0.3">
      <c r="A360" s="175">
        <v>9009180200</v>
      </c>
      <c r="B360" s="200" t="s">
        <v>3024</v>
      </c>
      <c r="C360" s="93" t="s">
        <v>944</v>
      </c>
      <c r="D360" s="94">
        <v>143926.6531999998</v>
      </c>
      <c r="E360" s="95">
        <v>4.945828981356328E-3</v>
      </c>
      <c r="F360" s="96">
        <v>0</v>
      </c>
      <c r="G360" s="95">
        <v>0</v>
      </c>
      <c r="H360" s="95" t="s">
        <v>2982</v>
      </c>
      <c r="I360" s="95" t="str">
        <f t="shared" si="17"/>
        <v>NO</v>
      </c>
      <c r="J360" s="97">
        <v>93038.672899999801</v>
      </c>
      <c r="K360" s="98">
        <v>4.945828981356328E-3</v>
      </c>
      <c r="L360" s="99">
        <v>0</v>
      </c>
      <c r="M360" s="98">
        <v>0</v>
      </c>
      <c r="N360" s="98" t="str">
        <f t="shared" si="15"/>
        <v>NO</v>
      </c>
      <c r="O360" s="97">
        <v>50887.980300000003</v>
      </c>
      <c r="P360" s="100">
        <v>4.945828981356328E-3</v>
      </c>
      <c r="Q360" s="99">
        <v>0</v>
      </c>
      <c r="R360" s="101">
        <v>0</v>
      </c>
      <c r="S360" t="str">
        <f t="shared" si="16"/>
        <v>NO</v>
      </c>
      <c r="T360" t="str">
        <f>VLOOKUP(Table8[[#This Row],[Census Tract]],'UI EnergyBurden'!$A$2:$B$184,2,FALSE)</f>
        <v>No</v>
      </c>
      <c r="U360">
        <f>VLOOKUP(Table8[[#This Row],[Census Tract]],'Population and Diversity Data'!$B$2:$K$823,10,FALSE)</f>
        <v>5</v>
      </c>
    </row>
    <row r="361" spans="1:21" ht="15.75" thickBot="1" x14ac:dyDescent="0.3">
      <c r="A361" s="240">
        <v>9009180200</v>
      </c>
      <c r="B361" s="238" t="s">
        <v>3016</v>
      </c>
      <c r="C361" s="239" t="s">
        <v>944</v>
      </c>
      <c r="D361" s="94">
        <v>0</v>
      </c>
      <c r="E361" s="95">
        <v>0</v>
      </c>
      <c r="F361" s="96">
        <v>58804.58</v>
      </c>
      <c r="G361" s="95">
        <v>3.5000667880366325E-3</v>
      </c>
      <c r="H361" s="95" t="s">
        <v>2993</v>
      </c>
      <c r="I361" s="95" t="str">
        <f t="shared" si="17"/>
        <v>N/A</v>
      </c>
      <c r="J361" s="102">
        <v>0</v>
      </c>
      <c r="K361" s="103">
        <v>0</v>
      </c>
      <c r="L361" s="104">
        <v>39022.559999999998</v>
      </c>
      <c r="M361" s="103">
        <v>3.5000667880366325E-3</v>
      </c>
      <c r="N361" s="103" t="str">
        <f t="shared" si="15"/>
        <v>N/A</v>
      </c>
      <c r="O361" s="102">
        <v>0</v>
      </c>
      <c r="P361" s="105">
        <v>0</v>
      </c>
      <c r="Q361" s="104">
        <v>19782.02</v>
      </c>
      <c r="R361" s="106">
        <v>3.5000667880366325E-3</v>
      </c>
      <c r="S361" t="str">
        <f t="shared" si="16"/>
        <v>N/A</v>
      </c>
      <c r="T361" t="str">
        <f>VLOOKUP(Table8[[#This Row],[Census Tract]],'UI EnergyBurden'!$A$2:$B$184,2,FALSE)</f>
        <v>No</v>
      </c>
      <c r="U361">
        <f>VLOOKUP(Table8[[#This Row],[Census Tract]],'Population and Diversity Data'!$B$2:$K$823,10,FALSE)</f>
        <v>5</v>
      </c>
    </row>
    <row r="362" spans="1:21" ht="15.75" thickBot="1" x14ac:dyDescent="0.3">
      <c r="A362" s="240">
        <v>9009180200</v>
      </c>
      <c r="B362" s="238" t="s">
        <v>943</v>
      </c>
      <c r="C362" s="239" t="s">
        <v>944</v>
      </c>
      <c r="D362" s="94">
        <v>2792.2855</v>
      </c>
      <c r="E362" s="95">
        <v>9.5952808205235638E-5</v>
      </c>
      <c r="F362" s="96">
        <v>8.5</v>
      </c>
      <c r="G362" s="95">
        <v>5.059226287869308E-7</v>
      </c>
      <c r="H362" s="95" t="s">
        <v>2986</v>
      </c>
      <c r="I362" s="95" t="str">
        <f>IF(ROUND(E362,5)&lt;0.00001,"N/A",IF(ROUND(E362,5)&lt;=ROUND(G362,5),"YES","NO"))</f>
        <v>NO</v>
      </c>
      <c r="J362" s="102">
        <v>174.75399999999999</v>
      </c>
      <c r="K362" s="103">
        <v>9.5952808205235638E-5</v>
      </c>
      <c r="L362" s="104">
        <v>8.5</v>
      </c>
      <c r="M362" s="103">
        <v>5.059226287869308E-7</v>
      </c>
      <c r="N362" s="103" t="str">
        <f t="shared" si="15"/>
        <v>NO</v>
      </c>
      <c r="O362" s="102">
        <v>2617.5315000000001</v>
      </c>
      <c r="P362" s="105">
        <v>9.5952808205235638E-5</v>
      </c>
      <c r="Q362" s="104">
        <v>0</v>
      </c>
      <c r="R362" s="106">
        <v>5.059226287869308E-7</v>
      </c>
      <c r="S362" t="str">
        <f t="shared" si="16"/>
        <v>NO</v>
      </c>
      <c r="T362" t="str">
        <f>VLOOKUP(Table8[[#This Row],[Census Tract]],'UI EnergyBurden'!$A$2:$B$184,2,FALSE)</f>
        <v>No</v>
      </c>
      <c r="U362">
        <f>VLOOKUP(Table8[[#This Row],[Census Tract]],'Population and Diversity Data'!$B$2:$K$823,10,FALSE)</f>
        <v>5</v>
      </c>
    </row>
    <row r="363" spans="1:21" ht="15.75" thickBot="1" x14ac:dyDescent="0.3">
      <c r="A363" s="240">
        <v>9009180200</v>
      </c>
      <c r="B363" s="238" t="s">
        <v>3025</v>
      </c>
      <c r="C363" s="239" t="s">
        <v>944</v>
      </c>
      <c r="D363" s="94">
        <v>312.34399999999999</v>
      </c>
      <c r="E363" s="95">
        <v>1.0733244836910881E-5</v>
      </c>
      <c r="F363" s="96">
        <v>0</v>
      </c>
      <c r="G363" s="95">
        <v>0</v>
      </c>
      <c r="H363" s="95" t="s">
        <v>2982</v>
      </c>
      <c r="I363" s="95" t="str">
        <f t="shared" si="17"/>
        <v>NO</v>
      </c>
      <c r="J363" s="102">
        <v>137.0864</v>
      </c>
      <c r="K363" s="103">
        <v>1.0733244836910881E-5</v>
      </c>
      <c r="L363" s="104">
        <v>0</v>
      </c>
      <c r="M363" s="103">
        <v>0</v>
      </c>
      <c r="N363" s="103" t="str">
        <f t="shared" si="15"/>
        <v>NO</v>
      </c>
      <c r="O363" s="102">
        <v>175.2576</v>
      </c>
      <c r="P363" s="105">
        <v>1.0733244836910881E-5</v>
      </c>
      <c r="Q363" s="104">
        <v>0</v>
      </c>
      <c r="R363" s="106">
        <v>0</v>
      </c>
      <c r="S363" t="str">
        <f t="shared" si="16"/>
        <v>NO</v>
      </c>
      <c r="T363" t="str">
        <f>VLOOKUP(Table8[[#This Row],[Census Tract]],'UI EnergyBurden'!$A$2:$B$184,2,FALSE)</f>
        <v>No</v>
      </c>
      <c r="U363">
        <f>VLOOKUP(Table8[[#This Row],[Census Tract]],'Population and Diversity Data'!$B$2:$K$823,10,FALSE)</f>
        <v>5</v>
      </c>
    </row>
    <row r="364" spans="1:21" ht="15.75" thickBot="1" x14ac:dyDescent="0.3">
      <c r="A364" s="240">
        <v>9009180200</v>
      </c>
      <c r="B364" s="238" t="s">
        <v>950</v>
      </c>
      <c r="C364" s="239" t="s">
        <v>944</v>
      </c>
      <c r="D364" s="94">
        <v>991.60609999999997</v>
      </c>
      <c r="E364" s="95">
        <v>3.4075093656591246E-5</v>
      </c>
      <c r="F364" s="96">
        <v>0</v>
      </c>
      <c r="G364" s="95">
        <v>0</v>
      </c>
      <c r="H364" s="95" t="s">
        <v>2982</v>
      </c>
      <c r="I364" s="95" t="str">
        <f t="shared" si="17"/>
        <v>NO</v>
      </c>
      <c r="J364" s="102">
        <v>94.562600000000003</v>
      </c>
      <c r="K364" s="103">
        <v>3.4075093656591246E-5</v>
      </c>
      <c r="L364" s="104">
        <v>0</v>
      </c>
      <c r="M364" s="103">
        <v>0</v>
      </c>
      <c r="N364" s="103" t="str">
        <f t="shared" si="15"/>
        <v>NO</v>
      </c>
      <c r="O364" s="102">
        <v>897.04349999999999</v>
      </c>
      <c r="P364" s="105">
        <v>3.4075093656591246E-5</v>
      </c>
      <c r="Q364" s="104">
        <v>0</v>
      </c>
      <c r="R364" s="106">
        <v>0</v>
      </c>
      <c r="S364" t="str">
        <f t="shared" si="16"/>
        <v>NO</v>
      </c>
      <c r="T364" t="str">
        <f>VLOOKUP(Table8[[#This Row],[Census Tract]],'UI EnergyBurden'!$A$2:$B$184,2,FALSE)</f>
        <v>No</v>
      </c>
      <c r="U364">
        <f>VLOOKUP(Table8[[#This Row],[Census Tract]],'Population and Diversity Data'!$B$2:$K$823,10,FALSE)</f>
        <v>5</v>
      </c>
    </row>
    <row r="365" spans="1:21" ht="15.75" thickBot="1" x14ac:dyDescent="0.3">
      <c r="A365" s="240">
        <v>9009180300</v>
      </c>
      <c r="B365" s="238" t="s">
        <v>3024</v>
      </c>
      <c r="C365" s="239" t="s">
        <v>944</v>
      </c>
      <c r="D365" s="94">
        <v>61658.203399999999</v>
      </c>
      <c r="E365" s="95">
        <v>2.118794000513059E-3</v>
      </c>
      <c r="F365" s="96">
        <v>0</v>
      </c>
      <c r="G365" s="95">
        <v>0</v>
      </c>
      <c r="H365" s="95" t="s">
        <v>2982</v>
      </c>
      <c r="I365" s="95" t="str">
        <f t="shared" si="17"/>
        <v>NO</v>
      </c>
      <c r="J365" s="102">
        <v>39263.134100000003</v>
      </c>
      <c r="K365" s="103">
        <v>2.118794000513059E-3</v>
      </c>
      <c r="L365" s="104">
        <v>0</v>
      </c>
      <c r="M365" s="103">
        <v>0</v>
      </c>
      <c r="N365" s="103" t="str">
        <f t="shared" si="15"/>
        <v>NO</v>
      </c>
      <c r="O365" s="102">
        <v>22395.069299999999</v>
      </c>
      <c r="P365" s="105">
        <v>2.118794000513059E-3</v>
      </c>
      <c r="Q365" s="104">
        <v>0</v>
      </c>
      <c r="R365" s="106">
        <v>0</v>
      </c>
      <c r="S365" t="str">
        <f t="shared" si="16"/>
        <v>NO</v>
      </c>
      <c r="T365" t="str">
        <f>VLOOKUP(Table8[[#This Row],[Census Tract]],'UI EnergyBurden'!$A$2:$B$184,2,FALSE)</f>
        <v>No</v>
      </c>
      <c r="U365">
        <f>VLOOKUP(Table8[[#This Row],[Census Tract]],'Population and Diversity Data'!$B$2:$K$823,10,FALSE)</f>
        <v>3</v>
      </c>
    </row>
    <row r="366" spans="1:21" ht="15.75" thickBot="1" x14ac:dyDescent="0.3">
      <c r="A366" s="240">
        <v>9009180300</v>
      </c>
      <c r="B366" s="238" t="s">
        <v>3016</v>
      </c>
      <c r="C366" s="239" t="s">
        <v>944</v>
      </c>
      <c r="D366" s="94">
        <v>0</v>
      </c>
      <c r="E366" s="95">
        <v>0</v>
      </c>
      <c r="F366" s="96">
        <v>21467.85</v>
      </c>
      <c r="G366" s="95">
        <v>1.2777730713415896E-3</v>
      </c>
      <c r="H366" s="95" t="s">
        <v>2993</v>
      </c>
      <c r="I366" s="95" t="str">
        <f t="shared" si="17"/>
        <v>N/A</v>
      </c>
      <c r="J366" s="102">
        <v>0</v>
      </c>
      <c r="K366" s="103">
        <v>0</v>
      </c>
      <c r="L366" s="104">
        <v>5787.8</v>
      </c>
      <c r="M366" s="103">
        <v>1.2777730713415896E-3</v>
      </c>
      <c r="N366" s="103" t="str">
        <f t="shared" si="15"/>
        <v>N/A</v>
      </c>
      <c r="O366" s="102">
        <v>0</v>
      </c>
      <c r="P366" s="105">
        <v>0</v>
      </c>
      <c r="Q366" s="104">
        <v>15680.05</v>
      </c>
      <c r="R366" s="106">
        <v>1.2777730713415896E-3</v>
      </c>
      <c r="S366" t="str">
        <f t="shared" si="16"/>
        <v>N/A</v>
      </c>
      <c r="T366" t="str">
        <f>VLOOKUP(Table8[[#This Row],[Census Tract]],'UI EnergyBurden'!$A$2:$B$184,2,FALSE)</f>
        <v>No</v>
      </c>
      <c r="U366">
        <f>VLOOKUP(Table8[[#This Row],[Census Tract]],'Population and Diversity Data'!$B$2:$K$823,10,FALSE)</f>
        <v>3</v>
      </c>
    </row>
    <row r="367" spans="1:21" ht="15.75" thickBot="1" x14ac:dyDescent="0.3">
      <c r="A367" s="240">
        <v>9009180300</v>
      </c>
      <c r="B367" s="238" t="s">
        <v>943</v>
      </c>
      <c r="C367" s="239" t="s">
        <v>944</v>
      </c>
      <c r="D367" s="94">
        <v>958.25630000000001</v>
      </c>
      <c r="E367" s="95">
        <v>3.2929076545130771E-5</v>
      </c>
      <c r="F367" s="96">
        <v>0</v>
      </c>
      <c r="G367" s="95">
        <v>0</v>
      </c>
      <c r="H367" s="95" t="s">
        <v>2982</v>
      </c>
      <c r="I367" s="95" t="str">
        <f t="shared" si="17"/>
        <v>NO</v>
      </c>
      <c r="J367" s="102">
        <v>541.58529999999996</v>
      </c>
      <c r="K367" s="103">
        <v>3.2929076545130771E-5</v>
      </c>
      <c r="L367" s="104">
        <v>0</v>
      </c>
      <c r="M367" s="103">
        <v>0</v>
      </c>
      <c r="N367" s="103" t="str">
        <f t="shared" si="15"/>
        <v>NO</v>
      </c>
      <c r="O367" s="102">
        <v>416.67099999999999</v>
      </c>
      <c r="P367" s="105">
        <v>3.2929076545130771E-5</v>
      </c>
      <c r="Q367" s="104">
        <v>0</v>
      </c>
      <c r="R367" s="106">
        <v>0</v>
      </c>
      <c r="S367" t="str">
        <f t="shared" si="16"/>
        <v>NO</v>
      </c>
      <c r="T367" t="str">
        <f>VLOOKUP(Table8[[#This Row],[Census Tract]],'UI EnergyBurden'!$A$2:$B$184,2,FALSE)</f>
        <v>No</v>
      </c>
      <c r="U367">
        <f>VLOOKUP(Table8[[#This Row],[Census Tract]],'Population and Diversity Data'!$B$2:$K$823,10,FALSE)</f>
        <v>3</v>
      </c>
    </row>
    <row r="368" spans="1:21" ht="15.75" thickBot="1" x14ac:dyDescent="0.3">
      <c r="A368" s="240">
        <v>9009180300</v>
      </c>
      <c r="B368" s="238" t="s">
        <v>3025</v>
      </c>
      <c r="C368" s="239" t="s">
        <v>944</v>
      </c>
      <c r="D368" s="94">
        <v>186.86240000000001</v>
      </c>
      <c r="E368" s="95">
        <v>6.4212531376071765E-6</v>
      </c>
      <c r="F368" s="96">
        <v>0</v>
      </c>
      <c r="G368" s="95">
        <v>0</v>
      </c>
      <c r="H368" s="95" t="s">
        <v>2982</v>
      </c>
      <c r="I368" s="95" t="str">
        <f t="shared" si="17"/>
        <v>NO</v>
      </c>
      <c r="J368" s="102">
        <v>0</v>
      </c>
      <c r="K368" s="103">
        <v>6.4212531376071765E-6</v>
      </c>
      <c r="L368" s="104">
        <v>0</v>
      </c>
      <c r="M368" s="103">
        <v>0</v>
      </c>
      <c r="N368" s="103" t="str">
        <f t="shared" si="15"/>
        <v>NO</v>
      </c>
      <c r="O368" s="102">
        <v>186.86240000000001</v>
      </c>
      <c r="P368" s="105">
        <v>6.4212531376071765E-6</v>
      </c>
      <c r="Q368" s="104">
        <v>0</v>
      </c>
      <c r="R368" s="106">
        <v>0</v>
      </c>
      <c r="S368" t="str">
        <f t="shared" si="16"/>
        <v>NO</v>
      </c>
      <c r="T368" t="str">
        <f>VLOOKUP(Table8[[#This Row],[Census Tract]],'UI EnergyBurden'!$A$2:$B$184,2,FALSE)</f>
        <v>No</v>
      </c>
      <c r="U368">
        <f>VLOOKUP(Table8[[#This Row],[Census Tract]],'Population and Diversity Data'!$B$2:$K$823,10,FALSE)</f>
        <v>3</v>
      </c>
    </row>
    <row r="369" spans="1:21" ht="15.75" thickBot="1" x14ac:dyDescent="0.3">
      <c r="A369" s="240">
        <v>9009180300</v>
      </c>
      <c r="B369" s="238" t="s">
        <v>950</v>
      </c>
      <c r="C369" s="239" t="s">
        <v>944</v>
      </c>
      <c r="D369" s="94">
        <v>18.827999999999999</v>
      </c>
      <c r="E369" s="95">
        <v>6.4699668887303131E-7</v>
      </c>
      <c r="F369" s="96">
        <v>0</v>
      </c>
      <c r="G369" s="95">
        <v>0</v>
      </c>
      <c r="H369" s="95" t="s">
        <v>2982</v>
      </c>
      <c r="I369" s="95" t="str">
        <f t="shared" si="17"/>
        <v>N/A</v>
      </c>
      <c r="J369" s="102">
        <v>18.827999999999999</v>
      </c>
      <c r="K369" s="103">
        <v>6.4699668887303131E-7</v>
      </c>
      <c r="L369" s="104">
        <v>0</v>
      </c>
      <c r="M369" s="103">
        <v>0</v>
      </c>
      <c r="N369" s="103" t="str">
        <f t="shared" si="15"/>
        <v>N/A</v>
      </c>
      <c r="O369" s="102">
        <v>0</v>
      </c>
      <c r="P369" s="105">
        <v>6.4699668887303131E-7</v>
      </c>
      <c r="Q369" s="104">
        <v>0</v>
      </c>
      <c r="R369" s="106">
        <v>0</v>
      </c>
      <c r="S369" t="str">
        <f t="shared" si="16"/>
        <v>N/A</v>
      </c>
      <c r="T369" t="str">
        <f>VLOOKUP(Table8[[#This Row],[Census Tract]],'UI EnergyBurden'!$A$2:$B$184,2,FALSE)</f>
        <v>No</v>
      </c>
      <c r="U369">
        <f>VLOOKUP(Table8[[#This Row],[Census Tract]],'Population and Diversity Data'!$B$2:$K$823,10,FALSE)</f>
        <v>3</v>
      </c>
    </row>
    <row r="370" spans="1:21" ht="15.75" thickBot="1" x14ac:dyDescent="0.3">
      <c r="A370" s="240">
        <v>9009180400</v>
      </c>
      <c r="B370" s="238" t="s">
        <v>3024</v>
      </c>
      <c r="C370" s="239" t="s">
        <v>944</v>
      </c>
      <c r="D370" s="94">
        <v>59107.457199999997</v>
      </c>
      <c r="E370" s="95">
        <v>2.0311413371629705E-3</v>
      </c>
      <c r="F370" s="96">
        <v>0</v>
      </c>
      <c r="G370" s="95">
        <v>0</v>
      </c>
      <c r="H370" s="95" t="s">
        <v>2982</v>
      </c>
      <c r="I370" s="95" t="str">
        <f t="shared" si="17"/>
        <v>NO</v>
      </c>
      <c r="J370" s="102">
        <v>44023.715199999999</v>
      </c>
      <c r="K370" s="103">
        <v>2.0311413371629705E-3</v>
      </c>
      <c r="L370" s="104">
        <v>0</v>
      </c>
      <c r="M370" s="103">
        <v>0</v>
      </c>
      <c r="N370" s="103" t="str">
        <f t="shared" si="15"/>
        <v>NO</v>
      </c>
      <c r="O370" s="102">
        <v>15083.742</v>
      </c>
      <c r="P370" s="105">
        <v>2.0311413371629705E-3</v>
      </c>
      <c r="Q370" s="104">
        <v>0</v>
      </c>
      <c r="R370" s="106">
        <v>0</v>
      </c>
      <c r="S370" t="str">
        <f t="shared" si="16"/>
        <v>NO</v>
      </c>
      <c r="T370" t="str">
        <f>VLOOKUP(Table8[[#This Row],[Census Tract]],'UI EnergyBurden'!$A$2:$B$184,2,FALSE)</f>
        <v>No</v>
      </c>
      <c r="U370">
        <f>VLOOKUP(Table8[[#This Row],[Census Tract]],'Population and Diversity Data'!$B$2:$K$823,10,FALSE)</f>
        <v>4</v>
      </c>
    </row>
    <row r="371" spans="1:21" ht="15.75" thickBot="1" x14ac:dyDescent="0.3">
      <c r="A371" s="240">
        <v>9009180400</v>
      </c>
      <c r="B371" s="238" t="s">
        <v>3016</v>
      </c>
      <c r="C371" s="239" t="s">
        <v>944</v>
      </c>
      <c r="D371" s="94">
        <v>0</v>
      </c>
      <c r="E371" s="95">
        <v>0</v>
      </c>
      <c r="F371" s="96">
        <v>46638.11</v>
      </c>
      <c r="G371" s="95">
        <v>2.7759147309240053E-3</v>
      </c>
      <c r="H371" s="95" t="s">
        <v>2993</v>
      </c>
      <c r="I371" s="95" t="str">
        <f t="shared" si="17"/>
        <v>N/A</v>
      </c>
      <c r="J371" s="102">
        <v>0</v>
      </c>
      <c r="K371" s="103">
        <v>0</v>
      </c>
      <c r="L371" s="104">
        <v>25336.11</v>
      </c>
      <c r="M371" s="103">
        <v>2.7759147309240053E-3</v>
      </c>
      <c r="N371" s="103" t="str">
        <f t="shared" si="15"/>
        <v>N/A</v>
      </c>
      <c r="O371" s="102">
        <v>0</v>
      </c>
      <c r="P371" s="105">
        <v>0</v>
      </c>
      <c r="Q371" s="104">
        <v>21302</v>
      </c>
      <c r="R371" s="106">
        <v>2.7759147309240053E-3</v>
      </c>
      <c r="S371" t="str">
        <f t="shared" si="16"/>
        <v>N/A</v>
      </c>
      <c r="T371" t="str">
        <f>VLOOKUP(Table8[[#This Row],[Census Tract]],'UI EnergyBurden'!$A$2:$B$184,2,FALSE)</f>
        <v>No</v>
      </c>
      <c r="U371">
        <f>VLOOKUP(Table8[[#This Row],[Census Tract]],'Population and Diversity Data'!$B$2:$K$823,10,FALSE)</f>
        <v>4</v>
      </c>
    </row>
    <row r="372" spans="1:21" ht="15.75" thickBot="1" x14ac:dyDescent="0.3">
      <c r="A372" s="240">
        <v>9009180400</v>
      </c>
      <c r="B372" s="238" t="s">
        <v>950</v>
      </c>
      <c r="C372" s="239" t="s">
        <v>944</v>
      </c>
      <c r="D372" s="94">
        <v>31.1447</v>
      </c>
      <c r="E372" s="95">
        <v>1.0702420743543603E-6</v>
      </c>
      <c r="F372" s="96">
        <v>0</v>
      </c>
      <c r="G372" s="95">
        <v>0</v>
      </c>
      <c r="H372" s="95" t="s">
        <v>2982</v>
      </c>
      <c r="I372" s="95" t="str">
        <f t="shared" si="17"/>
        <v>N/A</v>
      </c>
      <c r="J372" s="102">
        <v>0</v>
      </c>
      <c r="K372" s="103">
        <v>1.0702420743543603E-6</v>
      </c>
      <c r="L372" s="104">
        <v>0</v>
      </c>
      <c r="M372" s="103">
        <v>0</v>
      </c>
      <c r="N372" s="103" t="str">
        <f t="shared" si="15"/>
        <v>N/A</v>
      </c>
      <c r="O372" s="102">
        <v>31.1447</v>
      </c>
      <c r="P372" s="105">
        <v>1.0702420743543603E-6</v>
      </c>
      <c r="Q372" s="104">
        <v>0</v>
      </c>
      <c r="R372" s="106">
        <v>0</v>
      </c>
      <c r="S372" t="str">
        <f t="shared" si="16"/>
        <v>N/A</v>
      </c>
      <c r="T372" t="str">
        <f>VLOOKUP(Table8[[#This Row],[Census Tract]],'UI EnergyBurden'!$A$2:$B$184,2,FALSE)</f>
        <v>No</v>
      </c>
      <c r="U372">
        <f>VLOOKUP(Table8[[#This Row],[Census Tract]],'Population and Diversity Data'!$B$2:$K$823,10,FALSE)</f>
        <v>4</v>
      </c>
    </row>
    <row r="373" spans="1:21" ht="15.75" thickBot="1" x14ac:dyDescent="0.3">
      <c r="A373" s="240">
        <v>9009180500</v>
      </c>
      <c r="B373" s="238" t="s">
        <v>3024</v>
      </c>
      <c r="C373" s="239" t="s">
        <v>944</v>
      </c>
      <c r="D373" s="94">
        <v>100665.45049999999</v>
      </c>
      <c r="E373" s="95">
        <v>3.4592210089978768E-3</v>
      </c>
      <c r="F373" s="96">
        <v>0</v>
      </c>
      <c r="G373" s="95">
        <v>0</v>
      </c>
      <c r="H373" s="95" t="s">
        <v>2982</v>
      </c>
      <c r="I373" s="95" t="str">
        <f t="shared" si="17"/>
        <v>NO</v>
      </c>
      <c r="J373" s="102">
        <v>82435.041299999997</v>
      </c>
      <c r="K373" s="103">
        <v>3.4592210089978768E-3</v>
      </c>
      <c r="L373" s="104">
        <v>0</v>
      </c>
      <c r="M373" s="103">
        <v>0</v>
      </c>
      <c r="N373" s="103" t="str">
        <f t="shared" si="15"/>
        <v>NO</v>
      </c>
      <c r="O373" s="102">
        <v>18230.409199999998</v>
      </c>
      <c r="P373" s="105">
        <v>3.4592210089978768E-3</v>
      </c>
      <c r="Q373" s="104">
        <v>0</v>
      </c>
      <c r="R373" s="106">
        <v>0</v>
      </c>
      <c r="S373" t="str">
        <f t="shared" si="16"/>
        <v>NO</v>
      </c>
      <c r="T373" t="str">
        <f>VLOOKUP(Table8[[#This Row],[Census Tract]],'UI EnergyBurden'!$A$2:$B$184,2,FALSE)</f>
        <v>No</v>
      </c>
      <c r="U373">
        <f>VLOOKUP(Table8[[#This Row],[Census Tract]],'Population and Diversity Data'!$B$2:$K$823,10,FALSE)</f>
        <v>5</v>
      </c>
    </row>
    <row r="374" spans="1:21" ht="15.75" thickBot="1" x14ac:dyDescent="0.3">
      <c r="A374" s="240">
        <v>9009180500</v>
      </c>
      <c r="B374" s="238" t="s">
        <v>3016</v>
      </c>
      <c r="C374" s="239" t="s">
        <v>944</v>
      </c>
      <c r="D374" s="94">
        <v>0</v>
      </c>
      <c r="E374" s="95">
        <v>0</v>
      </c>
      <c r="F374" s="96">
        <v>43872.23</v>
      </c>
      <c r="G374" s="95">
        <v>2.6112886979229237E-3</v>
      </c>
      <c r="H374" s="95" t="s">
        <v>2993</v>
      </c>
      <c r="I374" s="95" t="str">
        <f t="shared" si="17"/>
        <v>N/A</v>
      </c>
      <c r="J374" s="102">
        <v>0</v>
      </c>
      <c r="K374" s="103">
        <v>0</v>
      </c>
      <c r="L374" s="104">
        <v>36318.230000000003</v>
      </c>
      <c r="M374" s="103">
        <v>2.6112886979229237E-3</v>
      </c>
      <c r="N374" s="103" t="str">
        <f t="shared" si="15"/>
        <v>N/A</v>
      </c>
      <c r="O374" s="102">
        <v>0</v>
      </c>
      <c r="P374" s="105">
        <v>0</v>
      </c>
      <c r="Q374" s="104">
        <v>7554</v>
      </c>
      <c r="R374" s="106">
        <v>2.6112886979229237E-3</v>
      </c>
      <c r="S374" t="str">
        <f t="shared" si="16"/>
        <v>N/A</v>
      </c>
      <c r="T374" t="str">
        <f>VLOOKUP(Table8[[#This Row],[Census Tract]],'UI EnergyBurden'!$A$2:$B$184,2,FALSE)</f>
        <v>No</v>
      </c>
      <c r="U374">
        <f>VLOOKUP(Table8[[#This Row],[Census Tract]],'Population and Diversity Data'!$B$2:$K$823,10,FALSE)</f>
        <v>5</v>
      </c>
    </row>
    <row r="375" spans="1:21" ht="15.75" thickBot="1" x14ac:dyDescent="0.3">
      <c r="A375" s="240">
        <v>9009180500</v>
      </c>
      <c r="B375" s="238" t="s">
        <v>943</v>
      </c>
      <c r="C375" s="239" t="s">
        <v>944</v>
      </c>
      <c r="D375" s="94">
        <v>3387.4261999999999</v>
      </c>
      <c r="E375" s="95">
        <v>1.1640394811991474E-4</v>
      </c>
      <c r="F375" s="96">
        <v>0</v>
      </c>
      <c r="G375" s="95">
        <v>0</v>
      </c>
      <c r="H375" s="95" t="s">
        <v>2982</v>
      </c>
      <c r="I375" s="95" t="str">
        <f t="shared" si="17"/>
        <v>NO</v>
      </c>
      <c r="J375" s="102">
        <v>433.71039999999999</v>
      </c>
      <c r="K375" s="103">
        <v>1.1640394811991474E-4</v>
      </c>
      <c r="L375" s="104">
        <v>0</v>
      </c>
      <c r="M375" s="103">
        <v>0</v>
      </c>
      <c r="N375" s="103" t="str">
        <f t="shared" si="15"/>
        <v>NO</v>
      </c>
      <c r="O375" s="102">
        <v>2953.7157999999999</v>
      </c>
      <c r="P375" s="105">
        <v>1.1640394811991474E-4</v>
      </c>
      <c r="Q375" s="104">
        <v>0</v>
      </c>
      <c r="R375" s="106">
        <v>0</v>
      </c>
      <c r="S375" t="str">
        <f t="shared" si="16"/>
        <v>NO</v>
      </c>
      <c r="T375" t="str">
        <f>VLOOKUP(Table8[[#This Row],[Census Tract]],'UI EnergyBurden'!$A$2:$B$184,2,FALSE)</f>
        <v>No</v>
      </c>
      <c r="U375">
        <f>VLOOKUP(Table8[[#This Row],[Census Tract]],'Population and Diversity Data'!$B$2:$K$823,10,FALSE)</f>
        <v>5</v>
      </c>
    </row>
    <row r="376" spans="1:21" ht="15.75" thickBot="1" x14ac:dyDescent="0.3">
      <c r="A376" s="240">
        <v>9009180500</v>
      </c>
      <c r="B376" s="238" t="s">
        <v>950</v>
      </c>
      <c r="C376" s="239" t="s">
        <v>944</v>
      </c>
      <c r="D376" s="94">
        <v>70.126199999999997</v>
      </c>
      <c r="E376" s="95">
        <v>2.4097843213962166E-6</v>
      </c>
      <c r="F376" s="96">
        <v>0</v>
      </c>
      <c r="G376" s="95">
        <v>0</v>
      </c>
      <c r="H376" s="95" t="s">
        <v>2982</v>
      </c>
      <c r="I376" s="95" t="str">
        <f t="shared" si="17"/>
        <v>N/A</v>
      </c>
      <c r="J376" s="102">
        <v>70.126199999999997</v>
      </c>
      <c r="K376" s="103">
        <v>2.4097843213962166E-6</v>
      </c>
      <c r="L376" s="104">
        <v>0</v>
      </c>
      <c r="M376" s="103">
        <v>0</v>
      </c>
      <c r="N376" s="103" t="str">
        <f t="shared" si="15"/>
        <v>N/A</v>
      </c>
      <c r="O376" s="102">
        <v>0</v>
      </c>
      <c r="P376" s="105">
        <v>2.4097843213962166E-6</v>
      </c>
      <c r="Q376" s="104">
        <v>0</v>
      </c>
      <c r="R376" s="106">
        <v>0</v>
      </c>
      <c r="S376" t="str">
        <f t="shared" si="16"/>
        <v>N/A</v>
      </c>
      <c r="T376" t="str">
        <f>VLOOKUP(Table8[[#This Row],[Census Tract]],'UI EnergyBurden'!$A$2:$B$184,2,FALSE)</f>
        <v>No</v>
      </c>
      <c r="U376">
        <f>VLOOKUP(Table8[[#This Row],[Census Tract]],'Population and Diversity Data'!$B$2:$K$823,10,FALSE)</f>
        <v>5</v>
      </c>
    </row>
    <row r="377" spans="1:21" ht="15.75" thickBot="1" x14ac:dyDescent="0.3">
      <c r="A377" s="240">
        <v>9009180601</v>
      </c>
      <c r="B377" s="238" t="s">
        <v>3024</v>
      </c>
      <c r="C377" s="239" t="s">
        <v>944</v>
      </c>
      <c r="D377" s="94">
        <v>64963.1441000001</v>
      </c>
      <c r="E377" s="95">
        <v>2.2323634550393914E-3</v>
      </c>
      <c r="F377" s="96">
        <v>0</v>
      </c>
      <c r="G377" s="95">
        <v>0</v>
      </c>
      <c r="H377" s="95" t="s">
        <v>2982</v>
      </c>
      <c r="I377" s="95" t="str">
        <f t="shared" si="17"/>
        <v>NO</v>
      </c>
      <c r="J377" s="102">
        <v>52661.118400000101</v>
      </c>
      <c r="K377" s="103">
        <v>2.2323634550393914E-3</v>
      </c>
      <c r="L377" s="104">
        <v>0</v>
      </c>
      <c r="M377" s="103">
        <v>0</v>
      </c>
      <c r="N377" s="103" t="str">
        <f t="shared" si="15"/>
        <v>NO</v>
      </c>
      <c r="O377" s="102">
        <v>12302.0257</v>
      </c>
      <c r="P377" s="105">
        <v>2.2323634550393914E-3</v>
      </c>
      <c r="Q377" s="104">
        <v>0</v>
      </c>
      <c r="R377" s="106">
        <v>0</v>
      </c>
      <c r="S377" t="str">
        <f t="shared" si="16"/>
        <v>NO</v>
      </c>
      <c r="T377" t="str">
        <f>VLOOKUP(Table8[[#This Row],[Census Tract]],'UI EnergyBurden'!$A$2:$B$184,2,FALSE)</f>
        <v>No</v>
      </c>
      <c r="U377">
        <f>VLOOKUP(Table8[[#This Row],[Census Tract]],'Population and Diversity Data'!$B$2:$K$823,10,FALSE)</f>
        <v>1</v>
      </c>
    </row>
    <row r="378" spans="1:21" ht="15.75" thickBot="1" x14ac:dyDescent="0.3">
      <c r="A378" s="240">
        <v>9009180601</v>
      </c>
      <c r="B378" s="238" t="s">
        <v>3016</v>
      </c>
      <c r="C378" s="239" t="s">
        <v>944</v>
      </c>
      <c r="D378" s="94">
        <v>0</v>
      </c>
      <c r="E378" s="95">
        <v>0</v>
      </c>
      <c r="F378" s="96">
        <v>39953.97</v>
      </c>
      <c r="G378" s="95">
        <v>2.3780726509263733E-3</v>
      </c>
      <c r="H378" s="95" t="s">
        <v>2993</v>
      </c>
      <c r="I378" s="95" t="str">
        <f t="shared" si="17"/>
        <v>N/A</v>
      </c>
      <c r="J378" s="102">
        <v>0</v>
      </c>
      <c r="K378" s="103">
        <v>0</v>
      </c>
      <c r="L378" s="104">
        <v>36834.97</v>
      </c>
      <c r="M378" s="103">
        <v>2.3780726509263733E-3</v>
      </c>
      <c r="N378" s="103" t="str">
        <f t="shared" si="15"/>
        <v>N/A</v>
      </c>
      <c r="O378" s="102">
        <v>0</v>
      </c>
      <c r="P378" s="105">
        <v>0</v>
      </c>
      <c r="Q378" s="104">
        <v>3119</v>
      </c>
      <c r="R378" s="106">
        <v>2.3780726509263733E-3</v>
      </c>
      <c r="S378" t="str">
        <f t="shared" si="16"/>
        <v>N/A</v>
      </c>
      <c r="T378" t="str">
        <f>VLOOKUP(Table8[[#This Row],[Census Tract]],'UI EnergyBurden'!$A$2:$B$184,2,FALSE)</f>
        <v>No</v>
      </c>
      <c r="U378">
        <f>VLOOKUP(Table8[[#This Row],[Census Tract]],'Population and Diversity Data'!$B$2:$K$823,10,FALSE)</f>
        <v>1</v>
      </c>
    </row>
    <row r="379" spans="1:21" ht="15.75" thickBot="1" x14ac:dyDescent="0.3">
      <c r="A379" s="240">
        <v>9009180601</v>
      </c>
      <c r="B379" s="238" t="s">
        <v>943</v>
      </c>
      <c r="C379" s="239" t="s">
        <v>944</v>
      </c>
      <c r="D379" s="94">
        <v>1589.913</v>
      </c>
      <c r="E379" s="95">
        <v>5.4635035404513903E-5</v>
      </c>
      <c r="F379" s="96">
        <v>0</v>
      </c>
      <c r="G379" s="95">
        <v>0</v>
      </c>
      <c r="H379" s="95" t="s">
        <v>2982</v>
      </c>
      <c r="I379" s="95" t="str">
        <f t="shared" si="17"/>
        <v>NO</v>
      </c>
      <c r="J379" s="102">
        <v>0</v>
      </c>
      <c r="K379" s="103">
        <v>5.4635035404513903E-5</v>
      </c>
      <c r="L379" s="104">
        <v>0</v>
      </c>
      <c r="M379" s="103">
        <v>0</v>
      </c>
      <c r="N379" s="103" t="str">
        <f t="shared" si="15"/>
        <v>NO</v>
      </c>
      <c r="O379" s="102">
        <v>1589.913</v>
      </c>
      <c r="P379" s="105">
        <v>5.4635035404513903E-5</v>
      </c>
      <c r="Q379" s="104">
        <v>0</v>
      </c>
      <c r="R379" s="106">
        <v>0</v>
      </c>
      <c r="S379" t="str">
        <f t="shared" si="16"/>
        <v>NO</v>
      </c>
      <c r="T379" t="str">
        <f>VLOOKUP(Table8[[#This Row],[Census Tract]],'UI EnergyBurden'!$A$2:$B$184,2,FALSE)</f>
        <v>No</v>
      </c>
      <c r="U379">
        <f>VLOOKUP(Table8[[#This Row],[Census Tract]],'Population and Diversity Data'!$B$2:$K$823,10,FALSE)</f>
        <v>1</v>
      </c>
    </row>
    <row r="380" spans="1:21" ht="15.75" thickBot="1" x14ac:dyDescent="0.3">
      <c r="A380" s="240">
        <v>9009180601</v>
      </c>
      <c r="B380" s="238" t="s">
        <v>3026</v>
      </c>
      <c r="C380" s="239" t="s">
        <v>944</v>
      </c>
      <c r="D380" s="94">
        <v>95.268799999999999</v>
      </c>
      <c r="E380" s="95">
        <v>3.2737730057843128E-6</v>
      </c>
      <c r="F380" s="96">
        <v>0</v>
      </c>
      <c r="G380" s="95">
        <v>0</v>
      </c>
      <c r="H380" s="95" t="s">
        <v>2982</v>
      </c>
      <c r="I380" s="95" t="str">
        <f t="shared" si="17"/>
        <v>N/A</v>
      </c>
      <c r="J380" s="102">
        <v>0</v>
      </c>
      <c r="K380" s="103">
        <v>3.2737730057843128E-6</v>
      </c>
      <c r="L380" s="104">
        <v>0</v>
      </c>
      <c r="M380" s="103">
        <v>0</v>
      </c>
      <c r="N380" s="103" t="str">
        <f t="shared" si="15"/>
        <v>N/A</v>
      </c>
      <c r="O380" s="102">
        <v>95.268799999999999</v>
      </c>
      <c r="P380" s="105">
        <v>3.2737730057843128E-6</v>
      </c>
      <c r="Q380" s="104">
        <v>0</v>
      </c>
      <c r="R380" s="106">
        <v>0</v>
      </c>
      <c r="S380" t="str">
        <f t="shared" si="16"/>
        <v>N/A</v>
      </c>
      <c r="T380" t="str">
        <f>VLOOKUP(Table8[[#This Row],[Census Tract]],'UI EnergyBurden'!$A$2:$B$184,2,FALSE)</f>
        <v>No</v>
      </c>
      <c r="U380">
        <f>VLOOKUP(Table8[[#This Row],[Census Tract]],'Population and Diversity Data'!$B$2:$K$823,10,FALSE)</f>
        <v>1</v>
      </c>
    </row>
    <row r="381" spans="1:21" ht="15.75" thickBot="1" x14ac:dyDescent="0.3">
      <c r="A381" s="240">
        <v>9009180601</v>
      </c>
      <c r="B381" s="238" t="s">
        <v>3025</v>
      </c>
      <c r="C381" s="239" t="s">
        <v>944</v>
      </c>
      <c r="D381" s="94">
        <v>55.563800000000001</v>
      </c>
      <c r="E381" s="95">
        <v>1.9093687391758729E-6</v>
      </c>
      <c r="F381" s="96">
        <v>0</v>
      </c>
      <c r="G381" s="95">
        <v>0</v>
      </c>
      <c r="H381" s="95" t="s">
        <v>2982</v>
      </c>
      <c r="I381" s="95" t="str">
        <f t="shared" si="17"/>
        <v>N/A</v>
      </c>
      <c r="J381" s="102">
        <v>55.563800000000001</v>
      </c>
      <c r="K381" s="103">
        <v>1.9093687391758729E-6</v>
      </c>
      <c r="L381" s="104">
        <v>0</v>
      </c>
      <c r="M381" s="103">
        <v>0</v>
      </c>
      <c r="N381" s="103" t="str">
        <f t="shared" si="15"/>
        <v>N/A</v>
      </c>
      <c r="O381" s="102">
        <v>0</v>
      </c>
      <c r="P381" s="105">
        <v>1.9093687391758729E-6</v>
      </c>
      <c r="Q381" s="104">
        <v>0</v>
      </c>
      <c r="R381" s="106">
        <v>0</v>
      </c>
      <c r="S381" t="str">
        <f t="shared" si="16"/>
        <v>N/A</v>
      </c>
      <c r="T381" t="str">
        <f>VLOOKUP(Table8[[#This Row],[Census Tract]],'UI EnergyBurden'!$A$2:$B$184,2,FALSE)</f>
        <v>No</v>
      </c>
      <c r="U381">
        <f>VLOOKUP(Table8[[#This Row],[Census Tract]],'Population and Diversity Data'!$B$2:$K$823,10,FALSE)</f>
        <v>1</v>
      </c>
    </row>
    <row r="382" spans="1:21" ht="15.75" thickBot="1" x14ac:dyDescent="0.3">
      <c r="A382" s="240">
        <v>9009180602</v>
      </c>
      <c r="B382" s="238" t="s">
        <v>3024</v>
      </c>
      <c r="C382" s="239" t="s">
        <v>944</v>
      </c>
      <c r="D382" s="94">
        <v>76522.197599999898</v>
      </c>
      <c r="E382" s="95">
        <v>2.6295734264121392E-3</v>
      </c>
      <c r="F382" s="96">
        <v>0</v>
      </c>
      <c r="G382" s="95">
        <v>0</v>
      </c>
      <c r="H382" s="95" t="s">
        <v>2982</v>
      </c>
      <c r="I382" s="95" t="str">
        <f t="shared" si="17"/>
        <v>NO</v>
      </c>
      <c r="J382" s="102">
        <v>71853.173799999902</v>
      </c>
      <c r="K382" s="103">
        <v>2.6295734264121392E-3</v>
      </c>
      <c r="L382" s="104">
        <v>0</v>
      </c>
      <c r="M382" s="103">
        <v>0</v>
      </c>
      <c r="N382" s="103" t="str">
        <f t="shared" si="15"/>
        <v>NO</v>
      </c>
      <c r="O382" s="102">
        <v>4669.0237999999999</v>
      </c>
      <c r="P382" s="105">
        <v>2.6295734264121392E-3</v>
      </c>
      <c r="Q382" s="104">
        <v>0</v>
      </c>
      <c r="R382" s="106">
        <v>0</v>
      </c>
      <c r="S382" t="str">
        <f t="shared" si="16"/>
        <v>NO</v>
      </c>
      <c r="T382" t="str">
        <f>VLOOKUP(Table8[[#This Row],[Census Tract]],'UI EnergyBurden'!$A$2:$B$184,2,FALSE)</f>
        <v>No</v>
      </c>
      <c r="U382">
        <f>VLOOKUP(Table8[[#This Row],[Census Tract]],'Population and Diversity Data'!$B$2:$K$823,10,FALSE)</f>
        <v>1</v>
      </c>
    </row>
    <row r="383" spans="1:21" ht="15.75" thickBot="1" x14ac:dyDescent="0.3">
      <c r="A383" s="240">
        <v>9009180602</v>
      </c>
      <c r="B383" s="238" t="s">
        <v>3016</v>
      </c>
      <c r="C383" s="239" t="s">
        <v>944</v>
      </c>
      <c r="D383" s="94">
        <v>0</v>
      </c>
      <c r="E383" s="95">
        <v>0</v>
      </c>
      <c r="F383" s="96">
        <v>40590.32</v>
      </c>
      <c r="G383" s="95">
        <v>2.4159483997297335E-3</v>
      </c>
      <c r="H383" s="95" t="s">
        <v>2993</v>
      </c>
      <c r="I383" s="95" t="str">
        <f t="shared" si="17"/>
        <v>N/A</v>
      </c>
      <c r="J383" s="102">
        <v>0</v>
      </c>
      <c r="K383" s="103">
        <v>0</v>
      </c>
      <c r="L383" s="104">
        <v>38316.32</v>
      </c>
      <c r="M383" s="103">
        <v>2.4159483997297335E-3</v>
      </c>
      <c r="N383" s="103" t="str">
        <f t="shared" si="15"/>
        <v>N/A</v>
      </c>
      <c r="O383" s="102">
        <v>0</v>
      </c>
      <c r="P383" s="105">
        <v>0</v>
      </c>
      <c r="Q383" s="104">
        <v>2274</v>
      </c>
      <c r="R383" s="106">
        <v>2.4159483997297335E-3</v>
      </c>
      <c r="S383" t="str">
        <f t="shared" si="16"/>
        <v>N/A</v>
      </c>
      <c r="T383" t="str">
        <f>VLOOKUP(Table8[[#This Row],[Census Tract]],'UI EnergyBurden'!$A$2:$B$184,2,FALSE)</f>
        <v>No</v>
      </c>
      <c r="U383">
        <f>VLOOKUP(Table8[[#This Row],[Census Tract]],'Population and Diversity Data'!$B$2:$K$823,10,FALSE)</f>
        <v>1</v>
      </c>
    </row>
    <row r="384" spans="1:21" ht="15.75" thickBot="1" x14ac:dyDescent="0.3">
      <c r="A384" s="240">
        <v>9009180602</v>
      </c>
      <c r="B384" s="238" t="s">
        <v>943</v>
      </c>
      <c r="C384" s="239" t="s">
        <v>944</v>
      </c>
      <c r="D384" s="94">
        <v>1251.5754999999999</v>
      </c>
      <c r="E384" s="95">
        <v>4.3008561948938207E-5</v>
      </c>
      <c r="F384" s="96">
        <v>0</v>
      </c>
      <c r="G384" s="95">
        <v>0</v>
      </c>
      <c r="H384" s="95" t="s">
        <v>2982</v>
      </c>
      <c r="I384" s="95" t="str">
        <f t="shared" si="17"/>
        <v>NO</v>
      </c>
      <c r="J384" s="102">
        <v>0</v>
      </c>
      <c r="K384" s="103">
        <v>4.3008561948938207E-5</v>
      </c>
      <c r="L384" s="104">
        <v>0</v>
      </c>
      <c r="M384" s="103">
        <v>0</v>
      </c>
      <c r="N384" s="103" t="str">
        <f t="shared" si="15"/>
        <v>NO</v>
      </c>
      <c r="O384" s="102">
        <v>1251.5754999999999</v>
      </c>
      <c r="P384" s="105">
        <v>4.3008561948938207E-5</v>
      </c>
      <c r="Q384" s="104">
        <v>0</v>
      </c>
      <c r="R384" s="106">
        <v>0</v>
      </c>
      <c r="S384" t="str">
        <f t="shared" si="16"/>
        <v>NO</v>
      </c>
      <c r="T384" t="str">
        <f>VLOOKUP(Table8[[#This Row],[Census Tract]],'UI EnergyBurden'!$A$2:$B$184,2,FALSE)</f>
        <v>No</v>
      </c>
      <c r="U384">
        <f>VLOOKUP(Table8[[#This Row],[Census Tract]],'Population and Diversity Data'!$B$2:$K$823,10,FALSE)</f>
        <v>1</v>
      </c>
    </row>
    <row r="385" spans="1:21" ht="15.75" thickBot="1" x14ac:dyDescent="0.3">
      <c r="A385" s="240">
        <v>9009180602</v>
      </c>
      <c r="B385" s="238" t="s">
        <v>3025</v>
      </c>
      <c r="C385" s="239" t="s">
        <v>944</v>
      </c>
      <c r="D385" s="94">
        <v>1282.3207</v>
      </c>
      <c r="E385" s="95">
        <v>4.4065075789958977E-5</v>
      </c>
      <c r="F385" s="96">
        <v>0</v>
      </c>
      <c r="G385" s="95">
        <v>0</v>
      </c>
      <c r="H385" s="95" t="s">
        <v>2982</v>
      </c>
      <c r="I385" s="95" t="str">
        <f t="shared" si="17"/>
        <v>NO</v>
      </c>
      <c r="J385" s="102">
        <v>1270.8086000000001</v>
      </c>
      <c r="K385" s="103">
        <v>4.4065075789958977E-5</v>
      </c>
      <c r="L385" s="104">
        <v>0</v>
      </c>
      <c r="M385" s="103">
        <v>0</v>
      </c>
      <c r="N385" s="103" t="str">
        <f t="shared" si="15"/>
        <v>NO</v>
      </c>
      <c r="O385" s="102">
        <v>11.5121</v>
      </c>
      <c r="P385" s="105">
        <v>4.4065075789958977E-5</v>
      </c>
      <c r="Q385" s="104">
        <v>0</v>
      </c>
      <c r="R385" s="106">
        <v>0</v>
      </c>
      <c r="S385" t="str">
        <f t="shared" si="16"/>
        <v>NO</v>
      </c>
      <c r="T385" t="str">
        <f>VLOOKUP(Table8[[#This Row],[Census Tract]],'UI EnergyBurden'!$A$2:$B$184,2,FALSE)</f>
        <v>No</v>
      </c>
      <c r="U385">
        <f>VLOOKUP(Table8[[#This Row],[Census Tract]],'Population and Diversity Data'!$B$2:$K$823,10,FALSE)</f>
        <v>1</v>
      </c>
    </row>
    <row r="386" spans="1:21" ht="15.75" thickBot="1" x14ac:dyDescent="0.3">
      <c r="A386" s="240">
        <v>9009184700</v>
      </c>
      <c r="B386" s="238" t="s">
        <v>3026</v>
      </c>
      <c r="C386" s="239" t="s">
        <v>944</v>
      </c>
      <c r="D386" s="94">
        <v>2855.0379000000003</v>
      </c>
      <c r="E386" s="95">
        <v>9.8109202671925472E-5</v>
      </c>
      <c r="F386" s="96">
        <v>1454.35</v>
      </c>
      <c r="G386" s="95">
        <v>8.6563361785443866E-5</v>
      </c>
      <c r="H386" s="95" t="s">
        <v>2993</v>
      </c>
      <c r="I386" s="95" t="str">
        <f t="shared" si="17"/>
        <v>NO</v>
      </c>
      <c r="J386" s="102">
        <v>2754.6410000000001</v>
      </c>
      <c r="K386" s="103">
        <v>9.8109202671925472E-5</v>
      </c>
      <c r="L386" s="104">
        <v>1454.35</v>
      </c>
      <c r="M386" s="103">
        <v>8.6563361785443866E-5</v>
      </c>
      <c r="N386" s="103" t="str">
        <f t="shared" si="15"/>
        <v>NO</v>
      </c>
      <c r="O386" s="102">
        <v>100.3969</v>
      </c>
      <c r="P386" s="105">
        <v>9.8109202671925472E-5</v>
      </c>
      <c r="Q386" s="104">
        <v>0</v>
      </c>
      <c r="R386" s="106">
        <v>8.6563361785443866E-5</v>
      </c>
      <c r="S386" t="str">
        <f t="shared" si="16"/>
        <v>NO</v>
      </c>
      <c r="T386" t="str">
        <f>VLOOKUP(Table8[[#This Row],[Census Tract]],'UI EnergyBurden'!$A$2:$B$184,2,FALSE)</f>
        <v>No</v>
      </c>
      <c r="U386">
        <f>VLOOKUP(Table8[[#This Row],[Census Tract]],'Population and Diversity Data'!$B$2:$K$823,10,FALSE)</f>
        <v>4</v>
      </c>
    </row>
    <row r="387" spans="1:21" ht="15.75" thickBot="1" x14ac:dyDescent="0.3">
      <c r="A387" s="240">
        <v>9009186100</v>
      </c>
      <c r="B387" s="238" t="s">
        <v>3024</v>
      </c>
      <c r="C387" s="239" t="s">
        <v>944</v>
      </c>
      <c r="D387" s="94">
        <v>70.791799999999995</v>
      </c>
      <c r="E387" s="95">
        <v>2.4326566921267183E-6</v>
      </c>
      <c r="F387" s="96">
        <v>0</v>
      </c>
      <c r="G387" s="95">
        <v>0</v>
      </c>
      <c r="H387" s="95" t="s">
        <v>2982</v>
      </c>
      <c r="I387" s="95" t="str">
        <f t="shared" si="17"/>
        <v>N/A</v>
      </c>
      <c r="J387" s="102">
        <v>70.791799999999995</v>
      </c>
      <c r="K387" s="103">
        <v>2.4326566921267183E-6</v>
      </c>
      <c r="L387" s="104">
        <v>0</v>
      </c>
      <c r="M387" s="103">
        <v>0</v>
      </c>
      <c r="N387" s="103" t="str">
        <f t="shared" si="15"/>
        <v>N/A</v>
      </c>
      <c r="O387" s="102">
        <v>0</v>
      </c>
      <c r="P387" s="105">
        <v>2.4326566921267183E-6</v>
      </c>
      <c r="Q387" s="104">
        <v>0</v>
      </c>
      <c r="R387" s="106">
        <v>0</v>
      </c>
      <c r="S387" t="str">
        <f t="shared" si="16"/>
        <v>N/A</v>
      </c>
      <c r="T387" t="str">
        <f>VLOOKUP(Table8[[#This Row],[Census Tract]],'UI EnergyBurden'!$A$2:$B$184,2,FALSE)</f>
        <v>No</v>
      </c>
      <c r="U387">
        <f>VLOOKUP(Table8[[#This Row],[Census Tract]],'Population and Diversity Data'!$B$2:$K$823,10,FALSE)</f>
        <v>2</v>
      </c>
    </row>
    <row r="388" spans="1:21" ht="15.75" thickBot="1" x14ac:dyDescent="0.3">
      <c r="A388" s="240">
        <v>9009186100</v>
      </c>
      <c r="B388" s="238" t="s">
        <v>3026</v>
      </c>
      <c r="C388" s="239" t="s">
        <v>944</v>
      </c>
      <c r="D388" s="94">
        <v>187335.72399999999</v>
      </c>
      <c r="E388" s="95">
        <v>6.4375182247520743E-3</v>
      </c>
      <c r="F388" s="96">
        <v>69768.209999999992</v>
      </c>
      <c r="G388" s="95">
        <v>4.1526254363480741E-3</v>
      </c>
      <c r="H388" s="95" t="s">
        <v>2986</v>
      </c>
      <c r="I388" s="95" t="str">
        <f t="shared" si="17"/>
        <v>NO</v>
      </c>
      <c r="J388" s="102">
        <v>137173.78909999999</v>
      </c>
      <c r="K388" s="103">
        <v>6.4375182247520743E-3</v>
      </c>
      <c r="L388" s="104">
        <v>50849.24</v>
      </c>
      <c r="M388" s="103">
        <v>4.1526254363480741E-3</v>
      </c>
      <c r="N388" s="103" t="str">
        <f t="shared" si="15"/>
        <v>NO</v>
      </c>
      <c r="O388" s="102">
        <v>50161.9349</v>
      </c>
      <c r="P388" s="105">
        <v>6.4375182247520743E-3</v>
      </c>
      <c r="Q388" s="104">
        <v>18918.97</v>
      </c>
      <c r="R388" s="106">
        <v>4.1526254363480741E-3</v>
      </c>
      <c r="S388" t="str">
        <f t="shared" si="16"/>
        <v>NO</v>
      </c>
      <c r="T388" t="str">
        <f>VLOOKUP(Table8[[#This Row],[Census Tract]],'UI EnergyBurden'!$A$2:$B$184,2,FALSE)</f>
        <v>No</v>
      </c>
      <c r="U388">
        <f>VLOOKUP(Table8[[#This Row],[Census Tract]],'Population and Diversity Data'!$B$2:$K$823,10,FALSE)</f>
        <v>2</v>
      </c>
    </row>
    <row r="389" spans="1:21" ht="15.75" thickBot="1" x14ac:dyDescent="0.3">
      <c r="A389" s="240">
        <v>9009186200</v>
      </c>
      <c r="B389" s="238" t="s">
        <v>3026</v>
      </c>
      <c r="C389" s="239" t="s">
        <v>944</v>
      </c>
      <c r="D389" s="94">
        <v>11969.2673</v>
      </c>
      <c r="E389" s="95">
        <v>4.1130636877715357E-4</v>
      </c>
      <c r="F389" s="96">
        <v>4833.62</v>
      </c>
      <c r="G389" s="95">
        <v>2.8769855728906876E-4</v>
      </c>
      <c r="H389" s="95" t="s">
        <v>2986</v>
      </c>
      <c r="I389" s="95" t="str">
        <f t="shared" si="17"/>
        <v>NO</v>
      </c>
      <c r="J389" s="102">
        <v>10810.026099999999</v>
      </c>
      <c r="K389" s="103">
        <v>4.1130636877715357E-4</v>
      </c>
      <c r="L389" s="104">
        <v>4833.62</v>
      </c>
      <c r="M389" s="103">
        <v>2.8769855728906876E-4</v>
      </c>
      <c r="N389" s="103" t="str">
        <f t="shared" si="15"/>
        <v>NO</v>
      </c>
      <c r="O389" s="102">
        <v>1159.2411999999999</v>
      </c>
      <c r="P389" s="105">
        <v>4.1130636877715357E-4</v>
      </c>
      <c r="Q389" s="104">
        <v>0</v>
      </c>
      <c r="R389" s="106">
        <v>2.8769855728906876E-4</v>
      </c>
      <c r="S389" t="str">
        <f t="shared" si="16"/>
        <v>NO</v>
      </c>
      <c r="T389" t="str">
        <f>VLOOKUP(Table8[[#This Row],[Census Tract]],'UI EnergyBurden'!$A$2:$B$184,2,FALSE)</f>
        <v>No</v>
      </c>
      <c r="U389">
        <f>VLOOKUP(Table8[[#This Row],[Census Tract]],'Population and Diversity Data'!$B$2:$K$823,10,FALSE)</f>
        <v>1</v>
      </c>
    </row>
    <row r="390" spans="1:21" ht="15.75" thickBot="1" x14ac:dyDescent="0.3">
      <c r="A390" s="240">
        <v>9009186200</v>
      </c>
      <c r="B390" s="238" t="s">
        <v>3025</v>
      </c>
      <c r="C390" s="239" t="s">
        <v>944</v>
      </c>
      <c r="D390" s="94">
        <v>75.867800000000003</v>
      </c>
      <c r="E390" s="95">
        <v>2.6070860097770006E-6</v>
      </c>
      <c r="F390" s="96">
        <v>0</v>
      </c>
      <c r="G390" s="95">
        <v>0</v>
      </c>
      <c r="H390" s="95" t="s">
        <v>2982</v>
      </c>
      <c r="I390" s="95" t="str">
        <f t="shared" si="17"/>
        <v>N/A</v>
      </c>
      <c r="J390" s="102">
        <v>75.867800000000003</v>
      </c>
      <c r="K390" s="103">
        <v>2.6070860097770006E-6</v>
      </c>
      <c r="L390" s="104">
        <v>0</v>
      </c>
      <c r="M390" s="103">
        <v>0</v>
      </c>
      <c r="N390" s="103" t="str">
        <f t="shared" ref="N390:N423" si="18">IF(ROUND(K390,5)&lt;0.00001,"N/A",IF(ROUND(K390,5)&lt;=ROUND(M390,5),"YES","NO"))</f>
        <v>N/A</v>
      </c>
      <c r="O390" s="102">
        <v>0</v>
      </c>
      <c r="P390" s="105">
        <v>2.6070860097770006E-6</v>
      </c>
      <c r="Q390" s="104">
        <v>0</v>
      </c>
      <c r="R390" s="106">
        <v>0</v>
      </c>
      <c r="S390" t="str">
        <f t="shared" ref="S390:S423" si="19">IF(ROUND(P390,5)&lt;0.00001,"N/A",IF(ROUND(P390,5)&lt;=ROUND(R390,5),"YES","NO"))</f>
        <v>N/A</v>
      </c>
      <c r="T390" t="str">
        <f>VLOOKUP(Table8[[#This Row],[Census Tract]],'UI EnergyBurden'!$A$2:$B$184,2,FALSE)</f>
        <v>No</v>
      </c>
      <c r="U390">
        <f>VLOOKUP(Table8[[#This Row],[Census Tract]],'Population and Diversity Data'!$B$2:$K$823,10,FALSE)</f>
        <v>1</v>
      </c>
    </row>
    <row r="391" spans="1:21" ht="15.75" thickBot="1" x14ac:dyDescent="0.3">
      <c r="A391" s="240">
        <v>9009190302</v>
      </c>
      <c r="B391" s="238" t="s">
        <v>3026</v>
      </c>
      <c r="C391" s="239" t="s">
        <v>944</v>
      </c>
      <c r="D391" s="94">
        <v>283.57240000000002</v>
      </c>
      <c r="E391" s="95">
        <v>9.744550874005671E-6</v>
      </c>
      <c r="F391" s="96">
        <v>0</v>
      </c>
      <c r="G391" s="95">
        <v>0</v>
      </c>
      <c r="H391" s="95" t="s">
        <v>2982</v>
      </c>
      <c r="I391" s="95" t="str">
        <f t="shared" si="17"/>
        <v>NO</v>
      </c>
      <c r="J391" s="102">
        <v>283.57240000000002</v>
      </c>
      <c r="K391" s="103">
        <v>9.744550874005671E-6</v>
      </c>
      <c r="L391" s="104">
        <v>0</v>
      </c>
      <c r="M391" s="103">
        <v>0</v>
      </c>
      <c r="N391" s="103" t="str">
        <f t="shared" si="18"/>
        <v>NO</v>
      </c>
      <c r="O391" s="102">
        <v>0</v>
      </c>
      <c r="P391" s="105">
        <v>9.744550874005671E-6</v>
      </c>
      <c r="Q391" s="104">
        <v>0</v>
      </c>
      <c r="R391" s="106">
        <v>0</v>
      </c>
      <c r="S391" t="str">
        <f t="shared" si="19"/>
        <v>NO</v>
      </c>
      <c r="T391" t="str">
        <f>VLOOKUP(Table8[[#This Row],[Census Tract]],'UI EnergyBurden'!$A$2:$B$184,2,FALSE)</f>
        <v>No</v>
      </c>
      <c r="U391">
        <f>VLOOKUP(Table8[[#This Row],[Census Tract]],'Population and Diversity Data'!$B$2:$K$823,10,FALSE)</f>
        <v>2</v>
      </c>
    </row>
    <row r="392" spans="1:21" ht="15.75" thickBot="1" x14ac:dyDescent="0.3">
      <c r="A392" s="240">
        <v>9009361401</v>
      </c>
      <c r="B392" s="238" t="s">
        <v>3015</v>
      </c>
      <c r="C392" s="239" t="s">
        <v>944</v>
      </c>
      <c r="D392" s="94">
        <v>0</v>
      </c>
      <c r="E392" s="95">
        <v>0</v>
      </c>
      <c r="F392" s="96">
        <v>10001.75</v>
      </c>
      <c r="G392" s="95">
        <v>5.9530725323172769E-4</v>
      </c>
      <c r="H392" s="95" t="s">
        <v>2993</v>
      </c>
      <c r="I392" s="95" t="str">
        <f t="shared" ref="I392:I423" si="20">IF(ROUND(E392,5)&lt;0.00001,"N/A",IF(ROUND(E392,5)&lt;=ROUND(G392,5),"YES","NO"))</f>
        <v>N/A</v>
      </c>
      <c r="J392" s="102">
        <v>0</v>
      </c>
      <c r="K392" s="103">
        <v>0</v>
      </c>
      <c r="L392" s="104">
        <v>0</v>
      </c>
      <c r="M392" s="103">
        <v>5.9530725323172769E-4</v>
      </c>
      <c r="N392" s="103" t="str">
        <f t="shared" si="18"/>
        <v>N/A</v>
      </c>
      <c r="O392" s="102">
        <v>0</v>
      </c>
      <c r="P392" s="105">
        <v>0</v>
      </c>
      <c r="Q392" s="104">
        <v>10001.75</v>
      </c>
      <c r="R392" s="106">
        <v>5.9530725323172769E-4</v>
      </c>
      <c r="S392" t="str">
        <f t="shared" si="19"/>
        <v>N/A</v>
      </c>
      <c r="T392" t="str">
        <f>VLOOKUP(Table8[[#This Row],[Census Tract]],'UI EnergyBurden'!$A$2:$B$184,2,FALSE)</f>
        <v>No</v>
      </c>
      <c r="U392">
        <f>VLOOKUP(Table8[[#This Row],[Census Tract]],'Population and Diversity Data'!$B$2:$K$823,10,FALSE)</f>
        <v>5</v>
      </c>
    </row>
    <row r="393" spans="1:21" ht="15.75" thickBot="1" x14ac:dyDescent="0.3">
      <c r="A393" s="240">
        <v>9009361401</v>
      </c>
      <c r="B393" s="238" t="s">
        <v>943</v>
      </c>
      <c r="C393" s="239" t="s">
        <v>936</v>
      </c>
      <c r="D393" s="94">
        <v>110617.02419999999</v>
      </c>
      <c r="E393" s="95">
        <v>3.8011922875710626E-3</v>
      </c>
      <c r="F393" s="96">
        <v>0</v>
      </c>
      <c r="G393" s="95">
        <v>0</v>
      </c>
      <c r="H393" s="95" t="s">
        <v>2982</v>
      </c>
      <c r="I393" s="95" t="str">
        <f t="shared" si="20"/>
        <v>NO</v>
      </c>
      <c r="J393" s="102">
        <v>22608.335299999999</v>
      </c>
      <c r="K393" s="103">
        <v>3.8011922875710626E-3</v>
      </c>
      <c r="L393" s="104">
        <v>0</v>
      </c>
      <c r="M393" s="103">
        <v>0</v>
      </c>
      <c r="N393" s="103" t="str">
        <f t="shared" si="18"/>
        <v>NO</v>
      </c>
      <c r="O393" s="102">
        <v>88008.688899999994</v>
      </c>
      <c r="P393" s="105">
        <v>3.8011922875710626E-3</v>
      </c>
      <c r="Q393" s="104">
        <v>0</v>
      </c>
      <c r="R393" s="106">
        <v>0</v>
      </c>
      <c r="S393" t="str">
        <f t="shared" si="19"/>
        <v>NO</v>
      </c>
      <c r="T393" t="str">
        <f>VLOOKUP(Table8[[#This Row],[Census Tract]],'UI EnergyBurden'!$A$2:$B$184,2,FALSE)</f>
        <v>No</v>
      </c>
      <c r="U393">
        <f>VLOOKUP(Table8[[#This Row],[Census Tract]],'Population and Diversity Data'!$B$2:$K$823,10,FALSE)</f>
        <v>5</v>
      </c>
    </row>
    <row r="394" spans="1:21" ht="15.75" thickBot="1" x14ac:dyDescent="0.3">
      <c r="A394" s="240">
        <v>9009361402</v>
      </c>
      <c r="B394" s="238" t="s">
        <v>3015</v>
      </c>
      <c r="C394" s="239" t="s">
        <v>944</v>
      </c>
      <c r="D394" s="94">
        <v>0</v>
      </c>
      <c r="E394" s="95">
        <v>0</v>
      </c>
      <c r="F394" s="96">
        <v>5108.62</v>
      </c>
      <c r="G394" s="95">
        <v>3.0406664233805772E-4</v>
      </c>
      <c r="H394" s="95" t="s">
        <v>2993</v>
      </c>
      <c r="I394" s="95" t="str">
        <f t="shared" si="20"/>
        <v>N/A</v>
      </c>
      <c r="J394" s="102">
        <v>0</v>
      </c>
      <c r="K394" s="103">
        <v>0</v>
      </c>
      <c r="L394" s="104">
        <v>2918.62</v>
      </c>
      <c r="M394" s="103">
        <v>3.0406664233805772E-4</v>
      </c>
      <c r="N394" s="103" t="str">
        <f t="shared" si="18"/>
        <v>N/A</v>
      </c>
      <c r="O394" s="102">
        <v>0</v>
      </c>
      <c r="P394" s="105">
        <v>0</v>
      </c>
      <c r="Q394" s="104">
        <v>2190</v>
      </c>
      <c r="R394" s="106">
        <v>3.0406664233805772E-4</v>
      </c>
      <c r="S394" t="str">
        <f t="shared" si="19"/>
        <v>N/A</v>
      </c>
      <c r="T394" t="str">
        <f>VLOOKUP(Table8[[#This Row],[Census Tract]],'UI EnergyBurden'!$A$2:$B$184,2,FALSE)</f>
        <v>No</v>
      </c>
      <c r="U394">
        <f>VLOOKUP(Table8[[#This Row],[Census Tract]],'Population and Diversity Data'!$B$2:$K$823,10,FALSE)</f>
        <v>5</v>
      </c>
    </row>
    <row r="395" spans="1:21" ht="15.75" thickBot="1" x14ac:dyDescent="0.3">
      <c r="A395" s="240">
        <v>9009361402</v>
      </c>
      <c r="B395" s="238" t="s">
        <v>943</v>
      </c>
      <c r="C395" s="239" t="s">
        <v>936</v>
      </c>
      <c r="D395" s="94">
        <v>40495.7889</v>
      </c>
      <c r="E395" s="95">
        <v>1.3915785708307443E-3</v>
      </c>
      <c r="F395" s="96">
        <v>0</v>
      </c>
      <c r="G395" s="95">
        <v>0</v>
      </c>
      <c r="H395" s="95" t="s">
        <v>2982</v>
      </c>
      <c r="I395" s="95" t="str">
        <f t="shared" si="20"/>
        <v>NO</v>
      </c>
      <c r="J395" s="102">
        <v>4781.3608999999997</v>
      </c>
      <c r="K395" s="103">
        <v>1.3915785708307443E-3</v>
      </c>
      <c r="L395" s="104">
        <v>0</v>
      </c>
      <c r="M395" s="103">
        <v>0</v>
      </c>
      <c r="N395" s="103" t="str">
        <f t="shared" si="18"/>
        <v>NO</v>
      </c>
      <c r="O395" s="102">
        <v>35714.428</v>
      </c>
      <c r="P395" s="105">
        <v>1.3915785708307443E-3</v>
      </c>
      <c r="Q395" s="104">
        <v>0</v>
      </c>
      <c r="R395" s="106">
        <v>0</v>
      </c>
      <c r="S395" t="str">
        <f t="shared" si="19"/>
        <v>NO</v>
      </c>
      <c r="T395" t="str">
        <f>VLOOKUP(Table8[[#This Row],[Census Tract]],'UI EnergyBurden'!$A$2:$B$184,2,FALSE)</f>
        <v>No</v>
      </c>
      <c r="U395">
        <f>VLOOKUP(Table8[[#This Row],[Census Tract]],'Population and Diversity Data'!$B$2:$K$823,10,FALSE)</f>
        <v>5</v>
      </c>
    </row>
    <row r="396" spans="1:21" ht="15.75" thickBot="1" x14ac:dyDescent="0.3">
      <c r="A396" s="237" t="s">
        <v>3027</v>
      </c>
      <c r="B396" s="238" t="s">
        <v>3024</v>
      </c>
      <c r="C396" s="239" t="s">
        <v>944</v>
      </c>
      <c r="D396" s="94">
        <v>192.12350000000001</v>
      </c>
      <c r="E396" s="95">
        <v>6.6020431460961248E-6</v>
      </c>
      <c r="F396" s="96">
        <v>0</v>
      </c>
      <c r="G396" s="95">
        <v>0</v>
      </c>
      <c r="H396" s="95" t="s">
        <v>2982</v>
      </c>
      <c r="I396" s="95" t="str">
        <f t="shared" si="20"/>
        <v>NO</v>
      </c>
      <c r="J396" s="102">
        <v>192.12350000000001</v>
      </c>
      <c r="K396" s="103">
        <v>6.6020431460961248E-6</v>
      </c>
      <c r="L396" s="104">
        <v>0</v>
      </c>
      <c r="M396" s="103">
        <v>0</v>
      </c>
      <c r="N396" s="103" t="str">
        <f t="shared" si="18"/>
        <v>NO</v>
      </c>
      <c r="O396" s="102">
        <v>0</v>
      </c>
      <c r="P396" s="105">
        <v>6.6020431460961248E-6</v>
      </c>
      <c r="Q396" s="104">
        <v>0</v>
      </c>
      <c r="R396" s="106">
        <v>0</v>
      </c>
      <c r="S396" t="str">
        <f t="shared" si="19"/>
        <v>NO</v>
      </c>
      <c r="T396" t="e">
        <f>VLOOKUP(Table8[[#This Row],[Census Tract]],'UI EnergyBurden'!$A$2:$B$184,2,FALSE)</f>
        <v>#N/A</v>
      </c>
      <c r="U396" t="e">
        <f>VLOOKUP(Table8[[#This Row],[Census Tract]],'Population and Diversity Data'!$B$2:$K$823,10,FALSE)</f>
        <v>#N/A</v>
      </c>
    </row>
    <row r="397" spans="1:21" ht="15.75" thickBot="1" x14ac:dyDescent="0.3">
      <c r="A397" s="237" t="s">
        <v>3027</v>
      </c>
      <c r="B397" s="238" t="s">
        <v>950</v>
      </c>
      <c r="C397" s="239" t="s">
        <v>944</v>
      </c>
      <c r="D397" s="94">
        <v>149377.58500000011</v>
      </c>
      <c r="E397" s="95">
        <v>5.1331422820719069E-3</v>
      </c>
      <c r="F397" s="96">
        <v>43604.06</v>
      </c>
      <c r="G397" s="95">
        <v>2.595327136586242E-3</v>
      </c>
      <c r="H397" s="95" t="s">
        <v>2986</v>
      </c>
      <c r="I397" s="95" t="str">
        <f t="shared" si="20"/>
        <v>NO</v>
      </c>
      <c r="J397" s="102">
        <v>88395.970500000098</v>
      </c>
      <c r="K397" s="103">
        <v>5.1331422820719069E-3</v>
      </c>
      <c r="L397" s="104">
        <v>17211.07</v>
      </c>
      <c r="M397" s="103">
        <v>2.595327136586242E-3</v>
      </c>
      <c r="N397" s="103" t="str">
        <f t="shared" si="18"/>
        <v>NO</v>
      </c>
      <c r="O397" s="102">
        <v>60981.614500000003</v>
      </c>
      <c r="P397" s="105">
        <v>5.1331422820719069E-3</v>
      </c>
      <c r="Q397" s="104">
        <v>26392.99</v>
      </c>
      <c r="R397" s="106">
        <v>2.595327136586242E-3</v>
      </c>
      <c r="S397" t="str">
        <f t="shared" si="19"/>
        <v>NO</v>
      </c>
      <c r="T397" t="e">
        <f>VLOOKUP(Table8[[#This Row],[Census Tract]],'UI EnergyBurden'!$A$2:$B$184,2,FALSE)</f>
        <v>#N/A</v>
      </c>
      <c r="U397" t="e">
        <f>VLOOKUP(Table8[[#This Row],[Census Tract]],'Population and Diversity Data'!$B$2:$K$823,10,FALSE)</f>
        <v>#N/A</v>
      </c>
    </row>
    <row r="398" spans="1:21" ht="15.75" thickBot="1" x14ac:dyDescent="0.3">
      <c r="A398" s="237" t="s">
        <v>3028</v>
      </c>
      <c r="B398" s="238" t="s">
        <v>3007</v>
      </c>
      <c r="C398" s="239" t="s">
        <v>944</v>
      </c>
      <c r="D398" s="94">
        <v>0</v>
      </c>
      <c r="E398" s="95">
        <v>0</v>
      </c>
      <c r="F398" s="96">
        <v>62913.355929077901</v>
      </c>
      <c r="G398" s="95">
        <v>3.7446224020525804E-3</v>
      </c>
      <c r="H398" s="95" t="s">
        <v>2993</v>
      </c>
      <c r="I398" s="95" t="str">
        <f t="shared" si="20"/>
        <v>N/A</v>
      </c>
      <c r="J398" s="102">
        <v>0</v>
      </c>
      <c r="K398" s="103">
        <v>0</v>
      </c>
      <c r="L398" s="104">
        <v>62913.355929077901</v>
      </c>
      <c r="M398" s="103">
        <v>3.7446224020525804E-3</v>
      </c>
      <c r="N398" s="103" t="str">
        <f t="shared" si="18"/>
        <v>N/A</v>
      </c>
      <c r="O398" s="102">
        <v>0</v>
      </c>
      <c r="P398" s="105">
        <v>0</v>
      </c>
      <c r="Q398" s="104">
        <v>0</v>
      </c>
      <c r="R398" s="106">
        <v>3.7446224020525804E-3</v>
      </c>
      <c r="S398" t="str">
        <f t="shared" si="19"/>
        <v>N/A</v>
      </c>
      <c r="T398" t="e">
        <f>VLOOKUP(Table8[[#This Row],[Census Tract]],'UI EnergyBurden'!$A$2:$B$184,2,FALSE)</f>
        <v>#N/A</v>
      </c>
      <c r="U398" t="e">
        <f>VLOOKUP(Table8[[#This Row],[Census Tract]],'Population and Diversity Data'!$B$2:$K$823,10,FALSE)</f>
        <v>#N/A</v>
      </c>
    </row>
    <row r="399" spans="1:21" ht="15.75" thickBot="1" x14ac:dyDescent="0.3">
      <c r="A399" s="92" t="s">
        <v>3028</v>
      </c>
      <c r="B399" s="200" t="s">
        <v>3005</v>
      </c>
      <c r="C399" s="93" t="s">
        <v>944</v>
      </c>
      <c r="D399" s="94">
        <v>0</v>
      </c>
      <c r="E399" s="95">
        <v>0</v>
      </c>
      <c r="F399" s="96">
        <v>999602.06950161594</v>
      </c>
      <c r="G399" s="95">
        <v>5.949662432271928E-2</v>
      </c>
      <c r="H399" s="95" t="s">
        <v>2993</v>
      </c>
      <c r="I399" s="95" t="str">
        <f t="shared" si="20"/>
        <v>N/A</v>
      </c>
      <c r="J399" s="97">
        <v>0</v>
      </c>
      <c r="K399" s="98">
        <v>0</v>
      </c>
      <c r="L399" s="99">
        <v>913038.08950161596</v>
      </c>
      <c r="M399" s="98">
        <v>5.949662432271928E-2</v>
      </c>
      <c r="N399" s="98" t="str">
        <f t="shared" si="18"/>
        <v>N/A</v>
      </c>
      <c r="O399" s="97">
        <v>0</v>
      </c>
      <c r="P399" s="100">
        <v>0</v>
      </c>
      <c r="Q399" s="99">
        <v>86563.98</v>
      </c>
      <c r="R399" s="101">
        <v>5.949662432271928E-2</v>
      </c>
      <c r="S399" t="str">
        <f t="shared" si="19"/>
        <v>N/A</v>
      </c>
      <c r="T399" t="e">
        <f>VLOOKUP(Table8[[#This Row],[Census Tract]],'UI EnergyBurden'!$A$2:$B$184,2,FALSE)</f>
        <v>#N/A</v>
      </c>
      <c r="U399" t="e">
        <f>VLOOKUP(Table8[[#This Row],[Census Tract]],'Population and Diversity Data'!$B$2:$K$823,10,FALSE)</f>
        <v>#N/A</v>
      </c>
    </row>
    <row r="400" spans="1:21" ht="15.75" thickBot="1" x14ac:dyDescent="0.3">
      <c r="A400" s="92" t="s">
        <v>3028</v>
      </c>
      <c r="B400" s="200" t="s">
        <v>3013</v>
      </c>
      <c r="C400" s="93" t="s">
        <v>944</v>
      </c>
      <c r="D400" s="94">
        <v>0</v>
      </c>
      <c r="E400" s="95">
        <v>0</v>
      </c>
      <c r="F400" s="96">
        <v>103594.88494640309</v>
      </c>
      <c r="G400" s="95">
        <v>6.1659995907016353E-3</v>
      </c>
      <c r="H400" s="95" t="s">
        <v>2993</v>
      </c>
      <c r="I400" s="95" t="str">
        <f t="shared" si="20"/>
        <v>N/A</v>
      </c>
      <c r="J400" s="97">
        <v>0</v>
      </c>
      <c r="K400" s="98">
        <v>0</v>
      </c>
      <c r="L400" s="99">
        <v>41045.884946403101</v>
      </c>
      <c r="M400" s="98">
        <v>6.1659995907016353E-3</v>
      </c>
      <c r="N400" s="98" t="str">
        <f t="shared" si="18"/>
        <v>N/A</v>
      </c>
      <c r="O400" s="97">
        <v>0</v>
      </c>
      <c r="P400" s="100">
        <v>0</v>
      </c>
      <c r="Q400" s="99">
        <v>62549</v>
      </c>
      <c r="R400" s="101">
        <v>6.1659995907016353E-3</v>
      </c>
      <c r="S400" t="str">
        <f t="shared" si="19"/>
        <v>N/A</v>
      </c>
      <c r="T400" t="e">
        <f>VLOOKUP(Table8[[#This Row],[Census Tract]],'UI EnergyBurden'!$A$2:$B$184,2,FALSE)</f>
        <v>#N/A</v>
      </c>
      <c r="U400" t="e">
        <f>VLOOKUP(Table8[[#This Row],[Census Tract]],'Population and Diversity Data'!$B$2:$K$823,10,FALSE)</f>
        <v>#N/A</v>
      </c>
    </row>
    <row r="401" spans="1:21" ht="15.75" thickBot="1" x14ac:dyDescent="0.3">
      <c r="A401" s="92" t="s">
        <v>3028</v>
      </c>
      <c r="B401" s="200" t="s">
        <v>3016</v>
      </c>
      <c r="C401" s="93" t="s">
        <v>944</v>
      </c>
      <c r="D401" s="94">
        <v>0</v>
      </c>
      <c r="E401" s="95">
        <v>0</v>
      </c>
      <c r="F401" s="96">
        <v>144323.13116241901</v>
      </c>
      <c r="G401" s="95">
        <v>8.5901574014649457E-3</v>
      </c>
      <c r="H401" s="95" t="s">
        <v>2993</v>
      </c>
      <c r="I401" s="95" t="str">
        <f t="shared" si="20"/>
        <v>N/A</v>
      </c>
      <c r="J401" s="97">
        <v>0</v>
      </c>
      <c r="K401" s="98">
        <v>0</v>
      </c>
      <c r="L401" s="99">
        <v>142818.13116241901</v>
      </c>
      <c r="M401" s="98">
        <v>8.5901574014649457E-3</v>
      </c>
      <c r="N401" s="98" t="str">
        <f t="shared" si="18"/>
        <v>N/A</v>
      </c>
      <c r="O401" s="97">
        <v>0</v>
      </c>
      <c r="P401" s="100">
        <v>0</v>
      </c>
      <c r="Q401" s="99">
        <v>1505</v>
      </c>
      <c r="R401" s="101">
        <v>8.5901574014649457E-3</v>
      </c>
      <c r="S401" t="str">
        <f t="shared" si="19"/>
        <v>N/A</v>
      </c>
      <c r="T401" t="e">
        <f>VLOOKUP(Table8[[#This Row],[Census Tract]],'UI EnergyBurden'!$A$2:$B$184,2,FALSE)</f>
        <v>#N/A</v>
      </c>
      <c r="U401" t="e">
        <f>VLOOKUP(Table8[[#This Row],[Census Tract]],'Population and Diversity Data'!$B$2:$K$823,10,FALSE)</f>
        <v>#N/A</v>
      </c>
    </row>
    <row r="402" spans="1:21" ht="15.75" thickBot="1" x14ac:dyDescent="0.3">
      <c r="A402" s="92" t="s">
        <v>3028</v>
      </c>
      <c r="B402" s="200" t="s">
        <v>3029</v>
      </c>
      <c r="C402" s="93" t="s">
        <v>944</v>
      </c>
      <c r="D402" s="94">
        <v>0</v>
      </c>
      <c r="E402" s="95">
        <v>0</v>
      </c>
      <c r="F402" s="96">
        <v>21832.469643990698</v>
      </c>
      <c r="G402" s="95">
        <v>1.2994753453174873E-3</v>
      </c>
      <c r="H402" s="95" t="s">
        <v>2993</v>
      </c>
      <c r="I402" s="95" t="str">
        <f t="shared" si="20"/>
        <v>N/A</v>
      </c>
      <c r="J402" s="97">
        <v>0</v>
      </c>
      <c r="K402" s="98">
        <v>0</v>
      </c>
      <c r="L402" s="99">
        <v>21832.469643990698</v>
      </c>
      <c r="M402" s="98">
        <v>1.2994753453174873E-3</v>
      </c>
      <c r="N402" s="98" t="str">
        <f t="shared" si="18"/>
        <v>N/A</v>
      </c>
      <c r="O402" s="97">
        <v>0</v>
      </c>
      <c r="P402" s="100">
        <v>0</v>
      </c>
      <c r="Q402" s="99">
        <v>0</v>
      </c>
      <c r="R402" s="101">
        <v>1.2994753453174873E-3</v>
      </c>
      <c r="S402" t="str">
        <f t="shared" si="19"/>
        <v>N/A</v>
      </c>
      <c r="T402" t="e">
        <f>VLOOKUP(Table8[[#This Row],[Census Tract]],'UI EnergyBurden'!$A$2:$B$184,2,FALSE)</f>
        <v>#N/A</v>
      </c>
      <c r="U402" t="e">
        <f>VLOOKUP(Table8[[#This Row],[Census Tract]],'Population and Diversity Data'!$B$2:$K$823,10,FALSE)</f>
        <v>#N/A</v>
      </c>
    </row>
    <row r="403" spans="1:21" ht="15.75" thickBot="1" x14ac:dyDescent="0.3">
      <c r="A403" s="92" t="s">
        <v>3028</v>
      </c>
      <c r="B403" s="200" t="s">
        <v>2985</v>
      </c>
      <c r="C403" s="93" t="s">
        <v>944</v>
      </c>
      <c r="D403" s="94">
        <v>4670.2506000000003</v>
      </c>
      <c r="E403" s="95">
        <v>1.6048633282384151E-4</v>
      </c>
      <c r="F403" s="96">
        <v>297923.43658669299</v>
      </c>
      <c r="G403" s="95">
        <v>1.7732495084138378E-2</v>
      </c>
      <c r="H403" s="95" t="s">
        <v>2993</v>
      </c>
      <c r="I403" s="95" t="str">
        <f t="shared" si="20"/>
        <v>YES</v>
      </c>
      <c r="J403" s="97">
        <v>0</v>
      </c>
      <c r="K403" s="98">
        <v>1.6048633282384151E-4</v>
      </c>
      <c r="L403" s="99">
        <v>253603.43658669299</v>
      </c>
      <c r="M403" s="98">
        <v>1.7732495084138378E-2</v>
      </c>
      <c r="N403" s="98" t="str">
        <f t="shared" si="18"/>
        <v>YES</v>
      </c>
      <c r="O403" s="97">
        <v>4670.2506000000003</v>
      </c>
      <c r="P403" s="100">
        <v>1.6048633282384151E-4</v>
      </c>
      <c r="Q403" s="99">
        <v>44320</v>
      </c>
      <c r="R403" s="101">
        <v>1.7732495084138378E-2</v>
      </c>
      <c r="S403" t="str">
        <f t="shared" si="19"/>
        <v>YES</v>
      </c>
      <c r="T403" t="e">
        <f>VLOOKUP(Table8[[#This Row],[Census Tract]],'UI EnergyBurden'!$A$2:$B$184,2,FALSE)</f>
        <v>#N/A</v>
      </c>
      <c r="U403" t="e">
        <f>VLOOKUP(Table8[[#This Row],[Census Tract]],'Population and Diversity Data'!$B$2:$K$823,10,FALSE)</f>
        <v>#N/A</v>
      </c>
    </row>
    <row r="404" spans="1:21" ht="15.75" thickBot="1" x14ac:dyDescent="0.3">
      <c r="A404" s="92" t="s">
        <v>3028</v>
      </c>
      <c r="B404" s="200" t="s">
        <v>3017</v>
      </c>
      <c r="C404" s="93" t="s">
        <v>944</v>
      </c>
      <c r="D404" s="94">
        <v>0</v>
      </c>
      <c r="E404" s="95">
        <v>0</v>
      </c>
      <c r="F404" s="96">
        <v>215352.97852310099</v>
      </c>
      <c r="G404" s="95">
        <v>1.2817875883706201E-2</v>
      </c>
      <c r="H404" s="95" t="s">
        <v>2993</v>
      </c>
      <c r="I404" s="95" t="str">
        <f t="shared" si="20"/>
        <v>N/A</v>
      </c>
      <c r="J404" s="97">
        <v>0</v>
      </c>
      <c r="K404" s="98">
        <v>0</v>
      </c>
      <c r="L404" s="99">
        <v>207187.97852310099</v>
      </c>
      <c r="M404" s="98">
        <v>1.2817875883706201E-2</v>
      </c>
      <c r="N404" s="98" t="str">
        <f t="shared" si="18"/>
        <v>N/A</v>
      </c>
      <c r="O404" s="97">
        <v>0</v>
      </c>
      <c r="P404" s="100">
        <v>0</v>
      </c>
      <c r="Q404" s="99">
        <v>8165</v>
      </c>
      <c r="R404" s="101">
        <v>1.2817875883706201E-2</v>
      </c>
      <c r="S404" t="str">
        <f t="shared" si="19"/>
        <v>N/A</v>
      </c>
      <c r="T404" t="e">
        <f>VLOOKUP(Table8[[#This Row],[Census Tract]],'UI EnergyBurden'!$A$2:$B$184,2,FALSE)</f>
        <v>#N/A</v>
      </c>
      <c r="U404" t="e">
        <f>VLOOKUP(Table8[[#This Row],[Census Tract]],'Population and Diversity Data'!$B$2:$K$823,10,FALSE)</f>
        <v>#N/A</v>
      </c>
    </row>
    <row r="405" spans="1:21" ht="15.75" thickBot="1" x14ac:dyDescent="0.3">
      <c r="A405" s="92" t="s">
        <v>3028</v>
      </c>
      <c r="B405" s="200" t="s">
        <v>3018</v>
      </c>
      <c r="C405" s="93" t="s">
        <v>944</v>
      </c>
      <c r="D405" s="94">
        <v>0</v>
      </c>
      <c r="E405" s="95">
        <v>0</v>
      </c>
      <c r="F405" s="96">
        <v>366220.00002887001</v>
      </c>
      <c r="G405" s="95">
        <v>2.1797527662230094E-2</v>
      </c>
      <c r="H405" s="95" t="s">
        <v>2993</v>
      </c>
      <c r="I405" s="95" t="str">
        <f t="shared" si="20"/>
        <v>N/A</v>
      </c>
      <c r="J405" s="97">
        <v>0</v>
      </c>
      <c r="K405" s="98">
        <v>0</v>
      </c>
      <c r="L405" s="99">
        <v>289565.00002887001</v>
      </c>
      <c r="M405" s="98">
        <v>2.1797527662230094E-2</v>
      </c>
      <c r="N405" s="98" t="str">
        <f t="shared" si="18"/>
        <v>N/A</v>
      </c>
      <c r="O405" s="97">
        <v>0</v>
      </c>
      <c r="P405" s="100">
        <v>0</v>
      </c>
      <c r="Q405" s="99">
        <v>76655</v>
      </c>
      <c r="R405" s="101">
        <v>2.1797527662230094E-2</v>
      </c>
      <c r="S405" t="str">
        <f t="shared" si="19"/>
        <v>N/A</v>
      </c>
      <c r="T405" t="e">
        <f>VLOOKUP(Table8[[#This Row],[Census Tract]],'UI EnergyBurden'!$A$2:$B$184,2,FALSE)</f>
        <v>#N/A</v>
      </c>
      <c r="U405" t="e">
        <f>VLOOKUP(Table8[[#This Row],[Census Tract]],'Population and Diversity Data'!$B$2:$K$823,10,FALSE)</f>
        <v>#N/A</v>
      </c>
    </row>
    <row r="406" spans="1:21" ht="15.75" thickBot="1" x14ac:dyDescent="0.3">
      <c r="A406" s="92" t="s">
        <v>3028</v>
      </c>
      <c r="B406" s="200" t="s">
        <v>3015</v>
      </c>
      <c r="C406" s="93" t="s">
        <v>944</v>
      </c>
      <c r="D406" s="94">
        <v>0</v>
      </c>
      <c r="E406" s="95">
        <v>0</v>
      </c>
      <c r="F406" s="96">
        <v>763511.09776377899</v>
      </c>
      <c r="G406" s="95">
        <v>4.5444416669252516E-2</v>
      </c>
      <c r="H406" s="95" t="s">
        <v>2993</v>
      </c>
      <c r="I406" s="95" t="str">
        <f t="shared" si="20"/>
        <v>N/A</v>
      </c>
      <c r="J406" s="97">
        <v>0</v>
      </c>
      <c r="K406" s="98">
        <v>0</v>
      </c>
      <c r="L406" s="99">
        <v>540039.09776377899</v>
      </c>
      <c r="M406" s="98">
        <v>4.5444416669252516E-2</v>
      </c>
      <c r="N406" s="98" t="str">
        <f t="shared" si="18"/>
        <v>N/A</v>
      </c>
      <c r="O406" s="97">
        <v>0</v>
      </c>
      <c r="P406" s="100">
        <v>0</v>
      </c>
      <c r="Q406" s="99">
        <v>223472</v>
      </c>
      <c r="R406" s="101">
        <v>4.5444416669252516E-2</v>
      </c>
      <c r="S406" t="str">
        <f t="shared" si="19"/>
        <v>N/A</v>
      </c>
      <c r="T406" t="e">
        <f>VLOOKUP(Table8[[#This Row],[Census Tract]],'UI EnergyBurden'!$A$2:$B$184,2,FALSE)</f>
        <v>#N/A</v>
      </c>
      <c r="U406" t="e">
        <f>VLOOKUP(Table8[[#This Row],[Census Tract]],'Population and Diversity Data'!$B$2:$K$823,10,FALSE)</f>
        <v>#N/A</v>
      </c>
    </row>
    <row r="407" spans="1:21" ht="15.75" thickBot="1" x14ac:dyDescent="0.3">
      <c r="A407" s="92" t="s">
        <v>3028</v>
      </c>
      <c r="B407" s="200" t="s">
        <v>2968</v>
      </c>
      <c r="C407" s="93" t="s">
        <v>944</v>
      </c>
      <c r="D407" s="94">
        <v>0</v>
      </c>
      <c r="E407" s="95">
        <v>0</v>
      </c>
      <c r="F407" s="96">
        <v>103712.27223399721</v>
      </c>
      <c r="G407" s="95">
        <v>6.172986518363492E-3</v>
      </c>
      <c r="H407" s="95" t="s">
        <v>2993</v>
      </c>
      <c r="I407" s="95" t="str">
        <f t="shared" si="20"/>
        <v>N/A</v>
      </c>
      <c r="J407" s="97">
        <v>0</v>
      </c>
      <c r="K407" s="98">
        <v>0</v>
      </c>
      <c r="L407" s="99">
        <v>38853.272233997202</v>
      </c>
      <c r="M407" s="98">
        <v>6.172986518363492E-3</v>
      </c>
      <c r="N407" s="98" t="str">
        <f t="shared" si="18"/>
        <v>N/A</v>
      </c>
      <c r="O407" s="97">
        <v>0</v>
      </c>
      <c r="P407" s="100">
        <v>0</v>
      </c>
      <c r="Q407" s="99">
        <v>64859</v>
      </c>
      <c r="R407" s="101">
        <v>6.172986518363492E-3</v>
      </c>
      <c r="S407" t="str">
        <f t="shared" si="19"/>
        <v>N/A</v>
      </c>
      <c r="T407" t="e">
        <f>VLOOKUP(Table8[[#This Row],[Census Tract]],'UI EnergyBurden'!$A$2:$B$184,2,FALSE)</f>
        <v>#N/A</v>
      </c>
      <c r="U407" t="e">
        <f>VLOOKUP(Table8[[#This Row],[Census Tract]],'Population and Diversity Data'!$B$2:$K$823,10,FALSE)</f>
        <v>#N/A</v>
      </c>
    </row>
    <row r="408" spans="1:21" ht="15.75" thickBot="1" x14ac:dyDescent="0.3">
      <c r="A408" s="92" t="s">
        <v>3028</v>
      </c>
      <c r="B408" s="200" t="s">
        <v>3019</v>
      </c>
      <c r="C408" s="93" t="s">
        <v>944</v>
      </c>
      <c r="D408" s="94">
        <v>0</v>
      </c>
      <c r="E408" s="95">
        <v>0</v>
      </c>
      <c r="F408" s="96">
        <v>120917.5186292905</v>
      </c>
      <c r="G408" s="95">
        <v>7.1970481048615684E-3</v>
      </c>
      <c r="H408" s="95" t="s">
        <v>2993</v>
      </c>
      <c r="I408" s="95" t="str">
        <f t="shared" si="20"/>
        <v>N/A</v>
      </c>
      <c r="J408" s="97">
        <v>0</v>
      </c>
      <c r="K408" s="98">
        <v>0</v>
      </c>
      <c r="L408" s="99">
        <v>92942.518629290498</v>
      </c>
      <c r="M408" s="98">
        <v>7.1970481048615684E-3</v>
      </c>
      <c r="N408" s="98" t="str">
        <f t="shared" si="18"/>
        <v>N/A</v>
      </c>
      <c r="O408" s="97">
        <v>0</v>
      </c>
      <c r="P408" s="100">
        <v>0</v>
      </c>
      <c r="Q408" s="99">
        <v>27975</v>
      </c>
      <c r="R408" s="101">
        <v>7.1970481048615684E-3</v>
      </c>
      <c r="S408" t="str">
        <f t="shared" si="19"/>
        <v>N/A</v>
      </c>
      <c r="T408" t="e">
        <f>VLOOKUP(Table8[[#This Row],[Census Tract]],'UI EnergyBurden'!$A$2:$B$184,2,FALSE)</f>
        <v>#N/A</v>
      </c>
      <c r="U408" t="e">
        <f>VLOOKUP(Table8[[#This Row],[Census Tract]],'Population and Diversity Data'!$B$2:$K$823,10,FALSE)</f>
        <v>#N/A</v>
      </c>
    </row>
    <row r="409" spans="1:21" ht="15.75" thickBot="1" x14ac:dyDescent="0.3">
      <c r="A409" s="92" t="s">
        <v>3028</v>
      </c>
      <c r="B409" s="200" t="s">
        <v>3020</v>
      </c>
      <c r="C409" s="93" t="s">
        <v>944</v>
      </c>
      <c r="D409" s="94">
        <v>0</v>
      </c>
      <c r="E409" s="95">
        <v>0</v>
      </c>
      <c r="F409" s="96">
        <v>215711.382322363</v>
      </c>
      <c r="G409" s="95">
        <v>1.283920818868148E-2</v>
      </c>
      <c r="H409" s="95" t="s">
        <v>2993</v>
      </c>
      <c r="I409" s="95" t="str">
        <f t="shared" si="20"/>
        <v>N/A</v>
      </c>
      <c r="J409" s="97">
        <v>0</v>
      </c>
      <c r="K409" s="98">
        <v>0</v>
      </c>
      <c r="L409" s="99">
        <v>212361.382322363</v>
      </c>
      <c r="M409" s="98">
        <v>1.283920818868148E-2</v>
      </c>
      <c r="N409" s="98" t="str">
        <f t="shared" si="18"/>
        <v>N/A</v>
      </c>
      <c r="O409" s="97">
        <v>0</v>
      </c>
      <c r="P409" s="100">
        <v>0</v>
      </c>
      <c r="Q409" s="99">
        <v>3350</v>
      </c>
      <c r="R409" s="101">
        <v>1.283920818868148E-2</v>
      </c>
      <c r="S409" t="str">
        <f t="shared" si="19"/>
        <v>N/A</v>
      </c>
      <c r="T409" t="e">
        <f>VLOOKUP(Table8[[#This Row],[Census Tract]],'UI EnergyBurden'!$A$2:$B$184,2,FALSE)</f>
        <v>#N/A</v>
      </c>
      <c r="U409" t="e">
        <f>VLOOKUP(Table8[[#This Row],[Census Tract]],'Population and Diversity Data'!$B$2:$K$823,10,FALSE)</f>
        <v>#N/A</v>
      </c>
    </row>
    <row r="410" spans="1:21" ht="15.75" thickBot="1" x14ac:dyDescent="0.3">
      <c r="A410" s="92" t="s">
        <v>3028</v>
      </c>
      <c r="B410" s="200" t="s">
        <v>3021</v>
      </c>
      <c r="C410" s="93" t="s">
        <v>944</v>
      </c>
      <c r="D410" s="94">
        <v>0</v>
      </c>
      <c r="E410" s="95">
        <v>0</v>
      </c>
      <c r="F410" s="96">
        <v>140645.628274285</v>
      </c>
      <c r="G410" s="95">
        <v>8.3712712922253824E-3</v>
      </c>
      <c r="H410" s="95" t="s">
        <v>2993</v>
      </c>
      <c r="I410" s="95" t="str">
        <f t="shared" si="20"/>
        <v>N/A</v>
      </c>
      <c r="J410" s="97">
        <v>0</v>
      </c>
      <c r="K410" s="98">
        <v>0</v>
      </c>
      <c r="L410" s="99">
        <v>140475.628274285</v>
      </c>
      <c r="M410" s="98">
        <v>8.3712712922253824E-3</v>
      </c>
      <c r="N410" s="98" t="str">
        <f t="shared" si="18"/>
        <v>N/A</v>
      </c>
      <c r="O410" s="97">
        <v>0</v>
      </c>
      <c r="P410" s="100">
        <v>0</v>
      </c>
      <c r="Q410" s="99">
        <v>170</v>
      </c>
      <c r="R410" s="101">
        <v>8.3712712922253824E-3</v>
      </c>
      <c r="S410" t="str">
        <f t="shared" si="19"/>
        <v>N/A</v>
      </c>
      <c r="T410" t="e">
        <f>VLOOKUP(Table8[[#This Row],[Census Tract]],'UI EnergyBurden'!$A$2:$B$184,2,FALSE)</f>
        <v>#N/A</v>
      </c>
      <c r="U410" t="e">
        <f>VLOOKUP(Table8[[#This Row],[Census Tract]],'Population and Diversity Data'!$B$2:$K$823,10,FALSE)</f>
        <v>#N/A</v>
      </c>
    </row>
    <row r="411" spans="1:21" ht="15.75" thickBot="1" x14ac:dyDescent="0.3">
      <c r="A411" s="92" t="s">
        <v>3028</v>
      </c>
      <c r="B411" s="200" t="s">
        <v>956</v>
      </c>
      <c r="C411" s="93" t="s">
        <v>944</v>
      </c>
      <c r="D411" s="94">
        <v>4389.6823000000004</v>
      </c>
      <c r="E411" s="95">
        <v>1.5084501345360914E-4</v>
      </c>
      <c r="F411" s="96">
        <v>206136.43335628501</v>
      </c>
      <c r="G411" s="95">
        <v>1.226930426498514E-2</v>
      </c>
      <c r="H411" s="95" t="s">
        <v>2993</v>
      </c>
      <c r="I411" s="95" t="str">
        <f t="shared" si="20"/>
        <v>YES</v>
      </c>
      <c r="J411" s="97">
        <v>0</v>
      </c>
      <c r="K411" s="98">
        <v>1.5084501345360914E-4</v>
      </c>
      <c r="L411" s="99">
        <v>189956.43335628501</v>
      </c>
      <c r="M411" s="98">
        <v>1.226930426498514E-2</v>
      </c>
      <c r="N411" s="98" t="str">
        <f t="shared" si="18"/>
        <v>YES</v>
      </c>
      <c r="O411" s="97">
        <v>4389.6823000000004</v>
      </c>
      <c r="P411" s="100">
        <v>1.5084501345360914E-4</v>
      </c>
      <c r="Q411" s="99">
        <v>16180</v>
      </c>
      <c r="R411" s="101">
        <v>1.226930426498514E-2</v>
      </c>
      <c r="S411" t="str">
        <f t="shared" si="19"/>
        <v>YES</v>
      </c>
      <c r="T411" t="e">
        <f>VLOOKUP(Table8[[#This Row],[Census Tract]],'UI EnergyBurden'!$A$2:$B$184,2,FALSE)</f>
        <v>#N/A</v>
      </c>
      <c r="U411" t="e">
        <f>VLOOKUP(Table8[[#This Row],[Census Tract]],'Population and Diversity Data'!$B$2:$K$823,10,FALSE)</f>
        <v>#N/A</v>
      </c>
    </row>
    <row r="412" spans="1:21" ht="15.75" thickBot="1" x14ac:dyDescent="0.3">
      <c r="A412" s="92" t="s">
        <v>3028</v>
      </c>
      <c r="B412" s="200" t="s">
        <v>3006</v>
      </c>
      <c r="C412" s="93" t="s">
        <v>944</v>
      </c>
      <c r="D412" s="94">
        <v>0</v>
      </c>
      <c r="E412" s="95">
        <v>0</v>
      </c>
      <c r="F412" s="96">
        <v>113161.117743087</v>
      </c>
      <c r="G412" s="95">
        <v>6.7353847252999977E-3</v>
      </c>
      <c r="H412" s="95" t="s">
        <v>2993</v>
      </c>
      <c r="I412" s="95" t="str">
        <f t="shared" si="20"/>
        <v>N/A</v>
      </c>
      <c r="J412" s="97">
        <v>0</v>
      </c>
      <c r="K412" s="98">
        <v>0</v>
      </c>
      <c r="L412" s="99">
        <v>113161.117743087</v>
      </c>
      <c r="M412" s="98">
        <v>6.7353847252999977E-3</v>
      </c>
      <c r="N412" s="98" t="str">
        <f t="shared" si="18"/>
        <v>N/A</v>
      </c>
      <c r="O412" s="97">
        <v>0</v>
      </c>
      <c r="P412" s="100">
        <v>0</v>
      </c>
      <c r="Q412" s="99">
        <v>0</v>
      </c>
      <c r="R412" s="101">
        <v>6.7353847252999977E-3</v>
      </c>
      <c r="S412" t="str">
        <f t="shared" si="19"/>
        <v>N/A</v>
      </c>
      <c r="T412" t="e">
        <f>VLOOKUP(Table8[[#This Row],[Census Tract]],'UI EnergyBurden'!$A$2:$B$184,2,FALSE)</f>
        <v>#N/A</v>
      </c>
      <c r="U412" t="e">
        <f>VLOOKUP(Table8[[#This Row],[Census Tract]],'Population and Diversity Data'!$B$2:$K$823,10,FALSE)</f>
        <v>#N/A</v>
      </c>
    </row>
    <row r="413" spans="1:21" ht="15.75" thickBot="1" x14ac:dyDescent="0.3">
      <c r="A413" s="92" t="s">
        <v>3028</v>
      </c>
      <c r="B413" s="200" t="s">
        <v>3023</v>
      </c>
      <c r="C413" s="93" t="s">
        <v>944</v>
      </c>
      <c r="D413" s="94">
        <v>0</v>
      </c>
      <c r="E413" s="95">
        <v>0</v>
      </c>
      <c r="F413" s="96">
        <v>197582.24219178699</v>
      </c>
      <c r="G413" s="95">
        <v>1.1760156161327638E-2</v>
      </c>
      <c r="H413" s="95" t="s">
        <v>2993</v>
      </c>
      <c r="I413" s="95" t="str">
        <f t="shared" si="20"/>
        <v>N/A</v>
      </c>
      <c r="J413" s="97">
        <v>0</v>
      </c>
      <c r="K413" s="98">
        <v>0</v>
      </c>
      <c r="L413" s="99">
        <v>196062.24219178699</v>
      </c>
      <c r="M413" s="98">
        <v>1.1760156161327638E-2</v>
      </c>
      <c r="N413" s="98" t="str">
        <f t="shared" si="18"/>
        <v>N/A</v>
      </c>
      <c r="O413" s="97">
        <v>0</v>
      </c>
      <c r="P413" s="100">
        <v>0</v>
      </c>
      <c r="Q413" s="99">
        <v>1520</v>
      </c>
      <c r="R413" s="101">
        <v>1.1760156161327638E-2</v>
      </c>
      <c r="S413" t="str">
        <f t="shared" si="19"/>
        <v>N/A</v>
      </c>
      <c r="T413" t="e">
        <f>VLOOKUP(Table8[[#This Row],[Census Tract]],'UI EnergyBurden'!$A$2:$B$184,2,FALSE)</f>
        <v>#N/A</v>
      </c>
      <c r="U413" t="e">
        <f>VLOOKUP(Table8[[#This Row],[Census Tract]],'Population and Diversity Data'!$B$2:$K$823,10,FALSE)</f>
        <v>#N/A</v>
      </c>
    </row>
    <row r="414" spans="1:21" ht="15.75" thickBot="1" x14ac:dyDescent="0.3">
      <c r="A414" s="92" t="s">
        <v>3028</v>
      </c>
      <c r="B414" s="200" t="s">
        <v>2969</v>
      </c>
      <c r="C414" s="93" t="s">
        <v>944</v>
      </c>
      <c r="D414" s="94">
        <v>0</v>
      </c>
      <c r="E414" s="95">
        <v>0</v>
      </c>
      <c r="F414" s="96">
        <v>21933.9211629567</v>
      </c>
      <c r="G414" s="95">
        <v>1.3055137711021586E-3</v>
      </c>
      <c r="H414" s="95" t="s">
        <v>2993</v>
      </c>
      <c r="I414" s="95" t="str">
        <f t="shared" si="20"/>
        <v>N/A</v>
      </c>
      <c r="J414" s="97">
        <v>0</v>
      </c>
      <c r="K414" s="98">
        <v>0</v>
      </c>
      <c r="L414" s="99">
        <v>21933.9211629567</v>
      </c>
      <c r="M414" s="98">
        <v>1.3055137711021586E-3</v>
      </c>
      <c r="N414" s="98" t="str">
        <f t="shared" si="18"/>
        <v>N/A</v>
      </c>
      <c r="O414" s="97">
        <v>0</v>
      </c>
      <c r="P414" s="100">
        <v>0</v>
      </c>
      <c r="Q414" s="99">
        <v>0</v>
      </c>
      <c r="R414" s="101">
        <v>1.3055137711021586E-3</v>
      </c>
      <c r="S414" t="str">
        <f t="shared" si="19"/>
        <v>N/A</v>
      </c>
      <c r="T414" t="e">
        <f>VLOOKUP(Table8[[#This Row],[Census Tract]],'UI EnergyBurden'!$A$2:$B$184,2,FALSE)</f>
        <v>#N/A</v>
      </c>
      <c r="U414" t="e">
        <f>VLOOKUP(Table8[[#This Row],[Census Tract]],'Population and Diversity Data'!$B$2:$K$823,10,FALSE)</f>
        <v>#N/A</v>
      </c>
    </row>
    <row r="415" spans="1:21" ht="15.75" thickBot="1" x14ac:dyDescent="0.3">
      <c r="A415" s="92"/>
      <c r="B415" s="200"/>
      <c r="C415" s="93"/>
      <c r="D415" s="94">
        <v>0</v>
      </c>
      <c r="E415" s="95">
        <v>0</v>
      </c>
      <c r="F415" s="96">
        <v>0</v>
      </c>
      <c r="G415" s="95">
        <v>0</v>
      </c>
      <c r="H415" s="95" t="s">
        <v>2993</v>
      </c>
      <c r="I415" s="95" t="str">
        <f t="shared" si="20"/>
        <v>N/A</v>
      </c>
      <c r="J415" s="97"/>
      <c r="K415" s="98">
        <v>0</v>
      </c>
      <c r="L415" s="99"/>
      <c r="M415" s="98">
        <v>0</v>
      </c>
      <c r="N415" s="98" t="str">
        <f t="shared" si="18"/>
        <v>N/A</v>
      </c>
      <c r="O415" s="97"/>
      <c r="P415" s="100">
        <v>0</v>
      </c>
      <c r="Q415" s="99"/>
      <c r="R415" s="101">
        <v>0</v>
      </c>
      <c r="S415" t="str">
        <f t="shared" si="19"/>
        <v>N/A</v>
      </c>
      <c r="T415" t="e">
        <f>VLOOKUP(Table8[[#This Row],[Census Tract]],'UI EnergyBurden'!$A$2:$B$184,2,FALSE)</f>
        <v>#N/A</v>
      </c>
      <c r="U415" t="e">
        <f>VLOOKUP(Table8[[#This Row],[Census Tract]],'Population and Diversity Data'!$B$2:$K$823,10,FALSE)</f>
        <v>#N/A</v>
      </c>
    </row>
    <row r="416" spans="1:21" ht="15.75" thickBot="1" x14ac:dyDescent="0.3">
      <c r="A416" s="92"/>
      <c r="B416" s="200"/>
      <c r="C416" s="93"/>
      <c r="D416" s="94">
        <v>0</v>
      </c>
      <c r="E416" s="95">
        <v>0</v>
      </c>
      <c r="F416" s="96">
        <v>0</v>
      </c>
      <c r="G416" s="95">
        <v>0</v>
      </c>
      <c r="H416" s="95" t="s">
        <v>2993</v>
      </c>
      <c r="I416" s="95" t="str">
        <f t="shared" si="20"/>
        <v>N/A</v>
      </c>
      <c r="J416" s="97"/>
      <c r="K416" s="98">
        <v>0</v>
      </c>
      <c r="L416" s="99"/>
      <c r="M416" s="98">
        <v>0</v>
      </c>
      <c r="N416" s="98" t="str">
        <f t="shared" si="18"/>
        <v>N/A</v>
      </c>
      <c r="O416" s="97"/>
      <c r="P416" s="100">
        <v>0</v>
      </c>
      <c r="Q416" s="99"/>
      <c r="R416" s="101">
        <v>0</v>
      </c>
      <c r="S416" t="str">
        <f t="shared" si="19"/>
        <v>N/A</v>
      </c>
      <c r="T416" t="e">
        <f>VLOOKUP(Table8[[#This Row],[Census Tract]],'UI EnergyBurden'!$A$2:$B$184,2,FALSE)</f>
        <v>#N/A</v>
      </c>
      <c r="U416" t="e">
        <f>VLOOKUP(Table8[[#This Row],[Census Tract]],'Population and Diversity Data'!$B$2:$K$823,10,FALSE)</f>
        <v>#N/A</v>
      </c>
    </row>
    <row r="417" spans="1:21" ht="15.75" thickBot="1" x14ac:dyDescent="0.3">
      <c r="A417" s="92"/>
      <c r="B417" s="200"/>
      <c r="C417" s="93"/>
      <c r="D417" s="94">
        <v>0</v>
      </c>
      <c r="E417" s="95">
        <v>0</v>
      </c>
      <c r="F417" s="96">
        <v>0</v>
      </c>
      <c r="G417" s="95">
        <v>0</v>
      </c>
      <c r="H417" s="95" t="s">
        <v>2993</v>
      </c>
      <c r="I417" s="95" t="str">
        <f t="shared" si="20"/>
        <v>N/A</v>
      </c>
      <c r="J417" s="97"/>
      <c r="K417" s="98">
        <v>0</v>
      </c>
      <c r="L417" s="99"/>
      <c r="M417" s="98">
        <v>0</v>
      </c>
      <c r="N417" s="98" t="str">
        <f t="shared" si="18"/>
        <v>N/A</v>
      </c>
      <c r="O417" s="97"/>
      <c r="P417" s="100">
        <v>0</v>
      </c>
      <c r="Q417" s="99"/>
      <c r="R417" s="101">
        <v>0</v>
      </c>
      <c r="S417" t="str">
        <f t="shared" si="19"/>
        <v>N/A</v>
      </c>
      <c r="T417" t="e">
        <f>VLOOKUP(Table8[[#This Row],[Census Tract]],'UI EnergyBurden'!$A$2:$B$184,2,FALSE)</f>
        <v>#N/A</v>
      </c>
      <c r="U417" t="e">
        <f>VLOOKUP(Table8[[#This Row],[Census Tract]],'Population and Diversity Data'!$B$2:$K$823,10,FALSE)</f>
        <v>#N/A</v>
      </c>
    </row>
    <row r="418" spans="1:21" ht="15.75" thickBot="1" x14ac:dyDescent="0.3">
      <c r="A418" s="92"/>
      <c r="B418" s="200"/>
      <c r="C418" s="93"/>
      <c r="D418" s="94">
        <v>0</v>
      </c>
      <c r="E418" s="95">
        <v>0</v>
      </c>
      <c r="F418" s="96">
        <v>0</v>
      </c>
      <c r="G418" s="95">
        <v>0</v>
      </c>
      <c r="H418" s="95" t="s">
        <v>2993</v>
      </c>
      <c r="I418" s="95" t="str">
        <f t="shared" si="20"/>
        <v>N/A</v>
      </c>
      <c r="J418" s="97"/>
      <c r="K418" s="98">
        <v>0</v>
      </c>
      <c r="L418" s="99"/>
      <c r="M418" s="98">
        <v>0</v>
      </c>
      <c r="N418" s="98" t="str">
        <f t="shared" si="18"/>
        <v>N/A</v>
      </c>
      <c r="O418" s="97"/>
      <c r="P418" s="100">
        <v>0</v>
      </c>
      <c r="Q418" s="99"/>
      <c r="R418" s="101">
        <v>0</v>
      </c>
      <c r="S418" t="str">
        <f t="shared" si="19"/>
        <v>N/A</v>
      </c>
      <c r="T418" t="e">
        <f>VLOOKUP(Table8[[#This Row],[Census Tract]],'UI EnergyBurden'!$A$2:$B$184,2,FALSE)</f>
        <v>#N/A</v>
      </c>
      <c r="U418" t="e">
        <f>VLOOKUP(Table8[[#This Row],[Census Tract]],'Population and Diversity Data'!$B$2:$K$823,10,FALSE)</f>
        <v>#N/A</v>
      </c>
    </row>
    <row r="419" spans="1:21" ht="15.75" thickBot="1" x14ac:dyDescent="0.3">
      <c r="A419" s="92"/>
      <c r="B419" s="200"/>
      <c r="C419" s="93"/>
      <c r="D419" s="94">
        <v>0</v>
      </c>
      <c r="E419" s="95">
        <v>0</v>
      </c>
      <c r="F419" s="96">
        <v>0</v>
      </c>
      <c r="G419" s="95">
        <v>0</v>
      </c>
      <c r="H419" s="95" t="s">
        <v>2993</v>
      </c>
      <c r="I419" s="95" t="str">
        <f t="shared" si="20"/>
        <v>N/A</v>
      </c>
      <c r="J419" s="97"/>
      <c r="K419" s="98">
        <v>0</v>
      </c>
      <c r="L419" s="99"/>
      <c r="M419" s="98">
        <v>0</v>
      </c>
      <c r="N419" s="98" t="str">
        <f t="shared" si="18"/>
        <v>N/A</v>
      </c>
      <c r="O419" s="97"/>
      <c r="P419" s="100">
        <v>0</v>
      </c>
      <c r="Q419" s="99"/>
      <c r="R419" s="101">
        <v>0</v>
      </c>
      <c r="S419" t="str">
        <f t="shared" si="19"/>
        <v>N/A</v>
      </c>
      <c r="T419" t="e">
        <f>VLOOKUP(Table8[[#This Row],[Census Tract]],'UI EnergyBurden'!$A$2:$B$184,2,FALSE)</f>
        <v>#N/A</v>
      </c>
      <c r="U419" t="e">
        <f>VLOOKUP(Table8[[#This Row],[Census Tract]],'Population and Diversity Data'!$B$2:$K$823,10,FALSE)</f>
        <v>#N/A</v>
      </c>
    </row>
    <row r="420" spans="1:21" ht="15.75" thickBot="1" x14ac:dyDescent="0.3">
      <c r="A420" s="92"/>
      <c r="B420" s="200"/>
      <c r="C420" s="93"/>
      <c r="D420" s="94">
        <v>0</v>
      </c>
      <c r="E420" s="95">
        <v>0</v>
      </c>
      <c r="F420" s="96">
        <v>0</v>
      </c>
      <c r="G420" s="95">
        <v>0</v>
      </c>
      <c r="H420" s="95" t="s">
        <v>2993</v>
      </c>
      <c r="I420" s="95" t="str">
        <f t="shared" si="20"/>
        <v>N/A</v>
      </c>
      <c r="J420" s="97"/>
      <c r="K420" s="98">
        <v>0</v>
      </c>
      <c r="L420" s="99"/>
      <c r="M420" s="98">
        <v>0</v>
      </c>
      <c r="N420" s="98" t="str">
        <f t="shared" si="18"/>
        <v>N/A</v>
      </c>
      <c r="O420" s="97"/>
      <c r="P420" s="100">
        <v>0</v>
      </c>
      <c r="Q420" s="99"/>
      <c r="R420" s="101">
        <v>0</v>
      </c>
      <c r="S420" t="str">
        <f t="shared" si="19"/>
        <v>N/A</v>
      </c>
      <c r="T420" t="e">
        <f>VLOOKUP(Table8[[#This Row],[Census Tract]],'UI EnergyBurden'!$A$2:$B$184,2,FALSE)</f>
        <v>#N/A</v>
      </c>
      <c r="U420" t="e">
        <f>VLOOKUP(Table8[[#This Row],[Census Tract]],'Population and Diversity Data'!$B$2:$K$823,10,FALSE)</f>
        <v>#N/A</v>
      </c>
    </row>
    <row r="421" spans="1:21" ht="15.75" thickBot="1" x14ac:dyDescent="0.3">
      <c r="A421" s="92"/>
      <c r="B421" s="200"/>
      <c r="C421" s="93"/>
      <c r="D421" s="94">
        <v>0</v>
      </c>
      <c r="E421" s="95">
        <v>0</v>
      </c>
      <c r="F421" s="96">
        <v>0</v>
      </c>
      <c r="G421" s="95">
        <v>0</v>
      </c>
      <c r="H421" s="95" t="s">
        <v>2993</v>
      </c>
      <c r="I421" s="95" t="str">
        <f t="shared" si="20"/>
        <v>N/A</v>
      </c>
      <c r="J421" s="97"/>
      <c r="K421" s="98">
        <v>0</v>
      </c>
      <c r="L421" s="99"/>
      <c r="M421" s="98">
        <v>0</v>
      </c>
      <c r="N421" s="98" t="str">
        <f t="shared" si="18"/>
        <v>N/A</v>
      </c>
      <c r="O421" s="97"/>
      <c r="P421" s="100">
        <v>0</v>
      </c>
      <c r="Q421" s="99"/>
      <c r="R421" s="101">
        <v>0</v>
      </c>
      <c r="S421" t="str">
        <f t="shared" si="19"/>
        <v>N/A</v>
      </c>
      <c r="T421" t="e">
        <f>VLOOKUP(Table8[[#This Row],[Census Tract]],'UI EnergyBurden'!$A$2:$B$184,2,FALSE)</f>
        <v>#N/A</v>
      </c>
      <c r="U421" t="e">
        <f>VLOOKUP(Table8[[#This Row],[Census Tract]],'Population and Diversity Data'!$B$2:$K$823,10,FALSE)</f>
        <v>#N/A</v>
      </c>
    </row>
    <row r="422" spans="1:21" x14ac:dyDescent="0.25">
      <c r="A422" s="92"/>
      <c r="B422" s="200"/>
      <c r="C422" s="93"/>
      <c r="D422" s="94">
        <v>0</v>
      </c>
      <c r="E422" s="95">
        <v>0</v>
      </c>
      <c r="F422" s="96">
        <v>0</v>
      </c>
      <c r="G422" s="95">
        <v>0</v>
      </c>
      <c r="H422" s="95" t="s">
        <v>2993</v>
      </c>
      <c r="I422" s="95" t="str">
        <f t="shared" si="20"/>
        <v>N/A</v>
      </c>
      <c r="J422" s="97"/>
      <c r="K422" s="98">
        <v>0</v>
      </c>
      <c r="L422" s="99"/>
      <c r="M422" s="98">
        <v>0</v>
      </c>
      <c r="N422" s="98" t="str">
        <f t="shared" si="18"/>
        <v>N/A</v>
      </c>
      <c r="O422" s="97"/>
      <c r="P422" s="100">
        <v>0</v>
      </c>
      <c r="Q422" s="99"/>
      <c r="R422" s="101">
        <v>0</v>
      </c>
      <c r="S422" t="str">
        <f t="shared" si="19"/>
        <v>N/A</v>
      </c>
      <c r="T422" t="e">
        <f>VLOOKUP(Table8[[#This Row],[Census Tract]],'UI EnergyBurden'!$A$2:$B$184,2,FALSE)</f>
        <v>#N/A</v>
      </c>
      <c r="U422" t="e">
        <f>VLOOKUP(Table8[[#This Row],[Census Tract]],'Population and Diversity Data'!$B$2:$K$823,10,FALSE)</f>
        <v>#N/A</v>
      </c>
    </row>
    <row r="423" spans="1:21" x14ac:dyDescent="0.25">
      <c r="A423" s="107"/>
      <c r="B423" s="108"/>
      <c r="C423" s="109" t="s">
        <v>2687</v>
      </c>
      <c r="D423" s="110">
        <f>SUBTOTAL(109,D6:D422)</f>
        <v>17547918.914700009</v>
      </c>
      <c r="E423" s="111">
        <v>0.6030085741673753</v>
      </c>
      <c r="F423" s="112">
        <f>SUBTOTAL(109,F6:F422)</f>
        <v>11650460.610000001</v>
      </c>
      <c r="G423" s="111">
        <v>0.69343901863409296</v>
      </c>
      <c r="H423" s="111" t="s">
        <v>2993</v>
      </c>
      <c r="I423" s="111" t="str">
        <f t="shared" si="20"/>
        <v>YES</v>
      </c>
      <c r="J423" s="110">
        <f>SUBTOTAL(109,J6:J422)</f>
        <v>12129792.9309</v>
      </c>
      <c r="K423" s="111">
        <v>0.6030085741673753</v>
      </c>
      <c r="L423" s="112">
        <f>SUBTOTAL(109,L6:L422)</f>
        <v>8494544.290000001</v>
      </c>
      <c r="M423" s="111">
        <v>0.69343901863409296</v>
      </c>
      <c r="N423" s="111" t="str">
        <f t="shared" si="18"/>
        <v>YES</v>
      </c>
      <c r="O423" s="110">
        <f>SUBTOTAL(109,O6:O422)</f>
        <v>5418125.9837999996</v>
      </c>
      <c r="P423" s="113">
        <v>0.6030085741673753</v>
      </c>
      <c r="Q423" s="112">
        <f>SUBTOTAL(109,Q6:Q422)</f>
        <v>3155916.3200000003</v>
      </c>
      <c r="R423" s="114">
        <v>0.69343901863409296</v>
      </c>
      <c r="S423" t="str">
        <f t="shared" si="19"/>
        <v>YES</v>
      </c>
      <c r="T423" t="e">
        <f>VLOOKUP(Table8[[#This Row],[Census Tract]],'UI EnergyBurden'!$A$2:$B$184,2,FALSE)</f>
        <v>#N/A</v>
      </c>
      <c r="U423" t="e">
        <f>VLOOKUP(Table8[[#This Row],[Census Tract]],'Population and Diversity Data'!$B$2:$K$823,10,FALSE)</f>
        <v>#N/A</v>
      </c>
    </row>
    <row r="425" spans="1:21" x14ac:dyDescent="0.25">
      <c r="D425" s="52"/>
    </row>
  </sheetData>
  <mergeCells count="7">
    <mergeCell ref="A1:R2"/>
    <mergeCell ref="A3:C3"/>
    <mergeCell ref="D3:R3"/>
    <mergeCell ref="A4:C4"/>
    <mergeCell ref="D4:G4"/>
    <mergeCell ref="J4:M4"/>
    <mergeCell ref="O4:R4"/>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96383-24D3-4F96-A595-9B62B7041A0F}">
  <sheetPr>
    <tabColor theme="7" tint="0.59999389629810485"/>
  </sheetPr>
  <dimension ref="A1:R210"/>
  <sheetViews>
    <sheetView topLeftCell="A193" workbookViewId="0">
      <selection activeCell="Q6" sqref="Q6"/>
    </sheetView>
  </sheetViews>
  <sheetFormatPr defaultRowHeight="15" x14ac:dyDescent="0.25"/>
  <cols>
    <col min="1" max="1" width="17.85546875" bestFit="1" customWidth="1"/>
    <col min="2" max="2" width="14.42578125" bestFit="1" customWidth="1"/>
    <col min="4" max="4" width="13.85546875" bestFit="1" customWidth="1"/>
    <col min="5" max="5" width="12.85546875" bestFit="1" customWidth="1"/>
    <col min="6" max="7" width="13.28515625" bestFit="1" customWidth="1"/>
    <col min="8" max="8" width="12.85546875" bestFit="1" customWidth="1"/>
    <col min="9" max="12" width="13.42578125" bestFit="1" customWidth="1"/>
    <col min="13" max="13" width="13.85546875" bestFit="1" customWidth="1"/>
    <col min="14" max="14" width="13.28515625" bestFit="1" customWidth="1"/>
    <col min="15" max="16" width="13.42578125" bestFit="1" customWidth="1"/>
  </cols>
  <sheetData>
    <row r="1" spans="1:18" x14ac:dyDescent="0.25">
      <c r="A1" s="305" t="s">
        <v>2703</v>
      </c>
      <c r="B1" s="306"/>
      <c r="C1" s="306"/>
      <c r="D1" s="306"/>
      <c r="E1" s="306"/>
      <c r="F1" s="306"/>
      <c r="G1" s="306"/>
      <c r="H1" s="306"/>
      <c r="I1" s="306"/>
      <c r="J1" s="306"/>
      <c r="K1" s="306"/>
      <c r="L1" s="306"/>
      <c r="M1" s="306"/>
      <c r="N1" s="306"/>
      <c r="O1" s="307"/>
    </row>
    <row r="2" spans="1:18" ht="15.75" thickBot="1" x14ac:dyDescent="0.3">
      <c r="A2" s="308"/>
      <c r="B2" s="309"/>
      <c r="C2" s="309"/>
      <c r="D2" s="309"/>
      <c r="E2" s="309"/>
      <c r="F2" s="309"/>
      <c r="G2" s="309"/>
      <c r="H2" s="309"/>
      <c r="I2" s="309"/>
      <c r="J2" s="309"/>
      <c r="K2" s="309"/>
      <c r="L2" s="309"/>
      <c r="M2" s="309"/>
      <c r="N2" s="309"/>
      <c r="O2" s="310"/>
    </row>
    <row r="3" spans="1:18" ht="16.5" thickBot="1" x14ac:dyDescent="0.3">
      <c r="A3" s="318" t="s">
        <v>923</v>
      </c>
      <c r="B3" s="319"/>
      <c r="C3" s="319"/>
      <c r="D3" s="302" t="s">
        <v>2867</v>
      </c>
      <c r="E3" s="303"/>
      <c r="F3" s="303"/>
      <c r="G3" s="303"/>
      <c r="H3" s="323"/>
      <c r="I3" s="323"/>
      <c r="J3" s="323"/>
      <c r="K3" s="323"/>
      <c r="L3" s="303"/>
      <c r="M3" s="303"/>
      <c r="N3" s="303"/>
      <c r="O3" s="304"/>
    </row>
    <row r="4" spans="1:18" ht="15.75" thickBot="1" x14ac:dyDescent="0.3">
      <c r="A4" s="327"/>
      <c r="B4" s="328"/>
      <c r="C4" s="328"/>
      <c r="D4" s="359" t="s">
        <v>2691</v>
      </c>
      <c r="E4" s="360"/>
      <c r="F4" s="360"/>
      <c r="G4" s="360"/>
      <c r="H4" s="324" t="s">
        <v>2692</v>
      </c>
      <c r="I4" s="325"/>
      <c r="J4" s="325"/>
      <c r="K4" s="326"/>
      <c r="L4" s="331" t="s">
        <v>2693</v>
      </c>
      <c r="M4" s="331"/>
      <c r="N4" s="331"/>
      <c r="O4" s="332"/>
    </row>
    <row r="5" spans="1:18" ht="79.5" thickBot="1" x14ac:dyDescent="0.3">
      <c r="A5" s="79" t="s">
        <v>2704</v>
      </c>
      <c r="B5" s="78" t="s">
        <v>2705</v>
      </c>
      <c r="C5" s="83" t="s">
        <v>2706</v>
      </c>
      <c r="D5" s="84" t="s">
        <v>2707</v>
      </c>
      <c r="E5" s="116" t="s">
        <v>2708</v>
      </c>
      <c r="F5" s="86" t="s">
        <v>2709</v>
      </c>
      <c r="G5" s="116" t="s">
        <v>2710</v>
      </c>
      <c r="H5" s="117" t="s">
        <v>2977</v>
      </c>
      <c r="I5" s="88" t="s">
        <v>2711</v>
      </c>
      <c r="J5" s="89" t="s">
        <v>2712</v>
      </c>
      <c r="K5" s="89" t="s">
        <v>2713</v>
      </c>
      <c r="L5" s="91" t="s">
        <v>2714</v>
      </c>
      <c r="M5" s="90" t="s">
        <v>2715</v>
      </c>
      <c r="N5" s="89" t="s">
        <v>2716</v>
      </c>
      <c r="O5" s="89" t="s">
        <v>2717</v>
      </c>
      <c r="P5" s="91" t="s">
        <v>2718</v>
      </c>
      <c r="Q5" s="170" t="s">
        <v>2721</v>
      </c>
      <c r="R5" s="170" t="s">
        <v>2720</v>
      </c>
    </row>
    <row r="6" spans="1:18" ht="15.75" thickBot="1" x14ac:dyDescent="0.3">
      <c r="A6" s="175">
        <v>9001060100</v>
      </c>
      <c r="B6" s="200" t="s">
        <v>2985</v>
      </c>
      <c r="C6" s="93" t="s">
        <v>944</v>
      </c>
      <c r="D6" s="94">
        <f>Table325[[#This Row],[Residential CLM $ Collected]]+Table325[[#This Row],[C&amp;I CLM $ Collected]]</f>
        <v>100227.791</v>
      </c>
      <c r="E6" s="95">
        <v>1.3553941470087741E-5</v>
      </c>
      <c r="F6" s="96">
        <f>Table325[[#This Row],[Residential Incentive Disbursements]]+Table325[[#This Row],[C&amp;I Incentive Disbursements]]</f>
        <v>0</v>
      </c>
      <c r="G6" s="95">
        <v>0</v>
      </c>
      <c r="H6" s="95" t="str">
        <f>IF(ROUND(E6,5)&lt;0.00001,"N/A",IF(ROUND(E6,5)&lt;=ROUND(G6,5),"YES","NO"))</f>
        <v>NO</v>
      </c>
      <c r="I6" s="97">
        <v>0</v>
      </c>
      <c r="J6" s="98">
        <v>1.3553941470087741E-5</v>
      </c>
      <c r="K6" s="99">
        <v>0</v>
      </c>
      <c r="L6" s="98">
        <v>0</v>
      </c>
      <c r="M6" s="97">
        <v>100227.791</v>
      </c>
      <c r="N6" s="118">
        <v>1.3553941470087741E-5</v>
      </c>
      <c r="O6" s="99">
        <v>0</v>
      </c>
      <c r="P6" s="101">
        <v>0</v>
      </c>
      <c r="Q6" t="str">
        <f>VLOOKUP(Table325[[#This Row],[Census Tract]],'UI EnergyBurden'!$A$2:$B$184,2,FALSE)</f>
        <v>No</v>
      </c>
      <c r="R6">
        <f>VLOOKUP(Table325[[#This Row],[Census Tract]],'Population and Diversity Data'!B2:K823,10,FALSE)</f>
        <v>2</v>
      </c>
    </row>
    <row r="7" spans="1:18" ht="15.75" thickBot="1" x14ac:dyDescent="0.3">
      <c r="A7" s="175">
        <v>9001060200</v>
      </c>
      <c r="B7" s="200" t="s">
        <v>2985</v>
      </c>
      <c r="C7" s="93" t="s">
        <v>944</v>
      </c>
      <c r="D7" s="94">
        <f>Table325[[#This Row],[Residential CLM $ Collected]]+Table325[[#This Row],[C&amp;I CLM $ Collected]]</f>
        <v>73601.251600000003</v>
      </c>
      <c r="E7" s="95">
        <v>3.049800401209461E-5</v>
      </c>
      <c r="F7" s="96">
        <f>Table325[[#This Row],[Residential Incentive Disbursements]]+Table325[[#This Row],[C&amp;I Incentive Disbursements]]</f>
        <v>0</v>
      </c>
      <c r="G7" s="95">
        <v>0</v>
      </c>
      <c r="H7" s="95" t="str">
        <f t="shared" ref="H7:H70" si="0">IF(ROUND(E7,5)&lt;0.00001,"N/A",IF(ROUND(E7,5)&lt;=ROUND(G7,5),"YES","NO"))</f>
        <v>NO</v>
      </c>
      <c r="I7" s="97">
        <v>0</v>
      </c>
      <c r="J7" s="98">
        <v>3.049800401209461E-5</v>
      </c>
      <c r="K7" s="99">
        <v>0</v>
      </c>
      <c r="L7" s="98">
        <v>0</v>
      </c>
      <c r="M7" s="97">
        <v>73601.251600000003</v>
      </c>
      <c r="N7" s="118">
        <v>3.049800401209461E-5</v>
      </c>
      <c r="O7" s="99">
        <v>0</v>
      </c>
      <c r="P7" s="101">
        <v>0</v>
      </c>
      <c r="Q7" t="str">
        <f>VLOOKUP(Table325[[#This Row],[Census Tract]],'UI EnergyBurden'!$A$2:$B$184,2,FALSE)</f>
        <v>No</v>
      </c>
      <c r="R7">
        <f>VLOOKUP(Table325[[#This Row],[Census Tract]],'Population and Diversity Data'!B3:K824,10,FALSE)</f>
        <v>3</v>
      </c>
    </row>
    <row r="8" spans="1:18" ht="15.75" thickBot="1" x14ac:dyDescent="0.3">
      <c r="A8" s="175">
        <v>9001060300</v>
      </c>
      <c r="B8" s="200" t="s">
        <v>2985</v>
      </c>
      <c r="C8" s="93" t="s">
        <v>944</v>
      </c>
      <c r="D8" s="94">
        <f>Table325[[#This Row],[Residential CLM $ Collected]]+Table325[[#This Row],[C&amp;I CLM $ Collected]]</f>
        <v>37903.3364</v>
      </c>
      <c r="E8" s="95">
        <v>3.1026838240039302E-8</v>
      </c>
      <c r="F8" s="96">
        <f>Table325[[#This Row],[Residential Incentive Disbursements]]+Table325[[#This Row],[C&amp;I Incentive Disbursements]]</f>
        <v>1240</v>
      </c>
      <c r="G8" s="95">
        <v>0</v>
      </c>
      <c r="H8" s="95" t="str">
        <f t="shared" si="0"/>
        <v>N/A</v>
      </c>
      <c r="I8" s="97">
        <v>0</v>
      </c>
      <c r="J8" s="98">
        <v>3.1026838240039302E-8</v>
      </c>
      <c r="K8" s="99">
        <v>0</v>
      </c>
      <c r="L8" s="98">
        <v>0</v>
      </c>
      <c r="M8" s="97">
        <v>37903.3364</v>
      </c>
      <c r="N8" s="118">
        <v>3.1026838240039302E-8</v>
      </c>
      <c r="O8" s="99">
        <v>1240</v>
      </c>
      <c r="P8" s="101">
        <v>0</v>
      </c>
      <c r="Q8" t="str">
        <f>VLOOKUP(Table325[[#This Row],[Census Tract]],'UI EnergyBurden'!$A$2:$B$184,2,FALSE)</f>
        <v>No</v>
      </c>
      <c r="R8">
        <f>VLOOKUP(Table325[[#This Row],[Census Tract]],'Population and Diversity Data'!B4:K825,10,FALSE)</f>
        <v>2</v>
      </c>
    </row>
    <row r="9" spans="1:18" ht="15.75" thickBot="1" x14ac:dyDescent="0.3">
      <c r="A9" s="175">
        <v>9001060400</v>
      </c>
      <c r="B9" s="200" t="s">
        <v>2985</v>
      </c>
      <c r="C9" s="93" t="s">
        <v>944</v>
      </c>
      <c r="D9" s="94">
        <f>Table325[[#This Row],[Residential CLM $ Collected]]+Table325[[#This Row],[C&amp;I CLM $ Collected]]</f>
        <v>9570.1769000000004</v>
      </c>
      <c r="E9" s="95">
        <v>2.453308394829508E-3</v>
      </c>
      <c r="F9" s="96">
        <f>Table325[[#This Row],[Residential Incentive Disbursements]]+Table325[[#This Row],[C&amp;I Incentive Disbursements]]</f>
        <v>0</v>
      </c>
      <c r="G9" s="95">
        <v>1.1966439137924103E-3</v>
      </c>
      <c r="H9" s="95" t="str">
        <f t="shared" si="0"/>
        <v>NO</v>
      </c>
      <c r="I9" s="97">
        <v>0</v>
      </c>
      <c r="J9" s="98">
        <v>2.453308394829508E-3</v>
      </c>
      <c r="K9" s="99">
        <v>0</v>
      </c>
      <c r="L9" s="98">
        <v>1.1966439137924103E-3</v>
      </c>
      <c r="M9" s="97">
        <v>9570.1769000000004</v>
      </c>
      <c r="N9" s="118">
        <v>2.453308394829508E-3</v>
      </c>
      <c r="O9" s="99">
        <v>0</v>
      </c>
      <c r="P9" s="101">
        <v>1.1966439137924103E-3</v>
      </c>
      <c r="Q9" t="str">
        <f>VLOOKUP(Table325[[#This Row],[Census Tract]],'UI EnergyBurden'!$A$2:$B$184,2,FALSE)</f>
        <v>No</v>
      </c>
      <c r="R9">
        <f>VLOOKUP(Table325[[#This Row],[Census Tract]],'Population and Diversity Data'!B5:K826,10,FALSE)</f>
        <v>1</v>
      </c>
    </row>
    <row r="10" spans="1:18" ht="15.75" thickBot="1" x14ac:dyDescent="0.3">
      <c r="A10" s="175">
        <v>9001060500</v>
      </c>
      <c r="B10" s="200" t="s">
        <v>2985</v>
      </c>
      <c r="C10" s="93" t="s">
        <v>944</v>
      </c>
      <c r="D10" s="94">
        <f>Table325[[#This Row],[Residential CLM $ Collected]]+Table325[[#This Row],[C&amp;I CLM $ Collected]]</f>
        <v>4850.7232000000004</v>
      </c>
      <c r="E10" s="95">
        <v>3.642720565257129E-6</v>
      </c>
      <c r="F10" s="96">
        <f>Table325[[#This Row],[Residential Incentive Disbursements]]+Table325[[#This Row],[C&amp;I Incentive Disbursements]]</f>
        <v>330</v>
      </c>
      <c r="G10" s="95">
        <v>0</v>
      </c>
      <c r="H10" s="95" t="str">
        <f t="shared" si="0"/>
        <v>N/A</v>
      </c>
      <c r="I10" s="97">
        <v>0</v>
      </c>
      <c r="J10" s="98">
        <v>3.642720565257129E-6</v>
      </c>
      <c r="K10" s="99">
        <v>0</v>
      </c>
      <c r="L10" s="98">
        <v>0</v>
      </c>
      <c r="M10" s="97">
        <v>4850.7232000000004</v>
      </c>
      <c r="N10" s="118">
        <v>3.642720565257129E-6</v>
      </c>
      <c r="O10" s="99">
        <v>330</v>
      </c>
      <c r="P10" s="101">
        <v>0</v>
      </c>
      <c r="Q10" t="str">
        <f>VLOOKUP(Table325[[#This Row],[Census Tract]],'UI EnergyBurden'!$A$2:$B$184,2,FALSE)</f>
        <v>No</v>
      </c>
      <c r="R10">
        <f>VLOOKUP(Table325[[#This Row],[Census Tract]],'Population and Diversity Data'!B6:K827,10,FALSE)</f>
        <v>1</v>
      </c>
    </row>
    <row r="11" spans="1:18" ht="15.75" thickBot="1" x14ac:dyDescent="0.3">
      <c r="A11" s="175">
        <v>9001060600</v>
      </c>
      <c r="B11" s="200" t="s">
        <v>2985</v>
      </c>
      <c r="C11" s="93" t="s">
        <v>944</v>
      </c>
      <c r="D11" s="94">
        <f>Table325[[#This Row],[Residential CLM $ Collected]]+Table325[[#This Row],[C&amp;I CLM $ Collected]]</f>
        <v>33150.8917</v>
      </c>
      <c r="E11" s="95">
        <v>3.3323013887803549E-3</v>
      </c>
      <c r="F11" s="96">
        <f>Table325[[#This Row],[Residential Incentive Disbursements]]+Table325[[#This Row],[C&amp;I Incentive Disbursements]]</f>
        <v>0</v>
      </c>
      <c r="G11" s="95">
        <v>1.8769479542696205E-3</v>
      </c>
      <c r="H11" s="95" t="str">
        <f t="shared" si="0"/>
        <v>NO</v>
      </c>
      <c r="I11" s="97">
        <v>0</v>
      </c>
      <c r="J11" s="98">
        <v>3.3323013887803549E-3</v>
      </c>
      <c r="K11" s="99">
        <v>0</v>
      </c>
      <c r="L11" s="98">
        <v>1.8769479542696205E-3</v>
      </c>
      <c r="M11" s="97">
        <v>33150.8917</v>
      </c>
      <c r="N11" s="118">
        <v>3.3323013887803549E-3</v>
      </c>
      <c r="O11" s="99">
        <v>0</v>
      </c>
      <c r="P11" s="101">
        <v>1.8769479542696205E-3</v>
      </c>
      <c r="Q11" t="str">
        <f>VLOOKUP(Table325[[#This Row],[Census Tract]],'UI EnergyBurden'!$A$2:$B$184,2,FALSE)</f>
        <v>No</v>
      </c>
      <c r="R11">
        <f>VLOOKUP(Table325[[#This Row],[Census Tract]],'Population and Diversity Data'!B7:K828,10,FALSE)</f>
        <v>2</v>
      </c>
    </row>
    <row r="12" spans="1:18" ht="15.75" thickBot="1" x14ac:dyDescent="0.3">
      <c r="A12" s="175">
        <v>9001060700</v>
      </c>
      <c r="B12" s="200" t="s">
        <v>2985</v>
      </c>
      <c r="C12" s="93" t="s">
        <v>944</v>
      </c>
      <c r="D12" s="94">
        <f>Table325[[#This Row],[Residential CLM $ Collected]]+Table325[[#This Row],[C&amp;I CLM $ Collected]]</f>
        <v>101146.5624</v>
      </c>
      <c r="E12" s="95">
        <v>3.4587412562109197E-3</v>
      </c>
      <c r="F12" s="96">
        <f>Table325[[#This Row],[Residential Incentive Disbursements]]+Table325[[#This Row],[C&amp;I Incentive Disbursements]]</f>
        <v>2245.5</v>
      </c>
      <c r="G12" s="95">
        <v>1.1630691025368313E-3</v>
      </c>
      <c r="H12" s="95" t="str">
        <f t="shared" si="0"/>
        <v>NO</v>
      </c>
      <c r="I12" s="97">
        <v>0</v>
      </c>
      <c r="J12" s="98">
        <v>3.4587412562109197E-3</v>
      </c>
      <c r="K12" s="99">
        <v>0</v>
      </c>
      <c r="L12" s="98">
        <v>1.1630691025368313E-3</v>
      </c>
      <c r="M12" s="97">
        <v>101146.5624</v>
      </c>
      <c r="N12" s="118">
        <v>3.4587412562109197E-3</v>
      </c>
      <c r="O12" s="99">
        <v>2245.5</v>
      </c>
      <c r="P12" s="101">
        <v>1.1630691025368313E-3</v>
      </c>
      <c r="Q12" t="str">
        <f>VLOOKUP(Table325[[#This Row],[Census Tract]],'UI EnergyBurden'!$A$2:$B$184,2,FALSE)</f>
        <v>No</v>
      </c>
      <c r="R12">
        <f>VLOOKUP(Table325[[#This Row],[Census Tract]],'Population and Diversity Data'!B8:K829,10,FALSE)</f>
        <v>2</v>
      </c>
    </row>
    <row r="13" spans="1:18" ht="15.75" thickBot="1" x14ac:dyDescent="0.3">
      <c r="A13" s="175">
        <v>9001060900</v>
      </c>
      <c r="B13" s="200" t="s">
        <v>2985</v>
      </c>
      <c r="C13" s="93" t="s">
        <v>944</v>
      </c>
      <c r="D13" s="94">
        <f>Table325[[#This Row],[Residential CLM $ Collected]]+Table325[[#This Row],[C&amp;I CLM $ Collected]]</f>
        <v>2542.0457000000001</v>
      </c>
      <c r="E13" s="95">
        <v>5.7714802906822541E-3</v>
      </c>
      <c r="F13" s="96">
        <f>Table325[[#This Row],[Residential Incentive Disbursements]]+Table325[[#This Row],[C&amp;I Incentive Disbursements]]</f>
        <v>0</v>
      </c>
      <c r="G13" s="95">
        <v>9.738492777457777E-4</v>
      </c>
      <c r="H13" s="95" t="str">
        <f t="shared" si="0"/>
        <v>NO</v>
      </c>
      <c r="I13" s="97">
        <v>0</v>
      </c>
      <c r="J13" s="98">
        <v>5.7714802906822541E-3</v>
      </c>
      <c r="K13" s="99">
        <v>0</v>
      </c>
      <c r="L13" s="98">
        <v>9.738492777457777E-4</v>
      </c>
      <c r="M13" s="97">
        <v>2542.0457000000001</v>
      </c>
      <c r="N13" s="118">
        <v>5.7714802906822541E-3</v>
      </c>
      <c r="O13" s="99">
        <v>0</v>
      </c>
      <c r="P13" s="101">
        <v>9.738492777457777E-4</v>
      </c>
      <c r="Q13" t="str">
        <f>VLOOKUP(Table325[[#This Row],[Census Tract]],'UI EnergyBurden'!$A$2:$B$184,2,FALSE)</f>
        <v>No</v>
      </c>
      <c r="R13">
        <f>VLOOKUP(Table325[[#This Row],[Census Tract]],'Population and Diversity Data'!B9:K830,10,FALSE)</f>
        <v>1</v>
      </c>
    </row>
    <row r="14" spans="1:18" ht="15.75" thickBot="1" x14ac:dyDescent="0.3">
      <c r="A14" s="175">
        <v>9001061000</v>
      </c>
      <c r="B14" s="200" t="s">
        <v>2985</v>
      </c>
      <c r="C14" s="93" t="s">
        <v>944</v>
      </c>
      <c r="D14" s="94">
        <f>Table325[[#This Row],[Residential CLM $ Collected]]+Table325[[#This Row],[C&amp;I CLM $ Collected]]</f>
        <v>48402.934399999998</v>
      </c>
      <c r="E14" s="95">
        <v>2.6703042528062166E-3</v>
      </c>
      <c r="F14" s="96">
        <f>Table325[[#This Row],[Residential Incentive Disbursements]]+Table325[[#This Row],[C&amp;I Incentive Disbursements]]</f>
        <v>79085</v>
      </c>
      <c r="G14" s="95">
        <v>4.3758140968420684E-4</v>
      </c>
      <c r="H14" s="95" t="str">
        <f t="shared" si="0"/>
        <v>NO</v>
      </c>
      <c r="I14" s="97">
        <v>0</v>
      </c>
      <c r="J14" s="98">
        <v>2.6703042528062166E-3</v>
      </c>
      <c r="K14" s="99">
        <v>0</v>
      </c>
      <c r="L14" s="98">
        <v>4.3758140968420684E-4</v>
      </c>
      <c r="M14" s="97">
        <v>48402.934399999998</v>
      </c>
      <c r="N14" s="118">
        <v>2.6703042528062166E-3</v>
      </c>
      <c r="O14" s="99">
        <v>79085</v>
      </c>
      <c r="P14" s="101">
        <v>4.3758140968420684E-4</v>
      </c>
      <c r="Q14" t="str">
        <f>VLOOKUP(Table325[[#This Row],[Census Tract]],'UI EnergyBurden'!$A$2:$B$184,2,FALSE)</f>
        <v>No</v>
      </c>
      <c r="R14">
        <f>VLOOKUP(Table325[[#This Row],[Census Tract]],'Population and Diversity Data'!B10:K831,10,FALSE)</f>
        <v>3</v>
      </c>
    </row>
    <row r="15" spans="1:18" ht="15.75" thickBot="1" x14ac:dyDescent="0.3">
      <c r="A15" s="175">
        <v>9001061100</v>
      </c>
      <c r="B15" s="200" t="s">
        <v>2985</v>
      </c>
      <c r="C15" s="93" t="s">
        <v>944</v>
      </c>
      <c r="D15" s="94">
        <f>Table325[[#This Row],[Residential CLM $ Collected]]+Table325[[#This Row],[C&amp;I CLM $ Collected]]</f>
        <v>3413.4719</v>
      </c>
      <c r="E15" s="95">
        <v>4.2257383673199944E-3</v>
      </c>
      <c r="F15" s="96">
        <f>Table325[[#This Row],[Residential Incentive Disbursements]]+Table325[[#This Row],[C&amp;I Incentive Disbursements]]</f>
        <v>0</v>
      </c>
      <c r="G15" s="95">
        <v>5.7024622701399392E-3</v>
      </c>
      <c r="H15" s="95" t="str">
        <f t="shared" si="0"/>
        <v>YES</v>
      </c>
      <c r="I15" s="97">
        <v>0</v>
      </c>
      <c r="J15" s="98">
        <v>4.2257383673199944E-3</v>
      </c>
      <c r="K15" s="99">
        <v>0</v>
      </c>
      <c r="L15" s="98">
        <v>5.7024622701399392E-3</v>
      </c>
      <c r="M15" s="97">
        <v>3413.4719</v>
      </c>
      <c r="N15" s="118">
        <v>4.2257383673199944E-3</v>
      </c>
      <c r="O15" s="99">
        <v>0</v>
      </c>
      <c r="P15" s="101">
        <v>5.7024622701399392E-3</v>
      </c>
      <c r="Q15" t="str">
        <f>VLOOKUP(Table325[[#This Row],[Census Tract]],'UI EnergyBurden'!$A$2:$B$184,2,FALSE)</f>
        <v>No</v>
      </c>
      <c r="R15">
        <f>VLOOKUP(Table325[[#This Row],[Census Tract]],'Population and Diversity Data'!B11:K832,10,FALSE)</f>
        <v>1</v>
      </c>
    </row>
    <row r="16" spans="1:18" ht="15.75" thickBot="1" x14ac:dyDescent="0.3">
      <c r="A16" s="175">
        <v>9001061300</v>
      </c>
      <c r="B16" s="200" t="s">
        <v>2985</v>
      </c>
      <c r="C16" s="93" t="s">
        <v>944</v>
      </c>
      <c r="D16" s="94">
        <f>Table325[[#This Row],[Residential CLM $ Collected]]+Table325[[#This Row],[C&amp;I CLM $ Collected]]</f>
        <v>19307.045299999998</v>
      </c>
      <c r="E16" s="95">
        <v>4.0455314530851143E-3</v>
      </c>
      <c r="F16" s="96">
        <f>Table325[[#This Row],[Residential Incentive Disbursements]]+Table325[[#This Row],[C&amp;I Incentive Disbursements]]</f>
        <v>0</v>
      </c>
      <c r="G16" s="95">
        <v>4.9616367887917736E-4</v>
      </c>
      <c r="H16" s="95" t="str">
        <f t="shared" si="0"/>
        <v>NO</v>
      </c>
      <c r="I16" s="97">
        <v>1395.1153999999999</v>
      </c>
      <c r="J16" s="98">
        <v>4.0455314530851143E-3</v>
      </c>
      <c r="K16" s="99">
        <v>0</v>
      </c>
      <c r="L16" s="98">
        <v>4.9616367887917736E-4</v>
      </c>
      <c r="M16" s="97">
        <v>17911.929899999999</v>
      </c>
      <c r="N16" s="118">
        <v>4.0455314530851143E-3</v>
      </c>
      <c r="O16" s="99">
        <v>0</v>
      </c>
      <c r="P16" s="101">
        <v>4.9616367887917736E-4</v>
      </c>
      <c r="Q16" t="str">
        <f>VLOOKUP(Table325[[#This Row],[Census Tract]],'UI EnergyBurden'!$A$2:$B$184,2,FALSE)</f>
        <v>No</v>
      </c>
      <c r="R16">
        <f>VLOOKUP(Table325[[#This Row],[Census Tract]],'Population and Diversity Data'!B12:K833,10,FALSE)</f>
        <v>4</v>
      </c>
    </row>
    <row r="17" spans="1:18" ht="15.75" thickBot="1" x14ac:dyDescent="0.3">
      <c r="A17" s="175">
        <v>9001061400</v>
      </c>
      <c r="B17" s="200" t="s">
        <v>2985</v>
      </c>
      <c r="C17" s="93" t="s">
        <v>944</v>
      </c>
      <c r="D17" s="94">
        <f>Table325[[#This Row],[Residential CLM $ Collected]]+Table325[[#This Row],[C&amp;I CLM $ Collected]]</f>
        <v>111401.4479</v>
      </c>
      <c r="E17" s="95">
        <v>1.4151994756314813E-3</v>
      </c>
      <c r="F17" s="96">
        <f>Table325[[#This Row],[Residential Incentive Disbursements]]+Table325[[#This Row],[C&amp;I Incentive Disbursements]]</f>
        <v>224266</v>
      </c>
      <c r="G17" s="95">
        <v>2.6114654732414528E-4</v>
      </c>
      <c r="H17" s="95" t="str">
        <f t="shared" si="0"/>
        <v>NO</v>
      </c>
      <c r="I17" s="97">
        <v>0</v>
      </c>
      <c r="J17" s="98">
        <v>1.4151994756314813E-3</v>
      </c>
      <c r="K17" s="99">
        <v>0</v>
      </c>
      <c r="L17" s="98">
        <v>2.6114654732414528E-4</v>
      </c>
      <c r="M17" s="97">
        <v>111401.4479</v>
      </c>
      <c r="N17" s="118">
        <v>1.4151994756314813E-3</v>
      </c>
      <c r="O17" s="99">
        <v>224266</v>
      </c>
      <c r="P17" s="101">
        <v>2.6114654732414528E-4</v>
      </c>
      <c r="Q17" t="str">
        <f>VLOOKUP(Table325[[#This Row],[Census Tract]],'UI EnergyBurden'!$A$2:$B$184,2,FALSE)</f>
        <v>No</v>
      </c>
      <c r="R17">
        <f>VLOOKUP(Table325[[#This Row],[Census Tract]],'Population and Diversity Data'!B13:K834,10,FALSE)</f>
        <v>5</v>
      </c>
    </row>
    <row r="18" spans="1:18" ht="15.75" thickBot="1" x14ac:dyDescent="0.3">
      <c r="A18" s="175">
        <v>9001061500</v>
      </c>
      <c r="B18" s="200" t="s">
        <v>934</v>
      </c>
      <c r="C18" s="93" t="s">
        <v>944</v>
      </c>
      <c r="D18" s="94">
        <f>Table325[[#This Row],[Residential CLM $ Collected]]+Table325[[#This Row],[C&amp;I CLM $ Collected]]</f>
        <v>2535.1001999999999</v>
      </c>
      <c r="E18" s="95">
        <v>1.693069653472477E-3</v>
      </c>
      <c r="F18" s="96">
        <f>Table325[[#This Row],[Residential Incentive Disbursements]]+Table325[[#This Row],[C&amp;I Incentive Disbursements]]</f>
        <v>0</v>
      </c>
      <c r="G18" s="95">
        <v>1.7877698652979872E-3</v>
      </c>
      <c r="H18" s="95" t="str">
        <f t="shared" si="0"/>
        <v>YES</v>
      </c>
      <c r="I18" s="97">
        <v>0</v>
      </c>
      <c r="J18" s="98">
        <v>1.693069653472477E-3</v>
      </c>
      <c r="K18" s="99">
        <v>0</v>
      </c>
      <c r="L18" s="98">
        <v>1.7877698652979872E-3</v>
      </c>
      <c r="M18" s="97">
        <v>2535.1001999999999</v>
      </c>
      <c r="N18" s="118">
        <v>1.693069653472477E-3</v>
      </c>
      <c r="O18" s="99">
        <v>0</v>
      </c>
      <c r="P18" s="101">
        <v>1.7877698652979872E-3</v>
      </c>
      <c r="Q18" t="str">
        <f>VLOOKUP(Table325[[#This Row],[Census Tract]],'UI EnergyBurden'!$A$2:$B$184,2,FALSE)</f>
        <v>No</v>
      </c>
      <c r="R18">
        <f>VLOOKUP(Table325[[#This Row],[Census Tract]],'Population and Diversity Data'!B14:K835,10,FALSE)</f>
        <v>4</v>
      </c>
    </row>
    <row r="19" spans="1:18" ht="15.75" thickBot="1" x14ac:dyDescent="0.3">
      <c r="A19" s="175">
        <v>9001061500</v>
      </c>
      <c r="B19" s="200" t="s">
        <v>2985</v>
      </c>
      <c r="C19" s="93" t="s">
        <v>944</v>
      </c>
      <c r="D19" s="94">
        <f>Table325[[#This Row],[Residential CLM $ Collected]]+Table325[[#This Row],[C&amp;I CLM $ Collected]]</f>
        <v>63380.398999999998</v>
      </c>
      <c r="E19" s="95">
        <v>4.8602242955113123E-3</v>
      </c>
      <c r="F19" s="96">
        <f>Table325[[#This Row],[Residential Incentive Disbursements]]+Table325[[#This Row],[C&amp;I Incentive Disbursements]]</f>
        <v>1555</v>
      </c>
      <c r="G19" s="95">
        <v>5.0261324007126237E-3</v>
      </c>
      <c r="H19" s="95" t="str">
        <f t="shared" si="0"/>
        <v>YES</v>
      </c>
      <c r="I19" s="97">
        <v>0</v>
      </c>
      <c r="J19" s="98">
        <v>4.8602242955113123E-3</v>
      </c>
      <c r="K19" s="99">
        <v>0</v>
      </c>
      <c r="L19" s="98">
        <v>5.0261324007126237E-3</v>
      </c>
      <c r="M19" s="97">
        <v>63380.398999999998</v>
      </c>
      <c r="N19" s="118">
        <v>4.8602242955113123E-3</v>
      </c>
      <c r="O19" s="99">
        <v>1555</v>
      </c>
      <c r="P19" s="101">
        <v>5.0261324007126237E-3</v>
      </c>
      <c r="Q19" t="str">
        <f>VLOOKUP(Table325[[#This Row],[Census Tract]],'UI EnergyBurden'!$A$2:$B$184,2,FALSE)</f>
        <v>No</v>
      </c>
      <c r="R19">
        <f>VLOOKUP(Table325[[#This Row],[Census Tract]],'Population and Diversity Data'!B15:K836,10,FALSE)</f>
        <v>4</v>
      </c>
    </row>
    <row r="20" spans="1:18" ht="15.75" thickBot="1" x14ac:dyDescent="0.3">
      <c r="A20" s="175">
        <v>9001061600</v>
      </c>
      <c r="B20" s="200" t="s">
        <v>2985</v>
      </c>
      <c r="C20" s="93" t="s">
        <v>944</v>
      </c>
      <c r="D20" s="94">
        <f>Table325[[#This Row],[Residential CLM $ Collected]]+Table325[[#This Row],[C&amp;I CLM $ Collected]]</f>
        <v>32031.164499999999</v>
      </c>
      <c r="E20" s="95">
        <v>2.5042807066534404E-3</v>
      </c>
      <c r="F20" s="96">
        <f>Table325[[#This Row],[Residential Incentive Disbursements]]+Table325[[#This Row],[C&amp;I Incentive Disbursements]]</f>
        <v>49035</v>
      </c>
      <c r="G20" s="95">
        <v>2.6623850978211254E-4</v>
      </c>
      <c r="H20" s="95" t="str">
        <f t="shared" si="0"/>
        <v>NO</v>
      </c>
      <c r="I20" s="97">
        <v>2121.6125999999999</v>
      </c>
      <c r="J20" s="98">
        <v>2.5042807066534404E-3</v>
      </c>
      <c r="K20" s="99">
        <v>0</v>
      </c>
      <c r="L20" s="98">
        <v>2.6623850978211254E-4</v>
      </c>
      <c r="M20" s="97">
        <v>29909.551899999999</v>
      </c>
      <c r="N20" s="118">
        <v>2.5042807066534404E-3</v>
      </c>
      <c r="O20" s="99">
        <v>49035</v>
      </c>
      <c r="P20" s="101">
        <v>2.6623850978211254E-4</v>
      </c>
      <c r="Q20" t="str">
        <f>VLOOKUP(Table325[[#This Row],[Census Tract]],'UI EnergyBurden'!$A$2:$B$184,2,FALSE)</f>
        <v>No</v>
      </c>
      <c r="R20">
        <f>VLOOKUP(Table325[[#This Row],[Census Tract]],'Population and Diversity Data'!B16:K837,10,FALSE)</f>
        <v>1</v>
      </c>
    </row>
    <row r="21" spans="1:18" ht="15.75" thickBot="1" x14ac:dyDescent="0.3">
      <c r="A21" s="175">
        <v>9001070100</v>
      </c>
      <c r="B21" s="200" t="s">
        <v>934</v>
      </c>
      <c r="C21" s="93" t="s">
        <v>936</v>
      </c>
      <c r="D21" s="94">
        <f>Table325[[#This Row],[Residential CLM $ Collected]]+Table325[[#This Row],[C&amp;I CLM $ Collected]]</f>
        <v>7281.1782000000003</v>
      </c>
      <c r="E21" s="95">
        <v>1.2874612265994087E-3</v>
      </c>
      <c r="F21" s="96">
        <f>Table325[[#This Row],[Residential Incentive Disbursements]]+Table325[[#This Row],[C&amp;I Incentive Disbursements]]</f>
        <v>0</v>
      </c>
      <c r="G21" s="95">
        <v>1.1727304391373837E-3</v>
      </c>
      <c r="H21" s="95" t="str">
        <f t="shared" si="0"/>
        <v>NO</v>
      </c>
      <c r="I21" s="97">
        <v>0</v>
      </c>
      <c r="J21" s="98">
        <v>1.2874612265994087E-3</v>
      </c>
      <c r="K21" s="99">
        <v>0</v>
      </c>
      <c r="L21" s="98">
        <v>1.1727304391373837E-3</v>
      </c>
      <c r="M21" s="97">
        <v>7281.1782000000003</v>
      </c>
      <c r="N21" s="118">
        <v>1.2874612265994087E-3</v>
      </c>
      <c r="O21" s="99">
        <v>0</v>
      </c>
      <c r="P21" s="101">
        <v>1.1727304391373837E-3</v>
      </c>
      <c r="Q21" t="str">
        <f>VLOOKUP(Table325[[#This Row],[Census Tract]],'UI EnergyBurden'!$A$2:$B$184,2,FALSE)</f>
        <v>No</v>
      </c>
      <c r="R21">
        <f>VLOOKUP(Table325[[#This Row],[Census Tract]],'Population and Diversity Data'!B17:K838,10,FALSE)</f>
        <v>4</v>
      </c>
    </row>
    <row r="22" spans="1:18" ht="15.75" thickBot="1" x14ac:dyDescent="0.3">
      <c r="A22" s="175">
        <v>9001070200</v>
      </c>
      <c r="B22" s="200" t="s">
        <v>3005</v>
      </c>
      <c r="C22" s="93" t="s">
        <v>944</v>
      </c>
      <c r="D22" s="94">
        <f>Table325[[#This Row],[Residential CLM $ Collected]]+Table325[[#This Row],[C&amp;I CLM $ Collected]]</f>
        <v>0</v>
      </c>
      <c r="E22" s="95">
        <v>2.5897031523486776E-3</v>
      </c>
      <c r="F22" s="96">
        <f>Table325[[#This Row],[Residential Incentive Disbursements]]+Table325[[#This Row],[C&amp;I Incentive Disbursements]]</f>
        <v>85</v>
      </c>
      <c r="G22" s="95">
        <v>2.0906645527465372E-3</v>
      </c>
      <c r="H22" s="95" t="str">
        <f t="shared" si="0"/>
        <v>NO</v>
      </c>
      <c r="I22" s="97">
        <v>0</v>
      </c>
      <c r="J22" s="98">
        <v>2.5897031523486776E-3</v>
      </c>
      <c r="K22" s="99">
        <v>0</v>
      </c>
      <c r="L22" s="98">
        <v>2.0906645527465372E-3</v>
      </c>
      <c r="M22" s="97">
        <v>0</v>
      </c>
      <c r="N22" s="118">
        <v>2.5897031523486776E-3</v>
      </c>
      <c r="O22" s="99">
        <v>85</v>
      </c>
      <c r="P22" s="101">
        <v>2.0906645527465372E-3</v>
      </c>
      <c r="Q22" t="str">
        <f>VLOOKUP(Table325[[#This Row],[Census Tract]],'UI EnergyBurden'!$A$2:$B$184,2,FALSE)</f>
        <v>No</v>
      </c>
      <c r="R22">
        <f>VLOOKUP(Table325[[#This Row],[Census Tract]],'Population and Diversity Data'!B18:K839,10,FALSE)</f>
        <v>4</v>
      </c>
    </row>
    <row r="23" spans="1:18" ht="15.75" thickBot="1" x14ac:dyDescent="0.3">
      <c r="A23" s="175">
        <v>9001070200</v>
      </c>
      <c r="B23" s="200" t="s">
        <v>934</v>
      </c>
      <c r="C23" s="93" t="s">
        <v>936</v>
      </c>
      <c r="D23" s="94">
        <f>Table325[[#This Row],[Residential CLM $ Collected]]+Table325[[#This Row],[C&amp;I CLM $ Collected]]</f>
        <v>23732.358</v>
      </c>
      <c r="E23" s="95">
        <v>4.0787861310231923E-3</v>
      </c>
      <c r="F23" s="96">
        <f>Table325[[#This Row],[Residential Incentive Disbursements]]+Table325[[#This Row],[C&amp;I Incentive Disbursements]]</f>
        <v>0</v>
      </c>
      <c r="G23" s="95">
        <v>5.2688508650839772E-4</v>
      </c>
      <c r="H23" s="95" t="str">
        <f t="shared" si="0"/>
        <v>NO</v>
      </c>
      <c r="I23" s="97">
        <v>0</v>
      </c>
      <c r="J23" s="98">
        <v>4.0787861310231923E-3</v>
      </c>
      <c r="K23" s="99">
        <v>0</v>
      </c>
      <c r="L23" s="98">
        <v>5.2688508650839772E-4</v>
      </c>
      <c r="M23" s="97">
        <v>23732.358</v>
      </c>
      <c r="N23" s="118">
        <v>4.0787861310231923E-3</v>
      </c>
      <c r="O23" s="99">
        <v>0</v>
      </c>
      <c r="P23" s="101">
        <v>5.2688508650839772E-4</v>
      </c>
      <c r="Q23" t="str">
        <f>VLOOKUP(Table325[[#This Row],[Census Tract]],'UI EnergyBurden'!$A$2:$B$184,2,FALSE)</f>
        <v>No</v>
      </c>
      <c r="R23">
        <f>VLOOKUP(Table325[[#This Row],[Census Tract]],'Population and Diversity Data'!B19:K840,10,FALSE)</f>
        <v>4</v>
      </c>
    </row>
    <row r="24" spans="1:18" ht="15.75" thickBot="1" x14ac:dyDescent="0.3">
      <c r="A24" s="175">
        <v>9001070300</v>
      </c>
      <c r="B24" s="200" t="s">
        <v>3005</v>
      </c>
      <c r="C24" s="93" t="s">
        <v>944</v>
      </c>
      <c r="D24" s="94">
        <f>Table325[[#This Row],[Residential CLM $ Collected]]+Table325[[#This Row],[C&amp;I CLM $ Collected]]</f>
        <v>0</v>
      </c>
      <c r="E24" s="95">
        <v>1.8534214633550644E-5</v>
      </c>
      <c r="F24" s="96">
        <f>Table325[[#This Row],[Residential Incentive Disbursements]]+Table325[[#This Row],[C&amp;I Incentive Disbursements]]</f>
        <v>92446</v>
      </c>
      <c r="G24" s="95">
        <v>0</v>
      </c>
      <c r="H24" s="95" t="str">
        <f t="shared" si="0"/>
        <v>NO</v>
      </c>
      <c r="I24" s="97">
        <v>0</v>
      </c>
      <c r="J24" s="98">
        <v>1.8534214633550644E-5</v>
      </c>
      <c r="K24" s="99">
        <v>0</v>
      </c>
      <c r="L24" s="98">
        <v>0</v>
      </c>
      <c r="M24" s="97">
        <v>0</v>
      </c>
      <c r="N24" s="118">
        <v>1.8534214633550644E-5</v>
      </c>
      <c r="O24" s="99">
        <v>92446</v>
      </c>
      <c r="P24" s="101">
        <v>0</v>
      </c>
      <c r="Q24" t="str">
        <f>VLOOKUP(Table325[[#This Row],[Census Tract]],'UI EnergyBurden'!$A$2:$B$184,2,FALSE)</f>
        <v>Yes</v>
      </c>
      <c r="R24">
        <f>VLOOKUP(Table325[[#This Row],[Census Tract]],'Population and Diversity Data'!B20:K841,10,FALSE)</f>
        <v>4</v>
      </c>
    </row>
    <row r="25" spans="1:18" ht="15.75" thickBot="1" x14ac:dyDescent="0.3">
      <c r="A25" s="175">
        <v>9001070300</v>
      </c>
      <c r="B25" s="200" t="s">
        <v>934</v>
      </c>
      <c r="C25" s="93" t="s">
        <v>936</v>
      </c>
      <c r="D25" s="94">
        <f>Table325[[#This Row],[Residential CLM $ Collected]]+Table325[[#This Row],[C&amp;I CLM $ Collected]]</f>
        <v>90882.647700000001</v>
      </c>
      <c r="E25" s="95">
        <v>6.4748125530436768E-3</v>
      </c>
      <c r="F25" s="96">
        <f>Table325[[#This Row],[Residential Incentive Disbursements]]+Table325[[#This Row],[C&amp;I Incentive Disbursements]]</f>
        <v>0</v>
      </c>
      <c r="G25" s="95">
        <v>2.065394610243269E-3</v>
      </c>
      <c r="H25" s="95" t="str">
        <f t="shared" si="0"/>
        <v>NO</v>
      </c>
      <c r="I25" s="97">
        <v>0</v>
      </c>
      <c r="J25" s="98">
        <v>6.4748125530436768E-3</v>
      </c>
      <c r="K25" s="99">
        <v>0</v>
      </c>
      <c r="L25" s="98">
        <v>2.065394610243269E-3</v>
      </c>
      <c r="M25" s="97">
        <v>90882.647700000001</v>
      </c>
      <c r="N25" s="118">
        <v>6.4748125530436768E-3</v>
      </c>
      <c r="O25" s="99">
        <v>0</v>
      </c>
      <c r="P25" s="101">
        <v>2.065394610243269E-3</v>
      </c>
      <c r="Q25" t="str">
        <f>VLOOKUP(Table325[[#This Row],[Census Tract]],'UI EnergyBurden'!$A$2:$B$184,2,FALSE)</f>
        <v>Yes</v>
      </c>
      <c r="R25">
        <f>VLOOKUP(Table325[[#This Row],[Census Tract]],'Population and Diversity Data'!B21:K842,10,FALSE)</f>
        <v>4</v>
      </c>
    </row>
    <row r="26" spans="1:18" ht="15.75" thickBot="1" x14ac:dyDescent="0.3">
      <c r="A26" s="175">
        <v>9001070400</v>
      </c>
      <c r="B26" s="200" t="s">
        <v>3005</v>
      </c>
      <c r="C26" s="93" t="s">
        <v>944</v>
      </c>
      <c r="D26" s="94">
        <f>Table325[[#This Row],[Residential CLM $ Collected]]+Table325[[#This Row],[C&amp;I CLM $ Collected]]</f>
        <v>0</v>
      </c>
      <c r="E26" s="95">
        <v>6.2608954859231705E-3</v>
      </c>
      <c r="F26" s="96">
        <f>Table325[[#This Row],[Residential Incentive Disbursements]]+Table325[[#This Row],[C&amp;I Incentive Disbursements]]</f>
        <v>484416</v>
      </c>
      <c r="G26" s="95">
        <v>1.473453825703799E-3</v>
      </c>
      <c r="H26" s="95" t="str">
        <f t="shared" si="0"/>
        <v>NO</v>
      </c>
      <c r="I26" s="97">
        <v>0</v>
      </c>
      <c r="J26" s="98">
        <v>6.2608954859231705E-3</v>
      </c>
      <c r="K26" s="99">
        <v>0</v>
      </c>
      <c r="L26" s="98">
        <v>1.473453825703799E-3</v>
      </c>
      <c r="M26" s="97">
        <v>0</v>
      </c>
      <c r="N26" s="118">
        <v>6.2608954859231705E-3</v>
      </c>
      <c r="O26" s="99">
        <v>484416</v>
      </c>
      <c r="P26" s="101">
        <v>1.473453825703799E-3</v>
      </c>
      <c r="Q26" t="str">
        <f>VLOOKUP(Table325[[#This Row],[Census Tract]],'UI EnergyBurden'!$A$2:$B$184,2,FALSE)</f>
        <v>Yes</v>
      </c>
      <c r="R26">
        <f>VLOOKUP(Table325[[#This Row],[Census Tract]],'Population and Diversity Data'!B22:K843,10,FALSE)</f>
        <v>5</v>
      </c>
    </row>
    <row r="27" spans="1:18" ht="15.75" thickBot="1" x14ac:dyDescent="0.3">
      <c r="A27" s="175">
        <v>9001070400</v>
      </c>
      <c r="B27" s="200" t="s">
        <v>934</v>
      </c>
      <c r="C27" s="93" t="s">
        <v>936</v>
      </c>
      <c r="D27" s="94">
        <f>Table325[[#This Row],[Residential CLM $ Collected]]+Table325[[#This Row],[C&amp;I CLM $ Collected]]</f>
        <v>28740.396199999999</v>
      </c>
      <c r="E27" s="95">
        <v>0</v>
      </c>
      <c r="F27" s="96">
        <f>Table325[[#This Row],[Residential Incentive Disbursements]]+Table325[[#This Row],[C&amp;I Incentive Disbursements]]</f>
        <v>0</v>
      </c>
      <c r="G27" s="95">
        <v>6.8961123123761155E-4</v>
      </c>
      <c r="H27" s="95" t="str">
        <f t="shared" si="0"/>
        <v>N/A</v>
      </c>
      <c r="I27" s="97">
        <v>0</v>
      </c>
      <c r="J27" s="98">
        <v>0</v>
      </c>
      <c r="K27" s="99">
        <v>0</v>
      </c>
      <c r="L27" s="98">
        <v>6.8961123123761155E-4</v>
      </c>
      <c r="M27" s="97">
        <v>28740.396199999999</v>
      </c>
      <c r="N27" s="118">
        <v>0</v>
      </c>
      <c r="O27" s="99">
        <v>0</v>
      </c>
      <c r="P27" s="101">
        <v>6.8961123123761155E-4</v>
      </c>
      <c r="Q27" t="str">
        <f>VLOOKUP(Table325[[#This Row],[Census Tract]],'UI EnergyBurden'!$A$2:$B$184,2,FALSE)</f>
        <v>Yes</v>
      </c>
      <c r="R27">
        <f>VLOOKUP(Table325[[#This Row],[Census Tract]],'Population and Diversity Data'!B23:K844,10,FALSE)</f>
        <v>5</v>
      </c>
    </row>
    <row r="28" spans="1:18" ht="15.75" thickBot="1" x14ac:dyDescent="0.3">
      <c r="A28" s="175">
        <v>9001070500</v>
      </c>
      <c r="B28" s="200" t="s">
        <v>934</v>
      </c>
      <c r="C28" s="93" t="s">
        <v>936</v>
      </c>
      <c r="D28" s="94">
        <f>Table325[[#This Row],[Residential CLM $ Collected]]+Table325[[#This Row],[C&amp;I CLM $ Collected]]</f>
        <v>16724.715800000002</v>
      </c>
      <c r="E28" s="95">
        <v>4.0691271591036283E-3</v>
      </c>
      <c r="F28" s="96">
        <f>Table325[[#This Row],[Residential Incentive Disbursements]]+Table325[[#This Row],[C&amp;I Incentive Disbursements]]</f>
        <v>0</v>
      </c>
      <c r="G28" s="95">
        <v>0</v>
      </c>
      <c r="H28" s="95" t="str">
        <f t="shared" si="0"/>
        <v>NO</v>
      </c>
      <c r="I28" s="97">
        <v>0</v>
      </c>
      <c r="J28" s="98">
        <v>4.0691271591036283E-3</v>
      </c>
      <c r="K28" s="99">
        <v>0</v>
      </c>
      <c r="L28" s="98">
        <v>0</v>
      </c>
      <c r="M28" s="97">
        <v>16724.715800000002</v>
      </c>
      <c r="N28" s="118">
        <v>4.0691271591036283E-3</v>
      </c>
      <c r="O28" s="99">
        <v>0</v>
      </c>
      <c r="P28" s="101">
        <v>0</v>
      </c>
      <c r="Q28" t="str">
        <f>VLOOKUP(Table325[[#This Row],[Census Tract]],'UI EnergyBurden'!$A$2:$B$184,2,FALSE)</f>
        <v>Yes</v>
      </c>
      <c r="R28">
        <f>VLOOKUP(Table325[[#This Row],[Census Tract]],'Population and Diversity Data'!B24:K845,10,FALSE)</f>
        <v>5</v>
      </c>
    </row>
    <row r="29" spans="1:18" ht="15.75" thickBot="1" x14ac:dyDescent="0.3">
      <c r="A29" s="175">
        <v>9001070600</v>
      </c>
      <c r="B29" s="200" t="s">
        <v>3005</v>
      </c>
      <c r="C29" s="93" t="s">
        <v>944</v>
      </c>
      <c r="D29" s="94">
        <f>Table325[[#This Row],[Residential CLM $ Collected]]+Table325[[#This Row],[C&amp;I CLM $ Collected]]</f>
        <v>0</v>
      </c>
      <c r="E29" s="95">
        <v>0</v>
      </c>
      <c r="F29" s="96">
        <f>Table325[[#This Row],[Residential Incentive Disbursements]]+Table325[[#This Row],[C&amp;I Incentive Disbursements]]</f>
        <v>49135</v>
      </c>
      <c r="G29" s="95">
        <v>5.1608453118843578E-4</v>
      </c>
      <c r="H29" s="95" t="str">
        <f t="shared" si="0"/>
        <v>N/A</v>
      </c>
      <c r="I29" s="97">
        <v>0</v>
      </c>
      <c r="J29" s="98">
        <v>0</v>
      </c>
      <c r="K29" s="99">
        <v>0</v>
      </c>
      <c r="L29" s="98">
        <v>5.1608453118843578E-4</v>
      </c>
      <c r="M29" s="97">
        <v>0</v>
      </c>
      <c r="N29" s="118">
        <v>0</v>
      </c>
      <c r="O29" s="99">
        <v>49135</v>
      </c>
      <c r="P29" s="101">
        <v>5.1608453118843578E-4</v>
      </c>
      <c r="Q29" t="str">
        <f>VLOOKUP(Table325[[#This Row],[Census Tract]],'UI EnergyBurden'!$A$2:$B$184,2,FALSE)</f>
        <v>No</v>
      </c>
      <c r="R29">
        <f>VLOOKUP(Table325[[#This Row],[Census Tract]],'Population and Diversity Data'!B25:K846,10,FALSE)</f>
        <v>4</v>
      </c>
    </row>
    <row r="30" spans="1:18" ht="15.75" thickBot="1" x14ac:dyDescent="0.3">
      <c r="A30" s="175">
        <v>9001070600</v>
      </c>
      <c r="B30" s="200" t="s">
        <v>934</v>
      </c>
      <c r="C30" s="93" t="s">
        <v>936</v>
      </c>
      <c r="D30" s="94">
        <f>Table325[[#This Row],[Residential CLM $ Collected]]+Table325[[#This Row],[C&amp;I CLM $ Collected]]</f>
        <v>329048.53960000002</v>
      </c>
      <c r="E30" s="95">
        <v>2.3196537377020692E-3</v>
      </c>
      <c r="F30" s="96">
        <f>Table325[[#This Row],[Residential Incentive Disbursements]]+Table325[[#This Row],[C&amp;I Incentive Disbursements]]</f>
        <v>0</v>
      </c>
      <c r="G30" s="95">
        <v>0</v>
      </c>
      <c r="H30" s="95" t="str">
        <f t="shared" si="0"/>
        <v>NO</v>
      </c>
      <c r="I30" s="97">
        <v>0</v>
      </c>
      <c r="J30" s="98">
        <v>2.3196537377020692E-3</v>
      </c>
      <c r="K30" s="99">
        <v>0</v>
      </c>
      <c r="L30" s="98">
        <v>0</v>
      </c>
      <c r="M30" s="97">
        <v>329048.53960000002</v>
      </c>
      <c r="N30" s="118">
        <v>2.3196537377020692E-3</v>
      </c>
      <c r="O30" s="99">
        <v>0</v>
      </c>
      <c r="P30" s="101">
        <v>0</v>
      </c>
      <c r="Q30" t="str">
        <f>VLOOKUP(Table325[[#This Row],[Census Tract]],'UI EnergyBurden'!$A$2:$B$184,2,FALSE)</f>
        <v>No</v>
      </c>
      <c r="R30">
        <f>VLOOKUP(Table325[[#This Row],[Census Tract]],'Population and Diversity Data'!B26:K847,10,FALSE)</f>
        <v>4</v>
      </c>
    </row>
    <row r="31" spans="1:18" ht="15.75" thickBot="1" x14ac:dyDescent="0.3">
      <c r="A31" s="175">
        <v>9001070900</v>
      </c>
      <c r="B31" s="200" t="s">
        <v>934</v>
      </c>
      <c r="C31" s="93" t="s">
        <v>936</v>
      </c>
      <c r="D31" s="94">
        <f>Table325[[#This Row],[Residential CLM $ Collected]]+Table325[[#This Row],[C&amp;I CLM $ Collected]]</f>
        <v>14584.582</v>
      </c>
      <c r="E31" s="95">
        <v>0</v>
      </c>
      <c r="F31" s="96">
        <f>Table325[[#This Row],[Residential Incentive Disbursements]]+Table325[[#This Row],[C&amp;I Incentive Disbursements]]</f>
        <v>0</v>
      </c>
      <c r="G31" s="95">
        <v>4.4619995046636532E-5</v>
      </c>
      <c r="H31" s="95" t="str">
        <f t="shared" si="0"/>
        <v>N/A</v>
      </c>
      <c r="I31" s="97">
        <v>0</v>
      </c>
      <c r="J31" s="98">
        <v>0</v>
      </c>
      <c r="K31" s="99">
        <v>0</v>
      </c>
      <c r="L31" s="98">
        <v>4.4619995046636532E-5</v>
      </c>
      <c r="M31" s="97">
        <v>14584.582</v>
      </c>
      <c r="N31" s="118">
        <v>0</v>
      </c>
      <c r="O31" s="99">
        <v>0</v>
      </c>
      <c r="P31" s="101">
        <v>4.4619995046636532E-5</v>
      </c>
      <c r="Q31" t="str">
        <f>VLOOKUP(Table325[[#This Row],[Census Tract]],'UI EnergyBurden'!$A$2:$B$184,2,FALSE)</f>
        <v>Yes</v>
      </c>
      <c r="R31">
        <f>VLOOKUP(Table325[[#This Row],[Census Tract]],'Population and Diversity Data'!B27:K848,10,FALSE)</f>
        <v>5</v>
      </c>
    </row>
    <row r="32" spans="1:18" ht="15.75" thickBot="1" x14ac:dyDescent="0.3">
      <c r="A32" s="175">
        <v>9001071000</v>
      </c>
      <c r="B32" s="200" t="s">
        <v>934</v>
      </c>
      <c r="C32" s="93" t="s">
        <v>936</v>
      </c>
      <c r="D32" s="94">
        <f>Table325[[#This Row],[Residential CLM $ Collected]]+Table325[[#This Row],[C&amp;I CLM $ Collected]]</f>
        <v>21101.988799999999</v>
      </c>
      <c r="E32" s="95">
        <v>0</v>
      </c>
      <c r="F32" s="96">
        <f>Table325[[#This Row],[Residential Incentive Disbursements]]+Table325[[#This Row],[C&amp;I Incentive Disbursements]]</f>
        <v>0</v>
      </c>
      <c r="G32" s="95">
        <v>1.2708734770911213E-2</v>
      </c>
      <c r="H32" s="95" t="str">
        <f t="shared" si="0"/>
        <v>N/A</v>
      </c>
      <c r="I32" s="97">
        <v>0</v>
      </c>
      <c r="J32" s="98">
        <v>0</v>
      </c>
      <c r="K32" s="99">
        <v>0</v>
      </c>
      <c r="L32" s="98">
        <v>1.2708734770911213E-2</v>
      </c>
      <c r="M32" s="97">
        <v>21101.988799999999</v>
      </c>
      <c r="N32" s="118">
        <v>0</v>
      </c>
      <c r="O32" s="99">
        <v>0</v>
      </c>
      <c r="P32" s="101">
        <v>1.2708734770911213E-2</v>
      </c>
      <c r="Q32" t="str">
        <f>VLOOKUP(Table325[[#This Row],[Census Tract]],'UI EnergyBurden'!$A$2:$B$184,2,FALSE)</f>
        <v>Yes</v>
      </c>
      <c r="R32">
        <f>VLOOKUP(Table325[[#This Row],[Census Tract]],'Population and Diversity Data'!B28:K849,10,FALSE)</f>
        <v>5</v>
      </c>
    </row>
    <row r="33" spans="1:18" ht="15.75" thickBot="1" x14ac:dyDescent="0.3">
      <c r="A33" s="175">
        <v>9001071100</v>
      </c>
      <c r="B33" s="200" t="s">
        <v>934</v>
      </c>
      <c r="C33" s="93" t="s">
        <v>944</v>
      </c>
      <c r="D33" s="94">
        <f>Table325[[#This Row],[Residential CLM $ Collected]]+Table325[[#This Row],[C&amp;I CLM $ Collected]]</f>
        <v>5250.7829000000002</v>
      </c>
      <c r="E33" s="95">
        <v>1.808941612791681E-3</v>
      </c>
      <c r="F33" s="96">
        <f>Table325[[#This Row],[Residential Incentive Disbursements]]+Table325[[#This Row],[C&amp;I Incentive Disbursements]]</f>
        <v>0</v>
      </c>
      <c r="G33" s="95">
        <v>0</v>
      </c>
      <c r="H33" s="95" t="str">
        <f t="shared" si="0"/>
        <v>NO</v>
      </c>
      <c r="I33" s="97">
        <v>0</v>
      </c>
      <c r="J33" s="98">
        <v>1.808941612791681E-3</v>
      </c>
      <c r="K33" s="99">
        <v>0</v>
      </c>
      <c r="L33" s="98">
        <v>0</v>
      </c>
      <c r="M33" s="97">
        <v>5250.7829000000002</v>
      </c>
      <c r="N33" s="118">
        <v>1.808941612791681E-3</v>
      </c>
      <c r="O33" s="99">
        <v>0</v>
      </c>
      <c r="P33" s="101">
        <v>0</v>
      </c>
      <c r="Q33" t="str">
        <f>VLOOKUP(Table325[[#This Row],[Census Tract]],'UI EnergyBurden'!$A$2:$B$184,2,FALSE)</f>
        <v>Yes</v>
      </c>
      <c r="R33">
        <f>VLOOKUP(Table325[[#This Row],[Census Tract]],'Population and Diversity Data'!B29:K850,10,FALSE)</f>
        <v>5</v>
      </c>
    </row>
    <row r="34" spans="1:18" ht="15.75" thickBot="1" x14ac:dyDescent="0.3">
      <c r="A34" s="175">
        <v>9001071200</v>
      </c>
      <c r="B34" s="200" t="s">
        <v>3005</v>
      </c>
      <c r="C34" s="93" t="s">
        <v>944</v>
      </c>
      <c r="D34" s="94">
        <f>Table325[[#This Row],[Residential CLM $ Collected]]+Table325[[#This Row],[C&amp;I CLM $ Collected]]</f>
        <v>0</v>
      </c>
      <c r="E34" s="95">
        <v>0</v>
      </c>
      <c r="F34" s="96">
        <f>Table325[[#This Row],[Residential Incentive Disbursements]]+Table325[[#This Row],[C&amp;I Incentive Disbursements]]</f>
        <v>4617</v>
      </c>
      <c r="G34" s="95">
        <v>1.4901087986434646E-4</v>
      </c>
      <c r="H34" s="95" t="str">
        <f t="shared" si="0"/>
        <v>N/A</v>
      </c>
      <c r="I34" s="97">
        <v>0</v>
      </c>
      <c r="J34" s="98">
        <v>0</v>
      </c>
      <c r="K34" s="99">
        <v>0</v>
      </c>
      <c r="L34" s="98">
        <v>1.4901087986434646E-4</v>
      </c>
      <c r="M34" s="97">
        <v>0</v>
      </c>
      <c r="N34" s="118">
        <v>0</v>
      </c>
      <c r="O34" s="99">
        <v>4617</v>
      </c>
      <c r="P34" s="101">
        <v>1.4901087986434646E-4</v>
      </c>
      <c r="Q34" t="str">
        <f>VLOOKUP(Table325[[#This Row],[Census Tract]],'UI EnergyBurden'!$A$2:$B$184,2,FALSE)</f>
        <v>Yes</v>
      </c>
      <c r="R34">
        <f>VLOOKUP(Table325[[#This Row],[Census Tract]],'Population and Diversity Data'!B30:K851,10,FALSE)</f>
        <v>5</v>
      </c>
    </row>
    <row r="35" spans="1:18" ht="15.75" thickBot="1" x14ac:dyDescent="0.3">
      <c r="A35" s="175">
        <v>9001071200</v>
      </c>
      <c r="B35" s="200" t="s">
        <v>934</v>
      </c>
      <c r="C35" s="93" t="s">
        <v>936</v>
      </c>
      <c r="D35" s="94">
        <f>Table325[[#This Row],[Residential CLM $ Collected]]+Table325[[#This Row],[C&amp;I CLM $ Collected]]</f>
        <v>26819.623799999998</v>
      </c>
      <c r="E35" s="95">
        <v>8.2195840081376946E-4</v>
      </c>
      <c r="F35" s="96">
        <f>Table325[[#This Row],[Residential Incentive Disbursements]]+Table325[[#This Row],[C&amp;I Incentive Disbursements]]</f>
        <v>0</v>
      </c>
      <c r="G35" s="95">
        <v>0</v>
      </c>
      <c r="H35" s="95" t="str">
        <f t="shared" si="0"/>
        <v>NO</v>
      </c>
      <c r="I35" s="97">
        <v>1014.0401000000001</v>
      </c>
      <c r="J35" s="98">
        <v>8.2195840081376946E-4</v>
      </c>
      <c r="K35" s="99">
        <v>0</v>
      </c>
      <c r="L35" s="98">
        <v>0</v>
      </c>
      <c r="M35" s="97">
        <v>25805.583699999999</v>
      </c>
      <c r="N35" s="118">
        <v>8.2195840081376946E-4</v>
      </c>
      <c r="O35" s="99">
        <v>0</v>
      </c>
      <c r="P35" s="101">
        <v>0</v>
      </c>
      <c r="Q35" t="str">
        <f>VLOOKUP(Table325[[#This Row],[Census Tract]],'UI EnergyBurden'!$A$2:$B$184,2,FALSE)</f>
        <v>Yes</v>
      </c>
      <c r="R35">
        <f>VLOOKUP(Table325[[#This Row],[Census Tract]],'Population and Diversity Data'!B31:K852,10,FALSE)</f>
        <v>5</v>
      </c>
    </row>
    <row r="36" spans="1:18" ht="15.75" thickBot="1" x14ac:dyDescent="0.3">
      <c r="A36" s="175">
        <v>9001071300</v>
      </c>
      <c r="B36" s="200" t="s">
        <v>934</v>
      </c>
      <c r="C36" s="93" t="s">
        <v>936</v>
      </c>
      <c r="D36" s="94">
        <f>Table325[[#This Row],[Residential CLM $ Collected]]+Table325[[#This Row],[C&amp;I CLM $ Collected]]</f>
        <v>33404.633399999999</v>
      </c>
      <c r="E36" s="95">
        <v>1.7478704207832351E-6</v>
      </c>
      <c r="F36" s="96">
        <f>Table325[[#This Row],[Residential Incentive Disbursements]]+Table325[[#This Row],[C&amp;I Incentive Disbursements]]</f>
        <v>0</v>
      </c>
      <c r="G36" s="95">
        <v>0</v>
      </c>
      <c r="H36" s="95" t="str">
        <f t="shared" si="0"/>
        <v>N/A</v>
      </c>
      <c r="I36" s="97">
        <v>0</v>
      </c>
      <c r="J36" s="98">
        <v>1.7478704207832351E-6</v>
      </c>
      <c r="K36" s="99">
        <v>0</v>
      </c>
      <c r="L36" s="98">
        <v>0</v>
      </c>
      <c r="M36" s="97">
        <v>33404.633399999999</v>
      </c>
      <c r="N36" s="118">
        <v>1.7478704207832351E-6</v>
      </c>
      <c r="O36" s="99">
        <v>0</v>
      </c>
      <c r="P36" s="101">
        <v>0</v>
      </c>
      <c r="Q36" t="str">
        <f>VLOOKUP(Table325[[#This Row],[Census Tract]],'UI EnergyBurden'!$A$2:$B$184,2,FALSE)</f>
        <v>Yes</v>
      </c>
      <c r="R36">
        <f>VLOOKUP(Table325[[#This Row],[Census Tract]],'Population and Diversity Data'!B32:K853,10,FALSE)</f>
        <v>5</v>
      </c>
    </row>
    <row r="37" spans="1:18" ht="15.75" thickBot="1" x14ac:dyDescent="0.3">
      <c r="A37" s="175">
        <v>9001071400</v>
      </c>
      <c r="B37" s="200" t="s">
        <v>934</v>
      </c>
      <c r="C37" s="93" t="s">
        <v>944</v>
      </c>
      <c r="D37" s="94">
        <f>Table325[[#This Row],[Residential CLM $ Collected]]+Table325[[#This Row],[C&amp;I CLM $ Collected]]</f>
        <v>17213.561799999999</v>
      </c>
      <c r="E37" s="95">
        <v>0</v>
      </c>
      <c r="F37" s="96">
        <f>Table325[[#This Row],[Residential Incentive Disbursements]]+Table325[[#This Row],[C&amp;I Incentive Disbursements]]</f>
        <v>0</v>
      </c>
      <c r="G37" s="95">
        <v>9.8785797773534145E-4</v>
      </c>
      <c r="H37" s="95" t="str">
        <f t="shared" si="0"/>
        <v>N/A</v>
      </c>
      <c r="I37" s="97">
        <v>0</v>
      </c>
      <c r="J37" s="98">
        <v>0</v>
      </c>
      <c r="K37" s="99">
        <v>0</v>
      </c>
      <c r="L37" s="98">
        <v>9.8785797773534145E-4</v>
      </c>
      <c r="M37" s="97">
        <v>17213.561799999999</v>
      </c>
      <c r="N37" s="118">
        <v>0</v>
      </c>
      <c r="O37" s="99">
        <v>0</v>
      </c>
      <c r="P37" s="101">
        <v>9.8785797773534145E-4</v>
      </c>
      <c r="Q37" t="str">
        <f>VLOOKUP(Table325[[#This Row],[Census Tract]],'UI EnergyBurden'!$A$2:$B$184,2,FALSE)</f>
        <v>Yes</v>
      </c>
      <c r="R37">
        <f>VLOOKUP(Table325[[#This Row],[Census Tract]],'Population and Diversity Data'!B33:K854,10,FALSE)</f>
        <v>5</v>
      </c>
    </row>
    <row r="38" spans="1:18" ht="15.75" thickBot="1" x14ac:dyDescent="0.3">
      <c r="A38" s="175">
        <v>9001071900</v>
      </c>
      <c r="B38" s="200" t="s">
        <v>3005</v>
      </c>
      <c r="C38" s="93" t="s">
        <v>944</v>
      </c>
      <c r="D38" s="94">
        <f>Table325[[#This Row],[Residential CLM $ Collected]]+Table325[[#This Row],[C&amp;I CLM $ Collected]]</f>
        <v>0</v>
      </c>
      <c r="E38" s="95">
        <v>9.995301815193616E-4</v>
      </c>
      <c r="F38" s="96">
        <f>Table325[[#This Row],[Residential Incentive Disbursements]]+Table325[[#This Row],[C&amp;I Incentive Disbursements]]</f>
        <v>244</v>
      </c>
      <c r="G38" s="95">
        <v>0</v>
      </c>
      <c r="H38" s="95" t="str">
        <f t="shared" si="0"/>
        <v>NO</v>
      </c>
      <c r="I38" s="97">
        <v>0</v>
      </c>
      <c r="J38" s="98">
        <v>9.995301815193616E-4</v>
      </c>
      <c r="K38" s="99">
        <v>0</v>
      </c>
      <c r="L38" s="98">
        <v>0</v>
      </c>
      <c r="M38" s="97">
        <v>0</v>
      </c>
      <c r="N38" s="118">
        <v>9.995301815193616E-4</v>
      </c>
      <c r="O38" s="99">
        <v>244</v>
      </c>
      <c r="P38" s="101">
        <v>0</v>
      </c>
      <c r="Q38" t="str">
        <f>VLOOKUP(Table325[[#This Row],[Census Tract]],'UI EnergyBurden'!$A$2:$B$184,2,FALSE)</f>
        <v>Yes</v>
      </c>
      <c r="R38">
        <f>VLOOKUP(Table325[[#This Row],[Census Tract]],'Population and Diversity Data'!B34:K855,10,FALSE)</f>
        <v>5</v>
      </c>
    </row>
    <row r="39" spans="1:18" ht="15.75" thickBot="1" x14ac:dyDescent="0.3">
      <c r="A39" s="175">
        <v>9001071900</v>
      </c>
      <c r="B39" s="200" t="s">
        <v>934</v>
      </c>
      <c r="C39" s="93" t="s">
        <v>936</v>
      </c>
      <c r="D39" s="94">
        <f>Table325[[#This Row],[Residential CLM $ Collected]]+Table325[[#This Row],[C&amp;I CLM $ Collected]]</f>
        <v>30759.562900000001</v>
      </c>
      <c r="E39" s="95">
        <v>0</v>
      </c>
      <c r="F39" s="96">
        <f>Table325[[#This Row],[Residential Incentive Disbursements]]+Table325[[#This Row],[C&amp;I Incentive Disbursements]]</f>
        <v>0</v>
      </c>
      <c r="G39" s="95">
        <v>6.584811571649498E-3</v>
      </c>
      <c r="H39" s="95" t="str">
        <f t="shared" si="0"/>
        <v>N/A</v>
      </c>
      <c r="I39" s="97">
        <v>0</v>
      </c>
      <c r="J39" s="98">
        <v>0</v>
      </c>
      <c r="K39" s="99">
        <v>0</v>
      </c>
      <c r="L39" s="98">
        <v>6.584811571649498E-3</v>
      </c>
      <c r="M39" s="97">
        <v>30759.562900000001</v>
      </c>
      <c r="N39" s="118">
        <v>0</v>
      </c>
      <c r="O39" s="99">
        <v>0</v>
      </c>
      <c r="P39" s="101">
        <v>6.584811571649498E-3</v>
      </c>
      <c r="Q39" t="str">
        <f>VLOOKUP(Table325[[#This Row],[Census Tract]],'UI EnergyBurden'!$A$2:$B$184,2,FALSE)</f>
        <v>Yes</v>
      </c>
      <c r="R39">
        <f>VLOOKUP(Table325[[#This Row],[Census Tract]],'Population and Diversity Data'!B35:K856,10,FALSE)</f>
        <v>5</v>
      </c>
    </row>
    <row r="40" spans="1:18" ht="15.75" thickBot="1" x14ac:dyDescent="0.3">
      <c r="A40" s="175">
        <v>9001072000</v>
      </c>
      <c r="B40" s="200" t="s">
        <v>934</v>
      </c>
      <c r="C40" s="93" t="s">
        <v>936</v>
      </c>
      <c r="D40" s="94">
        <f>Table325[[#This Row],[Residential CLM $ Collected]]+Table325[[#This Row],[C&amp;I CLM $ Collected]]</f>
        <v>17861.459299999999</v>
      </c>
      <c r="E40" s="95">
        <v>4.9591130900188997E-3</v>
      </c>
      <c r="F40" s="96">
        <f>Table325[[#This Row],[Residential Incentive Disbursements]]+Table325[[#This Row],[C&amp;I Incentive Disbursements]]</f>
        <v>0</v>
      </c>
      <c r="G40" s="95">
        <v>0</v>
      </c>
      <c r="H40" s="95" t="str">
        <f t="shared" si="0"/>
        <v>NO</v>
      </c>
      <c r="I40" s="97">
        <v>0</v>
      </c>
      <c r="J40" s="98">
        <v>4.9591130900188997E-3</v>
      </c>
      <c r="K40" s="99">
        <v>0</v>
      </c>
      <c r="L40" s="98">
        <v>0</v>
      </c>
      <c r="M40" s="97">
        <v>17861.459299999999</v>
      </c>
      <c r="N40" s="118">
        <v>4.9591130900188997E-3</v>
      </c>
      <c r="O40" s="99">
        <v>0</v>
      </c>
      <c r="P40" s="101">
        <v>0</v>
      </c>
      <c r="Q40" t="str">
        <f>VLOOKUP(Table325[[#This Row],[Census Tract]],'UI EnergyBurden'!$A$2:$B$184,2,FALSE)</f>
        <v>No</v>
      </c>
      <c r="R40">
        <f>VLOOKUP(Table325[[#This Row],[Census Tract]],'Population and Diversity Data'!B36:K857,10,FALSE)</f>
        <v>5</v>
      </c>
    </row>
    <row r="41" spans="1:18" ht="15.75" thickBot="1" x14ac:dyDescent="0.3">
      <c r="A41" s="175">
        <v>9001072100</v>
      </c>
      <c r="B41" s="200" t="s">
        <v>934</v>
      </c>
      <c r="C41" s="93" t="s">
        <v>944</v>
      </c>
      <c r="D41" s="94">
        <f>Table325[[#This Row],[Residential CLM $ Collected]]+Table325[[#This Row],[C&amp;I CLM $ Collected]]</f>
        <v>87822.353399999993</v>
      </c>
      <c r="E41" s="95">
        <v>0</v>
      </c>
      <c r="F41" s="96">
        <f>Table325[[#This Row],[Residential Incentive Disbursements]]+Table325[[#This Row],[C&amp;I Incentive Disbursements]]</f>
        <v>10584</v>
      </c>
      <c r="G41" s="95">
        <v>1.805073014405593E-3</v>
      </c>
      <c r="H41" s="95" t="str">
        <f t="shared" si="0"/>
        <v>N/A</v>
      </c>
      <c r="I41" s="97">
        <v>3855.4358999999999</v>
      </c>
      <c r="J41" s="98">
        <v>0</v>
      </c>
      <c r="K41" s="99">
        <v>0</v>
      </c>
      <c r="L41" s="98">
        <v>1.805073014405593E-3</v>
      </c>
      <c r="M41" s="97">
        <v>83966.917499999996</v>
      </c>
      <c r="N41" s="118">
        <v>0</v>
      </c>
      <c r="O41" s="99">
        <v>10584</v>
      </c>
      <c r="P41" s="101">
        <v>1.805073014405593E-3</v>
      </c>
      <c r="Q41" t="str">
        <f>VLOOKUP(Table325[[#This Row],[Census Tract]],'UI EnergyBurden'!$A$2:$B$184,2,FALSE)</f>
        <v>No</v>
      </c>
      <c r="R41">
        <f>VLOOKUP(Table325[[#This Row],[Census Tract]],'Population and Diversity Data'!B37:K858,10,FALSE)</f>
        <v>5</v>
      </c>
    </row>
    <row r="42" spans="1:18" ht="15.75" thickBot="1" x14ac:dyDescent="0.3">
      <c r="A42" s="175">
        <v>9001072200</v>
      </c>
      <c r="B42" s="200" t="s">
        <v>934</v>
      </c>
      <c r="C42" s="93" t="s">
        <v>936</v>
      </c>
      <c r="D42" s="94">
        <f>Table325[[#This Row],[Residential CLM $ Collected]]+Table325[[#This Row],[C&amp;I CLM $ Collected]]</f>
        <v>9298.1455999999998</v>
      </c>
      <c r="E42" s="95">
        <v>1.3769037113771734E-3</v>
      </c>
      <c r="F42" s="96">
        <f>Table325[[#This Row],[Residential Incentive Disbursements]]+Table325[[#This Row],[C&amp;I Incentive Disbursements]]</f>
        <v>0</v>
      </c>
      <c r="G42" s="95">
        <v>0</v>
      </c>
      <c r="H42" s="95" t="str">
        <f t="shared" si="0"/>
        <v>NO</v>
      </c>
      <c r="I42" s="97">
        <v>0</v>
      </c>
      <c r="J42" s="98">
        <v>1.3769037113771734E-3</v>
      </c>
      <c r="K42" s="99">
        <v>0</v>
      </c>
      <c r="L42" s="98">
        <v>0</v>
      </c>
      <c r="M42" s="97">
        <v>9298.1455999999998</v>
      </c>
      <c r="N42" s="118">
        <v>1.3769037113771734E-3</v>
      </c>
      <c r="O42" s="99">
        <v>0</v>
      </c>
      <c r="P42" s="101">
        <v>0</v>
      </c>
      <c r="Q42" t="str">
        <f>VLOOKUP(Table325[[#This Row],[Census Tract]],'UI EnergyBurden'!$A$2:$B$184,2,FALSE)</f>
        <v>No</v>
      </c>
      <c r="R42">
        <f>VLOOKUP(Table325[[#This Row],[Census Tract]],'Population and Diversity Data'!B38:K859,10,FALSE)</f>
        <v>4</v>
      </c>
    </row>
    <row r="43" spans="1:18" ht="15.75" thickBot="1" x14ac:dyDescent="0.3">
      <c r="A43" s="175">
        <v>9001072300</v>
      </c>
      <c r="B43" s="200" t="s">
        <v>934</v>
      </c>
      <c r="C43" s="93" t="s">
        <v>944</v>
      </c>
      <c r="D43" s="94">
        <f>Table325[[#This Row],[Residential CLM $ Collected]]+Table325[[#This Row],[C&amp;I CLM $ Collected]]</f>
        <v>8122.7389000000003</v>
      </c>
      <c r="E43" s="95">
        <v>0</v>
      </c>
      <c r="F43" s="96">
        <f>Table325[[#This Row],[Residential Incentive Disbursements]]+Table325[[#This Row],[C&amp;I Incentive Disbursements]]</f>
        <v>0</v>
      </c>
      <c r="G43" s="95">
        <v>1.0219339499949658E-3</v>
      </c>
      <c r="H43" s="95" t="str">
        <f t="shared" si="0"/>
        <v>N/A</v>
      </c>
      <c r="I43" s="97">
        <v>0</v>
      </c>
      <c r="J43" s="98">
        <v>0</v>
      </c>
      <c r="K43" s="99">
        <v>0</v>
      </c>
      <c r="L43" s="98">
        <v>1.0219339499949658E-3</v>
      </c>
      <c r="M43" s="97">
        <v>8122.7389000000003</v>
      </c>
      <c r="N43" s="118">
        <v>0</v>
      </c>
      <c r="O43" s="99">
        <v>0</v>
      </c>
      <c r="P43" s="101">
        <v>1.0219339499949658E-3</v>
      </c>
      <c r="Q43" t="str">
        <f>VLOOKUP(Table325[[#This Row],[Census Tract]],'UI EnergyBurden'!$A$2:$B$184,2,FALSE)</f>
        <v>No</v>
      </c>
      <c r="R43">
        <f>VLOOKUP(Table325[[#This Row],[Census Tract]],'Population and Diversity Data'!B39:K860,10,FALSE)</f>
        <v>5</v>
      </c>
    </row>
    <row r="44" spans="1:18" ht="15.75" thickBot="1" x14ac:dyDescent="0.3">
      <c r="A44" s="175">
        <v>9001072400</v>
      </c>
      <c r="B44" s="200" t="s">
        <v>934</v>
      </c>
      <c r="C44" s="93" t="s">
        <v>944</v>
      </c>
      <c r="D44" s="94">
        <f>Table325[[#This Row],[Residential CLM $ Collected]]+Table325[[#This Row],[C&amp;I CLM $ Collected]]</f>
        <v>5110.9471999999996</v>
      </c>
      <c r="E44" s="95">
        <v>2.1836445253311122E-3</v>
      </c>
      <c r="F44" s="96">
        <f>Table325[[#This Row],[Residential Incentive Disbursements]]+Table325[[#This Row],[C&amp;I Incentive Disbursements]]</f>
        <v>0</v>
      </c>
      <c r="G44" s="95">
        <v>0</v>
      </c>
      <c r="H44" s="95" t="str">
        <f t="shared" si="0"/>
        <v>NO</v>
      </c>
      <c r="I44" s="97">
        <v>0</v>
      </c>
      <c r="J44" s="98">
        <v>2.1836445253311122E-3</v>
      </c>
      <c r="K44" s="99">
        <v>0</v>
      </c>
      <c r="L44" s="98">
        <v>0</v>
      </c>
      <c r="M44" s="97">
        <v>5110.9471999999996</v>
      </c>
      <c r="N44" s="118">
        <v>2.1836445253311122E-3</v>
      </c>
      <c r="O44" s="99">
        <v>0</v>
      </c>
      <c r="P44" s="101">
        <v>0</v>
      </c>
      <c r="Q44" t="str">
        <f>VLOOKUP(Table325[[#This Row],[Census Tract]],'UI EnergyBurden'!$A$2:$B$184,2,FALSE)</f>
        <v>No</v>
      </c>
      <c r="R44">
        <f>VLOOKUP(Table325[[#This Row],[Census Tract]],'Population and Diversity Data'!B40:K861,10,FALSE)</f>
        <v>5</v>
      </c>
    </row>
    <row r="45" spans="1:18" ht="15.75" thickBot="1" x14ac:dyDescent="0.3">
      <c r="A45" s="175">
        <v>9001072500</v>
      </c>
      <c r="B45" s="200" t="s">
        <v>934</v>
      </c>
      <c r="C45" s="93" t="s">
        <v>944</v>
      </c>
      <c r="D45" s="94">
        <f>Table325[[#This Row],[Residential CLM $ Collected]]+Table325[[#This Row],[C&amp;I CLM $ Collected]]</f>
        <v>3329.8946000000001</v>
      </c>
      <c r="E45" s="95">
        <v>2.2988901198295114E-3</v>
      </c>
      <c r="F45" s="96">
        <f>Table325[[#This Row],[Residential Incentive Disbursements]]+Table325[[#This Row],[C&amp;I Incentive Disbursements]]</f>
        <v>0</v>
      </c>
      <c r="G45" s="95">
        <v>1.7758973492080898E-3</v>
      </c>
      <c r="H45" s="95" t="str">
        <f t="shared" si="0"/>
        <v>NO</v>
      </c>
      <c r="I45" s="97">
        <v>0</v>
      </c>
      <c r="J45" s="98">
        <v>2.2988901198295114E-3</v>
      </c>
      <c r="K45" s="99">
        <v>0</v>
      </c>
      <c r="L45" s="98">
        <v>1.7758973492080898E-3</v>
      </c>
      <c r="M45" s="97">
        <v>3329.8946000000001</v>
      </c>
      <c r="N45" s="118">
        <v>2.2988901198295114E-3</v>
      </c>
      <c r="O45" s="99">
        <v>0</v>
      </c>
      <c r="P45" s="101">
        <v>1.7758973492080898E-3</v>
      </c>
      <c r="Q45" t="str">
        <f>VLOOKUP(Table325[[#This Row],[Census Tract]],'UI EnergyBurden'!$A$2:$B$184,2,FALSE)</f>
        <v>No</v>
      </c>
      <c r="R45">
        <f>VLOOKUP(Table325[[#This Row],[Census Tract]],'Population and Diversity Data'!B41:K862,10,FALSE)</f>
        <v>4</v>
      </c>
    </row>
    <row r="46" spans="1:18" ht="15.75" thickBot="1" x14ac:dyDescent="0.3">
      <c r="A46" s="175">
        <v>9001072600</v>
      </c>
      <c r="B46" s="200" t="s">
        <v>934</v>
      </c>
      <c r="C46" s="93" t="s">
        <v>944</v>
      </c>
      <c r="D46" s="94">
        <f>Table325[[#This Row],[Residential CLM $ Collected]]+Table325[[#This Row],[C&amp;I CLM $ Collected]]</f>
        <v>29978.312300000001</v>
      </c>
      <c r="E46" s="95">
        <v>0</v>
      </c>
      <c r="F46" s="96">
        <f>Table325[[#This Row],[Residential Incentive Disbursements]]+Table325[[#This Row],[C&amp;I Incentive Disbursements]]</f>
        <v>350</v>
      </c>
      <c r="G46" s="95">
        <v>1.1966474850109664E-3</v>
      </c>
      <c r="H46" s="95" t="str">
        <f t="shared" si="0"/>
        <v>N/A</v>
      </c>
      <c r="I46" s="97">
        <v>0</v>
      </c>
      <c r="J46" s="98">
        <v>0</v>
      </c>
      <c r="K46" s="99">
        <v>0</v>
      </c>
      <c r="L46" s="98">
        <v>1.1966474850109664E-3</v>
      </c>
      <c r="M46" s="97">
        <v>29978.312300000001</v>
      </c>
      <c r="N46" s="118">
        <v>0</v>
      </c>
      <c r="O46" s="99">
        <v>350</v>
      </c>
      <c r="P46" s="101">
        <v>1.1966474850109664E-3</v>
      </c>
      <c r="Q46" t="str">
        <f>VLOOKUP(Table325[[#This Row],[Census Tract]],'UI EnergyBurden'!$A$2:$B$184,2,FALSE)</f>
        <v>No</v>
      </c>
      <c r="R46">
        <f>VLOOKUP(Table325[[#This Row],[Census Tract]],'Population and Diversity Data'!B42:K863,10,FALSE)</f>
        <v>3</v>
      </c>
    </row>
    <row r="47" spans="1:18" ht="15.75" thickBot="1" x14ac:dyDescent="0.3">
      <c r="A47" s="175">
        <v>9001072700</v>
      </c>
      <c r="B47" s="200" t="s">
        <v>934</v>
      </c>
      <c r="C47" s="93" t="s">
        <v>944</v>
      </c>
      <c r="D47" s="94">
        <f>Table325[[#This Row],[Residential CLM $ Collected]]+Table325[[#This Row],[C&amp;I CLM $ Collected]]</f>
        <v>4154.7861000000003</v>
      </c>
      <c r="E47" s="95">
        <v>2.256580546602072E-3</v>
      </c>
      <c r="F47" s="96">
        <f>Table325[[#This Row],[Residential Incentive Disbursements]]+Table325[[#This Row],[C&amp;I Incentive Disbursements]]</f>
        <v>0</v>
      </c>
      <c r="G47" s="95">
        <v>0</v>
      </c>
      <c r="H47" s="95" t="str">
        <f t="shared" si="0"/>
        <v>NO</v>
      </c>
      <c r="I47" s="97">
        <v>0</v>
      </c>
      <c r="J47" s="98">
        <v>2.256580546602072E-3</v>
      </c>
      <c r="K47" s="99">
        <v>0</v>
      </c>
      <c r="L47" s="98">
        <v>0</v>
      </c>
      <c r="M47" s="97">
        <v>4154.7861000000003</v>
      </c>
      <c r="N47" s="118">
        <v>2.256580546602072E-3</v>
      </c>
      <c r="O47" s="99">
        <v>0</v>
      </c>
      <c r="P47" s="101">
        <v>0</v>
      </c>
      <c r="Q47" t="str">
        <f>VLOOKUP(Table325[[#This Row],[Census Tract]],'UI EnergyBurden'!$A$2:$B$184,2,FALSE)</f>
        <v>No</v>
      </c>
      <c r="R47">
        <f>VLOOKUP(Table325[[#This Row],[Census Tract]],'Population and Diversity Data'!B43:K864,10,FALSE)</f>
        <v>4</v>
      </c>
    </row>
    <row r="48" spans="1:18" ht="15.75" thickBot="1" x14ac:dyDescent="0.3">
      <c r="A48" s="175">
        <v>9001072800</v>
      </c>
      <c r="B48" s="200" t="s">
        <v>934</v>
      </c>
      <c r="C48" s="93" t="s">
        <v>944</v>
      </c>
      <c r="D48" s="94">
        <f>Table325[[#This Row],[Residential CLM $ Collected]]+Table325[[#This Row],[C&amp;I CLM $ Collected]]</f>
        <v>1798.4163000000001</v>
      </c>
      <c r="E48" s="95">
        <v>0</v>
      </c>
      <c r="F48" s="96">
        <f>Table325[[#This Row],[Residential Incentive Disbursements]]+Table325[[#This Row],[C&amp;I Incentive Disbursements]]</f>
        <v>0</v>
      </c>
      <c r="G48" s="95">
        <v>1.6500934379277458E-4</v>
      </c>
      <c r="H48" s="95" t="str">
        <f t="shared" si="0"/>
        <v>N/A</v>
      </c>
      <c r="I48" s="97">
        <v>0</v>
      </c>
      <c r="J48" s="98">
        <v>0</v>
      </c>
      <c r="K48" s="99">
        <v>0</v>
      </c>
      <c r="L48" s="98">
        <v>1.6500934379277458E-4</v>
      </c>
      <c r="M48" s="97">
        <v>1798.4163000000001</v>
      </c>
      <c r="N48" s="118">
        <v>0</v>
      </c>
      <c r="O48" s="99">
        <v>0</v>
      </c>
      <c r="P48" s="101">
        <v>1.6500934379277458E-4</v>
      </c>
      <c r="Q48" t="str">
        <f>VLOOKUP(Table325[[#This Row],[Census Tract]],'UI EnergyBurden'!$A$2:$B$184,2,FALSE)</f>
        <v>No</v>
      </c>
      <c r="R48">
        <f>VLOOKUP(Table325[[#This Row],[Census Tract]],'Population and Diversity Data'!B44:K865,10,FALSE)</f>
        <v>5</v>
      </c>
    </row>
    <row r="49" spans="1:18" ht="15.75" thickBot="1" x14ac:dyDescent="0.3">
      <c r="A49" s="175">
        <v>9001072900</v>
      </c>
      <c r="B49" s="200" t="s">
        <v>934</v>
      </c>
      <c r="C49" s="93" t="s">
        <v>944</v>
      </c>
      <c r="D49" s="94">
        <f>Table325[[#This Row],[Residential CLM $ Collected]]+Table325[[#This Row],[C&amp;I CLM $ Collected]]</f>
        <v>37765.5844</v>
      </c>
      <c r="E49" s="95">
        <v>1.8643202854622997E-3</v>
      </c>
      <c r="F49" s="96">
        <f>Table325[[#This Row],[Residential Incentive Disbursements]]+Table325[[#This Row],[C&amp;I Incentive Disbursements]]</f>
        <v>0</v>
      </c>
      <c r="G49" s="95">
        <v>0</v>
      </c>
      <c r="H49" s="95" t="str">
        <f t="shared" si="0"/>
        <v>NO</v>
      </c>
      <c r="I49" s="97">
        <v>0</v>
      </c>
      <c r="J49" s="98">
        <v>1.8643202854622997E-3</v>
      </c>
      <c r="K49" s="99">
        <v>0</v>
      </c>
      <c r="L49" s="98">
        <v>0</v>
      </c>
      <c r="M49" s="97">
        <v>37765.5844</v>
      </c>
      <c r="N49" s="118">
        <v>1.8643202854622997E-3</v>
      </c>
      <c r="O49" s="99">
        <v>0</v>
      </c>
      <c r="P49" s="101">
        <v>0</v>
      </c>
      <c r="Q49" t="str">
        <f>VLOOKUP(Table325[[#This Row],[Census Tract]],'UI EnergyBurden'!$A$2:$B$184,2,FALSE)</f>
        <v>No</v>
      </c>
      <c r="R49">
        <f>VLOOKUP(Table325[[#This Row],[Census Tract]],'Population and Diversity Data'!B45:K866,10,FALSE)</f>
        <v>4</v>
      </c>
    </row>
    <row r="50" spans="1:18" ht="15.75" thickBot="1" x14ac:dyDescent="0.3">
      <c r="A50" s="175">
        <v>9001073000</v>
      </c>
      <c r="B50" s="200" t="s">
        <v>934</v>
      </c>
      <c r="C50" s="93" t="s">
        <v>944</v>
      </c>
      <c r="D50" s="94">
        <f>Table325[[#This Row],[Residential CLM $ Collected]]+Table325[[#This Row],[C&amp;I CLM $ Collected]]</f>
        <v>14444.051799999999</v>
      </c>
      <c r="E50" s="95">
        <v>2.3487631558260363E-3</v>
      </c>
      <c r="F50" s="96">
        <f>Table325[[#This Row],[Residential Incentive Disbursements]]+Table325[[#This Row],[C&amp;I Incentive Disbursements]]</f>
        <v>1360</v>
      </c>
      <c r="G50" s="95">
        <v>6.094504691202395E-4</v>
      </c>
      <c r="H50" s="95" t="str">
        <f t="shared" si="0"/>
        <v>NO</v>
      </c>
      <c r="I50" s="97">
        <v>0</v>
      </c>
      <c r="J50" s="98">
        <v>2.3487631558260363E-3</v>
      </c>
      <c r="K50" s="99">
        <v>0</v>
      </c>
      <c r="L50" s="98">
        <v>6.094504691202395E-4</v>
      </c>
      <c r="M50" s="97">
        <v>14444.051799999999</v>
      </c>
      <c r="N50" s="118">
        <v>2.3487631558260363E-3</v>
      </c>
      <c r="O50" s="99">
        <v>1360</v>
      </c>
      <c r="P50" s="101">
        <v>6.094504691202395E-4</v>
      </c>
      <c r="Q50" t="str">
        <f>VLOOKUP(Table325[[#This Row],[Census Tract]],'UI EnergyBurden'!$A$2:$B$184,2,FALSE)</f>
        <v>No</v>
      </c>
      <c r="R50">
        <f>VLOOKUP(Table325[[#This Row],[Census Tract]],'Population and Diversity Data'!B46:K867,10,FALSE)</f>
        <v>4</v>
      </c>
    </row>
    <row r="51" spans="1:18" ht="15.75" thickBot="1" x14ac:dyDescent="0.3">
      <c r="A51" s="175">
        <v>9001073100</v>
      </c>
      <c r="B51" s="200" t="s">
        <v>934</v>
      </c>
      <c r="C51" s="93" t="s">
        <v>936</v>
      </c>
      <c r="D51" s="94">
        <f>Table325[[#This Row],[Residential CLM $ Collected]]+Table325[[#This Row],[C&amp;I CLM $ Collected]]</f>
        <v>43169.746700000003</v>
      </c>
      <c r="E51" s="95">
        <v>0</v>
      </c>
      <c r="F51" s="96">
        <f>Table325[[#This Row],[Residential Incentive Disbursements]]+Table325[[#This Row],[C&amp;I Incentive Disbursements]]</f>
        <v>0</v>
      </c>
      <c r="G51" s="95">
        <v>7.9212603590716105E-5</v>
      </c>
      <c r="H51" s="95" t="str">
        <f t="shared" si="0"/>
        <v>N/A</v>
      </c>
      <c r="I51" s="97">
        <v>0</v>
      </c>
      <c r="J51" s="98">
        <v>0</v>
      </c>
      <c r="K51" s="99">
        <v>0</v>
      </c>
      <c r="L51" s="98">
        <v>7.9212603590716105E-5</v>
      </c>
      <c r="M51" s="97">
        <v>43169.746700000003</v>
      </c>
      <c r="N51" s="118">
        <v>0</v>
      </c>
      <c r="O51" s="99">
        <v>0</v>
      </c>
      <c r="P51" s="101">
        <v>7.9212603590716105E-5</v>
      </c>
      <c r="Q51" t="str">
        <f>VLOOKUP(Table325[[#This Row],[Census Tract]],'UI EnergyBurden'!$A$2:$B$184,2,FALSE)</f>
        <v>No</v>
      </c>
      <c r="R51">
        <f>VLOOKUP(Table325[[#This Row],[Census Tract]],'Population and Diversity Data'!B47:K868,10,FALSE)</f>
        <v>5</v>
      </c>
    </row>
    <row r="52" spans="1:18" ht="15.75" thickBot="1" x14ac:dyDescent="0.3">
      <c r="A52" s="175">
        <v>9001073300</v>
      </c>
      <c r="B52" s="200" t="s">
        <v>934</v>
      </c>
      <c r="C52" s="93" t="s">
        <v>936</v>
      </c>
      <c r="D52" s="94">
        <f>Table325[[#This Row],[Residential CLM $ Collected]]+Table325[[#This Row],[C&amp;I CLM $ Collected]]</f>
        <v>11648.727500000001</v>
      </c>
      <c r="E52" s="95">
        <v>1.0932259100922819E-3</v>
      </c>
      <c r="F52" s="96">
        <f>Table325[[#This Row],[Residential Incentive Disbursements]]+Table325[[#This Row],[C&amp;I Incentive Disbursements]]</f>
        <v>0</v>
      </c>
      <c r="G52" s="95">
        <v>0</v>
      </c>
      <c r="H52" s="95" t="str">
        <f t="shared" si="0"/>
        <v>NO</v>
      </c>
      <c r="I52" s="97">
        <v>0</v>
      </c>
      <c r="J52" s="98">
        <v>1.0932259100922819E-3</v>
      </c>
      <c r="K52" s="99">
        <v>0</v>
      </c>
      <c r="L52" s="98">
        <v>0</v>
      </c>
      <c r="M52" s="97">
        <v>11648.727500000001</v>
      </c>
      <c r="N52" s="118">
        <v>1.0932259100922819E-3</v>
      </c>
      <c r="O52" s="99">
        <v>0</v>
      </c>
      <c r="P52" s="101">
        <v>0</v>
      </c>
      <c r="Q52" t="str">
        <f>VLOOKUP(Table325[[#This Row],[Census Tract]],'UI EnergyBurden'!$A$2:$B$184,2,FALSE)</f>
        <v>Yes</v>
      </c>
      <c r="R52">
        <f>VLOOKUP(Table325[[#This Row],[Census Tract]],'Population and Diversity Data'!B48:K869,10,FALSE)</f>
        <v>5</v>
      </c>
    </row>
    <row r="53" spans="1:18" ht="15.75" thickBot="1" x14ac:dyDescent="0.3">
      <c r="A53" s="175">
        <v>9001073400</v>
      </c>
      <c r="B53" s="200" t="s">
        <v>934</v>
      </c>
      <c r="C53" s="93" t="s">
        <v>936</v>
      </c>
      <c r="D53" s="94">
        <f>Table325[[#This Row],[Residential CLM $ Collected]]+Table325[[#This Row],[C&amp;I CLM $ Collected]]</f>
        <v>11700.818600000001</v>
      </c>
      <c r="E53" s="95">
        <v>0</v>
      </c>
      <c r="F53" s="96">
        <f>Table325[[#This Row],[Residential Incentive Disbursements]]+Table325[[#This Row],[C&amp;I Incentive Disbursements]]</f>
        <v>0</v>
      </c>
      <c r="G53" s="95">
        <v>1.3689671131881657E-5</v>
      </c>
      <c r="H53" s="95" t="str">
        <f t="shared" si="0"/>
        <v>N/A</v>
      </c>
      <c r="I53" s="97">
        <v>0</v>
      </c>
      <c r="J53" s="98">
        <v>0</v>
      </c>
      <c r="K53" s="99">
        <v>0</v>
      </c>
      <c r="L53" s="98">
        <v>1.3689671131881657E-5</v>
      </c>
      <c r="M53" s="97">
        <v>11700.818600000001</v>
      </c>
      <c r="N53" s="118">
        <v>0</v>
      </c>
      <c r="O53" s="99">
        <v>0</v>
      </c>
      <c r="P53" s="101">
        <v>1.3689671131881657E-5</v>
      </c>
      <c r="Q53" t="str">
        <f>VLOOKUP(Table325[[#This Row],[Census Tract]],'UI EnergyBurden'!$A$2:$B$184,2,FALSE)</f>
        <v>Yes</v>
      </c>
      <c r="R53">
        <f>VLOOKUP(Table325[[#This Row],[Census Tract]],'Population and Diversity Data'!B49:K870,10,FALSE)</f>
        <v>5</v>
      </c>
    </row>
    <row r="54" spans="1:18" ht="15.75" thickBot="1" x14ac:dyDescent="0.3">
      <c r="A54" s="175">
        <v>9001073500</v>
      </c>
      <c r="B54" s="200" t="s">
        <v>934</v>
      </c>
      <c r="C54" s="93" t="s">
        <v>936</v>
      </c>
      <c r="D54" s="94">
        <f>Table325[[#This Row],[Residential CLM $ Collected]]+Table325[[#This Row],[C&amp;I CLM $ Collected]]</f>
        <v>2031.7844</v>
      </c>
      <c r="E54" s="95">
        <v>0</v>
      </c>
      <c r="F54" s="96">
        <f>Table325[[#This Row],[Residential Incentive Disbursements]]+Table325[[#This Row],[C&amp;I Incentive Disbursements]]</f>
        <v>0</v>
      </c>
      <c r="G54" s="95">
        <v>4.9759514231709798E-4</v>
      </c>
      <c r="H54" s="95" t="str">
        <f t="shared" si="0"/>
        <v>N/A</v>
      </c>
      <c r="I54" s="97">
        <v>0</v>
      </c>
      <c r="J54" s="98">
        <v>0</v>
      </c>
      <c r="K54" s="99">
        <v>0</v>
      </c>
      <c r="L54" s="98">
        <v>4.9759514231709798E-4</v>
      </c>
      <c r="M54" s="97">
        <v>2031.7844</v>
      </c>
      <c r="N54" s="118">
        <v>0</v>
      </c>
      <c r="O54" s="99">
        <v>0</v>
      </c>
      <c r="P54" s="101">
        <v>4.9759514231709798E-4</v>
      </c>
      <c r="Q54" t="str">
        <f>VLOOKUP(Table325[[#This Row],[Census Tract]],'UI EnergyBurden'!$A$2:$B$184,2,FALSE)</f>
        <v>Yes</v>
      </c>
      <c r="R54">
        <f>VLOOKUP(Table325[[#This Row],[Census Tract]],'Population and Diversity Data'!B50:K871,10,FALSE)</f>
        <v>5</v>
      </c>
    </row>
    <row r="55" spans="1:18" ht="15.75" thickBot="1" x14ac:dyDescent="0.3">
      <c r="A55" s="175">
        <v>9001073600</v>
      </c>
      <c r="B55" s="200" t="s">
        <v>934</v>
      </c>
      <c r="C55" s="93" t="s">
        <v>936</v>
      </c>
      <c r="D55" s="94">
        <f>Table325[[#This Row],[Residential CLM $ Collected]]+Table325[[#This Row],[C&amp;I CLM $ Collected]]</f>
        <v>7256.6374999999998</v>
      </c>
      <c r="E55" s="95">
        <v>2.2222457127090002E-3</v>
      </c>
      <c r="F55" s="96">
        <f>Table325[[#This Row],[Residential Incentive Disbursements]]+Table325[[#This Row],[C&amp;I Incentive Disbursements]]</f>
        <v>0</v>
      </c>
      <c r="G55" s="95">
        <v>0</v>
      </c>
      <c r="H55" s="95" t="str">
        <f t="shared" si="0"/>
        <v>NO</v>
      </c>
      <c r="I55" s="97">
        <v>0</v>
      </c>
      <c r="J55" s="98">
        <v>2.2222457127090002E-3</v>
      </c>
      <c r="K55" s="99">
        <v>0</v>
      </c>
      <c r="L55" s="98">
        <v>0</v>
      </c>
      <c r="M55" s="97">
        <v>7256.6374999999998</v>
      </c>
      <c r="N55" s="118">
        <v>2.2222457127090002E-3</v>
      </c>
      <c r="O55" s="99">
        <v>0</v>
      </c>
      <c r="P55" s="101">
        <v>0</v>
      </c>
      <c r="Q55" t="str">
        <f>VLOOKUP(Table325[[#This Row],[Census Tract]],'UI EnergyBurden'!$A$2:$B$184,2,FALSE)</f>
        <v>Yes</v>
      </c>
      <c r="R55">
        <f>VLOOKUP(Table325[[#This Row],[Census Tract]],'Population and Diversity Data'!B51:K872,10,FALSE)</f>
        <v>5</v>
      </c>
    </row>
    <row r="56" spans="1:18" ht="15.75" thickBot="1" x14ac:dyDescent="0.3">
      <c r="A56" s="175">
        <v>9001073700</v>
      </c>
      <c r="B56" s="200" t="s">
        <v>3005</v>
      </c>
      <c r="C56" s="93" t="s">
        <v>944</v>
      </c>
      <c r="D56" s="94">
        <f>Table325[[#This Row],[Residential CLM $ Collected]]+Table325[[#This Row],[C&amp;I CLM $ Collected]]</f>
        <v>0</v>
      </c>
      <c r="E56" s="95">
        <v>0</v>
      </c>
      <c r="F56" s="96">
        <f>Table325[[#This Row],[Residential Incentive Disbursements]]+Table325[[#This Row],[C&amp;I Incentive Disbursements]]</f>
        <v>2975.52</v>
      </c>
      <c r="G56" s="95">
        <v>1.1370920587594469E-3</v>
      </c>
      <c r="H56" s="95" t="str">
        <f t="shared" si="0"/>
        <v>N/A</v>
      </c>
      <c r="I56" s="97">
        <v>0</v>
      </c>
      <c r="J56" s="98">
        <v>0</v>
      </c>
      <c r="K56" s="99">
        <v>0</v>
      </c>
      <c r="L56" s="98">
        <v>1.1370920587594469E-3</v>
      </c>
      <c r="M56" s="97">
        <v>0</v>
      </c>
      <c r="N56" s="118">
        <v>0</v>
      </c>
      <c r="O56" s="99">
        <v>2975.52</v>
      </c>
      <c r="P56" s="101">
        <v>1.1370920587594469E-3</v>
      </c>
      <c r="Q56" t="str">
        <f>VLOOKUP(Table325[[#This Row],[Census Tract]],'UI EnergyBurden'!$A$2:$B$184,2,FALSE)</f>
        <v>Yes</v>
      </c>
      <c r="R56">
        <f>VLOOKUP(Table325[[#This Row],[Census Tract]],'Population and Diversity Data'!B52:K873,10,FALSE)</f>
        <v>5</v>
      </c>
    </row>
    <row r="57" spans="1:18" ht="15.75" thickBot="1" x14ac:dyDescent="0.3">
      <c r="A57" s="175">
        <v>9001073700</v>
      </c>
      <c r="B57" s="200" t="s">
        <v>934</v>
      </c>
      <c r="C57" s="93" t="s">
        <v>936</v>
      </c>
      <c r="D57" s="94">
        <f>Table325[[#This Row],[Residential CLM $ Collected]]+Table325[[#This Row],[C&amp;I CLM $ Collected]]</f>
        <v>175607.78</v>
      </c>
      <c r="E57" s="95">
        <v>1.8020036969912025E-3</v>
      </c>
      <c r="F57" s="96">
        <f>Table325[[#This Row],[Residential Incentive Disbursements]]+Table325[[#This Row],[C&amp;I Incentive Disbursements]]</f>
        <v>0</v>
      </c>
      <c r="G57" s="95">
        <v>0</v>
      </c>
      <c r="H57" s="95" t="str">
        <f t="shared" si="0"/>
        <v>NO</v>
      </c>
      <c r="I57" s="97">
        <v>0</v>
      </c>
      <c r="J57" s="98">
        <v>1.8020036969912025E-3</v>
      </c>
      <c r="K57" s="99">
        <v>0</v>
      </c>
      <c r="L57" s="98">
        <v>0</v>
      </c>
      <c r="M57" s="97">
        <v>175607.78</v>
      </c>
      <c r="N57" s="118">
        <v>1.8020036969912025E-3</v>
      </c>
      <c r="O57" s="99">
        <v>0</v>
      </c>
      <c r="P57" s="101">
        <v>0</v>
      </c>
      <c r="Q57" t="str">
        <f>VLOOKUP(Table325[[#This Row],[Census Tract]],'UI EnergyBurden'!$A$2:$B$184,2,FALSE)</f>
        <v>Yes</v>
      </c>
      <c r="R57">
        <f>VLOOKUP(Table325[[#This Row],[Census Tract]],'Population and Diversity Data'!B53:K874,10,FALSE)</f>
        <v>5</v>
      </c>
    </row>
    <row r="58" spans="1:18" ht="15.75" thickBot="1" x14ac:dyDescent="0.3">
      <c r="A58" s="175">
        <v>9001073800</v>
      </c>
      <c r="B58" s="200" t="s">
        <v>3005</v>
      </c>
      <c r="C58" s="93" t="s">
        <v>944</v>
      </c>
      <c r="D58" s="94">
        <f>Table325[[#This Row],[Residential CLM $ Collected]]+Table325[[#This Row],[C&amp;I CLM $ Collected]]</f>
        <v>0</v>
      </c>
      <c r="E58" s="95">
        <v>5.0764009301842716E-3</v>
      </c>
      <c r="F58" s="96">
        <f>Table325[[#This Row],[Residential Incentive Disbursements]]+Table325[[#This Row],[C&amp;I Incentive Disbursements]]</f>
        <v>23408</v>
      </c>
      <c r="G58" s="95">
        <v>2.7802811408119831E-3</v>
      </c>
      <c r="H58" s="95" t="str">
        <f t="shared" si="0"/>
        <v>NO</v>
      </c>
      <c r="I58" s="97">
        <v>0</v>
      </c>
      <c r="J58" s="98">
        <v>5.0764009301842716E-3</v>
      </c>
      <c r="K58" s="99">
        <v>0</v>
      </c>
      <c r="L58" s="98">
        <v>2.7802811408119831E-3</v>
      </c>
      <c r="M58" s="97">
        <v>0</v>
      </c>
      <c r="N58" s="118">
        <v>5.0764009301842716E-3</v>
      </c>
      <c r="O58" s="99">
        <v>23408</v>
      </c>
      <c r="P58" s="101">
        <v>2.7802811408119831E-3</v>
      </c>
      <c r="Q58" t="str">
        <f>VLOOKUP(Table325[[#This Row],[Census Tract]],'UI EnergyBurden'!$A$2:$B$184,2,FALSE)</f>
        <v>Yes</v>
      </c>
      <c r="R58">
        <f>VLOOKUP(Table325[[#This Row],[Census Tract]],'Population and Diversity Data'!B54:K875,10,FALSE)</f>
        <v>5</v>
      </c>
    </row>
    <row r="59" spans="1:18" ht="15.75" thickBot="1" x14ac:dyDescent="0.3">
      <c r="A59" s="175">
        <v>9001073800</v>
      </c>
      <c r="B59" s="200" t="s">
        <v>934</v>
      </c>
      <c r="C59" s="93" t="s">
        <v>936</v>
      </c>
      <c r="D59" s="94">
        <f>Table325[[#This Row],[Residential CLM $ Collected]]+Table325[[#This Row],[C&amp;I CLM $ Collected]]</f>
        <v>46458.431499999999</v>
      </c>
      <c r="E59" s="95">
        <v>1.3168485667076864E-5</v>
      </c>
      <c r="F59" s="96">
        <f>Table325[[#This Row],[Residential Incentive Disbursements]]+Table325[[#This Row],[C&amp;I Incentive Disbursements]]</f>
        <v>0</v>
      </c>
      <c r="G59" s="95">
        <v>0</v>
      </c>
      <c r="H59" s="95" t="str">
        <f t="shared" si="0"/>
        <v>NO</v>
      </c>
      <c r="I59" s="97">
        <v>0</v>
      </c>
      <c r="J59" s="98">
        <v>1.3168485667076864E-5</v>
      </c>
      <c r="K59" s="99">
        <v>0</v>
      </c>
      <c r="L59" s="98">
        <v>0</v>
      </c>
      <c r="M59" s="97">
        <v>46458.431499999999</v>
      </c>
      <c r="N59" s="118">
        <v>1.3168485667076864E-5</v>
      </c>
      <c r="O59" s="99">
        <v>0</v>
      </c>
      <c r="P59" s="101">
        <v>0</v>
      </c>
      <c r="Q59" t="str">
        <f>VLOOKUP(Table325[[#This Row],[Census Tract]],'UI EnergyBurden'!$A$2:$B$184,2,FALSE)</f>
        <v>Yes</v>
      </c>
      <c r="R59">
        <f>VLOOKUP(Table325[[#This Row],[Census Tract]],'Population and Diversity Data'!B55:K876,10,FALSE)</f>
        <v>5</v>
      </c>
    </row>
    <row r="60" spans="1:18" ht="15.75" thickBot="1" x14ac:dyDescent="0.3">
      <c r="A60" s="175">
        <v>9001073900</v>
      </c>
      <c r="B60" s="200" t="s">
        <v>934</v>
      </c>
      <c r="C60" s="93" t="s">
        <v>936</v>
      </c>
      <c r="D60" s="94">
        <f>Table325[[#This Row],[Residential CLM $ Collected]]+Table325[[#This Row],[C&amp;I CLM $ Collected]]</f>
        <v>7462.4552000000003</v>
      </c>
      <c r="E60" s="95">
        <v>0</v>
      </c>
      <c r="F60" s="96">
        <f>Table325[[#This Row],[Residential Incentive Disbursements]]+Table325[[#This Row],[C&amp;I Incentive Disbursements]]</f>
        <v>0</v>
      </c>
      <c r="G60" s="95">
        <v>4.4176074724015177E-3</v>
      </c>
      <c r="H60" s="95" t="str">
        <f t="shared" si="0"/>
        <v>N/A</v>
      </c>
      <c r="I60" s="97">
        <v>5912.9186</v>
      </c>
      <c r="J60" s="98">
        <v>0</v>
      </c>
      <c r="K60" s="99">
        <v>0</v>
      </c>
      <c r="L60" s="98">
        <v>4.4176074724015177E-3</v>
      </c>
      <c r="M60" s="97">
        <v>1549.5365999999999</v>
      </c>
      <c r="N60" s="118">
        <v>0</v>
      </c>
      <c r="O60" s="99">
        <v>0</v>
      </c>
      <c r="P60" s="101">
        <v>4.4176074724015177E-3</v>
      </c>
      <c r="Q60" t="str">
        <f>VLOOKUP(Table325[[#This Row],[Census Tract]],'UI EnergyBurden'!$A$2:$B$184,2,FALSE)</f>
        <v>Yes</v>
      </c>
      <c r="R60">
        <f>VLOOKUP(Table325[[#This Row],[Census Tract]],'Population and Diversity Data'!B56:K877,10,FALSE)</f>
        <v>5</v>
      </c>
    </row>
    <row r="61" spans="1:18" ht="15.75" thickBot="1" x14ac:dyDescent="0.3">
      <c r="A61" s="175">
        <v>9001074000</v>
      </c>
      <c r="B61" s="200" t="s">
        <v>934</v>
      </c>
      <c r="C61" s="93" t="s">
        <v>936</v>
      </c>
      <c r="D61" s="94">
        <f>Table325[[#This Row],[Residential CLM $ Collected]]+Table325[[#This Row],[C&amp;I CLM $ Collected]]</f>
        <v>24043.608</v>
      </c>
      <c r="E61" s="95">
        <v>1.6621655239894111E-3</v>
      </c>
      <c r="F61" s="96">
        <f>Table325[[#This Row],[Residential Incentive Disbursements]]+Table325[[#This Row],[C&amp;I Incentive Disbursements]]</f>
        <v>0</v>
      </c>
      <c r="G61" s="95">
        <v>0</v>
      </c>
      <c r="H61" s="95" t="str">
        <f t="shared" si="0"/>
        <v>NO</v>
      </c>
      <c r="I61" s="97">
        <v>0</v>
      </c>
      <c r="J61" s="98">
        <v>1.6621655239894111E-3</v>
      </c>
      <c r="K61" s="99">
        <v>0</v>
      </c>
      <c r="L61" s="98">
        <v>0</v>
      </c>
      <c r="M61" s="97">
        <v>24043.608</v>
      </c>
      <c r="N61" s="118">
        <v>1.6621655239894111E-3</v>
      </c>
      <c r="O61" s="99">
        <v>0</v>
      </c>
      <c r="P61" s="101">
        <v>0</v>
      </c>
      <c r="Q61" t="str">
        <f>VLOOKUP(Table325[[#This Row],[Census Tract]],'UI EnergyBurden'!$A$2:$B$184,2,FALSE)</f>
        <v>Yes</v>
      </c>
      <c r="R61">
        <f>VLOOKUP(Table325[[#This Row],[Census Tract]],'Population and Diversity Data'!B57:K878,10,FALSE)</f>
        <v>5</v>
      </c>
    </row>
    <row r="62" spans="1:18" ht="15.75" thickBot="1" x14ac:dyDescent="0.3">
      <c r="A62" s="175">
        <v>9001074300</v>
      </c>
      <c r="B62" s="200" t="s">
        <v>3005</v>
      </c>
      <c r="C62" s="93" t="s">
        <v>944</v>
      </c>
      <c r="D62" s="94">
        <f>Table325[[#This Row],[Residential CLM $ Collected]]+Table325[[#This Row],[C&amp;I CLM $ Collected]]</f>
        <v>0</v>
      </c>
      <c r="E62" s="95">
        <v>5.4895751565469905E-8</v>
      </c>
      <c r="F62" s="96">
        <f>Table325[[#This Row],[Residential Incentive Disbursements]]+Table325[[#This Row],[C&amp;I Incentive Disbursements]]</f>
        <v>7205</v>
      </c>
      <c r="G62" s="95">
        <v>0</v>
      </c>
      <c r="H62" s="95" t="str">
        <f t="shared" si="0"/>
        <v>N/A</v>
      </c>
      <c r="I62" s="97">
        <v>0</v>
      </c>
      <c r="J62" s="98">
        <v>5.4895751565469905E-8</v>
      </c>
      <c r="K62" s="99">
        <v>0</v>
      </c>
      <c r="L62" s="98">
        <v>0</v>
      </c>
      <c r="M62" s="97">
        <v>0</v>
      </c>
      <c r="N62" s="118">
        <v>5.4895751565469905E-8</v>
      </c>
      <c r="O62" s="99">
        <v>7205</v>
      </c>
      <c r="P62" s="101">
        <v>0</v>
      </c>
      <c r="Q62" t="str">
        <f>VLOOKUP(Table325[[#This Row],[Census Tract]],'UI EnergyBurden'!$A$2:$B$184,2,FALSE)</f>
        <v>Yes</v>
      </c>
      <c r="R62">
        <f>VLOOKUP(Table325[[#This Row],[Census Tract]],'Population and Diversity Data'!B58:K879,10,FALSE)</f>
        <v>5</v>
      </c>
    </row>
    <row r="63" spans="1:18" ht="15.75" thickBot="1" x14ac:dyDescent="0.3">
      <c r="A63" s="175">
        <v>9001074300</v>
      </c>
      <c r="B63" s="200" t="s">
        <v>934</v>
      </c>
      <c r="C63" s="93" t="s">
        <v>936</v>
      </c>
      <c r="D63" s="94">
        <f>Table325[[#This Row],[Residential CLM $ Collected]]+Table325[[#This Row],[C&amp;I CLM $ Collected]]</f>
        <v>69615.934999999998</v>
      </c>
      <c r="E63" s="95">
        <v>2.4740625867836659E-3</v>
      </c>
      <c r="F63" s="96">
        <f>Table325[[#This Row],[Residential Incentive Disbursements]]+Table325[[#This Row],[C&amp;I Incentive Disbursements]]</f>
        <v>0</v>
      </c>
      <c r="G63" s="95">
        <v>1.116034963746242E-3</v>
      </c>
      <c r="H63" s="95" t="str">
        <f t="shared" si="0"/>
        <v>NO</v>
      </c>
      <c r="I63" s="97">
        <v>0</v>
      </c>
      <c r="J63" s="98">
        <v>2.4740625867836659E-3</v>
      </c>
      <c r="K63" s="99">
        <v>0</v>
      </c>
      <c r="L63" s="98">
        <v>1.116034963746242E-3</v>
      </c>
      <c r="M63" s="97">
        <v>69615.934999999998</v>
      </c>
      <c r="N63" s="118">
        <v>2.4740625867836659E-3</v>
      </c>
      <c r="O63" s="99">
        <v>0</v>
      </c>
      <c r="P63" s="101">
        <v>1.116034963746242E-3</v>
      </c>
      <c r="Q63" t="str">
        <f>VLOOKUP(Table325[[#This Row],[Census Tract]],'UI EnergyBurden'!$A$2:$B$184,2,FALSE)</f>
        <v>Yes</v>
      </c>
      <c r="R63">
        <f>VLOOKUP(Table325[[#This Row],[Census Tract]],'Population and Diversity Data'!B59:K880,10,FALSE)</f>
        <v>5</v>
      </c>
    </row>
    <row r="64" spans="1:18" ht="15.75" thickBot="1" x14ac:dyDescent="0.3">
      <c r="A64" s="175">
        <v>9001074400</v>
      </c>
      <c r="B64" s="200" t="s">
        <v>3005</v>
      </c>
      <c r="C64" s="93" t="s">
        <v>944</v>
      </c>
      <c r="D64" s="94">
        <f>Table325[[#This Row],[Residential CLM $ Collected]]+Table325[[#This Row],[C&amp;I CLM $ Collected]]</f>
        <v>0</v>
      </c>
      <c r="E64" s="95">
        <v>1.6110817677761852E-3</v>
      </c>
      <c r="F64" s="96">
        <f>Table325[[#This Row],[Residential Incentive Disbursements]]+Table325[[#This Row],[C&amp;I Incentive Disbursements]]</f>
        <v>15529</v>
      </c>
      <c r="G64" s="95">
        <v>1.968420551163576E-3</v>
      </c>
      <c r="H64" s="95" t="str">
        <f t="shared" si="0"/>
        <v>YES</v>
      </c>
      <c r="I64" s="97">
        <v>0</v>
      </c>
      <c r="J64" s="98">
        <v>1.6110817677761852E-3</v>
      </c>
      <c r="K64" s="99">
        <v>0</v>
      </c>
      <c r="L64" s="98">
        <v>1.968420551163576E-3</v>
      </c>
      <c r="M64" s="97">
        <v>0</v>
      </c>
      <c r="N64" s="118">
        <v>1.6110817677761852E-3</v>
      </c>
      <c r="O64" s="99">
        <v>15529</v>
      </c>
      <c r="P64" s="101">
        <v>1.968420551163576E-3</v>
      </c>
      <c r="Q64" t="str">
        <f>VLOOKUP(Table325[[#This Row],[Census Tract]],'UI EnergyBurden'!$A$2:$B$184,2,FALSE)</f>
        <v>Yes</v>
      </c>
      <c r="R64">
        <f>VLOOKUP(Table325[[#This Row],[Census Tract]],'Population and Diversity Data'!B60:K881,10,FALSE)</f>
        <v>5</v>
      </c>
    </row>
    <row r="65" spans="1:18" ht="15.75" thickBot="1" x14ac:dyDescent="0.3">
      <c r="A65" s="175">
        <v>9001074400</v>
      </c>
      <c r="B65" s="200" t="s">
        <v>934</v>
      </c>
      <c r="C65" s="93" t="s">
        <v>936</v>
      </c>
      <c r="D65" s="94">
        <f>Table325[[#This Row],[Residential CLM $ Collected]]+Table325[[#This Row],[C&amp;I CLM $ Collected]]</f>
        <v>71389.851200000005</v>
      </c>
      <c r="E65" s="95">
        <v>3.2170927900667138E-3</v>
      </c>
      <c r="F65" s="96">
        <f>Table325[[#This Row],[Residential Incentive Disbursements]]+Table325[[#This Row],[C&amp;I Incentive Disbursements]]</f>
        <v>0</v>
      </c>
      <c r="G65" s="95">
        <v>1.1797306227105168E-3</v>
      </c>
      <c r="H65" s="95" t="str">
        <f t="shared" si="0"/>
        <v>NO</v>
      </c>
      <c r="I65" s="97">
        <v>0</v>
      </c>
      <c r="J65" s="98">
        <v>3.2170927900667138E-3</v>
      </c>
      <c r="K65" s="99">
        <v>0</v>
      </c>
      <c r="L65" s="98">
        <v>1.1797306227105168E-3</v>
      </c>
      <c r="M65" s="97">
        <v>71389.851200000005</v>
      </c>
      <c r="N65" s="118">
        <v>3.2170927900667138E-3</v>
      </c>
      <c r="O65" s="99">
        <v>0</v>
      </c>
      <c r="P65" s="101">
        <v>1.1797306227105168E-3</v>
      </c>
      <c r="Q65" t="str">
        <f>VLOOKUP(Table325[[#This Row],[Census Tract]],'UI EnergyBurden'!$A$2:$B$184,2,FALSE)</f>
        <v>Yes</v>
      </c>
      <c r="R65">
        <f>VLOOKUP(Table325[[#This Row],[Census Tract]],'Population and Diversity Data'!B61:K882,10,FALSE)</f>
        <v>5</v>
      </c>
    </row>
    <row r="66" spans="1:18" ht="15.75" thickBot="1" x14ac:dyDescent="0.3">
      <c r="A66" s="175">
        <v>9001080100</v>
      </c>
      <c r="B66" s="200" t="s">
        <v>956</v>
      </c>
      <c r="C66" s="93" t="s">
        <v>944</v>
      </c>
      <c r="D66" s="94">
        <f>Table325[[#This Row],[Residential CLM $ Collected]]+Table325[[#This Row],[C&amp;I CLM $ Collected]]</f>
        <v>30426.064299999998</v>
      </c>
      <c r="E66" s="95">
        <v>1.9236914617126416E-6</v>
      </c>
      <c r="F66" s="96">
        <f>Table325[[#This Row],[Residential Incentive Disbursements]]+Table325[[#This Row],[C&amp;I Incentive Disbursements]]</f>
        <v>29931</v>
      </c>
      <c r="G66" s="95">
        <v>0</v>
      </c>
      <c r="H66" s="95" t="str">
        <f t="shared" si="0"/>
        <v>N/A</v>
      </c>
      <c r="I66" s="97">
        <v>0</v>
      </c>
      <c r="J66" s="98">
        <v>1.9236914617126416E-6</v>
      </c>
      <c r="K66" s="99">
        <v>0</v>
      </c>
      <c r="L66" s="98">
        <v>0</v>
      </c>
      <c r="M66" s="97">
        <v>30426.064299999998</v>
      </c>
      <c r="N66" s="118">
        <v>1.9236914617126416E-6</v>
      </c>
      <c r="O66" s="99">
        <v>29931</v>
      </c>
      <c r="P66" s="101">
        <v>0</v>
      </c>
      <c r="Q66" t="str">
        <f>VLOOKUP(Table325[[#This Row],[Census Tract]],'UI EnergyBurden'!$A$2:$B$184,2,FALSE)</f>
        <v>No</v>
      </c>
      <c r="R66">
        <f>VLOOKUP(Table325[[#This Row],[Census Tract]],'Population and Diversity Data'!B62:K883,10,FALSE)</f>
        <v>5</v>
      </c>
    </row>
    <row r="67" spans="1:18" ht="15.75" thickBot="1" x14ac:dyDescent="0.3">
      <c r="A67" s="175">
        <v>9001080200</v>
      </c>
      <c r="B67" s="200" t="s">
        <v>956</v>
      </c>
      <c r="C67" s="93" t="s">
        <v>944</v>
      </c>
      <c r="D67" s="94">
        <f>Table325[[#This Row],[Residential CLM $ Collected]]+Table325[[#This Row],[C&amp;I CLM $ Collected]]</f>
        <v>27474.929800000002</v>
      </c>
      <c r="E67" s="95">
        <v>5.1843330016691017E-3</v>
      </c>
      <c r="F67" s="96">
        <f>Table325[[#This Row],[Residential Incentive Disbursements]]+Table325[[#This Row],[C&amp;I Incentive Disbursements]]</f>
        <v>0</v>
      </c>
      <c r="G67" s="95">
        <v>3.0709902353438802E-3</v>
      </c>
      <c r="H67" s="95" t="str">
        <f t="shared" si="0"/>
        <v>NO</v>
      </c>
      <c r="I67" s="97">
        <v>0</v>
      </c>
      <c r="J67" s="98">
        <v>5.1843330016691017E-3</v>
      </c>
      <c r="K67" s="99">
        <v>0</v>
      </c>
      <c r="L67" s="98">
        <v>3.0709902353438802E-3</v>
      </c>
      <c r="M67" s="97">
        <v>27474.929800000002</v>
      </c>
      <c r="N67" s="118">
        <v>5.1843330016691017E-3</v>
      </c>
      <c r="O67" s="99">
        <v>0</v>
      </c>
      <c r="P67" s="101">
        <v>3.0709902353438802E-3</v>
      </c>
      <c r="Q67" t="str">
        <f>VLOOKUP(Table325[[#This Row],[Census Tract]],'UI EnergyBurden'!$A$2:$B$184,2,FALSE)</f>
        <v>No</v>
      </c>
      <c r="R67">
        <f>VLOOKUP(Table325[[#This Row],[Census Tract]],'Population and Diversity Data'!B63:K884,10,FALSE)</f>
        <v>4</v>
      </c>
    </row>
    <row r="68" spans="1:18" ht="15.75" thickBot="1" x14ac:dyDescent="0.3">
      <c r="A68" s="175">
        <v>9001080400</v>
      </c>
      <c r="B68" s="200" t="s">
        <v>956</v>
      </c>
      <c r="C68" s="93" t="s">
        <v>944</v>
      </c>
      <c r="D68" s="94">
        <f>Table325[[#This Row],[Residential CLM $ Collected]]+Table325[[#This Row],[C&amp;I CLM $ Collected]]</f>
        <v>94995.182000000001</v>
      </c>
      <c r="E68" s="95">
        <v>1.4425675695886076E-6</v>
      </c>
      <c r="F68" s="96">
        <f>Table325[[#This Row],[Residential Incentive Disbursements]]+Table325[[#This Row],[C&amp;I Incentive Disbursements]]</f>
        <v>44725</v>
      </c>
      <c r="G68" s="95">
        <v>0</v>
      </c>
      <c r="H68" s="95" t="str">
        <f t="shared" si="0"/>
        <v>N/A</v>
      </c>
      <c r="I68" s="97">
        <v>0</v>
      </c>
      <c r="J68" s="98">
        <v>1.4425675695886076E-6</v>
      </c>
      <c r="K68" s="99">
        <v>0</v>
      </c>
      <c r="L68" s="98">
        <v>0</v>
      </c>
      <c r="M68" s="97">
        <v>94995.182000000001</v>
      </c>
      <c r="N68" s="118">
        <v>1.4425675695886076E-6</v>
      </c>
      <c r="O68" s="99">
        <v>44725</v>
      </c>
      <c r="P68" s="101">
        <v>0</v>
      </c>
      <c r="Q68" t="str">
        <f>VLOOKUP(Table325[[#This Row],[Census Tract]],'UI EnergyBurden'!$A$2:$B$184,2,FALSE)</f>
        <v>No</v>
      </c>
      <c r="R68">
        <f>VLOOKUP(Table325[[#This Row],[Census Tract]],'Population and Diversity Data'!B64:K885,10,FALSE)</f>
        <v>3</v>
      </c>
    </row>
    <row r="69" spans="1:18" ht="15.75" thickBot="1" x14ac:dyDescent="0.3">
      <c r="A69" s="175">
        <v>9001080500</v>
      </c>
      <c r="B69" s="200" t="s">
        <v>956</v>
      </c>
      <c r="C69" s="93" t="s">
        <v>944</v>
      </c>
      <c r="D69" s="94">
        <f>Table325[[#This Row],[Residential CLM $ Collected]]+Table325[[#This Row],[C&amp;I CLM $ Collected]]</f>
        <v>93423.159499999994</v>
      </c>
      <c r="E69" s="95">
        <v>2.70620018785602E-3</v>
      </c>
      <c r="F69" s="96">
        <f>Table325[[#This Row],[Residential Incentive Disbursements]]+Table325[[#This Row],[C&amp;I Incentive Disbursements]]</f>
        <v>84674.5</v>
      </c>
      <c r="G69" s="95">
        <v>3.1806480723288086E-3</v>
      </c>
      <c r="H69" s="95" t="str">
        <f t="shared" si="0"/>
        <v>YES</v>
      </c>
      <c r="I69" s="97">
        <v>0</v>
      </c>
      <c r="J69" s="98">
        <v>2.70620018785602E-3</v>
      </c>
      <c r="K69" s="99">
        <v>0</v>
      </c>
      <c r="L69" s="98">
        <v>3.1806480723288086E-3</v>
      </c>
      <c r="M69" s="97">
        <v>93423.159499999994</v>
      </c>
      <c r="N69" s="118">
        <v>2.70620018785602E-3</v>
      </c>
      <c r="O69" s="99">
        <v>84674.5</v>
      </c>
      <c r="P69" s="101">
        <v>3.1806480723288086E-3</v>
      </c>
      <c r="Q69" t="str">
        <f>VLOOKUP(Table325[[#This Row],[Census Tract]],'UI EnergyBurden'!$A$2:$B$184,2,FALSE)</f>
        <v>No</v>
      </c>
      <c r="R69">
        <f>VLOOKUP(Table325[[#This Row],[Census Tract]],'Population and Diversity Data'!B65:K886,10,FALSE)</f>
        <v>1</v>
      </c>
    </row>
    <row r="70" spans="1:18" ht="15.75" thickBot="1" x14ac:dyDescent="0.3">
      <c r="A70" s="175">
        <v>9001080600</v>
      </c>
      <c r="B70" s="200" t="s">
        <v>956</v>
      </c>
      <c r="C70" s="93" t="s">
        <v>944</v>
      </c>
      <c r="D70" s="94">
        <f>Table325[[#This Row],[Residential CLM $ Collected]]+Table325[[#This Row],[C&amp;I CLM $ Collected]]</f>
        <v>47038.957799999996</v>
      </c>
      <c r="E70" s="95">
        <v>9.761059117543731E-6</v>
      </c>
      <c r="F70" s="96">
        <f>Table325[[#This Row],[Residential Incentive Disbursements]]+Table325[[#This Row],[C&amp;I Incentive Disbursements]]</f>
        <v>75</v>
      </c>
      <c r="G70" s="95">
        <v>0</v>
      </c>
      <c r="H70" s="95" t="str">
        <f t="shared" si="0"/>
        <v>NO</v>
      </c>
      <c r="I70" s="97">
        <v>0</v>
      </c>
      <c r="J70" s="98">
        <v>9.761059117543731E-6</v>
      </c>
      <c r="K70" s="99">
        <v>0</v>
      </c>
      <c r="L70" s="98">
        <v>0</v>
      </c>
      <c r="M70" s="97">
        <v>47038.957799999996</v>
      </c>
      <c r="N70" s="118">
        <v>9.761059117543731E-6</v>
      </c>
      <c r="O70" s="99">
        <v>75</v>
      </c>
      <c r="P70" s="101">
        <v>0</v>
      </c>
      <c r="Q70" t="str">
        <f>VLOOKUP(Table325[[#This Row],[Census Tract]],'UI EnergyBurden'!$A$2:$B$184,2,FALSE)</f>
        <v>No</v>
      </c>
      <c r="R70">
        <f>VLOOKUP(Table325[[#This Row],[Census Tract]],'Population and Diversity Data'!B66:K887,10,FALSE)</f>
        <v>2</v>
      </c>
    </row>
    <row r="71" spans="1:18" ht="15.75" thickBot="1" x14ac:dyDescent="0.3">
      <c r="A71" s="175">
        <v>9001080700</v>
      </c>
      <c r="B71" s="200" t="s">
        <v>956</v>
      </c>
      <c r="C71" s="93" t="s">
        <v>944</v>
      </c>
      <c r="D71" s="94">
        <f>Table325[[#This Row],[Residential CLM $ Collected]]+Table325[[#This Row],[C&amp;I CLM $ Collected]]</f>
        <v>34462.429799999998</v>
      </c>
      <c r="E71" s="95">
        <v>2.6500368650369879E-3</v>
      </c>
      <c r="F71" s="96">
        <f>Table325[[#This Row],[Residential Incentive Disbursements]]+Table325[[#This Row],[C&amp;I Incentive Disbursements]]</f>
        <v>6890</v>
      </c>
      <c r="G71" s="95">
        <v>1.4278512693917488E-2</v>
      </c>
      <c r="H71" s="95" t="str">
        <f t="shared" ref="H71:H134" si="1">IF(ROUND(E71,5)&lt;0.00001,"N/A",IF(ROUND(E71,5)&lt;=ROUND(G71,5),"YES","NO"))</f>
        <v>YES</v>
      </c>
      <c r="I71" s="97">
        <v>0</v>
      </c>
      <c r="J71" s="98">
        <v>2.6500368650369879E-3</v>
      </c>
      <c r="K71" s="99">
        <v>0</v>
      </c>
      <c r="L71" s="98">
        <v>1.4278512693917488E-2</v>
      </c>
      <c r="M71" s="97">
        <v>34462.429799999998</v>
      </c>
      <c r="N71" s="118">
        <v>2.6500368650369879E-3</v>
      </c>
      <c r="O71" s="99">
        <v>6890</v>
      </c>
      <c r="P71" s="101">
        <v>1.4278512693917488E-2</v>
      </c>
      <c r="Q71" t="str">
        <f>VLOOKUP(Table325[[#This Row],[Census Tract]],'UI EnergyBurden'!$A$2:$B$184,2,FALSE)</f>
        <v>No</v>
      </c>
      <c r="R71">
        <f>VLOOKUP(Table325[[#This Row],[Census Tract]],'Population and Diversity Data'!B67:K888,10,FALSE)</f>
        <v>1</v>
      </c>
    </row>
    <row r="72" spans="1:18" ht="15.75" thickBot="1" x14ac:dyDescent="0.3">
      <c r="A72" s="175">
        <v>9001080800</v>
      </c>
      <c r="B72" s="200" t="s">
        <v>956</v>
      </c>
      <c r="C72" s="93" t="s">
        <v>944</v>
      </c>
      <c r="D72" s="94">
        <f>Table325[[#This Row],[Residential CLM $ Collected]]+Table325[[#This Row],[C&amp;I CLM $ Collected]]</f>
        <v>82882.264999999999</v>
      </c>
      <c r="E72" s="95">
        <v>2.696990127448277E-3</v>
      </c>
      <c r="F72" s="96">
        <f>Table325[[#This Row],[Residential Incentive Disbursements]]+Table325[[#This Row],[C&amp;I Incentive Disbursements]]</f>
        <v>35040</v>
      </c>
      <c r="G72" s="95">
        <v>4.0092410113189321E-3</v>
      </c>
      <c r="H72" s="95" t="str">
        <f t="shared" si="1"/>
        <v>YES</v>
      </c>
      <c r="I72" s="97">
        <v>0</v>
      </c>
      <c r="J72" s="98">
        <v>2.696990127448277E-3</v>
      </c>
      <c r="K72" s="99">
        <v>0</v>
      </c>
      <c r="L72" s="98">
        <v>4.0092410113189321E-3</v>
      </c>
      <c r="M72" s="97">
        <v>82882.264999999999</v>
      </c>
      <c r="N72" s="118">
        <v>2.696990127448277E-3</v>
      </c>
      <c r="O72" s="99">
        <v>35040</v>
      </c>
      <c r="P72" s="101">
        <v>4.0092410113189321E-3</v>
      </c>
      <c r="Q72" t="str">
        <f>VLOOKUP(Table325[[#This Row],[Census Tract]],'UI EnergyBurden'!$A$2:$B$184,2,FALSE)</f>
        <v>No</v>
      </c>
      <c r="R72">
        <f>VLOOKUP(Table325[[#This Row],[Census Tract]],'Population and Diversity Data'!B68:K889,10,FALSE)</f>
        <v>2</v>
      </c>
    </row>
    <row r="73" spans="1:18" ht="15.75" thickBot="1" x14ac:dyDescent="0.3">
      <c r="A73" s="175">
        <v>9001080900</v>
      </c>
      <c r="B73" s="200" t="s">
        <v>956</v>
      </c>
      <c r="C73" s="93" t="s">
        <v>944</v>
      </c>
      <c r="D73" s="94">
        <f>Table325[[#This Row],[Residential CLM $ Collected]]+Table325[[#This Row],[C&amp;I CLM $ Collected]]</f>
        <v>3132.4115000000002</v>
      </c>
      <c r="E73" s="95">
        <v>6.376498066033551E-7</v>
      </c>
      <c r="F73" s="96">
        <f>Table325[[#This Row],[Residential Incentive Disbursements]]+Table325[[#This Row],[C&amp;I Incentive Disbursements]]</f>
        <v>0</v>
      </c>
      <c r="G73" s="95">
        <v>0</v>
      </c>
      <c r="H73" s="95" t="str">
        <f t="shared" si="1"/>
        <v>N/A</v>
      </c>
      <c r="I73" s="97">
        <v>0</v>
      </c>
      <c r="J73" s="98">
        <v>6.376498066033551E-7</v>
      </c>
      <c r="K73" s="99">
        <v>0</v>
      </c>
      <c r="L73" s="98">
        <v>0</v>
      </c>
      <c r="M73" s="97">
        <v>3132.4115000000002</v>
      </c>
      <c r="N73" s="118">
        <v>6.376498066033551E-7</v>
      </c>
      <c r="O73" s="99">
        <v>0</v>
      </c>
      <c r="P73" s="101">
        <v>0</v>
      </c>
      <c r="Q73" t="str">
        <f>VLOOKUP(Table325[[#This Row],[Census Tract]],'UI EnergyBurden'!$A$2:$B$184,2,FALSE)</f>
        <v>No</v>
      </c>
      <c r="R73">
        <f>VLOOKUP(Table325[[#This Row],[Census Tract]],'Population and Diversity Data'!B69:K890,10,FALSE)</f>
        <v>4</v>
      </c>
    </row>
    <row r="74" spans="1:18" ht="15.75" thickBot="1" x14ac:dyDescent="0.3">
      <c r="A74" s="175">
        <v>9001081000</v>
      </c>
      <c r="B74" s="200" t="s">
        <v>956</v>
      </c>
      <c r="C74" s="93" t="s">
        <v>944</v>
      </c>
      <c r="D74" s="94">
        <f>Table325[[#This Row],[Residential CLM $ Collected]]+Table325[[#This Row],[C&amp;I CLM $ Collected]]</f>
        <v>6311.1261999999997</v>
      </c>
      <c r="E74" s="95">
        <v>5.1600769384182496E-6</v>
      </c>
      <c r="F74" s="96">
        <f>Table325[[#This Row],[Residential Incentive Disbursements]]+Table325[[#This Row],[C&amp;I Incentive Disbursements]]</f>
        <v>0</v>
      </c>
      <c r="G74" s="95">
        <v>0</v>
      </c>
      <c r="H74" s="95" t="str">
        <f t="shared" si="1"/>
        <v>NO</v>
      </c>
      <c r="I74" s="97">
        <v>0</v>
      </c>
      <c r="J74" s="98">
        <v>5.1600769384182496E-6</v>
      </c>
      <c r="K74" s="99">
        <v>0</v>
      </c>
      <c r="L74" s="98">
        <v>0</v>
      </c>
      <c r="M74" s="97">
        <v>6311.1261999999997</v>
      </c>
      <c r="N74" s="118">
        <v>5.1600769384182496E-6</v>
      </c>
      <c r="O74" s="99">
        <v>0</v>
      </c>
      <c r="P74" s="101">
        <v>0</v>
      </c>
      <c r="Q74" t="str">
        <f>VLOOKUP(Table325[[#This Row],[Census Tract]],'UI EnergyBurden'!$A$2:$B$184,2,FALSE)</f>
        <v>No</v>
      </c>
      <c r="R74">
        <f>VLOOKUP(Table325[[#This Row],[Census Tract]],'Population and Diversity Data'!B70:K891,10,FALSE)</f>
        <v>2</v>
      </c>
    </row>
    <row r="75" spans="1:18" ht="15.75" thickBot="1" x14ac:dyDescent="0.3">
      <c r="A75" s="175">
        <v>9001081100</v>
      </c>
      <c r="B75" s="200" t="s">
        <v>956</v>
      </c>
      <c r="C75" s="93" t="s">
        <v>944</v>
      </c>
      <c r="D75" s="94">
        <f>Table325[[#This Row],[Residential CLM $ Collected]]+Table325[[#This Row],[C&amp;I CLM $ Collected]]</f>
        <v>31194.002799999998</v>
      </c>
      <c r="E75" s="95">
        <v>1.527099250530837E-3</v>
      </c>
      <c r="F75" s="96">
        <f>Table325[[#This Row],[Residential Incentive Disbursements]]+Table325[[#This Row],[C&amp;I Incentive Disbursements]]</f>
        <v>104783</v>
      </c>
      <c r="G75" s="95">
        <v>1.077237840555397E-3</v>
      </c>
      <c r="H75" s="95" t="str">
        <f t="shared" si="1"/>
        <v>NO</v>
      </c>
      <c r="I75" s="97">
        <v>0</v>
      </c>
      <c r="J75" s="98">
        <v>1.527099250530837E-3</v>
      </c>
      <c r="K75" s="99">
        <v>0</v>
      </c>
      <c r="L75" s="98">
        <v>1.077237840555397E-3</v>
      </c>
      <c r="M75" s="97">
        <v>31194.002799999998</v>
      </c>
      <c r="N75" s="118">
        <v>1.527099250530837E-3</v>
      </c>
      <c r="O75" s="99">
        <v>104783</v>
      </c>
      <c r="P75" s="101">
        <v>1.077237840555397E-3</v>
      </c>
      <c r="Q75" t="str">
        <f>VLOOKUP(Table325[[#This Row],[Census Tract]],'UI EnergyBurden'!$A$2:$B$184,2,FALSE)</f>
        <v>No</v>
      </c>
      <c r="R75">
        <f>VLOOKUP(Table325[[#This Row],[Census Tract]],'Population and Diversity Data'!B71:K892,10,FALSE)</f>
        <v>1</v>
      </c>
    </row>
    <row r="76" spans="1:18" ht="15.75" thickBot="1" x14ac:dyDescent="0.3">
      <c r="A76" s="175">
        <v>9001081200</v>
      </c>
      <c r="B76" s="200" t="s">
        <v>956</v>
      </c>
      <c r="C76" s="93" t="s">
        <v>944</v>
      </c>
      <c r="D76" s="94">
        <f>Table325[[#This Row],[Residential CLM $ Collected]]+Table325[[#This Row],[C&amp;I CLM $ Collected]]</f>
        <v>16496.093799999999</v>
      </c>
      <c r="E76" s="95">
        <v>4.0776976625284123E-6</v>
      </c>
      <c r="F76" s="96">
        <f>Table325[[#This Row],[Residential Incentive Disbursements]]+Table325[[#This Row],[C&amp;I Incentive Disbursements]]</f>
        <v>0</v>
      </c>
      <c r="G76" s="95">
        <v>0</v>
      </c>
      <c r="H76" s="95" t="str">
        <f t="shared" si="1"/>
        <v>N/A</v>
      </c>
      <c r="I76" s="97">
        <v>0</v>
      </c>
      <c r="J76" s="98">
        <v>4.0776976625284123E-6</v>
      </c>
      <c r="K76" s="99">
        <v>0</v>
      </c>
      <c r="L76" s="98">
        <v>0</v>
      </c>
      <c r="M76" s="97">
        <v>16496.093799999999</v>
      </c>
      <c r="N76" s="118">
        <v>4.0776976625284123E-6</v>
      </c>
      <c r="O76" s="99">
        <v>0</v>
      </c>
      <c r="P76" s="101">
        <v>0</v>
      </c>
      <c r="Q76" t="str">
        <f>VLOOKUP(Table325[[#This Row],[Census Tract]],'UI EnergyBurden'!$A$2:$B$184,2,FALSE)</f>
        <v>No</v>
      </c>
      <c r="R76">
        <f>VLOOKUP(Table325[[#This Row],[Census Tract]],'Population and Diversity Data'!B72:K893,10,FALSE)</f>
        <v>3</v>
      </c>
    </row>
    <row r="77" spans="1:18" ht="15.75" thickBot="1" x14ac:dyDescent="0.3">
      <c r="A77" s="175">
        <v>9001081300</v>
      </c>
      <c r="B77" s="200" t="s">
        <v>956</v>
      </c>
      <c r="C77" s="93" t="s">
        <v>944</v>
      </c>
      <c r="D77" s="94">
        <f>Table325[[#This Row],[Residential CLM $ Collected]]+Table325[[#This Row],[C&amp;I CLM $ Collected]]</f>
        <v>167987.89379999999</v>
      </c>
      <c r="E77" s="95">
        <v>0</v>
      </c>
      <c r="F77" s="96">
        <f>Table325[[#This Row],[Residential Incentive Disbursements]]+Table325[[#This Row],[C&amp;I Incentive Disbursements]]</f>
        <v>79769</v>
      </c>
      <c r="G77" s="95">
        <v>3.1435163273913114E-3</v>
      </c>
      <c r="H77" s="95" t="str">
        <f t="shared" si="1"/>
        <v>N/A</v>
      </c>
      <c r="I77" s="97">
        <v>6526.4359999999997</v>
      </c>
      <c r="J77" s="98">
        <v>0</v>
      </c>
      <c r="K77" s="99">
        <v>0</v>
      </c>
      <c r="L77" s="98">
        <v>3.1435163273913114E-3</v>
      </c>
      <c r="M77" s="97">
        <v>161461.4578</v>
      </c>
      <c r="N77" s="118">
        <v>0</v>
      </c>
      <c r="O77" s="99">
        <v>79769</v>
      </c>
      <c r="P77" s="101">
        <v>3.1435163273913114E-3</v>
      </c>
      <c r="Q77" t="str">
        <f>VLOOKUP(Table325[[#This Row],[Census Tract]],'UI EnergyBurden'!$A$2:$B$184,2,FALSE)</f>
        <v>No</v>
      </c>
      <c r="R77">
        <f>VLOOKUP(Table325[[#This Row],[Census Tract]],'Population and Diversity Data'!B73:K894,10,FALSE)</f>
        <v>4</v>
      </c>
    </row>
    <row r="78" spans="1:18" ht="15.75" thickBot="1" x14ac:dyDescent="0.3">
      <c r="A78" s="175">
        <v>9001090100</v>
      </c>
      <c r="B78" s="200" t="s">
        <v>2987</v>
      </c>
      <c r="C78" s="93" t="s">
        <v>944</v>
      </c>
      <c r="D78" s="94">
        <f>Table325[[#This Row],[Residential CLM $ Collected]]+Table325[[#This Row],[C&amp;I CLM $ Collected]]</f>
        <v>64761.160300000003</v>
      </c>
      <c r="E78" s="95">
        <v>3.2416818531801825E-3</v>
      </c>
      <c r="F78" s="96">
        <f>Table325[[#This Row],[Residential Incentive Disbursements]]+Table325[[#This Row],[C&amp;I Incentive Disbursements]]</f>
        <v>200</v>
      </c>
      <c r="G78" s="95">
        <v>0</v>
      </c>
      <c r="H78" s="95" t="str">
        <f t="shared" si="1"/>
        <v>NO</v>
      </c>
      <c r="I78" s="97">
        <v>0</v>
      </c>
      <c r="J78" s="98">
        <v>3.2416818531801825E-3</v>
      </c>
      <c r="K78" s="99">
        <v>0</v>
      </c>
      <c r="L78" s="98">
        <v>0</v>
      </c>
      <c r="M78" s="97">
        <v>64761.160300000003</v>
      </c>
      <c r="N78" s="118">
        <v>3.2416818531801825E-3</v>
      </c>
      <c r="O78" s="99">
        <v>200</v>
      </c>
      <c r="P78" s="101">
        <v>0</v>
      </c>
      <c r="Q78" t="str">
        <f>VLOOKUP(Table325[[#This Row],[Census Tract]],'UI EnergyBurden'!$A$2:$B$184,2,FALSE)</f>
        <v>No</v>
      </c>
      <c r="R78">
        <f>VLOOKUP(Table325[[#This Row],[Census Tract]],'Population and Diversity Data'!B74:K895,10,FALSE)</f>
        <v>1</v>
      </c>
    </row>
    <row r="79" spans="1:18" ht="15.75" thickBot="1" x14ac:dyDescent="0.3">
      <c r="A79" s="175">
        <v>9001090200</v>
      </c>
      <c r="B79" s="200" t="s">
        <v>2987</v>
      </c>
      <c r="C79" s="93" t="s">
        <v>944</v>
      </c>
      <c r="D79" s="94">
        <f>Table325[[#This Row],[Residential CLM $ Collected]]+Table325[[#This Row],[C&amp;I CLM $ Collected]]</f>
        <v>33524.442799999997</v>
      </c>
      <c r="E79" s="95">
        <v>3.4346768349737689E-6</v>
      </c>
      <c r="F79" s="96">
        <f>Table325[[#This Row],[Residential Incentive Disbursements]]+Table325[[#This Row],[C&amp;I Incentive Disbursements]]</f>
        <v>0</v>
      </c>
      <c r="G79" s="95">
        <v>0</v>
      </c>
      <c r="H79" s="95" t="str">
        <f t="shared" si="1"/>
        <v>N/A</v>
      </c>
      <c r="I79" s="97">
        <v>0</v>
      </c>
      <c r="J79" s="98">
        <v>3.4346768349737689E-6</v>
      </c>
      <c r="K79" s="99">
        <v>0</v>
      </c>
      <c r="L79" s="98">
        <v>0</v>
      </c>
      <c r="M79" s="97">
        <v>33524.442799999997</v>
      </c>
      <c r="N79" s="118">
        <v>3.4346768349737689E-6</v>
      </c>
      <c r="O79" s="99">
        <v>0</v>
      </c>
      <c r="P79" s="101">
        <v>0</v>
      </c>
      <c r="Q79" t="str">
        <f>VLOOKUP(Table325[[#This Row],[Census Tract]],'UI EnergyBurden'!$A$2:$B$184,2,FALSE)</f>
        <v>No</v>
      </c>
      <c r="R79">
        <f>VLOOKUP(Table325[[#This Row],[Census Tract]],'Population and Diversity Data'!B75:K896,10,FALSE)</f>
        <v>3</v>
      </c>
    </row>
    <row r="80" spans="1:18" ht="15.75" thickBot="1" x14ac:dyDescent="0.3">
      <c r="A80" s="175">
        <v>9001090300</v>
      </c>
      <c r="B80" s="200" t="s">
        <v>2987</v>
      </c>
      <c r="C80" s="93" t="s">
        <v>944</v>
      </c>
      <c r="D80" s="94">
        <f>Table325[[#This Row],[Residential CLM $ Collected]]+Table325[[#This Row],[C&amp;I CLM $ Collected]]</f>
        <v>91398.118099999992</v>
      </c>
      <c r="E80" s="95">
        <v>9.0858228169780637E-4</v>
      </c>
      <c r="F80" s="96">
        <f>Table325[[#This Row],[Residential Incentive Disbursements]]+Table325[[#This Row],[C&amp;I Incentive Disbursements]]</f>
        <v>0</v>
      </c>
      <c r="G80" s="95">
        <v>1.8171728980768983E-4</v>
      </c>
      <c r="H80" s="95" t="str">
        <f t="shared" si="1"/>
        <v>NO</v>
      </c>
      <c r="I80" s="97">
        <v>2789.9992999999999</v>
      </c>
      <c r="J80" s="98">
        <v>9.0858228169780637E-4</v>
      </c>
      <c r="K80" s="99">
        <v>0</v>
      </c>
      <c r="L80" s="98">
        <v>1.8171728980768983E-4</v>
      </c>
      <c r="M80" s="97">
        <v>88608.118799999997</v>
      </c>
      <c r="N80" s="118">
        <v>9.0858228169780637E-4</v>
      </c>
      <c r="O80" s="99">
        <v>0</v>
      </c>
      <c r="P80" s="101">
        <v>1.8171728980768983E-4</v>
      </c>
      <c r="Q80" t="str">
        <f>VLOOKUP(Table325[[#This Row],[Census Tract]],'UI EnergyBurden'!$A$2:$B$184,2,FALSE)</f>
        <v>No</v>
      </c>
      <c r="R80">
        <f>VLOOKUP(Table325[[#This Row],[Census Tract]],'Population and Diversity Data'!B76:K897,10,FALSE)</f>
        <v>3</v>
      </c>
    </row>
    <row r="81" spans="1:18" ht="15.75" thickBot="1" x14ac:dyDescent="0.3">
      <c r="A81" s="175">
        <v>9001090400</v>
      </c>
      <c r="B81" s="200" t="s">
        <v>2987</v>
      </c>
      <c r="C81" s="93" t="s">
        <v>944</v>
      </c>
      <c r="D81" s="94">
        <f>Table325[[#This Row],[Residential CLM $ Collected]]+Table325[[#This Row],[C&amp;I CLM $ Collected]]</f>
        <v>82588.587100000004</v>
      </c>
      <c r="E81" s="95">
        <v>1.2808665063232084E-6</v>
      </c>
      <c r="F81" s="96">
        <f>Table325[[#This Row],[Residential Incentive Disbursements]]+Table325[[#This Row],[C&amp;I Incentive Disbursements]]</f>
        <v>56839</v>
      </c>
      <c r="G81" s="95">
        <v>0</v>
      </c>
      <c r="H81" s="95" t="str">
        <f t="shared" si="1"/>
        <v>N/A</v>
      </c>
      <c r="I81" s="97">
        <v>0</v>
      </c>
      <c r="J81" s="98">
        <v>1.2808665063232084E-6</v>
      </c>
      <c r="K81" s="99">
        <v>0</v>
      </c>
      <c r="L81" s="98">
        <v>0</v>
      </c>
      <c r="M81" s="97">
        <v>82588.587100000004</v>
      </c>
      <c r="N81" s="118">
        <v>1.2808665063232084E-6</v>
      </c>
      <c r="O81" s="99">
        <v>56839</v>
      </c>
      <c r="P81" s="101">
        <v>0</v>
      </c>
      <c r="Q81" t="str">
        <f>VLOOKUP(Table325[[#This Row],[Census Tract]],'UI EnergyBurden'!$A$2:$B$184,2,FALSE)</f>
        <v>No</v>
      </c>
      <c r="R81">
        <f>VLOOKUP(Table325[[#This Row],[Census Tract]],'Population and Diversity Data'!B77:K898,10,FALSE)</f>
        <v>4</v>
      </c>
    </row>
    <row r="82" spans="1:18" ht="15.75" thickBot="1" x14ac:dyDescent="0.3">
      <c r="A82" s="175">
        <v>9001090500</v>
      </c>
      <c r="B82" s="200" t="s">
        <v>2987</v>
      </c>
      <c r="C82" s="93" t="s">
        <v>944</v>
      </c>
      <c r="D82" s="94">
        <f>Table325[[#This Row],[Residential CLM $ Collected]]+Table325[[#This Row],[C&amp;I CLM $ Collected]]</f>
        <v>262382.63909999997</v>
      </c>
      <c r="E82" s="95">
        <v>0</v>
      </c>
      <c r="F82" s="96">
        <f>Table325[[#This Row],[Residential Incentive Disbursements]]+Table325[[#This Row],[C&amp;I Incentive Disbursements]]</f>
        <v>146069</v>
      </c>
      <c r="G82" s="95">
        <v>1.4157887644746646E-3</v>
      </c>
      <c r="H82" s="95" t="str">
        <f t="shared" si="1"/>
        <v>N/A</v>
      </c>
      <c r="I82" s="97">
        <v>0</v>
      </c>
      <c r="J82" s="98">
        <v>0</v>
      </c>
      <c r="K82" s="99">
        <v>0</v>
      </c>
      <c r="L82" s="98">
        <v>1.4157887644746646E-3</v>
      </c>
      <c r="M82" s="97">
        <v>262382.63909999997</v>
      </c>
      <c r="N82" s="118">
        <v>0</v>
      </c>
      <c r="O82" s="99">
        <v>146069</v>
      </c>
      <c r="P82" s="101">
        <v>1.4157887644746646E-3</v>
      </c>
      <c r="Q82" t="str">
        <f>VLOOKUP(Table325[[#This Row],[Census Tract]],'UI EnergyBurden'!$A$2:$B$184,2,FALSE)</f>
        <v>No</v>
      </c>
      <c r="R82">
        <f>VLOOKUP(Table325[[#This Row],[Census Tract]],'Population and Diversity Data'!B78:K899,10,FALSE)</f>
        <v>3</v>
      </c>
    </row>
    <row r="83" spans="1:18" ht="15.75" thickBot="1" x14ac:dyDescent="0.3">
      <c r="A83" s="175">
        <v>9001090600</v>
      </c>
      <c r="B83" s="200" t="s">
        <v>2987</v>
      </c>
      <c r="C83" s="93" t="s">
        <v>944</v>
      </c>
      <c r="D83" s="94">
        <f>Table325[[#This Row],[Residential CLM $ Collected]]+Table325[[#This Row],[C&amp;I CLM $ Collected]]</f>
        <v>21139.378799999999</v>
      </c>
      <c r="E83" s="95">
        <v>2.5043168811496328E-3</v>
      </c>
      <c r="F83" s="96">
        <f>Table325[[#This Row],[Residential Incentive Disbursements]]+Table325[[#This Row],[C&amp;I Incentive Disbursements]]</f>
        <v>0</v>
      </c>
      <c r="G83" s="95">
        <v>0</v>
      </c>
      <c r="H83" s="95" t="str">
        <f t="shared" si="1"/>
        <v>NO</v>
      </c>
      <c r="I83" s="97">
        <v>0</v>
      </c>
      <c r="J83" s="98">
        <v>2.5043168811496328E-3</v>
      </c>
      <c r="K83" s="99">
        <v>0</v>
      </c>
      <c r="L83" s="98">
        <v>0</v>
      </c>
      <c r="M83" s="97">
        <v>21139.378799999999</v>
      </c>
      <c r="N83" s="118">
        <v>2.5043168811496328E-3</v>
      </c>
      <c r="O83" s="99">
        <v>0</v>
      </c>
      <c r="P83" s="101">
        <v>0</v>
      </c>
      <c r="Q83" t="str">
        <f>VLOOKUP(Table325[[#This Row],[Census Tract]],'UI EnergyBurden'!$A$2:$B$184,2,FALSE)</f>
        <v>No</v>
      </c>
      <c r="R83">
        <f>VLOOKUP(Table325[[#This Row],[Census Tract]],'Population and Diversity Data'!B79:K900,10,FALSE)</f>
        <v>2</v>
      </c>
    </row>
    <row r="84" spans="1:18" ht="15.75" thickBot="1" x14ac:dyDescent="0.3">
      <c r="A84" s="175">
        <v>9001090700</v>
      </c>
      <c r="B84" s="200" t="s">
        <v>2987</v>
      </c>
      <c r="C84" s="93" t="s">
        <v>944</v>
      </c>
      <c r="D84" s="94">
        <f>Table325[[#This Row],[Residential CLM $ Collected]]+Table325[[#This Row],[C&amp;I CLM $ Collected]]</f>
        <v>46069.947800000002</v>
      </c>
      <c r="E84" s="95">
        <v>0</v>
      </c>
      <c r="F84" s="96">
        <f>Table325[[#This Row],[Residential Incentive Disbursements]]+Table325[[#This Row],[C&amp;I Incentive Disbursements]]</f>
        <v>0</v>
      </c>
      <c r="G84" s="95">
        <v>3.339959536915257E-3</v>
      </c>
      <c r="H84" s="95" t="str">
        <f t="shared" si="1"/>
        <v>N/A</v>
      </c>
      <c r="I84" s="97">
        <v>1844.7194999999999</v>
      </c>
      <c r="J84" s="98">
        <v>0</v>
      </c>
      <c r="K84" s="99">
        <v>0</v>
      </c>
      <c r="L84" s="98">
        <v>3.339959536915257E-3</v>
      </c>
      <c r="M84" s="97">
        <v>44225.228300000002</v>
      </c>
      <c r="N84" s="118">
        <v>0</v>
      </c>
      <c r="O84" s="99">
        <v>0</v>
      </c>
      <c r="P84" s="101">
        <v>3.339959536915257E-3</v>
      </c>
      <c r="Q84" t="str">
        <f>VLOOKUP(Table325[[#This Row],[Census Tract]],'UI EnergyBurden'!$A$2:$B$184,2,FALSE)</f>
        <v>No</v>
      </c>
      <c r="R84">
        <f>VLOOKUP(Table325[[#This Row],[Census Tract]],'Population and Diversity Data'!B80:K901,10,FALSE)</f>
        <v>3</v>
      </c>
    </row>
    <row r="85" spans="1:18" ht="15.75" thickBot="1" x14ac:dyDescent="0.3">
      <c r="A85" s="175">
        <v>9001105100</v>
      </c>
      <c r="B85" s="200" t="s">
        <v>2981</v>
      </c>
      <c r="C85" s="93" t="s">
        <v>944</v>
      </c>
      <c r="D85" s="94">
        <f>Table325[[#This Row],[Residential CLM $ Collected]]+Table325[[#This Row],[C&amp;I CLM $ Collected]]</f>
        <v>31652.1731</v>
      </c>
      <c r="E85" s="95">
        <v>2.7463588510373963E-3</v>
      </c>
      <c r="F85" s="96">
        <f>Table325[[#This Row],[Residential Incentive Disbursements]]+Table325[[#This Row],[C&amp;I Incentive Disbursements]]</f>
        <v>60</v>
      </c>
      <c r="G85" s="95">
        <v>0</v>
      </c>
      <c r="H85" s="95" t="str">
        <f t="shared" si="1"/>
        <v>NO</v>
      </c>
      <c r="I85" s="97">
        <v>0</v>
      </c>
      <c r="J85" s="98">
        <v>2.7463588510373963E-3</v>
      </c>
      <c r="K85" s="99">
        <v>0</v>
      </c>
      <c r="L85" s="98">
        <v>0</v>
      </c>
      <c r="M85" s="97">
        <v>31652.1731</v>
      </c>
      <c r="N85" s="118">
        <v>2.7463588510373963E-3</v>
      </c>
      <c r="O85" s="99">
        <v>60</v>
      </c>
      <c r="P85" s="101">
        <v>0</v>
      </c>
      <c r="Q85" t="str">
        <f>VLOOKUP(Table325[[#This Row],[Census Tract]],'UI EnergyBurden'!$A$2:$B$184,2,FALSE)</f>
        <v>No</v>
      </c>
      <c r="R85">
        <f>VLOOKUP(Table325[[#This Row],[Census Tract]],'Population and Diversity Data'!B81:K902,10,FALSE)</f>
        <v>1</v>
      </c>
    </row>
    <row r="86" spans="1:18" ht="15.75" thickBot="1" x14ac:dyDescent="0.3">
      <c r="A86" s="175">
        <v>9001105200</v>
      </c>
      <c r="B86" s="200" t="s">
        <v>2981</v>
      </c>
      <c r="C86" s="93" t="s">
        <v>944</v>
      </c>
      <c r="D86" s="94">
        <f>Table325[[#This Row],[Residential CLM $ Collected]]+Table325[[#This Row],[C&amp;I CLM $ Collected]]</f>
        <v>1963.6956</v>
      </c>
      <c r="E86" s="95">
        <v>0</v>
      </c>
      <c r="F86" s="96">
        <f>Table325[[#This Row],[Residential Incentive Disbursements]]+Table325[[#This Row],[C&amp;I Incentive Disbursements]]</f>
        <v>0</v>
      </c>
      <c r="G86" s="95">
        <v>4.9421022232896711E-4</v>
      </c>
      <c r="H86" s="95" t="str">
        <f t="shared" si="1"/>
        <v>N/A</v>
      </c>
      <c r="I86" s="97">
        <v>0</v>
      </c>
      <c r="J86" s="98">
        <v>0</v>
      </c>
      <c r="K86" s="99">
        <v>0</v>
      </c>
      <c r="L86" s="98">
        <v>4.9421022232896711E-4</v>
      </c>
      <c r="M86" s="97">
        <v>1963.6956</v>
      </c>
      <c r="N86" s="118">
        <v>0</v>
      </c>
      <c r="O86" s="99">
        <v>0</v>
      </c>
      <c r="P86" s="101">
        <v>4.9421022232896711E-4</v>
      </c>
      <c r="Q86" t="str">
        <f>VLOOKUP(Table325[[#This Row],[Census Tract]],'UI EnergyBurden'!$A$2:$B$184,2,FALSE)</f>
        <v>No</v>
      </c>
      <c r="R86">
        <f>VLOOKUP(Table325[[#This Row],[Census Tract]],'Population and Diversity Data'!B82:K903,10,FALSE)</f>
        <v>3</v>
      </c>
    </row>
    <row r="87" spans="1:18" ht="15.75" thickBot="1" x14ac:dyDescent="0.3">
      <c r="A87" s="175">
        <v>9001110100</v>
      </c>
      <c r="B87" s="200" t="s">
        <v>3009</v>
      </c>
      <c r="C87" s="93" t="s">
        <v>944</v>
      </c>
      <c r="D87" s="94">
        <f>Table325[[#This Row],[Residential CLM $ Collected]]+Table325[[#This Row],[C&amp;I CLM $ Collected]]</f>
        <v>48465.287400000001</v>
      </c>
      <c r="E87" s="95">
        <v>1.6791280809874381E-3</v>
      </c>
      <c r="F87" s="96">
        <f>Table325[[#This Row],[Residential Incentive Disbursements]]+Table325[[#This Row],[C&amp;I Incentive Disbursements]]</f>
        <v>9127</v>
      </c>
      <c r="G87" s="95">
        <v>0</v>
      </c>
      <c r="H87" s="95" t="str">
        <f t="shared" si="1"/>
        <v>NO</v>
      </c>
      <c r="I87" s="97">
        <v>0</v>
      </c>
      <c r="J87" s="98">
        <v>1.6791280809874381E-3</v>
      </c>
      <c r="K87" s="99">
        <v>0</v>
      </c>
      <c r="L87" s="98">
        <v>0</v>
      </c>
      <c r="M87" s="97">
        <v>48465.287400000001</v>
      </c>
      <c r="N87" s="118">
        <v>1.6791280809874381E-3</v>
      </c>
      <c r="O87" s="99">
        <v>9127</v>
      </c>
      <c r="P87" s="101">
        <v>0</v>
      </c>
      <c r="Q87" t="str">
        <f>VLOOKUP(Table325[[#This Row],[Census Tract]],'UI EnergyBurden'!$A$2:$B$184,2,FALSE)</f>
        <v>No</v>
      </c>
      <c r="R87">
        <f>VLOOKUP(Table325[[#This Row],[Census Tract]],'Population and Diversity Data'!B83:K904,10,FALSE)</f>
        <v>3</v>
      </c>
    </row>
    <row r="88" spans="1:18" ht="15.75" thickBot="1" x14ac:dyDescent="0.3">
      <c r="A88" s="175">
        <v>9001110201</v>
      </c>
      <c r="B88" s="200" t="s">
        <v>3009</v>
      </c>
      <c r="C88" s="93" t="s">
        <v>944</v>
      </c>
      <c r="D88" s="94">
        <f>Table325[[#This Row],[Residential CLM $ Collected]]+Table325[[#This Row],[C&amp;I CLM $ Collected]]</f>
        <v>11511.554400000001</v>
      </c>
      <c r="E88" s="95">
        <v>0</v>
      </c>
      <c r="F88" s="96">
        <f>Table325[[#This Row],[Residential Incentive Disbursements]]+Table325[[#This Row],[C&amp;I Incentive Disbursements]]</f>
        <v>502700</v>
      </c>
      <c r="G88" s="95">
        <v>1.2876445146338617E-4</v>
      </c>
      <c r="H88" s="95" t="str">
        <f t="shared" si="1"/>
        <v>N/A</v>
      </c>
      <c r="I88" s="97">
        <v>0</v>
      </c>
      <c r="J88" s="98">
        <v>0</v>
      </c>
      <c r="K88" s="99">
        <v>0</v>
      </c>
      <c r="L88" s="98">
        <v>1.2876445146338617E-4</v>
      </c>
      <c r="M88" s="97">
        <v>11511.554400000001</v>
      </c>
      <c r="N88" s="118">
        <v>0</v>
      </c>
      <c r="O88" s="99">
        <v>502700</v>
      </c>
      <c r="P88" s="101">
        <v>1.2876445146338617E-4</v>
      </c>
      <c r="Q88" t="str">
        <f>VLOOKUP(Table325[[#This Row],[Census Tract]],'UI EnergyBurden'!$A$2:$B$184,2,FALSE)</f>
        <v>No</v>
      </c>
      <c r="R88">
        <f>VLOOKUP(Table325[[#This Row],[Census Tract]],'Population and Diversity Data'!B84:K905,10,FALSE)</f>
        <v>4</v>
      </c>
    </row>
    <row r="89" spans="1:18" ht="15.75" thickBot="1" x14ac:dyDescent="0.3">
      <c r="A89" s="175">
        <v>9001110202</v>
      </c>
      <c r="B89" s="200" t="s">
        <v>3009</v>
      </c>
      <c r="C89" s="93" t="s">
        <v>944</v>
      </c>
      <c r="D89" s="94">
        <f>Table325[[#This Row],[Residential CLM $ Collected]]+Table325[[#This Row],[C&amp;I CLM $ Collected]]</f>
        <v>476788.71539999999</v>
      </c>
      <c r="E89" s="95">
        <v>1.0758732444682317E-3</v>
      </c>
      <c r="F89" s="96">
        <f>Table325[[#This Row],[Residential Incentive Disbursements]]+Table325[[#This Row],[C&amp;I Incentive Disbursements]]</f>
        <v>192127</v>
      </c>
      <c r="G89" s="95">
        <v>0</v>
      </c>
      <c r="H89" s="95" t="str">
        <f t="shared" si="1"/>
        <v>NO</v>
      </c>
      <c r="I89" s="97">
        <v>6043.2620999999999</v>
      </c>
      <c r="J89" s="98">
        <v>1.0758732444682317E-3</v>
      </c>
      <c r="K89" s="99">
        <v>0</v>
      </c>
      <c r="L89" s="98">
        <v>0</v>
      </c>
      <c r="M89" s="97">
        <v>470745.45329999999</v>
      </c>
      <c r="N89" s="118">
        <v>1.0758732444682317E-3</v>
      </c>
      <c r="O89" s="99">
        <v>192127</v>
      </c>
      <c r="P89" s="101">
        <v>0</v>
      </c>
      <c r="Q89" t="str">
        <f>VLOOKUP(Table325[[#This Row],[Census Tract]],'UI EnergyBurden'!$A$2:$B$184,2,FALSE)</f>
        <v>No</v>
      </c>
      <c r="R89">
        <f>VLOOKUP(Table325[[#This Row],[Census Tract]],'Population and Diversity Data'!B85:K906,10,FALSE)</f>
        <v>2</v>
      </c>
    </row>
    <row r="90" spans="1:18" ht="15.75" thickBot="1" x14ac:dyDescent="0.3">
      <c r="A90" s="175">
        <v>9001110301</v>
      </c>
      <c r="B90" s="200" t="s">
        <v>3009</v>
      </c>
      <c r="C90" s="93" t="s">
        <v>944</v>
      </c>
      <c r="D90" s="94">
        <f>Table325[[#This Row],[Residential CLM $ Collected]]+Table325[[#This Row],[C&amp;I CLM $ Collected]]</f>
        <v>61755.966899999999</v>
      </c>
      <c r="E90" s="95">
        <v>0</v>
      </c>
      <c r="F90" s="96">
        <f>Table325[[#This Row],[Residential Incentive Disbursements]]+Table325[[#This Row],[C&amp;I Incentive Disbursements]]</f>
        <v>0</v>
      </c>
      <c r="G90" s="95">
        <v>1.8085739989967984E-3</v>
      </c>
      <c r="H90" s="95" t="str">
        <f t="shared" si="1"/>
        <v>N/A</v>
      </c>
      <c r="I90" s="97">
        <v>0</v>
      </c>
      <c r="J90" s="98">
        <v>0</v>
      </c>
      <c r="K90" s="99">
        <v>0</v>
      </c>
      <c r="L90" s="98">
        <v>1.8085739989967984E-3</v>
      </c>
      <c r="M90" s="97">
        <v>61755.966899999999</v>
      </c>
      <c r="N90" s="118">
        <v>0</v>
      </c>
      <c r="O90" s="99">
        <v>0</v>
      </c>
      <c r="P90" s="101">
        <v>1.8085739989967984E-3</v>
      </c>
      <c r="Q90" t="str">
        <f>VLOOKUP(Table325[[#This Row],[Census Tract]],'UI EnergyBurden'!$A$2:$B$184,2,FALSE)</f>
        <v>No</v>
      </c>
      <c r="R90">
        <f>VLOOKUP(Table325[[#This Row],[Census Tract]],'Population and Diversity Data'!B86:K907,10,FALSE)</f>
        <v>3</v>
      </c>
    </row>
    <row r="91" spans="1:18" ht="15.75" thickBot="1" x14ac:dyDescent="0.3">
      <c r="A91" s="175">
        <v>9001110302</v>
      </c>
      <c r="B91" s="200" t="s">
        <v>3009</v>
      </c>
      <c r="C91" s="93" t="s">
        <v>944</v>
      </c>
      <c r="D91" s="94">
        <f>Table325[[#This Row],[Residential CLM $ Collected]]+Table325[[#This Row],[C&amp;I CLM $ Collected]]</f>
        <v>392782.05839999998</v>
      </c>
      <c r="E91" s="95">
        <v>3.0074024965082219E-3</v>
      </c>
      <c r="F91" s="96">
        <f>Table325[[#This Row],[Residential Incentive Disbursements]]+Table325[[#This Row],[C&amp;I Incentive Disbursements]]</f>
        <v>90344</v>
      </c>
      <c r="G91" s="95">
        <v>0</v>
      </c>
      <c r="H91" s="95" t="str">
        <f t="shared" si="1"/>
        <v>NO</v>
      </c>
      <c r="I91" s="97">
        <v>0</v>
      </c>
      <c r="J91" s="98">
        <v>3.0074024965082219E-3</v>
      </c>
      <c r="K91" s="99">
        <v>0</v>
      </c>
      <c r="L91" s="98">
        <v>0</v>
      </c>
      <c r="M91" s="97">
        <v>392782.05839999998</v>
      </c>
      <c r="N91" s="118">
        <v>3.0074024965082219E-3</v>
      </c>
      <c r="O91" s="99">
        <v>90344</v>
      </c>
      <c r="P91" s="101">
        <v>0</v>
      </c>
      <c r="Q91" t="str">
        <f>VLOOKUP(Table325[[#This Row],[Census Tract]],'UI EnergyBurden'!$A$2:$B$184,2,FALSE)</f>
        <v>No</v>
      </c>
      <c r="R91">
        <f>VLOOKUP(Table325[[#This Row],[Census Tract]],'Population and Diversity Data'!B87:K908,10,FALSE)</f>
        <v>3</v>
      </c>
    </row>
    <row r="92" spans="1:18" ht="15.75" thickBot="1" x14ac:dyDescent="0.3">
      <c r="A92" s="175">
        <v>9001110500</v>
      </c>
      <c r="B92" s="200" t="s">
        <v>3009</v>
      </c>
      <c r="C92" s="93" t="s">
        <v>944</v>
      </c>
      <c r="D92" s="94">
        <f>Table325[[#This Row],[Residential CLM $ Collected]]+Table325[[#This Row],[C&amp;I CLM $ Collected]]</f>
        <v>11423.925499999999</v>
      </c>
      <c r="E92" s="95">
        <v>3.400959331727422E-8</v>
      </c>
      <c r="F92" s="96">
        <f>Table325[[#This Row],[Residential Incentive Disbursements]]+Table325[[#This Row],[C&amp;I Incentive Disbursements]]</f>
        <v>0</v>
      </c>
      <c r="G92" s="95">
        <v>0</v>
      </c>
      <c r="H92" s="95" t="str">
        <f t="shared" si="1"/>
        <v>N/A</v>
      </c>
      <c r="I92" s="97">
        <v>0</v>
      </c>
      <c r="J92" s="98">
        <v>3.400959331727422E-8</v>
      </c>
      <c r="K92" s="99">
        <v>0</v>
      </c>
      <c r="L92" s="98">
        <v>0</v>
      </c>
      <c r="M92" s="97">
        <v>11423.925499999999</v>
      </c>
      <c r="N92" s="118">
        <v>3.400959331727422E-8</v>
      </c>
      <c r="O92" s="99">
        <v>0</v>
      </c>
      <c r="P92" s="101">
        <v>0</v>
      </c>
      <c r="Q92" t="str">
        <f>VLOOKUP(Table325[[#This Row],[Census Tract]],'UI EnergyBurden'!$A$2:$B$184,2,FALSE)</f>
        <v>No</v>
      </c>
      <c r="R92">
        <f>VLOOKUP(Table325[[#This Row],[Census Tract]],'Population and Diversity Data'!B88:K909,10,FALSE)</f>
        <v>1</v>
      </c>
    </row>
    <row r="93" spans="1:18" ht="15.75" thickBot="1" x14ac:dyDescent="0.3">
      <c r="A93" s="175">
        <v>9001110600</v>
      </c>
      <c r="B93" s="200" t="s">
        <v>3009</v>
      </c>
      <c r="C93" s="93" t="s">
        <v>944</v>
      </c>
      <c r="D93" s="94">
        <f>Table325[[#This Row],[Residential CLM $ Collected]]+Table325[[#This Row],[C&amp;I CLM $ Collected]]</f>
        <v>19630.0101</v>
      </c>
      <c r="E93" s="95">
        <v>0</v>
      </c>
      <c r="F93" s="96">
        <f>Table325[[#This Row],[Residential Incentive Disbursements]]+Table325[[#This Row],[C&amp;I Incentive Disbursements]]</f>
        <v>139005</v>
      </c>
      <c r="G93" s="95">
        <v>3.0857054414044677E-4</v>
      </c>
      <c r="H93" s="95" t="str">
        <f t="shared" si="1"/>
        <v>N/A</v>
      </c>
      <c r="I93" s="97">
        <v>0</v>
      </c>
      <c r="J93" s="98">
        <v>0</v>
      </c>
      <c r="K93" s="99">
        <v>0</v>
      </c>
      <c r="L93" s="98">
        <v>3.0857054414044677E-4</v>
      </c>
      <c r="M93" s="97">
        <v>19630.0101</v>
      </c>
      <c r="N93" s="118">
        <v>0</v>
      </c>
      <c r="O93" s="99">
        <v>139005</v>
      </c>
      <c r="P93" s="101">
        <v>3.0857054414044677E-4</v>
      </c>
      <c r="Q93" t="str">
        <f>VLOOKUP(Table325[[#This Row],[Census Tract]],'UI EnergyBurden'!$A$2:$B$184,2,FALSE)</f>
        <v>No</v>
      </c>
      <c r="R93">
        <f>VLOOKUP(Table325[[#This Row],[Census Tract]],'Population and Diversity Data'!B89:K910,10,FALSE)</f>
        <v>2</v>
      </c>
    </row>
    <row r="94" spans="1:18" ht="15.75" thickBot="1" x14ac:dyDescent="0.3">
      <c r="A94" s="175">
        <v>9001257200</v>
      </c>
      <c r="B94" s="200" t="s">
        <v>934</v>
      </c>
      <c r="C94" s="93" t="s">
        <v>944</v>
      </c>
      <c r="D94" s="94">
        <f>Table325[[#This Row],[Residential CLM $ Collected]]+Table325[[#This Row],[C&amp;I CLM $ Collected]]</f>
        <v>153837.17310000001</v>
      </c>
      <c r="E94" s="95">
        <v>1.5163127456467578E-3</v>
      </c>
      <c r="F94" s="96">
        <f>Table325[[#This Row],[Residential Incentive Disbursements]]+Table325[[#This Row],[C&amp;I Incentive Disbursements]]</f>
        <v>39199</v>
      </c>
      <c r="G94" s="95">
        <v>0</v>
      </c>
      <c r="H94" s="95" t="str">
        <f t="shared" si="1"/>
        <v>NO</v>
      </c>
      <c r="I94" s="97">
        <v>0</v>
      </c>
      <c r="J94" s="98">
        <v>1.5163127456467578E-3</v>
      </c>
      <c r="K94" s="99">
        <v>0</v>
      </c>
      <c r="L94" s="98">
        <v>0</v>
      </c>
      <c r="M94" s="97">
        <v>153837.17310000001</v>
      </c>
      <c r="N94" s="118">
        <v>1.5163127456467578E-3</v>
      </c>
      <c r="O94" s="99">
        <v>39199</v>
      </c>
      <c r="P94" s="101">
        <v>0</v>
      </c>
      <c r="Q94" t="str">
        <f>VLOOKUP(Table325[[#This Row],[Census Tract]],'UI EnergyBurden'!$A$2:$B$184,2,FALSE)</f>
        <v>Yes</v>
      </c>
      <c r="R94">
        <f>VLOOKUP(Table325[[#This Row],[Census Tract]],'Population and Diversity Data'!B90:K911,10,FALSE)</f>
        <v>4</v>
      </c>
    </row>
    <row r="95" spans="1:18" ht="15.75" thickBot="1" x14ac:dyDescent="0.3">
      <c r="A95" s="175">
        <v>9009120100</v>
      </c>
      <c r="B95" s="200" t="s">
        <v>3011</v>
      </c>
      <c r="C95" s="93" t="s">
        <v>944</v>
      </c>
      <c r="D95" s="94">
        <f>Table325[[#This Row],[Residential CLM $ Collected]]+Table325[[#This Row],[C&amp;I CLM $ Collected]]</f>
        <v>31654.256600000001</v>
      </c>
      <c r="E95" s="95">
        <v>0</v>
      </c>
      <c r="F95" s="96">
        <f>Table325[[#This Row],[Residential Incentive Disbursements]]+Table325[[#This Row],[C&amp;I Incentive Disbursements]]</f>
        <v>10957</v>
      </c>
      <c r="G95" s="95">
        <v>6.6231140810703174E-3</v>
      </c>
      <c r="H95" s="95" t="str">
        <f t="shared" si="1"/>
        <v>N/A</v>
      </c>
      <c r="I95" s="97">
        <v>0</v>
      </c>
      <c r="J95" s="98">
        <v>0</v>
      </c>
      <c r="K95" s="99">
        <v>0</v>
      </c>
      <c r="L95" s="98">
        <v>6.6231140810703174E-3</v>
      </c>
      <c r="M95" s="97">
        <v>31654.256600000001</v>
      </c>
      <c r="N95" s="118">
        <v>0</v>
      </c>
      <c r="O95" s="99">
        <v>10957</v>
      </c>
      <c r="P95" s="101">
        <v>6.6231140810703174E-3</v>
      </c>
      <c r="Q95" t="str">
        <f>VLOOKUP(Table325[[#This Row],[Census Tract]],'UI EnergyBurden'!$A$2:$B$184,2,FALSE)</f>
        <v>No</v>
      </c>
      <c r="R95">
        <f>VLOOKUP(Table325[[#This Row],[Census Tract]],'Population and Diversity Data'!B91:K912,10,FALSE)</f>
        <v>2</v>
      </c>
    </row>
    <row r="96" spans="1:18" ht="15.75" thickBot="1" x14ac:dyDescent="0.3">
      <c r="A96" s="175">
        <v>9009120200</v>
      </c>
      <c r="B96" s="200" t="s">
        <v>3011</v>
      </c>
      <c r="C96" s="93" t="s">
        <v>944</v>
      </c>
      <c r="D96" s="94">
        <f>Table325[[#This Row],[Residential CLM $ Collected]]+Table325[[#This Row],[C&amp;I CLM $ Collected]]</f>
        <v>118643.1523</v>
      </c>
      <c r="E96" s="95">
        <v>1.7587086565370525E-3</v>
      </c>
      <c r="F96" s="96">
        <f>Table325[[#This Row],[Residential Incentive Disbursements]]+Table325[[#This Row],[C&amp;I Incentive Disbursements]]</f>
        <v>1084</v>
      </c>
      <c r="G96" s="95">
        <v>0</v>
      </c>
      <c r="H96" s="95" t="str">
        <f t="shared" si="1"/>
        <v>NO</v>
      </c>
      <c r="I96" s="97">
        <v>0</v>
      </c>
      <c r="J96" s="98">
        <v>1.7587086565370525E-3</v>
      </c>
      <c r="K96" s="99">
        <v>0</v>
      </c>
      <c r="L96" s="98">
        <v>0</v>
      </c>
      <c r="M96" s="97">
        <v>118643.1523</v>
      </c>
      <c r="N96" s="118">
        <v>1.7587086565370525E-3</v>
      </c>
      <c r="O96" s="99">
        <v>1084</v>
      </c>
      <c r="P96" s="101">
        <v>0</v>
      </c>
      <c r="Q96" t="str">
        <f>VLOOKUP(Table325[[#This Row],[Census Tract]],'UI EnergyBurden'!$A$2:$B$184,2,FALSE)</f>
        <v>Yes</v>
      </c>
      <c r="R96">
        <f>VLOOKUP(Table325[[#This Row],[Census Tract]],'Population and Diversity Data'!B92:K913,10,FALSE)</f>
        <v>4</v>
      </c>
    </row>
    <row r="97" spans="1:18" ht="15.75" thickBot="1" x14ac:dyDescent="0.3">
      <c r="A97" s="175">
        <v>9009125100</v>
      </c>
      <c r="B97" s="200" t="s">
        <v>3010</v>
      </c>
      <c r="C97" s="93" t="s">
        <v>944</v>
      </c>
      <c r="D97" s="94">
        <f>Table325[[#This Row],[Residential CLM $ Collected]]+Table325[[#This Row],[C&amp;I CLM $ Collected]]</f>
        <v>30307.9912</v>
      </c>
      <c r="E97" s="95">
        <v>0</v>
      </c>
      <c r="F97" s="96">
        <f>Table325[[#This Row],[Residential Incentive Disbursements]]+Table325[[#This Row],[C&amp;I Incentive Disbursements]]</f>
        <v>0</v>
      </c>
      <c r="G97" s="95">
        <v>9.1286655447798644E-4</v>
      </c>
      <c r="H97" s="95" t="str">
        <f t="shared" si="1"/>
        <v>N/A</v>
      </c>
      <c r="I97" s="97">
        <v>0</v>
      </c>
      <c r="J97" s="98">
        <v>0</v>
      </c>
      <c r="K97" s="99">
        <v>0</v>
      </c>
      <c r="L97" s="98">
        <v>9.1286655447798644E-4</v>
      </c>
      <c r="M97" s="97">
        <v>30307.9912</v>
      </c>
      <c r="N97" s="118">
        <v>0</v>
      </c>
      <c r="O97" s="99">
        <v>0</v>
      </c>
      <c r="P97" s="101">
        <v>9.1286655447798644E-4</v>
      </c>
      <c r="Q97" t="str">
        <f>VLOOKUP(Table325[[#This Row],[Census Tract]],'UI EnergyBurden'!$A$2:$B$184,2,FALSE)</f>
        <v>No</v>
      </c>
      <c r="R97">
        <f>VLOOKUP(Table325[[#This Row],[Census Tract]],'Population and Diversity Data'!B93:K914,10,FALSE)</f>
        <v>1</v>
      </c>
    </row>
    <row r="98" spans="1:18" ht="15.75" thickBot="1" x14ac:dyDescent="0.3">
      <c r="A98" s="175">
        <v>9009125200</v>
      </c>
      <c r="B98" s="200" t="s">
        <v>3010</v>
      </c>
      <c r="C98" s="93" t="s">
        <v>944</v>
      </c>
      <c r="D98" s="94">
        <f>Table325[[#This Row],[Residential CLM $ Collected]]+Table325[[#This Row],[C&amp;I CLM $ Collected]]</f>
        <v>21318.6878</v>
      </c>
      <c r="E98" s="95">
        <v>1.5579013271794747E-3</v>
      </c>
      <c r="F98" s="96">
        <f>Table325[[#This Row],[Residential Incentive Disbursements]]+Table325[[#This Row],[C&amp;I Incentive Disbursements]]</f>
        <v>0</v>
      </c>
      <c r="G98" s="95">
        <v>0</v>
      </c>
      <c r="H98" s="95" t="str">
        <f t="shared" si="1"/>
        <v>NO</v>
      </c>
      <c r="I98" s="97">
        <v>0</v>
      </c>
      <c r="J98" s="98">
        <v>1.5579013271794747E-3</v>
      </c>
      <c r="K98" s="99">
        <v>0</v>
      </c>
      <c r="L98" s="98">
        <v>0</v>
      </c>
      <c r="M98" s="97">
        <v>21318.6878</v>
      </c>
      <c r="N98" s="118">
        <v>1.5579013271794747E-3</v>
      </c>
      <c r="O98" s="99">
        <v>0</v>
      </c>
      <c r="P98" s="101">
        <v>0</v>
      </c>
      <c r="Q98" t="str">
        <f>VLOOKUP(Table325[[#This Row],[Census Tract]],'UI EnergyBurden'!$A$2:$B$184,2,FALSE)</f>
        <v>No</v>
      </c>
      <c r="R98">
        <f>VLOOKUP(Table325[[#This Row],[Census Tract]],'Population and Diversity Data'!B94:K915,10,FALSE)</f>
        <v>3</v>
      </c>
    </row>
    <row r="99" spans="1:18" ht="15.75" thickBot="1" x14ac:dyDescent="0.3">
      <c r="A99" s="175">
        <v>9009125300</v>
      </c>
      <c r="B99" s="200" t="s">
        <v>3007</v>
      </c>
      <c r="C99" s="93" t="s">
        <v>944</v>
      </c>
      <c r="D99" s="94">
        <f>Table325[[#This Row],[Residential CLM $ Collected]]+Table325[[#This Row],[C&amp;I CLM $ Collected]]</f>
        <v>0</v>
      </c>
      <c r="E99" s="95">
        <v>0</v>
      </c>
      <c r="F99" s="96">
        <f>Table325[[#This Row],[Residential Incentive Disbursements]]+Table325[[#This Row],[C&amp;I Incentive Disbursements]]</f>
        <v>7789</v>
      </c>
      <c r="G99" s="95">
        <v>1.1528351805611108E-3</v>
      </c>
      <c r="H99" s="95" t="str">
        <f t="shared" si="1"/>
        <v>N/A</v>
      </c>
      <c r="I99" s="97">
        <v>0</v>
      </c>
      <c r="J99" s="98">
        <v>0</v>
      </c>
      <c r="K99" s="99">
        <v>0</v>
      </c>
      <c r="L99" s="98">
        <v>1.1528351805611108E-3</v>
      </c>
      <c r="M99" s="97">
        <v>0</v>
      </c>
      <c r="N99" s="118">
        <v>0</v>
      </c>
      <c r="O99" s="99">
        <v>7789</v>
      </c>
      <c r="P99" s="101">
        <v>1.1528351805611108E-3</v>
      </c>
      <c r="Q99" t="str">
        <f>VLOOKUP(Table325[[#This Row],[Census Tract]],'UI EnergyBurden'!$A$2:$B$184,2,FALSE)</f>
        <v>No</v>
      </c>
      <c r="R99">
        <f>VLOOKUP(Table325[[#This Row],[Census Tract]],'Population and Diversity Data'!B95:K916,10,FALSE)</f>
        <v>5</v>
      </c>
    </row>
    <row r="100" spans="1:18" ht="15.75" thickBot="1" x14ac:dyDescent="0.3">
      <c r="A100" s="175">
        <v>9009125300</v>
      </c>
      <c r="B100" s="200" t="s">
        <v>3010</v>
      </c>
      <c r="C100" s="93" t="s">
        <v>936</v>
      </c>
      <c r="D100" s="94">
        <f>Table325[[#This Row],[Residential CLM $ Collected]]+Table325[[#This Row],[C&amp;I CLM $ Collected]]</f>
        <v>48303.706700000002</v>
      </c>
      <c r="E100" s="95">
        <v>3.4230465506018531E-3</v>
      </c>
      <c r="F100" s="96">
        <f>Table325[[#This Row],[Residential Incentive Disbursements]]+Table325[[#This Row],[C&amp;I Incentive Disbursements]]</f>
        <v>0</v>
      </c>
      <c r="G100" s="95">
        <v>0</v>
      </c>
      <c r="H100" s="95" t="str">
        <f t="shared" si="1"/>
        <v>NO</v>
      </c>
      <c r="I100" s="97">
        <v>0</v>
      </c>
      <c r="J100" s="98">
        <v>3.4230465506018531E-3</v>
      </c>
      <c r="K100" s="99">
        <v>0</v>
      </c>
      <c r="L100" s="98">
        <v>0</v>
      </c>
      <c r="M100" s="97">
        <v>48303.706700000002</v>
      </c>
      <c r="N100" s="118">
        <v>3.4230465506018531E-3</v>
      </c>
      <c r="O100" s="99">
        <v>0</v>
      </c>
      <c r="P100" s="101">
        <v>0</v>
      </c>
      <c r="Q100" t="str">
        <f>VLOOKUP(Table325[[#This Row],[Census Tract]],'UI EnergyBurden'!$A$2:$B$184,2,FALSE)</f>
        <v>No</v>
      </c>
      <c r="R100">
        <f>VLOOKUP(Table325[[#This Row],[Census Tract]],'Population and Diversity Data'!B96:K917,10,FALSE)</f>
        <v>5</v>
      </c>
    </row>
    <row r="101" spans="1:18" ht="15.75" thickBot="1" x14ac:dyDescent="0.3">
      <c r="A101" s="175">
        <v>9009125400</v>
      </c>
      <c r="B101" s="200" t="s">
        <v>3010</v>
      </c>
      <c r="C101" s="93" t="s">
        <v>944</v>
      </c>
      <c r="D101" s="94">
        <f>Table325[[#This Row],[Residential CLM $ Collected]]+Table325[[#This Row],[C&amp;I CLM $ Collected]]</f>
        <v>19413.7742</v>
      </c>
      <c r="E101" s="95">
        <v>2.6959879183059687E-6</v>
      </c>
      <c r="F101" s="96">
        <f>Table325[[#This Row],[Residential Incentive Disbursements]]+Table325[[#This Row],[C&amp;I Incentive Disbursements]]</f>
        <v>150</v>
      </c>
      <c r="G101" s="95">
        <v>0</v>
      </c>
      <c r="H101" s="95" t="str">
        <f t="shared" si="1"/>
        <v>N/A</v>
      </c>
      <c r="I101" s="97">
        <v>0</v>
      </c>
      <c r="J101" s="98">
        <v>2.6959879183059687E-6</v>
      </c>
      <c r="K101" s="99">
        <v>0</v>
      </c>
      <c r="L101" s="98">
        <v>0</v>
      </c>
      <c r="M101" s="97">
        <v>19413.7742</v>
      </c>
      <c r="N101" s="118">
        <v>2.6959879183059687E-6</v>
      </c>
      <c r="O101" s="99">
        <v>150</v>
      </c>
      <c r="P101" s="101">
        <v>0</v>
      </c>
      <c r="Q101" t="str">
        <f>VLOOKUP(Table325[[#This Row],[Census Tract]],'UI EnergyBurden'!$A$2:$B$184,2,FALSE)</f>
        <v>No</v>
      </c>
      <c r="R101">
        <f>VLOOKUP(Table325[[#This Row],[Census Tract]],'Population and Diversity Data'!B97:K918,10,FALSE)</f>
        <v>3</v>
      </c>
    </row>
    <row r="102" spans="1:18" ht="15.75" thickBot="1" x14ac:dyDescent="0.3">
      <c r="A102" s="175">
        <v>9009140100</v>
      </c>
      <c r="B102" s="200" t="s">
        <v>3015</v>
      </c>
      <c r="C102" s="93" t="s">
        <v>944</v>
      </c>
      <c r="D102" s="94">
        <f>Table325[[#This Row],[Residential CLM $ Collected]]+Table325[[#This Row],[C&amp;I CLM $ Collected]]</f>
        <v>0</v>
      </c>
      <c r="E102" s="95">
        <v>0</v>
      </c>
      <c r="F102" s="96">
        <f>Table325[[#This Row],[Residential Incentive Disbursements]]+Table325[[#This Row],[C&amp;I Incentive Disbursements]]</f>
        <v>90664</v>
      </c>
      <c r="G102" s="95">
        <v>2.8205722237654813E-3</v>
      </c>
      <c r="H102" s="95" t="str">
        <f t="shared" si="1"/>
        <v>N/A</v>
      </c>
      <c r="I102" s="97">
        <v>0</v>
      </c>
      <c r="J102" s="98">
        <v>0</v>
      </c>
      <c r="K102" s="99">
        <v>0</v>
      </c>
      <c r="L102" s="98">
        <v>2.8205722237654813E-3</v>
      </c>
      <c r="M102" s="97">
        <v>0</v>
      </c>
      <c r="N102" s="118">
        <v>0</v>
      </c>
      <c r="O102" s="99">
        <v>90664</v>
      </c>
      <c r="P102" s="101">
        <v>2.8205722237654813E-3</v>
      </c>
      <c r="Q102" t="str">
        <f>VLOOKUP(Table325[[#This Row],[Census Tract]],'UI EnergyBurden'!$A$2:$B$184,2,FALSE)</f>
        <v>No</v>
      </c>
      <c r="R102">
        <f>VLOOKUP(Table325[[#This Row],[Census Tract]],'Population and Diversity Data'!B98:K919,10,FALSE)</f>
        <v>5</v>
      </c>
    </row>
    <row r="103" spans="1:18" ht="15.75" thickBot="1" x14ac:dyDescent="0.3">
      <c r="A103" s="175">
        <v>9009140100</v>
      </c>
      <c r="B103" s="200" t="s">
        <v>943</v>
      </c>
      <c r="C103" s="93" t="s">
        <v>936</v>
      </c>
      <c r="D103" s="94">
        <f>Table325[[#This Row],[Residential CLM $ Collected]]+Table325[[#This Row],[C&amp;I CLM $ Collected]]</f>
        <v>620841.98750000005</v>
      </c>
      <c r="E103" s="95">
        <v>3.0850946341495007E-3</v>
      </c>
      <c r="F103" s="96">
        <f>Table325[[#This Row],[Residential Incentive Disbursements]]+Table325[[#This Row],[C&amp;I Incentive Disbursements]]</f>
        <v>0</v>
      </c>
      <c r="G103" s="95">
        <v>0</v>
      </c>
      <c r="H103" s="95" t="str">
        <f t="shared" si="1"/>
        <v>NO</v>
      </c>
      <c r="I103" s="97">
        <v>0</v>
      </c>
      <c r="J103" s="98">
        <v>3.0850946341495007E-3</v>
      </c>
      <c r="K103" s="99">
        <v>0</v>
      </c>
      <c r="L103" s="98">
        <v>0</v>
      </c>
      <c r="M103" s="97">
        <v>620841.98750000005</v>
      </c>
      <c r="N103" s="118">
        <v>3.0850946341495007E-3</v>
      </c>
      <c r="O103" s="99">
        <v>0</v>
      </c>
      <c r="P103" s="101">
        <v>0</v>
      </c>
      <c r="Q103" t="str">
        <f>VLOOKUP(Table325[[#This Row],[Census Tract]],'UI EnergyBurden'!$A$2:$B$184,2,FALSE)</f>
        <v>No</v>
      </c>
      <c r="R103">
        <f>VLOOKUP(Table325[[#This Row],[Census Tract]],'Population and Diversity Data'!B99:K920,10,FALSE)</f>
        <v>5</v>
      </c>
    </row>
    <row r="104" spans="1:18" ht="15.75" thickBot="1" x14ac:dyDescent="0.3">
      <c r="A104" s="175">
        <v>9009140200</v>
      </c>
      <c r="B104" s="200" t="s">
        <v>3015</v>
      </c>
      <c r="C104" s="93" t="s">
        <v>944</v>
      </c>
      <c r="D104" s="94">
        <f>Table325[[#This Row],[Residential CLM $ Collected]]+Table325[[#This Row],[C&amp;I CLM $ Collected]]</f>
        <v>0</v>
      </c>
      <c r="E104" s="95">
        <v>8.9090014534645754E-6</v>
      </c>
      <c r="F104" s="96">
        <f>Table325[[#This Row],[Residential Incentive Disbursements]]+Table325[[#This Row],[C&amp;I Incentive Disbursements]]</f>
        <v>74388.570000000007</v>
      </c>
      <c r="G104" s="95">
        <v>0</v>
      </c>
      <c r="H104" s="95" t="str">
        <f t="shared" si="1"/>
        <v>NO</v>
      </c>
      <c r="I104" s="97">
        <v>0</v>
      </c>
      <c r="J104" s="98">
        <v>8.9090014534645754E-6</v>
      </c>
      <c r="K104" s="99">
        <v>0</v>
      </c>
      <c r="L104" s="98">
        <v>0</v>
      </c>
      <c r="M104" s="97">
        <v>0</v>
      </c>
      <c r="N104" s="118">
        <v>8.9090014534645754E-6</v>
      </c>
      <c r="O104" s="99">
        <v>74388.570000000007</v>
      </c>
      <c r="P104" s="101">
        <v>0</v>
      </c>
      <c r="Q104" t="str">
        <f>VLOOKUP(Table325[[#This Row],[Census Tract]],'UI EnergyBurden'!$A$2:$B$184,2,FALSE)</f>
        <v>Yes</v>
      </c>
      <c r="R104">
        <f>VLOOKUP(Table325[[#This Row],[Census Tract]],'Population and Diversity Data'!B100:K921,10,FALSE)</f>
        <v>3</v>
      </c>
    </row>
    <row r="105" spans="1:18" ht="15.75" thickBot="1" x14ac:dyDescent="0.3">
      <c r="A105" s="175">
        <v>9009140200</v>
      </c>
      <c r="B105" s="200" t="s">
        <v>943</v>
      </c>
      <c r="C105" s="93" t="s">
        <v>936</v>
      </c>
      <c r="D105" s="94">
        <f>Table325[[#This Row],[Residential CLM $ Collected]]+Table325[[#This Row],[C&amp;I CLM $ Collected]]</f>
        <v>440777.92950000003</v>
      </c>
      <c r="E105" s="95">
        <v>2.6596334258992931E-3</v>
      </c>
      <c r="F105" s="96">
        <f>Table325[[#This Row],[Residential Incentive Disbursements]]+Table325[[#This Row],[C&amp;I Incentive Disbursements]]</f>
        <v>0</v>
      </c>
      <c r="G105" s="95">
        <v>1.5095731301806297E-3</v>
      </c>
      <c r="H105" s="95" t="str">
        <f t="shared" si="1"/>
        <v>NO</v>
      </c>
      <c r="I105" s="97">
        <v>18545.705000000002</v>
      </c>
      <c r="J105" s="98">
        <v>2.6596334258992931E-3</v>
      </c>
      <c r="K105" s="99">
        <v>0</v>
      </c>
      <c r="L105" s="98">
        <v>1.5095731301806297E-3</v>
      </c>
      <c r="M105" s="97">
        <v>422232.22450000001</v>
      </c>
      <c r="N105" s="118">
        <v>2.6596334258992931E-3</v>
      </c>
      <c r="O105" s="99">
        <v>0</v>
      </c>
      <c r="P105" s="101">
        <v>1.5095731301806297E-3</v>
      </c>
      <c r="Q105" t="str">
        <f>VLOOKUP(Table325[[#This Row],[Census Tract]],'UI EnergyBurden'!$A$2:$B$184,2,FALSE)</f>
        <v>Yes</v>
      </c>
      <c r="R105">
        <f>VLOOKUP(Table325[[#This Row],[Census Tract]],'Population and Diversity Data'!B101:K922,10,FALSE)</f>
        <v>3</v>
      </c>
    </row>
    <row r="106" spans="1:18" ht="15.75" thickBot="1" x14ac:dyDescent="0.3">
      <c r="A106" s="175">
        <v>9009140300</v>
      </c>
      <c r="B106" s="200" t="s">
        <v>3015</v>
      </c>
      <c r="C106" s="93" t="s">
        <v>944</v>
      </c>
      <c r="D106" s="94">
        <f>Table325[[#This Row],[Residential CLM $ Collected]]+Table325[[#This Row],[C&amp;I CLM $ Collected]]</f>
        <v>0</v>
      </c>
      <c r="E106" s="95">
        <v>2.9344118543939922E-3</v>
      </c>
      <c r="F106" s="96">
        <f>Table325[[#This Row],[Residential Incentive Disbursements]]+Table325[[#This Row],[C&amp;I Incentive Disbursements]]</f>
        <v>344</v>
      </c>
      <c r="G106" s="95">
        <v>2.0035488424910764E-3</v>
      </c>
      <c r="H106" s="95" t="str">
        <f t="shared" si="1"/>
        <v>NO</v>
      </c>
      <c r="I106" s="97">
        <v>0</v>
      </c>
      <c r="J106" s="98">
        <v>2.9344118543939922E-3</v>
      </c>
      <c r="K106" s="99">
        <v>0</v>
      </c>
      <c r="L106" s="98">
        <v>2.0035488424910764E-3</v>
      </c>
      <c r="M106" s="97">
        <v>0</v>
      </c>
      <c r="N106" s="118">
        <v>2.9344118543939922E-3</v>
      </c>
      <c r="O106" s="99">
        <v>344</v>
      </c>
      <c r="P106" s="101">
        <v>2.0035488424910764E-3</v>
      </c>
      <c r="Q106" t="str">
        <f>VLOOKUP(Table325[[#This Row],[Census Tract]],'UI EnergyBurden'!$A$2:$B$184,2,FALSE)</f>
        <v>Yes</v>
      </c>
      <c r="R106">
        <f>VLOOKUP(Table325[[#This Row],[Census Tract]],'Population and Diversity Data'!B102:K923,10,FALSE)</f>
        <v>5</v>
      </c>
    </row>
    <row r="107" spans="1:18" ht="15.75" thickBot="1" x14ac:dyDescent="0.3">
      <c r="A107" s="175">
        <v>9009140300</v>
      </c>
      <c r="B107" s="200" t="s">
        <v>943</v>
      </c>
      <c r="C107" s="93" t="s">
        <v>936</v>
      </c>
      <c r="D107" s="94">
        <f>Table325[[#This Row],[Residential CLM $ Collected]]+Table325[[#This Row],[C&amp;I CLM $ Collected]]</f>
        <v>396586.79239999998</v>
      </c>
      <c r="E107" s="95">
        <v>1.0286725027307304E-6</v>
      </c>
      <c r="F107" s="96">
        <f>Table325[[#This Row],[Residential Incentive Disbursements]]+Table325[[#This Row],[C&amp;I Incentive Disbursements]]</f>
        <v>0</v>
      </c>
      <c r="G107" s="95">
        <v>0</v>
      </c>
      <c r="H107" s="95" t="str">
        <f t="shared" si="1"/>
        <v>N/A</v>
      </c>
      <c r="I107" s="97">
        <v>0</v>
      </c>
      <c r="J107" s="98">
        <v>1.0286725027307304E-6</v>
      </c>
      <c r="K107" s="99">
        <v>0</v>
      </c>
      <c r="L107" s="98">
        <v>0</v>
      </c>
      <c r="M107" s="97">
        <v>396586.79239999998</v>
      </c>
      <c r="N107" s="118">
        <v>1.0286725027307304E-6</v>
      </c>
      <c r="O107" s="99">
        <v>0</v>
      </c>
      <c r="P107" s="101">
        <v>0</v>
      </c>
      <c r="Q107" t="str">
        <f>VLOOKUP(Table325[[#This Row],[Census Tract]],'UI EnergyBurden'!$A$2:$B$184,2,FALSE)</f>
        <v>Yes</v>
      </c>
      <c r="R107">
        <f>VLOOKUP(Table325[[#This Row],[Census Tract]],'Population and Diversity Data'!B103:K924,10,FALSE)</f>
        <v>5</v>
      </c>
    </row>
    <row r="108" spans="1:18" ht="15.75" thickBot="1" x14ac:dyDescent="0.3">
      <c r="A108" s="175">
        <v>9009140400</v>
      </c>
      <c r="B108" s="200" t="s">
        <v>3015</v>
      </c>
      <c r="C108" s="93" t="s">
        <v>944</v>
      </c>
      <c r="D108" s="94">
        <f>Table325[[#This Row],[Residential CLM $ Collected]]+Table325[[#This Row],[C&amp;I CLM $ Collected]]</f>
        <v>0</v>
      </c>
      <c r="E108" s="95">
        <v>5.6746649611156925E-3</v>
      </c>
      <c r="F108" s="96">
        <f>Table325[[#This Row],[Residential Incentive Disbursements]]+Table325[[#This Row],[C&amp;I Incentive Disbursements]]</f>
        <v>40</v>
      </c>
      <c r="G108" s="95">
        <v>2.1765553350372407E-3</v>
      </c>
      <c r="H108" s="95" t="str">
        <f t="shared" si="1"/>
        <v>NO</v>
      </c>
      <c r="I108" s="97">
        <v>0</v>
      </c>
      <c r="J108" s="98">
        <v>5.6746649611156925E-3</v>
      </c>
      <c r="K108" s="99">
        <v>0</v>
      </c>
      <c r="L108" s="98">
        <v>2.1765553350372407E-3</v>
      </c>
      <c r="M108" s="97">
        <v>0</v>
      </c>
      <c r="N108" s="118">
        <v>5.6746649611156925E-3</v>
      </c>
      <c r="O108" s="99">
        <v>40</v>
      </c>
      <c r="P108" s="101">
        <v>2.1765553350372407E-3</v>
      </c>
      <c r="Q108" t="str">
        <f>VLOOKUP(Table325[[#This Row],[Census Tract]],'UI EnergyBurden'!$A$2:$B$184,2,FALSE)</f>
        <v>No</v>
      </c>
      <c r="R108">
        <f>VLOOKUP(Table325[[#This Row],[Census Tract]],'Population and Diversity Data'!B104:K925,10,FALSE)</f>
        <v>5</v>
      </c>
    </row>
    <row r="109" spans="1:18" ht="15.75" thickBot="1" x14ac:dyDescent="0.3">
      <c r="A109" s="175">
        <v>9009140400</v>
      </c>
      <c r="B109" s="200" t="s">
        <v>943</v>
      </c>
      <c r="C109" s="93" t="s">
        <v>936</v>
      </c>
      <c r="D109" s="94">
        <f>Table325[[#This Row],[Residential CLM $ Collected]]+Table325[[#This Row],[C&amp;I CLM $ Collected]]</f>
        <v>16626.321499999998</v>
      </c>
      <c r="E109" s="95">
        <v>3.6796476229299019E-8</v>
      </c>
      <c r="F109" s="96">
        <f>Table325[[#This Row],[Residential Incentive Disbursements]]+Table325[[#This Row],[C&amp;I Incentive Disbursements]]</f>
        <v>0</v>
      </c>
      <c r="G109" s="95">
        <v>0</v>
      </c>
      <c r="H109" s="95" t="str">
        <f t="shared" si="1"/>
        <v>N/A</v>
      </c>
      <c r="I109" s="97">
        <v>0</v>
      </c>
      <c r="J109" s="98">
        <v>3.6796476229299019E-8</v>
      </c>
      <c r="K109" s="99">
        <v>0</v>
      </c>
      <c r="L109" s="98">
        <v>0</v>
      </c>
      <c r="M109" s="97">
        <v>16626.321499999998</v>
      </c>
      <c r="N109" s="118">
        <v>3.6796476229299019E-8</v>
      </c>
      <c r="O109" s="99">
        <v>0</v>
      </c>
      <c r="P109" s="101">
        <v>0</v>
      </c>
      <c r="Q109" t="str">
        <f>VLOOKUP(Table325[[#This Row],[Census Tract]],'UI EnergyBurden'!$A$2:$B$184,2,FALSE)</f>
        <v>No</v>
      </c>
      <c r="R109">
        <f>VLOOKUP(Table325[[#This Row],[Census Tract]],'Population and Diversity Data'!B105:K926,10,FALSE)</f>
        <v>5</v>
      </c>
    </row>
    <row r="110" spans="1:18" ht="15.75" thickBot="1" x14ac:dyDescent="0.3">
      <c r="A110" s="175">
        <v>9009140500</v>
      </c>
      <c r="B110" s="200" t="s">
        <v>3015</v>
      </c>
      <c r="C110" s="93" t="s">
        <v>944</v>
      </c>
      <c r="D110" s="94">
        <f>Table325[[#This Row],[Residential CLM $ Collected]]+Table325[[#This Row],[C&amp;I CLM $ Collected]]</f>
        <v>0</v>
      </c>
      <c r="E110" s="95">
        <v>3.7410066267488215E-3</v>
      </c>
      <c r="F110" s="96">
        <f>Table325[[#This Row],[Residential Incentive Disbursements]]+Table325[[#This Row],[C&amp;I Incentive Disbursements]]</f>
        <v>100</v>
      </c>
      <c r="G110" s="95">
        <v>1.127866410822744E-3</v>
      </c>
      <c r="H110" s="95" t="str">
        <f t="shared" si="1"/>
        <v>NO</v>
      </c>
      <c r="I110" s="97">
        <v>0</v>
      </c>
      <c r="J110" s="98">
        <v>3.7410066267488215E-3</v>
      </c>
      <c r="K110" s="99">
        <v>0</v>
      </c>
      <c r="L110" s="98">
        <v>1.127866410822744E-3</v>
      </c>
      <c r="M110" s="97">
        <v>0</v>
      </c>
      <c r="N110" s="118">
        <v>3.7410066267488215E-3</v>
      </c>
      <c r="O110" s="99">
        <v>100</v>
      </c>
      <c r="P110" s="101">
        <v>1.127866410822744E-3</v>
      </c>
      <c r="Q110" t="str">
        <f>VLOOKUP(Table325[[#This Row],[Census Tract]],'UI EnergyBurden'!$A$2:$B$184,2,FALSE)</f>
        <v>Yes</v>
      </c>
      <c r="R110">
        <f>VLOOKUP(Table325[[#This Row],[Census Tract]],'Population and Diversity Data'!B106:K927,10,FALSE)</f>
        <v>5</v>
      </c>
    </row>
    <row r="111" spans="1:18" ht="15.75" thickBot="1" x14ac:dyDescent="0.3">
      <c r="A111" s="175">
        <v>9009140500</v>
      </c>
      <c r="B111" s="200" t="s">
        <v>943</v>
      </c>
      <c r="C111" s="93" t="s">
        <v>936</v>
      </c>
      <c r="D111" s="94">
        <f>Table325[[#This Row],[Residential CLM $ Collected]]+Table325[[#This Row],[C&amp;I CLM $ Collected]]</f>
        <v>20302.3325</v>
      </c>
      <c r="E111" s="95">
        <v>2.1857014751558925E-3</v>
      </c>
      <c r="F111" s="96">
        <f>Table325[[#This Row],[Residential Incentive Disbursements]]+Table325[[#This Row],[C&amp;I Incentive Disbursements]]</f>
        <v>0</v>
      </c>
      <c r="G111" s="95">
        <v>6.6635247998454467E-4</v>
      </c>
      <c r="H111" s="95" t="str">
        <f t="shared" si="1"/>
        <v>NO</v>
      </c>
      <c r="I111" s="97">
        <v>0</v>
      </c>
      <c r="J111" s="98">
        <v>2.1857014751558925E-3</v>
      </c>
      <c r="K111" s="99">
        <v>0</v>
      </c>
      <c r="L111" s="98">
        <v>6.6635247998454467E-4</v>
      </c>
      <c r="M111" s="97">
        <v>20302.3325</v>
      </c>
      <c r="N111" s="118">
        <v>2.1857014751558925E-3</v>
      </c>
      <c r="O111" s="99">
        <v>0</v>
      </c>
      <c r="P111" s="101">
        <v>6.6635247998454467E-4</v>
      </c>
      <c r="Q111" t="str">
        <f>VLOOKUP(Table325[[#This Row],[Census Tract]],'UI EnergyBurden'!$A$2:$B$184,2,FALSE)</f>
        <v>Yes</v>
      </c>
      <c r="R111">
        <f>VLOOKUP(Table325[[#This Row],[Census Tract]],'Population and Diversity Data'!B107:K928,10,FALSE)</f>
        <v>5</v>
      </c>
    </row>
    <row r="112" spans="1:18" ht="15.75" thickBot="1" x14ac:dyDescent="0.3">
      <c r="A112" s="175">
        <v>9009140600</v>
      </c>
      <c r="B112" s="200" t="s">
        <v>943</v>
      </c>
      <c r="C112" s="93" t="s">
        <v>936</v>
      </c>
      <c r="D112" s="94">
        <f>Table325[[#This Row],[Residential CLM $ Collected]]+Table325[[#This Row],[C&amp;I CLM $ Collected]]</f>
        <v>62155.3321</v>
      </c>
      <c r="E112" s="95">
        <v>2.9980255255248867E-3</v>
      </c>
      <c r="F112" s="96">
        <f>Table325[[#This Row],[Residential Incentive Disbursements]]+Table325[[#This Row],[C&amp;I Incentive Disbursements]]</f>
        <v>0</v>
      </c>
      <c r="G112" s="95">
        <v>5.8987864390453457E-3</v>
      </c>
      <c r="H112" s="95" t="str">
        <f t="shared" si="1"/>
        <v>YES</v>
      </c>
      <c r="I112" s="97">
        <v>0</v>
      </c>
      <c r="J112" s="98">
        <v>2.9980255255248867E-3</v>
      </c>
      <c r="K112" s="99">
        <v>0</v>
      </c>
      <c r="L112" s="98">
        <v>5.8987864390453457E-3</v>
      </c>
      <c r="M112" s="97">
        <v>62155.3321</v>
      </c>
      <c r="N112" s="118">
        <v>2.9980255255248867E-3</v>
      </c>
      <c r="O112" s="99">
        <v>0</v>
      </c>
      <c r="P112" s="101">
        <v>5.8987864390453457E-3</v>
      </c>
      <c r="Q112" t="str">
        <f>VLOOKUP(Table325[[#This Row],[Census Tract]],'UI EnergyBurden'!$A$2:$B$184,2,FALSE)</f>
        <v>Yes</v>
      </c>
      <c r="R112">
        <f>VLOOKUP(Table325[[#This Row],[Census Tract]],'Population and Diversity Data'!B108:K929,10,FALSE)</f>
        <v>5</v>
      </c>
    </row>
    <row r="113" spans="1:18" ht="15.75" thickBot="1" x14ac:dyDescent="0.3">
      <c r="A113" s="175">
        <v>9009140700</v>
      </c>
      <c r="B113" s="200" t="s">
        <v>943</v>
      </c>
      <c r="C113" s="93" t="s">
        <v>936</v>
      </c>
      <c r="D113" s="94">
        <f>Table325[[#This Row],[Residential CLM $ Collected]]+Table325[[#This Row],[C&amp;I CLM $ Collected]]</f>
        <v>54912.122300000003</v>
      </c>
      <c r="E113" s="95">
        <v>1.6170106326539918E-7</v>
      </c>
      <c r="F113" s="96">
        <f>Table325[[#This Row],[Residential Incentive Disbursements]]+Table325[[#This Row],[C&amp;I Incentive Disbursements]]</f>
        <v>0</v>
      </c>
      <c r="G113" s="95">
        <v>0</v>
      </c>
      <c r="H113" s="95" t="str">
        <f t="shared" si="1"/>
        <v>N/A</v>
      </c>
      <c r="I113" s="97">
        <v>0</v>
      </c>
      <c r="J113" s="98">
        <v>1.6170106326539918E-7</v>
      </c>
      <c r="K113" s="99">
        <v>0</v>
      </c>
      <c r="L113" s="98">
        <v>0</v>
      </c>
      <c r="M113" s="97">
        <v>54912.122300000003</v>
      </c>
      <c r="N113" s="118">
        <v>1.6170106326539918E-7</v>
      </c>
      <c r="O113" s="99">
        <v>0</v>
      </c>
      <c r="P113" s="101">
        <v>0</v>
      </c>
      <c r="Q113" t="str">
        <f>VLOOKUP(Table325[[#This Row],[Census Tract]],'UI EnergyBurden'!$A$2:$B$184,2,FALSE)</f>
        <v>No</v>
      </c>
      <c r="R113">
        <f>VLOOKUP(Table325[[#This Row],[Census Tract]],'Population and Diversity Data'!B109:K930,10,FALSE)</f>
        <v>5</v>
      </c>
    </row>
    <row r="114" spans="1:18" ht="15.75" thickBot="1" x14ac:dyDescent="0.3">
      <c r="A114" s="175">
        <v>9009140800</v>
      </c>
      <c r="B114" s="200" t="s">
        <v>943</v>
      </c>
      <c r="C114" s="93" t="s">
        <v>936</v>
      </c>
      <c r="D114" s="94">
        <f>Table325[[#This Row],[Residential CLM $ Collected]]+Table325[[#This Row],[C&amp;I CLM $ Collected]]</f>
        <v>167440.6943</v>
      </c>
      <c r="E114" s="95">
        <v>4.1601789639542797E-3</v>
      </c>
      <c r="F114" s="96">
        <f>Table325[[#This Row],[Residential Incentive Disbursements]]+Table325[[#This Row],[C&amp;I Incentive Disbursements]]</f>
        <v>0</v>
      </c>
      <c r="G114" s="95">
        <v>1.0930761948518912E-3</v>
      </c>
      <c r="H114" s="95" t="str">
        <f t="shared" si="1"/>
        <v>NO</v>
      </c>
      <c r="I114" s="97">
        <v>618.14779999999996</v>
      </c>
      <c r="J114" s="98">
        <v>4.1601789639542797E-3</v>
      </c>
      <c r="K114" s="99">
        <v>0</v>
      </c>
      <c r="L114" s="98">
        <v>1.0930761948518912E-3</v>
      </c>
      <c r="M114" s="97">
        <v>166822.5465</v>
      </c>
      <c r="N114" s="118">
        <v>4.1601789639542797E-3</v>
      </c>
      <c r="O114" s="99">
        <v>0</v>
      </c>
      <c r="P114" s="101">
        <v>1.0930761948518912E-3</v>
      </c>
      <c r="Q114" t="str">
        <f>VLOOKUP(Table325[[#This Row],[Census Tract]],'UI EnergyBurden'!$A$2:$B$184,2,FALSE)</f>
        <v>No</v>
      </c>
      <c r="R114">
        <f>VLOOKUP(Table325[[#This Row],[Census Tract]],'Population and Diversity Data'!B110:K931,10,FALSE)</f>
        <v>4</v>
      </c>
    </row>
    <row r="115" spans="1:18" ht="15.75" thickBot="1" x14ac:dyDescent="0.3">
      <c r="A115" s="175">
        <v>9009140900</v>
      </c>
      <c r="B115" s="200" t="s">
        <v>943</v>
      </c>
      <c r="C115" s="93" t="s">
        <v>936</v>
      </c>
      <c r="D115" s="94">
        <f>Table325[[#This Row],[Residential CLM $ Collected]]+Table325[[#This Row],[C&amp;I CLM $ Collected]]</f>
        <v>3203.2554</v>
      </c>
      <c r="E115" s="95">
        <v>3.4846001826259223E-7</v>
      </c>
      <c r="F115" s="96">
        <f>Table325[[#This Row],[Residential Incentive Disbursements]]+Table325[[#This Row],[C&amp;I Incentive Disbursements]]</f>
        <v>0</v>
      </c>
      <c r="G115" s="95">
        <v>0</v>
      </c>
      <c r="H115" s="95" t="str">
        <f t="shared" si="1"/>
        <v>N/A</v>
      </c>
      <c r="I115" s="97">
        <v>0</v>
      </c>
      <c r="J115" s="98">
        <v>3.4846001826259223E-7</v>
      </c>
      <c r="K115" s="99">
        <v>0</v>
      </c>
      <c r="L115" s="98">
        <v>0</v>
      </c>
      <c r="M115" s="97">
        <v>3203.2554</v>
      </c>
      <c r="N115" s="118">
        <v>3.4846001826259223E-7</v>
      </c>
      <c r="O115" s="99">
        <v>0</v>
      </c>
      <c r="P115" s="101">
        <v>0</v>
      </c>
      <c r="Q115" t="str">
        <f>VLOOKUP(Table325[[#This Row],[Census Tract]],'UI EnergyBurden'!$A$2:$B$184,2,FALSE)</f>
        <v>No</v>
      </c>
      <c r="R115">
        <f>VLOOKUP(Table325[[#This Row],[Census Tract]],'Population and Diversity Data'!B111:K932,10,FALSE)</f>
        <v>3</v>
      </c>
    </row>
    <row r="116" spans="1:18" ht="15.75" thickBot="1" x14ac:dyDescent="0.3">
      <c r="A116" s="175">
        <v>9009141000</v>
      </c>
      <c r="B116" s="200" t="s">
        <v>943</v>
      </c>
      <c r="C116" s="93" t="s">
        <v>944</v>
      </c>
      <c r="D116" s="94">
        <f>Table325[[#This Row],[Residential CLM $ Collected]]+Table325[[#This Row],[C&amp;I CLM $ Collected]]</f>
        <v>10510.4792</v>
      </c>
      <c r="E116" s="95">
        <v>3.4139955005923722E-3</v>
      </c>
      <c r="F116" s="96">
        <f>Table325[[#This Row],[Residential Incentive Disbursements]]+Table325[[#This Row],[C&amp;I Incentive Disbursements]]</f>
        <v>70</v>
      </c>
      <c r="G116" s="95">
        <v>3.4458122405286152E-3</v>
      </c>
      <c r="H116" s="95" t="str">
        <f t="shared" si="1"/>
        <v>YES</v>
      </c>
      <c r="I116" s="97">
        <v>0</v>
      </c>
      <c r="J116" s="98">
        <v>3.4139955005923722E-3</v>
      </c>
      <c r="K116" s="99">
        <v>0</v>
      </c>
      <c r="L116" s="98">
        <v>3.4458122405286152E-3</v>
      </c>
      <c r="M116" s="97">
        <v>10510.4792</v>
      </c>
      <c r="N116" s="118">
        <v>3.4139955005923722E-3</v>
      </c>
      <c r="O116" s="99">
        <v>70</v>
      </c>
      <c r="P116" s="101">
        <v>3.4458122405286152E-3</v>
      </c>
      <c r="Q116" t="str">
        <f>VLOOKUP(Table325[[#This Row],[Census Tract]],'UI EnergyBurden'!$A$2:$B$184,2,FALSE)</f>
        <v>No</v>
      </c>
      <c r="R116">
        <f>VLOOKUP(Table325[[#This Row],[Census Tract]],'Population and Diversity Data'!B112:K933,10,FALSE)</f>
        <v>4</v>
      </c>
    </row>
    <row r="117" spans="1:18" ht="15.75" thickBot="1" x14ac:dyDescent="0.3">
      <c r="A117" s="175">
        <v>9009141100</v>
      </c>
      <c r="B117" s="200" t="s">
        <v>943</v>
      </c>
      <c r="C117" s="93" t="s">
        <v>944</v>
      </c>
      <c r="D117" s="94">
        <f>Table325[[#This Row],[Residential CLM $ Collected]]+Table325[[#This Row],[C&amp;I CLM $ Collected]]</f>
        <v>16102.516600000001</v>
      </c>
      <c r="E117" s="95">
        <v>6.9135142523179825E-6</v>
      </c>
      <c r="F117" s="96">
        <f>Table325[[#This Row],[Residential Incentive Disbursements]]+Table325[[#This Row],[C&amp;I Incentive Disbursements]]</f>
        <v>0</v>
      </c>
      <c r="G117" s="95">
        <v>6.1842791736729043E-5</v>
      </c>
      <c r="H117" s="95" t="str">
        <f t="shared" si="1"/>
        <v>YES</v>
      </c>
      <c r="I117" s="97">
        <v>0</v>
      </c>
      <c r="J117" s="98">
        <v>6.9135142523179825E-6</v>
      </c>
      <c r="K117" s="99">
        <v>0</v>
      </c>
      <c r="L117" s="98">
        <v>6.1842791736729043E-5</v>
      </c>
      <c r="M117" s="97">
        <v>16102.516600000001</v>
      </c>
      <c r="N117" s="118">
        <v>6.9135142523179825E-6</v>
      </c>
      <c r="O117" s="99">
        <v>0</v>
      </c>
      <c r="P117" s="101">
        <v>6.1842791736729043E-5</v>
      </c>
      <c r="Q117" t="str">
        <f>VLOOKUP(Table325[[#This Row],[Census Tract]],'UI EnergyBurden'!$A$2:$B$184,2,FALSE)</f>
        <v>No</v>
      </c>
      <c r="R117">
        <f>VLOOKUP(Table325[[#This Row],[Census Tract]],'Population and Diversity Data'!B113:K934,10,FALSE)</f>
        <v>4</v>
      </c>
    </row>
    <row r="118" spans="1:18" ht="15.75" thickBot="1" x14ac:dyDescent="0.3">
      <c r="A118" s="175">
        <v>9009141200</v>
      </c>
      <c r="B118" s="200" t="s">
        <v>943</v>
      </c>
      <c r="C118" s="93" t="s">
        <v>944</v>
      </c>
      <c r="D118" s="94">
        <f>Table325[[#This Row],[Residential CLM $ Collected]]+Table325[[#This Row],[C&amp;I CLM $ Collected]]</f>
        <v>36435.988100000002</v>
      </c>
      <c r="E118" s="95">
        <v>2.5423225587272642E-3</v>
      </c>
      <c r="F118" s="96">
        <f>Table325[[#This Row],[Residential Incentive Disbursements]]+Table325[[#This Row],[C&amp;I Incentive Disbursements]]</f>
        <v>15941.24</v>
      </c>
      <c r="G118" s="95">
        <v>1.9077491191132614E-3</v>
      </c>
      <c r="H118" s="95" t="str">
        <f t="shared" si="1"/>
        <v>NO</v>
      </c>
      <c r="I118" s="97">
        <v>0</v>
      </c>
      <c r="J118" s="98">
        <v>2.5423225587272642E-3</v>
      </c>
      <c r="K118" s="99">
        <v>0</v>
      </c>
      <c r="L118" s="98">
        <v>1.9077491191132614E-3</v>
      </c>
      <c r="M118" s="97">
        <v>36435.988100000002</v>
      </c>
      <c r="N118" s="118">
        <v>2.5423225587272642E-3</v>
      </c>
      <c r="O118" s="99">
        <v>15941.24</v>
      </c>
      <c r="P118" s="101">
        <v>1.9077491191132614E-3</v>
      </c>
      <c r="Q118" t="str">
        <f>VLOOKUP(Table325[[#This Row],[Census Tract]],'UI EnergyBurden'!$A$2:$B$184,2,FALSE)</f>
        <v>No</v>
      </c>
      <c r="R118">
        <f>VLOOKUP(Table325[[#This Row],[Census Tract]],'Population and Diversity Data'!B114:K935,10,FALSE)</f>
        <v>5</v>
      </c>
    </row>
    <row r="119" spans="1:18" ht="15.75" thickBot="1" x14ac:dyDescent="0.3">
      <c r="A119" s="175">
        <v>9009141300</v>
      </c>
      <c r="B119" s="200" t="s">
        <v>943</v>
      </c>
      <c r="C119" s="93" t="s">
        <v>936</v>
      </c>
      <c r="D119" s="94">
        <f>Table325[[#This Row],[Residential CLM $ Collected]]+Table325[[#This Row],[C&amp;I CLM $ Collected]]</f>
        <v>68425.132500000007</v>
      </c>
      <c r="E119" s="95">
        <v>3.4475177055445861E-3</v>
      </c>
      <c r="F119" s="96">
        <f>Table325[[#This Row],[Residential Incentive Disbursements]]+Table325[[#This Row],[C&amp;I Incentive Disbursements]]</f>
        <v>0</v>
      </c>
      <c r="G119" s="95">
        <v>2.6074865405668166E-3</v>
      </c>
      <c r="H119" s="95" t="str">
        <f t="shared" si="1"/>
        <v>NO</v>
      </c>
      <c r="I119" s="97">
        <v>0</v>
      </c>
      <c r="J119" s="98">
        <v>3.4475177055445861E-3</v>
      </c>
      <c r="K119" s="99">
        <v>0</v>
      </c>
      <c r="L119" s="98">
        <v>2.6074865405668166E-3</v>
      </c>
      <c r="M119" s="97">
        <v>68425.132500000007</v>
      </c>
      <c r="N119" s="118">
        <v>3.4475177055445861E-3</v>
      </c>
      <c r="O119" s="99">
        <v>0</v>
      </c>
      <c r="P119" s="101">
        <v>2.6074865405668166E-3</v>
      </c>
      <c r="Q119" t="str">
        <f>VLOOKUP(Table325[[#This Row],[Census Tract]],'UI EnergyBurden'!$A$2:$B$184,2,FALSE)</f>
        <v>No</v>
      </c>
      <c r="R119">
        <f>VLOOKUP(Table325[[#This Row],[Census Tract]],'Population and Diversity Data'!B115:K936,10,FALSE)</f>
        <v>3</v>
      </c>
    </row>
    <row r="120" spans="1:18" ht="15.75" thickBot="1" x14ac:dyDescent="0.3">
      <c r="A120" s="175">
        <v>9009141400</v>
      </c>
      <c r="B120" s="200" t="s">
        <v>943</v>
      </c>
      <c r="C120" s="93" t="s">
        <v>944</v>
      </c>
      <c r="D120" s="94">
        <f>Table325[[#This Row],[Residential CLM $ Collected]]+Table325[[#This Row],[C&amp;I CLM $ Collected]]</f>
        <v>107295.5113</v>
      </c>
      <c r="E120" s="95">
        <v>1.2165871035026631E-5</v>
      </c>
      <c r="F120" s="96">
        <f>Table325[[#This Row],[Residential Incentive Disbursements]]+Table325[[#This Row],[C&amp;I Incentive Disbursements]]</f>
        <v>6672</v>
      </c>
      <c r="G120" s="95">
        <v>1.799001347657057E-5</v>
      </c>
      <c r="H120" s="95" t="str">
        <f t="shared" si="1"/>
        <v>YES</v>
      </c>
      <c r="I120" s="97">
        <v>0</v>
      </c>
      <c r="J120" s="98">
        <v>1.2165871035026631E-5</v>
      </c>
      <c r="K120" s="99">
        <v>0</v>
      </c>
      <c r="L120" s="98">
        <v>1.799001347657057E-5</v>
      </c>
      <c r="M120" s="97">
        <v>107295.5113</v>
      </c>
      <c r="N120" s="118">
        <v>1.2165871035026631E-5</v>
      </c>
      <c r="O120" s="99">
        <v>6672</v>
      </c>
      <c r="P120" s="101">
        <v>1.799001347657057E-5</v>
      </c>
      <c r="Q120" t="str">
        <f>VLOOKUP(Table325[[#This Row],[Census Tract]],'UI EnergyBurden'!$A$2:$B$184,2,FALSE)</f>
        <v>No</v>
      </c>
      <c r="R120">
        <f>VLOOKUP(Table325[[#This Row],[Census Tract]],'Population and Diversity Data'!B116:K937,10,FALSE)</f>
        <v>5</v>
      </c>
    </row>
    <row r="121" spans="1:18" ht="15.75" thickBot="1" x14ac:dyDescent="0.3">
      <c r="A121" s="175">
        <v>9009141500</v>
      </c>
      <c r="B121" s="200" t="s">
        <v>3015</v>
      </c>
      <c r="C121" s="93" t="s">
        <v>944</v>
      </c>
      <c r="D121" s="94">
        <f>Table325[[#This Row],[Residential CLM $ Collected]]+Table325[[#This Row],[C&amp;I CLM $ Collected]]</f>
        <v>0</v>
      </c>
      <c r="E121" s="95">
        <v>3.013423503776165E-5</v>
      </c>
      <c r="F121" s="96">
        <f>Table325[[#This Row],[Residential Incentive Disbursements]]+Table325[[#This Row],[C&amp;I Incentive Disbursements]]</f>
        <v>9499</v>
      </c>
      <c r="G121" s="95">
        <v>0</v>
      </c>
      <c r="H121" s="95" t="str">
        <f t="shared" si="1"/>
        <v>NO</v>
      </c>
      <c r="I121" s="97">
        <v>0</v>
      </c>
      <c r="J121" s="98">
        <v>3.013423503776165E-5</v>
      </c>
      <c r="K121" s="99">
        <v>0</v>
      </c>
      <c r="L121" s="98">
        <v>0</v>
      </c>
      <c r="M121" s="97">
        <v>0</v>
      </c>
      <c r="N121" s="118">
        <v>3.013423503776165E-5</v>
      </c>
      <c r="O121" s="99">
        <v>9499</v>
      </c>
      <c r="P121" s="101">
        <v>0</v>
      </c>
      <c r="Q121" t="str">
        <f>VLOOKUP(Table325[[#This Row],[Census Tract]],'UI EnergyBurden'!$A$2:$B$184,2,FALSE)</f>
        <v>Yes</v>
      </c>
      <c r="R121">
        <f>VLOOKUP(Table325[[#This Row],[Census Tract]],'Population and Diversity Data'!B117:K938,10,FALSE)</f>
        <v>3</v>
      </c>
    </row>
    <row r="122" spans="1:18" ht="15.75" thickBot="1" x14ac:dyDescent="0.3">
      <c r="A122" s="175">
        <v>9009141500</v>
      </c>
      <c r="B122" s="200" t="s">
        <v>943</v>
      </c>
      <c r="C122" s="93" t="s">
        <v>936</v>
      </c>
      <c r="D122" s="94">
        <f>Table325[[#This Row],[Residential CLM $ Collected]]+Table325[[#This Row],[C&amp;I CLM $ Collected]]</f>
        <v>95856.074399999998</v>
      </c>
      <c r="E122" s="95">
        <v>4.1244389706388213E-3</v>
      </c>
      <c r="F122" s="96">
        <f>Table325[[#This Row],[Residential Incentive Disbursements]]+Table325[[#This Row],[C&amp;I Incentive Disbursements]]</f>
        <v>0</v>
      </c>
      <c r="G122" s="95">
        <v>2.8652725712296316E-3</v>
      </c>
      <c r="H122" s="95" t="str">
        <f t="shared" si="1"/>
        <v>NO</v>
      </c>
      <c r="I122" s="97">
        <v>0</v>
      </c>
      <c r="J122" s="98">
        <v>4.1244389706388213E-3</v>
      </c>
      <c r="K122" s="99">
        <v>0</v>
      </c>
      <c r="L122" s="98">
        <v>2.8652725712296316E-3</v>
      </c>
      <c r="M122" s="97">
        <v>95856.074399999998</v>
      </c>
      <c r="N122" s="118">
        <v>4.1244389706388213E-3</v>
      </c>
      <c r="O122" s="99">
        <v>0</v>
      </c>
      <c r="P122" s="101">
        <v>2.8652725712296316E-3</v>
      </c>
      <c r="Q122" t="str">
        <f>VLOOKUP(Table325[[#This Row],[Census Tract]],'UI EnergyBurden'!$A$2:$B$184,2,FALSE)</f>
        <v>Yes</v>
      </c>
      <c r="R122">
        <f>VLOOKUP(Table325[[#This Row],[Census Tract]],'Population and Diversity Data'!B118:K939,10,FALSE)</f>
        <v>3</v>
      </c>
    </row>
    <row r="123" spans="1:18" ht="15.75" thickBot="1" x14ac:dyDescent="0.3">
      <c r="A123" s="175">
        <v>9009141600</v>
      </c>
      <c r="B123" s="200" t="s">
        <v>3015</v>
      </c>
      <c r="C123" s="93" t="s">
        <v>944</v>
      </c>
      <c r="D123" s="94">
        <f>Table325[[#This Row],[Residential CLM $ Collected]]+Table325[[#This Row],[C&amp;I CLM $ Collected]]</f>
        <v>0</v>
      </c>
      <c r="E123" s="95">
        <v>3.8897149085520477E-3</v>
      </c>
      <c r="F123" s="96">
        <f>Table325[[#This Row],[Residential Incentive Disbursements]]+Table325[[#This Row],[C&amp;I Incentive Disbursements]]</f>
        <v>60</v>
      </c>
      <c r="G123" s="95">
        <v>1.3081171202100445E-3</v>
      </c>
      <c r="H123" s="95" t="str">
        <f t="shared" si="1"/>
        <v>NO</v>
      </c>
      <c r="I123" s="97">
        <v>0</v>
      </c>
      <c r="J123" s="98">
        <v>3.8897149085520477E-3</v>
      </c>
      <c r="K123" s="99">
        <v>0</v>
      </c>
      <c r="L123" s="98">
        <v>1.3081171202100445E-3</v>
      </c>
      <c r="M123" s="97">
        <v>0</v>
      </c>
      <c r="N123" s="118">
        <v>3.8897149085520477E-3</v>
      </c>
      <c r="O123" s="99">
        <v>60</v>
      </c>
      <c r="P123" s="101">
        <v>1.3081171202100445E-3</v>
      </c>
      <c r="Q123" t="str">
        <f>VLOOKUP(Table325[[#This Row],[Census Tract]],'UI EnergyBurden'!$A$2:$B$184,2,FALSE)</f>
        <v>Yes</v>
      </c>
      <c r="R123">
        <f>VLOOKUP(Table325[[#This Row],[Census Tract]],'Population and Diversity Data'!B119:K940,10,FALSE)</f>
        <v>4</v>
      </c>
    </row>
    <row r="124" spans="1:18" ht="15.75" thickBot="1" x14ac:dyDescent="0.3">
      <c r="A124" s="175">
        <v>9009141600</v>
      </c>
      <c r="B124" s="200" t="s">
        <v>943</v>
      </c>
      <c r="C124" s="93" t="s">
        <v>936</v>
      </c>
      <c r="D124" s="94">
        <f>Table325[[#This Row],[Residential CLM $ Collected]]+Table325[[#This Row],[C&amp;I CLM $ Collected]]</f>
        <v>72142.353499999997</v>
      </c>
      <c r="E124" s="95">
        <v>1.5902270040560837E-5</v>
      </c>
      <c r="F124" s="96">
        <f>Table325[[#This Row],[Residential Incentive Disbursements]]+Table325[[#This Row],[C&amp;I Incentive Disbursements]]</f>
        <v>0</v>
      </c>
      <c r="G124" s="95">
        <v>0</v>
      </c>
      <c r="H124" s="95" t="str">
        <f t="shared" si="1"/>
        <v>NO</v>
      </c>
      <c r="I124" s="97">
        <v>6964.5801000000001</v>
      </c>
      <c r="J124" s="98">
        <v>1.5902270040560837E-5</v>
      </c>
      <c r="K124" s="99">
        <v>0</v>
      </c>
      <c r="L124" s="98">
        <v>0</v>
      </c>
      <c r="M124" s="97">
        <v>65177.773399999998</v>
      </c>
      <c r="N124" s="118">
        <v>1.5902270040560837E-5</v>
      </c>
      <c r="O124" s="99">
        <v>0</v>
      </c>
      <c r="P124" s="101">
        <v>0</v>
      </c>
      <c r="Q124" t="str">
        <f>VLOOKUP(Table325[[#This Row],[Census Tract]],'UI EnergyBurden'!$A$2:$B$184,2,FALSE)</f>
        <v>Yes</v>
      </c>
      <c r="R124">
        <f>VLOOKUP(Table325[[#This Row],[Census Tract]],'Population and Diversity Data'!B120:K941,10,FALSE)</f>
        <v>4</v>
      </c>
    </row>
    <row r="125" spans="1:18" ht="15.75" thickBot="1" x14ac:dyDescent="0.3">
      <c r="A125" s="175">
        <v>9009141800</v>
      </c>
      <c r="B125" s="200" t="s">
        <v>943</v>
      </c>
      <c r="C125" s="93" t="s">
        <v>944</v>
      </c>
      <c r="D125" s="94">
        <f>Table325[[#This Row],[Residential CLM $ Collected]]+Table325[[#This Row],[C&amp;I CLM $ Collected]]</f>
        <v>77177.016300000003</v>
      </c>
      <c r="E125" s="95">
        <v>2.9767513754445901E-3</v>
      </c>
      <c r="F125" s="96">
        <f>Table325[[#This Row],[Residential Incentive Disbursements]]+Table325[[#This Row],[C&amp;I Incentive Disbursements]]</f>
        <v>1830</v>
      </c>
      <c r="G125" s="95">
        <v>9.1663716607018092E-4</v>
      </c>
      <c r="H125" s="95" t="str">
        <f t="shared" si="1"/>
        <v>NO</v>
      </c>
      <c r="I125" s="97">
        <v>0</v>
      </c>
      <c r="J125" s="98">
        <v>2.9767513754445901E-3</v>
      </c>
      <c r="K125" s="99">
        <v>0</v>
      </c>
      <c r="L125" s="98">
        <v>9.1663716607018092E-4</v>
      </c>
      <c r="M125" s="97">
        <v>77177.016300000003</v>
      </c>
      <c r="N125" s="118">
        <v>2.9767513754445901E-3</v>
      </c>
      <c r="O125" s="99">
        <v>1830</v>
      </c>
      <c r="P125" s="101">
        <v>9.1663716607018092E-4</v>
      </c>
      <c r="Q125" t="str">
        <f>VLOOKUP(Table325[[#This Row],[Census Tract]],'UI EnergyBurden'!$A$2:$B$184,2,FALSE)</f>
        <v>No</v>
      </c>
      <c r="R125">
        <f>VLOOKUP(Table325[[#This Row],[Census Tract]],'Population and Diversity Data'!B121:K942,10,FALSE)</f>
        <v>5</v>
      </c>
    </row>
    <row r="126" spans="1:18" ht="15.75" thickBot="1" x14ac:dyDescent="0.3">
      <c r="A126" s="175">
        <v>9009141900</v>
      </c>
      <c r="B126" s="200" t="s">
        <v>943</v>
      </c>
      <c r="C126" s="93" t="s">
        <v>944</v>
      </c>
      <c r="D126" s="94">
        <f>Table325[[#This Row],[Residential CLM $ Collected]]+Table325[[#This Row],[C&amp;I CLM $ Collected]]</f>
        <v>30629.914100000002</v>
      </c>
      <c r="E126" s="95">
        <v>2.1468482759011624E-6</v>
      </c>
      <c r="F126" s="96">
        <f>Table325[[#This Row],[Residential Incentive Disbursements]]+Table325[[#This Row],[C&amp;I Incentive Disbursements]]</f>
        <v>0</v>
      </c>
      <c r="G126" s="95">
        <v>0</v>
      </c>
      <c r="H126" s="95" t="str">
        <f t="shared" si="1"/>
        <v>N/A</v>
      </c>
      <c r="I126" s="97">
        <v>0</v>
      </c>
      <c r="J126" s="98">
        <v>2.1468482759011624E-6</v>
      </c>
      <c r="K126" s="99">
        <v>0</v>
      </c>
      <c r="L126" s="98">
        <v>0</v>
      </c>
      <c r="M126" s="97">
        <v>30629.914100000002</v>
      </c>
      <c r="N126" s="118">
        <v>2.1468482759011624E-6</v>
      </c>
      <c r="O126" s="99">
        <v>0</v>
      </c>
      <c r="P126" s="101">
        <v>0</v>
      </c>
      <c r="Q126" t="str">
        <f>VLOOKUP(Table325[[#This Row],[Census Tract]],'UI EnergyBurden'!$A$2:$B$184,2,FALSE)</f>
        <v>No</v>
      </c>
      <c r="R126">
        <f>VLOOKUP(Table325[[#This Row],[Census Tract]],'Population and Diversity Data'!B122:K943,10,FALSE)</f>
        <v>5</v>
      </c>
    </row>
    <row r="127" spans="1:18" ht="15.75" thickBot="1" x14ac:dyDescent="0.3">
      <c r="A127" s="175">
        <v>9009142000</v>
      </c>
      <c r="B127" s="200" t="s">
        <v>943</v>
      </c>
      <c r="C127" s="93" t="s">
        <v>944</v>
      </c>
      <c r="D127" s="94">
        <f>Table325[[#This Row],[Residential CLM $ Collected]]+Table325[[#This Row],[C&amp;I CLM $ Collected]]</f>
        <v>35141.119099999996</v>
      </c>
      <c r="E127" s="95">
        <v>5.6440724092658165E-3</v>
      </c>
      <c r="F127" s="96">
        <f>Table325[[#This Row],[Residential Incentive Disbursements]]+Table325[[#This Row],[C&amp;I Incentive Disbursements]]</f>
        <v>210</v>
      </c>
      <c r="G127" s="95">
        <v>2.2632109533020518E-3</v>
      </c>
      <c r="H127" s="95" t="str">
        <f t="shared" si="1"/>
        <v>NO</v>
      </c>
      <c r="I127" s="97">
        <v>8758.2502999999997</v>
      </c>
      <c r="J127" s="98">
        <v>5.6440724092658165E-3</v>
      </c>
      <c r="K127" s="99">
        <v>0</v>
      </c>
      <c r="L127" s="98">
        <v>2.2632109533020518E-3</v>
      </c>
      <c r="M127" s="97">
        <v>26382.8688</v>
      </c>
      <c r="N127" s="118">
        <v>5.6440724092658165E-3</v>
      </c>
      <c r="O127" s="99">
        <v>210</v>
      </c>
      <c r="P127" s="101">
        <v>2.2632109533020518E-3</v>
      </c>
      <c r="Q127" t="str">
        <f>VLOOKUP(Table325[[#This Row],[Census Tract]],'UI EnergyBurden'!$A$2:$B$184,2,FALSE)</f>
        <v>No</v>
      </c>
      <c r="R127">
        <f>VLOOKUP(Table325[[#This Row],[Census Tract]],'Population and Diversity Data'!B123:K944,10,FALSE)</f>
        <v>5</v>
      </c>
    </row>
    <row r="128" spans="1:18" ht="15.75" thickBot="1" x14ac:dyDescent="0.3">
      <c r="A128" s="175">
        <v>9009142100</v>
      </c>
      <c r="B128" s="200" t="s">
        <v>3015</v>
      </c>
      <c r="C128" s="93" t="s">
        <v>944</v>
      </c>
      <c r="D128" s="94">
        <f>Table325[[#This Row],[Residential CLM $ Collected]]+Table325[[#This Row],[C&amp;I CLM $ Collected]]</f>
        <v>0</v>
      </c>
      <c r="E128" s="95">
        <v>6.531439821422313E-6</v>
      </c>
      <c r="F128" s="96">
        <f>Table325[[#This Row],[Residential Incentive Disbursements]]+Table325[[#This Row],[C&amp;I Incentive Disbursements]]</f>
        <v>1180</v>
      </c>
      <c r="G128" s="95">
        <v>0</v>
      </c>
      <c r="H128" s="95" t="str">
        <f t="shared" si="1"/>
        <v>NO</v>
      </c>
      <c r="I128" s="97">
        <v>0</v>
      </c>
      <c r="J128" s="98">
        <v>6.531439821422313E-6</v>
      </c>
      <c r="K128" s="99">
        <v>0</v>
      </c>
      <c r="L128" s="98">
        <v>0</v>
      </c>
      <c r="M128" s="97">
        <v>0</v>
      </c>
      <c r="N128" s="118">
        <v>6.531439821422313E-6</v>
      </c>
      <c r="O128" s="99">
        <v>1180</v>
      </c>
      <c r="P128" s="101">
        <v>0</v>
      </c>
      <c r="Q128" t="str">
        <f>VLOOKUP(Table325[[#This Row],[Census Tract]],'UI EnergyBurden'!$A$2:$B$184,2,FALSE)</f>
        <v>No</v>
      </c>
      <c r="R128">
        <f>VLOOKUP(Table325[[#This Row],[Census Tract]],'Population and Diversity Data'!B124:K945,10,FALSE)</f>
        <v>5</v>
      </c>
    </row>
    <row r="129" spans="1:18" ht="15.75" thickBot="1" x14ac:dyDescent="0.3">
      <c r="A129" s="175">
        <v>9009142100</v>
      </c>
      <c r="B129" s="200" t="s">
        <v>943</v>
      </c>
      <c r="C129" s="93" t="s">
        <v>936</v>
      </c>
      <c r="D129" s="94">
        <f>Table325[[#This Row],[Residential CLM $ Collected]]+Table325[[#This Row],[C&amp;I CLM $ Collected]]</f>
        <v>638.05809999999997</v>
      </c>
      <c r="E129" s="95">
        <v>5.0621749994243003E-3</v>
      </c>
      <c r="F129" s="96">
        <f>Table325[[#This Row],[Residential Incentive Disbursements]]+Table325[[#This Row],[C&amp;I Incentive Disbursements]]</f>
        <v>0</v>
      </c>
      <c r="G129" s="95">
        <v>2.4294583195276229E-3</v>
      </c>
      <c r="H129" s="95" t="str">
        <f t="shared" si="1"/>
        <v>NO</v>
      </c>
      <c r="I129" s="97">
        <v>0</v>
      </c>
      <c r="J129" s="98">
        <v>5.0621749994243003E-3</v>
      </c>
      <c r="K129" s="99">
        <v>0</v>
      </c>
      <c r="L129" s="98">
        <v>2.4294583195276229E-3</v>
      </c>
      <c r="M129" s="97">
        <v>638.05809999999997</v>
      </c>
      <c r="N129" s="118">
        <v>5.0621749994243003E-3</v>
      </c>
      <c r="O129" s="99">
        <v>0</v>
      </c>
      <c r="P129" s="101">
        <v>2.4294583195276229E-3</v>
      </c>
      <c r="Q129" t="str">
        <f>VLOOKUP(Table325[[#This Row],[Census Tract]],'UI EnergyBurden'!$A$2:$B$184,2,FALSE)</f>
        <v>No</v>
      </c>
      <c r="R129">
        <f>VLOOKUP(Table325[[#This Row],[Census Tract]],'Population and Diversity Data'!B125:K946,10,FALSE)</f>
        <v>5</v>
      </c>
    </row>
    <row r="130" spans="1:18" ht="15.75" thickBot="1" x14ac:dyDescent="0.3">
      <c r="A130" s="175">
        <v>9009142200</v>
      </c>
      <c r="B130" s="200" t="s">
        <v>943</v>
      </c>
      <c r="C130" s="93" t="s">
        <v>944</v>
      </c>
      <c r="D130" s="94">
        <f>Table325[[#This Row],[Residential CLM $ Collected]]+Table325[[#This Row],[C&amp;I CLM $ Collected]]</f>
        <v>34699.039299999997</v>
      </c>
      <c r="E130" s="95">
        <v>1.9896488360818202E-9</v>
      </c>
      <c r="F130" s="96">
        <f>Table325[[#This Row],[Residential Incentive Disbursements]]+Table325[[#This Row],[C&amp;I Incentive Disbursements]]</f>
        <v>44425</v>
      </c>
      <c r="G130" s="95">
        <v>0</v>
      </c>
      <c r="H130" s="95" t="str">
        <f t="shared" si="1"/>
        <v>N/A</v>
      </c>
      <c r="I130" s="97">
        <v>0</v>
      </c>
      <c r="J130" s="98">
        <v>1.9896488360818202E-9</v>
      </c>
      <c r="K130" s="99">
        <v>0</v>
      </c>
      <c r="L130" s="98">
        <v>0</v>
      </c>
      <c r="M130" s="97">
        <v>34699.039299999997</v>
      </c>
      <c r="N130" s="118">
        <v>1.9896488360818202E-9</v>
      </c>
      <c r="O130" s="99">
        <v>44425</v>
      </c>
      <c r="P130" s="101">
        <v>0</v>
      </c>
      <c r="Q130" t="str">
        <f>VLOOKUP(Table325[[#This Row],[Census Tract]],'UI EnergyBurden'!$A$2:$B$184,2,FALSE)</f>
        <v>No</v>
      </c>
      <c r="R130">
        <f>VLOOKUP(Table325[[#This Row],[Census Tract]],'Population and Diversity Data'!B126:K947,10,FALSE)</f>
        <v>4</v>
      </c>
    </row>
    <row r="131" spans="1:18" ht="15.75" thickBot="1" x14ac:dyDescent="0.3">
      <c r="A131" s="175">
        <v>9009142300</v>
      </c>
      <c r="B131" s="200" t="s">
        <v>3015</v>
      </c>
      <c r="C131" s="93" t="s">
        <v>944</v>
      </c>
      <c r="D131" s="94">
        <f>Table325[[#This Row],[Residential CLM $ Collected]]+Table325[[#This Row],[C&amp;I CLM $ Collected]]</f>
        <v>0</v>
      </c>
      <c r="E131" s="95">
        <v>5.2863039374778211E-3</v>
      </c>
      <c r="F131" s="96">
        <f>Table325[[#This Row],[Residential Incentive Disbursements]]+Table325[[#This Row],[C&amp;I Incentive Disbursements]]</f>
        <v>2254</v>
      </c>
      <c r="G131" s="95">
        <v>3.7671076315876923E-3</v>
      </c>
      <c r="H131" s="95" t="str">
        <f t="shared" si="1"/>
        <v>NO</v>
      </c>
      <c r="I131" s="97">
        <v>0</v>
      </c>
      <c r="J131" s="98">
        <v>5.2863039374778211E-3</v>
      </c>
      <c r="K131" s="99">
        <v>0</v>
      </c>
      <c r="L131" s="98">
        <v>3.7671076315876923E-3</v>
      </c>
      <c r="M131" s="97">
        <v>0</v>
      </c>
      <c r="N131" s="118">
        <v>5.2863039374778211E-3</v>
      </c>
      <c r="O131" s="99">
        <v>2254</v>
      </c>
      <c r="P131" s="101">
        <v>3.7671076315876923E-3</v>
      </c>
      <c r="Q131" t="str">
        <f>VLOOKUP(Table325[[#This Row],[Census Tract]],'UI EnergyBurden'!$A$2:$B$184,2,FALSE)</f>
        <v>Yes</v>
      </c>
      <c r="R131">
        <f>VLOOKUP(Table325[[#This Row],[Census Tract]],'Population and Diversity Data'!B127:K948,10,FALSE)</f>
        <v>5</v>
      </c>
    </row>
    <row r="132" spans="1:18" ht="15.75" thickBot="1" x14ac:dyDescent="0.3">
      <c r="A132" s="175">
        <v>9009142300</v>
      </c>
      <c r="B132" s="200" t="s">
        <v>943</v>
      </c>
      <c r="C132" s="93" t="s">
        <v>936</v>
      </c>
      <c r="D132" s="94">
        <f>Table325[[#This Row],[Residential CLM $ Collected]]+Table325[[#This Row],[C&amp;I CLM $ Collected]]</f>
        <v>24439.176200000002</v>
      </c>
      <c r="E132" s="95">
        <v>1.1646562379747949E-5</v>
      </c>
      <c r="F132" s="96">
        <f>Table325[[#This Row],[Residential Incentive Disbursements]]+Table325[[#This Row],[C&amp;I Incentive Disbursements]]</f>
        <v>0</v>
      </c>
      <c r="G132" s="95">
        <v>3.3155014514304185E-4</v>
      </c>
      <c r="H132" s="95" t="str">
        <f t="shared" si="1"/>
        <v>YES</v>
      </c>
      <c r="I132" s="97">
        <v>0</v>
      </c>
      <c r="J132" s="98">
        <v>1.1646562379747949E-5</v>
      </c>
      <c r="K132" s="99">
        <v>0</v>
      </c>
      <c r="L132" s="98">
        <v>3.3155014514304185E-4</v>
      </c>
      <c r="M132" s="97">
        <v>24439.176200000002</v>
      </c>
      <c r="N132" s="118">
        <v>1.1646562379747949E-5</v>
      </c>
      <c r="O132" s="99">
        <v>0</v>
      </c>
      <c r="P132" s="101">
        <v>3.3155014514304185E-4</v>
      </c>
      <c r="Q132" t="str">
        <f>VLOOKUP(Table325[[#This Row],[Census Tract]],'UI EnergyBurden'!$A$2:$B$184,2,FALSE)</f>
        <v>Yes</v>
      </c>
      <c r="R132">
        <f>VLOOKUP(Table325[[#This Row],[Census Tract]],'Population and Diversity Data'!B128:K949,10,FALSE)</f>
        <v>5</v>
      </c>
    </row>
    <row r="133" spans="1:18" ht="15.75" thickBot="1" x14ac:dyDescent="0.3">
      <c r="A133" s="175">
        <v>9009142400</v>
      </c>
      <c r="B133" s="200" t="s">
        <v>943</v>
      </c>
      <c r="C133" s="93" t="s">
        <v>936</v>
      </c>
      <c r="D133" s="94">
        <f>Table325[[#This Row],[Residential CLM $ Collected]]+Table325[[#This Row],[C&amp;I CLM $ Collected]]</f>
        <v>32270.552200000002</v>
      </c>
      <c r="E133" s="95">
        <v>1.4994529699901592E-6</v>
      </c>
      <c r="F133" s="96">
        <f>Table325[[#This Row],[Residential Incentive Disbursements]]+Table325[[#This Row],[C&amp;I Incentive Disbursements]]</f>
        <v>0</v>
      </c>
      <c r="G133" s="95">
        <v>0</v>
      </c>
      <c r="H133" s="95" t="str">
        <f t="shared" si="1"/>
        <v>N/A</v>
      </c>
      <c r="I133" s="97">
        <v>7242.7465000000002</v>
      </c>
      <c r="J133" s="98">
        <v>1.4994529699901592E-6</v>
      </c>
      <c r="K133" s="99">
        <v>0</v>
      </c>
      <c r="L133" s="98">
        <v>0</v>
      </c>
      <c r="M133" s="97">
        <v>25027.805700000001</v>
      </c>
      <c r="N133" s="118">
        <v>1.4994529699901592E-6</v>
      </c>
      <c r="O133" s="99">
        <v>0</v>
      </c>
      <c r="P133" s="101">
        <v>0</v>
      </c>
      <c r="Q133" t="str">
        <f>VLOOKUP(Table325[[#This Row],[Census Tract]],'UI EnergyBurden'!$A$2:$B$184,2,FALSE)</f>
        <v>Yes</v>
      </c>
      <c r="R133">
        <f>VLOOKUP(Table325[[#This Row],[Census Tract]],'Population and Diversity Data'!B129:K950,10,FALSE)</f>
        <v>5</v>
      </c>
    </row>
    <row r="134" spans="1:18" ht="15.75" thickBot="1" x14ac:dyDescent="0.3">
      <c r="A134" s="175">
        <v>9009142500</v>
      </c>
      <c r="B134" s="200" t="s">
        <v>943</v>
      </c>
      <c r="C134" s="93" t="s">
        <v>936</v>
      </c>
      <c r="D134" s="94">
        <f>Table325[[#This Row],[Residential CLM $ Collected]]+Table325[[#This Row],[C&amp;I CLM $ Collected]]</f>
        <v>125901.9893</v>
      </c>
      <c r="E134" s="95">
        <v>6.3124581770711647E-6</v>
      </c>
      <c r="F134" s="96">
        <f>Table325[[#This Row],[Residential Incentive Disbursements]]+Table325[[#This Row],[C&amp;I Incentive Disbursements]]</f>
        <v>0</v>
      </c>
      <c r="G134" s="95">
        <v>0</v>
      </c>
      <c r="H134" s="95" t="str">
        <f t="shared" si="1"/>
        <v>NO</v>
      </c>
      <c r="I134" s="97">
        <v>0</v>
      </c>
      <c r="J134" s="98">
        <v>6.3124581770711647E-6</v>
      </c>
      <c r="K134" s="99">
        <v>0</v>
      </c>
      <c r="L134" s="98">
        <v>0</v>
      </c>
      <c r="M134" s="97">
        <v>125901.9893</v>
      </c>
      <c r="N134" s="118">
        <v>6.3124581770711647E-6</v>
      </c>
      <c r="O134" s="99">
        <v>0</v>
      </c>
      <c r="P134" s="101">
        <v>0</v>
      </c>
      <c r="Q134" t="str">
        <f>VLOOKUP(Table325[[#This Row],[Census Tract]],'UI EnergyBurden'!$A$2:$B$184,2,FALSE)</f>
        <v>Yes</v>
      </c>
      <c r="R134">
        <f>VLOOKUP(Table325[[#This Row],[Census Tract]],'Population and Diversity Data'!B130:K951,10,FALSE)</f>
        <v>5</v>
      </c>
    </row>
    <row r="135" spans="1:18" ht="15.75" thickBot="1" x14ac:dyDescent="0.3">
      <c r="A135" s="175">
        <v>9009142601</v>
      </c>
      <c r="B135" s="200" t="s">
        <v>943</v>
      </c>
      <c r="C135" s="93" t="s">
        <v>944</v>
      </c>
      <c r="D135" s="94">
        <f>Table325[[#This Row],[Residential CLM $ Collected]]+Table325[[#This Row],[C&amp;I CLM $ Collected]]</f>
        <v>42790.523500000003</v>
      </c>
      <c r="E135" s="95">
        <v>3.8795230406343658E-3</v>
      </c>
      <c r="F135" s="96">
        <f>Table325[[#This Row],[Residential Incentive Disbursements]]+Table325[[#This Row],[C&amp;I Incentive Disbursements]]</f>
        <v>64029</v>
      </c>
      <c r="G135" s="95">
        <v>2.8562344122671258E-3</v>
      </c>
      <c r="H135" s="95" t="str">
        <f t="shared" ref="H135:H198" si="2">IF(ROUND(E135,5)&lt;0.00001,"N/A",IF(ROUND(E135,5)&lt;=ROUND(G135,5),"YES","NO"))</f>
        <v>NO</v>
      </c>
      <c r="I135" s="97">
        <v>0</v>
      </c>
      <c r="J135" s="98">
        <v>3.8795230406343658E-3</v>
      </c>
      <c r="K135" s="99">
        <v>800</v>
      </c>
      <c r="L135" s="98">
        <v>2.8562344122671258E-3</v>
      </c>
      <c r="M135" s="97">
        <v>42790.523500000003</v>
      </c>
      <c r="N135" s="118">
        <v>3.8795230406343658E-3</v>
      </c>
      <c r="O135" s="99">
        <v>63229</v>
      </c>
      <c r="P135" s="101">
        <v>2.8562344122671258E-3</v>
      </c>
      <c r="Q135" t="str">
        <f>VLOOKUP(Table325[[#This Row],[Census Tract]],'UI EnergyBurden'!$A$2:$B$184,2,FALSE)</f>
        <v>No</v>
      </c>
      <c r="R135">
        <f>VLOOKUP(Table325[[#This Row],[Census Tract]],'Population and Diversity Data'!B131:K952,10,FALSE)</f>
        <v>5</v>
      </c>
    </row>
    <row r="136" spans="1:18" ht="15.75" thickBot="1" x14ac:dyDescent="0.3">
      <c r="A136" s="175">
        <v>9009142603</v>
      </c>
      <c r="B136" s="200" t="s">
        <v>943</v>
      </c>
      <c r="C136" s="93" t="s">
        <v>936</v>
      </c>
      <c r="D136" s="94">
        <f>Table325[[#This Row],[Residential CLM $ Collected]]+Table325[[#This Row],[C&amp;I CLM $ Collected]]</f>
        <v>51234.490700000002</v>
      </c>
      <c r="E136" s="95">
        <v>1.6064575902090743E-6</v>
      </c>
      <c r="F136" s="96">
        <f>Table325[[#This Row],[Residential Incentive Disbursements]]+Table325[[#This Row],[C&amp;I Incentive Disbursements]]</f>
        <v>0</v>
      </c>
      <c r="G136" s="95">
        <v>4.1096987941001428E-5</v>
      </c>
      <c r="H136" s="95" t="str">
        <f t="shared" si="2"/>
        <v>N/A</v>
      </c>
      <c r="I136" s="97">
        <v>51234.490700000002</v>
      </c>
      <c r="J136" s="98">
        <v>1.6064575902090743E-6</v>
      </c>
      <c r="K136" s="99">
        <v>0</v>
      </c>
      <c r="L136" s="98">
        <v>4.1096987941001428E-5</v>
      </c>
      <c r="M136" s="97">
        <v>0</v>
      </c>
      <c r="N136" s="118">
        <v>1.6064575902090743E-6</v>
      </c>
      <c r="O136" s="99">
        <v>0</v>
      </c>
      <c r="P136" s="101">
        <v>4.1096987941001428E-5</v>
      </c>
      <c r="Q136" t="str">
        <f>VLOOKUP(Table325[[#This Row],[Census Tract]],'UI EnergyBurden'!$A$2:$B$184,2,FALSE)</f>
        <v>No</v>
      </c>
      <c r="R136">
        <f>VLOOKUP(Table325[[#This Row],[Census Tract]],'Population and Diversity Data'!B132:K953,10,FALSE)</f>
        <v>5</v>
      </c>
    </row>
    <row r="137" spans="1:18" ht="15.75" thickBot="1" x14ac:dyDescent="0.3">
      <c r="A137" s="175">
        <v>9009142604</v>
      </c>
      <c r="B137" s="200" t="s">
        <v>943</v>
      </c>
      <c r="C137" s="93" t="s">
        <v>944</v>
      </c>
      <c r="D137" s="94">
        <f>Table325[[#This Row],[Residential CLM $ Collected]]+Table325[[#This Row],[C&amp;I CLM $ Collected]]</f>
        <v>38758.672400000003</v>
      </c>
      <c r="E137" s="95">
        <v>2.7292072980180711E-3</v>
      </c>
      <c r="F137" s="96">
        <f>Table325[[#This Row],[Residential Incentive Disbursements]]+Table325[[#This Row],[C&amp;I Incentive Disbursements]]</f>
        <v>0</v>
      </c>
      <c r="G137" s="95">
        <v>1.7802220948795789E-3</v>
      </c>
      <c r="H137" s="95" t="str">
        <f t="shared" si="2"/>
        <v>NO</v>
      </c>
      <c r="I137" s="97">
        <v>0</v>
      </c>
      <c r="J137" s="98">
        <v>2.7292072980180711E-3</v>
      </c>
      <c r="K137" s="99">
        <v>0</v>
      </c>
      <c r="L137" s="98">
        <v>1.7802220948795789E-3</v>
      </c>
      <c r="M137" s="97">
        <v>38758.672400000003</v>
      </c>
      <c r="N137" s="118">
        <v>2.7292072980180711E-3</v>
      </c>
      <c r="O137" s="99">
        <v>0</v>
      </c>
      <c r="P137" s="101">
        <v>1.7802220948795789E-3</v>
      </c>
      <c r="Q137" t="str">
        <f>VLOOKUP(Table325[[#This Row],[Census Tract]],'UI EnergyBurden'!$A$2:$B$184,2,FALSE)</f>
        <v>No</v>
      </c>
      <c r="R137">
        <f>VLOOKUP(Table325[[#This Row],[Census Tract]],'Population and Diversity Data'!B133:K954,10,FALSE)</f>
        <v>4</v>
      </c>
    </row>
    <row r="138" spans="1:18" ht="15.75" thickBot="1" x14ac:dyDescent="0.3">
      <c r="A138" s="175">
        <v>9009142700</v>
      </c>
      <c r="B138" s="200" t="s">
        <v>943</v>
      </c>
      <c r="C138" s="93" t="s">
        <v>944</v>
      </c>
      <c r="D138" s="94">
        <f>Table325[[#This Row],[Residential CLM $ Collected]]+Table325[[#This Row],[C&amp;I CLM $ Collected]]</f>
        <v>203276.48869999999</v>
      </c>
      <c r="E138" s="95">
        <v>1.1814218644106491E-6</v>
      </c>
      <c r="F138" s="96">
        <f>Table325[[#This Row],[Residential Incentive Disbursements]]+Table325[[#This Row],[C&amp;I Incentive Disbursements]]</f>
        <v>83813</v>
      </c>
      <c r="G138" s="95">
        <v>0</v>
      </c>
      <c r="H138" s="95" t="str">
        <f t="shared" si="2"/>
        <v>N/A</v>
      </c>
      <c r="I138" s="97">
        <v>0</v>
      </c>
      <c r="J138" s="98">
        <v>1.1814218644106491E-6</v>
      </c>
      <c r="K138" s="99">
        <v>0</v>
      </c>
      <c r="L138" s="98">
        <v>0</v>
      </c>
      <c r="M138" s="97">
        <v>203276.48869999999</v>
      </c>
      <c r="N138" s="118">
        <v>1.1814218644106491E-6</v>
      </c>
      <c r="O138" s="99">
        <v>83813</v>
      </c>
      <c r="P138" s="101">
        <v>0</v>
      </c>
      <c r="Q138" t="str">
        <f>VLOOKUP(Table325[[#This Row],[Census Tract]],'UI EnergyBurden'!$A$2:$B$184,2,FALSE)</f>
        <v>Yes</v>
      </c>
      <c r="R138">
        <f>VLOOKUP(Table325[[#This Row],[Census Tract]],'Population and Diversity Data'!B134:K955,10,FALSE)</f>
        <v>5</v>
      </c>
    </row>
    <row r="139" spans="1:18" ht="15.75" thickBot="1" x14ac:dyDescent="0.3">
      <c r="A139" s="175">
        <v>9009142800</v>
      </c>
      <c r="B139" s="200" t="s">
        <v>943</v>
      </c>
      <c r="C139" s="93" t="s">
        <v>944</v>
      </c>
      <c r="D139" s="94">
        <f>Table325[[#This Row],[Residential CLM $ Collected]]+Table325[[#This Row],[C&amp;I CLM $ Collected]]</f>
        <v>21034.6178</v>
      </c>
      <c r="E139" s="95">
        <v>1.4265978026871861E-5</v>
      </c>
      <c r="F139" s="96">
        <f>Table325[[#This Row],[Residential Incentive Disbursements]]+Table325[[#This Row],[C&amp;I Incentive Disbursements]]</f>
        <v>90</v>
      </c>
      <c r="G139" s="95">
        <v>-7.1424371122860822E-5</v>
      </c>
      <c r="H139" s="95" t="str">
        <f t="shared" si="2"/>
        <v>NO</v>
      </c>
      <c r="I139" s="97">
        <v>0</v>
      </c>
      <c r="J139" s="98">
        <v>1.4265978026871861E-5</v>
      </c>
      <c r="K139" s="99">
        <v>0</v>
      </c>
      <c r="L139" s="98">
        <v>-7.1424371122860822E-5</v>
      </c>
      <c r="M139" s="97">
        <v>21034.6178</v>
      </c>
      <c r="N139" s="118">
        <v>1.4265978026871861E-5</v>
      </c>
      <c r="O139" s="99">
        <v>90</v>
      </c>
      <c r="P139" s="101">
        <v>-7.1424371122860822E-5</v>
      </c>
      <c r="Q139" t="str">
        <f>VLOOKUP(Table325[[#This Row],[Census Tract]],'UI EnergyBurden'!$A$2:$B$184,2,FALSE)</f>
        <v>No</v>
      </c>
      <c r="R139">
        <f>VLOOKUP(Table325[[#This Row],[Census Tract]],'Population and Diversity Data'!B135:K956,10,FALSE)</f>
        <v>3</v>
      </c>
    </row>
    <row r="140" spans="1:18" ht="15.75" thickBot="1" x14ac:dyDescent="0.3">
      <c r="A140" s="175">
        <v>9009150100</v>
      </c>
      <c r="B140" s="200" t="s">
        <v>3008</v>
      </c>
      <c r="C140" s="93" t="s">
        <v>944</v>
      </c>
      <c r="D140" s="94">
        <f>Table325[[#This Row],[Residential CLM $ Collected]]+Table325[[#This Row],[C&amp;I CLM $ Collected]]</f>
        <v>58753.898999999998</v>
      </c>
      <c r="E140" s="95">
        <v>4.6319642176213486E-3</v>
      </c>
      <c r="F140" s="96">
        <f>Table325[[#This Row],[Residential Incentive Disbursements]]+Table325[[#This Row],[C&amp;I Incentive Disbursements]]</f>
        <v>1791</v>
      </c>
      <c r="G140" s="95">
        <v>2.6457991684402118E-3</v>
      </c>
      <c r="H140" s="95" t="str">
        <f t="shared" si="2"/>
        <v>NO</v>
      </c>
      <c r="I140" s="97">
        <v>0</v>
      </c>
      <c r="J140" s="98">
        <v>4.6319642176213486E-3</v>
      </c>
      <c r="K140" s="99">
        <v>0</v>
      </c>
      <c r="L140" s="98">
        <v>2.6457991684402118E-3</v>
      </c>
      <c r="M140" s="97">
        <v>58753.898999999998</v>
      </c>
      <c r="N140" s="118">
        <v>4.6319642176213486E-3</v>
      </c>
      <c r="O140" s="99">
        <v>1791</v>
      </c>
      <c r="P140" s="101">
        <v>2.6457991684402118E-3</v>
      </c>
      <c r="Q140" t="str">
        <f>VLOOKUP(Table325[[#This Row],[Census Tract]],'UI EnergyBurden'!$A$2:$B$184,2,FALSE)</f>
        <v>No</v>
      </c>
      <c r="R140">
        <f>VLOOKUP(Table325[[#This Row],[Census Tract]],'Population and Diversity Data'!B136:K957,10,FALSE)</f>
        <v>3</v>
      </c>
    </row>
    <row r="141" spans="1:18" ht="15.75" thickBot="1" x14ac:dyDescent="0.3">
      <c r="A141" s="175">
        <v>9009150200</v>
      </c>
      <c r="B141" s="200" t="s">
        <v>3008</v>
      </c>
      <c r="C141" s="93" t="s">
        <v>944</v>
      </c>
      <c r="D141" s="94">
        <f>Table325[[#This Row],[Residential CLM $ Collected]]+Table325[[#This Row],[C&amp;I CLM $ Collected]]</f>
        <v>47790.5746</v>
      </c>
      <c r="E141" s="95">
        <v>9.5554036531344254E-6</v>
      </c>
      <c r="F141" s="96">
        <f>Table325[[#This Row],[Residential Incentive Disbursements]]+Table325[[#This Row],[C&amp;I Incentive Disbursements]]</f>
        <v>0</v>
      </c>
      <c r="G141" s="95">
        <v>0</v>
      </c>
      <c r="H141" s="95" t="str">
        <f t="shared" si="2"/>
        <v>NO</v>
      </c>
      <c r="I141" s="97">
        <v>0</v>
      </c>
      <c r="J141" s="98">
        <v>9.5554036531344254E-6</v>
      </c>
      <c r="K141" s="99">
        <v>0</v>
      </c>
      <c r="L141" s="98">
        <v>0</v>
      </c>
      <c r="M141" s="97">
        <v>47790.5746</v>
      </c>
      <c r="N141" s="118">
        <v>9.5554036531344254E-6</v>
      </c>
      <c r="O141" s="99">
        <v>0</v>
      </c>
      <c r="P141" s="101">
        <v>0</v>
      </c>
      <c r="Q141" t="str">
        <f>VLOOKUP(Table325[[#This Row],[Census Tract]],'UI EnergyBurden'!$A$2:$B$184,2,FALSE)</f>
        <v>No</v>
      </c>
      <c r="R141">
        <f>VLOOKUP(Table325[[#This Row],[Census Tract]],'Population and Diversity Data'!B137:K958,10,FALSE)</f>
        <v>4</v>
      </c>
    </row>
    <row r="142" spans="1:18" ht="15.75" thickBot="1" x14ac:dyDescent="0.3">
      <c r="A142" s="175">
        <v>9009150300</v>
      </c>
      <c r="B142" s="200" t="s">
        <v>3008</v>
      </c>
      <c r="C142" s="93" t="s">
        <v>944</v>
      </c>
      <c r="D142" s="94">
        <f>Table325[[#This Row],[Residential CLM $ Collected]]+Table325[[#This Row],[C&amp;I CLM $ Collected]]</f>
        <v>22054.677199999998</v>
      </c>
      <c r="E142" s="95">
        <v>2.0673901548183421E-5</v>
      </c>
      <c r="F142" s="96">
        <f>Table325[[#This Row],[Residential Incentive Disbursements]]+Table325[[#This Row],[C&amp;I Incentive Disbursements]]</f>
        <v>250</v>
      </c>
      <c r="G142" s="95">
        <v>0</v>
      </c>
      <c r="H142" s="95" t="str">
        <f t="shared" si="2"/>
        <v>NO</v>
      </c>
      <c r="I142" s="97">
        <v>0</v>
      </c>
      <c r="J142" s="98">
        <v>2.0673901548183421E-5</v>
      </c>
      <c r="K142" s="99">
        <v>0</v>
      </c>
      <c r="L142" s="98">
        <v>0</v>
      </c>
      <c r="M142" s="97">
        <v>22054.677199999998</v>
      </c>
      <c r="N142" s="118">
        <v>2.0673901548183421E-5</v>
      </c>
      <c r="O142" s="99">
        <v>250</v>
      </c>
      <c r="P142" s="101">
        <v>0</v>
      </c>
      <c r="Q142" t="str">
        <f>VLOOKUP(Table325[[#This Row],[Census Tract]],'UI EnergyBurden'!$A$2:$B$184,2,FALSE)</f>
        <v>No</v>
      </c>
      <c r="R142">
        <f>VLOOKUP(Table325[[#This Row],[Census Tract]],'Population and Diversity Data'!B138:K959,10,FALSE)</f>
        <v>3</v>
      </c>
    </row>
    <row r="143" spans="1:18" ht="15.75" thickBot="1" x14ac:dyDescent="0.3">
      <c r="A143" s="175">
        <v>9009150500</v>
      </c>
      <c r="B143" s="200" t="s">
        <v>3008</v>
      </c>
      <c r="C143" s="93" t="s">
        <v>944</v>
      </c>
      <c r="D143" s="94">
        <f>Table325[[#This Row],[Residential CLM $ Collected]]+Table325[[#This Row],[C&amp;I CLM $ Collected]]</f>
        <v>11394.1178</v>
      </c>
      <c r="E143" s="95">
        <v>1.9564880221471233E-5</v>
      </c>
      <c r="F143" s="96">
        <f>Table325[[#This Row],[Residential Incentive Disbursements]]+Table325[[#This Row],[C&amp;I Incentive Disbursements]]</f>
        <v>0</v>
      </c>
      <c r="G143" s="95">
        <v>0</v>
      </c>
      <c r="H143" s="95" t="str">
        <f t="shared" si="2"/>
        <v>NO</v>
      </c>
      <c r="I143" s="97">
        <v>0</v>
      </c>
      <c r="J143" s="98">
        <v>1.9564880221471233E-5</v>
      </c>
      <c r="K143" s="99">
        <v>0</v>
      </c>
      <c r="L143" s="98">
        <v>0</v>
      </c>
      <c r="M143" s="97">
        <v>11394.1178</v>
      </c>
      <c r="N143" s="118">
        <v>1.9564880221471233E-5</v>
      </c>
      <c r="O143" s="99">
        <v>0</v>
      </c>
      <c r="P143" s="101">
        <v>0</v>
      </c>
      <c r="Q143" t="str">
        <f>VLOOKUP(Table325[[#This Row],[Census Tract]],'UI EnergyBurden'!$A$2:$B$184,2,FALSE)</f>
        <v>No</v>
      </c>
      <c r="R143">
        <f>VLOOKUP(Table325[[#This Row],[Census Tract]],'Population and Diversity Data'!B139:K960,10,FALSE)</f>
        <v>2</v>
      </c>
    </row>
    <row r="144" spans="1:18" ht="15.75" thickBot="1" x14ac:dyDescent="0.3">
      <c r="A144" s="175">
        <v>9009150600</v>
      </c>
      <c r="B144" s="200" t="s">
        <v>3008</v>
      </c>
      <c r="C144" s="93" t="s">
        <v>944</v>
      </c>
      <c r="D144" s="94">
        <f>Table325[[#This Row],[Residential CLM $ Collected]]+Table325[[#This Row],[C&amp;I CLM $ Collected]]</f>
        <v>225626.00099999999</v>
      </c>
      <c r="E144" s="95">
        <v>3.8845856247798128E-3</v>
      </c>
      <c r="F144" s="96">
        <f>Table325[[#This Row],[Residential Incentive Disbursements]]+Table325[[#This Row],[C&amp;I Incentive Disbursements]]</f>
        <v>96057</v>
      </c>
      <c r="G144" s="95">
        <v>2.5290084175924803E-3</v>
      </c>
      <c r="H144" s="95" t="str">
        <f t="shared" si="2"/>
        <v>NO</v>
      </c>
      <c r="I144" s="97">
        <v>0</v>
      </c>
      <c r="J144" s="98">
        <v>3.8845856247798128E-3</v>
      </c>
      <c r="K144" s="99">
        <v>0</v>
      </c>
      <c r="L144" s="98">
        <v>2.5290084175924803E-3</v>
      </c>
      <c r="M144" s="97">
        <v>225626.00099999999</v>
      </c>
      <c r="N144" s="118">
        <v>3.8845856247798128E-3</v>
      </c>
      <c r="O144" s="99">
        <v>96057</v>
      </c>
      <c r="P144" s="101">
        <v>2.5290084175924803E-3</v>
      </c>
      <c r="Q144" t="str">
        <f>VLOOKUP(Table325[[#This Row],[Census Tract]],'UI EnergyBurden'!$A$2:$B$184,2,FALSE)</f>
        <v>No</v>
      </c>
      <c r="R144">
        <f>VLOOKUP(Table325[[#This Row],[Census Tract]],'Population and Diversity Data'!B140:K961,10,FALSE)</f>
        <v>3</v>
      </c>
    </row>
    <row r="145" spans="1:18" ht="15.75" thickBot="1" x14ac:dyDescent="0.3">
      <c r="A145" s="175">
        <v>9009150700</v>
      </c>
      <c r="B145" s="200" t="s">
        <v>3008</v>
      </c>
      <c r="C145" s="93" t="s">
        <v>944</v>
      </c>
      <c r="D145" s="94">
        <f>Table325[[#This Row],[Residential CLM $ Collected]]+Table325[[#This Row],[C&amp;I CLM $ Collected]]</f>
        <v>71448.268599999996</v>
      </c>
      <c r="E145" s="95">
        <v>5.3577738074832291E-6</v>
      </c>
      <c r="F145" s="96">
        <f>Table325[[#This Row],[Residential Incentive Disbursements]]+Table325[[#This Row],[C&amp;I Incentive Disbursements]]</f>
        <v>16584</v>
      </c>
      <c r="G145" s="95">
        <v>0</v>
      </c>
      <c r="H145" s="95" t="str">
        <f t="shared" si="2"/>
        <v>NO</v>
      </c>
      <c r="I145" s="97">
        <v>0</v>
      </c>
      <c r="J145" s="98">
        <v>5.3577738074832291E-6</v>
      </c>
      <c r="K145" s="99">
        <v>0</v>
      </c>
      <c r="L145" s="98">
        <v>0</v>
      </c>
      <c r="M145" s="97">
        <v>71448.268599999996</v>
      </c>
      <c r="N145" s="118">
        <v>5.3577738074832291E-6</v>
      </c>
      <c r="O145" s="99">
        <v>16584</v>
      </c>
      <c r="P145" s="101">
        <v>0</v>
      </c>
      <c r="Q145" t="str">
        <f>VLOOKUP(Table325[[#This Row],[Census Tract]],'UI EnergyBurden'!$A$2:$B$184,2,FALSE)</f>
        <v>No</v>
      </c>
      <c r="R145">
        <f>VLOOKUP(Table325[[#This Row],[Census Tract]],'Population and Diversity Data'!B141:K962,10,FALSE)</f>
        <v>3</v>
      </c>
    </row>
    <row r="146" spans="1:18" ht="15.75" thickBot="1" x14ac:dyDescent="0.3">
      <c r="A146" s="175">
        <v>9009150800</v>
      </c>
      <c r="B146" s="200" t="s">
        <v>3008</v>
      </c>
      <c r="C146" s="93" t="s">
        <v>944</v>
      </c>
      <c r="D146" s="94">
        <f>Table325[[#This Row],[Residential CLM $ Collected]]+Table325[[#This Row],[C&amp;I CLM $ Collected]]</f>
        <v>202449.05009999999</v>
      </c>
      <c r="E146" s="95">
        <v>1.4304557970710706E-5</v>
      </c>
      <c r="F146" s="96">
        <f>Table325[[#This Row],[Residential Incentive Disbursements]]+Table325[[#This Row],[C&amp;I Incentive Disbursements]]</f>
        <v>16410</v>
      </c>
      <c r="G146" s="95">
        <v>0</v>
      </c>
      <c r="H146" s="95" t="str">
        <f t="shared" si="2"/>
        <v>NO</v>
      </c>
      <c r="I146" s="97">
        <v>0</v>
      </c>
      <c r="J146" s="98">
        <v>1.4304557970710706E-5</v>
      </c>
      <c r="K146" s="99">
        <v>0</v>
      </c>
      <c r="L146" s="98">
        <v>0</v>
      </c>
      <c r="M146" s="97">
        <v>202449.05009999999</v>
      </c>
      <c r="N146" s="118">
        <v>1.4304557970710706E-5</v>
      </c>
      <c r="O146" s="99">
        <v>16410</v>
      </c>
      <c r="P146" s="101">
        <v>0</v>
      </c>
      <c r="Q146" t="str">
        <f>VLOOKUP(Table325[[#This Row],[Census Tract]],'UI EnergyBurden'!$A$2:$B$184,2,FALSE)</f>
        <v>No</v>
      </c>
      <c r="R146">
        <f>VLOOKUP(Table325[[#This Row],[Census Tract]],'Population and Diversity Data'!B142:K963,10,FALSE)</f>
        <v>4</v>
      </c>
    </row>
    <row r="147" spans="1:18" ht="15.75" thickBot="1" x14ac:dyDescent="0.3">
      <c r="A147" s="175">
        <v>9009150900</v>
      </c>
      <c r="B147" s="200" t="s">
        <v>3008</v>
      </c>
      <c r="C147" s="93" t="s">
        <v>944</v>
      </c>
      <c r="D147" s="94">
        <f>Table325[[#This Row],[Residential CLM $ Collected]]+Table325[[#This Row],[C&amp;I CLM $ Collected]]</f>
        <v>231960.74220000001</v>
      </c>
      <c r="E147" s="95">
        <v>3.5558609023951327E-3</v>
      </c>
      <c r="F147" s="96">
        <f>Table325[[#This Row],[Residential Incentive Disbursements]]+Table325[[#This Row],[C&amp;I Incentive Disbursements]]</f>
        <v>850</v>
      </c>
      <c r="G147" s="95">
        <v>1.5582315782111714E-3</v>
      </c>
      <c r="H147" s="95" t="str">
        <f t="shared" si="2"/>
        <v>NO</v>
      </c>
      <c r="I147" s="97">
        <v>0</v>
      </c>
      <c r="J147" s="98">
        <v>3.5558609023951327E-3</v>
      </c>
      <c r="K147" s="99">
        <v>0</v>
      </c>
      <c r="L147" s="98">
        <v>1.5582315782111714E-3</v>
      </c>
      <c r="M147" s="97">
        <v>231960.74220000001</v>
      </c>
      <c r="N147" s="118">
        <v>3.5558609023951327E-3</v>
      </c>
      <c r="O147" s="99">
        <v>850</v>
      </c>
      <c r="P147" s="101">
        <v>1.5582315782111714E-3</v>
      </c>
      <c r="Q147" t="str">
        <f>VLOOKUP(Table325[[#This Row],[Census Tract]],'UI EnergyBurden'!$A$2:$B$184,2,FALSE)</f>
        <v>No</v>
      </c>
      <c r="R147">
        <f>VLOOKUP(Table325[[#This Row],[Census Tract]],'Population and Diversity Data'!B143:K964,10,FALSE)</f>
        <v>1</v>
      </c>
    </row>
    <row r="148" spans="1:18" ht="15.75" thickBot="1" x14ac:dyDescent="0.3">
      <c r="A148" s="175">
        <v>9009151000</v>
      </c>
      <c r="B148" s="200" t="s">
        <v>3008</v>
      </c>
      <c r="C148" s="93" t="s">
        <v>944</v>
      </c>
      <c r="D148" s="94">
        <f>Table325[[#This Row],[Residential CLM $ Collected]]+Table325[[#This Row],[C&amp;I CLM $ Collected]]</f>
        <v>3718.1469999999999</v>
      </c>
      <c r="E148" s="95">
        <v>2.9440101884148486E-6</v>
      </c>
      <c r="F148" s="96">
        <f>Table325[[#This Row],[Residential Incentive Disbursements]]+Table325[[#This Row],[C&amp;I Incentive Disbursements]]</f>
        <v>0</v>
      </c>
      <c r="G148" s="95">
        <v>0</v>
      </c>
      <c r="H148" s="95" t="str">
        <f t="shared" si="2"/>
        <v>N/A</v>
      </c>
      <c r="I148" s="97">
        <v>0</v>
      </c>
      <c r="J148" s="98">
        <v>2.9440101884148486E-6</v>
      </c>
      <c r="K148" s="99">
        <v>0</v>
      </c>
      <c r="L148" s="98">
        <v>0</v>
      </c>
      <c r="M148" s="97">
        <v>3718.1469999999999</v>
      </c>
      <c r="N148" s="118">
        <v>2.9440101884148486E-6</v>
      </c>
      <c r="O148" s="99">
        <v>0</v>
      </c>
      <c r="P148" s="101">
        <v>0</v>
      </c>
      <c r="Q148" t="str">
        <f>VLOOKUP(Table325[[#This Row],[Census Tract]],'UI EnergyBurden'!$A$2:$B$184,2,FALSE)</f>
        <v>No</v>
      </c>
      <c r="R148">
        <f>VLOOKUP(Table325[[#This Row],[Census Tract]],'Population and Diversity Data'!B144:K965,10,FALSE)</f>
        <v>3</v>
      </c>
    </row>
    <row r="149" spans="1:18" ht="15.75" thickBot="1" x14ac:dyDescent="0.3">
      <c r="A149" s="175">
        <v>9009151100</v>
      </c>
      <c r="B149" s="200" t="s">
        <v>3008</v>
      </c>
      <c r="C149" s="93" t="s">
        <v>944</v>
      </c>
      <c r="D149" s="94">
        <f>Table325[[#This Row],[Residential CLM $ Collected]]+Table325[[#This Row],[C&amp;I CLM $ Collected]]</f>
        <v>85261.554799999998</v>
      </c>
      <c r="E149" s="95">
        <v>2.639204337066789E-3</v>
      </c>
      <c r="F149" s="96">
        <f>Table325[[#This Row],[Residential Incentive Disbursements]]+Table325[[#This Row],[C&amp;I Incentive Disbursements]]</f>
        <v>153338.10999999999</v>
      </c>
      <c r="G149" s="95">
        <v>8.9349507462328168E-5</v>
      </c>
      <c r="H149" s="95" t="str">
        <f t="shared" si="2"/>
        <v>NO</v>
      </c>
      <c r="I149" s="97">
        <v>0</v>
      </c>
      <c r="J149" s="98">
        <v>2.639204337066789E-3</v>
      </c>
      <c r="K149" s="99">
        <v>0</v>
      </c>
      <c r="L149" s="98">
        <v>8.9349507462328168E-5</v>
      </c>
      <c r="M149" s="97">
        <v>85261.554799999998</v>
      </c>
      <c r="N149" s="118">
        <v>2.639204337066789E-3</v>
      </c>
      <c r="O149" s="99">
        <v>153338.10999999999</v>
      </c>
      <c r="P149" s="101">
        <v>8.9349507462328168E-5</v>
      </c>
      <c r="Q149" t="str">
        <f>VLOOKUP(Table325[[#This Row],[Census Tract]],'UI EnergyBurden'!$A$2:$B$184,2,FALSE)</f>
        <v>No</v>
      </c>
      <c r="R149">
        <f>VLOOKUP(Table325[[#This Row],[Census Tract]],'Population and Diversity Data'!B145:K966,10,FALSE)</f>
        <v>3</v>
      </c>
    </row>
    <row r="150" spans="1:18" ht="15.75" thickBot="1" x14ac:dyDescent="0.3">
      <c r="A150" s="175">
        <v>9009151200</v>
      </c>
      <c r="B150" s="200" t="s">
        <v>3008</v>
      </c>
      <c r="C150" s="93" t="s">
        <v>944</v>
      </c>
      <c r="D150" s="94">
        <f>Table325[[#This Row],[Residential CLM $ Collected]]+Table325[[#This Row],[C&amp;I CLM $ Collected]]</f>
        <v>24946.427899999999</v>
      </c>
      <c r="E150" s="95">
        <v>3.4564051816779969E-3</v>
      </c>
      <c r="F150" s="96">
        <f>Table325[[#This Row],[Residential Incentive Disbursements]]+Table325[[#This Row],[C&amp;I Incentive Disbursements]]</f>
        <v>37695</v>
      </c>
      <c r="G150" s="95">
        <v>3.2005332124525059E-3</v>
      </c>
      <c r="H150" s="95" t="str">
        <f t="shared" si="2"/>
        <v>NO</v>
      </c>
      <c r="I150" s="97">
        <v>0</v>
      </c>
      <c r="J150" s="98">
        <v>3.4564051816779969E-3</v>
      </c>
      <c r="K150" s="99">
        <v>0</v>
      </c>
      <c r="L150" s="98">
        <v>3.2005332124525059E-3</v>
      </c>
      <c r="M150" s="97">
        <v>24946.427899999999</v>
      </c>
      <c r="N150" s="118">
        <v>3.4564051816779969E-3</v>
      </c>
      <c r="O150" s="99">
        <v>37695</v>
      </c>
      <c r="P150" s="101">
        <v>3.2005332124525059E-3</v>
      </c>
      <c r="Q150" t="str">
        <f>VLOOKUP(Table325[[#This Row],[Census Tract]],'UI EnergyBurden'!$A$2:$B$184,2,FALSE)</f>
        <v>No</v>
      </c>
      <c r="R150">
        <f>VLOOKUP(Table325[[#This Row],[Census Tract]],'Population and Diversity Data'!B146:K967,10,FALSE)</f>
        <v>2</v>
      </c>
    </row>
    <row r="151" spans="1:18" ht="15.75" thickBot="1" x14ac:dyDescent="0.3">
      <c r="A151" s="175">
        <v>9009154100</v>
      </c>
      <c r="B151" s="200" t="s">
        <v>950</v>
      </c>
      <c r="C151" s="93" t="s">
        <v>944</v>
      </c>
      <c r="D151" s="94">
        <f>Table325[[#This Row],[Residential CLM $ Collected]]+Table325[[#This Row],[C&amp;I CLM $ Collected]]</f>
        <v>57891.270400000001</v>
      </c>
      <c r="E151" s="95">
        <v>5.1732458501931875E-3</v>
      </c>
      <c r="F151" s="96">
        <f>Table325[[#This Row],[Residential Incentive Disbursements]]+Table325[[#This Row],[C&amp;I Incentive Disbursements]]</f>
        <v>800</v>
      </c>
      <c r="G151" s="95">
        <v>4.0356971935859316E-3</v>
      </c>
      <c r="H151" s="95" t="str">
        <f t="shared" si="2"/>
        <v>NO</v>
      </c>
      <c r="I151" s="97">
        <v>1038.3493000000001</v>
      </c>
      <c r="J151" s="98">
        <v>5.1732458501931875E-3</v>
      </c>
      <c r="K151" s="99">
        <v>0</v>
      </c>
      <c r="L151" s="98">
        <v>4.0356971935859316E-3</v>
      </c>
      <c r="M151" s="97">
        <v>56852.9211</v>
      </c>
      <c r="N151" s="118">
        <v>5.1732458501931875E-3</v>
      </c>
      <c r="O151" s="99">
        <v>800</v>
      </c>
      <c r="P151" s="101">
        <v>4.0356971935859316E-3</v>
      </c>
      <c r="Q151" t="str">
        <f>VLOOKUP(Table325[[#This Row],[Census Tract]],'UI EnergyBurden'!$A$2:$B$184,2,FALSE)</f>
        <v>No</v>
      </c>
      <c r="R151">
        <f>VLOOKUP(Table325[[#This Row],[Census Tract]],'Population and Diversity Data'!B147:K968,10,FALSE)</f>
        <v>4</v>
      </c>
    </row>
    <row r="152" spans="1:18" ht="15.75" thickBot="1" x14ac:dyDescent="0.3">
      <c r="A152" s="175">
        <v>9009154200</v>
      </c>
      <c r="B152" s="200" t="s">
        <v>950</v>
      </c>
      <c r="C152" s="93" t="s">
        <v>944</v>
      </c>
      <c r="D152" s="94">
        <f>Table325[[#This Row],[Residential CLM $ Collected]]+Table325[[#This Row],[C&amp;I CLM $ Collected]]</f>
        <v>23658.1571</v>
      </c>
      <c r="E152" s="95">
        <v>3.8495650080727996E-6</v>
      </c>
      <c r="F152" s="96">
        <f>Table325[[#This Row],[Residential Incentive Disbursements]]+Table325[[#This Row],[C&amp;I Incentive Disbursements]]</f>
        <v>0</v>
      </c>
      <c r="G152" s="95">
        <v>0</v>
      </c>
      <c r="H152" s="95" t="str">
        <f t="shared" si="2"/>
        <v>N/A</v>
      </c>
      <c r="I152" s="97">
        <v>0</v>
      </c>
      <c r="J152" s="98">
        <v>3.8495650080727996E-6</v>
      </c>
      <c r="K152" s="99">
        <v>0</v>
      </c>
      <c r="L152" s="98">
        <v>0</v>
      </c>
      <c r="M152" s="97">
        <v>23658.1571</v>
      </c>
      <c r="N152" s="118">
        <v>3.8495650080727996E-6</v>
      </c>
      <c r="O152" s="99">
        <v>0</v>
      </c>
      <c r="P152" s="101">
        <v>0</v>
      </c>
      <c r="Q152" t="str">
        <f>VLOOKUP(Table325[[#This Row],[Census Tract]],'UI EnergyBurden'!$A$2:$B$184,2,FALSE)</f>
        <v>No</v>
      </c>
      <c r="R152">
        <f>VLOOKUP(Table325[[#This Row],[Census Tract]],'Population and Diversity Data'!B148:K969,10,FALSE)</f>
        <v>4</v>
      </c>
    </row>
    <row r="153" spans="1:18" ht="15.75" thickBot="1" x14ac:dyDescent="0.3">
      <c r="A153" s="175">
        <v>9009154500</v>
      </c>
      <c r="B153" s="200" t="s">
        <v>3019</v>
      </c>
      <c r="C153" s="93" t="s">
        <v>944</v>
      </c>
      <c r="D153" s="94">
        <f>Table325[[#This Row],[Residential CLM $ Collected]]+Table325[[#This Row],[C&amp;I CLM $ Collected]]</f>
        <v>0</v>
      </c>
      <c r="E153" s="95">
        <v>5.3486356802690677E-3</v>
      </c>
      <c r="F153" s="96">
        <f>Table325[[#This Row],[Residential Incentive Disbursements]]+Table325[[#This Row],[C&amp;I Incentive Disbursements]]</f>
        <v>50</v>
      </c>
      <c r="G153" s="95">
        <v>1.9788419621134938E-3</v>
      </c>
      <c r="H153" s="95" t="str">
        <f t="shared" si="2"/>
        <v>NO</v>
      </c>
      <c r="I153" s="97">
        <v>0</v>
      </c>
      <c r="J153" s="98">
        <v>5.3486356802690677E-3</v>
      </c>
      <c r="K153" s="99">
        <v>0</v>
      </c>
      <c r="L153" s="98">
        <v>1.9788419621134938E-3</v>
      </c>
      <c r="M153" s="97">
        <v>0</v>
      </c>
      <c r="N153" s="118">
        <v>5.3486356802690677E-3</v>
      </c>
      <c r="O153" s="99">
        <v>50</v>
      </c>
      <c r="P153" s="101">
        <v>1.9788419621134938E-3</v>
      </c>
      <c r="Q153" t="str">
        <f>VLOOKUP(Table325[[#This Row],[Census Tract]],'UI EnergyBurden'!$A$2:$B$184,2,FALSE)</f>
        <v>No</v>
      </c>
      <c r="R153">
        <f>VLOOKUP(Table325[[#This Row],[Census Tract]],'Population and Diversity Data'!B149:K970,10,FALSE)</f>
        <v>4</v>
      </c>
    </row>
    <row r="154" spans="1:18" ht="15.75" thickBot="1" x14ac:dyDescent="0.3">
      <c r="A154" s="175">
        <v>9009154500</v>
      </c>
      <c r="B154" s="200" t="s">
        <v>3025</v>
      </c>
      <c r="C154" s="93" t="s">
        <v>936</v>
      </c>
      <c r="D154" s="94">
        <f>Table325[[#This Row],[Residential CLM $ Collected]]+Table325[[#This Row],[C&amp;I CLM $ Collected]]</f>
        <v>4149.2298000000001</v>
      </c>
      <c r="E154" s="95">
        <v>5.5485356369758404E-3</v>
      </c>
      <c r="F154" s="96">
        <f>Table325[[#This Row],[Residential Incentive Disbursements]]+Table325[[#This Row],[C&amp;I Incentive Disbursements]]</f>
        <v>0</v>
      </c>
      <c r="G154" s="95">
        <v>2.5567651186170098E-3</v>
      </c>
      <c r="H154" s="95" t="str">
        <f t="shared" si="2"/>
        <v>NO</v>
      </c>
      <c r="I154" s="97">
        <v>0</v>
      </c>
      <c r="J154" s="98">
        <v>5.5485356369758404E-3</v>
      </c>
      <c r="K154" s="99">
        <v>0</v>
      </c>
      <c r="L154" s="98">
        <v>2.5567651186170098E-3</v>
      </c>
      <c r="M154" s="97">
        <v>4149.2298000000001</v>
      </c>
      <c r="N154" s="118">
        <v>5.5485356369758404E-3</v>
      </c>
      <c r="O154" s="99">
        <v>0</v>
      </c>
      <c r="P154" s="101">
        <v>2.5567651186170098E-3</v>
      </c>
      <c r="Q154" t="str">
        <f>VLOOKUP(Table325[[#This Row],[Census Tract]],'UI EnergyBurden'!$A$2:$B$184,2,FALSE)</f>
        <v>No</v>
      </c>
      <c r="R154">
        <f>VLOOKUP(Table325[[#This Row],[Census Tract]],'Population and Diversity Data'!B150:K971,10,FALSE)</f>
        <v>4</v>
      </c>
    </row>
    <row r="155" spans="1:18" ht="15.75" thickBot="1" x14ac:dyDescent="0.3">
      <c r="A155" s="175">
        <v>9009154500</v>
      </c>
      <c r="B155" s="200" t="s">
        <v>3023</v>
      </c>
      <c r="C155" s="93" t="s">
        <v>944</v>
      </c>
      <c r="D155" s="94">
        <f>Table325[[#This Row],[Residential CLM $ Collected]]+Table325[[#This Row],[C&amp;I CLM $ Collected]]</f>
        <v>0</v>
      </c>
      <c r="E155" s="95">
        <v>3.1902386818528571E-6</v>
      </c>
      <c r="F155" s="96">
        <f>Table325[[#This Row],[Residential Incentive Disbursements]]+Table325[[#This Row],[C&amp;I Incentive Disbursements]]</f>
        <v>2970</v>
      </c>
      <c r="G155" s="95">
        <v>0</v>
      </c>
      <c r="H155" s="95" t="str">
        <f t="shared" si="2"/>
        <v>N/A</v>
      </c>
      <c r="I155" s="97">
        <v>0</v>
      </c>
      <c r="J155" s="98">
        <v>3.1902386818528571E-6</v>
      </c>
      <c r="K155" s="99">
        <v>0</v>
      </c>
      <c r="L155" s="98">
        <v>0</v>
      </c>
      <c r="M155" s="97">
        <v>0</v>
      </c>
      <c r="N155" s="118">
        <v>3.1902386818528571E-6</v>
      </c>
      <c r="O155" s="99">
        <v>2970</v>
      </c>
      <c r="P155" s="101">
        <v>0</v>
      </c>
      <c r="Q155" t="str">
        <f>VLOOKUP(Table325[[#This Row],[Census Tract]],'UI EnergyBurden'!$A$2:$B$184,2,FALSE)</f>
        <v>No</v>
      </c>
      <c r="R155">
        <f>VLOOKUP(Table325[[#This Row],[Census Tract]],'Population and Diversity Data'!B151:K972,10,FALSE)</f>
        <v>4</v>
      </c>
    </row>
    <row r="156" spans="1:18" ht="15.75" thickBot="1" x14ac:dyDescent="0.3">
      <c r="A156" s="175">
        <v>9009154500</v>
      </c>
      <c r="B156" s="200" t="s">
        <v>950</v>
      </c>
      <c r="C156" s="93" t="s">
        <v>936</v>
      </c>
      <c r="D156" s="94">
        <f>Table325[[#This Row],[Residential CLM $ Collected]]+Table325[[#This Row],[C&amp;I CLM $ Collected]]</f>
        <v>4240.4471000000003</v>
      </c>
      <c r="E156" s="95">
        <v>5.0435226910568964E-6</v>
      </c>
      <c r="F156" s="96">
        <f>Table325[[#This Row],[Residential Incentive Disbursements]]+Table325[[#This Row],[C&amp;I Incentive Disbursements]]</f>
        <v>0</v>
      </c>
      <c r="G156" s="95">
        <v>0</v>
      </c>
      <c r="H156" s="95" t="str">
        <f t="shared" si="2"/>
        <v>NO</v>
      </c>
      <c r="I156" s="97">
        <v>0</v>
      </c>
      <c r="J156" s="98">
        <v>5.0435226910568964E-6</v>
      </c>
      <c r="K156" s="99">
        <v>0</v>
      </c>
      <c r="L156" s="98">
        <v>0</v>
      </c>
      <c r="M156" s="97">
        <v>4240.4471000000003</v>
      </c>
      <c r="N156" s="118">
        <v>5.0435226910568964E-6</v>
      </c>
      <c r="O156" s="99">
        <v>0</v>
      </c>
      <c r="P156" s="101">
        <v>0</v>
      </c>
      <c r="Q156" t="str">
        <f>VLOOKUP(Table325[[#This Row],[Census Tract]],'UI EnergyBurden'!$A$2:$B$184,2,FALSE)</f>
        <v>No</v>
      </c>
      <c r="R156">
        <f>VLOOKUP(Table325[[#This Row],[Census Tract]],'Population and Diversity Data'!B152:K973,10,FALSE)</f>
        <v>4</v>
      </c>
    </row>
    <row r="157" spans="1:18" ht="15.75" thickBot="1" x14ac:dyDescent="0.3">
      <c r="A157" s="175">
        <v>9009154600</v>
      </c>
      <c r="B157" s="200" t="s">
        <v>950</v>
      </c>
      <c r="C157" s="93" t="s">
        <v>944</v>
      </c>
      <c r="D157" s="94">
        <f>Table325[[#This Row],[Residential CLM $ Collected]]+Table325[[#This Row],[C&amp;I CLM $ Collected]]</f>
        <v>52236.260499999997</v>
      </c>
      <c r="E157" s="95">
        <v>3.6526859499701712E-3</v>
      </c>
      <c r="F157" s="96">
        <f>Table325[[#This Row],[Residential Incentive Disbursements]]+Table325[[#This Row],[C&amp;I Incentive Disbursements]]</f>
        <v>360</v>
      </c>
      <c r="G157" s="95">
        <v>1.8104488887387736E-3</v>
      </c>
      <c r="H157" s="95" t="str">
        <f t="shared" si="2"/>
        <v>NO</v>
      </c>
      <c r="I157" s="97">
        <v>0</v>
      </c>
      <c r="J157" s="98">
        <v>3.6526859499701712E-3</v>
      </c>
      <c r="K157" s="99">
        <v>0</v>
      </c>
      <c r="L157" s="98">
        <v>1.8104488887387736E-3</v>
      </c>
      <c r="M157" s="97">
        <v>52236.260499999997</v>
      </c>
      <c r="N157" s="118">
        <v>3.6526859499701712E-3</v>
      </c>
      <c r="O157" s="99">
        <v>360</v>
      </c>
      <c r="P157" s="101">
        <v>1.8104488887387736E-3</v>
      </c>
      <c r="Q157" t="str">
        <f>VLOOKUP(Table325[[#This Row],[Census Tract]],'UI EnergyBurden'!$A$2:$B$184,2,FALSE)</f>
        <v>No</v>
      </c>
      <c r="R157">
        <f>VLOOKUP(Table325[[#This Row],[Census Tract]],'Population and Diversity Data'!B153:K974,10,FALSE)</f>
        <v>5</v>
      </c>
    </row>
    <row r="158" spans="1:18" ht="15.75" thickBot="1" x14ac:dyDescent="0.3">
      <c r="A158" s="175">
        <v>9009154700</v>
      </c>
      <c r="B158" s="200" t="s">
        <v>950</v>
      </c>
      <c r="C158" s="93" t="s">
        <v>944</v>
      </c>
      <c r="D158" s="94">
        <f>Table325[[#This Row],[Residential CLM $ Collected]]+Table325[[#This Row],[C&amp;I CLM $ Collected]]</f>
        <v>321864.88760000002</v>
      </c>
      <c r="E158" s="95">
        <v>4.3470766204989223E-3</v>
      </c>
      <c r="F158" s="96">
        <f>Table325[[#This Row],[Residential Incentive Disbursements]]+Table325[[#This Row],[C&amp;I Incentive Disbursements]]</f>
        <v>13474</v>
      </c>
      <c r="G158" s="95">
        <v>2.4832753927625131E-3</v>
      </c>
      <c r="H158" s="95" t="str">
        <f t="shared" si="2"/>
        <v>NO</v>
      </c>
      <c r="I158" s="97">
        <v>0</v>
      </c>
      <c r="J158" s="98">
        <v>4.3470766204989223E-3</v>
      </c>
      <c r="K158" s="99">
        <v>0</v>
      </c>
      <c r="L158" s="98">
        <v>2.4832753927625131E-3</v>
      </c>
      <c r="M158" s="97">
        <v>321864.88760000002</v>
      </c>
      <c r="N158" s="118">
        <v>4.3470766204989223E-3</v>
      </c>
      <c r="O158" s="99">
        <v>13474</v>
      </c>
      <c r="P158" s="101">
        <v>2.4832753927625131E-3</v>
      </c>
      <c r="Q158" t="str">
        <f>VLOOKUP(Table325[[#This Row],[Census Tract]],'UI EnergyBurden'!$A$2:$B$184,2,FALSE)</f>
        <v>No</v>
      </c>
      <c r="R158">
        <f>VLOOKUP(Table325[[#This Row],[Census Tract]],'Population and Diversity Data'!B154:K975,10,FALSE)</f>
        <v>3</v>
      </c>
    </row>
    <row r="159" spans="1:18" ht="15.75" thickBot="1" x14ac:dyDescent="0.3">
      <c r="A159" s="175">
        <v>9009154800</v>
      </c>
      <c r="B159" s="200" t="s">
        <v>950</v>
      </c>
      <c r="C159" s="93" t="s">
        <v>944</v>
      </c>
      <c r="D159" s="94">
        <f>Table325[[#This Row],[Residential CLM $ Collected]]+Table325[[#This Row],[C&amp;I CLM $ Collected]]</f>
        <v>675.56370000000004</v>
      </c>
      <c r="E159" s="95">
        <v>2.1649475512373332E-6</v>
      </c>
      <c r="F159" s="96">
        <f>Table325[[#This Row],[Residential Incentive Disbursements]]+Table325[[#This Row],[C&amp;I Incentive Disbursements]]</f>
        <v>0</v>
      </c>
      <c r="G159" s="95">
        <v>0</v>
      </c>
      <c r="H159" s="95" t="str">
        <f t="shared" si="2"/>
        <v>N/A</v>
      </c>
      <c r="I159" s="97">
        <v>0</v>
      </c>
      <c r="J159" s="98">
        <v>2.1649475512373332E-6</v>
      </c>
      <c r="K159" s="99">
        <v>0</v>
      </c>
      <c r="L159" s="98">
        <v>0</v>
      </c>
      <c r="M159" s="97">
        <v>675.56370000000004</v>
      </c>
      <c r="N159" s="118">
        <v>2.1649475512373332E-6</v>
      </c>
      <c r="O159" s="99">
        <v>0</v>
      </c>
      <c r="P159" s="101">
        <v>0</v>
      </c>
      <c r="Q159" t="str">
        <f>VLOOKUP(Table325[[#This Row],[Census Tract]],'UI EnergyBurden'!$A$2:$B$184,2,FALSE)</f>
        <v>No</v>
      </c>
      <c r="R159">
        <f>VLOOKUP(Table325[[#This Row],[Census Tract]],'Population and Diversity Data'!B155:K976,10,FALSE)</f>
        <v>2</v>
      </c>
    </row>
    <row r="160" spans="1:18" ht="15.75" thickBot="1" x14ac:dyDescent="0.3">
      <c r="A160" s="175">
        <v>9009154900</v>
      </c>
      <c r="B160" s="200" t="s">
        <v>950</v>
      </c>
      <c r="C160" s="93" t="s">
        <v>944</v>
      </c>
      <c r="D160" s="94">
        <f>Table325[[#This Row],[Residential CLM $ Collected]]+Table325[[#This Row],[C&amp;I CLM $ Collected]]</f>
        <v>19853.538799999998</v>
      </c>
      <c r="E160" s="95">
        <v>2.5070231678202077E-5</v>
      </c>
      <c r="F160" s="96">
        <f>Table325[[#This Row],[Residential Incentive Disbursements]]+Table325[[#This Row],[C&amp;I Incentive Disbursements]]</f>
        <v>0</v>
      </c>
      <c r="G160" s="95">
        <v>0</v>
      </c>
      <c r="H160" s="95" t="str">
        <f t="shared" si="2"/>
        <v>NO</v>
      </c>
      <c r="I160" s="97">
        <v>0</v>
      </c>
      <c r="J160" s="98">
        <v>2.5070231678202077E-5</v>
      </c>
      <c r="K160" s="99">
        <v>0</v>
      </c>
      <c r="L160" s="98">
        <v>0</v>
      </c>
      <c r="M160" s="97">
        <v>19853.538799999998</v>
      </c>
      <c r="N160" s="118">
        <v>2.5070231678202077E-5</v>
      </c>
      <c r="O160" s="99">
        <v>0</v>
      </c>
      <c r="P160" s="101">
        <v>0</v>
      </c>
      <c r="Q160" t="str">
        <f>VLOOKUP(Table325[[#This Row],[Census Tract]],'UI EnergyBurden'!$A$2:$B$184,2,FALSE)</f>
        <v>No</v>
      </c>
      <c r="R160">
        <f>VLOOKUP(Table325[[#This Row],[Census Tract]],'Population and Diversity Data'!B156:K977,10,FALSE)</f>
        <v>2</v>
      </c>
    </row>
    <row r="161" spans="1:18" ht="15.75" thickBot="1" x14ac:dyDescent="0.3">
      <c r="A161" s="175">
        <v>9009155000</v>
      </c>
      <c r="B161" s="200" t="s">
        <v>950</v>
      </c>
      <c r="C161" s="93" t="s">
        <v>944</v>
      </c>
      <c r="D161" s="94">
        <f>Table325[[#This Row],[Residential CLM $ Collected]]+Table325[[#This Row],[C&amp;I CLM $ Collected]]</f>
        <v>27257.304800000002</v>
      </c>
      <c r="E161" s="95">
        <v>5.6863030391379682E-3</v>
      </c>
      <c r="F161" s="96">
        <f>Table325[[#This Row],[Residential Incentive Disbursements]]+Table325[[#This Row],[C&amp;I Incentive Disbursements]]</f>
        <v>0</v>
      </c>
      <c r="G161" s="95">
        <v>3.6278545112249138E-3</v>
      </c>
      <c r="H161" s="95" t="str">
        <f t="shared" si="2"/>
        <v>NO</v>
      </c>
      <c r="I161" s="97">
        <v>0</v>
      </c>
      <c r="J161" s="98">
        <v>5.6863030391379682E-3</v>
      </c>
      <c r="K161" s="99">
        <v>0</v>
      </c>
      <c r="L161" s="98">
        <v>3.6278545112249138E-3</v>
      </c>
      <c r="M161" s="97">
        <v>27257.304800000002</v>
      </c>
      <c r="N161" s="118">
        <v>5.6863030391379682E-3</v>
      </c>
      <c r="O161" s="99">
        <v>0</v>
      </c>
      <c r="P161" s="101">
        <v>3.6278545112249138E-3</v>
      </c>
      <c r="Q161" t="str">
        <f>VLOOKUP(Table325[[#This Row],[Census Tract]],'UI EnergyBurden'!$A$2:$B$184,2,FALSE)</f>
        <v>No</v>
      </c>
      <c r="R161">
        <f>VLOOKUP(Table325[[#This Row],[Census Tract]],'Population and Diversity Data'!B157:K978,10,FALSE)</f>
        <v>5</v>
      </c>
    </row>
    <row r="162" spans="1:18" ht="15.75" thickBot="1" x14ac:dyDescent="0.3">
      <c r="A162" s="175">
        <v>9009155100</v>
      </c>
      <c r="B162" s="200" t="s">
        <v>950</v>
      </c>
      <c r="C162" s="93" t="s">
        <v>936</v>
      </c>
      <c r="D162" s="94">
        <f>Table325[[#This Row],[Residential CLM $ Collected]]+Table325[[#This Row],[C&amp;I CLM $ Collected]]</f>
        <v>14796.650600000001</v>
      </c>
      <c r="E162" s="95">
        <v>5.5907149517770613E-5</v>
      </c>
      <c r="F162" s="96">
        <f>Table325[[#This Row],[Residential Incentive Disbursements]]+Table325[[#This Row],[C&amp;I Incentive Disbursements]]</f>
        <v>0</v>
      </c>
      <c r="G162" s="95">
        <v>0</v>
      </c>
      <c r="H162" s="95" t="str">
        <f t="shared" si="2"/>
        <v>NO</v>
      </c>
      <c r="I162" s="97">
        <v>6202.3136000000004</v>
      </c>
      <c r="J162" s="98">
        <v>5.5907149517770613E-5</v>
      </c>
      <c r="K162" s="99">
        <v>0</v>
      </c>
      <c r="L162" s="98">
        <v>0</v>
      </c>
      <c r="M162" s="97">
        <v>8594.3369999999995</v>
      </c>
      <c r="N162" s="118">
        <v>5.5907149517770613E-5</v>
      </c>
      <c r="O162" s="99">
        <v>0</v>
      </c>
      <c r="P162" s="101">
        <v>0</v>
      </c>
      <c r="Q162" t="str">
        <f>VLOOKUP(Table325[[#This Row],[Census Tract]],'UI EnergyBurden'!$A$2:$B$184,2,FALSE)</f>
        <v>No</v>
      </c>
      <c r="R162">
        <f>VLOOKUP(Table325[[#This Row],[Census Tract]],'Population and Diversity Data'!B158:K979,10,FALSE)</f>
        <v>4</v>
      </c>
    </row>
    <row r="163" spans="1:18" ht="15.75" thickBot="1" x14ac:dyDescent="0.3">
      <c r="A163" s="175">
        <v>9009157100</v>
      </c>
      <c r="B163" s="200" t="s">
        <v>3012</v>
      </c>
      <c r="C163" s="93" t="s">
        <v>944</v>
      </c>
      <c r="D163" s="94">
        <f>Table325[[#This Row],[Residential CLM $ Collected]]+Table325[[#This Row],[C&amp;I CLM $ Collected]]</f>
        <v>217387.0416</v>
      </c>
      <c r="E163" s="95">
        <v>3.9233572312504881E-3</v>
      </c>
      <c r="F163" s="96">
        <f>Table325[[#This Row],[Residential Incentive Disbursements]]+Table325[[#This Row],[C&amp;I Incentive Disbursements]]</f>
        <v>114872</v>
      </c>
      <c r="G163" s="95">
        <v>3.9223729055500303E-3</v>
      </c>
      <c r="H163" s="95" t="str">
        <f t="shared" si="2"/>
        <v>YES</v>
      </c>
      <c r="I163" s="97">
        <v>602.17309999999998</v>
      </c>
      <c r="J163" s="98">
        <v>3.9233572312504881E-3</v>
      </c>
      <c r="K163" s="99">
        <v>0</v>
      </c>
      <c r="L163" s="98">
        <v>3.9223729055500303E-3</v>
      </c>
      <c r="M163" s="97">
        <v>216784.86850000001</v>
      </c>
      <c r="N163" s="118">
        <v>3.9233572312504881E-3</v>
      </c>
      <c r="O163" s="99">
        <v>114872</v>
      </c>
      <c r="P163" s="101">
        <v>3.9223729055500303E-3</v>
      </c>
      <c r="Q163" t="str">
        <f>VLOOKUP(Table325[[#This Row],[Census Tract]],'UI EnergyBurden'!$A$2:$B$184,2,FALSE)</f>
        <v>No</v>
      </c>
      <c r="R163">
        <f>VLOOKUP(Table325[[#This Row],[Census Tract]],'Population and Diversity Data'!B159:K980,10,FALSE)</f>
        <v>5</v>
      </c>
    </row>
    <row r="164" spans="1:18" ht="15.75" thickBot="1" x14ac:dyDescent="0.3">
      <c r="A164" s="175">
        <v>9009157200</v>
      </c>
      <c r="B164" s="200" t="s">
        <v>3012</v>
      </c>
      <c r="C164" s="93" t="s">
        <v>944</v>
      </c>
      <c r="D164" s="94">
        <f>Table325[[#This Row],[Residential CLM $ Collected]]+Table325[[#This Row],[C&amp;I CLM $ Collected]]</f>
        <v>3565.3463999999999</v>
      </c>
      <c r="E164" s="95">
        <v>2.5279863003929773E-5</v>
      </c>
      <c r="F164" s="96">
        <f>Table325[[#This Row],[Residential Incentive Disbursements]]+Table325[[#This Row],[C&amp;I Incentive Disbursements]]</f>
        <v>0</v>
      </c>
      <c r="G164" s="95">
        <v>0</v>
      </c>
      <c r="H164" s="95" t="str">
        <f t="shared" si="2"/>
        <v>NO</v>
      </c>
      <c r="I164" s="97">
        <v>0</v>
      </c>
      <c r="J164" s="98">
        <v>2.5279863003929773E-5</v>
      </c>
      <c r="K164" s="99">
        <v>0</v>
      </c>
      <c r="L164" s="98">
        <v>0</v>
      </c>
      <c r="M164" s="97">
        <v>3565.3463999999999</v>
      </c>
      <c r="N164" s="118">
        <v>2.5279863003929773E-5</v>
      </c>
      <c r="O164" s="99">
        <v>0</v>
      </c>
      <c r="P164" s="101">
        <v>0</v>
      </c>
      <c r="Q164" t="str">
        <f>VLOOKUP(Table325[[#This Row],[Census Tract]],'UI EnergyBurden'!$A$2:$B$184,2,FALSE)</f>
        <v>No</v>
      </c>
      <c r="R164">
        <f>VLOOKUP(Table325[[#This Row],[Census Tract]],'Population and Diversity Data'!B160:K981,10,FALSE)</f>
        <v>2</v>
      </c>
    </row>
    <row r="165" spans="1:18" ht="15.75" thickBot="1" x14ac:dyDescent="0.3">
      <c r="A165" s="175">
        <v>9009157300</v>
      </c>
      <c r="B165" s="200" t="s">
        <v>3011</v>
      </c>
      <c r="C165" s="93" t="s">
        <v>944</v>
      </c>
      <c r="D165" s="94">
        <f>Table325[[#This Row],[Residential CLM $ Collected]]+Table325[[#This Row],[C&amp;I CLM $ Collected]]</f>
        <v>3201.6347000000001</v>
      </c>
      <c r="E165" s="95">
        <v>5.0872419562573538E-3</v>
      </c>
      <c r="F165" s="96">
        <f>Table325[[#This Row],[Residential Incentive Disbursements]]+Table325[[#This Row],[C&amp;I Incentive Disbursements]]</f>
        <v>0</v>
      </c>
      <c r="G165" s="95">
        <v>2.6612113573223403E-3</v>
      </c>
      <c r="H165" s="95" t="str">
        <f t="shared" si="2"/>
        <v>NO</v>
      </c>
      <c r="I165" s="97">
        <v>0</v>
      </c>
      <c r="J165" s="98">
        <v>5.0872419562573538E-3</v>
      </c>
      <c r="K165" s="99">
        <v>0</v>
      </c>
      <c r="L165" s="98">
        <v>2.6612113573223403E-3</v>
      </c>
      <c r="M165" s="97">
        <v>3201.6347000000001</v>
      </c>
      <c r="N165" s="118">
        <v>5.0872419562573538E-3</v>
      </c>
      <c r="O165" s="99">
        <v>0</v>
      </c>
      <c r="P165" s="101">
        <v>2.6612113573223403E-3</v>
      </c>
      <c r="Q165" t="str">
        <f>VLOOKUP(Table325[[#This Row],[Census Tract]],'UI EnergyBurden'!$A$2:$B$184,2,FALSE)</f>
        <v>No</v>
      </c>
      <c r="R165">
        <f>VLOOKUP(Table325[[#This Row],[Census Tract]],'Population and Diversity Data'!B161:K982,10,FALSE)</f>
        <v>3</v>
      </c>
    </row>
    <row r="166" spans="1:18" ht="15.75" thickBot="1" x14ac:dyDescent="0.3">
      <c r="A166" s="175">
        <v>9009157300</v>
      </c>
      <c r="B166" s="200" t="s">
        <v>3012</v>
      </c>
      <c r="C166" s="93" t="s">
        <v>944</v>
      </c>
      <c r="D166" s="94">
        <f>Table325[[#This Row],[Residential CLM $ Collected]]+Table325[[#This Row],[C&amp;I CLM $ Collected]]</f>
        <v>5578.9567999999999</v>
      </c>
      <c r="E166" s="95">
        <v>3.6705653399009477E-6</v>
      </c>
      <c r="F166" s="96">
        <f>Table325[[#This Row],[Residential Incentive Disbursements]]+Table325[[#This Row],[C&amp;I Incentive Disbursements]]</f>
        <v>1070</v>
      </c>
      <c r="G166" s="95">
        <v>0</v>
      </c>
      <c r="H166" s="95" t="str">
        <f t="shared" si="2"/>
        <v>N/A</v>
      </c>
      <c r="I166" s="97">
        <v>0</v>
      </c>
      <c r="J166" s="98">
        <v>3.6705653399009477E-6</v>
      </c>
      <c r="K166" s="99">
        <v>0</v>
      </c>
      <c r="L166" s="98">
        <v>0</v>
      </c>
      <c r="M166" s="97">
        <v>5578.9567999999999</v>
      </c>
      <c r="N166" s="118">
        <v>3.6705653399009477E-6</v>
      </c>
      <c r="O166" s="99">
        <v>1070</v>
      </c>
      <c r="P166" s="101">
        <v>0</v>
      </c>
      <c r="Q166" t="str">
        <f>VLOOKUP(Table325[[#This Row],[Census Tract]],'UI EnergyBurden'!$A$2:$B$184,2,FALSE)</f>
        <v>No</v>
      </c>
      <c r="R166">
        <f>VLOOKUP(Table325[[#This Row],[Census Tract]],'Population and Diversity Data'!B162:K983,10,FALSE)</f>
        <v>3</v>
      </c>
    </row>
    <row r="167" spans="1:18" ht="15.75" thickBot="1" x14ac:dyDescent="0.3">
      <c r="A167" s="175">
        <v>9009157400</v>
      </c>
      <c r="B167" s="200" t="s">
        <v>3012</v>
      </c>
      <c r="C167" s="93" t="s">
        <v>944</v>
      </c>
      <c r="D167" s="94">
        <f>Table325[[#This Row],[Residential CLM $ Collected]]+Table325[[#This Row],[C&amp;I CLM $ Collected]]</f>
        <v>5794.7875999999997</v>
      </c>
      <c r="E167" s="95">
        <v>1.8395592122242285E-6</v>
      </c>
      <c r="F167" s="96">
        <f>Table325[[#This Row],[Residential Incentive Disbursements]]+Table325[[#This Row],[C&amp;I Incentive Disbursements]]</f>
        <v>0</v>
      </c>
      <c r="G167" s="95">
        <v>5.6984744094189124E-6</v>
      </c>
      <c r="H167" s="95" t="str">
        <f t="shared" si="2"/>
        <v>N/A</v>
      </c>
      <c r="I167" s="97">
        <v>0</v>
      </c>
      <c r="J167" s="98">
        <v>1.8395592122242285E-6</v>
      </c>
      <c r="K167" s="99">
        <v>0</v>
      </c>
      <c r="L167" s="98">
        <v>5.6984744094189124E-6</v>
      </c>
      <c r="M167" s="97">
        <v>5794.7875999999997</v>
      </c>
      <c r="N167" s="118">
        <v>1.8395592122242285E-6</v>
      </c>
      <c r="O167" s="99">
        <v>0</v>
      </c>
      <c r="P167" s="101">
        <v>5.6984744094189124E-6</v>
      </c>
      <c r="Q167" t="str">
        <f>VLOOKUP(Table325[[#This Row],[Census Tract]],'UI EnergyBurden'!$A$2:$B$184,2,FALSE)</f>
        <v>No</v>
      </c>
      <c r="R167">
        <f>VLOOKUP(Table325[[#This Row],[Census Tract]],'Population and Diversity Data'!B163:K984,10,FALSE)</f>
        <v>3</v>
      </c>
    </row>
    <row r="168" spans="1:18" ht="15.75" thickBot="1" x14ac:dyDescent="0.3">
      <c r="A168" s="175">
        <v>9009160100</v>
      </c>
      <c r="B168" s="200" t="s">
        <v>3014</v>
      </c>
      <c r="C168" s="93" t="s">
        <v>944</v>
      </c>
      <c r="D168" s="94">
        <f>Table325[[#This Row],[Residential CLM $ Collected]]+Table325[[#This Row],[C&amp;I CLM $ Collected]]</f>
        <v>8585.7708999999995</v>
      </c>
      <c r="E168" s="95">
        <v>5.5851385193424856E-3</v>
      </c>
      <c r="F168" s="96">
        <f>Table325[[#This Row],[Residential Incentive Disbursements]]+Table325[[#This Row],[C&amp;I Incentive Disbursements]]</f>
        <v>0</v>
      </c>
      <c r="G168" s="95">
        <v>2.4187559727179547E-3</v>
      </c>
      <c r="H168" s="95" t="str">
        <f t="shared" si="2"/>
        <v>NO</v>
      </c>
      <c r="I168" s="97">
        <v>0</v>
      </c>
      <c r="J168" s="98">
        <v>5.5851385193424856E-3</v>
      </c>
      <c r="K168" s="99">
        <v>0</v>
      </c>
      <c r="L168" s="98">
        <v>2.4187559727179547E-3</v>
      </c>
      <c r="M168" s="97">
        <v>8585.7708999999995</v>
      </c>
      <c r="N168" s="118">
        <v>5.5851385193424856E-3</v>
      </c>
      <c r="O168" s="99">
        <v>0</v>
      </c>
      <c r="P168" s="101">
        <v>2.4187559727179547E-3</v>
      </c>
      <c r="Q168" t="str">
        <f>VLOOKUP(Table325[[#This Row],[Census Tract]],'UI EnergyBurden'!$A$2:$B$184,2,FALSE)</f>
        <v>No</v>
      </c>
      <c r="R168">
        <f>VLOOKUP(Table325[[#This Row],[Census Tract]],'Population and Diversity Data'!B164:K985,10,FALSE)</f>
        <v>5</v>
      </c>
    </row>
    <row r="169" spans="1:18" ht="15.75" thickBot="1" x14ac:dyDescent="0.3">
      <c r="A169" s="175">
        <v>9009160200</v>
      </c>
      <c r="B169" s="200" t="s">
        <v>3014</v>
      </c>
      <c r="C169" s="93" t="s">
        <v>944</v>
      </c>
      <c r="D169" s="94">
        <f>Table325[[#This Row],[Residential CLM $ Collected]]+Table325[[#This Row],[C&amp;I CLM $ Collected]]</f>
        <v>50736.268400000001</v>
      </c>
      <c r="E169" s="95">
        <v>1.5036453215964113E-7</v>
      </c>
      <c r="F169" s="96">
        <f>Table325[[#This Row],[Residential Incentive Disbursements]]+Table325[[#This Row],[C&amp;I Incentive Disbursements]]</f>
        <v>728</v>
      </c>
      <c r="G169" s="95">
        <v>0</v>
      </c>
      <c r="H169" s="95" t="str">
        <f t="shared" si="2"/>
        <v>N/A</v>
      </c>
      <c r="I169" s="97">
        <v>0</v>
      </c>
      <c r="J169" s="98">
        <v>1.5036453215964113E-7</v>
      </c>
      <c r="K169" s="99">
        <v>0</v>
      </c>
      <c r="L169" s="98">
        <v>0</v>
      </c>
      <c r="M169" s="97">
        <v>50736.268400000001</v>
      </c>
      <c r="N169" s="118">
        <v>1.5036453215964113E-7</v>
      </c>
      <c r="O169" s="99">
        <v>728</v>
      </c>
      <c r="P169" s="101">
        <v>0</v>
      </c>
      <c r="Q169" t="str">
        <f>VLOOKUP(Table325[[#This Row],[Census Tract]],'UI EnergyBurden'!$A$2:$B$184,2,FALSE)</f>
        <v>No</v>
      </c>
      <c r="R169">
        <f>VLOOKUP(Table325[[#This Row],[Census Tract]],'Population and Diversity Data'!B165:K986,10,FALSE)</f>
        <v>4</v>
      </c>
    </row>
    <row r="170" spans="1:18" ht="15.75" thickBot="1" x14ac:dyDescent="0.3">
      <c r="A170" s="175">
        <v>9009165100</v>
      </c>
      <c r="B170" s="200" t="s">
        <v>953</v>
      </c>
      <c r="C170" s="93" t="s">
        <v>944</v>
      </c>
      <c r="D170" s="94">
        <f>Table325[[#This Row],[Residential CLM $ Collected]]+Table325[[#This Row],[C&amp;I CLM $ Collected]]</f>
        <v>45742.0052</v>
      </c>
      <c r="E170" s="95">
        <v>2.6728920539986082E-3</v>
      </c>
      <c r="F170" s="96">
        <f>Table325[[#This Row],[Residential Incentive Disbursements]]+Table325[[#This Row],[C&amp;I Incentive Disbursements]]</f>
        <v>8424</v>
      </c>
      <c r="G170" s="95">
        <v>2.2148048713828109E-3</v>
      </c>
      <c r="H170" s="95" t="str">
        <f t="shared" si="2"/>
        <v>NO</v>
      </c>
      <c r="I170" s="97">
        <v>0</v>
      </c>
      <c r="J170" s="98">
        <v>2.6728920539986082E-3</v>
      </c>
      <c r="K170" s="99">
        <v>0</v>
      </c>
      <c r="L170" s="98">
        <v>2.2148048713828109E-3</v>
      </c>
      <c r="M170" s="97">
        <v>45742.0052</v>
      </c>
      <c r="N170" s="118">
        <v>2.6728920539986082E-3</v>
      </c>
      <c r="O170" s="99">
        <v>8424</v>
      </c>
      <c r="P170" s="101">
        <v>2.2148048713828109E-3</v>
      </c>
      <c r="Q170" t="str">
        <f>VLOOKUP(Table325[[#This Row],[Census Tract]],'UI EnergyBurden'!$A$2:$B$184,2,FALSE)</f>
        <v>No</v>
      </c>
      <c r="R170">
        <f>VLOOKUP(Table325[[#This Row],[Census Tract]],'Population and Diversity Data'!B166:K987,10,FALSE)</f>
        <v>5</v>
      </c>
    </row>
    <row r="171" spans="1:18" ht="15.75" thickBot="1" x14ac:dyDescent="0.3">
      <c r="A171" s="175">
        <v>9009165200</v>
      </c>
      <c r="B171" s="200" t="s">
        <v>953</v>
      </c>
      <c r="C171" s="93" t="s">
        <v>944</v>
      </c>
      <c r="D171" s="94">
        <f>Table325[[#This Row],[Residential CLM $ Collected]]+Table325[[#This Row],[C&amp;I CLM $ Collected]]</f>
        <v>5316.3019000000004</v>
      </c>
      <c r="E171" s="95">
        <v>2.5002607672251726E-5</v>
      </c>
      <c r="F171" s="96">
        <f>Table325[[#This Row],[Residential Incentive Disbursements]]+Table325[[#This Row],[C&amp;I Incentive Disbursements]]</f>
        <v>595</v>
      </c>
      <c r="G171" s="95">
        <v>0</v>
      </c>
      <c r="H171" s="95" t="str">
        <f t="shared" si="2"/>
        <v>NO</v>
      </c>
      <c r="I171" s="97">
        <v>1504.854</v>
      </c>
      <c r="J171" s="98">
        <v>2.5002607672251726E-5</v>
      </c>
      <c r="K171" s="99">
        <v>0</v>
      </c>
      <c r="L171" s="98">
        <v>0</v>
      </c>
      <c r="M171" s="97">
        <v>3811.4479000000001</v>
      </c>
      <c r="N171" s="118">
        <v>2.5002607672251726E-5</v>
      </c>
      <c r="O171" s="99">
        <v>595</v>
      </c>
      <c r="P171" s="101">
        <v>0</v>
      </c>
      <c r="Q171" t="str">
        <f>VLOOKUP(Table325[[#This Row],[Census Tract]],'UI EnergyBurden'!$A$2:$B$184,2,FALSE)</f>
        <v>No</v>
      </c>
      <c r="R171">
        <f>VLOOKUP(Table325[[#This Row],[Census Tract]],'Population and Diversity Data'!B167:K988,10,FALSE)</f>
        <v>3</v>
      </c>
    </row>
    <row r="172" spans="1:18" ht="15.75" thickBot="1" x14ac:dyDescent="0.3">
      <c r="A172" s="175">
        <v>9009165300</v>
      </c>
      <c r="B172" s="200" t="s">
        <v>953</v>
      </c>
      <c r="C172" s="93" t="s">
        <v>944</v>
      </c>
      <c r="D172" s="94">
        <f>Table325[[#This Row],[Residential CLM $ Collected]]+Table325[[#This Row],[C&amp;I CLM $ Collected]]</f>
        <v>31918.416300000001</v>
      </c>
      <c r="E172" s="95">
        <v>4.4774590887796707E-3</v>
      </c>
      <c r="F172" s="96">
        <f>Table325[[#This Row],[Residential Incentive Disbursements]]+Table325[[#This Row],[C&amp;I Incentive Disbursements]]</f>
        <v>46563</v>
      </c>
      <c r="G172" s="95">
        <v>1.7004642852559582E-3</v>
      </c>
      <c r="H172" s="95" t="str">
        <f t="shared" si="2"/>
        <v>NO</v>
      </c>
      <c r="I172" s="97">
        <v>0</v>
      </c>
      <c r="J172" s="98">
        <v>4.4774590887796707E-3</v>
      </c>
      <c r="K172" s="99">
        <v>0</v>
      </c>
      <c r="L172" s="98">
        <v>1.7004642852559582E-3</v>
      </c>
      <c r="M172" s="97">
        <v>31918.416300000001</v>
      </c>
      <c r="N172" s="118">
        <v>4.4774590887796707E-3</v>
      </c>
      <c r="O172" s="99">
        <v>46563</v>
      </c>
      <c r="P172" s="101">
        <v>1.7004642852559582E-3</v>
      </c>
      <c r="Q172" t="str">
        <f>VLOOKUP(Table325[[#This Row],[Census Tract]],'UI EnergyBurden'!$A$2:$B$184,2,FALSE)</f>
        <v>No</v>
      </c>
      <c r="R172">
        <f>VLOOKUP(Table325[[#This Row],[Census Tract]],'Population and Diversity Data'!B168:K989,10,FALSE)</f>
        <v>2</v>
      </c>
    </row>
    <row r="173" spans="1:18" ht="15.75" thickBot="1" x14ac:dyDescent="0.3">
      <c r="A173" s="175">
        <v>9009165400</v>
      </c>
      <c r="B173" s="200" t="s">
        <v>953</v>
      </c>
      <c r="C173" s="93" t="s">
        <v>944</v>
      </c>
      <c r="D173" s="94">
        <f>Table325[[#This Row],[Residential CLM $ Collected]]+Table325[[#This Row],[C&amp;I CLM $ Collected]]</f>
        <v>107930.2703</v>
      </c>
      <c r="E173" s="95">
        <v>0</v>
      </c>
      <c r="F173" s="96">
        <f>Table325[[#This Row],[Residential Incentive Disbursements]]+Table325[[#This Row],[C&amp;I Incentive Disbursements]]</f>
        <v>8117.9</v>
      </c>
      <c r="G173" s="95">
        <v>1.4579624748103431E-3</v>
      </c>
      <c r="H173" s="95" t="str">
        <f t="shared" si="2"/>
        <v>N/A</v>
      </c>
      <c r="I173" s="97">
        <v>7557.6082999999999</v>
      </c>
      <c r="J173" s="98">
        <v>0</v>
      </c>
      <c r="K173" s="99">
        <v>0</v>
      </c>
      <c r="L173" s="98">
        <v>1.4579624748103431E-3</v>
      </c>
      <c r="M173" s="97">
        <v>100372.662</v>
      </c>
      <c r="N173" s="118">
        <v>0</v>
      </c>
      <c r="O173" s="99">
        <v>8117.9</v>
      </c>
      <c r="P173" s="101">
        <v>1.4579624748103431E-3</v>
      </c>
      <c r="Q173" t="str">
        <f>VLOOKUP(Table325[[#This Row],[Census Tract]],'UI EnergyBurden'!$A$2:$B$184,2,FALSE)</f>
        <v>No</v>
      </c>
      <c r="R173">
        <f>VLOOKUP(Table325[[#This Row],[Census Tract]],'Population and Diversity Data'!B169:K990,10,FALSE)</f>
        <v>3</v>
      </c>
    </row>
    <row r="174" spans="1:18" ht="15.75" thickBot="1" x14ac:dyDescent="0.3">
      <c r="A174" s="175">
        <v>9009165400</v>
      </c>
      <c r="B174" s="200" t="s">
        <v>943</v>
      </c>
      <c r="C174" s="93" t="s">
        <v>944</v>
      </c>
      <c r="D174" s="94">
        <f>Table325[[#This Row],[Residential CLM $ Collected]]+Table325[[#This Row],[C&amp;I CLM $ Collected]]</f>
        <v>2886.0785000000001</v>
      </c>
      <c r="E174" s="95">
        <v>3.7517931075784269E-3</v>
      </c>
      <c r="F174" s="96">
        <f>Table325[[#This Row],[Residential Incentive Disbursements]]+Table325[[#This Row],[C&amp;I Incentive Disbursements]]</f>
        <v>0</v>
      </c>
      <c r="G174" s="95">
        <v>0</v>
      </c>
      <c r="H174" s="95" t="str">
        <f t="shared" si="2"/>
        <v>NO</v>
      </c>
      <c r="I174" s="97">
        <v>0</v>
      </c>
      <c r="J174" s="98">
        <v>3.7517931075784269E-3</v>
      </c>
      <c r="K174" s="99">
        <v>0</v>
      </c>
      <c r="L174" s="98">
        <v>0</v>
      </c>
      <c r="M174" s="97">
        <v>2886.0785000000001</v>
      </c>
      <c r="N174" s="118">
        <v>3.7517931075784269E-3</v>
      </c>
      <c r="O174" s="99">
        <v>0</v>
      </c>
      <c r="P174" s="101">
        <v>0</v>
      </c>
      <c r="Q174" t="str">
        <f>VLOOKUP(Table325[[#This Row],[Census Tract]],'UI EnergyBurden'!$A$2:$B$184,2,FALSE)</f>
        <v>No</v>
      </c>
      <c r="R174">
        <f>VLOOKUP(Table325[[#This Row],[Census Tract]],'Population and Diversity Data'!B170:K991,10,FALSE)</f>
        <v>3</v>
      </c>
    </row>
    <row r="175" spans="1:18" ht="15.75" thickBot="1" x14ac:dyDescent="0.3">
      <c r="A175" s="175">
        <v>9009165500</v>
      </c>
      <c r="B175" s="200" t="s">
        <v>3017</v>
      </c>
      <c r="C175" s="93" t="s">
        <v>944</v>
      </c>
      <c r="D175" s="94">
        <f>Table325[[#This Row],[Residential CLM $ Collected]]+Table325[[#This Row],[C&amp;I CLM $ Collected]]</f>
        <v>0</v>
      </c>
      <c r="E175" s="95">
        <v>0</v>
      </c>
      <c r="F175" s="96">
        <f>Table325[[#This Row],[Residential Incentive Disbursements]]+Table325[[#This Row],[C&amp;I Incentive Disbursements]]</f>
        <v>830</v>
      </c>
      <c r="G175" s="95">
        <v>1.4880077317262672E-5</v>
      </c>
      <c r="H175" s="95" t="str">
        <f t="shared" si="2"/>
        <v>N/A</v>
      </c>
      <c r="I175" s="97">
        <v>0</v>
      </c>
      <c r="J175" s="98">
        <v>0</v>
      </c>
      <c r="K175" s="99">
        <v>0</v>
      </c>
      <c r="L175" s="98">
        <v>1.4880077317262672E-5</v>
      </c>
      <c r="M175" s="97">
        <v>0</v>
      </c>
      <c r="N175" s="118">
        <v>0</v>
      </c>
      <c r="O175" s="99">
        <v>830</v>
      </c>
      <c r="P175" s="101">
        <v>1.4880077317262672E-5</v>
      </c>
      <c r="Q175" t="str">
        <f>VLOOKUP(Table325[[#This Row],[Census Tract]],'UI EnergyBurden'!$A$2:$B$184,2,FALSE)</f>
        <v>Yes</v>
      </c>
      <c r="R175">
        <f>VLOOKUP(Table325[[#This Row],[Census Tract]],'Population and Diversity Data'!B171:K992,10,FALSE)</f>
        <v>4</v>
      </c>
    </row>
    <row r="176" spans="1:18" ht="15.75" thickBot="1" x14ac:dyDescent="0.3">
      <c r="A176" s="175">
        <v>9009165500</v>
      </c>
      <c r="B176" s="200" t="s">
        <v>953</v>
      </c>
      <c r="C176" s="93" t="s">
        <v>936</v>
      </c>
      <c r="D176" s="94">
        <f>Table325[[#This Row],[Residential CLM $ Collected]]+Table325[[#This Row],[C&amp;I CLM $ Collected]]</f>
        <v>16559.529200000001</v>
      </c>
      <c r="E176" s="95">
        <v>1.9440665241910859E-3</v>
      </c>
      <c r="F176" s="96">
        <f>Table325[[#This Row],[Residential Incentive Disbursements]]+Table325[[#This Row],[C&amp;I Incentive Disbursements]]</f>
        <v>0</v>
      </c>
      <c r="G176" s="95">
        <v>1.166560563878554E-3</v>
      </c>
      <c r="H176" s="95" t="str">
        <f t="shared" si="2"/>
        <v>NO</v>
      </c>
      <c r="I176" s="97">
        <v>0</v>
      </c>
      <c r="J176" s="98">
        <v>1.9440665241910859E-3</v>
      </c>
      <c r="K176" s="99">
        <v>0</v>
      </c>
      <c r="L176" s="98">
        <v>1.166560563878554E-3</v>
      </c>
      <c r="M176" s="97">
        <v>16559.529200000001</v>
      </c>
      <c r="N176" s="118">
        <v>1.9440665241910859E-3</v>
      </c>
      <c r="O176" s="99">
        <v>0</v>
      </c>
      <c r="P176" s="101">
        <v>1.166560563878554E-3</v>
      </c>
      <c r="Q176" t="str">
        <f>VLOOKUP(Table325[[#This Row],[Census Tract]],'UI EnergyBurden'!$A$2:$B$184,2,FALSE)</f>
        <v>Yes</v>
      </c>
      <c r="R176">
        <f>VLOOKUP(Table325[[#This Row],[Census Tract]],'Population and Diversity Data'!B172:K993,10,FALSE)</f>
        <v>4</v>
      </c>
    </row>
    <row r="177" spans="1:18" ht="15.75" thickBot="1" x14ac:dyDescent="0.3">
      <c r="A177" s="175">
        <v>9009165600</v>
      </c>
      <c r="B177" s="200" t="s">
        <v>953</v>
      </c>
      <c r="C177" s="93" t="s">
        <v>944</v>
      </c>
      <c r="D177" s="94">
        <f>Table325[[#This Row],[Residential CLM $ Collected]]+Table325[[#This Row],[C&amp;I CLM $ Collected]]</f>
        <v>19896.485000000001</v>
      </c>
      <c r="E177" s="95">
        <v>7.7932105098144223E-6</v>
      </c>
      <c r="F177" s="96">
        <f>Table325[[#This Row],[Residential Incentive Disbursements]]+Table325[[#This Row],[C&amp;I Incentive Disbursements]]</f>
        <v>28247</v>
      </c>
      <c r="G177" s="95">
        <v>0</v>
      </c>
      <c r="H177" s="95" t="str">
        <f t="shared" si="2"/>
        <v>NO</v>
      </c>
      <c r="I177" s="97">
        <v>2069.29</v>
      </c>
      <c r="J177" s="98">
        <v>7.7932105098144223E-6</v>
      </c>
      <c r="K177" s="99">
        <v>0</v>
      </c>
      <c r="L177" s="98">
        <v>0</v>
      </c>
      <c r="M177" s="97">
        <v>17827.195</v>
      </c>
      <c r="N177" s="118">
        <v>7.7932105098144223E-6</v>
      </c>
      <c r="O177" s="99">
        <v>28247</v>
      </c>
      <c r="P177" s="101">
        <v>0</v>
      </c>
      <c r="Q177" t="str">
        <f>VLOOKUP(Table325[[#This Row],[Census Tract]],'UI EnergyBurden'!$A$2:$B$184,2,FALSE)</f>
        <v>No</v>
      </c>
      <c r="R177">
        <f>VLOOKUP(Table325[[#This Row],[Census Tract]],'Population and Diversity Data'!B173:K994,10,FALSE)</f>
        <v>5</v>
      </c>
    </row>
    <row r="178" spans="1:18" ht="15.75" thickBot="1" x14ac:dyDescent="0.3">
      <c r="A178" s="175">
        <v>9009165700</v>
      </c>
      <c r="B178" s="200" t="s">
        <v>953</v>
      </c>
      <c r="C178" s="93" t="s">
        <v>944</v>
      </c>
      <c r="D178" s="94">
        <f>Table325[[#This Row],[Residential CLM $ Collected]]+Table325[[#This Row],[C&amp;I CLM $ Collected]]</f>
        <v>25404.7137</v>
      </c>
      <c r="E178" s="95">
        <v>5.1950796379766766E-6</v>
      </c>
      <c r="F178" s="96">
        <f>Table325[[#This Row],[Residential Incentive Disbursements]]+Table325[[#This Row],[C&amp;I Incentive Disbursements]]</f>
        <v>0</v>
      </c>
      <c r="G178" s="95">
        <v>0</v>
      </c>
      <c r="H178" s="95" t="str">
        <f t="shared" si="2"/>
        <v>NO</v>
      </c>
      <c r="I178" s="97">
        <v>0</v>
      </c>
      <c r="J178" s="98">
        <v>5.1950796379766766E-6</v>
      </c>
      <c r="K178" s="99">
        <v>0</v>
      </c>
      <c r="L178" s="98">
        <v>0</v>
      </c>
      <c r="M178" s="97">
        <v>25404.7137</v>
      </c>
      <c r="N178" s="118">
        <v>5.1950796379766766E-6</v>
      </c>
      <c r="O178" s="99">
        <v>0</v>
      </c>
      <c r="P178" s="101">
        <v>0</v>
      </c>
      <c r="Q178" t="str">
        <f>VLOOKUP(Table325[[#This Row],[Census Tract]],'UI EnergyBurden'!$A$2:$B$184,2,FALSE)</f>
        <v>No</v>
      </c>
      <c r="R178">
        <f>VLOOKUP(Table325[[#This Row],[Census Tract]],'Population and Diversity Data'!B174:K995,10,FALSE)</f>
        <v>4</v>
      </c>
    </row>
    <row r="179" spans="1:18" ht="15.75" thickBot="1" x14ac:dyDescent="0.3">
      <c r="A179" s="175">
        <v>9009165801</v>
      </c>
      <c r="B179" s="200" t="s">
        <v>953</v>
      </c>
      <c r="C179" s="93" t="s">
        <v>944</v>
      </c>
      <c r="D179" s="94">
        <f>Table325[[#This Row],[Residential CLM $ Collected]]+Table325[[#This Row],[C&amp;I CLM $ Collected]]</f>
        <v>115079.54239999999</v>
      </c>
      <c r="E179" s="95">
        <v>2.1378185690849752E-5</v>
      </c>
      <c r="F179" s="96">
        <f>Table325[[#This Row],[Residential Incentive Disbursements]]+Table325[[#This Row],[C&amp;I Incentive Disbursements]]</f>
        <v>147584.07</v>
      </c>
      <c r="G179" s="95">
        <v>0</v>
      </c>
      <c r="H179" s="95" t="str">
        <f t="shared" si="2"/>
        <v>NO</v>
      </c>
      <c r="I179" s="97">
        <v>5634.5207</v>
      </c>
      <c r="J179" s="98">
        <v>2.1378185690849752E-5</v>
      </c>
      <c r="K179" s="99">
        <v>0</v>
      </c>
      <c r="L179" s="98">
        <v>0</v>
      </c>
      <c r="M179" s="97">
        <v>109445.0217</v>
      </c>
      <c r="N179" s="118">
        <v>2.1378185690849752E-5</v>
      </c>
      <c r="O179" s="99">
        <v>147584.07</v>
      </c>
      <c r="P179" s="101">
        <v>0</v>
      </c>
      <c r="Q179" t="str">
        <f>VLOOKUP(Table325[[#This Row],[Census Tract]],'UI EnergyBurden'!$A$2:$B$184,2,FALSE)</f>
        <v>No</v>
      </c>
      <c r="R179">
        <f>VLOOKUP(Table325[[#This Row],[Census Tract]],'Population and Diversity Data'!B175:K996,10,FALSE)</f>
        <v>4</v>
      </c>
    </row>
    <row r="180" spans="1:18" ht="15.75" thickBot="1" x14ac:dyDescent="0.3">
      <c r="A180" s="175">
        <v>9009165802</v>
      </c>
      <c r="B180" s="200" t="s">
        <v>953</v>
      </c>
      <c r="C180" s="93" t="s">
        <v>944</v>
      </c>
      <c r="D180" s="94">
        <f>Table325[[#This Row],[Residential CLM $ Collected]]+Table325[[#This Row],[C&amp;I CLM $ Collected]]</f>
        <v>4752.5604000000003</v>
      </c>
      <c r="E180" s="95">
        <v>4.4052749588965844E-6</v>
      </c>
      <c r="F180" s="96">
        <f>Table325[[#This Row],[Residential Incentive Disbursements]]+Table325[[#This Row],[C&amp;I Incentive Disbursements]]</f>
        <v>0</v>
      </c>
      <c r="G180" s="95">
        <v>0</v>
      </c>
      <c r="H180" s="95" t="str">
        <f t="shared" si="2"/>
        <v>N/A</v>
      </c>
      <c r="I180" s="97">
        <v>0</v>
      </c>
      <c r="J180" s="98">
        <v>4.4052749588965844E-6</v>
      </c>
      <c r="K180" s="99">
        <v>0</v>
      </c>
      <c r="L180" s="98">
        <v>0</v>
      </c>
      <c r="M180" s="97">
        <v>4752.5604000000003</v>
      </c>
      <c r="N180" s="118">
        <v>4.4052749588965844E-6</v>
      </c>
      <c r="O180" s="99">
        <v>0</v>
      </c>
      <c r="P180" s="101">
        <v>0</v>
      </c>
      <c r="Q180" t="str">
        <f>VLOOKUP(Table325[[#This Row],[Census Tract]],'UI EnergyBurden'!$A$2:$B$184,2,FALSE)</f>
        <v>No</v>
      </c>
      <c r="R180">
        <f>VLOOKUP(Table325[[#This Row],[Census Tract]],'Population and Diversity Data'!B176:K997,10,FALSE)</f>
        <v>3</v>
      </c>
    </row>
    <row r="181" spans="1:18" ht="15.75" thickBot="1" x14ac:dyDescent="0.3">
      <c r="A181" s="175">
        <v>9009165900</v>
      </c>
      <c r="B181" s="200" t="s">
        <v>953</v>
      </c>
      <c r="C181" s="93" t="s">
        <v>944</v>
      </c>
      <c r="D181" s="94">
        <f>Table325[[#This Row],[Residential CLM $ Collected]]+Table325[[#This Row],[C&amp;I CLM $ Collected]]</f>
        <v>98957.925600000002</v>
      </c>
      <c r="E181" s="95">
        <v>0</v>
      </c>
      <c r="F181" s="96">
        <f>Table325[[#This Row],[Residential Incentive Disbursements]]+Table325[[#This Row],[C&amp;I Incentive Disbursements]]</f>
        <v>1708</v>
      </c>
      <c r="G181" s="95">
        <v>2.7673873157353378E-2</v>
      </c>
      <c r="H181" s="95" t="str">
        <f t="shared" si="2"/>
        <v>N/A</v>
      </c>
      <c r="I181" s="97">
        <v>0</v>
      </c>
      <c r="J181" s="98">
        <v>0</v>
      </c>
      <c r="K181" s="99">
        <v>0</v>
      </c>
      <c r="L181" s="98">
        <v>2.7673873157353378E-2</v>
      </c>
      <c r="M181" s="97">
        <v>98957.925600000002</v>
      </c>
      <c r="N181" s="118">
        <v>0</v>
      </c>
      <c r="O181" s="99">
        <v>1708</v>
      </c>
      <c r="P181" s="101">
        <v>2.7673873157353378E-2</v>
      </c>
      <c r="Q181" t="str">
        <f>VLOOKUP(Table325[[#This Row],[Census Tract]],'UI EnergyBurden'!$A$2:$B$184,2,FALSE)</f>
        <v>No</v>
      </c>
      <c r="R181">
        <f>VLOOKUP(Table325[[#This Row],[Census Tract]],'Population and Diversity Data'!B177:K998,10,FALSE)</f>
        <v>3</v>
      </c>
    </row>
    <row r="182" spans="1:18" ht="15.75" thickBot="1" x14ac:dyDescent="0.3">
      <c r="A182" s="175">
        <v>9009166001</v>
      </c>
      <c r="B182" s="200" t="s">
        <v>953</v>
      </c>
      <c r="C182" s="93" t="s">
        <v>944</v>
      </c>
      <c r="D182" s="94">
        <f>Table325[[#This Row],[Residential CLM $ Collected]]+Table325[[#This Row],[C&amp;I CLM $ Collected]]</f>
        <v>45290.201699999998</v>
      </c>
      <c r="E182" s="95">
        <v>7.6856935292475585E-3</v>
      </c>
      <c r="F182" s="96">
        <f>Table325[[#This Row],[Residential Incentive Disbursements]]+Table325[[#This Row],[C&amp;I Incentive Disbursements]]</f>
        <v>50057</v>
      </c>
      <c r="G182" s="95">
        <v>0</v>
      </c>
      <c r="H182" s="95" t="str">
        <f t="shared" si="2"/>
        <v>NO</v>
      </c>
      <c r="I182" s="97">
        <v>0</v>
      </c>
      <c r="J182" s="98">
        <v>7.6856935292475585E-3</v>
      </c>
      <c r="K182" s="99">
        <v>0</v>
      </c>
      <c r="L182" s="98">
        <v>0</v>
      </c>
      <c r="M182" s="97">
        <v>45290.201699999998</v>
      </c>
      <c r="N182" s="118">
        <v>7.6856935292475585E-3</v>
      </c>
      <c r="O182" s="99">
        <v>50057</v>
      </c>
      <c r="P182" s="101">
        <v>0</v>
      </c>
      <c r="Q182" t="str">
        <f>VLOOKUP(Table325[[#This Row],[Census Tract]],'UI EnergyBurden'!$A$2:$B$184,2,FALSE)</f>
        <v>No</v>
      </c>
      <c r="R182">
        <f>VLOOKUP(Table325[[#This Row],[Census Tract]],'Population and Diversity Data'!B178:K999,10,FALSE)</f>
        <v>4</v>
      </c>
    </row>
    <row r="183" spans="1:18" ht="15.75" thickBot="1" x14ac:dyDescent="0.3">
      <c r="A183" s="175">
        <v>9009166002</v>
      </c>
      <c r="B183" s="200" t="s">
        <v>953</v>
      </c>
      <c r="C183" s="93" t="s">
        <v>944</v>
      </c>
      <c r="D183" s="94">
        <f>Table325[[#This Row],[Residential CLM $ Collected]]+Table325[[#This Row],[C&amp;I CLM $ Collected]]</f>
        <v>105298.10710000001</v>
      </c>
      <c r="E183" s="95">
        <v>0</v>
      </c>
      <c r="F183" s="96">
        <f>Table325[[#This Row],[Residential Incentive Disbursements]]+Table325[[#This Row],[C&amp;I Incentive Disbursements]]</f>
        <v>0</v>
      </c>
      <c r="G183" s="95">
        <v>3.0057756180870595E-4</v>
      </c>
      <c r="H183" s="95" t="str">
        <f t="shared" si="2"/>
        <v>N/A</v>
      </c>
      <c r="I183" s="97">
        <v>2121.1496000000002</v>
      </c>
      <c r="J183" s="98">
        <v>0</v>
      </c>
      <c r="K183" s="99">
        <v>0</v>
      </c>
      <c r="L183" s="98">
        <v>3.0057756180870595E-4</v>
      </c>
      <c r="M183" s="97">
        <v>103176.9575</v>
      </c>
      <c r="N183" s="118">
        <v>0</v>
      </c>
      <c r="O183" s="99">
        <v>0</v>
      </c>
      <c r="P183" s="101">
        <v>3.0057756180870595E-4</v>
      </c>
      <c r="Q183" t="str">
        <f>VLOOKUP(Table325[[#This Row],[Census Tract]],'UI EnergyBurden'!$A$2:$B$184,2,FALSE)</f>
        <v>No</v>
      </c>
      <c r="R183">
        <f>VLOOKUP(Table325[[#This Row],[Census Tract]],'Population and Diversity Data'!B179:K1000,10,FALSE)</f>
        <v>3</v>
      </c>
    </row>
    <row r="184" spans="1:18" ht="15.75" thickBot="1" x14ac:dyDescent="0.3">
      <c r="A184" s="175">
        <v>9009167100</v>
      </c>
      <c r="B184" s="200" t="s">
        <v>3025</v>
      </c>
      <c r="C184" s="93" t="s">
        <v>944</v>
      </c>
      <c r="D184" s="94">
        <f>Table325[[#This Row],[Residential CLM $ Collected]]+Table325[[#This Row],[C&amp;I CLM $ Collected]]</f>
        <v>93146.874100000001</v>
      </c>
      <c r="E184" s="95">
        <v>2.2116130396380366E-3</v>
      </c>
      <c r="F184" s="96">
        <f>Table325[[#This Row],[Residential Incentive Disbursements]]+Table325[[#This Row],[C&amp;I Incentive Disbursements]]</f>
        <v>1581.66</v>
      </c>
      <c r="G184" s="95">
        <v>0</v>
      </c>
      <c r="H184" s="95" t="str">
        <f t="shared" si="2"/>
        <v>NO</v>
      </c>
      <c r="I184" s="97">
        <v>0</v>
      </c>
      <c r="J184" s="98">
        <v>2.2116130396380366E-3</v>
      </c>
      <c r="K184" s="99">
        <v>0</v>
      </c>
      <c r="L184" s="98">
        <v>0</v>
      </c>
      <c r="M184" s="97">
        <v>93146.874100000001</v>
      </c>
      <c r="N184" s="118">
        <v>2.2116130396380366E-3</v>
      </c>
      <c r="O184" s="99">
        <v>1581.66</v>
      </c>
      <c r="P184" s="101">
        <v>0</v>
      </c>
      <c r="Q184" t="str">
        <f>VLOOKUP(Table325[[#This Row],[Census Tract]],'UI EnergyBurden'!$A$2:$B$184,2,FALSE)</f>
        <v>No</v>
      </c>
      <c r="R184">
        <f>VLOOKUP(Table325[[#This Row],[Census Tract]],'Population and Diversity Data'!B180:K1001,10,FALSE)</f>
        <v>3</v>
      </c>
    </row>
    <row r="185" spans="1:18" ht="15.75" thickBot="1" x14ac:dyDescent="0.3">
      <c r="A185" s="175">
        <v>9009167201</v>
      </c>
      <c r="B185" s="200" t="s">
        <v>3025</v>
      </c>
      <c r="C185" s="93" t="s">
        <v>944</v>
      </c>
      <c r="D185" s="94">
        <f>Table325[[#This Row],[Residential CLM $ Collected]]+Table325[[#This Row],[C&amp;I CLM $ Collected]]</f>
        <v>260614.27919999999</v>
      </c>
      <c r="E185" s="95">
        <v>0</v>
      </c>
      <c r="F185" s="96">
        <f>Table325[[#This Row],[Residential Incentive Disbursements]]+Table325[[#This Row],[C&amp;I Incentive Disbursements]]</f>
        <v>113338.29</v>
      </c>
      <c r="G185" s="95">
        <v>3.1542490295587063E-4</v>
      </c>
      <c r="H185" s="95" t="str">
        <f t="shared" si="2"/>
        <v>N/A</v>
      </c>
      <c r="I185" s="97">
        <v>0</v>
      </c>
      <c r="J185" s="98">
        <v>0</v>
      </c>
      <c r="K185" s="99">
        <v>0</v>
      </c>
      <c r="L185" s="98">
        <v>3.1542490295587063E-4</v>
      </c>
      <c r="M185" s="97">
        <v>260614.27919999999</v>
      </c>
      <c r="N185" s="118">
        <v>0</v>
      </c>
      <c r="O185" s="99">
        <v>113338.29</v>
      </c>
      <c r="P185" s="101">
        <v>3.1542490295587063E-4</v>
      </c>
      <c r="Q185" t="str">
        <f>VLOOKUP(Table325[[#This Row],[Census Tract]],'UI EnergyBurden'!$A$2:$B$184,2,FALSE)</f>
        <v>No</v>
      </c>
      <c r="R185">
        <f>VLOOKUP(Table325[[#This Row],[Census Tract]],'Population and Diversity Data'!B181:K1002,10,FALSE)</f>
        <v>2</v>
      </c>
    </row>
    <row r="186" spans="1:18" ht="15.75" thickBot="1" x14ac:dyDescent="0.3">
      <c r="A186" s="175">
        <v>9009167202</v>
      </c>
      <c r="B186" s="200" t="s">
        <v>3025</v>
      </c>
      <c r="C186" s="93" t="s">
        <v>944</v>
      </c>
      <c r="D186" s="94">
        <f>Table325[[#This Row],[Residential CLM $ Collected]]+Table325[[#This Row],[C&amp;I CLM $ Collected]]</f>
        <v>216707.51319999999</v>
      </c>
      <c r="E186" s="95">
        <v>1.8319484961543755E-3</v>
      </c>
      <c r="F186" s="96">
        <f>Table325[[#This Row],[Residential Incentive Disbursements]]+Table325[[#This Row],[C&amp;I Incentive Disbursements]]</f>
        <v>507461</v>
      </c>
      <c r="G186" s="95">
        <v>0</v>
      </c>
      <c r="H186" s="95" t="str">
        <f t="shared" si="2"/>
        <v>NO</v>
      </c>
      <c r="I186" s="97">
        <v>0</v>
      </c>
      <c r="J186" s="98">
        <v>1.8319484961543755E-3</v>
      </c>
      <c r="K186" s="99">
        <v>0</v>
      </c>
      <c r="L186" s="98">
        <v>0</v>
      </c>
      <c r="M186" s="97">
        <v>216707.51319999999</v>
      </c>
      <c r="N186" s="118">
        <v>1.8319484961543755E-3</v>
      </c>
      <c r="O186" s="99">
        <v>507461</v>
      </c>
      <c r="P186" s="101">
        <v>0</v>
      </c>
      <c r="Q186" t="str">
        <f>VLOOKUP(Table325[[#This Row],[Census Tract]],'UI EnergyBurden'!$A$2:$B$184,2,FALSE)</f>
        <v>No</v>
      </c>
      <c r="R186">
        <f>VLOOKUP(Table325[[#This Row],[Census Tract]],'Population and Diversity Data'!B182:K1003,10,FALSE)</f>
        <v>4</v>
      </c>
    </row>
    <row r="187" spans="1:18" ht="15.75" thickBot="1" x14ac:dyDescent="0.3">
      <c r="A187" s="175">
        <v>9009167300</v>
      </c>
      <c r="B187" s="200" t="s">
        <v>3025</v>
      </c>
      <c r="C187" s="93" t="s">
        <v>944</v>
      </c>
      <c r="D187" s="94">
        <f>Table325[[#This Row],[Residential CLM $ Collected]]+Table325[[#This Row],[C&amp;I CLM $ Collected]]</f>
        <v>190974.886</v>
      </c>
      <c r="E187" s="95">
        <v>0</v>
      </c>
      <c r="F187" s="96">
        <f>Table325[[#This Row],[Residential Incentive Disbursements]]+Table325[[#This Row],[C&amp;I Incentive Disbursements]]</f>
        <v>0</v>
      </c>
      <c r="G187" s="95">
        <v>4.5107347338931524E-4</v>
      </c>
      <c r="H187" s="95" t="str">
        <f t="shared" si="2"/>
        <v>N/A</v>
      </c>
      <c r="I187" s="97">
        <v>0</v>
      </c>
      <c r="J187" s="98">
        <v>0</v>
      </c>
      <c r="K187" s="99">
        <v>0</v>
      </c>
      <c r="L187" s="98">
        <v>4.5107347338931524E-4</v>
      </c>
      <c r="M187" s="97">
        <v>190974.886</v>
      </c>
      <c r="N187" s="118">
        <v>0</v>
      </c>
      <c r="O187" s="99">
        <v>0</v>
      </c>
      <c r="P187" s="101">
        <v>4.5107347338931524E-4</v>
      </c>
      <c r="Q187" t="str">
        <f>VLOOKUP(Table325[[#This Row],[Census Tract]],'UI EnergyBurden'!$A$2:$B$184,2,FALSE)</f>
        <v>No</v>
      </c>
      <c r="R187">
        <f>VLOOKUP(Table325[[#This Row],[Census Tract]],'Population and Diversity Data'!B183:K1004,10,FALSE)</f>
        <v>2</v>
      </c>
    </row>
    <row r="188" spans="1:18" ht="15.75" thickBot="1" x14ac:dyDescent="0.3">
      <c r="A188" s="175">
        <v>9009180100</v>
      </c>
      <c r="B188" s="200" t="s">
        <v>3024</v>
      </c>
      <c r="C188" s="93" t="s">
        <v>944</v>
      </c>
      <c r="D188" s="94">
        <f>Table325[[#This Row],[Residential CLM $ Collected]]+Table325[[#This Row],[C&amp;I CLM $ Collected]]</f>
        <v>24280.935099999999</v>
      </c>
      <c r="E188" s="95">
        <v>2.0521099747744923E-3</v>
      </c>
      <c r="F188" s="96">
        <f>Table325[[#This Row],[Residential Incentive Disbursements]]+Table325[[#This Row],[C&amp;I Incentive Disbursements]]</f>
        <v>0</v>
      </c>
      <c r="G188" s="95">
        <v>0</v>
      </c>
      <c r="H188" s="95" t="str">
        <f t="shared" si="2"/>
        <v>NO</v>
      </c>
      <c r="I188" s="97">
        <v>0</v>
      </c>
      <c r="J188" s="98">
        <v>2.0521099747744923E-3</v>
      </c>
      <c r="K188" s="99">
        <v>0</v>
      </c>
      <c r="L188" s="98">
        <v>0</v>
      </c>
      <c r="M188" s="97">
        <v>24280.935099999999</v>
      </c>
      <c r="N188" s="118">
        <v>2.0521099747744923E-3</v>
      </c>
      <c r="O188" s="99">
        <v>0</v>
      </c>
      <c r="P188" s="101">
        <v>0</v>
      </c>
      <c r="Q188" t="str">
        <f>VLOOKUP(Table325[[#This Row],[Census Tract]],'UI EnergyBurden'!$A$2:$B$184,2,FALSE)</f>
        <v>No</v>
      </c>
      <c r="R188">
        <f>VLOOKUP(Table325[[#This Row],[Census Tract]],'Population and Diversity Data'!B184:K1005,10,FALSE)</f>
        <v>5</v>
      </c>
    </row>
    <row r="189" spans="1:18" ht="15.75" thickBot="1" x14ac:dyDescent="0.3">
      <c r="A189" s="175">
        <v>9009180100</v>
      </c>
      <c r="B189" s="200" t="s">
        <v>3016</v>
      </c>
      <c r="C189" s="93" t="s">
        <v>944</v>
      </c>
      <c r="D189" s="94">
        <f>Table325[[#This Row],[Residential CLM $ Collected]]+Table325[[#This Row],[C&amp;I CLM $ Collected]]</f>
        <v>0</v>
      </c>
      <c r="E189" s="95">
        <v>0</v>
      </c>
      <c r="F189" s="96">
        <f>Table325[[#This Row],[Residential Incentive Disbursements]]+Table325[[#This Row],[C&amp;I Incentive Disbursements]]</f>
        <v>12866</v>
      </c>
      <c r="G189" s="95">
        <v>5.4889331606372202E-4</v>
      </c>
      <c r="H189" s="95" t="str">
        <f t="shared" si="2"/>
        <v>N/A</v>
      </c>
      <c r="I189" s="97">
        <v>0</v>
      </c>
      <c r="J189" s="98">
        <v>0</v>
      </c>
      <c r="K189" s="99">
        <v>0</v>
      </c>
      <c r="L189" s="98">
        <v>5.4889331606372202E-4</v>
      </c>
      <c r="M189" s="97">
        <v>0</v>
      </c>
      <c r="N189" s="118">
        <v>0</v>
      </c>
      <c r="O189" s="99">
        <v>12866</v>
      </c>
      <c r="P189" s="101">
        <v>5.4889331606372202E-4</v>
      </c>
      <c r="Q189" t="str">
        <f>VLOOKUP(Table325[[#This Row],[Census Tract]],'UI EnergyBurden'!$A$2:$B$184,2,FALSE)</f>
        <v>No</v>
      </c>
      <c r="R189">
        <f>VLOOKUP(Table325[[#This Row],[Census Tract]],'Population and Diversity Data'!B185:K1006,10,FALSE)</f>
        <v>5</v>
      </c>
    </row>
    <row r="190" spans="1:18" ht="15.75" thickBot="1" x14ac:dyDescent="0.3">
      <c r="A190" s="175">
        <v>9009180200</v>
      </c>
      <c r="B190" s="200" t="s">
        <v>3024</v>
      </c>
      <c r="C190" s="93" t="s">
        <v>944</v>
      </c>
      <c r="D190" s="94">
        <f>Table325[[#This Row],[Residential CLM $ Collected]]+Table325[[#This Row],[C&amp;I CLM $ Collected]]</f>
        <v>22798.3066</v>
      </c>
      <c r="E190" s="95">
        <v>2.2604245137898406E-3</v>
      </c>
      <c r="F190" s="96">
        <f>Table325[[#This Row],[Residential Incentive Disbursements]]+Table325[[#This Row],[C&amp;I Incentive Disbursements]]</f>
        <v>0</v>
      </c>
      <c r="G190" s="95">
        <v>0</v>
      </c>
      <c r="H190" s="95" t="str">
        <f t="shared" si="2"/>
        <v>NO</v>
      </c>
      <c r="I190" s="97">
        <v>0</v>
      </c>
      <c r="J190" s="98">
        <v>2.2604245137898406E-3</v>
      </c>
      <c r="K190" s="99">
        <v>0</v>
      </c>
      <c r="L190" s="98">
        <v>0</v>
      </c>
      <c r="M190" s="97">
        <v>22798.3066</v>
      </c>
      <c r="N190" s="118">
        <v>2.2604245137898406E-3</v>
      </c>
      <c r="O190" s="99">
        <v>0</v>
      </c>
      <c r="P190" s="101">
        <v>0</v>
      </c>
      <c r="Q190" t="str">
        <f>VLOOKUP(Table325[[#This Row],[Census Tract]],'UI EnergyBurden'!$A$2:$B$184,2,FALSE)</f>
        <v>No</v>
      </c>
      <c r="R190">
        <f>VLOOKUP(Table325[[#This Row],[Census Tract]],'Population and Diversity Data'!B186:K1007,10,FALSE)</f>
        <v>5</v>
      </c>
    </row>
    <row r="191" spans="1:18" ht="15.75" thickBot="1" x14ac:dyDescent="0.3">
      <c r="A191" s="175">
        <v>9009180200</v>
      </c>
      <c r="B191" s="200" t="s">
        <v>3016</v>
      </c>
      <c r="C191" s="93" t="s">
        <v>944</v>
      </c>
      <c r="D191" s="94">
        <f>Table325[[#This Row],[Residential CLM $ Collected]]+Table325[[#This Row],[C&amp;I CLM $ Collected]]</f>
        <v>0</v>
      </c>
      <c r="E191" s="95">
        <v>0</v>
      </c>
      <c r="F191" s="96">
        <f>Table325[[#This Row],[Residential Incentive Disbursements]]+Table325[[#This Row],[C&amp;I Incentive Disbursements]]</f>
        <v>30</v>
      </c>
      <c r="G191" s="95">
        <v>1.6695238428886276E-3</v>
      </c>
      <c r="H191" s="95" t="str">
        <f t="shared" si="2"/>
        <v>N/A</v>
      </c>
      <c r="I191" s="97">
        <v>0</v>
      </c>
      <c r="J191" s="98">
        <v>0</v>
      </c>
      <c r="K191" s="99">
        <v>0</v>
      </c>
      <c r="L191" s="98">
        <v>1.6695238428886276E-3</v>
      </c>
      <c r="M191" s="97">
        <v>0</v>
      </c>
      <c r="N191" s="118">
        <v>0</v>
      </c>
      <c r="O191" s="99">
        <v>30</v>
      </c>
      <c r="P191" s="101">
        <v>1.6695238428886276E-3</v>
      </c>
      <c r="Q191" t="str">
        <f>VLOOKUP(Table325[[#This Row],[Census Tract]],'UI EnergyBurden'!$A$2:$B$184,2,FALSE)</f>
        <v>No</v>
      </c>
      <c r="R191">
        <f>VLOOKUP(Table325[[#This Row],[Census Tract]],'Population and Diversity Data'!B187:K1008,10,FALSE)</f>
        <v>5</v>
      </c>
    </row>
    <row r="192" spans="1:18" ht="15.75" thickBot="1" x14ac:dyDescent="0.3">
      <c r="A192" s="175">
        <v>9009180200</v>
      </c>
      <c r="B192" s="200" t="s">
        <v>943</v>
      </c>
      <c r="C192" s="93" t="s">
        <v>944</v>
      </c>
      <c r="D192" s="94">
        <f>Table325[[#This Row],[Residential CLM $ Collected]]+Table325[[#This Row],[C&amp;I CLM $ Collected]]</f>
        <v>2993.6754999999998</v>
      </c>
      <c r="E192" s="95">
        <v>2.7031405787265898E-3</v>
      </c>
      <c r="F192" s="96">
        <f>Table325[[#This Row],[Residential Incentive Disbursements]]+Table325[[#This Row],[C&amp;I Incentive Disbursements]]</f>
        <v>0</v>
      </c>
      <c r="G192" s="95">
        <v>0</v>
      </c>
      <c r="H192" s="95" t="str">
        <f t="shared" si="2"/>
        <v>NO</v>
      </c>
      <c r="I192" s="97">
        <v>0</v>
      </c>
      <c r="J192" s="98">
        <v>2.7031405787265898E-3</v>
      </c>
      <c r="K192" s="99">
        <v>0</v>
      </c>
      <c r="L192" s="98">
        <v>0</v>
      </c>
      <c r="M192" s="97">
        <v>2993.6754999999998</v>
      </c>
      <c r="N192" s="118">
        <v>2.7031405787265898E-3</v>
      </c>
      <c r="O192" s="99">
        <v>0</v>
      </c>
      <c r="P192" s="101">
        <v>0</v>
      </c>
      <c r="Q192" t="str">
        <f>VLOOKUP(Table325[[#This Row],[Census Tract]],'UI EnergyBurden'!$A$2:$B$184,2,FALSE)</f>
        <v>No</v>
      </c>
      <c r="R192">
        <f>VLOOKUP(Table325[[#This Row],[Census Tract]],'Population and Diversity Data'!B188:K1009,10,FALSE)</f>
        <v>5</v>
      </c>
    </row>
    <row r="193" spans="1:18" ht="15.75" thickBot="1" x14ac:dyDescent="0.3">
      <c r="A193" s="175">
        <v>9009180300</v>
      </c>
      <c r="B193" s="200" t="s">
        <v>3024</v>
      </c>
      <c r="C193" s="93" t="s">
        <v>944</v>
      </c>
      <c r="D193" s="94">
        <f>Table325[[#This Row],[Residential CLM $ Collected]]+Table325[[#This Row],[C&amp;I CLM $ Collected]]</f>
        <v>32315.9293</v>
      </c>
      <c r="E193" s="95">
        <v>0</v>
      </c>
      <c r="F193" s="96">
        <f>Table325[[#This Row],[Residential Incentive Disbursements]]+Table325[[#This Row],[C&amp;I Incentive Disbursements]]</f>
        <v>0</v>
      </c>
      <c r="G193" s="95">
        <v>7.0317471931384296E-4</v>
      </c>
      <c r="H193" s="95" t="str">
        <f t="shared" si="2"/>
        <v>N/A</v>
      </c>
      <c r="I193" s="97">
        <v>0</v>
      </c>
      <c r="J193" s="98">
        <v>0</v>
      </c>
      <c r="K193" s="99">
        <v>0</v>
      </c>
      <c r="L193" s="98">
        <v>7.0317471931384296E-4</v>
      </c>
      <c r="M193" s="97">
        <v>32315.9293</v>
      </c>
      <c r="N193" s="118">
        <v>0</v>
      </c>
      <c r="O193" s="99">
        <v>0</v>
      </c>
      <c r="P193" s="101">
        <v>7.0317471931384296E-4</v>
      </c>
      <c r="Q193" t="str">
        <f>VLOOKUP(Table325[[#This Row],[Census Tract]],'UI EnergyBurden'!$A$2:$B$184,2,FALSE)</f>
        <v>No</v>
      </c>
      <c r="R193">
        <f>VLOOKUP(Table325[[#This Row],[Census Tract]],'Population and Diversity Data'!B189:K1010,10,FALSE)</f>
        <v>3</v>
      </c>
    </row>
    <row r="194" spans="1:18" ht="15.75" thickBot="1" x14ac:dyDescent="0.3">
      <c r="A194" s="175">
        <v>9009180300</v>
      </c>
      <c r="B194" s="200" t="s">
        <v>3025</v>
      </c>
      <c r="C194" s="93" t="s">
        <v>944</v>
      </c>
      <c r="D194" s="94">
        <f>Table325[[#This Row],[Residential CLM $ Collected]]+Table325[[#This Row],[C&amp;I CLM $ Collected]]</f>
        <v>10134.6129</v>
      </c>
      <c r="E194" s="95">
        <v>2.6671952392185549E-3</v>
      </c>
      <c r="F194" s="96">
        <f>Table325[[#This Row],[Residential Incentive Disbursements]]+Table325[[#This Row],[C&amp;I Incentive Disbursements]]</f>
        <v>500</v>
      </c>
      <c r="G194" s="95">
        <v>0</v>
      </c>
      <c r="H194" s="95" t="str">
        <f t="shared" si="2"/>
        <v>NO</v>
      </c>
      <c r="I194" s="97">
        <v>0</v>
      </c>
      <c r="J194" s="98">
        <v>2.6671952392185549E-3</v>
      </c>
      <c r="K194" s="99">
        <v>0</v>
      </c>
      <c r="L194" s="98">
        <v>0</v>
      </c>
      <c r="M194" s="97">
        <v>10134.6129</v>
      </c>
      <c r="N194" s="118">
        <v>2.6671952392185549E-3</v>
      </c>
      <c r="O194" s="99">
        <v>500</v>
      </c>
      <c r="P194" s="101">
        <v>0</v>
      </c>
      <c r="Q194" t="str">
        <f>VLOOKUP(Table325[[#This Row],[Census Tract]],'UI EnergyBurden'!$A$2:$B$184,2,FALSE)</f>
        <v>No</v>
      </c>
      <c r="R194">
        <f>VLOOKUP(Table325[[#This Row],[Census Tract]],'Population and Diversity Data'!B190:K1011,10,FALSE)</f>
        <v>3</v>
      </c>
    </row>
    <row r="195" spans="1:18" ht="15.75" thickBot="1" x14ac:dyDescent="0.3">
      <c r="A195" s="175">
        <v>9009180400</v>
      </c>
      <c r="B195" s="200" t="s">
        <v>3024</v>
      </c>
      <c r="C195" s="93" t="s">
        <v>944</v>
      </c>
      <c r="D195" s="94">
        <f>Table325[[#This Row],[Residential CLM $ Collected]]+Table325[[#This Row],[C&amp;I CLM $ Collected]]</f>
        <v>17417.411800000002</v>
      </c>
      <c r="E195" s="95">
        <v>0</v>
      </c>
      <c r="F195" s="96">
        <f>Table325[[#This Row],[Residential Incentive Disbursements]]+Table325[[#This Row],[C&amp;I Incentive Disbursements]]</f>
        <v>0</v>
      </c>
      <c r="G195" s="95">
        <v>1.6368085048988939E-5</v>
      </c>
      <c r="H195" s="95" t="str">
        <f t="shared" si="2"/>
        <v>N/A</v>
      </c>
      <c r="I195" s="97">
        <v>0</v>
      </c>
      <c r="J195" s="98">
        <v>0</v>
      </c>
      <c r="K195" s="99">
        <v>0</v>
      </c>
      <c r="L195" s="98">
        <v>1.6368085048988939E-5</v>
      </c>
      <c r="M195" s="97">
        <v>17417.411800000002</v>
      </c>
      <c r="N195" s="118">
        <v>0</v>
      </c>
      <c r="O195" s="99">
        <v>0</v>
      </c>
      <c r="P195" s="101">
        <v>1.6368085048988939E-5</v>
      </c>
      <c r="Q195" t="str">
        <f>VLOOKUP(Table325[[#This Row],[Census Tract]],'UI EnergyBurden'!$A$2:$B$184,2,FALSE)</f>
        <v>No</v>
      </c>
      <c r="R195">
        <f>VLOOKUP(Table325[[#This Row],[Census Tract]],'Population and Diversity Data'!B191:K1012,10,FALSE)</f>
        <v>4</v>
      </c>
    </row>
    <row r="196" spans="1:18" ht="15.75" thickBot="1" x14ac:dyDescent="0.3">
      <c r="A196" s="175">
        <v>9009180400</v>
      </c>
      <c r="B196" s="200" t="s">
        <v>3016</v>
      </c>
      <c r="C196" s="93" t="s">
        <v>944</v>
      </c>
      <c r="D196" s="94">
        <f>Table325[[#This Row],[Residential CLM $ Collected]]+Table325[[#This Row],[C&amp;I CLM $ Collected]]</f>
        <v>0</v>
      </c>
      <c r="E196" s="95">
        <v>0</v>
      </c>
      <c r="F196" s="96">
        <f>Table325[[#This Row],[Residential Incentive Disbursements]]+Table325[[#This Row],[C&amp;I Incentive Disbursements]]</f>
        <v>29346</v>
      </c>
      <c r="G196" s="95">
        <v>6.5472340195955756E-6</v>
      </c>
      <c r="H196" s="95" t="str">
        <f t="shared" si="2"/>
        <v>N/A</v>
      </c>
      <c r="I196" s="97">
        <v>0</v>
      </c>
      <c r="J196" s="98">
        <v>0</v>
      </c>
      <c r="K196" s="99">
        <v>0</v>
      </c>
      <c r="L196" s="98">
        <v>6.5472340195955756E-6</v>
      </c>
      <c r="M196" s="97">
        <v>0</v>
      </c>
      <c r="N196" s="118">
        <v>0</v>
      </c>
      <c r="O196" s="99">
        <v>29346</v>
      </c>
      <c r="P196" s="101">
        <v>6.5472340195955756E-6</v>
      </c>
      <c r="Q196" t="str">
        <f>VLOOKUP(Table325[[#This Row],[Census Tract]],'UI EnergyBurden'!$A$2:$B$184,2,FALSE)</f>
        <v>No</v>
      </c>
      <c r="R196">
        <f>VLOOKUP(Table325[[#This Row],[Census Tract]],'Population and Diversity Data'!B192:K1013,10,FALSE)</f>
        <v>4</v>
      </c>
    </row>
    <row r="197" spans="1:18" ht="15.75" thickBot="1" x14ac:dyDescent="0.3">
      <c r="A197" s="175">
        <v>9009180500</v>
      </c>
      <c r="B197" s="200" t="s">
        <v>3024</v>
      </c>
      <c r="C197" s="93" t="s">
        <v>944</v>
      </c>
      <c r="D197" s="94">
        <f>Table325[[#This Row],[Residential CLM $ Collected]]+Table325[[#This Row],[C&amp;I CLM $ Collected]]</f>
        <v>20826.716400000001</v>
      </c>
      <c r="E197" s="95">
        <v>2.5411533771550063E-5</v>
      </c>
      <c r="F197" s="96">
        <f>Table325[[#This Row],[Residential Incentive Disbursements]]+Table325[[#This Row],[C&amp;I Incentive Disbursements]]</f>
        <v>0</v>
      </c>
      <c r="G197" s="95">
        <v>5.1187465971383593E-5</v>
      </c>
      <c r="H197" s="95" t="str">
        <f t="shared" si="2"/>
        <v>YES</v>
      </c>
      <c r="I197" s="97">
        <v>0</v>
      </c>
      <c r="J197" s="98">
        <v>2.5411533771550063E-5</v>
      </c>
      <c r="K197" s="99">
        <v>0</v>
      </c>
      <c r="L197" s="98">
        <v>5.1187465971383593E-5</v>
      </c>
      <c r="M197" s="97">
        <v>20826.716400000001</v>
      </c>
      <c r="N197" s="118">
        <v>2.5411533771550063E-5</v>
      </c>
      <c r="O197" s="99">
        <v>0</v>
      </c>
      <c r="P197" s="101">
        <v>5.1187465971383593E-5</v>
      </c>
      <c r="Q197" t="str">
        <f>VLOOKUP(Table325[[#This Row],[Census Tract]],'UI EnergyBurden'!$A$2:$B$184,2,FALSE)</f>
        <v>No</v>
      </c>
      <c r="R197">
        <f>VLOOKUP(Table325[[#This Row],[Census Tract]],'Population and Diversity Data'!B193:K1014,10,FALSE)</f>
        <v>5</v>
      </c>
    </row>
    <row r="198" spans="1:18" ht="15.75" thickBot="1" x14ac:dyDescent="0.3">
      <c r="A198" s="175">
        <v>9009180500</v>
      </c>
      <c r="B198" s="200" t="s">
        <v>3016</v>
      </c>
      <c r="C198" s="93" t="s">
        <v>944</v>
      </c>
      <c r="D198" s="94">
        <f>Table325[[#This Row],[Residential CLM $ Collected]]+Table325[[#This Row],[C&amp;I CLM $ Collected]]</f>
        <v>0</v>
      </c>
      <c r="E198" s="95">
        <v>0</v>
      </c>
      <c r="F198" s="96">
        <f>Table325[[#This Row],[Residential Incentive Disbursements]]+Table325[[#This Row],[C&amp;I Incentive Disbursements]]</f>
        <v>10040</v>
      </c>
      <c r="G198" s="95">
        <v>9.2256479367028557E-6</v>
      </c>
      <c r="H198" s="95" t="str">
        <f t="shared" si="2"/>
        <v>N/A</v>
      </c>
      <c r="I198" s="97">
        <v>0</v>
      </c>
      <c r="J198" s="98">
        <v>0</v>
      </c>
      <c r="K198" s="99">
        <v>0</v>
      </c>
      <c r="L198" s="98">
        <v>9.2256479367028557E-6</v>
      </c>
      <c r="M198" s="97">
        <v>0</v>
      </c>
      <c r="N198" s="118">
        <v>0</v>
      </c>
      <c r="O198" s="99">
        <v>10040</v>
      </c>
      <c r="P198" s="101">
        <v>9.2256479367028557E-6</v>
      </c>
      <c r="Q198" t="str">
        <f>VLOOKUP(Table325[[#This Row],[Census Tract]],'UI EnergyBurden'!$A$2:$B$184,2,FALSE)</f>
        <v>No</v>
      </c>
      <c r="R198">
        <f>VLOOKUP(Table325[[#This Row],[Census Tract]],'Population and Diversity Data'!B194:K1015,10,FALSE)</f>
        <v>5</v>
      </c>
    </row>
    <row r="199" spans="1:18" ht="15.75" thickBot="1" x14ac:dyDescent="0.3">
      <c r="A199" s="175">
        <v>9009180500</v>
      </c>
      <c r="B199" s="200" t="s">
        <v>943</v>
      </c>
      <c r="C199" s="93" t="s">
        <v>944</v>
      </c>
      <c r="D199" s="94">
        <f>Table325[[#This Row],[Residential CLM $ Collected]]+Table325[[#This Row],[C&amp;I CLM $ Collected]]</f>
        <v>54047.178699999997</v>
      </c>
      <c r="E199" s="95">
        <v>0</v>
      </c>
      <c r="F199" s="96">
        <f>Table325[[#This Row],[Residential Incentive Disbursements]]+Table325[[#This Row],[C&amp;I Incentive Disbursements]]</f>
        <v>0</v>
      </c>
      <c r="G199" s="95">
        <v>5.654429380559815E-6</v>
      </c>
      <c r="H199" s="95" t="str">
        <f t="shared" ref="H199:H209" si="3">IF(ROUND(E199,5)&lt;0.00001,"N/A",IF(ROUND(E199,5)&lt;=ROUND(G199,5),"YES","NO"))</f>
        <v>N/A</v>
      </c>
      <c r="I199" s="97">
        <v>0</v>
      </c>
      <c r="J199" s="98">
        <v>0</v>
      </c>
      <c r="K199" s="99">
        <v>0</v>
      </c>
      <c r="L199" s="98">
        <v>5.654429380559815E-6</v>
      </c>
      <c r="M199" s="97">
        <v>54047.178699999997</v>
      </c>
      <c r="N199" s="118">
        <v>0</v>
      </c>
      <c r="O199" s="99">
        <v>0</v>
      </c>
      <c r="P199" s="101">
        <v>5.654429380559815E-6</v>
      </c>
      <c r="Q199" t="str">
        <f>VLOOKUP(Table325[[#This Row],[Census Tract]],'UI EnergyBurden'!$A$2:$B$184,2,FALSE)</f>
        <v>No</v>
      </c>
      <c r="R199">
        <f>VLOOKUP(Table325[[#This Row],[Census Tract]],'Population and Diversity Data'!B195:K1016,10,FALSE)</f>
        <v>5</v>
      </c>
    </row>
    <row r="200" spans="1:18" ht="15.75" thickBot="1" x14ac:dyDescent="0.3">
      <c r="A200" s="175">
        <v>9009180601</v>
      </c>
      <c r="B200" s="200" t="s">
        <v>3024</v>
      </c>
      <c r="C200" s="93" t="s">
        <v>944</v>
      </c>
      <c r="D200" s="94">
        <f>Table325[[#This Row],[Residential CLM $ Collected]]+Table325[[#This Row],[C&amp;I CLM $ Collected]]</f>
        <v>5063.9494999999997</v>
      </c>
      <c r="E200" s="95">
        <v>0</v>
      </c>
      <c r="F200" s="96">
        <f>Table325[[#This Row],[Residential Incentive Disbursements]]+Table325[[#This Row],[C&amp;I Incentive Disbursements]]</f>
        <v>0</v>
      </c>
      <c r="G200" s="95">
        <v>3.3710577081021506E-4</v>
      </c>
      <c r="H200" s="95" t="str">
        <f t="shared" si="3"/>
        <v>N/A</v>
      </c>
      <c r="I200" s="97">
        <v>0</v>
      </c>
      <c r="J200" s="98">
        <v>0</v>
      </c>
      <c r="K200" s="99">
        <v>0</v>
      </c>
      <c r="L200" s="98">
        <v>3.3710577081021506E-4</v>
      </c>
      <c r="M200" s="97">
        <v>5063.9494999999997</v>
      </c>
      <c r="N200" s="118">
        <v>0</v>
      </c>
      <c r="O200" s="99">
        <v>0</v>
      </c>
      <c r="P200" s="101">
        <v>3.3710577081021506E-4</v>
      </c>
      <c r="Q200" t="str">
        <f>VLOOKUP(Table325[[#This Row],[Census Tract]],'UI EnergyBurden'!$A$2:$B$184,2,FALSE)</f>
        <v>No</v>
      </c>
      <c r="R200">
        <f>VLOOKUP(Table325[[#This Row],[Census Tract]],'Population and Diversity Data'!B196:K1017,10,FALSE)</f>
        <v>1</v>
      </c>
    </row>
    <row r="201" spans="1:18" ht="15.75" thickBot="1" x14ac:dyDescent="0.3">
      <c r="A201" s="175">
        <v>9009180601</v>
      </c>
      <c r="B201" s="200" t="s">
        <v>3016</v>
      </c>
      <c r="C201" s="93" t="s">
        <v>944</v>
      </c>
      <c r="D201" s="94">
        <f>Table325[[#This Row],[Residential CLM $ Collected]]+Table325[[#This Row],[C&amp;I CLM $ Collected]]</f>
        <v>0</v>
      </c>
      <c r="E201" s="95">
        <v>2.7388560192943292E-3</v>
      </c>
      <c r="F201" s="96">
        <f>Table325[[#This Row],[Residential Incentive Disbursements]]+Table325[[#This Row],[C&amp;I Incentive Disbursements]]</f>
        <v>1313</v>
      </c>
      <c r="G201" s="95">
        <v>0</v>
      </c>
      <c r="H201" s="95" t="str">
        <f t="shared" si="3"/>
        <v>NO</v>
      </c>
      <c r="I201" s="97">
        <v>0</v>
      </c>
      <c r="J201" s="98">
        <v>2.7388560192943292E-3</v>
      </c>
      <c r="K201" s="99">
        <v>0</v>
      </c>
      <c r="L201" s="98">
        <v>0</v>
      </c>
      <c r="M201" s="97">
        <v>0</v>
      </c>
      <c r="N201" s="118">
        <v>2.7388560192943292E-3</v>
      </c>
      <c r="O201" s="99">
        <v>1313</v>
      </c>
      <c r="P201" s="101">
        <v>0</v>
      </c>
      <c r="Q201" t="str">
        <f>VLOOKUP(Table325[[#This Row],[Census Tract]],'UI EnergyBurden'!$A$2:$B$184,2,FALSE)</f>
        <v>No</v>
      </c>
      <c r="R201">
        <f>VLOOKUP(Table325[[#This Row],[Census Tract]],'Population and Diversity Data'!B197:K1018,10,FALSE)</f>
        <v>1</v>
      </c>
    </row>
    <row r="202" spans="1:18" ht="15.75" thickBot="1" x14ac:dyDescent="0.3">
      <c r="A202" s="175">
        <v>9009180602</v>
      </c>
      <c r="B202" s="200" t="s">
        <v>3024</v>
      </c>
      <c r="C202" s="93" t="s">
        <v>944</v>
      </c>
      <c r="D202" s="94">
        <f>Table325[[#This Row],[Residential CLM $ Collected]]+Table325[[#This Row],[C&amp;I CLM $ Collected]]</f>
        <v>11356.438599999999</v>
      </c>
      <c r="E202" s="95">
        <v>0</v>
      </c>
      <c r="F202" s="96">
        <f>Table325[[#This Row],[Residential Incentive Disbursements]]+Table325[[#This Row],[C&amp;I Incentive Disbursements]]</f>
        <v>0</v>
      </c>
      <c r="G202" s="95">
        <v>1.4880077317262672E-6</v>
      </c>
      <c r="H202" s="95" t="str">
        <f t="shared" si="3"/>
        <v>N/A</v>
      </c>
      <c r="I202" s="97">
        <v>0</v>
      </c>
      <c r="J202" s="98">
        <v>0</v>
      </c>
      <c r="K202" s="99">
        <v>0</v>
      </c>
      <c r="L202" s="98">
        <v>1.4880077317262672E-6</v>
      </c>
      <c r="M202" s="97">
        <v>11356.438599999999</v>
      </c>
      <c r="N202" s="118">
        <v>0</v>
      </c>
      <c r="O202" s="99">
        <v>0</v>
      </c>
      <c r="P202" s="101">
        <v>1.4880077317262672E-6</v>
      </c>
      <c r="Q202" t="str">
        <f>VLOOKUP(Table325[[#This Row],[Census Tract]],'UI EnergyBurden'!$A$2:$B$184,2,FALSE)</f>
        <v>No</v>
      </c>
      <c r="R202">
        <f>VLOOKUP(Table325[[#This Row],[Census Tract]],'Population and Diversity Data'!B198:K1019,10,FALSE)</f>
        <v>1</v>
      </c>
    </row>
    <row r="203" spans="1:18" ht="15.75" thickBot="1" x14ac:dyDescent="0.3">
      <c r="A203" s="175">
        <v>9009186100</v>
      </c>
      <c r="B203" s="200" t="s">
        <v>3026</v>
      </c>
      <c r="C203" s="93" t="s">
        <v>944</v>
      </c>
      <c r="D203" s="94">
        <f>Table325[[#This Row],[Residential CLM $ Collected]]+Table325[[#This Row],[C&amp;I CLM $ Collected]]</f>
        <v>118879.9354</v>
      </c>
      <c r="E203" s="95">
        <v>0</v>
      </c>
      <c r="F203" s="96">
        <f>Table325[[#This Row],[Residential Incentive Disbursements]]+Table325[[#This Row],[C&amp;I Incentive Disbursements]]</f>
        <v>34728</v>
      </c>
      <c r="G203" s="95">
        <v>1.6368085048988939E-5</v>
      </c>
      <c r="H203" s="95" t="str">
        <f t="shared" si="3"/>
        <v>N/A</v>
      </c>
      <c r="I203" s="97">
        <v>0</v>
      </c>
      <c r="J203" s="98">
        <v>0</v>
      </c>
      <c r="K203" s="99">
        <v>0</v>
      </c>
      <c r="L203" s="98">
        <v>1.6368085048988939E-5</v>
      </c>
      <c r="M203" s="97">
        <v>118879.9354</v>
      </c>
      <c r="N203" s="118">
        <v>0</v>
      </c>
      <c r="O203" s="99">
        <v>34728</v>
      </c>
      <c r="P203" s="101">
        <v>1.6368085048988939E-5</v>
      </c>
      <c r="Q203" t="str">
        <f>VLOOKUP(Table325[[#This Row],[Census Tract]],'UI EnergyBurden'!$A$2:$B$184,2,FALSE)</f>
        <v>No</v>
      </c>
      <c r="R203">
        <f>VLOOKUP(Table325[[#This Row],[Census Tract]],'Population and Diversity Data'!B199:K1020,10,FALSE)</f>
        <v>2</v>
      </c>
    </row>
    <row r="204" spans="1:18" ht="15.75" thickBot="1" x14ac:dyDescent="0.3">
      <c r="A204" s="175">
        <v>9009186200</v>
      </c>
      <c r="B204" s="200" t="s">
        <v>3026</v>
      </c>
      <c r="C204" s="93" t="s">
        <v>944</v>
      </c>
      <c r="D204" s="94">
        <f>Table325[[#This Row],[Residential CLM $ Collected]]+Table325[[#This Row],[C&amp;I CLM $ Collected]]</f>
        <v>46838.580699999999</v>
      </c>
      <c r="E204" s="95">
        <v>0</v>
      </c>
      <c r="F204" s="96">
        <f>Table325[[#This Row],[Residential Incentive Disbursements]]+Table325[[#This Row],[C&amp;I Incentive Disbursements]]</f>
        <v>8591</v>
      </c>
      <c r="G204" s="95">
        <v>3.5414584015085156E-5</v>
      </c>
      <c r="H204" s="95" t="str">
        <f t="shared" si="3"/>
        <v>N/A</v>
      </c>
      <c r="I204" s="97">
        <v>0</v>
      </c>
      <c r="J204" s="98">
        <v>0</v>
      </c>
      <c r="K204" s="99">
        <v>0</v>
      </c>
      <c r="L204" s="98">
        <v>3.5414584015085156E-5</v>
      </c>
      <c r="M204" s="97">
        <v>46838.580699999999</v>
      </c>
      <c r="N204" s="118">
        <v>0</v>
      </c>
      <c r="O204" s="99">
        <v>8591</v>
      </c>
      <c r="P204" s="101">
        <v>3.5414584015085156E-5</v>
      </c>
      <c r="Q204" t="str">
        <f>VLOOKUP(Table325[[#This Row],[Census Tract]],'UI EnergyBurden'!$A$2:$B$184,2,FALSE)</f>
        <v>No</v>
      </c>
      <c r="R204">
        <f>VLOOKUP(Table325[[#This Row],[Census Tract]],'Population and Diversity Data'!B200:K1021,10,FALSE)</f>
        <v>1</v>
      </c>
    </row>
    <row r="205" spans="1:18" ht="15.75" thickBot="1" x14ac:dyDescent="0.3">
      <c r="A205" s="175">
        <v>9009361401</v>
      </c>
      <c r="B205" s="200" t="s">
        <v>3015</v>
      </c>
      <c r="C205" s="93" t="s">
        <v>944</v>
      </c>
      <c r="D205" s="94">
        <f>Table325[[#This Row],[Residential CLM $ Collected]]+Table325[[#This Row],[C&amp;I CLM $ Collected]]</f>
        <v>0</v>
      </c>
      <c r="E205" s="95">
        <v>0</v>
      </c>
      <c r="F205" s="96">
        <f>Table325[[#This Row],[Residential Incentive Disbursements]]+Table325[[#This Row],[C&amp;I Incentive Disbursements]]</f>
        <v>1985</v>
      </c>
      <c r="G205" s="95">
        <v>1.4880077317262672E-6</v>
      </c>
      <c r="H205" s="95" t="str">
        <f t="shared" si="3"/>
        <v>N/A</v>
      </c>
      <c r="I205" s="97">
        <v>0</v>
      </c>
      <c r="J205" s="98">
        <v>0</v>
      </c>
      <c r="K205" s="99">
        <v>0</v>
      </c>
      <c r="L205" s="98">
        <v>1.4880077317262672E-6</v>
      </c>
      <c r="M205" s="97">
        <v>0</v>
      </c>
      <c r="N205" s="118">
        <v>0</v>
      </c>
      <c r="O205" s="99">
        <v>1985</v>
      </c>
      <c r="P205" s="101">
        <v>1.4880077317262672E-6</v>
      </c>
      <c r="Q205" t="str">
        <f>VLOOKUP(Table325[[#This Row],[Census Tract]],'UI EnergyBurden'!$A$2:$B$184,2,FALSE)</f>
        <v>No</v>
      </c>
      <c r="R205">
        <f>VLOOKUP(Table325[[#This Row],[Census Tract]],'Population and Diversity Data'!B201:K1022,10,FALSE)</f>
        <v>5</v>
      </c>
    </row>
    <row r="206" spans="1:18" ht="15.75" thickBot="1" x14ac:dyDescent="0.3">
      <c r="A206" s="175">
        <v>9009361401</v>
      </c>
      <c r="B206" s="200" t="s">
        <v>943</v>
      </c>
      <c r="C206" s="93" t="s">
        <v>936</v>
      </c>
      <c r="D206" s="94">
        <f>Table325[[#This Row],[Residential CLM $ Collected]]+Table325[[#This Row],[C&amp;I CLM $ Collected]]</f>
        <v>54474.441500000001</v>
      </c>
      <c r="E206" s="95">
        <v>0</v>
      </c>
      <c r="F206" s="96">
        <f>Table325[[#This Row],[Residential Incentive Disbursements]]+Table325[[#This Row],[C&amp;I Incentive Disbursements]]</f>
        <v>0</v>
      </c>
      <c r="G206" s="95">
        <v>1.9046498966096221E-5</v>
      </c>
      <c r="H206" s="95" t="str">
        <f t="shared" si="3"/>
        <v>N/A</v>
      </c>
      <c r="I206" s="97">
        <v>3688.5129000000002</v>
      </c>
      <c r="J206" s="98">
        <v>0</v>
      </c>
      <c r="K206" s="99">
        <v>0</v>
      </c>
      <c r="L206" s="98">
        <v>1.9046498966096221E-5</v>
      </c>
      <c r="M206" s="97">
        <v>50785.928599999999</v>
      </c>
      <c r="N206" s="118">
        <v>0</v>
      </c>
      <c r="O206" s="99">
        <v>0</v>
      </c>
      <c r="P206" s="101">
        <v>1.9046498966096221E-5</v>
      </c>
      <c r="Q206" t="str">
        <f>VLOOKUP(Table325[[#This Row],[Census Tract]],'UI EnergyBurden'!$A$2:$B$184,2,FALSE)</f>
        <v>No</v>
      </c>
      <c r="R206">
        <f>VLOOKUP(Table325[[#This Row],[Census Tract]],'Population and Diversity Data'!B202:K1023,10,FALSE)</f>
        <v>5</v>
      </c>
    </row>
    <row r="207" spans="1:18" ht="15.75" thickBot="1" x14ac:dyDescent="0.3">
      <c r="A207" s="175">
        <v>9009361402</v>
      </c>
      <c r="B207" s="200" t="s">
        <v>3015</v>
      </c>
      <c r="C207" s="93" t="s">
        <v>944</v>
      </c>
      <c r="D207" s="94">
        <f>Table325[[#This Row],[Residential CLM $ Collected]]+Table325[[#This Row],[C&amp;I CLM $ Collected]]</f>
        <v>0</v>
      </c>
      <c r="E207" s="95">
        <v>0</v>
      </c>
      <c r="F207" s="96">
        <f>Table325[[#This Row],[Residential Incentive Disbursements]]+Table325[[#This Row],[C&amp;I Incentive Disbursements]]</f>
        <v>648547</v>
      </c>
      <c r="G207" s="95">
        <v>2.0832108244167739E-5</v>
      </c>
      <c r="H207" s="95" t="str">
        <f t="shared" si="3"/>
        <v>N/A</v>
      </c>
      <c r="I207" s="97">
        <v>0</v>
      </c>
      <c r="J207" s="98">
        <v>0</v>
      </c>
      <c r="K207" s="99">
        <v>0</v>
      </c>
      <c r="L207" s="98">
        <v>2.0832108244167739E-5</v>
      </c>
      <c r="M207" s="97">
        <v>0</v>
      </c>
      <c r="N207" s="118">
        <v>0</v>
      </c>
      <c r="O207" s="99">
        <v>648547</v>
      </c>
      <c r="P207" s="101">
        <v>2.0832108244167739E-5</v>
      </c>
      <c r="Q207" t="str">
        <f>VLOOKUP(Table325[[#This Row],[Census Tract]],'UI EnergyBurden'!$A$2:$B$184,2,FALSE)</f>
        <v>No</v>
      </c>
      <c r="R207">
        <f>VLOOKUP(Table325[[#This Row],[Census Tract]],'Population and Diversity Data'!B203:K1024,10,FALSE)</f>
        <v>5</v>
      </c>
    </row>
    <row r="208" spans="1:18" ht="15.75" thickBot="1" x14ac:dyDescent="0.3">
      <c r="A208" s="175">
        <v>9009361402</v>
      </c>
      <c r="B208" s="200" t="s">
        <v>943</v>
      </c>
      <c r="C208" s="93" t="s">
        <v>936</v>
      </c>
      <c r="D208" s="94">
        <f>Table325[[#This Row],[Residential CLM $ Collected]]+Table325[[#This Row],[C&amp;I CLM $ Collected]]</f>
        <v>119732.2037</v>
      </c>
      <c r="E208" s="95">
        <v>1.4861267900483195E-6</v>
      </c>
      <c r="F208" s="96">
        <f>Table325[[#This Row],[Residential Incentive Disbursements]]+Table325[[#This Row],[C&amp;I Incentive Disbursements]]</f>
        <v>0</v>
      </c>
      <c r="G208" s="95">
        <v>0</v>
      </c>
      <c r="H208" s="95" t="str">
        <f t="shared" si="3"/>
        <v>N/A</v>
      </c>
      <c r="I208" s="97">
        <v>0</v>
      </c>
      <c r="J208" s="98">
        <v>1.4861267900483195E-6</v>
      </c>
      <c r="K208" s="99">
        <v>0</v>
      </c>
      <c r="L208" s="98">
        <v>0</v>
      </c>
      <c r="M208" s="97">
        <v>119732.2037</v>
      </c>
      <c r="N208" s="118">
        <v>1.4861267900483195E-6</v>
      </c>
      <c r="O208" s="99">
        <v>0</v>
      </c>
      <c r="P208" s="101">
        <v>0</v>
      </c>
      <c r="Q208" t="str">
        <f>VLOOKUP(Table325[[#This Row],[Census Tract]],'UI EnergyBurden'!$A$2:$B$184,2,FALSE)</f>
        <v>No</v>
      </c>
      <c r="R208">
        <f>VLOOKUP(Table325[[#This Row],[Census Tract]],'Population and Diversity Data'!B204:K1025,10,FALSE)</f>
        <v>5</v>
      </c>
    </row>
    <row r="209" spans="1:18" x14ac:dyDescent="0.25">
      <c r="A209" s="175">
        <v>9009361500</v>
      </c>
      <c r="B209" s="200" t="s">
        <v>950</v>
      </c>
      <c r="C209" s="93" t="s">
        <v>944</v>
      </c>
      <c r="D209" s="94">
        <f>Table325[[#This Row],[Residential CLM $ Collected]]+Table325[[#This Row],[C&amp;I CLM $ Collected]]</f>
        <v>214352.32990000001</v>
      </c>
      <c r="E209" s="95">
        <v>0</v>
      </c>
      <c r="F209" s="96">
        <f>Table325[[#This Row],[Residential Incentive Disbursements]]+Table325[[#This Row],[C&amp;I Incentive Disbursements]]</f>
        <v>3517</v>
      </c>
      <c r="G209" s="95">
        <v>5.775850811468679E-6</v>
      </c>
      <c r="H209" s="95" t="str">
        <f t="shared" si="3"/>
        <v>N/A</v>
      </c>
      <c r="I209" s="97">
        <v>0</v>
      </c>
      <c r="J209" s="98">
        <v>0</v>
      </c>
      <c r="K209" s="99">
        <v>0</v>
      </c>
      <c r="L209" s="98">
        <v>5.775850811468679E-6</v>
      </c>
      <c r="M209" s="97">
        <v>214352.32990000001</v>
      </c>
      <c r="N209" s="118">
        <v>0</v>
      </c>
      <c r="O209" s="99">
        <v>3517</v>
      </c>
      <c r="P209" s="101">
        <v>5.775850811468679E-6</v>
      </c>
      <c r="Q209" t="str">
        <f>VLOOKUP(Table325[[#This Row],[Census Tract]],'UI EnergyBurden'!$A$2:$B$184,2,FALSE)</f>
        <v>No</v>
      </c>
      <c r="R209">
        <f>VLOOKUP(Table325[[#This Row],[Census Tract]],'Population and Diversity Data'!B205:K1026,10,FALSE)</f>
        <v>5</v>
      </c>
    </row>
    <row r="210" spans="1:18" ht="15.75" thickBot="1" x14ac:dyDescent="0.3">
      <c r="A210" s="119"/>
      <c r="B210" s="120"/>
      <c r="C210" s="121" t="s">
        <v>2877</v>
      </c>
      <c r="D210" s="122">
        <f>SUBTOTAL(109,D2:D209)</f>
        <v>11552693.690900004</v>
      </c>
      <c r="E210" s="123">
        <f>SUBTOTAL(109,E6:E209)</f>
        <v>0.31224540014155666</v>
      </c>
      <c r="F210" s="124">
        <f>SUBTOTAL(109, F6:F209)</f>
        <v>5150527.3599999994</v>
      </c>
      <c r="G210" s="123">
        <v>0.30656098136590715</v>
      </c>
      <c r="H210" s="123" t="str">
        <f t="shared" ref="H210" si="4">IF(ROUND(E210,5)&lt;0.00001,"N/A",IF(ROUND(E210,5)&lt;=ROUND(G210,5),"YES","NO"))</f>
        <v>NO</v>
      </c>
      <c r="I210" s="125">
        <f>SUM(I6:I209)</f>
        <v>155286.23139999996</v>
      </c>
      <c r="J210" s="126">
        <v>5.3361842757261163E-3</v>
      </c>
      <c r="K210" s="127">
        <f>SUBTOTAL(109,K6:K209)</f>
        <v>800</v>
      </c>
      <c r="L210" s="128">
        <v>4.761624741524055E-5</v>
      </c>
      <c r="M210" s="127">
        <f>SUBTOTAL(109,M6:M209)</f>
        <v>11397407.459500005</v>
      </c>
      <c r="N210" s="129">
        <v>0.39165524155689885</v>
      </c>
      <c r="O210" s="130">
        <f>SUBTOTAL(109,O6:O209)</f>
        <v>5149727.3599999994</v>
      </c>
      <c r="P210" s="131">
        <v>0.30651336511849187</v>
      </c>
      <c r="Q210" t="e">
        <f>VLOOKUP(Table325[[#This Row],[Census Tract]],'UI EnergyBurden'!$A$2:$B$184,2,FALSE)</f>
        <v>#N/A</v>
      </c>
      <c r="R210" t="e">
        <f>VLOOKUP(Table325[[#This Row],[Census Tract]],'Population and Diversity Data'!B342:K1163,10,FALSE)</f>
        <v>#N/A</v>
      </c>
    </row>
  </sheetData>
  <mergeCells count="7">
    <mergeCell ref="A1:O2"/>
    <mergeCell ref="A3:C3"/>
    <mergeCell ref="D3:O3"/>
    <mergeCell ref="A4:C4"/>
    <mergeCell ref="D4:G4"/>
    <mergeCell ref="H4:K4"/>
    <mergeCell ref="L4:O4"/>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B4CB6-76E7-4CEB-B22C-C054F6C1B27F}">
  <sheetPr>
    <tabColor theme="7" tint="0.59999389629810485"/>
  </sheetPr>
  <dimension ref="A4:V423"/>
  <sheetViews>
    <sheetView topLeftCell="A388" workbookViewId="0">
      <selection activeCell="D420" sqref="D420"/>
    </sheetView>
  </sheetViews>
  <sheetFormatPr defaultRowHeight="15" x14ac:dyDescent="0.25"/>
  <cols>
    <col min="1" max="1" width="17.85546875" bestFit="1" customWidth="1"/>
    <col min="3" max="3" width="19.42578125" customWidth="1"/>
    <col min="4" max="4" width="17.7109375" customWidth="1"/>
    <col min="5" max="5" width="25.140625" customWidth="1"/>
    <col min="6" max="6" width="18" customWidth="1"/>
    <col min="7" max="7" width="20.140625" customWidth="1"/>
    <col min="8" max="8" width="16" customWidth="1"/>
    <col min="9" max="9" width="15.28515625" customWidth="1"/>
    <col min="10" max="10" width="13" customWidth="1"/>
    <col min="11" max="11" width="19.7109375" customWidth="1"/>
    <col min="12" max="12" width="22.42578125" customWidth="1"/>
    <col min="13" max="13" width="18.85546875" customWidth="1"/>
    <col min="14" max="14" width="17.5703125" customWidth="1"/>
    <col min="15" max="15" width="19.5703125" customWidth="1"/>
    <col min="18" max="18" width="9.5703125" bestFit="1" customWidth="1"/>
  </cols>
  <sheetData>
    <row r="4" spans="1:22" ht="15.75" thickBot="1" x14ac:dyDescent="0.3"/>
    <row r="5" spans="1:22" ht="15.75" thickBot="1" x14ac:dyDescent="0.3">
      <c r="A5" s="327"/>
      <c r="B5" s="328"/>
      <c r="C5" s="328"/>
      <c r="D5" s="359" t="s">
        <v>2868</v>
      </c>
      <c r="E5" s="360"/>
      <c r="F5" s="333" t="s">
        <v>968</v>
      </c>
      <c r="G5" s="334"/>
      <c r="H5" s="334"/>
      <c r="I5" s="334"/>
      <c r="J5" s="335"/>
      <c r="K5" s="331" t="s">
        <v>969</v>
      </c>
      <c r="L5" s="331"/>
      <c r="M5" s="331"/>
      <c r="N5" s="331"/>
      <c r="O5" s="332"/>
    </row>
    <row r="6" spans="1:22" ht="63" x14ac:dyDescent="0.25">
      <c r="A6" s="79" t="s">
        <v>2704</v>
      </c>
      <c r="B6" s="78" t="s">
        <v>2705</v>
      </c>
      <c r="C6" s="83" t="s">
        <v>2706</v>
      </c>
      <c r="D6" s="84" t="s">
        <v>2707</v>
      </c>
      <c r="E6" s="86" t="s">
        <v>2709</v>
      </c>
      <c r="F6" s="74" t="s">
        <v>970</v>
      </c>
      <c r="G6" s="71" t="s">
        <v>2869</v>
      </c>
      <c r="H6" s="72" t="s">
        <v>2870</v>
      </c>
      <c r="I6" s="72" t="s">
        <v>2871</v>
      </c>
      <c r="J6" s="73" t="s">
        <v>959</v>
      </c>
      <c r="K6" s="72" t="s">
        <v>2872</v>
      </c>
      <c r="L6" s="72" t="s">
        <v>2873</v>
      </c>
      <c r="M6" s="72" t="s">
        <v>3030</v>
      </c>
      <c r="N6" s="72" t="s">
        <v>2875</v>
      </c>
      <c r="O6" s="71" t="s">
        <v>2876</v>
      </c>
      <c r="P6" s="115" t="s">
        <v>2720</v>
      </c>
      <c r="Q6" s="115" t="s">
        <v>2721</v>
      </c>
      <c r="R6" s="170" t="s">
        <v>3908</v>
      </c>
      <c r="S6" s="170" t="s">
        <v>3905</v>
      </c>
    </row>
    <row r="7" spans="1:22" x14ac:dyDescent="0.25">
      <c r="A7" s="183">
        <v>9001055100</v>
      </c>
      <c r="B7" s="39" t="s">
        <v>2981</v>
      </c>
      <c r="C7" s="178" t="s">
        <v>944</v>
      </c>
      <c r="D7" s="179">
        <v>394.428</v>
      </c>
      <c r="E7" s="179">
        <v>0</v>
      </c>
      <c r="F7" s="39">
        <f>Table3236[[#This Row],[Single Family]]+Table3236[[#This Row],[2-4 Units]]+Table3236[[#This Row],[&gt;4 Units]]</f>
        <v>0</v>
      </c>
      <c r="G7" s="39"/>
      <c r="H7" s="39"/>
      <c r="I7" s="39"/>
      <c r="J7" s="132">
        <v>0</v>
      </c>
      <c r="K7" s="39">
        <f>SUM(Table3236[[#This Row],[Single Family ]:[&gt;4 Units ]])</f>
        <v>0</v>
      </c>
      <c r="L7" s="133"/>
      <c r="M7" s="133"/>
      <c r="N7" s="133"/>
      <c r="O7" s="134">
        <v>0</v>
      </c>
      <c r="P7" s="241">
        <f>VLOOKUP(Table3236[[#This Row],[Census Tract]],'Population and Diversity Data'!$B$2:$K$823,10,FALSE)</f>
        <v>4</v>
      </c>
      <c r="Q7" s="242" t="str">
        <f>VLOOKUP(Table3236[[#This Row],[Census Tract]],'UI EnergyBurden'!$A$2:$B$184,2,FALSE)</f>
        <v>No</v>
      </c>
      <c r="R7" s="250">
        <f>VLOOKUP(Table3236[[#This Row],[Census Tract]],'Income and Housing Data'!$B$2:$D$823,3,FALSE)</f>
        <v>202500</v>
      </c>
      <c r="S7" s="250" t="str">
        <f>IF($U$7&lt;=Table3236[[#This Row],[Household Income]],IF(Table3236[[#This Row],[Household Income]]&lt;=$U$8, "Yes","No"),"No")</f>
        <v>No</v>
      </c>
      <c r="U7">
        <v>47913</v>
      </c>
      <c r="V7" t="s">
        <v>3906</v>
      </c>
    </row>
    <row r="8" spans="1:22" x14ac:dyDescent="0.25">
      <c r="A8" s="183">
        <v>9001055200</v>
      </c>
      <c r="B8" s="39" t="s">
        <v>2981</v>
      </c>
      <c r="C8" s="178" t="s">
        <v>944</v>
      </c>
      <c r="D8" s="179">
        <v>887.51059999999995</v>
      </c>
      <c r="E8" s="179">
        <v>0</v>
      </c>
      <c r="F8" s="39">
        <f>Table3236[[#This Row],[Single Family]]+Table3236[[#This Row],[2-4 Units]]+Table3236[[#This Row],[&gt;4 Units]]</f>
        <v>0</v>
      </c>
      <c r="G8" s="39"/>
      <c r="H8" s="39"/>
      <c r="I8" s="39"/>
      <c r="J8" s="132">
        <v>0</v>
      </c>
      <c r="K8" s="39">
        <f>SUM(Table3236[[#This Row],[Single Family ]:[&gt;4 Units ]])</f>
        <v>0</v>
      </c>
      <c r="L8" s="133"/>
      <c r="M8" s="133"/>
      <c r="N8" s="133"/>
      <c r="O8" s="134">
        <v>0</v>
      </c>
      <c r="P8" s="243">
        <f>VLOOKUP(Table3236[[#This Row],[Census Tract]],'Population and Diversity Data'!$B$2:$K$823,10,FALSE)</f>
        <v>1</v>
      </c>
      <c r="Q8" s="244" t="str">
        <f>VLOOKUP(Table3236[[#This Row],[Census Tract]],'UI EnergyBurden'!$A$2:$B$184,2,FALSE)</f>
        <v>No</v>
      </c>
      <c r="R8" s="249">
        <f>VLOOKUP(Table3236[[#This Row],[Census Tract]],'Income and Housing Data'!$B$2:$D$823,3,FALSE)</f>
        <v>247361</v>
      </c>
      <c r="S8" s="250" t="str">
        <f>IF($U$7&lt;=Table3236[[#This Row],[Household Income]],IF(Table3236[[#This Row],[Household Income]]&lt;=$U$8, "Yes","No"),"No")</f>
        <v>No</v>
      </c>
      <c r="U8">
        <v>63884</v>
      </c>
      <c r="V8" t="s">
        <v>3907</v>
      </c>
    </row>
    <row r="9" spans="1:22" x14ac:dyDescent="0.25">
      <c r="A9" s="183">
        <v>9001060100</v>
      </c>
      <c r="B9" s="39" t="s">
        <v>934</v>
      </c>
      <c r="C9" s="178" t="s">
        <v>944</v>
      </c>
      <c r="D9" s="179">
        <v>0</v>
      </c>
      <c r="E9" s="179">
        <v>0</v>
      </c>
      <c r="F9" s="39">
        <f>Table3236[[#This Row],[Single Family]]+Table3236[[#This Row],[2-4 Units]]+Table3236[[#This Row],[&gt;4 Units]]</f>
        <v>0</v>
      </c>
      <c r="G9" s="39"/>
      <c r="H9" s="39"/>
      <c r="I9" s="39"/>
      <c r="J9" s="132">
        <v>0</v>
      </c>
      <c r="K9" s="39">
        <f>SUM(Table3236[[#This Row],[Single Family ]:[&gt;4 Units ]])</f>
        <v>0</v>
      </c>
      <c r="L9" s="133"/>
      <c r="M9" s="133"/>
      <c r="N9" s="133"/>
      <c r="O9" s="134">
        <v>0</v>
      </c>
      <c r="P9" s="243">
        <f>VLOOKUP(Table3236[[#This Row],[Census Tract]],'Population and Diversity Data'!$B$2:$K$823,10,FALSE)</f>
        <v>2</v>
      </c>
      <c r="Q9" s="244" t="str">
        <f>VLOOKUP(Table3236[[#This Row],[Census Tract]],'UI EnergyBurden'!$A$2:$B$184,2,FALSE)</f>
        <v>No</v>
      </c>
      <c r="R9" s="249">
        <f>VLOOKUP(Table3236[[#This Row],[Census Tract]],'Income and Housing Data'!$B$2:$D$823,3,FALSE)</f>
        <v>139000</v>
      </c>
      <c r="S9" s="250" t="str">
        <f>IF($U$7&lt;=Table3236[[#This Row],[Household Income]],IF(Table3236[[#This Row],[Household Income]]&lt;=$U$8, "Yes","No"),"No")</f>
        <v>No</v>
      </c>
    </row>
    <row r="10" spans="1:22" x14ac:dyDescent="0.25">
      <c r="A10" s="183">
        <v>9001060100</v>
      </c>
      <c r="B10" s="39" t="s">
        <v>2985</v>
      </c>
      <c r="C10" s="178" t="s">
        <v>944</v>
      </c>
      <c r="D10" s="179">
        <v>58128.328499999901</v>
      </c>
      <c r="E10" s="179">
        <v>19857.8</v>
      </c>
      <c r="F10" s="39">
        <f>Table3236[[#This Row],[Single Family]]+Table3236[[#This Row],[2-4 Units]]+Table3236[[#This Row],[&gt;4 Units]]</f>
        <v>16</v>
      </c>
      <c r="G10" s="39">
        <v>15</v>
      </c>
      <c r="H10" s="39">
        <v>1</v>
      </c>
      <c r="I10" s="39">
        <v>0</v>
      </c>
      <c r="J10" s="132">
        <v>15652.21</v>
      </c>
      <c r="K10" s="39">
        <f>SUM(Table3236[[#This Row],[Single Family ]:[&gt;4 Units ]])</f>
        <v>2</v>
      </c>
      <c r="L10" s="133">
        <v>2</v>
      </c>
      <c r="M10" s="133">
        <v>0</v>
      </c>
      <c r="N10" s="133">
        <v>0</v>
      </c>
      <c r="O10" s="134">
        <v>4205.59</v>
      </c>
      <c r="P10" s="243">
        <f>VLOOKUP(Table3236[[#This Row],[Census Tract]],'Population and Diversity Data'!$B$2:$K$823,10,FALSE)</f>
        <v>2</v>
      </c>
      <c r="Q10" s="244" t="str">
        <f>VLOOKUP(Table3236[[#This Row],[Census Tract]],'UI EnergyBurden'!$A$2:$B$184,2,FALSE)</f>
        <v>No</v>
      </c>
      <c r="R10" s="249">
        <f>VLOOKUP(Table3236[[#This Row],[Census Tract]],'Income and Housing Data'!$B$2:$D$823,3,FALSE)</f>
        <v>139000</v>
      </c>
      <c r="S10" s="250" t="str">
        <f>IF($U$7&lt;=Table3236[[#This Row],[Household Income]],IF(Table3236[[#This Row],[Household Income]]&lt;=$U$8, "Yes","No"),"No")</f>
        <v>No</v>
      </c>
    </row>
    <row r="11" spans="1:22" x14ac:dyDescent="0.25">
      <c r="A11" s="183">
        <v>9001060100</v>
      </c>
      <c r="B11" s="39" t="s">
        <v>2987</v>
      </c>
      <c r="C11" s="178" t="s">
        <v>944</v>
      </c>
      <c r="D11" s="179">
        <v>0</v>
      </c>
      <c r="E11" s="179">
        <v>0</v>
      </c>
      <c r="F11" s="39">
        <f>Table3236[[#This Row],[Single Family]]+Table3236[[#This Row],[2-4 Units]]+Table3236[[#This Row],[&gt;4 Units]]</f>
        <v>0</v>
      </c>
      <c r="G11" s="39"/>
      <c r="H11" s="39"/>
      <c r="I11" s="39"/>
      <c r="J11" s="132">
        <v>0</v>
      </c>
      <c r="K11" s="39">
        <f>SUM(Table3236[[#This Row],[Single Family ]:[&gt;4 Units ]])</f>
        <v>0</v>
      </c>
      <c r="L11" s="133"/>
      <c r="M11" s="133"/>
      <c r="N11" s="133"/>
      <c r="O11" s="134">
        <v>0</v>
      </c>
      <c r="P11" s="243">
        <f>VLOOKUP(Table3236[[#This Row],[Census Tract]],'Population and Diversity Data'!$B$2:$K$823,10,FALSE)</f>
        <v>2</v>
      </c>
      <c r="Q11" s="244" t="str">
        <f>VLOOKUP(Table3236[[#This Row],[Census Tract]],'UI EnergyBurden'!$A$2:$B$184,2,FALSE)</f>
        <v>No</v>
      </c>
      <c r="R11" s="249">
        <f>VLOOKUP(Table3236[[#This Row],[Census Tract]],'Income and Housing Data'!$B$2:$D$823,3,FALSE)</f>
        <v>139000</v>
      </c>
      <c r="S11" s="250" t="str">
        <f>IF($U$7&lt;=Table3236[[#This Row],[Household Income]],IF(Table3236[[#This Row],[Household Income]]&lt;=$U$8, "Yes","No"),"No")</f>
        <v>No</v>
      </c>
    </row>
    <row r="12" spans="1:22" x14ac:dyDescent="0.25">
      <c r="A12" s="183">
        <v>9001060200</v>
      </c>
      <c r="B12" s="39" t="s">
        <v>2985</v>
      </c>
      <c r="C12" s="178" t="s">
        <v>944</v>
      </c>
      <c r="D12" s="179">
        <v>78630.955100000006</v>
      </c>
      <c r="E12" s="179">
        <v>29656.58</v>
      </c>
      <c r="F12" s="39">
        <f>Table3236[[#This Row],[Single Family]]+Table3236[[#This Row],[2-4 Units]]+Table3236[[#This Row],[&gt;4 Units]]</f>
        <v>26</v>
      </c>
      <c r="G12" s="39">
        <v>26</v>
      </c>
      <c r="H12" s="39">
        <v>0</v>
      </c>
      <c r="I12" s="39">
        <v>0</v>
      </c>
      <c r="J12" s="132">
        <v>20186.77</v>
      </c>
      <c r="K12" s="39">
        <f>SUM(Table3236[[#This Row],[Single Family ]:[&gt;4 Units ]])</f>
        <v>3</v>
      </c>
      <c r="L12" s="133">
        <v>3</v>
      </c>
      <c r="M12" s="133">
        <v>0</v>
      </c>
      <c r="N12" s="133">
        <v>0</v>
      </c>
      <c r="O12" s="134">
        <v>9469.81</v>
      </c>
      <c r="P12" s="243">
        <f>VLOOKUP(Table3236[[#This Row],[Census Tract]],'Population and Diversity Data'!$B$2:$K$823,10,FALSE)</f>
        <v>3</v>
      </c>
      <c r="Q12" s="244" t="str">
        <f>VLOOKUP(Table3236[[#This Row],[Census Tract]],'UI EnergyBurden'!$A$2:$B$184,2,FALSE)</f>
        <v>No</v>
      </c>
      <c r="R12" s="249">
        <f>VLOOKUP(Table3236[[#This Row],[Census Tract]],'Income and Housing Data'!$B$2:$D$823,3,FALSE)</f>
        <v>126838</v>
      </c>
      <c r="S12" s="250" t="str">
        <f>IF($U$7&lt;=Table3236[[#This Row],[Household Income]],IF(Table3236[[#This Row],[Household Income]]&lt;=$U$8, "Yes","No"),"No")</f>
        <v>No</v>
      </c>
    </row>
    <row r="13" spans="1:22" x14ac:dyDescent="0.25">
      <c r="A13" s="183">
        <v>9001060300</v>
      </c>
      <c r="B13" s="39" t="s">
        <v>2985</v>
      </c>
      <c r="C13" s="178" t="s">
        <v>944</v>
      </c>
      <c r="D13" s="179">
        <v>92872.916500000298</v>
      </c>
      <c r="E13" s="179">
        <v>19540.71</v>
      </c>
      <c r="F13" s="39">
        <f>Table3236[[#This Row],[Single Family]]+Table3236[[#This Row],[2-4 Units]]+Table3236[[#This Row],[&gt;4 Units]]</f>
        <v>15</v>
      </c>
      <c r="G13" s="39">
        <v>15</v>
      </c>
      <c r="H13" s="39">
        <v>0</v>
      </c>
      <c r="I13" s="39">
        <v>0</v>
      </c>
      <c r="J13" s="132">
        <v>11061.91</v>
      </c>
      <c r="K13" s="39">
        <f>SUM(Table3236[[#This Row],[Single Family ]:[&gt;4 Units ]])</f>
        <v>2</v>
      </c>
      <c r="L13" s="133">
        <v>2</v>
      </c>
      <c r="M13" s="133">
        <v>0</v>
      </c>
      <c r="N13" s="133">
        <v>0</v>
      </c>
      <c r="O13" s="134">
        <v>8478.7999999999993</v>
      </c>
      <c r="P13" s="243">
        <f>VLOOKUP(Table3236[[#This Row],[Census Tract]],'Population and Diversity Data'!$B$2:$K$823,10,FALSE)</f>
        <v>2</v>
      </c>
      <c r="Q13" s="244" t="str">
        <f>VLOOKUP(Table3236[[#This Row],[Census Tract]],'UI EnergyBurden'!$A$2:$B$184,2,FALSE)</f>
        <v>No</v>
      </c>
      <c r="R13" s="249">
        <f>VLOOKUP(Table3236[[#This Row],[Census Tract]],'Income and Housing Data'!$B$2:$D$823,3,FALSE)</f>
        <v>195250</v>
      </c>
      <c r="S13" s="250" t="str">
        <f>IF($U$7&lt;=Table3236[[#This Row],[Household Income]],IF(Table3236[[#This Row],[Household Income]]&lt;=$U$8, "Yes","No"),"No")</f>
        <v>No</v>
      </c>
    </row>
    <row r="14" spans="1:22" x14ac:dyDescent="0.25">
      <c r="A14" s="183">
        <v>9001060400</v>
      </c>
      <c r="B14" s="39" t="s">
        <v>2985</v>
      </c>
      <c r="C14" s="178" t="s">
        <v>944</v>
      </c>
      <c r="D14" s="179">
        <v>158569.57990000001</v>
      </c>
      <c r="E14" s="179">
        <v>16361.63</v>
      </c>
      <c r="F14" s="39">
        <f>Table3236[[#This Row],[Single Family]]+Table3236[[#This Row],[2-4 Units]]+Table3236[[#This Row],[&gt;4 Units]]</f>
        <v>15</v>
      </c>
      <c r="G14" s="39">
        <v>15</v>
      </c>
      <c r="H14" s="39">
        <v>0</v>
      </c>
      <c r="I14" s="39">
        <v>0</v>
      </c>
      <c r="J14" s="132">
        <v>16361.63</v>
      </c>
      <c r="K14" s="39">
        <f>SUM(Table3236[[#This Row],[Single Family ]:[&gt;4 Units ]])</f>
        <v>0</v>
      </c>
      <c r="L14" s="133"/>
      <c r="M14" s="133"/>
      <c r="N14" s="133"/>
      <c r="O14" s="134">
        <v>0</v>
      </c>
      <c r="P14" s="243">
        <f>VLOOKUP(Table3236[[#This Row],[Census Tract]],'Population and Diversity Data'!$B$2:$K$823,10,FALSE)</f>
        <v>1</v>
      </c>
      <c r="Q14" s="244" t="str">
        <f>VLOOKUP(Table3236[[#This Row],[Census Tract]],'UI EnergyBurden'!$A$2:$B$184,2,FALSE)</f>
        <v>No</v>
      </c>
      <c r="R14" s="249">
        <f>VLOOKUP(Table3236[[#This Row],[Census Tract]],'Income and Housing Data'!$B$2:$D$823,3,FALSE)</f>
        <v>247169</v>
      </c>
      <c r="S14" s="250" t="str">
        <f>IF($U$7&lt;=Table3236[[#This Row],[Household Income]],IF(Table3236[[#This Row],[Household Income]]&lt;=$U$8, "Yes","No"),"No")</f>
        <v>No</v>
      </c>
    </row>
    <row r="15" spans="1:22" x14ac:dyDescent="0.25">
      <c r="A15" s="183">
        <v>9001060500</v>
      </c>
      <c r="B15" s="39" t="s">
        <v>2985</v>
      </c>
      <c r="C15" s="178" t="s">
        <v>944</v>
      </c>
      <c r="D15" s="179">
        <v>71345.134499999898</v>
      </c>
      <c r="E15" s="179">
        <v>7351.8</v>
      </c>
      <c r="F15" s="39">
        <f>Table3236[[#This Row],[Single Family]]+Table3236[[#This Row],[2-4 Units]]+Table3236[[#This Row],[&gt;4 Units]]</f>
        <v>13</v>
      </c>
      <c r="G15" s="39">
        <v>13</v>
      </c>
      <c r="H15" s="39">
        <v>0</v>
      </c>
      <c r="I15" s="39">
        <v>0</v>
      </c>
      <c r="J15" s="132">
        <v>7351.8</v>
      </c>
      <c r="K15" s="39">
        <f>SUM(Table3236[[#This Row],[Single Family ]:[&gt;4 Units ]])</f>
        <v>0</v>
      </c>
      <c r="L15" s="133"/>
      <c r="M15" s="133"/>
      <c r="N15" s="133"/>
      <c r="O15" s="134">
        <v>0</v>
      </c>
      <c r="P15" s="243">
        <f>VLOOKUP(Table3236[[#This Row],[Census Tract]],'Population and Diversity Data'!$B$2:$K$823,10,FALSE)</f>
        <v>1</v>
      </c>
      <c r="Q15" s="244" t="str">
        <f>VLOOKUP(Table3236[[#This Row],[Census Tract]],'UI EnergyBurden'!$A$2:$B$184,2,FALSE)</f>
        <v>No</v>
      </c>
      <c r="R15" s="249">
        <f>VLOOKUP(Table3236[[#This Row],[Census Tract]],'Income and Housing Data'!$B$2:$D$823,3,FALSE)</f>
        <v>216500</v>
      </c>
      <c r="S15" s="250" t="str">
        <f>IF($U$7&lt;=Table3236[[#This Row],[Household Income]],IF(Table3236[[#This Row],[Household Income]]&lt;=$U$8, "Yes","No"),"No")</f>
        <v>No</v>
      </c>
    </row>
    <row r="16" spans="1:22" x14ac:dyDescent="0.25">
      <c r="A16" s="183">
        <v>9001060600</v>
      </c>
      <c r="B16" s="39" t="s">
        <v>2985</v>
      </c>
      <c r="C16" s="178" t="s">
        <v>944</v>
      </c>
      <c r="D16" s="179">
        <v>73188.417499999807</v>
      </c>
      <c r="E16" s="179">
        <v>6296</v>
      </c>
      <c r="F16" s="39">
        <f>Table3236[[#This Row],[Single Family]]+Table3236[[#This Row],[2-4 Units]]+Table3236[[#This Row],[&gt;4 Units]]</f>
        <v>9</v>
      </c>
      <c r="G16" s="39">
        <v>9</v>
      </c>
      <c r="H16" s="39">
        <v>0</v>
      </c>
      <c r="I16" s="39">
        <v>0</v>
      </c>
      <c r="J16" s="132">
        <v>6296</v>
      </c>
      <c r="K16" s="39">
        <f>SUM(Table3236[[#This Row],[Single Family ]:[&gt;4 Units ]])</f>
        <v>0</v>
      </c>
      <c r="L16" s="133"/>
      <c r="M16" s="133"/>
      <c r="N16" s="133"/>
      <c r="O16" s="134">
        <v>0</v>
      </c>
      <c r="P16" s="243">
        <f>VLOOKUP(Table3236[[#This Row],[Census Tract]],'Population and Diversity Data'!$B$2:$K$823,10,FALSE)</f>
        <v>2</v>
      </c>
      <c r="Q16" s="244" t="str">
        <f>VLOOKUP(Table3236[[#This Row],[Census Tract]],'UI EnergyBurden'!$A$2:$B$184,2,FALSE)</f>
        <v>No</v>
      </c>
      <c r="R16" s="249">
        <f>VLOOKUP(Table3236[[#This Row],[Census Tract]],'Income and Housing Data'!$B$2:$D$823,3,FALSE)</f>
        <v>174712</v>
      </c>
      <c r="S16" s="250" t="str">
        <f>IF($U$7&lt;=Table3236[[#This Row],[Household Income]],IF(Table3236[[#This Row],[Household Income]]&lt;=$U$8, "Yes","No"),"No")</f>
        <v>No</v>
      </c>
    </row>
    <row r="17" spans="1:19" x14ac:dyDescent="0.25">
      <c r="A17" s="183">
        <v>9001060700</v>
      </c>
      <c r="B17" s="39" t="s">
        <v>2985</v>
      </c>
      <c r="C17" s="178" t="s">
        <v>944</v>
      </c>
      <c r="D17" s="179">
        <v>98856.620699999999</v>
      </c>
      <c r="E17" s="179">
        <v>8336.0400000000009</v>
      </c>
      <c r="F17" s="39">
        <f>Table3236[[#This Row],[Single Family]]+Table3236[[#This Row],[2-4 Units]]+Table3236[[#This Row],[&gt;4 Units]]</f>
        <v>15</v>
      </c>
      <c r="G17" s="39">
        <v>15</v>
      </c>
      <c r="H17" s="39">
        <v>0</v>
      </c>
      <c r="I17" s="39">
        <v>0</v>
      </c>
      <c r="J17" s="132">
        <v>8336.0400000000009</v>
      </c>
      <c r="K17" s="39">
        <f>SUM(Table3236[[#This Row],[Single Family ]:[&gt;4 Units ]])</f>
        <v>0</v>
      </c>
      <c r="L17" s="133"/>
      <c r="M17" s="133"/>
      <c r="N17" s="133"/>
      <c r="O17" s="134">
        <v>0</v>
      </c>
      <c r="P17" s="243">
        <f>VLOOKUP(Table3236[[#This Row],[Census Tract]],'Population and Diversity Data'!$B$2:$K$823,10,FALSE)</f>
        <v>2</v>
      </c>
      <c r="Q17" s="244" t="str">
        <f>VLOOKUP(Table3236[[#This Row],[Census Tract]],'UI EnergyBurden'!$A$2:$B$184,2,FALSE)</f>
        <v>No</v>
      </c>
      <c r="R17" s="249">
        <f>VLOOKUP(Table3236[[#This Row],[Census Tract]],'Income and Housing Data'!$B$2:$D$823,3,FALSE)</f>
        <v>180694</v>
      </c>
      <c r="S17" s="250" t="str">
        <f>IF($U$7&lt;=Table3236[[#This Row],[Household Income]],IF(Table3236[[#This Row],[Household Income]]&lt;=$U$8, "Yes","No"),"No")</f>
        <v>No</v>
      </c>
    </row>
    <row r="18" spans="1:19" x14ac:dyDescent="0.25">
      <c r="A18" s="183">
        <v>9001060800</v>
      </c>
      <c r="B18" s="39" t="s">
        <v>2985</v>
      </c>
      <c r="C18" s="178" t="s">
        <v>944</v>
      </c>
      <c r="D18" s="179">
        <v>39085.891300000003</v>
      </c>
      <c r="E18" s="179">
        <v>4387.5200000000004</v>
      </c>
      <c r="F18" s="39">
        <f>Table3236[[#This Row],[Single Family]]+Table3236[[#This Row],[2-4 Units]]+Table3236[[#This Row],[&gt;4 Units]]</f>
        <v>7</v>
      </c>
      <c r="G18" s="39">
        <v>7</v>
      </c>
      <c r="H18" s="39">
        <v>0</v>
      </c>
      <c r="I18" s="39">
        <v>0</v>
      </c>
      <c r="J18" s="132">
        <v>4254.42</v>
      </c>
      <c r="K18" s="39">
        <f>SUM(Table3236[[#This Row],[Single Family ]:[&gt;4 Units ]])</f>
        <v>1</v>
      </c>
      <c r="L18" s="133">
        <v>1</v>
      </c>
      <c r="M18" s="133">
        <v>0</v>
      </c>
      <c r="N18" s="133">
        <v>0</v>
      </c>
      <c r="O18" s="134">
        <v>133.1</v>
      </c>
      <c r="P18" s="243">
        <f>VLOOKUP(Table3236[[#This Row],[Census Tract]],'Population and Diversity Data'!$B$2:$K$823,10,FALSE)</f>
        <v>2</v>
      </c>
      <c r="Q18" s="244" t="str">
        <f>VLOOKUP(Table3236[[#This Row],[Census Tract]],'UI EnergyBurden'!$A$2:$B$184,2,FALSE)</f>
        <v>No</v>
      </c>
      <c r="R18" s="249">
        <f>VLOOKUP(Table3236[[#This Row],[Census Tract]],'Income and Housing Data'!$B$2:$D$823,3,FALSE)</f>
        <v>171250</v>
      </c>
      <c r="S18" s="250" t="str">
        <f>IF($U$7&lt;=Table3236[[#This Row],[Household Income]],IF(Table3236[[#This Row],[Household Income]]&lt;=$U$8, "Yes","No"),"No")</f>
        <v>No</v>
      </c>
    </row>
    <row r="19" spans="1:19" x14ac:dyDescent="0.25">
      <c r="A19" s="183">
        <v>9001060900</v>
      </c>
      <c r="B19" s="39" t="s">
        <v>2985</v>
      </c>
      <c r="C19" s="178" t="s">
        <v>944</v>
      </c>
      <c r="D19" s="179">
        <v>48889.4</v>
      </c>
      <c r="E19" s="179">
        <v>30036.3</v>
      </c>
      <c r="F19" s="39">
        <f>Table3236[[#This Row],[Single Family]]+Table3236[[#This Row],[2-4 Units]]+Table3236[[#This Row],[&gt;4 Units]]</f>
        <v>13</v>
      </c>
      <c r="G19" s="39">
        <v>13</v>
      </c>
      <c r="H19" s="39">
        <v>0</v>
      </c>
      <c r="I19" s="39">
        <v>0</v>
      </c>
      <c r="J19" s="132">
        <v>10016.58</v>
      </c>
      <c r="K19" s="39">
        <f>SUM(Table3236[[#This Row],[Single Family ]:[&gt;4 Units ]])</f>
        <v>1</v>
      </c>
      <c r="L19" s="133">
        <v>1</v>
      </c>
      <c r="M19" s="133">
        <v>0</v>
      </c>
      <c r="N19" s="133">
        <v>0</v>
      </c>
      <c r="O19" s="134">
        <v>20019.72</v>
      </c>
      <c r="P19" s="243">
        <f>VLOOKUP(Table3236[[#This Row],[Census Tract]],'Population and Diversity Data'!$B$2:$K$823,10,FALSE)</f>
        <v>1</v>
      </c>
      <c r="Q19" s="244" t="str">
        <f>VLOOKUP(Table3236[[#This Row],[Census Tract]],'UI EnergyBurden'!$A$2:$B$184,2,FALSE)</f>
        <v>No</v>
      </c>
      <c r="R19" s="249">
        <f>VLOOKUP(Table3236[[#This Row],[Census Tract]],'Income and Housing Data'!$B$2:$D$823,3,FALSE)</f>
        <v>140278</v>
      </c>
      <c r="S19" s="250" t="str">
        <f>IF($U$7&lt;=Table3236[[#This Row],[Household Income]],IF(Table3236[[#This Row],[Household Income]]&lt;=$U$8, "Yes","No"),"No")</f>
        <v>No</v>
      </c>
    </row>
    <row r="20" spans="1:19" x14ac:dyDescent="0.25">
      <c r="A20" s="183">
        <v>9001061000</v>
      </c>
      <c r="B20" s="39" t="s">
        <v>2985</v>
      </c>
      <c r="C20" s="178" t="s">
        <v>944</v>
      </c>
      <c r="D20" s="179">
        <v>73580.641299999901</v>
      </c>
      <c r="E20" s="179">
        <v>75486.320000000007</v>
      </c>
      <c r="F20" s="39">
        <f>Table3236[[#This Row],[Single Family]]+Table3236[[#This Row],[2-4 Units]]+Table3236[[#This Row],[&gt;4 Units]]</f>
        <v>17</v>
      </c>
      <c r="G20" s="39">
        <v>17</v>
      </c>
      <c r="H20" s="39">
        <v>0</v>
      </c>
      <c r="I20" s="39">
        <v>0</v>
      </c>
      <c r="J20" s="132">
        <v>14143.73</v>
      </c>
      <c r="K20" s="39">
        <f>SUM(Table3236[[#This Row],[Single Family ]:[&gt;4 Units ]])</f>
        <v>3</v>
      </c>
      <c r="L20" s="133">
        <v>3</v>
      </c>
      <c r="M20" s="133">
        <v>0</v>
      </c>
      <c r="N20" s="133">
        <v>0</v>
      </c>
      <c r="O20" s="134">
        <v>2267.59</v>
      </c>
      <c r="P20" s="243">
        <f>VLOOKUP(Table3236[[#This Row],[Census Tract]],'Population and Diversity Data'!$B$2:$K$823,10,FALSE)</f>
        <v>3</v>
      </c>
      <c r="Q20" s="244" t="str">
        <f>VLOOKUP(Table3236[[#This Row],[Census Tract]],'UI EnergyBurden'!$A$2:$B$184,2,FALSE)</f>
        <v>No</v>
      </c>
      <c r="R20" s="249">
        <f>VLOOKUP(Table3236[[#This Row],[Census Tract]],'Income and Housing Data'!$B$2:$D$823,3,FALSE)</f>
        <v>78844</v>
      </c>
      <c r="S20" s="250" t="str">
        <f>IF($U$7&lt;=Table3236[[#This Row],[Household Income]],IF(Table3236[[#This Row],[Household Income]]&lt;=$U$8, "Yes","No"),"No")</f>
        <v>No</v>
      </c>
    </row>
    <row r="21" spans="1:19" x14ac:dyDescent="0.25">
      <c r="A21" s="183">
        <v>9001061100</v>
      </c>
      <c r="B21" s="39" t="s">
        <v>2985</v>
      </c>
      <c r="C21" s="178" t="s">
        <v>944</v>
      </c>
      <c r="D21" s="179">
        <v>67549.058600000004</v>
      </c>
      <c r="E21" s="179">
        <v>4173.07</v>
      </c>
      <c r="F21" s="39">
        <f>Table3236[[#This Row],[Single Family]]+Table3236[[#This Row],[2-4 Units]]+Table3236[[#This Row],[&gt;4 Units]]</f>
        <v>12</v>
      </c>
      <c r="G21" s="39">
        <v>12</v>
      </c>
      <c r="H21" s="39">
        <v>0</v>
      </c>
      <c r="I21" s="39">
        <v>0</v>
      </c>
      <c r="J21" s="132">
        <v>4173.07</v>
      </c>
      <c r="K21" s="39">
        <f>SUM(Table3236[[#This Row],[Single Family ]:[&gt;4 Units ]])</f>
        <v>0</v>
      </c>
      <c r="L21" s="133"/>
      <c r="M21" s="133"/>
      <c r="N21" s="133"/>
      <c r="O21" s="134">
        <v>0</v>
      </c>
      <c r="P21" s="243">
        <f>VLOOKUP(Table3236[[#This Row],[Census Tract]],'Population and Diversity Data'!$B$2:$K$823,10,FALSE)</f>
        <v>1</v>
      </c>
      <c r="Q21" s="244" t="str">
        <f>VLOOKUP(Table3236[[#This Row],[Census Tract]],'UI EnergyBurden'!$A$2:$B$184,2,FALSE)</f>
        <v>No</v>
      </c>
      <c r="R21" s="249">
        <f>VLOOKUP(Table3236[[#This Row],[Census Tract]],'Income and Housing Data'!$B$2:$D$823,3,FALSE)</f>
        <v>163438</v>
      </c>
      <c r="S21" s="250" t="str">
        <f>IF($U$7&lt;=Table3236[[#This Row],[Household Income]],IF(Table3236[[#This Row],[Household Income]]&lt;=$U$8, "Yes","No"),"No")</f>
        <v>No</v>
      </c>
    </row>
    <row r="22" spans="1:19" x14ac:dyDescent="0.25">
      <c r="A22" s="183">
        <v>9001061200</v>
      </c>
      <c r="B22" s="39" t="s">
        <v>2985</v>
      </c>
      <c r="C22" s="178" t="s">
        <v>944</v>
      </c>
      <c r="D22" s="179">
        <v>35405.151700000002</v>
      </c>
      <c r="E22" s="179">
        <v>19213.03</v>
      </c>
      <c r="F22" s="39">
        <f>Table3236[[#This Row],[Single Family]]+Table3236[[#This Row],[2-4 Units]]+Table3236[[#This Row],[&gt;4 Units]]</f>
        <v>12</v>
      </c>
      <c r="G22" s="39">
        <v>9</v>
      </c>
      <c r="H22" s="39">
        <v>3</v>
      </c>
      <c r="I22" s="39">
        <v>0</v>
      </c>
      <c r="J22" s="132">
        <v>5648.47</v>
      </c>
      <c r="K22" s="39">
        <f>SUM(Table3236[[#This Row],[Single Family ]:[&gt;4 Units ]])</f>
        <v>1</v>
      </c>
      <c r="L22" s="133">
        <v>1</v>
      </c>
      <c r="M22" s="133">
        <v>0</v>
      </c>
      <c r="N22" s="133">
        <v>0</v>
      </c>
      <c r="O22" s="134">
        <v>13564.56</v>
      </c>
      <c r="P22" s="243">
        <f>VLOOKUP(Table3236[[#This Row],[Census Tract]],'Population and Diversity Data'!$B$2:$K$823,10,FALSE)</f>
        <v>5</v>
      </c>
      <c r="Q22" s="244" t="str">
        <f>VLOOKUP(Table3236[[#This Row],[Census Tract]],'UI EnergyBurden'!$A$2:$B$184,2,FALSE)</f>
        <v>No</v>
      </c>
      <c r="R22" s="249">
        <f>VLOOKUP(Table3236[[#This Row],[Census Tract]],'Income and Housing Data'!$B$2:$D$823,3,FALSE)</f>
        <v>81667</v>
      </c>
      <c r="S22" s="250" t="str">
        <f>IF($U$7&lt;=Table3236[[#This Row],[Household Income]],IF(Table3236[[#This Row],[Household Income]]&lt;=$U$8, "Yes","No"),"No")</f>
        <v>No</v>
      </c>
    </row>
    <row r="23" spans="1:19" x14ac:dyDescent="0.25">
      <c r="A23" s="183">
        <v>9001061300</v>
      </c>
      <c r="B23" s="39" t="s">
        <v>2985</v>
      </c>
      <c r="C23" s="178" t="s">
        <v>944</v>
      </c>
      <c r="D23" s="179">
        <v>51750.383699999998</v>
      </c>
      <c r="E23" s="179">
        <v>7224.19</v>
      </c>
      <c r="F23" s="39">
        <f>Table3236[[#This Row],[Single Family]]+Table3236[[#This Row],[2-4 Units]]+Table3236[[#This Row],[&gt;4 Units]]</f>
        <v>9</v>
      </c>
      <c r="G23" s="39">
        <v>8</v>
      </c>
      <c r="H23" s="39">
        <v>1</v>
      </c>
      <c r="I23" s="39">
        <v>0</v>
      </c>
      <c r="J23" s="132">
        <v>4853.8500000000004</v>
      </c>
      <c r="K23" s="39">
        <f>SUM(Table3236[[#This Row],[Single Family ]:[&gt;4 Units ]])</f>
        <v>3</v>
      </c>
      <c r="L23" s="133">
        <v>3</v>
      </c>
      <c r="M23" s="133">
        <v>0</v>
      </c>
      <c r="N23" s="133">
        <v>0</v>
      </c>
      <c r="O23" s="134">
        <v>2370.34</v>
      </c>
      <c r="P23" s="243">
        <f>VLOOKUP(Table3236[[#This Row],[Census Tract]],'Population and Diversity Data'!$B$2:$K$823,10,FALSE)</f>
        <v>4</v>
      </c>
      <c r="Q23" s="244" t="str">
        <f>VLOOKUP(Table3236[[#This Row],[Census Tract]],'UI EnergyBurden'!$A$2:$B$184,2,FALSE)</f>
        <v>No</v>
      </c>
      <c r="R23" s="249">
        <f>VLOOKUP(Table3236[[#This Row],[Census Tract]],'Income and Housing Data'!$B$2:$D$823,3,FALSE)</f>
        <v>90913</v>
      </c>
      <c r="S23" s="250" t="str">
        <f>IF($U$7&lt;=Table3236[[#This Row],[Household Income]],IF(Table3236[[#This Row],[Household Income]]&lt;=$U$8, "Yes","No"),"No")</f>
        <v>No</v>
      </c>
    </row>
    <row r="24" spans="1:19" x14ac:dyDescent="0.25">
      <c r="A24" s="183">
        <v>9001061400</v>
      </c>
      <c r="B24" s="39" t="s">
        <v>2985</v>
      </c>
      <c r="C24" s="178" t="s">
        <v>944</v>
      </c>
      <c r="D24" s="179">
        <v>47281.252</v>
      </c>
      <c r="E24" s="179">
        <v>5299.19</v>
      </c>
      <c r="F24" s="39">
        <f>Table3236[[#This Row],[Single Family]]+Table3236[[#This Row],[2-4 Units]]+Table3236[[#This Row],[&gt;4 Units]]</f>
        <v>6</v>
      </c>
      <c r="G24" s="39">
        <v>5</v>
      </c>
      <c r="H24" s="39">
        <v>1</v>
      </c>
      <c r="I24" s="39">
        <v>0</v>
      </c>
      <c r="J24" s="132">
        <v>3377.69</v>
      </c>
      <c r="K24" s="39">
        <f>SUM(Table3236[[#This Row],[Single Family ]:[&gt;4 Units ]])</f>
        <v>2</v>
      </c>
      <c r="L24" s="133">
        <v>2</v>
      </c>
      <c r="M24" s="133">
        <v>0</v>
      </c>
      <c r="N24" s="133">
        <v>0</v>
      </c>
      <c r="O24" s="134">
        <v>1921.5</v>
      </c>
      <c r="P24" s="243">
        <f>VLOOKUP(Table3236[[#This Row],[Census Tract]],'Population and Diversity Data'!$B$2:$K$823,10,FALSE)</f>
        <v>5</v>
      </c>
      <c r="Q24" s="244" t="str">
        <f>VLOOKUP(Table3236[[#This Row],[Census Tract]],'UI EnergyBurden'!$A$2:$B$184,2,FALSE)</f>
        <v>No</v>
      </c>
      <c r="R24" s="249">
        <f>VLOOKUP(Table3236[[#This Row],[Census Tract]],'Income and Housing Data'!$B$2:$D$823,3,FALSE)</f>
        <v>91467</v>
      </c>
      <c r="S24" s="250" t="str">
        <f>IF($U$7&lt;=Table3236[[#This Row],[Household Income]],IF(Table3236[[#This Row],[Household Income]]&lt;=$U$8, "Yes","No"),"No")</f>
        <v>No</v>
      </c>
    </row>
    <row r="25" spans="1:19" x14ac:dyDescent="0.25">
      <c r="A25" s="183">
        <v>9001061500</v>
      </c>
      <c r="B25" s="39" t="s">
        <v>934</v>
      </c>
      <c r="C25" s="178" t="s">
        <v>944</v>
      </c>
      <c r="D25" s="179">
        <v>0</v>
      </c>
      <c r="E25" s="179">
        <v>0</v>
      </c>
      <c r="F25" s="39">
        <f>Table3236[[#This Row],[Single Family]]+Table3236[[#This Row],[2-4 Units]]+Table3236[[#This Row],[&gt;4 Units]]</f>
        <v>0</v>
      </c>
      <c r="G25" s="39"/>
      <c r="H25" s="39"/>
      <c r="I25" s="39"/>
      <c r="J25" s="132">
        <v>0</v>
      </c>
      <c r="K25" s="39">
        <f>SUM(Table3236[[#This Row],[Single Family ]:[&gt;4 Units ]])</f>
        <v>0</v>
      </c>
      <c r="L25" s="133"/>
      <c r="M25" s="133"/>
      <c r="N25" s="133"/>
      <c r="O25" s="134">
        <v>0</v>
      </c>
      <c r="P25" s="243">
        <f>VLOOKUP(Table3236[[#This Row],[Census Tract]],'Population and Diversity Data'!$B$2:$K$823,10,FALSE)</f>
        <v>4</v>
      </c>
      <c r="Q25" s="244" t="str">
        <f>VLOOKUP(Table3236[[#This Row],[Census Tract]],'UI EnergyBurden'!$A$2:$B$184,2,FALSE)</f>
        <v>No</v>
      </c>
      <c r="R25" s="249">
        <f>VLOOKUP(Table3236[[#This Row],[Census Tract]],'Income and Housing Data'!$B$2:$D$823,3,FALSE)</f>
        <v>148804</v>
      </c>
      <c r="S25" s="250" t="str">
        <f>IF($U$7&lt;=Table3236[[#This Row],[Household Income]],IF(Table3236[[#This Row],[Household Income]]&lt;=$U$8, "Yes","No"),"No")</f>
        <v>No</v>
      </c>
    </row>
    <row r="26" spans="1:19" x14ac:dyDescent="0.25">
      <c r="A26" s="183">
        <v>9001061500</v>
      </c>
      <c r="B26" s="39" t="s">
        <v>2985</v>
      </c>
      <c r="C26" s="178" t="s">
        <v>944</v>
      </c>
      <c r="D26" s="179">
        <v>104123.3682</v>
      </c>
      <c r="E26" s="179">
        <v>13917.12</v>
      </c>
      <c r="F26" s="39">
        <f>Table3236[[#This Row],[Single Family]]+Table3236[[#This Row],[2-4 Units]]+Table3236[[#This Row],[&gt;4 Units]]</f>
        <v>18</v>
      </c>
      <c r="G26" s="39">
        <v>18</v>
      </c>
      <c r="H26" s="39">
        <v>0</v>
      </c>
      <c r="I26" s="39">
        <v>0</v>
      </c>
      <c r="J26" s="132">
        <v>8101.4</v>
      </c>
      <c r="K26" s="39">
        <f>SUM(Table3236[[#This Row],[Single Family ]:[&gt;4 Units ]])</f>
        <v>4</v>
      </c>
      <c r="L26" s="133">
        <v>4</v>
      </c>
      <c r="M26" s="133">
        <v>0</v>
      </c>
      <c r="N26" s="133">
        <v>0</v>
      </c>
      <c r="O26" s="134">
        <v>5815.72</v>
      </c>
      <c r="P26" s="243">
        <f>VLOOKUP(Table3236[[#This Row],[Census Tract]],'Population and Diversity Data'!$B$2:$K$823,10,FALSE)</f>
        <v>4</v>
      </c>
      <c r="Q26" s="244" t="str">
        <f>VLOOKUP(Table3236[[#This Row],[Census Tract]],'UI EnergyBurden'!$A$2:$B$184,2,FALSE)</f>
        <v>No</v>
      </c>
      <c r="R26" s="249">
        <f>VLOOKUP(Table3236[[#This Row],[Census Tract]],'Income and Housing Data'!$B$2:$D$823,3,FALSE)</f>
        <v>148804</v>
      </c>
      <c r="S26" s="250" t="str">
        <f>IF($U$7&lt;=Table3236[[#This Row],[Household Income]],IF(Table3236[[#This Row],[Household Income]]&lt;=$U$8, "Yes","No"),"No")</f>
        <v>No</v>
      </c>
    </row>
    <row r="27" spans="1:19" x14ac:dyDescent="0.25">
      <c r="A27" s="183">
        <v>9001061600</v>
      </c>
      <c r="B27" s="39" t="s">
        <v>2985</v>
      </c>
      <c r="C27" s="178" t="s">
        <v>944</v>
      </c>
      <c r="D27" s="179">
        <v>114122.9146</v>
      </c>
      <c r="E27" s="179">
        <v>10431.48</v>
      </c>
      <c r="F27" s="39">
        <f>Table3236[[#This Row],[Single Family]]+Table3236[[#This Row],[2-4 Units]]+Table3236[[#This Row],[&gt;4 Units]]</f>
        <v>21</v>
      </c>
      <c r="G27" s="39">
        <v>20</v>
      </c>
      <c r="H27" s="39">
        <v>1</v>
      </c>
      <c r="I27" s="39">
        <v>0</v>
      </c>
      <c r="J27" s="132">
        <v>9358.3700000000008</v>
      </c>
      <c r="K27" s="39">
        <f>SUM(Table3236[[#This Row],[Single Family ]:[&gt;4 Units ]])</f>
        <v>2</v>
      </c>
      <c r="L27" s="133">
        <v>2</v>
      </c>
      <c r="M27" s="133">
        <v>0</v>
      </c>
      <c r="N27" s="133">
        <v>0</v>
      </c>
      <c r="O27" s="134">
        <v>1073.1099999999999</v>
      </c>
      <c r="P27" s="243">
        <f>VLOOKUP(Table3236[[#This Row],[Census Tract]],'Population and Diversity Data'!$B$2:$K$823,10,FALSE)</f>
        <v>1</v>
      </c>
      <c r="Q27" s="244" t="str">
        <f>VLOOKUP(Table3236[[#This Row],[Census Tract]],'UI EnergyBurden'!$A$2:$B$184,2,FALSE)</f>
        <v>No</v>
      </c>
      <c r="R27" s="249">
        <f>VLOOKUP(Table3236[[#This Row],[Census Tract]],'Income and Housing Data'!$B$2:$D$823,3,FALSE)</f>
        <v>129250</v>
      </c>
      <c r="S27" s="250" t="str">
        <f>IF($U$7&lt;=Table3236[[#This Row],[Household Income]],IF(Table3236[[#This Row],[Household Income]]&lt;=$U$8, "Yes","No"),"No")</f>
        <v>No</v>
      </c>
    </row>
    <row r="28" spans="1:19" x14ac:dyDescent="0.25">
      <c r="A28" s="183">
        <v>9001070100</v>
      </c>
      <c r="B28" s="39" t="s">
        <v>3005</v>
      </c>
      <c r="C28" s="178" t="s">
        <v>944</v>
      </c>
      <c r="D28" s="179">
        <v>0</v>
      </c>
      <c r="E28" s="179">
        <v>11088.15</v>
      </c>
      <c r="F28" s="39">
        <f>Table3236[[#This Row],[Single Family]]+Table3236[[#This Row],[2-4 Units]]+Table3236[[#This Row],[&gt;4 Units]]</f>
        <v>14</v>
      </c>
      <c r="G28" s="39">
        <v>12</v>
      </c>
      <c r="H28" s="39">
        <v>2</v>
      </c>
      <c r="I28" s="39">
        <v>0</v>
      </c>
      <c r="J28" s="132">
        <v>8716.18</v>
      </c>
      <c r="K28" s="39">
        <f>SUM(Table3236[[#This Row],[Single Family ]:[&gt;4 Units ]])</f>
        <v>5</v>
      </c>
      <c r="L28" s="133">
        <v>4</v>
      </c>
      <c r="M28" s="133">
        <v>1</v>
      </c>
      <c r="N28" s="133">
        <v>0</v>
      </c>
      <c r="O28" s="134">
        <v>2371.9699999999998</v>
      </c>
      <c r="P28" s="243">
        <f>VLOOKUP(Table3236[[#This Row],[Census Tract]],'Population and Diversity Data'!$B$2:$K$823,10,FALSE)</f>
        <v>4</v>
      </c>
      <c r="Q28" s="244" t="str">
        <f>VLOOKUP(Table3236[[#This Row],[Census Tract]],'UI EnergyBurden'!$A$2:$B$184,2,FALSE)</f>
        <v>No</v>
      </c>
      <c r="R28" s="249">
        <f>VLOOKUP(Table3236[[#This Row],[Census Tract]],'Income and Housing Data'!$B$2:$D$823,3,FALSE)</f>
        <v>88021</v>
      </c>
      <c r="S28" s="250" t="str">
        <f>IF($U$7&lt;=Table3236[[#This Row],[Household Income]],IF(Table3236[[#This Row],[Household Income]]&lt;=$U$8, "Yes","No"),"No")</f>
        <v>No</v>
      </c>
    </row>
    <row r="29" spans="1:19" x14ac:dyDescent="0.25">
      <c r="A29" s="183">
        <v>9001070100</v>
      </c>
      <c r="B29" s="39" t="s">
        <v>934</v>
      </c>
      <c r="C29" s="178" t="s">
        <v>936</v>
      </c>
      <c r="D29" s="179">
        <v>87876.710500000394</v>
      </c>
      <c r="E29" s="179">
        <v>0</v>
      </c>
      <c r="F29" s="39">
        <f>Table3236[[#This Row],[Single Family]]+Table3236[[#This Row],[2-4 Units]]+Table3236[[#This Row],[&gt;4 Units]]</f>
        <v>0</v>
      </c>
      <c r="G29" s="39"/>
      <c r="H29" s="39"/>
      <c r="I29" s="39"/>
      <c r="J29" s="132">
        <v>0</v>
      </c>
      <c r="K29" s="39">
        <f>SUM(Table3236[[#This Row],[Single Family ]:[&gt;4 Units ]])</f>
        <v>0</v>
      </c>
      <c r="L29" s="133"/>
      <c r="M29" s="133"/>
      <c r="N29" s="133"/>
      <c r="O29" s="134">
        <v>0</v>
      </c>
      <c r="P29" s="243">
        <f>VLOOKUP(Table3236[[#This Row],[Census Tract]],'Population and Diversity Data'!$B$2:$K$823,10,FALSE)</f>
        <v>4</v>
      </c>
      <c r="Q29" s="244" t="str">
        <f>VLOOKUP(Table3236[[#This Row],[Census Tract]],'UI EnergyBurden'!$A$2:$B$184,2,FALSE)</f>
        <v>No</v>
      </c>
      <c r="R29" s="249">
        <f>VLOOKUP(Table3236[[#This Row],[Census Tract]],'Income and Housing Data'!$B$2:$D$823,3,FALSE)</f>
        <v>88021</v>
      </c>
      <c r="S29" s="250" t="str">
        <f>IF($U$7&lt;=Table3236[[#This Row],[Household Income]],IF(Table3236[[#This Row],[Household Income]]&lt;=$U$8, "Yes","No"),"No")</f>
        <v>No</v>
      </c>
    </row>
    <row r="30" spans="1:19" x14ac:dyDescent="0.25">
      <c r="A30" s="183">
        <v>9001070200</v>
      </c>
      <c r="B30" s="39" t="s">
        <v>3005</v>
      </c>
      <c r="C30" s="178" t="s">
        <v>944</v>
      </c>
      <c r="D30" s="179">
        <v>0</v>
      </c>
      <c r="E30" s="179">
        <v>2227.9299999999998</v>
      </c>
      <c r="F30" s="39">
        <f>Table3236[[#This Row],[Single Family]]+Table3236[[#This Row],[2-4 Units]]+Table3236[[#This Row],[&gt;4 Units]]</f>
        <v>7</v>
      </c>
      <c r="G30" s="39">
        <v>7</v>
      </c>
      <c r="H30" s="39">
        <v>0</v>
      </c>
      <c r="I30" s="39">
        <v>0</v>
      </c>
      <c r="J30" s="132">
        <v>800.17</v>
      </c>
      <c r="K30" s="39">
        <f>SUM(Table3236[[#This Row],[Single Family ]:[&gt;4 Units ]])</f>
        <v>8</v>
      </c>
      <c r="L30" s="133">
        <v>4</v>
      </c>
      <c r="M30" s="133">
        <v>4</v>
      </c>
      <c r="N30" s="133">
        <v>0</v>
      </c>
      <c r="O30" s="134">
        <v>1427.76</v>
      </c>
      <c r="P30" s="243">
        <f>VLOOKUP(Table3236[[#This Row],[Census Tract]],'Population and Diversity Data'!$B$2:$K$823,10,FALSE)</f>
        <v>4</v>
      </c>
      <c r="Q30" s="244" t="str">
        <f>VLOOKUP(Table3236[[#This Row],[Census Tract]],'UI EnergyBurden'!$A$2:$B$184,2,FALSE)</f>
        <v>No</v>
      </c>
      <c r="R30" s="249">
        <f>VLOOKUP(Table3236[[#This Row],[Census Tract]],'Income and Housing Data'!$B$2:$D$823,3,FALSE)</f>
        <v>42688</v>
      </c>
      <c r="S30" s="250" t="str">
        <f>IF($U$7&lt;=Table3236[[#This Row],[Household Income]],IF(Table3236[[#This Row],[Household Income]]&lt;=$U$8, "Yes","No"),"No")</f>
        <v>No</v>
      </c>
    </row>
    <row r="31" spans="1:19" x14ac:dyDescent="0.25">
      <c r="A31" s="183">
        <v>9001070200</v>
      </c>
      <c r="B31" s="39" t="s">
        <v>934</v>
      </c>
      <c r="C31" s="178" t="s">
        <v>936</v>
      </c>
      <c r="D31" s="179">
        <v>45704.852400000003</v>
      </c>
      <c r="E31" s="179">
        <v>0</v>
      </c>
      <c r="F31" s="39">
        <f>Table3236[[#This Row],[Single Family]]+Table3236[[#This Row],[2-4 Units]]+Table3236[[#This Row],[&gt;4 Units]]</f>
        <v>0</v>
      </c>
      <c r="G31" s="39"/>
      <c r="H31" s="39"/>
      <c r="I31" s="39"/>
      <c r="J31" s="132">
        <v>0</v>
      </c>
      <c r="K31" s="39">
        <f>SUM(Table3236[[#This Row],[Single Family ]:[&gt;4 Units ]])</f>
        <v>0</v>
      </c>
      <c r="L31" s="133"/>
      <c r="M31" s="133"/>
      <c r="N31" s="133"/>
      <c r="O31" s="134">
        <v>0</v>
      </c>
      <c r="P31" s="243">
        <f>VLOOKUP(Table3236[[#This Row],[Census Tract]],'Population and Diversity Data'!$B$2:$K$823,10,FALSE)</f>
        <v>4</v>
      </c>
      <c r="Q31" s="244" t="str">
        <f>VLOOKUP(Table3236[[#This Row],[Census Tract]],'UI EnergyBurden'!$A$2:$B$184,2,FALSE)</f>
        <v>No</v>
      </c>
      <c r="R31" s="249">
        <f>VLOOKUP(Table3236[[#This Row],[Census Tract]],'Income and Housing Data'!$B$2:$D$823,3,FALSE)</f>
        <v>42688</v>
      </c>
      <c r="S31" s="250" t="str">
        <f>IF($U$7&lt;=Table3236[[#This Row],[Household Income]],IF(Table3236[[#This Row],[Household Income]]&lt;=$U$8, "Yes","No"),"No")</f>
        <v>No</v>
      </c>
    </row>
    <row r="32" spans="1:19" x14ac:dyDescent="0.25">
      <c r="A32" s="183">
        <v>9001070200</v>
      </c>
      <c r="B32" s="39" t="s">
        <v>3006</v>
      </c>
      <c r="C32" s="178" t="s">
        <v>944</v>
      </c>
      <c r="D32" s="179">
        <v>0</v>
      </c>
      <c r="E32" s="179">
        <v>749.66</v>
      </c>
      <c r="F32" s="39">
        <f>Table3236[[#This Row],[Single Family]]+Table3236[[#This Row],[2-4 Units]]+Table3236[[#This Row],[&gt;4 Units]]</f>
        <v>1</v>
      </c>
      <c r="G32" s="39">
        <v>1</v>
      </c>
      <c r="H32" s="39">
        <v>0</v>
      </c>
      <c r="I32" s="39">
        <v>0</v>
      </c>
      <c r="J32" s="132">
        <v>749.66</v>
      </c>
      <c r="K32" s="39">
        <f>SUM(Table3236[[#This Row],[Single Family ]:[&gt;4 Units ]])</f>
        <v>0</v>
      </c>
      <c r="L32" s="133"/>
      <c r="M32" s="133"/>
      <c r="N32" s="133"/>
      <c r="O32" s="134">
        <v>0</v>
      </c>
      <c r="P32" s="243">
        <f>VLOOKUP(Table3236[[#This Row],[Census Tract]],'Population and Diversity Data'!$B$2:$K$823,10,FALSE)</f>
        <v>4</v>
      </c>
      <c r="Q32" s="244" t="str">
        <f>VLOOKUP(Table3236[[#This Row],[Census Tract]],'UI EnergyBurden'!$A$2:$B$184,2,FALSE)</f>
        <v>No</v>
      </c>
      <c r="R32" s="249">
        <f>VLOOKUP(Table3236[[#This Row],[Census Tract]],'Income and Housing Data'!$B$2:$D$823,3,FALSE)</f>
        <v>42688</v>
      </c>
      <c r="S32" s="250" t="str">
        <f>IF($U$7&lt;=Table3236[[#This Row],[Household Income]],IF(Table3236[[#This Row],[Household Income]]&lt;=$U$8, "Yes","No"),"No")</f>
        <v>No</v>
      </c>
    </row>
    <row r="33" spans="1:19" x14ac:dyDescent="0.25">
      <c r="A33" s="183">
        <v>9001070300</v>
      </c>
      <c r="B33" s="39" t="s">
        <v>3005</v>
      </c>
      <c r="C33" s="178" t="s">
        <v>944</v>
      </c>
      <c r="D33" s="179">
        <v>0</v>
      </c>
      <c r="E33" s="179">
        <v>202635.3</v>
      </c>
      <c r="F33" s="39">
        <f>Table3236[[#This Row],[Single Family]]+Table3236[[#This Row],[2-4 Units]]+Table3236[[#This Row],[&gt;4 Units]]</f>
        <v>0</v>
      </c>
      <c r="G33" s="39"/>
      <c r="H33" s="39"/>
      <c r="I33" s="39"/>
      <c r="J33" s="132">
        <v>0</v>
      </c>
      <c r="K33" s="39">
        <f>SUM(Table3236[[#This Row],[Single Family ]:[&gt;4 Units ]])</f>
        <v>2</v>
      </c>
      <c r="L33" s="133">
        <v>0</v>
      </c>
      <c r="M33" s="133">
        <v>1</v>
      </c>
      <c r="N33" s="133">
        <v>1</v>
      </c>
      <c r="O33" s="134">
        <v>202635.3</v>
      </c>
      <c r="P33" s="243">
        <f>VLOOKUP(Table3236[[#This Row],[Census Tract]],'Population and Diversity Data'!$B$2:$K$823,10,FALSE)</f>
        <v>4</v>
      </c>
      <c r="Q33" s="244" t="str">
        <f>VLOOKUP(Table3236[[#This Row],[Census Tract]],'UI EnergyBurden'!$A$2:$B$184,2,FALSE)</f>
        <v>Yes</v>
      </c>
      <c r="R33" s="249">
        <f>VLOOKUP(Table3236[[#This Row],[Census Tract]],'Income and Housing Data'!$B$2:$D$823,3,FALSE)</f>
        <v>9958</v>
      </c>
      <c r="S33" s="250" t="str">
        <f>IF($U$7&lt;=Table3236[[#This Row],[Household Income]],IF(Table3236[[#This Row],[Household Income]]&lt;=$U$8, "Yes","No"),"No")</f>
        <v>No</v>
      </c>
    </row>
    <row r="34" spans="1:19" x14ac:dyDescent="0.25">
      <c r="A34" s="183">
        <v>9001070300</v>
      </c>
      <c r="B34" s="39" t="s">
        <v>934</v>
      </c>
      <c r="C34" s="178" t="s">
        <v>936</v>
      </c>
      <c r="D34" s="179">
        <v>16956.723999999998</v>
      </c>
      <c r="E34" s="179">
        <v>0</v>
      </c>
      <c r="F34" s="39">
        <f>Table3236[[#This Row],[Single Family]]+Table3236[[#This Row],[2-4 Units]]+Table3236[[#This Row],[&gt;4 Units]]</f>
        <v>0</v>
      </c>
      <c r="G34" s="39"/>
      <c r="H34" s="39"/>
      <c r="I34" s="39"/>
      <c r="J34" s="132">
        <v>0</v>
      </c>
      <c r="K34" s="39">
        <f>SUM(Table3236[[#This Row],[Single Family ]:[&gt;4 Units ]])</f>
        <v>0</v>
      </c>
      <c r="L34" s="133"/>
      <c r="M34" s="133"/>
      <c r="N34" s="133"/>
      <c r="O34" s="134">
        <v>0</v>
      </c>
      <c r="P34" s="243">
        <f>VLOOKUP(Table3236[[#This Row],[Census Tract]],'Population and Diversity Data'!$B$2:$K$823,10,FALSE)</f>
        <v>4</v>
      </c>
      <c r="Q34" s="244" t="str">
        <f>VLOOKUP(Table3236[[#This Row],[Census Tract]],'UI EnergyBurden'!$A$2:$B$184,2,FALSE)</f>
        <v>Yes</v>
      </c>
      <c r="R34" s="249">
        <f>VLOOKUP(Table3236[[#This Row],[Census Tract]],'Income and Housing Data'!$B$2:$D$823,3,FALSE)</f>
        <v>9958</v>
      </c>
      <c r="S34" s="250" t="str">
        <f>IF($U$7&lt;=Table3236[[#This Row],[Household Income]],IF(Table3236[[#This Row],[Household Income]]&lt;=$U$8, "Yes","No"),"No")</f>
        <v>No</v>
      </c>
    </row>
    <row r="35" spans="1:19" x14ac:dyDescent="0.25">
      <c r="A35" s="183">
        <v>9001070400</v>
      </c>
      <c r="B35" s="39" t="s">
        <v>3005</v>
      </c>
      <c r="C35" s="178" t="s">
        <v>944</v>
      </c>
      <c r="D35" s="179">
        <v>0</v>
      </c>
      <c r="E35" s="179">
        <v>1029.53</v>
      </c>
      <c r="F35" s="39">
        <f>Table3236[[#This Row],[Single Family]]+Table3236[[#This Row],[2-4 Units]]+Table3236[[#This Row],[&gt;4 Units]]</f>
        <v>3</v>
      </c>
      <c r="G35" s="39">
        <v>3</v>
      </c>
      <c r="H35" s="39">
        <v>0</v>
      </c>
      <c r="I35" s="39">
        <v>0</v>
      </c>
      <c r="J35" s="132">
        <v>380.24</v>
      </c>
      <c r="K35" s="39">
        <f>SUM(Table3236[[#This Row],[Single Family ]:[&gt;4 Units ]])</f>
        <v>6</v>
      </c>
      <c r="L35" s="133">
        <v>2</v>
      </c>
      <c r="M35" s="133">
        <v>4</v>
      </c>
      <c r="N35" s="133">
        <v>0</v>
      </c>
      <c r="O35" s="134">
        <v>649.29</v>
      </c>
      <c r="P35" s="243">
        <f>VLOOKUP(Table3236[[#This Row],[Census Tract]],'Population and Diversity Data'!$B$2:$K$823,10,FALSE)</f>
        <v>5</v>
      </c>
      <c r="Q35" s="244" t="str">
        <f>VLOOKUP(Table3236[[#This Row],[Census Tract]],'UI EnergyBurden'!$A$2:$B$184,2,FALSE)</f>
        <v>Yes</v>
      </c>
      <c r="R35" s="249">
        <f>VLOOKUP(Table3236[[#This Row],[Census Tract]],'Income and Housing Data'!$B$2:$D$823,3,FALSE)</f>
        <v>35313</v>
      </c>
      <c r="S35" s="250" t="str">
        <f>IF($U$7&lt;=Table3236[[#This Row],[Household Income]],IF(Table3236[[#This Row],[Household Income]]&lt;=$U$8, "Yes","No"),"No")</f>
        <v>No</v>
      </c>
    </row>
    <row r="36" spans="1:19" x14ac:dyDescent="0.25">
      <c r="A36" s="183">
        <v>9001070400</v>
      </c>
      <c r="B36" s="39" t="s">
        <v>934</v>
      </c>
      <c r="C36" s="178" t="s">
        <v>936</v>
      </c>
      <c r="D36" s="179">
        <v>17866.1715</v>
      </c>
      <c r="E36" s="179">
        <v>0</v>
      </c>
      <c r="F36" s="39">
        <f>Table3236[[#This Row],[Single Family]]+Table3236[[#This Row],[2-4 Units]]+Table3236[[#This Row],[&gt;4 Units]]</f>
        <v>0</v>
      </c>
      <c r="G36" s="39"/>
      <c r="H36" s="39"/>
      <c r="I36" s="39"/>
      <c r="J36" s="132">
        <v>0</v>
      </c>
      <c r="K36" s="39">
        <f>SUM(Table3236[[#This Row],[Single Family ]:[&gt;4 Units ]])</f>
        <v>0</v>
      </c>
      <c r="L36" s="133"/>
      <c r="M36" s="133"/>
      <c r="N36" s="133"/>
      <c r="O36" s="134">
        <v>0</v>
      </c>
      <c r="P36" s="243">
        <f>VLOOKUP(Table3236[[#This Row],[Census Tract]],'Population and Diversity Data'!$B$2:$K$823,10,FALSE)</f>
        <v>5</v>
      </c>
      <c r="Q36" s="244" t="str">
        <f>VLOOKUP(Table3236[[#This Row],[Census Tract]],'UI EnergyBurden'!$A$2:$B$184,2,FALSE)</f>
        <v>Yes</v>
      </c>
      <c r="R36" s="249">
        <f>VLOOKUP(Table3236[[#This Row],[Census Tract]],'Income and Housing Data'!$B$2:$D$823,3,FALSE)</f>
        <v>35313</v>
      </c>
      <c r="S36" s="250" t="str">
        <f>IF($U$7&lt;=Table3236[[#This Row],[Household Income]],IF(Table3236[[#This Row],[Household Income]]&lt;=$U$8, "Yes","No"),"No")</f>
        <v>No</v>
      </c>
    </row>
    <row r="37" spans="1:19" x14ac:dyDescent="0.25">
      <c r="A37" s="183">
        <v>9001070400</v>
      </c>
      <c r="B37" s="39" t="s">
        <v>956</v>
      </c>
      <c r="C37" s="178" t="s">
        <v>936</v>
      </c>
      <c r="D37" s="179">
        <v>50.864100000000001</v>
      </c>
      <c r="E37" s="179">
        <v>0</v>
      </c>
      <c r="F37" s="39">
        <f>Table3236[[#This Row],[Single Family]]+Table3236[[#This Row],[2-4 Units]]+Table3236[[#This Row],[&gt;4 Units]]</f>
        <v>0</v>
      </c>
      <c r="G37" s="39"/>
      <c r="H37" s="39"/>
      <c r="I37" s="39"/>
      <c r="J37" s="132">
        <v>0</v>
      </c>
      <c r="K37" s="39">
        <f>SUM(Table3236[[#This Row],[Single Family ]:[&gt;4 Units ]])</f>
        <v>0</v>
      </c>
      <c r="L37" s="133"/>
      <c r="M37" s="133"/>
      <c r="N37" s="133"/>
      <c r="O37" s="134">
        <v>0</v>
      </c>
      <c r="P37" s="243">
        <f>VLOOKUP(Table3236[[#This Row],[Census Tract]],'Population and Diversity Data'!$B$2:$K$823,10,FALSE)</f>
        <v>5</v>
      </c>
      <c r="Q37" s="244" t="str">
        <f>VLOOKUP(Table3236[[#This Row],[Census Tract]],'UI EnergyBurden'!$A$2:$B$184,2,FALSE)</f>
        <v>Yes</v>
      </c>
      <c r="R37" s="249">
        <f>VLOOKUP(Table3236[[#This Row],[Census Tract]],'Income and Housing Data'!$B$2:$D$823,3,FALSE)</f>
        <v>35313</v>
      </c>
      <c r="S37" s="250" t="str">
        <f>IF($U$7&lt;=Table3236[[#This Row],[Household Income]],IF(Table3236[[#This Row],[Household Income]]&lt;=$U$8, "Yes","No"),"No")</f>
        <v>No</v>
      </c>
    </row>
    <row r="38" spans="1:19" x14ac:dyDescent="0.25">
      <c r="A38" s="183">
        <v>9001070500</v>
      </c>
      <c r="B38" s="39" t="s">
        <v>3005</v>
      </c>
      <c r="C38" s="178" t="s">
        <v>944</v>
      </c>
      <c r="D38" s="179">
        <v>0</v>
      </c>
      <c r="E38" s="179">
        <v>359.75</v>
      </c>
      <c r="F38" s="39">
        <f>Table3236[[#This Row],[Single Family]]+Table3236[[#This Row],[2-4 Units]]+Table3236[[#This Row],[&gt;4 Units]]</f>
        <v>0</v>
      </c>
      <c r="G38" s="39"/>
      <c r="H38" s="39"/>
      <c r="I38" s="39"/>
      <c r="J38" s="132">
        <v>75</v>
      </c>
      <c r="K38" s="39">
        <f>SUM(Table3236[[#This Row],[Single Family ]:[&gt;4 Units ]])</f>
        <v>7</v>
      </c>
      <c r="L38" s="133">
        <v>0</v>
      </c>
      <c r="M38" s="133">
        <v>7</v>
      </c>
      <c r="N38" s="133">
        <v>0</v>
      </c>
      <c r="O38" s="134">
        <v>284.75</v>
      </c>
      <c r="P38" s="243">
        <f>VLOOKUP(Table3236[[#This Row],[Census Tract]],'Population and Diversity Data'!$B$2:$K$823,10,FALSE)</f>
        <v>5</v>
      </c>
      <c r="Q38" s="244" t="str">
        <f>VLOOKUP(Table3236[[#This Row],[Census Tract]],'UI EnergyBurden'!$A$2:$B$184,2,FALSE)</f>
        <v>Yes</v>
      </c>
      <c r="R38" s="249">
        <f>VLOOKUP(Table3236[[#This Row],[Census Tract]],'Income and Housing Data'!$B$2:$D$823,3,FALSE)</f>
        <v>24342</v>
      </c>
      <c r="S38" s="250" t="str">
        <f>IF($U$7&lt;=Table3236[[#This Row],[Household Income]],IF(Table3236[[#This Row],[Household Income]]&lt;=$U$8, "Yes","No"),"No")</f>
        <v>No</v>
      </c>
    </row>
    <row r="39" spans="1:19" x14ac:dyDescent="0.25">
      <c r="A39" s="183">
        <v>9001070500</v>
      </c>
      <c r="B39" s="39" t="s">
        <v>934</v>
      </c>
      <c r="C39" s="178" t="s">
        <v>936</v>
      </c>
      <c r="D39" s="179">
        <v>23101.568599999999</v>
      </c>
      <c r="E39" s="179">
        <v>0</v>
      </c>
      <c r="F39" s="39">
        <f>Table3236[[#This Row],[Single Family]]+Table3236[[#This Row],[2-4 Units]]+Table3236[[#This Row],[&gt;4 Units]]</f>
        <v>0</v>
      </c>
      <c r="G39" s="39"/>
      <c r="H39" s="39"/>
      <c r="I39" s="39"/>
      <c r="J39" s="132">
        <v>0</v>
      </c>
      <c r="K39" s="39">
        <f>SUM(Table3236[[#This Row],[Single Family ]:[&gt;4 Units ]])</f>
        <v>0</v>
      </c>
      <c r="L39" s="133"/>
      <c r="M39" s="133"/>
      <c r="N39" s="133"/>
      <c r="O39" s="134">
        <v>0</v>
      </c>
      <c r="P39" s="243">
        <f>VLOOKUP(Table3236[[#This Row],[Census Tract]],'Population and Diversity Data'!$B$2:$K$823,10,FALSE)</f>
        <v>5</v>
      </c>
      <c r="Q39" s="244" t="str">
        <f>VLOOKUP(Table3236[[#This Row],[Census Tract]],'UI EnergyBurden'!$A$2:$B$184,2,FALSE)</f>
        <v>Yes</v>
      </c>
      <c r="R39" s="249">
        <f>VLOOKUP(Table3236[[#This Row],[Census Tract]],'Income and Housing Data'!$B$2:$D$823,3,FALSE)</f>
        <v>24342</v>
      </c>
      <c r="S39" s="250" t="str">
        <f>IF($U$7&lt;=Table3236[[#This Row],[Household Income]],IF(Table3236[[#This Row],[Household Income]]&lt;=$U$8, "Yes","No"),"No")</f>
        <v>No</v>
      </c>
    </row>
    <row r="40" spans="1:19" x14ac:dyDescent="0.25">
      <c r="A40" s="183">
        <v>9001070600</v>
      </c>
      <c r="B40" s="39" t="s">
        <v>3005</v>
      </c>
      <c r="C40" s="178" t="s">
        <v>944</v>
      </c>
      <c r="D40" s="179">
        <v>0</v>
      </c>
      <c r="E40" s="179">
        <v>96774.69</v>
      </c>
      <c r="F40" s="39">
        <f>Table3236[[#This Row],[Single Family]]+Table3236[[#This Row],[2-4 Units]]+Table3236[[#This Row],[&gt;4 Units]]</f>
        <v>0</v>
      </c>
      <c r="G40" s="39"/>
      <c r="H40" s="39"/>
      <c r="I40" s="39"/>
      <c r="J40" s="132">
        <v>0</v>
      </c>
      <c r="K40" s="39">
        <f>SUM(Table3236[[#This Row],[Single Family ]:[&gt;4 Units ]])</f>
        <v>4</v>
      </c>
      <c r="L40" s="133">
        <v>1</v>
      </c>
      <c r="M40" s="133">
        <v>1</v>
      </c>
      <c r="N40" s="133">
        <v>2</v>
      </c>
      <c r="O40" s="134">
        <v>96774.69</v>
      </c>
      <c r="P40" s="243">
        <f>VLOOKUP(Table3236[[#This Row],[Census Tract]],'Population and Diversity Data'!$B$2:$K$823,10,FALSE)</f>
        <v>4</v>
      </c>
      <c r="Q40" s="244" t="str">
        <f>VLOOKUP(Table3236[[#This Row],[Census Tract]],'UI EnergyBurden'!$A$2:$B$184,2,FALSE)</f>
        <v>No</v>
      </c>
      <c r="R40" s="249">
        <f>VLOOKUP(Table3236[[#This Row],[Census Tract]],'Income and Housing Data'!$B$2:$D$823,3,FALSE)</f>
        <v>23598</v>
      </c>
      <c r="S40" s="250" t="str">
        <f>IF($U$7&lt;=Table3236[[#This Row],[Household Income]],IF(Table3236[[#This Row],[Household Income]]&lt;=$U$8, "Yes","No"),"No")</f>
        <v>No</v>
      </c>
    </row>
    <row r="41" spans="1:19" x14ac:dyDescent="0.25">
      <c r="A41" s="183">
        <v>9001070600</v>
      </c>
      <c r="B41" s="39" t="s">
        <v>934</v>
      </c>
      <c r="C41" s="178" t="s">
        <v>936</v>
      </c>
      <c r="D41" s="179">
        <v>35967.757299999997</v>
      </c>
      <c r="E41" s="179">
        <v>0</v>
      </c>
      <c r="F41" s="39">
        <f>Table3236[[#This Row],[Single Family]]+Table3236[[#This Row],[2-4 Units]]+Table3236[[#This Row],[&gt;4 Units]]</f>
        <v>0</v>
      </c>
      <c r="G41" s="39"/>
      <c r="H41" s="39"/>
      <c r="I41" s="39"/>
      <c r="J41" s="132">
        <v>0</v>
      </c>
      <c r="K41" s="39">
        <f>SUM(Table3236[[#This Row],[Single Family ]:[&gt;4 Units ]])</f>
        <v>0</v>
      </c>
      <c r="L41" s="133"/>
      <c r="M41" s="133"/>
      <c r="N41" s="133"/>
      <c r="O41" s="134">
        <v>0</v>
      </c>
      <c r="P41" s="243">
        <f>VLOOKUP(Table3236[[#This Row],[Census Tract]],'Population and Diversity Data'!$B$2:$K$823,10,FALSE)</f>
        <v>4</v>
      </c>
      <c r="Q41" s="244" t="str">
        <f>VLOOKUP(Table3236[[#This Row],[Census Tract]],'UI EnergyBurden'!$A$2:$B$184,2,FALSE)</f>
        <v>No</v>
      </c>
      <c r="R41" s="249">
        <f>VLOOKUP(Table3236[[#This Row],[Census Tract]],'Income and Housing Data'!$B$2:$D$823,3,FALSE)</f>
        <v>23598</v>
      </c>
      <c r="S41" s="250" t="str">
        <f>IF($U$7&lt;=Table3236[[#This Row],[Household Income]],IF(Table3236[[#This Row],[Household Income]]&lt;=$U$8, "Yes","No"),"No")</f>
        <v>No</v>
      </c>
    </row>
    <row r="42" spans="1:19" x14ac:dyDescent="0.25">
      <c r="A42" s="183">
        <v>9001070900</v>
      </c>
      <c r="B42" s="39" t="s">
        <v>3005</v>
      </c>
      <c r="C42" s="178" t="s">
        <v>944</v>
      </c>
      <c r="D42" s="179">
        <v>0</v>
      </c>
      <c r="E42" s="179">
        <v>4170.01</v>
      </c>
      <c r="F42" s="39">
        <f>Table3236[[#This Row],[Single Family]]+Table3236[[#This Row],[2-4 Units]]+Table3236[[#This Row],[&gt;4 Units]]</f>
        <v>1</v>
      </c>
      <c r="G42" s="39">
        <v>0</v>
      </c>
      <c r="H42" s="39">
        <v>1</v>
      </c>
      <c r="I42" s="39">
        <v>0</v>
      </c>
      <c r="J42" s="132">
        <v>1302.5999999999999</v>
      </c>
      <c r="K42" s="39">
        <f>SUM(Table3236[[#This Row],[Single Family ]:[&gt;4 Units ]])</f>
        <v>12</v>
      </c>
      <c r="L42" s="133">
        <v>4</v>
      </c>
      <c r="M42" s="133">
        <v>8</v>
      </c>
      <c r="N42" s="133">
        <v>0</v>
      </c>
      <c r="O42" s="134">
        <v>2867.41</v>
      </c>
      <c r="P42" s="243">
        <f>VLOOKUP(Table3236[[#This Row],[Census Tract]],'Population and Diversity Data'!$B$2:$K$823,10,FALSE)</f>
        <v>5</v>
      </c>
      <c r="Q42" s="244" t="str">
        <f>VLOOKUP(Table3236[[#This Row],[Census Tract]],'UI EnergyBurden'!$A$2:$B$184,2,FALSE)</f>
        <v>Yes</v>
      </c>
      <c r="R42" s="249">
        <f>VLOOKUP(Table3236[[#This Row],[Census Tract]],'Income and Housing Data'!$B$2:$D$823,3,FALSE)</f>
        <v>35492</v>
      </c>
      <c r="S42" s="250" t="str">
        <f>IF($U$7&lt;=Table3236[[#This Row],[Household Income]],IF(Table3236[[#This Row],[Household Income]]&lt;=$U$8, "Yes","No"),"No")</f>
        <v>No</v>
      </c>
    </row>
    <row r="43" spans="1:19" x14ac:dyDescent="0.25">
      <c r="A43" s="183">
        <v>9001070900</v>
      </c>
      <c r="B43" s="39" t="s">
        <v>934</v>
      </c>
      <c r="C43" s="178" t="s">
        <v>936</v>
      </c>
      <c r="D43" s="179">
        <v>29174.958600000002</v>
      </c>
      <c r="E43" s="179">
        <v>0</v>
      </c>
      <c r="F43" s="39">
        <f>Table3236[[#This Row],[Single Family]]+Table3236[[#This Row],[2-4 Units]]+Table3236[[#This Row],[&gt;4 Units]]</f>
        <v>0</v>
      </c>
      <c r="G43" s="39"/>
      <c r="H43" s="39"/>
      <c r="I43" s="39"/>
      <c r="J43" s="132">
        <v>0</v>
      </c>
      <c r="K43" s="39">
        <f>SUM(Table3236[[#This Row],[Single Family ]:[&gt;4 Units ]])</f>
        <v>0</v>
      </c>
      <c r="L43" s="133"/>
      <c r="M43" s="133"/>
      <c r="N43" s="133"/>
      <c r="O43" s="134">
        <v>0</v>
      </c>
      <c r="P43" s="243">
        <f>VLOOKUP(Table3236[[#This Row],[Census Tract]],'Population and Diversity Data'!$B$2:$K$823,10,FALSE)</f>
        <v>5</v>
      </c>
      <c r="Q43" s="244" t="str">
        <f>VLOOKUP(Table3236[[#This Row],[Census Tract]],'UI EnergyBurden'!$A$2:$B$184,2,FALSE)</f>
        <v>Yes</v>
      </c>
      <c r="R43" s="249">
        <f>VLOOKUP(Table3236[[#This Row],[Census Tract]],'Income and Housing Data'!$B$2:$D$823,3,FALSE)</f>
        <v>35492</v>
      </c>
      <c r="S43" s="250" t="str">
        <f>IF($U$7&lt;=Table3236[[#This Row],[Household Income]],IF(Table3236[[#This Row],[Household Income]]&lt;=$U$8, "Yes","No"),"No")</f>
        <v>No</v>
      </c>
    </row>
    <row r="44" spans="1:19" x14ac:dyDescent="0.25">
      <c r="A44" s="183">
        <v>9001071000</v>
      </c>
      <c r="B44" s="39" t="s">
        <v>3005</v>
      </c>
      <c r="C44" s="178" t="s">
        <v>944</v>
      </c>
      <c r="D44" s="179">
        <v>0</v>
      </c>
      <c r="E44" s="179">
        <v>14379.5</v>
      </c>
      <c r="F44" s="39">
        <f>Table3236[[#This Row],[Single Family]]+Table3236[[#This Row],[2-4 Units]]+Table3236[[#This Row],[&gt;4 Units]]</f>
        <v>1</v>
      </c>
      <c r="G44" s="39">
        <v>1</v>
      </c>
      <c r="H44" s="39">
        <v>0</v>
      </c>
      <c r="I44" s="39">
        <v>0</v>
      </c>
      <c r="J44" s="132">
        <v>118.52</v>
      </c>
      <c r="K44" s="39">
        <f>SUM(Table3236[[#This Row],[Single Family ]:[&gt;4 Units ]])</f>
        <v>17</v>
      </c>
      <c r="L44" s="133">
        <v>2</v>
      </c>
      <c r="M44" s="133">
        <v>14</v>
      </c>
      <c r="N44" s="133">
        <v>1</v>
      </c>
      <c r="O44" s="134">
        <v>14260.98</v>
      </c>
      <c r="P44" s="243">
        <f>VLOOKUP(Table3236[[#This Row],[Census Tract]],'Population and Diversity Data'!$B$2:$K$823,10,FALSE)</f>
        <v>5</v>
      </c>
      <c r="Q44" s="244" t="str">
        <f>VLOOKUP(Table3236[[#This Row],[Census Tract]],'UI EnergyBurden'!$A$2:$B$184,2,FALSE)</f>
        <v>Yes</v>
      </c>
      <c r="R44" s="249">
        <f>VLOOKUP(Table3236[[#This Row],[Census Tract]],'Income and Housing Data'!$B$2:$D$823,3,FALSE)</f>
        <v>48148</v>
      </c>
      <c r="S44" s="250" t="str">
        <f>IF($U$7&lt;=Table3236[[#This Row],[Household Income]],IF(Table3236[[#This Row],[Household Income]]&lt;=$U$8, "Yes","No"),"No")</f>
        <v>Yes</v>
      </c>
    </row>
    <row r="45" spans="1:19" x14ac:dyDescent="0.25">
      <c r="A45" s="183">
        <v>9001071000</v>
      </c>
      <c r="B45" s="39" t="s">
        <v>934</v>
      </c>
      <c r="C45" s="178" t="s">
        <v>936</v>
      </c>
      <c r="D45" s="179">
        <v>37249.348899999997</v>
      </c>
      <c r="E45" s="179">
        <v>0</v>
      </c>
      <c r="F45" s="39">
        <f>Table3236[[#This Row],[Single Family]]+Table3236[[#This Row],[2-4 Units]]+Table3236[[#This Row],[&gt;4 Units]]</f>
        <v>0</v>
      </c>
      <c r="G45" s="39"/>
      <c r="H45" s="39"/>
      <c r="I45" s="39"/>
      <c r="J45" s="132">
        <v>0</v>
      </c>
      <c r="K45" s="39">
        <f>SUM(Table3236[[#This Row],[Single Family ]:[&gt;4 Units ]])</f>
        <v>0</v>
      </c>
      <c r="L45" s="133"/>
      <c r="M45" s="133"/>
      <c r="N45" s="133"/>
      <c r="O45" s="134">
        <v>0</v>
      </c>
      <c r="P45" s="243">
        <f>VLOOKUP(Table3236[[#This Row],[Census Tract]],'Population and Diversity Data'!$B$2:$K$823,10,FALSE)</f>
        <v>5</v>
      </c>
      <c r="Q45" s="244" t="str">
        <f>VLOOKUP(Table3236[[#This Row],[Census Tract]],'UI EnergyBurden'!$A$2:$B$184,2,FALSE)</f>
        <v>Yes</v>
      </c>
      <c r="R45" s="249">
        <f>VLOOKUP(Table3236[[#This Row],[Census Tract]],'Income and Housing Data'!$B$2:$D$823,3,FALSE)</f>
        <v>48148</v>
      </c>
      <c r="S45" s="250" t="str">
        <f>IF($U$7&lt;=Table3236[[#This Row],[Household Income]],IF(Table3236[[#This Row],[Household Income]]&lt;=$U$8, "Yes","No"),"No")</f>
        <v>Yes</v>
      </c>
    </row>
    <row r="46" spans="1:19" x14ac:dyDescent="0.25">
      <c r="A46" s="183">
        <v>9001071100</v>
      </c>
      <c r="B46" s="39" t="s">
        <v>934</v>
      </c>
      <c r="C46" s="178" t="s">
        <v>944</v>
      </c>
      <c r="D46" s="179">
        <v>51783.790099999998</v>
      </c>
      <c r="E46" s="179">
        <v>21423.83</v>
      </c>
      <c r="F46" s="39">
        <f>Table3236[[#This Row],[Single Family]]+Table3236[[#This Row],[2-4 Units]]+Table3236[[#This Row],[&gt;4 Units]]</f>
        <v>5</v>
      </c>
      <c r="G46" s="39">
        <v>4</v>
      </c>
      <c r="H46" s="39">
        <v>1</v>
      </c>
      <c r="I46" s="39">
        <v>0</v>
      </c>
      <c r="J46" s="132">
        <v>1246.6199999999999</v>
      </c>
      <c r="K46" s="39">
        <f>SUM(Table3236[[#This Row],[Single Family ]:[&gt;4 Units ]])</f>
        <v>19</v>
      </c>
      <c r="L46" s="133">
        <v>9</v>
      </c>
      <c r="M46" s="133">
        <v>10</v>
      </c>
      <c r="N46" s="133">
        <v>0</v>
      </c>
      <c r="O46" s="134">
        <v>20177.21</v>
      </c>
      <c r="P46" s="243">
        <f>VLOOKUP(Table3236[[#This Row],[Census Tract]],'Population and Diversity Data'!$B$2:$K$823,10,FALSE)</f>
        <v>5</v>
      </c>
      <c r="Q46" s="244" t="str">
        <f>VLOOKUP(Table3236[[#This Row],[Census Tract]],'UI EnergyBurden'!$A$2:$B$184,2,FALSE)</f>
        <v>Yes</v>
      </c>
      <c r="R46" s="249">
        <f>VLOOKUP(Table3236[[#This Row],[Census Tract]],'Income and Housing Data'!$B$2:$D$823,3,FALSE)</f>
        <v>48500</v>
      </c>
      <c r="S46" s="250" t="str">
        <f>IF($U$7&lt;=Table3236[[#This Row],[Household Income]],IF(Table3236[[#This Row],[Household Income]]&lt;=$U$8, "Yes","No"),"No")</f>
        <v>Yes</v>
      </c>
    </row>
    <row r="47" spans="1:19" x14ac:dyDescent="0.25">
      <c r="A47" s="183">
        <v>9001071200</v>
      </c>
      <c r="B47" s="39" t="s">
        <v>3005</v>
      </c>
      <c r="C47" s="178" t="s">
        <v>944</v>
      </c>
      <c r="D47" s="179">
        <v>0</v>
      </c>
      <c r="E47" s="179">
        <v>4593.8599999999997</v>
      </c>
      <c r="F47" s="39">
        <f>Table3236[[#This Row],[Single Family]]+Table3236[[#This Row],[2-4 Units]]+Table3236[[#This Row],[&gt;4 Units]]</f>
        <v>2</v>
      </c>
      <c r="G47" s="39">
        <v>2</v>
      </c>
      <c r="H47" s="39">
        <v>0</v>
      </c>
      <c r="I47" s="39">
        <v>0</v>
      </c>
      <c r="J47" s="132">
        <v>954.34</v>
      </c>
      <c r="K47" s="39">
        <f>SUM(Table3236[[#This Row],[Single Family ]:[&gt;4 Units ]])</f>
        <v>21</v>
      </c>
      <c r="L47" s="133">
        <v>8</v>
      </c>
      <c r="M47" s="133">
        <v>13</v>
      </c>
      <c r="N47" s="133">
        <v>0</v>
      </c>
      <c r="O47" s="134">
        <v>3639.52</v>
      </c>
      <c r="P47" s="243">
        <f>VLOOKUP(Table3236[[#This Row],[Census Tract]],'Population and Diversity Data'!$B$2:$K$823,10,FALSE)</f>
        <v>5</v>
      </c>
      <c r="Q47" s="244" t="str">
        <f>VLOOKUP(Table3236[[#This Row],[Census Tract]],'UI EnergyBurden'!$A$2:$B$184,2,FALSE)</f>
        <v>Yes</v>
      </c>
      <c r="R47" s="249">
        <f>VLOOKUP(Table3236[[#This Row],[Census Tract]],'Income and Housing Data'!$B$2:$D$823,3,FALSE)</f>
        <v>24271</v>
      </c>
      <c r="S47" s="250" t="str">
        <f>IF($U$7&lt;=Table3236[[#This Row],[Household Income]],IF(Table3236[[#This Row],[Household Income]]&lt;=$U$8, "Yes","No"),"No")</f>
        <v>No</v>
      </c>
    </row>
    <row r="48" spans="1:19" x14ac:dyDescent="0.25">
      <c r="A48" s="183">
        <v>9001071200</v>
      </c>
      <c r="B48" s="39" t="s">
        <v>934</v>
      </c>
      <c r="C48" s="178" t="s">
        <v>936</v>
      </c>
      <c r="D48" s="179">
        <v>45169.658199999998</v>
      </c>
      <c r="E48" s="179">
        <v>0</v>
      </c>
      <c r="F48" s="39">
        <f>Table3236[[#This Row],[Single Family]]+Table3236[[#This Row],[2-4 Units]]+Table3236[[#This Row],[&gt;4 Units]]</f>
        <v>0</v>
      </c>
      <c r="G48" s="39"/>
      <c r="H48" s="39"/>
      <c r="I48" s="39"/>
      <c r="J48" s="132">
        <v>0</v>
      </c>
      <c r="K48" s="39">
        <f>SUM(Table3236[[#This Row],[Single Family ]:[&gt;4 Units ]])</f>
        <v>0</v>
      </c>
      <c r="L48" s="133"/>
      <c r="M48" s="133"/>
      <c r="N48" s="133"/>
      <c r="O48" s="134">
        <v>0</v>
      </c>
      <c r="P48" s="243">
        <f>VLOOKUP(Table3236[[#This Row],[Census Tract]],'Population and Diversity Data'!$B$2:$K$823,10,FALSE)</f>
        <v>5</v>
      </c>
      <c r="Q48" s="244" t="str">
        <f>VLOOKUP(Table3236[[#This Row],[Census Tract]],'UI EnergyBurden'!$A$2:$B$184,2,FALSE)</f>
        <v>Yes</v>
      </c>
      <c r="R48" s="249">
        <f>VLOOKUP(Table3236[[#This Row],[Census Tract]],'Income and Housing Data'!$B$2:$D$823,3,FALSE)</f>
        <v>24271</v>
      </c>
      <c r="S48" s="250" t="str">
        <f>IF($U$7&lt;=Table3236[[#This Row],[Household Income]],IF(Table3236[[#This Row],[Household Income]]&lt;=$U$8, "Yes","No"),"No")</f>
        <v>No</v>
      </c>
    </row>
    <row r="49" spans="1:19" x14ac:dyDescent="0.25">
      <c r="A49" s="183">
        <v>9001071300</v>
      </c>
      <c r="B49" s="39" t="s">
        <v>3005</v>
      </c>
      <c r="C49" s="178" t="s">
        <v>944</v>
      </c>
      <c r="D49" s="179">
        <v>0</v>
      </c>
      <c r="E49" s="179">
        <v>1572.32</v>
      </c>
      <c r="F49" s="39">
        <f>Table3236[[#This Row],[Single Family]]+Table3236[[#This Row],[2-4 Units]]+Table3236[[#This Row],[&gt;4 Units]]</f>
        <v>1</v>
      </c>
      <c r="G49" s="39">
        <v>0</v>
      </c>
      <c r="H49" s="39">
        <v>1</v>
      </c>
      <c r="I49" s="39">
        <v>0</v>
      </c>
      <c r="J49" s="132">
        <v>12.03</v>
      </c>
      <c r="K49" s="39">
        <f>SUM(Table3236[[#This Row],[Single Family ]:[&gt;4 Units ]])</f>
        <v>12</v>
      </c>
      <c r="L49" s="133">
        <v>2</v>
      </c>
      <c r="M49" s="133">
        <v>10</v>
      </c>
      <c r="N49" s="133">
        <v>0</v>
      </c>
      <c r="O49" s="134">
        <v>1560.29</v>
      </c>
      <c r="P49" s="243">
        <f>VLOOKUP(Table3236[[#This Row],[Census Tract]],'Population and Diversity Data'!$B$2:$K$823,10,FALSE)</f>
        <v>5</v>
      </c>
      <c r="Q49" s="244" t="str">
        <f>VLOOKUP(Table3236[[#This Row],[Census Tract]],'UI EnergyBurden'!$A$2:$B$184,2,FALSE)</f>
        <v>Yes</v>
      </c>
      <c r="R49" s="249">
        <f>VLOOKUP(Table3236[[#This Row],[Census Tract]],'Income and Housing Data'!$B$2:$D$823,3,FALSE)</f>
        <v>27072</v>
      </c>
      <c r="S49" s="250" t="str">
        <f>IF($U$7&lt;=Table3236[[#This Row],[Household Income]],IF(Table3236[[#This Row],[Household Income]]&lt;=$U$8, "Yes","No"),"No")</f>
        <v>No</v>
      </c>
    </row>
    <row r="50" spans="1:19" x14ac:dyDescent="0.25">
      <c r="A50" s="183">
        <v>9001071300</v>
      </c>
      <c r="B50" s="39" t="s">
        <v>934</v>
      </c>
      <c r="C50" s="178" t="s">
        <v>936</v>
      </c>
      <c r="D50" s="179">
        <v>34389.4211</v>
      </c>
      <c r="E50" s="179">
        <v>0</v>
      </c>
      <c r="F50" s="39">
        <f>Table3236[[#This Row],[Single Family]]+Table3236[[#This Row],[2-4 Units]]+Table3236[[#This Row],[&gt;4 Units]]</f>
        <v>0</v>
      </c>
      <c r="G50" s="39"/>
      <c r="H50" s="39"/>
      <c r="I50" s="39"/>
      <c r="J50" s="132">
        <v>0</v>
      </c>
      <c r="K50" s="39">
        <f>SUM(Table3236[[#This Row],[Single Family ]:[&gt;4 Units ]])</f>
        <v>0</v>
      </c>
      <c r="L50" s="133"/>
      <c r="M50" s="133"/>
      <c r="N50" s="133"/>
      <c r="O50" s="134">
        <v>0</v>
      </c>
      <c r="P50" s="243">
        <f>VLOOKUP(Table3236[[#This Row],[Census Tract]],'Population and Diversity Data'!$B$2:$K$823,10,FALSE)</f>
        <v>5</v>
      </c>
      <c r="Q50" s="244" t="str">
        <f>VLOOKUP(Table3236[[#This Row],[Census Tract]],'UI EnergyBurden'!$A$2:$B$184,2,FALSE)</f>
        <v>Yes</v>
      </c>
      <c r="R50" s="249">
        <f>VLOOKUP(Table3236[[#This Row],[Census Tract]],'Income and Housing Data'!$B$2:$D$823,3,FALSE)</f>
        <v>27072</v>
      </c>
      <c r="S50" s="250" t="str">
        <f>IF($U$7&lt;=Table3236[[#This Row],[Household Income]],IF(Table3236[[#This Row],[Household Income]]&lt;=$U$8, "Yes","No"),"No")</f>
        <v>No</v>
      </c>
    </row>
    <row r="51" spans="1:19" x14ac:dyDescent="0.25">
      <c r="A51" s="183">
        <v>9001071400</v>
      </c>
      <c r="B51" s="39" t="s">
        <v>934</v>
      </c>
      <c r="C51" s="178" t="s">
        <v>944</v>
      </c>
      <c r="D51" s="179">
        <v>38432.275500000003</v>
      </c>
      <c r="E51" s="179">
        <v>3327.16</v>
      </c>
      <c r="F51" s="39">
        <f>Table3236[[#This Row],[Single Family]]+Table3236[[#This Row],[2-4 Units]]+Table3236[[#This Row],[&gt;4 Units]]</f>
        <v>2</v>
      </c>
      <c r="G51" s="39">
        <v>1</v>
      </c>
      <c r="H51" s="39">
        <v>1</v>
      </c>
      <c r="I51" s="39">
        <v>0</v>
      </c>
      <c r="J51" s="132">
        <v>927.04</v>
      </c>
      <c r="K51" s="39">
        <f>SUM(Table3236[[#This Row],[Single Family ]:[&gt;4 Units ]])</f>
        <v>15</v>
      </c>
      <c r="L51" s="133">
        <v>2</v>
      </c>
      <c r="M51" s="133">
        <v>13</v>
      </c>
      <c r="N51" s="133">
        <v>0</v>
      </c>
      <c r="O51" s="134">
        <v>2400.12</v>
      </c>
      <c r="P51" s="243">
        <f>VLOOKUP(Table3236[[#This Row],[Census Tract]],'Population and Diversity Data'!$B$2:$K$823,10,FALSE)</f>
        <v>5</v>
      </c>
      <c r="Q51" s="244" t="str">
        <f>VLOOKUP(Table3236[[#This Row],[Census Tract]],'UI EnergyBurden'!$A$2:$B$184,2,FALSE)</f>
        <v>Yes</v>
      </c>
      <c r="R51" s="249">
        <f>VLOOKUP(Table3236[[#This Row],[Census Tract]],'Income and Housing Data'!$B$2:$D$823,3,FALSE)</f>
        <v>40245</v>
      </c>
      <c r="S51" s="250" t="str">
        <f>IF($U$7&lt;=Table3236[[#This Row],[Household Income]],IF(Table3236[[#This Row],[Household Income]]&lt;=$U$8, "Yes","No"),"No")</f>
        <v>No</v>
      </c>
    </row>
    <row r="52" spans="1:19" x14ac:dyDescent="0.25">
      <c r="A52" s="183">
        <v>9001071600</v>
      </c>
      <c r="B52" s="39" t="s">
        <v>3005</v>
      </c>
      <c r="C52" s="178" t="s">
        <v>944</v>
      </c>
      <c r="D52" s="179">
        <v>0</v>
      </c>
      <c r="E52" s="179">
        <v>1330.85</v>
      </c>
      <c r="F52" s="39">
        <f>Table3236[[#This Row],[Single Family]]+Table3236[[#This Row],[2-4 Units]]+Table3236[[#This Row],[&gt;4 Units]]</f>
        <v>0</v>
      </c>
      <c r="G52" s="39"/>
      <c r="H52" s="39"/>
      <c r="I52" s="39"/>
      <c r="J52" s="132">
        <v>0</v>
      </c>
      <c r="K52" s="39">
        <f>SUM(Table3236[[#This Row],[Single Family ]:[&gt;4 Units ]])</f>
        <v>8</v>
      </c>
      <c r="L52" s="133">
        <v>1</v>
      </c>
      <c r="M52" s="133">
        <v>7</v>
      </c>
      <c r="N52" s="133">
        <v>0</v>
      </c>
      <c r="O52" s="134">
        <v>1330.85</v>
      </c>
      <c r="P52" s="243">
        <f>VLOOKUP(Table3236[[#This Row],[Census Tract]],'Population and Diversity Data'!$B$2:$K$823,10,FALSE)</f>
        <v>4</v>
      </c>
      <c r="Q52" s="244" t="str">
        <f>VLOOKUP(Table3236[[#This Row],[Census Tract]],'UI EnergyBurden'!$A$2:$B$184,2,FALSE)</f>
        <v>Yes</v>
      </c>
      <c r="R52" s="249">
        <f>VLOOKUP(Table3236[[#This Row],[Census Tract]],'Income and Housing Data'!$B$2:$D$823,3,FALSE)</f>
        <v>21895</v>
      </c>
      <c r="S52" s="250" t="str">
        <f>IF($U$7&lt;=Table3236[[#This Row],[Household Income]],IF(Table3236[[#This Row],[Household Income]]&lt;=$U$8, "Yes","No"),"No")</f>
        <v>No</v>
      </c>
    </row>
    <row r="53" spans="1:19" x14ac:dyDescent="0.25">
      <c r="A53" s="183">
        <v>9001071600</v>
      </c>
      <c r="B53" s="39" t="s">
        <v>934</v>
      </c>
      <c r="C53" s="178" t="s">
        <v>936</v>
      </c>
      <c r="D53" s="179">
        <v>24529.813099999999</v>
      </c>
      <c r="E53" s="179">
        <v>0</v>
      </c>
      <c r="F53" s="39">
        <f>Table3236[[#This Row],[Single Family]]+Table3236[[#This Row],[2-4 Units]]+Table3236[[#This Row],[&gt;4 Units]]</f>
        <v>0</v>
      </c>
      <c r="G53" s="39"/>
      <c r="H53" s="39"/>
      <c r="I53" s="39"/>
      <c r="J53" s="132">
        <v>0</v>
      </c>
      <c r="K53" s="39">
        <f>SUM(Table3236[[#This Row],[Single Family ]:[&gt;4 Units ]])</f>
        <v>0</v>
      </c>
      <c r="L53" s="133"/>
      <c r="M53" s="133"/>
      <c r="N53" s="133"/>
      <c r="O53" s="134">
        <v>0</v>
      </c>
      <c r="P53" s="243">
        <f>VLOOKUP(Table3236[[#This Row],[Census Tract]],'Population and Diversity Data'!$B$2:$K$823,10,FALSE)</f>
        <v>4</v>
      </c>
      <c r="Q53" s="244" t="str">
        <f>VLOOKUP(Table3236[[#This Row],[Census Tract]],'UI EnergyBurden'!$A$2:$B$184,2,FALSE)</f>
        <v>Yes</v>
      </c>
      <c r="R53" s="249">
        <f>VLOOKUP(Table3236[[#This Row],[Census Tract]],'Income and Housing Data'!$B$2:$D$823,3,FALSE)</f>
        <v>21895</v>
      </c>
      <c r="S53" s="250" t="str">
        <f>IF($U$7&lt;=Table3236[[#This Row],[Household Income]],IF(Table3236[[#This Row],[Household Income]]&lt;=$U$8, "Yes","No"),"No")</f>
        <v>No</v>
      </c>
    </row>
    <row r="54" spans="1:19" x14ac:dyDescent="0.25">
      <c r="A54" s="183">
        <v>9001071900</v>
      </c>
      <c r="B54" s="39" t="s">
        <v>3007</v>
      </c>
      <c r="C54" s="178" t="s">
        <v>944</v>
      </c>
      <c r="D54" s="179">
        <v>0</v>
      </c>
      <c r="E54" s="179">
        <v>230</v>
      </c>
      <c r="F54" s="39">
        <f>Table3236[[#This Row],[Single Family]]+Table3236[[#This Row],[2-4 Units]]+Table3236[[#This Row],[&gt;4 Units]]</f>
        <v>0</v>
      </c>
      <c r="G54" s="39"/>
      <c r="H54" s="39"/>
      <c r="I54" s="39"/>
      <c r="J54" s="132">
        <v>0</v>
      </c>
      <c r="K54" s="39">
        <f>SUM(Table3236[[#This Row],[Single Family ]:[&gt;4 Units ]])</f>
        <v>1</v>
      </c>
      <c r="L54" s="133">
        <v>1</v>
      </c>
      <c r="M54" s="133">
        <v>0</v>
      </c>
      <c r="N54" s="133">
        <v>0</v>
      </c>
      <c r="O54" s="134">
        <v>230</v>
      </c>
      <c r="P54" s="243">
        <f>VLOOKUP(Table3236[[#This Row],[Census Tract]],'Population and Diversity Data'!$B$2:$K$823,10,FALSE)</f>
        <v>5</v>
      </c>
      <c r="Q54" s="244" t="str">
        <f>VLOOKUP(Table3236[[#This Row],[Census Tract]],'UI EnergyBurden'!$A$2:$B$184,2,FALSE)</f>
        <v>Yes</v>
      </c>
      <c r="R54" s="249">
        <f>VLOOKUP(Table3236[[#This Row],[Census Tract]],'Income and Housing Data'!$B$2:$D$823,3,FALSE)</f>
        <v>42969</v>
      </c>
      <c r="S54" s="250" t="str">
        <f>IF($U$7&lt;=Table3236[[#This Row],[Household Income]],IF(Table3236[[#This Row],[Household Income]]&lt;=$U$8, "Yes","No"),"No")</f>
        <v>No</v>
      </c>
    </row>
    <row r="55" spans="1:19" x14ac:dyDescent="0.25">
      <c r="A55" s="183">
        <v>9001071900</v>
      </c>
      <c r="B55" s="39" t="s">
        <v>3005</v>
      </c>
      <c r="C55" s="178" t="s">
        <v>944</v>
      </c>
      <c r="D55" s="179">
        <v>0</v>
      </c>
      <c r="E55" s="179">
        <v>3390.23</v>
      </c>
      <c r="F55" s="39">
        <f>Table3236[[#This Row],[Single Family]]+Table3236[[#This Row],[2-4 Units]]+Table3236[[#This Row],[&gt;4 Units]]</f>
        <v>2</v>
      </c>
      <c r="G55" s="39">
        <v>2</v>
      </c>
      <c r="H55" s="39">
        <v>0</v>
      </c>
      <c r="I55" s="39">
        <v>0</v>
      </c>
      <c r="J55" s="132">
        <v>404.3</v>
      </c>
      <c r="K55" s="39">
        <f>SUM(Table3236[[#This Row],[Single Family ]:[&gt;4 Units ]])</f>
        <v>10</v>
      </c>
      <c r="L55" s="133">
        <v>3</v>
      </c>
      <c r="M55" s="133">
        <v>6</v>
      </c>
      <c r="N55" s="133">
        <v>1</v>
      </c>
      <c r="O55" s="134">
        <v>2985.93</v>
      </c>
      <c r="P55" s="243">
        <f>VLOOKUP(Table3236[[#This Row],[Census Tract]],'Population and Diversity Data'!$B$2:$K$823,10,FALSE)</f>
        <v>5</v>
      </c>
      <c r="Q55" s="244" t="str">
        <f>VLOOKUP(Table3236[[#This Row],[Census Tract]],'UI EnergyBurden'!$A$2:$B$184,2,FALSE)</f>
        <v>Yes</v>
      </c>
      <c r="R55" s="249">
        <f>VLOOKUP(Table3236[[#This Row],[Census Tract]],'Income and Housing Data'!$B$2:$D$823,3,FALSE)</f>
        <v>42969</v>
      </c>
      <c r="S55" s="250" t="str">
        <f>IF($U$7&lt;=Table3236[[#This Row],[Household Income]],IF(Table3236[[#This Row],[Household Income]]&lt;=$U$8, "Yes","No"),"No")</f>
        <v>No</v>
      </c>
    </row>
    <row r="56" spans="1:19" x14ac:dyDescent="0.25">
      <c r="A56" s="183">
        <v>9001071900</v>
      </c>
      <c r="B56" s="39" t="s">
        <v>934</v>
      </c>
      <c r="C56" s="178" t="s">
        <v>936</v>
      </c>
      <c r="D56" s="179">
        <v>46534.635900000103</v>
      </c>
      <c r="E56" s="179">
        <v>0</v>
      </c>
      <c r="F56" s="39">
        <f>Table3236[[#This Row],[Single Family]]+Table3236[[#This Row],[2-4 Units]]+Table3236[[#This Row],[&gt;4 Units]]</f>
        <v>0</v>
      </c>
      <c r="G56" s="39"/>
      <c r="H56" s="39"/>
      <c r="I56" s="39"/>
      <c r="J56" s="132">
        <v>0</v>
      </c>
      <c r="K56" s="39">
        <f>SUM(Table3236[[#This Row],[Single Family ]:[&gt;4 Units ]])</f>
        <v>0</v>
      </c>
      <c r="L56" s="133"/>
      <c r="M56" s="133"/>
      <c r="N56" s="133"/>
      <c r="O56" s="134">
        <v>0</v>
      </c>
      <c r="P56" s="243">
        <f>VLOOKUP(Table3236[[#This Row],[Census Tract]],'Population and Diversity Data'!$B$2:$K$823,10,FALSE)</f>
        <v>5</v>
      </c>
      <c r="Q56" s="244" t="str">
        <f>VLOOKUP(Table3236[[#This Row],[Census Tract]],'UI EnergyBurden'!$A$2:$B$184,2,FALSE)</f>
        <v>Yes</v>
      </c>
      <c r="R56" s="249">
        <f>VLOOKUP(Table3236[[#This Row],[Census Tract]],'Income and Housing Data'!$B$2:$D$823,3,FALSE)</f>
        <v>42969</v>
      </c>
      <c r="S56" s="250" t="str">
        <f>IF($U$7&lt;=Table3236[[#This Row],[Household Income]],IF(Table3236[[#This Row],[Household Income]]&lt;=$U$8, "Yes","No"),"No")</f>
        <v>No</v>
      </c>
    </row>
    <row r="57" spans="1:19" x14ac:dyDescent="0.25">
      <c r="A57" s="183">
        <v>9001072000</v>
      </c>
      <c r="B57" s="39" t="s">
        <v>3005</v>
      </c>
      <c r="C57" s="178" t="s">
        <v>944</v>
      </c>
      <c r="D57" s="179">
        <v>0</v>
      </c>
      <c r="E57" s="179">
        <v>19032.27</v>
      </c>
      <c r="F57" s="39">
        <f>Table3236[[#This Row],[Single Family]]+Table3236[[#This Row],[2-4 Units]]+Table3236[[#This Row],[&gt;4 Units]]</f>
        <v>6</v>
      </c>
      <c r="G57" s="39">
        <v>5</v>
      </c>
      <c r="H57" s="39">
        <v>1</v>
      </c>
      <c r="I57" s="39">
        <v>0</v>
      </c>
      <c r="J57" s="132">
        <v>2207.0300000000002</v>
      </c>
      <c r="K57" s="39">
        <f>SUM(Table3236[[#This Row],[Single Family ]:[&gt;4 Units ]])</f>
        <v>21</v>
      </c>
      <c r="L57" s="133">
        <v>14</v>
      </c>
      <c r="M57" s="133">
        <v>6</v>
      </c>
      <c r="N57" s="133">
        <v>1</v>
      </c>
      <c r="O57" s="134">
        <v>16825.240000000002</v>
      </c>
      <c r="P57" s="243">
        <f>VLOOKUP(Table3236[[#This Row],[Census Tract]],'Population and Diversity Data'!$B$2:$K$823,10,FALSE)</f>
        <v>5</v>
      </c>
      <c r="Q57" s="244" t="str">
        <f>VLOOKUP(Table3236[[#This Row],[Census Tract]],'UI EnergyBurden'!$A$2:$B$184,2,FALSE)</f>
        <v>No</v>
      </c>
      <c r="R57" s="249">
        <f>VLOOKUP(Table3236[[#This Row],[Census Tract]],'Income and Housing Data'!$B$2:$D$823,3,FALSE)</f>
        <v>52909</v>
      </c>
      <c r="S57" s="250" t="str">
        <f>IF($U$7&lt;=Table3236[[#This Row],[Household Income]],IF(Table3236[[#This Row],[Household Income]]&lt;=$U$8, "Yes","No"),"No")</f>
        <v>Yes</v>
      </c>
    </row>
    <row r="58" spans="1:19" x14ac:dyDescent="0.25">
      <c r="A58" s="183">
        <v>9001072000</v>
      </c>
      <c r="B58" s="39" t="s">
        <v>934</v>
      </c>
      <c r="C58" s="178" t="s">
        <v>936</v>
      </c>
      <c r="D58" s="179">
        <v>43927.019899999999</v>
      </c>
      <c r="E58" s="179">
        <v>0</v>
      </c>
      <c r="F58" s="39">
        <f>Table3236[[#This Row],[Single Family]]+Table3236[[#This Row],[2-4 Units]]+Table3236[[#This Row],[&gt;4 Units]]</f>
        <v>0</v>
      </c>
      <c r="G58" s="39"/>
      <c r="H58" s="39"/>
      <c r="I58" s="39"/>
      <c r="J58" s="132">
        <v>0</v>
      </c>
      <c r="K58" s="39">
        <f>SUM(Table3236[[#This Row],[Single Family ]:[&gt;4 Units ]])</f>
        <v>0</v>
      </c>
      <c r="L58" s="133"/>
      <c r="M58" s="133"/>
      <c r="N58" s="133"/>
      <c r="O58" s="134">
        <v>0</v>
      </c>
      <c r="P58" s="243">
        <f>VLOOKUP(Table3236[[#This Row],[Census Tract]],'Population and Diversity Data'!$B$2:$K$823,10,FALSE)</f>
        <v>5</v>
      </c>
      <c r="Q58" s="244" t="str">
        <f>VLOOKUP(Table3236[[#This Row],[Census Tract]],'UI EnergyBurden'!$A$2:$B$184,2,FALSE)</f>
        <v>No</v>
      </c>
      <c r="R58" s="249">
        <f>VLOOKUP(Table3236[[#This Row],[Census Tract]],'Income and Housing Data'!$B$2:$D$823,3,FALSE)</f>
        <v>52909</v>
      </c>
      <c r="S58" s="250" t="str">
        <f>IF($U$7&lt;=Table3236[[#This Row],[Household Income]],IF(Table3236[[#This Row],[Household Income]]&lt;=$U$8, "Yes","No"),"No")</f>
        <v>Yes</v>
      </c>
    </row>
    <row r="59" spans="1:19" x14ac:dyDescent="0.25">
      <c r="A59" s="183">
        <v>9001072100</v>
      </c>
      <c r="B59" s="39" t="s">
        <v>934</v>
      </c>
      <c r="C59" s="178" t="s">
        <v>944</v>
      </c>
      <c r="D59" s="179">
        <v>119833.8798</v>
      </c>
      <c r="E59" s="179">
        <v>44620.47</v>
      </c>
      <c r="F59" s="39">
        <f>Table3236[[#This Row],[Single Family]]+Table3236[[#This Row],[2-4 Units]]+Table3236[[#This Row],[&gt;4 Units]]</f>
        <v>17</v>
      </c>
      <c r="G59" s="39">
        <v>16</v>
      </c>
      <c r="H59" s="39">
        <v>1</v>
      </c>
      <c r="I59" s="39">
        <v>0</v>
      </c>
      <c r="J59" s="132">
        <v>9086.1299999999992</v>
      </c>
      <c r="K59" s="39">
        <f>SUM(Table3236[[#This Row],[Single Family ]:[&gt;4 Units ]])</f>
        <v>35</v>
      </c>
      <c r="L59" s="133">
        <v>21</v>
      </c>
      <c r="M59" s="133">
        <v>14</v>
      </c>
      <c r="N59" s="133">
        <v>0</v>
      </c>
      <c r="O59" s="134">
        <v>35534.339999999997</v>
      </c>
      <c r="P59" s="243">
        <f>VLOOKUP(Table3236[[#This Row],[Census Tract]],'Population and Diversity Data'!$B$2:$K$823,10,FALSE)</f>
        <v>5</v>
      </c>
      <c r="Q59" s="244" t="str">
        <f>VLOOKUP(Table3236[[#This Row],[Census Tract]],'UI EnergyBurden'!$A$2:$B$184,2,FALSE)</f>
        <v>No</v>
      </c>
      <c r="R59" s="249">
        <f>VLOOKUP(Table3236[[#This Row],[Census Tract]],'Income and Housing Data'!$B$2:$D$823,3,FALSE)</f>
        <v>56009</v>
      </c>
      <c r="S59" s="250" t="str">
        <f>IF($U$7&lt;=Table3236[[#This Row],[Household Income]],IF(Table3236[[#This Row],[Household Income]]&lt;=$U$8, "Yes","No"),"No")</f>
        <v>Yes</v>
      </c>
    </row>
    <row r="60" spans="1:19" x14ac:dyDescent="0.25">
      <c r="A60" s="183">
        <v>9001072100</v>
      </c>
      <c r="B60" s="39" t="s">
        <v>2985</v>
      </c>
      <c r="C60" s="178" t="s">
        <v>944</v>
      </c>
      <c r="D60" s="179">
        <v>302.35410000000002</v>
      </c>
      <c r="E60" s="179">
        <v>0</v>
      </c>
      <c r="F60" s="39">
        <f>Table3236[[#This Row],[Single Family]]+Table3236[[#This Row],[2-4 Units]]+Table3236[[#This Row],[&gt;4 Units]]</f>
        <v>0</v>
      </c>
      <c r="G60" s="39"/>
      <c r="H60" s="39"/>
      <c r="I60" s="39"/>
      <c r="J60" s="132">
        <v>0</v>
      </c>
      <c r="K60" s="39">
        <f>SUM(Table3236[[#This Row],[Single Family ]:[&gt;4 Units ]])</f>
        <v>0</v>
      </c>
      <c r="L60" s="133"/>
      <c r="M60" s="133"/>
      <c r="N60" s="133"/>
      <c r="O60" s="134">
        <v>0</v>
      </c>
      <c r="P60" s="243">
        <f>VLOOKUP(Table3236[[#This Row],[Census Tract]],'Population and Diversity Data'!$B$2:$K$823,10,FALSE)</f>
        <v>5</v>
      </c>
      <c r="Q60" s="244" t="str">
        <f>VLOOKUP(Table3236[[#This Row],[Census Tract]],'UI EnergyBurden'!$A$2:$B$184,2,FALSE)</f>
        <v>No</v>
      </c>
      <c r="R60" s="249">
        <f>VLOOKUP(Table3236[[#This Row],[Census Tract]],'Income and Housing Data'!$B$2:$D$823,3,FALSE)</f>
        <v>56009</v>
      </c>
      <c r="S60" s="250" t="str">
        <f>IF($U$7&lt;=Table3236[[#This Row],[Household Income]],IF(Table3236[[#This Row],[Household Income]]&lt;=$U$8, "Yes","No"),"No")</f>
        <v>Yes</v>
      </c>
    </row>
    <row r="61" spans="1:19" x14ac:dyDescent="0.25">
      <c r="A61" s="183">
        <v>9001072200</v>
      </c>
      <c r="B61" s="39" t="s">
        <v>3005</v>
      </c>
      <c r="C61" s="178" t="s">
        <v>944</v>
      </c>
      <c r="D61" s="179">
        <v>0</v>
      </c>
      <c r="E61" s="179">
        <v>23077.93</v>
      </c>
      <c r="F61" s="39">
        <f>Table3236[[#This Row],[Single Family]]+Table3236[[#This Row],[2-4 Units]]+Table3236[[#This Row],[&gt;4 Units]]</f>
        <v>19</v>
      </c>
      <c r="G61" s="39">
        <v>17</v>
      </c>
      <c r="H61" s="39">
        <v>2</v>
      </c>
      <c r="I61" s="39">
        <v>0</v>
      </c>
      <c r="J61" s="132">
        <v>10983.51</v>
      </c>
      <c r="K61" s="39">
        <f>SUM(Table3236[[#This Row],[Single Family ]:[&gt;4 Units ]])</f>
        <v>10</v>
      </c>
      <c r="L61" s="133">
        <v>6</v>
      </c>
      <c r="M61" s="133">
        <v>4</v>
      </c>
      <c r="N61" s="133">
        <v>0</v>
      </c>
      <c r="O61" s="134">
        <v>12094.42</v>
      </c>
      <c r="P61" s="243">
        <f>VLOOKUP(Table3236[[#This Row],[Census Tract]],'Population and Diversity Data'!$B$2:$K$823,10,FALSE)</f>
        <v>4</v>
      </c>
      <c r="Q61" s="244" t="str">
        <f>VLOOKUP(Table3236[[#This Row],[Census Tract]],'UI EnergyBurden'!$A$2:$B$184,2,FALSE)</f>
        <v>No</v>
      </c>
      <c r="R61" s="249">
        <f>VLOOKUP(Table3236[[#This Row],[Census Tract]],'Income and Housing Data'!$B$2:$D$823,3,FALSE)</f>
        <v>49402</v>
      </c>
      <c r="S61" s="250" t="str">
        <f>IF($U$7&lt;=Table3236[[#This Row],[Household Income]],IF(Table3236[[#This Row],[Household Income]]&lt;=$U$8, "Yes","No"),"No")</f>
        <v>Yes</v>
      </c>
    </row>
    <row r="62" spans="1:19" x14ac:dyDescent="0.25">
      <c r="A62" s="183">
        <v>9001072200</v>
      </c>
      <c r="B62" s="39" t="s">
        <v>934</v>
      </c>
      <c r="C62" s="178" t="s">
        <v>936</v>
      </c>
      <c r="D62" s="179">
        <v>41166.362699999998</v>
      </c>
      <c r="E62" s="179">
        <v>0</v>
      </c>
      <c r="F62" s="39">
        <f>Table3236[[#This Row],[Single Family]]+Table3236[[#This Row],[2-4 Units]]+Table3236[[#This Row],[&gt;4 Units]]</f>
        <v>0</v>
      </c>
      <c r="G62" s="39"/>
      <c r="H62" s="39"/>
      <c r="I62" s="39"/>
      <c r="J62" s="132">
        <v>0</v>
      </c>
      <c r="K62" s="39">
        <f>SUM(Table3236[[#This Row],[Single Family ]:[&gt;4 Units ]])</f>
        <v>0</v>
      </c>
      <c r="L62" s="133"/>
      <c r="M62" s="133"/>
      <c r="N62" s="133"/>
      <c r="O62" s="134">
        <v>0</v>
      </c>
      <c r="P62" s="243">
        <f>VLOOKUP(Table3236[[#This Row],[Census Tract]],'Population and Diversity Data'!$B$2:$K$823,10,FALSE)</f>
        <v>4</v>
      </c>
      <c r="Q62" s="244" t="str">
        <f>VLOOKUP(Table3236[[#This Row],[Census Tract]],'UI EnergyBurden'!$A$2:$B$184,2,FALSE)</f>
        <v>No</v>
      </c>
      <c r="R62" s="249">
        <f>VLOOKUP(Table3236[[#This Row],[Census Tract]],'Income and Housing Data'!$B$2:$D$823,3,FALSE)</f>
        <v>49402</v>
      </c>
      <c r="S62" s="250" t="str">
        <f>IF($U$7&lt;=Table3236[[#This Row],[Household Income]],IF(Table3236[[#This Row],[Household Income]]&lt;=$U$8, "Yes","No"),"No")</f>
        <v>Yes</v>
      </c>
    </row>
    <row r="63" spans="1:19" x14ac:dyDescent="0.25">
      <c r="A63" s="183">
        <v>9001072200</v>
      </c>
      <c r="B63" s="39" t="s">
        <v>2985</v>
      </c>
      <c r="C63" s="178" t="s">
        <v>936</v>
      </c>
      <c r="D63" s="179">
        <v>0</v>
      </c>
      <c r="E63" s="179">
        <v>0</v>
      </c>
      <c r="F63" s="39">
        <f>Table3236[[#This Row],[Single Family]]+Table3236[[#This Row],[2-4 Units]]+Table3236[[#This Row],[&gt;4 Units]]</f>
        <v>0</v>
      </c>
      <c r="G63" s="39"/>
      <c r="H63" s="39"/>
      <c r="I63" s="39"/>
      <c r="J63" s="132">
        <v>0</v>
      </c>
      <c r="K63" s="39">
        <f>SUM(Table3236[[#This Row],[Single Family ]:[&gt;4 Units ]])</f>
        <v>0</v>
      </c>
      <c r="L63" s="133"/>
      <c r="M63" s="133"/>
      <c r="N63" s="133"/>
      <c r="O63" s="134">
        <v>0</v>
      </c>
      <c r="P63" s="243">
        <f>VLOOKUP(Table3236[[#This Row],[Census Tract]],'Population and Diversity Data'!$B$2:$K$823,10,FALSE)</f>
        <v>4</v>
      </c>
      <c r="Q63" s="244" t="str">
        <f>VLOOKUP(Table3236[[#This Row],[Census Tract]],'UI EnergyBurden'!$A$2:$B$184,2,FALSE)</f>
        <v>No</v>
      </c>
      <c r="R63" s="249">
        <f>VLOOKUP(Table3236[[#This Row],[Census Tract]],'Income and Housing Data'!$B$2:$D$823,3,FALSE)</f>
        <v>49402</v>
      </c>
      <c r="S63" s="250" t="str">
        <f>IF($U$7&lt;=Table3236[[#This Row],[Household Income]],IF(Table3236[[#This Row],[Household Income]]&lt;=$U$8, "Yes","No"),"No")</f>
        <v>Yes</v>
      </c>
    </row>
    <row r="64" spans="1:19" x14ac:dyDescent="0.25">
      <c r="A64" s="183">
        <v>9001072300</v>
      </c>
      <c r="B64" s="39" t="s">
        <v>934</v>
      </c>
      <c r="C64" s="178" t="s">
        <v>944</v>
      </c>
      <c r="D64" s="179">
        <v>62912.309300000103</v>
      </c>
      <c r="E64" s="179">
        <v>15404.49</v>
      </c>
      <c r="F64" s="39">
        <f>Table3236[[#This Row],[Single Family]]+Table3236[[#This Row],[2-4 Units]]+Table3236[[#This Row],[&gt;4 Units]]</f>
        <v>14</v>
      </c>
      <c r="G64" s="39">
        <v>12</v>
      </c>
      <c r="H64" s="39">
        <v>2</v>
      </c>
      <c r="I64" s="39">
        <v>0</v>
      </c>
      <c r="J64" s="132">
        <v>7767.78</v>
      </c>
      <c r="K64" s="39">
        <f>SUM(Table3236[[#This Row],[Single Family ]:[&gt;4 Units ]])</f>
        <v>11</v>
      </c>
      <c r="L64" s="133">
        <v>7</v>
      </c>
      <c r="M64" s="133">
        <v>4</v>
      </c>
      <c r="N64" s="133">
        <v>0</v>
      </c>
      <c r="O64" s="134">
        <v>7636.71</v>
      </c>
      <c r="P64" s="243">
        <f>VLOOKUP(Table3236[[#This Row],[Census Tract]],'Population and Diversity Data'!$B$2:$K$823,10,FALSE)</f>
        <v>5</v>
      </c>
      <c r="Q64" s="244" t="str">
        <f>VLOOKUP(Table3236[[#This Row],[Census Tract]],'UI EnergyBurden'!$A$2:$B$184,2,FALSE)</f>
        <v>No</v>
      </c>
      <c r="R64" s="249">
        <f>VLOOKUP(Table3236[[#This Row],[Census Tract]],'Income and Housing Data'!$B$2:$D$823,3,FALSE)</f>
        <v>64662</v>
      </c>
      <c r="S64" s="250" t="str">
        <f>IF($U$7&lt;=Table3236[[#This Row],[Household Income]],IF(Table3236[[#This Row],[Household Income]]&lt;=$U$8, "Yes","No"),"No")</f>
        <v>No</v>
      </c>
    </row>
    <row r="65" spans="1:19" x14ac:dyDescent="0.25">
      <c r="A65" s="183">
        <v>9001072400</v>
      </c>
      <c r="B65" s="39" t="s">
        <v>934</v>
      </c>
      <c r="C65" s="178" t="s">
        <v>944</v>
      </c>
      <c r="D65" s="179">
        <v>38727.082199999997</v>
      </c>
      <c r="E65" s="179">
        <v>29244.41</v>
      </c>
      <c r="F65" s="39">
        <f>Table3236[[#This Row],[Single Family]]+Table3236[[#This Row],[2-4 Units]]+Table3236[[#This Row],[&gt;4 Units]]</f>
        <v>12</v>
      </c>
      <c r="G65" s="39">
        <v>11</v>
      </c>
      <c r="H65" s="39">
        <v>1</v>
      </c>
      <c r="I65" s="39">
        <v>0</v>
      </c>
      <c r="J65" s="132">
        <v>5480.74</v>
      </c>
      <c r="K65" s="39">
        <f>SUM(Table3236[[#This Row],[Single Family ]:[&gt;4 Units ]])</f>
        <v>8</v>
      </c>
      <c r="L65" s="133">
        <v>8</v>
      </c>
      <c r="M65" s="133">
        <v>0</v>
      </c>
      <c r="N65" s="133">
        <v>0</v>
      </c>
      <c r="O65" s="134">
        <v>23763.67</v>
      </c>
      <c r="P65" s="243">
        <f>VLOOKUP(Table3236[[#This Row],[Census Tract]],'Population and Diversity Data'!$B$2:$K$823,10,FALSE)</f>
        <v>5</v>
      </c>
      <c r="Q65" s="244" t="str">
        <f>VLOOKUP(Table3236[[#This Row],[Census Tract]],'UI EnergyBurden'!$A$2:$B$184,2,FALSE)</f>
        <v>No</v>
      </c>
      <c r="R65" s="249">
        <f>VLOOKUP(Table3236[[#This Row],[Census Tract]],'Income and Housing Data'!$B$2:$D$823,3,FALSE)</f>
        <v>59014</v>
      </c>
      <c r="S65" s="250" t="str">
        <f>IF($U$7&lt;=Table3236[[#This Row],[Household Income]],IF(Table3236[[#This Row],[Household Income]]&lt;=$U$8, "Yes","No"),"No")</f>
        <v>Yes</v>
      </c>
    </row>
    <row r="66" spans="1:19" x14ac:dyDescent="0.25">
      <c r="A66" s="183">
        <v>9001072500</v>
      </c>
      <c r="B66" s="39" t="s">
        <v>934</v>
      </c>
      <c r="C66" s="178" t="s">
        <v>944</v>
      </c>
      <c r="D66" s="179">
        <v>78001.035200000304</v>
      </c>
      <c r="E66" s="179">
        <v>18716.64</v>
      </c>
      <c r="F66" s="39">
        <f>Table3236[[#This Row],[Single Family]]+Table3236[[#This Row],[2-4 Units]]+Table3236[[#This Row],[&gt;4 Units]]</f>
        <v>31</v>
      </c>
      <c r="G66" s="39">
        <v>30</v>
      </c>
      <c r="H66" s="39">
        <v>1</v>
      </c>
      <c r="I66" s="39">
        <v>0</v>
      </c>
      <c r="J66" s="132">
        <v>13275.87</v>
      </c>
      <c r="K66" s="39">
        <f>SUM(Table3236[[#This Row],[Single Family ]:[&gt;4 Units ]])</f>
        <v>14</v>
      </c>
      <c r="L66" s="133">
        <v>12</v>
      </c>
      <c r="M66" s="133">
        <v>2</v>
      </c>
      <c r="N66" s="133">
        <v>0</v>
      </c>
      <c r="O66" s="134">
        <v>5440.77</v>
      </c>
      <c r="P66" s="243">
        <f>VLOOKUP(Table3236[[#This Row],[Census Tract]],'Population and Diversity Data'!$B$2:$K$823,10,FALSE)</f>
        <v>4</v>
      </c>
      <c r="Q66" s="244" t="str">
        <f>VLOOKUP(Table3236[[#This Row],[Census Tract]],'UI EnergyBurden'!$A$2:$B$184,2,FALSE)</f>
        <v>No</v>
      </c>
      <c r="R66" s="249">
        <f>VLOOKUP(Table3236[[#This Row],[Census Tract]],'Income and Housing Data'!$B$2:$D$823,3,FALSE)</f>
        <v>65113</v>
      </c>
      <c r="S66" s="250" t="str">
        <f>IF($U$7&lt;=Table3236[[#This Row],[Household Income]],IF(Table3236[[#This Row],[Household Income]]&lt;=$U$8, "Yes","No"),"No")</f>
        <v>No</v>
      </c>
    </row>
    <row r="67" spans="1:19" x14ac:dyDescent="0.25">
      <c r="A67" s="183">
        <v>9001072500</v>
      </c>
      <c r="B67" s="39" t="s">
        <v>2985</v>
      </c>
      <c r="C67" s="178" t="s">
        <v>944</v>
      </c>
      <c r="D67" s="179">
        <v>0</v>
      </c>
      <c r="E67" s="179">
        <v>0</v>
      </c>
      <c r="F67" s="39">
        <f>Table3236[[#This Row],[Single Family]]+Table3236[[#This Row],[2-4 Units]]+Table3236[[#This Row],[&gt;4 Units]]</f>
        <v>0</v>
      </c>
      <c r="G67" s="39"/>
      <c r="H67" s="39"/>
      <c r="I67" s="39"/>
      <c r="J67" s="132">
        <v>0</v>
      </c>
      <c r="K67" s="39">
        <f>SUM(Table3236[[#This Row],[Single Family ]:[&gt;4 Units ]])</f>
        <v>0</v>
      </c>
      <c r="L67" s="133"/>
      <c r="M67" s="133"/>
      <c r="N67" s="133"/>
      <c r="O67" s="134">
        <v>0</v>
      </c>
      <c r="P67" s="243">
        <f>VLOOKUP(Table3236[[#This Row],[Census Tract]],'Population and Diversity Data'!$B$2:$K$823,10,FALSE)</f>
        <v>4</v>
      </c>
      <c r="Q67" s="244" t="str">
        <f>VLOOKUP(Table3236[[#This Row],[Census Tract]],'UI EnergyBurden'!$A$2:$B$184,2,FALSE)</f>
        <v>No</v>
      </c>
      <c r="R67" s="249">
        <f>VLOOKUP(Table3236[[#This Row],[Census Tract]],'Income and Housing Data'!$B$2:$D$823,3,FALSE)</f>
        <v>65113</v>
      </c>
      <c r="S67" s="250" t="str">
        <f>IF($U$7&lt;=Table3236[[#This Row],[Household Income]],IF(Table3236[[#This Row],[Household Income]]&lt;=$U$8, "Yes","No"),"No")</f>
        <v>No</v>
      </c>
    </row>
    <row r="68" spans="1:19" x14ac:dyDescent="0.25">
      <c r="A68" s="183">
        <v>9001072600</v>
      </c>
      <c r="B68" s="39" t="s">
        <v>934</v>
      </c>
      <c r="C68" s="178" t="s">
        <v>944</v>
      </c>
      <c r="D68" s="179">
        <v>118351.0931</v>
      </c>
      <c r="E68" s="179">
        <v>43073.09</v>
      </c>
      <c r="F68" s="39">
        <f>Table3236[[#This Row],[Single Family]]+Table3236[[#This Row],[2-4 Units]]+Table3236[[#This Row],[&gt;4 Units]]</f>
        <v>21</v>
      </c>
      <c r="G68" s="39">
        <v>20</v>
      </c>
      <c r="H68" s="39">
        <v>1</v>
      </c>
      <c r="I68" s="39">
        <v>0</v>
      </c>
      <c r="J68" s="132">
        <v>16945</v>
      </c>
      <c r="K68" s="39">
        <f>SUM(Table3236[[#This Row],[Single Family ]:[&gt;4 Units ]])</f>
        <v>18</v>
      </c>
      <c r="L68" s="133">
        <v>14</v>
      </c>
      <c r="M68" s="133">
        <v>4</v>
      </c>
      <c r="N68" s="133">
        <v>0</v>
      </c>
      <c r="O68" s="134">
        <v>26128.09</v>
      </c>
      <c r="P68" s="243">
        <f>VLOOKUP(Table3236[[#This Row],[Census Tract]],'Population and Diversity Data'!$B$2:$K$823,10,FALSE)</f>
        <v>3</v>
      </c>
      <c r="Q68" s="244" t="str">
        <f>VLOOKUP(Table3236[[#This Row],[Census Tract]],'UI EnergyBurden'!$A$2:$B$184,2,FALSE)</f>
        <v>No</v>
      </c>
      <c r="R68" s="249">
        <f>VLOOKUP(Table3236[[#This Row],[Census Tract]],'Income and Housing Data'!$B$2:$D$823,3,FALSE)</f>
        <v>63141</v>
      </c>
      <c r="S68" s="250" t="str">
        <f>IF($U$7&lt;=Table3236[[#This Row],[Household Income]],IF(Table3236[[#This Row],[Household Income]]&lt;=$U$8, "Yes","No"),"No")</f>
        <v>Yes</v>
      </c>
    </row>
    <row r="69" spans="1:19" x14ac:dyDescent="0.25">
      <c r="A69" s="183">
        <v>9001072600</v>
      </c>
      <c r="B69" s="39" t="s">
        <v>2987</v>
      </c>
      <c r="C69" s="178" t="s">
        <v>944</v>
      </c>
      <c r="D69" s="179">
        <v>41.979599999999998</v>
      </c>
      <c r="E69" s="179">
        <v>0</v>
      </c>
      <c r="F69" s="39">
        <f>Table3236[[#This Row],[Single Family]]+Table3236[[#This Row],[2-4 Units]]+Table3236[[#This Row],[&gt;4 Units]]</f>
        <v>0</v>
      </c>
      <c r="G69" s="39"/>
      <c r="H69" s="39"/>
      <c r="I69" s="39"/>
      <c r="J69" s="132">
        <v>0</v>
      </c>
      <c r="K69" s="39">
        <f>SUM(Table3236[[#This Row],[Single Family ]:[&gt;4 Units ]])</f>
        <v>0</v>
      </c>
      <c r="L69" s="133"/>
      <c r="M69" s="133"/>
      <c r="N69" s="133"/>
      <c r="O69" s="134">
        <v>0</v>
      </c>
      <c r="P69" s="243">
        <f>VLOOKUP(Table3236[[#This Row],[Census Tract]],'Population and Diversity Data'!$B$2:$K$823,10,FALSE)</f>
        <v>3</v>
      </c>
      <c r="Q69" s="244" t="str">
        <f>VLOOKUP(Table3236[[#This Row],[Census Tract]],'UI EnergyBurden'!$A$2:$B$184,2,FALSE)</f>
        <v>No</v>
      </c>
      <c r="R69" s="249">
        <f>VLOOKUP(Table3236[[#This Row],[Census Tract]],'Income and Housing Data'!$B$2:$D$823,3,FALSE)</f>
        <v>63141</v>
      </c>
      <c r="S69" s="250" t="str">
        <f>IF($U$7&lt;=Table3236[[#This Row],[Household Income]],IF(Table3236[[#This Row],[Household Income]]&lt;=$U$8, "Yes","No"),"No")</f>
        <v>Yes</v>
      </c>
    </row>
    <row r="70" spans="1:19" x14ac:dyDescent="0.25">
      <c r="A70" s="183">
        <v>9001072700</v>
      </c>
      <c r="B70" s="39" t="s">
        <v>934</v>
      </c>
      <c r="C70" s="178" t="s">
        <v>944</v>
      </c>
      <c r="D70" s="179">
        <v>59967.633300000001</v>
      </c>
      <c r="E70" s="179">
        <v>47344.93</v>
      </c>
      <c r="F70" s="39">
        <f>Table3236[[#This Row],[Single Family]]+Table3236[[#This Row],[2-4 Units]]+Table3236[[#This Row],[&gt;4 Units]]</f>
        <v>15</v>
      </c>
      <c r="G70" s="39">
        <v>13</v>
      </c>
      <c r="H70" s="39">
        <v>2</v>
      </c>
      <c r="I70" s="39">
        <v>0</v>
      </c>
      <c r="J70" s="132">
        <v>13515.44</v>
      </c>
      <c r="K70" s="39">
        <f>SUM(Table3236[[#This Row],[Single Family ]:[&gt;4 Units ]])</f>
        <v>22</v>
      </c>
      <c r="L70" s="133">
        <v>19</v>
      </c>
      <c r="M70" s="133">
        <v>3</v>
      </c>
      <c r="N70" s="133">
        <v>0</v>
      </c>
      <c r="O70" s="134">
        <v>33829.49</v>
      </c>
      <c r="P70" s="243">
        <f>VLOOKUP(Table3236[[#This Row],[Census Tract]],'Population and Diversity Data'!$B$2:$K$823,10,FALSE)</f>
        <v>4</v>
      </c>
      <c r="Q70" s="244" t="str">
        <f>VLOOKUP(Table3236[[#This Row],[Census Tract]],'UI EnergyBurden'!$A$2:$B$184,2,FALSE)</f>
        <v>No</v>
      </c>
      <c r="R70" s="249">
        <f>VLOOKUP(Table3236[[#This Row],[Census Tract]],'Income and Housing Data'!$B$2:$D$823,3,FALSE)</f>
        <v>75799</v>
      </c>
      <c r="S70" s="250" t="str">
        <f>IF($U$7&lt;=Table3236[[#This Row],[Household Income]],IF(Table3236[[#This Row],[Household Income]]&lt;=$U$8, "Yes","No"),"No")</f>
        <v>No</v>
      </c>
    </row>
    <row r="71" spans="1:19" x14ac:dyDescent="0.25">
      <c r="A71" s="183">
        <v>9001072700</v>
      </c>
      <c r="B71" s="39" t="s">
        <v>2987</v>
      </c>
      <c r="C71" s="178" t="s">
        <v>944</v>
      </c>
      <c r="D71" s="179">
        <v>284.05279999999999</v>
      </c>
      <c r="E71" s="179">
        <v>0</v>
      </c>
      <c r="F71" s="39">
        <f>Table3236[[#This Row],[Single Family]]+Table3236[[#This Row],[2-4 Units]]+Table3236[[#This Row],[&gt;4 Units]]</f>
        <v>0</v>
      </c>
      <c r="G71" s="39"/>
      <c r="H71" s="39"/>
      <c r="I71" s="39"/>
      <c r="J71" s="132">
        <v>0</v>
      </c>
      <c r="K71" s="39">
        <f>SUM(Table3236[[#This Row],[Single Family ]:[&gt;4 Units ]])</f>
        <v>0</v>
      </c>
      <c r="L71" s="133"/>
      <c r="M71" s="133"/>
      <c r="N71" s="133"/>
      <c r="O71" s="134">
        <v>0</v>
      </c>
      <c r="P71" s="243">
        <f>VLOOKUP(Table3236[[#This Row],[Census Tract]],'Population and Diversity Data'!$B$2:$K$823,10,FALSE)</f>
        <v>4</v>
      </c>
      <c r="Q71" s="244" t="str">
        <f>VLOOKUP(Table3236[[#This Row],[Census Tract]],'UI EnergyBurden'!$A$2:$B$184,2,FALSE)</f>
        <v>No</v>
      </c>
      <c r="R71" s="249">
        <f>VLOOKUP(Table3236[[#This Row],[Census Tract]],'Income and Housing Data'!$B$2:$D$823,3,FALSE)</f>
        <v>75799</v>
      </c>
      <c r="S71" s="250" t="str">
        <f>IF($U$7&lt;=Table3236[[#This Row],[Household Income]],IF(Table3236[[#This Row],[Household Income]]&lt;=$U$8, "Yes","No"),"No")</f>
        <v>No</v>
      </c>
    </row>
    <row r="72" spans="1:19" x14ac:dyDescent="0.25">
      <c r="A72" s="183">
        <v>9001072800</v>
      </c>
      <c r="B72" s="39" t="s">
        <v>934</v>
      </c>
      <c r="C72" s="178" t="s">
        <v>944</v>
      </c>
      <c r="D72" s="179">
        <v>67221.614200000098</v>
      </c>
      <c r="E72" s="179">
        <v>239893.12</v>
      </c>
      <c r="F72" s="39">
        <f>Table3236[[#This Row],[Single Family]]+Table3236[[#This Row],[2-4 Units]]+Table3236[[#This Row],[&gt;4 Units]]</f>
        <v>9</v>
      </c>
      <c r="G72" s="39">
        <v>9</v>
      </c>
      <c r="H72" s="39">
        <v>0</v>
      </c>
      <c r="I72" s="39">
        <v>0</v>
      </c>
      <c r="J72" s="132">
        <v>5076.9399999999996</v>
      </c>
      <c r="K72" s="39">
        <f>SUM(Table3236[[#This Row],[Single Family ]:[&gt;4 Units ]])</f>
        <v>21</v>
      </c>
      <c r="L72" s="133">
        <v>17</v>
      </c>
      <c r="M72" s="133">
        <v>3</v>
      </c>
      <c r="N72" s="133">
        <v>1</v>
      </c>
      <c r="O72" s="134">
        <v>234816.18</v>
      </c>
      <c r="P72" s="243">
        <f>VLOOKUP(Table3236[[#This Row],[Census Tract]],'Population and Diversity Data'!$B$2:$K$823,10,FALSE)</f>
        <v>5</v>
      </c>
      <c r="Q72" s="244" t="str">
        <f>VLOOKUP(Table3236[[#This Row],[Census Tract]],'UI EnergyBurden'!$A$2:$B$184,2,FALSE)</f>
        <v>No</v>
      </c>
      <c r="R72" s="249">
        <f>VLOOKUP(Table3236[[#This Row],[Census Tract]],'Income and Housing Data'!$B$2:$D$823,3,FALSE)</f>
        <v>52607</v>
      </c>
      <c r="S72" s="250" t="str">
        <f>IF($U$7&lt;=Table3236[[#This Row],[Household Income]],IF(Table3236[[#This Row],[Household Income]]&lt;=$U$8, "Yes","No"),"No")</f>
        <v>Yes</v>
      </c>
    </row>
    <row r="73" spans="1:19" x14ac:dyDescent="0.25">
      <c r="A73" s="183">
        <v>9001072900</v>
      </c>
      <c r="B73" s="39" t="s">
        <v>934</v>
      </c>
      <c r="C73" s="178" t="s">
        <v>944</v>
      </c>
      <c r="D73" s="179">
        <v>67436.167800000097</v>
      </c>
      <c r="E73" s="179">
        <v>53807.48</v>
      </c>
      <c r="F73" s="39">
        <f>Table3236[[#This Row],[Single Family]]+Table3236[[#This Row],[2-4 Units]]+Table3236[[#This Row],[&gt;4 Units]]</f>
        <v>19</v>
      </c>
      <c r="G73" s="39">
        <v>18</v>
      </c>
      <c r="H73" s="39">
        <v>1</v>
      </c>
      <c r="I73" s="39">
        <v>0</v>
      </c>
      <c r="J73" s="132">
        <v>8358.1</v>
      </c>
      <c r="K73" s="39">
        <f>SUM(Table3236[[#This Row],[Single Family ]:[&gt;4 Units ]])</f>
        <v>30</v>
      </c>
      <c r="L73" s="133">
        <v>23</v>
      </c>
      <c r="M73" s="133">
        <v>7</v>
      </c>
      <c r="N73" s="133">
        <v>0</v>
      </c>
      <c r="O73" s="134">
        <v>45449.38</v>
      </c>
      <c r="P73" s="243">
        <f>VLOOKUP(Table3236[[#This Row],[Census Tract]],'Population and Diversity Data'!$B$2:$K$823,10,FALSE)</f>
        <v>4</v>
      </c>
      <c r="Q73" s="244" t="str">
        <f>VLOOKUP(Table3236[[#This Row],[Census Tract]],'UI EnergyBurden'!$A$2:$B$184,2,FALSE)</f>
        <v>No</v>
      </c>
      <c r="R73" s="249">
        <f>VLOOKUP(Table3236[[#This Row],[Census Tract]],'Income and Housing Data'!$B$2:$D$823,3,FALSE)</f>
        <v>63618</v>
      </c>
      <c r="S73" s="250" t="str">
        <f>IF($U$7&lt;=Table3236[[#This Row],[Household Income]],IF(Table3236[[#This Row],[Household Income]]&lt;=$U$8, "Yes","No"),"No")</f>
        <v>Yes</v>
      </c>
    </row>
    <row r="74" spans="1:19" x14ac:dyDescent="0.25">
      <c r="A74" s="183">
        <v>9001072900</v>
      </c>
      <c r="B74" s="39" t="s">
        <v>956</v>
      </c>
      <c r="C74" s="178" t="s">
        <v>944</v>
      </c>
      <c r="D74" s="179">
        <v>18.556000000000001</v>
      </c>
      <c r="E74" s="179">
        <v>0</v>
      </c>
      <c r="F74" s="39">
        <f>Table3236[[#This Row],[Single Family]]+Table3236[[#This Row],[2-4 Units]]+Table3236[[#This Row],[&gt;4 Units]]</f>
        <v>0</v>
      </c>
      <c r="G74" s="39"/>
      <c r="H74" s="39"/>
      <c r="I74" s="39"/>
      <c r="J74" s="132">
        <v>0</v>
      </c>
      <c r="K74" s="39">
        <f>SUM(Table3236[[#This Row],[Single Family ]:[&gt;4 Units ]])</f>
        <v>0</v>
      </c>
      <c r="L74" s="133"/>
      <c r="M74" s="133"/>
      <c r="N74" s="133"/>
      <c r="O74" s="134">
        <v>0</v>
      </c>
      <c r="P74" s="243">
        <f>VLOOKUP(Table3236[[#This Row],[Census Tract]],'Population and Diversity Data'!$B$2:$K$823,10,FALSE)</f>
        <v>4</v>
      </c>
      <c r="Q74" s="244" t="str">
        <f>VLOOKUP(Table3236[[#This Row],[Census Tract]],'UI EnergyBurden'!$A$2:$B$184,2,FALSE)</f>
        <v>No</v>
      </c>
      <c r="R74" s="249">
        <f>VLOOKUP(Table3236[[#This Row],[Census Tract]],'Income and Housing Data'!$B$2:$D$823,3,FALSE)</f>
        <v>63618</v>
      </c>
      <c r="S74" s="250" t="str">
        <f>IF($U$7&lt;=Table3236[[#This Row],[Household Income]],IF(Table3236[[#This Row],[Household Income]]&lt;=$U$8, "Yes","No"),"No")</f>
        <v>Yes</v>
      </c>
    </row>
    <row r="75" spans="1:19" x14ac:dyDescent="0.25">
      <c r="A75" s="183">
        <v>9001072900</v>
      </c>
      <c r="B75" s="39" t="s">
        <v>2987</v>
      </c>
      <c r="C75" s="178" t="s">
        <v>944</v>
      </c>
      <c r="D75" s="179">
        <v>78.866</v>
      </c>
      <c r="E75" s="179">
        <v>0</v>
      </c>
      <c r="F75" s="39">
        <f>Table3236[[#This Row],[Single Family]]+Table3236[[#This Row],[2-4 Units]]+Table3236[[#This Row],[&gt;4 Units]]</f>
        <v>0</v>
      </c>
      <c r="G75" s="39"/>
      <c r="H75" s="39"/>
      <c r="I75" s="39"/>
      <c r="J75" s="132">
        <v>0</v>
      </c>
      <c r="K75" s="39">
        <f>SUM(Table3236[[#This Row],[Single Family ]:[&gt;4 Units ]])</f>
        <v>0</v>
      </c>
      <c r="L75" s="133"/>
      <c r="M75" s="133"/>
      <c r="N75" s="133"/>
      <c r="O75" s="134">
        <v>0</v>
      </c>
      <c r="P75" s="243">
        <f>VLOOKUP(Table3236[[#This Row],[Census Tract]],'Population and Diversity Data'!$B$2:$K$823,10,FALSE)</f>
        <v>4</v>
      </c>
      <c r="Q75" s="244" t="str">
        <f>VLOOKUP(Table3236[[#This Row],[Census Tract]],'UI EnergyBurden'!$A$2:$B$184,2,FALSE)</f>
        <v>No</v>
      </c>
      <c r="R75" s="249">
        <f>VLOOKUP(Table3236[[#This Row],[Census Tract]],'Income and Housing Data'!$B$2:$D$823,3,FALSE)</f>
        <v>63618</v>
      </c>
      <c r="S75" s="250" t="str">
        <f>IF($U$7&lt;=Table3236[[#This Row],[Household Income]],IF(Table3236[[#This Row],[Household Income]]&lt;=$U$8, "Yes","No"),"No")</f>
        <v>Yes</v>
      </c>
    </row>
    <row r="76" spans="1:19" x14ac:dyDescent="0.25">
      <c r="A76" s="183">
        <v>9001073000</v>
      </c>
      <c r="B76" s="39" t="s">
        <v>934</v>
      </c>
      <c r="C76" s="178" t="s">
        <v>944</v>
      </c>
      <c r="D76" s="179">
        <v>27045.101699999999</v>
      </c>
      <c r="E76" s="179">
        <v>17678.66</v>
      </c>
      <c r="F76" s="39">
        <f>Table3236[[#This Row],[Single Family]]+Table3236[[#This Row],[2-4 Units]]+Table3236[[#This Row],[&gt;4 Units]]</f>
        <v>5</v>
      </c>
      <c r="G76" s="39">
        <v>5</v>
      </c>
      <c r="H76" s="39">
        <v>0</v>
      </c>
      <c r="I76" s="39">
        <v>0</v>
      </c>
      <c r="J76" s="132">
        <v>2053.25</v>
      </c>
      <c r="K76" s="39">
        <f>SUM(Table3236[[#This Row],[Single Family ]:[&gt;4 Units ]])</f>
        <v>20</v>
      </c>
      <c r="L76" s="133">
        <v>11</v>
      </c>
      <c r="M76" s="133">
        <v>9</v>
      </c>
      <c r="N76" s="133">
        <v>0</v>
      </c>
      <c r="O76" s="134">
        <v>15625.41</v>
      </c>
      <c r="P76" s="243">
        <f>VLOOKUP(Table3236[[#This Row],[Census Tract]],'Population and Diversity Data'!$B$2:$K$823,10,FALSE)</f>
        <v>4</v>
      </c>
      <c r="Q76" s="244" t="str">
        <f>VLOOKUP(Table3236[[#This Row],[Census Tract]],'UI EnergyBurden'!$A$2:$B$184,2,FALSE)</f>
        <v>No</v>
      </c>
      <c r="R76" s="249">
        <f>VLOOKUP(Table3236[[#This Row],[Census Tract]],'Income and Housing Data'!$B$2:$D$823,3,FALSE)</f>
        <v>91500</v>
      </c>
      <c r="S76" s="250" t="str">
        <f>IF($U$7&lt;=Table3236[[#This Row],[Household Income]],IF(Table3236[[#This Row],[Household Income]]&lt;=$U$8, "Yes","No"),"No")</f>
        <v>No</v>
      </c>
    </row>
    <row r="77" spans="1:19" x14ac:dyDescent="0.25">
      <c r="A77" s="183">
        <v>9001073000</v>
      </c>
      <c r="B77" s="39" t="s">
        <v>2987</v>
      </c>
      <c r="C77" s="178" t="s">
        <v>944</v>
      </c>
      <c r="D77" s="179">
        <v>118.6635</v>
      </c>
      <c r="E77" s="179">
        <v>0</v>
      </c>
      <c r="F77" s="39">
        <f>Table3236[[#This Row],[Single Family]]+Table3236[[#This Row],[2-4 Units]]+Table3236[[#This Row],[&gt;4 Units]]</f>
        <v>0</v>
      </c>
      <c r="G77" s="39"/>
      <c r="H77" s="39"/>
      <c r="I77" s="39"/>
      <c r="J77" s="132">
        <v>0</v>
      </c>
      <c r="K77" s="39">
        <f>SUM(Table3236[[#This Row],[Single Family ]:[&gt;4 Units ]])</f>
        <v>0</v>
      </c>
      <c r="L77" s="133"/>
      <c r="M77" s="133"/>
      <c r="N77" s="133"/>
      <c r="O77" s="134">
        <v>0</v>
      </c>
      <c r="P77" s="243">
        <f>VLOOKUP(Table3236[[#This Row],[Census Tract]],'Population and Diversity Data'!$B$2:$K$823,10,FALSE)</f>
        <v>4</v>
      </c>
      <c r="Q77" s="244" t="str">
        <f>VLOOKUP(Table3236[[#This Row],[Census Tract]],'UI EnergyBurden'!$A$2:$B$184,2,FALSE)</f>
        <v>No</v>
      </c>
      <c r="R77" s="249">
        <f>VLOOKUP(Table3236[[#This Row],[Census Tract]],'Income and Housing Data'!$B$2:$D$823,3,FALSE)</f>
        <v>91500</v>
      </c>
      <c r="S77" s="250" t="str">
        <f>IF($U$7&lt;=Table3236[[#This Row],[Household Income]],IF(Table3236[[#This Row],[Household Income]]&lt;=$U$8, "Yes","No"),"No")</f>
        <v>No</v>
      </c>
    </row>
    <row r="78" spans="1:19" x14ac:dyDescent="0.25">
      <c r="A78" s="183">
        <v>9001073100</v>
      </c>
      <c r="B78" s="39" t="s">
        <v>3005</v>
      </c>
      <c r="C78" s="178" t="s">
        <v>944</v>
      </c>
      <c r="D78" s="179">
        <v>0</v>
      </c>
      <c r="E78" s="179">
        <v>34954.18</v>
      </c>
      <c r="F78" s="39">
        <f>Table3236[[#This Row],[Single Family]]+Table3236[[#This Row],[2-4 Units]]+Table3236[[#This Row],[&gt;4 Units]]</f>
        <v>14</v>
      </c>
      <c r="G78" s="39">
        <v>13</v>
      </c>
      <c r="H78" s="39">
        <v>1</v>
      </c>
      <c r="I78" s="39">
        <v>0</v>
      </c>
      <c r="J78" s="132">
        <v>8317.02</v>
      </c>
      <c r="K78" s="39">
        <f>SUM(Table3236[[#This Row],[Single Family ]:[&gt;4 Units ]])</f>
        <v>30</v>
      </c>
      <c r="L78" s="133">
        <v>18</v>
      </c>
      <c r="M78" s="133">
        <v>12</v>
      </c>
      <c r="N78" s="133">
        <v>0</v>
      </c>
      <c r="O78" s="134">
        <v>26637.16</v>
      </c>
      <c r="P78" s="243">
        <f>VLOOKUP(Table3236[[#This Row],[Census Tract]],'Population and Diversity Data'!$B$2:$K$823,10,FALSE)</f>
        <v>5</v>
      </c>
      <c r="Q78" s="244" t="str">
        <f>VLOOKUP(Table3236[[#This Row],[Census Tract]],'UI EnergyBurden'!$A$2:$B$184,2,FALSE)</f>
        <v>No</v>
      </c>
      <c r="R78" s="249">
        <f>VLOOKUP(Table3236[[#This Row],[Census Tract]],'Income and Housing Data'!$B$2:$D$823,3,FALSE)</f>
        <v>37802</v>
      </c>
      <c r="S78" s="250" t="str">
        <f>IF($U$7&lt;=Table3236[[#This Row],[Household Income]],IF(Table3236[[#This Row],[Household Income]]&lt;=$U$8, "Yes","No"),"No")</f>
        <v>No</v>
      </c>
    </row>
    <row r="79" spans="1:19" x14ac:dyDescent="0.25">
      <c r="A79" s="183">
        <v>9001073100</v>
      </c>
      <c r="B79" s="39" t="s">
        <v>934</v>
      </c>
      <c r="C79" s="178" t="s">
        <v>936</v>
      </c>
      <c r="D79" s="179">
        <v>69620.792000000001</v>
      </c>
      <c r="E79" s="179">
        <v>0</v>
      </c>
      <c r="F79" s="39">
        <f>Table3236[[#This Row],[Single Family]]+Table3236[[#This Row],[2-4 Units]]+Table3236[[#This Row],[&gt;4 Units]]</f>
        <v>0</v>
      </c>
      <c r="G79" s="39"/>
      <c r="H79" s="39"/>
      <c r="I79" s="39"/>
      <c r="J79" s="132">
        <v>0</v>
      </c>
      <c r="K79" s="39">
        <f>SUM(Table3236[[#This Row],[Single Family ]:[&gt;4 Units ]])</f>
        <v>0</v>
      </c>
      <c r="L79" s="133"/>
      <c r="M79" s="133"/>
      <c r="N79" s="133"/>
      <c r="O79" s="134">
        <v>0</v>
      </c>
      <c r="P79" s="243">
        <f>VLOOKUP(Table3236[[#This Row],[Census Tract]],'Population and Diversity Data'!$B$2:$K$823,10,FALSE)</f>
        <v>5</v>
      </c>
      <c r="Q79" s="244" t="str">
        <f>VLOOKUP(Table3236[[#This Row],[Census Tract]],'UI EnergyBurden'!$A$2:$B$184,2,FALSE)</f>
        <v>No</v>
      </c>
      <c r="R79" s="249">
        <f>VLOOKUP(Table3236[[#This Row],[Census Tract]],'Income and Housing Data'!$B$2:$D$823,3,FALSE)</f>
        <v>37802</v>
      </c>
      <c r="S79" s="250" t="str">
        <f>IF($U$7&lt;=Table3236[[#This Row],[Household Income]],IF(Table3236[[#This Row],[Household Income]]&lt;=$U$8, "Yes","No"),"No")</f>
        <v>No</v>
      </c>
    </row>
    <row r="80" spans="1:19" x14ac:dyDescent="0.25">
      <c r="A80" s="183">
        <v>9001073100</v>
      </c>
      <c r="B80" s="39" t="s">
        <v>2987</v>
      </c>
      <c r="C80" s="178" t="s">
        <v>936</v>
      </c>
      <c r="D80" s="179">
        <v>99.9512</v>
      </c>
      <c r="E80" s="179">
        <v>0</v>
      </c>
      <c r="F80" s="39">
        <f>Table3236[[#This Row],[Single Family]]+Table3236[[#This Row],[2-4 Units]]+Table3236[[#This Row],[&gt;4 Units]]</f>
        <v>0</v>
      </c>
      <c r="G80" s="39"/>
      <c r="H80" s="39"/>
      <c r="I80" s="39"/>
      <c r="J80" s="132">
        <v>0</v>
      </c>
      <c r="K80" s="39">
        <f>SUM(Table3236[[#This Row],[Single Family ]:[&gt;4 Units ]])</f>
        <v>0</v>
      </c>
      <c r="L80" s="133"/>
      <c r="M80" s="133"/>
      <c r="N80" s="133"/>
      <c r="O80" s="134">
        <v>0</v>
      </c>
      <c r="P80" s="243">
        <f>VLOOKUP(Table3236[[#This Row],[Census Tract]],'Population and Diversity Data'!$B$2:$K$823,10,FALSE)</f>
        <v>5</v>
      </c>
      <c r="Q80" s="244" t="str">
        <f>VLOOKUP(Table3236[[#This Row],[Census Tract]],'UI EnergyBurden'!$A$2:$B$184,2,FALSE)</f>
        <v>No</v>
      </c>
      <c r="R80" s="249">
        <f>VLOOKUP(Table3236[[#This Row],[Census Tract]],'Income and Housing Data'!$B$2:$D$823,3,FALSE)</f>
        <v>37802</v>
      </c>
      <c r="S80" s="250" t="str">
        <f>IF($U$7&lt;=Table3236[[#This Row],[Household Income]],IF(Table3236[[#This Row],[Household Income]]&lt;=$U$8, "Yes","No"),"No")</f>
        <v>No</v>
      </c>
    </row>
    <row r="81" spans="1:19" x14ac:dyDescent="0.25">
      <c r="A81" s="183">
        <v>9001073200</v>
      </c>
      <c r="B81" s="39" t="s">
        <v>934</v>
      </c>
      <c r="C81" s="178" t="s">
        <v>944</v>
      </c>
      <c r="D81" s="179">
        <v>24172.335500000001</v>
      </c>
      <c r="E81" s="179">
        <v>3053.03</v>
      </c>
      <c r="F81" s="39">
        <f>Table3236[[#This Row],[Single Family]]+Table3236[[#This Row],[2-4 Units]]+Table3236[[#This Row],[&gt;4 Units]]</f>
        <v>3</v>
      </c>
      <c r="G81" s="39">
        <v>3</v>
      </c>
      <c r="H81" s="39">
        <v>0</v>
      </c>
      <c r="I81" s="39">
        <v>0</v>
      </c>
      <c r="J81" s="132">
        <v>563.20000000000005</v>
      </c>
      <c r="K81" s="39">
        <f>SUM(Table3236[[#This Row],[Single Family ]:[&gt;4 Units ]])</f>
        <v>7</v>
      </c>
      <c r="L81" s="133">
        <v>4</v>
      </c>
      <c r="M81" s="133">
        <v>3</v>
      </c>
      <c r="N81" s="133">
        <v>0</v>
      </c>
      <c r="O81" s="134">
        <v>2489.83</v>
      </c>
      <c r="P81" s="243">
        <f>VLOOKUP(Table3236[[#This Row],[Census Tract]],'Population and Diversity Data'!$B$2:$K$823,10,FALSE)</f>
        <v>5</v>
      </c>
      <c r="Q81" s="244" t="str">
        <f>VLOOKUP(Table3236[[#This Row],[Census Tract]],'UI EnergyBurden'!$A$2:$B$184,2,FALSE)</f>
        <v>No</v>
      </c>
      <c r="R81" s="249">
        <f>VLOOKUP(Table3236[[#This Row],[Census Tract]],'Income and Housing Data'!$B$2:$D$823,3,FALSE)</f>
        <v>49446</v>
      </c>
      <c r="S81" s="250" t="str">
        <f>IF($U$7&lt;=Table3236[[#This Row],[Household Income]],IF(Table3236[[#This Row],[Household Income]]&lt;=$U$8, "Yes","No"),"No")</f>
        <v>Yes</v>
      </c>
    </row>
    <row r="82" spans="1:19" x14ac:dyDescent="0.25">
      <c r="A82" s="183">
        <v>9001073200</v>
      </c>
      <c r="B82" s="39" t="s">
        <v>956</v>
      </c>
      <c r="C82" s="178" t="s">
        <v>944</v>
      </c>
      <c r="D82" s="179">
        <v>37.274000000000001</v>
      </c>
      <c r="E82" s="179">
        <v>0</v>
      </c>
      <c r="F82" s="39">
        <f>Table3236[[#This Row],[Single Family]]+Table3236[[#This Row],[2-4 Units]]+Table3236[[#This Row],[&gt;4 Units]]</f>
        <v>0</v>
      </c>
      <c r="G82" s="39"/>
      <c r="H82" s="39"/>
      <c r="I82" s="39"/>
      <c r="J82" s="132">
        <v>0</v>
      </c>
      <c r="K82" s="39">
        <f>SUM(Table3236[[#This Row],[Single Family ]:[&gt;4 Units ]])</f>
        <v>0</v>
      </c>
      <c r="L82" s="133"/>
      <c r="M82" s="133"/>
      <c r="N82" s="133"/>
      <c r="O82" s="134">
        <v>0</v>
      </c>
      <c r="P82" s="243">
        <f>VLOOKUP(Table3236[[#This Row],[Census Tract]],'Population and Diversity Data'!$B$2:$K$823,10,FALSE)</f>
        <v>5</v>
      </c>
      <c r="Q82" s="244" t="str">
        <f>VLOOKUP(Table3236[[#This Row],[Census Tract]],'UI EnergyBurden'!$A$2:$B$184,2,FALSE)</f>
        <v>No</v>
      </c>
      <c r="R82" s="249">
        <f>VLOOKUP(Table3236[[#This Row],[Census Tract]],'Income and Housing Data'!$B$2:$D$823,3,FALSE)</f>
        <v>49446</v>
      </c>
      <c r="S82" s="250" t="str">
        <f>IF($U$7&lt;=Table3236[[#This Row],[Household Income]],IF(Table3236[[#This Row],[Household Income]]&lt;=$U$8, "Yes","No"),"No")</f>
        <v>Yes</v>
      </c>
    </row>
    <row r="83" spans="1:19" x14ac:dyDescent="0.25">
      <c r="A83" s="183">
        <v>9001073300</v>
      </c>
      <c r="B83" s="39" t="s">
        <v>3005</v>
      </c>
      <c r="C83" s="178" t="s">
        <v>944</v>
      </c>
      <c r="D83" s="179">
        <v>0</v>
      </c>
      <c r="E83" s="179">
        <v>21408.65</v>
      </c>
      <c r="F83" s="39">
        <f>Table3236[[#This Row],[Single Family]]+Table3236[[#This Row],[2-4 Units]]+Table3236[[#This Row],[&gt;4 Units]]</f>
        <v>3</v>
      </c>
      <c r="G83" s="39">
        <v>3</v>
      </c>
      <c r="H83" s="39">
        <v>0</v>
      </c>
      <c r="I83" s="39">
        <v>0</v>
      </c>
      <c r="J83" s="132">
        <v>1427.69</v>
      </c>
      <c r="K83" s="39">
        <f>SUM(Table3236[[#This Row],[Single Family ]:[&gt;4 Units ]])</f>
        <v>22</v>
      </c>
      <c r="L83" s="133">
        <v>19</v>
      </c>
      <c r="M83" s="133">
        <v>2</v>
      </c>
      <c r="N83" s="133">
        <v>1</v>
      </c>
      <c r="O83" s="134">
        <v>19980.96</v>
      </c>
      <c r="P83" s="243">
        <f>VLOOKUP(Table3236[[#This Row],[Census Tract]],'Population and Diversity Data'!$B$2:$K$823,10,FALSE)</f>
        <v>5</v>
      </c>
      <c r="Q83" s="244" t="str">
        <f>VLOOKUP(Table3236[[#This Row],[Census Tract]],'UI EnergyBurden'!$A$2:$B$184,2,FALSE)</f>
        <v>Yes</v>
      </c>
      <c r="R83" s="249">
        <f>VLOOKUP(Table3236[[#This Row],[Census Tract]],'Income and Housing Data'!$B$2:$D$823,3,FALSE)</f>
        <v>34172</v>
      </c>
      <c r="S83" s="250" t="str">
        <f>IF($U$7&lt;=Table3236[[#This Row],[Household Income]],IF(Table3236[[#This Row],[Household Income]]&lt;=$U$8, "Yes","No"),"No")</f>
        <v>No</v>
      </c>
    </row>
    <row r="84" spans="1:19" x14ac:dyDescent="0.25">
      <c r="A84" s="183">
        <v>9001073300</v>
      </c>
      <c r="B84" s="39" t="s">
        <v>934</v>
      </c>
      <c r="C84" s="178" t="s">
        <v>936</v>
      </c>
      <c r="D84" s="179">
        <v>49786.050399999898</v>
      </c>
      <c r="E84" s="179">
        <v>0</v>
      </c>
      <c r="F84" s="39">
        <f>Table3236[[#This Row],[Single Family]]+Table3236[[#This Row],[2-4 Units]]+Table3236[[#This Row],[&gt;4 Units]]</f>
        <v>0</v>
      </c>
      <c r="G84" s="39"/>
      <c r="H84" s="39"/>
      <c r="I84" s="39"/>
      <c r="J84" s="132">
        <v>0</v>
      </c>
      <c r="K84" s="39">
        <f>SUM(Table3236[[#This Row],[Single Family ]:[&gt;4 Units ]])</f>
        <v>0</v>
      </c>
      <c r="L84" s="133"/>
      <c r="M84" s="133"/>
      <c r="N84" s="133"/>
      <c r="O84" s="134">
        <v>0</v>
      </c>
      <c r="P84" s="243">
        <f>VLOOKUP(Table3236[[#This Row],[Census Tract]],'Population and Diversity Data'!$B$2:$K$823,10,FALSE)</f>
        <v>5</v>
      </c>
      <c r="Q84" s="244" t="str">
        <f>VLOOKUP(Table3236[[#This Row],[Census Tract]],'UI EnergyBurden'!$A$2:$B$184,2,FALSE)</f>
        <v>Yes</v>
      </c>
      <c r="R84" s="249">
        <f>VLOOKUP(Table3236[[#This Row],[Census Tract]],'Income and Housing Data'!$B$2:$D$823,3,FALSE)</f>
        <v>34172</v>
      </c>
      <c r="S84" s="250" t="str">
        <f>IF($U$7&lt;=Table3236[[#This Row],[Household Income]],IF(Table3236[[#This Row],[Household Income]]&lt;=$U$8, "Yes","No"),"No")</f>
        <v>No</v>
      </c>
    </row>
    <row r="85" spans="1:19" x14ac:dyDescent="0.25">
      <c r="A85" s="183">
        <v>9001073400</v>
      </c>
      <c r="B85" s="39" t="s">
        <v>3005</v>
      </c>
      <c r="C85" s="178" t="s">
        <v>944</v>
      </c>
      <c r="D85" s="179">
        <v>0</v>
      </c>
      <c r="E85" s="179">
        <v>48424.62</v>
      </c>
      <c r="F85" s="39">
        <f>Table3236[[#This Row],[Single Family]]+Table3236[[#This Row],[2-4 Units]]+Table3236[[#This Row],[&gt;4 Units]]</f>
        <v>9</v>
      </c>
      <c r="G85" s="39">
        <v>7</v>
      </c>
      <c r="H85" s="39">
        <v>2</v>
      </c>
      <c r="I85" s="39">
        <v>0</v>
      </c>
      <c r="J85" s="132">
        <v>4874.45</v>
      </c>
      <c r="K85" s="39">
        <f>SUM(Table3236[[#This Row],[Single Family ]:[&gt;4 Units ]])</f>
        <v>29</v>
      </c>
      <c r="L85" s="133">
        <v>7</v>
      </c>
      <c r="M85" s="133">
        <v>22</v>
      </c>
      <c r="N85" s="133">
        <v>0</v>
      </c>
      <c r="O85" s="134">
        <v>43550.17</v>
      </c>
      <c r="P85" s="243">
        <f>VLOOKUP(Table3236[[#This Row],[Census Tract]],'Population and Diversity Data'!$B$2:$K$823,10,FALSE)</f>
        <v>5</v>
      </c>
      <c r="Q85" s="244" t="str">
        <f>VLOOKUP(Table3236[[#This Row],[Census Tract]],'UI EnergyBurden'!$A$2:$B$184,2,FALSE)</f>
        <v>Yes</v>
      </c>
      <c r="R85" s="249">
        <f>VLOOKUP(Table3236[[#This Row],[Census Tract]],'Income and Housing Data'!$B$2:$D$823,3,FALSE)</f>
        <v>52917</v>
      </c>
      <c r="S85" s="250" t="str">
        <f>IF($U$7&lt;=Table3236[[#This Row],[Household Income]],IF(Table3236[[#This Row],[Household Income]]&lt;=$U$8, "Yes","No"),"No")</f>
        <v>Yes</v>
      </c>
    </row>
    <row r="86" spans="1:19" x14ac:dyDescent="0.25">
      <c r="A86" s="183">
        <v>9001073400</v>
      </c>
      <c r="B86" s="39" t="s">
        <v>934</v>
      </c>
      <c r="C86" s="178" t="s">
        <v>936</v>
      </c>
      <c r="D86" s="179">
        <v>53978.008699999998</v>
      </c>
      <c r="E86" s="179">
        <v>0</v>
      </c>
      <c r="F86" s="39">
        <f>Table3236[[#This Row],[Single Family]]+Table3236[[#This Row],[2-4 Units]]+Table3236[[#This Row],[&gt;4 Units]]</f>
        <v>0</v>
      </c>
      <c r="G86" s="39"/>
      <c r="H86" s="39"/>
      <c r="I86" s="39"/>
      <c r="J86" s="132">
        <v>0</v>
      </c>
      <c r="K86" s="39">
        <f>SUM(Table3236[[#This Row],[Single Family ]:[&gt;4 Units ]])</f>
        <v>0</v>
      </c>
      <c r="L86" s="133"/>
      <c r="M86" s="133"/>
      <c r="N86" s="133"/>
      <c r="O86" s="134">
        <v>0</v>
      </c>
      <c r="P86" s="243">
        <f>VLOOKUP(Table3236[[#This Row],[Census Tract]],'Population and Diversity Data'!$B$2:$K$823,10,FALSE)</f>
        <v>5</v>
      </c>
      <c r="Q86" s="244" t="str">
        <f>VLOOKUP(Table3236[[#This Row],[Census Tract]],'UI EnergyBurden'!$A$2:$B$184,2,FALSE)</f>
        <v>Yes</v>
      </c>
      <c r="R86" s="249">
        <f>VLOOKUP(Table3236[[#This Row],[Census Tract]],'Income and Housing Data'!$B$2:$D$823,3,FALSE)</f>
        <v>52917</v>
      </c>
      <c r="S86" s="250" t="str">
        <f>IF($U$7&lt;=Table3236[[#This Row],[Household Income]],IF(Table3236[[#This Row],[Household Income]]&lt;=$U$8, "Yes","No"),"No")</f>
        <v>Yes</v>
      </c>
    </row>
    <row r="87" spans="1:19" x14ac:dyDescent="0.25">
      <c r="A87" s="183">
        <v>9001073500</v>
      </c>
      <c r="B87" s="39" t="s">
        <v>3005</v>
      </c>
      <c r="C87" s="178" t="s">
        <v>944</v>
      </c>
      <c r="D87" s="179">
        <v>0</v>
      </c>
      <c r="E87" s="179">
        <v>7178.22</v>
      </c>
      <c r="F87" s="39">
        <f>Table3236[[#This Row],[Single Family]]+Table3236[[#This Row],[2-4 Units]]+Table3236[[#This Row],[&gt;4 Units]]</f>
        <v>5</v>
      </c>
      <c r="G87" s="39">
        <v>4</v>
      </c>
      <c r="H87" s="39">
        <v>1</v>
      </c>
      <c r="I87" s="39">
        <v>0</v>
      </c>
      <c r="J87" s="132">
        <v>501.38</v>
      </c>
      <c r="K87" s="39">
        <f>SUM(Table3236[[#This Row],[Single Family ]:[&gt;4 Units ]])</f>
        <v>17</v>
      </c>
      <c r="L87" s="133">
        <v>4</v>
      </c>
      <c r="M87" s="133">
        <v>13</v>
      </c>
      <c r="N87" s="133">
        <v>0</v>
      </c>
      <c r="O87" s="134">
        <v>6676.84</v>
      </c>
      <c r="P87" s="243">
        <f>VLOOKUP(Table3236[[#This Row],[Census Tract]],'Population and Diversity Data'!$B$2:$K$823,10,FALSE)</f>
        <v>5</v>
      </c>
      <c r="Q87" s="244" t="str">
        <f>VLOOKUP(Table3236[[#This Row],[Census Tract]],'UI EnergyBurden'!$A$2:$B$184,2,FALSE)</f>
        <v>Yes</v>
      </c>
      <c r="R87" s="249">
        <f>VLOOKUP(Table3236[[#This Row],[Census Tract]],'Income and Housing Data'!$B$2:$D$823,3,FALSE)</f>
        <v>38560</v>
      </c>
      <c r="S87" s="250" t="str">
        <f>IF($U$7&lt;=Table3236[[#This Row],[Household Income]],IF(Table3236[[#This Row],[Household Income]]&lt;=$U$8, "Yes","No"),"No")</f>
        <v>No</v>
      </c>
    </row>
    <row r="88" spans="1:19" x14ac:dyDescent="0.25">
      <c r="A88" s="183">
        <v>9001073500</v>
      </c>
      <c r="B88" s="39" t="s">
        <v>934</v>
      </c>
      <c r="C88" s="178" t="s">
        <v>936</v>
      </c>
      <c r="D88" s="179">
        <v>38030.339099999997</v>
      </c>
      <c r="E88" s="179">
        <v>0</v>
      </c>
      <c r="F88" s="39">
        <f>Table3236[[#This Row],[Single Family]]+Table3236[[#This Row],[2-4 Units]]+Table3236[[#This Row],[&gt;4 Units]]</f>
        <v>0</v>
      </c>
      <c r="G88" s="39"/>
      <c r="H88" s="39"/>
      <c r="I88" s="39"/>
      <c r="J88" s="132">
        <v>0</v>
      </c>
      <c r="K88" s="39">
        <f>SUM(Table3236[[#This Row],[Single Family ]:[&gt;4 Units ]])</f>
        <v>0</v>
      </c>
      <c r="L88" s="133"/>
      <c r="M88" s="133"/>
      <c r="N88" s="133"/>
      <c r="O88" s="134">
        <v>0</v>
      </c>
      <c r="P88" s="243">
        <f>VLOOKUP(Table3236[[#This Row],[Census Tract]],'Population and Diversity Data'!$B$2:$K$823,10,FALSE)</f>
        <v>5</v>
      </c>
      <c r="Q88" s="244" t="str">
        <f>VLOOKUP(Table3236[[#This Row],[Census Tract]],'UI EnergyBurden'!$A$2:$B$184,2,FALSE)</f>
        <v>Yes</v>
      </c>
      <c r="R88" s="249">
        <f>VLOOKUP(Table3236[[#This Row],[Census Tract]],'Income and Housing Data'!$B$2:$D$823,3,FALSE)</f>
        <v>38560</v>
      </c>
      <c r="S88" s="250" t="str">
        <f>IF($U$7&lt;=Table3236[[#This Row],[Household Income]],IF(Table3236[[#This Row],[Household Income]]&lt;=$U$8, "Yes","No"),"No")</f>
        <v>No</v>
      </c>
    </row>
    <row r="89" spans="1:19" x14ac:dyDescent="0.25">
      <c r="A89" s="183">
        <v>9001073600</v>
      </c>
      <c r="B89" s="39" t="s">
        <v>3005</v>
      </c>
      <c r="C89" s="178" t="s">
        <v>944</v>
      </c>
      <c r="D89" s="179">
        <v>0</v>
      </c>
      <c r="E89" s="179">
        <v>846.37</v>
      </c>
      <c r="F89" s="39">
        <f>Table3236[[#This Row],[Single Family]]+Table3236[[#This Row],[2-4 Units]]+Table3236[[#This Row],[&gt;4 Units]]</f>
        <v>1</v>
      </c>
      <c r="G89" s="39">
        <v>1</v>
      </c>
      <c r="H89" s="39">
        <v>0</v>
      </c>
      <c r="I89" s="39">
        <v>0</v>
      </c>
      <c r="J89" s="132">
        <v>134.5</v>
      </c>
      <c r="K89" s="39">
        <f>SUM(Table3236[[#This Row],[Single Family ]:[&gt;4 Units ]])</f>
        <v>7</v>
      </c>
      <c r="L89" s="133">
        <v>1</v>
      </c>
      <c r="M89" s="133">
        <v>6</v>
      </c>
      <c r="N89" s="133">
        <v>0</v>
      </c>
      <c r="O89" s="134">
        <v>711.87</v>
      </c>
      <c r="P89" s="243">
        <f>VLOOKUP(Table3236[[#This Row],[Census Tract]],'Population and Diversity Data'!$B$2:$K$823,10,FALSE)</f>
        <v>5</v>
      </c>
      <c r="Q89" s="244" t="str">
        <f>VLOOKUP(Table3236[[#This Row],[Census Tract]],'UI EnergyBurden'!$A$2:$B$184,2,FALSE)</f>
        <v>Yes</v>
      </c>
      <c r="R89" s="249">
        <f>VLOOKUP(Table3236[[#This Row],[Census Tract]],'Income and Housing Data'!$B$2:$D$823,3,FALSE)</f>
        <v>34450</v>
      </c>
      <c r="S89" s="250" t="str">
        <f>IF($U$7&lt;=Table3236[[#This Row],[Household Income]],IF(Table3236[[#This Row],[Household Income]]&lt;=$U$8, "Yes","No"),"No")</f>
        <v>No</v>
      </c>
    </row>
    <row r="90" spans="1:19" x14ac:dyDescent="0.25">
      <c r="A90" s="183">
        <v>9001073600</v>
      </c>
      <c r="B90" s="39" t="s">
        <v>934</v>
      </c>
      <c r="C90" s="178" t="s">
        <v>936</v>
      </c>
      <c r="D90" s="179">
        <v>24351.613000000001</v>
      </c>
      <c r="E90" s="179">
        <v>0</v>
      </c>
      <c r="F90" s="39">
        <f>Table3236[[#This Row],[Single Family]]+Table3236[[#This Row],[2-4 Units]]+Table3236[[#This Row],[&gt;4 Units]]</f>
        <v>0</v>
      </c>
      <c r="G90" s="39"/>
      <c r="H90" s="39"/>
      <c r="I90" s="39"/>
      <c r="J90" s="132">
        <v>0</v>
      </c>
      <c r="K90" s="39">
        <f>SUM(Table3236[[#This Row],[Single Family ]:[&gt;4 Units ]])</f>
        <v>0</v>
      </c>
      <c r="L90" s="133"/>
      <c r="M90" s="133"/>
      <c r="N90" s="133"/>
      <c r="O90" s="134">
        <v>0</v>
      </c>
      <c r="P90" s="243">
        <f>VLOOKUP(Table3236[[#This Row],[Census Tract]],'Population and Diversity Data'!$B$2:$K$823,10,FALSE)</f>
        <v>5</v>
      </c>
      <c r="Q90" s="244" t="str">
        <f>VLOOKUP(Table3236[[#This Row],[Census Tract]],'UI EnergyBurden'!$A$2:$B$184,2,FALSE)</f>
        <v>Yes</v>
      </c>
      <c r="R90" s="249">
        <f>VLOOKUP(Table3236[[#This Row],[Census Tract]],'Income and Housing Data'!$B$2:$D$823,3,FALSE)</f>
        <v>34450</v>
      </c>
      <c r="S90" s="250" t="str">
        <f>IF($U$7&lt;=Table3236[[#This Row],[Household Income]],IF(Table3236[[#This Row],[Household Income]]&lt;=$U$8, "Yes","No"),"No")</f>
        <v>No</v>
      </c>
    </row>
    <row r="91" spans="1:19" x14ac:dyDescent="0.25">
      <c r="A91" s="183">
        <v>9001073700</v>
      </c>
      <c r="B91" s="39" t="s">
        <v>3005</v>
      </c>
      <c r="C91" s="178" t="s">
        <v>944</v>
      </c>
      <c r="D91" s="179">
        <v>0</v>
      </c>
      <c r="E91" s="179">
        <v>24518.83</v>
      </c>
      <c r="F91" s="39">
        <f>Table3236[[#This Row],[Single Family]]+Table3236[[#This Row],[2-4 Units]]+Table3236[[#This Row],[&gt;4 Units]]</f>
        <v>3</v>
      </c>
      <c r="G91" s="39">
        <v>3</v>
      </c>
      <c r="H91" s="39">
        <v>0</v>
      </c>
      <c r="I91" s="39">
        <v>0</v>
      </c>
      <c r="J91" s="132">
        <v>3732.6</v>
      </c>
      <c r="K91" s="39">
        <f>SUM(Table3236[[#This Row],[Single Family ]:[&gt;4 Units ]])</f>
        <v>29</v>
      </c>
      <c r="L91" s="133">
        <v>13</v>
      </c>
      <c r="M91" s="133">
        <v>16</v>
      </c>
      <c r="N91" s="133">
        <v>0</v>
      </c>
      <c r="O91" s="134">
        <v>20786.23</v>
      </c>
      <c r="P91" s="243">
        <f>VLOOKUP(Table3236[[#This Row],[Census Tract]],'Population and Diversity Data'!$B$2:$K$823,10,FALSE)</f>
        <v>5</v>
      </c>
      <c r="Q91" s="244" t="str">
        <f>VLOOKUP(Table3236[[#This Row],[Census Tract]],'UI EnergyBurden'!$A$2:$B$184,2,FALSE)</f>
        <v>Yes</v>
      </c>
      <c r="R91" s="249">
        <f>VLOOKUP(Table3236[[#This Row],[Census Tract]],'Income and Housing Data'!$B$2:$D$823,3,FALSE)</f>
        <v>40075</v>
      </c>
      <c r="S91" s="250" t="str">
        <f>IF($U$7&lt;=Table3236[[#This Row],[Household Income]],IF(Table3236[[#This Row],[Household Income]]&lt;=$U$8, "Yes","No"),"No")</f>
        <v>No</v>
      </c>
    </row>
    <row r="92" spans="1:19" x14ac:dyDescent="0.25">
      <c r="A92" s="183">
        <v>9001073700</v>
      </c>
      <c r="B92" s="39" t="s">
        <v>934</v>
      </c>
      <c r="C92" s="178" t="s">
        <v>936</v>
      </c>
      <c r="D92" s="179">
        <v>64008.1363000001</v>
      </c>
      <c r="E92" s="179">
        <v>0</v>
      </c>
      <c r="F92" s="39">
        <f>Table3236[[#This Row],[Single Family]]+Table3236[[#This Row],[2-4 Units]]+Table3236[[#This Row],[&gt;4 Units]]</f>
        <v>0</v>
      </c>
      <c r="G92" s="39"/>
      <c r="H92" s="39"/>
      <c r="I92" s="39"/>
      <c r="J92" s="132">
        <v>0</v>
      </c>
      <c r="K92" s="39">
        <f>SUM(Table3236[[#This Row],[Single Family ]:[&gt;4 Units ]])</f>
        <v>0</v>
      </c>
      <c r="L92" s="133"/>
      <c r="M92" s="133"/>
      <c r="N92" s="133"/>
      <c r="O92" s="134">
        <v>0</v>
      </c>
      <c r="P92" s="243">
        <f>VLOOKUP(Table3236[[#This Row],[Census Tract]],'Population and Diversity Data'!$B$2:$K$823,10,FALSE)</f>
        <v>5</v>
      </c>
      <c r="Q92" s="244" t="str">
        <f>VLOOKUP(Table3236[[#This Row],[Census Tract]],'UI EnergyBurden'!$A$2:$B$184,2,FALSE)</f>
        <v>Yes</v>
      </c>
      <c r="R92" s="249">
        <f>VLOOKUP(Table3236[[#This Row],[Census Tract]],'Income and Housing Data'!$B$2:$D$823,3,FALSE)</f>
        <v>40075</v>
      </c>
      <c r="S92" s="250" t="str">
        <f>IF($U$7&lt;=Table3236[[#This Row],[Household Income]],IF(Table3236[[#This Row],[Household Income]]&lt;=$U$8, "Yes","No"),"No")</f>
        <v>No</v>
      </c>
    </row>
    <row r="93" spans="1:19" x14ac:dyDescent="0.25">
      <c r="A93" s="183">
        <v>9001073700</v>
      </c>
      <c r="B93" s="39" t="s">
        <v>956</v>
      </c>
      <c r="C93" s="178" t="s">
        <v>936</v>
      </c>
      <c r="D93" s="179">
        <v>0</v>
      </c>
      <c r="E93" s="179">
        <v>0</v>
      </c>
      <c r="F93" s="39">
        <f>Table3236[[#This Row],[Single Family]]+Table3236[[#This Row],[2-4 Units]]+Table3236[[#This Row],[&gt;4 Units]]</f>
        <v>0</v>
      </c>
      <c r="G93" s="39"/>
      <c r="H93" s="39"/>
      <c r="I93" s="39"/>
      <c r="J93" s="132">
        <v>0</v>
      </c>
      <c r="K93" s="39">
        <f>SUM(Table3236[[#This Row],[Single Family ]:[&gt;4 Units ]])</f>
        <v>0</v>
      </c>
      <c r="L93" s="133"/>
      <c r="M93" s="133"/>
      <c r="N93" s="133"/>
      <c r="O93" s="134">
        <v>0</v>
      </c>
      <c r="P93" s="243">
        <f>VLOOKUP(Table3236[[#This Row],[Census Tract]],'Population and Diversity Data'!$B$2:$K$823,10,FALSE)</f>
        <v>5</v>
      </c>
      <c r="Q93" s="244" t="str">
        <f>VLOOKUP(Table3236[[#This Row],[Census Tract]],'UI EnergyBurden'!$A$2:$B$184,2,FALSE)</f>
        <v>Yes</v>
      </c>
      <c r="R93" s="249">
        <f>VLOOKUP(Table3236[[#This Row],[Census Tract]],'Income and Housing Data'!$B$2:$D$823,3,FALSE)</f>
        <v>40075</v>
      </c>
      <c r="S93" s="250" t="str">
        <f>IF($U$7&lt;=Table3236[[#This Row],[Household Income]],IF(Table3236[[#This Row],[Household Income]]&lt;=$U$8, "Yes","No"),"No")</f>
        <v>No</v>
      </c>
    </row>
    <row r="94" spans="1:19" x14ac:dyDescent="0.25">
      <c r="A94" s="183">
        <v>9001073800</v>
      </c>
      <c r="B94" s="39" t="s">
        <v>3005</v>
      </c>
      <c r="C94" s="178" t="s">
        <v>944</v>
      </c>
      <c r="D94" s="179">
        <v>0</v>
      </c>
      <c r="E94" s="179">
        <v>2512.29</v>
      </c>
      <c r="F94" s="39">
        <f>Table3236[[#This Row],[Single Family]]+Table3236[[#This Row],[2-4 Units]]+Table3236[[#This Row],[&gt;4 Units]]</f>
        <v>1</v>
      </c>
      <c r="G94" s="39">
        <v>1</v>
      </c>
      <c r="H94" s="39">
        <v>0</v>
      </c>
      <c r="I94" s="39">
        <v>0</v>
      </c>
      <c r="J94" s="132">
        <v>2.34</v>
      </c>
      <c r="K94" s="39">
        <f>SUM(Table3236[[#This Row],[Single Family ]:[&gt;4 Units ]])</f>
        <v>4</v>
      </c>
      <c r="L94" s="133">
        <v>1</v>
      </c>
      <c r="M94" s="133">
        <v>3</v>
      </c>
      <c r="N94" s="133">
        <v>0</v>
      </c>
      <c r="O94" s="134">
        <v>447.45</v>
      </c>
      <c r="P94" s="243">
        <f>VLOOKUP(Table3236[[#This Row],[Census Tract]],'Population and Diversity Data'!$B$2:$K$823,10,FALSE)</f>
        <v>5</v>
      </c>
      <c r="Q94" s="244" t="str">
        <f>VLOOKUP(Table3236[[#This Row],[Census Tract]],'UI EnergyBurden'!$A$2:$B$184,2,FALSE)</f>
        <v>Yes</v>
      </c>
      <c r="R94" s="249">
        <f>VLOOKUP(Table3236[[#This Row],[Census Tract]],'Income and Housing Data'!$B$2:$D$823,3,FALSE)</f>
        <v>21851</v>
      </c>
      <c r="S94" s="250" t="str">
        <f>IF($U$7&lt;=Table3236[[#This Row],[Household Income]],IF(Table3236[[#This Row],[Household Income]]&lt;=$U$8, "Yes","No"),"No")</f>
        <v>No</v>
      </c>
    </row>
    <row r="95" spans="1:19" x14ac:dyDescent="0.25">
      <c r="A95" s="183">
        <v>9001073800</v>
      </c>
      <c r="B95" s="39" t="s">
        <v>934</v>
      </c>
      <c r="C95" s="178" t="s">
        <v>936</v>
      </c>
      <c r="D95" s="179">
        <v>25510.301599999999</v>
      </c>
      <c r="E95" s="179">
        <v>0</v>
      </c>
      <c r="F95" s="39">
        <f>Table3236[[#This Row],[Single Family]]+Table3236[[#This Row],[2-4 Units]]+Table3236[[#This Row],[&gt;4 Units]]</f>
        <v>0</v>
      </c>
      <c r="G95" s="39"/>
      <c r="H95" s="39"/>
      <c r="I95" s="39"/>
      <c r="J95" s="132">
        <v>0</v>
      </c>
      <c r="K95" s="39">
        <f>SUM(Table3236[[#This Row],[Single Family ]:[&gt;4 Units ]])</f>
        <v>0</v>
      </c>
      <c r="L95" s="133"/>
      <c r="M95" s="133"/>
      <c r="N95" s="133"/>
      <c r="O95" s="134">
        <v>0</v>
      </c>
      <c r="P95" s="243">
        <f>VLOOKUP(Table3236[[#This Row],[Census Tract]],'Population and Diversity Data'!$B$2:$K$823,10,FALSE)</f>
        <v>5</v>
      </c>
      <c r="Q95" s="244" t="str">
        <f>VLOOKUP(Table3236[[#This Row],[Census Tract]],'UI EnergyBurden'!$A$2:$B$184,2,FALSE)</f>
        <v>Yes</v>
      </c>
      <c r="R95" s="249">
        <f>VLOOKUP(Table3236[[#This Row],[Census Tract]],'Income and Housing Data'!$B$2:$D$823,3,FALSE)</f>
        <v>21851</v>
      </c>
      <c r="S95" s="250" t="str">
        <f>IF($U$7&lt;=Table3236[[#This Row],[Household Income]],IF(Table3236[[#This Row],[Household Income]]&lt;=$U$8, "Yes","No"),"No")</f>
        <v>No</v>
      </c>
    </row>
    <row r="96" spans="1:19" x14ac:dyDescent="0.25">
      <c r="A96" s="183">
        <v>9001073900</v>
      </c>
      <c r="B96" s="39" t="s">
        <v>3005</v>
      </c>
      <c r="C96" s="178" t="s">
        <v>944</v>
      </c>
      <c r="D96" s="179">
        <v>0</v>
      </c>
      <c r="E96" s="179">
        <v>106775.64</v>
      </c>
      <c r="F96" s="39">
        <f>Table3236[[#This Row],[Single Family]]+Table3236[[#This Row],[2-4 Units]]+Table3236[[#This Row],[&gt;4 Units]]</f>
        <v>2</v>
      </c>
      <c r="G96" s="39">
        <v>2</v>
      </c>
      <c r="H96" s="39">
        <v>0</v>
      </c>
      <c r="I96" s="39">
        <v>0</v>
      </c>
      <c r="J96" s="132">
        <v>170.07</v>
      </c>
      <c r="K96" s="39">
        <f>SUM(Table3236[[#This Row],[Single Family ]:[&gt;4 Units ]])</f>
        <v>24</v>
      </c>
      <c r="L96" s="133">
        <v>5</v>
      </c>
      <c r="M96" s="133">
        <v>17</v>
      </c>
      <c r="N96" s="133">
        <v>2</v>
      </c>
      <c r="O96" s="134">
        <v>106605.57</v>
      </c>
      <c r="P96" s="243">
        <f>VLOOKUP(Table3236[[#This Row],[Census Tract]],'Population and Diversity Data'!$B$2:$K$823,10,FALSE)</f>
        <v>5</v>
      </c>
      <c r="Q96" s="244" t="str">
        <f>VLOOKUP(Table3236[[#This Row],[Census Tract]],'UI EnergyBurden'!$A$2:$B$184,2,FALSE)</f>
        <v>Yes</v>
      </c>
      <c r="R96" s="249">
        <f>VLOOKUP(Table3236[[#This Row],[Census Tract]],'Income and Housing Data'!$B$2:$D$823,3,FALSE)</f>
        <v>35163</v>
      </c>
      <c r="S96" s="250" t="str">
        <f>IF($U$7&lt;=Table3236[[#This Row],[Household Income]],IF(Table3236[[#This Row],[Household Income]]&lt;=$U$8, "Yes","No"),"No")</f>
        <v>No</v>
      </c>
    </row>
    <row r="97" spans="1:19" x14ac:dyDescent="0.25">
      <c r="A97" s="183">
        <v>9001073900</v>
      </c>
      <c r="B97" s="39" t="s">
        <v>934</v>
      </c>
      <c r="C97" s="178" t="s">
        <v>936</v>
      </c>
      <c r="D97" s="179">
        <v>35070.078800000003</v>
      </c>
      <c r="E97" s="179">
        <v>0</v>
      </c>
      <c r="F97" s="39">
        <f>Table3236[[#This Row],[Single Family]]+Table3236[[#This Row],[2-4 Units]]+Table3236[[#This Row],[&gt;4 Units]]</f>
        <v>0</v>
      </c>
      <c r="G97" s="39"/>
      <c r="H97" s="39"/>
      <c r="I97" s="39"/>
      <c r="J97" s="132">
        <v>0</v>
      </c>
      <c r="K97" s="39">
        <f>SUM(Table3236[[#This Row],[Single Family ]:[&gt;4 Units ]])</f>
        <v>0</v>
      </c>
      <c r="L97" s="133"/>
      <c r="M97" s="133"/>
      <c r="N97" s="133"/>
      <c r="O97" s="134">
        <v>0</v>
      </c>
      <c r="P97" s="243">
        <f>VLOOKUP(Table3236[[#This Row],[Census Tract]],'Population and Diversity Data'!$B$2:$K$823,10,FALSE)</f>
        <v>5</v>
      </c>
      <c r="Q97" s="244" t="str">
        <f>VLOOKUP(Table3236[[#This Row],[Census Tract]],'UI EnergyBurden'!$A$2:$B$184,2,FALSE)</f>
        <v>Yes</v>
      </c>
      <c r="R97" s="249">
        <f>VLOOKUP(Table3236[[#This Row],[Census Tract]],'Income and Housing Data'!$B$2:$D$823,3,FALSE)</f>
        <v>35163</v>
      </c>
      <c r="S97" s="250" t="str">
        <f>IF($U$7&lt;=Table3236[[#This Row],[Household Income]],IF(Table3236[[#This Row],[Household Income]]&lt;=$U$8, "Yes","No"),"No")</f>
        <v>No</v>
      </c>
    </row>
    <row r="98" spans="1:19" x14ac:dyDescent="0.25">
      <c r="A98" s="183">
        <v>9001074000</v>
      </c>
      <c r="B98" s="39" t="s">
        <v>3005</v>
      </c>
      <c r="C98" s="178" t="s">
        <v>944</v>
      </c>
      <c r="D98" s="179">
        <v>0</v>
      </c>
      <c r="E98" s="179">
        <v>13413.06</v>
      </c>
      <c r="F98" s="39">
        <f>Table3236[[#This Row],[Single Family]]+Table3236[[#This Row],[2-4 Units]]+Table3236[[#This Row],[&gt;4 Units]]</f>
        <v>1</v>
      </c>
      <c r="G98" s="39">
        <v>1</v>
      </c>
      <c r="H98" s="39">
        <v>0</v>
      </c>
      <c r="I98" s="39">
        <v>0</v>
      </c>
      <c r="J98" s="132">
        <v>183.09</v>
      </c>
      <c r="K98" s="39">
        <f>SUM(Table3236[[#This Row],[Single Family ]:[&gt;4 Units ]])</f>
        <v>15</v>
      </c>
      <c r="L98" s="133">
        <v>2</v>
      </c>
      <c r="M98" s="133">
        <v>13</v>
      </c>
      <c r="N98" s="133">
        <v>0</v>
      </c>
      <c r="O98" s="134">
        <v>13229.97</v>
      </c>
      <c r="P98" s="243">
        <f>VLOOKUP(Table3236[[#This Row],[Census Tract]],'Population and Diversity Data'!$B$2:$K$823,10,FALSE)</f>
        <v>5</v>
      </c>
      <c r="Q98" s="244" t="str">
        <f>VLOOKUP(Table3236[[#This Row],[Census Tract]],'UI EnergyBurden'!$A$2:$B$184,2,FALSE)</f>
        <v>Yes</v>
      </c>
      <c r="R98" s="249">
        <f>VLOOKUP(Table3236[[#This Row],[Census Tract]],'Income and Housing Data'!$B$2:$D$823,3,FALSE)</f>
        <v>39737</v>
      </c>
      <c r="S98" s="250" t="str">
        <f>IF($U$7&lt;=Table3236[[#This Row],[Household Income]],IF(Table3236[[#This Row],[Household Income]]&lt;=$U$8, "Yes","No"),"No")</f>
        <v>No</v>
      </c>
    </row>
    <row r="99" spans="1:19" x14ac:dyDescent="0.25">
      <c r="A99" s="183">
        <v>9001074000</v>
      </c>
      <c r="B99" s="39" t="s">
        <v>934</v>
      </c>
      <c r="C99" s="178" t="s">
        <v>936</v>
      </c>
      <c r="D99" s="179">
        <v>26942.261399999999</v>
      </c>
      <c r="E99" s="179">
        <v>0</v>
      </c>
      <c r="F99" s="39">
        <f>Table3236[[#This Row],[Single Family]]+Table3236[[#This Row],[2-4 Units]]+Table3236[[#This Row],[&gt;4 Units]]</f>
        <v>0</v>
      </c>
      <c r="G99" s="39"/>
      <c r="H99" s="39"/>
      <c r="I99" s="39"/>
      <c r="J99" s="132">
        <v>0</v>
      </c>
      <c r="K99" s="39">
        <f>SUM(Table3236[[#This Row],[Single Family ]:[&gt;4 Units ]])</f>
        <v>0</v>
      </c>
      <c r="L99" s="133"/>
      <c r="M99" s="133"/>
      <c r="N99" s="133"/>
      <c r="O99" s="134">
        <v>0</v>
      </c>
      <c r="P99" s="243">
        <f>VLOOKUP(Table3236[[#This Row],[Census Tract]],'Population and Diversity Data'!$B$2:$K$823,10,FALSE)</f>
        <v>5</v>
      </c>
      <c r="Q99" s="244" t="str">
        <f>VLOOKUP(Table3236[[#This Row],[Census Tract]],'UI EnergyBurden'!$A$2:$B$184,2,FALSE)</f>
        <v>Yes</v>
      </c>
      <c r="R99" s="249">
        <f>VLOOKUP(Table3236[[#This Row],[Census Tract]],'Income and Housing Data'!$B$2:$D$823,3,FALSE)</f>
        <v>39737</v>
      </c>
      <c r="S99" s="250" t="str">
        <f>IF($U$7&lt;=Table3236[[#This Row],[Household Income]],IF(Table3236[[#This Row],[Household Income]]&lt;=$U$8, "Yes","No"),"No")</f>
        <v>No</v>
      </c>
    </row>
    <row r="100" spans="1:19" x14ac:dyDescent="0.25">
      <c r="A100" s="183">
        <v>9001074300</v>
      </c>
      <c r="B100" s="39" t="s">
        <v>3005</v>
      </c>
      <c r="C100" s="178" t="s">
        <v>944</v>
      </c>
      <c r="D100" s="179">
        <v>0</v>
      </c>
      <c r="E100" s="179">
        <v>8289.77</v>
      </c>
      <c r="F100" s="39">
        <f>Table3236[[#This Row],[Single Family]]+Table3236[[#This Row],[2-4 Units]]+Table3236[[#This Row],[&gt;4 Units]]</f>
        <v>2</v>
      </c>
      <c r="G100" s="39">
        <v>0</v>
      </c>
      <c r="H100" s="39">
        <v>2</v>
      </c>
      <c r="I100" s="39">
        <v>0</v>
      </c>
      <c r="J100" s="132">
        <v>550.87</v>
      </c>
      <c r="K100" s="39">
        <f>SUM(Table3236[[#This Row],[Single Family ]:[&gt;4 Units ]])</f>
        <v>26</v>
      </c>
      <c r="L100" s="133">
        <v>4</v>
      </c>
      <c r="M100" s="133">
        <v>22</v>
      </c>
      <c r="N100" s="133">
        <v>0</v>
      </c>
      <c r="O100" s="134">
        <v>7738.9</v>
      </c>
      <c r="P100" s="243">
        <f>VLOOKUP(Table3236[[#This Row],[Census Tract]],'Population and Diversity Data'!$B$2:$K$823,10,FALSE)</f>
        <v>5</v>
      </c>
      <c r="Q100" s="244" t="str">
        <f>VLOOKUP(Table3236[[#This Row],[Census Tract]],'UI EnergyBurden'!$A$2:$B$184,2,FALSE)</f>
        <v>Yes</v>
      </c>
      <c r="R100" s="249">
        <f>VLOOKUP(Table3236[[#This Row],[Census Tract]],'Income and Housing Data'!$B$2:$D$823,3,FALSE)</f>
        <v>40637</v>
      </c>
      <c r="S100" s="250" t="str">
        <f>IF($U$7&lt;=Table3236[[#This Row],[Household Income]],IF(Table3236[[#This Row],[Household Income]]&lt;=$U$8, "Yes","No"),"No")</f>
        <v>No</v>
      </c>
    </row>
    <row r="101" spans="1:19" x14ac:dyDescent="0.25">
      <c r="A101" s="183">
        <v>9001074300</v>
      </c>
      <c r="B101" s="39" t="s">
        <v>934</v>
      </c>
      <c r="C101" s="178" t="s">
        <v>936</v>
      </c>
      <c r="D101" s="179">
        <v>51549.295899999903</v>
      </c>
      <c r="E101" s="179">
        <v>0</v>
      </c>
      <c r="F101" s="39">
        <f>Table3236[[#This Row],[Single Family]]+Table3236[[#This Row],[2-4 Units]]+Table3236[[#This Row],[&gt;4 Units]]</f>
        <v>0</v>
      </c>
      <c r="G101" s="39"/>
      <c r="H101" s="39"/>
      <c r="I101" s="39"/>
      <c r="J101" s="132">
        <v>0</v>
      </c>
      <c r="K101" s="39">
        <f>SUM(Table3236[[#This Row],[Single Family ]:[&gt;4 Units ]])</f>
        <v>0</v>
      </c>
      <c r="L101" s="133"/>
      <c r="M101" s="133"/>
      <c r="N101" s="133"/>
      <c r="O101" s="134">
        <v>0</v>
      </c>
      <c r="P101" s="243">
        <f>VLOOKUP(Table3236[[#This Row],[Census Tract]],'Population and Diversity Data'!$B$2:$K$823,10,FALSE)</f>
        <v>5</v>
      </c>
      <c r="Q101" s="244" t="str">
        <f>VLOOKUP(Table3236[[#This Row],[Census Tract]],'UI EnergyBurden'!$A$2:$B$184,2,FALSE)</f>
        <v>Yes</v>
      </c>
      <c r="R101" s="249">
        <f>VLOOKUP(Table3236[[#This Row],[Census Tract]],'Income and Housing Data'!$B$2:$D$823,3,FALSE)</f>
        <v>40637</v>
      </c>
      <c r="S101" s="250" t="str">
        <f>IF($U$7&lt;=Table3236[[#This Row],[Household Income]],IF(Table3236[[#This Row],[Household Income]]&lt;=$U$8, "Yes","No"),"No")</f>
        <v>No</v>
      </c>
    </row>
    <row r="102" spans="1:19" x14ac:dyDescent="0.25">
      <c r="A102" s="183">
        <v>9001074300</v>
      </c>
      <c r="B102" s="39" t="s">
        <v>956</v>
      </c>
      <c r="C102" s="178" t="s">
        <v>936</v>
      </c>
      <c r="D102" s="179">
        <v>69.194299999999998</v>
      </c>
      <c r="E102" s="179">
        <v>0</v>
      </c>
      <c r="F102" s="39">
        <f>Table3236[[#This Row],[Single Family]]+Table3236[[#This Row],[2-4 Units]]+Table3236[[#This Row],[&gt;4 Units]]</f>
        <v>0</v>
      </c>
      <c r="G102" s="39"/>
      <c r="H102" s="39"/>
      <c r="I102" s="39"/>
      <c r="J102" s="132">
        <v>0</v>
      </c>
      <c r="K102" s="39">
        <f>SUM(Table3236[[#This Row],[Single Family ]:[&gt;4 Units ]])</f>
        <v>0</v>
      </c>
      <c r="L102" s="133"/>
      <c r="M102" s="133"/>
      <c r="N102" s="133"/>
      <c r="O102" s="134">
        <v>0</v>
      </c>
      <c r="P102" s="243">
        <f>VLOOKUP(Table3236[[#This Row],[Census Tract]],'Population and Diversity Data'!$B$2:$K$823,10,FALSE)</f>
        <v>5</v>
      </c>
      <c r="Q102" s="244" t="str">
        <f>VLOOKUP(Table3236[[#This Row],[Census Tract]],'UI EnergyBurden'!$A$2:$B$184,2,FALSE)</f>
        <v>Yes</v>
      </c>
      <c r="R102" s="249">
        <f>VLOOKUP(Table3236[[#This Row],[Census Tract]],'Income and Housing Data'!$B$2:$D$823,3,FALSE)</f>
        <v>40637</v>
      </c>
      <c r="S102" s="250" t="str">
        <f>IF($U$7&lt;=Table3236[[#This Row],[Household Income]],IF(Table3236[[#This Row],[Household Income]]&lt;=$U$8, "Yes","No"),"No")</f>
        <v>No</v>
      </c>
    </row>
    <row r="103" spans="1:19" x14ac:dyDescent="0.25">
      <c r="A103" s="183">
        <v>9001074400</v>
      </c>
      <c r="B103" s="39" t="s">
        <v>3005</v>
      </c>
      <c r="C103" s="178" t="s">
        <v>944</v>
      </c>
      <c r="D103" s="179">
        <v>0</v>
      </c>
      <c r="E103" s="179">
        <v>20133.349999999999</v>
      </c>
      <c r="F103" s="39">
        <f>Table3236[[#This Row],[Single Family]]+Table3236[[#This Row],[2-4 Units]]+Table3236[[#This Row],[&gt;4 Units]]</f>
        <v>9</v>
      </c>
      <c r="G103" s="39">
        <v>5</v>
      </c>
      <c r="H103" s="39">
        <v>4</v>
      </c>
      <c r="I103" s="39">
        <v>0</v>
      </c>
      <c r="J103" s="132">
        <v>3501.35</v>
      </c>
      <c r="K103" s="39">
        <f>SUM(Table3236[[#This Row],[Single Family ]:[&gt;4 Units ]])</f>
        <v>25</v>
      </c>
      <c r="L103" s="133">
        <v>7</v>
      </c>
      <c r="M103" s="133">
        <v>17</v>
      </c>
      <c r="N103" s="133">
        <v>1</v>
      </c>
      <c r="O103" s="134">
        <v>6632</v>
      </c>
      <c r="P103" s="243">
        <f>VLOOKUP(Table3236[[#This Row],[Census Tract]],'Population and Diversity Data'!$B$2:$K$823,10,FALSE)</f>
        <v>5</v>
      </c>
      <c r="Q103" s="244" t="str">
        <f>VLOOKUP(Table3236[[#This Row],[Census Tract]],'UI EnergyBurden'!$A$2:$B$184,2,FALSE)</f>
        <v>Yes</v>
      </c>
      <c r="R103" s="249">
        <f>VLOOKUP(Table3236[[#This Row],[Census Tract]],'Income and Housing Data'!$B$2:$D$823,3,FALSE)</f>
        <v>46716</v>
      </c>
      <c r="S103" s="250" t="str">
        <f>IF($U$7&lt;=Table3236[[#This Row],[Household Income]],IF(Table3236[[#This Row],[Household Income]]&lt;=$U$8, "Yes","No"),"No")</f>
        <v>No</v>
      </c>
    </row>
    <row r="104" spans="1:19" x14ac:dyDescent="0.25">
      <c r="A104" s="183">
        <v>9001074400</v>
      </c>
      <c r="B104" s="39" t="s">
        <v>934</v>
      </c>
      <c r="C104" s="178" t="s">
        <v>936</v>
      </c>
      <c r="D104" s="179">
        <v>54299.358399999903</v>
      </c>
      <c r="E104" s="179">
        <v>0</v>
      </c>
      <c r="F104" s="39">
        <f>Table3236[[#This Row],[Single Family]]+Table3236[[#This Row],[2-4 Units]]+Table3236[[#This Row],[&gt;4 Units]]</f>
        <v>0</v>
      </c>
      <c r="G104" s="39"/>
      <c r="H104" s="39"/>
      <c r="I104" s="39"/>
      <c r="J104" s="132">
        <v>0</v>
      </c>
      <c r="K104" s="39">
        <f>SUM(Table3236[[#This Row],[Single Family ]:[&gt;4 Units ]])</f>
        <v>0</v>
      </c>
      <c r="L104" s="133"/>
      <c r="M104" s="133"/>
      <c r="N104" s="133"/>
      <c r="O104" s="134">
        <v>0</v>
      </c>
      <c r="P104" s="243">
        <f>VLOOKUP(Table3236[[#This Row],[Census Tract]],'Population and Diversity Data'!$B$2:$K$823,10,FALSE)</f>
        <v>5</v>
      </c>
      <c r="Q104" s="244" t="str">
        <f>VLOOKUP(Table3236[[#This Row],[Census Tract]],'UI EnergyBurden'!$A$2:$B$184,2,FALSE)</f>
        <v>Yes</v>
      </c>
      <c r="R104" s="249">
        <f>VLOOKUP(Table3236[[#This Row],[Census Tract]],'Income and Housing Data'!$B$2:$D$823,3,FALSE)</f>
        <v>46716</v>
      </c>
      <c r="S104" s="250" t="str">
        <f>IF($U$7&lt;=Table3236[[#This Row],[Household Income]],IF(Table3236[[#This Row],[Household Income]]&lt;=$U$8, "Yes","No"),"No")</f>
        <v>No</v>
      </c>
    </row>
    <row r="105" spans="1:19" x14ac:dyDescent="0.25">
      <c r="A105" s="183">
        <v>9001080100</v>
      </c>
      <c r="B105" s="39" t="s">
        <v>934</v>
      </c>
      <c r="C105" s="178" t="s">
        <v>944</v>
      </c>
      <c r="D105" s="179">
        <v>255.44900000000001</v>
      </c>
      <c r="E105" s="179">
        <v>0</v>
      </c>
      <c r="F105" s="39">
        <f>Table3236[[#This Row],[Single Family]]+Table3236[[#This Row],[2-4 Units]]+Table3236[[#This Row],[&gt;4 Units]]</f>
        <v>0</v>
      </c>
      <c r="G105" s="39"/>
      <c r="H105" s="39"/>
      <c r="I105" s="39"/>
      <c r="J105" s="132">
        <v>0</v>
      </c>
      <c r="K105" s="39">
        <f>SUM(Table3236[[#This Row],[Single Family ]:[&gt;4 Units ]])</f>
        <v>0</v>
      </c>
      <c r="L105" s="133"/>
      <c r="M105" s="133"/>
      <c r="N105" s="133"/>
      <c r="O105" s="134">
        <v>0</v>
      </c>
      <c r="P105" s="243">
        <f>VLOOKUP(Table3236[[#This Row],[Census Tract]],'Population and Diversity Data'!$B$2:$K$823,10,FALSE)</f>
        <v>5</v>
      </c>
      <c r="Q105" s="244" t="str">
        <f>VLOOKUP(Table3236[[#This Row],[Census Tract]],'UI EnergyBurden'!$A$2:$B$184,2,FALSE)</f>
        <v>No</v>
      </c>
      <c r="R105" s="249">
        <f>VLOOKUP(Table3236[[#This Row],[Census Tract]],'Income and Housing Data'!$B$2:$D$823,3,FALSE)</f>
        <v>72464</v>
      </c>
      <c r="S105" s="250" t="str">
        <f>IF($U$7&lt;=Table3236[[#This Row],[Household Income]],IF(Table3236[[#This Row],[Household Income]]&lt;=$U$8, "Yes","No"),"No")</f>
        <v>No</v>
      </c>
    </row>
    <row r="106" spans="1:19" x14ac:dyDescent="0.25">
      <c r="A106" s="183">
        <v>9001080100</v>
      </c>
      <c r="B106" s="39" t="s">
        <v>956</v>
      </c>
      <c r="C106" s="178" t="s">
        <v>944</v>
      </c>
      <c r="D106" s="179">
        <v>59251.9010000001</v>
      </c>
      <c r="E106" s="179">
        <v>22394.32</v>
      </c>
      <c r="F106" s="39">
        <f>Table3236[[#This Row],[Single Family]]+Table3236[[#This Row],[2-4 Units]]+Table3236[[#This Row],[&gt;4 Units]]</f>
        <v>22</v>
      </c>
      <c r="G106" s="39">
        <v>20</v>
      </c>
      <c r="H106" s="39">
        <v>2</v>
      </c>
      <c r="I106" s="39">
        <v>0</v>
      </c>
      <c r="J106" s="132">
        <v>10764.21</v>
      </c>
      <c r="K106" s="39">
        <f>SUM(Table3236[[#This Row],[Single Family ]:[&gt;4 Units ]])</f>
        <v>19</v>
      </c>
      <c r="L106" s="133">
        <v>16</v>
      </c>
      <c r="M106" s="133">
        <v>3</v>
      </c>
      <c r="N106" s="133">
        <v>0</v>
      </c>
      <c r="O106" s="134">
        <v>11630.11</v>
      </c>
      <c r="P106" s="243">
        <f>VLOOKUP(Table3236[[#This Row],[Census Tract]],'Population and Diversity Data'!$B$2:$K$823,10,FALSE)</f>
        <v>5</v>
      </c>
      <c r="Q106" s="244" t="str">
        <f>VLOOKUP(Table3236[[#This Row],[Census Tract]],'UI EnergyBurden'!$A$2:$B$184,2,FALSE)</f>
        <v>No</v>
      </c>
      <c r="R106" s="249">
        <f>VLOOKUP(Table3236[[#This Row],[Census Tract]],'Income and Housing Data'!$B$2:$D$823,3,FALSE)</f>
        <v>72464</v>
      </c>
      <c r="S106" s="250" t="str">
        <f>IF($U$7&lt;=Table3236[[#This Row],[Household Income]],IF(Table3236[[#This Row],[Household Income]]&lt;=$U$8, "Yes","No"),"No")</f>
        <v>No</v>
      </c>
    </row>
    <row r="107" spans="1:19" x14ac:dyDescent="0.25">
      <c r="A107" s="183">
        <v>9001080200</v>
      </c>
      <c r="B107" s="39" t="s">
        <v>956</v>
      </c>
      <c r="C107" s="178" t="s">
        <v>944</v>
      </c>
      <c r="D107" s="179">
        <v>57737.786099999903</v>
      </c>
      <c r="E107" s="179">
        <v>32132.799999999999</v>
      </c>
      <c r="F107" s="39">
        <f>Table3236[[#This Row],[Single Family]]+Table3236[[#This Row],[2-4 Units]]+Table3236[[#This Row],[&gt;4 Units]]</f>
        <v>17</v>
      </c>
      <c r="G107" s="39">
        <v>15</v>
      </c>
      <c r="H107" s="39">
        <v>2</v>
      </c>
      <c r="I107" s="39">
        <v>0</v>
      </c>
      <c r="J107" s="132">
        <v>4172.75</v>
      </c>
      <c r="K107" s="39">
        <f>SUM(Table3236[[#This Row],[Single Family ]:[&gt;4 Units ]])</f>
        <v>26</v>
      </c>
      <c r="L107" s="133">
        <v>20</v>
      </c>
      <c r="M107" s="133">
        <v>6</v>
      </c>
      <c r="N107" s="133">
        <v>0</v>
      </c>
      <c r="O107" s="134">
        <v>27960.05</v>
      </c>
      <c r="P107" s="243">
        <f>VLOOKUP(Table3236[[#This Row],[Census Tract]],'Population and Diversity Data'!$B$2:$K$823,10,FALSE)</f>
        <v>4</v>
      </c>
      <c r="Q107" s="244" t="str">
        <f>VLOOKUP(Table3236[[#This Row],[Census Tract]],'UI EnergyBurden'!$A$2:$B$184,2,FALSE)</f>
        <v>No</v>
      </c>
      <c r="R107" s="249">
        <f>VLOOKUP(Table3236[[#This Row],[Census Tract]],'Income and Housing Data'!$B$2:$D$823,3,FALSE)</f>
        <v>70642</v>
      </c>
      <c r="S107" s="250" t="str">
        <f>IF($U$7&lt;=Table3236[[#This Row],[Household Income]],IF(Table3236[[#This Row],[Household Income]]&lt;=$U$8, "Yes","No"),"No")</f>
        <v>No</v>
      </c>
    </row>
    <row r="108" spans="1:19" x14ac:dyDescent="0.25">
      <c r="A108" s="183">
        <v>9001080400</v>
      </c>
      <c r="B108" s="39" t="s">
        <v>934</v>
      </c>
      <c r="C108" s="178" t="s">
        <v>944</v>
      </c>
      <c r="D108" s="179">
        <v>0</v>
      </c>
      <c r="E108" s="179">
        <v>0</v>
      </c>
      <c r="F108" s="39">
        <f>Table3236[[#This Row],[Single Family]]+Table3236[[#This Row],[2-4 Units]]+Table3236[[#This Row],[&gt;4 Units]]</f>
        <v>0</v>
      </c>
      <c r="G108" s="39"/>
      <c r="H108" s="39"/>
      <c r="I108" s="39"/>
      <c r="J108" s="132">
        <v>0</v>
      </c>
      <c r="K108" s="39">
        <f>SUM(Table3236[[#This Row],[Single Family ]:[&gt;4 Units ]])</f>
        <v>0</v>
      </c>
      <c r="L108" s="133"/>
      <c r="M108" s="133"/>
      <c r="N108" s="133"/>
      <c r="O108" s="134">
        <v>0</v>
      </c>
      <c r="P108" s="243">
        <f>VLOOKUP(Table3236[[#This Row],[Census Tract]],'Population and Diversity Data'!$B$2:$K$823,10,FALSE)</f>
        <v>3</v>
      </c>
      <c r="Q108" s="244" t="str">
        <f>VLOOKUP(Table3236[[#This Row],[Census Tract]],'UI EnergyBurden'!$A$2:$B$184,2,FALSE)</f>
        <v>No</v>
      </c>
      <c r="R108" s="249">
        <f>VLOOKUP(Table3236[[#This Row],[Census Tract]],'Income and Housing Data'!$B$2:$D$823,3,FALSE)</f>
        <v>52352</v>
      </c>
      <c r="S108" s="250" t="str">
        <f>IF($U$7&lt;=Table3236[[#This Row],[Household Income]],IF(Table3236[[#This Row],[Household Income]]&lt;=$U$8, "Yes","No"),"No")</f>
        <v>Yes</v>
      </c>
    </row>
    <row r="109" spans="1:19" x14ac:dyDescent="0.25">
      <c r="A109" s="183">
        <v>9001080400</v>
      </c>
      <c r="B109" s="39" t="s">
        <v>956</v>
      </c>
      <c r="C109" s="178" t="s">
        <v>944</v>
      </c>
      <c r="D109" s="179">
        <v>78832.451199999996</v>
      </c>
      <c r="E109" s="179">
        <v>18104.68</v>
      </c>
      <c r="F109" s="39">
        <f>Table3236[[#This Row],[Single Family]]+Table3236[[#This Row],[2-4 Units]]+Table3236[[#This Row],[&gt;4 Units]]</f>
        <v>14</v>
      </c>
      <c r="G109" s="39">
        <v>13</v>
      </c>
      <c r="H109" s="39">
        <v>1</v>
      </c>
      <c r="I109" s="39">
        <v>0</v>
      </c>
      <c r="J109" s="132">
        <v>2705.27</v>
      </c>
      <c r="K109" s="39">
        <f>SUM(Table3236[[#This Row],[Single Family ]:[&gt;4 Units ]])</f>
        <v>27</v>
      </c>
      <c r="L109" s="133">
        <v>15</v>
      </c>
      <c r="M109" s="133">
        <v>12</v>
      </c>
      <c r="N109" s="133">
        <v>0</v>
      </c>
      <c r="O109" s="134">
        <v>15399.41</v>
      </c>
      <c r="P109" s="243">
        <f>VLOOKUP(Table3236[[#This Row],[Census Tract]],'Population and Diversity Data'!$B$2:$K$823,10,FALSE)</f>
        <v>3</v>
      </c>
      <c r="Q109" s="244" t="str">
        <f>VLOOKUP(Table3236[[#This Row],[Census Tract]],'UI EnergyBurden'!$A$2:$B$184,2,FALSE)</f>
        <v>No</v>
      </c>
      <c r="R109" s="249">
        <f>VLOOKUP(Table3236[[#This Row],[Census Tract]],'Income and Housing Data'!$B$2:$D$823,3,FALSE)</f>
        <v>52352</v>
      </c>
      <c r="S109" s="250" t="str">
        <f>IF($U$7&lt;=Table3236[[#This Row],[Household Income]],IF(Table3236[[#This Row],[Household Income]]&lt;=$U$8, "Yes","No"),"No")</f>
        <v>Yes</v>
      </c>
    </row>
    <row r="110" spans="1:19" x14ac:dyDescent="0.25">
      <c r="A110" s="183">
        <v>9001080500</v>
      </c>
      <c r="B110" s="39" t="s">
        <v>934</v>
      </c>
      <c r="C110" s="178" t="s">
        <v>944</v>
      </c>
      <c r="D110" s="179">
        <v>0</v>
      </c>
      <c r="E110" s="179">
        <v>0</v>
      </c>
      <c r="F110" s="39">
        <f>Table3236[[#This Row],[Single Family]]+Table3236[[#This Row],[2-4 Units]]+Table3236[[#This Row],[&gt;4 Units]]</f>
        <v>0</v>
      </c>
      <c r="G110" s="39"/>
      <c r="H110" s="39"/>
      <c r="I110" s="39"/>
      <c r="J110" s="132">
        <v>0</v>
      </c>
      <c r="K110" s="39">
        <f>SUM(Table3236[[#This Row],[Single Family ]:[&gt;4 Units ]])</f>
        <v>0</v>
      </c>
      <c r="L110" s="133"/>
      <c r="M110" s="133"/>
      <c r="N110" s="133"/>
      <c r="O110" s="134">
        <v>0</v>
      </c>
      <c r="P110" s="243">
        <f>VLOOKUP(Table3236[[#This Row],[Census Tract]],'Population and Diversity Data'!$B$2:$K$823,10,FALSE)</f>
        <v>1</v>
      </c>
      <c r="Q110" s="244" t="str">
        <f>VLOOKUP(Table3236[[#This Row],[Census Tract]],'UI EnergyBurden'!$A$2:$B$184,2,FALSE)</f>
        <v>No</v>
      </c>
      <c r="R110" s="249">
        <f>VLOOKUP(Table3236[[#This Row],[Census Tract]],'Income and Housing Data'!$B$2:$D$823,3,FALSE)</f>
        <v>93558</v>
      </c>
      <c r="S110" s="250" t="str">
        <f>IF($U$7&lt;=Table3236[[#This Row],[Household Income]],IF(Table3236[[#This Row],[Household Income]]&lt;=$U$8, "Yes","No"),"No")</f>
        <v>No</v>
      </c>
    </row>
    <row r="111" spans="1:19" x14ac:dyDescent="0.25">
      <c r="A111" s="183">
        <v>9001080500</v>
      </c>
      <c r="B111" s="39" t="s">
        <v>956</v>
      </c>
      <c r="C111" s="178" t="s">
        <v>944</v>
      </c>
      <c r="D111" s="179">
        <v>67513.527999999904</v>
      </c>
      <c r="E111" s="179">
        <v>10850.27</v>
      </c>
      <c r="F111" s="39">
        <f>Table3236[[#This Row],[Single Family]]+Table3236[[#This Row],[2-4 Units]]+Table3236[[#This Row],[&gt;4 Units]]</f>
        <v>17</v>
      </c>
      <c r="G111" s="39">
        <v>16</v>
      </c>
      <c r="H111" s="39">
        <v>1</v>
      </c>
      <c r="I111" s="39">
        <v>0</v>
      </c>
      <c r="J111" s="132">
        <v>10150.450000000001</v>
      </c>
      <c r="K111" s="39">
        <f>SUM(Table3236[[#This Row],[Single Family ]:[&gt;4 Units ]])</f>
        <v>1</v>
      </c>
      <c r="L111" s="133">
        <v>1</v>
      </c>
      <c r="M111" s="133">
        <v>0</v>
      </c>
      <c r="N111" s="133">
        <v>0</v>
      </c>
      <c r="O111" s="134">
        <v>699.82</v>
      </c>
      <c r="P111" s="243">
        <f>VLOOKUP(Table3236[[#This Row],[Census Tract]],'Population and Diversity Data'!$B$2:$K$823,10,FALSE)</f>
        <v>1</v>
      </c>
      <c r="Q111" s="244" t="str">
        <f>VLOOKUP(Table3236[[#This Row],[Census Tract]],'UI EnergyBurden'!$A$2:$B$184,2,FALSE)</f>
        <v>No</v>
      </c>
      <c r="R111" s="249">
        <f>VLOOKUP(Table3236[[#This Row],[Census Tract]],'Income and Housing Data'!$B$2:$D$823,3,FALSE)</f>
        <v>93558</v>
      </c>
      <c r="S111" s="250" t="str">
        <f>IF($U$7&lt;=Table3236[[#This Row],[Household Income]],IF(Table3236[[#This Row],[Household Income]]&lt;=$U$8, "Yes","No"),"No")</f>
        <v>No</v>
      </c>
    </row>
    <row r="112" spans="1:19" x14ac:dyDescent="0.25">
      <c r="A112" s="183">
        <v>9001080600</v>
      </c>
      <c r="B112" s="39" t="s">
        <v>956</v>
      </c>
      <c r="C112" s="178" t="s">
        <v>944</v>
      </c>
      <c r="D112" s="179">
        <v>43535.777800000098</v>
      </c>
      <c r="E112" s="179">
        <v>10265.379999999999</v>
      </c>
      <c r="F112" s="39">
        <f>Table3236[[#This Row],[Single Family]]+Table3236[[#This Row],[2-4 Units]]+Table3236[[#This Row],[&gt;4 Units]]</f>
        <v>8</v>
      </c>
      <c r="G112" s="39">
        <v>7</v>
      </c>
      <c r="H112" s="39">
        <v>1</v>
      </c>
      <c r="I112" s="39">
        <v>0</v>
      </c>
      <c r="J112" s="132">
        <v>2126.0300000000002</v>
      </c>
      <c r="K112" s="39">
        <f>SUM(Table3236[[#This Row],[Single Family ]:[&gt;4 Units ]])</f>
        <v>5</v>
      </c>
      <c r="L112" s="133">
        <v>5</v>
      </c>
      <c r="M112" s="133">
        <v>0</v>
      </c>
      <c r="N112" s="133">
        <v>0</v>
      </c>
      <c r="O112" s="134">
        <v>8139.35</v>
      </c>
      <c r="P112" s="243">
        <f>VLOOKUP(Table3236[[#This Row],[Census Tract]],'Population and Diversity Data'!$B$2:$K$823,10,FALSE)</f>
        <v>2</v>
      </c>
      <c r="Q112" s="244" t="str">
        <f>VLOOKUP(Table3236[[#This Row],[Census Tract]],'UI EnergyBurden'!$A$2:$B$184,2,FALSE)</f>
        <v>No</v>
      </c>
      <c r="R112" s="249">
        <f>VLOOKUP(Table3236[[#This Row],[Census Tract]],'Income and Housing Data'!$B$2:$D$823,3,FALSE)</f>
        <v>72188</v>
      </c>
      <c r="S112" s="250" t="str">
        <f>IF($U$7&lt;=Table3236[[#This Row],[Household Income]],IF(Table3236[[#This Row],[Household Income]]&lt;=$U$8, "Yes","No"),"No")</f>
        <v>No</v>
      </c>
    </row>
    <row r="113" spans="1:19" x14ac:dyDescent="0.25">
      <c r="A113" s="183">
        <v>9001080700</v>
      </c>
      <c r="B113" s="39" t="s">
        <v>956</v>
      </c>
      <c r="C113" s="178" t="s">
        <v>944</v>
      </c>
      <c r="D113" s="179">
        <v>36457.738700000104</v>
      </c>
      <c r="E113" s="179">
        <v>3191.4</v>
      </c>
      <c r="F113" s="39">
        <f>Table3236[[#This Row],[Single Family]]+Table3236[[#This Row],[2-4 Units]]+Table3236[[#This Row],[&gt;4 Units]]</f>
        <v>12</v>
      </c>
      <c r="G113" s="39">
        <v>12</v>
      </c>
      <c r="H113" s="39">
        <v>0</v>
      </c>
      <c r="I113" s="39">
        <v>0</v>
      </c>
      <c r="J113" s="132">
        <v>3062.57</v>
      </c>
      <c r="K113" s="39">
        <f>SUM(Table3236[[#This Row],[Single Family ]:[&gt;4 Units ]])</f>
        <v>3</v>
      </c>
      <c r="L113" s="133">
        <v>2</v>
      </c>
      <c r="M113" s="133">
        <v>1</v>
      </c>
      <c r="N113" s="133">
        <v>0</v>
      </c>
      <c r="O113" s="134">
        <v>128.83000000000001</v>
      </c>
      <c r="P113" s="243">
        <f>VLOOKUP(Table3236[[#This Row],[Census Tract]],'Population and Diversity Data'!$B$2:$K$823,10,FALSE)</f>
        <v>1</v>
      </c>
      <c r="Q113" s="244" t="str">
        <f>VLOOKUP(Table3236[[#This Row],[Census Tract]],'UI EnergyBurden'!$A$2:$B$184,2,FALSE)</f>
        <v>No</v>
      </c>
      <c r="R113" s="249">
        <f>VLOOKUP(Table3236[[#This Row],[Census Tract]],'Income and Housing Data'!$B$2:$D$823,3,FALSE)</f>
        <v>73426</v>
      </c>
      <c r="S113" s="250" t="str">
        <f>IF($U$7&lt;=Table3236[[#This Row],[Household Income]],IF(Table3236[[#This Row],[Household Income]]&lt;=$U$8, "Yes","No"),"No")</f>
        <v>No</v>
      </c>
    </row>
    <row r="114" spans="1:19" x14ac:dyDescent="0.25">
      <c r="A114" s="183">
        <v>9001080800</v>
      </c>
      <c r="B114" s="39" t="s">
        <v>3008</v>
      </c>
      <c r="C114" s="178" t="s">
        <v>944</v>
      </c>
      <c r="D114" s="179">
        <v>0</v>
      </c>
      <c r="E114" s="179">
        <v>0</v>
      </c>
      <c r="F114" s="39">
        <f>Table3236[[#This Row],[Single Family]]+Table3236[[#This Row],[2-4 Units]]+Table3236[[#This Row],[&gt;4 Units]]</f>
        <v>0</v>
      </c>
      <c r="G114" s="39"/>
      <c r="H114" s="39"/>
      <c r="I114" s="39"/>
      <c r="J114" s="132">
        <v>0</v>
      </c>
      <c r="K114" s="39">
        <f>SUM(Table3236[[#This Row],[Single Family ]:[&gt;4 Units ]])</f>
        <v>0</v>
      </c>
      <c r="L114" s="133"/>
      <c r="M114" s="133"/>
      <c r="N114" s="133"/>
      <c r="O114" s="134">
        <v>0</v>
      </c>
      <c r="P114" s="243">
        <f>VLOOKUP(Table3236[[#This Row],[Census Tract]],'Population and Diversity Data'!$B$2:$K$823,10,FALSE)</f>
        <v>2</v>
      </c>
      <c r="Q114" s="244" t="str">
        <f>VLOOKUP(Table3236[[#This Row],[Census Tract]],'UI EnergyBurden'!$A$2:$B$184,2,FALSE)</f>
        <v>No</v>
      </c>
      <c r="R114" s="249">
        <f>VLOOKUP(Table3236[[#This Row],[Census Tract]],'Income and Housing Data'!$B$2:$D$823,3,FALSE)</f>
        <v>90568</v>
      </c>
      <c r="S114" s="250" t="str">
        <f>IF($U$7&lt;=Table3236[[#This Row],[Household Income]],IF(Table3236[[#This Row],[Household Income]]&lt;=$U$8, "Yes","No"),"No")</f>
        <v>No</v>
      </c>
    </row>
    <row r="115" spans="1:19" x14ac:dyDescent="0.25">
      <c r="A115" s="183">
        <v>9001080800</v>
      </c>
      <c r="B115" s="39" t="s">
        <v>956</v>
      </c>
      <c r="C115" s="178" t="s">
        <v>944</v>
      </c>
      <c r="D115" s="179">
        <v>81784.641399999906</v>
      </c>
      <c r="E115" s="179">
        <v>18364.759999999998</v>
      </c>
      <c r="F115" s="39">
        <f>Table3236[[#This Row],[Single Family]]+Table3236[[#This Row],[2-4 Units]]+Table3236[[#This Row],[&gt;4 Units]]</f>
        <v>32</v>
      </c>
      <c r="G115" s="39">
        <v>32</v>
      </c>
      <c r="H115" s="39">
        <v>0</v>
      </c>
      <c r="I115" s="39">
        <v>0</v>
      </c>
      <c r="J115" s="132">
        <v>12645.15</v>
      </c>
      <c r="K115" s="39">
        <f>SUM(Table3236[[#This Row],[Single Family ]:[&gt;4 Units ]])</f>
        <v>8</v>
      </c>
      <c r="L115" s="133">
        <v>7</v>
      </c>
      <c r="M115" s="133">
        <v>1</v>
      </c>
      <c r="N115" s="133">
        <v>0</v>
      </c>
      <c r="O115" s="134">
        <v>5719.61</v>
      </c>
      <c r="P115" s="243">
        <f>VLOOKUP(Table3236[[#This Row],[Census Tract]],'Population and Diversity Data'!$B$2:$K$823,10,FALSE)</f>
        <v>2</v>
      </c>
      <c r="Q115" s="244" t="str">
        <f>VLOOKUP(Table3236[[#This Row],[Census Tract]],'UI EnergyBurden'!$A$2:$B$184,2,FALSE)</f>
        <v>No</v>
      </c>
      <c r="R115" s="249">
        <f>VLOOKUP(Table3236[[#This Row],[Census Tract]],'Income and Housing Data'!$B$2:$D$823,3,FALSE)</f>
        <v>90568</v>
      </c>
      <c r="S115" s="250" t="str">
        <f>IF($U$7&lt;=Table3236[[#This Row],[Household Income]],IF(Table3236[[#This Row],[Household Income]]&lt;=$U$8, "Yes","No"),"No")</f>
        <v>No</v>
      </c>
    </row>
    <row r="116" spans="1:19" x14ac:dyDescent="0.25">
      <c r="A116" s="183">
        <v>9001080900</v>
      </c>
      <c r="B116" s="39" t="s">
        <v>934</v>
      </c>
      <c r="C116" s="178" t="s">
        <v>944</v>
      </c>
      <c r="D116" s="179">
        <v>0</v>
      </c>
      <c r="E116" s="179">
        <v>0</v>
      </c>
      <c r="F116" s="39">
        <f>Table3236[[#This Row],[Single Family]]+Table3236[[#This Row],[2-4 Units]]+Table3236[[#This Row],[&gt;4 Units]]</f>
        <v>0</v>
      </c>
      <c r="G116" s="39"/>
      <c r="H116" s="39"/>
      <c r="I116" s="39"/>
      <c r="J116" s="132">
        <v>0</v>
      </c>
      <c r="K116" s="39">
        <f>SUM(Table3236[[#This Row],[Single Family ]:[&gt;4 Units ]])</f>
        <v>0</v>
      </c>
      <c r="L116" s="133"/>
      <c r="M116" s="133"/>
      <c r="N116" s="133"/>
      <c r="O116" s="134">
        <v>0</v>
      </c>
      <c r="P116" s="243">
        <f>VLOOKUP(Table3236[[#This Row],[Census Tract]],'Population and Diversity Data'!$B$2:$K$823,10,FALSE)</f>
        <v>4</v>
      </c>
      <c r="Q116" s="244" t="str">
        <f>VLOOKUP(Table3236[[#This Row],[Census Tract]],'UI EnergyBurden'!$A$2:$B$184,2,FALSE)</f>
        <v>No</v>
      </c>
      <c r="R116" s="249">
        <f>VLOOKUP(Table3236[[#This Row],[Census Tract]],'Income and Housing Data'!$B$2:$D$823,3,FALSE)</f>
        <v>90527</v>
      </c>
      <c r="S116" s="250" t="str">
        <f>IF($U$7&lt;=Table3236[[#This Row],[Household Income]],IF(Table3236[[#This Row],[Household Income]]&lt;=$U$8, "Yes","No"),"No")</f>
        <v>No</v>
      </c>
    </row>
    <row r="117" spans="1:19" x14ac:dyDescent="0.25">
      <c r="A117" s="183">
        <v>9001080900</v>
      </c>
      <c r="B117" s="39" t="s">
        <v>956</v>
      </c>
      <c r="C117" s="178" t="s">
        <v>944</v>
      </c>
      <c r="D117" s="179">
        <v>79381.614400000093</v>
      </c>
      <c r="E117" s="179">
        <v>46203.07</v>
      </c>
      <c r="F117" s="39">
        <f>Table3236[[#This Row],[Single Family]]+Table3236[[#This Row],[2-4 Units]]+Table3236[[#This Row],[&gt;4 Units]]</f>
        <v>37</v>
      </c>
      <c r="G117" s="39">
        <v>35</v>
      </c>
      <c r="H117" s="39">
        <v>2</v>
      </c>
      <c r="I117" s="39">
        <v>0</v>
      </c>
      <c r="J117" s="132">
        <v>14290.38</v>
      </c>
      <c r="K117" s="39">
        <f>SUM(Table3236[[#This Row],[Single Family ]:[&gt;4 Units ]])</f>
        <v>13</v>
      </c>
      <c r="L117" s="133">
        <v>13</v>
      </c>
      <c r="M117" s="133">
        <v>0</v>
      </c>
      <c r="N117" s="133">
        <v>0</v>
      </c>
      <c r="O117" s="134">
        <v>31912.69</v>
      </c>
      <c r="P117" s="243">
        <f>VLOOKUP(Table3236[[#This Row],[Census Tract]],'Population and Diversity Data'!$B$2:$K$823,10,FALSE)</f>
        <v>4</v>
      </c>
      <c r="Q117" s="244" t="str">
        <f>VLOOKUP(Table3236[[#This Row],[Census Tract]],'UI EnergyBurden'!$A$2:$B$184,2,FALSE)</f>
        <v>No</v>
      </c>
      <c r="R117" s="249">
        <f>VLOOKUP(Table3236[[#This Row],[Census Tract]],'Income and Housing Data'!$B$2:$D$823,3,FALSE)</f>
        <v>90527</v>
      </c>
      <c r="S117" s="250" t="str">
        <f>IF($U$7&lt;=Table3236[[#This Row],[Household Income]],IF(Table3236[[#This Row],[Household Income]]&lt;=$U$8, "Yes","No"),"No")</f>
        <v>No</v>
      </c>
    </row>
    <row r="118" spans="1:19" x14ac:dyDescent="0.25">
      <c r="A118" s="183">
        <v>9001081000</v>
      </c>
      <c r="B118" s="39" t="s">
        <v>934</v>
      </c>
      <c r="C118" s="178" t="s">
        <v>944</v>
      </c>
      <c r="D118" s="179">
        <v>71.845299999999995</v>
      </c>
      <c r="E118" s="179">
        <v>0</v>
      </c>
      <c r="F118" s="39">
        <f>Table3236[[#This Row],[Single Family]]+Table3236[[#This Row],[2-4 Units]]+Table3236[[#This Row],[&gt;4 Units]]</f>
        <v>0</v>
      </c>
      <c r="G118" s="39"/>
      <c r="H118" s="39"/>
      <c r="I118" s="39"/>
      <c r="J118" s="132">
        <v>0</v>
      </c>
      <c r="K118" s="39">
        <f>SUM(Table3236[[#This Row],[Single Family ]:[&gt;4 Units ]])</f>
        <v>0</v>
      </c>
      <c r="L118" s="133"/>
      <c r="M118" s="133"/>
      <c r="N118" s="133"/>
      <c r="O118" s="134">
        <v>0</v>
      </c>
      <c r="P118" s="243">
        <f>VLOOKUP(Table3236[[#This Row],[Census Tract]],'Population and Diversity Data'!$B$2:$K$823,10,FALSE)</f>
        <v>2</v>
      </c>
      <c r="Q118" s="244" t="str">
        <f>VLOOKUP(Table3236[[#This Row],[Census Tract]],'UI EnergyBurden'!$A$2:$B$184,2,FALSE)</f>
        <v>No</v>
      </c>
      <c r="R118" s="249">
        <f>VLOOKUP(Table3236[[#This Row],[Census Tract]],'Income and Housing Data'!$B$2:$D$823,3,FALSE)</f>
        <v>65967</v>
      </c>
      <c r="S118" s="250" t="str">
        <f>IF($U$7&lt;=Table3236[[#This Row],[Household Income]],IF(Table3236[[#This Row],[Household Income]]&lt;=$U$8, "Yes","No"),"No")</f>
        <v>No</v>
      </c>
    </row>
    <row r="119" spans="1:19" x14ac:dyDescent="0.25">
      <c r="A119" s="183">
        <v>9001081000</v>
      </c>
      <c r="B119" s="39" t="s">
        <v>956</v>
      </c>
      <c r="C119" s="178" t="s">
        <v>944</v>
      </c>
      <c r="D119" s="179">
        <v>69046.922199999899</v>
      </c>
      <c r="E119" s="179">
        <v>32052.07</v>
      </c>
      <c r="F119" s="39">
        <f>Table3236[[#This Row],[Single Family]]+Table3236[[#This Row],[2-4 Units]]+Table3236[[#This Row],[&gt;4 Units]]</f>
        <v>22</v>
      </c>
      <c r="G119" s="39">
        <v>22</v>
      </c>
      <c r="H119" s="39">
        <v>0</v>
      </c>
      <c r="I119" s="39">
        <v>0</v>
      </c>
      <c r="J119" s="132">
        <v>10665.09</v>
      </c>
      <c r="K119" s="39">
        <f>SUM(Table3236[[#This Row],[Single Family ]:[&gt;4 Units ]])</f>
        <v>24</v>
      </c>
      <c r="L119" s="133">
        <v>19</v>
      </c>
      <c r="M119" s="133">
        <v>5</v>
      </c>
      <c r="N119" s="133">
        <v>0</v>
      </c>
      <c r="O119" s="134">
        <v>21386.98</v>
      </c>
      <c r="P119" s="243">
        <f>VLOOKUP(Table3236[[#This Row],[Census Tract]],'Population and Diversity Data'!$B$2:$K$823,10,FALSE)</f>
        <v>2</v>
      </c>
      <c r="Q119" s="244" t="str">
        <f>VLOOKUP(Table3236[[#This Row],[Census Tract]],'UI EnergyBurden'!$A$2:$B$184,2,FALSE)</f>
        <v>No</v>
      </c>
      <c r="R119" s="249">
        <f>VLOOKUP(Table3236[[#This Row],[Census Tract]],'Income and Housing Data'!$B$2:$D$823,3,FALSE)</f>
        <v>65967</v>
      </c>
      <c r="S119" s="250" t="str">
        <f>IF($U$7&lt;=Table3236[[#This Row],[Household Income]],IF(Table3236[[#This Row],[Household Income]]&lt;=$U$8, "Yes","No"),"No")</f>
        <v>No</v>
      </c>
    </row>
    <row r="120" spans="1:19" x14ac:dyDescent="0.25">
      <c r="A120" s="183">
        <v>9001081100</v>
      </c>
      <c r="B120" s="39" t="s">
        <v>956</v>
      </c>
      <c r="C120" s="178" t="s">
        <v>944</v>
      </c>
      <c r="D120" s="179">
        <v>77966.711299999995</v>
      </c>
      <c r="E120" s="179">
        <v>38688.35</v>
      </c>
      <c r="F120" s="39">
        <f>Table3236[[#This Row],[Single Family]]+Table3236[[#This Row],[2-4 Units]]+Table3236[[#This Row],[&gt;4 Units]]</f>
        <v>21</v>
      </c>
      <c r="G120" s="39">
        <v>21</v>
      </c>
      <c r="H120" s="39">
        <v>0</v>
      </c>
      <c r="I120" s="39">
        <v>0</v>
      </c>
      <c r="J120" s="132">
        <v>11599.25</v>
      </c>
      <c r="K120" s="39">
        <f>SUM(Table3236[[#This Row],[Single Family ]:[&gt;4 Units ]])</f>
        <v>11</v>
      </c>
      <c r="L120" s="133">
        <v>11</v>
      </c>
      <c r="M120" s="133">
        <v>0</v>
      </c>
      <c r="N120" s="133">
        <v>0</v>
      </c>
      <c r="O120" s="134">
        <v>27089.1</v>
      </c>
      <c r="P120" s="243">
        <f>VLOOKUP(Table3236[[#This Row],[Census Tract]],'Population and Diversity Data'!$B$2:$K$823,10,FALSE)</f>
        <v>1</v>
      </c>
      <c r="Q120" s="244" t="str">
        <f>VLOOKUP(Table3236[[#This Row],[Census Tract]],'UI EnergyBurden'!$A$2:$B$184,2,FALSE)</f>
        <v>No</v>
      </c>
      <c r="R120" s="249">
        <f>VLOOKUP(Table3236[[#This Row],[Census Tract]],'Income and Housing Data'!$B$2:$D$823,3,FALSE)</f>
        <v>100156</v>
      </c>
      <c r="S120" s="250" t="str">
        <f>IF($U$7&lt;=Table3236[[#This Row],[Household Income]],IF(Table3236[[#This Row],[Household Income]]&lt;=$U$8, "Yes","No"),"No")</f>
        <v>No</v>
      </c>
    </row>
    <row r="121" spans="1:19" x14ac:dyDescent="0.25">
      <c r="A121" s="183">
        <v>9001081100</v>
      </c>
      <c r="B121" s="39" t="s">
        <v>2987</v>
      </c>
      <c r="C121" s="178" t="s">
        <v>944</v>
      </c>
      <c r="D121" s="179">
        <v>354.03429999999997</v>
      </c>
      <c r="E121" s="179">
        <v>302.25</v>
      </c>
      <c r="F121" s="39">
        <f>Table3236[[#This Row],[Single Family]]+Table3236[[#This Row],[2-4 Units]]+Table3236[[#This Row],[&gt;4 Units]]</f>
        <v>1</v>
      </c>
      <c r="G121" s="39">
        <v>1</v>
      </c>
      <c r="H121" s="39">
        <v>0</v>
      </c>
      <c r="I121" s="39">
        <v>0</v>
      </c>
      <c r="J121" s="132">
        <v>302.25</v>
      </c>
      <c r="K121" s="39">
        <f>SUM(Table3236[[#This Row],[Single Family ]:[&gt;4 Units ]])</f>
        <v>0</v>
      </c>
      <c r="L121" s="133"/>
      <c r="M121" s="133"/>
      <c r="N121" s="133"/>
      <c r="O121" s="134">
        <v>0</v>
      </c>
      <c r="P121" s="243">
        <f>VLOOKUP(Table3236[[#This Row],[Census Tract]],'Population and Diversity Data'!$B$2:$K$823,10,FALSE)</f>
        <v>1</v>
      </c>
      <c r="Q121" s="244" t="str">
        <f>VLOOKUP(Table3236[[#This Row],[Census Tract]],'UI EnergyBurden'!$A$2:$B$184,2,FALSE)</f>
        <v>No</v>
      </c>
      <c r="R121" s="249">
        <f>VLOOKUP(Table3236[[#This Row],[Census Tract]],'Income and Housing Data'!$B$2:$D$823,3,FALSE)</f>
        <v>100156</v>
      </c>
      <c r="S121" s="250" t="str">
        <f>IF($U$7&lt;=Table3236[[#This Row],[Household Income]],IF(Table3236[[#This Row],[Household Income]]&lt;=$U$8, "Yes","No"),"No")</f>
        <v>No</v>
      </c>
    </row>
    <row r="122" spans="1:19" x14ac:dyDescent="0.25">
      <c r="A122" s="183">
        <v>9001081200</v>
      </c>
      <c r="B122" s="39" t="s">
        <v>934</v>
      </c>
      <c r="C122" s="178" t="s">
        <v>944</v>
      </c>
      <c r="D122" s="179">
        <v>120.8455</v>
      </c>
      <c r="E122" s="179">
        <v>0</v>
      </c>
      <c r="F122" s="39">
        <f>Table3236[[#This Row],[Single Family]]+Table3236[[#This Row],[2-4 Units]]+Table3236[[#This Row],[&gt;4 Units]]</f>
        <v>0</v>
      </c>
      <c r="G122" s="39"/>
      <c r="H122" s="39"/>
      <c r="I122" s="39"/>
      <c r="J122" s="132">
        <v>0</v>
      </c>
      <c r="K122" s="39">
        <f>SUM(Table3236[[#This Row],[Single Family ]:[&gt;4 Units ]])</f>
        <v>0</v>
      </c>
      <c r="L122" s="133"/>
      <c r="M122" s="133"/>
      <c r="N122" s="133"/>
      <c r="O122" s="134">
        <v>0</v>
      </c>
      <c r="P122" s="243">
        <f>VLOOKUP(Table3236[[#This Row],[Census Tract]],'Population and Diversity Data'!$B$2:$K$823,10,FALSE)</f>
        <v>3</v>
      </c>
      <c r="Q122" s="244" t="str">
        <f>VLOOKUP(Table3236[[#This Row],[Census Tract]],'UI EnergyBurden'!$A$2:$B$184,2,FALSE)</f>
        <v>No</v>
      </c>
      <c r="R122" s="249">
        <f>VLOOKUP(Table3236[[#This Row],[Census Tract]],'Income and Housing Data'!$B$2:$D$823,3,FALSE)</f>
        <v>113814</v>
      </c>
      <c r="S122" s="250" t="str">
        <f>IF($U$7&lt;=Table3236[[#This Row],[Household Income]],IF(Table3236[[#This Row],[Household Income]]&lt;=$U$8, "Yes","No"),"No")</f>
        <v>No</v>
      </c>
    </row>
    <row r="123" spans="1:19" x14ac:dyDescent="0.25">
      <c r="A123" s="183">
        <v>9001081200</v>
      </c>
      <c r="B123" s="39" t="s">
        <v>956</v>
      </c>
      <c r="C123" s="178" t="s">
        <v>944</v>
      </c>
      <c r="D123" s="179">
        <v>102590.0885</v>
      </c>
      <c r="E123" s="179">
        <v>41624.550000000003</v>
      </c>
      <c r="F123" s="39">
        <f>Table3236[[#This Row],[Single Family]]+Table3236[[#This Row],[2-4 Units]]+Table3236[[#This Row],[&gt;4 Units]]</f>
        <v>40</v>
      </c>
      <c r="G123" s="39">
        <v>39</v>
      </c>
      <c r="H123" s="39">
        <v>0</v>
      </c>
      <c r="I123" s="39">
        <v>1</v>
      </c>
      <c r="J123" s="132">
        <v>34781.199999999997</v>
      </c>
      <c r="K123" s="39">
        <f>SUM(Table3236[[#This Row],[Single Family ]:[&gt;4 Units ]])</f>
        <v>4</v>
      </c>
      <c r="L123" s="133">
        <v>4</v>
      </c>
      <c r="M123" s="133">
        <v>0</v>
      </c>
      <c r="N123" s="133">
        <v>0</v>
      </c>
      <c r="O123" s="134">
        <v>6843.35</v>
      </c>
      <c r="P123" s="243">
        <f>VLOOKUP(Table3236[[#This Row],[Census Tract]],'Population and Diversity Data'!$B$2:$K$823,10,FALSE)</f>
        <v>3</v>
      </c>
      <c r="Q123" s="244" t="str">
        <f>VLOOKUP(Table3236[[#This Row],[Census Tract]],'UI EnergyBurden'!$A$2:$B$184,2,FALSE)</f>
        <v>No</v>
      </c>
      <c r="R123" s="249">
        <f>VLOOKUP(Table3236[[#This Row],[Census Tract]],'Income and Housing Data'!$B$2:$D$823,3,FALSE)</f>
        <v>113814</v>
      </c>
      <c r="S123" s="250" t="str">
        <f>IF($U$7&lt;=Table3236[[#This Row],[Household Income]],IF(Table3236[[#This Row],[Household Income]]&lt;=$U$8, "Yes","No"),"No")</f>
        <v>No</v>
      </c>
    </row>
    <row r="124" spans="1:19" x14ac:dyDescent="0.25">
      <c r="A124" s="183">
        <v>9001081300</v>
      </c>
      <c r="B124" s="39" t="s">
        <v>956</v>
      </c>
      <c r="C124" s="178" t="s">
        <v>944</v>
      </c>
      <c r="D124" s="179">
        <v>100014.4032</v>
      </c>
      <c r="E124" s="179">
        <v>16907.099999999999</v>
      </c>
      <c r="F124" s="39">
        <f>Table3236[[#This Row],[Single Family]]+Table3236[[#This Row],[2-4 Units]]+Table3236[[#This Row],[&gt;4 Units]]</f>
        <v>15</v>
      </c>
      <c r="G124" s="39">
        <v>12</v>
      </c>
      <c r="H124" s="39">
        <v>3</v>
      </c>
      <c r="I124" s="39">
        <v>0</v>
      </c>
      <c r="J124" s="132">
        <v>12536.06</v>
      </c>
      <c r="K124" s="39">
        <f>SUM(Table3236[[#This Row],[Single Family ]:[&gt;4 Units ]])</f>
        <v>6</v>
      </c>
      <c r="L124" s="133">
        <v>5</v>
      </c>
      <c r="M124" s="133">
        <v>1</v>
      </c>
      <c r="N124" s="133">
        <v>0</v>
      </c>
      <c r="O124" s="134">
        <v>4371.04</v>
      </c>
      <c r="P124" s="243">
        <f>VLOOKUP(Table3236[[#This Row],[Census Tract]],'Population and Diversity Data'!$B$2:$K$823,10,FALSE)</f>
        <v>4</v>
      </c>
      <c r="Q124" s="244" t="str">
        <f>VLOOKUP(Table3236[[#This Row],[Census Tract]],'UI EnergyBurden'!$A$2:$B$184,2,FALSE)</f>
        <v>No</v>
      </c>
      <c r="R124" s="249">
        <f>VLOOKUP(Table3236[[#This Row],[Census Tract]],'Income and Housing Data'!$B$2:$D$823,3,FALSE)</f>
        <v>71660</v>
      </c>
      <c r="S124" s="250" t="str">
        <f>IF($U$7&lt;=Table3236[[#This Row],[Household Income]],IF(Table3236[[#This Row],[Household Income]]&lt;=$U$8, "Yes","No"),"No")</f>
        <v>No</v>
      </c>
    </row>
    <row r="125" spans="1:19" x14ac:dyDescent="0.25">
      <c r="A125" s="183">
        <v>9001090100</v>
      </c>
      <c r="B125" s="39" t="s">
        <v>2985</v>
      </c>
      <c r="C125" s="178" t="s">
        <v>944</v>
      </c>
      <c r="D125" s="179">
        <v>462.76580000000001</v>
      </c>
      <c r="E125" s="179">
        <v>0</v>
      </c>
      <c r="F125" s="39">
        <f>Table3236[[#This Row],[Single Family]]+Table3236[[#This Row],[2-4 Units]]+Table3236[[#This Row],[&gt;4 Units]]</f>
        <v>0</v>
      </c>
      <c r="G125" s="39"/>
      <c r="H125" s="39"/>
      <c r="I125" s="39"/>
      <c r="J125" s="132">
        <v>0</v>
      </c>
      <c r="K125" s="39">
        <f>SUM(Table3236[[#This Row],[Single Family ]:[&gt;4 Units ]])</f>
        <v>0</v>
      </c>
      <c r="L125" s="133"/>
      <c r="M125" s="133"/>
      <c r="N125" s="133"/>
      <c r="O125" s="134">
        <v>0</v>
      </c>
      <c r="P125" s="243">
        <f>VLOOKUP(Table3236[[#This Row],[Census Tract]],'Population and Diversity Data'!$B$2:$K$823,10,FALSE)</f>
        <v>1</v>
      </c>
      <c r="Q125" s="244" t="str">
        <f>VLOOKUP(Table3236[[#This Row],[Census Tract]],'UI EnergyBurden'!$A$2:$B$184,2,FALSE)</f>
        <v>No</v>
      </c>
      <c r="R125" s="249">
        <f>VLOOKUP(Table3236[[#This Row],[Census Tract]],'Income and Housing Data'!$B$2:$D$823,3,FALSE)</f>
        <v>145125</v>
      </c>
      <c r="S125" s="250" t="str">
        <f>IF($U$7&lt;=Table3236[[#This Row],[Household Income]],IF(Table3236[[#This Row],[Household Income]]&lt;=$U$8, "Yes","No"),"No")</f>
        <v>No</v>
      </c>
    </row>
    <row r="126" spans="1:19" x14ac:dyDescent="0.25">
      <c r="A126" s="183">
        <v>9001090100</v>
      </c>
      <c r="B126" s="39" t="s">
        <v>2987</v>
      </c>
      <c r="C126" s="178" t="s">
        <v>944</v>
      </c>
      <c r="D126" s="179">
        <v>71254.085099999997</v>
      </c>
      <c r="E126" s="179">
        <v>15275.41</v>
      </c>
      <c r="F126" s="39">
        <f>Table3236[[#This Row],[Single Family]]+Table3236[[#This Row],[2-4 Units]]+Table3236[[#This Row],[&gt;4 Units]]</f>
        <v>20</v>
      </c>
      <c r="G126" s="39">
        <v>20</v>
      </c>
      <c r="H126" s="39">
        <v>0</v>
      </c>
      <c r="I126" s="39">
        <v>0</v>
      </c>
      <c r="J126" s="132">
        <v>13147.68</v>
      </c>
      <c r="K126" s="39">
        <f>SUM(Table3236[[#This Row],[Single Family ]:[&gt;4 Units ]])</f>
        <v>1</v>
      </c>
      <c r="L126" s="133">
        <v>1</v>
      </c>
      <c r="M126" s="133">
        <v>0</v>
      </c>
      <c r="N126" s="133">
        <v>0</v>
      </c>
      <c r="O126" s="134">
        <v>2127.73</v>
      </c>
      <c r="P126" s="243">
        <f>VLOOKUP(Table3236[[#This Row],[Census Tract]],'Population and Diversity Data'!$B$2:$K$823,10,FALSE)</f>
        <v>1</v>
      </c>
      <c r="Q126" s="244" t="str">
        <f>VLOOKUP(Table3236[[#This Row],[Census Tract]],'UI EnergyBurden'!$A$2:$B$184,2,FALSE)</f>
        <v>No</v>
      </c>
      <c r="R126" s="249">
        <f>VLOOKUP(Table3236[[#This Row],[Census Tract]],'Income and Housing Data'!$B$2:$D$823,3,FALSE)</f>
        <v>145125</v>
      </c>
      <c r="S126" s="250" t="str">
        <f>IF($U$7&lt;=Table3236[[#This Row],[Household Income]],IF(Table3236[[#This Row],[Household Income]]&lt;=$U$8, "Yes","No"),"No")</f>
        <v>No</v>
      </c>
    </row>
    <row r="127" spans="1:19" x14ac:dyDescent="0.25">
      <c r="A127" s="183">
        <v>9001090200</v>
      </c>
      <c r="B127" s="39" t="s">
        <v>934</v>
      </c>
      <c r="C127" s="178" t="s">
        <v>944</v>
      </c>
      <c r="D127" s="179">
        <v>0</v>
      </c>
      <c r="E127" s="179">
        <v>0</v>
      </c>
      <c r="F127" s="39">
        <f>Table3236[[#This Row],[Single Family]]+Table3236[[#This Row],[2-4 Units]]+Table3236[[#This Row],[&gt;4 Units]]</f>
        <v>0</v>
      </c>
      <c r="G127" s="39"/>
      <c r="H127" s="39"/>
      <c r="I127" s="39"/>
      <c r="J127" s="132">
        <v>0</v>
      </c>
      <c r="K127" s="39">
        <f>SUM(Table3236[[#This Row],[Single Family ]:[&gt;4 Units ]])</f>
        <v>0</v>
      </c>
      <c r="L127" s="133"/>
      <c r="M127" s="133"/>
      <c r="N127" s="133"/>
      <c r="O127" s="134">
        <v>0</v>
      </c>
      <c r="P127" s="243">
        <f>VLOOKUP(Table3236[[#This Row],[Census Tract]],'Population and Diversity Data'!$B$2:$K$823,10,FALSE)</f>
        <v>3</v>
      </c>
      <c r="Q127" s="244" t="str">
        <f>VLOOKUP(Table3236[[#This Row],[Census Tract]],'UI EnergyBurden'!$A$2:$B$184,2,FALSE)</f>
        <v>No</v>
      </c>
      <c r="R127" s="249">
        <f>VLOOKUP(Table3236[[#This Row],[Census Tract]],'Income and Housing Data'!$B$2:$D$823,3,FALSE)</f>
        <v>113636</v>
      </c>
      <c r="S127" s="250" t="str">
        <f>IF($U$7&lt;=Table3236[[#This Row],[Household Income]],IF(Table3236[[#This Row],[Household Income]]&lt;=$U$8, "Yes","No"),"No")</f>
        <v>No</v>
      </c>
    </row>
    <row r="128" spans="1:19" x14ac:dyDescent="0.25">
      <c r="A128" s="183">
        <v>9001090200</v>
      </c>
      <c r="B128" s="39" t="s">
        <v>2987</v>
      </c>
      <c r="C128" s="178" t="s">
        <v>944</v>
      </c>
      <c r="D128" s="179">
        <v>141902.04870000001</v>
      </c>
      <c r="E128" s="179">
        <v>33204.18</v>
      </c>
      <c r="F128" s="39">
        <f>Table3236[[#This Row],[Single Family]]+Table3236[[#This Row],[2-4 Units]]+Table3236[[#This Row],[&gt;4 Units]]</f>
        <v>33</v>
      </c>
      <c r="G128" s="39">
        <v>33</v>
      </c>
      <c r="H128" s="39">
        <v>0</v>
      </c>
      <c r="I128" s="39">
        <v>0</v>
      </c>
      <c r="J128" s="132">
        <v>21080.720000000001</v>
      </c>
      <c r="K128" s="39">
        <f>SUM(Table3236[[#This Row],[Single Family ]:[&gt;4 Units ]])</f>
        <v>8</v>
      </c>
      <c r="L128" s="133">
        <v>7</v>
      </c>
      <c r="M128" s="133">
        <v>1</v>
      </c>
      <c r="N128" s="133">
        <v>0</v>
      </c>
      <c r="O128" s="134">
        <v>12123.46</v>
      </c>
      <c r="P128" s="243">
        <f>VLOOKUP(Table3236[[#This Row],[Census Tract]],'Population and Diversity Data'!$B$2:$K$823,10,FALSE)</f>
        <v>3</v>
      </c>
      <c r="Q128" s="244" t="str">
        <f>VLOOKUP(Table3236[[#This Row],[Census Tract]],'UI EnergyBurden'!$A$2:$B$184,2,FALSE)</f>
        <v>No</v>
      </c>
      <c r="R128" s="249">
        <f>VLOOKUP(Table3236[[#This Row],[Census Tract]],'Income and Housing Data'!$B$2:$D$823,3,FALSE)</f>
        <v>113636</v>
      </c>
      <c r="S128" s="250" t="str">
        <f>IF($U$7&lt;=Table3236[[#This Row],[Household Income]],IF(Table3236[[#This Row],[Household Income]]&lt;=$U$8, "Yes","No"),"No")</f>
        <v>No</v>
      </c>
    </row>
    <row r="129" spans="1:19" x14ac:dyDescent="0.25">
      <c r="A129" s="183">
        <v>9001090300</v>
      </c>
      <c r="B129" s="39" t="s">
        <v>934</v>
      </c>
      <c r="C129" s="178" t="s">
        <v>944</v>
      </c>
      <c r="D129" s="179">
        <v>190.06890000000001</v>
      </c>
      <c r="E129" s="179">
        <v>0</v>
      </c>
      <c r="F129" s="39">
        <f>Table3236[[#This Row],[Single Family]]+Table3236[[#This Row],[2-4 Units]]+Table3236[[#This Row],[&gt;4 Units]]</f>
        <v>0</v>
      </c>
      <c r="G129" s="39"/>
      <c r="H129" s="39"/>
      <c r="I129" s="39"/>
      <c r="J129" s="132">
        <v>0</v>
      </c>
      <c r="K129" s="39">
        <f>SUM(Table3236[[#This Row],[Single Family ]:[&gt;4 Units ]])</f>
        <v>0</v>
      </c>
      <c r="L129" s="133"/>
      <c r="M129" s="133"/>
      <c r="N129" s="133"/>
      <c r="O129" s="134">
        <v>0</v>
      </c>
      <c r="P129" s="243">
        <f>VLOOKUP(Table3236[[#This Row],[Census Tract]],'Population and Diversity Data'!$B$2:$K$823,10,FALSE)</f>
        <v>3</v>
      </c>
      <c r="Q129" s="244" t="str">
        <f>VLOOKUP(Table3236[[#This Row],[Census Tract]],'UI EnergyBurden'!$A$2:$B$184,2,FALSE)</f>
        <v>No</v>
      </c>
      <c r="R129" s="249">
        <f>VLOOKUP(Table3236[[#This Row],[Census Tract]],'Income and Housing Data'!$B$2:$D$823,3,FALSE)</f>
        <v>118819</v>
      </c>
      <c r="S129" s="250" t="str">
        <f>IF($U$7&lt;=Table3236[[#This Row],[Household Income]],IF(Table3236[[#This Row],[Household Income]]&lt;=$U$8, "Yes","No"),"No")</f>
        <v>No</v>
      </c>
    </row>
    <row r="130" spans="1:19" x14ac:dyDescent="0.25">
      <c r="A130" s="183">
        <v>9001090300</v>
      </c>
      <c r="B130" s="39" t="s">
        <v>2987</v>
      </c>
      <c r="C130" s="178" t="s">
        <v>944</v>
      </c>
      <c r="D130" s="179">
        <v>88643.617499999993</v>
      </c>
      <c r="E130" s="179">
        <v>37237.230000000003</v>
      </c>
      <c r="F130" s="39">
        <f>Table3236[[#This Row],[Single Family]]+Table3236[[#This Row],[2-4 Units]]+Table3236[[#This Row],[&gt;4 Units]]</f>
        <v>19</v>
      </c>
      <c r="G130" s="39">
        <v>17</v>
      </c>
      <c r="H130" s="39">
        <v>2</v>
      </c>
      <c r="I130" s="39">
        <v>0</v>
      </c>
      <c r="J130" s="132">
        <v>9185.5</v>
      </c>
      <c r="K130" s="39">
        <f>SUM(Table3236[[#This Row],[Single Family ]:[&gt;4 Units ]])</f>
        <v>11</v>
      </c>
      <c r="L130" s="133">
        <v>11</v>
      </c>
      <c r="M130" s="133">
        <v>0</v>
      </c>
      <c r="N130" s="133">
        <v>0</v>
      </c>
      <c r="O130" s="134">
        <v>28051.73</v>
      </c>
      <c r="P130" s="243">
        <f>VLOOKUP(Table3236[[#This Row],[Census Tract]],'Population and Diversity Data'!$B$2:$K$823,10,FALSE)</f>
        <v>3</v>
      </c>
      <c r="Q130" s="244" t="str">
        <f>VLOOKUP(Table3236[[#This Row],[Census Tract]],'UI EnergyBurden'!$A$2:$B$184,2,FALSE)</f>
        <v>No</v>
      </c>
      <c r="R130" s="249">
        <f>VLOOKUP(Table3236[[#This Row],[Census Tract]],'Income and Housing Data'!$B$2:$D$823,3,FALSE)</f>
        <v>118819</v>
      </c>
      <c r="S130" s="250" t="str">
        <f>IF($U$7&lt;=Table3236[[#This Row],[Household Income]],IF(Table3236[[#This Row],[Household Income]]&lt;=$U$8, "Yes","No"),"No")</f>
        <v>No</v>
      </c>
    </row>
    <row r="131" spans="1:19" x14ac:dyDescent="0.25">
      <c r="A131" s="183">
        <v>9001090400</v>
      </c>
      <c r="B131" s="39" t="s">
        <v>934</v>
      </c>
      <c r="C131" s="178" t="s">
        <v>944</v>
      </c>
      <c r="D131" s="179">
        <v>0</v>
      </c>
      <c r="E131" s="179">
        <v>0</v>
      </c>
      <c r="F131" s="39">
        <f>Table3236[[#This Row],[Single Family]]+Table3236[[#This Row],[2-4 Units]]+Table3236[[#This Row],[&gt;4 Units]]</f>
        <v>0</v>
      </c>
      <c r="G131" s="39"/>
      <c r="H131" s="39"/>
      <c r="I131" s="39"/>
      <c r="J131" s="132">
        <v>0</v>
      </c>
      <c r="K131" s="39">
        <f>SUM(Table3236[[#This Row],[Single Family ]:[&gt;4 Units ]])</f>
        <v>0</v>
      </c>
      <c r="L131" s="133"/>
      <c r="M131" s="133"/>
      <c r="N131" s="133"/>
      <c r="O131" s="134">
        <v>0</v>
      </c>
      <c r="P131" s="243">
        <f>VLOOKUP(Table3236[[#This Row],[Census Tract]],'Population and Diversity Data'!$B$2:$K$823,10,FALSE)</f>
        <v>4</v>
      </c>
      <c r="Q131" s="244" t="str">
        <f>VLOOKUP(Table3236[[#This Row],[Census Tract]],'UI EnergyBurden'!$A$2:$B$184,2,FALSE)</f>
        <v>No</v>
      </c>
      <c r="R131" s="249">
        <f>VLOOKUP(Table3236[[#This Row],[Census Tract]],'Income and Housing Data'!$B$2:$D$823,3,FALSE)</f>
        <v>121802</v>
      </c>
      <c r="S131" s="250" t="str">
        <f>IF($U$7&lt;=Table3236[[#This Row],[Household Income]],IF(Table3236[[#This Row],[Household Income]]&lt;=$U$8, "Yes","No"),"No")</f>
        <v>No</v>
      </c>
    </row>
    <row r="132" spans="1:19" x14ac:dyDescent="0.25">
      <c r="A132" s="183">
        <v>9001090400</v>
      </c>
      <c r="B132" s="39" t="s">
        <v>2987</v>
      </c>
      <c r="C132" s="178" t="s">
        <v>944</v>
      </c>
      <c r="D132" s="179">
        <v>107562.7838</v>
      </c>
      <c r="E132" s="179">
        <v>26510.74</v>
      </c>
      <c r="F132" s="39">
        <f>Table3236[[#This Row],[Single Family]]+Table3236[[#This Row],[2-4 Units]]+Table3236[[#This Row],[&gt;4 Units]]</f>
        <v>32</v>
      </c>
      <c r="G132" s="39">
        <v>32</v>
      </c>
      <c r="H132" s="39">
        <v>0</v>
      </c>
      <c r="I132" s="39">
        <v>0</v>
      </c>
      <c r="J132" s="132">
        <v>25623.02</v>
      </c>
      <c r="K132" s="39">
        <f>SUM(Table3236[[#This Row],[Single Family ]:[&gt;4 Units ]])</f>
        <v>2</v>
      </c>
      <c r="L132" s="133">
        <v>2</v>
      </c>
      <c r="M132" s="133">
        <v>0</v>
      </c>
      <c r="N132" s="133">
        <v>0</v>
      </c>
      <c r="O132" s="134">
        <v>887.72</v>
      </c>
      <c r="P132" s="243">
        <f>VLOOKUP(Table3236[[#This Row],[Census Tract]],'Population and Diversity Data'!$B$2:$K$823,10,FALSE)</f>
        <v>4</v>
      </c>
      <c r="Q132" s="244" t="str">
        <f>VLOOKUP(Table3236[[#This Row],[Census Tract]],'UI EnergyBurden'!$A$2:$B$184,2,FALSE)</f>
        <v>No</v>
      </c>
      <c r="R132" s="249">
        <f>VLOOKUP(Table3236[[#This Row],[Census Tract]],'Income and Housing Data'!$B$2:$D$823,3,FALSE)</f>
        <v>121802</v>
      </c>
      <c r="S132" s="250" t="str">
        <f>IF($U$7&lt;=Table3236[[#This Row],[Household Income]],IF(Table3236[[#This Row],[Household Income]]&lt;=$U$8, "Yes","No"),"No")</f>
        <v>No</v>
      </c>
    </row>
    <row r="133" spans="1:19" x14ac:dyDescent="0.25">
      <c r="A133" s="183">
        <v>9001090500</v>
      </c>
      <c r="B133" s="39" t="s">
        <v>934</v>
      </c>
      <c r="C133" s="178" t="s">
        <v>944</v>
      </c>
      <c r="D133" s="179">
        <v>338.9221</v>
      </c>
      <c r="E133" s="179">
        <v>5570.37</v>
      </c>
      <c r="F133" s="39">
        <f>Table3236[[#This Row],[Single Family]]+Table3236[[#This Row],[2-4 Units]]+Table3236[[#This Row],[&gt;4 Units]]</f>
        <v>0</v>
      </c>
      <c r="G133" s="39"/>
      <c r="H133" s="39"/>
      <c r="I133" s="39"/>
      <c r="J133" s="132">
        <v>0</v>
      </c>
      <c r="K133" s="39">
        <f>SUM(Table3236[[#This Row],[Single Family ]:[&gt;4 Units ]])</f>
        <v>1</v>
      </c>
      <c r="L133" s="133">
        <v>1</v>
      </c>
      <c r="M133" s="133">
        <v>0</v>
      </c>
      <c r="N133" s="133">
        <v>0</v>
      </c>
      <c r="O133" s="134">
        <v>5570.37</v>
      </c>
      <c r="P133" s="243">
        <f>VLOOKUP(Table3236[[#This Row],[Census Tract]],'Population and Diversity Data'!$B$2:$K$823,10,FALSE)</f>
        <v>3</v>
      </c>
      <c r="Q133" s="244" t="str">
        <f>VLOOKUP(Table3236[[#This Row],[Census Tract]],'UI EnergyBurden'!$A$2:$B$184,2,FALSE)</f>
        <v>No</v>
      </c>
      <c r="R133" s="249">
        <f>VLOOKUP(Table3236[[#This Row],[Census Tract]],'Income and Housing Data'!$B$2:$D$823,3,FALSE)</f>
        <v>128667</v>
      </c>
      <c r="S133" s="250" t="str">
        <f>IF($U$7&lt;=Table3236[[#This Row],[Household Income]],IF(Table3236[[#This Row],[Household Income]]&lt;=$U$8, "Yes","No"),"No")</f>
        <v>No</v>
      </c>
    </row>
    <row r="134" spans="1:19" x14ac:dyDescent="0.25">
      <c r="A134" s="183">
        <v>9001090500</v>
      </c>
      <c r="B134" s="39" t="s">
        <v>3009</v>
      </c>
      <c r="C134" s="178" t="s">
        <v>944</v>
      </c>
      <c r="D134" s="179">
        <v>0</v>
      </c>
      <c r="E134" s="179">
        <v>0</v>
      </c>
      <c r="F134" s="39">
        <f>Table3236[[#This Row],[Single Family]]+Table3236[[#This Row],[2-4 Units]]+Table3236[[#This Row],[&gt;4 Units]]</f>
        <v>0</v>
      </c>
      <c r="G134" s="39"/>
      <c r="H134" s="39"/>
      <c r="I134" s="39"/>
      <c r="J134" s="132">
        <v>0</v>
      </c>
      <c r="K134" s="39">
        <f>SUM(Table3236[[#This Row],[Single Family ]:[&gt;4 Units ]])</f>
        <v>0</v>
      </c>
      <c r="L134" s="133"/>
      <c r="M134" s="133"/>
      <c r="N134" s="133"/>
      <c r="O134" s="134">
        <v>0</v>
      </c>
      <c r="P134" s="243">
        <f>VLOOKUP(Table3236[[#This Row],[Census Tract]],'Population and Diversity Data'!$B$2:$K$823,10,FALSE)</f>
        <v>3</v>
      </c>
      <c r="Q134" s="244" t="str">
        <f>VLOOKUP(Table3236[[#This Row],[Census Tract]],'UI EnergyBurden'!$A$2:$B$184,2,FALSE)</f>
        <v>No</v>
      </c>
      <c r="R134" s="249">
        <f>VLOOKUP(Table3236[[#This Row],[Census Tract]],'Income and Housing Data'!$B$2:$D$823,3,FALSE)</f>
        <v>128667</v>
      </c>
      <c r="S134" s="250" t="str">
        <f>IF($U$7&lt;=Table3236[[#This Row],[Household Income]],IF(Table3236[[#This Row],[Household Income]]&lt;=$U$8, "Yes","No"),"No")</f>
        <v>No</v>
      </c>
    </row>
    <row r="135" spans="1:19" x14ac:dyDescent="0.25">
      <c r="A135" s="183">
        <v>9001090500</v>
      </c>
      <c r="B135" s="39" t="s">
        <v>956</v>
      </c>
      <c r="C135" s="178" t="s">
        <v>944</v>
      </c>
      <c r="D135" s="179">
        <v>171.0093</v>
      </c>
      <c r="E135" s="179">
        <v>0</v>
      </c>
      <c r="F135" s="39">
        <f>Table3236[[#This Row],[Single Family]]+Table3236[[#This Row],[2-4 Units]]+Table3236[[#This Row],[&gt;4 Units]]</f>
        <v>0</v>
      </c>
      <c r="G135" s="39"/>
      <c r="H135" s="39"/>
      <c r="I135" s="39"/>
      <c r="J135" s="132">
        <v>0</v>
      </c>
      <c r="K135" s="39">
        <f>SUM(Table3236[[#This Row],[Single Family ]:[&gt;4 Units ]])</f>
        <v>0</v>
      </c>
      <c r="L135" s="133"/>
      <c r="M135" s="133"/>
      <c r="N135" s="133"/>
      <c r="O135" s="134">
        <v>0</v>
      </c>
      <c r="P135" s="243">
        <f>VLOOKUP(Table3236[[#This Row],[Census Tract]],'Population and Diversity Data'!$B$2:$K$823,10,FALSE)</f>
        <v>3</v>
      </c>
      <c r="Q135" s="244" t="str">
        <f>VLOOKUP(Table3236[[#This Row],[Census Tract]],'UI EnergyBurden'!$A$2:$B$184,2,FALSE)</f>
        <v>No</v>
      </c>
      <c r="R135" s="249">
        <f>VLOOKUP(Table3236[[#This Row],[Census Tract]],'Income and Housing Data'!$B$2:$D$823,3,FALSE)</f>
        <v>128667</v>
      </c>
      <c r="S135" s="250" t="str">
        <f>IF($U$7&lt;=Table3236[[#This Row],[Household Income]],IF(Table3236[[#This Row],[Household Income]]&lt;=$U$8, "Yes","No"),"No")</f>
        <v>No</v>
      </c>
    </row>
    <row r="136" spans="1:19" x14ac:dyDescent="0.25">
      <c r="A136" s="183">
        <v>9001090500</v>
      </c>
      <c r="B136" s="39" t="s">
        <v>2987</v>
      </c>
      <c r="C136" s="178" t="s">
        <v>944</v>
      </c>
      <c r="D136" s="179">
        <v>87751.845200000098</v>
      </c>
      <c r="E136" s="179">
        <v>41902.559999999998</v>
      </c>
      <c r="F136" s="39">
        <f>Table3236[[#This Row],[Single Family]]+Table3236[[#This Row],[2-4 Units]]+Table3236[[#This Row],[&gt;4 Units]]</f>
        <v>25</v>
      </c>
      <c r="G136" s="39">
        <v>25</v>
      </c>
      <c r="H136" s="39">
        <v>0</v>
      </c>
      <c r="I136" s="39">
        <v>0</v>
      </c>
      <c r="J136" s="132">
        <v>17328.66</v>
      </c>
      <c r="K136" s="39">
        <f>SUM(Table3236[[#This Row],[Single Family ]:[&gt;4 Units ]])</f>
        <v>6</v>
      </c>
      <c r="L136" s="133">
        <v>6</v>
      </c>
      <c r="M136" s="133">
        <v>0</v>
      </c>
      <c r="N136" s="133">
        <v>0</v>
      </c>
      <c r="O136" s="134">
        <v>24573.9</v>
      </c>
      <c r="P136" s="243">
        <f>VLOOKUP(Table3236[[#This Row],[Census Tract]],'Population and Diversity Data'!$B$2:$K$823,10,FALSE)</f>
        <v>3</v>
      </c>
      <c r="Q136" s="244" t="str">
        <f>VLOOKUP(Table3236[[#This Row],[Census Tract]],'UI EnergyBurden'!$A$2:$B$184,2,FALSE)</f>
        <v>No</v>
      </c>
      <c r="R136" s="249">
        <f>VLOOKUP(Table3236[[#This Row],[Census Tract]],'Income and Housing Data'!$B$2:$D$823,3,FALSE)</f>
        <v>128667</v>
      </c>
      <c r="S136" s="250" t="str">
        <f>IF($U$7&lt;=Table3236[[#This Row],[Household Income]],IF(Table3236[[#This Row],[Household Income]]&lt;=$U$8, "Yes","No"),"No")</f>
        <v>No</v>
      </c>
    </row>
    <row r="137" spans="1:19" x14ac:dyDescent="0.25">
      <c r="A137" s="183">
        <v>9001090600</v>
      </c>
      <c r="B137" s="39" t="s">
        <v>3009</v>
      </c>
      <c r="C137" s="178" t="s">
        <v>944</v>
      </c>
      <c r="D137" s="179">
        <v>46.748899999999999</v>
      </c>
      <c r="E137" s="179">
        <v>690.47</v>
      </c>
      <c r="F137" s="39">
        <f>Table3236[[#This Row],[Single Family]]+Table3236[[#This Row],[2-4 Units]]+Table3236[[#This Row],[&gt;4 Units]]</f>
        <v>1</v>
      </c>
      <c r="G137" s="39">
        <v>1</v>
      </c>
      <c r="H137" s="39">
        <v>0</v>
      </c>
      <c r="I137" s="39">
        <v>0</v>
      </c>
      <c r="J137" s="132">
        <v>690.47</v>
      </c>
      <c r="K137" s="39">
        <f>SUM(Table3236[[#This Row],[Single Family ]:[&gt;4 Units ]])</f>
        <v>0</v>
      </c>
      <c r="L137" s="133"/>
      <c r="M137" s="133"/>
      <c r="N137" s="133"/>
      <c r="O137" s="134">
        <v>0</v>
      </c>
      <c r="P137" s="243">
        <f>VLOOKUP(Table3236[[#This Row],[Census Tract]],'Population and Diversity Data'!$B$2:$K$823,10,FALSE)</f>
        <v>2</v>
      </c>
      <c r="Q137" s="244" t="str">
        <f>VLOOKUP(Table3236[[#This Row],[Census Tract]],'UI EnergyBurden'!$A$2:$B$184,2,FALSE)</f>
        <v>No</v>
      </c>
      <c r="R137" s="249">
        <f>VLOOKUP(Table3236[[#This Row],[Census Tract]],'Income and Housing Data'!$B$2:$D$823,3,FALSE)</f>
        <v>100357</v>
      </c>
      <c r="S137" s="250" t="str">
        <f>IF($U$7&lt;=Table3236[[#This Row],[Household Income]],IF(Table3236[[#This Row],[Household Income]]&lt;=$U$8, "Yes","No"),"No")</f>
        <v>No</v>
      </c>
    </row>
    <row r="138" spans="1:19" x14ac:dyDescent="0.25">
      <c r="A138" s="183">
        <v>9001090600</v>
      </c>
      <c r="B138" s="39" t="s">
        <v>2987</v>
      </c>
      <c r="C138" s="178" t="s">
        <v>944</v>
      </c>
      <c r="D138" s="179">
        <v>74716.111200000203</v>
      </c>
      <c r="E138" s="179">
        <v>29909.49</v>
      </c>
      <c r="F138" s="39">
        <f>Table3236[[#This Row],[Single Family]]+Table3236[[#This Row],[2-4 Units]]+Table3236[[#This Row],[&gt;4 Units]]</f>
        <v>16</v>
      </c>
      <c r="G138" s="39">
        <v>16</v>
      </c>
      <c r="H138" s="39">
        <v>0</v>
      </c>
      <c r="I138" s="39">
        <v>0</v>
      </c>
      <c r="J138" s="132">
        <v>18720.04</v>
      </c>
      <c r="K138" s="39">
        <f>SUM(Table3236[[#This Row],[Single Family ]:[&gt;4 Units ]])</f>
        <v>3</v>
      </c>
      <c r="L138" s="133">
        <v>3</v>
      </c>
      <c r="M138" s="133">
        <v>0</v>
      </c>
      <c r="N138" s="133">
        <v>0</v>
      </c>
      <c r="O138" s="134">
        <v>3439.45</v>
      </c>
      <c r="P138" s="243">
        <f>VLOOKUP(Table3236[[#This Row],[Census Tract]],'Population and Diversity Data'!$B$2:$K$823,10,FALSE)</f>
        <v>2</v>
      </c>
      <c r="Q138" s="244" t="str">
        <f>VLOOKUP(Table3236[[#This Row],[Census Tract]],'UI EnergyBurden'!$A$2:$B$184,2,FALSE)</f>
        <v>No</v>
      </c>
      <c r="R138" s="249">
        <f>VLOOKUP(Table3236[[#This Row],[Census Tract]],'Income and Housing Data'!$B$2:$D$823,3,FALSE)</f>
        <v>100357</v>
      </c>
      <c r="S138" s="250" t="str">
        <f>IF($U$7&lt;=Table3236[[#This Row],[Household Income]],IF(Table3236[[#This Row],[Household Income]]&lt;=$U$8, "Yes","No"),"No")</f>
        <v>No</v>
      </c>
    </row>
    <row r="139" spans="1:19" x14ac:dyDescent="0.25">
      <c r="A139" s="183">
        <v>9001090700</v>
      </c>
      <c r="B139" s="39" t="s">
        <v>934</v>
      </c>
      <c r="C139" s="178" t="s">
        <v>944</v>
      </c>
      <c r="D139" s="179">
        <v>0</v>
      </c>
      <c r="E139" s="179">
        <v>0</v>
      </c>
      <c r="F139" s="39">
        <f>Table3236[[#This Row],[Single Family]]+Table3236[[#This Row],[2-4 Units]]+Table3236[[#This Row],[&gt;4 Units]]</f>
        <v>0</v>
      </c>
      <c r="G139" s="39"/>
      <c r="H139" s="39"/>
      <c r="I139" s="39"/>
      <c r="J139" s="132">
        <v>0</v>
      </c>
      <c r="K139" s="39">
        <f>SUM(Table3236[[#This Row],[Single Family ]:[&gt;4 Units ]])</f>
        <v>0</v>
      </c>
      <c r="L139" s="133"/>
      <c r="M139" s="133"/>
      <c r="N139" s="133"/>
      <c r="O139" s="134">
        <v>0</v>
      </c>
      <c r="P139" s="243">
        <f>VLOOKUP(Table3236[[#This Row],[Census Tract]],'Population and Diversity Data'!$B$2:$K$823,10,FALSE)</f>
        <v>3</v>
      </c>
      <c r="Q139" s="244" t="str">
        <f>VLOOKUP(Table3236[[#This Row],[Census Tract]],'UI EnergyBurden'!$A$2:$B$184,2,FALSE)</f>
        <v>No</v>
      </c>
      <c r="R139" s="249">
        <f>VLOOKUP(Table3236[[#This Row],[Census Tract]],'Income and Housing Data'!$B$2:$D$823,3,FALSE)</f>
        <v>163315</v>
      </c>
      <c r="S139" s="250" t="str">
        <f>IF($U$7&lt;=Table3236[[#This Row],[Household Income]],IF(Table3236[[#This Row],[Household Income]]&lt;=$U$8, "Yes","No"),"No")</f>
        <v>No</v>
      </c>
    </row>
    <row r="140" spans="1:19" x14ac:dyDescent="0.25">
      <c r="A140" s="183">
        <v>9001090700</v>
      </c>
      <c r="B140" s="39" t="s">
        <v>3009</v>
      </c>
      <c r="C140" s="178" t="s">
        <v>944</v>
      </c>
      <c r="D140" s="179">
        <v>415.14870000000002</v>
      </c>
      <c r="E140" s="179">
        <v>-1200</v>
      </c>
      <c r="F140" s="39">
        <f>Table3236[[#This Row],[Single Family]]+Table3236[[#This Row],[2-4 Units]]+Table3236[[#This Row],[&gt;4 Units]]</f>
        <v>0</v>
      </c>
      <c r="G140" s="39"/>
      <c r="H140" s="39"/>
      <c r="I140" s="39"/>
      <c r="J140" s="132">
        <v>0</v>
      </c>
      <c r="K140" s="39">
        <f>SUM(Table3236[[#This Row],[Single Family ]:[&gt;4 Units ]])</f>
        <v>0</v>
      </c>
      <c r="L140" s="133"/>
      <c r="M140" s="133"/>
      <c r="N140" s="133"/>
      <c r="O140" s="134">
        <v>0</v>
      </c>
      <c r="P140" s="243">
        <f>VLOOKUP(Table3236[[#This Row],[Census Tract]],'Population and Diversity Data'!$B$2:$K$823,10,FALSE)</f>
        <v>3</v>
      </c>
      <c r="Q140" s="244" t="str">
        <f>VLOOKUP(Table3236[[#This Row],[Census Tract]],'UI EnergyBurden'!$A$2:$B$184,2,FALSE)</f>
        <v>No</v>
      </c>
      <c r="R140" s="249">
        <f>VLOOKUP(Table3236[[#This Row],[Census Tract]],'Income and Housing Data'!$B$2:$D$823,3,FALSE)</f>
        <v>163315</v>
      </c>
      <c r="S140" s="250" t="str">
        <f>IF($U$7&lt;=Table3236[[#This Row],[Household Income]],IF(Table3236[[#This Row],[Household Income]]&lt;=$U$8, "Yes","No"),"No")</f>
        <v>No</v>
      </c>
    </row>
    <row r="141" spans="1:19" x14ac:dyDescent="0.25">
      <c r="A141" s="183">
        <v>9001090700</v>
      </c>
      <c r="B141" s="39" t="s">
        <v>2987</v>
      </c>
      <c r="C141" s="178" t="s">
        <v>944</v>
      </c>
      <c r="D141" s="179">
        <v>109772.8824</v>
      </c>
      <c r="E141" s="179">
        <v>36474.04</v>
      </c>
      <c r="F141" s="39">
        <f>Table3236[[#This Row],[Single Family]]+Table3236[[#This Row],[2-4 Units]]+Table3236[[#This Row],[&gt;4 Units]]</f>
        <v>25</v>
      </c>
      <c r="G141" s="39">
        <v>25</v>
      </c>
      <c r="H141" s="39">
        <v>0</v>
      </c>
      <c r="I141" s="39">
        <v>0</v>
      </c>
      <c r="J141" s="132">
        <v>19809.03</v>
      </c>
      <c r="K141" s="39">
        <f>SUM(Table3236[[#This Row],[Single Family ]:[&gt;4 Units ]])</f>
        <v>4</v>
      </c>
      <c r="L141" s="133">
        <v>4</v>
      </c>
      <c r="M141" s="133">
        <v>0</v>
      </c>
      <c r="N141" s="133">
        <v>0</v>
      </c>
      <c r="O141" s="134">
        <v>16665.009999999998</v>
      </c>
      <c r="P141" s="243">
        <f>VLOOKUP(Table3236[[#This Row],[Census Tract]],'Population and Diversity Data'!$B$2:$K$823,10,FALSE)</f>
        <v>3</v>
      </c>
      <c r="Q141" s="244" t="str">
        <f>VLOOKUP(Table3236[[#This Row],[Census Tract]],'UI EnergyBurden'!$A$2:$B$184,2,FALSE)</f>
        <v>No</v>
      </c>
      <c r="R141" s="249">
        <f>VLOOKUP(Table3236[[#This Row],[Census Tract]],'Income and Housing Data'!$B$2:$D$823,3,FALSE)</f>
        <v>163315</v>
      </c>
      <c r="S141" s="250" t="str">
        <f>IF($U$7&lt;=Table3236[[#This Row],[Household Income]],IF(Table3236[[#This Row],[Household Income]]&lt;=$U$8, "Yes","No"),"No")</f>
        <v>No</v>
      </c>
    </row>
    <row r="142" spans="1:19" x14ac:dyDescent="0.25">
      <c r="A142" s="183">
        <v>9001100100</v>
      </c>
      <c r="B142" s="39" t="s">
        <v>3009</v>
      </c>
      <c r="C142" s="178" t="s">
        <v>944</v>
      </c>
      <c r="D142" s="179">
        <v>278.06810000000002</v>
      </c>
      <c r="E142" s="179">
        <v>0</v>
      </c>
      <c r="F142" s="39">
        <f>Table3236[[#This Row],[Single Family]]+Table3236[[#This Row],[2-4 Units]]+Table3236[[#This Row],[&gt;4 Units]]</f>
        <v>0</v>
      </c>
      <c r="G142" s="39"/>
      <c r="H142" s="39"/>
      <c r="I142" s="39"/>
      <c r="J142" s="132">
        <v>0</v>
      </c>
      <c r="K142" s="39">
        <f>SUM(Table3236[[#This Row],[Single Family ]:[&gt;4 Units ]])</f>
        <v>0</v>
      </c>
      <c r="L142" s="133"/>
      <c r="M142" s="133"/>
      <c r="N142" s="133"/>
      <c r="O142" s="134">
        <v>0</v>
      </c>
      <c r="P142" s="243">
        <f>VLOOKUP(Table3236[[#This Row],[Census Tract]],'Population and Diversity Data'!$B$2:$K$823,10,FALSE)</f>
        <v>3</v>
      </c>
      <c r="Q142" s="244" t="str">
        <f>VLOOKUP(Table3236[[#This Row],[Census Tract]],'UI EnergyBurden'!$A$2:$B$184,2,FALSE)</f>
        <v>No</v>
      </c>
      <c r="R142" s="249">
        <f>VLOOKUP(Table3236[[#This Row],[Census Tract]],'Income and Housing Data'!$B$2:$D$823,3,FALSE)</f>
        <v>128056</v>
      </c>
      <c r="S142" s="250" t="str">
        <f>IF($U$7&lt;=Table3236[[#This Row],[Household Income]],IF(Table3236[[#This Row],[Household Income]]&lt;=$U$8, "Yes","No"),"No")</f>
        <v>No</v>
      </c>
    </row>
    <row r="143" spans="1:19" x14ac:dyDescent="0.25">
      <c r="A143" s="183">
        <v>9001100100</v>
      </c>
      <c r="B143" s="39" t="s">
        <v>2987</v>
      </c>
      <c r="C143" s="178" t="s">
        <v>944</v>
      </c>
      <c r="D143" s="179">
        <v>84.520700000000005</v>
      </c>
      <c r="E143" s="179">
        <v>0</v>
      </c>
      <c r="F143" s="39">
        <f>Table3236[[#This Row],[Single Family]]+Table3236[[#This Row],[2-4 Units]]+Table3236[[#This Row],[&gt;4 Units]]</f>
        <v>0</v>
      </c>
      <c r="G143" s="39"/>
      <c r="H143" s="39"/>
      <c r="I143" s="39"/>
      <c r="J143" s="132">
        <v>0</v>
      </c>
      <c r="K143" s="39">
        <f>SUM(Table3236[[#This Row],[Single Family ]:[&gt;4 Units ]])</f>
        <v>0</v>
      </c>
      <c r="L143" s="133"/>
      <c r="M143" s="133"/>
      <c r="N143" s="133"/>
      <c r="O143" s="134">
        <v>0</v>
      </c>
      <c r="P143" s="243">
        <f>VLOOKUP(Table3236[[#This Row],[Census Tract]],'Population and Diversity Data'!$B$2:$K$823,10,FALSE)</f>
        <v>3</v>
      </c>
      <c r="Q143" s="244" t="str">
        <f>VLOOKUP(Table3236[[#This Row],[Census Tract]],'UI EnergyBurden'!$A$2:$B$184,2,FALSE)</f>
        <v>No</v>
      </c>
      <c r="R143" s="249">
        <f>VLOOKUP(Table3236[[#This Row],[Census Tract]],'Income and Housing Data'!$B$2:$D$823,3,FALSE)</f>
        <v>128056</v>
      </c>
      <c r="S143" s="250" t="str">
        <f>IF($U$7&lt;=Table3236[[#This Row],[Household Income]],IF(Table3236[[#This Row],[Household Income]]&lt;=$U$8, "Yes","No"),"No")</f>
        <v>No</v>
      </c>
    </row>
    <row r="144" spans="1:19" x14ac:dyDescent="0.25">
      <c r="A144" s="183">
        <v>9001100200</v>
      </c>
      <c r="B144" s="39" t="s">
        <v>3009</v>
      </c>
      <c r="C144" s="178" t="s">
        <v>944</v>
      </c>
      <c r="D144" s="179">
        <v>569.35</v>
      </c>
      <c r="E144" s="179">
        <v>0</v>
      </c>
      <c r="F144" s="39">
        <f>Table3236[[#This Row],[Single Family]]+Table3236[[#This Row],[2-4 Units]]+Table3236[[#This Row],[&gt;4 Units]]</f>
        <v>0</v>
      </c>
      <c r="G144" s="39"/>
      <c r="H144" s="39"/>
      <c r="I144" s="39"/>
      <c r="J144" s="132">
        <v>0</v>
      </c>
      <c r="K144" s="39">
        <f>SUM(Table3236[[#This Row],[Single Family ]:[&gt;4 Units ]])</f>
        <v>0</v>
      </c>
      <c r="L144" s="133"/>
      <c r="M144" s="133"/>
      <c r="N144" s="133"/>
      <c r="O144" s="134">
        <v>0</v>
      </c>
      <c r="P144" s="243">
        <f>VLOOKUP(Table3236[[#This Row],[Census Tract]],'Population and Diversity Data'!$B$2:$K$823,10,FALSE)</f>
        <v>4</v>
      </c>
      <c r="Q144" s="244" t="str">
        <f>VLOOKUP(Table3236[[#This Row],[Census Tract]],'UI EnergyBurden'!$A$2:$B$184,2,FALSE)</f>
        <v>No</v>
      </c>
      <c r="R144" s="249">
        <f>VLOOKUP(Table3236[[#This Row],[Census Tract]],'Income and Housing Data'!$B$2:$D$823,3,FALSE)</f>
        <v>111793</v>
      </c>
      <c r="S144" s="250" t="str">
        <f>IF($U$7&lt;=Table3236[[#This Row],[Household Income]],IF(Table3236[[#This Row],[Household Income]]&lt;=$U$8, "Yes","No"),"No")</f>
        <v>No</v>
      </c>
    </row>
    <row r="145" spans="1:19" x14ac:dyDescent="0.25">
      <c r="A145" s="183">
        <v>9001105100</v>
      </c>
      <c r="B145" s="39" t="s">
        <v>2981</v>
      </c>
      <c r="C145" s="178" t="s">
        <v>944</v>
      </c>
      <c r="D145" s="179">
        <v>107348.76489999999</v>
      </c>
      <c r="E145" s="179">
        <v>42369.84</v>
      </c>
      <c r="F145" s="39">
        <f>Table3236[[#This Row],[Single Family]]+Table3236[[#This Row],[2-4 Units]]+Table3236[[#This Row],[&gt;4 Units]]</f>
        <v>23</v>
      </c>
      <c r="G145" s="39">
        <v>23</v>
      </c>
      <c r="H145" s="39">
        <v>0</v>
      </c>
      <c r="I145" s="39">
        <v>0</v>
      </c>
      <c r="J145" s="132">
        <v>41169.839999999997</v>
      </c>
      <c r="K145" s="39">
        <f>SUM(Table3236[[#This Row],[Single Family ]:[&gt;4 Units ]])</f>
        <v>0</v>
      </c>
      <c r="L145" s="133"/>
      <c r="M145" s="133"/>
      <c r="N145" s="133"/>
      <c r="O145" s="134">
        <v>0</v>
      </c>
      <c r="P145" s="243">
        <f>VLOOKUP(Table3236[[#This Row],[Census Tract]],'Population and Diversity Data'!$B$2:$K$823,10,FALSE)</f>
        <v>1</v>
      </c>
      <c r="Q145" s="244" t="str">
        <f>VLOOKUP(Table3236[[#This Row],[Census Tract]],'UI EnergyBurden'!$A$2:$B$184,2,FALSE)</f>
        <v>No</v>
      </c>
      <c r="R145" s="249">
        <f>VLOOKUP(Table3236[[#This Row],[Census Tract]],'Income and Housing Data'!$B$2:$D$823,3,FALSE)</f>
        <v>143182</v>
      </c>
      <c r="S145" s="250" t="str">
        <f>IF($U$7&lt;=Table3236[[#This Row],[Household Income]],IF(Table3236[[#This Row],[Household Income]]&lt;=$U$8, "Yes","No"),"No")</f>
        <v>No</v>
      </c>
    </row>
    <row r="146" spans="1:19" x14ac:dyDescent="0.25">
      <c r="A146" s="183">
        <v>9001105100</v>
      </c>
      <c r="B146" s="39" t="s">
        <v>2985</v>
      </c>
      <c r="C146" s="178" t="s">
        <v>944</v>
      </c>
      <c r="D146" s="179">
        <v>155.9145</v>
      </c>
      <c r="E146" s="179">
        <v>0</v>
      </c>
      <c r="F146" s="39">
        <f>Table3236[[#This Row],[Single Family]]+Table3236[[#This Row],[2-4 Units]]+Table3236[[#This Row],[&gt;4 Units]]</f>
        <v>0</v>
      </c>
      <c r="G146" s="39"/>
      <c r="H146" s="39"/>
      <c r="I146" s="39"/>
      <c r="J146" s="132">
        <v>0</v>
      </c>
      <c r="K146" s="39">
        <f>SUM(Table3236[[#This Row],[Single Family ]:[&gt;4 Units ]])</f>
        <v>0</v>
      </c>
      <c r="L146" s="133"/>
      <c r="M146" s="133"/>
      <c r="N146" s="133"/>
      <c r="O146" s="134">
        <v>0</v>
      </c>
      <c r="P146" s="243">
        <f>VLOOKUP(Table3236[[#This Row],[Census Tract]],'Population and Diversity Data'!$B$2:$K$823,10,FALSE)</f>
        <v>1</v>
      </c>
      <c r="Q146" s="244" t="str">
        <f>VLOOKUP(Table3236[[#This Row],[Census Tract]],'UI EnergyBurden'!$A$2:$B$184,2,FALSE)</f>
        <v>No</v>
      </c>
      <c r="R146" s="249">
        <f>VLOOKUP(Table3236[[#This Row],[Census Tract]],'Income and Housing Data'!$B$2:$D$823,3,FALSE)</f>
        <v>143182</v>
      </c>
      <c r="S146" s="250" t="str">
        <f>IF($U$7&lt;=Table3236[[#This Row],[Household Income]],IF(Table3236[[#This Row],[Household Income]]&lt;=$U$8, "Yes","No"),"No")</f>
        <v>No</v>
      </c>
    </row>
    <row r="147" spans="1:19" x14ac:dyDescent="0.25">
      <c r="A147" s="183">
        <v>9001105100</v>
      </c>
      <c r="B147" s="39" t="s">
        <v>2987</v>
      </c>
      <c r="C147" s="178" t="s">
        <v>944</v>
      </c>
      <c r="D147" s="179">
        <v>416.27140000000003</v>
      </c>
      <c r="E147" s="179">
        <v>0</v>
      </c>
      <c r="F147" s="39">
        <f>Table3236[[#This Row],[Single Family]]+Table3236[[#This Row],[2-4 Units]]+Table3236[[#This Row],[&gt;4 Units]]</f>
        <v>0</v>
      </c>
      <c r="G147" s="39"/>
      <c r="H147" s="39"/>
      <c r="I147" s="39"/>
      <c r="J147" s="132">
        <v>0</v>
      </c>
      <c r="K147" s="39">
        <f>SUM(Table3236[[#This Row],[Single Family ]:[&gt;4 Units ]])</f>
        <v>0</v>
      </c>
      <c r="L147" s="133"/>
      <c r="M147" s="133"/>
      <c r="N147" s="133"/>
      <c r="O147" s="134">
        <v>0</v>
      </c>
      <c r="P147" s="243">
        <f>VLOOKUP(Table3236[[#This Row],[Census Tract]],'Population and Diversity Data'!$B$2:$K$823,10,FALSE)</f>
        <v>1</v>
      </c>
      <c r="Q147" s="244" t="str">
        <f>VLOOKUP(Table3236[[#This Row],[Census Tract]],'UI EnergyBurden'!$A$2:$B$184,2,FALSE)</f>
        <v>No</v>
      </c>
      <c r="R147" s="249">
        <f>VLOOKUP(Table3236[[#This Row],[Census Tract]],'Income and Housing Data'!$B$2:$D$823,3,FALSE)</f>
        <v>143182</v>
      </c>
      <c r="S147" s="250" t="str">
        <f>IF($U$7&lt;=Table3236[[#This Row],[Household Income]],IF(Table3236[[#This Row],[Household Income]]&lt;=$U$8, "Yes","No"),"No")</f>
        <v>No</v>
      </c>
    </row>
    <row r="148" spans="1:19" x14ac:dyDescent="0.25">
      <c r="A148" s="183">
        <v>9001105200</v>
      </c>
      <c r="B148" s="39" t="s">
        <v>2981</v>
      </c>
      <c r="C148" s="178" t="s">
        <v>944</v>
      </c>
      <c r="D148" s="179">
        <v>95201.057400000005</v>
      </c>
      <c r="E148" s="179">
        <v>23739.83</v>
      </c>
      <c r="F148" s="39">
        <f>Table3236[[#This Row],[Single Family]]+Table3236[[#This Row],[2-4 Units]]+Table3236[[#This Row],[&gt;4 Units]]</f>
        <v>17</v>
      </c>
      <c r="G148" s="39">
        <v>17</v>
      </c>
      <c r="H148" s="39">
        <v>0</v>
      </c>
      <c r="I148" s="39">
        <v>0</v>
      </c>
      <c r="J148" s="132">
        <v>22428.720000000001</v>
      </c>
      <c r="K148" s="39">
        <f>SUM(Table3236[[#This Row],[Single Family ]:[&gt;4 Units ]])</f>
        <v>1</v>
      </c>
      <c r="L148" s="133">
        <v>1</v>
      </c>
      <c r="M148" s="133">
        <v>0</v>
      </c>
      <c r="N148" s="133">
        <v>0</v>
      </c>
      <c r="O148" s="134">
        <v>1311.11</v>
      </c>
      <c r="P148" s="243">
        <f>VLOOKUP(Table3236[[#This Row],[Census Tract]],'Population and Diversity Data'!$B$2:$K$823,10,FALSE)</f>
        <v>3</v>
      </c>
      <c r="Q148" s="244" t="str">
        <f>VLOOKUP(Table3236[[#This Row],[Census Tract]],'UI EnergyBurden'!$A$2:$B$184,2,FALSE)</f>
        <v>No</v>
      </c>
      <c r="R148" s="249">
        <f>VLOOKUP(Table3236[[#This Row],[Census Tract]],'Income and Housing Data'!$B$2:$D$823,3,FALSE)</f>
        <v>159338</v>
      </c>
      <c r="S148" s="250" t="str">
        <f>IF($U$7&lt;=Table3236[[#This Row],[Household Income]],IF(Table3236[[#This Row],[Household Income]]&lt;=$U$8, "Yes","No"),"No")</f>
        <v>No</v>
      </c>
    </row>
    <row r="149" spans="1:19" x14ac:dyDescent="0.25">
      <c r="A149" s="183">
        <v>9001105200</v>
      </c>
      <c r="B149" s="39" t="s">
        <v>2987</v>
      </c>
      <c r="C149" s="178" t="s">
        <v>944</v>
      </c>
      <c r="D149" s="179">
        <v>85.672499999999999</v>
      </c>
      <c r="E149" s="179">
        <v>0</v>
      </c>
      <c r="F149" s="39">
        <f>Table3236[[#This Row],[Single Family]]+Table3236[[#This Row],[2-4 Units]]+Table3236[[#This Row],[&gt;4 Units]]</f>
        <v>0</v>
      </c>
      <c r="G149" s="39"/>
      <c r="H149" s="39"/>
      <c r="I149" s="39"/>
      <c r="J149" s="132">
        <v>0</v>
      </c>
      <c r="K149" s="39">
        <f>SUM(Table3236[[#This Row],[Single Family ]:[&gt;4 Units ]])</f>
        <v>0</v>
      </c>
      <c r="L149" s="133"/>
      <c r="M149" s="133"/>
      <c r="N149" s="133"/>
      <c r="O149" s="134">
        <v>0</v>
      </c>
      <c r="P149" s="243">
        <f>VLOOKUP(Table3236[[#This Row],[Census Tract]],'Population and Diversity Data'!$B$2:$K$823,10,FALSE)</f>
        <v>3</v>
      </c>
      <c r="Q149" s="244" t="str">
        <f>VLOOKUP(Table3236[[#This Row],[Census Tract]],'UI EnergyBurden'!$A$2:$B$184,2,FALSE)</f>
        <v>No</v>
      </c>
      <c r="R149" s="249">
        <f>VLOOKUP(Table3236[[#This Row],[Census Tract]],'Income and Housing Data'!$B$2:$D$823,3,FALSE)</f>
        <v>159338</v>
      </c>
      <c r="S149" s="250" t="str">
        <f>IF($U$7&lt;=Table3236[[#This Row],[Household Income]],IF(Table3236[[#This Row],[Household Income]]&lt;=$U$8, "Yes","No"),"No")</f>
        <v>No</v>
      </c>
    </row>
    <row r="150" spans="1:19" x14ac:dyDescent="0.25">
      <c r="A150" s="183">
        <v>9001110100</v>
      </c>
      <c r="B150" s="39" t="s">
        <v>3009</v>
      </c>
      <c r="C150" s="178" t="s">
        <v>944</v>
      </c>
      <c r="D150" s="179">
        <v>47814.0262</v>
      </c>
      <c r="E150" s="179">
        <v>-4972.1099999999997</v>
      </c>
      <c r="F150" s="39">
        <f>Table3236[[#This Row],[Single Family]]+Table3236[[#This Row],[2-4 Units]]+Table3236[[#This Row],[&gt;4 Units]]</f>
        <v>2</v>
      </c>
      <c r="G150" s="39">
        <v>2</v>
      </c>
      <c r="H150" s="39">
        <v>0</v>
      </c>
      <c r="I150" s="39">
        <v>0</v>
      </c>
      <c r="J150" s="132">
        <v>4192.8900000000003</v>
      </c>
      <c r="K150" s="39">
        <f>SUM(Table3236[[#This Row],[Single Family ]:[&gt;4 Units ]])</f>
        <v>0</v>
      </c>
      <c r="L150" s="133"/>
      <c r="M150" s="133"/>
      <c r="N150" s="133"/>
      <c r="O150" s="134">
        <v>0</v>
      </c>
      <c r="P150" s="243">
        <f>VLOOKUP(Table3236[[#This Row],[Census Tract]],'Population and Diversity Data'!$B$2:$K$823,10,FALSE)</f>
        <v>3</v>
      </c>
      <c r="Q150" s="244" t="str">
        <f>VLOOKUP(Table3236[[#This Row],[Census Tract]],'UI EnergyBurden'!$A$2:$B$184,2,FALSE)</f>
        <v>No</v>
      </c>
      <c r="R150" s="249">
        <f>VLOOKUP(Table3236[[#This Row],[Census Tract]],'Income and Housing Data'!$B$2:$D$823,3,FALSE)</f>
        <v>58875</v>
      </c>
      <c r="S150" s="250" t="str">
        <f>IF($U$7&lt;=Table3236[[#This Row],[Household Income]],IF(Table3236[[#This Row],[Household Income]]&lt;=$U$8, "Yes","No"),"No")</f>
        <v>Yes</v>
      </c>
    </row>
    <row r="151" spans="1:19" x14ac:dyDescent="0.25">
      <c r="A151" s="183">
        <v>9001110201</v>
      </c>
      <c r="B151" s="39" t="s">
        <v>3009</v>
      </c>
      <c r="C151" s="178" t="s">
        <v>944</v>
      </c>
      <c r="D151" s="179">
        <v>91460.939399999901</v>
      </c>
      <c r="E151" s="179">
        <v>53772.12</v>
      </c>
      <c r="F151" s="39">
        <f>Table3236[[#This Row],[Single Family]]+Table3236[[#This Row],[2-4 Units]]+Table3236[[#This Row],[&gt;4 Units]]</f>
        <v>24</v>
      </c>
      <c r="G151" s="39">
        <v>24</v>
      </c>
      <c r="H151" s="39">
        <v>0</v>
      </c>
      <c r="I151" s="39">
        <v>0</v>
      </c>
      <c r="J151" s="132">
        <v>27166.02</v>
      </c>
      <c r="K151" s="39">
        <f>SUM(Table3236[[#This Row],[Single Family ]:[&gt;4 Units ]])</f>
        <v>6</v>
      </c>
      <c r="L151" s="133">
        <v>6</v>
      </c>
      <c r="M151" s="133">
        <v>0</v>
      </c>
      <c r="N151" s="133">
        <v>0</v>
      </c>
      <c r="O151" s="134">
        <v>17461.099999999999</v>
      </c>
      <c r="P151" s="243">
        <f>VLOOKUP(Table3236[[#This Row],[Census Tract]],'Population and Diversity Data'!$B$2:$K$823,10,FALSE)</f>
        <v>4</v>
      </c>
      <c r="Q151" s="244" t="str">
        <f>VLOOKUP(Table3236[[#This Row],[Census Tract]],'UI EnergyBurden'!$A$2:$B$184,2,FALSE)</f>
        <v>No</v>
      </c>
      <c r="R151" s="249">
        <f>VLOOKUP(Table3236[[#This Row],[Census Tract]],'Income and Housing Data'!$B$2:$D$823,3,FALSE)</f>
        <v>90563</v>
      </c>
      <c r="S151" s="250" t="str">
        <f>IF($U$7&lt;=Table3236[[#This Row],[Household Income]],IF(Table3236[[#This Row],[Household Income]]&lt;=$U$8, "Yes","No"),"No")</f>
        <v>No</v>
      </c>
    </row>
    <row r="152" spans="1:19" x14ac:dyDescent="0.25">
      <c r="A152" s="183">
        <v>9001110202</v>
      </c>
      <c r="B152" s="39" t="s">
        <v>3009</v>
      </c>
      <c r="C152" s="178" t="s">
        <v>944</v>
      </c>
      <c r="D152" s="179">
        <v>88933.272799999802</v>
      </c>
      <c r="E152" s="179">
        <v>62510.7</v>
      </c>
      <c r="F152" s="39">
        <f>Table3236[[#This Row],[Single Family]]+Table3236[[#This Row],[2-4 Units]]+Table3236[[#This Row],[&gt;4 Units]]</f>
        <v>25</v>
      </c>
      <c r="G152" s="39">
        <v>24</v>
      </c>
      <c r="H152" s="39">
        <v>1</v>
      </c>
      <c r="I152" s="39">
        <v>0</v>
      </c>
      <c r="J152" s="132">
        <v>39263.410000000003</v>
      </c>
      <c r="K152" s="39">
        <f>SUM(Table3236[[#This Row],[Single Family ]:[&gt;4 Units ]])</f>
        <v>6</v>
      </c>
      <c r="L152" s="133">
        <v>4</v>
      </c>
      <c r="M152" s="133">
        <v>2</v>
      </c>
      <c r="N152" s="133">
        <v>0</v>
      </c>
      <c r="O152" s="134">
        <v>23247.29</v>
      </c>
      <c r="P152" s="243">
        <f>VLOOKUP(Table3236[[#This Row],[Census Tract]],'Population and Diversity Data'!$B$2:$K$823,10,FALSE)</f>
        <v>2</v>
      </c>
      <c r="Q152" s="244" t="str">
        <f>VLOOKUP(Table3236[[#This Row],[Census Tract]],'UI EnergyBurden'!$A$2:$B$184,2,FALSE)</f>
        <v>No</v>
      </c>
      <c r="R152" s="249">
        <f>VLOOKUP(Table3236[[#This Row],[Census Tract]],'Income and Housing Data'!$B$2:$D$823,3,FALSE)</f>
        <v>78958</v>
      </c>
      <c r="S152" s="250" t="str">
        <f>IF($U$7&lt;=Table3236[[#This Row],[Household Income]],IF(Table3236[[#This Row],[Household Income]]&lt;=$U$8, "Yes","No"),"No")</f>
        <v>No</v>
      </c>
    </row>
    <row r="153" spans="1:19" x14ac:dyDescent="0.25">
      <c r="A153" s="183">
        <v>9001110202</v>
      </c>
      <c r="B153" s="39" t="s">
        <v>956</v>
      </c>
      <c r="C153" s="178" t="s">
        <v>944</v>
      </c>
      <c r="D153" s="179">
        <v>112.0247</v>
      </c>
      <c r="E153" s="179">
        <v>0</v>
      </c>
      <c r="F153" s="39">
        <f>Table3236[[#This Row],[Single Family]]+Table3236[[#This Row],[2-4 Units]]+Table3236[[#This Row],[&gt;4 Units]]</f>
        <v>0</v>
      </c>
      <c r="G153" s="39"/>
      <c r="H153" s="39"/>
      <c r="I153" s="39"/>
      <c r="J153" s="132">
        <v>0</v>
      </c>
      <c r="K153" s="39">
        <f>SUM(Table3236[[#This Row],[Single Family ]:[&gt;4 Units ]])</f>
        <v>0</v>
      </c>
      <c r="L153" s="133"/>
      <c r="M153" s="133"/>
      <c r="N153" s="133"/>
      <c r="O153" s="134">
        <v>0</v>
      </c>
      <c r="P153" s="243">
        <f>VLOOKUP(Table3236[[#This Row],[Census Tract]],'Population and Diversity Data'!$B$2:$K$823,10,FALSE)</f>
        <v>2</v>
      </c>
      <c r="Q153" s="244" t="str">
        <f>VLOOKUP(Table3236[[#This Row],[Census Tract]],'UI EnergyBurden'!$A$2:$B$184,2,FALSE)</f>
        <v>No</v>
      </c>
      <c r="R153" s="249">
        <f>VLOOKUP(Table3236[[#This Row],[Census Tract]],'Income and Housing Data'!$B$2:$D$823,3,FALSE)</f>
        <v>78958</v>
      </c>
      <c r="S153" s="250" t="str">
        <f>IF($U$7&lt;=Table3236[[#This Row],[Household Income]],IF(Table3236[[#This Row],[Household Income]]&lt;=$U$8, "Yes","No"),"No")</f>
        <v>No</v>
      </c>
    </row>
    <row r="154" spans="1:19" x14ac:dyDescent="0.25">
      <c r="A154" s="183">
        <v>9001110301</v>
      </c>
      <c r="B154" s="39" t="s">
        <v>3009</v>
      </c>
      <c r="C154" s="178" t="s">
        <v>944</v>
      </c>
      <c r="D154" s="179">
        <v>119372.9991</v>
      </c>
      <c r="E154" s="179">
        <v>26013.5</v>
      </c>
      <c r="F154" s="39">
        <f>Table3236[[#This Row],[Single Family]]+Table3236[[#This Row],[2-4 Units]]+Table3236[[#This Row],[&gt;4 Units]]</f>
        <v>25</v>
      </c>
      <c r="G154" s="39">
        <v>22</v>
      </c>
      <c r="H154" s="39">
        <v>3</v>
      </c>
      <c r="I154" s="39">
        <v>0</v>
      </c>
      <c r="J154" s="132">
        <v>20382.53</v>
      </c>
      <c r="K154" s="39">
        <f>SUM(Table3236[[#This Row],[Single Family ]:[&gt;4 Units ]])</f>
        <v>5</v>
      </c>
      <c r="L154" s="133">
        <v>4</v>
      </c>
      <c r="M154" s="133">
        <v>1</v>
      </c>
      <c r="N154" s="133">
        <v>0</v>
      </c>
      <c r="O154" s="134">
        <v>5630.97</v>
      </c>
      <c r="P154" s="243">
        <f>VLOOKUP(Table3236[[#This Row],[Census Tract]],'Population and Diversity Data'!$B$2:$K$823,10,FALSE)</f>
        <v>3</v>
      </c>
      <c r="Q154" s="244" t="str">
        <f>VLOOKUP(Table3236[[#This Row],[Census Tract]],'UI EnergyBurden'!$A$2:$B$184,2,FALSE)</f>
        <v>No</v>
      </c>
      <c r="R154" s="249">
        <f>VLOOKUP(Table3236[[#This Row],[Census Tract]],'Income and Housing Data'!$B$2:$D$823,3,FALSE)</f>
        <v>80871</v>
      </c>
      <c r="S154" s="250" t="str">
        <f>IF($U$7&lt;=Table3236[[#This Row],[Household Income]],IF(Table3236[[#This Row],[Household Income]]&lt;=$U$8, "Yes","No"),"No")</f>
        <v>No</v>
      </c>
    </row>
    <row r="155" spans="1:19" x14ac:dyDescent="0.25">
      <c r="A155" s="183">
        <v>9001110302</v>
      </c>
      <c r="B155" s="39" t="s">
        <v>3009</v>
      </c>
      <c r="C155" s="178" t="s">
        <v>944</v>
      </c>
      <c r="D155" s="179">
        <v>65182.709900000002</v>
      </c>
      <c r="E155" s="179">
        <v>23476.27</v>
      </c>
      <c r="F155" s="39">
        <f>Table3236[[#This Row],[Single Family]]+Table3236[[#This Row],[2-4 Units]]+Table3236[[#This Row],[&gt;4 Units]]</f>
        <v>11</v>
      </c>
      <c r="G155" s="39">
        <v>11</v>
      </c>
      <c r="H155" s="39">
        <v>0</v>
      </c>
      <c r="I155" s="39">
        <v>0</v>
      </c>
      <c r="J155" s="132">
        <v>12868.09</v>
      </c>
      <c r="K155" s="39">
        <f>SUM(Table3236[[#This Row],[Single Family ]:[&gt;4 Units ]])</f>
        <v>1</v>
      </c>
      <c r="L155" s="133">
        <v>1</v>
      </c>
      <c r="M155" s="133">
        <v>0</v>
      </c>
      <c r="N155" s="133">
        <v>0</v>
      </c>
      <c r="O155" s="134">
        <v>10608.18</v>
      </c>
      <c r="P155" s="243">
        <f>VLOOKUP(Table3236[[#This Row],[Census Tract]],'Population and Diversity Data'!$B$2:$K$823,10,FALSE)</f>
        <v>3</v>
      </c>
      <c r="Q155" s="244" t="str">
        <f>VLOOKUP(Table3236[[#This Row],[Census Tract]],'UI EnergyBurden'!$A$2:$B$184,2,FALSE)</f>
        <v>No</v>
      </c>
      <c r="R155" s="249">
        <f>VLOOKUP(Table3236[[#This Row],[Census Tract]],'Income and Housing Data'!$B$2:$D$823,3,FALSE)</f>
        <v>104432</v>
      </c>
      <c r="S155" s="250" t="str">
        <f>IF($U$7&lt;=Table3236[[#This Row],[Household Income]],IF(Table3236[[#This Row],[Household Income]]&lt;=$U$8, "Yes","No"),"No")</f>
        <v>No</v>
      </c>
    </row>
    <row r="156" spans="1:19" x14ac:dyDescent="0.25">
      <c r="A156" s="183">
        <v>9001110302</v>
      </c>
      <c r="B156" s="39" t="s">
        <v>956</v>
      </c>
      <c r="C156" s="178" t="s">
        <v>944</v>
      </c>
      <c r="D156" s="179">
        <v>92.837900000000005</v>
      </c>
      <c r="E156" s="179">
        <v>0</v>
      </c>
      <c r="F156" s="39">
        <f>Table3236[[#This Row],[Single Family]]+Table3236[[#This Row],[2-4 Units]]+Table3236[[#This Row],[&gt;4 Units]]</f>
        <v>0</v>
      </c>
      <c r="G156" s="39"/>
      <c r="H156" s="39"/>
      <c r="I156" s="39"/>
      <c r="J156" s="132">
        <v>0</v>
      </c>
      <c r="K156" s="39">
        <f>SUM(Table3236[[#This Row],[Single Family ]:[&gt;4 Units ]])</f>
        <v>0</v>
      </c>
      <c r="L156" s="133"/>
      <c r="M156" s="133"/>
      <c r="N156" s="133"/>
      <c r="O156" s="134">
        <v>0</v>
      </c>
      <c r="P156" s="243">
        <f>VLOOKUP(Table3236[[#This Row],[Census Tract]],'Population and Diversity Data'!$B$2:$K$823,10,FALSE)</f>
        <v>3</v>
      </c>
      <c r="Q156" s="244" t="str">
        <f>VLOOKUP(Table3236[[#This Row],[Census Tract]],'UI EnergyBurden'!$A$2:$B$184,2,FALSE)</f>
        <v>No</v>
      </c>
      <c r="R156" s="249">
        <f>VLOOKUP(Table3236[[#This Row],[Census Tract]],'Income and Housing Data'!$B$2:$D$823,3,FALSE)</f>
        <v>104432</v>
      </c>
      <c r="S156" s="250" t="str">
        <f>IF($U$7&lt;=Table3236[[#This Row],[Household Income]],IF(Table3236[[#This Row],[Household Income]]&lt;=$U$8, "Yes","No"),"No")</f>
        <v>No</v>
      </c>
    </row>
    <row r="157" spans="1:19" x14ac:dyDescent="0.25">
      <c r="A157" s="183">
        <v>9001110302</v>
      </c>
      <c r="B157" s="39" t="s">
        <v>2987</v>
      </c>
      <c r="C157" s="178" t="s">
        <v>944</v>
      </c>
      <c r="D157" s="179">
        <v>146.7696</v>
      </c>
      <c r="E157" s="179">
        <v>0</v>
      </c>
      <c r="F157" s="39">
        <f>Table3236[[#This Row],[Single Family]]+Table3236[[#This Row],[2-4 Units]]+Table3236[[#This Row],[&gt;4 Units]]</f>
        <v>0</v>
      </c>
      <c r="G157" s="39"/>
      <c r="H157" s="39"/>
      <c r="I157" s="39"/>
      <c r="J157" s="132">
        <v>0</v>
      </c>
      <c r="K157" s="39">
        <f>SUM(Table3236[[#This Row],[Single Family ]:[&gt;4 Units ]])</f>
        <v>0</v>
      </c>
      <c r="L157" s="133"/>
      <c r="M157" s="133"/>
      <c r="N157" s="133"/>
      <c r="O157" s="134">
        <v>0</v>
      </c>
      <c r="P157" s="243">
        <f>VLOOKUP(Table3236[[#This Row],[Census Tract]],'Population and Diversity Data'!$B$2:$K$823,10,FALSE)</f>
        <v>3</v>
      </c>
      <c r="Q157" s="244" t="str">
        <f>VLOOKUP(Table3236[[#This Row],[Census Tract]],'UI EnergyBurden'!$A$2:$B$184,2,FALSE)</f>
        <v>No</v>
      </c>
      <c r="R157" s="249">
        <f>VLOOKUP(Table3236[[#This Row],[Census Tract]],'Income and Housing Data'!$B$2:$D$823,3,FALSE)</f>
        <v>104432</v>
      </c>
      <c r="S157" s="250" t="str">
        <f>IF($U$7&lt;=Table3236[[#This Row],[Household Income]],IF(Table3236[[#This Row],[Household Income]]&lt;=$U$8, "Yes","No"),"No")</f>
        <v>No</v>
      </c>
    </row>
    <row r="158" spans="1:19" x14ac:dyDescent="0.25">
      <c r="A158" s="183">
        <v>9001110400</v>
      </c>
      <c r="B158" s="39" t="s">
        <v>3009</v>
      </c>
      <c r="C158" s="178" t="s">
        <v>944</v>
      </c>
      <c r="D158" s="179">
        <v>94505.718299999993</v>
      </c>
      <c r="E158" s="179">
        <v>30417.33</v>
      </c>
      <c r="F158" s="39">
        <f>Table3236[[#This Row],[Single Family]]+Table3236[[#This Row],[2-4 Units]]+Table3236[[#This Row],[&gt;4 Units]]</f>
        <v>19</v>
      </c>
      <c r="G158" s="39">
        <v>19</v>
      </c>
      <c r="H158" s="39">
        <v>0</v>
      </c>
      <c r="I158" s="39">
        <v>0</v>
      </c>
      <c r="J158" s="132">
        <v>26304.36</v>
      </c>
      <c r="K158" s="39">
        <f>SUM(Table3236[[#This Row],[Single Family ]:[&gt;4 Units ]])</f>
        <v>1</v>
      </c>
      <c r="L158" s="133">
        <v>1</v>
      </c>
      <c r="M158" s="133">
        <v>0</v>
      </c>
      <c r="N158" s="133">
        <v>0</v>
      </c>
      <c r="O158" s="134">
        <v>4112.97</v>
      </c>
      <c r="P158" s="243">
        <f>VLOOKUP(Table3236[[#This Row],[Census Tract]],'Population and Diversity Data'!$B$2:$K$823,10,FALSE)</f>
        <v>2</v>
      </c>
      <c r="Q158" s="244" t="str">
        <f>VLOOKUP(Table3236[[#This Row],[Census Tract]],'UI EnergyBurden'!$A$2:$B$184,2,FALSE)</f>
        <v>No</v>
      </c>
      <c r="R158" s="249">
        <f>VLOOKUP(Table3236[[#This Row],[Census Tract]],'Income and Housing Data'!$B$2:$D$823,3,FALSE)</f>
        <v>108636</v>
      </c>
      <c r="S158" s="250" t="str">
        <f>IF($U$7&lt;=Table3236[[#This Row],[Household Income]],IF(Table3236[[#This Row],[Household Income]]&lt;=$U$8, "Yes","No"),"No")</f>
        <v>No</v>
      </c>
    </row>
    <row r="159" spans="1:19" x14ac:dyDescent="0.25">
      <c r="A159" s="183">
        <v>9001110500</v>
      </c>
      <c r="B159" s="39" t="s">
        <v>3009</v>
      </c>
      <c r="C159" s="178" t="s">
        <v>944</v>
      </c>
      <c r="D159" s="179">
        <v>117735.0469</v>
      </c>
      <c r="E159" s="179">
        <v>41521.480000000003</v>
      </c>
      <c r="F159" s="39">
        <f>Table3236[[#This Row],[Single Family]]+Table3236[[#This Row],[2-4 Units]]+Table3236[[#This Row],[&gt;4 Units]]</f>
        <v>27</v>
      </c>
      <c r="G159" s="39">
        <v>27</v>
      </c>
      <c r="H159" s="39">
        <v>0</v>
      </c>
      <c r="I159" s="39">
        <v>0</v>
      </c>
      <c r="J159" s="132">
        <v>33014.089999999997</v>
      </c>
      <c r="K159" s="39">
        <f>SUM(Table3236[[#This Row],[Single Family ]:[&gt;4 Units ]])</f>
        <v>2</v>
      </c>
      <c r="L159" s="133">
        <v>2</v>
      </c>
      <c r="M159" s="133">
        <v>0</v>
      </c>
      <c r="N159" s="133">
        <v>0</v>
      </c>
      <c r="O159" s="134">
        <v>7307.39</v>
      </c>
      <c r="P159" s="243">
        <f>VLOOKUP(Table3236[[#This Row],[Census Tract]],'Population and Diversity Data'!$B$2:$K$823,10,FALSE)</f>
        <v>1</v>
      </c>
      <c r="Q159" s="244" t="str">
        <f>VLOOKUP(Table3236[[#This Row],[Census Tract]],'UI EnergyBurden'!$A$2:$B$184,2,FALSE)</f>
        <v>No</v>
      </c>
      <c r="R159" s="249">
        <f>VLOOKUP(Table3236[[#This Row],[Census Tract]],'Income and Housing Data'!$B$2:$D$823,3,FALSE)</f>
        <v>110365</v>
      </c>
      <c r="S159" s="250" t="str">
        <f>IF($U$7&lt;=Table3236[[#This Row],[Household Income]],IF(Table3236[[#This Row],[Household Income]]&lt;=$U$8, "Yes","No"),"No")</f>
        <v>No</v>
      </c>
    </row>
    <row r="160" spans="1:19" x14ac:dyDescent="0.25">
      <c r="A160" s="183">
        <v>9001110500</v>
      </c>
      <c r="B160" s="39" t="s">
        <v>2987</v>
      </c>
      <c r="C160" s="178" t="s">
        <v>944</v>
      </c>
      <c r="D160" s="179">
        <v>63.001300000000001</v>
      </c>
      <c r="E160" s="179">
        <v>0</v>
      </c>
      <c r="F160" s="39">
        <f>Table3236[[#This Row],[Single Family]]+Table3236[[#This Row],[2-4 Units]]+Table3236[[#This Row],[&gt;4 Units]]</f>
        <v>0</v>
      </c>
      <c r="G160" s="39"/>
      <c r="H160" s="39"/>
      <c r="I160" s="39"/>
      <c r="J160" s="132">
        <v>0</v>
      </c>
      <c r="K160" s="39">
        <f>SUM(Table3236[[#This Row],[Single Family ]:[&gt;4 Units ]])</f>
        <v>0</v>
      </c>
      <c r="L160" s="133"/>
      <c r="M160" s="133"/>
      <c r="N160" s="133"/>
      <c r="O160" s="134">
        <v>0</v>
      </c>
      <c r="P160" s="243">
        <f>VLOOKUP(Table3236[[#This Row],[Census Tract]],'Population and Diversity Data'!$B$2:$K$823,10,FALSE)</f>
        <v>1</v>
      </c>
      <c r="Q160" s="244" t="str">
        <f>VLOOKUP(Table3236[[#This Row],[Census Tract]],'UI EnergyBurden'!$A$2:$B$184,2,FALSE)</f>
        <v>No</v>
      </c>
      <c r="R160" s="249">
        <f>VLOOKUP(Table3236[[#This Row],[Census Tract]],'Income and Housing Data'!$B$2:$D$823,3,FALSE)</f>
        <v>110365</v>
      </c>
      <c r="S160" s="250" t="str">
        <f>IF($U$7&lt;=Table3236[[#This Row],[Household Income]],IF(Table3236[[#This Row],[Household Income]]&lt;=$U$8, "Yes","No"),"No")</f>
        <v>No</v>
      </c>
    </row>
    <row r="161" spans="1:19" x14ac:dyDescent="0.25">
      <c r="A161" s="183">
        <v>9001110600</v>
      </c>
      <c r="B161" s="39" t="s">
        <v>2985</v>
      </c>
      <c r="C161" s="178" t="s">
        <v>944</v>
      </c>
      <c r="D161" s="179">
        <v>729.55909999999994</v>
      </c>
      <c r="E161" s="179">
        <v>0</v>
      </c>
      <c r="F161" s="39">
        <f>Table3236[[#This Row],[Single Family]]+Table3236[[#This Row],[2-4 Units]]+Table3236[[#This Row],[&gt;4 Units]]</f>
        <v>0</v>
      </c>
      <c r="G161" s="39"/>
      <c r="H161" s="39"/>
      <c r="I161" s="39"/>
      <c r="J161" s="132">
        <v>0</v>
      </c>
      <c r="K161" s="39">
        <f>SUM(Table3236[[#This Row],[Single Family ]:[&gt;4 Units ]])</f>
        <v>0</v>
      </c>
      <c r="L161" s="133"/>
      <c r="M161" s="133"/>
      <c r="N161" s="133"/>
      <c r="O161" s="134">
        <v>0</v>
      </c>
      <c r="P161" s="243">
        <f>VLOOKUP(Table3236[[#This Row],[Census Tract]],'Population and Diversity Data'!$B$2:$K$823,10,FALSE)</f>
        <v>2</v>
      </c>
      <c r="Q161" s="244" t="str">
        <f>VLOOKUP(Table3236[[#This Row],[Census Tract]],'UI EnergyBurden'!$A$2:$B$184,2,FALSE)</f>
        <v>No</v>
      </c>
      <c r="R161" s="249">
        <f>VLOOKUP(Table3236[[#This Row],[Census Tract]],'Income and Housing Data'!$B$2:$D$823,3,FALSE)</f>
        <v>118906</v>
      </c>
      <c r="S161" s="250" t="str">
        <f>IF($U$7&lt;=Table3236[[#This Row],[Household Income]],IF(Table3236[[#This Row],[Household Income]]&lt;=$U$8, "Yes","No"),"No")</f>
        <v>No</v>
      </c>
    </row>
    <row r="162" spans="1:19" x14ac:dyDescent="0.25">
      <c r="A162" s="183">
        <v>9001110600</v>
      </c>
      <c r="B162" s="39" t="s">
        <v>3009</v>
      </c>
      <c r="C162" s="178" t="s">
        <v>944</v>
      </c>
      <c r="D162" s="179">
        <v>151887.48259999999</v>
      </c>
      <c r="E162" s="179">
        <v>38865.54</v>
      </c>
      <c r="F162" s="39">
        <f>Table3236[[#This Row],[Single Family]]+Table3236[[#This Row],[2-4 Units]]+Table3236[[#This Row],[&gt;4 Units]]</f>
        <v>29</v>
      </c>
      <c r="G162" s="39">
        <v>28</v>
      </c>
      <c r="H162" s="39">
        <v>1</v>
      </c>
      <c r="I162" s="39">
        <v>0</v>
      </c>
      <c r="J162" s="132">
        <v>28663.75</v>
      </c>
      <c r="K162" s="39">
        <f>SUM(Table3236[[#This Row],[Single Family ]:[&gt;4 Units ]])</f>
        <v>4</v>
      </c>
      <c r="L162" s="133">
        <v>2</v>
      </c>
      <c r="M162" s="133">
        <v>2</v>
      </c>
      <c r="N162" s="133">
        <v>0</v>
      </c>
      <c r="O162" s="134">
        <v>9301.7900000000009</v>
      </c>
      <c r="P162" s="243">
        <f>VLOOKUP(Table3236[[#This Row],[Census Tract]],'Population and Diversity Data'!$B$2:$K$823,10,FALSE)</f>
        <v>2</v>
      </c>
      <c r="Q162" s="244" t="str">
        <f>VLOOKUP(Table3236[[#This Row],[Census Tract]],'UI EnergyBurden'!$A$2:$B$184,2,FALSE)</f>
        <v>No</v>
      </c>
      <c r="R162" s="249">
        <f>VLOOKUP(Table3236[[#This Row],[Census Tract]],'Income and Housing Data'!$B$2:$D$823,3,FALSE)</f>
        <v>118906</v>
      </c>
      <c r="S162" s="250" t="str">
        <f>IF($U$7&lt;=Table3236[[#This Row],[Household Income]],IF(Table3236[[#This Row],[Household Income]]&lt;=$U$8, "Yes","No"),"No")</f>
        <v>No</v>
      </c>
    </row>
    <row r="163" spans="1:19" x14ac:dyDescent="0.25">
      <c r="A163" s="183">
        <v>9001240200</v>
      </c>
      <c r="B163" s="39" t="s">
        <v>2981</v>
      </c>
      <c r="C163" s="178" t="s">
        <v>944</v>
      </c>
      <c r="D163" s="179">
        <v>1588.1765</v>
      </c>
      <c r="E163" s="179">
        <v>0</v>
      </c>
      <c r="F163" s="39">
        <f>Table3236[[#This Row],[Single Family]]+Table3236[[#This Row],[2-4 Units]]+Table3236[[#This Row],[&gt;4 Units]]</f>
        <v>0</v>
      </c>
      <c r="G163" s="39"/>
      <c r="H163" s="39"/>
      <c r="I163" s="39"/>
      <c r="J163" s="132">
        <v>0</v>
      </c>
      <c r="K163" s="39">
        <f>SUM(Table3236[[#This Row],[Single Family ]:[&gt;4 Units ]])</f>
        <v>0</v>
      </c>
      <c r="L163" s="133"/>
      <c r="M163" s="133"/>
      <c r="N163" s="133"/>
      <c r="O163" s="134">
        <v>0</v>
      </c>
      <c r="P163" s="243">
        <f>VLOOKUP(Table3236[[#This Row],[Census Tract]],'Population and Diversity Data'!$B$2:$K$823,10,FALSE)</f>
        <v>2</v>
      </c>
      <c r="Q163" s="244" t="str">
        <f>VLOOKUP(Table3236[[#This Row],[Census Tract]],'UI EnergyBurden'!$A$2:$B$184,2,FALSE)</f>
        <v>No</v>
      </c>
      <c r="R163" s="249">
        <f>VLOOKUP(Table3236[[#This Row],[Census Tract]],'Income and Housing Data'!$B$2:$D$823,3,FALSE)</f>
        <v>133482</v>
      </c>
      <c r="S163" s="250" t="str">
        <f>IF($U$7&lt;=Table3236[[#This Row],[Household Income]],IF(Table3236[[#This Row],[Household Income]]&lt;=$U$8, "Yes","No"),"No")</f>
        <v>No</v>
      </c>
    </row>
    <row r="164" spans="1:19" x14ac:dyDescent="0.25">
      <c r="A164" s="183">
        <v>9001257200</v>
      </c>
      <c r="B164" s="39" t="s">
        <v>934</v>
      </c>
      <c r="C164" s="178" t="s">
        <v>944</v>
      </c>
      <c r="D164" s="179">
        <v>46248.605099999899</v>
      </c>
      <c r="E164" s="179">
        <v>7200.74</v>
      </c>
      <c r="F164" s="39">
        <f>Table3236[[#This Row],[Single Family]]+Table3236[[#This Row],[2-4 Units]]+Table3236[[#This Row],[&gt;4 Units]]</f>
        <v>1</v>
      </c>
      <c r="G164" s="39">
        <v>0</v>
      </c>
      <c r="H164" s="39">
        <v>1</v>
      </c>
      <c r="I164" s="39">
        <v>0</v>
      </c>
      <c r="J164" s="132">
        <v>481.19</v>
      </c>
      <c r="K164" s="39">
        <f>SUM(Table3236[[#This Row],[Single Family ]:[&gt;4 Units ]])</f>
        <v>15</v>
      </c>
      <c r="L164" s="133">
        <v>5</v>
      </c>
      <c r="M164" s="133">
        <v>10</v>
      </c>
      <c r="N164" s="133">
        <v>0</v>
      </c>
      <c r="O164" s="134">
        <v>6719.55</v>
      </c>
      <c r="P164" s="243">
        <f>VLOOKUP(Table3236[[#This Row],[Census Tract]],'Population and Diversity Data'!$B$2:$K$823,10,FALSE)</f>
        <v>4</v>
      </c>
      <c r="Q164" s="244" t="str">
        <f>VLOOKUP(Table3236[[#This Row],[Census Tract]],'UI EnergyBurden'!$A$2:$B$184,2,FALSE)</f>
        <v>Yes</v>
      </c>
      <c r="R164" s="249">
        <f>VLOOKUP(Table3236[[#This Row],[Census Tract]],'Income and Housing Data'!$B$2:$D$823,3,FALSE)</f>
        <v>50915</v>
      </c>
      <c r="S164" s="250" t="str">
        <f>IF($U$7&lt;=Table3236[[#This Row],[Household Income]],IF(Table3236[[#This Row],[Household Income]]&lt;=$U$8, "Yes","No"),"No")</f>
        <v>Yes</v>
      </c>
    </row>
    <row r="165" spans="1:19" x14ac:dyDescent="0.25">
      <c r="A165" s="183">
        <v>9009120100</v>
      </c>
      <c r="B165" s="39" t="s">
        <v>3010</v>
      </c>
      <c r="C165" s="178" t="s">
        <v>944</v>
      </c>
      <c r="D165" s="179">
        <v>185.57749999999999</v>
      </c>
      <c r="E165" s="179">
        <v>0</v>
      </c>
      <c r="F165" s="39">
        <f>Table3236[[#This Row],[Single Family]]+Table3236[[#This Row],[2-4 Units]]+Table3236[[#This Row],[&gt;4 Units]]</f>
        <v>0</v>
      </c>
      <c r="G165" s="39"/>
      <c r="H165" s="39"/>
      <c r="I165" s="39"/>
      <c r="J165" s="132">
        <v>0</v>
      </c>
      <c r="K165" s="39">
        <f>SUM(Table3236[[#This Row],[Single Family ]:[&gt;4 Units ]])</f>
        <v>0</v>
      </c>
      <c r="L165" s="133"/>
      <c r="M165" s="133"/>
      <c r="N165" s="133"/>
      <c r="O165" s="134">
        <v>0</v>
      </c>
      <c r="P165" s="243">
        <f>VLOOKUP(Table3236[[#This Row],[Census Tract]],'Population and Diversity Data'!$B$2:$K$823,10,FALSE)</f>
        <v>2</v>
      </c>
      <c r="Q165" s="244" t="str">
        <f>VLOOKUP(Table3236[[#This Row],[Census Tract]],'UI EnergyBurden'!$A$2:$B$184,2,FALSE)</f>
        <v>No</v>
      </c>
      <c r="R165" s="249">
        <f>VLOOKUP(Table3236[[#This Row],[Census Tract]],'Income and Housing Data'!$B$2:$D$823,3,FALSE)</f>
        <v>65927</v>
      </c>
      <c r="S165" s="250" t="str">
        <f>IF($U$7&lt;=Table3236[[#This Row],[Household Income]],IF(Table3236[[#This Row],[Household Income]]&lt;=$U$8, "Yes","No"),"No")</f>
        <v>No</v>
      </c>
    </row>
    <row r="166" spans="1:19" x14ac:dyDescent="0.25">
      <c r="A166" s="183">
        <v>9009120100</v>
      </c>
      <c r="B166" s="39" t="s">
        <v>3011</v>
      </c>
      <c r="C166" s="178" t="s">
        <v>944</v>
      </c>
      <c r="D166" s="179">
        <v>113942.43889999999</v>
      </c>
      <c r="E166" s="179">
        <v>39504.980000000003</v>
      </c>
      <c r="F166" s="39">
        <f>Table3236[[#This Row],[Single Family]]+Table3236[[#This Row],[2-4 Units]]+Table3236[[#This Row],[&gt;4 Units]]</f>
        <v>33</v>
      </c>
      <c r="G166" s="39">
        <v>31</v>
      </c>
      <c r="H166" s="39">
        <v>2</v>
      </c>
      <c r="I166" s="39">
        <v>0</v>
      </c>
      <c r="J166" s="132">
        <v>26591.68</v>
      </c>
      <c r="K166" s="39">
        <f>SUM(Table3236[[#This Row],[Single Family ]:[&gt;4 Units ]])</f>
        <v>9</v>
      </c>
      <c r="L166" s="133">
        <v>8</v>
      </c>
      <c r="M166" s="133">
        <v>1</v>
      </c>
      <c r="N166" s="133">
        <v>0</v>
      </c>
      <c r="O166" s="134">
        <v>12913.3</v>
      </c>
      <c r="P166" s="243">
        <f>VLOOKUP(Table3236[[#This Row],[Census Tract]],'Population and Diversity Data'!$B$2:$K$823,10,FALSE)</f>
        <v>2</v>
      </c>
      <c r="Q166" s="244" t="str">
        <f>VLOOKUP(Table3236[[#This Row],[Census Tract]],'UI EnergyBurden'!$A$2:$B$184,2,FALSE)</f>
        <v>No</v>
      </c>
      <c r="R166" s="249">
        <f>VLOOKUP(Table3236[[#This Row],[Census Tract]],'Income and Housing Data'!$B$2:$D$823,3,FALSE)</f>
        <v>65927</v>
      </c>
      <c r="S166" s="250" t="str">
        <f>IF($U$7&lt;=Table3236[[#This Row],[Household Income]],IF(Table3236[[#This Row],[Household Income]]&lt;=$U$8, "Yes","No"),"No")</f>
        <v>No</v>
      </c>
    </row>
    <row r="167" spans="1:19" x14ac:dyDescent="0.25">
      <c r="A167" s="183">
        <v>9009120100</v>
      </c>
      <c r="B167" s="39" t="s">
        <v>3012</v>
      </c>
      <c r="C167" s="178" t="s">
        <v>944</v>
      </c>
      <c r="D167" s="179">
        <v>94.284899999999993</v>
      </c>
      <c r="E167" s="179">
        <v>0</v>
      </c>
      <c r="F167" s="39">
        <f>Table3236[[#This Row],[Single Family]]+Table3236[[#This Row],[2-4 Units]]+Table3236[[#This Row],[&gt;4 Units]]</f>
        <v>0</v>
      </c>
      <c r="G167" s="39"/>
      <c r="H167" s="39"/>
      <c r="I167" s="39"/>
      <c r="J167" s="132">
        <v>0</v>
      </c>
      <c r="K167" s="39">
        <f>SUM(Table3236[[#This Row],[Single Family ]:[&gt;4 Units ]])</f>
        <v>0</v>
      </c>
      <c r="L167" s="133"/>
      <c r="M167" s="133"/>
      <c r="N167" s="133"/>
      <c r="O167" s="134">
        <v>0</v>
      </c>
      <c r="P167" s="243">
        <f>VLOOKUP(Table3236[[#This Row],[Census Tract]],'Population and Diversity Data'!$B$2:$K$823,10,FALSE)</f>
        <v>2</v>
      </c>
      <c r="Q167" s="244" t="str">
        <f>VLOOKUP(Table3236[[#This Row],[Census Tract]],'UI EnergyBurden'!$A$2:$B$184,2,FALSE)</f>
        <v>No</v>
      </c>
      <c r="R167" s="249">
        <f>VLOOKUP(Table3236[[#This Row],[Census Tract]],'Income and Housing Data'!$B$2:$D$823,3,FALSE)</f>
        <v>65927</v>
      </c>
      <c r="S167" s="250" t="str">
        <f>IF($U$7&lt;=Table3236[[#This Row],[Household Income]],IF(Table3236[[#This Row],[Household Income]]&lt;=$U$8, "Yes","No"),"No")</f>
        <v>No</v>
      </c>
    </row>
    <row r="168" spans="1:19" x14ac:dyDescent="0.25">
      <c r="A168" s="183">
        <v>9009120200</v>
      </c>
      <c r="B168" s="39" t="s">
        <v>3010</v>
      </c>
      <c r="C168" s="178" t="s">
        <v>944</v>
      </c>
      <c r="D168" s="179">
        <v>53.532299999999999</v>
      </c>
      <c r="E168" s="179">
        <v>95.74</v>
      </c>
      <c r="F168" s="39">
        <f>Table3236[[#This Row],[Single Family]]+Table3236[[#This Row],[2-4 Units]]+Table3236[[#This Row],[&gt;4 Units]]</f>
        <v>1</v>
      </c>
      <c r="G168" s="39">
        <v>1</v>
      </c>
      <c r="H168" s="39">
        <v>0</v>
      </c>
      <c r="I168" s="39">
        <v>0</v>
      </c>
      <c r="J168" s="132">
        <v>95.74</v>
      </c>
      <c r="K168" s="39">
        <f>SUM(Table3236[[#This Row],[Single Family ]:[&gt;4 Units ]])</f>
        <v>0</v>
      </c>
      <c r="L168" s="133"/>
      <c r="M168" s="133"/>
      <c r="N168" s="133"/>
      <c r="O168" s="134">
        <v>0</v>
      </c>
      <c r="P168" s="243">
        <f>VLOOKUP(Table3236[[#This Row],[Census Tract]],'Population and Diversity Data'!$B$2:$K$823,10,FALSE)</f>
        <v>4</v>
      </c>
      <c r="Q168" s="244" t="str">
        <f>VLOOKUP(Table3236[[#This Row],[Census Tract]],'UI EnergyBurden'!$A$2:$B$184,2,FALSE)</f>
        <v>Yes</v>
      </c>
      <c r="R168" s="249">
        <f>VLOOKUP(Table3236[[#This Row],[Census Tract]],'Income and Housing Data'!$B$2:$D$823,3,FALSE)</f>
        <v>44915</v>
      </c>
      <c r="S168" s="250" t="str">
        <f>IF($U$7&lt;=Table3236[[#This Row],[Household Income]],IF(Table3236[[#This Row],[Household Income]]&lt;=$U$8, "Yes","No"),"No")</f>
        <v>No</v>
      </c>
    </row>
    <row r="169" spans="1:19" x14ac:dyDescent="0.25">
      <c r="A169" s="183">
        <v>9009120200</v>
      </c>
      <c r="B169" s="39" t="s">
        <v>3011</v>
      </c>
      <c r="C169" s="178" t="s">
        <v>944</v>
      </c>
      <c r="D169" s="179">
        <v>98942.964100000099</v>
      </c>
      <c r="E169" s="179">
        <v>18608.64</v>
      </c>
      <c r="F169" s="39">
        <f>Table3236[[#This Row],[Single Family]]+Table3236[[#This Row],[2-4 Units]]+Table3236[[#This Row],[&gt;4 Units]]</f>
        <v>15</v>
      </c>
      <c r="G169" s="39">
        <v>10</v>
      </c>
      <c r="H169" s="39">
        <v>5</v>
      </c>
      <c r="I169" s="39">
        <v>0</v>
      </c>
      <c r="J169" s="132">
        <v>9749.84</v>
      </c>
      <c r="K169" s="39">
        <f>SUM(Table3236[[#This Row],[Single Family ]:[&gt;4 Units ]])</f>
        <v>9</v>
      </c>
      <c r="L169" s="133">
        <v>3</v>
      </c>
      <c r="M169" s="133">
        <v>6</v>
      </c>
      <c r="N169" s="133">
        <v>0</v>
      </c>
      <c r="O169" s="134">
        <v>8858.7999999999993</v>
      </c>
      <c r="P169" s="243">
        <f>VLOOKUP(Table3236[[#This Row],[Census Tract]],'Population and Diversity Data'!$B$2:$K$823,10,FALSE)</f>
        <v>4</v>
      </c>
      <c r="Q169" s="244" t="str">
        <f>VLOOKUP(Table3236[[#This Row],[Census Tract]],'UI EnergyBurden'!$A$2:$B$184,2,FALSE)</f>
        <v>Yes</v>
      </c>
      <c r="R169" s="249">
        <f>VLOOKUP(Table3236[[#This Row],[Census Tract]],'Income and Housing Data'!$B$2:$D$823,3,FALSE)</f>
        <v>44915</v>
      </c>
      <c r="S169" s="250" t="str">
        <f>IF($U$7&lt;=Table3236[[#This Row],[Household Income]],IF(Table3236[[#This Row],[Household Income]]&lt;=$U$8, "Yes","No"),"No")</f>
        <v>No</v>
      </c>
    </row>
    <row r="170" spans="1:19" x14ac:dyDescent="0.25">
      <c r="A170" s="183">
        <v>9009120200</v>
      </c>
      <c r="B170" s="39" t="s">
        <v>3009</v>
      </c>
      <c r="C170" s="178" t="s">
        <v>944</v>
      </c>
      <c r="D170" s="179">
        <v>0</v>
      </c>
      <c r="E170" s="179">
        <v>0</v>
      </c>
      <c r="F170" s="39">
        <f>Table3236[[#This Row],[Single Family]]+Table3236[[#This Row],[2-4 Units]]+Table3236[[#This Row],[&gt;4 Units]]</f>
        <v>0</v>
      </c>
      <c r="G170" s="39"/>
      <c r="H170" s="39"/>
      <c r="I170" s="39"/>
      <c r="J170" s="132">
        <v>0</v>
      </c>
      <c r="K170" s="39">
        <f>SUM(Table3236[[#This Row],[Single Family ]:[&gt;4 Units ]])</f>
        <v>0</v>
      </c>
      <c r="L170" s="133"/>
      <c r="M170" s="133"/>
      <c r="N170" s="133"/>
      <c r="O170" s="134">
        <v>0</v>
      </c>
      <c r="P170" s="243">
        <f>VLOOKUP(Table3236[[#This Row],[Census Tract]],'Population and Diversity Data'!$B$2:$K$823,10,FALSE)</f>
        <v>4</v>
      </c>
      <c r="Q170" s="244" t="str">
        <f>VLOOKUP(Table3236[[#This Row],[Census Tract]],'UI EnergyBurden'!$A$2:$B$184,2,FALSE)</f>
        <v>Yes</v>
      </c>
      <c r="R170" s="249">
        <f>VLOOKUP(Table3236[[#This Row],[Census Tract]],'Income and Housing Data'!$B$2:$D$823,3,FALSE)</f>
        <v>44915</v>
      </c>
      <c r="S170" s="250" t="str">
        <f>IF($U$7&lt;=Table3236[[#This Row],[Household Income]],IF(Table3236[[#This Row],[Household Income]]&lt;=$U$8, "Yes","No"),"No")</f>
        <v>No</v>
      </c>
    </row>
    <row r="171" spans="1:19" x14ac:dyDescent="0.25">
      <c r="A171" s="183">
        <v>9009125100</v>
      </c>
      <c r="B171" s="39" t="s">
        <v>3010</v>
      </c>
      <c r="C171" s="178" t="s">
        <v>944</v>
      </c>
      <c r="D171" s="179">
        <v>74097.026599999997</v>
      </c>
      <c r="E171" s="179">
        <v>37210.910000000003</v>
      </c>
      <c r="F171" s="39">
        <f>Table3236[[#This Row],[Single Family]]+Table3236[[#This Row],[2-4 Units]]+Table3236[[#This Row],[&gt;4 Units]]</f>
        <v>38</v>
      </c>
      <c r="G171" s="39">
        <v>38</v>
      </c>
      <c r="H171" s="39">
        <v>0</v>
      </c>
      <c r="I171" s="39">
        <v>0</v>
      </c>
      <c r="J171" s="132">
        <v>29673.11</v>
      </c>
      <c r="K171" s="39">
        <f>SUM(Table3236[[#This Row],[Single Family ]:[&gt;4 Units ]])</f>
        <v>6</v>
      </c>
      <c r="L171" s="133">
        <v>6</v>
      </c>
      <c r="M171" s="133">
        <v>0</v>
      </c>
      <c r="N171" s="133">
        <v>0</v>
      </c>
      <c r="O171" s="134">
        <v>7537.8</v>
      </c>
      <c r="P171" s="243">
        <f>VLOOKUP(Table3236[[#This Row],[Census Tract]],'Population and Diversity Data'!$B$2:$K$823,10,FALSE)</f>
        <v>1</v>
      </c>
      <c r="Q171" s="244" t="str">
        <f>VLOOKUP(Table3236[[#This Row],[Census Tract]],'UI EnergyBurden'!$A$2:$B$184,2,FALSE)</f>
        <v>No</v>
      </c>
      <c r="R171" s="249">
        <f>VLOOKUP(Table3236[[#This Row],[Census Tract]],'Income and Housing Data'!$B$2:$D$823,3,FALSE)</f>
        <v>90150</v>
      </c>
      <c r="S171" s="250" t="str">
        <f>IF($U$7&lt;=Table3236[[#This Row],[Household Income]],IF(Table3236[[#This Row],[Household Income]]&lt;=$U$8, "Yes","No"),"No")</f>
        <v>No</v>
      </c>
    </row>
    <row r="172" spans="1:19" x14ac:dyDescent="0.25">
      <c r="A172" s="183">
        <v>9009125100</v>
      </c>
      <c r="B172" s="39" t="s">
        <v>3011</v>
      </c>
      <c r="C172" s="178" t="s">
        <v>944</v>
      </c>
      <c r="D172" s="179">
        <v>700.05820000000006</v>
      </c>
      <c r="E172" s="179">
        <v>0</v>
      </c>
      <c r="F172" s="39">
        <f>Table3236[[#This Row],[Single Family]]+Table3236[[#This Row],[2-4 Units]]+Table3236[[#This Row],[&gt;4 Units]]</f>
        <v>0</v>
      </c>
      <c r="G172" s="39"/>
      <c r="H172" s="39"/>
      <c r="I172" s="39"/>
      <c r="J172" s="132">
        <v>0</v>
      </c>
      <c r="K172" s="39">
        <f>SUM(Table3236[[#This Row],[Single Family ]:[&gt;4 Units ]])</f>
        <v>0</v>
      </c>
      <c r="L172" s="133"/>
      <c r="M172" s="133"/>
      <c r="N172" s="133"/>
      <c r="O172" s="134">
        <v>0</v>
      </c>
      <c r="P172" s="243">
        <f>VLOOKUP(Table3236[[#This Row],[Census Tract]],'Population and Diversity Data'!$B$2:$K$823,10,FALSE)</f>
        <v>1</v>
      </c>
      <c r="Q172" s="244" t="str">
        <f>VLOOKUP(Table3236[[#This Row],[Census Tract]],'UI EnergyBurden'!$A$2:$B$184,2,FALSE)</f>
        <v>No</v>
      </c>
      <c r="R172" s="249">
        <f>VLOOKUP(Table3236[[#This Row],[Census Tract]],'Income and Housing Data'!$B$2:$D$823,3,FALSE)</f>
        <v>90150</v>
      </c>
      <c r="S172" s="250" t="str">
        <f>IF($U$7&lt;=Table3236[[#This Row],[Household Income]],IF(Table3236[[#This Row],[Household Income]]&lt;=$U$8, "Yes","No"),"No")</f>
        <v>No</v>
      </c>
    </row>
    <row r="173" spans="1:19" x14ac:dyDescent="0.25">
      <c r="A173" s="183">
        <v>9009125200</v>
      </c>
      <c r="B173" s="39" t="s">
        <v>3010</v>
      </c>
      <c r="C173" s="178" t="s">
        <v>944</v>
      </c>
      <c r="D173" s="179">
        <v>85166.804499999998</v>
      </c>
      <c r="E173" s="179">
        <v>22374.48</v>
      </c>
      <c r="F173" s="39">
        <f>Table3236[[#This Row],[Single Family]]+Table3236[[#This Row],[2-4 Units]]+Table3236[[#This Row],[&gt;4 Units]]</f>
        <v>19</v>
      </c>
      <c r="G173" s="39">
        <v>16</v>
      </c>
      <c r="H173" s="39">
        <v>3</v>
      </c>
      <c r="I173" s="39">
        <v>0</v>
      </c>
      <c r="J173" s="132">
        <v>13864.58</v>
      </c>
      <c r="K173" s="39">
        <f>SUM(Table3236[[#This Row],[Single Family ]:[&gt;4 Units ]])</f>
        <v>6</v>
      </c>
      <c r="L173" s="133">
        <v>5</v>
      </c>
      <c r="M173" s="133">
        <v>1</v>
      </c>
      <c r="N173" s="133">
        <v>0</v>
      </c>
      <c r="O173" s="134">
        <v>6259.9</v>
      </c>
      <c r="P173" s="243">
        <f>VLOOKUP(Table3236[[#This Row],[Census Tract]],'Population and Diversity Data'!$B$2:$K$823,10,FALSE)</f>
        <v>3</v>
      </c>
      <c r="Q173" s="244" t="str">
        <f>VLOOKUP(Table3236[[#This Row],[Census Tract]],'UI EnergyBurden'!$A$2:$B$184,2,FALSE)</f>
        <v>No</v>
      </c>
      <c r="R173" s="249">
        <f>VLOOKUP(Table3236[[#This Row],[Census Tract]],'Income and Housing Data'!$B$2:$D$823,3,FALSE)</f>
        <v>46184</v>
      </c>
      <c r="S173" s="250" t="str">
        <f>IF($U$7&lt;=Table3236[[#This Row],[Household Income]],IF(Table3236[[#This Row],[Household Income]]&lt;=$U$8, "Yes","No"),"No")</f>
        <v>No</v>
      </c>
    </row>
    <row r="174" spans="1:19" x14ac:dyDescent="0.25">
      <c r="A174" s="183">
        <v>9009125300</v>
      </c>
      <c r="B174" s="39" t="s">
        <v>3007</v>
      </c>
      <c r="C174" s="178" t="s">
        <v>944</v>
      </c>
      <c r="D174" s="179">
        <v>0</v>
      </c>
      <c r="E174" s="179">
        <v>19066.36</v>
      </c>
      <c r="F174" s="39">
        <f>Table3236[[#This Row],[Single Family]]+Table3236[[#This Row],[2-4 Units]]+Table3236[[#This Row],[&gt;4 Units]]</f>
        <v>19</v>
      </c>
      <c r="G174" s="39">
        <v>14</v>
      </c>
      <c r="H174" s="39">
        <v>5</v>
      </c>
      <c r="I174" s="39">
        <v>0</v>
      </c>
      <c r="J174" s="132">
        <v>16171.01</v>
      </c>
      <c r="K174" s="39">
        <f>SUM(Table3236[[#This Row],[Single Family ]:[&gt;4 Units ]])</f>
        <v>4</v>
      </c>
      <c r="L174" s="133">
        <v>2</v>
      </c>
      <c r="M174" s="133">
        <v>2</v>
      </c>
      <c r="N174" s="133">
        <v>0</v>
      </c>
      <c r="O174" s="134">
        <v>2895.35</v>
      </c>
      <c r="P174" s="243">
        <f>VLOOKUP(Table3236[[#This Row],[Census Tract]],'Population and Diversity Data'!$B$2:$K$823,10,FALSE)</f>
        <v>5</v>
      </c>
      <c r="Q174" s="244" t="str">
        <f>VLOOKUP(Table3236[[#This Row],[Census Tract]],'UI EnergyBurden'!$A$2:$B$184,2,FALSE)</f>
        <v>No</v>
      </c>
      <c r="R174" s="249">
        <f>VLOOKUP(Table3236[[#This Row],[Census Tract]],'Income and Housing Data'!$B$2:$D$823,3,FALSE)</f>
        <v>52586</v>
      </c>
      <c r="S174" s="250" t="str">
        <f>IF($U$7&lt;=Table3236[[#This Row],[Household Income]],IF(Table3236[[#This Row],[Household Income]]&lt;=$U$8, "Yes","No"),"No")</f>
        <v>Yes</v>
      </c>
    </row>
    <row r="175" spans="1:19" x14ac:dyDescent="0.25">
      <c r="A175" s="183">
        <v>9009125300</v>
      </c>
      <c r="B175" s="39" t="s">
        <v>3010</v>
      </c>
      <c r="C175" s="178" t="s">
        <v>936</v>
      </c>
      <c r="D175" s="179">
        <v>72329.1342</v>
      </c>
      <c r="E175" s="179">
        <v>0</v>
      </c>
      <c r="F175" s="39">
        <f>Table3236[[#This Row],[Single Family]]+Table3236[[#This Row],[2-4 Units]]+Table3236[[#This Row],[&gt;4 Units]]</f>
        <v>0</v>
      </c>
      <c r="G175" s="39"/>
      <c r="H175" s="39"/>
      <c r="I175" s="39"/>
      <c r="J175" s="132">
        <v>0</v>
      </c>
      <c r="K175" s="39">
        <f>SUM(Table3236[[#This Row],[Single Family ]:[&gt;4 Units ]])</f>
        <v>0</v>
      </c>
      <c r="L175" s="133"/>
      <c r="M175" s="133"/>
      <c r="N175" s="133"/>
      <c r="O175" s="134">
        <v>0</v>
      </c>
      <c r="P175" s="243">
        <f>VLOOKUP(Table3236[[#This Row],[Census Tract]],'Population and Diversity Data'!$B$2:$K$823,10,FALSE)</f>
        <v>5</v>
      </c>
      <c r="Q175" s="244" t="str">
        <f>VLOOKUP(Table3236[[#This Row],[Census Tract]],'UI EnergyBurden'!$A$2:$B$184,2,FALSE)</f>
        <v>No</v>
      </c>
      <c r="R175" s="249">
        <f>VLOOKUP(Table3236[[#This Row],[Census Tract]],'Income and Housing Data'!$B$2:$D$823,3,FALSE)</f>
        <v>52586</v>
      </c>
      <c r="S175" s="250" t="str">
        <f>IF($U$7&lt;=Table3236[[#This Row],[Household Income]],IF(Table3236[[#This Row],[Household Income]]&lt;=$U$8, "Yes","No"),"No")</f>
        <v>Yes</v>
      </c>
    </row>
    <row r="176" spans="1:19" x14ac:dyDescent="0.25">
      <c r="A176" s="183">
        <v>9009125300</v>
      </c>
      <c r="B176" s="39" t="s">
        <v>3013</v>
      </c>
      <c r="C176" s="178" t="s">
        <v>944</v>
      </c>
      <c r="D176" s="179">
        <v>0</v>
      </c>
      <c r="E176" s="179">
        <v>250</v>
      </c>
      <c r="F176" s="39">
        <f>Table3236[[#This Row],[Single Family]]+Table3236[[#This Row],[2-4 Units]]+Table3236[[#This Row],[&gt;4 Units]]</f>
        <v>0</v>
      </c>
      <c r="G176" s="39"/>
      <c r="H176" s="39"/>
      <c r="I176" s="39"/>
      <c r="J176" s="132">
        <v>250</v>
      </c>
      <c r="K176" s="39">
        <f>SUM(Table3236[[#This Row],[Single Family ]:[&gt;4 Units ]])</f>
        <v>0</v>
      </c>
      <c r="L176" s="133"/>
      <c r="M176" s="133"/>
      <c r="N176" s="133"/>
      <c r="O176" s="134">
        <v>0</v>
      </c>
      <c r="P176" s="243">
        <f>VLOOKUP(Table3236[[#This Row],[Census Tract]],'Population and Diversity Data'!$B$2:$K$823,10,FALSE)</f>
        <v>5</v>
      </c>
      <c r="Q176" s="244" t="str">
        <f>VLOOKUP(Table3236[[#This Row],[Census Tract]],'UI EnergyBurden'!$A$2:$B$184,2,FALSE)</f>
        <v>No</v>
      </c>
      <c r="R176" s="249">
        <f>VLOOKUP(Table3236[[#This Row],[Census Tract]],'Income and Housing Data'!$B$2:$D$823,3,FALSE)</f>
        <v>52586</v>
      </c>
      <c r="S176" s="250" t="str">
        <f>IF($U$7&lt;=Table3236[[#This Row],[Household Income]],IF(Table3236[[#This Row],[Household Income]]&lt;=$U$8, "Yes","No"),"No")</f>
        <v>Yes</v>
      </c>
    </row>
    <row r="177" spans="1:19" x14ac:dyDescent="0.25">
      <c r="A177" s="183">
        <v>9009125400</v>
      </c>
      <c r="B177" s="39" t="s">
        <v>3010</v>
      </c>
      <c r="C177" s="178" t="s">
        <v>944</v>
      </c>
      <c r="D177" s="179">
        <v>50934.988800000101</v>
      </c>
      <c r="E177" s="179">
        <v>19181.37</v>
      </c>
      <c r="F177" s="39">
        <f>Table3236[[#This Row],[Single Family]]+Table3236[[#This Row],[2-4 Units]]+Table3236[[#This Row],[&gt;4 Units]]</f>
        <v>13</v>
      </c>
      <c r="G177" s="39">
        <v>13</v>
      </c>
      <c r="H177" s="39">
        <v>0</v>
      </c>
      <c r="I177" s="39">
        <v>0</v>
      </c>
      <c r="J177" s="132">
        <v>9683.3700000000008</v>
      </c>
      <c r="K177" s="39">
        <f>SUM(Table3236[[#This Row],[Single Family ]:[&gt;4 Units ]])</f>
        <v>9</v>
      </c>
      <c r="L177" s="133">
        <v>7</v>
      </c>
      <c r="M177" s="133">
        <v>2</v>
      </c>
      <c r="N177" s="133">
        <v>0</v>
      </c>
      <c r="O177" s="134">
        <v>9498</v>
      </c>
      <c r="P177" s="243">
        <f>VLOOKUP(Table3236[[#This Row],[Census Tract]],'Population and Diversity Data'!$B$2:$K$823,10,FALSE)</f>
        <v>3</v>
      </c>
      <c r="Q177" s="244" t="str">
        <f>VLOOKUP(Table3236[[#This Row],[Census Tract]],'UI EnergyBurden'!$A$2:$B$184,2,FALSE)</f>
        <v>No</v>
      </c>
      <c r="R177" s="249">
        <f>VLOOKUP(Table3236[[#This Row],[Census Tract]],'Income and Housing Data'!$B$2:$D$823,3,FALSE)</f>
        <v>39196</v>
      </c>
      <c r="S177" s="250" t="str">
        <f>IF($U$7&lt;=Table3236[[#This Row],[Household Income]],IF(Table3236[[#This Row],[Household Income]]&lt;=$U$8, "Yes","No"),"No")</f>
        <v>No</v>
      </c>
    </row>
    <row r="178" spans="1:19" x14ac:dyDescent="0.25">
      <c r="A178" s="183">
        <v>9009130101</v>
      </c>
      <c r="B178" s="39" t="s">
        <v>3014</v>
      </c>
      <c r="C178" s="178" t="s">
        <v>944</v>
      </c>
      <c r="D178" s="179">
        <v>226.78720000000001</v>
      </c>
      <c r="E178" s="179">
        <v>0</v>
      </c>
      <c r="F178" s="39">
        <f>Table3236[[#This Row],[Single Family]]+Table3236[[#This Row],[2-4 Units]]+Table3236[[#This Row],[&gt;4 Units]]</f>
        <v>0</v>
      </c>
      <c r="G178" s="39"/>
      <c r="H178" s="39"/>
      <c r="I178" s="39"/>
      <c r="J178" s="132">
        <v>0</v>
      </c>
      <c r="K178" s="39">
        <f>SUM(Table3236[[#This Row],[Single Family ]:[&gt;4 Units ]])</f>
        <v>0</v>
      </c>
      <c r="L178" s="133"/>
      <c r="M178" s="133"/>
      <c r="N178" s="133"/>
      <c r="O178" s="134">
        <v>0</v>
      </c>
      <c r="P178" s="243">
        <f>VLOOKUP(Table3236[[#This Row],[Census Tract]],'Population and Diversity Data'!$B$2:$K$823,10,FALSE)</f>
        <v>2</v>
      </c>
      <c r="Q178" s="244" t="str">
        <f>VLOOKUP(Table3236[[#This Row],[Census Tract]],'UI EnergyBurden'!$A$2:$B$184,2,FALSE)</f>
        <v>No</v>
      </c>
      <c r="R178" s="249">
        <f>VLOOKUP(Table3236[[#This Row],[Census Tract]],'Income and Housing Data'!$B$2:$D$823,3,FALSE)</f>
        <v>67262</v>
      </c>
      <c r="S178" s="250" t="str">
        <f>IF($U$7&lt;=Table3236[[#This Row],[Household Income]],IF(Table3236[[#This Row],[Household Income]]&lt;=$U$8, "Yes","No"),"No")</f>
        <v>No</v>
      </c>
    </row>
    <row r="179" spans="1:19" x14ac:dyDescent="0.25">
      <c r="A179" s="183">
        <v>9009130102</v>
      </c>
      <c r="B179" s="39" t="s">
        <v>3010</v>
      </c>
      <c r="C179" s="178" t="s">
        <v>944</v>
      </c>
      <c r="D179" s="179">
        <v>151.18</v>
      </c>
      <c r="E179" s="179">
        <v>0</v>
      </c>
      <c r="F179" s="39">
        <f>Table3236[[#This Row],[Single Family]]+Table3236[[#This Row],[2-4 Units]]+Table3236[[#This Row],[&gt;4 Units]]</f>
        <v>0</v>
      </c>
      <c r="G179" s="39"/>
      <c r="H179" s="39"/>
      <c r="I179" s="39"/>
      <c r="J179" s="132">
        <v>0</v>
      </c>
      <c r="K179" s="39">
        <f>SUM(Table3236[[#This Row],[Single Family ]:[&gt;4 Units ]])</f>
        <v>0</v>
      </c>
      <c r="L179" s="133"/>
      <c r="M179" s="133"/>
      <c r="N179" s="133"/>
      <c r="O179" s="134">
        <v>0</v>
      </c>
      <c r="P179" s="243">
        <f>VLOOKUP(Table3236[[#This Row],[Census Tract]],'Population and Diversity Data'!$B$2:$K$823,10,FALSE)</f>
        <v>2</v>
      </c>
      <c r="Q179" s="244" t="str">
        <f>VLOOKUP(Table3236[[#This Row],[Census Tract]],'UI EnergyBurden'!$A$2:$B$184,2,FALSE)</f>
        <v>No</v>
      </c>
      <c r="R179" s="249">
        <f>VLOOKUP(Table3236[[#This Row],[Census Tract]],'Income and Housing Data'!$B$2:$D$823,3,FALSE)</f>
        <v>71734</v>
      </c>
      <c r="S179" s="250" t="str">
        <f>IF($U$7&lt;=Table3236[[#This Row],[Household Income]],IF(Table3236[[#This Row],[Household Income]]&lt;=$U$8, "Yes","No"),"No")</f>
        <v>No</v>
      </c>
    </row>
    <row r="180" spans="1:19" x14ac:dyDescent="0.25">
      <c r="A180" s="183">
        <v>9009130200</v>
      </c>
      <c r="B180" s="39" t="s">
        <v>3010</v>
      </c>
      <c r="C180" s="178" t="s">
        <v>944</v>
      </c>
      <c r="D180" s="179">
        <v>65.553799999999995</v>
      </c>
      <c r="E180" s="179">
        <v>0</v>
      </c>
      <c r="F180" s="39">
        <f>Table3236[[#This Row],[Single Family]]+Table3236[[#This Row],[2-4 Units]]+Table3236[[#This Row],[&gt;4 Units]]</f>
        <v>0</v>
      </c>
      <c r="G180" s="39"/>
      <c r="H180" s="39"/>
      <c r="I180" s="39"/>
      <c r="J180" s="132">
        <v>0</v>
      </c>
      <c r="K180" s="39">
        <f>SUM(Table3236[[#This Row],[Single Family ]:[&gt;4 Units ]])</f>
        <v>0</v>
      </c>
      <c r="L180" s="133"/>
      <c r="M180" s="133"/>
      <c r="N180" s="133"/>
      <c r="O180" s="134">
        <v>0</v>
      </c>
      <c r="P180" s="243">
        <f>VLOOKUP(Table3236[[#This Row],[Census Tract]],'Population and Diversity Data'!$B$2:$K$823,10,FALSE)</f>
        <v>3</v>
      </c>
      <c r="Q180" s="244" t="str">
        <f>VLOOKUP(Table3236[[#This Row],[Census Tract]],'UI EnergyBurden'!$A$2:$B$184,2,FALSE)</f>
        <v>No</v>
      </c>
      <c r="R180" s="249">
        <f>VLOOKUP(Table3236[[#This Row],[Census Tract]],'Income and Housing Data'!$B$2:$D$823,3,FALSE)</f>
        <v>84340</v>
      </c>
      <c r="S180" s="250" t="str">
        <f>IF($U$7&lt;=Table3236[[#This Row],[Household Income]],IF(Table3236[[#This Row],[Household Income]]&lt;=$U$8, "Yes","No"),"No")</f>
        <v>No</v>
      </c>
    </row>
    <row r="181" spans="1:19" x14ac:dyDescent="0.25">
      <c r="A181" s="183">
        <v>9009130200</v>
      </c>
      <c r="B181" s="39" t="s">
        <v>3011</v>
      </c>
      <c r="C181" s="178" t="s">
        <v>944</v>
      </c>
      <c r="D181" s="179">
        <v>128.1962</v>
      </c>
      <c r="E181" s="179">
        <v>0</v>
      </c>
      <c r="F181" s="39">
        <f>Table3236[[#This Row],[Single Family]]+Table3236[[#This Row],[2-4 Units]]+Table3236[[#This Row],[&gt;4 Units]]</f>
        <v>0</v>
      </c>
      <c r="G181" s="39"/>
      <c r="H181" s="39"/>
      <c r="I181" s="39"/>
      <c r="J181" s="132">
        <v>0</v>
      </c>
      <c r="K181" s="39">
        <f>SUM(Table3236[[#This Row],[Single Family ]:[&gt;4 Units ]])</f>
        <v>0</v>
      </c>
      <c r="L181" s="133"/>
      <c r="M181" s="133"/>
      <c r="N181" s="133"/>
      <c r="O181" s="134">
        <v>0</v>
      </c>
      <c r="P181" s="243">
        <f>VLOOKUP(Table3236[[#This Row],[Census Tract]],'Population and Diversity Data'!$B$2:$K$823,10,FALSE)</f>
        <v>3</v>
      </c>
      <c r="Q181" s="244" t="str">
        <f>VLOOKUP(Table3236[[#This Row],[Census Tract]],'UI EnergyBurden'!$A$2:$B$184,2,FALSE)</f>
        <v>No</v>
      </c>
      <c r="R181" s="249">
        <f>VLOOKUP(Table3236[[#This Row],[Census Tract]],'Income and Housing Data'!$B$2:$D$823,3,FALSE)</f>
        <v>84340</v>
      </c>
      <c r="S181" s="250" t="str">
        <f>IF($U$7&lt;=Table3236[[#This Row],[Household Income]],IF(Table3236[[#This Row],[Household Income]]&lt;=$U$8, "Yes","No"),"No")</f>
        <v>No</v>
      </c>
    </row>
    <row r="182" spans="1:19" x14ac:dyDescent="0.25">
      <c r="A182" s="183">
        <v>9009140100</v>
      </c>
      <c r="B182" s="39" t="s">
        <v>3015</v>
      </c>
      <c r="C182" s="178" t="s">
        <v>944</v>
      </c>
      <c r="D182" s="179">
        <v>0</v>
      </c>
      <c r="E182" s="179">
        <v>370.41</v>
      </c>
      <c r="F182" s="39">
        <f>Table3236[[#This Row],[Single Family]]+Table3236[[#This Row],[2-4 Units]]+Table3236[[#This Row],[&gt;4 Units]]</f>
        <v>2</v>
      </c>
      <c r="G182" s="39">
        <v>2</v>
      </c>
      <c r="H182" s="39">
        <v>0</v>
      </c>
      <c r="I182" s="39">
        <v>0</v>
      </c>
      <c r="J182" s="132">
        <v>370.41</v>
      </c>
      <c r="K182" s="39">
        <f>SUM(Table3236[[#This Row],[Single Family ]:[&gt;4 Units ]])</f>
        <v>0</v>
      </c>
      <c r="L182" s="133"/>
      <c r="M182" s="133"/>
      <c r="N182" s="133"/>
      <c r="O182" s="134">
        <v>0</v>
      </c>
      <c r="P182" s="243">
        <f>VLOOKUP(Table3236[[#This Row],[Census Tract]],'Population and Diversity Data'!$B$2:$K$823,10,FALSE)</f>
        <v>5</v>
      </c>
      <c r="Q182" s="244" t="str">
        <f>VLOOKUP(Table3236[[#This Row],[Census Tract]],'UI EnergyBurden'!$A$2:$B$184,2,FALSE)</f>
        <v>No</v>
      </c>
      <c r="R182" s="249">
        <f>VLOOKUP(Table3236[[#This Row],[Census Tract]],'Income and Housing Data'!$B$2:$D$823,3,FALSE)</f>
        <v>75881</v>
      </c>
      <c r="S182" s="250" t="str">
        <f>IF($U$7&lt;=Table3236[[#This Row],[Household Income]],IF(Table3236[[#This Row],[Household Income]]&lt;=$U$8, "Yes","No"),"No")</f>
        <v>No</v>
      </c>
    </row>
    <row r="183" spans="1:19" x14ac:dyDescent="0.25">
      <c r="A183" s="183">
        <v>9009140100</v>
      </c>
      <c r="B183" s="39" t="s">
        <v>943</v>
      </c>
      <c r="C183" s="178" t="s">
        <v>936</v>
      </c>
      <c r="D183" s="179">
        <v>53179.4405999999</v>
      </c>
      <c r="E183" s="179">
        <v>0</v>
      </c>
      <c r="F183" s="39">
        <f>Table3236[[#This Row],[Single Family]]+Table3236[[#This Row],[2-4 Units]]+Table3236[[#This Row],[&gt;4 Units]]</f>
        <v>0</v>
      </c>
      <c r="G183" s="39"/>
      <c r="H183" s="39"/>
      <c r="I183" s="39"/>
      <c r="J183" s="132">
        <v>0</v>
      </c>
      <c r="K183" s="39">
        <f>SUM(Table3236[[#This Row],[Single Family ]:[&gt;4 Units ]])</f>
        <v>0</v>
      </c>
      <c r="L183" s="133"/>
      <c r="M183" s="133"/>
      <c r="N183" s="133"/>
      <c r="O183" s="134">
        <v>0</v>
      </c>
      <c r="P183" s="243">
        <f>VLOOKUP(Table3236[[#This Row],[Census Tract]],'Population and Diversity Data'!$B$2:$K$823,10,FALSE)</f>
        <v>5</v>
      </c>
      <c r="Q183" s="244" t="str">
        <f>VLOOKUP(Table3236[[#This Row],[Census Tract]],'UI EnergyBurden'!$A$2:$B$184,2,FALSE)</f>
        <v>No</v>
      </c>
      <c r="R183" s="249">
        <f>VLOOKUP(Table3236[[#This Row],[Census Tract]],'Income and Housing Data'!$B$2:$D$823,3,FALSE)</f>
        <v>75881</v>
      </c>
      <c r="S183" s="250" t="str">
        <f>IF($U$7&lt;=Table3236[[#This Row],[Household Income]],IF(Table3236[[#This Row],[Household Income]]&lt;=$U$8, "Yes","No"),"No")</f>
        <v>No</v>
      </c>
    </row>
    <row r="184" spans="1:19" x14ac:dyDescent="0.25">
      <c r="A184" s="183">
        <v>9009140200</v>
      </c>
      <c r="B184" s="39" t="s">
        <v>3015</v>
      </c>
      <c r="C184" s="178" t="s">
        <v>944</v>
      </c>
      <c r="D184" s="179">
        <v>0</v>
      </c>
      <c r="E184" s="179">
        <v>0</v>
      </c>
      <c r="F184" s="39">
        <f>Table3236[[#This Row],[Single Family]]+Table3236[[#This Row],[2-4 Units]]+Table3236[[#This Row],[&gt;4 Units]]</f>
        <v>0</v>
      </c>
      <c r="G184" s="39"/>
      <c r="H184" s="39"/>
      <c r="I184" s="39"/>
      <c r="J184" s="132">
        <v>0</v>
      </c>
      <c r="K184" s="39">
        <f>SUM(Table3236[[#This Row],[Single Family ]:[&gt;4 Units ]])</f>
        <v>0</v>
      </c>
      <c r="L184" s="133"/>
      <c r="M184" s="133"/>
      <c r="N184" s="133"/>
      <c r="O184" s="134">
        <v>0</v>
      </c>
      <c r="P184" s="243">
        <f>VLOOKUP(Table3236[[#This Row],[Census Tract]],'Population and Diversity Data'!$B$2:$K$823,10,FALSE)</f>
        <v>3</v>
      </c>
      <c r="Q184" s="244" t="str">
        <f>VLOOKUP(Table3236[[#This Row],[Census Tract]],'UI EnergyBurden'!$A$2:$B$184,2,FALSE)</f>
        <v>Yes</v>
      </c>
      <c r="R184" s="249">
        <f>VLOOKUP(Table3236[[#This Row],[Census Tract]],'Income and Housing Data'!$B$2:$D$823,3,FALSE)</f>
        <v>15000</v>
      </c>
      <c r="S184" s="250" t="str">
        <f>IF($U$7&lt;=Table3236[[#This Row],[Household Income]],IF(Table3236[[#This Row],[Household Income]]&lt;=$U$8, "Yes","No"),"No")</f>
        <v>No</v>
      </c>
    </row>
    <row r="185" spans="1:19" x14ac:dyDescent="0.25">
      <c r="A185" s="183">
        <v>9009140200</v>
      </c>
      <c r="B185" s="39" t="s">
        <v>943</v>
      </c>
      <c r="C185" s="178" t="s">
        <v>936</v>
      </c>
      <c r="D185" s="179">
        <v>5569.7996999999996</v>
      </c>
      <c r="E185" s="179">
        <v>0</v>
      </c>
      <c r="F185" s="39">
        <f>Table3236[[#This Row],[Single Family]]+Table3236[[#This Row],[2-4 Units]]+Table3236[[#This Row],[&gt;4 Units]]</f>
        <v>0</v>
      </c>
      <c r="G185" s="39"/>
      <c r="H185" s="39"/>
      <c r="I185" s="39"/>
      <c r="J185" s="132">
        <v>0</v>
      </c>
      <c r="K185" s="39">
        <f>SUM(Table3236[[#This Row],[Single Family ]:[&gt;4 Units ]])</f>
        <v>0</v>
      </c>
      <c r="L185" s="133"/>
      <c r="M185" s="133"/>
      <c r="N185" s="133"/>
      <c r="O185" s="134">
        <v>0</v>
      </c>
      <c r="P185" s="243">
        <f>VLOOKUP(Table3236[[#This Row],[Census Tract]],'Population and Diversity Data'!$B$2:$K$823,10,FALSE)</f>
        <v>3</v>
      </c>
      <c r="Q185" s="244" t="str">
        <f>VLOOKUP(Table3236[[#This Row],[Census Tract]],'UI EnergyBurden'!$A$2:$B$184,2,FALSE)</f>
        <v>Yes</v>
      </c>
      <c r="R185" s="249">
        <f>VLOOKUP(Table3236[[#This Row],[Census Tract]],'Income and Housing Data'!$B$2:$D$823,3,FALSE)</f>
        <v>15000</v>
      </c>
      <c r="S185" s="250" t="str">
        <f>IF($U$7&lt;=Table3236[[#This Row],[Household Income]],IF(Table3236[[#This Row],[Household Income]]&lt;=$U$8, "Yes","No"),"No")</f>
        <v>No</v>
      </c>
    </row>
    <row r="186" spans="1:19" x14ac:dyDescent="0.25">
      <c r="A186" s="183">
        <v>9009140300</v>
      </c>
      <c r="B186" s="39" t="s">
        <v>3015</v>
      </c>
      <c r="C186" s="178" t="s">
        <v>944</v>
      </c>
      <c r="D186" s="179">
        <v>0</v>
      </c>
      <c r="E186" s="179">
        <v>2174.4499999999998</v>
      </c>
      <c r="F186" s="39">
        <f>Table3236[[#This Row],[Single Family]]+Table3236[[#This Row],[2-4 Units]]+Table3236[[#This Row],[&gt;4 Units]]</f>
        <v>1</v>
      </c>
      <c r="G186" s="39">
        <v>1</v>
      </c>
      <c r="H186" s="39">
        <v>0</v>
      </c>
      <c r="I186" s="39">
        <v>0</v>
      </c>
      <c r="J186" s="132">
        <v>284.16000000000003</v>
      </c>
      <c r="K186" s="39">
        <f>SUM(Table3236[[#This Row],[Single Family ]:[&gt;4 Units ]])</f>
        <v>10</v>
      </c>
      <c r="L186" s="133">
        <v>2</v>
      </c>
      <c r="M186" s="133">
        <v>8</v>
      </c>
      <c r="N186" s="133">
        <v>0</v>
      </c>
      <c r="O186" s="134">
        <v>1890.29</v>
      </c>
      <c r="P186" s="243">
        <f>VLOOKUP(Table3236[[#This Row],[Census Tract]],'Population and Diversity Data'!$B$2:$K$823,10,FALSE)</f>
        <v>5</v>
      </c>
      <c r="Q186" s="244" t="str">
        <f>VLOOKUP(Table3236[[#This Row],[Census Tract]],'UI EnergyBurden'!$A$2:$B$184,2,FALSE)</f>
        <v>Yes</v>
      </c>
      <c r="R186" s="249">
        <f>VLOOKUP(Table3236[[#This Row],[Census Tract]],'Income and Housing Data'!$B$2:$D$823,3,FALSE)</f>
        <v>33942</v>
      </c>
      <c r="S186" s="250" t="str">
        <f>IF($U$7&lt;=Table3236[[#This Row],[Household Income]],IF(Table3236[[#This Row],[Household Income]]&lt;=$U$8, "Yes","No"),"No")</f>
        <v>No</v>
      </c>
    </row>
    <row r="187" spans="1:19" x14ac:dyDescent="0.25">
      <c r="A187" s="183">
        <v>9009140300</v>
      </c>
      <c r="B187" s="39" t="s">
        <v>943</v>
      </c>
      <c r="C187" s="178" t="s">
        <v>936</v>
      </c>
      <c r="D187" s="179">
        <v>27566.794900000001</v>
      </c>
      <c r="E187" s="179">
        <v>0</v>
      </c>
      <c r="F187" s="39">
        <f>Table3236[[#This Row],[Single Family]]+Table3236[[#This Row],[2-4 Units]]+Table3236[[#This Row],[&gt;4 Units]]</f>
        <v>0</v>
      </c>
      <c r="G187" s="39"/>
      <c r="H187" s="39"/>
      <c r="I187" s="39"/>
      <c r="J187" s="132">
        <v>0</v>
      </c>
      <c r="K187" s="39">
        <f>SUM(Table3236[[#This Row],[Single Family ]:[&gt;4 Units ]])</f>
        <v>0</v>
      </c>
      <c r="L187" s="133"/>
      <c r="M187" s="133"/>
      <c r="N187" s="133"/>
      <c r="O187" s="134">
        <v>0</v>
      </c>
      <c r="P187" s="243">
        <f>VLOOKUP(Table3236[[#This Row],[Census Tract]],'Population and Diversity Data'!$B$2:$K$823,10,FALSE)</f>
        <v>5</v>
      </c>
      <c r="Q187" s="244" t="str">
        <f>VLOOKUP(Table3236[[#This Row],[Census Tract]],'UI EnergyBurden'!$A$2:$B$184,2,FALSE)</f>
        <v>Yes</v>
      </c>
      <c r="R187" s="249">
        <f>VLOOKUP(Table3236[[#This Row],[Census Tract]],'Income and Housing Data'!$B$2:$D$823,3,FALSE)</f>
        <v>33942</v>
      </c>
      <c r="S187" s="250" t="str">
        <f>IF($U$7&lt;=Table3236[[#This Row],[Household Income]],IF(Table3236[[#This Row],[Household Income]]&lt;=$U$8, "Yes","No"),"No")</f>
        <v>No</v>
      </c>
    </row>
    <row r="188" spans="1:19" x14ac:dyDescent="0.25">
      <c r="A188" s="183">
        <v>9009140400</v>
      </c>
      <c r="B188" s="39" t="s">
        <v>3015</v>
      </c>
      <c r="C188" s="178" t="s">
        <v>944</v>
      </c>
      <c r="D188" s="179">
        <v>0</v>
      </c>
      <c r="E188" s="179">
        <v>1533.48</v>
      </c>
      <c r="F188" s="39">
        <f>Table3236[[#This Row],[Single Family]]+Table3236[[#This Row],[2-4 Units]]+Table3236[[#This Row],[&gt;4 Units]]</f>
        <v>4</v>
      </c>
      <c r="G188" s="39">
        <v>4</v>
      </c>
      <c r="H188" s="39">
        <v>0</v>
      </c>
      <c r="I188" s="39">
        <v>0</v>
      </c>
      <c r="J188" s="132">
        <v>913.68</v>
      </c>
      <c r="K188" s="39">
        <f>SUM(Table3236[[#This Row],[Single Family ]:[&gt;4 Units ]])</f>
        <v>4</v>
      </c>
      <c r="L188" s="133">
        <v>1</v>
      </c>
      <c r="M188" s="133">
        <v>3</v>
      </c>
      <c r="N188" s="133">
        <v>0</v>
      </c>
      <c r="O188" s="134">
        <v>619.79999999999995</v>
      </c>
      <c r="P188" s="243">
        <f>VLOOKUP(Table3236[[#This Row],[Census Tract]],'Population and Diversity Data'!$B$2:$K$823,10,FALSE)</f>
        <v>5</v>
      </c>
      <c r="Q188" s="244" t="str">
        <f>VLOOKUP(Table3236[[#This Row],[Census Tract]],'UI EnergyBurden'!$A$2:$B$184,2,FALSE)</f>
        <v>No</v>
      </c>
      <c r="R188" s="249">
        <f>VLOOKUP(Table3236[[#This Row],[Census Tract]],'Income and Housing Data'!$B$2:$D$823,3,FALSE)</f>
        <v>42826</v>
      </c>
      <c r="S188" s="250" t="str">
        <f>IF($U$7&lt;=Table3236[[#This Row],[Household Income]],IF(Table3236[[#This Row],[Household Income]]&lt;=$U$8, "Yes","No"),"No")</f>
        <v>No</v>
      </c>
    </row>
    <row r="189" spans="1:19" x14ac:dyDescent="0.25">
      <c r="A189" s="183">
        <v>9009140400</v>
      </c>
      <c r="B189" s="39" t="s">
        <v>943</v>
      </c>
      <c r="C189" s="178" t="s">
        <v>936</v>
      </c>
      <c r="D189" s="179">
        <v>41243.352400000098</v>
      </c>
      <c r="E189" s="179">
        <v>0</v>
      </c>
      <c r="F189" s="39">
        <f>Table3236[[#This Row],[Single Family]]+Table3236[[#This Row],[2-4 Units]]+Table3236[[#This Row],[&gt;4 Units]]</f>
        <v>0</v>
      </c>
      <c r="G189" s="39"/>
      <c r="H189" s="39"/>
      <c r="I189" s="39"/>
      <c r="J189" s="132">
        <v>0</v>
      </c>
      <c r="K189" s="39">
        <f>SUM(Table3236[[#This Row],[Single Family ]:[&gt;4 Units ]])</f>
        <v>0</v>
      </c>
      <c r="L189" s="133"/>
      <c r="M189" s="133"/>
      <c r="N189" s="133"/>
      <c r="O189" s="134">
        <v>0</v>
      </c>
      <c r="P189" s="243">
        <f>VLOOKUP(Table3236[[#This Row],[Census Tract]],'Population and Diversity Data'!$B$2:$K$823,10,FALSE)</f>
        <v>5</v>
      </c>
      <c r="Q189" s="244" t="str">
        <f>VLOOKUP(Table3236[[#This Row],[Census Tract]],'UI EnergyBurden'!$A$2:$B$184,2,FALSE)</f>
        <v>No</v>
      </c>
      <c r="R189" s="249">
        <f>VLOOKUP(Table3236[[#This Row],[Census Tract]],'Income and Housing Data'!$B$2:$D$823,3,FALSE)</f>
        <v>42826</v>
      </c>
      <c r="S189" s="250" t="str">
        <f>IF($U$7&lt;=Table3236[[#This Row],[Household Income]],IF(Table3236[[#This Row],[Household Income]]&lt;=$U$8, "Yes","No"),"No")</f>
        <v>No</v>
      </c>
    </row>
    <row r="190" spans="1:19" x14ac:dyDescent="0.25">
      <c r="A190" s="183">
        <v>9009140500</v>
      </c>
      <c r="B190" s="39" t="s">
        <v>3015</v>
      </c>
      <c r="C190" s="178" t="s">
        <v>944</v>
      </c>
      <c r="D190" s="179">
        <v>0</v>
      </c>
      <c r="E190" s="179">
        <v>2256.9499999999998</v>
      </c>
      <c r="F190" s="39">
        <f>Table3236[[#This Row],[Single Family]]+Table3236[[#This Row],[2-4 Units]]+Table3236[[#This Row],[&gt;4 Units]]</f>
        <v>4</v>
      </c>
      <c r="G190" s="39">
        <v>4</v>
      </c>
      <c r="H190" s="39">
        <v>0</v>
      </c>
      <c r="I190" s="39">
        <v>0</v>
      </c>
      <c r="J190" s="132">
        <v>1274.28</v>
      </c>
      <c r="K190" s="39">
        <f>SUM(Table3236[[#This Row],[Single Family ]:[&gt;4 Units ]])</f>
        <v>5</v>
      </c>
      <c r="L190" s="133">
        <v>3</v>
      </c>
      <c r="M190" s="133">
        <v>2</v>
      </c>
      <c r="N190" s="133">
        <v>0</v>
      </c>
      <c r="O190" s="134">
        <v>982.67</v>
      </c>
      <c r="P190" s="243">
        <f>VLOOKUP(Table3236[[#This Row],[Census Tract]],'Population and Diversity Data'!$B$2:$K$823,10,FALSE)</f>
        <v>5</v>
      </c>
      <c r="Q190" s="244" t="str">
        <f>VLOOKUP(Table3236[[#This Row],[Census Tract]],'UI EnergyBurden'!$A$2:$B$184,2,FALSE)</f>
        <v>Yes</v>
      </c>
      <c r="R190" s="249">
        <f>VLOOKUP(Table3236[[#This Row],[Census Tract]],'Income and Housing Data'!$B$2:$D$823,3,FALSE)</f>
        <v>29167</v>
      </c>
      <c r="S190" s="250" t="str">
        <f>IF($U$7&lt;=Table3236[[#This Row],[Household Income]],IF(Table3236[[#This Row],[Household Income]]&lt;=$U$8, "Yes","No"),"No")</f>
        <v>No</v>
      </c>
    </row>
    <row r="191" spans="1:19" x14ac:dyDescent="0.25">
      <c r="A191" s="183">
        <v>9009140500</v>
      </c>
      <c r="B191" s="39" t="s">
        <v>943</v>
      </c>
      <c r="C191" s="178" t="s">
        <v>936</v>
      </c>
      <c r="D191" s="179">
        <v>40619.569599999901</v>
      </c>
      <c r="E191" s="179">
        <v>0</v>
      </c>
      <c r="F191" s="39">
        <f>Table3236[[#This Row],[Single Family]]+Table3236[[#This Row],[2-4 Units]]+Table3236[[#This Row],[&gt;4 Units]]</f>
        <v>0</v>
      </c>
      <c r="G191" s="39"/>
      <c r="H191" s="39"/>
      <c r="I191" s="39"/>
      <c r="J191" s="132">
        <v>0</v>
      </c>
      <c r="K191" s="39">
        <f>SUM(Table3236[[#This Row],[Single Family ]:[&gt;4 Units ]])</f>
        <v>0</v>
      </c>
      <c r="L191" s="133"/>
      <c r="M191" s="133"/>
      <c r="N191" s="133"/>
      <c r="O191" s="134">
        <v>0</v>
      </c>
      <c r="P191" s="243">
        <f>VLOOKUP(Table3236[[#This Row],[Census Tract]],'Population and Diversity Data'!$B$2:$K$823,10,FALSE)</f>
        <v>5</v>
      </c>
      <c r="Q191" s="244" t="str">
        <f>VLOOKUP(Table3236[[#This Row],[Census Tract]],'UI EnergyBurden'!$A$2:$B$184,2,FALSE)</f>
        <v>Yes</v>
      </c>
      <c r="R191" s="249">
        <f>VLOOKUP(Table3236[[#This Row],[Census Tract]],'Income and Housing Data'!$B$2:$D$823,3,FALSE)</f>
        <v>29167</v>
      </c>
      <c r="S191" s="250" t="str">
        <f>IF($U$7&lt;=Table3236[[#This Row],[Household Income]],IF(Table3236[[#This Row],[Household Income]]&lt;=$U$8, "Yes","No"),"No")</f>
        <v>No</v>
      </c>
    </row>
    <row r="192" spans="1:19" x14ac:dyDescent="0.25">
      <c r="A192" s="183">
        <v>9009140600</v>
      </c>
      <c r="B192" s="39" t="s">
        <v>3015</v>
      </c>
      <c r="C192" s="178" t="s">
        <v>944</v>
      </c>
      <c r="D192" s="179">
        <v>0</v>
      </c>
      <c r="E192" s="179">
        <v>3999.65</v>
      </c>
      <c r="F192" s="39">
        <f>Table3236[[#This Row],[Single Family]]+Table3236[[#This Row],[2-4 Units]]+Table3236[[#This Row],[&gt;4 Units]]</f>
        <v>4</v>
      </c>
      <c r="G192" s="39">
        <v>3</v>
      </c>
      <c r="H192" s="39">
        <v>1</v>
      </c>
      <c r="I192" s="39">
        <v>0</v>
      </c>
      <c r="J192" s="132">
        <v>352.22</v>
      </c>
      <c r="K192" s="39">
        <f>SUM(Table3236[[#This Row],[Single Family ]:[&gt;4 Units ]])</f>
        <v>13</v>
      </c>
      <c r="L192" s="133">
        <v>5</v>
      </c>
      <c r="M192" s="133">
        <v>8</v>
      </c>
      <c r="N192" s="133">
        <v>0</v>
      </c>
      <c r="O192" s="134">
        <v>2334.9299999999998</v>
      </c>
      <c r="P192" s="243">
        <f>VLOOKUP(Table3236[[#This Row],[Census Tract]],'Population and Diversity Data'!$B$2:$K$823,10,FALSE)</f>
        <v>5</v>
      </c>
      <c r="Q192" s="244" t="str">
        <f>VLOOKUP(Table3236[[#This Row],[Census Tract]],'UI EnergyBurden'!$A$2:$B$184,2,FALSE)</f>
        <v>Yes</v>
      </c>
      <c r="R192" s="249">
        <f>VLOOKUP(Table3236[[#This Row],[Census Tract]],'Income and Housing Data'!$B$2:$D$823,3,FALSE)</f>
        <v>27964</v>
      </c>
      <c r="S192" s="250" t="str">
        <f>IF($U$7&lt;=Table3236[[#This Row],[Household Income]],IF(Table3236[[#This Row],[Household Income]]&lt;=$U$8, "Yes","No"),"No")</f>
        <v>No</v>
      </c>
    </row>
    <row r="193" spans="1:19" x14ac:dyDescent="0.25">
      <c r="A193" s="183">
        <v>9009140600</v>
      </c>
      <c r="B193" s="39" t="s">
        <v>943</v>
      </c>
      <c r="C193" s="178" t="s">
        <v>936</v>
      </c>
      <c r="D193" s="179">
        <v>52288.773399999904</v>
      </c>
      <c r="E193" s="179">
        <v>0</v>
      </c>
      <c r="F193" s="39">
        <f>Table3236[[#This Row],[Single Family]]+Table3236[[#This Row],[2-4 Units]]+Table3236[[#This Row],[&gt;4 Units]]</f>
        <v>0</v>
      </c>
      <c r="G193" s="39"/>
      <c r="H193" s="39"/>
      <c r="I193" s="39"/>
      <c r="J193" s="132">
        <v>0</v>
      </c>
      <c r="K193" s="39">
        <f>SUM(Table3236[[#This Row],[Single Family ]:[&gt;4 Units ]])</f>
        <v>0</v>
      </c>
      <c r="L193" s="133"/>
      <c r="M193" s="133"/>
      <c r="N193" s="133"/>
      <c r="O193" s="134">
        <v>0</v>
      </c>
      <c r="P193" s="243">
        <f>VLOOKUP(Table3236[[#This Row],[Census Tract]],'Population and Diversity Data'!$B$2:$K$823,10,FALSE)</f>
        <v>5</v>
      </c>
      <c r="Q193" s="244" t="str">
        <f>VLOOKUP(Table3236[[#This Row],[Census Tract]],'UI EnergyBurden'!$A$2:$B$184,2,FALSE)</f>
        <v>Yes</v>
      </c>
      <c r="R193" s="249">
        <f>VLOOKUP(Table3236[[#This Row],[Census Tract]],'Income and Housing Data'!$B$2:$D$823,3,FALSE)</f>
        <v>27964</v>
      </c>
      <c r="S193" s="250" t="str">
        <f>IF($U$7&lt;=Table3236[[#This Row],[Household Income]],IF(Table3236[[#This Row],[Household Income]]&lt;=$U$8, "Yes","No"),"No")</f>
        <v>No</v>
      </c>
    </row>
    <row r="194" spans="1:19" x14ac:dyDescent="0.25">
      <c r="A194" s="183">
        <v>9009140700</v>
      </c>
      <c r="B194" s="39" t="s">
        <v>3015</v>
      </c>
      <c r="C194" s="178" t="s">
        <v>944</v>
      </c>
      <c r="D194" s="179">
        <v>0</v>
      </c>
      <c r="E194" s="179">
        <v>2774.03</v>
      </c>
      <c r="F194" s="39">
        <f>Table3236[[#This Row],[Single Family]]+Table3236[[#This Row],[2-4 Units]]+Table3236[[#This Row],[&gt;4 Units]]</f>
        <v>2</v>
      </c>
      <c r="G194" s="39">
        <v>1</v>
      </c>
      <c r="H194" s="39">
        <v>1</v>
      </c>
      <c r="I194" s="39">
        <v>0</v>
      </c>
      <c r="J194" s="132">
        <v>1320</v>
      </c>
      <c r="K194" s="39">
        <f>SUM(Table3236[[#This Row],[Single Family ]:[&gt;4 Units ]])</f>
        <v>4</v>
      </c>
      <c r="L194" s="133">
        <v>0</v>
      </c>
      <c r="M194" s="133">
        <v>4</v>
      </c>
      <c r="N194" s="133">
        <v>0</v>
      </c>
      <c r="O194" s="134">
        <v>1454.03</v>
      </c>
      <c r="P194" s="243">
        <f>VLOOKUP(Table3236[[#This Row],[Census Tract]],'Population and Diversity Data'!$B$2:$K$823,10,FALSE)</f>
        <v>5</v>
      </c>
      <c r="Q194" s="244" t="str">
        <f>VLOOKUP(Table3236[[#This Row],[Census Tract]],'UI EnergyBurden'!$A$2:$B$184,2,FALSE)</f>
        <v>No</v>
      </c>
      <c r="R194" s="249">
        <f>VLOOKUP(Table3236[[#This Row],[Census Tract]],'Income and Housing Data'!$B$2:$D$823,3,FALSE)</f>
        <v>30383</v>
      </c>
      <c r="S194" s="250" t="str">
        <f>IF($U$7&lt;=Table3236[[#This Row],[Household Income]],IF(Table3236[[#This Row],[Household Income]]&lt;=$U$8, "Yes","No"),"No")</f>
        <v>No</v>
      </c>
    </row>
    <row r="195" spans="1:19" x14ac:dyDescent="0.25">
      <c r="A195" s="183">
        <v>9009140700</v>
      </c>
      <c r="B195" s="39" t="s">
        <v>943</v>
      </c>
      <c r="C195" s="178" t="s">
        <v>936</v>
      </c>
      <c r="D195" s="179">
        <v>46744.9413999998</v>
      </c>
      <c r="E195" s="179">
        <v>0</v>
      </c>
      <c r="F195" s="39">
        <f>Table3236[[#This Row],[Single Family]]+Table3236[[#This Row],[2-4 Units]]+Table3236[[#This Row],[&gt;4 Units]]</f>
        <v>0</v>
      </c>
      <c r="G195" s="39"/>
      <c r="H195" s="39"/>
      <c r="I195" s="39"/>
      <c r="J195" s="132">
        <v>0</v>
      </c>
      <c r="K195" s="39">
        <f>SUM(Table3236[[#This Row],[Single Family ]:[&gt;4 Units ]])</f>
        <v>0</v>
      </c>
      <c r="L195" s="133"/>
      <c r="M195" s="133"/>
      <c r="N195" s="133"/>
      <c r="O195" s="134">
        <v>0</v>
      </c>
      <c r="P195" s="243">
        <f>VLOOKUP(Table3236[[#This Row],[Census Tract]],'Population and Diversity Data'!$B$2:$K$823,10,FALSE)</f>
        <v>5</v>
      </c>
      <c r="Q195" s="244" t="str">
        <f>VLOOKUP(Table3236[[#This Row],[Census Tract]],'UI EnergyBurden'!$A$2:$B$184,2,FALSE)</f>
        <v>No</v>
      </c>
      <c r="R195" s="249">
        <f>VLOOKUP(Table3236[[#This Row],[Census Tract]],'Income and Housing Data'!$B$2:$D$823,3,FALSE)</f>
        <v>30383</v>
      </c>
      <c r="S195" s="250" t="str">
        <f>IF($U$7&lt;=Table3236[[#This Row],[Household Income]],IF(Table3236[[#This Row],[Household Income]]&lt;=$U$8, "Yes","No"),"No")</f>
        <v>No</v>
      </c>
    </row>
    <row r="196" spans="1:19" x14ac:dyDescent="0.25">
      <c r="A196" s="183">
        <v>9009140800</v>
      </c>
      <c r="B196" s="39" t="s">
        <v>3005</v>
      </c>
      <c r="C196" s="178" t="s">
        <v>944</v>
      </c>
      <c r="D196" s="179">
        <v>0</v>
      </c>
      <c r="E196" s="179">
        <v>275</v>
      </c>
      <c r="F196" s="39">
        <f>Table3236[[#This Row],[Single Family]]+Table3236[[#This Row],[2-4 Units]]+Table3236[[#This Row],[&gt;4 Units]]</f>
        <v>0</v>
      </c>
      <c r="G196" s="39"/>
      <c r="H196" s="39"/>
      <c r="I196" s="39"/>
      <c r="J196" s="132">
        <v>275</v>
      </c>
      <c r="K196" s="39">
        <f>SUM(Table3236[[#This Row],[Single Family ]:[&gt;4 Units ]])</f>
        <v>0</v>
      </c>
      <c r="L196" s="133"/>
      <c r="M196" s="133"/>
      <c r="N196" s="133"/>
      <c r="O196" s="134">
        <v>0</v>
      </c>
      <c r="P196" s="243">
        <f>VLOOKUP(Table3236[[#This Row],[Census Tract]],'Population and Diversity Data'!$B$2:$K$823,10,FALSE)</f>
        <v>4</v>
      </c>
      <c r="Q196" s="244" t="str">
        <f>VLOOKUP(Table3236[[#This Row],[Census Tract]],'UI EnergyBurden'!$A$2:$B$184,2,FALSE)</f>
        <v>No</v>
      </c>
      <c r="R196" s="249">
        <f>VLOOKUP(Table3236[[#This Row],[Census Tract]],'Income and Housing Data'!$B$2:$D$823,3,FALSE)</f>
        <v>29281</v>
      </c>
      <c r="S196" s="250" t="str">
        <f>IF($U$7&lt;=Table3236[[#This Row],[Household Income]],IF(Table3236[[#This Row],[Household Income]]&lt;=$U$8, "Yes","No"),"No")</f>
        <v>No</v>
      </c>
    </row>
    <row r="197" spans="1:19" x14ac:dyDescent="0.25">
      <c r="A197" s="183">
        <v>9009140800</v>
      </c>
      <c r="B197" s="39" t="s">
        <v>3016</v>
      </c>
      <c r="C197" s="178" t="s">
        <v>944</v>
      </c>
      <c r="D197" s="179">
        <v>0</v>
      </c>
      <c r="E197" s="179">
        <v>110</v>
      </c>
      <c r="F197" s="39">
        <f>Table3236[[#This Row],[Single Family]]+Table3236[[#This Row],[2-4 Units]]+Table3236[[#This Row],[&gt;4 Units]]</f>
        <v>0</v>
      </c>
      <c r="G197" s="39"/>
      <c r="H197" s="39"/>
      <c r="I197" s="39"/>
      <c r="J197" s="132">
        <v>110</v>
      </c>
      <c r="K197" s="39">
        <f>SUM(Table3236[[#This Row],[Single Family ]:[&gt;4 Units ]])</f>
        <v>0</v>
      </c>
      <c r="L197" s="133"/>
      <c r="M197" s="133"/>
      <c r="N197" s="133"/>
      <c r="O197" s="134">
        <v>0</v>
      </c>
      <c r="P197" s="243">
        <f>VLOOKUP(Table3236[[#This Row],[Census Tract]],'Population and Diversity Data'!$B$2:$K$823,10,FALSE)</f>
        <v>4</v>
      </c>
      <c r="Q197" s="244" t="str">
        <f>VLOOKUP(Table3236[[#This Row],[Census Tract]],'UI EnergyBurden'!$A$2:$B$184,2,FALSE)</f>
        <v>No</v>
      </c>
      <c r="R197" s="249">
        <f>VLOOKUP(Table3236[[#This Row],[Census Tract]],'Income and Housing Data'!$B$2:$D$823,3,FALSE)</f>
        <v>29281</v>
      </c>
      <c r="S197" s="250" t="str">
        <f>IF($U$7&lt;=Table3236[[#This Row],[Household Income]],IF(Table3236[[#This Row],[Household Income]]&lt;=$U$8, "Yes","No"),"No")</f>
        <v>No</v>
      </c>
    </row>
    <row r="198" spans="1:19" x14ac:dyDescent="0.25">
      <c r="A198" s="183">
        <v>9009140800</v>
      </c>
      <c r="B198" s="39" t="s">
        <v>2985</v>
      </c>
      <c r="C198" s="178" t="s">
        <v>944</v>
      </c>
      <c r="D198" s="179">
        <v>0</v>
      </c>
      <c r="E198" s="179">
        <v>860</v>
      </c>
      <c r="F198" s="39">
        <f>Table3236[[#This Row],[Single Family]]+Table3236[[#This Row],[2-4 Units]]+Table3236[[#This Row],[&gt;4 Units]]</f>
        <v>0</v>
      </c>
      <c r="G198" s="39"/>
      <c r="H198" s="39"/>
      <c r="I198" s="39"/>
      <c r="J198" s="132">
        <v>860</v>
      </c>
      <c r="K198" s="39">
        <f>SUM(Table3236[[#This Row],[Single Family ]:[&gt;4 Units ]])</f>
        <v>0</v>
      </c>
      <c r="L198" s="133"/>
      <c r="M198" s="133"/>
      <c r="N198" s="133"/>
      <c r="O198" s="134">
        <v>0</v>
      </c>
      <c r="P198" s="243">
        <f>VLOOKUP(Table3236[[#This Row],[Census Tract]],'Population and Diversity Data'!$B$2:$K$823,10,FALSE)</f>
        <v>4</v>
      </c>
      <c r="Q198" s="244" t="str">
        <f>VLOOKUP(Table3236[[#This Row],[Census Tract]],'UI EnergyBurden'!$A$2:$B$184,2,FALSE)</f>
        <v>No</v>
      </c>
      <c r="R198" s="249">
        <f>VLOOKUP(Table3236[[#This Row],[Census Tract]],'Income and Housing Data'!$B$2:$D$823,3,FALSE)</f>
        <v>29281</v>
      </c>
      <c r="S198" s="250" t="str">
        <f>IF($U$7&lt;=Table3236[[#This Row],[Household Income]],IF(Table3236[[#This Row],[Household Income]]&lt;=$U$8, "Yes","No"),"No")</f>
        <v>No</v>
      </c>
    </row>
    <row r="199" spans="1:19" x14ac:dyDescent="0.25">
      <c r="A199" s="183">
        <v>9009140800</v>
      </c>
      <c r="B199" s="39" t="s">
        <v>3017</v>
      </c>
      <c r="C199" s="178" t="s">
        <v>944</v>
      </c>
      <c r="D199" s="179">
        <v>0</v>
      </c>
      <c r="E199" s="179">
        <v>155</v>
      </c>
      <c r="F199" s="39">
        <f>Table3236[[#This Row],[Single Family]]+Table3236[[#This Row],[2-4 Units]]+Table3236[[#This Row],[&gt;4 Units]]</f>
        <v>0</v>
      </c>
      <c r="G199" s="39"/>
      <c r="H199" s="39"/>
      <c r="I199" s="39"/>
      <c r="J199" s="132">
        <v>155</v>
      </c>
      <c r="K199" s="39">
        <f>SUM(Table3236[[#This Row],[Single Family ]:[&gt;4 Units ]])</f>
        <v>0</v>
      </c>
      <c r="L199" s="133"/>
      <c r="M199" s="133"/>
      <c r="N199" s="133"/>
      <c r="O199" s="134">
        <v>0</v>
      </c>
      <c r="P199" s="243">
        <f>VLOOKUP(Table3236[[#This Row],[Census Tract]],'Population and Diversity Data'!$B$2:$K$823,10,FALSE)</f>
        <v>4</v>
      </c>
      <c r="Q199" s="244" t="str">
        <f>VLOOKUP(Table3236[[#This Row],[Census Tract]],'UI EnergyBurden'!$A$2:$B$184,2,FALSE)</f>
        <v>No</v>
      </c>
      <c r="R199" s="249">
        <f>VLOOKUP(Table3236[[#This Row],[Census Tract]],'Income and Housing Data'!$B$2:$D$823,3,FALSE)</f>
        <v>29281</v>
      </c>
      <c r="S199" s="250" t="str">
        <f>IF($U$7&lt;=Table3236[[#This Row],[Household Income]],IF(Table3236[[#This Row],[Household Income]]&lt;=$U$8, "Yes","No"),"No")</f>
        <v>No</v>
      </c>
    </row>
    <row r="200" spans="1:19" x14ac:dyDescent="0.25">
      <c r="A200" s="183">
        <v>9009140800</v>
      </c>
      <c r="B200" s="39" t="s">
        <v>3018</v>
      </c>
      <c r="C200" s="178" t="s">
        <v>944</v>
      </c>
      <c r="D200" s="179">
        <v>0</v>
      </c>
      <c r="E200" s="179">
        <v>95</v>
      </c>
      <c r="F200" s="39">
        <f>Table3236[[#This Row],[Single Family]]+Table3236[[#This Row],[2-4 Units]]+Table3236[[#This Row],[&gt;4 Units]]</f>
        <v>0</v>
      </c>
      <c r="G200" s="39"/>
      <c r="H200" s="39"/>
      <c r="I200" s="39"/>
      <c r="J200" s="132">
        <v>95</v>
      </c>
      <c r="K200" s="39">
        <f>SUM(Table3236[[#This Row],[Single Family ]:[&gt;4 Units ]])</f>
        <v>0</v>
      </c>
      <c r="L200" s="133"/>
      <c r="M200" s="133"/>
      <c r="N200" s="133"/>
      <c r="O200" s="134">
        <v>0</v>
      </c>
      <c r="P200" s="243">
        <f>VLOOKUP(Table3236[[#This Row],[Census Tract]],'Population and Diversity Data'!$B$2:$K$823,10,FALSE)</f>
        <v>4</v>
      </c>
      <c r="Q200" s="244" t="str">
        <f>VLOOKUP(Table3236[[#This Row],[Census Tract]],'UI EnergyBurden'!$A$2:$B$184,2,FALSE)</f>
        <v>No</v>
      </c>
      <c r="R200" s="249">
        <f>VLOOKUP(Table3236[[#This Row],[Census Tract]],'Income and Housing Data'!$B$2:$D$823,3,FALSE)</f>
        <v>29281</v>
      </c>
      <c r="S200" s="250" t="str">
        <f>IF($U$7&lt;=Table3236[[#This Row],[Household Income]],IF(Table3236[[#This Row],[Household Income]]&lt;=$U$8, "Yes","No"),"No")</f>
        <v>No</v>
      </c>
    </row>
    <row r="201" spans="1:19" x14ac:dyDescent="0.25">
      <c r="A201" s="183">
        <v>9009140800</v>
      </c>
      <c r="B201" s="39" t="s">
        <v>3015</v>
      </c>
      <c r="C201" s="178" t="s">
        <v>944</v>
      </c>
      <c r="D201" s="179">
        <v>0</v>
      </c>
      <c r="E201" s="179">
        <v>3852.71</v>
      </c>
      <c r="F201" s="39">
        <f>Table3236[[#This Row],[Single Family]]+Table3236[[#This Row],[2-4 Units]]+Table3236[[#This Row],[&gt;4 Units]]</f>
        <v>2</v>
      </c>
      <c r="G201" s="39">
        <v>1</v>
      </c>
      <c r="H201" s="39">
        <v>1</v>
      </c>
      <c r="I201" s="39">
        <v>0</v>
      </c>
      <c r="J201" s="132">
        <v>1247.45</v>
      </c>
      <c r="K201" s="39">
        <f>SUM(Table3236[[#This Row],[Single Family ]:[&gt;4 Units ]])</f>
        <v>11</v>
      </c>
      <c r="L201" s="133">
        <v>5</v>
      </c>
      <c r="M201" s="133">
        <v>6</v>
      </c>
      <c r="N201" s="133">
        <v>0</v>
      </c>
      <c r="O201" s="134">
        <v>2605.2600000000002</v>
      </c>
      <c r="P201" s="243">
        <f>VLOOKUP(Table3236[[#This Row],[Census Tract]],'Population and Diversity Data'!$B$2:$K$823,10,FALSE)</f>
        <v>4</v>
      </c>
      <c r="Q201" s="244" t="str">
        <f>VLOOKUP(Table3236[[#This Row],[Census Tract]],'UI EnergyBurden'!$A$2:$B$184,2,FALSE)</f>
        <v>No</v>
      </c>
      <c r="R201" s="249">
        <f>VLOOKUP(Table3236[[#This Row],[Census Tract]],'Income and Housing Data'!$B$2:$D$823,3,FALSE)</f>
        <v>29281</v>
      </c>
      <c r="S201" s="250" t="str">
        <f>IF($U$7&lt;=Table3236[[#This Row],[Household Income]],IF(Table3236[[#This Row],[Household Income]]&lt;=$U$8, "Yes","No"),"No")</f>
        <v>No</v>
      </c>
    </row>
    <row r="202" spans="1:19" x14ac:dyDescent="0.25">
      <c r="A202" s="183">
        <v>9009140800</v>
      </c>
      <c r="B202" s="39" t="s">
        <v>943</v>
      </c>
      <c r="C202" s="178" t="s">
        <v>936</v>
      </c>
      <c r="D202" s="179">
        <v>50564.050300000003</v>
      </c>
      <c r="E202" s="179">
        <v>0</v>
      </c>
      <c r="F202" s="39">
        <f>Table3236[[#This Row],[Single Family]]+Table3236[[#This Row],[2-4 Units]]+Table3236[[#This Row],[&gt;4 Units]]</f>
        <v>0</v>
      </c>
      <c r="G202" s="39"/>
      <c r="H202" s="39"/>
      <c r="I202" s="39"/>
      <c r="J202" s="132">
        <v>0</v>
      </c>
      <c r="K202" s="39">
        <f>SUM(Table3236[[#This Row],[Single Family ]:[&gt;4 Units ]])</f>
        <v>0</v>
      </c>
      <c r="L202" s="133"/>
      <c r="M202" s="133"/>
      <c r="N202" s="133"/>
      <c r="O202" s="134">
        <v>0</v>
      </c>
      <c r="P202" s="243">
        <f>VLOOKUP(Table3236[[#This Row],[Census Tract]],'Population and Diversity Data'!$B$2:$K$823,10,FALSE)</f>
        <v>4</v>
      </c>
      <c r="Q202" s="244" t="str">
        <f>VLOOKUP(Table3236[[#This Row],[Census Tract]],'UI EnergyBurden'!$A$2:$B$184,2,FALSE)</f>
        <v>No</v>
      </c>
      <c r="R202" s="249">
        <f>VLOOKUP(Table3236[[#This Row],[Census Tract]],'Income and Housing Data'!$B$2:$D$823,3,FALSE)</f>
        <v>29281</v>
      </c>
      <c r="S202" s="250" t="str">
        <f>IF($U$7&lt;=Table3236[[#This Row],[Household Income]],IF(Table3236[[#This Row],[Household Income]]&lt;=$U$8, "Yes","No"),"No")</f>
        <v>No</v>
      </c>
    </row>
    <row r="203" spans="1:19" x14ac:dyDescent="0.25">
      <c r="A203" s="183">
        <v>9009140800</v>
      </c>
      <c r="B203" s="39" t="s">
        <v>3019</v>
      </c>
      <c r="C203" s="178" t="s">
        <v>944</v>
      </c>
      <c r="D203" s="179">
        <v>0</v>
      </c>
      <c r="E203" s="179">
        <v>25</v>
      </c>
      <c r="F203" s="39">
        <f>Table3236[[#This Row],[Single Family]]+Table3236[[#This Row],[2-4 Units]]+Table3236[[#This Row],[&gt;4 Units]]</f>
        <v>0</v>
      </c>
      <c r="G203" s="39"/>
      <c r="H203" s="39"/>
      <c r="I203" s="39"/>
      <c r="J203" s="132">
        <v>25</v>
      </c>
      <c r="K203" s="39">
        <f>SUM(Table3236[[#This Row],[Single Family ]:[&gt;4 Units ]])</f>
        <v>0</v>
      </c>
      <c r="L203" s="133"/>
      <c r="M203" s="133"/>
      <c r="N203" s="133"/>
      <c r="O203" s="134">
        <v>0</v>
      </c>
      <c r="P203" s="243">
        <f>VLOOKUP(Table3236[[#This Row],[Census Tract]],'Population and Diversity Data'!$B$2:$K$823,10,FALSE)</f>
        <v>4</v>
      </c>
      <c r="Q203" s="244" t="str">
        <f>VLOOKUP(Table3236[[#This Row],[Census Tract]],'UI EnergyBurden'!$A$2:$B$184,2,FALSE)</f>
        <v>No</v>
      </c>
      <c r="R203" s="249">
        <f>VLOOKUP(Table3236[[#This Row],[Census Tract]],'Income and Housing Data'!$B$2:$D$823,3,FALSE)</f>
        <v>29281</v>
      </c>
      <c r="S203" s="250" t="str">
        <f>IF($U$7&lt;=Table3236[[#This Row],[Household Income]],IF(Table3236[[#This Row],[Household Income]]&lt;=$U$8, "Yes","No"),"No")</f>
        <v>No</v>
      </c>
    </row>
    <row r="204" spans="1:19" x14ac:dyDescent="0.25">
      <c r="A204" s="183">
        <v>9009140800</v>
      </c>
      <c r="B204" s="39" t="s">
        <v>3020</v>
      </c>
      <c r="C204" s="178" t="s">
        <v>944</v>
      </c>
      <c r="D204" s="179">
        <v>0</v>
      </c>
      <c r="E204" s="179">
        <v>275</v>
      </c>
      <c r="F204" s="39">
        <f>Table3236[[#This Row],[Single Family]]+Table3236[[#This Row],[2-4 Units]]+Table3236[[#This Row],[&gt;4 Units]]</f>
        <v>0</v>
      </c>
      <c r="G204" s="39"/>
      <c r="H204" s="39"/>
      <c r="I204" s="39"/>
      <c r="J204" s="132">
        <v>275</v>
      </c>
      <c r="K204" s="39">
        <f>SUM(Table3236[[#This Row],[Single Family ]:[&gt;4 Units ]])</f>
        <v>0</v>
      </c>
      <c r="L204" s="133"/>
      <c r="M204" s="133"/>
      <c r="N204" s="133"/>
      <c r="O204" s="134">
        <v>0</v>
      </c>
      <c r="P204" s="243">
        <f>VLOOKUP(Table3236[[#This Row],[Census Tract]],'Population and Diversity Data'!$B$2:$K$823,10,FALSE)</f>
        <v>4</v>
      </c>
      <c r="Q204" s="244" t="str">
        <f>VLOOKUP(Table3236[[#This Row],[Census Tract]],'UI EnergyBurden'!$A$2:$B$184,2,FALSE)</f>
        <v>No</v>
      </c>
      <c r="R204" s="249">
        <f>VLOOKUP(Table3236[[#This Row],[Census Tract]],'Income and Housing Data'!$B$2:$D$823,3,FALSE)</f>
        <v>29281</v>
      </c>
      <c r="S204" s="250" t="str">
        <f>IF($U$7&lt;=Table3236[[#This Row],[Household Income]],IF(Table3236[[#This Row],[Household Income]]&lt;=$U$8, "Yes","No"),"No")</f>
        <v>No</v>
      </c>
    </row>
    <row r="205" spans="1:19" x14ac:dyDescent="0.25">
      <c r="A205" s="183">
        <v>9009140800</v>
      </c>
      <c r="B205" s="39" t="s">
        <v>3021</v>
      </c>
      <c r="C205" s="178" t="s">
        <v>944</v>
      </c>
      <c r="D205" s="179">
        <v>0</v>
      </c>
      <c r="E205" s="179">
        <v>595</v>
      </c>
      <c r="F205" s="39">
        <f>Table3236[[#This Row],[Single Family]]+Table3236[[#This Row],[2-4 Units]]+Table3236[[#This Row],[&gt;4 Units]]</f>
        <v>0</v>
      </c>
      <c r="G205" s="39"/>
      <c r="H205" s="39"/>
      <c r="I205" s="39"/>
      <c r="J205" s="132">
        <v>595</v>
      </c>
      <c r="K205" s="39">
        <f>SUM(Table3236[[#This Row],[Single Family ]:[&gt;4 Units ]])</f>
        <v>0</v>
      </c>
      <c r="L205" s="133"/>
      <c r="M205" s="133"/>
      <c r="N205" s="133"/>
      <c r="O205" s="134">
        <v>0</v>
      </c>
      <c r="P205" s="243">
        <f>VLOOKUP(Table3236[[#This Row],[Census Tract]],'Population and Diversity Data'!$B$2:$K$823,10,FALSE)</f>
        <v>4</v>
      </c>
      <c r="Q205" s="244" t="str">
        <f>VLOOKUP(Table3236[[#This Row],[Census Tract]],'UI EnergyBurden'!$A$2:$B$184,2,FALSE)</f>
        <v>No</v>
      </c>
      <c r="R205" s="249">
        <f>VLOOKUP(Table3236[[#This Row],[Census Tract]],'Income and Housing Data'!$B$2:$D$823,3,FALSE)</f>
        <v>29281</v>
      </c>
      <c r="S205" s="250" t="str">
        <f>IF($U$7&lt;=Table3236[[#This Row],[Household Income]],IF(Table3236[[#This Row],[Household Income]]&lt;=$U$8, "Yes","No"),"No")</f>
        <v>No</v>
      </c>
    </row>
    <row r="206" spans="1:19" x14ac:dyDescent="0.25">
      <c r="A206" s="183">
        <v>9009140800</v>
      </c>
      <c r="B206" s="39" t="s">
        <v>3022</v>
      </c>
      <c r="C206" s="178" t="s">
        <v>944</v>
      </c>
      <c r="D206" s="179">
        <v>0</v>
      </c>
      <c r="E206" s="179">
        <v>25</v>
      </c>
      <c r="F206" s="39">
        <f>Table3236[[#This Row],[Single Family]]+Table3236[[#This Row],[2-4 Units]]+Table3236[[#This Row],[&gt;4 Units]]</f>
        <v>0</v>
      </c>
      <c r="G206" s="39"/>
      <c r="H206" s="39"/>
      <c r="I206" s="39"/>
      <c r="J206" s="132">
        <v>25</v>
      </c>
      <c r="K206" s="39">
        <f>SUM(Table3236[[#This Row],[Single Family ]:[&gt;4 Units ]])</f>
        <v>0</v>
      </c>
      <c r="L206" s="133"/>
      <c r="M206" s="133"/>
      <c r="N206" s="133"/>
      <c r="O206" s="134">
        <v>0</v>
      </c>
      <c r="P206" s="243">
        <f>VLOOKUP(Table3236[[#This Row],[Census Tract]],'Population and Diversity Data'!$B$2:$K$823,10,FALSE)</f>
        <v>4</v>
      </c>
      <c r="Q206" s="244" t="str">
        <f>VLOOKUP(Table3236[[#This Row],[Census Tract]],'UI EnergyBurden'!$A$2:$B$184,2,FALSE)</f>
        <v>No</v>
      </c>
      <c r="R206" s="249">
        <f>VLOOKUP(Table3236[[#This Row],[Census Tract]],'Income and Housing Data'!$B$2:$D$823,3,FALSE)</f>
        <v>29281</v>
      </c>
      <c r="S206" s="250" t="str">
        <f>IF($U$7&lt;=Table3236[[#This Row],[Household Income]],IF(Table3236[[#This Row],[Household Income]]&lt;=$U$8, "Yes","No"),"No")</f>
        <v>No</v>
      </c>
    </row>
    <row r="207" spans="1:19" x14ac:dyDescent="0.25">
      <c r="A207" s="183">
        <v>9009140800</v>
      </c>
      <c r="B207" s="39" t="s">
        <v>3006</v>
      </c>
      <c r="C207" s="178" t="s">
        <v>944</v>
      </c>
      <c r="D207" s="179">
        <v>0</v>
      </c>
      <c r="E207" s="179">
        <v>320</v>
      </c>
      <c r="F207" s="39">
        <f>Table3236[[#This Row],[Single Family]]+Table3236[[#This Row],[2-4 Units]]+Table3236[[#This Row],[&gt;4 Units]]</f>
        <v>0</v>
      </c>
      <c r="G207" s="39"/>
      <c r="H207" s="39"/>
      <c r="I207" s="39"/>
      <c r="J207" s="132">
        <v>320</v>
      </c>
      <c r="K207" s="39">
        <f>SUM(Table3236[[#This Row],[Single Family ]:[&gt;4 Units ]])</f>
        <v>0</v>
      </c>
      <c r="L207" s="133"/>
      <c r="M207" s="133"/>
      <c r="N207" s="133"/>
      <c r="O207" s="134">
        <v>0</v>
      </c>
      <c r="P207" s="243">
        <f>VLOOKUP(Table3236[[#This Row],[Census Tract]],'Population and Diversity Data'!$B$2:$K$823,10,FALSE)</f>
        <v>4</v>
      </c>
      <c r="Q207" s="244" t="str">
        <f>VLOOKUP(Table3236[[#This Row],[Census Tract]],'UI EnergyBurden'!$A$2:$B$184,2,FALSE)</f>
        <v>No</v>
      </c>
      <c r="R207" s="249">
        <f>VLOOKUP(Table3236[[#This Row],[Census Tract]],'Income and Housing Data'!$B$2:$D$823,3,FALSE)</f>
        <v>29281</v>
      </c>
      <c r="S207" s="250" t="str">
        <f>IF($U$7&lt;=Table3236[[#This Row],[Household Income]],IF(Table3236[[#This Row],[Household Income]]&lt;=$U$8, "Yes","No"),"No")</f>
        <v>No</v>
      </c>
    </row>
    <row r="208" spans="1:19" x14ac:dyDescent="0.25">
      <c r="A208" s="183">
        <v>9009140800</v>
      </c>
      <c r="B208" s="39" t="s">
        <v>3023</v>
      </c>
      <c r="C208" s="178" t="s">
        <v>944</v>
      </c>
      <c r="D208" s="179">
        <v>0</v>
      </c>
      <c r="E208" s="179">
        <v>350</v>
      </c>
      <c r="F208" s="39">
        <f>Table3236[[#This Row],[Single Family]]+Table3236[[#This Row],[2-4 Units]]+Table3236[[#This Row],[&gt;4 Units]]</f>
        <v>0</v>
      </c>
      <c r="G208" s="39"/>
      <c r="H208" s="39"/>
      <c r="I208" s="39"/>
      <c r="J208" s="132">
        <v>350</v>
      </c>
      <c r="K208" s="39">
        <f>SUM(Table3236[[#This Row],[Single Family ]:[&gt;4 Units ]])</f>
        <v>0</v>
      </c>
      <c r="L208" s="133"/>
      <c r="M208" s="133"/>
      <c r="N208" s="133"/>
      <c r="O208" s="134">
        <v>0</v>
      </c>
      <c r="P208" s="243">
        <f>VLOOKUP(Table3236[[#This Row],[Census Tract]],'Population and Diversity Data'!$B$2:$K$823,10,FALSE)</f>
        <v>4</v>
      </c>
      <c r="Q208" s="244" t="str">
        <f>VLOOKUP(Table3236[[#This Row],[Census Tract]],'UI EnergyBurden'!$A$2:$B$184,2,FALSE)</f>
        <v>No</v>
      </c>
      <c r="R208" s="249">
        <f>VLOOKUP(Table3236[[#This Row],[Census Tract]],'Income and Housing Data'!$B$2:$D$823,3,FALSE)</f>
        <v>29281</v>
      </c>
      <c r="S208" s="250" t="str">
        <f>IF($U$7&lt;=Table3236[[#This Row],[Household Income]],IF(Table3236[[#This Row],[Household Income]]&lt;=$U$8, "Yes","No"),"No")</f>
        <v>No</v>
      </c>
    </row>
    <row r="209" spans="1:19" x14ac:dyDescent="0.25">
      <c r="A209" s="183">
        <v>9009140800</v>
      </c>
      <c r="B209" s="39" t="s">
        <v>950</v>
      </c>
      <c r="C209" s="178" t="s">
        <v>936</v>
      </c>
      <c r="D209" s="179">
        <v>43.247199999999999</v>
      </c>
      <c r="E209" s="179">
        <v>0</v>
      </c>
      <c r="F209" s="39">
        <f>Table3236[[#This Row],[Single Family]]+Table3236[[#This Row],[2-4 Units]]+Table3236[[#This Row],[&gt;4 Units]]</f>
        <v>0</v>
      </c>
      <c r="G209" s="39"/>
      <c r="H209" s="39"/>
      <c r="I209" s="39"/>
      <c r="J209" s="132">
        <v>0</v>
      </c>
      <c r="K209" s="39">
        <f>SUM(Table3236[[#This Row],[Single Family ]:[&gt;4 Units ]])</f>
        <v>0</v>
      </c>
      <c r="L209" s="133"/>
      <c r="M209" s="133"/>
      <c r="N209" s="133"/>
      <c r="O209" s="134">
        <v>0</v>
      </c>
      <c r="P209" s="243">
        <f>VLOOKUP(Table3236[[#This Row],[Census Tract]],'Population and Diversity Data'!$B$2:$K$823,10,FALSE)</f>
        <v>4</v>
      </c>
      <c r="Q209" s="244" t="str">
        <f>VLOOKUP(Table3236[[#This Row],[Census Tract]],'UI EnergyBurden'!$A$2:$B$184,2,FALSE)</f>
        <v>No</v>
      </c>
      <c r="R209" s="249">
        <f>VLOOKUP(Table3236[[#This Row],[Census Tract]],'Income and Housing Data'!$B$2:$D$823,3,FALSE)</f>
        <v>29281</v>
      </c>
      <c r="S209" s="250" t="str">
        <f>IF($U$7&lt;=Table3236[[#This Row],[Household Income]],IF(Table3236[[#This Row],[Household Income]]&lt;=$U$8, "Yes","No"),"No")</f>
        <v>No</v>
      </c>
    </row>
    <row r="210" spans="1:19" x14ac:dyDescent="0.25">
      <c r="A210" s="183">
        <v>9009140900</v>
      </c>
      <c r="B210" s="39" t="s">
        <v>3017</v>
      </c>
      <c r="C210" s="178" t="s">
        <v>944</v>
      </c>
      <c r="D210" s="179">
        <v>0</v>
      </c>
      <c r="E210" s="179">
        <v>97.04</v>
      </c>
      <c r="F210" s="39">
        <f>Table3236[[#This Row],[Single Family]]+Table3236[[#This Row],[2-4 Units]]+Table3236[[#This Row],[&gt;4 Units]]</f>
        <v>0</v>
      </c>
      <c r="G210" s="39"/>
      <c r="H210" s="39"/>
      <c r="I210" s="39"/>
      <c r="J210" s="132">
        <v>0</v>
      </c>
      <c r="K210" s="39">
        <f>SUM(Table3236[[#This Row],[Single Family ]:[&gt;4 Units ]])</f>
        <v>1</v>
      </c>
      <c r="L210" s="133">
        <v>1</v>
      </c>
      <c r="M210" s="133">
        <v>0</v>
      </c>
      <c r="N210" s="133">
        <v>0</v>
      </c>
      <c r="O210" s="134">
        <v>97.04</v>
      </c>
      <c r="P210" s="243">
        <f>VLOOKUP(Table3236[[#This Row],[Census Tract]],'Population and Diversity Data'!$B$2:$K$823,10,FALSE)</f>
        <v>3</v>
      </c>
      <c r="Q210" s="244" t="str">
        <f>VLOOKUP(Table3236[[#This Row],[Census Tract]],'UI EnergyBurden'!$A$2:$B$184,2,FALSE)</f>
        <v>No</v>
      </c>
      <c r="R210" s="249">
        <f>VLOOKUP(Table3236[[#This Row],[Census Tract]],'Income and Housing Data'!$B$2:$D$823,3,FALSE)</f>
        <v>32444</v>
      </c>
      <c r="S210" s="250" t="str">
        <f>IF($U$7&lt;=Table3236[[#This Row],[Household Income]],IF(Table3236[[#This Row],[Household Income]]&lt;=$U$8, "Yes","No"),"No")</f>
        <v>No</v>
      </c>
    </row>
    <row r="211" spans="1:19" x14ac:dyDescent="0.25">
      <c r="A211" s="183">
        <v>9009140900</v>
      </c>
      <c r="B211" s="39" t="s">
        <v>3015</v>
      </c>
      <c r="C211" s="178" t="s">
        <v>944</v>
      </c>
      <c r="D211" s="179">
        <v>0</v>
      </c>
      <c r="E211" s="179">
        <v>5327.67</v>
      </c>
      <c r="F211" s="39">
        <f>Table3236[[#This Row],[Single Family]]+Table3236[[#This Row],[2-4 Units]]+Table3236[[#This Row],[&gt;4 Units]]</f>
        <v>5</v>
      </c>
      <c r="G211" s="39">
        <v>4</v>
      </c>
      <c r="H211" s="39">
        <v>1</v>
      </c>
      <c r="I211" s="39">
        <v>0</v>
      </c>
      <c r="J211" s="132">
        <v>1441.62</v>
      </c>
      <c r="K211" s="39">
        <f>SUM(Table3236[[#This Row],[Single Family ]:[&gt;4 Units ]])</f>
        <v>21</v>
      </c>
      <c r="L211" s="133">
        <v>2</v>
      </c>
      <c r="M211" s="133">
        <v>19</v>
      </c>
      <c r="N211" s="133">
        <v>0</v>
      </c>
      <c r="O211" s="134">
        <v>3886.05</v>
      </c>
      <c r="P211" s="243">
        <f>VLOOKUP(Table3236[[#This Row],[Census Tract]],'Population and Diversity Data'!$B$2:$K$823,10,FALSE)</f>
        <v>3</v>
      </c>
      <c r="Q211" s="244" t="str">
        <f>VLOOKUP(Table3236[[#This Row],[Census Tract]],'UI EnergyBurden'!$A$2:$B$184,2,FALSE)</f>
        <v>No</v>
      </c>
      <c r="R211" s="249">
        <f>VLOOKUP(Table3236[[#This Row],[Census Tract]],'Income and Housing Data'!$B$2:$D$823,3,FALSE)</f>
        <v>32444</v>
      </c>
      <c r="S211" s="250" t="str">
        <f>IF($U$7&lt;=Table3236[[#This Row],[Household Income]],IF(Table3236[[#This Row],[Household Income]]&lt;=$U$8, "Yes","No"),"No")</f>
        <v>No</v>
      </c>
    </row>
    <row r="212" spans="1:19" x14ac:dyDescent="0.25">
      <c r="A212" s="183">
        <v>9009140900</v>
      </c>
      <c r="B212" s="39" t="s">
        <v>943</v>
      </c>
      <c r="C212" s="178" t="s">
        <v>936</v>
      </c>
      <c r="D212" s="179">
        <v>55064.527799999902</v>
      </c>
      <c r="E212" s="179">
        <v>0</v>
      </c>
      <c r="F212" s="39">
        <f>Table3236[[#This Row],[Single Family]]+Table3236[[#This Row],[2-4 Units]]+Table3236[[#This Row],[&gt;4 Units]]</f>
        <v>0</v>
      </c>
      <c r="G212" s="39"/>
      <c r="H212" s="39"/>
      <c r="I212" s="39"/>
      <c r="J212" s="132">
        <v>0</v>
      </c>
      <c r="K212" s="39">
        <f>SUM(Table3236[[#This Row],[Single Family ]:[&gt;4 Units ]])</f>
        <v>0</v>
      </c>
      <c r="L212" s="133"/>
      <c r="M212" s="133"/>
      <c r="N212" s="133"/>
      <c r="O212" s="134">
        <v>0</v>
      </c>
      <c r="P212" s="243">
        <f>VLOOKUP(Table3236[[#This Row],[Census Tract]],'Population and Diversity Data'!$B$2:$K$823,10,FALSE)</f>
        <v>3</v>
      </c>
      <c r="Q212" s="244" t="str">
        <f>VLOOKUP(Table3236[[#This Row],[Census Tract]],'UI EnergyBurden'!$A$2:$B$184,2,FALSE)</f>
        <v>No</v>
      </c>
      <c r="R212" s="249">
        <f>VLOOKUP(Table3236[[#This Row],[Census Tract]],'Income and Housing Data'!$B$2:$D$823,3,FALSE)</f>
        <v>32444</v>
      </c>
      <c r="S212" s="250" t="str">
        <f>IF($U$7&lt;=Table3236[[#This Row],[Household Income]],IF(Table3236[[#This Row],[Household Income]]&lt;=$U$8, "Yes","No"),"No")</f>
        <v>No</v>
      </c>
    </row>
    <row r="213" spans="1:19" x14ac:dyDescent="0.25">
      <c r="A213" s="183">
        <v>9009141000</v>
      </c>
      <c r="B213" s="39" t="s">
        <v>943</v>
      </c>
      <c r="C213" s="178" t="s">
        <v>944</v>
      </c>
      <c r="D213" s="179">
        <v>59341.469599999902</v>
      </c>
      <c r="E213" s="179">
        <v>8974.89</v>
      </c>
      <c r="F213" s="39">
        <f>Table3236[[#This Row],[Single Family]]+Table3236[[#This Row],[2-4 Units]]+Table3236[[#This Row],[&gt;4 Units]]</f>
        <v>22</v>
      </c>
      <c r="G213" s="39">
        <v>16</v>
      </c>
      <c r="H213" s="39">
        <v>6</v>
      </c>
      <c r="I213" s="39">
        <v>0</v>
      </c>
      <c r="J213" s="132">
        <v>7525.73</v>
      </c>
      <c r="K213" s="39">
        <f>SUM(Table3236[[#This Row],[Single Family ]:[&gt;4 Units ]])</f>
        <v>4</v>
      </c>
      <c r="L213" s="133">
        <v>4</v>
      </c>
      <c r="M213" s="133">
        <v>0</v>
      </c>
      <c r="N213" s="133">
        <v>0</v>
      </c>
      <c r="O213" s="134">
        <v>1449.16</v>
      </c>
      <c r="P213" s="243">
        <f>VLOOKUP(Table3236[[#This Row],[Census Tract]],'Population and Diversity Data'!$B$2:$K$823,10,FALSE)</f>
        <v>4</v>
      </c>
      <c r="Q213" s="244" t="str">
        <f>VLOOKUP(Table3236[[#This Row],[Census Tract]],'UI EnergyBurden'!$A$2:$B$184,2,FALSE)</f>
        <v>No</v>
      </c>
      <c r="R213" s="249">
        <f>VLOOKUP(Table3236[[#This Row],[Census Tract]],'Income and Housing Data'!$B$2:$D$823,3,FALSE)</f>
        <v>91932</v>
      </c>
      <c r="S213" s="250" t="str">
        <f>IF($U$7&lt;=Table3236[[#This Row],[Household Income]],IF(Table3236[[#This Row],[Household Income]]&lt;=$U$8, "Yes","No"),"No")</f>
        <v>No</v>
      </c>
    </row>
    <row r="214" spans="1:19" x14ac:dyDescent="0.25">
      <c r="A214" s="183">
        <v>9009141100</v>
      </c>
      <c r="B214" s="39" t="s">
        <v>943</v>
      </c>
      <c r="C214" s="178" t="s">
        <v>944</v>
      </c>
      <c r="D214" s="179">
        <v>50898.5147</v>
      </c>
      <c r="E214" s="179">
        <v>26111.11</v>
      </c>
      <c r="F214" s="39">
        <f>Table3236[[#This Row],[Single Family]]+Table3236[[#This Row],[2-4 Units]]+Table3236[[#This Row],[&gt;4 Units]]</f>
        <v>15</v>
      </c>
      <c r="G214" s="39">
        <v>15</v>
      </c>
      <c r="H214" s="39">
        <v>0</v>
      </c>
      <c r="I214" s="39">
        <v>0</v>
      </c>
      <c r="J214" s="132">
        <v>10059.84</v>
      </c>
      <c r="K214" s="39">
        <f>SUM(Table3236[[#This Row],[Single Family ]:[&gt;4 Units ]])</f>
        <v>4</v>
      </c>
      <c r="L214" s="133">
        <v>4</v>
      </c>
      <c r="M214" s="133">
        <v>0</v>
      </c>
      <c r="N214" s="133">
        <v>0</v>
      </c>
      <c r="O214" s="134">
        <v>16051.27</v>
      </c>
      <c r="P214" s="243">
        <f>VLOOKUP(Table3236[[#This Row],[Census Tract]],'Population and Diversity Data'!$B$2:$K$823,10,FALSE)</f>
        <v>4</v>
      </c>
      <c r="Q214" s="244" t="str">
        <f>VLOOKUP(Table3236[[#This Row],[Census Tract]],'UI EnergyBurden'!$A$2:$B$184,2,FALSE)</f>
        <v>No</v>
      </c>
      <c r="R214" s="249">
        <f>VLOOKUP(Table3236[[#This Row],[Census Tract]],'Income and Housing Data'!$B$2:$D$823,3,FALSE)</f>
        <v>91829</v>
      </c>
      <c r="S214" s="250" t="str">
        <f>IF($U$7&lt;=Table3236[[#This Row],[Household Income]],IF(Table3236[[#This Row],[Household Income]]&lt;=$U$8, "Yes","No"),"No")</f>
        <v>No</v>
      </c>
    </row>
    <row r="215" spans="1:19" x14ac:dyDescent="0.25">
      <c r="A215" s="183">
        <v>9009141100</v>
      </c>
      <c r="B215" s="39" t="s">
        <v>950</v>
      </c>
      <c r="C215" s="178" t="s">
        <v>944</v>
      </c>
      <c r="D215" s="179">
        <v>0</v>
      </c>
      <c r="E215" s="179">
        <v>0</v>
      </c>
      <c r="F215" s="39">
        <f>Table3236[[#This Row],[Single Family]]+Table3236[[#This Row],[2-4 Units]]+Table3236[[#This Row],[&gt;4 Units]]</f>
        <v>0</v>
      </c>
      <c r="G215" s="39"/>
      <c r="H215" s="39"/>
      <c r="I215" s="39"/>
      <c r="J215" s="132">
        <v>0</v>
      </c>
      <c r="K215" s="39">
        <f>SUM(Table3236[[#This Row],[Single Family ]:[&gt;4 Units ]])</f>
        <v>0</v>
      </c>
      <c r="L215" s="133"/>
      <c r="M215" s="133"/>
      <c r="N215" s="133"/>
      <c r="O215" s="134">
        <v>0</v>
      </c>
      <c r="P215" s="243">
        <f>VLOOKUP(Table3236[[#This Row],[Census Tract]],'Population and Diversity Data'!$B$2:$K$823,10,FALSE)</f>
        <v>4</v>
      </c>
      <c r="Q215" s="244" t="str">
        <f>VLOOKUP(Table3236[[#This Row],[Census Tract]],'UI EnergyBurden'!$A$2:$B$184,2,FALSE)</f>
        <v>No</v>
      </c>
      <c r="R215" s="249">
        <f>VLOOKUP(Table3236[[#This Row],[Census Tract]],'Income and Housing Data'!$B$2:$D$823,3,FALSE)</f>
        <v>91829</v>
      </c>
      <c r="S215" s="250" t="str">
        <f>IF($U$7&lt;=Table3236[[#This Row],[Household Income]],IF(Table3236[[#This Row],[Household Income]]&lt;=$U$8, "Yes","No"),"No")</f>
        <v>No</v>
      </c>
    </row>
    <row r="216" spans="1:19" x14ac:dyDescent="0.25">
      <c r="A216" s="183">
        <v>9009141200</v>
      </c>
      <c r="B216" s="39" t="s">
        <v>943</v>
      </c>
      <c r="C216" s="178" t="s">
        <v>944</v>
      </c>
      <c r="D216" s="179">
        <v>62230.979699999902</v>
      </c>
      <c r="E216" s="179">
        <v>18001.45</v>
      </c>
      <c r="F216" s="39">
        <f>Table3236[[#This Row],[Single Family]]+Table3236[[#This Row],[2-4 Units]]+Table3236[[#This Row],[&gt;4 Units]]</f>
        <v>10</v>
      </c>
      <c r="G216" s="39">
        <v>9</v>
      </c>
      <c r="H216" s="39">
        <v>1</v>
      </c>
      <c r="I216" s="39">
        <v>0</v>
      </c>
      <c r="J216" s="132">
        <v>4418.41</v>
      </c>
      <c r="K216" s="39">
        <f>SUM(Table3236[[#This Row],[Single Family ]:[&gt;4 Units ]])</f>
        <v>16</v>
      </c>
      <c r="L216" s="133">
        <v>4</v>
      </c>
      <c r="M216" s="133">
        <v>12</v>
      </c>
      <c r="N216" s="133">
        <v>0</v>
      </c>
      <c r="O216" s="134">
        <v>13583.04</v>
      </c>
      <c r="P216" s="243">
        <f>VLOOKUP(Table3236[[#This Row],[Census Tract]],'Population and Diversity Data'!$B$2:$K$823,10,FALSE)</f>
        <v>5</v>
      </c>
      <c r="Q216" s="244" t="str">
        <f>VLOOKUP(Table3236[[#This Row],[Census Tract]],'UI EnergyBurden'!$A$2:$B$184,2,FALSE)</f>
        <v>No</v>
      </c>
      <c r="R216" s="249">
        <f>VLOOKUP(Table3236[[#This Row],[Census Tract]],'Income and Housing Data'!$B$2:$D$823,3,FALSE)</f>
        <v>40625</v>
      </c>
      <c r="S216" s="250" t="str">
        <f>IF($U$7&lt;=Table3236[[#This Row],[Household Income]],IF(Table3236[[#This Row],[Household Income]]&lt;=$U$8, "Yes","No"),"No")</f>
        <v>No</v>
      </c>
    </row>
    <row r="217" spans="1:19" x14ac:dyDescent="0.25">
      <c r="A217" s="183">
        <v>9009141200</v>
      </c>
      <c r="B217" s="39" t="s">
        <v>3014</v>
      </c>
      <c r="C217" s="178" t="s">
        <v>944</v>
      </c>
      <c r="D217" s="179">
        <v>0</v>
      </c>
      <c r="E217" s="179">
        <v>0</v>
      </c>
      <c r="F217" s="39">
        <f>Table3236[[#This Row],[Single Family]]+Table3236[[#This Row],[2-4 Units]]+Table3236[[#This Row],[&gt;4 Units]]</f>
        <v>0</v>
      </c>
      <c r="G217" s="39"/>
      <c r="H217" s="39"/>
      <c r="I217" s="39"/>
      <c r="J217" s="132">
        <v>0</v>
      </c>
      <c r="K217" s="39">
        <f>SUM(Table3236[[#This Row],[Single Family ]:[&gt;4 Units ]])</f>
        <v>0</v>
      </c>
      <c r="L217" s="133"/>
      <c r="M217" s="133"/>
      <c r="N217" s="133"/>
      <c r="O217" s="134">
        <v>0</v>
      </c>
      <c r="P217" s="243">
        <f>VLOOKUP(Table3236[[#This Row],[Census Tract]],'Population and Diversity Data'!$B$2:$K$823,10,FALSE)</f>
        <v>5</v>
      </c>
      <c r="Q217" s="244" t="str">
        <f>VLOOKUP(Table3236[[#This Row],[Census Tract]],'UI EnergyBurden'!$A$2:$B$184,2,FALSE)</f>
        <v>No</v>
      </c>
      <c r="R217" s="249">
        <f>VLOOKUP(Table3236[[#This Row],[Census Tract]],'Income and Housing Data'!$B$2:$D$823,3,FALSE)</f>
        <v>40625</v>
      </c>
      <c r="S217" s="250" t="str">
        <f>IF($U$7&lt;=Table3236[[#This Row],[Household Income]],IF(Table3236[[#This Row],[Household Income]]&lt;=$U$8, "Yes","No"),"No")</f>
        <v>No</v>
      </c>
    </row>
    <row r="218" spans="1:19" x14ac:dyDescent="0.25">
      <c r="A218" s="183">
        <v>9009141300</v>
      </c>
      <c r="B218" s="39" t="s">
        <v>953</v>
      </c>
      <c r="C218" s="178" t="s">
        <v>936</v>
      </c>
      <c r="D218" s="179">
        <v>143.75399999999999</v>
      </c>
      <c r="E218" s="179">
        <v>0</v>
      </c>
      <c r="F218" s="39">
        <f>Table3236[[#This Row],[Single Family]]+Table3236[[#This Row],[2-4 Units]]+Table3236[[#This Row],[&gt;4 Units]]</f>
        <v>0</v>
      </c>
      <c r="G218" s="39"/>
      <c r="H218" s="39"/>
      <c r="I218" s="39"/>
      <c r="J218" s="132">
        <v>0</v>
      </c>
      <c r="K218" s="39">
        <f>SUM(Table3236[[#This Row],[Single Family ]:[&gt;4 Units ]])</f>
        <v>0</v>
      </c>
      <c r="L218" s="133"/>
      <c r="M218" s="133"/>
      <c r="N218" s="133"/>
      <c r="O218" s="134">
        <v>0</v>
      </c>
      <c r="P218" s="243">
        <f>VLOOKUP(Table3236[[#This Row],[Census Tract]],'Population and Diversity Data'!$B$2:$K$823,10,FALSE)</f>
        <v>3</v>
      </c>
      <c r="Q218" s="244" t="str">
        <f>VLOOKUP(Table3236[[#This Row],[Census Tract]],'UI EnergyBurden'!$A$2:$B$184,2,FALSE)</f>
        <v>No</v>
      </c>
      <c r="R218" s="249">
        <f>VLOOKUP(Table3236[[#This Row],[Census Tract]],'Income and Housing Data'!$B$2:$D$823,3,FALSE)</f>
        <v>36304</v>
      </c>
      <c r="S218" s="250" t="str">
        <f>IF($U$7&lt;=Table3236[[#This Row],[Household Income]],IF(Table3236[[#This Row],[Household Income]]&lt;=$U$8, "Yes","No"),"No")</f>
        <v>No</v>
      </c>
    </row>
    <row r="219" spans="1:19" x14ac:dyDescent="0.25">
      <c r="A219" s="183">
        <v>9009141300</v>
      </c>
      <c r="B219" s="39" t="s">
        <v>3015</v>
      </c>
      <c r="C219" s="178" t="s">
        <v>944</v>
      </c>
      <c r="D219" s="179">
        <v>0</v>
      </c>
      <c r="E219" s="179">
        <v>5178.01</v>
      </c>
      <c r="F219" s="39">
        <f>Table3236[[#This Row],[Single Family]]+Table3236[[#This Row],[2-4 Units]]+Table3236[[#This Row],[&gt;4 Units]]</f>
        <v>2</v>
      </c>
      <c r="G219" s="39">
        <v>2</v>
      </c>
      <c r="H219" s="39">
        <v>0</v>
      </c>
      <c r="I219" s="39">
        <v>0</v>
      </c>
      <c r="J219" s="132">
        <v>1436.26</v>
      </c>
      <c r="K219" s="39">
        <f>SUM(Table3236[[#This Row],[Single Family ]:[&gt;4 Units ]])</f>
        <v>7</v>
      </c>
      <c r="L219" s="133">
        <v>3</v>
      </c>
      <c r="M219" s="133">
        <v>3</v>
      </c>
      <c r="N219" s="133">
        <v>1</v>
      </c>
      <c r="O219" s="134">
        <v>3741.75</v>
      </c>
      <c r="P219" s="243">
        <f>VLOOKUP(Table3236[[#This Row],[Census Tract]],'Population and Diversity Data'!$B$2:$K$823,10,FALSE)</f>
        <v>3</v>
      </c>
      <c r="Q219" s="244" t="str">
        <f>VLOOKUP(Table3236[[#This Row],[Census Tract]],'UI EnergyBurden'!$A$2:$B$184,2,FALSE)</f>
        <v>No</v>
      </c>
      <c r="R219" s="249">
        <f>VLOOKUP(Table3236[[#This Row],[Census Tract]],'Income and Housing Data'!$B$2:$D$823,3,FALSE)</f>
        <v>36304</v>
      </c>
      <c r="S219" s="250" t="str">
        <f>IF($U$7&lt;=Table3236[[#This Row],[Household Income]],IF(Table3236[[#This Row],[Household Income]]&lt;=$U$8, "Yes","No"),"No")</f>
        <v>No</v>
      </c>
    </row>
    <row r="220" spans="1:19" x14ac:dyDescent="0.25">
      <c r="A220" s="183">
        <v>9009141300</v>
      </c>
      <c r="B220" s="39" t="s">
        <v>943</v>
      </c>
      <c r="C220" s="178" t="s">
        <v>936</v>
      </c>
      <c r="D220" s="179">
        <v>76079.437600000005</v>
      </c>
      <c r="E220" s="179">
        <v>0</v>
      </c>
      <c r="F220" s="39">
        <f>Table3236[[#This Row],[Single Family]]+Table3236[[#This Row],[2-4 Units]]+Table3236[[#This Row],[&gt;4 Units]]</f>
        <v>0</v>
      </c>
      <c r="G220" s="39"/>
      <c r="H220" s="39"/>
      <c r="I220" s="39"/>
      <c r="J220" s="132">
        <v>0</v>
      </c>
      <c r="K220" s="39">
        <f>SUM(Table3236[[#This Row],[Single Family ]:[&gt;4 Units ]])</f>
        <v>0</v>
      </c>
      <c r="L220" s="133"/>
      <c r="M220" s="133"/>
      <c r="N220" s="133"/>
      <c r="O220" s="134">
        <v>0</v>
      </c>
      <c r="P220" s="243">
        <f>VLOOKUP(Table3236[[#This Row],[Census Tract]],'Population and Diversity Data'!$B$2:$K$823,10,FALSE)</f>
        <v>3</v>
      </c>
      <c r="Q220" s="244" t="str">
        <f>VLOOKUP(Table3236[[#This Row],[Census Tract]],'UI EnergyBurden'!$A$2:$B$184,2,FALSE)</f>
        <v>No</v>
      </c>
      <c r="R220" s="249">
        <f>VLOOKUP(Table3236[[#This Row],[Census Tract]],'Income and Housing Data'!$B$2:$D$823,3,FALSE)</f>
        <v>36304</v>
      </c>
      <c r="S220" s="250" t="str">
        <f>IF($U$7&lt;=Table3236[[#This Row],[Household Income]],IF(Table3236[[#This Row],[Household Income]]&lt;=$U$8, "Yes","No"),"No")</f>
        <v>No</v>
      </c>
    </row>
    <row r="221" spans="1:19" x14ac:dyDescent="0.25">
      <c r="A221" s="183">
        <v>9009141400</v>
      </c>
      <c r="B221" s="39" t="s">
        <v>953</v>
      </c>
      <c r="C221" s="178" t="s">
        <v>944</v>
      </c>
      <c r="D221" s="179">
        <v>152.922</v>
      </c>
      <c r="E221" s="179">
        <v>0</v>
      </c>
      <c r="F221" s="39">
        <f>Table3236[[#This Row],[Single Family]]+Table3236[[#This Row],[2-4 Units]]+Table3236[[#This Row],[&gt;4 Units]]</f>
        <v>0</v>
      </c>
      <c r="G221" s="39"/>
      <c r="H221" s="39"/>
      <c r="I221" s="39"/>
      <c r="J221" s="132">
        <v>0</v>
      </c>
      <c r="K221" s="39">
        <f>SUM(Table3236[[#This Row],[Single Family ]:[&gt;4 Units ]])</f>
        <v>0</v>
      </c>
      <c r="L221" s="133"/>
      <c r="M221" s="133"/>
      <c r="N221" s="133"/>
      <c r="O221" s="134">
        <v>0</v>
      </c>
      <c r="P221" s="243">
        <f>VLOOKUP(Table3236[[#This Row],[Census Tract]],'Population and Diversity Data'!$B$2:$K$823,10,FALSE)</f>
        <v>5</v>
      </c>
      <c r="Q221" s="244" t="str">
        <f>VLOOKUP(Table3236[[#This Row],[Census Tract]],'UI EnergyBurden'!$A$2:$B$184,2,FALSE)</f>
        <v>No</v>
      </c>
      <c r="R221" s="249">
        <f>VLOOKUP(Table3236[[#This Row],[Census Tract]],'Income and Housing Data'!$B$2:$D$823,3,FALSE)</f>
        <v>51489</v>
      </c>
      <c r="S221" s="250" t="str">
        <f>IF($U$7&lt;=Table3236[[#This Row],[Household Income]],IF(Table3236[[#This Row],[Household Income]]&lt;=$U$8, "Yes","No"),"No")</f>
        <v>Yes</v>
      </c>
    </row>
    <row r="222" spans="1:19" x14ac:dyDescent="0.25">
      <c r="A222" s="183">
        <v>9009141400</v>
      </c>
      <c r="B222" s="39" t="s">
        <v>943</v>
      </c>
      <c r="C222" s="178" t="s">
        <v>944</v>
      </c>
      <c r="D222" s="179">
        <v>67783.353199999998</v>
      </c>
      <c r="E222" s="179">
        <v>12592.36</v>
      </c>
      <c r="F222" s="39">
        <f>Table3236[[#This Row],[Single Family]]+Table3236[[#This Row],[2-4 Units]]+Table3236[[#This Row],[&gt;4 Units]]</f>
        <v>12</v>
      </c>
      <c r="G222" s="39">
        <v>11</v>
      </c>
      <c r="H222" s="39">
        <v>1</v>
      </c>
      <c r="I222" s="39">
        <v>0</v>
      </c>
      <c r="J222" s="132">
        <v>3492.49</v>
      </c>
      <c r="K222" s="39">
        <f>SUM(Table3236[[#This Row],[Single Family ]:[&gt;4 Units ]])</f>
        <v>14</v>
      </c>
      <c r="L222" s="133">
        <v>5</v>
      </c>
      <c r="M222" s="133">
        <v>9</v>
      </c>
      <c r="N222" s="133">
        <v>0</v>
      </c>
      <c r="O222" s="134">
        <v>9099.8700000000008</v>
      </c>
      <c r="P222" s="243">
        <f>VLOOKUP(Table3236[[#This Row],[Census Tract]],'Population and Diversity Data'!$B$2:$K$823,10,FALSE)</f>
        <v>5</v>
      </c>
      <c r="Q222" s="244" t="str">
        <f>VLOOKUP(Table3236[[#This Row],[Census Tract]],'UI EnergyBurden'!$A$2:$B$184,2,FALSE)</f>
        <v>No</v>
      </c>
      <c r="R222" s="249">
        <f>VLOOKUP(Table3236[[#This Row],[Census Tract]],'Income and Housing Data'!$B$2:$D$823,3,FALSE)</f>
        <v>51489</v>
      </c>
      <c r="S222" s="250" t="str">
        <f>IF($U$7&lt;=Table3236[[#This Row],[Household Income]],IF(Table3236[[#This Row],[Household Income]]&lt;=$U$8, "Yes","No"),"No")</f>
        <v>Yes</v>
      </c>
    </row>
    <row r="223" spans="1:19" x14ac:dyDescent="0.25">
      <c r="A223" s="183">
        <v>9009141500</v>
      </c>
      <c r="B223" s="39" t="s">
        <v>953</v>
      </c>
      <c r="C223" s="178" t="s">
        <v>936</v>
      </c>
      <c r="D223" s="179">
        <v>94.991</v>
      </c>
      <c r="E223" s="179">
        <v>0</v>
      </c>
      <c r="F223" s="39">
        <f>Table3236[[#This Row],[Single Family]]+Table3236[[#This Row],[2-4 Units]]+Table3236[[#This Row],[&gt;4 Units]]</f>
        <v>0</v>
      </c>
      <c r="G223" s="39"/>
      <c r="H223" s="39"/>
      <c r="I223" s="39"/>
      <c r="J223" s="132">
        <v>0</v>
      </c>
      <c r="K223" s="39">
        <f>SUM(Table3236[[#This Row],[Single Family ]:[&gt;4 Units ]])</f>
        <v>0</v>
      </c>
      <c r="L223" s="133"/>
      <c r="M223" s="133"/>
      <c r="N223" s="133"/>
      <c r="O223" s="134">
        <v>0</v>
      </c>
      <c r="P223" s="243">
        <f>VLOOKUP(Table3236[[#This Row],[Census Tract]],'Population and Diversity Data'!$B$2:$K$823,10,FALSE)</f>
        <v>3</v>
      </c>
      <c r="Q223" s="244" t="str">
        <f>VLOOKUP(Table3236[[#This Row],[Census Tract]],'UI EnergyBurden'!$A$2:$B$184,2,FALSE)</f>
        <v>Yes</v>
      </c>
      <c r="R223" s="249">
        <f>VLOOKUP(Table3236[[#This Row],[Census Tract]],'Income and Housing Data'!$B$2:$D$823,3,FALSE)</f>
        <v>26324</v>
      </c>
      <c r="S223" s="250" t="str">
        <f>IF($U$7&lt;=Table3236[[#This Row],[Household Income]],IF(Table3236[[#This Row],[Household Income]]&lt;=$U$8, "Yes","No"),"No")</f>
        <v>No</v>
      </c>
    </row>
    <row r="224" spans="1:19" x14ac:dyDescent="0.25">
      <c r="A224" s="183">
        <v>9009141500</v>
      </c>
      <c r="B224" s="39" t="s">
        <v>3015</v>
      </c>
      <c r="C224" s="178" t="s">
        <v>944</v>
      </c>
      <c r="D224" s="179">
        <v>0</v>
      </c>
      <c r="E224" s="179">
        <v>47450.57</v>
      </c>
      <c r="F224" s="39">
        <f>Table3236[[#This Row],[Single Family]]+Table3236[[#This Row],[2-4 Units]]+Table3236[[#This Row],[&gt;4 Units]]</f>
        <v>9</v>
      </c>
      <c r="G224" s="39">
        <v>7</v>
      </c>
      <c r="H224" s="39">
        <v>2</v>
      </c>
      <c r="I224" s="39">
        <v>0</v>
      </c>
      <c r="J224" s="132">
        <v>2901.52</v>
      </c>
      <c r="K224" s="39">
        <f>SUM(Table3236[[#This Row],[Single Family ]:[&gt;4 Units ]])</f>
        <v>53</v>
      </c>
      <c r="L224" s="133">
        <v>19</v>
      </c>
      <c r="M224" s="133">
        <v>34</v>
      </c>
      <c r="N224" s="133">
        <v>0</v>
      </c>
      <c r="O224" s="134">
        <v>27049.05</v>
      </c>
      <c r="P224" s="243">
        <f>VLOOKUP(Table3236[[#This Row],[Census Tract]],'Population and Diversity Data'!$B$2:$K$823,10,FALSE)</f>
        <v>3</v>
      </c>
      <c r="Q224" s="244" t="str">
        <f>VLOOKUP(Table3236[[#This Row],[Census Tract]],'UI EnergyBurden'!$A$2:$B$184,2,FALSE)</f>
        <v>Yes</v>
      </c>
      <c r="R224" s="249">
        <f>VLOOKUP(Table3236[[#This Row],[Census Tract]],'Income and Housing Data'!$B$2:$D$823,3,FALSE)</f>
        <v>26324</v>
      </c>
      <c r="S224" s="250" t="str">
        <f>IF($U$7&lt;=Table3236[[#This Row],[Household Income]],IF(Table3236[[#This Row],[Household Income]]&lt;=$U$8, "Yes","No"),"No")</f>
        <v>No</v>
      </c>
    </row>
    <row r="225" spans="1:19" x14ac:dyDescent="0.25">
      <c r="A225" s="183">
        <v>9009141500</v>
      </c>
      <c r="B225" s="39" t="s">
        <v>943</v>
      </c>
      <c r="C225" s="178" t="s">
        <v>936</v>
      </c>
      <c r="D225" s="179">
        <v>89500.176099999997</v>
      </c>
      <c r="E225" s="179">
        <v>0</v>
      </c>
      <c r="F225" s="39">
        <f>Table3236[[#This Row],[Single Family]]+Table3236[[#This Row],[2-4 Units]]+Table3236[[#This Row],[&gt;4 Units]]</f>
        <v>0</v>
      </c>
      <c r="G225" s="39"/>
      <c r="H225" s="39"/>
      <c r="I225" s="39"/>
      <c r="J225" s="132">
        <v>0</v>
      </c>
      <c r="K225" s="39">
        <f>SUM(Table3236[[#This Row],[Single Family ]:[&gt;4 Units ]])</f>
        <v>0</v>
      </c>
      <c r="L225" s="133"/>
      <c r="M225" s="133"/>
      <c r="N225" s="133"/>
      <c r="O225" s="134">
        <v>0</v>
      </c>
      <c r="P225" s="243">
        <f>VLOOKUP(Table3236[[#This Row],[Census Tract]],'Population and Diversity Data'!$B$2:$K$823,10,FALSE)</f>
        <v>3</v>
      </c>
      <c r="Q225" s="244" t="str">
        <f>VLOOKUP(Table3236[[#This Row],[Census Tract]],'UI EnergyBurden'!$A$2:$B$184,2,FALSE)</f>
        <v>Yes</v>
      </c>
      <c r="R225" s="249">
        <f>VLOOKUP(Table3236[[#This Row],[Census Tract]],'Income and Housing Data'!$B$2:$D$823,3,FALSE)</f>
        <v>26324</v>
      </c>
      <c r="S225" s="250" t="str">
        <f>IF($U$7&lt;=Table3236[[#This Row],[Household Income]],IF(Table3236[[#This Row],[Household Income]]&lt;=$U$8, "Yes","No"),"No")</f>
        <v>No</v>
      </c>
    </row>
    <row r="226" spans="1:19" x14ac:dyDescent="0.25">
      <c r="A226" s="183">
        <v>9009141600</v>
      </c>
      <c r="B226" s="39" t="s">
        <v>3015</v>
      </c>
      <c r="C226" s="178" t="s">
        <v>944</v>
      </c>
      <c r="D226" s="179">
        <v>0</v>
      </c>
      <c r="E226" s="179">
        <v>10815.87</v>
      </c>
      <c r="F226" s="39">
        <f>Table3236[[#This Row],[Single Family]]+Table3236[[#This Row],[2-4 Units]]+Table3236[[#This Row],[&gt;4 Units]]</f>
        <v>4</v>
      </c>
      <c r="G226" s="39">
        <v>1</v>
      </c>
      <c r="H226" s="39">
        <v>3</v>
      </c>
      <c r="I226" s="39">
        <v>0</v>
      </c>
      <c r="J226" s="132">
        <v>484.3</v>
      </c>
      <c r="K226" s="39">
        <f>SUM(Table3236[[#This Row],[Single Family ]:[&gt;4 Units ]])</f>
        <v>18</v>
      </c>
      <c r="L226" s="133">
        <v>5</v>
      </c>
      <c r="M226" s="133">
        <v>13</v>
      </c>
      <c r="N226" s="133">
        <v>0</v>
      </c>
      <c r="O226" s="134">
        <v>10331.57</v>
      </c>
      <c r="P226" s="243">
        <f>VLOOKUP(Table3236[[#This Row],[Census Tract]],'Population and Diversity Data'!$B$2:$K$823,10,FALSE)</f>
        <v>4</v>
      </c>
      <c r="Q226" s="244" t="str">
        <f>VLOOKUP(Table3236[[#This Row],[Census Tract]],'UI EnergyBurden'!$A$2:$B$184,2,FALSE)</f>
        <v>Yes</v>
      </c>
      <c r="R226" s="249">
        <f>VLOOKUP(Table3236[[#This Row],[Census Tract]],'Income and Housing Data'!$B$2:$D$823,3,FALSE)</f>
        <v>32110</v>
      </c>
      <c r="S226" s="250" t="str">
        <f>IF($U$7&lt;=Table3236[[#This Row],[Household Income]],IF(Table3236[[#This Row],[Household Income]]&lt;=$U$8, "Yes","No"),"No")</f>
        <v>No</v>
      </c>
    </row>
    <row r="227" spans="1:19" x14ac:dyDescent="0.25">
      <c r="A227" s="183">
        <v>9009141600</v>
      </c>
      <c r="B227" s="39" t="s">
        <v>943</v>
      </c>
      <c r="C227" s="178" t="s">
        <v>936</v>
      </c>
      <c r="D227" s="179">
        <v>59212.536800000104</v>
      </c>
      <c r="E227" s="179">
        <v>0</v>
      </c>
      <c r="F227" s="39">
        <f>Table3236[[#This Row],[Single Family]]+Table3236[[#This Row],[2-4 Units]]+Table3236[[#This Row],[&gt;4 Units]]</f>
        <v>0</v>
      </c>
      <c r="G227" s="39"/>
      <c r="H227" s="39"/>
      <c r="I227" s="39"/>
      <c r="J227" s="132">
        <v>0</v>
      </c>
      <c r="K227" s="39">
        <f>SUM(Table3236[[#This Row],[Single Family ]:[&gt;4 Units ]])</f>
        <v>0</v>
      </c>
      <c r="L227" s="133"/>
      <c r="M227" s="133"/>
      <c r="N227" s="133"/>
      <c r="O227" s="134">
        <v>0</v>
      </c>
      <c r="P227" s="243">
        <f>VLOOKUP(Table3236[[#This Row],[Census Tract]],'Population and Diversity Data'!$B$2:$K$823,10,FALSE)</f>
        <v>4</v>
      </c>
      <c r="Q227" s="244" t="str">
        <f>VLOOKUP(Table3236[[#This Row],[Census Tract]],'UI EnergyBurden'!$A$2:$B$184,2,FALSE)</f>
        <v>Yes</v>
      </c>
      <c r="R227" s="249">
        <f>VLOOKUP(Table3236[[#This Row],[Census Tract]],'Income and Housing Data'!$B$2:$D$823,3,FALSE)</f>
        <v>32110</v>
      </c>
      <c r="S227" s="250" t="str">
        <f>IF($U$7&lt;=Table3236[[#This Row],[Household Income]],IF(Table3236[[#This Row],[Household Income]]&lt;=$U$8, "Yes","No"),"No")</f>
        <v>No</v>
      </c>
    </row>
    <row r="228" spans="1:19" x14ac:dyDescent="0.25">
      <c r="A228" s="183">
        <v>9009141800</v>
      </c>
      <c r="B228" s="39" t="s">
        <v>953</v>
      </c>
      <c r="C228" s="178" t="s">
        <v>944</v>
      </c>
      <c r="D228" s="179">
        <v>177.19649999999999</v>
      </c>
      <c r="E228" s="179">
        <v>0</v>
      </c>
      <c r="F228" s="39">
        <f>Table3236[[#This Row],[Single Family]]+Table3236[[#This Row],[2-4 Units]]+Table3236[[#This Row],[&gt;4 Units]]</f>
        <v>0</v>
      </c>
      <c r="G228" s="39"/>
      <c r="H228" s="39"/>
      <c r="I228" s="39"/>
      <c r="J228" s="132">
        <v>0</v>
      </c>
      <c r="K228" s="39">
        <f>SUM(Table3236[[#This Row],[Single Family ]:[&gt;4 Units ]])</f>
        <v>0</v>
      </c>
      <c r="L228" s="133"/>
      <c r="M228" s="133"/>
      <c r="N228" s="133"/>
      <c r="O228" s="134">
        <v>0</v>
      </c>
      <c r="P228" s="243">
        <f>VLOOKUP(Table3236[[#This Row],[Census Tract]],'Population and Diversity Data'!$B$2:$K$823,10,FALSE)</f>
        <v>5</v>
      </c>
      <c r="Q228" s="244" t="str">
        <f>VLOOKUP(Table3236[[#This Row],[Census Tract]],'UI EnergyBurden'!$A$2:$B$184,2,FALSE)</f>
        <v>No</v>
      </c>
      <c r="R228" s="249">
        <f>VLOOKUP(Table3236[[#This Row],[Census Tract]],'Income and Housing Data'!$B$2:$D$823,3,FALSE)</f>
        <v>54167</v>
      </c>
      <c r="S228" s="250" t="str">
        <f>IF($U$7&lt;=Table3236[[#This Row],[Household Income]],IF(Table3236[[#This Row],[Household Income]]&lt;=$U$8, "Yes","No"),"No")</f>
        <v>Yes</v>
      </c>
    </row>
    <row r="229" spans="1:19" x14ac:dyDescent="0.25">
      <c r="A229" s="183">
        <v>9009141800</v>
      </c>
      <c r="B229" s="39" t="s">
        <v>943</v>
      </c>
      <c r="C229" s="178" t="s">
        <v>944</v>
      </c>
      <c r="D229" s="179">
        <v>54159.681900000003</v>
      </c>
      <c r="E229" s="179">
        <v>6368.9</v>
      </c>
      <c r="F229" s="39">
        <f>Table3236[[#This Row],[Single Family]]+Table3236[[#This Row],[2-4 Units]]+Table3236[[#This Row],[&gt;4 Units]]</f>
        <v>13</v>
      </c>
      <c r="G229" s="39">
        <v>8</v>
      </c>
      <c r="H229" s="39">
        <v>5</v>
      </c>
      <c r="I229" s="39">
        <v>0</v>
      </c>
      <c r="J229" s="132">
        <v>5320.43</v>
      </c>
      <c r="K229" s="39">
        <f>SUM(Table3236[[#This Row],[Single Family ]:[&gt;4 Units ]])</f>
        <v>4</v>
      </c>
      <c r="L229" s="133">
        <v>1</v>
      </c>
      <c r="M229" s="133">
        <v>3</v>
      </c>
      <c r="N229" s="133">
        <v>0</v>
      </c>
      <c r="O229" s="134">
        <v>1048.47</v>
      </c>
      <c r="P229" s="243">
        <f>VLOOKUP(Table3236[[#This Row],[Census Tract]],'Population and Diversity Data'!$B$2:$K$823,10,FALSE)</f>
        <v>5</v>
      </c>
      <c r="Q229" s="244" t="str">
        <f>VLOOKUP(Table3236[[#This Row],[Census Tract]],'UI EnergyBurden'!$A$2:$B$184,2,FALSE)</f>
        <v>No</v>
      </c>
      <c r="R229" s="249">
        <f>VLOOKUP(Table3236[[#This Row],[Census Tract]],'Income and Housing Data'!$B$2:$D$823,3,FALSE)</f>
        <v>54167</v>
      </c>
      <c r="S229" s="250" t="str">
        <f>IF($U$7&lt;=Table3236[[#This Row],[Household Income]],IF(Table3236[[#This Row],[Household Income]]&lt;=$U$8, "Yes","No"),"No")</f>
        <v>Yes</v>
      </c>
    </row>
    <row r="230" spans="1:19" x14ac:dyDescent="0.25">
      <c r="A230" s="183">
        <v>9009141900</v>
      </c>
      <c r="B230" s="39" t="s">
        <v>953</v>
      </c>
      <c r="C230" s="178" t="s">
        <v>944</v>
      </c>
      <c r="D230" s="179">
        <v>41.586100000000002</v>
      </c>
      <c r="E230" s="179">
        <v>0</v>
      </c>
      <c r="F230" s="39">
        <f>Table3236[[#This Row],[Single Family]]+Table3236[[#This Row],[2-4 Units]]+Table3236[[#This Row],[&gt;4 Units]]</f>
        <v>0</v>
      </c>
      <c r="G230" s="39"/>
      <c r="H230" s="39"/>
      <c r="I230" s="39"/>
      <c r="J230" s="132">
        <v>0</v>
      </c>
      <c r="K230" s="39">
        <f>SUM(Table3236[[#This Row],[Single Family ]:[&gt;4 Units ]])</f>
        <v>0</v>
      </c>
      <c r="L230" s="133"/>
      <c r="M230" s="133"/>
      <c r="N230" s="133"/>
      <c r="O230" s="134">
        <v>0</v>
      </c>
      <c r="P230" s="243">
        <f>VLOOKUP(Table3236[[#This Row],[Census Tract]],'Population and Diversity Data'!$B$2:$K$823,10,FALSE)</f>
        <v>5</v>
      </c>
      <c r="Q230" s="244" t="str">
        <f>VLOOKUP(Table3236[[#This Row],[Census Tract]],'UI EnergyBurden'!$A$2:$B$184,2,FALSE)</f>
        <v>No</v>
      </c>
      <c r="R230" s="249">
        <f>VLOOKUP(Table3236[[#This Row],[Census Tract]],'Income and Housing Data'!$B$2:$D$823,3,FALSE)</f>
        <v>83925</v>
      </c>
      <c r="S230" s="250" t="str">
        <f>IF($U$7&lt;=Table3236[[#This Row],[Household Income]],IF(Table3236[[#This Row],[Household Income]]&lt;=$U$8, "Yes","No"),"No")</f>
        <v>No</v>
      </c>
    </row>
    <row r="231" spans="1:19" x14ac:dyDescent="0.25">
      <c r="A231" s="183">
        <v>9009141900</v>
      </c>
      <c r="B231" s="39" t="s">
        <v>943</v>
      </c>
      <c r="C231" s="178" t="s">
        <v>944</v>
      </c>
      <c r="D231" s="179">
        <v>72665.771399999896</v>
      </c>
      <c r="E231" s="179">
        <v>9616.59</v>
      </c>
      <c r="F231" s="39">
        <f>Table3236[[#This Row],[Single Family]]+Table3236[[#This Row],[2-4 Units]]+Table3236[[#This Row],[&gt;4 Units]]</f>
        <v>17</v>
      </c>
      <c r="G231" s="39">
        <v>6</v>
      </c>
      <c r="H231" s="39">
        <v>11</v>
      </c>
      <c r="I231" s="39">
        <v>0</v>
      </c>
      <c r="J231" s="132">
        <v>9616.59</v>
      </c>
      <c r="K231" s="39">
        <f>SUM(Table3236[[#This Row],[Single Family ]:[&gt;4 Units ]])</f>
        <v>0</v>
      </c>
      <c r="L231" s="133"/>
      <c r="M231" s="133"/>
      <c r="N231" s="133"/>
      <c r="O231" s="134">
        <v>0</v>
      </c>
      <c r="P231" s="243">
        <f>VLOOKUP(Table3236[[#This Row],[Census Tract]],'Population and Diversity Data'!$B$2:$K$823,10,FALSE)</f>
        <v>5</v>
      </c>
      <c r="Q231" s="244" t="str">
        <f>VLOOKUP(Table3236[[#This Row],[Census Tract]],'UI EnergyBurden'!$A$2:$B$184,2,FALSE)</f>
        <v>No</v>
      </c>
      <c r="R231" s="249">
        <f>VLOOKUP(Table3236[[#This Row],[Census Tract]],'Income and Housing Data'!$B$2:$D$823,3,FALSE)</f>
        <v>83925</v>
      </c>
      <c r="S231" s="250" t="str">
        <f>IF($U$7&lt;=Table3236[[#This Row],[Household Income]],IF(Table3236[[#This Row],[Household Income]]&lt;=$U$8, "Yes","No"),"No")</f>
        <v>No</v>
      </c>
    </row>
    <row r="232" spans="1:19" x14ac:dyDescent="0.25">
      <c r="A232" s="183">
        <v>9009142000</v>
      </c>
      <c r="B232" s="39" t="s">
        <v>943</v>
      </c>
      <c r="C232" s="178" t="s">
        <v>944</v>
      </c>
      <c r="D232" s="179">
        <v>47650.880900000098</v>
      </c>
      <c r="E232" s="179">
        <v>2599.46</v>
      </c>
      <c r="F232" s="39">
        <f>Table3236[[#This Row],[Single Family]]+Table3236[[#This Row],[2-4 Units]]+Table3236[[#This Row],[&gt;4 Units]]</f>
        <v>4</v>
      </c>
      <c r="G232" s="39">
        <v>4</v>
      </c>
      <c r="H232" s="39">
        <v>0</v>
      </c>
      <c r="I232" s="39">
        <v>0</v>
      </c>
      <c r="J232" s="132">
        <v>1909.94</v>
      </c>
      <c r="K232" s="39">
        <f>SUM(Table3236[[#This Row],[Single Family ]:[&gt;4 Units ]])</f>
        <v>2</v>
      </c>
      <c r="L232" s="133">
        <v>0</v>
      </c>
      <c r="M232" s="133">
        <v>2</v>
      </c>
      <c r="N232" s="133">
        <v>0</v>
      </c>
      <c r="O232" s="134">
        <v>689.52</v>
      </c>
      <c r="P232" s="243">
        <f>VLOOKUP(Table3236[[#This Row],[Census Tract]],'Population and Diversity Data'!$B$2:$K$823,10,FALSE)</f>
        <v>5</v>
      </c>
      <c r="Q232" s="244" t="str">
        <f>VLOOKUP(Table3236[[#This Row],[Census Tract]],'UI EnergyBurden'!$A$2:$B$184,2,FALSE)</f>
        <v>No</v>
      </c>
      <c r="R232" s="249">
        <f>VLOOKUP(Table3236[[#This Row],[Census Tract]],'Income and Housing Data'!$B$2:$D$823,3,FALSE)</f>
        <v>51138</v>
      </c>
      <c r="S232" s="250" t="str">
        <f>IF($U$7&lt;=Table3236[[#This Row],[Household Income]],IF(Table3236[[#This Row],[Household Income]]&lt;=$U$8, "Yes","No"),"No")</f>
        <v>Yes</v>
      </c>
    </row>
    <row r="233" spans="1:19" x14ac:dyDescent="0.25">
      <c r="A233" s="183">
        <v>9009142100</v>
      </c>
      <c r="B233" s="39" t="s">
        <v>3015</v>
      </c>
      <c r="C233" s="178" t="s">
        <v>944</v>
      </c>
      <c r="D233" s="179">
        <v>0</v>
      </c>
      <c r="E233" s="179">
        <v>26.98</v>
      </c>
      <c r="F233" s="39">
        <f>Table3236[[#This Row],[Single Family]]+Table3236[[#This Row],[2-4 Units]]+Table3236[[#This Row],[&gt;4 Units]]</f>
        <v>1</v>
      </c>
      <c r="G233" s="39">
        <v>0</v>
      </c>
      <c r="H233" s="39">
        <v>1</v>
      </c>
      <c r="I233" s="39">
        <v>0</v>
      </c>
      <c r="J233" s="132">
        <v>26.98</v>
      </c>
      <c r="K233" s="39">
        <f>SUM(Table3236[[#This Row],[Single Family ]:[&gt;4 Units ]])</f>
        <v>0</v>
      </c>
      <c r="L233" s="133"/>
      <c r="M233" s="133"/>
      <c r="N233" s="133"/>
      <c r="O233" s="134">
        <v>0</v>
      </c>
      <c r="P233" s="243">
        <f>VLOOKUP(Table3236[[#This Row],[Census Tract]],'Population and Diversity Data'!$B$2:$K$823,10,FALSE)</f>
        <v>5</v>
      </c>
      <c r="Q233" s="244" t="str">
        <f>VLOOKUP(Table3236[[#This Row],[Census Tract]],'UI EnergyBurden'!$A$2:$B$184,2,FALSE)</f>
        <v>No</v>
      </c>
      <c r="R233" s="249">
        <f>VLOOKUP(Table3236[[#This Row],[Census Tract]],'Income and Housing Data'!$B$2:$D$823,3,FALSE)</f>
        <v>44815</v>
      </c>
      <c r="S233" s="250" t="str">
        <f>IF($U$7&lt;=Table3236[[#This Row],[Household Income]],IF(Table3236[[#This Row],[Household Income]]&lt;=$U$8, "Yes","No"),"No")</f>
        <v>No</v>
      </c>
    </row>
    <row r="234" spans="1:19" x14ac:dyDescent="0.25">
      <c r="A234" s="183">
        <v>9009142100</v>
      </c>
      <c r="B234" s="39" t="s">
        <v>943</v>
      </c>
      <c r="C234" s="178" t="s">
        <v>936</v>
      </c>
      <c r="D234" s="179">
        <v>14835.8009</v>
      </c>
      <c r="E234" s="179">
        <v>0</v>
      </c>
      <c r="F234" s="39">
        <f>Table3236[[#This Row],[Single Family]]+Table3236[[#This Row],[2-4 Units]]+Table3236[[#This Row],[&gt;4 Units]]</f>
        <v>0</v>
      </c>
      <c r="G234" s="39"/>
      <c r="H234" s="39"/>
      <c r="I234" s="39"/>
      <c r="J234" s="132">
        <v>0</v>
      </c>
      <c r="K234" s="39">
        <f>SUM(Table3236[[#This Row],[Single Family ]:[&gt;4 Units ]])</f>
        <v>0</v>
      </c>
      <c r="L234" s="133"/>
      <c r="M234" s="133"/>
      <c r="N234" s="133"/>
      <c r="O234" s="134">
        <v>0</v>
      </c>
      <c r="P234" s="243">
        <f>VLOOKUP(Table3236[[#This Row],[Census Tract]],'Population and Diversity Data'!$B$2:$K$823,10,FALSE)</f>
        <v>5</v>
      </c>
      <c r="Q234" s="244" t="str">
        <f>VLOOKUP(Table3236[[#This Row],[Census Tract]],'UI EnergyBurden'!$A$2:$B$184,2,FALSE)</f>
        <v>No</v>
      </c>
      <c r="R234" s="249">
        <f>VLOOKUP(Table3236[[#This Row],[Census Tract]],'Income and Housing Data'!$B$2:$D$823,3,FALSE)</f>
        <v>44815</v>
      </c>
      <c r="S234" s="250" t="str">
        <f>IF($U$7&lt;=Table3236[[#This Row],[Household Income]],IF(Table3236[[#This Row],[Household Income]]&lt;=$U$8, "Yes","No"),"No")</f>
        <v>No</v>
      </c>
    </row>
    <row r="235" spans="1:19" x14ac:dyDescent="0.25">
      <c r="A235" s="183">
        <v>9009142200</v>
      </c>
      <c r="B235" s="39" t="s">
        <v>943</v>
      </c>
      <c r="C235" s="178" t="s">
        <v>944</v>
      </c>
      <c r="D235" s="179">
        <v>31597.2291</v>
      </c>
      <c r="E235" s="179">
        <v>3747.81</v>
      </c>
      <c r="F235" s="39">
        <f>Table3236[[#This Row],[Single Family]]+Table3236[[#This Row],[2-4 Units]]+Table3236[[#This Row],[&gt;4 Units]]</f>
        <v>1</v>
      </c>
      <c r="G235" s="39">
        <v>0</v>
      </c>
      <c r="H235" s="39">
        <v>1</v>
      </c>
      <c r="I235" s="39">
        <v>0</v>
      </c>
      <c r="J235" s="132">
        <v>1375.14</v>
      </c>
      <c r="K235" s="39">
        <f>SUM(Table3236[[#This Row],[Single Family ]:[&gt;4 Units ]])</f>
        <v>1</v>
      </c>
      <c r="L235" s="133">
        <v>0</v>
      </c>
      <c r="M235" s="133">
        <v>1</v>
      </c>
      <c r="N235" s="133">
        <v>0</v>
      </c>
      <c r="O235" s="134">
        <v>2372.67</v>
      </c>
      <c r="P235" s="243">
        <f>VLOOKUP(Table3236[[#This Row],[Census Tract]],'Population and Diversity Data'!$B$2:$K$823,10,FALSE)</f>
        <v>4</v>
      </c>
      <c r="Q235" s="244" t="str">
        <f>VLOOKUP(Table3236[[#This Row],[Census Tract]],'UI EnergyBurden'!$A$2:$B$184,2,FALSE)</f>
        <v>No</v>
      </c>
      <c r="R235" s="249">
        <f>VLOOKUP(Table3236[[#This Row],[Census Tract]],'Income and Housing Data'!$B$2:$D$823,3,FALSE)</f>
        <v>67917</v>
      </c>
      <c r="S235" s="250" t="str">
        <f>IF($U$7&lt;=Table3236[[#This Row],[Household Income]],IF(Table3236[[#This Row],[Household Income]]&lt;=$U$8, "Yes","No"),"No")</f>
        <v>No</v>
      </c>
    </row>
    <row r="236" spans="1:19" x14ac:dyDescent="0.25">
      <c r="A236" s="183">
        <v>9009142300</v>
      </c>
      <c r="B236" s="39" t="s">
        <v>3024</v>
      </c>
      <c r="C236" s="178" t="s">
        <v>936</v>
      </c>
      <c r="D236" s="179">
        <v>0</v>
      </c>
      <c r="E236" s="179">
        <v>0</v>
      </c>
      <c r="F236" s="39">
        <f>Table3236[[#This Row],[Single Family]]+Table3236[[#This Row],[2-4 Units]]+Table3236[[#This Row],[&gt;4 Units]]</f>
        <v>0</v>
      </c>
      <c r="G236" s="39"/>
      <c r="H236" s="39"/>
      <c r="I236" s="39"/>
      <c r="J236" s="132">
        <v>0</v>
      </c>
      <c r="K236" s="39">
        <f>SUM(Table3236[[#This Row],[Single Family ]:[&gt;4 Units ]])</f>
        <v>0</v>
      </c>
      <c r="L236" s="133"/>
      <c r="M236" s="133"/>
      <c r="N236" s="133"/>
      <c r="O236" s="134">
        <v>0</v>
      </c>
      <c r="P236" s="243">
        <f>VLOOKUP(Table3236[[#This Row],[Census Tract]],'Population and Diversity Data'!$B$2:$K$823,10,FALSE)</f>
        <v>5</v>
      </c>
      <c r="Q236" s="244" t="str">
        <f>VLOOKUP(Table3236[[#This Row],[Census Tract]],'UI EnergyBurden'!$A$2:$B$184,2,FALSE)</f>
        <v>Yes</v>
      </c>
      <c r="R236" s="249">
        <f>VLOOKUP(Table3236[[#This Row],[Census Tract]],'Income and Housing Data'!$B$2:$D$823,3,FALSE)</f>
        <v>37481</v>
      </c>
      <c r="S236" s="250" t="str">
        <f>IF($U$7&lt;=Table3236[[#This Row],[Household Income]],IF(Table3236[[#This Row],[Household Income]]&lt;=$U$8, "Yes","No"),"No")</f>
        <v>No</v>
      </c>
    </row>
    <row r="237" spans="1:19" x14ac:dyDescent="0.25">
      <c r="A237" s="183">
        <v>9009142300</v>
      </c>
      <c r="B237" s="39" t="s">
        <v>3015</v>
      </c>
      <c r="C237" s="178" t="s">
        <v>944</v>
      </c>
      <c r="D237" s="179">
        <v>0</v>
      </c>
      <c r="E237" s="179">
        <v>10400.34</v>
      </c>
      <c r="F237" s="39">
        <f>Table3236[[#This Row],[Single Family]]+Table3236[[#This Row],[2-4 Units]]+Table3236[[#This Row],[&gt;4 Units]]</f>
        <v>10</v>
      </c>
      <c r="G237" s="39">
        <v>3</v>
      </c>
      <c r="H237" s="39">
        <v>7</v>
      </c>
      <c r="I237" s="39">
        <v>0</v>
      </c>
      <c r="J237" s="132">
        <v>2968.24</v>
      </c>
      <c r="K237" s="39">
        <f>SUM(Table3236[[#This Row],[Single Family ]:[&gt;4 Units ]])</f>
        <v>17</v>
      </c>
      <c r="L237" s="133">
        <v>2</v>
      </c>
      <c r="M237" s="133">
        <v>14</v>
      </c>
      <c r="N237" s="133">
        <v>1</v>
      </c>
      <c r="O237" s="134">
        <v>7432.1</v>
      </c>
      <c r="P237" s="243">
        <f>VLOOKUP(Table3236[[#This Row],[Census Tract]],'Population and Diversity Data'!$B$2:$K$823,10,FALSE)</f>
        <v>5</v>
      </c>
      <c r="Q237" s="244" t="str">
        <f>VLOOKUP(Table3236[[#This Row],[Census Tract]],'UI EnergyBurden'!$A$2:$B$184,2,FALSE)</f>
        <v>Yes</v>
      </c>
      <c r="R237" s="249">
        <f>VLOOKUP(Table3236[[#This Row],[Census Tract]],'Income and Housing Data'!$B$2:$D$823,3,FALSE)</f>
        <v>37481</v>
      </c>
      <c r="S237" s="250" t="str">
        <f>IF($U$7&lt;=Table3236[[#This Row],[Household Income]],IF(Table3236[[#This Row],[Household Income]]&lt;=$U$8, "Yes","No"),"No")</f>
        <v>No</v>
      </c>
    </row>
    <row r="238" spans="1:19" x14ac:dyDescent="0.25">
      <c r="A238" s="183">
        <v>9009142300</v>
      </c>
      <c r="B238" s="39" t="s">
        <v>943</v>
      </c>
      <c r="C238" s="178" t="s">
        <v>936</v>
      </c>
      <c r="D238" s="179">
        <v>53392.115599999903</v>
      </c>
      <c r="E238" s="179">
        <v>0</v>
      </c>
      <c r="F238" s="39">
        <f>Table3236[[#This Row],[Single Family]]+Table3236[[#This Row],[2-4 Units]]+Table3236[[#This Row],[&gt;4 Units]]</f>
        <v>0</v>
      </c>
      <c r="G238" s="39"/>
      <c r="H238" s="39"/>
      <c r="I238" s="39"/>
      <c r="J238" s="132">
        <v>0</v>
      </c>
      <c r="K238" s="39">
        <f>SUM(Table3236[[#This Row],[Single Family ]:[&gt;4 Units ]])</f>
        <v>0</v>
      </c>
      <c r="L238" s="133"/>
      <c r="M238" s="133"/>
      <c r="N238" s="133"/>
      <c r="O238" s="134">
        <v>0</v>
      </c>
      <c r="P238" s="243">
        <f>VLOOKUP(Table3236[[#This Row],[Census Tract]],'Population and Diversity Data'!$B$2:$K$823,10,FALSE)</f>
        <v>5</v>
      </c>
      <c r="Q238" s="244" t="str">
        <f>VLOOKUP(Table3236[[#This Row],[Census Tract]],'UI EnergyBurden'!$A$2:$B$184,2,FALSE)</f>
        <v>Yes</v>
      </c>
      <c r="R238" s="249">
        <f>VLOOKUP(Table3236[[#This Row],[Census Tract]],'Income and Housing Data'!$B$2:$D$823,3,FALSE)</f>
        <v>37481</v>
      </c>
      <c r="S238" s="250" t="str">
        <f>IF($U$7&lt;=Table3236[[#This Row],[Household Income]],IF(Table3236[[#This Row],[Household Income]]&lt;=$U$8, "Yes","No"),"No")</f>
        <v>No</v>
      </c>
    </row>
    <row r="239" spans="1:19" x14ac:dyDescent="0.25">
      <c r="A239" s="183">
        <v>9009142400</v>
      </c>
      <c r="B239" s="39" t="s">
        <v>3015</v>
      </c>
      <c r="C239" s="178" t="s">
        <v>944</v>
      </c>
      <c r="D239" s="179">
        <v>0</v>
      </c>
      <c r="E239" s="179">
        <v>6815.37</v>
      </c>
      <c r="F239" s="39">
        <f>Table3236[[#This Row],[Single Family]]+Table3236[[#This Row],[2-4 Units]]+Table3236[[#This Row],[&gt;4 Units]]</f>
        <v>6</v>
      </c>
      <c r="G239" s="39">
        <v>5</v>
      </c>
      <c r="H239" s="39">
        <v>1</v>
      </c>
      <c r="I239" s="39">
        <v>0</v>
      </c>
      <c r="J239" s="132">
        <v>2179.8000000000002</v>
      </c>
      <c r="K239" s="39">
        <f>SUM(Table3236[[#This Row],[Single Family ]:[&gt;4 Units ]])</f>
        <v>18</v>
      </c>
      <c r="L239" s="133">
        <v>6</v>
      </c>
      <c r="M239" s="133">
        <v>12</v>
      </c>
      <c r="N239" s="133">
        <v>0</v>
      </c>
      <c r="O239" s="134">
        <v>4635.57</v>
      </c>
      <c r="P239" s="243">
        <f>VLOOKUP(Table3236[[#This Row],[Census Tract]],'Population and Diversity Data'!$B$2:$K$823,10,FALSE)</f>
        <v>5</v>
      </c>
      <c r="Q239" s="244" t="str">
        <f>VLOOKUP(Table3236[[#This Row],[Census Tract]],'UI EnergyBurden'!$A$2:$B$184,2,FALSE)</f>
        <v>Yes</v>
      </c>
      <c r="R239" s="249">
        <f>VLOOKUP(Table3236[[#This Row],[Census Tract]],'Income and Housing Data'!$B$2:$D$823,3,FALSE)</f>
        <v>36058</v>
      </c>
      <c r="S239" s="250" t="str">
        <f>IF($U$7&lt;=Table3236[[#This Row],[Household Income]],IF(Table3236[[#This Row],[Household Income]]&lt;=$U$8, "Yes","No"),"No")</f>
        <v>No</v>
      </c>
    </row>
    <row r="240" spans="1:19" x14ac:dyDescent="0.25">
      <c r="A240" s="183">
        <v>9009142400</v>
      </c>
      <c r="B240" s="39" t="s">
        <v>943</v>
      </c>
      <c r="C240" s="178" t="s">
        <v>936</v>
      </c>
      <c r="D240" s="179">
        <v>54491.1928999999</v>
      </c>
      <c r="E240" s="179">
        <v>0</v>
      </c>
      <c r="F240" s="39">
        <f>Table3236[[#This Row],[Single Family]]+Table3236[[#This Row],[2-4 Units]]+Table3236[[#This Row],[&gt;4 Units]]</f>
        <v>0</v>
      </c>
      <c r="G240" s="39"/>
      <c r="H240" s="39"/>
      <c r="I240" s="39"/>
      <c r="J240" s="132">
        <v>0</v>
      </c>
      <c r="K240" s="39">
        <f>SUM(Table3236[[#This Row],[Single Family ]:[&gt;4 Units ]])</f>
        <v>0</v>
      </c>
      <c r="L240" s="133"/>
      <c r="M240" s="133"/>
      <c r="N240" s="133"/>
      <c r="O240" s="134">
        <v>0</v>
      </c>
      <c r="P240" s="243">
        <f>VLOOKUP(Table3236[[#This Row],[Census Tract]],'Population and Diversity Data'!$B$2:$K$823,10,FALSE)</f>
        <v>5</v>
      </c>
      <c r="Q240" s="244" t="str">
        <f>VLOOKUP(Table3236[[#This Row],[Census Tract]],'UI EnergyBurden'!$A$2:$B$184,2,FALSE)</f>
        <v>Yes</v>
      </c>
      <c r="R240" s="249">
        <f>VLOOKUP(Table3236[[#This Row],[Census Tract]],'Income and Housing Data'!$B$2:$D$823,3,FALSE)</f>
        <v>36058</v>
      </c>
      <c r="S240" s="250" t="str">
        <f>IF($U$7&lt;=Table3236[[#This Row],[Household Income]],IF(Table3236[[#This Row],[Household Income]]&lt;=$U$8, "Yes","No"),"No")</f>
        <v>No</v>
      </c>
    </row>
    <row r="241" spans="1:19" x14ac:dyDescent="0.25">
      <c r="A241" s="183">
        <v>9009142500</v>
      </c>
      <c r="B241" s="39" t="s">
        <v>953</v>
      </c>
      <c r="C241" s="178" t="s">
        <v>936</v>
      </c>
      <c r="D241" s="179">
        <v>231.15710000000001</v>
      </c>
      <c r="E241" s="179">
        <v>0</v>
      </c>
      <c r="F241" s="39">
        <f>Table3236[[#This Row],[Single Family]]+Table3236[[#This Row],[2-4 Units]]+Table3236[[#This Row],[&gt;4 Units]]</f>
        <v>0</v>
      </c>
      <c r="G241" s="39"/>
      <c r="H241" s="39"/>
      <c r="I241" s="39"/>
      <c r="J241" s="132">
        <v>0</v>
      </c>
      <c r="K241" s="39">
        <f>SUM(Table3236[[#This Row],[Single Family ]:[&gt;4 Units ]])</f>
        <v>0</v>
      </c>
      <c r="L241" s="133"/>
      <c r="M241" s="133"/>
      <c r="N241" s="133"/>
      <c r="O241" s="134">
        <v>0</v>
      </c>
      <c r="P241" s="243">
        <f>VLOOKUP(Table3236[[#This Row],[Census Tract]],'Population and Diversity Data'!$B$2:$K$823,10,FALSE)</f>
        <v>5</v>
      </c>
      <c r="Q241" s="244" t="str">
        <f>VLOOKUP(Table3236[[#This Row],[Census Tract]],'UI EnergyBurden'!$A$2:$B$184,2,FALSE)</f>
        <v>Yes</v>
      </c>
      <c r="R241" s="249">
        <f>VLOOKUP(Table3236[[#This Row],[Census Tract]],'Income and Housing Data'!$B$2:$D$823,3,FALSE)</f>
        <v>42095</v>
      </c>
      <c r="S241" s="250" t="str">
        <f>IF($U$7&lt;=Table3236[[#This Row],[Household Income]],IF(Table3236[[#This Row],[Household Income]]&lt;=$U$8, "Yes","No"),"No")</f>
        <v>No</v>
      </c>
    </row>
    <row r="242" spans="1:19" x14ac:dyDescent="0.25">
      <c r="A242" s="183">
        <v>9009142500</v>
      </c>
      <c r="B242" s="39" t="s">
        <v>3015</v>
      </c>
      <c r="C242" s="178" t="s">
        <v>944</v>
      </c>
      <c r="D242" s="179">
        <v>0</v>
      </c>
      <c r="E242" s="179">
        <v>7352.41</v>
      </c>
      <c r="F242" s="39">
        <f>Table3236[[#This Row],[Single Family]]+Table3236[[#This Row],[2-4 Units]]+Table3236[[#This Row],[&gt;4 Units]]</f>
        <v>9</v>
      </c>
      <c r="G242" s="39">
        <v>2</v>
      </c>
      <c r="H242" s="39">
        <v>7</v>
      </c>
      <c r="I242" s="39">
        <v>0</v>
      </c>
      <c r="J242" s="132">
        <v>2183.98</v>
      </c>
      <c r="K242" s="39">
        <f>SUM(Table3236[[#This Row],[Single Family ]:[&gt;4 Units ]])</f>
        <v>8</v>
      </c>
      <c r="L242" s="133">
        <v>2</v>
      </c>
      <c r="M242" s="133">
        <v>6</v>
      </c>
      <c r="N242" s="133">
        <v>0</v>
      </c>
      <c r="O242" s="134">
        <v>5168.43</v>
      </c>
      <c r="P242" s="243">
        <f>VLOOKUP(Table3236[[#This Row],[Census Tract]],'Population and Diversity Data'!$B$2:$K$823,10,FALSE)</f>
        <v>5</v>
      </c>
      <c r="Q242" s="244" t="str">
        <f>VLOOKUP(Table3236[[#This Row],[Census Tract]],'UI EnergyBurden'!$A$2:$B$184,2,FALSE)</f>
        <v>Yes</v>
      </c>
      <c r="R242" s="249">
        <f>VLOOKUP(Table3236[[#This Row],[Census Tract]],'Income and Housing Data'!$B$2:$D$823,3,FALSE)</f>
        <v>42095</v>
      </c>
      <c r="S242" s="250" t="str">
        <f>IF($U$7&lt;=Table3236[[#This Row],[Household Income]],IF(Table3236[[#This Row],[Household Income]]&lt;=$U$8, "Yes","No"),"No")</f>
        <v>No</v>
      </c>
    </row>
    <row r="243" spans="1:19" x14ac:dyDescent="0.25">
      <c r="A243" s="183">
        <v>9009142500</v>
      </c>
      <c r="B243" s="39" t="s">
        <v>943</v>
      </c>
      <c r="C243" s="178" t="s">
        <v>936</v>
      </c>
      <c r="D243" s="179">
        <v>64777.257400000097</v>
      </c>
      <c r="E243" s="179">
        <v>0</v>
      </c>
      <c r="F243" s="39">
        <f>Table3236[[#This Row],[Single Family]]+Table3236[[#This Row],[2-4 Units]]+Table3236[[#This Row],[&gt;4 Units]]</f>
        <v>0</v>
      </c>
      <c r="G243" s="39"/>
      <c r="H243" s="39"/>
      <c r="I243" s="39"/>
      <c r="J243" s="132">
        <v>0</v>
      </c>
      <c r="K243" s="39">
        <f>SUM(Table3236[[#This Row],[Single Family ]:[&gt;4 Units ]])</f>
        <v>0</v>
      </c>
      <c r="L243" s="133"/>
      <c r="M243" s="133"/>
      <c r="N243" s="133"/>
      <c r="O243" s="134">
        <v>0</v>
      </c>
      <c r="P243" s="243">
        <f>VLOOKUP(Table3236[[#This Row],[Census Tract]],'Population and Diversity Data'!$B$2:$K$823,10,FALSE)</f>
        <v>5</v>
      </c>
      <c r="Q243" s="244" t="str">
        <f>VLOOKUP(Table3236[[#This Row],[Census Tract]],'UI EnergyBurden'!$A$2:$B$184,2,FALSE)</f>
        <v>Yes</v>
      </c>
      <c r="R243" s="249">
        <f>VLOOKUP(Table3236[[#This Row],[Census Tract]],'Income and Housing Data'!$B$2:$D$823,3,FALSE)</f>
        <v>42095</v>
      </c>
      <c r="S243" s="250" t="str">
        <f>IF($U$7&lt;=Table3236[[#This Row],[Household Income]],IF(Table3236[[#This Row],[Household Income]]&lt;=$U$8, "Yes","No"),"No")</f>
        <v>No</v>
      </c>
    </row>
    <row r="244" spans="1:19" x14ac:dyDescent="0.25">
      <c r="A244" s="183">
        <v>9009142601</v>
      </c>
      <c r="B244" s="39" t="s">
        <v>3024</v>
      </c>
      <c r="C244" s="178" t="s">
        <v>944</v>
      </c>
      <c r="D244" s="179">
        <v>67.625799999999998</v>
      </c>
      <c r="E244" s="179">
        <v>0</v>
      </c>
      <c r="F244" s="39">
        <f>Table3236[[#This Row],[Single Family]]+Table3236[[#This Row],[2-4 Units]]+Table3236[[#This Row],[&gt;4 Units]]</f>
        <v>0</v>
      </c>
      <c r="G244" s="39"/>
      <c r="H244" s="39"/>
      <c r="I244" s="39"/>
      <c r="J244" s="132">
        <v>0</v>
      </c>
      <c r="K244" s="39">
        <f>SUM(Table3236[[#This Row],[Single Family ]:[&gt;4 Units ]])</f>
        <v>0</v>
      </c>
      <c r="L244" s="133"/>
      <c r="M244" s="133"/>
      <c r="N244" s="133"/>
      <c r="O244" s="134">
        <v>0</v>
      </c>
      <c r="P244" s="243">
        <f>VLOOKUP(Table3236[[#This Row],[Census Tract]],'Population and Diversity Data'!$B$2:$K$823,10,FALSE)</f>
        <v>5</v>
      </c>
      <c r="Q244" s="244" t="str">
        <f>VLOOKUP(Table3236[[#This Row],[Census Tract]],'UI EnergyBurden'!$A$2:$B$184,2,FALSE)</f>
        <v>No</v>
      </c>
      <c r="R244" s="249">
        <f>VLOOKUP(Table3236[[#This Row],[Census Tract]],'Income and Housing Data'!$B$2:$D$823,3,FALSE)</f>
        <v>55399</v>
      </c>
      <c r="S244" s="250" t="str">
        <f>IF($U$7&lt;=Table3236[[#This Row],[Household Income]],IF(Table3236[[#This Row],[Household Income]]&lt;=$U$8, "Yes","No"),"No")</f>
        <v>Yes</v>
      </c>
    </row>
    <row r="245" spans="1:19" x14ac:dyDescent="0.25">
      <c r="A245" s="183">
        <v>9009142601</v>
      </c>
      <c r="B245" s="39" t="s">
        <v>943</v>
      </c>
      <c r="C245" s="178" t="s">
        <v>944</v>
      </c>
      <c r="D245" s="179">
        <v>92154.619600000093</v>
      </c>
      <c r="E245" s="179">
        <v>25570.16</v>
      </c>
      <c r="F245" s="39">
        <f>Table3236[[#This Row],[Single Family]]+Table3236[[#This Row],[2-4 Units]]+Table3236[[#This Row],[&gt;4 Units]]</f>
        <v>12</v>
      </c>
      <c r="G245" s="39">
        <v>11</v>
      </c>
      <c r="H245" s="39">
        <v>1</v>
      </c>
      <c r="I245" s="39">
        <v>0</v>
      </c>
      <c r="J245" s="132">
        <v>5413.7</v>
      </c>
      <c r="K245" s="39">
        <f>SUM(Table3236[[#This Row],[Single Family ]:[&gt;4 Units ]])</f>
        <v>22</v>
      </c>
      <c r="L245" s="133">
        <v>16</v>
      </c>
      <c r="M245" s="133">
        <v>5</v>
      </c>
      <c r="N245" s="133">
        <v>1</v>
      </c>
      <c r="O245" s="134">
        <v>20156.46</v>
      </c>
      <c r="P245" s="243">
        <f>VLOOKUP(Table3236[[#This Row],[Census Tract]],'Population and Diversity Data'!$B$2:$K$823,10,FALSE)</f>
        <v>5</v>
      </c>
      <c r="Q245" s="244" t="str">
        <f>VLOOKUP(Table3236[[#This Row],[Census Tract]],'UI EnergyBurden'!$A$2:$B$184,2,FALSE)</f>
        <v>No</v>
      </c>
      <c r="R245" s="249">
        <f>VLOOKUP(Table3236[[#This Row],[Census Tract]],'Income and Housing Data'!$B$2:$D$823,3,FALSE)</f>
        <v>55399</v>
      </c>
      <c r="S245" s="250" t="str">
        <f>IF($U$7&lt;=Table3236[[#This Row],[Household Income]],IF(Table3236[[#This Row],[Household Income]]&lt;=$U$8, "Yes","No"),"No")</f>
        <v>Yes</v>
      </c>
    </row>
    <row r="246" spans="1:19" x14ac:dyDescent="0.25">
      <c r="A246" s="183">
        <v>9009142601</v>
      </c>
      <c r="B246" s="39" t="s">
        <v>3025</v>
      </c>
      <c r="C246" s="178" t="s">
        <v>944</v>
      </c>
      <c r="D246" s="179">
        <v>529.9402</v>
      </c>
      <c r="E246" s="179">
        <v>0</v>
      </c>
      <c r="F246" s="39">
        <f>Table3236[[#This Row],[Single Family]]+Table3236[[#This Row],[2-4 Units]]+Table3236[[#This Row],[&gt;4 Units]]</f>
        <v>0</v>
      </c>
      <c r="G246" s="39"/>
      <c r="H246" s="39"/>
      <c r="I246" s="39"/>
      <c r="J246" s="132">
        <v>0</v>
      </c>
      <c r="K246" s="39">
        <f>SUM(Table3236[[#This Row],[Single Family ]:[&gt;4 Units ]])</f>
        <v>0</v>
      </c>
      <c r="L246" s="133"/>
      <c r="M246" s="133"/>
      <c r="N246" s="133"/>
      <c r="O246" s="134">
        <v>0</v>
      </c>
      <c r="P246" s="243">
        <f>VLOOKUP(Table3236[[#This Row],[Census Tract]],'Population and Diversity Data'!$B$2:$K$823,10,FALSE)</f>
        <v>5</v>
      </c>
      <c r="Q246" s="244" t="str">
        <f>VLOOKUP(Table3236[[#This Row],[Census Tract]],'UI EnergyBurden'!$A$2:$B$184,2,FALSE)</f>
        <v>No</v>
      </c>
      <c r="R246" s="249">
        <f>VLOOKUP(Table3236[[#This Row],[Census Tract]],'Income and Housing Data'!$B$2:$D$823,3,FALSE)</f>
        <v>55399</v>
      </c>
      <c r="S246" s="250" t="str">
        <f>IF($U$7&lt;=Table3236[[#This Row],[Household Income]],IF(Table3236[[#This Row],[Household Income]]&lt;=$U$8, "Yes","No"),"No")</f>
        <v>Yes</v>
      </c>
    </row>
    <row r="247" spans="1:19" x14ac:dyDescent="0.25">
      <c r="A247" s="183">
        <v>9009142603</v>
      </c>
      <c r="B247" s="39" t="s">
        <v>3024</v>
      </c>
      <c r="C247" s="178" t="s">
        <v>936</v>
      </c>
      <c r="D247" s="179">
        <v>0</v>
      </c>
      <c r="E247" s="179">
        <v>0</v>
      </c>
      <c r="F247" s="39">
        <f>Table3236[[#This Row],[Single Family]]+Table3236[[#This Row],[2-4 Units]]+Table3236[[#This Row],[&gt;4 Units]]</f>
        <v>0</v>
      </c>
      <c r="G247" s="39"/>
      <c r="H247" s="39"/>
      <c r="I247" s="39"/>
      <c r="J247" s="132">
        <v>0</v>
      </c>
      <c r="K247" s="39">
        <f>SUM(Table3236[[#This Row],[Single Family ]:[&gt;4 Units ]])</f>
        <v>0</v>
      </c>
      <c r="L247" s="133"/>
      <c r="M247" s="133"/>
      <c r="N247" s="133"/>
      <c r="O247" s="134">
        <v>0</v>
      </c>
      <c r="P247" s="243">
        <f>VLOOKUP(Table3236[[#This Row],[Census Tract]],'Population and Diversity Data'!$B$2:$K$823,10,FALSE)</f>
        <v>5</v>
      </c>
      <c r="Q247" s="244" t="str">
        <f>VLOOKUP(Table3236[[#This Row],[Census Tract]],'UI EnergyBurden'!$A$2:$B$184,2,FALSE)</f>
        <v>No</v>
      </c>
      <c r="R247" s="249">
        <f>VLOOKUP(Table3236[[#This Row],[Census Tract]],'Income and Housing Data'!$B$2:$D$823,3,FALSE)</f>
        <v>19593</v>
      </c>
      <c r="S247" s="250" t="str">
        <f>IF($U$7&lt;=Table3236[[#This Row],[Household Income]],IF(Table3236[[#This Row],[Household Income]]&lt;=$U$8, "Yes","No"),"No")</f>
        <v>No</v>
      </c>
    </row>
    <row r="248" spans="1:19" x14ac:dyDescent="0.25">
      <c r="A248" s="183">
        <v>9009142603</v>
      </c>
      <c r="B248" s="39" t="s">
        <v>3015</v>
      </c>
      <c r="C248" s="178" t="s">
        <v>944</v>
      </c>
      <c r="D248" s="179">
        <v>0</v>
      </c>
      <c r="E248" s="179">
        <v>14190.36</v>
      </c>
      <c r="F248" s="39">
        <f>Table3236[[#This Row],[Single Family]]+Table3236[[#This Row],[2-4 Units]]+Table3236[[#This Row],[&gt;4 Units]]</f>
        <v>3</v>
      </c>
      <c r="G248" s="39">
        <v>3</v>
      </c>
      <c r="H248" s="39">
        <v>0</v>
      </c>
      <c r="I248" s="39">
        <v>0</v>
      </c>
      <c r="J248" s="132">
        <v>1888.11</v>
      </c>
      <c r="K248" s="39">
        <f>SUM(Table3236[[#This Row],[Single Family ]:[&gt;4 Units ]])</f>
        <v>7</v>
      </c>
      <c r="L248" s="133">
        <v>3</v>
      </c>
      <c r="M248" s="133">
        <v>4</v>
      </c>
      <c r="N248" s="133">
        <v>0</v>
      </c>
      <c r="O248" s="134">
        <v>12302.25</v>
      </c>
      <c r="P248" s="243">
        <f>VLOOKUP(Table3236[[#This Row],[Census Tract]],'Population and Diversity Data'!$B$2:$K$823,10,FALSE)</f>
        <v>5</v>
      </c>
      <c r="Q248" s="244" t="str">
        <f>VLOOKUP(Table3236[[#This Row],[Census Tract]],'UI EnergyBurden'!$A$2:$B$184,2,FALSE)</f>
        <v>No</v>
      </c>
      <c r="R248" s="249">
        <f>VLOOKUP(Table3236[[#This Row],[Census Tract]],'Income and Housing Data'!$B$2:$D$823,3,FALSE)</f>
        <v>19593</v>
      </c>
      <c r="S248" s="250" t="str">
        <f>IF($U$7&lt;=Table3236[[#This Row],[Household Income]],IF(Table3236[[#This Row],[Household Income]]&lt;=$U$8, "Yes","No"),"No")</f>
        <v>No</v>
      </c>
    </row>
    <row r="249" spans="1:19" x14ac:dyDescent="0.25">
      <c r="A249" s="183">
        <v>9009142603</v>
      </c>
      <c r="B249" s="39" t="s">
        <v>943</v>
      </c>
      <c r="C249" s="178" t="s">
        <v>936</v>
      </c>
      <c r="D249" s="179">
        <v>45179.0501</v>
      </c>
      <c r="E249" s="179">
        <v>0</v>
      </c>
      <c r="F249" s="39">
        <f>Table3236[[#This Row],[Single Family]]+Table3236[[#This Row],[2-4 Units]]+Table3236[[#This Row],[&gt;4 Units]]</f>
        <v>0</v>
      </c>
      <c r="G249" s="39"/>
      <c r="H249" s="39"/>
      <c r="I249" s="39"/>
      <c r="J249" s="132">
        <v>0</v>
      </c>
      <c r="K249" s="39">
        <f>SUM(Table3236[[#This Row],[Single Family ]:[&gt;4 Units ]])</f>
        <v>0</v>
      </c>
      <c r="L249" s="133"/>
      <c r="M249" s="133"/>
      <c r="N249" s="133"/>
      <c r="O249" s="134">
        <v>0</v>
      </c>
      <c r="P249" s="243">
        <f>VLOOKUP(Table3236[[#This Row],[Census Tract]],'Population and Diversity Data'!$B$2:$K$823,10,FALSE)</f>
        <v>5</v>
      </c>
      <c r="Q249" s="244" t="str">
        <f>VLOOKUP(Table3236[[#This Row],[Census Tract]],'UI EnergyBurden'!$A$2:$B$184,2,FALSE)</f>
        <v>No</v>
      </c>
      <c r="R249" s="249">
        <f>VLOOKUP(Table3236[[#This Row],[Census Tract]],'Income and Housing Data'!$B$2:$D$823,3,FALSE)</f>
        <v>19593</v>
      </c>
      <c r="S249" s="250" t="str">
        <f>IF($U$7&lt;=Table3236[[#This Row],[Household Income]],IF(Table3236[[#This Row],[Household Income]]&lt;=$U$8, "Yes","No"),"No")</f>
        <v>No</v>
      </c>
    </row>
    <row r="250" spans="1:19" x14ac:dyDescent="0.25">
      <c r="A250" s="183">
        <v>9009142604</v>
      </c>
      <c r="B250" s="39" t="s">
        <v>3024</v>
      </c>
      <c r="C250" s="178" t="s">
        <v>944</v>
      </c>
      <c r="D250" s="179">
        <v>588.71630000000005</v>
      </c>
      <c r="E250" s="179">
        <v>0</v>
      </c>
      <c r="F250" s="39">
        <f>Table3236[[#This Row],[Single Family]]+Table3236[[#This Row],[2-4 Units]]+Table3236[[#This Row],[&gt;4 Units]]</f>
        <v>0</v>
      </c>
      <c r="G250" s="39"/>
      <c r="H250" s="39"/>
      <c r="I250" s="39"/>
      <c r="J250" s="132">
        <v>0</v>
      </c>
      <c r="K250" s="39">
        <f>SUM(Table3236[[#This Row],[Single Family ]:[&gt;4 Units ]])</f>
        <v>0</v>
      </c>
      <c r="L250" s="133"/>
      <c r="M250" s="133"/>
      <c r="N250" s="133"/>
      <c r="O250" s="134">
        <v>0</v>
      </c>
      <c r="P250" s="243">
        <f>VLOOKUP(Table3236[[#This Row],[Census Tract]],'Population and Diversity Data'!$B$2:$K$823,10,FALSE)</f>
        <v>4</v>
      </c>
      <c r="Q250" s="244" t="str">
        <f>VLOOKUP(Table3236[[#This Row],[Census Tract]],'UI EnergyBurden'!$A$2:$B$184,2,FALSE)</f>
        <v>No</v>
      </c>
      <c r="R250" s="249">
        <f>VLOOKUP(Table3236[[#This Row],[Census Tract]],'Income and Housing Data'!$B$2:$D$823,3,FALSE)</f>
        <v>73411</v>
      </c>
      <c r="S250" s="250" t="str">
        <f>IF($U$7&lt;=Table3236[[#This Row],[Household Income]],IF(Table3236[[#This Row],[Household Income]]&lt;=$U$8, "Yes","No"),"No")</f>
        <v>No</v>
      </c>
    </row>
    <row r="251" spans="1:19" x14ac:dyDescent="0.25">
      <c r="A251" s="183">
        <v>9009142604</v>
      </c>
      <c r="B251" s="39" t="s">
        <v>943</v>
      </c>
      <c r="C251" s="178" t="s">
        <v>944</v>
      </c>
      <c r="D251" s="179">
        <v>40066.7255</v>
      </c>
      <c r="E251" s="179">
        <v>16767.72</v>
      </c>
      <c r="F251" s="39">
        <f>Table3236[[#This Row],[Single Family]]+Table3236[[#This Row],[2-4 Units]]+Table3236[[#This Row],[&gt;4 Units]]</f>
        <v>9</v>
      </c>
      <c r="G251" s="39">
        <v>8</v>
      </c>
      <c r="H251" s="39">
        <v>1</v>
      </c>
      <c r="I251" s="39">
        <v>0</v>
      </c>
      <c r="J251" s="132">
        <v>5025.12</v>
      </c>
      <c r="K251" s="39">
        <f>SUM(Table3236[[#This Row],[Single Family ]:[&gt;4 Units ]])</f>
        <v>11</v>
      </c>
      <c r="L251" s="133">
        <v>6</v>
      </c>
      <c r="M251" s="133">
        <v>5</v>
      </c>
      <c r="N251" s="133">
        <v>0</v>
      </c>
      <c r="O251" s="134">
        <v>11742.6</v>
      </c>
      <c r="P251" s="243">
        <f>VLOOKUP(Table3236[[#This Row],[Census Tract]],'Population and Diversity Data'!$B$2:$K$823,10,FALSE)</f>
        <v>4</v>
      </c>
      <c r="Q251" s="244" t="str">
        <f>VLOOKUP(Table3236[[#This Row],[Census Tract]],'UI EnergyBurden'!$A$2:$B$184,2,FALSE)</f>
        <v>No</v>
      </c>
      <c r="R251" s="249">
        <f>VLOOKUP(Table3236[[#This Row],[Census Tract]],'Income and Housing Data'!$B$2:$D$823,3,FALSE)</f>
        <v>73411</v>
      </c>
      <c r="S251" s="250" t="str">
        <f>IF($U$7&lt;=Table3236[[#This Row],[Household Income]],IF(Table3236[[#This Row],[Household Income]]&lt;=$U$8, "Yes","No"),"No")</f>
        <v>No</v>
      </c>
    </row>
    <row r="252" spans="1:19" x14ac:dyDescent="0.25">
      <c r="A252" s="183">
        <v>9009142604</v>
      </c>
      <c r="B252" s="39" t="s">
        <v>3025</v>
      </c>
      <c r="C252" s="178" t="s">
        <v>944</v>
      </c>
      <c r="D252" s="179">
        <v>8.3750999999999998</v>
      </c>
      <c r="E252" s="179">
        <v>0</v>
      </c>
      <c r="F252" s="39">
        <f>Table3236[[#This Row],[Single Family]]+Table3236[[#This Row],[2-4 Units]]+Table3236[[#This Row],[&gt;4 Units]]</f>
        <v>0</v>
      </c>
      <c r="G252" s="39"/>
      <c r="H252" s="39"/>
      <c r="I252" s="39"/>
      <c r="J252" s="132">
        <v>0</v>
      </c>
      <c r="K252" s="39">
        <f>SUM(Table3236[[#This Row],[Single Family ]:[&gt;4 Units ]])</f>
        <v>0</v>
      </c>
      <c r="L252" s="133"/>
      <c r="M252" s="133"/>
      <c r="N252" s="133"/>
      <c r="O252" s="134">
        <v>0</v>
      </c>
      <c r="P252" s="243">
        <f>VLOOKUP(Table3236[[#This Row],[Census Tract]],'Population and Diversity Data'!$B$2:$K$823,10,FALSE)</f>
        <v>4</v>
      </c>
      <c r="Q252" s="244" t="str">
        <f>VLOOKUP(Table3236[[#This Row],[Census Tract]],'UI EnergyBurden'!$A$2:$B$184,2,FALSE)</f>
        <v>No</v>
      </c>
      <c r="R252" s="249">
        <f>VLOOKUP(Table3236[[#This Row],[Census Tract]],'Income and Housing Data'!$B$2:$D$823,3,FALSE)</f>
        <v>73411</v>
      </c>
      <c r="S252" s="250" t="str">
        <f>IF($U$7&lt;=Table3236[[#This Row],[Household Income]],IF(Table3236[[#This Row],[Household Income]]&lt;=$U$8, "Yes","No"),"No")</f>
        <v>No</v>
      </c>
    </row>
    <row r="253" spans="1:19" x14ac:dyDescent="0.25">
      <c r="A253" s="183">
        <v>9009142604</v>
      </c>
      <c r="B253" s="39" t="s">
        <v>3023</v>
      </c>
      <c r="C253" s="178" t="s">
        <v>944</v>
      </c>
      <c r="D253" s="179">
        <v>0</v>
      </c>
      <c r="E253" s="179">
        <v>3171.78</v>
      </c>
      <c r="F253" s="39">
        <f>Table3236[[#This Row],[Single Family]]+Table3236[[#This Row],[2-4 Units]]+Table3236[[#This Row],[&gt;4 Units]]</f>
        <v>0</v>
      </c>
      <c r="G253" s="39"/>
      <c r="H253" s="39"/>
      <c r="I253" s="39"/>
      <c r="J253" s="132">
        <v>0</v>
      </c>
      <c r="K253" s="39">
        <f>SUM(Table3236[[#This Row],[Single Family ]:[&gt;4 Units ]])</f>
        <v>2</v>
      </c>
      <c r="L253" s="133">
        <v>1</v>
      </c>
      <c r="M253" s="133">
        <v>1</v>
      </c>
      <c r="N253" s="133">
        <v>0</v>
      </c>
      <c r="O253" s="134">
        <v>3171.78</v>
      </c>
      <c r="P253" s="243">
        <f>VLOOKUP(Table3236[[#This Row],[Census Tract]],'Population and Diversity Data'!$B$2:$K$823,10,FALSE)</f>
        <v>4</v>
      </c>
      <c r="Q253" s="244" t="str">
        <f>VLOOKUP(Table3236[[#This Row],[Census Tract]],'UI EnergyBurden'!$A$2:$B$184,2,FALSE)</f>
        <v>No</v>
      </c>
      <c r="R253" s="249">
        <f>VLOOKUP(Table3236[[#This Row],[Census Tract]],'Income and Housing Data'!$B$2:$D$823,3,FALSE)</f>
        <v>73411</v>
      </c>
      <c r="S253" s="250" t="str">
        <f>IF($U$7&lt;=Table3236[[#This Row],[Household Income]],IF(Table3236[[#This Row],[Household Income]]&lt;=$U$8, "Yes","No"),"No")</f>
        <v>No</v>
      </c>
    </row>
    <row r="254" spans="1:19" x14ac:dyDescent="0.25">
      <c r="A254" s="183">
        <v>9009142700</v>
      </c>
      <c r="B254" s="39" t="s">
        <v>3024</v>
      </c>
      <c r="C254" s="178" t="s">
        <v>944</v>
      </c>
      <c r="D254" s="179">
        <v>752.1549</v>
      </c>
      <c r="E254" s="179">
        <v>0</v>
      </c>
      <c r="F254" s="39">
        <f>Table3236[[#This Row],[Single Family]]+Table3236[[#This Row],[2-4 Units]]+Table3236[[#This Row],[&gt;4 Units]]</f>
        <v>0</v>
      </c>
      <c r="G254" s="39"/>
      <c r="H254" s="39"/>
      <c r="I254" s="39"/>
      <c r="J254" s="132">
        <v>0</v>
      </c>
      <c r="K254" s="39">
        <f>SUM(Table3236[[#This Row],[Single Family ]:[&gt;4 Units ]])</f>
        <v>0</v>
      </c>
      <c r="L254" s="133"/>
      <c r="M254" s="133"/>
      <c r="N254" s="133"/>
      <c r="O254" s="134">
        <v>0</v>
      </c>
      <c r="P254" s="243">
        <f>VLOOKUP(Table3236[[#This Row],[Census Tract]],'Population and Diversity Data'!$B$2:$K$823,10,FALSE)</f>
        <v>5</v>
      </c>
      <c r="Q254" s="244" t="str">
        <f>VLOOKUP(Table3236[[#This Row],[Census Tract]],'UI EnergyBurden'!$A$2:$B$184,2,FALSE)</f>
        <v>Yes</v>
      </c>
      <c r="R254" s="249">
        <f>VLOOKUP(Table3236[[#This Row],[Census Tract]],'Income and Housing Data'!$B$2:$D$823,3,FALSE)</f>
        <v>41881</v>
      </c>
      <c r="S254" s="250" t="str">
        <f>IF($U$7&lt;=Table3236[[#This Row],[Household Income]],IF(Table3236[[#This Row],[Household Income]]&lt;=$U$8, "Yes","No"),"No")</f>
        <v>No</v>
      </c>
    </row>
    <row r="255" spans="1:19" x14ac:dyDescent="0.25">
      <c r="A255" s="183">
        <v>9009142700</v>
      </c>
      <c r="B255" s="39" t="s">
        <v>943</v>
      </c>
      <c r="C255" s="178" t="s">
        <v>944</v>
      </c>
      <c r="D255" s="179">
        <v>83322.580300000103</v>
      </c>
      <c r="E255" s="179">
        <v>29975.46</v>
      </c>
      <c r="F255" s="39">
        <f>Table3236[[#This Row],[Single Family]]+Table3236[[#This Row],[2-4 Units]]+Table3236[[#This Row],[&gt;4 Units]]</f>
        <v>8</v>
      </c>
      <c r="G255" s="39">
        <v>8</v>
      </c>
      <c r="H255" s="39">
        <v>0</v>
      </c>
      <c r="I255" s="39">
        <v>0</v>
      </c>
      <c r="J255" s="132">
        <v>8295.25</v>
      </c>
      <c r="K255" s="39">
        <f>SUM(Table3236[[#This Row],[Single Family ]:[&gt;4 Units ]])</f>
        <v>20</v>
      </c>
      <c r="L255" s="133">
        <v>11</v>
      </c>
      <c r="M255" s="133">
        <v>9</v>
      </c>
      <c r="N255" s="133">
        <v>0</v>
      </c>
      <c r="O255" s="134">
        <v>15680.21</v>
      </c>
      <c r="P255" s="243">
        <f>VLOOKUP(Table3236[[#This Row],[Census Tract]],'Population and Diversity Data'!$B$2:$K$823,10,FALSE)</f>
        <v>5</v>
      </c>
      <c r="Q255" s="244" t="str">
        <f>VLOOKUP(Table3236[[#This Row],[Census Tract]],'UI EnergyBurden'!$A$2:$B$184,2,FALSE)</f>
        <v>Yes</v>
      </c>
      <c r="R255" s="249">
        <f>VLOOKUP(Table3236[[#This Row],[Census Tract]],'Income and Housing Data'!$B$2:$D$823,3,FALSE)</f>
        <v>41881</v>
      </c>
      <c r="S255" s="250" t="str">
        <f>IF($U$7&lt;=Table3236[[#This Row],[Household Income]],IF(Table3236[[#This Row],[Household Income]]&lt;=$U$8, "Yes","No"),"No")</f>
        <v>No</v>
      </c>
    </row>
    <row r="256" spans="1:19" x14ac:dyDescent="0.25">
      <c r="A256" s="183">
        <v>9009142800</v>
      </c>
      <c r="B256" s="39" t="s">
        <v>3024</v>
      </c>
      <c r="C256" s="178" t="s">
        <v>944</v>
      </c>
      <c r="D256" s="179">
        <v>897.51229999999998</v>
      </c>
      <c r="E256" s="179">
        <v>0</v>
      </c>
      <c r="F256" s="39">
        <f>Table3236[[#This Row],[Single Family]]+Table3236[[#This Row],[2-4 Units]]+Table3236[[#This Row],[&gt;4 Units]]</f>
        <v>0</v>
      </c>
      <c r="G256" s="39"/>
      <c r="H256" s="39"/>
      <c r="I256" s="39"/>
      <c r="J256" s="132">
        <v>0</v>
      </c>
      <c r="K256" s="39">
        <f>SUM(Table3236[[#This Row],[Single Family ]:[&gt;4 Units ]])</f>
        <v>0</v>
      </c>
      <c r="L256" s="133"/>
      <c r="M256" s="133"/>
      <c r="N256" s="133"/>
      <c r="O256" s="134">
        <v>0</v>
      </c>
      <c r="P256" s="243">
        <f>VLOOKUP(Table3236[[#This Row],[Census Tract]],'Population and Diversity Data'!$B$2:$K$823,10,FALSE)</f>
        <v>3</v>
      </c>
      <c r="Q256" s="244" t="str">
        <f>VLOOKUP(Table3236[[#This Row],[Census Tract]],'UI EnergyBurden'!$A$2:$B$184,2,FALSE)</f>
        <v>No</v>
      </c>
      <c r="R256" s="249">
        <f>VLOOKUP(Table3236[[#This Row],[Census Tract]],'Income and Housing Data'!$B$2:$D$823,3,FALSE)</f>
        <v>68832</v>
      </c>
      <c r="S256" s="250" t="str">
        <f>IF($U$7&lt;=Table3236[[#This Row],[Household Income]],IF(Table3236[[#This Row],[Household Income]]&lt;=$U$8, "Yes","No"),"No")</f>
        <v>No</v>
      </c>
    </row>
    <row r="257" spans="1:19" x14ac:dyDescent="0.25">
      <c r="A257" s="183">
        <v>9009142800</v>
      </c>
      <c r="B257" s="39" t="s">
        <v>3016</v>
      </c>
      <c r="C257" s="178" t="s">
        <v>944</v>
      </c>
      <c r="D257" s="179">
        <v>0</v>
      </c>
      <c r="E257" s="179">
        <v>490.74</v>
      </c>
      <c r="F257" s="39">
        <f>Table3236[[#This Row],[Single Family]]+Table3236[[#This Row],[2-4 Units]]+Table3236[[#This Row],[&gt;4 Units]]</f>
        <v>0</v>
      </c>
      <c r="G257" s="39"/>
      <c r="H257" s="39"/>
      <c r="I257" s="39"/>
      <c r="J257" s="132">
        <v>0</v>
      </c>
      <c r="K257" s="39">
        <f>SUM(Table3236[[#This Row],[Single Family ]:[&gt;4 Units ]])</f>
        <v>1</v>
      </c>
      <c r="L257" s="133">
        <v>0</v>
      </c>
      <c r="M257" s="133">
        <v>1</v>
      </c>
      <c r="N257" s="133">
        <v>0</v>
      </c>
      <c r="O257" s="134">
        <v>490.74</v>
      </c>
      <c r="P257" s="243">
        <f>VLOOKUP(Table3236[[#This Row],[Census Tract]],'Population and Diversity Data'!$B$2:$K$823,10,FALSE)</f>
        <v>3</v>
      </c>
      <c r="Q257" s="244" t="str">
        <f>VLOOKUP(Table3236[[#This Row],[Census Tract]],'UI EnergyBurden'!$A$2:$B$184,2,FALSE)</f>
        <v>No</v>
      </c>
      <c r="R257" s="249">
        <f>VLOOKUP(Table3236[[#This Row],[Census Tract]],'Income and Housing Data'!$B$2:$D$823,3,FALSE)</f>
        <v>68832</v>
      </c>
      <c r="S257" s="250" t="str">
        <f>IF($U$7&lt;=Table3236[[#This Row],[Household Income]],IF(Table3236[[#This Row],[Household Income]]&lt;=$U$8, "Yes","No"),"No")</f>
        <v>No</v>
      </c>
    </row>
    <row r="258" spans="1:19" x14ac:dyDescent="0.25">
      <c r="A258" s="183">
        <v>9009142800</v>
      </c>
      <c r="B258" s="39" t="s">
        <v>943</v>
      </c>
      <c r="C258" s="178" t="s">
        <v>944</v>
      </c>
      <c r="D258" s="179">
        <v>77725.744400000098</v>
      </c>
      <c r="E258" s="179">
        <v>67092.72</v>
      </c>
      <c r="F258" s="39">
        <f>Table3236[[#This Row],[Single Family]]+Table3236[[#This Row],[2-4 Units]]+Table3236[[#This Row],[&gt;4 Units]]</f>
        <v>69</v>
      </c>
      <c r="G258" s="39">
        <v>63</v>
      </c>
      <c r="H258" s="39">
        <v>6</v>
      </c>
      <c r="I258" s="39">
        <v>0</v>
      </c>
      <c r="J258" s="132">
        <v>38539.730000000003</v>
      </c>
      <c r="K258" s="39">
        <f>SUM(Table3236[[#This Row],[Single Family ]:[&gt;4 Units ]])</f>
        <v>15</v>
      </c>
      <c r="L258" s="133">
        <v>13</v>
      </c>
      <c r="M258" s="133">
        <v>2</v>
      </c>
      <c r="N258" s="133">
        <v>0</v>
      </c>
      <c r="O258" s="134">
        <v>28552.99</v>
      </c>
      <c r="P258" s="243">
        <f>VLOOKUP(Table3236[[#This Row],[Census Tract]],'Population and Diversity Data'!$B$2:$K$823,10,FALSE)</f>
        <v>3</v>
      </c>
      <c r="Q258" s="244" t="str">
        <f>VLOOKUP(Table3236[[#This Row],[Census Tract]],'UI EnergyBurden'!$A$2:$B$184,2,FALSE)</f>
        <v>No</v>
      </c>
      <c r="R258" s="249">
        <f>VLOOKUP(Table3236[[#This Row],[Census Tract]],'Income and Housing Data'!$B$2:$D$823,3,FALSE)</f>
        <v>68832</v>
      </c>
      <c r="S258" s="250" t="str">
        <f>IF($U$7&lt;=Table3236[[#This Row],[Household Income]],IF(Table3236[[#This Row],[Household Income]]&lt;=$U$8, "Yes","No"),"No")</f>
        <v>No</v>
      </c>
    </row>
    <row r="259" spans="1:19" x14ac:dyDescent="0.25">
      <c r="A259" s="183">
        <v>9009150100</v>
      </c>
      <c r="B259" s="39" t="s">
        <v>3008</v>
      </c>
      <c r="C259" s="178" t="s">
        <v>944</v>
      </c>
      <c r="D259" s="179">
        <v>88019.366599999994</v>
      </c>
      <c r="E259" s="179">
        <v>10986.41</v>
      </c>
      <c r="F259" s="39">
        <f>Table3236[[#This Row],[Single Family]]+Table3236[[#This Row],[2-4 Units]]+Table3236[[#This Row],[&gt;4 Units]]</f>
        <v>31</v>
      </c>
      <c r="G259" s="39">
        <v>16</v>
      </c>
      <c r="H259" s="39">
        <v>0</v>
      </c>
      <c r="I259" s="39">
        <v>15</v>
      </c>
      <c r="J259" s="132">
        <v>10986.41</v>
      </c>
      <c r="K259" s="39">
        <f>SUM(Table3236[[#This Row],[Single Family ]:[&gt;4 Units ]])</f>
        <v>0</v>
      </c>
      <c r="L259" s="133"/>
      <c r="M259" s="133"/>
      <c r="N259" s="133"/>
      <c r="O259" s="134">
        <v>0</v>
      </c>
      <c r="P259" s="243">
        <f>VLOOKUP(Table3236[[#This Row],[Census Tract]],'Population and Diversity Data'!$B$2:$K$823,10,FALSE)</f>
        <v>3</v>
      </c>
      <c r="Q259" s="244" t="str">
        <f>VLOOKUP(Table3236[[#This Row],[Census Tract]],'UI EnergyBurden'!$A$2:$B$184,2,FALSE)</f>
        <v>No</v>
      </c>
      <c r="R259" s="249">
        <f>VLOOKUP(Table3236[[#This Row],[Census Tract]],'Income and Housing Data'!$B$2:$D$823,3,FALSE)</f>
        <v>100309</v>
      </c>
      <c r="S259" s="250" t="str">
        <f>IF($U$7&lt;=Table3236[[#This Row],[Household Income]],IF(Table3236[[#This Row],[Household Income]]&lt;=$U$8, "Yes","No"),"No")</f>
        <v>No</v>
      </c>
    </row>
    <row r="260" spans="1:19" x14ac:dyDescent="0.25">
      <c r="A260" s="183">
        <v>9009150200</v>
      </c>
      <c r="B260" s="39" t="s">
        <v>3008</v>
      </c>
      <c r="C260" s="178" t="s">
        <v>944</v>
      </c>
      <c r="D260" s="179">
        <v>58587.509199999899</v>
      </c>
      <c r="E260" s="179">
        <v>301300.26</v>
      </c>
      <c r="F260" s="39">
        <f>Table3236[[#This Row],[Single Family]]+Table3236[[#This Row],[2-4 Units]]+Table3236[[#This Row],[&gt;4 Units]]</f>
        <v>17</v>
      </c>
      <c r="G260" s="39">
        <v>16</v>
      </c>
      <c r="H260" s="39">
        <v>1</v>
      </c>
      <c r="I260" s="39">
        <v>0</v>
      </c>
      <c r="J260" s="132">
        <v>10891.55</v>
      </c>
      <c r="K260" s="39">
        <f>SUM(Table3236[[#This Row],[Single Family ]:[&gt;4 Units ]])</f>
        <v>4</v>
      </c>
      <c r="L260" s="133">
        <v>1</v>
      </c>
      <c r="M260" s="133">
        <v>2</v>
      </c>
      <c r="N260" s="133">
        <v>1</v>
      </c>
      <c r="O260" s="134">
        <v>289508.71000000002</v>
      </c>
      <c r="P260" s="243">
        <f>VLOOKUP(Table3236[[#This Row],[Census Tract]],'Population and Diversity Data'!$B$2:$K$823,10,FALSE)</f>
        <v>4</v>
      </c>
      <c r="Q260" s="244" t="str">
        <f>VLOOKUP(Table3236[[#This Row],[Census Tract]],'UI EnergyBurden'!$A$2:$B$184,2,FALSE)</f>
        <v>No</v>
      </c>
      <c r="R260" s="249">
        <f>VLOOKUP(Table3236[[#This Row],[Census Tract]],'Income and Housing Data'!$B$2:$D$823,3,FALSE)</f>
        <v>71295</v>
      </c>
      <c r="S260" s="250" t="str">
        <f>IF($U$7&lt;=Table3236[[#This Row],[Household Income]],IF(Table3236[[#This Row],[Household Income]]&lt;=$U$8, "Yes","No"),"No")</f>
        <v>No</v>
      </c>
    </row>
    <row r="261" spans="1:19" x14ac:dyDescent="0.25">
      <c r="A261" s="183">
        <v>9009150300</v>
      </c>
      <c r="B261" s="39" t="s">
        <v>3008</v>
      </c>
      <c r="C261" s="178" t="s">
        <v>944</v>
      </c>
      <c r="D261" s="179">
        <v>70907.985900000102</v>
      </c>
      <c r="E261" s="179">
        <v>9897.52</v>
      </c>
      <c r="F261" s="39">
        <f>Table3236[[#This Row],[Single Family]]+Table3236[[#This Row],[2-4 Units]]+Table3236[[#This Row],[&gt;4 Units]]</f>
        <v>24</v>
      </c>
      <c r="G261" s="39">
        <v>19</v>
      </c>
      <c r="H261" s="39">
        <v>1</v>
      </c>
      <c r="I261" s="39">
        <v>4</v>
      </c>
      <c r="J261" s="132">
        <v>9039.11</v>
      </c>
      <c r="K261" s="39">
        <f>SUM(Table3236[[#This Row],[Single Family ]:[&gt;4 Units ]])</f>
        <v>2</v>
      </c>
      <c r="L261" s="133">
        <v>2</v>
      </c>
      <c r="M261" s="133">
        <v>0</v>
      </c>
      <c r="N261" s="133">
        <v>0</v>
      </c>
      <c r="O261" s="134">
        <v>858.41</v>
      </c>
      <c r="P261" s="243">
        <f>VLOOKUP(Table3236[[#This Row],[Census Tract]],'Population and Diversity Data'!$B$2:$K$823,10,FALSE)</f>
        <v>3</v>
      </c>
      <c r="Q261" s="244" t="str">
        <f>VLOOKUP(Table3236[[#This Row],[Census Tract]],'UI EnergyBurden'!$A$2:$B$184,2,FALSE)</f>
        <v>No</v>
      </c>
      <c r="R261" s="249">
        <f>VLOOKUP(Table3236[[#This Row],[Census Tract]],'Income and Housing Data'!$B$2:$D$823,3,FALSE)</f>
        <v>88063</v>
      </c>
      <c r="S261" s="250" t="str">
        <f>IF($U$7&lt;=Table3236[[#This Row],[Household Income]],IF(Table3236[[#This Row],[Household Income]]&lt;=$U$8, "Yes","No"),"No")</f>
        <v>No</v>
      </c>
    </row>
    <row r="262" spans="1:19" x14ac:dyDescent="0.25">
      <c r="A262" s="183">
        <v>9009150400</v>
      </c>
      <c r="B262" s="39" t="s">
        <v>3008</v>
      </c>
      <c r="C262" s="178" t="s">
        <v>944</v>
      </c>
      <c r="D262" s="179">
        <v>72449.754100000006</v>
      </c>
      <c r="E262" s="179">
        <v>15589.52</v>
      </c>
      <c r="F262" s="39">
        <f>Table3236[[#This Row],[Single Family]]+Table3236[[#This Row],[2-4 Units]]+Table3236[[#This Row],[&gt;4 Units]]</f>
        <v>37</v>
      </c>
      <c r="G262" s="39">
        <v>19</v>
      </c>
      <c r="H262" s="39">
        <v>3</v>
      </c>
      <c r="I262" s="39">
        <v>15</v>
      </c>
      <c r="J262" s="132">
        <v>11147.17</v>
      </c>
      <c r="K262" s="39">
        <f>SUM(Table3236[[#This Row],[Single Family ]:[&gt;4 Units ]])</f>
        <v>4</v>
      </c>
      <c r="L262" s="133">
        <v>4</v>
      </c>
      <c r="M262" s="133">
        <v>0</v>
      </c>
      <c r="N262" s="133">
        <v>0</v>
      </c>
      <c r="O262" s="134">
        <v>4442.3500000000004</v>
      </c>
      <c r="P262" s="243">
        <f>VLOOKUP(Table3236[[#This Row],[Census Tract]],'Population and Diversity Data'!$B$2:$K$823,10,FALSE)</f>
        <v>4</v>
      </c>
      <c r="Q262" s="244" t="str">
        <f>VLOOKUP(Table3236[[#This Row],[Census Tract]],'UI EnergyBurden'!$A$2:$B$184,2,FALSE)</f>
        <v>No</v>
      </c>
      <c r="R262" s="249">
        <f>VLOOKUP(Table3236[[#This Row],[Census Tract]],'Income and Housing Data'!$B$2:$D$823,3,FALSE)</f>
        <v>65218</v>
      </c>
      <c r="S262" s="250" t="str">
        <f>IF($U$7&lt;=Table3236[[#This Row],[Household Income]],IF(Table3236[[#This Row],[Household Income]]&lt;=$U$8, "Yes","No"),"No")</f>
        <v>No</v>
      </c>
    </row>
    <row r="263" spans="1:19" x14ac:dyDescent="0.25">
      <c r="A263" s="183">
        <v>9009150500</v>
      </c>
      <c r="B263" s="39" t="s">
        <v>3008</v>
      </c>
      <c r="C263" s="178" t="s">
        <v>944</v>
      </c>
      <c r="D263" s="179">
        <v>76013.063599999805</v>
      </c>
      <c r="E263" s="179">
        <v>23082.76</v>
      </c>
      <c r="F263" s="39">
        <f>Table3236[[#This Row],[Single Family]]+Table3236[[#This Row],[2-4 Units]]+Table3236[[#This Row],[&gt;4 Units]]</f>
        <v>33</v>
      </c>
      <c r="G263" s="39">
        <v>33</v>
      </c>
      <c r="H263" s="39">
        <v>0</v>
      </c>
      <c r="I263" s="39">
        <v>0</v>
      </c>
      <c r="J263" s="132">
        <v>20569.71</v>
      </c>
      <c r="K263" s="39">
        <f>SUM(Table3236[[#This Row],[Single Family ]:[&gt;4 Units ]])</f>
        <v>5</v>
      </c>
      <c r="L263" s="133">
        <v>5</v>
      </c>
      <c r="M263" s="133">
        <v>0</v>
      </c>
      <c r="N263" s="133">
        <v>0</v>
      </c>
      <c r="O263" s="134">
        <v>2513.0500000000002</v>
      </c>
      <c r="P263" s="243">
        <f>VLOOKUP(Table3236[[#This Row],[Census Tract]],'Population and Diversity Data'!$B$2:$K$823,10,FALSE)</f>
        <v>2</v>
      </c>
      <c r="Q263" s="244" t="str">
        <f>VLOOKUP(Table3236[[#This Row],[Census Tract]],'UI EnergyBurden'!$A$2:$B$184,2,FALSE)</f>
        <v>No</v>
      </c>
      <c r="R263" s="249">
        <f>VLOOKUP(Table3236[[#This Row],[Census Tract]],'Income and Housing Data'!$B$2:$D$823,3,FALSE)</f>
        <v>90000</v>
      </c>
      <c r="S263" s="250" t="str">
        <f>IF($U$7&lt;=Table3236[[#This Row],[Household Income]],IF(Table3236[[#This Row],[Household Income]]&lt;=$U$8, "Yes","No"),"No")</f>
        <v>No</v>
      </c>
    </row>
    <row r="264" spans="1:19" x14ac:dyDescent="0.25">
      <c r="A264" s="183">
        <v>9009150500</v>
      </c>
      <c r="B264" s="39" t="s">
        <v>3021</v>
      </c>
      <c r="C264" s="178" t="s">
        <v>944</v>
      </c>
      <c r="D264" s="179">
        <v>0</v>
      </c>
      <c r="E264" s="179">
        <v>181.36</v>
      </c>
      <c r="F264" s="39">
        <f>Table3236[[#This Row],[Single Family]]+Table3236[[#This Row],[2-4 Units]]+Table3236[[#This Row],[&gt;4 Units]]</f>
        <v>1</v>
      </c>
      <c r="G264" s="39">
        <v>1</v>
      </c>
      <c r="H264" s="39">
        <v>0</v>
      </c>
      <c r="I264" s="39">
        <v>0</v>
      </c>
      <c r="J264" s="132">
        <v>181.36</v>
      </c>
      <c r="K264" s="39">
        <f>SUM(Table3236[[#This Row],[Single Family ]:[&gt;4 Units ]])</f>
        <v>0</v>
      </c>
      <c r="L264" s="133"/>
      <c r="M264" s="133"/>
      <c r="N264" s="133"/>
      <c r="O264" s="134">
        <v>0</v>
      </c>
      <c r="P264" s="243">
        <f>VLOOKUP(Table3236[[#This Row],[Census Tract]],'Population and Diversity Data'!$B$2:$K$823,10,FALSE)</f>
        <v>2</v>
      </c>
      <c r="Q264" s="244" t="str">
        <f>VLOOKUP(Table3236[[#This Row],[Census Tract]],'UI EnergyBurden'!$A$2:$B$184,2,FALSE)</f>
        <v>No</v>
      </c>
      <c r="R264" s="249">
        <f>VLOOKUP(Table3236[[#This Row],[Census Tract]],'Income and Housing Data'!$B$2:$D$823,3,FALSE)</f>
        <v>90000</v>
      </c>
      <c r="S264" s="250" t="str">
        <f>IF($U$7&lt;=Table3236[[#This Row],[Household Income]],IF(Table3236[[#This Row],[Household Income]]&lt;=$U$8, "Yes","No"),"No")</f>
        <v>No</v>
      </c>
    </row>
    <row r="265" spans="1:19" x14ac:dyDescent="0.25">
      <c r="A265" s="183">
        <v>9009150600</v>
      </c>
      <c r="B265" s="39" t="s">
        <v>3008</v>
      </c>
      <c r="C265" s="178" t="s">
        <v>944</v>
      </c>
      <c r="D265" s="179">
        <v>118660.9953</v>
      </c>
      <c r="E265" s="179">
        <v>120779.61</v>
      </c>
      <c r="F265" s="39">
        <f>Table3236[[#This Row],[Single Family]]+Table3236[[#This Row],[2-4 Units]]+Table3236[[#This Row],[&gt;4 Units]]</f>
        <v>24</v>
      </c>
      <c r="G265" s="39">
        <v>24</v>
      </c>
      <c r="H265" s="39">
        <v>0</v>
      </c>
      <c r="I265" s="39">
        <v>0</v>
      </c>
      <c r="J265" s="132">
        <v>15405.65</v>
      </c>
      <c r="K265" s="39">
        <f>SUM(Table3236[[#This Row],[Single Family ]:[&gt;4 Units ]])</f>
        <v>3</v>
      </c>
      <c r="L265" s="133">
        <v>3</v>
      </c>
      <c r="M265" s="133">
        <v>0</v>
      </c>
      <c r="N265" s="133">
        <v>0</v>
      </c>
      <c r="O265" s="134">
        <v>15373.96</v>
      </c>
      <c r="P265" s="243">
        <f>VLOOKUP(Table3236[[#This Row],[Census Tract]],'Population and Diversity Data'!$B$2:$K$823,10,FALSE)</f>
        <v>3</v>
      </c>
      <c r="Q265" s="244" t="str">
        <f>VLOOKUP(Table3236[[#This Row],[Census Tract]],'UI EnergyBurden'!$A$2:$B$184,2,FALSE)</f>
        <v>No</v>
      </c>
      <c r="R265" s="249">
        <f>VLOOKUP(Table3236[[#This Row],[Census Tract]],'Income and Housing Data'!$B$2:$D$823,3,FALSE)</f>
        <v>103598</v>
      </c>
      <c r="S265" s="250" t="str">
        <f>IF($U$7&lt;=Table3236[[#This Row],[Household Income]],IF(Table3236[[#This Row],[Household Income]]&lt;=$U$8, "Yes","No"),"No")</f>
        <v>No</v>
      </c>
    </row>
    <row r="266" spans="1:19" x14ac:dyDescent="0.25">
      <c r="A266" s="183">
        <v>9009150700</v>
      </c>
      <c r="B266" s="39" t="s">
        <v>2985</v>
      </c>
      <c r="C266" s="178" t="s">
        <v>944</v>
      </c>
      <c r="D266" s="179">
        <v>454.1302</v>
      </c>
      <c r="E266" s="179">
        <v>0</v>
      </c>
      <c r="F266" s="39">
        <f>Table3236[[#This Row],[Single Family]]+Table3236[[#This Row],[2-4 Units]]+Table3236[[#This Row],[&gt;4 Units]]</f>
        <v>0</v>
      </c>
      <c r="G266" s="39"/>
      <c r="H266" s="39"/>
      <c r="I266" s="39"/>
      <c r="J266" s="132">
        <v>0</v>
      </c>
      <c r="K266" s="39">
        <f>SUM(Table3236[[#This Row],[Single Family ]:[&gt;4 Units ]])</f>
        <v>0</v>
      </c>
      <c r="L266" s="133"/>
      <c r="M266" s="133"/>
      <c r="N266" s="133"/>
      <c r="O266" s="134">
        <v>0</v>
      </c>
      <c r="P266" s="243">
        <f>VLOOKUP(Table3236[[#This Row],[Census Tract]],'Population and Diversity Data'!$B$2:$K$823,10,FALSE)</f>
        <v>3</v>
      </c>
      <c r="Q266" s="244" t="str">
        <f>VLOOKUP(Table3236[[#This Row],[Census Tract]],'UI EnergyBurden'!$A$2:$B$184,2,FALSE)</f>
        <v>No</v>
      </c>
      <c r="R266" s="249">
        <f>VLOOKUP(Table3236[[#This Row],[Census Tract]],'Income and Housing Data'!$B$2:$D$823,3,FALSE)</f>
        <v>128750</v>
      </c>
      <c r="S266" s="250" t="str">
        <f>IF($U$7&lt;=Table3236[[#This Row],[Household Income]],IF(Table3236[[#This Row],[Household Income]]&lt;=$U$8, "Yes","No"),"No")</f>
        <v>No</v>
      </c>
    </row>
    <row r="267" spans="1:19" x14ac:dyDescent="0.25">
      <c r="A267" s="183">
        <v>9009150700</v>
      </c>
      <c r="B267" s="39" t="s">
        <v>3008</v>
      </c>
      <c r="C267" s="178" t="s">
        <v>944</v>
      </c>
      <c r="D267" s="179">
        <v>83005.870799999801</v>
      </c>
      <c r="E267" s="179">
        <v>19090.919999999998</v>
      </c>
      <c r="F267" s="39">
        <f>Table3236[[#This Row],[Single Family]]+Table3236[[#This Row],[2-4 Units]]+Table3236[[#This Row],[&gt;4 Units]]</f>
        <v>25</v>
      </c>
      <c r="G267" s="39">
        <v>25</v>
      </c>
      <c r="H267" s="39">
        <v>0</v>
      </c>
      <c r="I267" s="39">
        <v>0</v>
      </c>
      <c r="J267" s="132">
        <v>15796.6</v>
      </c>
      <c r="K267" s="39">
        <f>SUM(Table3236[[#This Row],[Single Family ]:[&gt;4 Units ]])</f>
        <v>1</v>
      </c>
      <c r="L267" s="133">
        <v>1</v>
      </c>
      <c r="M267" s="133">
        <v>0</v>
      </c>
      <c r="N267" s="133">
        <v>0</v>
      </c>
      <c r="O267" s="134">
        <v>3294.32</v>
      </c>
      <c r="P267" s="243">
        <f>VLOOKUP(Table3236[[#This Row],[Census Tract]],'Population and Diversity Data'!$B$2:$K$823,10,FALSE)</f>
        <v>3</v>
      </c>
      <c r="Q267" s="244" t="str">
        <f>VLOOKUP(Table3236[[#This Row],[Census Tract]],'UI EnergyBurden'!$A$2:$B$184,2,FALSE)</f>
        <v>No</v>
      </c>
      <c r="R267" s="249">
        <f>VLOOKUP(Table3236[[#This Row],[Census Tract]],'Income and Housing Data'!$B$2:$D$823,3,FALSE)</f>
        <v>128750</v>
      </c>
      <c r="S267" s="250" t="str">
        <f>IF($U$7&lt;=Table3236[[#This Row],[Household Income]],IF(Table3236[[#This Row],[Household Income]]&lt;=$U$8, "Yes","No"),"No")</f>
        <v>No</v>
      </c>
    </row>
    <row r="268" spans="1:19" x14ac:dyDescent="0.25">
      <c r="A268" s="183">
        <v>9009150700</v>
      </c>
      <c r="B268" s="39" t="s">
        <v>3012</v>
      </c>
      <c r="C268" s="178" t="s">
        <v>944</v>
      </c>
      <c r="D268" s="179">
        <v>728.59849999999994</v>
      </c>
      <c r="E268" s="179">
        <v>1151.49</v>
      </c>
      <c r="F268" s="39">
        <f>Table3236[[#This Row],[Single Family]]+Table3236[[#This Row],[2-4 Units]]+Table3236[[#This Row],[&gt;4 Units]]</f>
        <v>1</v>
      </c>
      <c r="G268" s="39">
        <v>1</v>
      </c>
      <c r="H268" s="39">
        <v>0</v>
      </c>
      <c r="I268" s="39">
        <v>0</v>
      </c>
      <c r="J268" s="132">
        <v>1151.49</v>
      </c>
      <c r="K268" s="39">
        <f>SUM(Table3236[[#This Row],[Single Family ]:[&gt;4 Units ]])</f>
        <v>0</v>
      </c>
      <c r="L268" s="133"/>
      <c r="M268" s="133"/>
      <c r="N268" s="133"/>
      <c r="O268" s="134">
        <v>0</v>
      </c>
      <c r="P268" s="243">
        <f>VLOOKUP(Table3236[[#This Row],[Census Tract]],'Population and Diversity Data'!$B$2:$K$823,10,FALSE)</f>
        <v>3</v>
      </c>
      <c r="Q268" s="244" t="str">
        <f>VLOOKUP(Table3236[[#This Row],[Census Tract]],'UI EnergyBurden'!$A$2:$B$184,2,FALSE)</f>
        <v>No</v>
      </c>
      <c r="R268" s="249">
        <f>VLOOKUP(Table3236[[#This Row],[Census Tract]],'Income and Housing Data'!$B$2:$D$823,3,FALSE)</f>
        <v>128750</v>
      </c>
      <c r="S268" s="250" t="str">
        <f>IF($U$7&lt;=Table3236[[#This Row],[Household Income]],IF(Table3236[[#This Row],[Household Income]]&lt;=$U$8, "Yes","No"),"No")</f>
        <v>No</v>
      </c>
    </row>
    <row r="269" spans="1:19" x14ac:dyDescent="0.25">
      <c r="A269" s="183">
        <v>9009150800</v>
      </c>
      <c r="B269" s="39" t="s">
        <v>3008</v>
      </c>
      <c r="C269" s="178" t="s">
        <v>944</v>
      </c>
      <c r="D269" s="179">
        <v>69671.752900000007</v>
      </c>
      <c r="E269" s="179">
        <v>9704.3799999999992</v>
      </c>
      <c r="F269" s="39">
        <f>Table3236[[#This Row],[Single Family]]+Table3236[[#This Row],[2-4 Units]]+Table3236[[#This Row],[&gt;4 Units]]</f>
        <v>16</v>
      </c>
      <c r="G269" s="39">
        <v>16</v>
      </c>
      <c r="H269" s="39">
        <v>0</v>
      </c>
      <c r="I269" s="39">
        <v>0</v>
      </c>
      <c r="J269" s="132">
        <v>9601.5</v>
      </c>
      <c r="K269" s="39">
        <f>SUM(Table3236[[#This Row],[Single Family ]:[&gt;4 Units ]])</f>
        <v>1</v>
      </c>
      <c r="L269" s="133">
        <v>0</v>
      </c>
      <c r="M269" s="133">
        <v>1</v>
      </c>
      <c r="N269" s="133">
        <v>0</v>
      </c>
      <c r="O269" s="134">
        <v>102.88</v>
      </c>
      <c r="P269" s="243">
        <f>VLOOKUP(Table3236[[#This Row],[Census Tract]],'Population and Diversity Data'!$B$2:$K$823,10,FALSE)</f>
        <v>4</v>
      </c>
      <c r="Q269" s="244" t="str">
        <f>VLOOKUP(Table3236[[#This Row],[Census Tract]],'UI EnergyBurden'!$A$2:$B$184,2,FALSE)</f>
        <v>No</v>
      </c>
      <c r="R269" s="249">
        <f>VLOOKUP(Table3236[[#This Row],[Census Tract]],'Income and Housing Data'!$B$2:$D$823,3,FALSE)</f>
        <v>87647</v>
      </c>
      <c r="S269" s="250" t="str">
        <f>IF($U$7&lt;=Table3236[[#This Row],[Household Income]],IF(Table3236[[#This Row],[Household Income]]&lt;=$U$8, "Yes","No"),"No")</f>
        <v>No</v>
      </c>
    </row>
    <row r="270" spans="1:19" x14ac:dyDescent="0.25">
      <c r="A270" s="183">
        <v>9009150900</v>
      </c>
      <c r="B270" s="39" t="s">
        <v>3008</v>
      </c>
      <c r="C270" s="178" t="s">
        <v>944</v>
      </c>
      <c r="D270" s="179">
        <v>80824.2261</v>
      </c>
      <c r="E270" s="179">
        <v>18168.400000000001</v>
      </c>
      <c r="F270" s="39">
        <f>Table3236[[#This Row],[Single Family]]+Table3236[[#This Row],[2-4 Units]]+Table3236[[#This Row],[&gt;4 Units]]</f>
        <v>29</v>
      </c>
      <c r="G270" s="39">
        <v>29</v>
      </c>
      <c r="H270" s="39">
        <v>0</v>
      </c>
      <c r="I270" s="39">
        <v>0</v>
      </c>
      <c r="J270" s="132">
        <v>17324.400000000001</v>
      </c>
      <c r="K270" s="39">
        <f>SUM(Table3236[[#This Row],[Single Family ]:[&gt;4 Units ]])</f>
        <v>2</v>
      </c>
      <c r="L270" s="133">
        <v>2</v>
      </c>
      <c r="M270" s="133">
        <v>0</v>
      </c>
      <c r="N270" s="133">
        <v>0</v>
      </c>
      <c r="O270" s="134">
        <v>844</v>
      </c>
      <c r="P270" s="243">
        <f>VLOOKUP(Table3236[[#This Row],[Census Tract]],'Population and Diversity Data'!$B$2:$K$823,10,FALSE)</f>
        <v>1</v>
      </c>
      <c r="Q270" s="244" t="str">
        <f>VLOOKUP(Table3236[[#This Row],[Census Tract]],'UI EnergyBurden'!$A$2:$B$184,2,FALSE)</f>
        <v>No</v>
      </c>
      <c r="R270" s="249">
        <f>VLOOKUP(Table3236[[#This Row],[Census Tract]],'Income and Housing Data'!$B$2:$D$823,3,FALSE)</f>
        <v>117625</v>
      </c>
      <c r="S270" s="250" t="str">
        <f>IF($U$7&lt;=Table3236[[#This Row],[Household Income]],IF(Table3236[[#This Row],[Household Income]]&lt;=$U$8, "Yes","No"),"No")</f>
        <v>No</v>
      </c>
    </row>
    <row r="271" spans="1:19" x14ac:dyDescent="0.25">
      <c r="A271" s="183">
        <v>9009151000</v>
      </c>
      <c r="B271" s="39" t="s">
        <v>3008</v>
      </c>
      <c r="C271" s="178" t="s">
        <v>944</v>
      </c>
      <c r="D271" s="179">
        <v>77262.277400000094</v>
      </c>
      <c r="E271" s="179">
        <v>11582.4</v>
      </c>
      <c r="F271" s="39">
        <f>Table3236[[#This Row],[Single Family]]+Table3236[[#This Row],[2-4 Units]]+Table3236[[#This Row],[&gt;4 Units]]</f>
        <v>28</v>
      </c>
      <c r="G271" s="39">
        <v>25</v>
      </c>
      <c r="H271" s="39">
        <v>1</v>
      </c>
      <c r="I271" s="39">
        <v>2</v>
      </c>
      <c r="J271" s="132">
        <v>10668.61</v>
      </c>
      <c r="K271" s="39">
        <f>SUM(Table3236[[#This Row],[Single Family ]:[&gt;4 Units ]])</f>
        <v>3</v>
      </c>
      <c r="L271" s="133">
        <v>2</v>
      </c>
      <c r="M271" s="133">
        <v>1</v>
      </c>
      <c r="N271" s="133">
        <v>0</v>
      </c>
      <c r="O271" s="134">
        <v>913.79</v>
      </c>
      <c r="P271" s="243">
        <f>VLOOKUP(Table3236[[#This Row],[Census Tract]],'Population and Diversity Data'!$B$2:$K$823,10,FALSE)</f>
        <v>3</v>
      </c>
      <c r="Q271" s="244" t="str">
        <f>VLOOKUP(Table3236[[#This Row],[Census Tract]],'UI EnergyBurden'!$A$2:$B$184,2,FALSE)</f>
        <v>No</v>
      </c>
      <c r="R271" s="249">
        <f>VLOOKUP(Table3236[[#This Row],[Census Tract]],'Income and Housing Data'!$B$2:$D$823,3,FALSE)</f>
        <v>87227</v>
      </c>
      <c r="S271" s="250" t="str">
        <f>IF($U$7&lt;=Table3236[[#This Row],[Household Income]],IF(Table3236[[#This Row],[Household Income]]&lt;=$U$8, "Yes","No"),"No")</f>
        <v>No</v>
      </c>
    </row>
    <row r="272" spans="1:19" x14ac:dyDescent="0.25">
      <c r="A272" s="183">
        <v>9009151100</v>
      </c>
      <c r="B272" s="39" t="s">
        <v>3008</v>
      </c>
      <c r="C272" s="178" t="s">
        <v>944</v>
      </c>
      <c r="D272" s="179">
        <v>116407.5059</v>
      </c>
      <c r="E272" s="179">
        <v>22949.33</v>
      </c>
      <c r="F272" s="39">
        <f>Table3236[[#This Row],[Single Family]]+Table3236[[#This Row],[2-4 Units]]+Table3236[[#This Row],[&gt;4 Units]]</f>
        <v>43</v>
      </c>
      <c r="G272" s="39">
        <v>40</v>
      </c>
      <c r="H272" s="39">
        <v>1</v>
      </c>
      <c r="I272" s="39">
        <v>2</v>
      </c>
      <c r="J272" s="132">
        <v>22949.33</v>
      </c>
      <c r="K272" s="39">
        <f>SUM(Table3236[[#This Row],[Single Family ]:[&gt;4 Units ]])</f>
        <v>0</v>
      </c>
      <c r="L272" s="133"/>
      <c r="M272" s="133"/>
      <c r="N272" s="133"/>
      <c r="O272" s="134">
        <v>0</v>
      </c>
      <c r="P272" s="243">
        <f>VLOOKUP(Table3236[[#This Row],[Census Tract]],'Population and Diversity Data'!$B$2:$K$823,10,FALSE)</f>
        <v>3</v>
      </c>
      <c r="Q272" s="244" t="str">
        <f>VLOOKUP(Table3236[[#This Row],[Census Tract]],'UI EnergyBurden'!$A$2:$B$184,2,FALSE)</f>
        <v>No</v>
      </c>
      <c r="R272" s="249">
        <f>VLOOKUP(Table3236[[#This Row],[Census Tract]],'Income and Housing Data'!$B$2:$D$823,3,FALSE)</f>
        <v>96916</v>
      </c>
      <c r="S272" s="250" t="str">
        <f>IF($U$7&lt;=Table3236[[#This Row],[Household Income]],IF(Table3236[[#This Row],[Household Income]]&lt;=$U$8, "Yes","No"),"No")</f>
        <v>No</v>
      </c>
    </row>
    <row r="273" spans="1:19" x14ac:dyDescent="0.25">
      <c r="A273" s="183">
        <v>9009151200</v>
      </c>
      <c r="B273" s="39" t="s">
        <v>3008</v>
      </c>
      <c r="C273" s="178" t="s">
        <v>944</v>
      </c>
      <c r="D273" s="179">
        <v>55146.045800000102</v>
      </c>
      <c r="E273" s="179">
        <v>21109.09</v>
      </c>
      <c r="F273" s="39">
        <f>Table3236[[#This Row],[Single Family]]+Table3236[[#This Row],[2-4 Units]]+Table3236[[#This Row],[&gt;4 Units]]</f>
        <v>19</v>
      </c>
      <c r="G273" s="39">
        <v>18</v>
      </c>
      <c r="H273" s="39">
        <v>1</v>
      </c>
      <c r="I273" s="39">
        <v>0</v>
      </c>
      <c r="J273" s="132">
        <v>11439.41</v>
      </c>
      <c r="K273" s="39">
        <f>SUM(Table3236[[#This Row],[Single Family ]:[&gt;4 Units ]])</f>
        <v>4</v>
      </c>
      <c r="L273" s="133">
        <v>4</v>
      </c>
      <c r="M273" s="133">
        <v>0</v>
      </c>
      <c r="N273" s="133">
        <v>0</v>
      </c>
      <c r="O273" s="134">
        <v>9669.68</v>
      </c>
      <c r="P273" s="243">
        <f>VLOOKUP(Table3236[[#This Row],[Census Tract]],'Population and Diversity Data'!$B$2:$K$823,10,FALSE)</f>
        <v>2</v>
      </c>
      <c r="Q273" s="244" t="str">
        <f>VLOOKUP(Table3236[[#This Row],[Census Tract]],'UI EnergyBurden'!$A$2:$B$184,2,FALSE)</f>
        <v>No</v>
      </c>
      <c r="R273" s="249">
        <f>VLOOKUP(Table3236[[#This Row],[Census Tract]],'Income and Housing Data'!$B$2:$D$823,3,FALSE)</f>
        <v>84688</v>
      </c>
      <c r="S273" s="250" t="str">
        <f>IF($U$7&lt;=Table3236[[#This Row],[Household Income]],IF(Table3236[[#This Row],[Household Income]]&lt;=$U$8, "Yes","No"),"No")</f>
        <v>No</v>
      </c>
    </row>
    <row r="274" spans="1:19" x14ac:dyDescent="0.25">
      <c r="A274" s="183">
        <v>9009151200</v>
      </c>
      <c r="B274" s="39" t="s">
        <v>3012</v>
      </c>
      <c r="C274" s="178" t="s">
        <v>944</v>
      </c>
      <c r="D274" s="179">
        <v>0</v>
      </c>
      <c r="E274" s="179">
        <v>0</v>
      </c>
      <c r="F274" s="39">
        <f>Table3236[[#This Row],[Single Family]]+Table3236[[#This Row],[2-4 Units]]+Table3236[[#This Row],[&gt;4 Units]]</f>
        <v>0</v>
      </c>
      <c r="G274" s="39"/>
      <c r="H274" s="39"/>
      <c r="I274" s="39"/>
      <c r="J274" s="132">
        <v>0</v>
      </c>
      <c r="K274" s="39">
        <f>SUM(Table3236[[#This Row],[Single Family ]:[&gt;4 Units ]])</f>
        <v>0</v>
      </c>
      <c r="L274" s="133"/>
      <c r="M274" s="133"/>
      <c r="N274" s="133"/>
      <c r="O274" s="134">
        <v>0</v>
      </c>
      <c r="P274" s="243">
        <f>VLOOKUP(Table3236[[#This Row],[Census Tract]],'Population and Diversity Data'!$B$2:$K$823,10,FALSE)</f>
        <v>2</v>
      </c>
      <c r="Q274" s="244" t="str">
        <f>VLOOKUP(Table3236[[#This Row],[Census Tract]],'UI EnergyBurden'!$A$2:$B$184,2,FALSE)</f>
        <v>No</v>
      </c>
      <c r="R274" s="249">
        <f>VLOOKUP(Table3236[[#This Row],[Census Tract]],'Income and Housing Data'!$B$2:$D$823,3,FALSE)</f>
        <v>84688</v>
      </c>
      <c r="S274" s="250" t="str">
        <f>IF($U$7&lt;=Table3236[[#This Row],[Household Income]],IF(Table3236[[#This Row],[Household Income]]&lt;=$U$8, "Yes","No"),"No")</f>
        <v>No</v>
      </c>
    </row>
    <row r="275" spans="1:19" x14ac:dyDescent="0.25">
      <c r="A275" s="183">
        <v>9009151200</v>
      </c>
      <c r="B275" s="39" t="s">
        <v>950</v>
      </c>
      <c r="C275" s="178" t="s">
        <v>944</v>
      </c>
      <c r="D275" s="179">
        <v>43.496099999999998</v>
      </c>
      <c r="E275" s="179">
        <v>0</v>
      </c>
      <c r="F275" s="39">
        <f>Table3236[[#This Row],[Single Family]]+Table3236[[#This Row],[2-4 Units]]+Table3236[[#This Row],[&gt;4 Units]]</f>
        <v>0</v>
      </c>
      <c r="G275" s="39"/>
      <c r="H275" s="39"/>
      <c r="I275" s="39"/>
      <c r="J275" s="132">
        <v>0</v>
      </c>
      <c r="K275" s="39">
        <f>SUM(Table3236[[#This Row],[Single Family ]:[&gt;4 Units ]])</f>
        <v>0</v>
      </c>
      <c r="L275" s="133"/>
      <c r="M275" s="133"/>
      <c r="N275" s="133"/>
      <c r="O275" s="134">
        <v>0</v>
      </c>
      <c r="P275" s="243">
        <f>VLOOKUP(Table3236[[#This Row],[Census Tract]],'Population and Diversity Data'!$B$2:$K$823,10,FALSE)</f>
        <v>2</v>
      </c>
      <c r="Q275" s="244" t="str">
        <f>VLOOKUP(Table3236[[#This Row],[Census Tract]],'UI EnergyBurden'!$A$2:$B$184,2,FALSE)</f>
        <v>No</v>
      </c>
      <c r="R275" s="249">
        <f>VLOOKUP(Table3236[[#This Row],[Census Tract]],'Income and Housing Data'!$B$2:$D$823,3,FALSE)</f>
        <v>84688</v>
      </c>
      <c r="S275" s="250" t="str">
        <f>IF($U$7&lt;=Table3236[[#This Row],[Household Income]],IF(Table3236[[#This Row],[Household Income]]&lt;=$U$8, "Yes","No"),"No")</f>
        <v>No</v>
      </c>
    </row>
    <row r="276" spans="1:19" x14ac:dyDescent="0.25">
      <c r="A276" s="183">
        <v>9009154100</v>
      </c>
      <c r="B276" s="39" t="s">
        <v>3024</v>
      </c>
      <c r="C276" s="178" t="s">
        <v>944</v>
      </c>
      <c r="D276" s="179">
        <v>88.630099999999999</v>
      </c>
      <c r="E276" s="179">
        <v>0</v>
      </c>
      <c r="F276" s="39">
        <f>Table3236[[#This Row],[Single Family]]+Table3236[[#This Row],[2-4 Units]]+Table3236[[#This Row],[&gt;4 Units]]</f>
        <v>0</v>
      </c>
      <c r="G276" s="39"/>
      <c r="H276" s="39"/>
      <c r="I276" s="39"/>
      <c r="J276" s="132">
        <v>0</v>
      </c>
      <c r="K276" s="39">
        <f>SUM(Table3236[[#This Row],[Single Family ]:[&gt;4 Units ]])</f>
        <v>0</v>
      </c>
      <c r="L276" s="133"/>
      <c r="M276" s="133"/>
      <c r="N276" s="133"/>
      <c r="O276" s="134">
        <v>0</v>
      </c>
      <c r="P276" s="243">
        <f>VLOOKUP(Table3236[[#This Row],[Census Tract]],'Population and Diversity Data'!$B$2:$K$823,10,FALSE)</f>
        <v>4</v>
      </c>
      <c r="Q276" s="244" t="str">
        <f>VLOOKUP(Table3236[[#This Row],[Census Tract]],'UI EnergyBurden'!$A$2:$B$184,2,FALSE)</f>
        <v>No</v>
      </c>
      <c r="R276" s="249">
        <f>VLOOKUP(Table3236[[#This Row],[Census Tract]],'Income and Housing Data'!$B$2:$D$823,3,FALSE)</f>
        <v>67314</v>
      </c>
      <c r="S276" s="250" t="str">
        <f>IF($U$7&lt;=Table3236[[#This Row],[Household Income]],IF(Table3236[[#This Row],[Household Income]]&lt;=$U$8, "Yes","No"),"No")</f>
        <v>No</v>
      </c>
    </row>
    <row r="277" spans="1:19" x14ac:dyDescent="0.25">
      <c r="A277" s="183">
        <v>9009154100</v>
      </c>
      <c r="B277" s="39" t="s">
        <v>943</v>
      </c>
      <c r="C277" s="178" t="s">
        <v>944</v>
      </c>
      <c r="D277" s="179">
        <v>138.0009</v>
      </c>
      <c r="E277" s="179">
        <v>0</v>
      </c>
      <c r="F277" s="39">
        <f>Table3236[[#This Row],[Single Family]]+Table3236[[#This Row],[2-4 Units]]+Table3236[[#This Row],[&gt;4 Units]]</f>
        <v>0</v>
      </c>
      <c r="G277" s="39"/>
      <c r="H277" s="39"/>
      <c r="I277" s="39"/>
      <c r="J277" s="132">
        <v>0</v>
      </c>
      <c r="K277" s="39">
        <f>SUM(Table3236[[#This Row],[Single Family ]:[&gt;4 Units ]])</f>
        <v>0</v>
      </c>
      <c r="L277" s="133"/>
      <c r="M277" s="133"/>
      <c r="N277" s="133"/>
      <c r="O277" s="134">
        <v>0</v>
      </c>
      <c r="P277" s="243">
        <f>VLOOKUP(Table3236[[#This Row],[Census Tract]],'Population and Diversity Data'!$B$2:$K$823,10,FALSE)</f>
        <v>4</v>
      </c>
      <c r="Q277" s="244" t="str">
        <f>VLOOKUP(Table3236[[#This Row],[Census Tract]],'UI EnergyBurden'!$A$2:$B$184,2,FALSE)</f>
        <v>No</v>
      </c>
      <c r="R277" s="249">
        <f>VLOOKUP(Table3236[[#This Row],[Census Tract]],'Income and Housing Data'!$B$2:$D$823,3,FALSE)</f>
        <v>67314</v>
      </c>
      <c r="S277" s="250" t="str">
        <f>IF($U$7&lt;=Table3236[[#This Row],[Household Income]],IF(Table3236[[#This Row],[Household Income]]&lt;=$U$8, "Yes","No"),"No")</f>
        <v>No</v>
      </c>
    </row>
    <row r="278" spans="1:19" x14ac:dyDescent="0.25">
      <c r="A278" s="183">
        <v>9009154100</v>
      </c>
      <c r="B278" s="39" t="s">
        <v>950</v>
      </c>
      <c r="C278" s="178" t="s">
        <v>944</v>
      </c>
      <c r="D278" s="179">
        <v>140097.96650000001</v>
      </c>
      <c r="E278" s="179">
        <v>129756.75</v>
      </c>
      <c r="F278" s="39">
        <f>Table3236[[#This Row],[Single Family]]+Table3236[[#This Row],[2-4 Units]]+Table3236[[#This Row],[&gt;4 Units]]</f>
        <v>29</v>
      </c>
      <c r="G278" s="39">
        <v>28</v>
      </c>
      <c r="H278" s="39">
        <v>1</v>
      </c>
      <c r="I278" s="39">
        <v>0</v>
      </c>
      <c r="J278" s="132">
        <v>25256.38</v>
      </c>
      <c r="K278" s="39">
        <f>SUM(Table3236[[#This Row],[Single Family ]:[&gt;4 Units ]])</f>
        <v>11</v>
      </c>
      <c r="L278" s="133">
        <v>7</v>
      </c>
      <c r="M278" s="133">
        <v>2</v>
      </c>
      <c r="N278" s="133">
        <v>2</v>
      </c>
      <c r="O278" s="134">
        <v>104500.37</v>
      </c>
      <c r="P278" s="243">
        <f>VLOOKUP(Table3236[[#This Row],[Census Tract]],'Population and Diversity Data'!$B$2:$K$823,10,FALSE)</f>
        <v>4</v>
      </c>
      <c r="Q278" s="244" t="str">
        <f>VLOOKUP(Table3236[[#This Row],[Census Tract]],'UI EnergyBurden'!$A$2:$B$184,2,FALSE)</f>
        <v>No</v>
      </c>
      <c r="R278" s="249">
        <f>VLOOKUP(Table3236[[#This Row],[Census Tract]],'Income and Housing Data'!$B$2:$D$823,3,FALSE)</f>
        <v>67314</v>
      </c>
      <c r="S278" s="250" t="str">
        <f>IF($U$7&lt;=Table3236[[#This Row],[Household Income]],IF(Table3236[[#This Row],[Household Income]]&lt;=$U$8, "Yes","No"),"No")</f>
        <v>No</v>
      </c>
    </row>
    <row r="279" spans="1:19" x14ac:dyDescent="0.25">
      <c r="A279" s="183">
        <v>9009154200</v>
      </c>
      <c r="B279" s="39" t="s">
        <v>3024</v>
      </c>
      <c r="C279" s="178" t="s">
        <v>944</v>
      </c>
      <c r="D279" s="179">
        <v>546.85829999999999</v>
      </c>
      <c r="E279" s="179">
        <v>0</v>
      </c>
      <c r="F279" s="39">
        <f>Table3236[[#This Row],[Single Family]]+Table3236[[#This Row],[2-4 Units]]+Table3236[[#This Row],[&gt;4 Units]]</f>
        <v>0</v>
      </c>
      <c r="G279" s="39"/>
      <c r="H279" s="39"/>
      <c r="I279" s="39"/>
      <c r="J279" s="132">
        <v>0</v>
      </c>
      <c r="K279" s="39">
        <f>SUM(Table3236[[#This Row],[Single Family ]:[&gt;4 Units ]])</f>
        <v>0</v>
      </c>
      <c r="L279" s="133"/>
      <c r="M279" s="133"/>
      <c r="N279" s="133"/>
      <c r="O279" s="134">
        <v>0</v>
      </c>
      <c r="P279" s="243">
        <f>VLOOKUP(Table3236[[#This Row],[Census Tract]],'Population and Diversity Data'!$B$2:$K$823,10,FALSE)</f>
        <v>4</v>
      </c>
      <c r="Q279" s="244" t="str">
        <f>VLOOKUP(Table3236[[#This Row],[Census Tract]],'UI EnergyBurden'!$A$2:$B$184,2,FALSE)</f>
        <v>No</v>
      </c>
      <c r="R279" s="249">
        <f>VLOOKUP(Table3236[[#This Row],[Census Tract]],'Income and Housing Data'!$B$2:$D$823,3,FALSE)</f>
        <v>56438</v>
      </c>
      <c r="S279" s="250" t="str">
        <f>IF($U$7&lt;=Table3236[[#This Row],[Household Income]],IF(Table3236[[#This Row],[Household Income]]&lt;=$U$8, "Yes","No"),"No")</f>
        <v>Yes</v>
      </c>
    </row>
    <row r="280" spans="1:19" x14ac:dyDescent="0.25">
      <c r="A280" s="183">
        <v>9009154200</v>
      </c>
      <c r="B280" s="39" t="s">
        <v>3025</v>
      </c>
      <c r="C280" s="178" t="s">
        <v>944</v>
      </c>
      <c r="D280" s="179">
        <v>476.2285</v>
      </c>
      <c r="E280" s="179">
        <v>1460.87</v>
      </c>
      <c r="F280" s="39">
        <f>Table3236[[#This Row],[Single Family]]+Table3236[[#This Row],[2-4 Units]]+Table3236[[#This Row],[&gt;4 Units]]</f>
        <v>1</v>
      </c>
      <c r="G280" s="39">
        <v>1</v>
      </c>
      <c r="H280" s="39">
        <v>0</v>
      </c>
      <c r="I280" s="39">
        <v>0</v>
      </c>
      <c r="J280" s="132">
        <v>1460.87</v>
      </c>
      <c r="K280" s="39">
        <f>SUM(Table3236[[#This Row],[Single Family ]:[&gt;4 Units ]])</f>
        <v>0</v>
      </c>
      <c r="L280" s="133"/>
      <c r="M280" s="133"/>
      <c r="N280" s="133"/>
      <c r="O280" s="134">
        <v>0</v>
      </c>
      <c r="P280" s="243">
        <f>VLOOKUP(Table3236[[#This Row],[Census Tract]],'Population and Diversity Data'!$B$2:$K$823,10,FALSE)</f>
        <v>4</v>
      </c>
      <c r="Q280" s="244" t="str">
        <f>VLOOKUP(Table3236[[#This Row],[Census Tract]],'UI EnergyBurden'!$A$2:$B$184,2,FALSE)</f>
        <v>No</v>
      </c>
      <c r="R280" s="249">
        <f>VLOOKUP(Table3236[[#This Row],[Census Tract]],'Income and Housing Data'!$B$2:$D$823,3,FALSE)</f>
        <v>56438</v>
      </c>
      <c r="S280" s="250" t="str">
        <f>IF($U$7&lt;=Table3236[[#This Row],[Household Income]],IF(Table3236[[#This Row],[Household Income]]&lt;=$U$8, "Yes","No"),"No")</f>
        <v>Yes</v>
      </c>
    </row>
    <row r="281" spans="1:19" x14ac:dyDescent="0.25">
      <c r="A281" s="183">
        <v>9009154200</v>
      </c>
      <c r="B281" s="39" t="s">
        <v>950</v>
      </c>
      <c r="C281" s="178" t="s">
        <v>944</v>
      </c>
      <c r="D281" s="179">
        <v>124643.2671</v>
      </c>
      <c r="E281" s="179">
        <v>33276.18</v>
      </c>
      <c r="F281" s="39">
        <f>Table3236[[#This Row],[Single Family]]+Table3236[[#This Row],[2-4 Units]]+Table3236[[#This Row],[&gt;4 Units]]</f>
        <v>15</v>
      </c>
      <c r="G281" s="39">
        <v>14</v>
      </c>
      <c r="H281" s="39">
        <v>1</v>
      </c>
      <c r="I281" s="39">
        <v>0</v>
      </c>
      <c r="J281" s="132">
        <v>7405.83</v>
      </c>
      <c r="K281" s="39">
        <f>SUM(Table3236[[#This Row],[Single Family ]:[&gt;4 Units ]])</f>
        <v>11</v>
      </c>
      <c r="L281" s="133">
        <v>5</v>
      </c>
      <c r="M281" s="133">
        <v>5</v>
      </c>
      <c r="N281" s="133">
        <v>1</v>
      </c>
      <c r="O281" s="134">
        <v>25870.35</v>
      </c>
      <c r="P281" s="243">
        <f>VLOOKUP(Table3236[[#This Row],[Census Tract]],'Population and Diversity Data'!$B$2:$K$823,10,FALSE)</f>
        <v>4</v>
      </c>
      <c r="Q281" s="244" t="str">
        <f>VLOOKUP(Table3236[[#This Row],[Census Tract]],'UI EnergyBurden'!$A$2:$B$184,2,FALSE)</f>
        <v>No</v>
      </c>
      <c r="R281" s="249">
        <f>VLOOKUP(Table3236[[#This Row],[Census Tract]],'Income and Housing Data'!$B$2:$D$823,3,FALSE)</f>
        <v>56438</v>
      </c>
      <c r="S281" s="250" t="str">
        <f>IF($U$7&lt;=Table3236[[#This Row],[Household Income]],IF(Table3236[[#This Row],[Household Income]]&lt;=$U$8, "Yes","No"),"No")</f>
        <v>Yes</v>
      </c>
    </row>
    <row r="282" spans="1:19" x14ac:dyDescent="0.25">
      <c r="A282" s="183">
        <v>9009154500</v>
      </c>
      <c r="B282" s="39" t="s">
        <v>3024</v>
      </c>
      <c r="C282" s="178" t="s">
        <v>936</v>
      </c>
      <c r="D282" s="179">
        <v>645.16579999999999</v>
      </c>
      <c r="E282" s="179">
        <v>0</v>
      </c>
      <c r="F282" s="39">
        <f>Table3236[[#This Row],[Single Family]]+Table3236[[#This Row],[2-4 Units]]+Table3236[[#This Row],[&gt;4 Units]]</f>
        <v>0</v>
      </c>
      <c r="G282" s="39"/>
      <c r="H282" s="39"/>
      <c r="I282" s="39"/>
      <c r="J282" s="132">
        <v>0</v>
      </c>
      <c r="K282" s="39">
        <f>SUM(Table3236[[#This Row],[Single Family ]:[&gt;4 Units ]])</f>
        <v>0</v>
      </c>
      <c r="L282" s="133"/>
      <c r="M282" s="133"/>
      <c r="N282" s="133"/>
      <c r="O282" s="134">
        <v>0</v>
      </c>
      <c r="P282" s="243">
        <f>VLOOKUP(Table3236[[#This Row],[Census Tract]],'Population and Diversity Data'!$B$2:$K$823,10,FALSE)</f>
        <v>4</v>
      </c>
      <c r="Q282" s="244" t="str">
        <f>VLOOKUP(Table3236[[#This Row],[Census Tract]],'UI EnergyBurden'!$A$2:$B$184,2,FALSE)</f>
        <v>No</v>
      </c>
      <c r="R282" s="249">
        <f>VLOOKUP(Table3236[[#This Row],[Census Tract]],'Income and Housing Data'!$B$2:$D$823,3,FALSE)</f>
        <v>45875</v>
      </c>
      <c r="S282" s="250" t="str">
        <f>IF($U$7&lt;=Table3236[[#This Row],[Household Income]],IF(Table3236[[#This Row],[Household Income]]&lt;=$U$8, "Yes","No"),"No")</f>
        <v>No</v>
      </c>
    </row>
    <row r="283" spans="1:19" x14ac:dyDescent="0.25">
      <c r="A283" s="183">
        <v>9009154500</v>
      </c>
      <c r="B283" s="39" t="s">
        <v>943</v>
      </c>
      <c r="C283" s="178" t="s">
        <v>936</v>
      </c>
      <c r="D283" s="179">
        <v>0</v>
      </c>
      <c r="E283" s="179">
        <v>0</v>
      </c>
      <c r="F283" s="39">
        <f>Table3236[[#This Row],[Single Family]]+Table3236[[#This Row],[2-4 Units]]+Table3236[[#This Row],[&gt;4 Units]]</f>
        <v>0</v>
      </c>
      <c r="G283" s="39"/>
      <c r="H283" s="39"/>
      <c r="I283" s="39"/>
      <c r="J283" s="132">
        <v>0</v>
      </c>
      <c r="K283" s="39">
        <f>SUM(Table3236[[#This Row],[Single Family ]:[&gt;4 Units ]])</f>
        <v>0</v>
      </c>
      <c r="L283" s="133"/>
      <c r="M283" s="133"/>
      <c r="N283" s="133"/>
      <c r="O283" s="134">
        <v>0</v>
      </c>
      <c r="P283" s="243">
        <f>VLOOKUP(Table3236[[#This Row],[Census Tract]],'Population and Diversity Data'!$B$2:$K$823,10,FALSE)</f>
        <v>4</v>
      </c>
      <c r="Q283" s="244" t="str">
        <f>VLOOKUP(Table3236[[#This Row],[Census Tract]],'UI EnergyBurden'!$A$2:$B$184,2,FALSE)</f>
        <v>No</v>
      </c>
      <c r="R283" s="249">
        <f>VLOOKUP(Table3236[[#This Row],[Census Tract]],'Income and Housing Data'!$B$2:$D$823,3,FALSE)</f>
        <v>45875</v>
      </c>
      <c r="S283" s="250" t="str">
        <f>IF($U$7&lt;=Table3236[[#This Row],[Household Income]],IF(Table3236[[#This Row],[Household Income]]&lt;=$U$8, "Yes","No"),"No")</f>
        <v>No</v>
      </c>
    </row>
    <row r="284" spans="1:19" x14ac:dyDescent="0.25">
      <c r="A284" s="183">
        <v>9009154500</v>
      </c>
      <c r="B284" s="39" t="s">
        <v>3025</v>
      </c>
      <c r="C284" s="178" t="s">
        <v>936</v>
      </c>
      <c r="D284" s="179">
        <v>0</v>
      </c>
      <c r="E284" s="179">
        <v>0</v>
      </c>
      <c r="F284" s="39">
        <f>Table3236[[#This Row],[Single Family]]+Table3236[[#This Row],[2-4 Units]]+Table3236[[#This Row],[&gt;4 Units]]</f>
        <v>0</v>
      </c>
      <c r="G284" s="39"/>
      <c r="H284" s="39"/>
      <c r="I284" s="39"/>
      <c r="J284" s="132">
        <v>0</v>
      </c>
      <c r="K284" s="39">
        <f>SUM(Table3236[[#This Row],[Single Family ]:[&gt;4 Units ]])</f>
        <v>0</v>
      </c>
      <c r="L284" s="133"/>
      <c r="M284" s="133"/>
      <c r="N284" s="133"/>
      <c r="O284" s="134">
        <v>0</v>
      </c>
      <c r="P284" s="243">
        <f>VLOOKUP(Table3236[[#This Row],[Census Tract]],'Population and Diversity Data'!$B$2:$K$823,10,FALSE)</f>
        <v>4</v>
      </c>
      <c r="Q284" s="244" t="str">
        <f>VLOOKUP(Table3236[[#This Row],[Census Tract]],'UI EnergyBurden'!$A$2:$B$184,2,FALSE)</f>
        <v>No</v>
      </c>
      <c r="R284" s="249">
        <f>VLOOKUP(Table3236[[#This Row],[Census Tract]],'Income and Housing Data'!$B$2:$D$823,3,FALSE)</f>
        <v>45875</v>
      </c>
      <c r="S284" s="250" t="str">
        <f>IF($U$7&lt;=Table3236[[#This Row],[Household Income]],IF(Table3236[[#This Row],[Household Income]]&lt;=$U$8, "Yes","No"),"No")</f>
        <v>No</v>
      </c>
    </row>
    <row r="285" spans="1:19" x14ac:dyDescent="0.25">
      <c r="A285" s="183">
        <v>9009154500</v>
      </c>
      <c r="B285" s="39" t="s">
        <v>3023</v>
      </c>
      <c r="C285" s="178" t="s">
        <v>944</v>
      </c>
      <c r="D285" s="179">
        <v>0</v>
      </c>
      <c r="E285" s="179">
        <v>6856.05</v>
      </c>
      <c r="F285" s="39">
        <f>Table3236[[#This Row],[Single Family]]+Table3236[[#This Row],[2-4 Units]]+Table3236[[#This Row],[&gt;4 Units]]</f>
        <v>10</v>
      </c>
      <c r="G285" s="39">
        <v>10</v>
      </c>
      <c r="H285" s="39">
        <v>0</v>
      </c>
      <c r="I285" s="39">
        <v>0</v>
      </c>
      <c r="J285" s="132">
        <v>5153.3999999999996</v>
      </c>
      <c r="K285" s="39">
        <f>SUM(Table3236[[#This Row],[Single Family ]:[&gt;4 Units ]])</f>
        <v>7</v>
      </c>
      <c r="L285" s="133">
        <v>1</v>
      </c>
      <c r="M285" s="133">
        <v>6</v>
      </c>
      <c r="N285" s="133">
        <v>0</v>
      </c>
      <c r="O285" s="134">
        <v>1702.65</v>
      </c>
      <c r="P285" s="243">
        <f>VLOOKUP(Table3236[[#This Row],[Census Tract]],'Population and Diversity Data'!$B$2:$K$823,10,FALSE)</f>
        <v>4</v>
      </c>
      <c r="Q285" s="244" t="str">
        <f>VLOOKUP(Table3236[[#This Row],[Census Tract]],'UI EnergyBurden'!$A$2:$B$184,2,FALSE)</f>
        <v>No</v>
      </c>
      <c r="R285" s="249">
        <f>VLOOKUP(Table3236[[#This Row],[Census Tract]],'Income and Housing Data'!$B$2:$D$823,3,FALSE)</f>
        <v>45875</v>
      </c>
      <c r="S285" s="250" t="str">
        <f>IF($U$7&lt;=Table3236[[#This Row],[Household Income]],IF(Table3236[[#This Row],[Household Income]]&lt;=$U$8, "Yes","No"),"No")</f>
        <v>No</v>
      </c>
    </row>
    <row r="286" spans="1:19" x14ac:dyDescent="0.25">
      <c r="A286" s="183">
        <v>9009154500</v>
      </c>
      <c r="B286" s="39" t="s">
        <v>950</v>
      </c>
      <c r="C286" s="178" t="s">
        <v>936</v>
      </c>
      <c r="D286" s="179">
        <v>67239.908799999801</v>
      </c>
      <c r="E286" s="179">
        <v>0</v>
      </c>
      <c r="F286" s="39">
        <f>Table3236[[#This Row],[Single Family]]+Table3236[[#This Row],[2-4 Units]]+Table3236[[#This Row],[&gt;4 Units]]</f>
        <v>0</v>
      </c>
      <c r="G286" s="39"/>
      <c r="H286" s="39"/>
      <c r="I286" s="39"/>
      <c r="J286" s="132">
        <v>0</v>
      </c>
      <c r="K286" s="39">
        <f>SUM(Table3236[[#This Row],[Single Family ]:[&gt;4 Units ]])</f>
        <v>0</v>
      </c>
      <c r="L286" s="133"/>
      <c r="M286" s="133"/>
      <c r="N286" s="133"/>
      <c r="O286" s="134">
        <v>0</v>
      </c>
      <c r="P286" s="243">
        <f>VLOOKUP(Table3236[[#This Row],[Census Tract]],'Population and Diversity Data'!$B$2:$K$823,10,FALSE)</f>
        <v>4</v>
      </c>
      <c r="Q286" s="244" t="str">
        <f>VLOOKUP(Table3236[[#This Row],[Census Tract]],'UI EnergyBurden'!$A$2:$B$184,2,FALSE)</f>
        <v>No</v>
      </c>
      <c r="R286" s="249">
        <f>VLOOKUP(Table3236[[#This Row],[Census Tract]],'Income and Housing Data'!$B$2:$D$823,3,FALSE)</f>
        <v>45875</v>
      </c>
      <c r="S286" s="250" t="str">
        <f>IF($U$7&lt;=Table3236[[#This Row],[Household Income]],IF(Table3236[[#This Row],[Household Income]]&lt;=$U$8, "Yes","No"),"No")</f>
        <v>No</v>
      </c>
    </row>
    <row r="287" spans="1:19" x14ac:dyDescent="0.25">
      <c r="A287" s="183">
        <v>9009154600</v>
      </c>
      <c r="B287" s="39" t="s">
        <v>3024</v>
      </c>
      <c r="C287" s="178" t="s">
        <v>944</v>
      </c>
      <c r="D287" s="179">
        <v>123.0565</v>
      </c>
      <c r="E287" s="179">
        <v>0</v>
      </c>
      <c r="F287" s="39">
        <f>Table3236[[#This Row],[Single Family]]+Table3236[[#This Row],[2-4 Units]]+Table3236[[#This Row],[&gt;4 Units]]</f>
        <v>0</v>
      </c>
      <c r="G287" s="39"/>
      <c r="H287" s="39"/>
      <c r="I287" s="39"/>
      <c r="J287" s="132">
        <v>0</v>
      </c>
      <c r="K287" s="39">
        <f>SUM(Table3236[[#This Row],[Single Family ]:[&gt;4 Units ]])</f>
        <v>0</v>
      </c>
      <c r="L287" s="133"/>
      <c r="M287" s="133"/>
      <c r="N287" s="133"/>
      <c r="O287" s="134">
        <v>0</v>
      </c>
      <c r="P287" s="243">
        <f>VLOOKUP(Table3236[[#This Row],[Census Tract]],'Population and Diversity Data'!$B$2:$K$823,10,FALSE)</f>
        <v>5</v>
      </c>
      <c r="Q287" s="244" t="str">
        <f>VLOOKUP(Table3236[[#This Row],[Census Tract]],'UI EnergyBurden'!$A$2:$B$184,2,FALSE)</f>
        <v>No</v>
      </c>
      <c r="R287" s="249">
        <f>VLOOKUP(Table3236[[#This Row],[Census Tract]],'Income and Housing Data'!$B$2:$D$823,3,FALSE)</f>
        <v>47183</v>
      </c>
      <c r="S287" s="250" t="str">
        <f>IF($U$7&lt;=Table3236[[#This Row],[Household Income]],IF(Table3236[[#This Row],[Household Income]]&lt;=$U$8, "Yes","No"),"No")</f>
        <v>No</v>
      </c>
    </row>
    <row r="288" spans="1:19" x14ac:dyDescent="0.25">
      <c r="A288" s="183">
        <v>9009154600</v>
      </c>
      <c r="B288" s="39" t="s">
        <v>943</v>
      </c>
      <c r="C288" s="178" t="s">
        <v>944</v>
      </c>
      <c r="D288" s="179">
        <v>9.6715999999999998</v>
      </c>
      <c r="E288" s="179">
        <v>0</v>
      </c>
      <c r="F288" s="39">
        <f>Table3236[[#This Row],[Single Family]]+Table3236[[#This Row],[2-4 Units]]+Table3236[[#This Row],[&gt;4 Units]]</f>
        <v>0</v>
      </c>
      <c r="G288" s="39"/>
      <c r="H288" s="39"/>
      <c r="I288" s="39"/>
      <c r="J288" s="132">
        <v>0</v>
      </c>
      <c r="K288" s="39">
        <f>SUM(Table3236[[#This Row],[Single Family ]:[&gt;4 Units ]])</f>
        <v>0</v>
      </c>
      <c r="L288" s="133"/>
      <c r="M288" s="133"/>
      <c r="N288" s="133"/>
      <c r="O288" s="134">
        <v>0</v>
      </c>
      <c r="P288" s="243">
        <f>VLOOKUP(Table3236[[#This Row],[Census Tract]],'Population and Diversity Data'!$B$2:$K$823,10,FALSE)</f>
        <v>5</v>
      </c>
      <c r="Q288" s="244" t="str">
        <f>VLOOKUP(Table3236[[#This Row],[Census Tract]],'UI EnergyBurden'!$A$2:$B$184,2,FALSE)</f>
        <v>No</v>
      </c>
      <c r="R288" s="249">
        <f>VLOOKUP(Table3236[[#This Row],[Census Tract]],'Income and Housing Data'!$B$2:$D$823,3,FALSE)</f>
        <v>47183</v>
      </c>
      <c r="S288" s="250" t="str">
        <f>IF($U$7&lt;=Table3236[[#This Row],[Household Income]],IF(Table3236[[#This Row],[Household Income]]&lt;=$U$8, "Yes","No"),"No")</f>
        <v>No</v>
      </c>
    </row>
    <row r="289" spans="1:19" x14ac:dyDescent="0.25">
      <c r="A289" s="183">
        <v>9009154600</v>
      </c>
      <c r="B289" s="39" t="s">
        <v>3025</v>
      </c>
      <c r="C289" s="178" t="s">
        <v>944</v>
      </c>
      <c r="D289" s="179">
        <v>174.66720000000001</v>
      </c>
      <c r="E289" s="179">
        <v>0</v>
      </c>
      <c r="F289" s="39">
        <f>Table3236[[#This Row],[Single Family]]+Table3236[[#This Row],[2-4 Units]]+Table3236[[#This Row],[&gt;4 Units]]</f>
        <v>0</v>
      </c>
      <c r="G289" s="39"/>
      <c r="H289" s="39"/>
      <c r="I289" s="39"/>
      <c r="J289" s="132">
        <v>0</v>
      </c>
      <c r="K289" s="39">
        <f>SUM(Table3236[[#This Row],[Single Family ]:[&gt;4 Units ]])</f>
        <v>0</v>
      </c>
      <c r="L289" s="133"/>
      <c r="M289" s="133"/>
      <c r="N289" s="133"/>
      <c r="O289" s="134">
        <v>0</v>
      </c>
      <c r="P289" s="243">
        <f>VLOOKUP(Table3236[[#This Row],[Census Tract]],'Population and Diversity Data'!$B$2:$K$823,10,FALSE)</f>
        <v>5</v>
      </c>
      <c r="Q289" s="244" t="str">
        <f>VLOOKUP(Table3236[[#This Row],[Census Tract]],'UI EnergyBurden'!$A$2:$B$184,2,FALSE)</f>
        <v>No</v>
      </c>
      <c r="R289" s="249">
        <f>VLOOKUP(Table3236[[#This Row],[Census Tract]],'Income and Housing Data'!$B$2:$D$823,3,FALSE)</f>
        <v>47183</v>
      </c>
      <c r="S289" s="250" t="str">
        <f>IF($U$7&lt;=Table3236[[#This Row],[Household Income]],IF(Table3236[[#This Row],[Household Income]]&lt;=$U$8, "Yes","No"),"No")</f>
        <v>No</v>
      </c>
    </row>
    <row r="290" spans="1:19" x14ac:dyDescent="0.25">
      <c r="A290" s="183">
        <v>9009154600</v>
      </c>
      <c r="B290" s="39" t="s">
        <v>950</v>
      </c>
      <c r="C290" s="178" t="s">
        <v>944</v>
      </c>
      <c r="D290" s="179">
        <v>74841.980299999894</v>
      </c>
      <c r="E290" s="179">
        <v>16304.8</v>
      </c>
      <c r="F290" s="39">
        <f>Table3236[[#This Row],[Single Family]]+Table3236[[#This Row],[2-4 Units]]+Table3236[[#This Row],[&gt;4 Units]]</f>
        <v>13</v>
      </c>
      <c r="G290" s="39">
        <v>10</v>
      </c>
      <c r="H290" s="39">
        <v>2</v>
      </c>
      <c r="I290" s="39">
        <v>1</v>
      </c>
      <c r="J290" s="132">
        <v>8270.57</v>
      </c>
      <c r="K290" s="39">
        <f>SUM(Table3236[[#This Row],[Single Family ]:[&gt;4 Units ]])</f>
        <v>5</v>
      </c>
      <c r="L290" s="133">
        <v>4</v>
      </c>
      <c r="M290" s="133">
        <v>1</v>
      </c>
      <c r="N290" s="133">
        <v>0</v>
      </c>
      <c r="O290" s="134">
        <v>8034.23</v>
      </c>
      <c r="P290" s="243">
        <f>VLOOKUP(Table3236[[#This Row],[Census Tract]],'Population and Diversity Data'!$B$2:$K$823,10,FALSE)</f>
        <v>5</v>
      </c>
      <c r="Q290" s="244" t="str">
        <f>VLOOKUP(Table3236[[#This Row],[Census Tract]],'UI EnergyBurden'!$A$2:$B$184,2,FALSE)</f>
        <v>No</v>
      </c>
      <c r="R290" s="249">
        <f>VLOOKUP(Table3236[[#This Row],[Census Tract]],'Income and Housing Data'!$B$2:$D$823,3,FALSE)</f>
        <v>47183</v>
      </c>
      <c r="S290" s="250" t="str">
        <f>IF($U$7&lt;=Table3236[[#This Row],[Household Income]],IF(Table3236[[#This Row],[Household Income]]&lt;=$U$8, "Yes","No"),"No")</f>
        <v>No</v>
      </c>
    </row>
    <row r="291" spans="1:19" x14ac:dyDescent="0.25">
      <c r="A291" s="183">
        <v>9009154700</v>
      </c>
      <c r="B291" s="39" t="s">
        <v>3025</v>
      </c>
      <c r="C291" s="178" t="s">
        <v>944</v>
      </c>
      <c r="D291" s="179">
        <v>313.58850000000001</v>
      </c>
      <c r="E291" s="179">
        <v>0</v>
      </c>
      <c r="F291" s="39">
        <f>Table3236[[#This Row],[Single Family]]+Table3236[[#This Row],[2-4 Units]]+Table3236[[#This Row],[&gt;4 Units]]</f>
        <v>0</v>
      </c>
      <c r="G291" s="39"/>
      <c r="H291" s="39"/>
      <c r="I291" s="39"/>
      <c r="J291" s="132">
        <v>0</v>
      </c>
      <c r="K291" s="39">
        <f>SUM(Table3236[[#This Row],[Single Family ]:[&gt;4 Units ]])</f>
        <v>0</v>
      </c>
      <c r="L291" s="133"/>
      <c r="M291" s="133"/>
      <c r="N291" s="133"/>
      <c r="O291" s="134">
        <v>0</v>
      </c>
      <c r="P291" s="243">
        <f>VLOOKUP(Table3236[[#This Row],[Census Tract]],'Population and Diversity Data'!$B$2:$K$823,10,FALSE)</f>
        <v>3</v>
      </c>
      <c r="Q291" s="244" t="str">
        <f>VLOOKUP(Table3236[[#This Row],[Census Tract]],'UI EnergyBurden'!$A$2:$B$184,2,FALSE)</f>
        <v>No</v>
      </c>
      <c r="R291" s="249">
        <f>VLOOKUP(Table3236[[#This Row],[Census Tract]],'Income and Housing Data'!$B$2:$D$823,3,FALSE)</f>
        <v>93632</v>
      </c>
      <c r="S291" s="250" t="str">
        <f>IF($U$7&lt;=Table3236[[#This Row],[Household Income]],IF(Table3236[[#This Row],[Household Income]]&lt;=$U$8, "Yes","No"),"No")</f>
        <v>No</v>
      </c>
    </row>
    <row r="292" spans="1:19" x14ac:dyDescent="0.25">
      <c r="A292" s="183">
        <v>9009154700</v>
      </c>
      <c r="B292" s="39" t="s">
        <v>950</v>
      </c>
      <c r="C292" s="178" t="s">
        <v>944</v>
      </c>
      <c r="D292" s="179">
        <v>110784.84239999999</v>
      </c>
      <c r="E292" s="179">
        <v>34515.480000000003</v>
      </c>
      <c r="F292" s="39">
        <f>Table3236[[#This Row],[Single Family]]+Table3236[[#This Row],[2-4 Units]]+Table3236[[#This Row],[&gt;4 Units]]</f>
        <v>40</v>
      </c>
      <c r="G292" s="39">
        <v>40</v>
      </c>
      <c r="H292" s="39">
        <v>0</v>
      </c>
      <c r="I292" s="39">
        <v>0</v>
      </c>
      <c r="J292" s="132">
        <v>26315.15</v>
      </c>
      <c r="K292" s="39">
        <f>SUM(Table3236[[#This Row],[Single Family ]:[&gt;4 Units ]])</f>
        <v>6</v>
      </c>
      <c r="L292" s="133">
        <v>6</v>
      </c>
      <c r="M292" s="133">
        <v>0</v>
      </c>
      <c r="N292" s="133">
        <v>0</v>
      </c>
      <c r="O292" s="134">
        <v>8200.33</v>
      </c>
      <c r="P292" s="243">
        <f>VLOOKUP(Table3236[[#This Row],[Census Tract]],'Population and Diversity Data'!$B$2:$K$823,10,FALSE)</f>
        <v>3</v>
      </c>
      <c r="Q292" s="244" t="str">
        <f>VLOOKUP(Table3236[[#This Row],[Census Tract]],'UI EnergyBurden'!$A$2:$B$184,2,FALSE)</f>
        <v>No</v>
      </c>
      <c r="R292" s="249">
        <f>VLOOKUP(Table3236[[#This Row],[Census Tract]],'Income and Housing Data'!$B$2:$D$823,3,FALSE)</f>
        <v>93632</v>
      </c>
      <c r="S292" s="250" t="str">
        <f>IF($U$7&lt;=Table3236[[#This Row],[Household Income]],IF(Table3236[[#This Row],[Household Income]]&lt;=$U$8, "Yes","No"),"No")</f>
        <v>No</v>
      </c>
    </row>
    <row r="293" spans="1:19" x14ac:dyDescent="0.25">
      <c r="A293" s="183">
        <v>9009154800</v>
      </c>
      <c r="B293" s="39" t="s">
        <v>3024</v>
      </c>
      <c r="C293" s="178" t="s">
        <v>944</v>
      </c>
      <c r="D293" s="179">
        <v>147.84030000000001</v>
      </c>
      <c r="E293" s="179">
        <v>0</v>
      </c>
      <c r="F293" s="39">
        <f>Table3236[[#This Row],[Single Family]]+Table3236[[#This Row],[2-4 Units]]+Table3236[[#This Row],[&gt;4 Units]]</f>
        <v>0</v>
      </c>
      <c r="G293" s="39"/>
      <c r="H293" s="39"/>
      <c r="I293" s="39"/>
      <c r="J293" s="132">
        <v>0</v>
      </c>
      <c r="K293" s="39">
        <f>SUM(Table3236[[#This Row],[Single Family ]:[&gt;4 Units ]])</f>
        <v>0</v>
      </c>
      <c r="L293" s="133"/>
      <c r="M293" s="133"/>
      <c r="N293" s="133"/>
      <c r="O293" s="134">
        <v>0</v>
      </c>
      <c r="P293" s="243">
        <f>VLOOKUP(Table3236[[#This Row],[Census Tract]],'Population and Diversity Data'!$B$2:$K$823,10,FALSE)</f>
        <v>2</v>
      </c>
      <c r="Q293" s="244" t="str">
        <f>VLOOKUP(Table3236[[#This Row],[Census Tract]],'UI EnergyBurden'!$A$2:$B$184,2,FALSE)</f>
        <v>No</v>
      </c>
      <c r="R293" s="249">
        <f>VLOOKUP(Table3236[[#This Row],[Census Tract]],'Income and Housing Data'!$B$2:$D$823,3,FALSE)</f>
        <v>89167</v>
      </c>
      <c r="S293" s="250" t="str">
        <f>IF($U$7&lt;=Table3236[[#This Row],[Household Income]],IF(Table3236[[#This Row],[Household Income]]&lt;=$U$8, "Yes","No"),"No")</f>
        <v>No</v>
      </c>
    </row>
    <row r="294" spans="1:19" x14ac:dyDescent="0.25">
      <c r="A294" s="183">
        <v>9009154800</v>
      </c>
      <c r="B294" s="39" t="s">
        <v>3025</v>
      </c>
      <c r="C294" s="178" t="s">
        <v>944</v>
      </c>
      <c r="D294" s="179">
        <v>110.60680000000001</v>
      </c>
      <c r="E294" s="179">
        <v>980.87</v>
      </c>
      <c r="F294" s="39">
        <f>Table3236[[#This Row],[Single Family]]+Table3236[[#This Row],[2-4 Units]]+Table3236[[#This Row],[&gt;4 Units]]</f>
        <v>1</v>
      </c>
      <c r="G294" s="39">
        <v>1</v>
      </c>
      <c r="H294" s="39">
        <v>0</v>
      </c>
      <c r="I294" s="39">
        <v>0</v>
      </c>
      <c r="J294" s="132">
        <v>980.87</v>
      </c>
      <c r="K294" s="39">
        <f>SUM(Table3236[[#This Row],[Single Family ]:[&gt;4 Units ]])</f>
        <v>0</v>
      </c>
      <c r="L294" s="133"/>
      <c r="M294" s="133"/>
      <c r="N294" s="133"/>
      <c r="O294" s="134">
        <v>0</v>
      </c>
      <c r="P294" s="243">
        <f>VLOOKUP(Table3236[[#This Row],[Census Tract]],'Population and Diversity Data'!$B$2:$K$823,10,FALSE)</f>
        <v>2</v>
      </c>
      <c r="Q294" s="244" t="str">
        <f>VLOOKUP(Table3236[[#This Row],[Census Tract]],'UI EnergyBurden'!$A$2:$B$184,2,FALSE)</f>
        <v>No</v>
      </c>
      <c r="R294" s="249">
        <f>VLOOKUP(Table3236[[#This Row],[Census Tract]],'Income and Housing Data'!$B$2:$D$823,3,FALSE)</f>
        <v>89167</v>
      </c>
      <c r="S294" s="250" t="str">
        <f>IF($U$7&lt;=Table3236[[#This Row],[Household Income]],IF(Table3236[[#This Row],[Household Income]]&lt;=$U$8, "Yes","No"),"No")</f>
        <v>No</v>
      </c>
    </row>
    <row r="295" spans="1:19" x14ac:dyDescent="0.25">
      <c r="A295" s="183">
        <v>9009154800</v>
      </c>
      <c r="B295" s="39" t="s">
        <v>950</v>
      </c>
      <c r="C295" s="178" t="s">
        <v>944</v>
      </c>
      <c r="D295" s="179">
        <v>88384.266499999998</v>
      </c>
      <c r="E295" s="179">
        <v>33572.9</v>
      </c>
      <c r="F295" s="39">
        <f>Table3236[[#This Row],[Single Family]]+Table3236[[#This Row],[2-4 Units]]+Table3236[[#This Row],[&gt;4 Units]]</f>
        <v>37</v>
      </c>
      <c r="G295" s="39">
        <v>37</v>
      </c>
      <c r="H295" s="39">
        <v>0</v>
      </c>
      <c r="I295" s="39">
        <v>0</v>
      </c>
      <c r="J295" s="132">
        <v>29726.9</v>
      </c>
      <c r="K295" s="39">
        <f>SUM(Table3236[[#This Row],[Single Family ]:[&gt;4 Units ]])</f>
        <v>4</v>
      </c>
      <c r="L295" s="133">
        <v>4</v>
      </c>
      <c r="M295" s="133">
        <v>0</v>
      </c>
      <c r="N295" s="133">
        <v>0</v>
      </c>
      <c r="O295" s="134">
        <v>3846</v>
      </c>
      <c r="P295" s="243">
        <f>VLOOKUP(Table3236[[#This Row],[Census Tract]],'Population and Diversity Data'!$B$2:$K$823,10,FALSE)</f>
        <v>2</v>
      </c>
      <c r="Q295" s="244" t="str">
        <f>VLOOKUP(Table3236[[#This Row],[Census Tract]],'UI EnergyBurden'!$A$2:$B$184,2,FALSE)</f>
        <v>No</v>
      </c>
      <c r="R295" s="249">
        <f>VLOOKUP(Table3236[[#This Row],[Census Tract]],'Income and Housing Data'!$B$2:$D$823,3,FALSE)</f>
        <v>89167</v>
      </c>
      <c r="S295" s="250" t="str">
        <f>IF($U$7&lt;=Table3236[[#This Row],[Household Income]],IF(Table3236[[#This Row],[Household Income]]&lt;=$U$8, "Yes","No"),"No")</f>
        <v>No</v>
      </c>
    </row>
    <row r="296" spans="1:19" x14ac:dyDescent="0.25">
      <c r="A296" s="183">
        <v>9009154900</v>
      </c>
      <c r="B296" s="39" t="s">
        <v>3024</v>
      </c>
      <c r="C296" s="178" t="s">
        <v>944</v>
      </c>
      <c r="D296" s="179">
        <v>40.914700000000003</v>
      </c>
      <c r="E296" s="179">
        <v>0</v>
      </c>
      <c r="F296" s="39">
        <f>Table3236[[#This Row],[Single Family]]+Table3236[[#This Row],[2-4 Units]]+Table3236[[#This Row],[&gt;4 Units]]</f>
        <v>0</v>
      </c>
      <c r="G296" s="39"/>
      <c r="H296" s="39"/>
      <c r="I296" s="39"/>
      <c r="J296" s="132">
        <v>0</v>
      </c>
      <c r="K296" s="39">
        <f>SUM(Table3236[[#This Row],[Single Family ]:[&gt;4 Units ]])</f>
        <v>0</v>
      </c>
      <c r="L296" s="133"/>
      <c r="M296" s="133"/>
      <c r="N296" s="133"/>
      <c r="O296" s="134">
        <v>0</v>
      </c>
      <c r="P296" s="243">
        <f>VLOOKUP(Table3236[[#This Row],[Census Tract]],'Population and Diversity Data'!$B$2:$K$823,10,FALSE)</f>
        <v>2</v>
      </c>
      <c r="Q296" s="244" t="str">
        <f>VLOOKUP(Table3236[[#This Row],[Census Tract]],'UI EnergyBurden'!$A$2:$B$184,2,FALSE)</f>
        <v>No</v>
      </c>
      <c r="R296" s="249">
        <f>VLOOKUP(Table3236[[#This Row],[Census Tract]],'Income and Housing Data'!$B$2:$D$823,3,FALSE)</f>
        <v>70350</v>
      </c>
      <c r="S296" s="250" t="str">
        <f>IF($U$7&lt;=Table3236[[#This Row],[Household Income]],IF(Table3236[[#This Row],[Household Income]]&lt;=$U$8, "Yes","No"),"No")</f>
        <v>No</v>
      </c>
    </row>
    <row r="297" spans="1:19" x14ac:dyDescent="0.25">
      <c r="A297" s="183">
        <v>9009154900</v>
      </c>
      <c r="B297" s="39" t="s">
        <v>950</v>
      </c>
      <c r="C297" s="178" t="s">
        <v>944</v>
      </c>
      <c r="D297" s="179">
        <v>60957.443399999902</v>
      </c>
      <c r="E297" s="179">
        <v>11480.45</v>
      </c>
      <c r="F297" s="39">
        <f>Table3236[[#This Row],[Single Family]]+Table3236[[#This Row],[2-4 Units]]+Table3236[[#This Row],[&gt;4 Units]]</f>
        <v>9</v>
      </c>
      <c r="G297" s="39">
        <v>7</v>
      </c>
      <c r="H297" s="39">
        <v>2</v>
      </c>
      <c r="I297" s="39">
        <v>0</v>
      </c>
      <c r="J297" s="132">
        <v>5673.56</v>
      </c>
      <c r="K297" s="39">
        <f>SUM(Table3236[[#This Row],[Single Family ]:[&gt;4 Units ]])</f>
        <v>8</v>
      </c>
      <c r="L297" s="133">
        <v>1</v>
      </c>
      <c r="M297" s="133">
        <v>7</v>
      </c>
      <c r="N297" s="133">
        <v>0</v>
      </c>
      <c r="O297" s="134">
        <v>5806.89</v>
      </c>
      <c r="P297" s="243">
        <f>VLOOKUP(Table3236[[#This Row],[Census Tract]],'Population and Diversity Data'!$B$2:$K$823,10,FALSE)</f>
        <v>2</v>
      </c>
      <c r="Q297" s="244" t="str">
        <f>VLOOKUP(Table3236[[#This Row],[Census Tract]],'UI EnergyBurden'!$A$2:$B$184,2,FALSE)</f>
        <v>No</v>
      </c>
      <c r="R297" s="249">
        <f>VLOOKUP(Table3236[[#This Row],[Census Tract]],'Income and Housing Data'!$B$2:$D$823,3,FALSE)</f>
        <v>70350</v>
      </c>
      <c r="S297" s="250" t="str">
        <f>IF($U$7&lt;=Table3236[[#This Row],[Household Income]],IF(Table3236[[#This Row],[Household Income]]&lt;=$U$8, "Yes","No"),"No")</f>
        <v>No</v>
      </c>
    </row>
    <row r="298" spans="1:19" x14ac:dyDescent="0.25">
      <c r="A298" s="183">
        <v>9009155000</v>
      </c>
      <c r="B298" s="39" t="s">
        <v>3024</v>
      </c>
      <c r="C298" s="178" t="s">
        <v>944</v>
      </c>
      <c r="D298" s="179">
        <v>151.34780000000001</v>
      </c>
      <c r="E298" s="179">
        <v>0</v>
      </c>
      <c r="F298" s="39">
        <f>Table3236[[#This Row],[Single Family]]+Table3236[[#This Row],[2-4 Units]]+Table3236[[#This Row],[&gt;4 Units]]</f>
        <v>0</v>
      </c>
      <c r="G298" s="39"/>
      <c r="H298" s="39"/>
      <c r="I298" s="39"/>
      <c r="J298" s="132">
        <v>0</v>
      </c>
      <c r="K298" s="39">
        <f>SUM(Table3236[[#This Row],[Single Family ]:[&gt;4 Units ]])</f>
        <v>0</v>
      </c>
      <c r="L298" s="133"/>
      <c r="M298" s="133"/>
      <c r="N298" s="133"/>
      <c r="O298" s="134">
        <v>0</v>
      </c>
      <c r="P298" s="243">
        <f>VLOOKUP(Table3236[[#This Row],[Census Tract]],'Population and Diversity Data'!$B$2:$K$823,10,FALSE)</f>
        <v>5</v>
      </c>
      <c r="Q298" s="244" t="str">
        <f>VLOOKUP(Table3236[[#This Row],[Census Tract]],'UI EnergyBurden'!$A$2:$B$184,2,FALSE)</f>
        <v>No</v>
      </c>
      <c r="R298" s="249">
        <f>VLOOKUP(Table3236[[#This Row],[Census Tract]],'Income and Housing Data'!$B$2:$D$823,3,FALSE)</f>
        <v>63715</v>
      </c>
      <c r="S298" s="250" t="str">
        <f>IF($U$7&lt;=Table3236[[#This Row],[Household Income]],IF(Table3236[[#This Row],[Household Income]]&lt;=$U$8, "Yes","No"),"No")</f>
        <v>Yes</v>
      </c>
    </row>
    <row r="299" spans="1:19" x14ac:dyDescent="0.25">
      <c r="A299" s="183">
        <v>9009155000</v>
      </c>
      <c r="B299" s="39" t="s">
        <v>3025</v>
      </c>
      <c r="C299" s="178" t="s">
        <v>944</v>
      </c>
      <c r="D299" s="179">
        <v>7.1828000000000003</v>
      </c>
      <c r="E299" s="179">
        <v>0</v>
      </c>
      <c r="F299" s="39">
        <f>Table3236[[#This Row],[Single Family]]+Table3236[[#This Row],[2-4 Units]]+Table3236[[#This Row],[&gt;4 Units]]</f>
        <v>0</v>
      </c>
      <c r="G299" s="39"/>
      <c r="H299" s="39"/>
      <c r="I299" s="39"/>
      <c r="J299" s="132">
        <v>0</v>
      </c>
      <c r="K299" s="39">
        <f>SUM(Table3236[[#This Row],[Single Family ]:[&gt;4 Units ]])</f>
        <v>0</v>
      </c>
      <c r="L299" s="133"/>
      <c r="M299" s="133"/>
      <c r="N299" s="133"/>
      <c r="O299" s="134">
        <v>0</v>
      </c>
      <c r="P299" s="243">
        <f>VLOOKUP(Table3236[[#This Row],[Census Tract]],'Population and Diversity Data'!$B$2:$K$823,10,FALSE)</f>
        <v>5</v>
      </c>
      <c r="Q299" s="244" t="str">
        <f>VLOOKUP(Table3236[[#This Row],[Census Tract]],'UI EnergyBurden'!$A$2:$B$184,2,FALSE)</f>
        <v>No</v>
      </c>
      <c r="R299" s="249">
        <f>VLOOKUP(Table3236[[#This Row],[Census Tract]],'Income and Housing Data'!$B$2:$D$823,3,FALSE)</f>
        <v>63715</v>
      </c>
      <c r="S299" s="250" t="str">
        <f>IF($U$7&lt;=Table3236[[#This Row],[Household Income]],IF(Table3236[[#This Row],[Household Income]]&lt;=$U$8, "Yes","No"),"No")</f>
        <v>Yes</v>
      </c>
    </row>
    <row r="300" spans="1:19" x14ac:dyDescent="0.25">
      <c r="A300" s="183">
        <v>9009155000</v>
      </c>
      <c r="B300" s="39" t="s">
        <v>950</v>
      </c>
      <c r="C300" s="178" t="s">
        <v>944</v>
      </c>
      <c r="D300" s="179">
        <v>74234.418299999903</v>
      </c>
      <c r="E300" s="179">
        <v>15127.42</v>
      </c>
      <c r="F300" s="39">
        <f>Table3236[[#This Row],[Single Family]]+Table3236[[#This Row],[2-4 Units]]+Table3236[[#This Row],[&gt;4 Units]]</f>
        <v>19</v>
      </c>
      <c r="G300" s="39">
        <v>15</v>
      </c>
      <c r="H300" s="39">
        <v>4</v>
      </c>
      <c r="I300" s="39">
        <v>0</v>
      </c>
      <c r="J300" s="132">
        <v>7183.68</v>
      </c>
      <c r="K300" s="39">
        <f>SUM(Table3236[[#This Row],[Single Family ]:[&gt;4 Units ]])</f>
        <v>12</v>
      </c>
      <c r="L300" s="133">
        <v>7</v>
      </c>
      <c r="M300" s="133">
        <v>5</v>
      </c>
      <c r="N300" s="133">
        <v>0</v>
      </c>
      <c r="O300" s="134">
        <v>7943.74</v>
      </c>
      <c r="P300" s="243">
        <f>VLOOKUP(Table3236[[#This Row],[Census Tract]],'Population and Diversity Data'!$B$2:$K$823,10,FALSE)</f>
        <v>5</v>
      </c>
      <c r="Q300" s="244" t="str">
        <f>VLOOKUP(Table3236[[#This Row],[Census Tract]],'UI EnergyBurden'!$A$2:$B$184,2,FALSE)</f>
        <v>No</v>
      </c>
      <c r="R300" s="249">
        <f>VLOOKUP(Table3236[[#This Row],[Census Tract]],'Income and Housing Data'!$B$2:$D$823,3,FALSE)</f>
        <v>63715</v>
      </c>
      <c r="S300" s="250" t="str">
        <f>IF($U$7&lt;=Table3236[[#This Row],[Household Income]],IF(Table3236[[#This Row],[Household Income]]&lt;=$U$8, "Yes","No"),"No")</f>
        <v>Yes</v>
      </c>
    </row>
    <row r="301" spans="1:19" x14ac:dyDescent="0.25">
      <c r="A301" s="183">
        <v>9009155100</v>
      </c>
      <c r="B301" s="39" t="s">
        <v>3024</v>
      </c>
      <c r="C301" s="178" t="s">
        <v>936</v>
      </c>
      <c r="D301" s="179">
        <v>102.4053</v>
      </c>
      <c r="E301" s="179">
        <v>0</v>
      </c>
      <c r="F301" s="39">
        <f>Table3236[[#This Row],[Single Family]]+Table3236[[#This Row],[2-4 Units]]+Table3236[[#This Row],[&gt;4 Units]]</f>
        <v>0</v>
      </c>
      <c r="G301" s="39"/>
      <c r="H301" s="39"/>
      <c r="I301" s="39"/>
      <c r="J301" s="132">
        <v>0</v>
      </c>
      <c r="K301" s="39">
        <f>SUM(Table3236[[#This Row],[Single Family ]:[&gt;4 Units ]])</f>
        <v>0</v>
      </c>
      <c r="L301" s="133"/>
      <c r="M301" s="133"/>
      <c r="N301" s="133"/>
      <c r="O301" s="134">
        <v>0</v>
      </c>
      <c r="P301" s="243">
        <f>VLOOKUP(Table3236[[#This Row],[Census Tract]],'Population and Diversity Data'!$B$2:$K$823,10,FALSE)</f>
        <v>4</v>
      </c>
      <c r="Q301" s="244" t="str">
        <f>VLOOKUP(Table3236[[#This Row],[Census Tract]],'UI EnergyBurden'!$A$2:$B$184,2,FALSE)</f>
        <v>No</v>
      </c>
      <c r="R301" s="249">
        <f>VLOOKUP(Table3236[[#This Row],[Census Tract]],'Income and Housing Data'!$B$2:$D$823,3,FALSE)</f>
        <v>41477</v>
      </c>
      <c r="S301" s="250" t="str">
        <f>IF($U$7&lt;=Table3236[[#This Row],[Household Income]],IF(Table3236[[#This Row],[Household Income]]&lt;=$U$8, "Yes","No"),"No")</f>
        <v>No</v>
      </c>
    </row>
    <row r="302" spans="1:19" x14ac:dyDescent="0.25">
      <c r="A302" s="183">
        <v>9009155100</v>
      </c>
      <c r="B302" s="39" t="s">
        <v>3016</v>
      </c>
      <c r="C302" s="178" t="s">
        <v>944</v>
      </c>
      <c r="D302" s="179">
        <v>0</v>
      </c>
      <c r="E302" s="179">
        <v>0</v>
      </c>
      <c r="F302" s="39">
        <f>Table3236[[#This Row],[Single Family]]+Table3236[[#This Row],[2-4 Units]]+Table3236[[#This Row],[&gt;4 Units]]</f>
        <v>0</v>
      </c>
      <c r="G302" s="39"/>
      <c r="H302" s="39"/>
      <c r="I302" s="39"/>
      <c r="J302" s="132">
        <v>0</v>
      </c>
      <c r="K302" s="39">
        <f>SUM(Table3236[[#This Row],[Single Family ]:[&gt;4 Units ]])</f>
        <v>0</v>
      </c>
      <c r="L302" s="133"/>
      <c r="M302" s="133"/>
      <c r="N302" s="133"/>
      <c r="O302" s="134">
        <v>0</v>
      </c>
      <c r="P302" s="243">
        <f>VLOOKUP(Table3236[[#This Row],[Census Tract]],'Population and Diversity Data'!$B$2:$K$823,10,FALSE)</f>
        <v>4</v>
      </c>
      <c r="Q302" s="244" t="str">
        <f>VLOOKUP(Table3236[[#This Row],[Census Tract]],'UI EnergyBurden'!$A$2:$B$184,2,FALSE)</f>
        <v>No</v>
      </c>
      <c r="R302" s="249">
        <f>VLOOKUP(Table3236[[#This Row],[Census Tract]],'Income and Housing Data'!$B$2:$D$823,3,FALSE)</f>
        <v>41477</v>
      </c>
      <c r="S302" s="250" t="str">
        <f>IF($U$7&lt;=Table3236[[#This Row],[Household Income]],IF(Table3236[[#This Row],[Household Income]]&lt;=$U$8, "Yes","No"),"No")</f>
        <v>No</v>
      </c>
    </row>
    <row r="303" spans="1:19" x14ac:dyDescent="0.25">
      <c r="A303" s="183">
        <v>9009155100</v>
      </c>
      <c r="B303" s="39" t="s">
        <v>3019</v>
      </c>
      <c r="C303" s="178" t="s">
        <v>944</v>
      </c>
      <c r="D303" s="179">
        <v>0</v>
      </c>
      <c r="E303" s="179">
        <v>0</v>
      </c>
      <c r="F303" s="39">
        <f>Table3236[[#This Row],[Single Family]]+Table3236[[#This Row],[2-4 Units]]+Table3236[[#This Row],[&gt;4 Units]]</f>
        <v>0</v>
      </c>
      <c r="G303" s="39"/>
      <c r="H303" s="39"/>
      <c r="I303" s="39"/>
      <c r="J303" s="132">
        <v>0</v>
      </c>
      <c r="K303" s="39">
        <f>SUM(Table3236[[#This Row],[Single Family ]:[&gt;4 Units ]])</f>
        <v>0</v>
      </c>
      <c r="L303" s="133"/>
      <c r="M303" s="133"/>
      <c r="N303" s="133"/>
      <c r="O303" s="134">
        <v>0</v>
      </c>
      <c r="P303" s="243">
        <f>VLOOKUP(Table3236[[#This Row],[Census Tract]],'Population and Diversity Data'!$B$2:$K$823,10,FALSE)</f>
        <v>4</v>
      </c>
      <c r="Q303" s="244" t="str">
        <f>VLOOKUP(Table3236[[#This Row],[Census Tract]],'UI EnergyBurden'!$A$2:$B$184,2,FALSE)</f>
        <v>No</v>
      </c>
      <c r="R303" s="249">
        <f>VLOOKUP(Table3236[[#This Row],[Census Tract]],'Income and Housing Data'!$B$2:$D$823,3,FALSE)</f>
        <v>41477</v>
      </c>
      <c r="S303" s="250" t="str">
        <f>IF($U$7&lt;=Table3236[[#This Row],[Household Income]],IF(Table3236[[#This Row],[Household Income]]&lt;=$U$8, "Yes","No"),"No")</f>
        <v>No</v>
      </c>
    </row>
    <row r="304" spans="1:19" x14ac:dyDescent="0.25">
      <c r="A304" s="183">
        <v>9009155100</v>
      </c>
      <c r="B304" s="39" t="s">
        <v>3025</v>
      </c>
      <c r="C304" s="178" t="s">
        <v>936</v>
      </c>
      <c r="D304" s="179">
        <v>231.11080000000001</v>
      </c>
      <c r="E304" s="179">
        <v>0</v>
      </c>
      <c r="F304" s="39">
        <f>Table3236[[#This Row],[Single Family]]+Table3236[[#This Row],[2-4 Units]]+Table3236[[#This Row],[&gt;4 Units]]</f>
        <v>0</v>
      </c>
      <c r="G304" s="39"/>
      <c r="H304" s="39"/>
      <c r="I304" s="39"/>
      <c r="J304" s="132">
        <v>0</v>
      </c>
      <c r="K304" s="39">
        <f>SUM(Table3236[[#This Row],[Single Family ]:[&gt;4 Units ]])</f>
        <v>0</v>
      </c>
      <c r="L304" s="133"/>
      <c r="M304" s="133"/>
      <c r="N304" s="133"/>
      <c r="O304" s="134">
        <v>0</v>
      </c>
      <c r="P304" s="243">
        <f>VLOOKUP(Table3236[[#This Row],[Census Tract]],'Population and Diversity Data'!$B$2:$K$823,10,FALSE)</f>
        <v>4</v>
      </c>
      <c r="Q304" s="244" t="str">
        <f>VLOOKUP(Table3236[[#This Row],[Census Tract]],'UI EnergyBurden'!$A$2:$B$184,2,FALSE)</f>
        <v>No</v>
      </c>
      <c r="R304" s="249">
        <f>VLOOKUP(Table3236[[#This Row],[Census Tract]],'Income and Housing Data'!$B$2:$D$823,3,FALSE)</f>
        <v>41477</v>
      </c>
      <c r="S304" s="250" t="str">
        <f>IF($U$7&lt;=Table3236[[#This Row],[Household Income]],IF(Table3236[[#This Row],[Household Income]]&lt;=$U$8, "Yes","No"),"No")</f>
        <v>No</v>
      </c>
    </row>
    <row r="305" spans="1:19" x14ac:dyDescent="0.25">
      <c r="A305" s="183">
        <v>9009155100</v>
      </c>
      <c r="B305" s="39" t="s">
        <v>3023</v>
      </c>
      <c r="C305" s="178" t="s">
        <v>944</v>
      </c>
      <c r="D305" s="179">
        <v>0</v>
      </c>
      <c r="E305" s="179">
        <v>3513.67</v>
      </c>
      <c r="F305" s="39">
        <f>Table3236[[#This Row],[Single Family]]+Table3236[[#This Row],[2-4 Units]]+Table3236[[#This Row],[&gt;4 Units]]</f>
        <v>8</v>
      </c>
      <c r="G305" s="39">
        <v>7</v>
      </c>
      <c r="H305" s="39">
        <v>1</v>
      </c>
      <c r="I305" s="39">
        <v>0</v>
      </c>
      <c r="J305" s="132">
        <v>2475.16</v>
      </c>
      <c r="K305" s="39">
        <f>SUM(Table3236[[#This Row],[Single Family ]:[&gt;4 Units ]])</f>
        <v>3</v>
      </c>
      <c r="L305" s="133">
        <v>2</v>
      </c>
      <c r="M305" s="133">
        <v>1</v>
      </c>
      <c r="N305" s="133">
        <v>0</v>
      </c>
      <c r="O305" s="134">
        <v>1038.51</v>
      </c>
      <c r="P305" s="243">
        <f>VLOOKUP(Table3236[[#This Row],[Census Tract]],'Population and Diversity Data'!$B$2:$K$823,10,FALSE)</f>
        <v>4</v>
      </c>
      <c r="Q305" s="244" t="str">
        <f>VLOOKUP(Table3236[[#This Row],[Census Tract]],'UI EnergyBurden'!$A$2:$B$184,2,FALSE)</f>
        <v>No</v>
      </c>
      <c r="R305" s="249">
        <f>VLOOKUP(Table3236[[#This Row],[Census Tract]],'Income and Housing Data'!$B$2:$D$823,3,FALSE)</f>
        <v>41477</v>
      </c>
      <c r="S305" s="250" t="str">
        <f>IF($U$7&lt;=Table3236[[#This Row],[Household Income]],IF(Table3236[[#This Row],[Household Income]]&lt;=$U$8, "Yes","No"),"No")</f>
        <v>No</v>
      </c>
    </row>
    <row r="306" spans="1:19" x14ac:dyDescent="0.25">
      <c r="A306" s="183">
        <v>9009155100</v>
      </c>
      <c r="B306" s="39" t="s">
        <v>950</v>
      </c>
      <c r="C306" s="178" t="s">
        <v>936</v>
      </c>
      <c r="D306" s="179">
        <v>52121.565699999897</v>
      </c>
      <c r="E306" s="179">
        <v>0</v>
      </c>
      <c r="F306" s="39">
        <f>Table3236[[#This Row],[Single Family]]+Table3236[[#This Row],[2-4 Units]]+Table3236[[#This Row],[&gt;4 Units]]</f>
        <v>0</v>
      </c>
      <c r="G306" s="39"/>
      <c r="H306" s="39"/>
      <c r="I306" s="39"/>
      <c r="J306" s="132">
        <v>0</v>
      </c>
      <c r="K306" s="39">
        <f>SUM(Table3236[[#This Row],[Single Family ]:[&gt;4 Units ]])</f>
        <v>0</v>
      </c>
      <c r="L306" s="133"/>
      <c r="M306" s="133"/>
      <c r="N306" s="133"/>
      <c r="O306" s="134">
        <v>0</v>
      </c>
      <c r="P306" s="243">
        <f>VLOOKUP(Table3236[[#This Row],[Census Tract]],'Population and Diversity Data'!$B$2:$K$823,10,FALSE)</f>
        <v>4</v>
      </c>
      <c r="Q306" s="244" t="str">
        <f>VLOOKUP(Table3236[[#This Row],[Census Tract]],'UI EnergyBurden'!$A$2:$B$184,2,FALSE)</f>
        <v>No</v>
      </c>
      <c r="R306" s="249">
        <f>VLOOKUP(Table3236[[#This Row],[Census Tract]],'Income and Housing Data'!$B$2:$D$823,3,FALSE)</f>
        <v>41477</v>
      </c>
      <c r="S306" s="250" t="str">
        <f>IF($U$7&lt;=Table3236[[#This Row],[Household Income]],IF(Table3236[[#This Row],[Household Income]]&lt;=$U$8, "Yes","No"),"No")</f>
        <v>No</v>
      </c>
    </row>
    <row r="307" spans="1:19" x14ac:dyDescent="0.25">
      <c r="A307" s="183">
        <v>9009157100</v>
      </c>
      <c r="B307" s="39" t="s">
        <v>3008</v>
      </c>
      <c r="C307" s="178" t="s">
        <v>944</v>
      </c>
      <c r="D307" s="179">
        <v>104.54689999999999</v>
      </c>
      <c r="E307" s="179">
        <v>0</v>
      </c>
      <c r="F307" s="39">
        <f>Table3236[[#This Row],[Single Family]]+Table3236[[#This Row],[2-4 Units]]+Table3236[[#This Row],[&gt;4 Units]]</f>
        <v>0</v>
      </c>
      <c r="G307" s="39"/>
      <c r="H307" s="39"/>
      <c r="I307" s="39"/>
      <c r="J307" s="132">
        <v>0</v>
      </c>
      <c r="K307" s="39">
        <f>SUM(Table3236[[#This Row],[Single Family ]:[&gt;4 Units ]])</f>
        <v>0</v>
      </c>
      <c r="L307" s="133"/>
      <c r="M307" s="133"/>
      <c r="N307" s="133"/>
      <c r="O307" s="134">
        <v>0</v>
      </c>
      <c r="P307" s="243">
        <f>VLOOKUP(Table3236[[#This Row],[Census Tract]],'Population and Diversity Data'!$B$2:$K$823,10,FALSE)</f>
        <v>5</v>
      </c>
      <c r="Q307" s="244" t="str">
        <f>VLOOKUP(Table3236[[#This Row],[Census Tract]],'UI EnergyBurden'!$A$2:$B$184,2,FALSE)</f>
        <v>No</v>
      </c>
      <c r="R307" s="249">
        <f>VLOOKUP(Table3236[[#This Row],[Census Tract]],'Income and Housing Data'!$B$2:$D$823,3,FALSE)</f>
        <v>67097</v>
      </c>
      <c r="S307" s="250" t="str">
        <f>IF($U$7&lt;=Table3236[[#This Row],[Household Income]],IF(Table3236[[#This Row],[Household Income]]&lt;=$U$8, "Yes","No"),"No")</f>
        <v>No</v>
      </c>
    </row>
    <row r="308" spans="1:19" x14ac:dyDescent="0.25">
      <c r="A308" s="183">
        <v>9009157100</v>
      </c>
      <c r="B308" s="39" t="s">
        <v>3012</v>
      </c>
      <c r="C308" s="178" t="s">
        <v>944</v>
      </c>
      <c r="D308" s="179">
        <v>54371.503700000103</v>
      </c>
      <c r="E308" s="179">
        <v>14309.76</v>
      </c>
      <c r="F308" s="39">
        <f>Table3236[[#This Row],[Single Family]]+Table3236[[#This Row],[2-4 Units]]+Table3236[[#This Row],[&gt;4 Units]]</f>
        <v>11</v>
      </c>
      <c r="G308" s="39">
        <v>11</v>
      </c>
      <c r="H308" s="39">
        <v>0</v>
      </c>
      <c r="I308" s="39">
        <v>0</v>
      </c>
      <c r="J308" s="132">
        <v>14101.68</v>
      </c>
      <c r="K308" s="39">
        <f>SUM(Table3236[[#This Row],[Single Family ]:[&gt;4 Units ]])</f>
        <v>2</v>
      </c>
      <c r="L308" s="133">
        <v>1</v>
      </c>
      <c r="M308" s="133">
        <v>1</v>
      </c>
      <c r="N308" s="133">
        <v>0</v>
      </c>
      <c r="O308" s="134">
        <v>208.08</v>
      </c>
      <c r="P308" s="243">
        <f>VLOOKUP(Table3236[[#This Row],[Census Tract]],'Population and Diversity Data'!$B$2:$K$823,10,FALSE)</f>
        <v>5</v>
      </c>
      <c r="Q308" s="244" t="str">
        <f>VLOOKUP(Table3236[[#This Row],[Census Tract]],'UI EnergyBurden'!$A$2:$B$184,2,FALSE)</f>
        <v>No</v>
      </c>
      <c r="R308" s="249">
        <f>VLOOKUP(Table3236[[#This Row],[Census Tract]],'Income and Housing Data'!$B$2:$D$823,3,FALSE)</f>
        <v>67097</v>
      </c>
      <c r="S308" s="250" t="str">
        <f>IF($U$7&lt;=Table3236[[#This Row],[Household Income]],IF(Table3236[[#This Row],[Household Income]]&lt;=$U$8, "Yes","No"),"No")</f>
        <v>No</v>
      </c>
    </row>
    <row r="309" spans="1:19" x14ac:dyDescent="0.25">
      <c r="A309" s="183">
        <v>9009157100</v>
      </c>
      <c r="B309" s="39" t="s">
        <v>950</v>
      </c>
      <c r="C309" s="178" t="s">
        <v>944</v>
      </c>
      <c r="D309" s="179">
        <v>0</v>
      </c>
      <c r="E309" s="179">
        <v>0</v>
      </c>
      <c r="F309" s="39">
        <f>Table3236[[#This Row],[Single Family]]+Table3236[[#This Row],[2-4 Units]]+Table3236[[#This Row],[&gt;4 Units]]</f>
        <v>0</v>
      </c>
      <c r="G309" s="39"/>
      <c r="H309" s="39"/>
      <c r="I309" s="39"/>
      <c r="J309" s="132">
        <v>0</v>
      </c>
      <c r="K309" s="39">
        <f>SUM(Table3236[[#This Row],[Single Family ]:[&gt;4 Units ]])</f>
        <v>0</v>
      </c>
      <c r="L309" s="133"/>
      <c r="M309" s="133"/>
      <c r="N309" s="133"/>
      <c r="O309" s="134">
        <v>0</v>
      </c>
      <c r="P309" s="243">
        <f>VLOOKUP(Table3236[[#This Row],[Census Tract]],'Population and Diversity Data'!$B$2:$K$823,10,FALSE)</f>
        <v>5</v>
      </c>
      <c r="Q309" s="244" t="str">
        <f>VLOOKUP(Table3236[[#This Row],[Census Tract]],'UI EnergyBurden'!$A$2:$B$184,2,FALSE)</f>
        <v>No</v>
      </c>
      <c r="R309" s="249">
        <f>VLOOKUP(Table3236[[#This Row],[Census Tract]],'Income and Housing Data'!$B$2:$D$823,3,FALSE)</f>
        <v>67097</v>
      </c>
      <c r="S309" s="250" t="str">
        <f>IF($U$7&lt;=Table3236[[#This Row],[Household Income]],IF(Table3236[[#This Row],[Household Income]]&lt;=$U$8, "Yes","No"),"No")</f>
        <v>No</v>
      </c>
    </row>
    <row r="310" spans="1:19" x14ac:dyDescent="0.25">
      <c r="A310" s="183">
        <v>9009157200</v>
      </c>
      <c r="B310" s="39" t="s">
        <v>3017</v>
      </c>
      <c r="C310" s="178" t="s">
        <v>944</v>
      </c>
      <c r="D310" s="179">
        <v>0</v>
      </c>
      <c r="E310" s="179">
        <v>121.71</v>
      </c>
      <c r="F310" s="39">
        <f>Table3236[[#This Row],[Single Family]]+Table3236[[#This Row],[2-4 Units]]+Table3236[[#This Row],[&gt;4 Units]]</f>
        <v>1</v>
      </c>
      <c r="G310" s="39">
        <v>1</v>
      </c>
      <c r="H310" s="39">
        <v>0</v>
      </c>
      <c r="I310" s="39">
        <v>0</v>
      </c>
      <c r="J310" s="132">
        <v>121.71</v>
      </c>
      <c r="K310" s="39">
        <f>SUM(Table3236[[#This Row],[Single Family ]:[&gt;4 Units ]])</f>
        <v>0</v>
      </c>
      <c r="L310" s="133"/>
      <c r="M310" s="133"/>
      <c r="N310" s="133"/>
      <c r="O310" s="134">
        <v>0</v>
      </c>
      <c r="P310" s="243">
        <f>VLOOKUP(Table3236[[#This Row],[Census Tract]],'Population and Diversity Data'!$B$2:$K$823,10,FALSE)</f>
        <v>2</v>
      </c>
      <c r="Q310" s="244" t="str">
        <f>VLOOKUP(Table3236[[#This Row],[Census Tract]],'UI EnergyBurden'!$A$2:$B$184,2,FALSE)</f>
        <v>No</v>
      </c>
      <c r="R310" s="249">
        <f>VLOOKUP(Table3236[[#This Row],[Census Tract]],'Income and Housing Data'!$B$2:$D$823,3,FALSE)</f>
        <v>129559</v>
      </c>
      <c r="S310" s="250" t="str">
        <f>IF($U$7&lt;=Table3236[[#This Row],[Household Income]],IF(Table3236[[#This Row],[Household Income]]&lt;=$U$8, "Yes","No"),"No")</f>
        <v>No</v>
      </c>
    </row>
    <row r="311" spans="1:19" x14ac:dyDescent="0.25">
      <c r="A311" s="183">
        <v>9009157200</v>
      </c>
      <c r="B311" s="39" t="s">
        <v>3008</v>
      </c>
      <c r="C311" s="178" t="s">
        <v>944</v>
      </c>
      <c r="D311" s="179">
        <v>71.1738</v>
      </c>
      <c r="E311" s="179">
        <v>0</v>
      </c>
      <c r="F311" s="39">
        <f>Table3236[[#This Row],[Single Family]]+Table3236[[#This Row],[2-4 Units]]+Table3236[[#This Row],[&gt;4 Units]]</f>
        <v>0</v>
      </c>
      <c r="G311" s="39"/>
      <c r="H311" s="39"/>
      <c r="I311" s="39"/>
      <c r="J311" s="132">
        <v>0</v>
      </c>
      <c r="K311" s="39">
        <f>SUM(Table3236[[#This Row],[Single Family ]:[&gt;4 Units ]])</f>
        <v>0</v>
      </c>
      <c r="L311" s="133"/>
      <c r="M311" s="133"/>
      <c r="N311" s="133"/>
      <c r="O311" s="134">
        <v>0</v>
      </c>
      <c r="P311" s="243">
        <f>VLOOKUP(Table3236[[#This Row],[Census Tract]],'Population and Diversity Data'!$B$2:$K$823,10,FALSE)</f>
        <v>2</v>
      </c>
      <c r="Q311" s="244" t="str">
        <f>VLOOKUP(Table3236[[#This Row],[Census Tract]],'UI EnergyBurden'!$A$2:$B$184,2,FALSE)</f>
        <v>No</v>
      </c>
      <c r="R311" s="249">
        <f>VLOOKUP(Table3236[[#This Row],[Census Tract]],'Income and Housing Data'!$B$2:$D$823,3,FALSE)</f>
        <v>129559</v>
      </c>
      <c r="S311" s="250" t="str">
        <f>IF($U$7&lt;=Table3236[[#This Row],[Household Income]],IF(Table3236[[#This Row],[Household Income]]&lt;=$U$8, "Yes","No"),"No")</f>
        <v>No</v>
      </c>
    </row>
    <row r="312" spans="1:19" x14ac:dyDescent="0.25">
      <c r="A312" s="183">
        <v>9009157200</v>
      </c>
      <c r="B312" s="39" t="s">
        <v>3012</v>
      </c>
      <c r="C312" s="178" t="s">
        <v>944</v>
      </c>
      <c r="D312" s="179">
        <v>81277.952100000097</v>
      </c>
      <c r="E312" s="179">
        <v>62612.52</v>
      </c>
      <c r="F312" s="39">
        <f>Table3236[[#This Row],[Single Family]]+Table3236[[#This Row],[2-4 Units]]+Table3236[[#This Row],[&gt;4 Units]]</f>
        <v>33</v>
      </c>
      <c r="G312" s="39">
        <v>33</v>
      </c>
      <c r="H312" s="39">
        <v>0</v>
      </c>
      <c r="I312" s="39">
        <v>0</v>
      </c>
      <c r="J312" s="132">
        <v>39465.019999999997</v>
      </c>
      <c r="K312" s="39">
        <f>SUM(Table3236[[#This Row],[Single Family ]:[&gt;4 Units ]])</f>
        <v>3</v>
      </c>
      <c r="L312" s="133">
        <v>3</v>
      </c>
      <c r="M312" s="133">
        <v>0</v>
      </c>
      <c r="N312" s="133">
        <v>0</v>
      </c>
      <c r="O312" s="134">
        <v>23147.5</v>
      </c>
      <c r="P312" s="243">
        <f>VLOOKUP(Table3236[[#This Row],[Census Tract]],'Population and Diversity Data'!$B$2:$K$823,10,FALSE)</f>
        <v>2</v>
      </c>
      <c r="Q312" s="244" t="str">
        <f>VLOOKUP(Table3236[[#This Row],[Census Tract]],'UI EnergyBurden'!$A$2:$B$184,2,FALSE)</f>
        <v>No</v>
      </c>
      <c r="R312" s="249">
        <f>VLOOKUP(Table3236[[#This Row],[Census Tract]],'Income and Housing Data'!$B$2:$D$823,3,FALSE)</f>
        <v>129559</v>
      </c>
      <c r="S312" s="250" t="str">
        <f>IF($U$7&lt;=Table3236[[#This Row],[Household Income]],IF(Table3236[[#This Row],[Household Income]]&lt;=$U$8, "Yes","No"),"No")</f>
        <v>No</v>
      </c>
    </row>
    <row r="313" spans="1:19" x14ac:dyDescent="0.25">
      <c r="A313" s="183">
        <v>9009157300</v>
      </c>
      <c r="B313" s="39" t="s">
        <v>3011</v>
      </c>
      <c r="C313" s="178" t="s">
        <v>944</v>
      </c>
      <c r="D313" s="179">
        <v>7500.3773000000001</v>
      </c>
      <c r="E313" s="179">
        <v>6065.33</v>
      </c>
      <c r="F313" s="39">
        <f>Table3236[[#This Row],[Single Family]]+Table3236[[#This Row],[2-4 Units]]+Table3236[[#This Row],[&gt;4 Units]]</f>
        <v>5</v>
      </c>
      <c r="G313" s="39">
        <v>4</v>
      </c>
      <c r="H313" s="39">
        <v>1</v>
      </c>
      <c r="I313" s="39">
        <v>0</v>
      </c>
      <c r="J313" s="132">
        <v>6065.33</v>
      </c>
      <c r="K313" s="39">
        <f>SUM(Table3236[[#This Row],[Single Family ]:[&gt;4 Units ]])</f>
        <v>0</v>
      </c>
      <c r="L313" s="133"/>
      <c r="M313" s="133"/>
      <c r="N313" s="133"/>
      <c r="O313" s="134">
        <v>0</v>
      </c>
      <c r="P313" s="243">
        <f>VLOOKUP(Table3236[[#This Row],[Census Tract]],'Population and Diversity Data'!$B$2:$K$823,10,FALSE)</f>
        <v>3</v>
      </c>
      <c r="Q313" s="244" t="str">
        <f>VLOOKUP(Table3236[[#This Row],[Census Tract]],'UI EnergyBurden'!$A$2:$B$184,2,FALSE)</f>
        <v>No</v>
      </c>
      <c r="R313" s="249">
        <f>VLOOKUP(Table3236[[#This Row],[Census Tract]],'Income and Housing Data'!$B$2:$D$823,3,FALSE)</f>
        <v>130888</v>
      </c>
      <c r="S313" s="250" t="str">
        <f>IF($U$7&lt;=Table3236[[#This Row],[Household Income]],IF(Table3236[[#This Row],[Household Income]]&lt;=$U$8, "Yes","No"),"No")</f>
        <v>No</v>
      </c>
    </row>
    <row r="314" spans="1:19" x14ac:dyDescent="0.25">
      <c r="A314" s="183">
        <v>9009157300</v>
      </c>
      <c r="B314" s="39" t="s">
        <v>3012</v>
      </c>
      <c r="C314" s="178" t="s">
        <v>944</v>
      </c>
      <c r="D314" s="179">
        <v>77580.580099999905</v>
      </c>
      <c r="E314" s="179">
        <v>44691.62</v>
      </c>
      <c r="F314" s="39">
        <f>Table3236[[#This Row],[Single Family]]+Table3236[[#This Row],[2-4 Units]]+Table3236[[#This Row],[&gt;4 Units]]</f>
        <v>25</v>
      </c>
      <c r="G314" s="39">
        <v>25</v>
      </c>
      <c r="H314" s="39">
        <v>0</v>
      </c>
      <c r="I314" s="39">
        <v>0</v>
      </c>
      <c r="J314" s="132">
        <v>23789.84</v>
      </c>
      <c r="K314" s="39">
        <f>SUM(Table3236[[#This Row],[Single Family ]:[&gt;4 Units ]])</f>
        <v>4</v>
      </c>
      <c r="L314" s="133">
        <v>4</v>
      </c>
      <c r="M314" s="133">
        <v>0</v>
      </c>
      <c r="N314" s="133">
        <v>0</v>
      </c>
      <c r="O314" s="134">
        <v>20901.78</v>
      </c>
      <c r="P314" s="243">
        <f>VLOOKUP(Table3236[[#This Row],[Census Tract]],'Population and Diversity Data'!$B$2:$K$823,10,FALSE)</f>
        <v>3</v>
      </c>
      <c r="Q314" s="244" t="str">
        <f>VLOOKUP(Table3236[[#This Row],[Census Tract]],'UI EnergyBurden'!$A$2:$B$184,2,FALSE)</f>
        <v>No</v>
      </c>
      <c r="R314" s="249">
        <f>VLOOKUP(Table3236[[#This Row],[Census Tract]],'Income and Housing Data'!$B$2:$D$823,3,FALSE)</f>
        <v>130888</v>
      </c>
      <c r="S314" s="250" t="str">
        <f>IF($U$7&lt;=Table3236[[#This Row],[Household Income]],IF(Table3236[[#This Row],[Household Income]]&lt;=$U$8, "Yes","No"),"No")</f>
        <v>No</v>
      </c>
    </row>
    <row r="315" spans="1:19" x14ac:dyDescent="0.25">
      <c r="A315" s="183">
        <v>9009157400</v>
      </c>
      <c r="B315" s="39" t="s">
        <v>3012</v>
      </c>
      <c r="C315" s="178" t="s">
        <v>944</v>
      </c>
      <c r="D315" s="179">
        <v>93459.739199999996</v>
      </c>
      <c r="E315" s="179">
        <v>63453.120000000003</v>
      </c>
      <c r="F315" s="39">
        <f>Table3236[[#This Row],[Single Family]]+Table3236[[#This Row],[2-4 Units]]+Table3236[[#This Row],[&gt;4 Units]]</f>
        <v>38</v>
      </c>
      <c r="G315" s="39">
        <v>38</v>
      </c>
      <c r="H315" s="39">
        <v>0</v>
      </c>
      <c r="I315" s="39">
        <v>0</v>
      </c>
      <c r="J315" s="132">
        <v>54080.47</v>
      </c>
      <c r="K315" s="39">
        <f>SUM(Table3236[[#This Row],[Single Family ]:[&gt;4 Units ]])</f>
        <v>5</v>
      </c>
      <c r="L315" s="133">
        <v>5</v>
      </c>
      <c r="M315" s="133">
        <v>0</v>
      </c>
      <c r="N315" s="133">
        <v>0</v>
      </c>
      <c r="O315" s="134">
        <v>9372.65</v>
      </c>
      <c r="P315" s="243">
        <f>VLOOKUP(Table3236[[#This Row],[Census Tract]],'Population and Diversity Data'!$B$2:$K$823,10,FALSE)</f>
        <v>3</v>
      </c>
      <c r="Q315" s="244" t="str">
        <f>VLOOKUP(Table3236[[#This Row],[Census Tract]],'UI EnergyBurden'!$A$2:$B$184,2,FALSE)</f>
        <v>No</v>
      </c>
      <c r="R315" s="249">
        <f>VLOOKUP(Table3236[[#This Row],[Census Tract]],'Income and Housing Data'!$B$2:$D$823,3,FALSE)</f>
        <v>138169</v>
      </c>
      <c r="S315" s="250" t="str">
        <f>IF($U$7&lt;=Table3236[[#This Row],[Household Income]],IF(Table3236[[#This Row],[Household Income]]&lt;=$U$8, "Yes","No"),"No")</f>
        <v>No</v>
      </c>
    </row>
    <row r="316" spans="1:19" x14ac:dyDescent="0.25">
      <c r="A316" s="183">
        <v>9009160100</v>
      </c>
      <c r="B316" s="39" t="s">
        <v>3010</v>
      </c>
      <c r="C316" s="178" t="s">
        <v>944</v>
      </c>
      <c r="D316" s="179">
        <v>364.3947</v>
      </c>
      <c r="E316" s="179">
        <v>0</v>
      </c>
      <c r="F316" s="39">
        <f>Table3236[[#This Row],[Single Family]]+Table3236[[#This Row],[2-4 Units]]+Table3236[[#This Row],[&gt;4 Units]]</f>
        <v>0</v>
      </c>
      <c r="G316" s="39"/>
      <c r="H316" s="39"/>
      <c r="I316" s="39"/>
      <c r="J316" s="132">
        <v>0</v>
      </c>
      <c r="K316" s="39">
        <f>SUM(Table3236[[#This Row],[Single Family ]:[&gt;4 Units ]])</f>
        <v>0</v>
      </c>
      <c r="L316" s="133"/>
      <c r="M316" s="133"/>
      <c r="N316" s="133"/>
      <c r="O316" s="134">
        <v>0</v>
      </c>
      <c r="P316" s="243">
        <f>VLOOKUP(Table3236[[#This Row],[Census Tract]],'Population and Diversity Data'!$B$2:$K$823,10,FALSE)</f>
        <v>5</v>
      </c>
      <c r="Q316" s="244" t="str">
        <f>VLOOKUP(Table3236[[#This Row],[Census Tract]],'UI EnergyBurden'!$A$2:$B$184,2,FALSE)</f>
        <v>No</v>
      </c>
      <c r="R316" s="249">
        <f>VLOOKUP(Table3236[[#This Row],[Census Tract]],'Income and Housing Data'!$B$2:$D$823,3,FALSE)</f>
        <v>167400</v>
      </c>
      <c r="S316" s="250" t="str">
        <f>IF($U$7&lt;=Table3236[[#This Row],[Household Income]],IF(Table3236[[#This Row],[Household Income]]&lt;=$U$8, "Yes","No"),"No")</f>
        <v>No</v>
      </c>
    </row>
    <row r="317" spans="1:19" x14ac:dyDescent="0.25">
      <c r="A317" s="183">
        <v>9009160100</v>
      </c>
      <c r="B317" s="39" t="s">
        <v>3014</v>
      </c>
      <c r="C317" s="178" t="s">
        <v>944</v>
      </c>
      <c r="D317" s="179">
        <v>88447.433699999907</v>
      </c>
      <c r="E317" s="179">
        <v>35951.83</v>
      </c>
      <c r="F317" s="39">
        <f>Table3236[[#This Row],[Single Family]]+Table3236[[#This Row],[2-4 Units]]+Table3236[[#This Row],[&gt;4 Units]]</f>
        <v>29</v>
      </c>
      <c r="G317" s="39">
        <v>29</v>
      </c>
      <c r="H317" s="39">
        <v>0</v>
      </c>
      <c r="I317" s="39">
        <v>0</v>
      </c>
      <c r="J317" s="132">
        <v>35951.83</v>
      </c>
      <c r="K317" s="39">
        <f>SUM(Table3236[[#This Row],[Single Family ]:[&gt;4 Units ]])</f>
        <v>0</v>
      </c>
      <c r="L317" s="133"/>
      <c r="M317" s="133"/>
      <c r="N317" s="133"/>
      <c r="O317" s="134">
        <v>0</v>
      </c>
      <c r="P317" s="243">
        <f>VLOOKUP(Table3236[[#This Row],[Census Tract]],'Population and Diversity Data'!$B$2:$K$823,10,FALSE)</f>
        <v>5</v>
      </c>
      <c r="Q317" s="244" t="str">
        <f>VLOOKUP(Table3236[[#This Row],[Census Tract]],'UI EnergyBurden'!$A$2:$B$184,2,FALSE)</f>
        <v>No</v>
      </c>
      <c r="R317" s="249">
        <f>VLOOKUP(Table3236[[#This Row],[Census Tract]],'Income and Housing Data'!$B$2:$D$823,3,FALSE)</f>
        <v>167400</v>
      </c>
      <c r="S317" s="250" t="str">
        <f>IF($U$7&lt;=Table3236[[#This Row],[Household Income]],IF(Table3236[[#This Row],[Household Income]]&lt;=$U$8, "Yes","No"),"No")</f>
        <v>No</v>
      </c>
    </row>
    <row r="318" spans="1:19" x14ac:dyDescent="0.25">
      <c r="A318" s="183">
        <v>9009160200</v>
      </c>
      <c r="B318" s="39" t="s">
        <v>943</v>
      </c>
      <c r="C318" s="178" t="s">
        <v>944</v>
      </c>
      <c r="D318" s="179">
        <v>38.472200000000001</v>
      </c>
      <c r="E318" s="179">
        <v>0</v>
      </c>
      <c r="F318" s="39">
        <f>Table3236[[#This Row],[Single Family]]+Table3236[[#This Row],[2-4 Units]]+Table3236[[#This Row],[&gt;4 Units]]</f>
        <v>0</v>
      </c>
      <c r="G318" s="39"/>
      <c r="H318" s="39"/>
      <c r="I318" s="39"/>
      <c r="J318" s="132">
        <v>0</v>
      </c>
      <c r="K318" s="39">
        <f>SUM(Table3236[[#This Row],[Single Family ]:[&gt;4 Units ]])</f>
        <v>0</v>
      </c>
      <c r="L318" s="133"/>
      <c r="M318" s="133"/>
      <c r="N318" s="133"/>
      <c r="O318" s="134">
        <v>0</v>
      </c>
      <c r="P318" s="243">
        <f>VLOOKUP(Table3236[[#This Row],[Census Tract]],'Population and Diversity Data'!$B$2:$K$823,10,FALSE)</f>
        <v>4</v>
      </c>
      <c r="Q318" s="244" t="str">
        <f>VLOOKUP(Table3236[[#This Row],[Census Tract]],'UI EnergyBurden'!$A$2:$B$184,2,FALSE)</f>
        <v>No</v>
      </c>
      <c r="R318" s="249">
        <f>VLOOKUP(Table3236[[#This Row],[Census Tract]],'Income and Housing Data'!$B$2:$D$823,3,FALSE)</f>
        <v>149107</v>
      </c>
      <c r="S318" s="250" t="str">
        <f>IF($U$7&lt;=Table3236[[#This Row],[Household Income]],IF(Table3236[[#This Row],[Household Income]]&lt;=$U$8, "Yes","No"),"No")</f>
        <v>No</v>
      </c>
    </row>
    <row r="319" spans="1:19" x14ac:dyDescent="0.25">
      <c r="A319" s="183">
        <v>9009160200</v>
      </c>
      <c r="B319" s="39" t="s">
        <v>3014</v>
      </c>
      <c r="C319" s="178" t="s">
        <v>944</v>
      </c>
      <c r="D319" s="179">
        <v>127202.5885</v>
      </c>
      <c r="E319" s="179">
        <v>40561.25</v>
      </c>
      <c r="F319" s="39">
        <f>Table3236[[#This Row],[Single Family]]+Table3236[[#This Row],[2-4 Units]]+Table3236[[#This Row],[&gt;4 Units]]</f>
        <v>25</v>
      </c>
      <c r="G319" s="39">
        <v>24</v>
      </c>
      <c r="H319" s="39">
        <v>1</v>
      </c>
      <c r="I319" s="39">
        <v>0</v>
      </c>
      <c r="J319" s="132">
        <v>34644.83</v>
      </c>
      <c r="K319" s="39">
        <f>SUM(Table3236[[#This Row],[Single Family ]:[&gt;4 Units ]])</f>
        <v>2</v>
      </c>
      <c r="L319" s="133">
        <v>2</v>
      </c>
      <c r="M319" s="133">
        <v>0</v>
      </c>
      <c r="N319" s="133">
        <v>0</v>
      </c>
      <c r="O319" s="134">
        <v>5916.42</v>
      </c>
      <c r="P319" s="243">
        <f>VLOOKUP(Table3236[[#This Row],[Census Tract]],'Population and Diversity Data'!$B$2:$K$823,10,FALSE)</f>
        <v>4</v>
      </c>
      <c r="Q319" s="244" t="str">
        <f>VLOOKUP(Table3236[[#This Row],[Census Tract]],'UI EnergyBurden'!$A$2:$B$184,2,FALSE)</f>
        <v>No</v>
      </c>
      <c r="R319" s="249">
        <f>VLOOKUP(Table3236[[#This Row],[Census Tract]],'Income and Housing Data'!$B$2:$D$823,3,FALSE)</f>
        <v>149107</v>
      </c>
      <c r="S319" s="250" t="str">
        <f>IF($U$7&lt;=Table3236[[#This Row],[Household Income]],IF(Table3236[[#This Row],[Household Income]]&lt;=$U$8, "Yes","No"),"No")</f>
        <v>No</v>
      </c>
    </row>
    <row r="320" spans="1:19" x14ac:dyDescent="0.25">
      <c r="A320" s="183">
        <v>9009165100</v>
      </c>
      <c r="B320" s="39" t="s">
        <v>953</v>
      </c>
      <c r="C320" s="178" t="s">
        <v>944</v>
      </c>
      <c r="D320" s="179">
        <v>60626.775900000102</v>
      </c>
      <c r="E320" s="179">
        <v>29109.47</v>
      </c>
      <c r="F320" s="39">
        <f>Table3236[[#This Row],[Single Family]]+Table3236[[#This Row],[2-4 Units]]+Table3236[[#This Row],[&gt;4 Units]]</f>
        <v>31</v>
      </c>
      <c r="G320" s="39">
        <v>30</v>
      </c>
      <c r="H320" s="39">
        <v>1</v>
      </c>
      <c r="I320" s="39">
        <v>0</v>
      </c>
      <c r="J320" s="132">
        <v>16284.12</v>
      </c>
      <c r="K320" s="39">
        <f>SUM(Table3236[[#This Row],[Single Family ]:[&gt;4 Units ]])</f>
        <v>12</v>
      </c>
      <c r="L320" s="133">
        <v>9</v>
      </c>
      <c r="M320" s="133">
        <v>3</v>
      </c>
      <c r="N320" s="133">
        <v>0</v>
      </c>
      <c r="O320" s="134">
        <v>12825.35</v>
      </c>
      <c r="P320" s="243">
        <f>VLOOKUP(Table3236[[#This Row],[Census Tract]],'Population and Diversity Data'!$B$2:$K$823,10,FALSE)</f>
        <v>5</v>
      </c>
      <c r="Q320" s="244" t="str">
        <f>VLOOKUP(Table3236[[#This Row],[Census Tract]],'UI EnergyBurden'!$A$2:$B$184,2,FALSE)</f>
        <v>No</v>
      </c>
      <c r="R320" s="249">
        <f>VLOOKUP(Table3236[[#This Row],[Census Tract]],'Income and Housing Data'!$B$2:$D$823,3,FALSE)</f>
        <v>78134</v>
      </c>
      <c r="S320" s="250" t="str">
        <f>IF($U$7&lt;=Table3236[[#This Row],[Household Income]],IF(Table3236[[#This Row],[Household Income]]&lt;=$U$8, "Yes","No"),"No")</f>
        <v>No</v>
      </c>
    </row>
    <row r="321" spans="1:19" x14ac:dyDescent="0.25">
      <c r="A321" s="183">
        <v>9009165100</v>
      </c>
      <c r="B321" s="39" t="s">
        <v>3025</v>
      </c>
      <c r="C321" s="178" t="s">
        <v>944</v>
      </c>
      <c r="D321" s="179">
        <v>0</v>
      </c>
      <c r="E321" s="179">
        <v>0</v>
      </c>
      <c r="F321" s="39">
        <f>Table3236[[#This Row],[Single Family]]+Table3236[[#This Row],[2-4 Units]]+Table3236[[#This Row],[&gt;4 Units]]</f>
        <v>0</v>
      </c>
      <c r="G321" s="39"/>
      <c r="H321" s="39"/>
      <c r="I321" s="39"/>
      <c r="J321" s="132">
        <v>0</v>
      </c>
      <c r="K321" s="39">
        <f>SUM(Table3236[[#This Row],[Single Family ]:[&gt;4 Units ]])</f>
        <v>0</v>
      </c>
      <c r="L321" s="133"/>
      <c r="M321" s="133"/>
      <c r="N321" s="133"/>
      <c r="O321" s="134">
        <v>0</v>
      </c>
      <c r="P321" s="243">
        <f>VLOOKUP(Table3236[[#This Row],[Census Tract]],'Population and Diversity Data'!$B$2:$K$823,10,FALSE)</f>
        <v>5</v>
      </c>
      <c r="Q321" s="244" t="str">
        <f>VLOOKUP(Table3236[[#This Row],[Census Tract]],'UI EnergyBurden'!$A$2:$B$184,2,FALSE)</f>
        <v>No</v>
      </c>
      <c r="R321" s="249">
        <f>VLOOKUP(Table3236[[#This Row],[Census Tract]],'Income and Housing Data'!$B$2:$D$823,3,FALSE)</f>
        <v>78134</v>
      </c>
      <c r="S321" s="250" t="str">
        <f>IF($U$7&lt;=Table3236[[#This Row],[Household Income]],IF(Table3236[[#This Row],[Household Income]]&lt;=$U$8, "Yes","No"),"No")</f>
        <v>No</v>
      </c>
    </row>
    <row r="322" spans="1:19" x14ac:dyDescent="0.25">
      <c r="A322" s="183">
        <v>9009165200</v>
      </c>
      <c r="B322" s="39" t="s">
        <v>953</v>
      </c>
      <c r="C322" s="178" t="s">
        <v>944</v>
      </c>
      <c r="D322" s="179">
        <v>48468.042599999899</v>
      </c>
      <c r="E322" s="179">
        <v>13366.62</v>
      </c>
      <c r="F322" s="39">
        <f>Table3236[[#This Row],[Single Family]]+Table3236[[#This Row],[2-4 Units]]+Table3236[[#This Row],[&gt;4 Units]]</f>
        <v>14</v>
      </c>
      <c r="G322" s="39">
        <v>14</v>
      </c>
      <c r="H322" s="39">
        <v>0</v>
      </c>
      <c r="I322" s="39">
        <v>0</v>
      </c>
      <c r="J322" s="132">
        <v>11908.14</v>
      </c>
      <c r="K322" s="39">
        <f>SUM(Table3236[[#This Row],[Single Family ]:[&gt;4 Units ]])</f>
        <v>2</v>
      </c>
      <c r="L322" s="133">
        <v>2</v>
      </c>
      <c r="M322" s="133">
        <v>0</v>
      </c>
      <c r="N322" s="133">
        <v>0</v>
      </c>
      <c r="O322" s="134">
        <v>1458.48</v>
      </c>
      <c r="P322" s="243">
        <f>VLOOKUP(Table3236[[#This Row],[Census Tract]],'Population and Diversity Data'!$B$2:$K$823,10,FALSE)</f>
        <v>3</v>
      </c>
      <c r="Q322" s="244" t="str">
        <f>VLOOKUP(Table3236[[#This Row],[Census Tract]],'UI EnergyBurden'!$A$2:$B$184,2,FALSE)</f>
        <v>No</v>
      </c>
      <c r="R322" s="249">
        <f>VLOOKUP(Table3236[[#This Row],[Census Tract]],'Income and Housing Data'!$B$2:$D$823,3,FALSE)</f>
        <v>105833</v>
      </c>
      <c r="S322" s="250" t="str">
        <f>IF($U$7&lt;=Table3236[[#This Row],[Household Income]],IF(Table3236[[#This Row],[Household Income]]&lt;=$U$8, "Yes","No"),"No")</f>
        <v>No</v>
      </c>
    </row>
    <row r="323" spans="1:19" x14ac:dyDescent="0.25">
      <c r="A323" s="183">
        <v>9009165200</v>
      </c>
      <c r="B323" s="39" t="s">
        <v>3025</v>
      </c>
      <c r="C323" s="178" t="s">
        <v>944</v>
      </c>
      <c r="D323" s="179">
        <v>0</v>
      </c>
      <c r="E323" s="179">
        <v>0</v>
      </c>
      <c r="F323" s="39">
        <f>Table3236[[#This Row],[Single Family]]+Table3236[[#This Row],[2-4 Units]]+Table3236[[#This Row],[&gt;4 Units]]</f>
        <v>0</v>
      </c>
      <c r="G323" s="39"/>
      <c r="H323" s="39"/>
      <c r="I323" s="39"/>
      <c r="J323" s="132">
        <v>0</v>
      </c>
      <c r="K323" s="39">
        <f>SUM(Table3236[[#This Row],[Single Family ]:[&gt;4 Units ]])</f>
        <v>0</v>
      </c>
      <c r="L323" s="133"/>
      <c r="M323" s="133"/>
      <c r="N323" s="133"/>
      <c r="O323" s="134">
        <v>0</v>
      </c>
      <c r="P323" s="243">
        <f>VLOOKUP(Table3236[[#This Row],[Census Tract]],'Population and Diversity Data'!$B$2:$K$823,10,FALSE)</f>
        <v>3</v>
      </c>
      <c r="Q323" s="244" t="str">
        <f>VLOOKUP(Table3236[[#This Row],[Census Tract]],'UI EnergyBurden'!$A$2:$B$184,2,FALSE)</f>
        <v>No</v>
      </c>
      <c r="R323" s="249">
        <f>VLOOKUP(Table3236[[#This Row],[Census Tract]],'Income and Housing Data'!$B$2:$D$823,3,FALSE)</f>
        <v>105833</v>
      </c>
      <c r="S323" s="250" t="str">
        <f>IF($U$7&lt;=Table3236[[#This Row],[Household Income]],IF(Table3236[[#This Row],[Household Income]]&lt;=$U$8, "Yes","No"),"No")</f>
        <v>No</v>
      </c>
    </row>
    <row r="324" spans="1:19" x14ac:dyDescent="0.25">
      <c r="A324" s="183">
        <v>9009165300</v>
      </c>
      <c r="B324" s="39" t="s">
        <v>953</v>
      </c>
      <c r="C324" s="178" t="s">
        <v>944</v>
      </c>
      <c r="D324" s="179">
        <v>34716.817999999999</v>
      </c>
      <c r="E324" s="179">
        <v>13678.03</v>
      </c>
      <c r="F324" s="39">
        <f>Table3236[[#This Row],[Single Family]]+Table3236[[#This Row],[2-4 Units]]+Table3236[[#This Row],[&gt;4 Units]]</f>
        <v>18</v>
      </c>
      <c r="G324" s="39">
        <v>18</v>
      </c>
      <c r="H324" s="39">
        <v>0</v>
      </c>
      <c r="I324" s="39">
        <v>0</v>
      </c>
      <c r="J324" s="132">
        <v>13497.32</v>
      </c>
      <c r="K324" s="39">
        <f>SUM(Table3236[[#This Row],[Single Family ]:[&gt;4 Units ]])</f>
        <v>1</v>
      </c>
      <c r="L324" s="133">
        <v>1</v>
      </c>
      <c r="M324" s="133">
        <v>0</v>
      </c>
      <c r="N324" s="133">
        <v>0</v>
      </c>
      <c r="O324" s="134">
        <v>180.71</v>
      </c>
      <c r="P324" s="243">
        <f>VLOOKUP(Table3236[[#This Row],[Census Tract]],'Population and Diversity Data'!$B$2:$K$823,10,FALSE)</f>
        <v>2</v>
      </c>
      <c r="Q324" s="244" t="str">
        <f>VLOOKUP(Table3236[[#This Row],[Census Tract]],'UI EnergyBurden'!$A$2:$B$184,2,FALSE)</f>
        <v>No</v>
      </c>
      <c r="R324" s="249">
        <f>VLOOKUP(Table3236[[#This Row],[Census Tract]],'Income and Housing Data'!$B$2:$D$823,3,FALSE)</f>
        <v>105759</v>
      </c>
      <c r="S324" s="250" t="str">
        <f>IF($U$7&lt;=Table3236[[#This Row],[Household Income]],IF(Table3236[[#This Row],[Household Income]]&lt;=$U$8, "Yes","No"),"No")</f>
        <v>No</v>
      </c>
    </row>
    <row r="325" spans="1:19" x14ac:dyDescent="0.25">
      <c r="A325" s="183">
        <v>9009165400</v>
      </c>
      <c r="B325" s="39" t="s">
        <v>953</v>
      </c>
      <c r="C325" s="178" t="s">
        <v>944</v>
      </c>
      <c r="D325" s="179">
        <v>82247.570100000201</v>
      </c>
      <c r="E325" s="179">
        <v>93458.42</v>
      </c>
      <c r="F325" s="39">
        <f>Table3236[[#This Row],[Single Family]]+Table3236[[#This Row],[2-4 Units]]+Table3236[[#This Row],[&gt;4 Units]]</f>
        <v>34</v>
      </c>
      <c r="G325" s="39">
        <v>32</v>
      </c>
      <c r="H325" s="39">
        <v>2</v>
      </c>
      <c r="I325" s="39">
        <v>0</v>
      </c>
      <c r="J325" s="132">
        <v>13669.07</v>
      </c>
      <c r="K325" s="39">
        <f>SUM(Table3236[[#This Row],[Single Family ]:[&gt;4 Units ]])</f>
        <v>14</v>
      </c>
      <c r="L325" s="133">
        <v>10</v>
      </c>
      <c r="M325" s="133">
        <v>4</v>
      </c>
      <c r="N325" s="133">
        <v>0</v>
      </c>
      <c r="O325" s="134">
        <v>13189.35</v>
      </c>
      <c r="P325" s="243">
        <f>VLOOKUP(Table3236[[#This Row],[Census Tract]],'Population and Diversity Data'!$B$2:$K$823,10,FALSE)</f>
        <v>3</v>
      </c>
      <c r="Q325" s="244" t="str">
        <f>VLOOKUP(Table3236[[#This Row],[Census Tract]],'UI EnergyBurden'!$A$2:$B$184,2,FALSE)</f>
        <v>No</v>
      </c>
      <c r="R325" s="249">
        <f>VLOOKUP(Table3236[[#This Row],[Census Tract]],'Income and Housing Data'!$B$2:$D$823,3,FALSE)</f>
        <v>82364</v>
      </c>
      <c r="S325" s="250" t="str">
        <f>IF($U$7&lt;=Table3236[[#This Row],[Household Income]],IF(Table3236[[#This Row],[Household Income]]&lt;=$U$8, "Yes","No"),"No")</f>
        <v>No</v>
      </c>
    </row>
    <row r="326" spans="1:19" x14ac:dyDescent="0.25">
      <c r="A326" s="183">
        <v>9009165400</v>
      </c>
      <c r="B326" s="39" t="s">
        <v>943</v>
      </c>
      <c r="C326" s="178" t="s">
        <v>944</v>
      </c>
      <c r="D326" s="179">
        <v>0</v>
      </c>
      <c r="E326" s="179">
        <v>0</v>
      </c>
      <c r="F326" s="39">
        <f>Table3236[[#This Row],[Single Family]]+Table3236[[#This Row],[2-4 Units]]+Table3236[[#This Row],[&gt;4 Units]]</f>
        <v>0</v>
      </c>
      <c r="G326" s="39"/>
      <c r="H326" s="39"/>
      <c r="I326" s="39"/>
      <c r="J326" s="132">
        <v>0</v>
      </c>
      <c r="K326" s="39">
        <f>SUM(Table3236[[#This Row],[Single Family ]:[&gt;4 Units ]])</f>
        <v>0</v>
      </c>
      <c r="L326" s="133"/>
      <c r="M326" s="133"/>
      <c r="N326" s="133"/>
      <c r="O326" s="134">
        <v>0</v>
      </c>
      <c r="P326" s="243">
        <f>VLOOKUP(Table3236[[#This Row],[Census Tract]],'Population and Diversity Data'!$B$2:$K$823,10,FALSE)</f>
        <v>3</v>
      </c>
      <c r="Q326" s="244" t="str">
        <f>VLOOKUP(Table3236[[#This Row],[Census Tract]],'UI EnergyBurden'!$A$2:$B$184,2,FALSE)</f>
        <v>No</v>
      </c>
      <c r="R326" s="249">
        <f>VLOOKUP(Table3236[[#This Row],[Census Tract]],'Income and Housing Data'!$B$2:$D$823,3,FALSE)</f>
        <v>82364</v>
      </c>
      <c r="S326" s="250" t="str">
        <f>IF($U$7&lt;=Table3236[[#This Row],[Household Income]],IF(Table3236[[#This Row],[Household Income]]&lt;=$U$8, "Yes","No"),"No")</f>
        <v>No</v>
      </c>
    </row>
    <row r="327" spans="1:19" x14ac:dyDescent="0.25">
      <c r="A327" s="183">
        <v>9009165500</v>
      </c>
      <c r="B327" s="39" t="s">
        <v>3017</v>
      </c>
      <c r="C327" s="178" t="s">
        <v>944</v>
      </c>
      <c r="D327" s="179">
        <v>0</v>
      </c>
      <c r="E327" s="179">
        <v>42110.68</v>
      </c>
      <c r="F327" s="39">
        <f>Table3236[[#This Row],[Single Family]]+Table3236[[#This Row],[2-4 Units]]+Table3236[[#This Row],[&gt;4 Units]]</f>
        <v>12</v>
      </c>
      <c r="G327" s="39">
        <v>10</v>
      </c>
      <c r="H327" s="39">
        <v>2</v>
      </c>
      <c r="I327" s="39">
        <v>0</v>
      </c>
      <c r="J327" s="132">
        <v>4485.84</v>
      </c>
      <c r="K327" s="39">
        <f>SUM(Table3236[[#This Row],[Single Family ]:[&gt;4 Units ]])</f>
        <v>21</v>
      </c>
      <c r="L327" s="133">
        <v>11</v>
      </c>
      <c r="M327" s="133">
        <v>9</v>
      </c>
      <c r="N327" s="133">
        <v>1</v>
      </c>
      <c r="O327" s="134">
        <v>37624.839999999997</v>
      </c>
      <c r="P327" s="243">
        <f>VLOOKUP(Table3236[[#This Row],[Census Tract]],'Population and Diversity Data'!$B$2:$K$823,10,FALSE)</f>
        <v>4</v>
      </c>
      <c r="Q327" s="244" t="str">
        <f>VLOOKUP(Table3236[[#This Row],[Census Tract]],'UI EnergyBurden'!$A$2:$B$184,2,FALSE)</f>
        <v>Yes</v>
      </c>
      <c r="R327" s="249">
        <f>VLOOKUP(Table3236[[#This Row],[Census Tract]],'Income and Housing Data'!$B$2:$D$823,3,FALSE)</f>
        <v>48477</v>
      </c>
      <c r="S327" s="250" t="str">
        <f>IF($U$7&lt;=Table3236[[#This Row],[Household Income]],IF(Table3236[[#This Row],[Household Income]]&lt;=$U$8, "Yes","No"),"No")</f>
        <v>Yes</v>
      </c>
    </row>
    <row r="328" spans="1:19" x14ac:dyDescent="0.25">
      <c r="A328" s="183">
        <v>9009165500</v>
      </c>
      <c r="B328" s="39" t="s">
        <v>953</v>
      </c>
      <c r="C328" s="178" t="s">
        <v>936</v>
      </c>
      <c r="D328" s="179">
        <v>67465.568400000004</v>
      </c>
      <c r="E328" s="179">
        <v>0</v>
      </c>
      <c r="F328" s="39">
        <f>Table3236[[#This Row],[Single Family]]+Table3236[[#This Row],[2-4 Units]]+Table3236[[#This Row],[&gt;4 Units]]</f>
        <v>0</v>
      </c>
      <c r="G328" s="39"/>
      <c r="H328" s="39"/>
      <c r="I328" s="39"/>
      <c r="J328" s="132">
        <v>0</v>
      </c>
      <c r="K328" s="39">
        <f>SUM(Table3236[[#This Row],[Single Family ]:[&gt;4 Units ]])</f>
        <v>0</v>
      </c>
      <c r="L328" s="133"/>
      <c r="M328" s="133"/>
      <c r="N328" s="133"/>
      <c r="O328" s="134">
        <v>0</v>
      </c>
      <c r="P328" s="243">
        <f>VLOOKUP(Table3236[[#This Row],[Census Tract]],'Population and Diversity Data'!$B$2:$K$823,10,FALSE)</f>
        <v>4</v>
      </c>
      <c r="Q328" s="244" t="str">
        <f>VLOOKUP(Table3236[[#This Row],[Census Tract]],'UI EnergyBurden'!$A$2:$B$184,2,FALSE)</f>
        <v>Yes</v>
      </c>
      <c r="R328" s="249">
        <f>VLOOKUP(Table3236[[#This Row],[Census Tract]],'Income and Housing Data'!$B$2:$D$823,3,FALSE)</f>
        <v>48477</v>
      </c>
      <c r="S328" s="250" t="str">
        <f>IF($U$7&lt;=Table3236[[#This Row],[Household Income]],IF(Table3236[[#This Row],[Household Income]]&lt;=$U$8, "Yes","No"),"No")</f>
        <v>Yes</v>
      </c>
    </row>
    <row r="329" spans="1:19" x14ac:dyDescent="0.25">
      <c r="A329" s="183">
        <v>9009165500</v>
      </c>
      <c r="B329" s="39" t="s">
        <v>3015</v>
      </c>
      <c r="C329" s="178" t="s">
        <v>944</v>
      </c>
      <c r="D329" s="179">
        <v>0</v>
      </c>
      <c r="E329" s="179">
        <v>26.37</v>
      </c>
      <c r="F329" s="39">
        <f>Table3236[[#This Row],[Single Family]]+Table3236[[#This Row],[2-4 Units]]+Table3236[[#This Row],[&gt;4 Units]]</f>
        <v>1</v>
      </c>
      <c r="G329" s="39">
        <v>1</v>
      </c>
      <c r="H329" s="39">
        <v>0</v>
      </c>
      <c r="I329" s="39">
        <v>0</v>
      </c>
      <c r="J329" s="132">
        <v>26.37</v>
      </c>
      <c r="K329" s="39">
        <f>SUM(Table3236[[#This Row],[Single Family ]:[&gt;4 Units ]])</f>
        <v>0</v>
      </c>
      <c r="L329" s="133"/>
      <c r="M329" s="133"/>
      <c r="N329" s="133"/>
      <c r="O329" s="134">
        <v>0</v>
      </c>
      <c r="P329" s="243">
        <f>VLOOKUP(Table3236[[#This Row],[Census Tract]],'Population and Diversity Data'!$B$2:$K$823,10,FALSE)</f>
        <v>4</v>
      </c>
      <c r="Q329" s="244" t="str">
        <f>VLOOKUP(Table3236[[#This Row],[Census Tract]],'UI EnergyBurden'!$A$2:$B$184,2,FALSE)</f>
        <v>Yes</v>
      </c>
      <c r="R329" s="249">
        <f>VLOOKUP(Table3236[[#This Row],[Census Tract]],'Income and Housing Data'!$B$2:$D$823,3,FALSE)</f>
        <v>48477</v>
      </c>
      <c r="S329" s="250" t="str">
        <f>IF($U$7&lt;=Table3236[[#This Row],[Household Income]],IF(Table3236[[#This Row],[Household Income]]&lt;=$U$8, "Yes","No"),"No")</f>
        <v>Yes</v>
      </c>
    </row>
    <row r="330" spans="1:19" x14ac:dyDescent="0.25">
      <c r="A330" s="183">
        <v>9009165500</v>
      </c>
      <c r="B330" s="39" t="s">
        <v>943</v>
      </c>
      <c r="C330" s="178" t="s">
        <v>936</v>
      </c>
      <c r="D330" s="179">
        <v>766.12699999999995</v>
      </c>
      <c r="E330" s="179">
        <v>0</v>
      </c>
      <c r="F330" s="39">
        <f>Table3236[[#This Row],[Single Family]]+Table3236[[#This Row],[2-4 Units]]+Table3236[[#This Row],[&gt;4 Units]]</f>
        <v>0</v>
      </c>
      <c r="G330" s="39"/>
      <c r="H330" s="39"/>
      <c r="I330" s="39"/>
      <c r="J330" s="132">
        <v>0</v>
      </c>
      <c r="K330" s="39">
        <f>SUM(Table3236[[#This Row],[Single Family ]:[&gt;4 Units ]])</f>
        <v>0</v>
      </c>
      <c r="L330" s="133"/>
      <c r="M330" s="133"/>
      <c r="N330" s="133"/>
      <c r="O330" s="134">
        <v>0</v>
      </c>
      <c r="P330" s="243">
        <f>VLOOKUP(Table3236[[#This Row],[Census Tract]],'Population and Diversity Data'!$B$2:$K$823,10,FALSE)</f>
        <v>4</v>
      </c>
      <c r="Q330" s="244" t="str">
        <f>VLOOKUP(Table3236[[#This Row],[Census Tract]],'UI EnergyBurden'!$A$2:$B$184,2,FALSE)</f>
        <v>Yes</v>
      </c>
      <c r="R330" s="249">
        <f>VLOOKUP(Table3236[[#This Row],[Census Tract]],'Income and Housing Data'!$B$2:$D$823,3,FALSE)</f>
        <v>48477</v>
      </c>
      <c r="S330" s="250" t="str">
        <f>IF($U$7&lt;=Table3236[[#This Row],[Household Income]],IF(Table3236[[#This Row],[Household Income]]&lt;=$U$8, "Yes","No"),"No")</f>
        <v>Yes</v>
      </c>
    </row>
    <row r="331" spans="1:19" x14ac:dyDescent="0.25">
      <c r="A331" s="183">
        <v>9009165600</v>
      </c>
      <c r="B331" s="39" t="s">
        <v>953</v>
      </c>
      <c r="C331" s="178" t="s">
        <v>944</v>
      </c>
      <c r="D331" s="179">
        <v>85902.613000000201</v>
      </c>
      <c r="E331" s="179">
        <v>29461.26</v>
      </c>
      <c r="F331" s="39">
        <f>Table3236[[#This Row],[Single Family]]+Table3236[[#This Row],[2-4 Units]]+Table3236[[#This Row],[&gt;4 Units]]</f>
        <v>22</v>
      </c>
      <c r="G331" s="39">
        <v>21</v>
      </c>
      <c r="H331" s="39">
        <v>1</v>
      </c>
      <c r="I331" s="39">
        <v>0</v>
      </c>
      <c r="J331" s="132">
        <v>12783.17</v>
      </c>
      <c r="K331" s="39">
        <f>SUM(Table3236[[#This Row],[Single Family ]:[&gt;4 Units ]])</f>
        <v>16</v>
      </c>
      <c r="L331" s="133">
        <v>13</v>
      </c>
      <c r="M331" s="133">
        <v>3</v>
      </c>
      <c r="N331" s="133">
        <v>0</v>
      </c>
      <c r="O331" s="134">
        <v>16678.09</v>
      </c>
      <c r="P331" s="243">
        <f>VLOOKUP(Table3236[[#This Row],[Census Tract]],'Population and Diversity Data'!$B$2:$K$823,10,FALSE)</f>
        <v>5</v>
      </c>
      <c r="Q331" s="244" t="str">
        <f>VLOOKUP(Table3236[[#This Row],[Census Tract]],'UI EnergyBurden'!$A$2:$B$184,2,FALSE)</f>
        <v>No</v>
      </c>
      <c r="R331" s="249">
        <f>VLOOKUP(Table3236[[#This Row],[Census Tract]],'Income and Housing Data'!$B$2:$D$823,3,FALSE)</f>
        <v>61196</v>
      </c>
      <c r="S331" s="250" t="str">
        <f>IF($U$7&lt;=Table3236[[#This Row],[Household Income]],IF(Table3236[[#This Row],[Household Income]]&lt;=$U$8, "Yes","No"),"No")</f>
        <v>Yes</v>
      </c>
    </row>
    <row r="332" spans="1:19" x14ac:dyDescent="0.25">
      <c r="A332" s="183">
        <v>9009165700</v>
      </c>
      <c r="B332" s="39" t="s">
        <v>953</v>
      </c>
      <c r="C332" s="178" t="s">
        <v>944</v>
      </c>
      <c r="D332" s="179">
        <v>67016.043900000004</v>
      </c>
      <c r="E332" s="179">
        <v>53703</v>
      </c>
      <c r="F332" s="39">
        <f>Table3236[[#This Row],[Single Family]]+Table3236[[#This Row],[2-4 Units]]+Table3236[[#This Row],[&gt;4 Units]]</f>
        <v>25</v>
      </c>
      <c r="G332" s="39">
        <v>24</v>
      </c>
      <c r="H332" s="39">
        <v>1</v>
      </c>
      <c r="I332" s="39">
        <v>0</v>
      </c>
      <c r="J332" s="132">
        <v>15612.71</v>
      </c>
      <c r="K332" s="39">
        <f>SUM(Table3236[[#This Row],[Single Family ]:[&gt;4 Units ]])</f>
        <v>19</v>
      </c>
      <c r="L332" s="133">
        <v>14</v>
      </c>
      <c r="M332" s="133">
        <v>5</v>
      </c>
      <c r="N332" s="133">
        <v>0</v>
      </c>
      <c r="O332" s="134">
        <v>38090.29</v>
      </c>
      <c r="P332" s="243">
        <f>VLOOKUP(Table3236[[#This Row],[Census Tract]],'Population and Diversity Data'!$B$2:$K$823,10,FALSE)</f>
        <v>4</v>
      </c>
      <c r="Q332" s="244" t="str">
        <f>VLOOKUP(Table3236[[#This Row],[Census Tract]],'UI EnergyBurden'!$A$2:$B$184,2,FALSE)</f>
        <v>No</v>
      </c>
      <c r="R332" s="249">
        <f>VLOOKUP(Table3236[[#This Row],[Census Tract]],'Income and Housing Data'!$B$2:$D$823,3,FALSE)</f>
        <v>74722</v>
      </c>
      <c r="S332" s="250" t="str">
        <f>IF($U$7&lt;=Table3236[[#This Row],[Household Income]],IF(Table3236[[#This Row],[Household Income]]&lt;=$U$8, "Yes","No"),"No")</f>
        <v>No</v>
      </c>
    </row>
    <row r="333" spans="1:19" x14ac:dyDescent="0.25">
      <c r="A333" s="183">
        <v>9009165700</v>
      </c>
      <c r="B333" s="39" t="s">
        <v>943</v>
      </c>
      <c r="C333" s="178" t="s">
        <v>944</v>
      </c>
      <c r="D333" s="179">
        <v>0</v>
      </c>
      <c r="E333" s="179">
        <v>0</v>
      </c>
      <c r="F333" s="39">
        <f>Table3236[[#This Row],[Single Family]]+Table3236[[#This Row],[2-4 Units]]+Table3236[[#This Row],[&gt;4 Units]]</f>
        <v>0</v>
      </c>
      <c r="G333" s="39"/>
      <c r="H333" s="39"/>
      <c r="I333" s="39"/>
      <c r="J333" s="132">
        <v>0</v>
      </c>
      <c r="K333" s="39">
        <f>SUM(Table3236[[#This Row],[Single Family ]:[&gt;4 Units ]])</f>
        <v>0</v>
      </c>
      <c r="L333" s="133"/>
      <c r="M333" s="133"/>
      <c r="N333" s="133"/>
      <c r="O333" s="134">
        <v>0</v>
      </c>
      <c r="P333" s="243">
        <f>VLOOKUP(Table3236[[#This Row],[Census Tract]],'Population and Diversity Data'!$B$2:$K$823,10,FALSE)</f>
        <v>4</v>
      </c>
      <c r="Q333" s="244" t="str">
        <f>VLOOKUP(Table3236[[#This Row],[Census Tract]],'UI EnergyBurden'!$A$2:$B$184,2,FALSE)</f>
        <v>No</v>
      </c>
      <c r="R333" s="249">
        <f>VLOOKUP(Table3236[[#This Row],[Census Tract]],'Income and Housing Data'!$B$2:$D$823,3,FALSE)</f>
        <v>74722</v>
      </c>
      <c r="S333" s="250" t="str">
        <f>IF($U$7&lt;=Table3236[[#This Row],[Household Income]],IF(Table3236[[#This Row],[Household Income]]&lt;=$U$8, "Yes","No"),"No")</f>
        <v>No</v>
      </c>
    </row>
    <row r="334" spans="1:19" x14ac:dyDescent="0.25">
      <c r="A334" s="183">
        <v>9009165700</v>
      </c>
      <c r="B334" s="39" t="s">
        <v>3019</v>
      </c>
      <c r="C334" s="178" t="s">
        <v>944</v>
      </c>
      <c r="D334" s="179">
        <v>0</v>
      </c>
      <c r="E334" s="179">
        <v>924.07</v>
      </c>
      <c r="F334" s="39">
        <f>Table3236[[#This Row],[Single Family]]+Table3236[[#This Row],[2-4 Units]]+Table3236[[#This Row],[&gt;4 Units]]</f>
        <v>1</v>
      </c>
      <c r="G334" s="39">
        <v>1</v>
      </c>
      <c r="H334" s="39">
        <v>0</v>
      </c>
      <c r="I334" s="39">
        <v>0</v>
      </c>
      <c r="J334" s="132">
        <v>924.07</v>
      </c>
      <c r="K334" s="39">
        <f>SUM(Table3236[[#This Row],[Single Family ]:[&gt;4 Units ]])</f>
        <v>0</v>
      </c>
      <c r="L334" s="133"/>
      <c r="M334" s="133"/>
      <c r="N334" s="133"/>
      <c r="O334" s="134">
        <v>0</v>
      </c>
      <c r="P334" s="243">
        <f>VLOOKUP(Table3236[[#This Row],[Census Tract]],'Population and Diversity Data'!$B$2:$K$823,10,FALSE)</f>
        <v>4</v>
      </c>
      <c r="Q334" s="244" t="str">
        <f>VLOOKUP(Table3236[[#This Row],[Census Tract]],'UI EnergyBurden'!$A$2:$B$184,2,FALSE)</f>
        <v>No</v>
      </c>
      <c r="R334" s="249">
        <f>VLOOKUP(Table3236[[#This Row],[Census Tract]],'Income and Housing Data'!$B$2:$D$823,3,FALSE)</f>
        <v>74722</v>
      </c>
      <c r="S334" s="250" t="str">
        <f>IF($U$7&lt;=Table3236[[#This Row],[Household Income]],IF(Table3236[[#This Row],[Household Income]]&lt;=$U$8, "Yes","No"),"No")</f>
        <v>No</v>
      </c>
    </row>
    <row r="335" spans="1:19" x14ac:dyDescent="0.25">
      <c r="A335" s="183">
        <v>9009165801</v>
      </c>
      <c r="B335" s="39" t="s">
        <v>953</v>
      </c>
      <c r="C335" s="178" t="s">
        <v>944</v>
      </c>
      <c r="D335" s="179">
        <v>77328.733099999998</v>
      </c>
      <c r="E335" s="179">
        <v>12576.38</v>
      </c>
      <c r="F335" s="39">
        <f>Table3236[[#This Row],[Single Family]]+Table3236[[#This Row],[2-4 Units]]+Table3236[[#This Row],[&gt;4 Units]]</f>
        <v>15</v>
      </c>
      <c r="G335" s="39">
        <v>13</v>
      </c>
      <c r="H335" s="39">
        <v>2</v>
      </c>
      <c r="I335" s="39">
        <v>0</v>
      </c>
      <c r="J335" s="132">
        <v>10374.67</v>
      </c>
      <c r="K335" s="39">
        <f>SUM(Table3236[[#This Row],[Single Family ]:[&gt;4 Units ]])</f>
        <v>3</v>
      </c>
      <c r="L335" s="133">
        <v>2</v>
      </c>
      <c r="M335" s="133">
        <v>1</v>
      </c>
      <c r="N335" s="133">
        <v>0</v>
      </c>
      <c r="O335" s="134">
        <v>2201.71</v>
      </c>
      <c r="P335" s="243">
        <f>VLOOKUP(Table3236[[#This Row],[Census Tract]],'Population and Diversity Data'!$B$2:$K$823,10,FALSE)</f>
        <v>4</v>
      </c>
      <c r="Q335" s="244" t="str">
        <f>VLOOKUP(Table3236[[#This Row],[Census Tract]],'UI EnergyBurden'!$A$2:$B$184,2,FALSE)</f>
        <v>No</v>
      </c>
      <c r="R335" s="249">
        <f>VLOOKUP(Table3236[[#This Row],[Census Tract]],'Income and Housing Data'!$B$2:$D$823,3,FALSE)</f>
        <v>69390</v>
      </c>
      <c r="S335" s="250" t="str">
        <f>IF($U$7&lt;=Table3236[[#This Row],[Household Income]],IF(Table3236[[#This Row],[Household Income]]&lt;=$U$8, "Yes","No"),"No")</f>
        <v>No</v>
      </c>
    </row>
    <row r="336" spans="1:19" x14ac:dyDescent="0.25">
      <c r="A336" s="183">
        <v>9009165802</v>
      </c>
      <c r="B336" s="39" t="s">
        <v>953</v>
      </c>
      <c r="C336" s="178" t="s">
        <v>944</v>
      </c>
      <c r="D336" s="179">
        <v>76841.958499999906</v>
      </c>
      <c r="E336" s="179">
        <v>50093.18</v>
      </c>
      <c r="F336" s="39">
        <f>Table3236[[#This Row],[Single Family]]+Table3236[[#This Row],[2-4 Units]]+Table3236[[#This Row],[&gt;4 Units]]</f>
        <v>34</v>
      </c>
      <c r="G336" s="39">
        <v>34</v>
      </c>
      <c r="H336" s="39">
        <v>0</v>
      </c>
      <c r="I336" s="39">
        <v>0</v>
      </c>
      <c r="J336" s="132">
        <v>34273.54</v>
      </c>
      <c r="K336" s="39">
        <f>SUM(Table3236[[#This Row],[Single Family ]:[&gt;4 Units ]])</f>
        <v>7</v>
      </c>
      <c r="L336" s="133">
        <v>7</v>
      </c>
      <c r="M336" s="133">
        <v>0</v>
      </c>
      <c r="N336" s="133">
        <v>0</v>
      </c>
      <c r="O336" s="134">
        <v>15819.64</v>
      </c>
      <c r="P336" s="243">
        <f>VLOOKUP(Table3236[[#This Row],[Census Tract]],'Population and Diversity Data'!$B$2:$K$823,10,FALSE)</f>
        <v>3</v>
      </c>
      <c r="Q336" s="244" t="str">
        <f>VLOOKUP(Table3236[[#This Row],[Census Tract]],'UI EnergyBurden'!$A$2:$B$184,2,FALSE)</f>
        <v>No</v>
      </c>
      <c r="R336" s="249">
        <f>VLOOKUP(Table3236[[#This Row],[Census Tract]],'Income and Housing Data'!$B$2:$D$823,3,FALSE)</f>
        <v>106904</v>
      </c>
      <c r="S336" s="250" t="str">
        <f>IF($U$7&lt;=Table3236[[#This Row],[Household Income]],IF(Table3236[[#This Row],[Household Income]]&lt;=$U$8, "Yes","No"),"No")</f>
        <v>No</v>
      </c>
    </row>
    <row r="337" spans="1:19" x14ac:dyDescent="0.25">
      <c r="A337" s="183">
        <v>9009165802</v>
      </c>
      <c r="B337" s="39" t="s">
        <v>943</v>
      </c>
      <c r="C337" s="178" t="s">
        <v>944</v>
      </c>
      <c r="D337" s="179">
        <v>0</v>
      </c>
      <c r="E337" s="179">
        <v>0</v>
      </c>
      <c r="F337" s="39">
        <f>Table3236[[#This Row],[Single Family]]+Table3236[[#This Row],[2-4 Units]]+Table3236[[#This Row],[&gt;4 Units]]</f>
        <v>0</v>
      </c>
      <c r="G337" s="39"/>
      <c r="H337" s="39"/>
      <c r="I337" s="39"/>
      <c r="J337" s="132">
        <v>0</v>
      </c>
      <c r="K337" s="39">
        <f>SUM(Table3236[[#This Row],[Single Family ]:[&gt;4 Units ]])</f>
        <v>0</v>
      </c>
      <c r="L337" s="133"/>
      <c r="M337" s="133"/>
      <c r="N337" s="133"/>
      <c r="O337" s="134">
        <v>0</v>
      </c>
      <c r="P337" s="243">
        <f>VLOOKUP(Table3236[[#This Row],[Census Tract]],'Population and Diversity Data'!$B$2:$K$823,10,FALSE)</f>
        <v>3</v>
      </c>
      <c r="Q337" s="244" t="str">
        <f>VLOOKUP(Table3236[[#This Row],[Census Tract]],'UI EnergyBurden'!$A$2:$B$184,2,FALSE)</f>
        <v>No</v>
      </c>
      <c r="R337" s="249">
        <f>VLOOKUP(Table3236[[#This Row],[Census Tract]],'Income and Housing Data'!$B$2:$D$823,3,FALSE)</f>
        <v>106904</v>
      </c>
      <c r="S337" s="250" t="str">
        <f>IF($U$7&lt;=Table3236[[#This Row],[Household Income]],IF(Table3236[[#This Row],[Household Income]]&lt;=$U$8, "Yes","No"),"No")</f>
        <v>No</v>
      </c>
    </row>
    <row r="338" spans="1:19" x14ac:dyDescent="0.25">
      <c r="A338" s="183">
        <v>9009165900</v>
      </c>
      <c r="B338" s="39" t="s">
        <v>953</v>
      </c>
      <c r="C338" s="178" t="s">
        <v>944</v>
      </c>
      <c r="D338" s="179">
        <v>144930.68359999999</v>
      </c>
      <c r="E338" s="179">
        <v>65336.89</v>
      </c>
      <c r="F338" s="39">
        <f>Table3236[[#This Row],[Single Family]]+Table3236[[#This Row],[2-4 Units]]+Table3236[[#This Row],[&gt;4 Units]]</f>
        <v>60</v>
      </c>
      <c r="G338" s="39">
        <v>60</v>
      </c>
      <c r="H338" s="39">
        <v>0</v>
      </c>
      <c r="I338" s="39">
        <v>0</v>
      </c>
      <c r="J338" s="132">
        <v>54032.35</v>
      </c>
      <c r="K338" s="39">
        <f>SUM(Table3236[[#This Row],[Single Family ]:[&gt;4 Units ]])</f>
        <v>8</v>
      </c>
      <c r="L338" s="133">
        <v>6</v>
      </c>
      <c r="M338" s="133">
        <v>2</v>
      </c>
      <c r="N338" s="133">
        <v>0</v>
      </c>
      <c r="O338" s="134">
        <v>11304.54</v>
      </c>
      <c r="P338" s="243">
        <f>VLOOKUP(Table3236[[#This Row],[Census Tract]],'Population and Diversity Data'!$B$2:$K$823,10,FALSE)</f>
        <v>3</v>
      </c>
      <c r="Q338" s="244" t="str">
        <f>VLOOKUP(Table3236[[#This Row],[Census Tract]],'UI EnergyBurden'!$A$2:$B$184,2,FALSE)</f>
        <v>No</v>
      </c>
      <c r="R338" s="249">
        <f>VLOOKUP(Table3236[[#This Row],[Census Tract]],'Income and Housing Data'!$B$2:$D$823,3,FALSE)</f>
        <v>113765</v>
      </c>
      <c r="S338" s="250" t="str">
        <f>IF($U$7&lt;=Table3236[[#This Row],[Household Income]],IF(Table3236[[#This Row],[Household Income]]&lt;=$U$8, "Yes","No"),"No")</f>
        <v>No</v>
      </c>
    </row>
    <row r="339" spans="1:19" x14ac:dyDescent="0.25">
      <c r="A339" s="183">
        <v>9009166001</v>
      </c>
      <c r="B339" s="39" t="s">
        <v>953</v>
      </c>
      <c r="C339" s="178" t="s">
        <v>944</v>
      </c>
      <c r="D339" s="179">
        <v>103220.78479999999</v>
      </c>
      <c r="E339" s="179">
        <v>63414.76</v>
      </c>
      <c r="F339" s="39">
        <f>Table3236[[#This Row],[Single Family]]+Table3236[[#This Row],[2-4 Units]]+Table3236[[#This Row],[&gt;4 Units]]</f>
        <v>18</v>
      </c>
      <c r="G339" s="39">
        <v>17</v>
      </c>
      <c r="H339" s="39">
        <v>0</v>
      </c>
      <c r="I339" s="39">
        <v>1</v>
      </c>
      <c r="J339" s="132">
        <v>28756.23</v>
      </c>
      <c r="K339" s="39">
        <f>SUM(Table3236[[#This Row],[Single Family ]:[&gt;4 Units ]])</f>
        <v>5</v>
      </c>
      <c r="L339" s="133">
        <v>3</v>
      </c>
      <c r="M339" s="133">
        <v>0</v>
      </c>
      <c r="N339" s="133">
        <v>2</v>
      </c>
      <c r="O339" s="134">
        <v>34658.53</v>
      </c>
      <c r="P339" s="243">
        <f>VLOOKUP(Table3236[[#This Row],[Census Tract]],'Population and Diversity Data'!$B$2:$K$823,10,FALSE)</f>
        <v>4</v>
      </c>
      <c r="Q339" s="244" t="str">
        <f>VLOOKUP(Table3236[[#This Row],[Census Tract]],'UI EnergyBurden'!$A$2:$B$184,2,FALSE)</f>
        <v>No</v>
      </c>
      <c r="R339" s="249">
        <f>VLOOKUP(Table3236[[#This Row],[Census Tract]],'Income and Housing Data'!$B$2:$D$823,3,FALSE)</f>
        <v>70787</v>
      </c>
      <c r="S339" s="250" t="str">
        <f>IF($U$7&lt;=Table3236[[#This Row],[Household Income]],IF(Table3236[[#This Row],[Household Income]]&lt;=$U$8, "Yes","No"),"No")</f>
        <v>No</v>
      </c>
    </row>
    <row r="340" spans="1:19" x14ac:dyDescent="0.25">
      <c r="A340" s="183">
        <v>9009166002</v>
      </c>
      <c r="B340" s="39" t="s">
        <v>953</v>
      </c>
      <c r="C340" s="178" t="s">
        <v>944</v>
      </c>
      <c r="D340" s="179">
        <v>88585.424700000105</v>
      </c>
      <c r="E340" s="179">
        <v>25722.63</v>
      </c>
      <c r="F340" s="39">
        <f>Table3236[[#This Row],[Single Family]]+Table3236[[#This Row],[2-4 Units]]+Table3236[[#This Row],[&gt;4 Units]]</f>
        <v>27</v>
      </c>
      <c r="G340" s="39">
        <v>27</v>
      </c>
      <c r="H340" s="39">
        <v>0</v>
      </c>
      <c r="I340" s="39">
        <v>0</v>
      </c>
      <c r="J340" s="132">
        <v>25302.69</v>
      </c>
      <c r="K340" s="39">
        <f>SUM(Table3236[[#This Row],[Single Family ]:[&gt;4 Units ]])</f>
        <v>3</v>
      </c>
      <c r="L340" s="133">
        <v>1</v>
      </c>
      <c r="M340" s="133">
        <v>2</v>
      </c>
      <c r="N340" s="133">
        <v>0</v>
      </c>
      <c r="O340" s="134">
        <v>419.94</v>
      </c>
      <c r="P340" s="243">
        <f>VLOOKUP(Table3236[[#This Row],[Census Tract]],'Population and Diversity Data'!$B$2:$K$823,10,FALSE)</f>
        <v>3</v>
      </c>
      <c r="Q340" s="244" t="str">
        <f>VLOOKUP(Table3236[[#This Row],[Census Tract]],'UI EnergyBurden'!$A$2:$B$184,2,FALSE)</f>
        <v>No</v>
      </c>
      <c r="R340" s="249">
        <f>VLOOKUP(Table3236[[#This Row],[Census Tract]],'Income and Housing Data'!$B$2:$D$823,3,FALSE)</f>
        <v>95125</v>
      </c>
      <c r="S340" s="250" t="str">
        <f>IF($U$7&lt;=Table3236[[#This Row],[Household Income]],IF(Table3236[[#This Row],[Household Income]]&lt;=$U$8, "Yes","No"),"No")</f>
        <v>No</v>
      </c>
    </row>
    <row r="341" spans="1:19" x14ac:dyDescent="0.25">
      <c r="A341" s="183">
        <v>9009166002</v>
      </c>
      <c r="B341" s="39" t="s">
        <v>943</v>
      </c>
      <c r="C341" s="178" t="s">
        <v>944</v>
      </c>
      <c r="D341" s="179">
        <v>0</v>
      </c>
      <c r="E341" s="179">
        <v>0</v>
      </c>
      <c r="F341" s="39">
        <f>Table3236[[#This Row],[Single Family]]+Table3236[[#This Row],[2-4 Units]]+Table3236[[#This Row],[&gt;4 Units]]</f>
        <v>0</v>
      </c>
      <c r="G341" s="39"/>
      <c r="H341" s="39"/>
      <c r="I341" s="39"/>
      <c r="J341" s="132">
        <v>0</v>
      </c>
      <c r="K341" s="39">
        <f>SUM(Table3236[[#This Row],[Single Family ]:[&gt;4 Units ]])</f>
        <v>0</v>
      </c>
      <c r="L341" s="133"/>
      <c r="M341" s="133"/>
      <c r="N341" s="133"/>
      <c r="O341" s="134">
        <v>0</v>
      </c>
      <c r="P341" s="243">
        <f>VLOOKUP(Table3236[[#This Row],[Census Tract]],'Population and Diversity Data'!$B$2:$K$823,10,FALSE)</f>
        <v>3</v>
      </c>
      <c r="Q341" s="244" t="str">
        <f>VLOOKUP(Table3236[[#This Row],[Census Tract]],'UI EnergyBurden'!$A$2:$B$184,2,FALSE)</f>
        <v>No</v>
      </c>
      <c r="R341" s="249">
        <f>VLOOKUP(Table3236[[#This Row],[Census Tract]],'Income and Housing Data'!$B$2:$D$823,3,FALSE)</f>
        <v>95125</v>
      </c>
      <c r="S341" s="250" t="str">
        <f>IF($U$7&lt;=Table3236[[#This Row],[Household Income]],IF(Table3236[[#This Row],[Household Income]]&lt;=$U$8, "Yes","No"),"No")</f>
        <v>No</v>
      </c>
    </row>
    <row r="342" spans="1:19" x14ac:dyDescent="0.25">
      <c r="A342" s="183">
        <v>9009166002</v>
      </c>
      <c r="B342" s="39" t="s">
        <v>3025</v>
      </c>
      <c r="C342" s="178" t="s">
        <v>944</v>
      </c>
      <c r="D342" s="179">
        <v>227.32550000000001</v>
      </c>
      <c r="E342" s="179">
        <v>0</v>
      </c>
      <c r="F342" s="39">
        <f>Table3236[[#This Row],[Single Family]]+Table3236[[#This Row],[2-4 Units]]+Table3236[[#This Row],[&gt;4 Units]]</f>
        <v>0</v>
      </c>
      <c r="G342" s="39"/>
      <c r="H342" s="39"/>
      <c r="I342" s="39"/>
      <c r="J342" s="132">
        <v>0</v>
      </c>
      <c r="K342" s="39">
        <f>SUM(Table3236[[#This Row],[Single Family ]:[&gt;4 Units ]])</f>
        <v>0</v>
      </c>
      <c r="L342" s="133"/>
      <c r="M342" s="133"/>
      <c r="N342" s="133"/>
      <c r="O342" s="134">
        <v>0</v>
      </c>
      <c r="P342" s="243">
        <f>VLOOKUP(Table3236[[#This Row],[Census Tract]],'Population and Diversity Data'!$B$2:$K$823,10,FALSE)</f>
        <v>3</v>
      </c>
      <c r="Q342" s="244" t="str">
        <f>VLOOKUP(Table3236[[#This Row],[Census Tract]],'UI EnergyBurden'!$A$2:$B$184,2,FALSE)</f>
        <v>No</v>
      </c>
      <c r="R342" s="249">
        <f>VLOOKUP(Table3236[[#This Row],[Census Tract]],'Income and Housing Data'!$B$2:$D$823,3,FALSE)</f>
        <v>95125</v>
      </c>
      <c r="S342" s="250" t="str">
        <f>IF($U$7&lt;=Table3236[[#This Row],[Household Income]],IF(Table3236[[#This Row],[Household Income]]&lt;=$U$8, "Yes","No"),"No")</f>
        <v>No</v>
      </c>
    </row>
    <row r="343" spans="1:19" x14ac:dyDescent="0.25">
      <c r="A343" s="183">
        <v>9009167100</v>
      </c>
      <c r="B343" s="39" t="s">
        <v>953</v>
      </c>
      <c r="C343" s="178" t="s">
        <v>944</v>
      </c>
      <c r="D343" s="179">
        <v>695.01679999999999</v>
      </c>
      <c r="E343" s="179">
        <v>0</v>
      </c>
      <c r="F343" s="39">
        <f>Table3236[[#This Row],[Single Family]]+Table3236[[#This Row],[2-4 Units]]+Table3236[[#This Row],[&gt;4 Units]]</f>
        <v>0</v>
      </c>
      <c r="G343" s="39"/>
      <c r="H343" s="39"/>
      <c r="I343" s="39"/>
      <c r="J343" s="132">
        <v>0</v>
      </c>
      <c r="K343" s="39">
        <f>SUM(Table3236[[#This Row],[Single Family ]:[&gt;4 Units ]])</f>
        <v>0</v>
      </c>
      <c r="L343" s="133"/>
      <c r="M343" s="133"/>
      <c r="N343" s="133"/>
      <c r="O343" s="134">
        <v>0</v>
      </c>
      <c r="P343" s="243">
        <f>VLOOKUP(Table3236[[#This Row],[Census Tract]],'Population and Diversity Data'!$B$2:$K$823,10,FALSE)</f>
        <v>3</v>
      </c>
      <c r="Q343" s="244" t="str">
        <f>VLOOKUP(Table3236[[#This Row],[Census Tract]],'UI EnergyBurden'!$A$2:$B$184,2,FALSE)</f>
        <v>No</v>
      </c>
      <c r="R343" s="249">
        <f>VLOOKUP(Table3236[[#This Row],[Census Tract]],'Income and Housing Data'!$B$2:$D$823,3,FALSE)</f>
        <v>107619</v>
      </c>
      <c r="S343" s="250" t="str">
        <f>IF($U$7&lt;=Table3236[[#This Row],[Household Income]],IF(Table3236[[#This Row],[Household Income]]&lt;=$U$8, "Yes","No"),"No")</f>
        <v>No</v>
      </c>
    </row>
    <row r="344" spans="1:19" x14ac:dyDescent="0.25">
      <c r="A344" s="183">
        <v>9009167100</v>
      </c>
      <c r="B344" s="39" t="s">
        <v>3025</v>
      </c>
      <c r="C344" s="178" t="s">
        <v>944</v>
      </c>
      <c r="D344" s="179">
        <v>175927.88690000001</v>
      </c>
      <c r="E344" s="179">
        <v>93222.22</v>
      </c>
      <c r="F344" s="39">
        <f>Table3236[[#This Row],[Single Family]]+Table3236[[#This Row],[2-4 Units]]+Table3236[[#This Row],[&gt;4 Units]]</f>
        <v>71</v>
      </c>
      <c r="G344" s="39">
        <v>71</v>
      </c>
      <c r="H344" s="39">
        <v>0</v>
      </c>
      <c r="I344" s="39">
        <v>0</v>
      </c>
      <c r="J344" s="132">
        <v>85224.95</v>
      </c>
      <c r="K344" s="39">
        <f>SUM(Table3236[[#This Row],[Single Family ]:[&gt;4 Units ]])</f>
        <v>4</v>
      </c>
      <c r="L344" s="133">
        <v>3</v>
      </c>
      <c r="M344" s="133">
        <v>1</v>
      </c>
      <c r="N344" s="133">
        <v>0</v>
      </c>
      <c r="O344" s="134">
        <v>7997.27</v>
      </c>
      <c r="P344" s="243">
        <f>VLOOKUP(Table3236[[#This Row],[Census Tract]],'Population and Diversity Data'!$B$2:$K$823,10,FALSE)</f>
        <v>3</v>
      </c>
      <c r="Q344" s="244" t="str">
        <f>VLOOKUP(Table3236[[#This Row],[Census Tract]],'UI EnergyBurden'!$A$2:$B$184,2,FALSE)</f>
        <v>No</v>
      </c>
      <c r="R344" s="249">
        <f>VLOOKUP(Table3236[[#This Row],[Census Tract]],'Income and Housing Data'!$B$2:$D$823,3,FALSE)</f>
        <v>107619</v>
      </c>
      <c r="S344" s="250" t="str">
        <f>IF($U$7&lt;=Table3236[[#This Row],[Household Income]],IF(Table3236[[#This Row],[Household Income]]&lt;=$U$8, "Yes","No"),"No")</f>
        <v>No</v>
      </c>
    </row>
    <row r="345" spans="1:19" x14ac:dyDescent="0.25">
      <c r="A345" s="183">
        <v>9009167201</v>
      </c>
      <c r="B345" s="39" t="s">
        <v>3024</v>
      </c>
      <c r="C345" s="178" t="s">
        <v>944</v>
      </c>
      <c r="D345" s="179">
        <v>0</v>
      </c>
      <c r="E345" s="179">
        <v>0</v>
      </c>
      <c r="F345" s="39">
        <f>Table3236[[#This Row],[Single Family]]+Table3236[[#This Row],[2-4 Units]]+Table3236[[#This Row],[&gt;4 Units]]</f>
        <v>0</v>
      </c>
      <c r="G345" s="39"/>
      <c r="H345" s="39"/>
      <c r="I345" s="39"/>
      <c r="J345" s="132">
        <v>0</v>
      </c>
      <c r="K345" s="39">
        <f>SUM(Table3236[[#This Row],[Single Family ]:[&gt;4 Units ]])</f>
        <v>0</v>
      </c>
      <c r="L345" s="133"/>
      <c r="M345" s="133"/>
      <c r="N345" s="133"/>
      <c r="O345" s="134">
        <v>0</v>
      </c>
      <c r="P345" s="243">
        <f>VLOOKUP(Table3236[[#This Row],[Census Tract]],'Population and Diversity Data'!$B$2:$K$823,10,FALSE)</f>
        <v>2</v>
      </c>
      <c r="Q345" s="244" t="str">
        <f>VLOOKUP(Table3236[[#This Row],[Census Tract]],'UI EnergyBurden'!$A$2:$B$184,2,FALSE)</f>
        <v>No</v>
      </c>
      <c r="R345" s="249">
        <f>VLOOKUP(Table3236[[#This Row],[Census Tract]],'Income and Housing Data'!$B$2:$D$823,3,FALSE)</f>
        <v>88750</v>
      </c>
      <c r="S345" s="250" t="str">
        <f>IF($U$7&lt;=Table3236[[#This Row],[Household Income]],IF(Table3236[[#This Row],[Household Income]]&lt;=$U$8, "Yes","No"),"No")</f>
        <v>No</v>
      </c>
    </row>
    <row r="346" spans="1:19" x14ac:dyDescent="0.25">
      <c r="A346" s="183">
        <v>9009167201</v>
      </c>
      <c r="B346" s="39" t="s">
        <v>3017</v>
      </c>
      <c r="C346" s="178" t="s">
        <v>944</v>
      </c>
      <c r="D346" s="179">
        <v>0</v>
      </c>
      <c r="E346" s="179">
        <v>481.11</v>
      </c>
      <c r="F346" s="39">
        <f>Table3236[[#This Row],[Single Family]]+Table3236[[#This Row],[2-4 Units]]+Table3236[[#This Row],[&gt;4 Units]]</f>
        <v>0</v>
      </c>
      <c r="G346" s="39"/>
      <c r="H346" s="39"/>
      <c r="I346" s="39"/>
      <c r="J346" s="132">
        <v>0</v>
      </c>
      <c r="K346" s="39">
        <f>SUM(Table3236[[#This Row],[Single Family ]:[&gt;4 Units ]])</f>
        <v>1</v>
      </c>
      <c r="L346" s="133">
        <v>1</v>
      </c>
      <c r="M346" s="133">
        <v>0</v>
      </c>
      <c r="N346" s="133">
        <v>0</v>
      </c>
      <c r="O346" s="134">
        <v>481.11</v>
      </c>
      <c r="P346" s="243">
        <f>VLOOKUP(Table3236[[#This Row],[Census Tract]],'Population and Diversity Data'!$B$2:$K$823,10,FALSE)</f>
        <v>2</v>
      </c>
      <c r="Q346" s="244" t="str">
        <f>VLOOKUP(Table3236[[#This Row],[Census Tract]],'UI EnergyBurden'!$A$2:$B$184,2,FALSE)</f>
        <v>No</v>
      </c>
      <c r="R346" s="249">
        <f>VLOOKUP(Table3236[[#This Row],[Census Tract]],'Income and Housing Data'!$B$2:$D$823,3,FALSE)</f>
        <v>88750</v>
      </c>
      <c r="S346" s="250" t="str">
        <f>IF($U$7&lt;=Table3236[[#This Row],[Household Income]],IF(Table3236[[#This Row],[Household Income]]&lt;=$U$8, "Yes","No"),"No")</f>
        <v>No</v>
      </c>
    </row>
    <row r="347" spans="1:19" x14ac:dyDescent="0.25">
      <c r="A347" s="183">
        <v>9009167201</v>
      </c>
      <c r="B347" s="39" t="s">
        <v>3025</v>
      </c>
      <c r="C347" s="178" t="s">
        <v>944</v>
      </c>
      <c r="D347" s="179">
        <v>81742.303499999907</v>
      </c>
      <c r="E347" s="179">
        <v>33941.129999999997</v>
      </c>
      <c r="F347" s="39">
        <f>Table3236[[#This Row],[Single Family]]+Table3236[[#This Row],[2-4 Units]]+Table3236[[#This Row],[&gt;4 Units]]</f>
        <v>34</v>
      </c>
      <c r="G347" s="39">
        <v>34</v>
      </c>
      <c r="H347" s="39">
        <v>0</v>
      </c>
      <c r="I347" s="39">
        <v>0</v>
      </c>
      <c r="J347" s="132">
        <v>33316.230000000003</v>
      </c>
      <c r="K347" s="39">
        <f>SUM(Table3236[[#This Row],[Single Family ]:[&gt;4 Units ]])</f>
        <v>2</v>
      </c>
      <c r="L347" s="133">
        <v>2</v>
      </c>
      <c r="M347" s="133">
        <v>0</v>
      </c>
      <c r="N347" s="133">
        <v>0</v>
      </c>
      <c r="O347" s="134">
        <v>624.9</v>
      </c>
      <c r="P347" s="243">
        <f>VLOOKUP(Table3236[[#This Row],[Census Tract]],'Population and Diversity Data'!$B$2:$K$823,10,FALSE)</f>
        <v>2</v>
      </c>
      <c r="Q347" s="244" t="str">
        <f>VLOOKUP(Table3236[[#This Row],[Census Tract]],'UI EnergyBurden'!$A$2:$B$184,2,FALSE)</f>
        <v>No</v>
      </c>
      <c r="R347" s="249">
        <f>VLOOKUP(Table3236[[#This Row],[Census Tract]],'Income and Housing Data'!$B$2:$D$823,3,FALSE)</f>
        <v>88750</v>
      </c>
      <c r="S347" s="250" t="str">
        <f>IF($U$7&lt;=Table3236[[#This Row],[Household Income]],IF(Table3236[[#This Row],[Household Income]]&lt;=$U$8, "Yes","No"),"No")</f>
        <v>No</v>
      </c>
    </row>
    <row r="348" spans="1:19" x14ac:dyDescent="0.25">
      <c r="A348" s="183">
        <v>9009167201</v>
      </c>
      <c r="B348" s="39" t="s">
        <v>950</v>
      </c>
      <c r="C348" s="178" t="s">
        <v>944</v>
      </c>
      <c r="D348" s="179">
        <v>565.22900000000004</v>
      </c>
      <c r="E348" s="179">
        <v>0</v>
      </c>
      <c r="F348" s="39">
        <f>Table3236[[#This Row],[Single Family]]+Table3236[[#This Row],[2-4 Units]]+Table3236[[#This Row],[&gt;4 Units]]</f>
        <v>0</v>
      </c>
      <c r="G348" s="39"/>
      <c r="H348" s="39"/>
      <c r="I348" s="39"/>
      <c r="J348" s="132">
        <v>0</v>
      </c>
      <c r="K348" s="39">
        <f>SUM(Table3236[[#This Row],[Single Family ]:[&gt;4 Units ]])</f>
        <v>0</v>
      </c>
      <c r="L348" s="133"/>
      <c r="M348" s="133"/>
      <c r="N348" s="133"/>
      <c r="O348" s="134">
        <v>0</v>
      </c>
      <c r="P348" s="243">
        <f>VLOOKUP(Table3236[[#This Row],[Census Tract]],'Population and Diversity Data'!$B$2:$K$823,10,FALSE)</f>
        <v>2</v>
      </c>
      <c r="Q348" s="244" t="str">
        <f>VLOOKUP(Table3236[[#This Row],[Census Tract]],'UI EnergyBurden'!$A$2:$B$184,2,FALSE)</f>
        <v>No</v>
      </c>
      <c r="R348" s="249">
        <f>VLOOKUP(Table3236[[#This Row],[Census Tract]],'Income and Housing Data'!$B$2:$D$823,3,FALSE)</f>
        <v>88750</v>
      </c>
      <c r="S348" s="250" t="str">
        <f>IF($U$7&lt;=Table3236[[#This Row],[Household Income]],IF(Table3236[[#This Row],[Household Income]]&lt;=$U$8, "Yes","No"),"No")</f>
        <v>No</v>
      </c>
    </row>
    <row r="349" spans="1:19" x14ac:dyDescent="0.25">
      <c r="A349" s="183">
        <v>9009167202</v>
      </c>
      <c r="B349" s="39" t="s">
        <v>3024</v>
      </c>
      <c r="C349" s="178" t="s">
        <v>944</v>
      </c>
      <c r="D349" s="179">
        <v>34.721600000000002</v>
      </c>
      <c r="E349" s="179">
        <v>0</v>
      </c>
      <c r="F349" s="39">
        <f>Table3236[[#This Row],[Single Family]]+Table3236[[#This Row],[2-4 Units]]+Table3236[[#This Row],[&gt;4 Units]]</f>
        <v>0</v>
      </c>
      <c r="G349" s="39"/>
      <c r="H349" s="39"/>
      <c r="I349" s="39"/>
      <c r="J349" s="132">
        <v>0</v>
      </c>
      <c r="K349" s="39">
        <f>SUM(Table3236[[#This Row],[Single Family ]:[&gt;4 Units ]])</f>
        <v>0</v>
      </c>
      <c r="L349" s="133"/>
      <c r="M349" s="133"/>
      <c r="N349" s="133"/>
      <c r="O349" s="134">
        <v>0</v>
      </c>
      <c r="P349" s="243">
        <f>VLOOKUP(Table3236[[#This Row],[Census Tract]],'Population and Diversity Data'!$B$2:$K$823,10,FALSE)</f>
        <v>4</v>
      </c>
      <c r="Q349" s="244" t="str">
        <f>VLOOKUP(Table3236[[#This Row],[Census Tract]],'UI EnergyBurden'!$A$2:$B$184,2,FALSE)</f>
        <v>No</v>
      </c>
      <c r="R349" s="249">
        <f>VLOOKUP(Table3236[[#This Row],[Census Tract]],'Income and Housing Data'!$B$2:$D$823,3,FALSE)</f>
        <v>85406</v>
      </c>
      <c r="S349" s="250" t="str">
        <f>IF($U$7&lt;=Table3236[[#This Row],[Household Income]],IF(Table3236[[#This Row],[Household Income]]&lt;=$U$8, "Yes","No"),"No")</f>
        <v>No</v>
      </c>
    </row>
    <row r="350" spans="1:19" x14ac:dyDescent="0.25">
      <c r="A350" s="183">
        <v>9009167202</v>
      </c>
      <c r="B350" s="39" t="s">
        <v>943</v>
      </c>
      <c r="C350" s="178" t="s">
        <v>944</v>
      </c>
      <c r="D350" s="179">
        <v>0.1389</v>
      </c>
      <c r="E350" s="179">
        <v>0</v>
      </c>
      <c r="F350" s="39">
        <f>Table3236[[#This Row],[Single Family]]+Table3236[[#This Row],[2-4 Units]]+Table3236[[#This Row],[&gt;4 Units]]</f>
        <v>0</v>
      </c>
      <c r="G350" s="39"/>
      <c r="H350" s="39"/>
      <c r="I350" s="39"/>
      <c r="J350" s="132">
        <v>0</v>
      </c>
      <c r="K350" s="39">
        <f>SUM(Table3236[[#This Row],[Single Family ]:[&gt;4 Units ]])</f>
        <v>0</v>
      </c>
      <c r="L350" s="133"/>
      <c r="M350" s="133"/>
      <c r="N350" s="133"/>
      <c r="O350" s="134">
        <v>0</v>
      </c>
      <c r="P350" s="243">
        <f>VLOOKUP(Table3236[[#This Row],[Census Tract]],'Population and Diversity Data'!$B$2:$K$823,10,FALSE)</f>
        <v>4</v>
      </c>
      <c r="Q350" s="244" t="str">
        <f>VLOOKUP(Table3236[[#This Row],[Census Tract]],'UI EnergyBurden'!$A$2:$B$184,2,FALSE)</f>
        <v>No</v>
      </c>
      <c r="R350" s="249">
        <f>VLOOKUP(Table3236[[#This Row],[Census Tract]],'Income and Housing Data'!$B$2:$D$823,3,FALSE)</f>
        <v>85406</v>
      </c>
      <c r="S350" s="250" t="str">
        <f>IF($U$7&lt;=Table3236[[#This Row],[Household Income]],IF(Table3236[[#This Row],[Household Income]]&lt;=$U$8, "Yes","No"),"No")</f>
        <v>No</v>
      </c>
    </row>
    <row r="351" spans="1:19" x14ac:dyDescent="0.25">
      <c r="A351" s="183">
        <v>9009167202</v>
      </c>
      <c r="B351" s="39" t="s">
        <v>3025</v>
      </c>
      <c r="C351" s="178" t="s">
        <v>944</v>
      </c>
      <c r="D351" s="179">
        <v>87141.806999999899</v>
      </c>
      <c r="E351" s="179">
        <v>38271.480000000003</v>
      </c>
      <c r="F351" s="39">
        <f>Table3236[[#This Row],[Single Family]]+Table3236[[#This Row],[2-4 Units]]+Table3236[[#This Row],[&gt;4 Units]]</f>
        <v>23</v>
      </c>
      <c r="G351" s="39">
        <v>23</v>
      </c>
      <c r="H351" s="39">
        <v>0</v>
      </c>
      <c r="I351" s="39">
        <v>0</v>
      </c>
      <c r="J351" s="132">
        <v>33866.21</v>
      </c>
      <c r="K351" s="39">
        <f>SUM(Table3236[[#This Row],[Single Family ]:[&gt;4 Units ]])</f>
        <v>6</v>
      </c>
      <c r="L351" s="133">
        <v>5</v>
      </c>
      <c r="M351" s="133">
        <v>1</v>
      </c>
      <c r="N351" s="133">
        <v>0</v>
      </c>
      <c r="O351" s="134">
        <v>4405.2700000000004</v>
      </c>
      <c r="P351" s="243">
        <f>VLOOKUP(Table3236[[#This Row],[Census Tract]],'Population and Diversity Data'!$B$2:$K$823,10,FALSE)</f>
        <v>4</v>
      </c>
      <c r="Q351" s="244" t="str">
        <f>VLOOKUP(Table3236[[#This Row],[Census Tract]],'UI EnergyBurden'!$A$2:$B$184,2,FALSE)</f>
        <v>No</v>
      </c>
      <c r="R351" s="249">
        <f>VLOOKUP(Table3236[[#This Row],[Census Tract]],'Income and Housing Data'!$B$2:$D$823,3,FALSE)</f>
        <v>85406</v>
      </c>
      <c r="S351" s="250" t="str">
        <f>IF($U$7&lt;=Table3236[[#This Row],[Household Income]],IF(Table3236[[#This Row],[Household Income]]&lt;=$U$8, "Yes","No"),"No")</f>
        <v>No</v>
      </c>
    </row>
    <row r="352" spans="1:19" x14ac:dyDescent="0.25">
      <c r="A352" s="183">
        <v>9009167202</v>
      </c>
      <c r="B352" s="39" t="s">
        <v>950</v>
      </c>
      <c r="C352" s="178" t="s">
        <v>944</v>
      </c>
      <c r="D352" s="179">
        <v>764.91129999999998</v>
      </c>
      <c r="E352" s="179">
        <v>0</v>
      </c>
      <c r="F352" s="39">
        <f>Table3236[[#This Row],[Single Family]]+Table3236[[#This Row],[2-4 Units]]+Table3236[[#This Row],[&gt;4 Units]]</f>
        <v>0</v>
      </c>
      <c r="G352" s="39"/>
      <c r="H352" s="39"/>
      <c r="I352" s="39"/>
      <c r="J352" s="132">
        <v>0</v>
      </c>
      <c r="K352" s="39">
        <f>SUM(Table3236[[#This Row],[Single Family ]:[&gt;4 Units ]])</f>
        <v>0</v>
      </c>
      <c r="L352" s="133"/>
      <c r="M352" s="133"/>
      <c r="N352" s="133"/>
      <c r="O352" s="134">
        <v>0</v>
      </c>
      <c r="P352" s="243">
        <f>VLOOKUP(Table3236[[#This Row],[Census Tract]],'Population and Diversity Data'!$B$2:$K$823,10,FALSE)</f>
        <v>4</v>
      </c>
      <c r="Q352" s="244" t="str">
        <f>VLOOKUP(Table3236[[#This Row],[Census Tract]],'UI EnergyBurden'!$A$2:$B$184,2,FALSE)</f>
        <v>No</v>
      </c>
      <c r="R352" s="249">
        <f>VLOOKUP(Table3236[[#This Row],[Census Tract]],'Income and Housing Data'!$B$2:$D$823,3,FALSE)</f>
        <v>85406</v>
      </c>
      <c r="S352" s="250" t="str">
        <f>IF($U$7&lt;=Table3236[[#This Row],[Household Income]],IF(Table3236[[#This Row],[Household Income]]&lt;=$U$8, "Yes","No"),"No")</f>
        <v>No</v>
      </c>
    </row>
    <row r="353" spans="1:19" x14ac:dyDescent="0.25">
      <c r="A353" s="183">
        <v>9009167300</v>
      </c>
      <c r="B353" s="39" t="s">
        <v>3024</v>
      </c>
      <c r="C353" s="178" t="s">
        <v>944</v>
      </c>
      <c r="D353" s="179">
        <v>442.22449999999998</v>
      </c>
      <c r="E353" s="179">
        <v>0</v>
      </c>
      <c r="F353" s="39">
        <f>Table3236[[#This Row],[Single Family]]+Table3236[[#This Row],[2-4 Units]]+Table3236[[#This Row],[&gt;4 Units]]</f>
        <v>0</v>
      </c>
      <c r="G353" s="39"/>
      <c r="H353" s="39"/>
      <c r="I353" s="39"/>
      <c r="J353" s="132">
        <v>0</v>
      </c>
      <c r="K353" s="39">
        <f>SUM(Table3236[[#This Row],[Single Family ]:[&gt;4 Units ]])</f>
        <v>0</v>
      </c>
      <c r="L353" s="133"/>
      <c r="M353" s="133"/>
      <c r="N353" s="133"/>
      <c r="O353" s="134">
        <v>0</v>
      </c>
      <c r="P353" s="243">
        <f>VLOOKUP(Table3236[[#This Row],[Census Tract]],'Population and Diversity Data'!$B$2:$K$823,10,FALSE)</f>
        <v>2</v>
      </c>
      <c r="Q353" s="244" t="str">
        <f>VLOOKUP(Table3236[[#This Row],[Census Tract]],'UI EnergyBurden'!$A$2:$B$184,2,FALSE)</f>
        <v>No</v>
      </c>
      <c r="R353" s="249">
        <f>VLOOKUP(Table3236[[#This Row],[Census Tract]],'Income and Housing Data'!$B$2:$D$823,3,FALSE)</f>
        <v>106250</v>
      </c>
      <c r="S353" s="250" t="str">
        <f>IF($U$7&lt;=Table3236[[#This Row],[Household Income]],IF(Table3236[[#This Row],[Household Income]]&lt;=$U$8, "Yes","No"),"No")</f>
        <v>No</v>
      </c>
    </row>
    <row r="354" spans="1:19" x14ac:dyDescent="0.25">
      <c r="A354" s="183">
        <v>9009167300</v>
      </c>
      <c r="B354" s="39" t="s">
        <v>943</v>
      </c>
      <c r="C354" s="178" t="s">
        <v>944</v>
      </c>
      <c r="D354" s="179">
        <v>19.053799999999999</v>
      </c>
      <c r="E354" s="179">
        <v>0</v>
      </c>
      <c r="F354" s="39">
        <f>Table3236[[#This Row],[Single Family]]+Table3236[[#This Row],[2-4 Units]]+Table3236[[#This Row],[&gt;4 Units]]</f>
        <v>0</v>
      </c>
      <c r="G354" s="39"/>
      <c r="H354" s="39"/>
      <c r="I354" s="39"/>
      <c r="J354" s="132">
        <v>0</v>
      </c>
      <c r="K354" s="39">
        <f>SUM(Table3236[[#This Row],[Single Family ]:[&gt;4 Units ]])</f>
        <v>0</v>
      </c>
      <c r="L354" s="133"/>
      <c r="M354" s="133"/>
      <c r="N354" s="133"/>
      <c r="O354" s="134">
        <v>0</v>
      </c>
      <c r="P354" s="243">
        <f>VLOOKUP(Table3236[[#This Row],[Census Tract]],'Population and Diversity Data'!$B$2:$K$823,10,FALSE)</f>
        <v>2</v>
      </c>
      <c r="Q354" s="244" t="str">
        <f>VLOOKUP(Table3236[[#This Row],[Census Tract]],'UI EnergyBurden'!$A$2:$B$184,2,FALSE)</f>
        <v>No</v>
      </c>
      <c r="R354" s="249">
        <f>VLOOKUP(Table3236[[#This Row],[Census Tract]],'Income and Housing Data'!$B$2:$D$823,3,FALSE)</f>
        <v>106250</v>
      </c>
      <c r="S354" s="250" t="str">
        <f>IF($U$7&lt;=Table3236[[#This Row],[Household Income]],IF(Table3236[[#This Row],[Household Income]]&lt;=$U$8, "Yes","No"),"No")</f>
        <v>No</v>
      </c>
    </row>
    <row r="355" spans="1:19" x14ac:dyDescent="0.25">
      <c r="A355" s="183">
        <v>9009167300</v>
      </c>
      <c r="B355" s="39" t="s">
        <v>3025</v>
      </c>
      <c r="C355" s="178" t="s">
        <v>944</v>
      </c>
      <c r="D355" s="179">
        <v>148627.13149999999</v>
      </c>
      <c r="E355" s="179">
        <v>68371.47</v>
      </c>
      <c r="F355" s="39">
        <f>Table3236[[#This Row],[Single Family]]+Table3236[[#This Row],[2-4 Units]]+Table3236[[#This Row],[&gt;4 Units]]</f>
        <v>62</v>
      </c>
      <c r="G355" s="39">
        <v>62</v>
      </c>
      <c r="H355" s="39">
        <v>0</v>
      </c>
      <c r="I355" s="39">
        <v>0</v>
      </c>
      <c r="J355" s="132">
        <v>61363.07</v>
      </c>
      <c r="K355" s="39">
        <f>SUM(Table3236[[#This Row],[Single Family ]:[&gt;4 Units ]])</f>
        <v>3</v>
      </c>
      <c r="L355" s="133">
        <v>3</v>
      </c>
      <c r="M355" s="133">
        <v>0</v>
      </c>
      <c r="N355" s="133">
        <v>0</v>
      </c>
      <c r="O355" s="134">
        <v>7008.4</v>
      </c>
      <c r="P355" s="243">
        <f>VLOOKUP(Table3236[[#This Row],[Census Tract]],'Population and Diversity Data'!$B$2:$K$823,10,FALSE)</f>
        <v>2</v>
      </c>
      <c r="Q355" s="244" t="str">
        <f>VLOOKUP(Table3236[[#This Row],[Census Tract]],'UI EnergyBurden'!$A$2:$B$184,2,FALSE)</f>
        <v>No</v>
      </c>
      <c r="R355" s="249">
        <f>VLOOKUP(Table3236[[#This Row],[Census Tract]],'Income and Housing Data'!$B$2:$D$823,3,FALSE)</f>
        <v>106250</v>
      </c>
      <c r="S355" s="250" t="str">
        <f>IF($U$7&lt;=Table3236[[#This Row],[Household Income]],IF(Table3236[[#This Row],[Household Income]]&lt;=$U$8, "Yes","No"),"No")</f>
        <v>No</v>
      </c>
    </row>
    <row r="356" spans="1:19" x14ac:dyDescent="0.25">
      <c r="A356" s="183">
        <v>9009180100</v>
      </c>
      <c r="B356" s="39" t="s">
        <v>3024</v>
      </c>
      <c r="C356" s="178" t="s">
        <v>944</v>
      </c>
      <c r="D356" s="179">
        <v>115517.04399999999</v>
      </c>
      <c r="E356" s="179">
        <v>0</v>
      </c>
      <c r="F356" s="39">
        <f>Table3236[[#This Row],[Single Family]]+Table3236[[#This Row],[2-4 Units]]+Table3236[[#This Row],[&gt;4 Units]]</f>
        <v>0</v>
      </c>
      <c r="G356" s="39"/>
      <c r="H356" s="39"/>
      <c r="I356" s="39"/>
      <c r="J356" s="132">
        <v>0</v>
      </c>
      <c r="K356" s="39">
        <f>SUM(Table3236[[#This Row],[Single Family ]:[&gt;4 Units ]])</f>
        <v>0</v>
      </c>
      <c r="L356" s="133"/>
      <c r="M356" s="133"/>
      <c r="N356" s="133"/>
      <c r="O356" s="134">
        <v>0</v>
      </c>
      <c r="P356" s="243">
        <f>VLOOKUP(Table3236[[#This Row],[Census Tract]],'Population and Diversity Data'!$B$2:$K$823,10,FALSE)</f>
        <v>5</v>
      </c>
      <c r="Q356" s="244" t="str">
        <f>VLOOKUP(Table3236[[#This Row],[Census Tract]],'UI EnergyBurden'!$A$2:$B$184,2,FALSE)</f>
        <v>No</v>
      </c>
      <c r="R356" s="249">
        <f>VLOOKUP(Table3236[[#This Row],[Census Tract]],'Income and Housing Data'!$B$2:$D$823,3,FALSE)</f>
        <v>68087</v>
      </c>
      <c r="S356" s="250" t="str">
        <f>IF($U$7&lt;=Table3236[[#This Row],[Household Income]],IF(Table3236[[#This Row],[Household Income]]&lt;=$U$8, "Yes","No"),"No")</f>
        <v>No</v>
      </c>
    </row>
    <row r="357" spans="1:19" x14ac:dyDescent="0.25">
      <c r="A357" s="183">
        <v>9009180100</v>
      </c>
      <c r="B357" s="39" t="s">
        <v>3016</v>
      </c>
      <c r="C357" s="178" t="s">
        <v>944</v>
      </c>
      <c r="D357" s="179">
        <v>0</v>
      </c>
      <c r="E357" s="179">
        <v>23509.03</v>
      </c>
      <c r="F357" s="39">
        <f>Table3236[[#This Row],[Single Family]]+Table3236[[#This Row],[2-4 Units]]+Table3236[[#This Row],[&gt;4 Units]]</f>
        <v>26</v>
      </c>
      <c r="G357" s="39">
        <v>26</v>
      </c>
      <c r="H357" s="39">
        <v>0</v>
      </c>
      <c r="I357" s="39">
        <v>0</v>
      </c>
      <c r="J357" s="132">
        <v>15074.44</v>
      </c>
      <c r="K357" s="39">
        <f>SUM(Table3236[[#This Row],[Single Family ]:[&gt;4 Units ]])</f>
        <v>7</v>
      </c>
      <c r="L357" s="133">
        <v>6</v>
      </c>
      <c r="M357" s="133">
        <v>1</v>
      </c>
      <c r="N357" s="133">
        <v>0</v>
      </c>
      <c r="O357" s="134">
        <v>8434.59</v>
      </c>
      <c r="P357" s="243">
        <f>VLOOKUP(Table3236[[#This Row],[Census Tract]],'Population and Diversity Data'!$B$2:$K$823,10,FALSE)</f>
        <v>5</v>
      </c>
      <c r="Q357" s="244" t="str">
        <f>VLOOKUP(Table3236[[#This Row],[Census Tract]],'UI EnergyBurden'!$A$2:$B$184,2,FALSE)</f>
        <v>No</v>
      </c>
      <c r="R357" s="249">
        <f>VLOOKUP(Table3236[[#This Row],[Census Tract]],'Income and Housing Data'!$B$2:$D$823,3,FALSE)</f>
        <v>68087</v>
      </c>
      <c r="S357" s="250" t="str">
        <f>IF($U$7&lt;=Table3236[[#This Row],[Household Income]],IF(Table3236[[#This Row],[Household Income]]&lt;=$U$8, "Yes","No"),"No")</f>
        <v>No</v>
      </c>
    </row>
    <row r="358" spans="1:19" x14ac:dyDescent="0.25">
      <c r="A358" s="183">
        <v>9009180100</v>
      </c>
      <c r="B358" s="39" t="s">
        <v>943</v>
      </c>
      <c r="C358" s="178" t="s">
        <v>944</v>
      </c>
      <c r="D358" s="179">
        <v>0</v>
      </c>
      <c r="E358" s="179">
        <v>0</v>
      </c>
      <c r="F358" s="39">
        <f>Table3236[[#This Row],[Single Family]]+Table3236[[#This Row],[2-4 Units]]+Table3236[[#This Row],[&gt;4 Units]]</f>
        <v>0</v>
      </c>
      <c r="G358" s="39"/>
      <c r="H358" s="39"/>
      <c r="I358" s="39"/>
      <c r="J358" s="132">
        <v>0</v>
      </c>
      <c r="K358" s="39">
        <f>SUM(Table3236[[#This Row],[Single Family ]:[&gt;4 Units ]])</f>
        <v>0</v>
      </c>
      <c r="L358" s="133"/>
      <c r="M358" s="133"/>
      <c r="N358" s="133"/>
      <c r="O358" s="134">
        <v>0</v>
      </c>
      <c r="P358" s="243">
        <f>VLOOKUP(Table3236[[#This Row],[Census Tract]],'Population and Diversity Data'!$B$2:$K$823,10,FALSE)</f>
        <v>5</v>
      </c>
      <c r="Q358" s="244" t="str">
        <f>VLOOKUP(Table3236[[#This Row],[Census Tract]],'UI EnergyBurden'!$A$2:$B$184,2,FALSE)</f>
        <v>No</v>
      </c>
      <c r="R358" s="249">
        <f>VLOOKUP(Table3236[[#This Row],[Census Tract]],'Income and Housing Data'!$B$2:$D$823,3,FALSE)</f>
        <v>68087</v>
      </c>
      <c r="S358" s="250" t="str">
        <f>IF($U$7&lt;=Table3236[[#This Row],[Household Income]],IF(Table3236[[#This Row],[Household Income]]&lt;=$U$8, "Yes","No"),"No")</f>
        <v>No</v>
      </c>
    </row>
    <row r="359" spans="1:19" x14ac:dyDescent="0.25">
      <c r="A359" s="183">
        <v>9009180100</v>
      </c>
      <c r="B359" s="39" t="s">
        <v>3025</v>
      </c>
      <c r="C359" s="178" t="s">
        <v>944</v>
      </c>
      <c r="D359" s="179">
        <v>54.371499999999997</v>
      </c>
      <c r="E359" s="179">
        <v>0</v>
      </c>
      <c r="F359" s="39">
        <f>Table3236[[#This Row],[Single Family]]+Table3236[[#This Row],[2-4 Units]]+Table3236[[#This Row],[&gt;4 Units]]</f>
        <v>0</v>
      </c>
      <c r="G359" s="39"/>
      <c r="H359" s="39"/>
      <c r="I359" s="39"/>
      <c r="J359" s="132">
        <v>0</v>
      </c>
      <c r="K359" s="39">
        <f>SUM(Table3236[[#This Row],[Single Family ]:[&gt;4 Units ]])</f>
        <v>0</v>
      </c>
      <c r="L359" s="133"/>
      <c r="M359" s="133"/>
      <c r="N359" s="133"/>
      <c r="O359" s="134">
        <v>0</v>
      </c>
      <c r="P359" s="243">
        <f>VLOOKUP(Table3236[[#This Row],[Census Tract]],'Population and Diversity Data'!$B$2:$K$823,10,FALSE)</f>
        <v>5</v>
      </c>
      <c r="Q359" s="244" t="str">
        <f>VLOOKUP(Table3236[[#This Row],[Census Tract]],'UI EnergyBurden'!$A$2:$B$184,2,FALSE)</f>
        <v>No</v>
      </c>
      <c r="R359" s="249">
        <f>VLOOKUP(Table3236[[#This Row],[Census Tract]],'Income and Housing Data'!$B$2:$D$823,3,FALSE)</f>
        <v>68087</v>
      </c>
      <c r="S359" s="250" t="str">
        <f>IF($U$7&lt;=Table3236[[#This Row],[Household Income]],IF(Table3236[[#This Row],[Household Income]]&lt;=$U$8, "Yes","No"),"No")</f>
        <v>No</v>
      </c>
    </row>
    <row r="360" spans="1:19" x14ac:dyDescent="0.25">
      <c r="A360" s="183">
        <v>9009180100</v>
      </c>
      <c r="B360" s="39" t="s">
        <v>950</v>
      </c>
      <c r="C360" s="178" t="s">
        <v>944</v>
      </c>
      <c r="D360" s="179">
        <v>264.08440000000002</v>
      </c>
      <c r="E360" s="179">
        <v>0</v>
      </c>
      <c r="F360" s="39">
        <f>Table3236[[#This Row],[Single Family]]+Table3236[[#This Row],[2-4 Units]]+Table3236[[#This Row],[&gt;4 Units]]</f>
        <v>0</v>
      </c>
      <c r="G360" s="39"/>
      <c r="H360" s="39"/>
      <c r="I360" s="39"/>
      <c r="J360" s="132">
        <v>0</v>
      </c>
      <c r="K360" s="39">
        <f>SUM(Table3236[[#This Row],[Single Family ]:[&gt;4 Units ]])</f>
        <v>0</v>
      </c>
      <c r="L360" s="133"/>
      <c r="M360" s="133"/>
      <c r="N360" s="133"/>
      <c r="O360" s="134">
        <v>0</v>
      </c>
      <c r="P360" s="243">
        <f>VLOOKUP(Table3236[[#This Row],[Census Tract]],'Population and Diversity Data'!$B$2:$K$823,10,FALSE)</f>
        <v>5</v>
      </c>
      <c r="Q360" s="244" t="str">
        <f>VLOOKUP(Table3236[[#This Row],[Census Tract]],'UI EnergyBurden'!$A$2:$B$184,2,FALSE)</f>
        <v>No</v>
      </c>
      <c r="R360" s="249">
        <f>VLOOKUP(Table3236[[#This Row],[Census Tract]],'Income and Housing Data'!$B$2:$D$823,3,FALSE)</f>
        <v>68087</v>
      </c>
      <c r="S360" s="250" t="str">
        <f>IF($U$7&lt;=Table3236[[#This Row],[Household Income]],IF(Table3236[[#This Row],[Household Income]]&lt;=$U$8, "Yes","No"),"No")</f>
        <v>No</v>
      </c>
    </row>
    <row r="361" spans="1:19" x14ac:dyDescent="0.25">
      <c r="A361" s="183">
        <v>9009180200</v>
      </c>
      <c r="B361" s="39" t="s">
        <v>3024</v>
      </c>
      <c r="C361" s="178" t="s">
        <v>944</v>
      </c>
      <c r="D361" s="179">
        <v>93038.672899999801</v>
      </c>
      <c r="E361" s="179">
        <v>0</v>
      </c>
      <c r="F361" s="39">
        <f>Table3236[[#This Row],[Single Family]]+Table3236[[#This Row],[2-4 Units]]+Table3236[[#This Row],[&gt;4 Units]]</f>
        <v>0</v>
      </c>
      <c r="G361" s="39"/>
      <c r="H361" s="39"/>
      <c r="I361" s="39"/>
      <c r="J361" s="132">
        <v>0</v>
      </c>
      <c r="K361" s="39">
        <f>SUM(Table3236[[#This Row],[Single Family ]:[&gt;4 Units ]])</f>
        <v>0</v>
      </c>
      <c r="L361" s="133"/>
      <c r="M361" s="133"/>
      <c r="N361" s="133"/>
      <c r="O361" s="134">
        <v>0</v>
      </c>
      <c r="P361" s="243">
        <f>VLOOKUP(Table3236[[#This Row],[Census Tract]],'Population and Diversity Data'!$B$2:$K$823,10,FALSE)</f>
        <v>5</v>
      </c>
      <c r="Q361" s="244" t="str">
        <f>VLOOKUP(Table3236[[#This Row],[Census Tract]],'UI EnergyBurden'!$A$2:$B$184,2,FALSE)</f>
        <v>No</v>
      </c>
      <c r="R361" s="249">
        <f>VLOOKUP(Table3236[[#This Row],[Census Tract]],'Income and Housing Data'!$B$2:$D$823,3,FALSE)</f>
        <v>62927</v>
      </c>
      <c r="S361" s="250" t="str">
        <f>IF($U$7&lt;=Table3236[[#This Row],[Household Income]],IF(Table3236[[#This Row],[Household Income]]&lt;=$U$8, "Yes","No"),"No")</f>
        <v>Yes</v>
      </c>
    </row>
    <row r="362" spans="1:19" x14ac:dyDescent="0.25">
      <c r="A362" s="183">
        <v>9009180200</v>
      </c>
      <c r="B362" s="39" t="s">
        <v>3016</v>
      </c>
      <c r="C362" s="178" t="s">
        <v>944</v>
      </c>
      <c r="D362" s="179">
        <v>0</v>
      </c>
      <c r="E362" s="179">
        <v>39022.559999999998</v>
      </c>
      <c r="F362" s="39">
        <f>Table3236[[#This Row],[Single Family]]+Table3236[[#This Row],[2-4 Units]]+Table3236[[#This Row],[&gt;4 Units]]</f>
        <v>43</v>
      </c>
      <c r="G362" s="39">
        <v>35</v>
      </c>
      <c r="H362" s="39">
        <v>8</v>
      </c>
      <c r="I362" s="39">
        <v>0</v>
      </c>
      <c r="J362" s="132">
        <v>20662.79</v>
      </c>
      <c r="K362" s="39">
        <f>SUM(Table3236[[#This Row],[Single Family ]:[&gt;4 Units ]])</f>
        <v>15</v>
      </c>
      <c r="L362" s="133">
        <v>14</v>
      </c>
      <c r="M362" s="133">
        <v>1</v>
      </c>
      <c r="N362" s="133">
        <v>0</v>
      </c>
      <c r="O362" s="134">
        <v>18359.77</v>
      </c>
      <c r="P362" s="243">
        <f>VLOOKUP(Table3236[[#This Row],[Census Tract]],'Population and Diversity Data'!$B$2:$K$823,10,FALSE)</f>
        <v>5</v>
      </c>
      <c r="Q362" s="244" t="str">
        <f>VLOOKUP(Table3236[[#This Row],[Census Tract]],'UI EnergyBurden'!$A$2:$B$184,2,FALSE)</f>
        <v>No</v>
      </c>
      <c r="R362" s="249">
        <f>VLOOKUP(Table3236[[#This Row],[Census Tract]],'Income and Housing Data'!$B$2:$D$823,3,FALSE)</f>
        <v>62927</v>
      </c>
      <c r="S362" s="250" t="str">
        <f>IF($U$7&lt;=Table3236[[#This Row],[Household Income]],IF(Table3236[[#This Row],[Household Income]]&lt;=$U$8, "Yes","No"),"No")</f>
        <v>Yes</v>
      </c>
    </row>
    <row r="363" spans="1:19" x14ac:dyDescent="0.25">
      <c r="A363" s="183">
        <v>9009180200</v>
      </c>
      <c r="B363" s="39" t="s">
        <v>943</v>
      </c>
      <c r="C363" s="178" t="s">
        <v>944</v>
      </c>
      <c r="D363" s="179">
        <v>174.75399999999999</v>
      </c>
      <c r="E363" s="179">
        <v>8.5</v>
      </c>
      <c r="F363" s="39">
        <f>Table3236[[#This Row],[Single Family]]+Table3236[[#This Row],[2-4 Units]]+Table3236[[#This Row],[&gt;4 Units]]</f>
        <v>1</v>
      </c>
      <c r="G363" s="39">
        <v>0</v>
      </c>
      <c r="H363" s="39">
        <v>1</v>
      </c>
      <c r="I363" s="39">
        <v>0</v>
      </c>
      <c r="J363" s="132">
        <v>8.5</v>
      </c>
      <c r="K363" s="39">
        <f>SUM(Table3236[[#This Row],[Single Family ]:[&gt;4 Units ]])</f>
        <v>0</v>
      </c>
      <c r="L363" s="133"/>
      <c r="M363" s="133"/>
      <c r="N363" s="133"/>
      <c r="O363" s="134">
        <v>0</v>
      </c>
      <c r="P363" s="243">
        <f>VLOOKUP(Table3236[[#This Row],[Census Tract]],'Population and Diversity Data'!$B$2:$K$823,10,FALSE)</f>
        <v>5</v>
      </c>
      <c r="Q363" s="244" t="str">
        <f>VLOOKUP(Table3236[[#This Row],[Census Tract]],'UI EnergyBurden'!$A$2:$B$184,2,FALSE)</f>
        <v>No</v>
      </c>
      <c r="R363" s="249">
        <f>VLOOKUP(Table3236[[#This Row],[Census Tract]],'Income and Housing Data'!$B$2:$D$823,3,FALSE)</f>
        <v>62927</v>
      </c>
      <c r="S363" s="250" t="str">
        <f>IF($U$7&lt;=Table3236[[#This Row],[Household Income]],IF(Table3236[[#This Row],[Household Income]]&lt;=$U$8, "Yes","No"),"No")</f>
        <v>Yes</v>
      </c>
    </row>
    <row r="364" spans="1:19" x14ac:dyDescent="0.25">
      <c r="A364" s="183">
        <v>9009180200</v>
      </c>
      <c r="B364" s="39" t="s">
        <v>3025</v>
      </c>
      <c r="C364" s="178" t="s">
        <v>944</v>
      </c>
      <c r="D364" s="179">
        <v>137.0864</v>
      </c>
      <c r="E364" s="179">
        <v>0</v>
      </c>
      <c r="F364" s="39">
        <f>Table3236[[#This Row],[Single Family]]+Table3236[[#This Row],[2-4 Units]]+Table3236[[#This Row],[&gt;4 Units]]</f>
        <v>0</v>
      </c>
      <c r="G364" s="39"/>
      <c r="H364" s="39"/>
      <c r="I364" s="39"/>
      <c r="J364" s="132">
        <v>0</v>
      </c>
      <c r="K364" s="39">
        <f>SUM(Table3236[[#This Row],[Single Family ]:[&gt;4 Units ]])</f>
        <v>0</v>
      </c>
      <c r="L364" s="133"/>
      <c r="M364" s="133"/>
      <c r="N364" s="133"/>
      <c r="O364" s="134">
        <v>0</v>
      </c>
      <c r="P364" s="243">
        <f>VLOOKUP(Table3236[[#This Row],[Census Tract]],'Population and Diversity Data'!$B$2:$K$823,10,FALSE)</f>
        <v>5</v>
      </c>
      <c r="Q364" s="244" t="str">
        <f>VLOOKUP(Table3236[[#This Row],[Census Tract]],'UI EnergyBurden'!$A$2:$B$184,2,FALSE)</f>
        <v>No</v>
      </c>
      <c r="R364" s="249">
        <f>VLOOKUP(Table3236[[#This Row],[Census Tract]],'Income and Housing Data'!$B$2:$D$823,3,FALSE)</f>
        <v>62927</v>
      </c>
      <c r="S364" s="250" t="str">
        <f>IF($U$7&lt;=Table3236[[#This Row],[Household Income]],IF(Table3236[[#This Row],[Household Income]]&lt;=$U$8, "Yes","No"),"No")</f>
        <v>Yes</v>
      </c>
    </row>
    <row r="365" spans="1:19" x14ac:dyDescent="0.25">
      <c r="A365" s="183">
        <v>9009180200</v>
      </c>
      <c r="B365" s="39" t="s">
        <v>950</v>
      </c>
      <c r="C365" s="178" t="s">
        <v>944</v>
      </c>
      <c r="D365" s="179">
        <v>94.562600000000003</v>
      </c>
      <c r="E365" s="179">
        <v>0</v>
      </c>
      <c r="F365" s="39">
        <f>Table3236[[#This Row],[Single Family]]+Table3236[[#This Row],[2-4 Units]]+Table3236[[#This Row],[&gt;4 Units]]</f>
        <v>0</v>
      </c>
      <c r="G365" s="39"/>
      <c r="H365" s="39"/>
      <c r="I365" s="39"/>
      <c r="J365" s="132">
        <v>0</v>
      </c>
      <c r="K365" s="39">
        <f>SUM(Table3236[[#This Row],[Single Family ]:[&gt;4 Units ]])</f>
        <v>0</v>
      </c>
      <c r="L365" s="133"/>
      <c r="M365" s="133"/>
      <c r="N365" s="133"/>
      <c r="O365" s="134">
        <v>0</v>
      </c>
      <c r="P365" s="243">
        <f>VLOOKUP(Table3236[[#This Row],[Census Tract]],'Population and Diversity Data'!$B$2:$K$823,10,FALSE)</f>
        <v>5</v>
      </c>
      <c r="Q365" s="244" t="str">
        <f>VLOOKUP(Table3236[[#This Row],[Census Tract]],'UI EnergyBurden'!$A$2:$B$184,2,FALSE)</f>
        <v>No</v>
      </c>
      <c r="R365" s="249">
        <f>VLOOKUP(Table3236[[#This Row],[Census Tract]],'Income and Housing Data'!$B$2:$D$823,3,FALSE)</f>
        <v>62927</v>
      </c>
      <c r="S365" s="250" t="str">
        <f>IF($U$7&lt;=Table3236[[#This Row],[Household Income]],IF(Table3236[[#This Row],[Household Income]]&lt;=$U$8, "Yes","No"),"No")</f>
        <v>Yes</v>
      </c>
    </row>
    <row r="366" spans="1:19" x14ac:dyDescent="0.25">
      <c r="A366" s="183">
        <v>9009180300</v>
      </c>
      <c r="B366" s="39" t="s">
        <v>3024</v>
      </c>
      <c r="C366" s="178" t="s">
        <v>944</v>
      </c>
      <c r="D366" s="179">
        <v>39263.134100000003</v>
      </c>
      <c r="E366" s="179">
        <v>0</v>
      </c>
      <c r="F366" s="39">
        <f>Table3236[[#This Row],[Single Family]]+Table3236[[#This Row],[2-4 Units]]+Table3236[[#This Row],[&gt;4 Units]]</f>
        <v>0</v>
      </c>
      <c r="G366" s="39"/>
      <c r="H366" s="39"/>
      <c r="I366" s="39"/>
      <c r="J366" s="132">
        <v>0</v>
      </c>
      <c r="K366" s="39">
        <f>SUM(Table3236[[#This Row],[Single Family ]:[&gt;4 Units ]])</f>
        <v>0</v>
      </c>
      <c r="L366" s="133"/>
      <c r="M366" s="133"/>
      <c r="N366" s="133"/>
      <c r="O366" s="134">
        <v>0</v>
      </c>
      <c r="P366" s="243">
        <f>VLOOKUP(Table3236[[#This Row],[Census Tract]],'Population and Diversity Data'!$B$2:$K$823,10,FALSE)</f>
        <v>3</v>
      </c>
      <c r="Q366" s="244" t="str">
        <f>VLOOKUP(Table3236[[#This Row],[Census Tract]],'UI EnergyBurden'!$A$2:$B$184,2,FALSE)</f>
        <v>No</v>
      </c>
      <c r="R366" s="249">
        <f>VLOOKUP(Table3236[[#This Row],[Census Tract]],'Income and Housing Data'!$B$2:$D$823,3,FALSE)</f>
        <v>48750</v>
      </c>
      <c r="S366" s="250" t="str">
        <f>IF($U$7&lt;=Table3236[[#This Row],[Household Income]],IF(Table3236[[#This Row],[Household Income]]&lt;=$U$8, "Yes","No"),"No")</f>
        <v>Yes</v>
      </c>
    </row>
    <row r="367" spans="1:19" x14ac:dyDescent="0.25">
      <c r="A367" s="183">
        <v>9009180300</v>
      </c>
      <c r="B367" s="39" t="s">
        <v>3016</v>
      </c>
      <c r="C367" s="178" t="s">
        <v>944</v>
      </c>
      <c r="D367" s="179">
        <v>0</v>
      </c>
      <c r="E367" s="179">
        <v>5787.8</v>
      </c>
      <c r="F367" s="39">
        <f>Table3236[[#This Row],[Single Family]]+Table3236[[#This Row],[2-4 Units]]+Table3236[[#This Row],[&gt;4 Units]]</f>
        <v>8</v>
      </c>
      <c r="G367" s="39">
        <v>8</v>
      </c>
      <c r="H367" s="39">
        <v>0</v>
      </c>
      <c r="I367" s="39">
        <v>0</v>
      </c>
      <c r="J367" s="132">
        <v>1388.51</v>
      </c>
      <c r="K367" s="39">
        <f>SUM(Table3236[[#This Row],[Single Family ]:[&gt;4 Units ]])</f>
        <v>6</v>
      </c>
      <c r="L367" s="133">
        <v>3</v>
      </c>
      <c r="M367" s="133">
        <v>1</v>
      </c>
      <c r="N367" s="133">
        <v>2</v>
      </c>
      <c r="O367" s="134">
        <v>4399.29</v>
      </c>
      <c r="P367" s="243">
        <f>VLOOKUP(Table3236[[#This Row],[Census Tract]],'Population and Diversity Data'!$B$2:$K$823,10,FALSE)</f>
        <v>3</v>
      </c>
      <c r="Q367" s="244" t="str">
        <f>VLOOKUP(Table3236[[#This Row],[Census Tract]],'UI EnergyBurden'!$A$2:$B$184,2,FALSE)</f>
        <v>No</v>
      </c>
      <c r="R367" s="249">
        <f>VLOOKUP(Table3236[[#This Row],[Census Tract]],'Income and Housing Data'!$B$2:$D$823,3,FALSE)</f>
        <v>48750</v>
      </c>
      <c r="S367" s="250" t="str">
        <f>IF($U$7&lt;=Table3236[[#This Row],[Household Income]],IF(Table3236[[#This Row],[Household Income]]&lt;=$U$8, "Yes","No"),"No")</f>
        <v>Yes</v>
      </c>
    </row>
    <row r="368" spans="1:19" x14ac:dyDescent="0.25">
      <c r="A368" s="183">
        <v>9009180300</v>
      </c>
      <c r="B368" s="39" t="s">
        <v>943</v>
      </c>
      <c r="C368" s="178" t="s">
        <v>944</v>
      </c>
      <c r="D368" s="179">
        <v>541.58529999999996</v>
      </c>
      <c r="E368" s="179">
        <v>0</v>
      </c>
      <c r="F368" s="39">
        <f>Table3236[[#This Row],[Single Family]]+Table3236[[#This Row],[2-4 Units]]+Table3236[[#This Row],[&gt;4 Units]]</f>
        <v>0</v>
      </c>
      <c r="G368" s="39"/>
      <c r="H368" s="39"/>
      <c r="I368" s="39"/>
      <c r="J368" s="132">
        <v>0</v>
      </c>
      <c r="K368" s="39">
        <f>SUM(Table3236[[#This Row],[Single Family ]:[&gt;4 Units ]])</f>
        <v>0</v>
      </c>
      <c r="L368" s="133"/>
      <c r="M368" s="133"/>
      <c r="N368" s="133"/>
      <c r="O368" s="134">
        <v>0</v>
      </c>
      <c r="P368" s="243">
        <f>VLOOKUP(Table3236[[#This Row],[Census Tract]],'Population and Diversity Data'!$B$2:$K$823,10,FALSE)</f>
        <v>3</v>
      </c>
      <c r="Q368" s="244" t="str">
        <f>VLOOKUP(Table3236[[#This Row],[Census Tract]],'UI EnergyBurden'!$A$2:$B$184,2,FALSE)</f>
        <v>No</v>
      </c>
      <c r="R368" s="249">
        <f>VLOOKUP(Table3236[[#This Row],[Census Tract]],'Income and Housing Data'!$B$2:$D$823,3,FALSE)</f>
        <v>48750</v>
      </c>
      <c r="S368" s="250" t="str">
        <f>IF($U$7&lt;=Table3236[[#This Row],[Household Income]],IF(Table3236[[#This Row],[Household Income]]&lt;=$U$8, "Yes","No"),"No")</f>
        <v>Yes</v>
      </c>
    </row>
    <row r="369" spans="1:19" x14ac:dyDescent="0.25">
      <c r="A369" s="183">
        <v>9009180300</v>
      </c>
      <c r="B369" s="39" t="s">
        <v>3025</v>
      </c>
      <c r="C369" s="178" t="s">
        <v>944</v>
      </c>
      <c r="D369" s="179">
        <v>0</v>
      </c>
      <c r="E369" s="179">
        <v>0</v>
      </c>
      <c r="F369" s="39">
        <f>Table3236[[#This Row],[Single Family]]+Table3236[[#This Row],[2-4 Units]]+Table3236[[#This Row],[&gt;4 Units]]</f>
        <v>0</v>
      </c>
      <c r="G369" s="39"/>
      <c r="H369" s="39"/>
      <c r="I369" s="39"/>
      <c r="J369" s="132">
        <v>0</v>
      </c>
      <c r="K369" s="39">
        <f>SUM(Table3236[[#This Row],[Single Family ]:[&gt;4 Units ]])</f>
        <v>0</v>
      </c>
      <c r="L369" s="133"/>
      <c r="M369" s="133"/>
      <c r="N369" s="133"/>
      <c r="O369" s="134">
        <v>0</v>
      </c>
      <c r="P369" s="243">
        <f>VLOOKUP(Table3236[[#This Row],[Census Tract]],'Population and Diversity Data'!$B$2:$K$823,10,FALSE)</f>
        <v>3</v>
      </c>
      <c r="Q369" s="244" t="str">
        <f>VLOOKUP(Table3236[[#This Row],[Census Tract]],'UI EnergyBurden'!$A$2:$B$184,2,FALSE)</f>
        <v>No</v>
      </c>
      <c r="R369" s="249">
        <f>VLOOKUP(Table3236[[#This Row],[Census Tract]],'Income and Housing Data'!$B$2:$D$823,3,FALSE)</f>
        <v>48750</v>
      </c>
      <c r="S369" s="250" t="str">
        <f>IF($U$7&lt;=Table3236[[#This Row],[Household Income]],IF(Table3236[[#This Row],[Household Income]]&lt;=$U$8, "Yes","No"),"No")</f>
        <v>Yes</v>
      </c>
    </row>
    <row r="370" spans="1:19" x14ac:dyDescent="0.25">
      <c r="A370" s="183">
        <v>9009180300</v>
      </c>
      <c r="B370" s="39" t="s">
        <v>950</v>
      </c>
      <c r="C370" s="178" t="s">
        <v>944</v>
      </c>
      <c r="D370" s="179">
        <v>18.827999999999999</v>
      </c>
      <c r="E370" s="179">
        <v>0</v>
      </c>
      <c r="F370" s="39">
        <f>Table3236[[#This Row],[Single Family]]+Table3236[[#This Row],[2-4 Units]]+Table3236[[#This Row],[&gt;4 Units]]</f>
        <v>0</v>
      </c>
      <c r="G370" s="39"/>
      <c r="H370" s="39"/>
      <c r="I370" s="39"/>
      <c r="J370" s="132">
        <v>0</v>
      </c>
      <c r="K370" s="39">
        <f>SUM(Table3236[[#This Row],[Single Family ]:[&gt;4 Units ]])</f>
        <v>0</v>
      </c>
      <c r="L370" s="133"/>
      <c r="M370" s="133"/>
      <c r="N370" s="133"/>
      <c r="O370" s="134">
        <v>0</v>
      </c>
      <c r="P370" s="243">
        <f>VLOOKUP(Table3236[[#This Row],[Census Tract]],'Population and Diversity Data'!$B$2:$K$823,10,FALSE)</f>
        <v>3</v>
      </c>
      <c r="Q370" s="244" t="str">
        <f>VLOOKUP(Table3236[[#This Row],[Census Tract]],'UI EnergyBurden'!$A$2:$B$184,2,FALSE)</f>
        <v>No</v>
      </c>
      <c r="R370" s="249">
        <f>VLOOKUP(Table3236[[#This Row],[Census Tract]],'Income and Housing Data'!$B$2:$D$823,3,FALSE)</f>
        <v>48750</v>
      </c>
      <c r="S370" s="250" t="str">
        <f>IF($U$7&lt;=Table3236[[#This Row],[Household Income]],IF(Table3236[[#This Row],[Household Income]]&lt;=$U$8, "Yes","No"),"No")</f>
        <v>Yes</v>
      </c>
    </row>
    <row r="371" spans="1:19" x14ac:dyDescent="0.25">
      <c r="A371" s="183">
        <v>9009180400</v>
      </c>
      <c r="B371" s="39" t="s">
        <v>3024</v>
      </c>
      <c r="C371" s="178" t="s">
        <v>944</v>
      </c>
      <c r="D371" s="179">
        <v>44023.715199999999</v>
      </c>
      <c r="E371" s="179">
        <v>0</v>
      </c>
      <c r="F371" s="39">
        <f>Table3236[[#This Row],[Single Family]]+Table3236[[#This Row],[2-4 Units]]+Table3236[[#This Row],[&gt;4 Units]]</f>
        <v>0</v>
      </c>
      <c r="G371" s="39"/>
      <c r="H371" s="39"/>
      <c r="I371" s="39"/>
      <c r="J371" s="132">
        <v>0</v>
      </c>
      <c r="K371" s="39">
        <f>SUM(Table3236[[#This Row],[Single Family ]:[&gt;4 Units ]])</f>
        <v>0</v>
      </c>
      <c r="L371" s="133"/>
      <c r="M371" s="133"/>
      <c r="N371" s="133"/>
      <c r="O371" s="134">
        <v>0</v>
      </c>
      <c r="P371" s="243">
        <f>VLOOKUP(Table3236[[#This Row],[Census Tract]],'Population and Diversity Data'!$B$2:$K$823,10,FALSE)</f>
        <v>4</v>
      </c>
      <c r="Q371" s="244" t="str">
        <f>VLOOKUP(Table3236[[#This Row],[Census Tract]],'UI EnergyBurden'!$A$2:$B$184,2,FALSE)</f>
        <v>No</v>
      </c>
      <c r="R371" s="249">
        <f>VLOOKUP(Table3236[[#This Row],[Census Tract]],'Income and Housing Data'!$B$2:$D$823,3,FALSE)</f>
        <v>82000</v>
      </c>
      <c r="S371" s="250" t="str">
        <f>IF($U$7&lt;=Table3236[[#This Row],[Household Income]],IF(Table3236[[#This Row],[Household Income]]&lt;=$U$8, "Yes","No"),"No")</f>
        <v>No</v>
      </c>
    </row>
    <row r="372" spans="1:19" x14ac:dyDescent="0.25">
      <c r="A372" s="183">
        <v>9009180400</v>
      </c>
      <c r="B372" s="39" t="s">
        <v>3016</v>
      </c>
      <c r="C372" s="178" t="s">
        <v>944</v>
      </c>
      <c r="D372" s="179">
        <v>0</v>
      </c>
      <c r="E372" s="179">
        <v>25336.11</v>
      </c>
      <c r="F372" s="39">
        <f>Table3236[[#This Row],[Single Family]]+Table3236[[#This Row],[2-4 Units]]+Table3236[[#This Row],[&gt;4 Units]]</f>
        <v>16</v>
      </c>
      <c r="G372" s="39">
        <v>15</v>
      </c>
      <c r="H372" s="39">
        <v>1</v>
      </c>
      <c r="I372" s="39">
        <v>0</v>
      </c>
      <c r="J372" s="132">
        <v>9933.64</v>
      </c>
      <c r="K372" s="39">
        <f>SUM(Table3236[[#This Row],[Single Family ]:[&gt;4 Units ]])</f>
        <v>10</v>
      </c>
      <c r="L372" s="133">
        <v>10</v>
      </c>
      <c r="M372" s="133">
        <v>0</v>
      </c>
      <c r="N372" s="133">
        <v>0</v>
      </c>
      <c r="O372" s="134">
        <v>15402.47</v>
      </c>
      <c r="P372" s="243">
        <f>VLOOKUP(Table3236[[#This Row],[Census Tract]],'Population and Diversity Data'!$B$2:$K$823,10,FALSE)</f>
        <v>4</v>
      </c>
      <c r="Q372" s="244" t="str">
        <f>VLOOKUP(Table3236[[#This Row],[Census Tract]],'UI EnergyBurden'!$A$2:$B$184,2,FALSE)</f>
        <v>No</v>
      </c>
      <c r="R372" s="249">
        <f>VLOOKUP(Table3236[[#This Row],[Census Tract]],'Income and Housing Data'!$B$2:$D$823,3,FALSE)</f>
        <v>82000</v>
      </c>
      <c r="S372" s="250" t="str">
        <f>IF($U$7&lt;=Table3236[[#This Row],[Household Income]],IF(Table3236[[#This Row],[Household Income]]&lt;=$U$8, "Yes","No"),"No")</f>
        <v>No</v>
      </c>
    </row>
    <row r="373" spans="1:19" x14ac:dyDescent="0.25">
      <c r="A373" s="183">
        <v>9009180400</v>
      </c>
      <c r="B373" s="39" t="s">
        <v>950</v>
      </c>
      <c r="C373" s="178" t="s">
        <v>944</v>
      </c>
      <c r="D373" s="179">
        <v>0</v>
      </c>
      <c r="E373" s="179">
        <v>0</v>
      </c>
      <c r="F373" s="39">
        <f>Table3236[[#This Row],[Single Family]]+Table3236[[#This Row],[2-4 Units]]+Table3236[[#This Row],[&gt;4 Units]]</f>
        <v>0</v>
      </c>
      <c r="G373" s="39"/>
      <c r="H373" s="39"/>
      <c r="I373" s="39"/>
      <c r="J373" s="132">
        <v>0</v>
      </c>
      <c r="K373" s="39">
        <f>SUM(Table3236[[#This Row],[Single Family ]:[&gt;4 Units ]])</f>
        <v>0</v>
      </c>
      <c r="L373" s="133"/>
      <c r="M373" s="133"/>
      <c r="N373" s="133"/>
      <c r="O373" s="134">
        <v>0</v>
      </c>
      <c r="P373" s="243">
        <f>VLOOKUP(Table3236[[#This Row],[Census Tract]],'Population and Diversity Data'!$B$2:$K$823,10,FALSE)</f>
        <v>4</v>
      </c>
      <c r="Q373" s="244" t="str">
        <f>VLOOKUP(Table3236[[#This Row],[Census Tract]],'UI EnergyBurden'!$A$2:$B$184,2,FALSE)</f>
        <v>No</v>
      </c>
      <c r="R373" s="249">
        <f>VLOOKUP(Table3236[[#This Row],[Census Tract]],'Income and Housing Data'!$B$2:$D$823,3,FALSE)</f>
        <v>82000</v>
      </c>
      <c r="S373" s="250" t="str">
        <f>IF($U$7&lt;=Table3236[[#This Row],[Household Income]],IF(Table3236[[#This Row],[Household Income]]&lt;=$U$8, "Yes","No"),"No")</f>
        <v>No</v>
      </c>
    </row>
    <row r="374" spans="1:19" x14ac:dyDescent="0.25">
      <c r="A374" s="183">
        <v>9009180500</v>
      </c>
      <c r="B374" s="39" t="s">
        <v>3024</v>
      </c>
      <c r="C374" s="178" t="s">
        <v>944</v>
      </c>
      <c r="D374" s="179">
        <v>82435.041299999997</v>
      </c>
      <c r="E374" s="179">
        <v>0</v>
      </c>
      <c r="F374" s="39">
        <f>Table3236[[#This Row],[Single Family]]+Table3236[[#This Row],[2-4 Units]]+Table3236[[#This Row],[&gt;4 Units]]</f>
        <v>0</v>
      </c>
      <c r="G374" s="39"/>
      <c r="H374" s="39"/>
      <c r="I374" s="39"/>
      <c r="J374" s="132">
        <v>0</v>
      </c>
      <c r="K374" s="39">
        <f>SUM(Table3236[[#This Row],[Single Family ]:[&gt;4 Units ]])</f>
        <v>0</v>
      </c>
      <c r="L374" s="133"/>
      <c r="M374" s="133"/>
      <c r="N374" s="133"/>
      <c r="O374" s="134">
        <v>0</v>
      </c>
      <c r="P374" s="243">
        <f>VLOOKUP(Table3236[[#This Row],[Census Tract]],'Population and Diversity Data'!$B$2:$K$823,10,FALSE)</f>
        <v>5</v>
      </c>
      <c r="Q374" s="244" t="str">
        <f>VLOOKUP(Table3236[[#This Row],[Census Tract]],'UI EnergyBurden'!$A$2:$B$184,2,FALSE)</f>
        <v>No</v>
      </c>
      <c r="R374" s="249">
        <f>VLOOKUP(Table3236[[#This Row],[Census Tract]],'Income and Housing Data'!$B$2:$D$823,3,FALSE)</f>
        <v>81154</v>
      </c>
      <c r="S374" s="250" t="str">
        <f>IF($U$7&lt;=Table3236[[#This Row],[Household Income]],IF(Table3236[[#This Row],[Household Income]]&lt;=$U$8, "Yes","No"),"No")</f>
        <v>No</v>
      </c>
    </row>
    <row r="375" spans="1:19" x14ac:dyDescent="0.25">
      <c r="A375" s="183">
        <v>9009180500</v>
      </c>
      <c r="B375" s="39" t="s">
        <v>3016</v>
      </c>
      <c r="C375" s="178" t="s">
        <v>944</v>
      </c>
      <c r="D375" s="179">
        <v>0</v>
      </c>
      <c r="E375" s="179">
        <v>36318.230000000003</v>
      </c>
      <c r="F375" s="39">
        <f>Table3236[[#This Row],[Single Family]]+Table3236[[#This Row],[2-4 Units]]+Table3236[[#This Row],[&gt;4 Units]]</f>
        <v>30</v>
      </c>
      <c r="G375" s="39">
        <v>30</v>
      </c>
      <c r="H375" s="39">
        <v>0</v>
      </c>
      <c r="I375" s="39">
        <v>0</v>
      </c>
      <c r="J375" s="132">
        <v>24995.01</v>
      </c>
      <c r="K375" s="39">
        <f>SUM(Table3236[[#This Row],[Single Family ]:[&gt;4 Units ]])</f>
        <v>8</v>
      </c>
      <c r="L375" s="133">
        <v>5</v>
      </c>
      <c r="M375" s="133">
        <v>3</v>
      </c>
      <c r="N375" s="133">
        <v>0</v>
      </c>
      <c r="O375" s="134">
        <v>11323.22</v>
      </c>
      <c r="P375" s="243">
        <f>VLOOKUP(Table3236[[#This Row],[Census Tract]],'Population and Diversity Data'!$B$2:$K$823,10,FALSE)</f>
        <v>5</v>
      </c>
      <c r="Q375" s="244" t="str">
        <f>VLOOKUP(Table3236[[#This Row],[Census Tract]],'UI EnergyBurden'!$A$2:$B$184,2,FALSE)</f>
        <v>No</v>
      </c>
      <c r="R375" s="249">
        <f>VLOOKUP(Table3236[[#This Row],[Census Tract]],'Income and Housing Data'!$B$2:$D$823,3,FALSE)</f>
        <v>81154</v>
      </c>
      <c r="S375" s="250" t="str">
        <f>IF($U$7&lt;=Table3236[[#This Row],[Household Income]],IF(Table3236[[#This Row],[Household Income]]&lt;=$U$8, "Yes","No"),"No")</f>
        <v>No</v>
      </c>
    </row>
    <row r="376" spans="1:19" x14ac:dyDescent="0.25">
      <c r="A376" s="183">
        <v>9009180500</v>
      </c>
      <c r="B376" s="39" t="s">
        <v>943</v>
      </c>
      <c r="C376" s="178" t="s">
        <v>944</v>
      </c>
      <c r="D376" s="179">
        <v>433.71039999999999</v>
      </c>
      <c r="E376" s="179">
        <v>0</v>
      </c>
      <c r="F376" s="39">
        <f>Table3236[[#This Row],[Single Family]]+Table3236[[#This Row],[2-4 Units]]+Table3236[[#This Row],[&gt;4 Units]]</f>
        <v>0</v>
      </c>
      <c r="G376" s="39"/>
      <c r="H376" s="39"/>
      <c r="I376" s="39"/>
      <c r="J376" s="132">
        <v>0</v>
      </c>
      <c r="K376" s="39">
        <f>SUM(Table3236[[#This Row],[Single Family ]:[&gt;4 Units ]])</f>
        <v>0</v>
      </c>
      <c r="L376" s="133"/>
      <c r="M376" s="133"/>
      <c r="N376" s="133"/>
      <c r="O376" s="134">
        <v>0</v>
      </c>
      <c r="P376" s="243">
        <f>VLOOKUP(Table3236[[#This Row],[Census Tract]],'Population and Diversity Data'!$B$2:$K$823,10,FALSE)</f>
        <v>5</v>
      </c>
      <c r="Q376" s="244" t="str">
        <f>VLOOKUP(Table3236[[#This Row],[Census Tract]],'UI EnergyBurden'!$A$2:$B$184,2,FALSE)</f>
        <v>No</v>
      </c>
      <c r="R376" s="249">
        <f>VLOOKUP(Table3236[[#This Row],[Census Tract]],'Income and Housing Data'!$B$2:$D$823,3,FALSE)</f>
        <v>81154</v>
      </c>
      <c r="S376" s="250" t="str">
        <f>IF($U$7&lt;=Table3236[[#This Row],[Household Income]],IF(Table3236[[#This Row],[Household Income]]&lt;=$U$8, "Yes","No"),"No")</f>
        <v>No</v>
      </c>
    </row>
    <row r="377" spans="1:19" x14ac:dyDescent="0.25">
      <c r="A377" s="183">
        <v>9009180500</v>
      </c>
      <c r="B377" s="39" t="s">
        <v>950</v>
      </c>
      <c r="C377" s="178" t="s">
        <v>944</v>
      </c>
      <c r="D377" s="179">
        <v>70.126199999999997</v>
      </c>
      <c r="E377" s="179">
        <v>0</v>
      </c>
      <c r="F377" s="39">
        <f>Table3236[[#This Row],[Single Family]]+Table3236[[#This Row],[2-4 Units]]+Table3236[[#This Row],[&gt;4 Units]]</f>
        <v>0</v>
      </c>
      <c r="G377" s="39"/>
      <c r="H377" s="39"/>
      <c r="I377" s="39"/>
      <c r="J377" s="132">
        <v>0</v>
      </c>
      <c r="K377" s="39">
        <f>SUM(Table3236[[#This Row],[Single Family ]:[&gt;4 Units ]])</f>
        <v>0</v>
      </c>
      <c r="L377" s="133"/>
      <c r="M377" s="133"/>
      <c r="N377" s="133"/>
      <c r="O377" s="134">
        <v>0</v>
      </c>
      <c r="P377" s="243">
        <f>VLOOKUP(Table3236[[#This Row],[Census Tract]],'Population and Diversity Data'!$B$2:$K$823,10,FALSE)</f>
        <v>5</v>
      </c>
      <c r="Q377" s="244" t="str">
        <f>VLOOKUP(Table3236[[#This Row],[Census Tract]],'UI EnergyBurden'!$A$2:$B$184,2,FALSE)</f>
        <v>No</v>
      </c>
      <c r="R377" s="249">
        <f>VLOOKUP(Table3236[[#This Row],[Census Tract]],'Income and Housing Data'!$B$2:$D$823,3,FALSE)</f>
        <v>81154</v>
      </c>
      <c r="S377" s="250" t="str">
        <f>IF($U$7&lt;=Table3236[[#This Row],[Household Income]],IF(Table3236[[#This Row],[Household Income]]&lt;=$U$8, "Yes","No"),"No")</f>
        <v>No</v>
      </c>
    </row>
    <row r="378" spans="1:19" x14ac:dyDescent="0.25">
      <c r="A378" s="183">
        <v>9009180601</v>
      </c>
      <c r="B378" s="39" t="s">
        <v>3024</v>
      </c>
      <c r="C378" s="178" t="s">
        <v>944</v>
      </c>
      <c r="D378" s="179">
        <v>52661.118400000101</v>
      </c>
      <c r="E378" s="179">
        <v>0</v>
      </c>
      <c r="F378" s="39">
        <f>Table3236[[#This Row],[Single Family]]+Table3236[[#This Row],[2-4 Units]]+Table3236[[#This Row],[&gt;4 Units]]</f>
        <v>0</v>
      </c>
      <c r="G378" s="39"/>
      <c r="H378" s="39"/>
      <c r="I378" s="39"/>
      <c r="J378" s="132">
        <v>0</v>
      </c>
      <c r="K378" s="39">
        <f>SUM(Table3236[[#This Row],[Single Family ]:[&gt;4 Units ]])</f>
        <v>0</v>
      </c>
      <c r="L378" s="133"/>
      <c r="M378" s="133"/>
      <c r="N378" s="133"/>
      <c r="O378" s="134">
        <v>0</v>
      </c>
      <c r="P378" s="243">
        <f>VLOOKUP(Table3236[[#This Row],[Census Tract]],'Population and Diversity Data'!$B$2:$K$823,10,FALSE)</f>
        <v>1</v>
      </c>
      <c r="Q378" s="244" t="str">
        <f>VLOOKUP(Table3236[[#This Row],[Census Tract]],'UI EnergyBurden'!$A$2:$B$184,2,FALSE)</f>
        <v>No</v>
      </c>
      <c r="R378" s="249">
        <f>VLOOKUP(Table3236[[#This Row],[Census Tract]],'Income and Housing Data'!$B$2:$D$823,3,FALSE)</f>
        <v>63536</v>
      </c>
      <c r="S378" s="250" t="str">
        <f>IF($U$7&lt;=Table3236[[#This Row],[Household Income]],IF(Table3236[[#This Row],[Household Income]]&lt;=$U$8, "Yes","No"),"No")</f>
        <v>Yes</v>
      </c>
    </row>
    <row r="379" spans="1:19" x14ac:dyDescent="0.25">
      <c r="A379" s="183">
        <v>9009180601</v>
      </c>
      <c r="B379" s="39" t="s">
        <v>3016</v>
      </c>
      <c r="C379" s="178" t="s">
        <v>944</v>
      </c>
      <c r="D379" s="179">
        <v>0</v>
      </c>
      <c r="E379" s="179">
        <v>36834.97</v>
      </c>
      <c r="F379" s="39">
        <f>Table3236[[#This Row],[Single Family]]+Table3236[[#This Row],[2-4 Units]]+Table3236[[#This Row],[&gt;4 Units]]</f>
        <v>23</v>
      </c>
      <c r="G379" s="39">
        <v>23</v>
      </c>
      <c r="H379" s="39">
        <v>0</v>
      </c>
      <c r="I379" s="39">
        <v>0</v>
      </c>
      <c r="J379" s="132">
        <v>22070.45</v>
      </c>
      <c r="K379" s="39">
        <f>SUM(Table3236[[#This Row],[Single Family ]:[&gt;4 Units ]])</f>
        <v>5</v>
      </c>
      <c r="L379" s="133">
        <v>5</v>
      </c>
      <c r="M379" s="133">
        <v>0</v>
      </c>
      <c r="N379" s="133">
        <v>0</v>
      </c>
      <c r="O379" s="134">
        <v>14764.52</v>
      </c>
      <c r="P379" s="243">
        <f>VLOOKUP(Table3236[[#This Row],[Census Tract]],'Population and Diversity Data'!$B$2:$K$823,10,FALSE)</f>
        <v>1</v>
      </c>
      <c r="Q379" s="244" t="str">
        <f>VLOOKUP(Table3236[[#This Row],[Census Tract]],'UI EnergyBurden'!$A$2:$B$184,2,FALSE)</f>
        <v>No</v>
      </c>
      <c r="R379" s="249">
        <f>VLOOKUP(Table3236[[#This Row],[Census Tract]],'Income and Housing Data'!$B$2:$D$823,3,FALSE)</f>
        <v>63536</v>
      </c>
      <c r="S379" s="250" t="str">
        <f>IF($U$7&lt;=Table3236[[#This Row],[Household Income]],IF(Table3236[[#This Row],[Household Income]]&lt;=$U$8, "Yes","No"),"No")</f>
        <v>Yes</v>
      </c>
    </row>
    <row r="380" spans="1:19" x14ac:dyDescent="0.25">
      <c r="A380" s="183">
        <v>9009180601</v>
      </c>
      <c r="B380" s="39" t="s">
        <v>943</v>
      </c>
      <c r="C380" s="178" t="s">
        <v>944</v>
      </c>
      <c r="D380" s="179">
        <v>0</v>
      </c>
      <c r="E380" s="179">
        <v>0</v>
      </c>
      <c r="F380" s="39">
        <f>Table3236[[#This Row],[Single Family]]+Table3236[[#This Row],[2-4 Units]]+Table3236[[#This Row],[&gt;4 Units]]</f>
        <v>0</v>
      </c>
      <c r="G380" s="39"/>
      <c r="H380" s="39"/>
      <c r="I380" s="39"/>
      <c r="J380" s="132">
        <v>0</v>
      </c>
      <c r="K380" s="39">
        <f>SUM(Table3236[[#This Row],[Single Family ]:[&gt;4 Units ]])</f>
        <v>0</v>
      </c>
      <c r="L380" s="133"/>
      <c r="M380" s="133"/>
      <c r="N380" s="133"/>
      <c r="O380" s="134">
        <v>0</v>
      </c>
      <c r="P380" s="243">
        <f>VLOOKUP(Table3236[[#This Row],[Census Tract]],'Population and Diversity Data'!$B$2:$K$823,10,FALSE)</f>
        <v>1</v>
      </c>
      <c r="Q380" s="244" t="str">
        <f>VLOOKUP(Table3236[[#This Row],[Census Tract]],'UI EnergyBurden'!$A$2:$B$184,2,FALSE)</f>
        <v>No</v>
      </c>
      <c r="R380" s="249">
        <f>VLOOKUP(Table3236[[#This Row],[Census Tract]],'Income and Housing Data'!$B$2:$D$823,3,FALSE)</f>
        <v>63536</v>
      </c>
      <c r="S380" s="250" t="str">
        <f>IF($U$7&lt;=Table3236[[#This Row],[Household Income]],IF(Table3236[[#This Row],[Household Income]]&lt;=$U$8, "Yes","No"),"No")</f>
        <v>Yes</v>
      </c>
    </row>
    <row r="381" spans="1:19" x14ac:dyDescent="0.25">
      <c r="A381" s="183">
        <v>9009180601</v>
      </c>
      <c r="B381" s="39" t="s">
        <v>3026</v>
      </c>
      <c r="C381" s="178" t="s">
        <v>944</v>
      </c>
      <c r="D381" s="179">
        <v>0</v>
      </c>
      <c r="E381" s="179">
        <v>0</v>
      </c>
      <c r="F381" s="39">
        <f>Table3236[[#This Row],[Single Family]]+Table3236[[#This Row],[2-4 Units]]+Table3236[[#This Row],[&gt;4 Units]]</f>
        <v>0</v>
      </c>
      <c r="G381" s="39"/>
      <c r="H381" s="39"/>
      <c r="I381" s="39"/>
      <c r="J381" s="132">
        <v>0</v>
      </c>
      <c r="K381" s="39">
        <f>SUM(Table3236[[#This Row],[Single Family ]:[&gt;4 Units ]])</f>
        <v>0</v>
      </c>
      <c r="L381" s="133"/>
      <c r="M381" s="133"/>
      <c r="N381" s="133"/>
      <c r="O381" s="134">
        <v>0</v>
      </c>
      <c r="P381" s="243">
        <f>VLOOKUP(Table3236[[#This Row],[Census Tract]],'Population and Diversity Data'!$B$2:$K$823,10,FALSE)</f>
        <v>1</v>
      </c>
      <c r="Q381" s="244" t="str">
        <f>VLOOKUP(Table3236[[#This Row],[Census Tract]],'UI EnergyBurden'!$A$2:$B$184,2,FALSE)</f>
        <v>No</v>
      </c>
      <c r="R381" s="249">
        <f>VLOOKUP(Table3236[[#This Row],[Census Tract]],'Income and Housing Data'!$B$2:$D$823,3,FALSE)</f>
        <v>63536</v>
      </c>
      <c r="S381" s="250" t="str">
        <f>IF($U$7&lt;=Table3236[[#This Row],[Household Income]],IF(Table3236[[#This Row],[Household Income]]&lt;=$U$8, "Yes","No"),"No")</f>
        <v>Yes</v>
      </c>
    </row>
    <row r="382" spans="1:19" x14ac:dyDescent="0.25">
      <c r="A382" s="183">
        <v>9009180601</v>
      </c>
      <c r="B382" s="39" t="s">
        <v>3025</v>
      </c>
      <c r="C382" s="178" t="s">
        <v>944</v>
      </c>
      <c r="D382" s="179">
        <v>55.563800000000001</v>
      </c>
      <c r="E382" s="179">
        <v>0</v>
      </c>
      <c r="F382" s="39">
        <f>Table3236[[#This Row],[Single Family]]+Table3236[[#This Row],[2-4 Units]]+Table3236[[#This Row],[&gt;4 Units]]</f>
        <v>0</v>
      </c>
      <c r="G382" s="39"/>
      <c r="H382" s="39"/>
      <c r="I382" s="39"/>
      <c r="J382" s="132">
        <v>0</v>
      </c>
      <c r="K382" s="39">
        <f>SUM(Table3236[[#This Row],[Single Family ]:[&gt;4 Units ]])</f>
        <v>0</v>
      </c>
      <c r="L382" s="133"/>
      <c r="M382" s="133"/>
      <c r="N382" s="133"/>
      <c r="O382" s="134">
        <v>0</v>
      </c>
      <c r="P382" s="243">
        <f>VLOOKUP(Table3236[[#This Row],[Census Tract]],'Population and Diversity Data'!$B$2:$K$823,10,FALSE)</f>
        <v>1</v>
      </c>
      <c r="Q382" s="244" t="str">
        <f>VLOOKUP(Table3236[[#This Row],[Census Tract]],'UI EnergyBurden'!$A$2:$B$184,2,FALSE)</f>
        <v>No</v>
      </c>
      <c r="R382" s="249">
        <f>VLOOKUP(Table3236[[#This Row],[Census Tract]],'Income and Housing Data'!$B$2:$D$823,3,FALSE)</f>
        <v>63536</v>
      </c>
      <c r="S382" s="250" t="str">
        <f>IF($U$7&lt;=Table3236[[#This Row],[Household Income]],IF(Table3236[[#This Row],[Household Income]]&lt;=$U$8, "Yes","No"),"No")</f>
        <v>Yes</v>
      </c>
    </row>
    <row r="383" spans="1:19" x14ac:dyDescent="0.25">
      <c r="A383" s="183">
        <v>9009180602</v>
      </c>
      <c r="B383" s="39" t="s">
        <v>3024</v>
      </c>
      <c r="C383" s="178" t="s">
        <v>944</v>
      </c>
      <c r="D383" s="179">
        <v>71853.173799999902</v>
      </c>
      <c r="E383" s="179">
        <v>0</v>
      </c>
      <c r="F383" s="39">
        <f>Table3236[[#This Row],[Single Family]]+Table3236[[#This Row],[2-4 Units]]+Table3236[[#This Row],[&gt;4 Units]]</f>
        <v>0</v>
      </c>
      <c r="G383" s="39"/>
      <c r="H383" s="39"/>
      <c r="I383" s="39"/>
      <c r="J383" s="132">
        <v>0</v>
      </c>
      <c r="K383" s="39">
        <f>SUM(Table3236[[#This Row],[Single Family ]:[&gt;4 Units ]])</f>
        <v>0</v>
      </c>
      <c r="L383" s="133"/>
      <c r="M383" s="133"/>
      <c r="N383" s="133"/>
      <c r="O383" s="134">
        <v>0</v>
      </c>
      <c r="P383" s="243">
        <f>VLOOKUP(Table3236[[#This Row],[Census Tract]],'Population and Diversity Data'!$B$2:$K$823,10,FALSE)</f>
        <v>1</v>
      </c>
      <c r="Q383" s="244" t="str">
        <f>VLOOKUP(Table3236[[#This Row],[Census Tract]],'UI EnergyBurden'!$A$2:$B$184,2,FALSE)</f>
        <v>No</v>
      </c>
      <c r="R383" s="249">
        <f>VLOOKUP(Table3236[[#This Row],[Census Tract]],'Income and Housing Data'!$B$2:$D$823,3,FALSE)</f>
        <v>75991</v>
      </c>
      <c r="S383" s="250" t="str">
        <f>IF($U$7&lt;=Table3236[[#This Row],[Household Income]],IF(Table3236[[#This Row],[Household Income]]&lt;=$U$8, "Yes","No"),"No")</f>
        <v>No</v>
      </c>
    </row>
    <row r="384" spans="1:19" x14ac:dyDescent="0.25">
      <c r="A384" s="183">
        <v>9009180602</v>
      </c>
      <c r="B384" s="39" t="s">
        <v>3016</v>
      </c>
      <c r="C384" s="178" t="s">
        <v>944</v>
      </c>
      <c r="D384" s="179">
        <v>0</v>
      </c>
      <c r="E384" s="179">
        <v>38316.32</v>
      </c>
      <c r="F384" s="39">
        <f>Table3236[[#This Row],[Single Family]]+Table3236[[#This Row],[2-4 Units]]+Table3236[[#This Row],[&gt;4 Units]]</f>
        <v>26</v>
      </c>
      <c r="G384" s="39">
        <v>25</v>
      </c>
      <c r="H384" s="39">
        <v>1</v>
      </c>
      <c r="I384" s="39">
        <v>0</v>
      </c>
      <c r="J384" s="132">
        <v>23207.040000000001</v>
      </c>
      <c r="K384" s="39">
        <f>SUM(Table3236[[#This Row],[Single Family ]:[&gt;4 Units ]])</f>
        <v>3</v>
      </c>
      <c r="L384" s="133">
        <v>3</v>
      </c>
      <c r="M384" s="133">
        <v>0</v>
      </c>
      <c r="N384" s="133">
        <v>0</v>
      </c>
      <c r="O384" s="134">
        <v>15109.28</v>
      </c>
      <c r="P384" s="243">
        <f>VLOOKUP(Table3236[[#This Row],[Census Tract]],'Population and Diversity Data'!$B$2:$K$823,10,FALSE)</f>
        <v>1</v>
      </c>
      <c r="Q384" s="244" t="str">
        <f>VLOOKUP(Table3236[[#This Row],[Census Tract]],'UI EnergyBurden'!$A$2:$B$184,2,FALSE)</f>
        <v>No</v>
      </c>
      <c r="R384" s="249">
        <f>VLOOKUP(Table3236[[#This Row],[Census Tract]],'Income and Housing Data'!$B$2:$D$823,3,FALSE)</f>
        <v>75991</v>
      </c>
      <c r="S384" s="250" t="str">
        <f>IF($U$7&lt;=Table3236[[#This Row],[Household Income]],IF(Table3236[[#This Row],[Household Income]]&lt;=$U$8, "Yes","No"),"No")</f>
        <v>No</v>
      </c>
    </row>
    <row r="385" spans="1:19" x14ac:dyDescent="0.25">
      <c r="A385" s="183">
        <v>9009180602</v>
      </c>
      <c r="B385" s="39" t="s">
        <v>943</v>
      </c>
      <c r="C385" s="178" t="s">
        <v>944</v>
      </c>
      <c r="D385" s="179">
        <v>0</v>
      </c>
      <c r="E385" s="179">
        <v>0</v>
      </c>
      <c r="F385" s="39">
        <f>Table3236[[#This Row],[Single Family]]+Table3236[[#This Row],[2-4 Units]]+Table3236[[#This Row],[&gt;4 Units]]</f>
        <v>0</v>
      </c>
      <c r="G385" s="39"/>
      <c r="H385" s="39"/>
      <c r="I385" s="39"/>
      <c r="J385" s="132">
        <v>0</v>
      </c>
      <c r="K385" s="39">
        <f>SUM(Table3236[[#This Row],[Single Family ]:[&gt;4 Units ]])</f>
        <v>0</v>
      </c>
      <c r="L385" s="133"/>
      <c r="M385" s="133"/>
      <c r="N385" s="133"/>
      <c r="O385" s="134">
        <v>0</v>
      </c>
      <c r="P385" s="243">
        <f>VLOOKUP(Table3236[[#This Row],[Census Tract]],'Population and Diversity Data'!$B$2:$K$823,10,FALSE)</f>
        <v>1</v>
      </c>
      <c r="Q385" s="244" t="str">
        <f>VLOOKUP(Table3236[[#This Row],[Census Tract]],'UI EnergyBurden'!$A$2:$B$184,2,FALSE)</f>
        <v>No</v>
      </c>
      <c r="R385" s="249">
        <f>VLOOKUP(Table3236[[#This Row],[Census Tract]],'Income and Housing Data'!$B$2:$D$823,3,FALSE)</f>
        <v>75991</v>
      </c>
      <c r="S385" s="250" t="str">
        <f>IF($U$7&lt;=Table3236[[#This Row],[Household Income]],IF(Table3236[[#This Row],[Household Income]]&lt;=$U$8, "Yes","No"),"No")</f>
        <v>No</v>
      </c>
    </row>
    <row r="386" spans="1:19" x14ac:dyDescent="0.25">
      <c r="A386" s="183">
        <v>9009180602</v>
      </c>
      <c r="B386" s="39" t="s">
        <v>3025</v>
      </c>
      <c r="C386" s="178" t="s">
        <v>944</v>
      </c>
      <c r="D386" s="179">
        <v>1270.8086000000001</v>
      </c>
      <c r="E386" s="179">
        <v>0</v>
      </c>
      <c r="F386" s="39">
        <f>Table3236[[#This Row],[Single Family]]+Table3236[[#This Row],[2-4 Units]]+Table3236[[#This Row],[&gt;4 Units]]</f>
        <v>0</v>
      </c>
      <c r="G386" s="39"/>
      <c r="H386" s="39"/>
      <c r="I386" s="39"/>
      <c r="J386" s="132">
        <v>0</v>
      </c>
      <c r="K386" s="39">
        <f>SUM(Table3236[[#This Row],[Single Family ]:[&gt;4 Units ]])</f>
        <v>0</v>
      </c>
      <c r="L386" s="133"/>
      <c r="M386" s="133"/>
      <c r="N386" s="133"/>
      <c r="O386" s="134">
        <v>0</v>
      </c>
      <c r="P386" s="243">
        <f>VLOOKUP(Table3236[[#This Row],[Census Tract]],'Population and Diversity Data'!$B$2:$K$823,10,FALSE)</f>
        <v>1</v>
      </c>
      <c r="Q386" s="244" t="str">
        <f>VLOOKUP(Table3236[[#This Row],[Census Tract]],'UI EnergyBurden'!$A$2:$B$184,2,FALSE)</f>
        <v>No</v>
      </c>
      <c r="R386" s="249">
        <f>VLOOKUP(Table3236[[#This Row],[Census Tract]],'Income and Housing Data'!$B$2:$D$823,3,FALSE)</f>
        <v>75991</v>
      </c>
      <c r="S386" s="250" t="str">
        <f>IF($U$7&lt;=Table3236[[#This Row],[Household Income]],IF(Table3236[[#This Row],[Household Income]]&lt;=$U$8, "Yes","No"),"No")</f>
        <v>No</v>
      </c>
    </row>
    <row r="387" spans="1:19" x14ac:dyDescent="0.25">
      <c r="A387" s="183">
        <v>9009184700</v>
      </c>
      <c r="B387" s="39" t="s">
        <v>3026</v>
      </c>
      <c r="C387" s="178" t="s">
        <v>944</v>
      </c>
      <c r="D387" s="179">
        <v>2754.6410000000001</v>
      </c>
      <c r="E387" s="179">
        <v>1454.35</v>
      </c>
      <c r="F387" s="39">
        <f>Table3236[[#This Row],[Single Family]]+Table3236[[#This Row],[2-4 Units]]+Table3236[[#This Row],[&gt;4 Units]]</f>
        <v>2</v>
      </c>
      <c r="G387" s="39">
        <v>2</v>
      </c>
      <c r="H387" s="39">
        <v>0</v>
      </c>
      <c r="I387" s="39">
        <v>0</v>
      </c>
      <c r="J387" s="132">
        <v>1454.35</v>
      </c>
      <c r="K387" s="39">
        <f>SUM(Table3236[[#This Row],[Single Family ]:[&gt;4 Units ]])</f>
        <v>0</v>
      </c>
      <c r="L387" s="133"/>
      <c r="M387" s="133"/>
      <c r="N387" s="133"/>
      <c r="O387" s="134">
        <v>0</v>
      </c>
      <c r="P387" s="243">
        <f>VLOOKUP(Table3236[[#This Row],[Census Tract]],'Population and Diversity Data'!$B$2:$K$823,10,FALSE)</f>
        <v>4</v>
      </c>
      <c r="Q387" s="244" t="str">
        <f>VLOOKUP(Table3236[[#This Row],[Census Tract]],'UI EnergyBurden'!$A$2:$B$184,2,FALSE)</f>
        <v>No</v>
      </c>
      <c r="R387" s="249">
        <f>VLOOKUP(Table3236[[#This Row],[Census Tract]],'Income and Housing Data'!$B$2:$D$823,3,FALSE)</f>
        <v>72455</v>
      </c>
      <c r="S387" s="250" t="str">
        <f>IF($U$7&lt;=Table3236[[#This Row],[Household Income]],IF(Table3236[[#This Row],[Household Income]]&lt;=$U$8, "Yes","No"),"No")</f>
        <v>No</v>
      </c>
    </row>
    <row r="388" spans="1:19" x14ac:dyDescent="0.25">
      <c r="A388" s="183">
        <v>9009186100</v>
      </c>
      <c r="B388" s="39" t="s">
        <v>3024</v>
      </c>
      <c r="C388" s="178" t="s">
        <v>944</v>
      </c>
      <c r="D388" s="179">
        <v>70.791799999999995</v>
      </c>
      <c r="E388" s="179">
        <v>0</v>
      </c>
      <c r="F388" s="39">
        <f>Table3236[[#This Row],[Single Family]]+Table3236[[#This Row],[2-4 Units]]+Table3236[[#This Row],[&gt;4 Units]]</f>
        <v>0</v>
      </c>
      <c r="G388" s="39"/>
      <c r="H388" s="39"/>
      <c r="I388" s="39"/>
      <c r="J388" s="132">
        <v>0</v>
      </c>
      <c r="K388" s="39">
        <f>SUM(Table3236[[#This Row],[Single Family ]:[&gt;4 Units ]])</f>
        <v>0</v>
      </c>
      <c r="L388" s="133"/>
      <c r="M388" s="133"/>
      <c r="N388" s="133"/>
      <c r="O388" s="134">
        <v>0</v>
      </c>
      <c r="P388" s="243">
        <f>VLOOKUP(Table3236[[#This Row],[Census Tract]],'Population and Diversity Data'!$B$2:$K$823,10,FALSE)</f>
        <v>2</v>
      </c>
      <c r="Q388" s="244" t="str">
        <f>VLOOKUP(Table3236[[#This Row],[Census Tract]],'UI EnergyBurden'!$A$2:$B$184,2,FALSE)</f>
        <v>No</v>
      </c>
      <c r="R388" s="249">
        <f>VLOOKUP(Table3236[[#This Row],[Census Tract]],'Income and Housing Data'!$B$2:$D$823,3,FALSE)</f>
        <v>82281</v>
      </c>
      <c r="S388" s="250" t="str">
        <f>IF($U$7&lt;=Table3236[[#This Row],[Household Income]],IF(Table3236[[#This Row],[Household Income]]&lt;=$U$8, "Yes","No"),"No")</f>
        <v>No</v>
      </c>
    </row>
    <row r="389" spans="1:19" x14ac:dyDescent="0.25">
      <c r="A389" s="183">
        <v>9009186100</v>
      </c>
      <c r="B389" s="39" t="s">
        <v>3026</v>
      </c>
      <c r="C389" s="178" t="s">
        <v>944</v>
      </c>
      <c r="D389" s="179">
        <v>137173.78909999999</v>
      </c>
      <c r="E389" s="179">
        <v>50849.24</v>
      </c>
      <c r="F389" s="39">
        <f>Table3236[[#This Row],[Single Family]]+Table3236[[#This Row],[2-4 Units]]+Table3236[[#This Row],[&gt;4 Units]]</f>
        <v>46</v>
      </c>
      <c r="G389" s="39">
        <v>45</v>
      </c>
      <c r="H389" s="39">
        <v>1</v>
      </c>
      <c r="I389" s="39">
        <v>0</v>
      </c>
      <c r="J389" s="132">
        <v>48984.59</v>
      </c>
      <c r="K389" s="39">
        <f>SUM(Table3236[[#This Row],[Single Family ]:[&gt;4 Units ]])</f>
        <v>3</v>
      </c>
      <c r="L389" s="133">
        <v>1</v>
      </c>
      <c r="M389" s="133">
        <v>2</v>
      </c>
      <c r="N389" s="133">
        <v>0</v>
      </c>
      <c r="O389" s="134">
        <v>1864.65</v>
      </c>
      <c r="P389" s="243">
        <f>VLOOKUP(Table3236[[#This Row],[Census Tract]],'Population and Diversity Data'!$B$2:$K$823,10,FALSE)</f>
        <v>2</v>
      </c>
      <c r="Q389" s="244" t="str">
        <f>VLOOKUP(Table3236[[#This Row],[Census Tract]],'UI EnergyBurden'!$A$2:$B$184,2,FALSE)</f>
        <v>No</v>
      </c>
      <c r="R389" s="249">
        <f>VLOOKUP(Table3236[[#This Row],[Census Tract]],'Income and Housing Data'!$B$2:$D$823,3,FALSE)</f>
        <v>82281</v>
      </c>
      <c r="S389" s="250" t="str">
        <f>IF($U$7&lt;=Table3236[[#This Row],[Household Income]],IF(Table3236[[#This Row],[Household Income]]&lt;=$U$8, "Yes","No"),"No")</f>
        <v>No</v>
      </c>
    </row>
    <row r="390" spans="1:19" x14ac:dyDescent="0.25">
      <c r="A390" s="183">
        <v>9009186200</v>
      </c>
      <c r="B390" s="39" t="s">
        <v>3026</v>
      </c>
      <c r="C390" s="178" t="s">
        <v>944</v>
      </c>
      <c r="D390" s="179">
        <v>10810.026099999999</v>
      </c>
      <c r="E390" s="179">
        <v>4833.62</v>
      </c>
      <c r="F390" s="39">
        <f>Table3236[[#This Row],[Single Family]]+Table3236[[#This Row],[2-4 Units]]+Table3236[[#This Row],[&gt;4 Units]]</f>
        <v>4</v>
      </c>
      <c r="G390" s="39">
        <v>4</v>
      </c>
      <c r="H390" s="39">
        <v>0</v>
      </c>
      <c r="I390" s="39">
        <v>0</v>
      </c>
      <c r="J390" s="132">
        <v>4833.62</v>
      </c>
      <c r="K390" s="39">
        <f>SUM(Table3236[[#This Row],[Single Family ]:[&gt;4 Units ]])</f>
        <v>0</v>
      </c>
      <c r="L390" s="133"/>
      <c r="M390" s="133"/>
      <c r="N390" s="133"/>
      <c r="O390" s="134">
        <v>0</v>
      </c>
      <c r="P390" s="243">
        <f>VLOOKUP(Table3236[[#This Row],[Census Tract]],'Population and Diversity Data'!$B$2:$K$823,10,FALSE)</f>
        <v>1</v>
      </c>
      <c r="Q390" s="244" t="str">
        <f>VLOOKUP(Table3236[[#This Row],[Census Tract]],'UI EnergyBurden'!$A$2:$B$184,2,FALSE)</f>
        <v>No</v>
      </c>
      <c r="R390" s="249">
        <f>VLOOKUP(Table3236[[#This Row],[Census Tract]],'Income and Housing Data'!$B$2:$D$823,3,FALSE)</f>
        <v>100286</v>
      </c>
      <c r="S390" s="250" t="str">
        <f>IF($U$7&lt;=Table3236[[#This Row],[Household Income]],IF(Table3236[[#This Row],[Household Income]]&lt;=$U$8, "Yes","No"),"No")</f>
        <v>No</v>
      </c>
    </row>
    <row r="391" spans="1:19" x14ac:dyDescent="0.25">
      <c r="A391" s="183">
        <v>9009186200</v>
      </c>
      <c r="B391" s="39" t="s">
        <v>3025</v>
      </c>
      <c r="C391" s="178" t="s">
        <v>944</v>
      </c>
      <c r="D391" s="179">
        <v>75.867800000000003</v>
      </c>
      <c r="E391" s="179">
        <v>0</v>
      </c>
      <c r="F391" s="39">
        <f>Table3236[[#This Row],[Single Family]]+Table3236[[#This Row],[2-4 Units]]+Table3236[[#This Row],[&gt;4 Units]]</f>
        <v>0</v>
      </c>
      <c r="G391" s="39"/>
      <c r="H391" s="39"/>
      <c r="I391" s="39"/>
      <c r="J391" s="132">
        <v>0</v>
      </c>
      <c r="K391" s="39">
        <f>SUM(Table3236[[#This Row],[Single Family ]:[&gt;4 Units ]])</f>
        <v>0</v>
      </c>
      <c r="L391" s="133"/>
      <c r="M391" s="133"/>
      <c r="N391" s="133"/>
      <c r="O391" s="134">
        <v>0</v>
      </c>
      <c r="P391" s="243">
        <f>VLOOKUP(Table3236[[#This Row],[Census Tract]],'Population and Diversity Data'!$B$2:$K$823,10,FALSE)</f>
        <v>1</v>
      </c>
      <c r="Q391" s="244" t="str">
        <f>VLOOKUP(Table3236[[#This Row],[Census Tract]],'UI EnergyBurden'!$A$2:$B$184,2,FALSE)</f>
        <v>No</v>
      </c>
      <c r="R391" s="249">
        <f>VLOOKUP(Table3236[[#This Row],[Census Tract]],'Income and Housing Data'!$B$2:$D$823,3,FALSE)</f>
        <v>100286</v>
      </c>
      <c r="S391" s="250" t="str">
        <f>IF($U$7&lt;=Table3236[[#This Row],[Household Income]],IF(Table3236[[#This Row],[Household Income]]&lt;=$U$8, "Yes","No"),"No")</f>
        <v>No</v>
      </c>
    </row>
    <row r="392" spans="1:19" x14ac:dyDescent="0.25">
      <c r="A392" s="183">
        <v>9009190302</v>
      </c>
      <c r="B392" s="39" t="s">
        <v>3026</v>
      </c>
      <c r="C392" s="178" t="s">
        <v>944</v>
      </c>
      <c r="D392" s="179">
        <v>283.57240000000002</v>
      </c>
      <c r="E392" s="179">
        <v>0</v>
      </c>
      <c r="F392" s="39">
        <f>Table3236[[#This Row],[Single Family]]+Table3236[[#This Row],[2-4 Units]]+Table3236[[#This Row],[&gt;4 Units]]</f>
        <v>0</v>
      </c>
      <c r="G392" s="39"/>
      <c r="H392" s="39"/>
      <c r="I392" s="39"/>
      <c r="J392" s="132">
        <v>0</v>
      </c>
      <c r="K392" s="39">
        <f>SUM(Table3236[[#This Row],[Single Family ]:[&gt;4 Units ]])</f>
        <v>0</v>
      </c>
      <c r="L392" s="133"/>
      <c r="M392" s="133"/>
      <c r="N392" s="133"/>
      <c r="O392" s="134">
        <v>0</v>
      </c>
      <c r="P392" s="243">
        <f>VLOOKUP(Table3236[[#This Row],[Census Tract]],'Population and Diversity Data'!$B$2:$K$823,10,FALSE)</f>
        <v>2</v>
      </c>
      <c r="Q392" s="244" t="str">
        <f>VLOOKUP(Table3236[[#This Row],[Census Tract]],'UI EnergyBurden'!$A$2:$B$184,2,FALSE)</f>
        <v>No</v>
      </c>
      <c r="R392" s="249">
        <f>VLOOKUP(Table3236[[#This Row],[Census Tract]],'Income and Housing Data'!$B$2:$D$823,3,FALSE)</f>
        <v>105769</v>
      </c>
      <c r="S392" s="250" t="str">
        <f>IF($U$7&lt;=Table3236[[#This Row],[Household Income]],IF(Table3236[[#This Row],[Household Income]]&lt;=$U$8, "Yes","No"),"No")</f>
        <v>No</v>
      </c>
    </row>
    <row r="393" spans="1:19" x14ac:dyDescent="0.25">
      <c r="A393" s="183">
        <v>9009361401</v>
      </c>
      <c r="B393" s="39" t="s">
        <v>3015</v>
      </c>
      <c r="C393" s="178" t="s">
        <v>944</v>
      </c>
      <c r="D393" s="179">
        <v>0</v>
      </c>
      <c r="E393" s="179">
        <v>0</v>
      </c>
      <c r="F393" s="39">
        <f>Table3236[[#This Row],[Single Family]]+Table3236[[#This Row],[2-4 Units]]+Table3236[[#This Row],[&gt;4 Units]]</f>
        <v>0</v>
      </c>
      <c r="G393" s="39"/>
      <c r="H393" s="39"/>
      <c r="I393" s="39"/>
      <c r="J393" s="132">
        <v>0</v>
      </c>
      <c r="K393" s="39">
        <f>SUM(Table3236[[#This Row],[Single Family ]:[&gt;4 Units ]])</f>
        <v>0</v>
      </c>
      <c r="L393" s="133"/>
      <c r="M393" s="133"/>
      <c r="N393" s="133"/>
      <c r="O393" s="134">
        <v>0</v>
      </c>
      <c r="P393" s="243">
        <f>VLOOKUP(Table3236[[#This Row],[Census Tract]],'Population and Diversity Data'!$B$2:$K$823,10,FALSE)</f>
        <v>5</v>
      </c>
      <c r="Q393" s="244" t="str">
        <f>VLOOKUP(Table3236[[#This Row],[Census Tract]],'UI EnergyBurden'!$A$2:$B$184,2,FALSE)</f>
        <v>No</v>
      </c>
      <c r="R393" s="249">
        <f>VLOOKUP(Table3236[[#This Row],[Census Tract]],'Income and Housing Data'!$B$2:$D$823,3,FALSE)</f>
        <v>31838</v>
      </c>
      <c r="S393" s="250" t="str">
        <f>IF($U$7&lt;=Table3236[[#This Row],[Household Income]],IF(Table3236[[#This Row],[Household Income]]&lt;=$U$8, "Yes","No"),"No")</f>
        <v>No</v>
      </c>
    </row>
    <row r="394" spans="1:19" x14ac:dyDescent="0.25">
      <c r="A394" s="183">
        <v>9009361401</v>
      </c>
      <c r="B394" s="39" t="s">
        <v>943</v>
      </c>
      <c r="C394" s="178" t="s">
        <v>936</v>
      </c>
      <c r="D394" s="179">
        <v>22608.335299999999</v>
      </c>
      <c r="E394" s="179">
        <v>0</v>
      </c>
      <c r="F394" s="39">
        <f>Table3236[[#This Row],[Single Family]]+Table3236[[#This Row],[2-4 Units]]+Table3236[[#This Row],[&gt;4 Units]]</f>
        <v>0</v>
      </c>
      <c r="G394" s="39"/>
      <c r="H394" s="39"/>
      <c r="I394" s="39"/>
      <c r="J394" s="132">
        <v>0</v>
      </c>
      <c r="K394" s="39">
        <f>SUM(Table3236[[#This Row],[Single Family ]:[&gt;4 Units ]])</f>
        <v>0</v>
      </c>
      <c r="L394" s="133"/>
      <c r="M394" s="133"/>
      <c r="N394" s="133"/>
      <c r="O394" s="134">
        <v>0</v>
      </c>
      <c r="P394" s="243">
        <f>VLOOKUP(Table3236[[#This Row],[Census Tract]],'Population and Diversity Data'!$B$2:$K$823,10,FALSE)</f>
        <v>5</v>
      </c>
      <c r="Q394" s="244" t="str">
        <f>VLOOKUP(Table3236[[#This Row],[Census Tract]],'UI EnergyBurden'!$A$2:$B$184,2,FALSE)</f>
        <v>No</v>
      </c>
      <c r="R394" s="249">
        <f>VLOOKUP(Table3236[[#This Row],[Census Tract]],'Income and Housing Data'!$B$2:$D$823,3,FALSE)</f>
        <v>31838</v>
      </c>
      <c r="S394" s="250" t="str">
        <f>IF($U$7&lt;=Table3236[[#This Row],[Household Income]],IF(Table3236[[#This Row],[Household Income]]&lt;=$U$8, "Yes","No"),"No")</f>
        <v>No</v>
      </c>
    </row>
    <row r="395" spans="1:19" x14ac:dyDescent="0.25">
      <c r="A395" s="183">
        <v>9009361402</v>
      </c>
      <c r="B395" s="39" t="s">
        <v>3015</v>
      </c>
      <c r="C395" s="178" t="s">
        <v>944</v>
      </c>
      <c r="D395" s="179">
        <v>0</v>
      </c>
      <c r="E395" s="179">
        <v>2918.62</v>
      </c>
      <c r="F395" s="39">
        <f>Table3236[[#This Row],[Single Family]]+Table3236[[#This Row],[2-4 Units]]+Table3236[[#This Row],[&gt;4 Units]]</f>
        <v>0</v>
      </c>
      <c r="G395" s="39"/>
      <c r="H395" s="39"/>
      <c r="I395" s="39"/>
      <c r="J395" s="132">
        <v>0</v>
      </c>
      <c r="K395" s="39">
        <f>SUM(Table3236[[#This Row],[Single Family ]:[&gt;4 Units ]])</f>
        <v>1</v>
      </c>
      <c r="L395" s="133">
        <v>0</v>
      </c>
      <c r="M395" s="133">
        <v>1</v>
      </c>
      <c r="N395" s="133">
        <v>0</v>
      </c>
      <c r="O395" s="134">
        <v>2918.62</v>
      </c>
      <c r="P395" s="243">
        <f>VLOOKUP(Table3236[[#This Row],[Census Tract]],'Population and Diversity Data'!$B$2:$K$823,10,FALSE)</f>
        <v>5</v>
      </c>
      <c r="Q395" s="244" t="str">
        <f>VLOOKUP(Table3236[[#This Row],[Census Tract]],'UI EnergyBurden'!$A$2:$B$184,2,FALSE)</f>
        <v>No</v>
      </c>
      <c r="R395" s="249">
        <f>VLOOKUP(Table3236[[#This Row],[Census Tract]],'Income and Housing Data'!$B$2:$D$823,3,FALSE)</f>
        <v>49375</v>
      </c>
      <c r="S395" s="250" t="str">
        <f>IF($U$7&lt;=Table3236[[#This Row],[Household Income]],IF(Table3236[[#This Row],[Household Income]]&lt;=$U$8, "Yes","No"),"No")</f>
        <v>Yes</v>
      </c>
    </row>
    <row r="396" spans="1:19" x14ac:dyDescent="0.25">
      <c r="A396" s="183">
        <v>9009361402</v>
      </c>
      <c r="B396" s="39" t="s">
        <v>943</v>
      </c>
      <c r="C396" s="178" t="s">
        <v>936</v>
      </c>
      <c r="D396" s="179">
        <v>4781.3608999999997</v>
      </c>
      <c r="E396" s="179">
        <v>0</v>
      </c>
      <c r="F396" s="39">
        <f>Table3236[[#This Row],[Single Family]]+Table3236[[#This Row],[2-4 Units]]+Table3236[[#This Row],[&gt;4 Units]]</f>
        <v>0</v>
      </c>
      <c r="G396" s="39"/>
      <c r="H396" s="39"/>
      <c r="I396" s="39"/>
      <c r="J396" s="132">
        <v>0</v>
      </c>
      <c r="K396" s="39">
        <f>SUM(Table3236[[#This Row],[Single Family ]:[&gt;4 Units ]])</f>
        <v>0</v>
      </c>
      <c r="L396" s="133"/>
      <c r="M396" s="133"/>
      <c r="N396" s="133"/>
      <c r="O396" s="134">
        <v>0</v>
      </c>
      <c r="P396" s="243">
        <f>VLOOKUP(Table3236[[#This Row],[Census Tract]],'Population and Diversity Data'!$B$2:$K$823,10,FALSE)</f>
        <v>5</v>
      </c>
      <c r="Q396" s="244" t="str">
        <f>VLOOKUP(Table3236[[#This Row],[Census Tract]],'UI EnergyBurden'!$A$2:$B$184,2,FALSE)</f>
        <v>No</v>
      </c>
      <c r="R396" s="249">
        <f>VLOOKUP(Table3236[[#This Row],[Census Tract]],'Income and Housing Data'!$B$2:$D$823,3,FALSE)</f>
        <v>49375</v>
      </c>
      <c r="S396" s="250" t="str">
        <f>IF($U$7&lt;=Table3236[[#This Row],[Household Income]],IF(Table3236[[#This Row],[Household Income]]&lt;=$U$8, "Yes","No"),"No")</f>
        <v>Yes</v>
      </c>
    </row>
    <row r="397" spans="1:19" x14ac:dyDescent="0.25">
      <c r="A397" s="183">
        <v>9009361500</v>
      </c>
      <c r="B397" s="39" t="s">
        <v>3024</v>
      </c>
      <c r="C397" s="178" t="s">
        <v>944</v>
      </c>
      <c r="D397" s="179">
        <v>192.12350000000001</v>
      </c>
      <c r="E397" s="179">
        <v>0</v>
      </c>
      <c r="F397" s="39">
        <f>Table3236[[#This Row],[Single Family]]+Table3236[[#This Row],[2-4 Units]]+Table3236[[#This Row],[&gt;4 Units]]</f>
        <v>0</v>
      </c>
      <c r="G397" s="39"/>
      <c r="H397" s="39"/>
      <c r="I397" s="39"/>
      <c r="J397" s="132">
        <v>0</v>
      </c>
      <c r="K397" s="39">
        <f>SUM(Table3236[[#This Row],[Single Family ]:[&gt;4 Units ]])</f>
        <v>0</v>
      </c>
      <c r="L397" s="133"/>
      <c r="M397" s="133"/>
      <c r="N397" s="133"/>
      <c r="O397" s="134">
        <v>0</v>
      </c>
      <c r="P397" s="243">
        <f>VLOOKUP(Table3236[[#This Row],[Census Tract]],'Population and Diversity Data'!$B$2:$K$823,10,FALSE)</f>
        <v>5</v>
      </c>
      <c r="Q397" s="244" t="str">
        <f>VLOOKUP(Table3236[[#This Row],[Census Tract]],'UI EnergyBurden'!$A$2:$B$184,2,FALSE)</f>
        <v>No</v>
      </c>
      <c r="R397" s="249">
        <f>VLOOKUP(Table3236[[#This Row],[Census Tract]],'Income and Housing Data'!$B$2:$D$823,3,FALSE)</f>
        <v>57955</v>
      </c>
      <c r="S397" s="250" t="str">
        <f>IF($U$7&lt;=Table3236[[#This Row],[Household Income]],IF(Table3236[[#This Row],[Household Income]]&lt;=$U$8, "Yes","No"),"No")</f>
        <v>Yes</v>
      </c>
    </row>
    <row r="398" spans="1:19" x14ac:dyDescent="0.25">
      <c r="A398" s="183">
        <v>9009361500</v>
      </c>
      <c r="B398" s="39" t="s">
        <v>950</v>
      </c>
      <c r="C398" s="178" t="s">
        <v>944</v>
      </c>
      <c r="D398" s="179">
        <v>88395.970500000098</v>
      </c>
      <c r="E398" s="179">
        <v>17211.07</v>
      </c>
      <c r="F398" s="39">
        <f>Table3236[[#This Row],[Single Family]]+Table3236[[#This Row],[2-4 Units]]+Table3236[[#This Row],[&gt;4 Units]]</f>
        <v>9</v>
      </c>
      <c r="G398" s="39">
        <v>8</v>
      </c>
      <c r="H398" s="39">
        <v>1</v>
      </c>
      <c r="I398" s="39">
        <v>0</v>
      </c>
      <c r="J398" s="132">
        <v>7639.43</v>
      </c>
      <c r="K398" s="39">
        <f>SUM(Table3236[[#This Row],[Single Family ]:[&gt;4 Units ]])</f>
        <v>11</v>
      </c>
      <c r="L398" s="133">
        <v>6</v>
      </c>
      <c r="M398" s="133">
        <v>5</v>
      </c>
      <c r="N398" s="133">
        <v>0</v>
      </c>
      <c r="O398" s="134">
        <v>9571.64</v>
      </c>
      <c r="P398" s="243">
        <f>VLOOKUP(Table3236[[#This Row],[Census Tract]],'Population and Diversity Data'!$B$2:$K$823,10,FALSE)</f>
        <v>5</v>
      </c>
      <c r="Q398" s="244" t="str">
        <f>VLOOKUP(Table3236[[#This Row],[Census Tract]],'UI EnergyBurden'!$A$2:$B$184,2,FALSE)</f>
        <v>No</v>
      </c>
      <c r="R398" s="249">
        <f>VLOOKUP(Table3236[[#This Row],[Census Tract]],'Income and Housing Data'!$B$2:$D$823,3,FALSE)</f>
        <v>57955</v>
      </c>
      <c r="S398" s="250" t="str">
        <f>IF($U$7&lt;=Table3236[[#This Row],[Household Income]],IF(Table3236[[#This Row],[Household Income]]&lt;=$U$8, "Yes","No"),"No")</f>
        <v>Yes</v>
      </c>
    </row>
    <row r="399" spans="1:19" x14ac:dyDescent="0.25">
      <c r="A399" s="177" t="s">
        <v>3028</v>
      </c>
      <c r="B399" s="39" t="s">
        <v>3007</v>
      </c>
      <c r="C399" s="178" t="s">
        <v>944</v>
      </c>
      <c r="D399" s="179">
        <v>0</v>
      </c>
      <c r="E399" s="179">
        <v>62913.355929077901</v>
      </c>
      <c r="F399" s="39">
        <f>Table3236[[#This Row],[Single Family]]+Table3236[[#This Row],[2-4 Units]]+Table3236[[#This Row],[&gt;4 Units]]</f>
        <v>2</v>
      </c>
      <c r="G399" s="39">
        <v>2</v>
      </c>
      <c r="H399" s="39">
        <v>0</v>
      </c>
      <c r="I399" s="39">
        <v>0</v>
      </c>
      <c r="J399" s="132">
        <v>18452.82</v>
      </c>
      <c r="K399" s="39">
        <f>SUM(Table3236[[#This Row],[Single Family ]:[&gt;4 Units ]])</f>
        <v>0</v>
      </c>
      <c r="L399" s="133"/>
      <c r="M399" s="133"/>
      <c r="N399" s="133"/>
      <c r="O399" s="134">
        <v>0</v>
      </c>
      <c r="P399" s="243" t="e">
        <f>VLOOKUP(Table3236[[#This Row],[Census Tract]],'Population and Diversity Data'!$B$2:$K$823,10,FALSE)</f>
        <v>#N/A</v>
      </c>
      <c r="Q399" s="244" t="s">
        <v>944</v>
      </c>
      <c r="R399" s="249" t="e">
        <f>VLOOKUP(Table3236[[#This Row],[Census Tract]],'Income and Housing Data'!$B$2:$D$823,3,FALSE)</f>
        <v>#N/A</v>
      </c>
      <c r="S399" s="250" t="e">
        <f>IF($U$7&lt;=Table3236[[#This Row],[Household Income]],IF(Table3236[[#This Row],[Household Income]]&lt;=$U$8, "Yes","No"),"No")</f>
        <v>#N/A</v>
      </c>
    </row>
    <row r="400" spans="1:19" x14ac:dyDescent="0.25">
      <c r="A400" s="177" t="s">
        <v>3028</v>
      </c>
      <c r="B400" s="39" t="s">
        <v>3005</v>
      </c>
      <c r="C400" s="178" t="s">
        <v>944</v>
      </c>
      <c r="D400" s="179">
        <v>0</v>
      </c>
      <c r="E400" s="179">
        <v>913038.08950161596</v>
      </c>
      <c r="F400" s="39">
        <f>Table3236[[#This Row],[Single Family]]+Table3236[[#This Row],[2-4 Units]]+Table3236[[#This Row],[&gt;4 Units]]</f>
        <v>0</v>
      </c>
      <c r="G400" s="39"/>
      <c r="H400" s="39"/>
      <c r="I400" s="39"/>
      <c r="J400" s="132">
        <v>133985</v>
      </c>
      <c r="K400" s="39">
        <f>SUM(Table3236[[#This Row],[Single Family ]:[&gt;4 Units ]])</f>
        <v>32</v>
      </c>
      <c r="L400" s="133">
        <v>2</v>
      </c>
      <c r="M400" s="133">
        <v>21</v>
      </c>
      <c r="N400" s="133">
        <v>9</v>
      </c>
      <c r="O400" s="134">
        <v>463431.42</v>
      </c>
      <c r="P400" s="243" t="e">
        <f>VLOOKUP(Table3236[[#This Row],[Census Tract]],'Population and Diversity Data'!$B$2:$K$823,10,FALSE)</f>
        <v>#N/A</v>
      </c>
      <c r="Q400" s="244" t="s">
        <v>944</v>
      </c>
      <c r="R400" s="249" t="e">
        <f>VLOOKUP(Table3236[[#This Row],[Census Tract]],'Income and Housing Data'!$B$2:$D$823,3,FALSE)</f>
        <v>#N/A</v>
      </c>
      <c r="S400" s="250" t="e">
        <f>IF($U$7&lt;=Table3236[[#This Row],[Household Income]],IF(Table3236[[#This Row],[Household Income]]&lt;=$U$8, "Yes","No"),"No")</f>
        <v>#N/A</v>
      </c>
    </row>
    <row r="401" spans="1:19" x14ac:dyDescent="0.25">
      <c r="A401" s="177" t="s">
        <v>3028</v>
      </c>
      <c r="B401" s="39" t="s">
        <v>3013</v>
      </c>
      <c r="C401" s="178" t="s">
        <v>944</v>
      </c>
      <c r="D401" s="179">
        <v>0</v>
      </c>
      <c r="E401" s="179">
        <v>41045.884946403101</v>
      </c>
      <c r="F401" s="39">
        <f>Table3236[[#This Row],[Single Family]]+Table3236[[#This Row],[2-4 Units]]+Table3236[[#This Row],[&gt;4 Units]]</f>
        <v>1</v>
      </c>
      <c r="G401" s="39">
        <v>0</v>
      </c>
      <c r="H401" s="39">
        <v>1</v>
      </c>
      <c r="I401" s="39">
        <v>0</v>
      </c>
      <c r="J401" s="132">
        <v>9405.74</v>
      </c>
      <c r="K401" s="39">
        <f>SUM(Table3236[[#This Row],[Single Family ]:[&gt;4 Units ]])</f>
        <v>0</v>
      </c>
      <c r="L401" s="133"/>
      <c r="M401" s="133"/>
      <c r="N401" s="133"/>
      <c r="O401" s="134">
        <v>0</v>
      </c>
      <c r="P401" s="243" t="e">
        <f>VLOOKUP(Table3236[[#This Row],[Census Tract]],'Population and Diversity Data'!$B$2:$K$823,10,FALSE)</f>
        <v>#N/A</v>
      </c>
      <c r="Q401" s="244" t="s">
        <v>944</v>
      </c>
      <c r="R401" s="249" t="e">
        <f>VLOOKUP(Table3236[[#This Row],[Census Tract]],'Income and Housing Data'!$B$2:$D$823,3,FALSE)</f>
        <v>#N/A</v>
      </c>
      <c r="S401" s="250" t="e">
        <f>IF($U$7&lt;=Table3236[[#This Row],[Household Income]],IF(Table3236[[#This Row],[Household Income]]&lt;=$U$8, "Yes","No"),"No")</f>
        <v>#N/A</v>
      </c>
    </row>
    <row r="402" spans="1:19" x14ac:dyDescent="0.25">
      <c r="A402" s="177" t="s">
        <v>3028</v>
      </c>
      <c r="B402" s="39" t="s">
        <v>3016</v>
      </c>
      <c r="C402" s="178" t="s">
        <v>944</v>
      </c>
      <c r="D402" s="179">
        <v>0</v>
      </c>
      <c r="E402" s="179">
        <v>142818.13116241901</v>
      </c>
      <c r="F402" s="39">
        <f>Table3236[[#This Row],[Single Family]]+Table3236[[#This Row],[2-4 Units]]+Table3236[[#This Row],[&gt;4 Units]]</f>
        <v>1</v>
      </c>
      <c r="G402" s="39">
        <v>1</v>
      </c>
      <c r="H402" s="39">
        <v>0</v>
      </c>
      <c r="I402" s="39">
        <v>0</v>
      </c>
      <c r="J402" s="132">
        <v>47406.42</v>
      </c>
      <c r="K402" s="39">
        <f>SUM(Table3236[[#This Row],[Single Family ]:[&gt;4 Units ]])</f>
        <v>1</v>
      </c>
      <c r="L402" s="133">
        <v>0</v>
      </c>
      <c r="M402" s="133">
        <v>0</v>
      </c>
      <c r="N402" s="133">
        <v>1</v>
      </c>
      <c r="O402" s="134">
        <v>25741.64</v>
      </c>
      <c r="P402" s="243" t="e">
        <f>VLOOKUP(Table3236[[#This Row],[Census Tract]],'Population and Diversity Data'!$B$2:$K$823,10,FALSE)</f>
        <v>#N/A</v>
      </c>
      <c r="Q402" s="244" t="s">
        <v>944</v>
      </c>
      <c r="R402" s="249" t="e">
        <f>VLOOKUP(Table3236[[#This Row],[Census Tract]],'Income and Housing Data'!$B$2:$D$823,3,FALSE)</f>
        <v>#N/A</v>
      </c>
      <c r="S402" s="250" t="e">
        <f>IF($U$7&lt;=Table3236[[#This Row],[Household Income]],IF(Table3236[[#This Row],[Household Income]]&lt;=$U$8, "Yes","No"),"No")</f>
        <v>#N/A</v>
      </c>
    </row>
    <row r="403" spans="1:19" x14ac:dyDescent="0.25">
      <c r="A403" s="177" t="s">
        <v>3028</v>
      </c>
      <c r="B403" s="39" t="s">
        <v>3029</v>
      </c>
      <c r="C403" s="178" t="s">
        <v>944</v>
      </c>
      <c r="D403" s="179">
        <v>0</v>
      </c>
      <c r="E403" s="179">
        <v>21832.469643990698</v>
      </c>
      <c r="F403" s="39">
        <f>Table3236[[#This Row],[Single Family]]+Table3236[[#This Row],[2-4 Units]]+Table3236[[#This Row],[&gt;4 Units]]</f>
        <v>0</v>
      </c>
      <c r="G403" s="39"/>
      <c r="H403" s="39"/>
      <c r="I403" s="39"/>
      <c r="J403" s="132">
        <v>6680</v>
      </c>
      <c r="K403" s="39">
        <f>SUM(Table3236[[#This Row],[Single Family ]:[&gt;4 Units ]])</f>
        <v>0</v>
      </c>
      <c r="L403" s="133"/>
      <c r="M403" s="133"/>
      <c r="N403" s="133"/>
      <c r="O403" s="134">
        <v>0</v>
      </c>
      <c r="P403" s="243" t="e">
        <f>VLOOKUP(Table3236[[#This Row],[Census Tract]],'Population and Diversity Data'!$B$2:$K$823,10,FALSE)</f>
        <v>#N/A</v>
      </c>
      <c r="Q403" s="244" t="s">
        <v>944</v>
      </c>
      <c r="R403" s="249" t="e">
        <f>VLOOKUP(Table3236[[#This Row],[Census Tract]],'Income and Housing Data'!$B$2:$D$823,3,FALSE)</f>
        <v>#N/A</v>
      </c>
      <c r="S403" s="250" t="e">
        <f>IF($U$7&lt;=Table3236[[#This Row],[Household Income]],IF(Table3236[[#This Row],[Household Income]]&lt;=$U$8, "Yes","No"),"No")</f>
        <v>#N/A</v>
      </c>
    </row>
    <row r="404" spans="1:19" x14ac:dyDescent="0.25">
      <c r="A404" s="177" t="s">
        <v>3028</v>
      </c>
      <c r="B404" s="39" t="s">
        <v>2985</v>
      </c>
      <c r="C404" s="178" t="s">
        <v>944</v>
      </c>
      <c r="D404" s="179">
        <v>0</v>
      </c>
      <c r="E404" s="179">
        <v>253603.43658669299</v>
      </c>
      <c r="F404" s="39">
        <f>Table3236[[#This Row],[Single Family]]+Table3236[[#This Row],[2-4 Units]]+Table3236[[#This Row],[&gt;4 Units]]</f>
        <v>3</v>
      </c>
      <c r="G404" s="39">
        <v>3</v>
      </c>
      <c r="H404" s="39">
        <v>0</v>
      </c>
      <c r="I404" s="39">
        <v>0</v>
      </c>
      <c r="J404" s="132">
        <v>107859.46</v>
      </c>
      <c r="K404" s="39">
        <f>SUM(Table3236[[#This Row],[Single Family ]:[&gt;4 Units ]])</f>
        <v>1</v>
      </c>
      <c r="L404" s="133">
        <v>0</v>
      </c>
      <c r="M404" s="133">
        <v>1</v>
      </c>
      <c r="N404" s="133">
        <v>0</v>
      </c>
      <c r="O404" s="134">
        <v>14.01</v>
      </c>
      <c r="P404" s="243" t="e">
        <f>VLOOKUP(Table3236[[#This Row],[Census Tract]],'Population and Diversity Data'!$B$2:$K$823,10,FALSE)</f>
        <v>#N/A</v>
      </c>
      <c r="Q404" s="244" t="s">
        <v>944</v>
      </c>
      <c r="R404" s="249" t="e">
        <f>VLOOKUP(Table3236[[#This Row],[Census Tract]],'Income and Housing Data'!$B$2:$D$823,3,FALSE)</f>
        <v>#N/A</v>
      </c>
      <c r="S404" s="250" t="e">
        <f>IF($U$7&lt;=Table3236[[#This Row],[Household Income]],IF(Table3236[[#This Row],[Household Income]]&lt;=$U$8, "Yes","No"),"No")</f>
        <v>#N/A</v>
      </c>
    </row>
    <row r="405" spans="1:19" x14ac:dyDescent="0.25">
      <c r="A405" s="177" t="s">
        <v>3028</v>
      </c>
      <c r="B405" s="39" t="s">
        <v>3017</v>
      </c>
      <c r="C405" s="178" t="s">
        <v>944</v>
      </c>
      <c r="D405" s="179">
        <v>0</v>
      </c>
      <c r="E405" s="179">
        <v>207187.97852310099</v>
      </c>
      <c r="F405" s="39">
        <f>Table3236[[#This Row],[Single Family]]+Table3236[[#This Row],[2-4 Units]]+Table3236[[#This Row],[&gt;4 Units]]</f>
        <v>1</v>
      </c>
      <c r="G405" s="39">
        <v>1</v>
      </c>
      <c r="H405" s="39">
        <v>0</v>
      </c>
      <c r="I405" s="39">
        <v>0</v>
      </c>
      <c r="J405" s="132">
        <v>61683.06</v>
      </c>
      <c r="K405" s="39">
        <f>SUM(Table3236[[#This Row],[Single Family ]:[&gt;4 Units ]])</f>
        <v>1</v>
      </c>
      <c r="L405" s="133">
        <v>0</v>
      </c>
      <c r="M405" s="133">
        <v>0</v>
      </c>
      <c r="N405" s="133">
        <v>1</v>
      </c>
      <c r="O405" s="134">
        <v>9162.9</v>
      </c>
      <c r="P405" s="243" t="e">
        <f>VLOOKUP(Table3236[[#This Row],[Census Tract]],'Population and Diversity Data'!$B$2:$K$823,10,FALSE)</f>
        <v>#N/A</v>
      </c>
      <c r="Q405" s="244" t="s">
        <v>944</v>
      </c>
      <c r="R405" s="249" t="e">
        <f>VLOOKUP(Table3236[[#This Row],[Census Tract]],'Income and Housing Data'!$B$2:$D$823,3,FALSE)</f>
        <v>#N/A</v>
      </c>
      <c r="S405" s="250" t="e">
        <f>IF($U$7&lt;=Table3236[[#This Row],[Household Income]],IF(Table3236[[#This Row],[Household Income]]&lt;=$U$8, "Yes","No"),"No")</f>
        <v>#N/A</v>
      </c>
    </row>
    <row r="406" spans="1:19" x14ac:dyDescent="0.25">
      <c r="A406" s="177" t="s">
        <v>3028</v>
      </c>
      <c r="B406" s="39" t="s">
        <v>3018</v>
      </c>
      <c r="C406" s="178" t="s">
        <v>944</v>
      </c>
      <c r="D406" s="179">
        <v>0</v>
      </c>
      <c r="E406" s="179">
        <v>289565.00002887001</v>
      </c>
      <c r="F406" s="39">
        <f>Table3236[[#This Row],[Single Family]]+Table3236[[#This Row],[2-4 Units]]+Table3236[[#This Row],[&gt;4 Units]]</f>
        <v>1</v>
      </c>
      <c r="G406" s="39">
        <v>1</v>
      </c>
      <c r="H406" s="39">
        <v>0</v>
      </c>
      <c r="I406" s="39">
        <v>0</v>
      </c>
      <c r="J406" s="132">
        <v>91350.28</v>
      </c>
      <c r="K406" s="39">
        <f>SUM(Table3236[[#This Row],[Single Family ]:[&gt;4 Units ]])</f>
        <v>1</v>
      </c>
      <c r="L406" s="133">
        <v>1</v>
      </c>
      <c r="M406" s="133">
        <v>0</v>
      </c>
      <c r="N406" s="133">
        <v>0</v>
      </c>
      <c r="O406" s="134">
        <v>392.27</v>
      </c>
      <c r="P406" s="243" t="e">
        <f>VLOOKUP(Table3236[[#This Row],[Census Tract]],'Population and Diversity Data'!$B$2:$K$823,10,FALSE)</f>
        <v>#N/A</v>
      </c>
      <c r="Q406" s="244" t="s">
        <v>944</v>
      </c>
      <c r="R406" s="249" t="e">
        <f>VLOOKUP(Table3236[[#This Row],[Census Tract]],'Income and Housing Data'!$B$2:$D$823,3,FALSE)</f>
        <v>#N/A</v>
      </c>
      <c r="S406" s="250" t="e">
        <f>IF($U$7&lt;=Table3236[[#This Row],[Household Income]],IF(Table3236[[#This Row],[Household Income]]&lt;=$U$8, "Yes","No"),"No")</f>
        <v>#N/A</v>
      </c>
    </row>
    <row r="407" spans="1:19" x14ac:dyDescent="0.25">
      <c r="A407" s="177" t="s">
        <v>3028</v>
      </c>
      <c r="B407" s="39" t="s">
        <v>3015</v>
      </c>
      <c r="C407" s="178" t="s">
        <v>944</v>
      </c>
      <c r="D407" s="179">
        <v>0</v>
      </c>
      <c r="E407" s="179">
        <v>540039.09776377899</v>
      </c>
      <c r="F407" s="39">
        <f>Table3236[[#This Row],[Single Family]]+Table3236[[#This Row],[2-4 Units]]+Table3236[[#This Row],[&gt;4 Units]]</f>
        <v>10</v>
      </c>
      <c r="G407" s="39">
        <v>5</v>
      </c>
      <c r="H407" s="39">
        <v>5</v>
      </c>
      <c r="I407" s="39">
        <v>0</v>
      </c>
      <c r="J407" s="132">
        <v>146861.18</v>
      </c>
      <c r="K407" s="39">
        <f>SUM(Table3236[[#This Row],[Single Family ]:[&gt;4 Units ]])</f>
        <v>11</v>
      </c>
      <c r="L407" s="133">
        <v>2</v>
      </c>
      <c r="M407" s="133">
        <v>7</v>
      </c>
      <c r="N407" s="133">
        <v>2</v>
      </c>
      <c r="O407" s="134">
        <v>19982.87</v>
      </c>
      <c r="P407" s="243" t="e">
        <f>VLOOKUP(Table3236[[#This Row],[Census Tract]],'Population and Diversity Data'!$B$2:$K$823,10,FALSE)</f>
        <v>#N/A</v>
      </c>
      <c r="Q407" s="244" t="s">
        <v>944</v>
      </c>
      <c r="R407" s="249" t="e">
        <f>VLOOKUP(Table3236[[#This Row],[Census Tract]],'Income and Housing Data'!$B$2:$D$823,3,FALSE)</f>
        <v>#N/A</v>
      </c>
      <c r="S407" s="250" t="e">
        <f>IF($U$7&lt;=Table3236[[#This Row],[Household Income]],IF(Table3236[[#This Row],[Household Income]]&lt;=$U$8, "Yes","No"),"No")</f>
        <v>#N/A</v>
      </c>
    </row>
    <row r="408" spans="1:19" x14ac:dyDescent="0.25">
      <c r="A408" s="177" t="s">
        <v>3028</v>
      </c>
      <c r="B408" s="39" t="s">
        <v>2968</v>
      </c>
      <c r="C408" s="178" t="s">
        <v>944</v>
      </c>
      <c r="D408" s="179">
        <v>0</v>
      </c>
      <c r="E408" s="179">
        <v>38853.272233997202</v>
      </c>
      <c r="F408" s="39">
        <f>Table3236[[#This Row],[Single Family]]+Table3236[[#This Row],[2-4 Units]]+Table3236[[#This Row],[&gt;4 Units]]</f>
        <v>0</v>
      </c>
      <c r="G408" s="39"/>
      <c r="H408" s="39"/>
      <c r="I408" s="39"/>
      <c r="J408" s="132">
        <v>8355</v>
      </c>
      <c r="K408" s="39">
        <f>SUM(Table3236[[#This Row],[Single Family ]:[&gt;4 Units ]])</f>
        <v>0</v>
      </c>
      <c r="L408" s="133"/>
      <c r="M408" s="133"/>
      <c r="N408" s="133"/>
      <c r="O408" s="134">
        <v>0</v>
      </c>
      <c r="P408" s="243" t="e">
        <f>VLOOKUP(Table3236[[#This Row],[Census Tract]],'Population and Diversity Data'!$B$2:$K$823,10,FALSE)</f>
        <v>#N/A</v>
      </c>
      <c r="Q408" s="244" t="s">
        <v>944</v>
      </c>
      <c r="R408" s="249" t="e">
        <f>VLOOKUP(Table3236[[#This Row],[Census Tract]],'Income and Housing Data'!$B$2:$D$823,3,FALSE)</f>
        <v>#N/A</v>
      </c>
      <c r="S408" s="250" t="e">
        <f>IF($U$7&lt;=Table3236[[#This Row],[Household Income]],IF(Table3236[[#This Row],[Household Income]]&lt;=$U$8, "Yes","No"),"No")</f>
        <v>#N/A</v>
      </c>
    </row>
    <row r="409" spans="1:19" x14ac:dyDescent="0.25">
      <c r="A409" s="177" t="s">
        <v>3028</v>
      </c>
      <c r="B409" s="39" t="s">
        <v>3019</v>
      </c>
      <c r="C409" s="178" t="s">
        <v>944</v>
      </c>
      <c r="D409" s="179">
        <v>0</v>
      </c>
      <c r="E409" s="179">
        <v>92942.518629290498</v>
      </c>
      <c r="F409" s="39">
        <f>Table3236[[#This Row],[Single Family]]+Table3236[[#This Row],[2-4 Units]]+Table3236[[#This Row],[&gt;4 Units]]</f>
        <v>1</v>
      </c>
      <c r="G409" s="39">
        <v>1</v>
      </c>
      <c r="H409" s="39">
        <v>0</v>
      </c>
      <c r="I409" s="39">
        <v>0</v>
      </c>
      <c r="J409" s="132">
        <v>39014.71</v>
      </c>
      <c r="K409" s="39">
        <f>SUM(Table3236[[#This Row],[Single Family ]:[&gt;4 Units ]])</f>
        <v>0</v>
      </c>
      <c r="L409" s="133"/>
      <c r="M409" s="133"/>
      <c r="N409" s="133"/>
      <c r="O409" s="134">
        <v>0</v>
      </c>
      <c r="P409" s="243" t="e">
        <f>VLOOKUP(Table3236[[#This Row],[Census Tract]],'Population and Diversity Data'!$B$2:$K$823,10,FALSE)</f>
        <v>#N/A</v>
      </c>
      <c r="Q409" s="244" t="s">
        <v>944</v>
      </c>
      <c r="R409" s="249" t="e">
        <f>VLOOKUP(Table3236[[#This Row],[Census Tract]],'Income and Housing Data'!$B$2:$D$823,3,FALSE)</f>
        <v>#N/A</v>
      </c>
      <c r="S409" s="250" t="e">
        <f>IF($U$7&lt;=Table3236[[#This Row],[Household Income]],IF(Table3236[[#This Row],[Household Income]]&lt;=$U$8, "Yes","No"),"No")</f>
        <v>#N/A</v>
      </c>
    </row>
    <row r="410" spans="1:19" x14ac:dyDescent="0.25">
      <c r="A410" s="177" t="s">
        <v>3028</v>
      </c>
      <c r="B410" s="39" t="s">
        <v>3020</v>
      </c>
      <c r="C410" s="178" t="s">
        <v>944</v>
      </c>
      <c r="D410" s="179">
        <v>0</v>
      </c>
      <c r="E410" s="179">
        <v>212361.382322363</v>
      </c>
      <c r="F410" s="39">
        <f>Table3236[[#This Row],[Single Family]]+Table3236[[#This Row],[2-4 Units]]+Table3236[[#This Row],[&gt;4 Units]]</f>
        <v>1</v>
      </c>
      <c r="G410" s="39">
        <v>1</v>
      </c>
      <c r="H410" s="39">
        <v>0</v>
      </c>
      <c r="I410" s="39">
        <v>0</v>
      </c>
      <c r="J410" s="132">
        <v>99042.95</v>
      </c>
      <c r="K410" s="39">
        <f>SUM(Table3236[[#This Row],[Single Family ]:[&gt;4 Units ]])</f>
        <v>1</v>
      </c>
      <c r="L410" s="133">
        <v>1</v>
      </c>
      <c r="M410" s="133">
        <v>0</v>
      </c>
      <c r="N410" s="133">
        <v>0</v>
      </c>
      <c r="O410" s="134">
        <v>0</v>
      </c>
      <c r="P410" s="243" t="e">
        <f>VLOOKUP(Table3236[[#This Row],[Census Tract]],'Population and Diversity Data'!$B$2:$K$823,10,FALSE)</f>
        <v>#N/A</v>
      </c>
      <c r="Q410" s="244" t="s">
        <v>944</v>
      </c>
      <c r="R410" s="249" t="e">
        <f>VLOOKUP(Table3236[[#This Row],[Census Tract]],'Income and Housing Data'!$B$2:$D$823,3,FALSE)</f>
        <v>#N/A</v>
      </c>
      <c r="S410" s="250" t="e">
        <f>IF($U$7&lt;=Table3236[[#This Row],[Household Income]],IF(Table3236[[#This Row],[Household Income]]&lt;=$U$8, "Yes","No"),"No")</f>
        <v>#N/A</v>
      </c>
    </row>
    <row r="411" spans="1:19" x14ac:dyDescent="0.25">
      <c r="A411" s="177" t="s">
        <v>3028</v>
      </c>
      <c r="B411" s="39" t="s">
        <v>3021</v>
      </c>
      <c r="C411" s="178" t="s">
        <v>944</v>
      </c>
      <c r="D411" s="179">
        <v>0</v>
      </c>
      <c r="E411" s="179">
        <v>140475.628274285</v>
      </c>
      <c r="F411" s="39">
        <f>Table3236[[#This Row],[Single Family]]+Table3236[[#This Row],[2-4 Units]]+Table3236[[#This Row],[&gt;4 Units]]</f>
        <v>2</v>
      </c>
      <c r="G411" s="39">
        <v>2</v>
      </c>
      <c r="H411" s="39">
        <v>0</v>
      </c>
      <c r="I411" s="39">
        <v>0</v>
      </c>
      <c r="J411" s="132">
        <v>50461.43</v>
      </c>
      <c r="K411" s="39">
        <f>SUM(Table3236[[#This Row],[Single Family ]:[&gt;4 Units ]])</f>
        <v>0</v>
      </c>
      <c r="L411" s="133"/>
      <c r="M411" s="133"/>
      <c r="N411" s="133"/>
      <c r="O411" s="134">
        <v>0</v>
      </c>
      <c r="P411" s="243" t="e">
        <f>VLOOKUP(Table3236[[#This Row],[Census Tract]],'Population and Diversity Data'!$B$2:$K$823,10,FALSE)</f>
        <v>#N/A</v>
      </c>
      <c r="Q411" s="244" t="s">
        <v>944</v>
      </c>
      <c r="R411" s="249" t="e">
        <f>VLOOKUP(Table3236[[#This Row],[Census Tract]],'Income and Housing Data'!$B$2:$D$823,3,FALSE)</f>
        <v>#N/A</v>
      </c>
      <c r="S411" s="250" t="e">
        <f>IF($U$7&lt;=Table3236[[#This Row],[Household Income]],IF(Table3236[[#This Row],[Household Income]]&lt;=$U$8, "Yes","No"),"No")</f>
        <v>#N/A</v>
      </c>
    </row>
    <row r="412" spans="1:19" x14ac:dyDescent="0.25">
      <c r="A412" s="177" t="s">
        <v>3028</v>
      </c>
      <c r="B412" s="39" t="s">
        <v>956</v>
      </c>
      <c r="C412" s="178" t="s">
        <v>944</v>
      </c>
      <c r="D412" s="179">
        <v>0</v>
      </c>
      <c r="E412" s="179">
        <v>189956.43335628501</v>
      </c>
      <c r="F412" s="39">
        <f>Table3236[[#This Row],[Single Family]]+Table3236[[#This Row],[2-4 Units]]+Table3236[[#This Row],[&gt;4 Units]]</f>
        <v>0</v>
      </c>
      <c r="G412" s="39"/>
      <c r="H412" s="39"/>
      <c r="I412" s="39"/>
      <c r="J412" s="132">
        <v>73435</v>
      </c>
      <c r="K412" s="39">
        <f>SUM(Table3236[[#This Row],[Single Family ]:[&gt;4 Units ]])</f>
        <v>2</v>
      </c>
      <c r="L412" s="133">
        <v>1</v>
      </c>
      <c r="M412" s="133">
        <v>1</v>
      </c>
      <c r="N412" s="133">
        <v>0</v>
      </c>
      <c r="O412" s="134">
        <v>62.5</v>
      </c>
      <c r="P412" s="243" t="e">
        <f>VLOOKUP(Table3236[[#This Row],[Census Tract]],'Population and Diversity Data'!$B$2:$K$823,10,FALSE)</f>
        <v>#N/A</v>
      </c>
      <c r="Q412" s="244" t="s">
        <v>944</v>
      </c>
      <c r="R412" s="249" t="e">
        <f>VLOOKUP(Table3236[[#This Row],[Census Tract]],'Income and Housing Data'!$B$2:$D$823,3,FALSE)</f>
        <v>#N/A</v>
      </c>
      <c r="S412" s="250" t="e">
        <f>IF($U$7&lt;=Table3236[[#This Row],[Household Income]],IF(Table3236[[#This Row],[Household Income]]&lt;=$U$8, "Yes","No"),"No")</f>
        <v>#N/A</v>
      </c>
    </row>
    <row r="413" spans="1:19" x14ac:dyDescent="0.25">
      <c r="A413" s="177" t="s">
        <v>3028</v>
      </c>
      <c r="B413" s="39" t="s">
        <v>3006</v>
      </c>
      <c r="C413" s="178" t="s">
        <v>944</v>
      </c>
      <c r="D413" s="179">
        <v>0</v>
      </c>
      <c r="E413" s="179">
        <v>113161.117743087</v>
      </c>
      <c r="F413" s="39">
        <f>Table3236[[#This Row],[Single Family]]+Table3236[[#This Row],[2-4 Units]]+Table3236[[#This Row],[&gt;4 Units]]</f>
        <v>0</v>
      </c>
      <c r="G413" s="39"/>
      <c r="H413" s="39"/>
      <c r="I413" s="39"/>
      <c r="J413" s="132">
        <v>38705</v>
      </c>
      <c r="K413" s="39">
        <f>SUM(Table3236[[#This Row],[Single Family ]:[&gt;4 Units ]])</f>
        <v>1</v>
      </c>
      <c r="L413" s="133">
        <v>1</v>
      </c>
      <c r="M413" s="133">
        <v>0</v>
      </c>
      <c r="N413" s="133">
        <v>0</v>
      </c>
      <c r="O413" s="134">
        <v>119.6</v>
      </c>
      <c r="P413" s="243" t="e">
        <f>VLOOKUP(Table3236[[#This Row],[Census Tract]],'Population and Diversity Data'!$B$2:$K$823,10,FALSE)</f>
        <v>#N/A</v>
      </c>
      <c r="Q413" s="244" t="s">
        <v>944</v>
      </c>
      <c r="R413" s="249" t="e">
        <f>VLOOKUP(Table3236[[#This Row],[Census Tract]],'Income and Housing Data'!$B$2:$D$823,3,FALSE)</f>
        <v>#N/A</v>
      </c>
      <c r="S413" s="250" t="e">
        <f>IF($U$7&lt;=Table3236[[#This Row],[Household Income]],IF(Table3236[[#This Row],[Household Income]]&lt;=$U$8, "Yes","No"),"No")</f>
        <v>#N/A</v>
      </c>
    </row>
    <row r="414" spans="1:19" x14ac:dyDescent="0.25">
      <c r="A414" s="177" t="s">
        <v>3028</v>
      </c>
      <c r="B414" s="39" t="s">
        <v>3023</v>
      </c>
      <c r="C414" s="178" t="s">
        <v>944</v>
      </c>
      <c r="D414" s="179">
        <v>0</v>
      </c>
      <c r="E414" s="179">
        <v>196062.24219178699</v>
      </c>
      <c r="F414" s="39">
        <f>Table3236[[#This Row],[Single Family]]+Table3236[[#This Row],[2-4 Units]]+Table3236[[#This Row],[&gt;4 Units]]</f>
        <v>0</v>
      </c>
      <c r="G414" s="39"/>
      <c r="H414" s="39"/>
      <c r="I414" s="39"/>
      <c r="J414" s="132">
        <v>67375</v>
      </c>
      <c r="K414" s="39">
        <f>SUM(Table3236[[#This Row],[Single Family ]:[&gt;4 Units ]])</f>
        <v>0</v>
      </c>
      <c r="L414" s="133"/>
      <c r="M414" s="133"/>
      <c r="N414" s="133"/>
      <c r="O414" s="134">
        <v>0</v>
      </c>
      <c r="P414" s="243" t="e">
        <f>VLOOKUP(Table3236[[#This Row],[Census Tract]],'Population and Diversity Data'!$B$2:$K$823,10,FALSE)</f>
        <v>#N/A</v>
      </c>
      <c r="Q414" s="244" t="s">
        <v>944</v>
      </c>
      <c r="R414" s="249" t="e">
        <f>VLOOKUP(Table3236[[#This Row],[Census Tract]],'Income and Housing Data'!$B$2:$D$823,3,FALSE)</f>
        <v>#N/A</v>
      </c>
      <c r="S414" s="250" t="e">
        <f>IF($U$7&lt;=Table3236[[#This Row],[Household Income]],IF(Table3236[[#This Row],[Household Income]]&lt;=$U$8, "Yes","No"),"No")</f>
        <v>#N/A</v>
      </c>
    </row>
    <row r="415" spans="1:19" x14ac:dyDescent="0.25">
      <c r="A415" s="177" t="s">
        <v>3028</v>
      </c>
      <c r="B415" s="39" t="s">
        <v>2969</v>
      </c>
      <c r="C415" s="178" t="s">
        <v>944</v>
      </c>
      <c r="D415" s="179">
        <v>0</v>
      </c>
      <c r="E415" s="179">
        <v>21933.9211629567</v>
      </c>
      <c r="F415" s="39"/>
      <c r="G415" s="39"/>
      <c r="H415" s="39"/>
      <c r="I415" s="39"/>
      <c r="J415" s="132">
        <v>3380</v>
      </c>
      <c r="K415" s="39"/>
      <c r="L415" s="133"/>
      <c r="M415" s="133"/>
      <c r="N415" s="133"/>
      <c r="O415" s="134">
        <v>0</v>
      </c>
      <c r="P415" s="243" t="e">
        <f>VLOOKUP(Table3236[[#This Row],[Census Tract]],'Population and Diversity Data'!$B$2:$K$823,10,FALSE)</f>
        <v>#N/A</v>
      </c>
      <c r="Q415" s="244" t="s">
        <v>944</v>
      </c>
      <c r="R415" s="249" t="e">
        <f>VLOOKUP(Table3236[[#This Row],[Census Tract]],'Income and Housing Data'!$B$2:$D$823,3,FALSE)</f>
        <v>#N/A</v>
      </c>
      <c r="S415" s="250" t="e">
        <f>IF($U$7&lt;=Table3236[[#This Row],[Household Income]],IF(Table3236[[#This Row],[Household Income]]&lt;=$U$8, "Yes","No"),"No")</f>
        <v>#N/A</v>
      </c>
    </row>
    <row r="416" spans="1:19" x14ac:dyDescent="0.25">
      <c r="A416" s="177"/>
      <c r="B416" s="39"/>
      <c r="C416" s="180"/>
      <c r="D416" s="179"/>
      <c r="E416" s="179"/>
      <c r="F416" s="39"/>
      <c r="G416" s="39"/>
      <c r="H416" s="39"/>
      <c r="I416" s="39"/>
      <c r="J416" s="132"/>
      <c r="K416" s="39"/>
      <c r="L416" s="133"/>
      <c r="M416" s="133"/>
      <c r="N416" s="133"/>
      <c r="O416" s="134"/>
      <c r="P416" s="243" t="e">
        <f>VLOOKUP(Table3236[[#This Row],[Census Tract]],'Population and Diversity Data'!$B$2:$K$823,10,FALSE)</f>
        <v>#N/A</v>
      </c>
      <c r="Q416" s="244" t="s">
        <v>944</v>
      </c>
      <c r="R416" s="249" t="e">
        <f>VLOOKUP(Table3236[[#This Row],[Census Tract]],'Income and Housing Data'!$B$2:$D$823,3,FALSE)</f>
        <v>#N/A</v>
      </c>
      <c r="S416" s="250" t="e">
        <f>IF($U$7&lt;=Table3236[[#This Row],[Household Income]],IF(Table3236[[#This Row],[Household Income]]&lt;=$U$8, "Yes","No"),"No")</f>
        <v>#N/A</v>
      </c>
    </row>
    <row r="417" spans="1:19" x14ac:dyDescent="0.25">
      <c r="A417" s="177"/>
      <c r="B417" s="39"/>
      <c r="C417" s="178"/>
      <c r="D417" s="179"/>
      <c r="E417" s="179"/>
      <c r="F417" s="39"/>
      <c r="G417" s="39"/>
      <c r="H417" s="39"/>
      <c r="I417" s="39"/>
      <c r="J417" s="132"/>
      <c r="K417" s="39"/>
      <c r="L417" s="133"/>
      <c r="M417" s="133"/>
      <c r="N417" s="133"/>
      <c r="O417" s="134"/>
      <c r="P417" s="243" t="e">
        <f>VLOOKUP(Table3236[[#This Row],[Census Tract]],'Population and Diversity Data'!$B$2:$K$823,10,FALSE)</f>
        <v>#N/A</v>
      </c>
      <c r="Q417" s="244" t="s">
        <v>944</v>
      </c>
      <c r="R417" s="249" t="e">
        <f>VLOOKUP(Table3236[[#This Row],[Census Tract]],'Income and Housing Data'!$B$2:$D$823,3,FALSE)</f>
        <v>#N/A</v>
      </c>
      <c r="S417" s="250" t="e">
        <f>IF($U$7&lt;=Table3236[[#This Row],[Household Income]],IF(Table3236[[#This Row],[Household Income]]&lt;=$U$8, "Yes","No"),"No")</f>
        <v>#N/A</v>
      </c>
    </row>
    <row r="418" spans="1:19" x14ac:dyDescent="0.25">
      <c r="A418" s="177"/>
      <c r="B418" s="39"/>
      <c r="C418" s="178"/>
      <c r="D418" s="179"/>
      <c r="E418" s="179"/>
      <c r="F418" s="39"/>
      <c r="G418" s="39"/>
      <c r="H418" s="39"/>
      <c r="I418" s="39"/>
      <c r="J418" s="132"/>
      <c r="K418" s="39"/>
      <c r="L418" s="133"/>
      <c r="M418" s="133"/>
      <c r="N418" s="133"/>
      <c r="O418" s="134"/>
      <c r="P418" s="243" t="e">
        <f>VLOOKUP(Table3236[[#This Row],[Census Tract]],'Population and Diversity Data'!$B$2:$K$823,10,FALSE)</f>
        <v>#N/A</v>
      </c>
      <c r="Q418" s="244" t="s">
        <v>944</v>
      </c>
      <c r="R418" s="249" t="e">
        <f>VLOOKUP(Table3236[[#This Row],[Census Tract]],'Income and Housing Data'!$B$2:$D$823,3,FALSE)</f>
        <v>#N/A</v>
      </c>
      <c r="S418" s="250" t="e">
        <f>IF($U$7&lt;=Table3236[[#This Row],[Household Income]],IF(Table3236[[#This Row],[Household Income]]&lt;=$U$8, "Yes","No"),"No")</f>
        <v>#N/A</v>
      </c>
    </row>
    <row r="419" spans="1:19" ht="15.75" thickBot="1" x14ac:dyDescent="0.3">
      <c r="A419" s="119"/>
      <c r="B419" s="120"/>
      <c r="C419" s="121" t="s">
        <v>2877</v>
      </c>
      <c r="D419" s="122">
        <f t="shared" ref="D419:E419" si="0">SUM(D7:D418)</f>
        <v>12129792.9309</v>
      </c>
      <c r="E419" s="124">
        <f t="shared" si="0"/>
        <v>8494544.290000001</v>
      </c>
      <c r="F419" s="181">
        <f t="shared" ref="F419:O419" si="1">SUM(F7:F418)</f>
        <v>2950</v>
      </c>
      <c r="G419" s="120">
        <f t="shared" si="1"/>
        <v>2732</v>
      </c>
      <c r="H419" s="120">
        <f t="shared" si="1"/>
        <v>177</v>
      </c>
      <c r="I419" s="120">
        <f t="shared" si="1"/>
        <v>41</v>
      </c>
      <c r="J419" s="124">
        <f t="shared" si="1"/>
        <v>3161000.9200000009</v>
      </c>
      <c r="K419" s="120">
        <f t="shared" si="1"/>
        <v>1555</v>
      </c>
      <c r="L419" s="182">
        <f t="shared" si="1"/>
        <v>868</v>
      </c>
      <c r="M419" s="182">
        <f t="shared" si="1"/>
        <v>651</v>
      </c>
      <c r="N419" s="182">
        <f t="shared" si="1"/>
        <v>36</v>
      </c>
      <c r="O419" s="122">
        <f t="shared" si="1"/>
        <v>3112583.67</v>
      </c>
      <c r="P419" s="245" t="e">
        <f>VLOOKUP(Table3236[[#This Row],[Census Tract]],'Population and Diversity Data'!$B$2:$K$823,10,FALSE)</f>
        <v>#N/A</v>
      </c>
      <c r="Q419" s="246" t="e">
        <f>VLOOKUP(Table3236[[#This Row],[Census Tract]],'UI EnergyBurden'!$A$2:$B$184,2,FALSE)</f>
        <v>#N/A</v>
      </c>
      <c r="R419" s="251" t="e">
        <f>VLOOKUP(Table3236[[#This Row],[Census Tract]],'Income and Housing Data'!$B$2:$D$823,3,FALSE)</f>
        <v>#N/A</v>
      </c>
      <c r="S419" s="250" t="e">
        <f>IF($U$7&lt;=Table3236[[#This Row],[Household Income]],IF(Table3236[[#This Row],[Household Income]]&lt;=$U$8, "Yes","No"),"No")</f>
        <v>#N/A</v>
      </c>
    </row>
    <row r="420" spans="1:19" x14ac:dyDescent="0.25">
      <c r="D420" s="52">
        <f>SUM(D6:D413)</f>
        <v>12129792.9309</v>
      </c>
    </row>
    <row r="421" spans="1:19" x14ac:dyDescent="0.25">
      <c r="F421">
        <v>2950</v>
      </c>
      <c r="J421" s="257"/>
    </row>
    <row r="422" spans="1:19" x14ac:dyDescent="0.25">
      <c r="F422">
        <v>1555</v>
      </c>
    </row>
    <row r="423" spans="1:19" x14ac:dyDescent="0.25">
      <c r="F423">
        <f>SUM(F421:F422)</f>
        <v>4505</v>
      </c>
    </row>
  </sheetData>
  <mergeCells count="4">
    <mergeCell ref="A5:C5"/>
    <mergeCell ref="D5:E5"/>
    <mergeCell ref="F5:J5"/>
    <mergeCell ref="K5:O5"/>
  </mergeCells>
  <pageMargins left="0.7" right="0.7" top="0.75" bottom="0.75" header="0.3" footer="0.3"/>
  <pageSetup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BE790-4671-417D-99A5-8CB3B071F56A}">
  <sheetPr>
    <tabColor theme="7" tint="0.59999389629810485"/>
  </sheetPr>
  <dimension ref="B1:AD81"/>
  <sheetViews>
    <sheetView topLeftCell="Q1" workbookViewId="0">
      <selection activeCell="AD25" sqref="AD25"/>
    </sheetView>
  </sheetViews>
  <sheetFormatPr defaultRowHeight="15" x14ac:dyDescent="0.25"/>
  <cols>
    <col min="2" max="2" width="19.42578125" bestFit="1" customWidth="1"/>
    <col min="7" max="7" width="18.7109375" customWidth="1"/>
    <col min="9" max="9" width="10.85546875" customWidth="1"/>
    <col min="15" max="15" width="14.28515625" bestFit="1" customWidth="1"/>
    <col min="19" max="20" width="12.7109375" bestFit="1" customWidth="1"/>
    <col min="21" max="21" width="11.5703125" bestFit="1" customWidth="1"/>
    <col min="22" max="23" width="11.140625" bestFit="1" customWidth="1"/>
    <col min="26" max="26" width="12.7109375" bestFit="1" customWidth="1"/>
    <col min="28" max="28" width="11.5703125" bestFit="1" customWidth="1"/>
    <col min="29" max="30" width="11.140625" bestFit="1" customWidth="1"/>
  </cols>
  <sheetData>
    <row r="1" spans="2:30" x14ac:dyDescent="0.25">
      <c r="R1" t="s">
        <v>925</v>
      </c>
      <c r="S1" t="s">
        <v>934</v>
      </c>
      <c r="T1" t="s">
        <v>943</v>
      </c>
      <c r="U1" t="s">
        <v>950</v>
      </c>
      <c r="V1" t="s">
        <v>953</v>
      </c>
      <c r="W1" t="s">
        <v>956</v>
      </c>
      <c r="Y1" t="s">
        <v>959</v>
      </c>
      <c r="Z1" t="s">
        <v>934</v>
      </c>
      <c r="AA1" t="s">
        <v>943</v>
      </c>
      <c r="AB1" t="s">
        <v>950</v>
      </c>
      <c r="AC1" t="s">
        <v>953</v>
      </c>
      <c r="AD1" t="s">
        <v>956</v>
      </c>
    </row>
    <row r="2" spans="2:30" x14ac:dyDescent="0.25">
      <c r="B2" t="s">
        <v>3031</v>
      </c>
      <c r="S2" s="208">
        <v>0</v>
      </c>
      <c r="T2" s="208">
        <v>0</v>
      </c>
      <c r="U2" s="208">
        <v>0</v>
      </c>
      <c r="V2" s="208">
        <v>0</v>
      </c>
      <c r="W2" s="208">
        <v>50.864100000000001</v>
      </c>
      <c r="Z2" s="208">
        <v>0</v>
      </c>
      <c r="AA2">
        <v>370.41</v>
      </c>
      <c r="AB2" s="208">
        <v>350</v>
      </c>
      <c r="AC2" s="208">
        <v>155</v>
      </c>
      <c r="AD2" s="208">
        <v>0</v>
      </c>
    </row>
    <row r="3" spans="2:30" x14ac:dyDescent="0.25">
      <c r="B3" s="11" t="s">
        <v>923</v>
      </c>
      <c r="C3" s="205">
        <v>43466</v>
      </c>
      <c r="D3" s="205">
        <v>43497</v>
      </c>
      <c r="E3" s="205">
        <v>43525</v>
      </c>
      <c r="F3" s="205">
        <v>43556</v>
      </c>
      <c r="G3" s="205">
        <v>43586</v>
      </c>
      <c r="H3" s="205">
        <v>43617</v>
      </c>
      <c r="I3" s="205">
        <v>43647</v>
      </c>
      <c r="J3" s="205">
        <v>43678</v>
      </c>
      <c r="K3" s="205">
        <v>43709</v>
      </c>
      <c r="L3" s="205">
        <v>43739</v>
      </c>
      <c r="M3" s="205">
        <v>43770</v>
      </c>
      <c r="N3" s="205">
        <v>43800</v>
      </c>
      <c r="O3" t="s">
        <v>3032</v>
      </c>
      <c r="S3" s="209">
        <v>0</v>
      </c>
      <c r="T3" s="209">
        <v>53179.4405999999</v>
      </c>
      <c r="U3" s="209">
        <v>43.247199999999999</v>
      </c>
      <c r="V3" s="209">
        <v>0</v>
      </c>
      <c r="W3" s="209">
        <v>18.556000000000001</v>
      </c>
      <c r="Z3" s="209">
        <v>0</v>
      </c>
      <c r="AA3">
        <v>0</v>
      </c>
      <c r="AB3" s="209">
        <v>0</v>
      </c>
      <c r="AC3" s="209">
        <v>97.04</v>
      </c>
      <c r="AD3" s="209">
        <v>0</v>
      </c>
    </row>
    <row r="4" spans="2:30" x14ac:dyDescent="0.25">
      <c r="B4" t="s">
        <v>3007</v>
      </c>
      <c r="C4">
        <v>252</v>
      </c>
      <c r="D4">
        <v>85</v>
      </c>
      <c r="E4">
        <v>18</v>
      </c>
      <c r="F4">
        <v>84</v>
      </c>
      <c r="G4">
        <v>173</v>
      </c>
      <c r="H4">
        <v>133</v>
      </c>
      <c r="I4">
        <v>158</v>
      </c>
      <c r="J4">
        <v>133</v>
      </c>
      <c r="K4">
        <v>275</v>
      </c>
      <c r="L4">
        <v>289</v>
      </c>
      <c r="M4">
        <v>137</v>
      </c>
      <c r="N4">
        <v>50</v>
      </c>
      <c r="O4">
        <f>SUM(C4:N4)</f>
        <v>1787</v>
      </c>
      <c r="S4" s="208">
        <v>0</v>
      </c>
      <c r="T4" s="208">
        <v>0</v>
      </c>
      <c r="U4" s="208">
        <v>0</v>
      </c>
      <c r="V4" s="208">
        <v>143.75399999999999</v>
      </c>
      <c r="W4" s="208">
        <v>37.274000000000001</v>
      </c>
      <c r="Z4" s="208">
        <v>11088.15</v>
      </c>
      <c r="AA4">
        <v>0</v>
      </c>
      <c r="AB4" s="208">
        <v>0</v>
      </c>
      <c r="AC4" s="208">
        <v>0</v>
      </c>
      <c r="AD4" s="208">
        <v>0</v>
      </c>
    </row>
    <row r="5" spans="2:30" x14ac:dyDescent="0.25">
      <c r="B5" s="13" t="s">
        <v>3005</v>
      </c>
      <c r="C5">
        <v>1120</v>
      </c>
      <c r="D5">
        <v>896</v>
      </c>
      <c r="E5">
        <v>1380</v>
      </c>
      <c r="F5">
        <v>686</v>
      </c>
      <c r="G5">
        <v>2157</v>
      </c>
      <c r="H5">
        <v>1461</v>
      </c>
      <c r="I5">
        <v>1186</v>
      </c>
      <c r="J5">
        <v>1547</v>
      </c>
      <c r="K5">
        <v>2286</v>
      </c>
      <c r="L5">
        <v>2285</v>
      </c>
      <c r="M5">
        <v>1463</v>
      </c>
      <c r="N5">
        <v>332</v>
      </c>
      <c r="O5">
        <f t="shared" ref="O5:O21" si="0">SUM(C5:N5)</f>
        <v>16799</v>
      </c>
      <c r="P5">
        <v>1</v>
      </c>
      <c r="S5" s="209">
        <v>87876.710500000394</v>
      </c>
      <c r="T5" s="209">
        <v>5569.7996999999996</v>
      </c>
      <c r="U5" s="209">
        <v>0</v>
      </c>
      <c r="V5" s="209">
        <v>152.922</v>
      </c>
      <c r="W5" s="209">
        <v>0</v>
      </c>
      <c r="Z5" s="209">
        <v>0</v>
      </c>
      <c r="AA5">
        <v>0</v>
      </c>
      <c r="AB5" s="209">
        <v>3171.78</v>
      </c>
      <c r="AC5" s="209">
        <v>0</v>
      </c>
      <c r="AD5" s="209">
        <v>0</v>
      </c>
    </row>
    <row r="6" spans="2:30" x14ac:dyDescent="0.25">
      <c r="B6" t="s">
        <v>3013</v>
      </c>
      <c r="C6">
        <v>154</v>
      </c>
      <c r="D6">
        <v>48</v>
      </c>
      <c r="E6">
        <v>32</v>
      </c>
      <c r="F6">
        <v>42</v>
      </c>
      <c r="G6">
        <v>125</v>
      </c>
      <c r="H6">
        <v>89</v>
      </c>
      <c r="I6">
        <v>119</v>
      </c>
      <c r="J6">
        <v>80</v>
      </c>
      <c r="K6">
        <v>164</v>
      </c>
      <c r="L6">
        <v>196</v>
      </c>
      <c r="M6">
        <v>93</v>
      </c>
      <c r="N6">
        <v>28</v>
      </c>
      <c r="O6">
        <f t="shared" si="0"/>
        <v>1170</v>
      </c>
      <c r="S6" s="208">
        <v>0</v>
      </c>
      <c r="T6" s="208">
        <v>0</v>
      </c>
      <c r="U6" s="208">
        <v>43.496099999999998</v>
      </c>
      <c r="V6" s="208">
        <v>94.991</v>
      </c>
      <c r="W6" s="208">
        <v>69.194299999999998</v>
      </c>
      <c r="Z6" s="208">
        <v>2227.9299999999998</v>
      </c>
      <c r="AA6">
        <v>2174.4499999999998</v>
      </c>
      <c r="AB6" s="208">
        <v>0</v>
      </c>
      <c r="AC6" s="208">
        <v>0</v>
      </c>
      <c r="AD6" s="208">
        <v>0</v>
      </c>
    </row>
    <row r="7" spans="2:30" x14ac:dyDescent="0.25">
      <c r="B7" t="s">
        <v>3016</v>
      </c>
      <c r="C7">
        <v>60</v>
      </c>
      <c r="D7">
        <v>74</v>
      </c>
      <c r="E7">
        <v>230</v>
      </c>
      <c r="F7">
        <v>63</v>
      </c>
      <c r="G7">
        <v>93</v>
      </c>
      <c r="H7">
        <v>252</v>
      </c>
      <c r="I7">
        <v>69</v>
      </c>
      <c r="J7">
        <v>176</v>
      </c>
      <c r="K7">
        <v>271</v>
      </c>
      <c r="L7">
        <v>71</v>
      </c>
      <c r="M7">
        <v>17</v>
      </c>
      <c r="N7">
        <v>98</v>
      </c>
      <c r="O7">
        <f t="shared" si="0"/>
        <v>1474</v>
      </c>
      <c r="S7" s="209">
        <v>45704.852400000003</v>
      </c>
      <c r="T7" s="209">
        <v>27566.794900000001</v>
      </c>
      <c r="U7" s="209">
        <v>140097.96650000001</v>
      </c>
      <c r="V7" s="209">
        <v>177.19649999999999</v>
      </c>
      <c r="W7" s="209">
        <v>59251.9010000001</v>
      </c>
      <c r="Z7" s="209">
        <v>0</v>
      </c>
      <c r="AA7">
        <v>0</v>
      </c>
      <c r="AB7" s="209">
        <v>129756.75</v>
      </c>
      <c r="AC7" s="209">
        <v>0</v>
      </c>
      <c r="AD7" s="209">
        <v>22394.32</v>
      </c>
    </row>
    <row r="8" spans="2:30" x14ac:dyDescent="0.25">
      <c r="B8" t="s">
        <v>3029</v>
      </c>
      <c r="C8">
        <v>1</v>
      </c>
      <c r="D8">
        <v>7</v>
      </c>
      <c r="E8">
        <v>59</v>
      </c>
      <c r="F8">
        <v>6</v>
      </c>
      <c r="G8">
        <v>33</v>
      </c>
      <c r="H8">
        <v>39</v>
      </c>
      <c r="I8">
        <v>7</v>
      </c>
      <c r="J8">
        <v>22</v>
      </c>
      <c r="K8">
        <v>40</v>
      </c>
      <c r="L8">
        <v>32</v>
      </c>
      <c r="M8">
        <v>28</v>
      </c>
      <c r="N8">
        <v>24</v>
      </c>
      <c r="O8">
        <f t="shared" si="0"/>
        <v>298</v>
      </c>
      <c r="S8" s="208">
        <v>0</v>
      </c>
      <c r="T8" s="208">
        <v>0</v>
      </c>
      <c r="U8" s="208">
        <v>124643.2671</v>
      </c>
      <c r="V8" s="208">
        <v>41.586100000000002</v>
      </c>
      <c r="W8" s="208">
        <v>57737.786099999903</v>
      </c>
      <c r="Z8" s="208">
        <v>202635.3</v>
      </c>
      <c r="AA8">
        <v>1533.48</v>
      </c>
      <c r="AB8" s="208">
        <v>33276.18</v>
      </c>
      <c r="AC8" s="208">
        <v>0</v>
      </c>
      <c r="AD8" s="208">
        <v>32132.799999999999</v>
      </c>
    </row>
    <row r="9" spans="2:30" x14ac:dyDescent="0.25">
      <c r="B9" t="s">
        <v>3033</v>
      </c>
      <c r="C9">
        <v>73</v>
      </c>
      <c r="D9">
        <v>78</v>
      </c>
      <c r="E9">
        <v>174</v>
      </c>
      <c r="F9">
        <v>53</v>
      </c>
      <c r="G9">
        <v>259</v>
      </c>
      <c r="H9">
        <v>35</v>
      </c>
      <c r="I9">
        <v>173</v>
      </c>
      <c r="J9">
        <v>147</v>
      </c>
      <c r="K9">
        <v>248</v>
      </c>
      <c r="L9">
        <v>241</v>
      </c>
      <c r="M9">
        <v>219</v>
      </c>
      <c r="N9">
        <v>215</v>
      </c>
      <c r="O9">
        <f t="shared" si="0"/>
        <v>1915</v>
      </c>
      <c r="S9" s="209">
        <v>16956.723999999998</v>
      </c>
      <c r="T9" s="209">
        <v>41243.352400000098</v>
      </c>
      <c r="U9" s="209">
        <v>0</v>
      </c>
      <c r="V9" s="209">
        <v>231.15710000000001</v>
      </c>
      <c r="W9" s="209">
        <v>78832.451199999996</v>
      </c>
      <c r="Z9" s="209">
        <v>0</v>
      </c>
      <c r="AA9">
        <v>0</v>
      </c>
      <c r="AB9" s="209">
        <v>6856.05</v>
      </c>
      <c r="AC9" s="209">
        <v>0</v>
      </c>
      <c r="AD9" s="209">
        <v>18104.68</v>
      </c>
    </row>
    <row r="10" spans="2:30" x14ac:dyDescent="0.25">
      <c r="B10" s="13" t="s">
        <v>3017</v>
      </c>
      <c r="C10">
        <v>327</v>
      </c>
      <c r="D10">
        <v>235</v>
      </c>
      <c r="E10">
        <v>129</v>
      </c>
      <c r="F10">
        <v>307</v>
      </c>
      <c r="G10">
        <v>313</v>
      </c>
      <c r="H10">
        <v>374</v>
      </c>
      <c r="I10">
        <v>312</v>
      </c>
      <c r="J10">
        <v>400</v>
      </c>
      <c r="K10">
        <v>385</v>
      </c>
      <c r="L10">
        <v>542</v>
      </c>
      <c r="M10">
        <v>77</v>
      </c>
      <c r="N10">
        <v>67</v>
      </c>
      <c r="O10">
        <f t="shared" si="0"/>
        <v>3468</v>
      </c>
      <c r="P10">
        <v>4</v>
      </c>
      <c r="S10" s="208">
        <v>0</v>
      </c>
      <c r="T10" s="208">
        <v>0</v>
      </c>
      <c r="U10" s="208">
        <v>67239.908799999801</v>
      </c>
      <c r="V10" s="208">
        <v>0</v>
      </c>
      <c r="W10" s="208">
        <v>67513.527999999904</v>
      </c>
      <c r="Z10" s="208">
        <v>1029.53</v>
      </c>
      <c r="AA10">
        <v>2256.9499999999998</v>
      </c>
      <c r="AB10" s="208">
        <v>0</v>
      </c>
      <c r="AC10" s="208">
        <v>121.71</v>
      </c>
      <c r="AD10" s="208">
        <v>10850.27</v>
      </c>
    </row>
    <row r="11" spans="2:30" x14ac:dyDescent="0.25">
      <c r="B11" t="s">
        <v>3018</v>
      </c>
      <c r="C11">
        <v>247</v>
      </c>
      <c r="D11">
        <v>64</v>
      </c>
      <c r="E11">
        <v>3</v>
      </c>
      <c r="F11">
        <v>207</v>
      </c>
      <c r="G11">
        <v>75</v>
      </c>
      <c r="H11">
        <v>327</v>
      </c>
      <c r="I11">
        <v>102</v>
      </c>
      <c r="J11">
        <v>190</v>
      </c>
      <c r="K11">
        <v>355</v>
      </c>
      <c r="L11">
        <v>273</v>
      </c>
      <c r="M11">
        <v>262</v>
      </c>
      <c r="N11">
        <v>855</v>
      </c>
      <c r="O11">
        <f t="shared" si="0"/>
        <v>2960</v>
      </c>
      <c r="S11" s="209">
        <v>17866.1715</v>
      </c>
      <c r="T11" s="209">
        <v>40619.569599999901</v>
      </c>
      <c r="U11" s="209">
        <v>74841.980299999894</v>
      </c>
      <c r="V11" s="209">
        <v>60626.775900000102</v>
      </c>
      <c r="W11" s="209">
        <v>43535.777800000098</v>
      </c>
      <c r="Z11" s="209">
        <v>0</v>
      </c>
      <c r="AA11">
        <v>0</v>
      </c>
      <c r="AB11" s="209">
        <v>16304.8</v>
      </c>
      <c r="AC11" s="209">
        <v>29109.47</v>
      </c>
      <c r="AD11" s="209">
        <v>10265.379999999999</v>
      </c>
    </row>
    <row r="12" spans="2:30" x14ac:dyDescent="0.25">
      <c r="B12" s="13" t="s">
        <v>3015</v>
      </c>
      <c r="C12">
        <v>1120</v>
      </c>
      <c r="D12">
        <v>787</v>
      </c>
      <c r="E12">
        <v>412</v>
      </c>
      <c r="F12">
        <v>735</v>
      </c>
      <c r="G12">
        <v>1123</v>
      </c>
      <c r="H12">
        <v>1402</v>
      </c>
      <c r="I12">
        <v>985</v>
      </c>
      <c r="J12">
        <v>1240</v>
      </c>
      <c r="K12">
        <v>1432</v>
      </c>
      <c r="L12">
        <v>1715</v>
      </c>
      <c r="M12">
        <v>252</v>
      </c>
      <c r="N12">
        <v>15</v>
      </c>
      <c r="O12">
        <f t="shared" si="0"/>
        <v>11218</v>
      </c>
      <c r="P12">
        <v>2</v>
      </c>
      <c r="S12" s="208">
        <v>0</v>
      </c>
      <c r="T12" s="208">
        <v>0</v>
      </c>
      <c r="U12" s="208">
        <v>110784.84239999999</v>
      </c>
      <c r="V12" s="208">
        <v>48468.042599999899</v>
      </c>
      <c r="W12" s="208">
        <v>36457.738700000104</v>
      </c>
      <c r="Z12" s="208">
        <v>359.75</v>
      </c>
      <c r="AA12">
        <v>3999.65</v>
      </c>
      <c r="AB12" s="208">
        <v>34515.480000000003</v>
      </c>
      <c r="AC12" s="208">
        <v>13366.62</v>
      </c>
      <c r="AD12" s="208">
        <v>3191.4</v>
      </c>
    </row>
    <row r="13" spans="2:30" x14ac:dyDescent="0.25">
      <c r="B13" t="s">
        <v>2968</v>
      </c>
      <c r="C13">
        <v>6</v>
      </c>
      <c r="D13">
        <v>12</v>
      </c>
      <c r="E13">
        <v>50</v>
      </c>
      <c r="F13">
        <v>10</v>
      </c>
      <c r="G13">
        <v>14</v>
      </c>
      <c r="H13">
        <v>47</v>
      </c>
      <c r="I13">
        <v>5</v>
      </c>
      <c r="J13">
        <v>22</v>
      </c>
      <c r="K13">
        <v>58</v>
      </c>
      <c r="L13">
        <v>19</v>
      </c>
      <c r="M13">
        <v>1</v>
      </c>
      <c r="N13">
        <v>43</v>
      </c>
      <c r="O13">
        <f t="shared" si="0"/>
        <v>287</v>
      </c>
      <c r="S13" s="209">
        <v>23101.568599999999</v>
      </c>
      <c r="T13" s="209">
        <v>52288.773399999904</v>
      </c>
      <c r="U13" s="209">
        <v>88384.266499999998</v>
      </c>
      <c r="V13" s="209">
        <v>34716.817999999999</v>
      </c>
      <c r="W13" s="209">
        <v>81784.641399999906</v>
      </c>
      <c r="Z13" s="209">
        <v>0</v>
      </c>
      <c r="AA13">
        <v>0</v>
      </c>
      <c r="AB13" s="209">
        <v>33572.9</v>
      </c>
      <c r="AC13" s="209">
        <v>13678.03</v>
      </c>
      <c r="AD13" s="209">
        <v>18364.759999999998</v>
      </c>
    </row>
    <row r="14" spans="2:30" x14ac:dyDescent="0.25">
      <c r="B14" t="s">
        <v>3019</v>
      </c>
      <c r="C14">
        <v>28</v>
      </c>
      <c r="D14">
        <v>42</v>
      </c>
      <c r="E14">
        <v>183</v>
      </c>
      <c r="F14">
        <v>31</v>
      </c>
      <c r="G14">
        <v>44</v>
      </c>
      <c r="H14">
        <v>137</v>
      </c>
      <c r="I14">
        <v>52</v>
      </c>
      <c r="J14">
        <v>120</v>
      </c>
      <c r="K14">
        <v>117</v>
      </c>
      <c r="L14">
        <v>47</v>
      </c>
      <c r="M14">
        <v>4</v>
      </c>
      <c r="N14">
        <v>27</v>
      </c>
      <c r="O14">
        <f t="shared" si="0"/>
        <v>832</v>
      </c>
      <c r="S14" s="208">
        <v>0</v>
      </c>
      <c r="T14" s="208">
        <v>0</v>
      </c>
      <c r="U14" s="208">
        <v>60957.443399999902</v>
      </c>
      <c r="V14" s="208">
        <v>82247.570100000201</v>
      </c>
      <c r="W14" s="208">
        <v>79381.614400000093</v>
      </c>
      <c r="Z14" s="208">
        <v>96774.69</v>
      </c>
      <c r="AA14">
        <v>2774.03</v>
      </c>
      <c r="AB14" s="208">
        <v>11480.45</v>
      </c>
      <c r="AC14" s="208">
        <v>93458.42</v>
      </c>
      <c r="AD14" s="208">
        <v>46203.07</v>
      </c>
    </row>
    <row r="15" spans="2:30" x14ac:dyDescent="0.25">
      <c r="B15" t="s">
        <v>3020</v>
      </c>
      <c r="C15">
        <v>57</v>
      </c>
      <c r="D15">
        <v>9</v>
      </c>
      <c r="E15">
        <v>1</v>
      </c>
      <c r="F15">
        <v>46</v>
      </c>
      <c r="G15">
        <v>14</v>
      </c>
      <c r="H15">
        <v>36</v>
      </c>
      <c r="I15">
        <v>33</v>
      </c>
      <c r="J15">
        <v>31</v>
      </c>
      <c r="K15">
        <v>71</v>
      </c>
      <c r="L15">
        <v>85</v>
      </c>
      <c r="M15">
        <v>5</v>
      </c>
      <c r="N15">
        <v>40</v>
      </c>
      <c r="O15">
        <f t="shared" si="0"/>
        <v>428</v>
      </c>
      <c r="S15" s="209">
        <v>35967.757299999997</v>
      </c>
      <c r="T15" s="209">
        <v>46744.9413999998</v>
      </c>
      <c r="U15" s="209">
        <v>74234.418299999903</v>
      </c>
      <c r="V15" s="209">
        <v>0</v>
      </c>
      <c r="W15" s="209">
        <v>69046.922199999899</v>
      </c>
      <c r="Z15" s="209">
        <v>0</v>
      </c>
      <c r="AA15">
        <v>0</v>
      </c>
      <c r="AB15" s="209">
        <v>15127.42</v>
      </c>
      <c r="AC15" s="209">
        <v>42110.68</v>
      </c>
      <c r="AD15" s="209">
        <v>32052.07</v>
      </c>
    </row>
    <row r="16" spans="2:30" x14ac:dyDescent="0.25">
      <c r="B16" t="s">
        <v>3021</v>
      </c>
      <c r="C16">
        <v>176</v>
      </c>
      <c r="D16">
        <v>44</v>
      </c>
      <c r="E16">
        <v>87</v>
      </c>
      <c r="F16">
        <v>90</v>
      </c>
      <c r="G16">
        <v>116</v>
      </c>
      <c r="H16">
        <v>129</v>
      </c>
      <c r="I16">
        <v>183</v>
      </c>
      <c r="J16">
        <v>150</v>
      </c>
      <c r="K16">
        <v>363</v>
      </c>
      <c r="L16">
        <v>291</v>
      </c>
      <c r="M16">
        <v>172</v>
      </c>
      <c r="N16">
        <v>56</v>
      </c>
      <c r="O16">
        <f t="shared" si="0"/>
        <v>1857</v>
      </c>
      <c r="S16" s="208">
        <v>0</v>
      </c>
      <c r="T16" s="208">
        <v>0</v>
      </c>
      <c r="U16" s="208">
        <v>0</v>
      </c>
      <c r="V16" s="208">
        <v>67465.568400000004</v>
      </c>
      <c r="W16" s="208">
        <v>77966.711299999995</v>
      </c>
      <c r="Z16" s="208">
        <v>4170.01</v>
      </c>
      <c r="AA16">
        <v>3852.71</v>
      </c>
      <c r="AB16" s="208">
        <v>3513.67</v>
      </c>
      <c r="AC16" s="208">
        <v>0</v>
      </c>
      <c r="AD16" s="208">
        <v>38688.35</v>
      </c>
    </row>
    <row r="17" spans="2:30" x14ac:dyDescent="0.25">
      <c r="B17" t="s">
        <v>3034</v>
      </c>
      <c r="C17">
        <v>1</v>
      </c>
      <c r="D17">
        <v>2</v>
      </c>
      <c r="E17">
        <v>21</v>
      </c>
      <c r="F17">
        <v>3</v>
      </c>
      <c r="G17">
        <v>25</v>
      </c>
      <c r="H17">
        <v>3</v>
      </c>
      <c r="I17">
        <v>18</v>
      </c>
      <c r="J17">
        <v>9</v>
      </c>
      <c r="K17">
        <v>13</v>
      </c>
      <c r="L17">
        <v>20</v>
      </c>
      <c r="M17">
        <v>11</v>
      </c>
      <c r="N17">
        <v>0</v>
      </c>
      <c r="O17">
        <f t="shared" si="0"/>
        <v>126</v>
      </c>
      <c r="S17" s="209">
        <v>29174.958600000002</v>
      </c>
      <c r="T17" s="209">
        <v>50564.050300000003</v>
      </c>
      <c r="U17" s="209">
        <v>52121.565699999897</v>
      </c>
      <c r="V17" s="209">
        <v>85902.613000000201</v>
      </c>
      <c r="W17" s="209">
        <v>102590.0885</v>
      </c>
      <c r="Z17" s="209">
        <v>0</v>
      </c>
      <c r="AA17">
        <v>0</v>
      </c>
      <c r="AB17" s="209">
        <v>0</v>
      </c>
      <c r="AC17" s="209">
        <v>29461.26</v>
      </c>
      <c r="AD17" s="209">
        <v>41624.550000000003</v>
      </c>
    </row>
    <row r="18" spans="2:30" x14ac:dyDescent="0.25">
      <c r="B18" s="13" t="s">
        <v>3022</v>
      </c>
      <c r="C18">
        <v>306</v>
      </c>
      <c r="D18">
        <v>124</v>
      </c>
      <c r="E18">
        <v>12</v>
      </c>
      <c r="F18">
        <v>349</v>
      </c>
      <c r="G18">
        <v>93</v>
      </c>
      <c r="H18">
        <v>534</v>
      </c>
      <c r="I18">
        <v>213</v>
      </c>
      <c r="J18">
        <v>285</v>
      </c>
      <c r="K18">
        <v>448</v>
      </c>
      <c r="L18">
        <v>450</v>
      </c>
      <c r="M18">
        <v>392</v>
      </c>
      <c r="N18">
        <v>1</v>
      </c>
      <c r="O18">
        <f t="shared" si="0"/>
        <v>3207</v>
      </c>
      <c r="P18">
        <v>5</v>
      </c>
      <c r="S18" s="208">
        <v>0</v>
      </c>
      <c r="T18" s="208">
        <v>0</v>
      </c>
      <c r="U18" s="208">
        <v>0</v>
      </c>
      <c r="V18" s="208">
        <v>67016.043900000004</v>
      </c>
      <c r="W18" s="208">
        <v>100014.4032</v>
      </c>
      <c r="Z18" s="208">
        <v>14379.5</v>
      </c>
      <c r="AA18">
        <v>5327.67</v>
      </c>
      <c r="AB18" s="208">
        <v>0</v>
      </c>
      <c r="AC18" s="208">
        <v>53703</v>
      </c>
      <c r="AD18" s="208">
        <v>16907.099999999999</v>
      </c>
    </row>
    <row r="19" spans="2:30" x14ac:dyDescent="0.25">
      <c r="B19" t="s">
        <v>3006</v>
      </c>
      <c r="C19">
        <v>9</v>
      </c>
      <c r="D19">
        <v>51</v>
      </c>
      <c r="E19">
        <v>215</v>
      </c>
      <c r="F19">
        <v>19</v>
      </c>
      <c r="G19">
        <v>238</v>
      </c>
      <c r="H19">
        <v>35</v>
      </c>
      <c r="I19">
        <v>40</v>
      </c>
      <c r="J19">
        <v>136</v>
      </c>
      <c r="K19">
        <v>166</v>
      </c>
      <c r="L19">
        <v>177</v>
      </c>
      <c r="M19">
        <v>103</v>
      </c>
      <c r="N19">
        <v>294</v>
      </c>
      <c r="O19">
        <f t="shared" si="0"/>
        <v>1483</v>
      </c>
      <c r="S19" s="209">
        <v>37249.348899999997</v>
      </c>
      <c r="T19" s="209">
        <v>55064.527799999902</v>
      </c>
      <c r="U19" s="209">
        <v>565.22900000000004</v>
      </c>
      <c r="V19" s="209">
        <v>77328.733099999998</v>
      </c>
      <c r="W19" s="209">
        <v>171.0093</v>
      </c>
      <c r="Z19" s="209">
        <v>0</v>
      </c>
      <c r="AA19">
        <v>0</v>
      </c>
      <c r="AB19" s="209">
        <v>0</v>
      </c>
      <c r="AC19" s="209">
        <v>12576.38</v>
      </c>
      <c r="AD19" s="209">
        <v>0</v>
      </c>
    </row>
    <row r="20" spans="2:30" x14ac:dyDescent="0.25">
      <c r="B20" s="13" t="s">
        <v>3023</v>
      </c>
      <c r="C20">
        <v>515</v>
      </c>
      <c r="D20">
        <v>166</v>
      </c>
      <c r="E20">
        <v>18</v>
      </c>
      <c r="F20">
        <v>403</v>
      </c>
      <c r="G20">
        <v>215</v>
      </c>
      <c r="H20">
        <v>685</v>
      </c>
      <c r="I20">
        <v>297</v>
      </c>
      <c r="J20">
        <v>405</v>
      </c>
      <c r="K20">
        <v>652</v>
      </c>
      <c r="L20">
        <v>644</v>
      </c>
      <c r="M20">
        <v>129</v>
      </c>
      <c r="N20">
        <v>4</v>
      </c>
      <c r="O20">
        <f t="shared" si="0"/>
        <v>4133</v>
      </c>
      <c r="P20">
        <v>3</v>
      </c>
      <c r="S20" s="208">
        <v>51783.790099999998</v>
      </c>
      <c r="T20" s="208">
        <v>59341.469599999902</v>
      </c>
      <c r="U20" s="208">
        <v>764.91129999999998</v>
      </c>
      <c r="V20" s="208">
        <v>76841.958499999906</v>
      </c>
      <c r="W20" s="208">
        <v>112.0247</v>
      </c>
      <c r="Z20" s="208">
        <v>21423.83</v>
      </c>
      <c r="AA20">
        <v>8974.89</v>
      </c>
      <c r="AB20" s="208">
        <v>0</v>
      </c>
      <c r="AC20" s="208">
        <v>50093.18</v>
      </c>
      <c r="AD20" s="208">
        <v>0</v>
      </c>
    </row>
    <row r="21" spans="2:30" x14ac:dyDescent="0.25">
      <c r="B21" t="s">
        <v>2969</v>
      </c>
      <c r="C21">
        <v>45</v>
      </c>
      <c r="D21">
        <v>7</v>
      </c>
      <c r="E21">
        <v>6</v>
      </c>
      <c r="F21">
        <v>9</v>
      </c>
      <c r="G21">
        <v>25</v>
      </c>
      <c r="H21">
        <v>9</v>
      </c>
      <c r="I21">
        <v>26</v>
      </c>
      <c r="J21">
        <v>26</v>
      </c>
      <c r="K21">
        <v>42</v>
      </c>
      <c r="L21">
        <v>59</v>
      </c>
      <c r="M21">
        <v>17</v>
      </c>
      <c r="N21">
        <v>0</v>
      </c>
      <c r="O21">
        <f t="shared" si="0"/>
        <v>271</v>
      </c>
      <c r="S21" s="209">
        <v>0</v>
      </c>
      <c r="T21" s="209">
        <v>50898.5147</v>
      </c>
      <c r="U21" s="209">
        <v>264.08440000000002</v>
      </c>
      <c r="V21" s="209">
        <v>144930.68359999999</v>
      </c>
      <c r="W21" s="209">
        <v>92.837900000000005</v>
      </c>
      <c r="Z21" s="209">
        <v>4593.8599999999997</v>
      </c>
      <c r="AA21">
        <v>26111.11</v>
      </c>
      <c r="AB21" s="209">
        <v>0</v>
      </c>
      <c r="AC21" s="209">
        <v>65336.89</v>
      </c>
      <c r="AD21" s="209">
        <v>0</v>
      </c>
    </row>
    <row r="22" spans="2:30" x14ac:dyDescent="0.25">
      <c r="B22" t="s">
        <v>3035</v>
      </c>
      <c r="C22">
        <v>4497</v>
      </c>
      <c r="D22">
        <v>2731</v>
      </c>
      <c r="E22">
        <v>3030</v>
      </c>
      <c r="F22">
        <v>3143</v>
      </c>
      <c r="G22">
        <v>5135</v>
      </c>
      <c r="H22">
        <v>5727</v>
      </c>
      <c r="I22">
        <v>3978</v>
      </c>
      <c r="J22">
        <v>5119</v>
      </c>
      <c r="K22">
        <v>7386</v>
      </c>
      <c r="L22">
        <v>7436</v>
      </c>
      <c r="M22">
        <v>3382</v>
      </c>
      <c r="N22">
        <v>2149</v>
      </c>
      <c r="O22">
        <f>SUM(O4:O21)</f>
        <v>53713</v>
      </c>
      <c r="S22" s="208">
        <v>45169.658199999998</v>
      </c>
      <c r="T22" s="208">
        <v>62230.979699999902</v>
      </c>
      <c r="U22" s="208">
        <v>94.562600000000003</v>
      </c>
      <c r="V22" s="208">
        <v>103220.78479999999</v>
      </c>
      <c r="W22" s="208">
        <v>0</v>
      </c>
      <c r="Z22" s="208">
        <v>0</v>
      </c>
      <c r="AA22">
        <v>18001.45</v>
      </c>
      <c r="AB22" s="208">
        <v>0</v>
      </c>
      <c r="AC22" s="208">
        <v>63414.76</v>
      </c>
      <c r="AD22" s="208">
        <v>25</v>
      </c>
    </row>
    <row r="23" spans="2:30" x14ac:dyDescent="0.25">
      <c r="S23" s="209">
        <v>0</v>
      </c>
      <c r="T23" s="209">
        <v>0</v>
      </c>
      <c r="U23" s="209">
        <v>18.827999999999999</v>
      </c>
      <c r="V23" s="209">
        <v>88585.424700000105</v>
      </c>
      <c r="W23" s="209">
        <v>0</v>
      </c>
      <c r="Z23" s="209">
        <v>1572.32</v>
      </c>
      <c r="AA23">
        <v>5178.01</v>
      </c>
      <c r="AB23" s="209">
        <v>0</v>
      </c>
      <c r="AC23" s="209">
        <v>25722.63</v>
      </c>
    </row>
    <row r="24" spans="2:30" x14ac:dyDescent="0.25">
      <c r="S24" s="208">
        <v>34389.4211</v>
      </c>
      <c r="T24" s="208">
        <v>76079.437600000005</v>
      </c>
      <c r="U24" s="208">
        <v>0</v>
      </c>
      <c r="V24" s="208">
        <v>695.01679999999999</v>
      </c>
      <c r="Z24" s="208">
        <v>0</v>
      </c>
      <c r="AA24">
        <v>0</v>
      </c>
      <c r="AB24" s="208">
        <v>0</v>
      </c>
      <c r="AC24" s="208">
        <v>0</v>
      </c>
    </row>
    <row r="25" spans="2:30" x14ac:dyDescent="0.25">
      <c r="S25" s="209">
        <v>38432.275500000003</v>
      </c>
      <c r="T25" s="209">
        <v>67783.353199999998</v>
      </c>
      <c r="U25" s="209">
        <v>70.126199999999997</v>
      </c>
      <c r="V25" s="209">
        <v>0</v>
      </c>
      <c r="W25" s="52">
        <f>SUM(W2:W23)</f>
        <v>854665.32409999997</v>
      </c>
      <c r="Z25" s="209">
        <v>3327.16</v>
      </c>
      <c r="AA25">
        <v>12592.36</v>
      </c>
      <c r="AB25" s="209">
        <v>0</v>
      </c>
      <c r="AC25" s="209">
        <v>481.11</v>
      </c>
      <c r="AD25" s="52">
        <f>SUM(AD2:AD22)</f>
        <v>290803.75</v>
      </c>
    </row>
    <row r="26" spans="2:30" x14ac:dyDescent="0.25">
      <c r="S26" s="208">
        <v>0</v>
      </c>
      <c r="T26" s="208">
        <v>0</v>
      </c>
      <c r="U26" s="208">
        <v>88395.970500000098</v>
      </c>
      <c r="V26" s="208">
        <v>0</v>
      </c>
      <c r="Z26" s="208">
        <v>1330.85</v>
      </c>
      <c r="AA26">
        <v>47450.57</v>
      </c>
      <c r="AB26" s="208">
        <v>17211.07</v>
      </c>
    </row>
    <row r="27" spans="2:30" x14ac:dyDescent="0.25">
      <c r="S27" s="209">
        <v>24529.813099999999</v>
      </c>
      <c r="T27" s="209">
        <v>89500.176099999997</v>
      </c>
      <c r="U27" s="209">
        <v>0</v>
      </c>
      <c r="Z27" s="209">
        <v>0</v>
      </c>
      <c r="AA27">
        <v>0</v>
      </c>
    </row>
    <row r="28" spans="2:30" x14ac:dyDescent="0.25">
      <c r="S28" s="208">
        <v>0</v>
      </c>
      <c r="T28" s="208">
        <v>0</v>
      </c>
      <c r="V28" s="52">
        <f>SUM(V2:V26)</f>
        <v>938887.64010000043</v>
      </c>
      <c r="Z28" s="208">
        <v>3390.23</v>
      </c>
      <c r="AA28">
        <v>10815.87</v>
      </c>
      <c r="AB28" s="52">
        <f>SUM(AB2:AB26)</f>
        <v>305136.54999999993</v>
      </c>
      <c r="AC28" s="52">
        <f>SUM(AC2:AC25)</f>
        <v>492886.18</v>
      </c>
    </row>
    <row r="29" spans="2:30" ht="33" customHeight="1" x14ac:dyDescent="0.25">
      <c r="G29" s="206" t="s">
        <v>924</v>
      </c>
      <c r="H29" s="207" t="s">
        <v>925</v>
      </c>
      <c r="I29" s="206" t="s">
        <v>926</v>
      </c>
      <c r="J29" s="207"/>
      <c r="S29" s="209">
        <v>46534.635900000103</v>
      </c>
      <c r="T29" s="209">
        <v>59212.536800000104</v>
      </c>
      <c r="U29" s="52">
        <f>SUM(U2:U27)</f>
        <v>883566.11429999955</v>
      </c>
      <c r="Z29" s="209">
        <v>0</v>
      </c>
      <c r="AA29">
        <v>0</v>
      </c>
    </row>
    <row r="30" spans="2:30" x14ac:dyDescent="0.25">
      <c r="F30" t="s">
        <v>934</v>
      </c>
      <c r="S30" s="208">
        <v>0</v>
      </c>
      <c r="T30" s="208">
        <v>54159.681900000003</v>
      </c>
      <c r="Z30" s="208">
        <v>19032.27</v>
      </c>
      <c r="AA30">
        <v>6368.9</v>
      </c>
    </row>
    <row r="31" spans="2:30" x14ac:dyDescent="0.25">
      <c r="S31" s="209">
        <v>43927.019899999999</v>
      </c>
      <c r="T31" s="209">
        <v>72665.771399999896</v>
      </c>
      <c r="Z31" s="209">
        <v>0</v>
      </c>
      <c r="AA31">
        <v>9616.59</v>
      </c>
    </row>
    <row r="32" spans="2:30" x14ac:dyDescent="0.25">
      <c r="F32" t="s">
        <v>943</v>
      </c>
      <c r="S32" s="208">
        <v>119833.8798</v>
      </c>
      <c r="T32" s="208">
        <v>47650.880900000098</v>
      </c>
      <c r="Z32" s="208">
        <v>44620.47</v>
      </c>
      <c r="AA32">
        <v>2599.46</v>
      </c>
    </row>
    <row r="33" spans="6:27" x14ac:dyDescent="0.25">
      <c r="S33" s="209">
        <v>0</v>
      </c>
      <c r="T33" s="209">
        <v>0</v>
      </c>
      <c r="Z33" s="209">
        <v>23077.93</v>
      </c>
      <c r="AA33">
        <v>26.98</v>
      </c>
    </row>
    <row r="34" spans="6:27" x14ac:dyDescent="0.25">
      <c r="F34" t="s">
        <v>950</v>
      </c>
      <c r="S34" s="208">
        <v>41166.362699999998</v>
      </c>
      <c r="T34" s="208">
        <v>14835.8009</v>
      </c>
      <c r="Z34" s="208">
        <v>0</v>
      </c>
      <c r="AA34">
        <v>0</v>
      </c>
    </row>
    <row r="35" spans="6:27" x14ac:dyDescent="0.25">
      <c r="S35" s="209">
        <v>62912.309300000103</v>
      </c>
      <c r="T35" s="209">
        <v>31597.2291</v>
      </c>
      <c r="Z35" s="209">
        <v>15404.49</v>
      </c>
      <c r="AA35">
        <v>3747.81</v>
      </c>
    </row>
    <row r="36" spans="6:27" x14ac:dyDescent="0.25">
      <c r="F36" t="s">
        <v>953</v>
      </c>
      <c r="S36" s="208">
        <v>38727.082199999997</v>
      </c>
      <c r="T36" s="208">
        <v>0</v>
      </c>
      <c r="Z36" s="208">
        <v>29244.41</v>
      </c>
      <c r="AA36">
        <v>10400.34</v>
      </c>
    </row>
    <row r="37" spans="6:27" x14ac:dyDescent="0.25">
      <c r="S37" s="209">
        <v>78001.035200000304</v>
      </c>
      <c r="T37" s="209">
        <v>53392.115599999903</v>
      </c>
      <c r="Z37" s="209">
        <v>18716.64</v>
      </c>
      <c r="AA37">
        <v>0</v>
      </c>
    </row>
    <row r="38" spans="6:27" x14ac:dyDescent="0.25">
      <c r="F38" t="s">
        <v>956</v>
      </c>
      <c r="S38" s="208">
        <v>118351.0931</v>
      </c>
      <c r="T38" s="208">
        <v>0</v>
      </c>
      <c r="Z38" s="208">
        <v>43073.09</v>
      </c>
      <c r="AA38">
        <v>6815.37</v>
      </c>
    </row>
    <row r="39" spans="6:27" x14ac:dyDescent="0.25">
      <c r="S39" s="209">
        <v>59967.633300000001</v>
      </c>
      <c r="T39" s="209">
        <v>54491.1928999999</v>
      </c>
      <c r="Z39" s="209">
        <v>47344.93</v>
      </c>
      <c r="AA39">
        <v>0</v>
      </c>
    </row>
    <row r="40" spans="6:27" x14ac:dyDescent="0.25">
      <c r="S40" s="208">
        <v>67221.614200000098</v>
      </c>
      <c r="T40" s="208">
        <v>0</v>
      </c>
      <c r="Z40" s="208">
        <v>239893.12</v>
      </c>
      <c r="AA40">
        <v>7352.41</v>
      </c>
    </row>
    <row r="41" spans="6:27" x14ac:dyDescent="0.25">
      <c r="S41" s="209">
        <v>67436.167800000097</v>
      </c>
      <c r="T41" s="209">
        <v>64777.257400000097</v>
      </c>
      <c r="Z41" s="209">
        <v>53807.48</v>
      </c>
      <c r="AA41">
        <v>0</v>
      </c>
    </row>
    <row r="42" spans="6:27" x14ac:dyDescent="0.25">
      <c r="S42" s="208">
        <v>27045.101699999999</v>
      </c>
      <c r="T42" s="208">
        <v>92154.619600000093</v>
      </c>
      <c r="Z42" s="208">
        <v>17678.66</v>
      </c>
      <c r="AA42">
        <v>25570.16</v>
      </c>
    </row>
    <row r="43" spans="6:27" x14ac:dyDescent="0.25">
      <c r="S43" s="209">
        <v>0</v>
      </c>
      <c r="T43" s="209">
        <v>0</v>
      </c>
      <c r="Z43" s="209">
        <v>34954.18</v>
      </c>
      <c r="AA43">
        <v>14190.36</v>
      </c>
    </row>
    <row r="44" spans="6:27" x14ac:dyDescent="0.25">
      <c r="S44" s="208">
        <v>69620.792000000001</v>
      </c>
      <c r="T44" s="208">
        <v>45179.0501</v>
      </c>
      <c r="Z44" s="208">
        <v>0</v>
      </c>
      <c r="AA44">
        <v>0</v>
      </c>
    </row>
    <row r="45" spans="6:27" x14ac:dyDescent="0.25">
      <c r="S45" s="209">
        <v>24172.335500000001</v>
      </c>
      <c r="T45" s="209">
        <v>40066.7255</v>
      </c>
      <c r="Z45" s="209">
        <v>3053.03</v>
      </c>
      <c r="AA45">
        <v>16767.72</v>
      </c>
    </row>
    <row r="46" spans="6:27" x14ac:dyDescent="0.25">
      <c r="S46" s="208">
        <v>0</v>
      </c>
      <c r="T46" s="208">
        <v>83322.580300000103</v>
      </c>
      <c r="Z46" s="208">
        <v>21408.65</v>
      </c>
      <c r="AA46">
        <v>29975.46</v>
      </c>
    </row>
    <row r="47" spans="6:27" x14ac:dyDescent="0.25">
      <c r="S47" s="209">
        <v>49786.050399999898</v>
      </c>
      <c r="T47" s="209">
        <v>77725.744400000098</v>
      </c>
      <c r="Z47" s="209">
        <v>0</v>
      </c>
      <c r="AA47">
        <v>67092.72</v>
      </c>
    </row>
    <row r="48" spans="6:27" x14ac:dyDescent="0.25">
      <c r="S48" s="208">
        <v>0</v>
      </c>
      <c r="T48" s="208">
        <v>138.0009</v>
      </c>
      <c r="Z48" s="208">
        <v>48424.62</v>
      </c>
      <c r="AA48">
        <v>0</v>
      </c>
    </row>
    <row r="49" spans="19:27" x14ac:dyDescent="0.25">
      <c r="S49" s="209">
        <v>53978.008699999998</v>
      </c>
      <c r="T49" s="209">
        <v>0</v>
      </c>
      <c r="Z49" s="209">
        <v>0</v>
      </c>
      <c r="AA49">
        <v>0</v>
      </c>
    </row>
    <row r="50" spans="19:27" x14ac:dyDescent="0.25">
      <c r="S50" s="208">
        <v>0</v>
      </c>
      <c r="T50" s="208">
        <v>9.6715999999999998</v>
      </c>
      <c r="Z50" s="208">
        <v>7178.22</v>
      </c>
      <c r="AA50">
        <v>0</v>
      </c>
    </row>
    <row r="51" spans="19:27" x14ac:dyDescent="0.25">
      <c r="S51" s="209">
        <v>38030.339099999997</v>
      </c>
      <c r="T51" s="209">
        <v>38.472200000000001</v>
      </c>
      <c r="Z51" s="209">
        <v>0</v>
      </c>
      <c r="AA51">
        <v>0</v>
      </c>
    </row>
    <row r="52" spans="19:27" x14ac:dyDescent="0.25">
      <c r="S52" s="208">
        <v>0</v>
      </c>
      <c r="T52" s="208">
        <v>0</v>
      </c>
      <c r="Z52" s="208">
        <v>846.37</v>
      </c>
      <c r="AA52">
        <v>0</v>
      </c>
    </row>
    <row r="53" spans="19:27" x14ac:dyDescent="0.25">
      <c r="S53" s="209">
        <v>24351.613000000001</v>
      </c>
      <c r="T53" s="209">
        <v>0</v>
      </c>
      <c r="Z53" s="209">
        <v>0</v>
      </c>
      <c r="AA53">
        <v>26.37</v>
      </c>
    </row>
    <row r="54" spans="19:27" x14ac:dyDescent="0.25">
      <c r="S54" s="208">
        <v>0</v>
      </c>
      <c r="T54" s="208">
        <v>766.12699999999995</v>
      </c>
      <c r="Z54" s="208">
        <v>24518.83</v>
      </c>
      <c r="AA54">
        <v>0</v>
      </c>
    </row>
    <row r="55" spans="19:27" x14ac:dyDescent="0.25">
      <c r="S55" s="209">
        <v>64008.1363000001</v>
      </c>
      <c r="T55" s="209">
        <v>0</v>
      </c>
      <c r="Z55" s="209">
        <v>0</v>
      </c>
      <c r="AA55">
        <v>0</v>
      </c>
    </row>
    <row r="56" spans="19:27" x14ac:dyDescent="0.25">
      <c r="S56" s="208">
        <v>0</v>
      </c>
      <c r="T56" s="208">
        <v>0</v>
      </c>
      <c r="Z56" s="208">
        <v>2512.29</v>
      </c>
      <c r="AA56">
        <v>0</v>
      </c>
    </row>
    <row r="57" spans="19:27" x14ac:dyDescent="0.25">
      <c r="S57" s="209">
        <v>25510.301599999999</v>
      </c>
      <c r="T57" s="209">
        <v>0</v>
      </c>
      <c r="Z57" s="209">
        <v>0</v>
      </c>
      <c r="AA57">
        <v>0</v>
      </c>
    </row>
    <row r="58" spans="19:27" x14ac:dyDescent="0.25">
      <c r="S58" s="208">
        <v>0</v>
      </c>
      <c r="T58" s="208">
        <v>0.1389</v>
      </c>
      <c r="Z58" s="208">
        <v>106775.64</v>
      </c>
      <c r="AA58">
        <v>0</v>
      </c>
    </row>
    <row r="59" spans="19:27" x14ac:dyDescent="0.25">
      <c r="S59" s="209">
        <v>35070.078800000003</v>
      </c>
      <c r="T59" s="209">
        <v>19.053799999999999</v>
      </c>
      <c r="Z59" s="209">
        <v>0</v>
      </c>
      <c r="AA59">
        <v>0</v>
      </c>
    </row>
    <row r="60" spans="19:27" x14ac:dyDescent="0.25">
      <c r="S60" s="208">
        <v>0</v>
      </c>
      <c r="T60" s="208">
        <v>0</v>
      </c>
      <c r="Z60" s="208">
        <v>13413.06</v>
      </c>
      <c r="AA60">
        <v>0</v>
      </c>
    </row>
    <row r="61" spans="19:27" x14ac:dyDescent="0.25">
      <c r="S61" s="209">
        <v>26942.261399999999</v>
      </c>
      <c r="T61" s="209">
        <v>174.75399999999999</v>
      </c>
      <c r="Z61" s="209">
        <v>0</v>
      </c>
      <c r="AA61">
        <v>8.5</v>
      </c>
    </row>
    <row r="62" spans="19:27" x14ac:dyDescent="0.25">
      <c r="S62" s="208">
        <v>0</v>
      </c>
      <c r="T62" s="208">
        <v>541.58529999999996</v>
      </c>
      <c r="Z62" s="208">
        <v>8289.77</v>
      </c>
      <c r="AA62">
        <v>0</v>
      </c>
    </row>
    <row r="63" spans="19:27" x14ac:dyDescent="0.25">
      <c r="S63" s="209">
        <v>51549.295899999903</v>
      </c>
      <c r="T63" s="209">
        <v>433.71039999999999</v>
      </c>
      <c r="Z63" s="209">
        <v>0</v>
      </c>
      <c r="AA63">
        <v>0</v>
      </c>
    </row>
    <row r="64" spans="19:27" x14ac:dyDescent="0.25">
      <c r="S64" s="208">
        <v>0</v>
      </c>
      <c r="T64" s="208">
        <v>0</v>
      </c>
      <c r="Z64" s="208">
        <v>20133.349999999999</v>
      </c>
      <c r="AA64">
        <v>0</v>
      </c>
    </row>
    <row r="65" spans="19:27" x14ac:dyDescent="0.25">
      <c r="S65" s="209">
        <v>54299.358399999903</v>
      </c>
      <c r="T65" s="209">
        <v>0</v>
      </c>
      <c r="Z65" s="209">
        <v>0</v>
      </c>
      <c r="AA65">
        <v>0</v>
      </c>
    </row>
    <row r="66" spans="19:27" x14ac:dyDescent="0.25">
      <c r="S66" s="208">
        <v>255.44900000000001</v>
      </c>
      <c r="T66" s="208">
        <v>0</v>
      </c>
      <c r="Z66" s="208">
        <v>0</v>
      </c>
      <c r="AA66">
        <v>0</v>
      </c>
    </row>
    <row r="67" spans="19:27" x14ac:dyDescent="0.25">
      <c r="S67" s="209">
        <v>0</v>
      </c>
      <c r="T67" s="209">
        <v>22608.335299999999</v>
      </c>
      <c r="Z67" s="209">
        <v>0</v>
      </c>
      <c r="AA67">
        <v>0</v>
      </c>
    </row>
    <row r="68" spans="19:27" x14ac:dyDescent="0.25">
      <c r="S68" s="208">
        <v>0</v>
      </c>
      <c r="T68" s="208">
        <v>0</v>
      </c>
      <c r="Z68" s="208">
        <v>0</v>
      </c>
      <c r="AA68">
        <v>2918.62</v>
      </c>
    </row>
    <row r="69" spans="19:27" x14ac:dyDescent="0.25">
      <c r="S69" s="209">
        <v>0</v>
      </c>
      <c r="T69" s="209">
        <v>4781.3608999999997</v>
      </c>
      <c r="Z69" s="209">
        <v>0</v>
      </c>
      <c r="AA69">
        <v>0</v>
      </c>
    </row>
    <row r="70" spans="19:27" x14ac:dyDescent="0.25">
      <c r="S70" s="208">
        <v>71.845299999999995</v>
      </c>
      <c r="T70" s="208">
        <v>0</v>
      </c>
      <c r="Z70" s="208">
        <v>0</v>
      </c>
    </row>
    <row r="71" spans="19:27" x14ac:dyDescent="0.25">
      <c r="S71" s="209">
        <v>120.8455</v>
      </c>
      <c r="Z71" s="209">
        <v>0</v>
      </c>
      <c r="AA71">
        <f>SUM(AA2:AA69)</f>
        <v>354891.38</v>
      </c>
    </row>
    <row r="72" spans="19:27" x14ac:dyDescent="0.25">
      <c r="S72" s="208">
        <v>0</v>
      </c>
      <c r="T72" s="52">
        <f>SUM(T2:T70)</f>
        <v>1599417.5780999996</v>
      </c>
      <c r="Z72" s="208">
        <v>0</v>
      </c>
    </row>
    <row r="73" spans="19:27" x14ac:dyDescent="0.25">
      <c r="S73" s="209">
        <v>190.06890000000001</v>
      </c>
      <c r="Z73" s="209">
        <v>0</v>
      </c>
    </row>
    <row r="74" spans="19:27" x14ac:dyDescent="0.25">
      <c r="S74" s="208">
        <v>0</v>
      </c>
      <c r="Z74" s="208">
        <v>0</v>
      </c>
    </row>
    <row r="75" spans="19:27" x14ac:dyDescent="0.25">
      <c r="S75" s="209">
        <v>338.9221</v>
      </c>
      <c r="Z75" s="209">
        <v>5570.37</v>
      </c>
    </row>
    <row r="76" spans="19:27" x14ac:dyDescent="0.25">
      <c r="S76" s="208">
        <v>0</v>
      </c>
      <c r="Z76" s="208">
        <v>0</v>
      </c>
    </row>
    <row r="77" spans="19:27" x14ac:dyDescent="0.25">
      <c r="S77" s="209">
        <v>46248.605099999899</v>
      </c>
      <c r="Z77" s="209">
        <v>7200.74</v>
      </c>
    </row>
    <row r="78" spans="19:27" x14ac:dyDescent="0.25">
      <c r="S78" s="208">
        <v>0</v>
      </c>
      <c r="Z78" s="208">
        <v>275</v>
      </c>
    </row>
    <row r="79" spans="19:27" x14ac:dyDescent="0.25">
      <c r="S79" s="209">
        <v>0</v>
      </c>
      <c r="Z79" s="209">
        <v>913038.08950161596</v>
      </c>
    </row>
    <row r="81" spans="19:26" x14ac:dyDescent="0.25">
      <c r="S81" s="52">
        <f>SUM(S2:S79)</f>
        <v>1823871.2919000003</v>
      </c>
      <c r="Z81" s="52">
        <f>SUM(Z2:Z79)</f>
        <v>2137788.8095016163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3417E-BAED-4CA4-80AE-577C5FAFF1A2}">
  <sheetPr>
    <tabColor theme="9" tint="0.79998168889431442"/>
  </sheetPr>
  <dimension ref="A1"/>
  <sheetViews>
    <sheetView workbookViewId="0"/>
  </sheetViews>
  <sheetFormatPr defaultRowHeight="15" x14ac:dyDescent="0.25"/>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BA2FE-968B-4E0F-944C-DA98E80379D0}">
  <sheetPr>
    <tabColor theme="9" tint="0.79998168889431442"/>
  </sheetPr>
  <dimension ref="A1:I836"/>
  <sheetViews>
    <sheetView workbookViewId="0">
      <selection activeCell="I3" sqref="I3"/>
    </sheetView>
  </sheetViews>
  <sheetFormatPr defaultRowHeight="15" x14ac:dyDescent="0.25"/>
  <cols>
    <col min="1" max="1" width="50.85546875" bestFit="1" customWidth="1"/>
    <col min="2" max="2" width="34" bestFit="1" customWidth="1"/>
    <col min="3" max="3" width="33.85546875" bestFit="1" customWidth="1"/>
    <col min="5" max="5" width="33.42578125" bestFit="1" customWidth="1"/>
    <col min="6" max="6" width="15.7109375" customWidth="1"/>
    <col min="7" max="7" width="33.42578125" bestFit="1" customWidth="1"/>
    <col min="8" max="8" width="22.42578125" bestFit="1" customWidth="1"/>
    <col min="9" max="9" width="40.42578125" bestFit="1" customWidth="1"/>
  </cols>
  <sheetData>
    <row r="1" spans="1:9" x14ac:dyDescent="0.25">
      <c r="A1" s="11" t="s">
        <v>3036</v>
      </c>
      <c r="F1" s="11" t="s">
        <v>3037</v>
      </c>
    </row>
    <row r="2" spans="1:9" x14ac:dyDescent="0.25">
      <c r="A2" t="s">
        <v>3038</v>
      </c>
      <c r="B2" t="s">
        <v>3039</v>
      </c>
      <c r="C2" t="s">
        <v>3040</v>
      </c>
      <c r="F2" s="201" t="s">
        <v>2704</v>
      </c>
      <c r="G2" t="s">
        <v>3041</v>
      </c>
      <c r="H2" t="s">
        <v>3042</v>
      </c>
      <c r="I2" t="s">
        <v>3043</v>
      </c>
    </row>
    <row r="3" spans="1:9" ht="60" x14ac:dyDescent="0.25">
      <c r="A3" s="13" t="s">
        <v>1004</v>
      </c>
      <c r="B3" s="13" t="s">
        <v>3044</v>
      </c>
      <c r="C3" s="13" t="s">
        <v>3045</v>
      </c>
      <c r="E3" s="13" t="s">
        <v>3046</v>
      </c>
      <c r="F3" s="4" t="s">
        <v>3047</v>
      </c>
      <c r="G3">
        <v>0.21624393504164685</v>
      </c>
      <c r="H3">
        <f>_xlfn.RANK.EQ(G3,$G$3:$G$825,1)/COUNT($G$3:$G$825)</f>
        <v>1.215066828675577E-3</v>
      </c>
      <c r="I3">
        <f t="shared" ref="I3:I66" si="0">IF(H3&lt;0.2,1,IF(H3&lt;0.4,2,IF(H3&lt;0.6,3,IF(H3&lt;0.8,4,5))))</f>
        <v>1</v>
      </c>
    </row>
    <row r="4" spans="1:9" ht="60" x14ac:dyDescent="0.25">
      <c r="A4" t="s">
        <v>3048</v>
      </c>
      <c r="B4">
        <v>9958</v>
      </c>
      <c r="C4">
        <v>433</v>
      </c>
      <c r="E4" t="s">
        <v>3049</v>
      </c>
      <c r="F4" s="4" t="s">
        <v>3050</v>
      </c>
      <c r="G4">
        <v>0.22600414044173112</v>
      </c>
      <c r="H4">
        <f t="shared" ref="H4:H67" si="1">_xlfn.RANK.EQ(G4,$G$3:$G$825,1)/COUNT($G$3:$G$825)</f>
        <v>2.4301336573511541E-3</v>
      </c>
      <c r="I4">
        <f t="shared" si="0"/>
        <v>1</v>
      </c>
    </row>
    <row r="5" spans="1:9" ht="60" x14ac:dyDescent="0.25">
      <c r="A5" t="s">
        <v>3051</v>
      </c>
      <c r="B5">
        <v>13410</v>
      </c>
      <c r="C5">
        <v>461</v>
      </c>
      <c r="E5" t="s">
        <v>3052</v>
      </c>
      <c r="F5" s="4" t="s">
        <v>3053</v>
      </c>
      <c r="G5">
        <v>0.22933890862992509</v>
      </c>
      <c r="H5">
        <f t="shared" si="1"/>
        <v>3.6452004860267314E-3</v>
      </c>
      <c r="I5">
        <f t="shared" si="0"/>
        <v>1</v>
      </c>
    </row>
    <row r="6" spans="1:9" ht="60" x14ac:dyDescent="0.25">
      <c r="A6" t="s">
        <v>3054</v>
      </c>
      <c r="B6">
        <v>15000</v>
      </c>
      <c r="C6">
        <v>440</v>
      </c>
      <c r="E6" t="s">
        <v>3055</v>
      </c>
      <c r="F6" s="4" t="s">
        <v>3056</v>
      </c>
      <c r="G6">
        <v>0.23717195751179948</v>
      </c>
      <c r="H6">
        <f t="shared" si="1"/>
        <v>4.8602673147023082E-3</v>
      </c>
      <c r="I6">
        <f t="shared" si="0"/>
        <v>1</v>
      </c>
    </row>
    <row r="7" spans="1:9" ht="60" x14ac:dyDescent="0.25">
      <c r="A7" t="s">
        <v>3057</v>
      </c>
      <c r="B7">
        <v>18304</v>
      </c>
      <c r="C7">
        <v>783</v>
      </c>
      <c r="F7" s="4" t="s">
        <v>3058</v>
      </c>
      <c r="G7">
        <v>0.23895081911537219</v>
      </c>
      <c r="H7">
        <f t="shared" si="1"/>
        <v>6.0753341433778859E-3</v>
      </c>
      <c r="I7">
        <f t="shared" si="0"/>
        <v>1</v>
      </c>
    </row>
    <row r="8" spans="1:9" ht="60" x14ac:dyDescent="0.25">
      <c r="A8" t="s">
        <v>3059</v>
      </c>
      <c r="B8">
        <v>19593</v>
      </c>
      <c r="C8">
        <v>715</v>
      </c>
      <c r="F8" s="4" t="s">
        <v>3060</v>
      </c>
      <c r="G8">
        <v>0.23973667228137396</v>
      </c>
      <c r="H8">
        <f t="shared" si="1"/>
        <v>7.2904009720534627E-3</v>
      </c>
      <c r="I8">
        <f t="shared" si="0"/>
        <v>1</v>
      </c>
    </row>
    <row r="9" spans="1:9" ht="60" x14ac:dyDescent="0.25">
      <c r="A9" t="s">
        <v>3061</v>
      </c>
      <c r="B9">
        <v>21633</v>
      </c>
      <c r="C9">
        <v>596</v>
      </c>
      <c r="F9" s="4" t="s">
        <v>3062</v>
      </c>
      <c r="G9">
        <v>0.24470854055047511</v>
      </c>
      <c r="H9">
        <f t="shared" si="1"/>
        <v>8.5054678007290396E-3</v>
      </c>
      <c r="I9">
        <f t="shared" si="0"/>
        <v>1</v>
      </c>
    </row>
    <row r="10" spans="1:9" ht="60" x14ac:dyDescent="0.25">
      <c r="A10" t="s">
        <v>3063</v>
      </c>
      <c r="B10">
        <v>21851</v>
      </c>
      <c r="C10">
        <v>1109</v>
      </c>
      <c r="F10" s="4" t="s">
        <v>3064</v>
      </c>
      <c r="G10">
        <v>0.24661990670556816</v>
      </c>
      <c r="H10">
        <f t="shared" si="1"/>
        <v>9.7205346294046164E-3</v>
      </c>
      <c r="I10">
        <f t="shared" si="0"/>
        <v>1</v>
      </c>
    </row>
    <row r="11" spans="1:9" ht="60" x14ac:dyDescent="0.25">
      <c r="A11" t="s">
        <v>3065</v>
      </c>
      <c r="B11">
        <v>21895</v>
      </c>
      <c r="C11">
        <v>1032</v>
      </c>
      <c r="F11" s="4" t="s">
        <v>3066</v>
      </c>
      <c r="G11">
        <v>0.24720569623716801</v>
      </c>
      <c r="H11">
        <f t="shared" si="1"/>
        <v>1.0935601458080195E-2</v>
      </c>
      <c r="I11">
        <f t="shared" si="0"/>
        <v>1</v>
      </c>
    </row>
    <row r="12" spans="1:9" ht="60" x14ac:dyDescent="0.25">
      <c r="A12" t="s">
        <v>3067</v>
      </c>
      <c r="B12">
        <v>22449</v>
      </c>
      <c r="C12">
        <v>937</v>
      </c>
      <c r="F12" s="4" t="s">
        <v>3068</v>
      </c>
      <c r="G12">
        <v>0.2491749834564127</v>
      </c>
      <c r="H12">
        <f t="shared" si="1"/>
        <v>1.2150668286755772E-2</v>
      </c>
      <c r="I12">
        <f t="shared" si="0"/>
        <v>1</v>
      </c>
    </row>
    <row r="13" spans="1:9" ht="60" x14ac:dyDescent="0.25">
      <c r="A13" t="s">
        <v>3069</v>
      </c>
      <c r="B13">
        <v>22454</v>
      </c>
      <c r="C13">
        <v>1004</v>
      </c>
      <c r="F13" s="4" t="s">
        <v>3070</v>
      </c>
      <c r="G13">
        <v>0.2492005231133782</v>
      </c>
      <c r="H13">
        <f t="shared" si="1"/>
        <v>1.3365735115431349E-2</v>
      </c>
      <c r="I13">
        <f t="shared" si="0"/>
        <v>1</v>
      </c>
    </row>
    <row r="14" spans="1:9" ht="60" x14ac:dyDescent="0.25">
      <c r="A14" t="s">
        <v>3071</v>
      </c>
      <c r="B14">
        <v>22778</v>
      </c>
      <c r="C14">
        <v>924</v>
      </c>
      <c r="F14" s="4" t="s">
        <v>3072</v>
      </c>
      <c r="G14">
        <v>0.25060377368293624</v>
      </c>
      <c r="H14">
        <f t="shared" si="1"/>
        <v>1.4580801944106925E-2</v>
      </c>
      <c r="I14">
        <f t="shared" si="0"/>
        <v>1</v>
      </c>
    </row>
    <row r="15" spans="1:9" ht="60" x14ac:dyDescent="0.25">
      <c r="A15" t="s">
        <v>3073</v>
      </c>
      <c r="B15">
        <v>23480</v>
      </c>
      <c r="C15">
        <v>859</v>
      </c>
      <c r="F15" s="4" t="s">
        <v>3074</v>
      </c>
      <c r="G15">
        <v>0.25095287837791619</v>
      </c>
      <c r="H15">
        <f t="shared" si="1"/>
        <v>1.5795868772782502E-2</v>
      </c>
      <c r="I15">
        <f t="shared" si="0"/>
        <v>1</v>
      </c>
    </row>
    <row r="16" spans="1:9" ht="60" x14ac:dyDescent="0.25">
      <c r="A16" t="s">
        <v>3075</v>
      </c>
      <c r="B16">
        <v>23500</v>
      </c>
      <c r="C16">
        <v>842</v>
      </c>
      <c r="F16" s="4" t="s">
        <v>3076</v>
      </c>
      <c r="G16">
        <v>0.25154601116626218</v>
      </c>
      <c r="H16">
        <f t="shared" si="1"/>
        <v>1.7010935601458079E-2</v>
      </c>
      <c r="I16">
        <f t="shared" si="0"/>
        <v>1</v>
      </c>
    </row>
    <row r="17" spans="1:9" ht="60" x14ac:dyDescent="0.25">
      <c r="A17" t="s">
        <v>3077</v>
      </c>
      <c r="B17">
        <v>23598</v>
      </c>
      <c r="C17">
        <v>974</v>
      </c>
      <c r="F17" s="4" t="s">
        <v>3078</v>
      </c>
      <c r="G17">
        <v>0.25168846074220735</v>
      </c>
      <c r="H17">
        <f t="shared" si="1"/>
        <v>1.8226002430133656E-2</v>
      </c>
      <c r="I17">
        <f t="shared" si="0"/>
        <v>1</v>
      </c>
    </row>
    <row r="18" spans="1:9" ht="60" x14ac:dyDescent="0.25">
      <c r="A18" t="s">
        <v>3079</v>
      </c>
      <c r="B18">
        <v>23608</v>
      </c>
      <c r="C18">
        <v>914</v>
      </c>
      <c r="F18" s="4" t="s">
        <v>3080</v>
      </c>
      <c r="G18">
        <v>0.25184078989251402</v>
      </c>
      <c r="H18">
        <f t="shared" si="1"/>
        <v>1.9441069258809233E-2</v>
      </c>
      <c r="I18">
        <f t="shared" si="0"/>
        <v>1</v>
      </c>
    </row>
    <row r="19" spans="1:9" ht="60" x14ac:dyDescent="0.25">
      <c r="A19" t="s">
        <v>3081</v>
      </c>
      <c r="B19">
        <v>24271</v>
      </c>
      <c r="C19">
        <v>1107</v>
      </c>
      <c r="F19" s="4" t="s">
        <v>3082</v>
      </c>
      <c r="G19">
        <v>0.25246258791089699</v>
      </c>
      <c r="H19">
        <f t="shared" si="1"/>
        <v>2.0656136087484813E-2</v>
      </c>
      <c r="I19">
        <f t="shared" si="0"/>
        <v>1</v>
      </c>
    </row>
    <row r="20" spans="1:9" ht="60" x14ac:dyDescent="0.25">
      <c r="A20" t="s">
        <v>3083</v>
      </c>
      <c r="B20">
        <v>24325</v>
      </c>
      <c r="C20">
        <v>879</v>
      </c>
      <c r="F20" s="4" t="s">
        <v>3084</v>
      </c>
      <c r="G20">
        <v>0.25483811717142513</v>
      </c>
      <c r="H20">
        <f t="shared" si="1"/>
        <v>2.187120291616039E-2</v>
      </c>
      <c r="I20">
        <f t="shared" si="0"/>
        <v>1</v>
      </c>
    </row>
    <row r="21" spans="1:9" ht="60" x14ac:dyDescent="0.25">
      <c r="A21" t="s">
        <v>3085</v>
      </c>
      <c r="B21">
        <v>24342</v>
      </c>
      <c r="C21">
        <v>1275</v>
      </c>
      <c r="F21" s="4" t="s">
        <v>3086</v>
      </c>
      <c r="G21">
        <v>0.25540551013338214</v>
      </c>
      <c r="H21">
        <f t="shared" si="1"/>
        <v>2.3086269744835967E-2</v>
      </c>
      <c r="I21">
        <f t="shared" si="0"/>
        <v>1</v>
      </c>
    </row>
    <row r="22" spans="1:9" ht="60" x14ac:dyDescent="0.25">
      <c r="A22" t="s">
        <v>3087</v>
      </c>
      <c r="B22">
        <v>24805</v>
      </c>
      <c r="C22">
        <v>1001</v>
      </c>
      <c r="F22" s="4" t="s">
        <v>3088</v>
      </c>
      <c r="G22">
        <v>0.25552108146033237</v>
      </c>
      <c r="H22">
        <f t="shared" si="1"/>
        <v>2.4301336573511544E-2</v>
      </c>
      <c r="I22">
        <f t="shared" si="0"/>
        <v>1</v>
      </c>
    </row>
    <row r="23" spans="1:9" ht="60" x14ac:dyDescent="0.25">
      <c r="A23" t="s">
        <v>3089</v>
      </c>
      <c r="B23">
        <v>24943</v>
      </c>
      <c r="C23">
        <v>996</v>
      </c>
      <c r="F23" s="4" t="s">
        <v>3090</v>
      </c>
      <c r="G23">
        <v>0.25584760480347701</v>
      </c>
      <c r="H23">
        <f t="shared" si="1"/>
        <v>2.551640340218712E-2</v>
      </c>
      <c r="I23">
        <f t="shared" si="0"/>
        <v>1</v>
      </c>
    </row>
    <row r="24" spans="1:9" ht="60" x14ac:dyDescent="0.25">
      <c r="A24" t="s">
        <v>3091</v>
      </c>
      <c r="B24">
        <v>25156</v>
      </c>
      <c r="C24">
        <v>869</v>
      </c>
      <c r="F24" s="4" t="s">
        <v>3092</v>
      </c>
      <c r="G24">
        <v>0.25730635543918445</v>
      </c>
      <c r="H24">
        <f t="shared" si="1"/>
        <v>2.6731470230862697E-2</v>
      </c>
      <c r="I24">
        <f t="shared" si="0"/>
        <v>1</v>
      </c>
    </row>
    <row r="25" spans="1:9" ht="60" x14ac:dyDescent="0.25">
      <c r="A25" t="s">
        <v>3093</v>
      </c>
      <c r="B25">
        <v>25648</v>
      </c>
      <c r="C25">
        <v>969</v>
      </c>
      <c r="F25" s="4" t="s">
        <v>3094</v>
      </c>
      <c r="G25">
        <v>0.25877993751706363</v>
      </c>
      <c r="H25">
        <f t="shared" si="1"/>
        <v>2.7946537059538274E-2</v>
      </c>
      <c r="I25">
        <f t="shared" si="0"/>
        <v>1</v>
      </c>
    </row>
    <row r="26" spans="1:9" ht="60" x14ac:dyDescent="0.25">
      <c r="A26" t="s">
        <v>3095</v>
      </c>
      <c r="B26">
        <v>25958</v>
      </c>
      <c r="C26">
        <v>976</v>
      </c>
      <c r="F26" s="4" t="s">
        <v>3096</v>
      </c>
      <c r="G26">
        <v>0.25878885165183613</v>
      </c>
      <c r="H26">
        <f t="shared" si="1"/>
        <v>2.9161603888213851E-2</v>
      </c>
      <c r="I26">
        <f t="shared" si="0"/>
        <v>1</v>
      </c>
    </row>
    <row r="27" spans="1:9" ht="60" x14ac:dyDescent="0.25">
      <c r="A27" t="s">
        <v>3097</v>
      </c>
      <c r="B27">
        <v>26250</v>
      </c>
      <c r="C27">
        <v>648</v>
      </c>
      <c r="F27" s="4" t="s">
        <v>3098</v>
      </c>
      <c r="G27">
        <v>0.25908674911061486</v>
      </c>
      <c r="H27">
        <f t="shared" si="1"/>
        <v>3.0376670716889428E-2</v>
      </c>
      <c r="I27">
        <f t="shared" si="0"/>
        <v>1</v>
      </c>
    </row>
    <row r="28" spans="1:9" ht="60" x14ac:dyDescent="0.25">
      <c r="A28" t="s">
        <v>3099</v>
      </c>
      <c r="B28">
        <v>26324</v>
      </c>
      <c r="C28">
        <v>1082</v>
      </c>
      <c r="F28" s="4" t="s">
        <v>3100</v>
      </c>
      <c r="G28">
        <v>0.2591016995931047</v>
      </c>
      <c r="H28">
        <f t="shared" si="1"/>
        <v>3.1591737545565005E-2</v>
      </c>
      <c r="I28">
        <f t="shared" si="0"/>
        <v>1</v>
      </c>
    </row>
    <row r="29" spans="1:9" ht="60" x14ac:dyDescent="0.25">
      <c r="A29" t="s">
        <v>3101</v>
      </c>
      <c r="B29">
        <v>26765</v>
      </c>
      <c r="C29">
        <v>946</v>
      </c>
      <c r="F29" s="4" t="s">
        <v>3102</v>
      </c>
      <c r="G29">
        <v>0.25911845835633757</v>
      </c>
      <c r="H29">
        <f t="shared" si="1"/>
        <v>3.2806804374240585E-2</v>
      </c>
      <c r="I29">
        <f t="shared" si="0"/>
        <v>1</v>
      </c>
    </row>
    <row r="30" spans="1:9" ht="45" x14ac:dyDescent="0.25">
      <c r="A30" t="s">
        <v>3103</v>
      </c>
      <c r="B30">
        <v>26840</v>
      </c>
      <c r="C30">
        <v>710</v>
      </c>
      <c r="F30" s="4" t="s">
        <v>3104</v>
      </c>
      <c r="G30">
        <v>0.25956366779442835</v>
      </c>
      <c r="H30">
        <f t="shared" si="1"/>
        <v>3.4021871202916158E-2</v>
      </c>
      <c r="I30">
        <f t="shared" si="0"/>
        <v>1</v>
      </c>
    </row>
    <row r="31" spans="1:9" ht="60" x14ac:dyDescent="0.25">
      <c r="A31" t="s">
        <v>3105</v>
      </c>
      <c r="B31">
        <v>27072</v>
      </c>
      <c r="C31">
        <v>1078</v>
      </c>
      <c r="F31" s="4" t="s">
        <v>3106</v>
      </c>
      <c r="G31">
        <v>0.25975982410793741</v>
      </c>
      <c r="H31">
        <f t="shared" si="1"/>
        <v>3.5236938031591739E-2</v>
      </c>
      <c r="I31">
        <f t="shared" si="0"/>
        <v>1</v>
      </c>
    </row>
    <row r="32" spans="1:9" ht="60" x14ac:dyDescent="0.25">
      <c r="A32" t="s">
        <v>3107</v>
      </c>
      <c r="B32">
        <v>27964</v>
      </c>
      <c r="C32">
        <v>1195</v>
      </c>
      <c r="F32" s="4" t="s">
        <v>3108</v>
      </c>
      <c r="G32">
        <v>0.25978991267138596</v>
      </c>
      <c r="H32">
        <f t="shared" si="1"/>
        <v>3.6452004860267312E-2</v>
      </c>
      <c r="I32">
        <f t="shared" si="0"/>
        <v>1</v>
      </c>
    </row>
    <row r="33" spans="1:9" ht="60" x14ac:dyDescent="0.25">
      <c r="A33" t="s">
        <v>3109</v>
      </c>
      <c r="B33">
        <v>28029</v>
      </c>
      <c r="C33">
        <v>986</v>
      </c>
      <c r="F33" s="4" t="s">
        <v>3110</v>
      </c>
      <c r="G33">
        <v>0.25981068042022387</v>
      </c>
      <c r="H33">
        <f t="shared" si="1"/>
        <v>3.7667071688942892E-2</v>
      </c>
      <c r="I33">
        <f t="shared" si="0"/>
        <v>1</v>
      </c>
    </row>
    <row r="34" spans="1:9" ht="60" x14ac:dyDescent="0.25">
      <c r="A34" t="s">
        <v>3111</v>
      </c>
      <c r="B34">
        <v>28032</v>
      </c>
      <c r="C34">
        <v>910</v>
      </c>
      <c r="F34" s="4" t="s">
        <v>3112</v>
      </c>
      <c r="G34">
        <v>0.261213047819704</v>
      </c>
      <c r="H34">
        <f t="shared" si="1"/>
        <v>3.8882138517618466E-2</v>
      </c>
      <c r="I34">
        <f t="shared" si="0"/>
        <v>1</v>
      </c>
    </row>
    <row r="35" spans="1:9" ht="60" x14ac:dyDescent="0.25">
      <c r="A35" t="s">
        <v>3113</v>
      </c>
      <c r="B35">
        <v>28438</v>
      </c>
      <c r="C35">
        <v>999</v>
      </c>
      <c r="F35" s="4" t="s">
        <v>3114</v>
      </c>
      <c r="G35">
        <v>0.26123049306854657</v>
      </c>
      <c r="H35">
        <f t="shared" si="1"/>
        <v>4.0097205346294046E-2</v>
      </c>
      <c r="I35">
        <f t="shared" si="0"/>
        <v>1</v>
      </c>
    </row>
    <row r="36" spans="1:9" ht="60" x14ac:dyDescent="0.25">
      <c r="A36" t="s">
        <v>3115</v>
      </c>
      <c r="B36">
        <v>28636</v>
      </c>
      <c r="C36">
        <v>887</v>
      </c>
      <c r="F36" s="4" t="s">
        <v>3116</v>
      </c>
      <c r="G36">
        <v>0.26148730312617408</v>
      </c>
      <c r="H36">
        <f t="shared" si="1"/>
        <v>4.1312272174969626E-2</v>
      </c>
      <c r="I36">
        <f t="shared" si="0"/>
        <v>1</v>
      </c>
    </row>
    <row r="37" spans="1:9" ht="60" x14ac:dyDescent="0.25">
      <c r="A37" t="s">
        <v>3117</v>
      </c>
      <c r="B37">
        <v>28782</v>
      </c>
      <c r="C37">
        <v>793</v>
      </c>
      <c r="F37" s="4" t="s">
        <v>3118</v>
      </c>
      <c r="G37">
        <v>0.26167719888565338</v>
      </c>
      <c r="H37">
        <f t="shared" si="1"/>
        <v>4.25273390036452E-2</v>
      </c>
      <c r="I37">
        <f t="shared" si="0"/>
        <v>1</v>
      </c>
    </row>
    <row r="38" spans="1:9" ht="60" x14ac:dyDescent="0.25">
      <c r="A38" t="s">
        <v>3119</v>
      </c>
      <c r="B38">
        <v>29167</v>
      </c>
      <c r="C38">
        <v>1084</v>
      </c>
      <c r="F38" s="4" t="s">
        <v>3120</v>
      </c>
      <c r="G38">
        <v>0.26315689993963531</v>
      </c>
      <c r="H38">
        <f t="shared" si="1"/>
        <v>4.374240583232078E-2</v>
      </c>
      <c r="I38">
        <f t="shared" si="0"/>
        <v>1</v>
      </c>
    </row>
    <row r="39" spans="1:9" ht="60" x14ac:dyDescent="0.25">
      <c r="A39" t="s">
        <v>3121</v>
      </c>
      <c r="B39">
        <v>29281</v>
      </c>
      <c r="C39">
        <v>1166</v>
      </c>
      <c r="F39" s="4" t="s">
        <v>3122</v>
      </c>
      <c r="G39">
        <v>0.26354237295946542</v>
      </c>
      <c r="H39">
        <f t="shared" si="1"/>
        <v>4.4957472660996353E-2</v>
      </c>
      <c r="I39">
        <f t="shared" si="0"/>
        <v>1</v>
      </c>
    </row>
    <row r="40" spans="1:9" ht="60" x14ac:dyDescent="0.25">
      <c r="A40" t="s">
        <v>3123</v>
      </c>
      <c r="B40">
        <v>29755</v>
      </c>
      <c r="C40">
        <v>803</v>
      </c>
      <c r="F40" s="4" t="s">
        <v>3124</v>
      </c>
      <c r="G40">
        <v>0.26395760072685076</v>
      </c>
      <c r="H40">
        <f t="shared" si="1"/>
        <v>4.6172539489671933E-2</v>
      </c>
      <c r="I40">
        <f t="shared" si="0"/>
        <v>1</v>
      </c>
    </row>
    <row r="41" spans="1:9" ht="60" x14ac:dyDescent="0.25">
      <c r="A41" t="s">
        <v>3125</v>
      </c>
      <c r="B41">
        <v>30034</v>
      </c>
      <c r="C41">
        <v>902</v>
      </c>
      <c r="F41" s="4" t="s">
        <v>3126</v>
      </c>
      <c r="G41">
        <v>0.26501380717953893</v>
      </c>
      <c r="H41">
        <f t="shared" si="1"/>
        <v>4.7387606318347507E-2</v>
      </c>
      <c r="I41">
        <f t="shared" si="0"/>
        <v>1</v>
      </c>
    </row>
    <row r="42" spans="1:9" ht="60" x14ac:dyDescent="0.25">
      <c r="A42" t="s">
        <v>3127</v>
      </c>
      <c r="B42">
        <v>30125</v>
      </c>
      <c r="C42">
        <v>1975</v>
      </c>
      <c r="F42" s="4" t="s">
        <v>3128</v>
      </c>
      <c r="G42">
        <v>0.26507407227969793</v>
      </c>
      <c r="H42">
        <f t="shared" si="1"/>
        <v>4.8602673147023087E-2</v>
      </c>
      <c r="I42">
        <f t="shared" si="0"/>
        <v>1</v>
      </c>
    </row>
    <row r="43" spans="1:9" ht="60" x14ac:dyDescent="0.25">
      <c r="A43" t="s">
        <v>3129</v>
      </c>
      <c r="B43">
        <v>30206</v>
      </c>
      <c r="C43">
        <v>843</v>
      </c>
      <c r="F43" s="4" t="s">
        <v>3130</v>
      </c>
      <c r="G43">
        <v>0.26521200509430248</v>
      </c>
      <c r="H43">
        <f t="shared" si="1"/>
        <v>4.9817739975698661E-2</v>
      </c>
      <c r="I43">
        <f t="shared" si="0"/>
        <v>1</v>
      </c>
    </row>
    <row r="44" spans="1:9" ht="60" x14ac:dyDescent="0.25">
      <c r="A44" t="s">
        <v>3131</v>
      </c>
      <c r="B44">
        <v>30293</v>
      </c>
      <c r="C44">
        <v>1025</v>
      </c>
      <c r="F44" s="4" t="s">
        <v>3132</v>
      </c>
      <c r="G44">
        <v>0.26528146991630858</v>
      </c>
      <c r="H44">
        <f t="shared" si="1"/>
        <v>5.1032806804374241E-2</v>
      </c>
      <c r="I44">
        <f t="shared" si="0"/>
        <v>1</v>
      </c>
    </row>
    <row r="45" spans="1:9" ht="60" x14ac:dyDescent="0.25">
      <c r="A45" t="s">
        <v>3133</v>
      </c>
      <c r="B45">
        <v>30383</v>
      </c>
      <c r="C45">
        <v>1040</v>
      </c>
      <c r="F45" s="4" t="s">
        <v>3134</v>
      </c>
      <c r="G45">
        <v>0.26540599892972838</v>
      </c>
      <c r="H45">
        <f t="shared" si="1"/>
        <v>5.2247873633049821E-2</v>
      </c>
      <c r="I45">
        <f t="shared" si="0"/>
        <v>1</v>
      </c>
    </row>
    <row r="46" spans="1:9" ht="60" x14ac:dyDescent="0.25">
      <c r="A46" t="s">
        <v>3135</v>
      </c>
      <c r="B46">
        <v>30417</v>
      </c>
      <c r="C46">
        <v>874</v>
      </c>
      <c r="F46" s="4" t="s">
        <v>3136</v>
      </c>
      <c r="G46">
        <v>0.26570555899536247</v>
      </c>
      <c r="H46">
        <f t="shared" si="1"/>
        <v>5.3462940461725394E-2</v>
      </c>
      <c r="I46">
        <f t="shared" si="0"/>
        <v>1</v>
      </c>
    </row>
    <row r="47" spans="1:9" ht="60" x14ac:dyDescent="0.25">
      <c r="A47" t="s">
        <v>3137</v>
      </c>
      <c r="B47">
        <v>30563</v>
      </c>
      <c r="C47">
        <v>947</v>
      </c>
      <c r="F47" s="4" t="s">
        <v>3138</v>
      </c>
      <c r="G47">
        <v>0.26574396626976327</v>
      </c>
      <c r="H47">
        <f t="shared" si="1"/>
        <v>5.4678007290400975E-2</v>
      </c>
      <c r="I47">
        <f t="shared" si="0"/>
        <v>1</v>
      </c>
    </row>
    <row r="48" spans="1:9" ht="60" x14ac:dyDescent="0.25">
      <c r="A48" t="s">
        <v>3139</v>
      </c>
      <c r="B48">
        <v>30855</v>
      </c>
      <c r="C48">
        <v>710</v>
      </c>
      <c r="F48" s="4" t="s">
        <v>3140</v>
      </c>
      <c r="G48">
        <v>0.26611780339498742</v>
      </c>
      <c r="H48">
        <f t="shared" si="1"/>
        <v>5.5893074119076548E-2</v>
      </c>
      <c r="I48">
        <f t="shared" si="0"/>
        <v>1</v>
      </c>
    </row>
    <row r="49" spans="1:9" ht="60" x14ac:dyDescent="0.25">
      <c r="A49" t="s">
        <v>3141</v>
      </c>
      <c r="B49">
        <v>30987</v>
      </c>
      <c r="C49">
        <v>1018</v>
      </c>
      <c r="F49" s="4" t="s">
        <v>3142</v>
      </c>
      <c r="G49">
        <v>0.26646727701344997</v>
      </c>
      <c r="H49">
        <f t="shared" si="1"/>
        <v>5.7108140947752128E-2</v>
      </c>
      <c r="I49">
        <f t="shared" si="0"/>
        <v>1</v>
      </c>
    </row>
    <row r="50" spans="1:9" ht="75" x14ac:dyDescent="0.25">
      <c r="A50" t="s">
        <v>3143</v>
      </c>
      <c r="B50">
        <v>30995</v>
      </c>
      <c r="C50">
        <v>1050</v>
      </c>
      <c r="F50" s="4" t="s">
        <v>3144</v>
      </c>
      <c r="G50">
        <v>0.26690338715535256</v>
      </c>
      <c r="H50">
        <f t="shared" si="1"/>
        <v>5.8323207776427702E-2</v>
      </c>
      <c r="I50">
        <f t="shared" si="0"/>
        <v>1</v>
      </c>
    </row>
    <row r="51" spans="1:9" ht="60" x14ac:dyDescent="0.25">
      <c r="A51" t="s">
        <v>3145</v>
      </c>
      <c r="B51">
        <v>31179</v>
      </c>
      <c r="C51">
        <v>1114</v>
      </c>
      <c r="F51" s="4" t="s">
        <v>3146</v>
      </c>
      <c r="G51">
        <v>0.26820023893743117</v>
      </c>
      <c r="H51">
        <f t="shared" si="1"/>
        <v>5.9538274605103282E-2</v>
      </c>
      <c r="I51">
        <f t="shared" si="0"/>
        <v>1</v>
      </c>
    </row>
    <row r="52" spans="1:9" ht="60" x14ac:dyDescent="0.25">
      <c r="A52" t="s">
        <v>3147</v>
      </c>
      <c r="B52">
        <v>31309</v>
      </c>
      <c r="C52">
        <v>1024</v>
      </c>
      <c r="F52" s="4" t="s">
        <v>3148</v>
      </c>
      <c r="G52">
        <v>0.2687601053826687</v>
      </c>
      <c r="H52">
        <f t="shared" si="1"/>
        <v>6.0753341433778855E-2</v>
      </c>
      <c r="I52">
        <f t="shared" si="0"/>
        <v>1</v>
      </c>
    </row>
    <row r="53" spans="1:9" ht="60" x14ac:dyDescent="0.25">
      <c r="A53" t="s">
        <v>3149</v>
      </c>
      <c r="B53">
        <v>31618</v>
      </c>
      <c r="C53">
        <v>927</v>
      </c>
      <c r="F53" s="4" t="s">
        <v>3150</v>
      </c>
      <c r="G53">
        <v>0.26907153890270991</v>
      </c>
      <c r="H53">
        <f t="shared" si="1"/>
        <v>6.1968408262454436E-2</v>
      </c>
      <c r="I53">
        <f t="shared" si="0"/>
        <v>1</v>
      </c>
    </row>
    <row r="54" spans="1:9" ht="45" x14ac:dyDescent="0.25">
      <c r="A54" t="s">
        <v>3151</v>
      </c>
      <c r="B54">
        <v>31838</v>
      </c>
      <c r="C54">
        <v>1313</v>
      </c>
      <c r="F54" s="4" t="s">
        <v>3152</v>
      </c>
      <c r="G54">
        <v>0.26926439587687379</v>
      </c>
      <c r="H54">
        <f t="shared" si="1"/>
        <v>6.3183475091130009E-2</v>
      </c>
      <c r="I54">
        <f t="shared" si="0"/>
        <v>1</v>
      </c>
    </row>
    <row r="55" spans="1:9" ht="60" x14ac:dyDescent="0.25">
      <c r="A55" t="s">
        <v>3153</v>
      </c>
      <c r="B55">
        <v>31972</v>
      </c>
      <c r="C55">
        <v>998</v>
      </c>
      <c r="F55" s="4" t="s">
        <v>3154</v>
      </c>
      <c r="G55">
        <v>0.269987849112237</v>
      </c>
      <c r="H55">
        <f t="shared" si="1"/>
        <v>6.4398541919805583E-2</v>
      </c>
      <c r="I55">
        <f t="shared" si="0"/>
        <v>1</v>
      </c>
    </row>
    <row r="56" spans="1:9" ht="60" x14ac:dyDescent="0.25">
      <c r="A56" t="s">
        <v>3155</v>
      </c>
      <c r="B56">
        <v>32052</v>
      </c>
      <c r="C56">
        <v>903</v>
      </c>
      <c r="F56" s="4" t="s">
        <v>3156</v>
      </c>
      <c r="G56">
        <v>0.26999295057570299</v>
      </c>
      <c r="H56">
        <f t="shared" si="1"/>
        <v>6.561360874848117E-2</v>
      </c>
      <c r="I56">
        <f t="shared" si="0"/>
        <v>1</v>
      </c>
    </row>
    <row r="57" spans="1:9" ht="60" x14ac:dyDescent="0.25">
      <c r="A57" t="s">
        <v>3157</v>
      </c>
      <c r="B57">
        <v>32110</v>
      </c>
      <c r="C57">
        <v>1067</v>
      </c>
      <c r="F57" s="4" t="s">
        <v>3158</v>
      </c>
      <c r="G57">
        <v>0.27136483937065708</v>
      </c>
      <c r="H57">
        <f t="shared" si="1"/>
        <v>6.6828675577156743E-2</v>
      </c>
      <c r="I57">
        <f t="shared" si="0"/>
        <v>1</v>
      </c>
    </row>
    <row r="58" spans="1:9" ht="60" x14ac:dyDescent="0.25">
      <c r="A58" t="s">
        <v>3159</v>
      </c>
      <c r="B58">
        <v>32378</v>
      </c>
      <c r="C58">
        <v>1254</v>
      </c>
      <c r="F58" s="4" t="s">
        <v>3160</v>
      </c>
      <c r="G58">
        <v>0.27182426107393926</v>
      </c>
      <c r="H58">
        <f t="shared" si="1"/>
        <v>6.8043742405832316E-2</v>
      </c>
      <c r="I58">
        <f t="shared" si="0"/>
        <v>1</v>
      </c>
    </row>
    <row r="59" spans="1:9" ht="75" x14ac:dyDescent="0.25">
      <c r="A59" t="s">
        <v>3161</v>
      </c>
      <c r="B59">
        <v>32444</v>
      </c>
      <c r="C59">
        <v>1213</v>
      </c>
      <c r="F59" s="4" t="s">
        <v>3162</v>
      </c>
      <c r="G59">
        <v>0.27248203786018471</v>
      </c>
      <c r="H59">
        <f t="shared" si="1"/>
        <v>6.9258809234507904E-2</v>
      </c>
      <c r="I59">
        <f t="shared" si="0"/>
        <v>1</v>
      </c>
    </row>
    <row r="60" spans="1:9" ht="60" x14ac:dyDescent="0.25">
      <c r="A60" t="s">
        <v>3163</v>
      </c>
      <c r="B60">
        <v>33049</v>
      </c>
      <c r="C60">
        <v>1054</v>
      </c>
      <c r="F60" s="4" t="s">
        <v>3164</v>
      </c>
      <c r="G60">
        <v>0.27311825299948678</v>
      </c>
      <c r="H60">
        <f t="shared" si="1"/>
        <v>7.0473876063183477E-2</v>
      </c>
      <c r="I60">
        <f t="shared" si="0"/>
        <v>1</v>
      </c>
    </row>
    <row r="61" spans="1:9" ht="60" x14ac:dyDescent="0.25">
      <c r="A61" t="s">
        <v>3165</v>
      </c>
      <c r="B61">
        <v>33056</v>
      </c>
      <c r="C61">
        <v>1190</v>
      </c>
      <c r="F61" s="4" t="s">
        <v>3166</v>
      </c>
      <c r="G61">
        <v>0.27458913393235673</v>
      </c>
      <c r="H61">
        <f t="shared" si="1"/>
        <v>7.168894289185905E-2</v>
      </c>
      <c r="I61">
        <f t="shared" si="0"/>
        <v>1</v>
      </c>
    </row>
    <row r="62" spans="1:9" ht="60" x14ac:dyDescent="0.25">
      <c r="A62" t="s">
        <v>3167</v>
      </c>
      <c r="B62">
        <v>33221</v>
      </c>
      <c r="C62">
        <v>1213</v>
      </c>
      <c r="F62" s="4" t="s">
        <v>3168</v>
      </c>
      <c r="G62">
        <v>0.2747427564034331</v>
      </c>
      <c r="H62">
        <f t="shared" si="1"/>
        <v>7.2904009720534624E-2</v>
      </c>
      <c r="I62">
        <f t="shared" si="0"/>
        <v>1</v>
      </c>
    </row>
    <row r="63" spans="1:9" ht="60" x14ac:dyDescent="0.25">
      <c r="A63" t="s">
        <v>3169</v>
      </c>
      <c r="B63">
        <v>33750</v>
      </c>
      <c r="C63">
        <v>1069</v>
      </c>
      <c r="F63" s="4" t="s">
        <v>3170</v>
      </c>
      <c r="G63">
        <v>0.27559516193865163</v>
      </c>
      <c r="H63">
        <f t="shared" si="1"/>
        <v>7.4119076549210211E-2</v>
      </c>
      <c r="I63">
        <f t="shared" si="0"/>
        <v>1</v>
      </c>
    </row>
    <row r="64" spans="1:9" ht="45" x14ac:dyDescent="0.25">
      <c r="A64" t="s">
        <v>3171</v>
      </c>
      <c r="B64">
        <v>33942</v>
      </c>
      <c r="C64">
        <v>1146</v>
      </c>
      <c r="F64" s="4" t="s">
        <v>3172</v>
      </c>
      <c r="G64">
        <v>0.27575696739340916</v>
      </c>
      <c r="H64">
        <f t="shared" si="1"/>
        <v>7.5334143377885784E-2</v>
      </c>
      <c r="I64">
        <f t="shared" si="0"/>
        <v>1</v>
      </c>
    </row>
    <row r="65" spans="1:9" ht="60" x14ac:dyDescent="0.25">
      <c r="A65" t="s">
        <v>3173</v>
      </c>
      <c r="B65">
        <v>33958</v>
      </c>
      <c r="C65">
        <v>896</v>
      </c>
      <c r="F65" s="4" t="s">
        <v>3174</v>
      </c>
      <c r="G65">
        <v>0.27602744201794238</v>
      </c>
      <c r="H65">
        <f t="shared" si="1"/>
        <v>7.6549210206561358E-2</v>
      </c>
      <c r="I65">
        <f t="shared" si="0"/>
        <v>1</v>
      </c>
    </row>
    <row r="66" spans="1:9" ht="60" x14ac:dyDescent="0.25">
      <c r="A66" t="s">
        <v>3175</v>
      </c>
      <c r="B66">
        <v>34172</v>
      </c>
      <c r="C66">
        <v>1125</v>
      </c>
      <c r="F66" s="4" t="s">
        <v>3176</v>
      </c>
      <c r="G66">
        <v>0.27641758456435234</v>
      </c>
      <c r="H66">
        <f t="shared" si="1"/>
        <v>7.7764277035236931E-2</v>
      </c>
      <c r="I66">
        <f t="shared" si="0"/>
        <v>1</v>
      </c>
    </row>
    <row r="67" spans="1:9" ht="60" x14ac:dyDescent="0.25">
      <c r="A67" t="s">
        <v>3177</v>
      </c>
      <c r="B67">
        <v>34450</v>
      </c>
      <c r="C67">
        <v>1202</v>
      </c>
      <c r="F67" s="4" t="s">
        <v>3178</v>
      </c>
      <c r="G67">
        <v>0.27666386566212431</v>
      </c>
      <c r="H67">
        <f t="shared" si="1"/>
        <v>7.8979343863912518E-2</v>
      </c>
      <c r="I67">
        <f t="shared" ref="I67:I130" si="2">IF(H67&lt;0.2,1,IF(H67&lt;0.4,2,IF(H67&lt;0.6,3,IF(H67&lt;0.8,4,5))))</f>
        <v>1</v>
      </c>
    </row>
    <row r="68" spans="1:9" ht="60" x14ac:dyDescent="0.25">
      <c r="A68" t="s">
        <v>3179</v>
      </c>
      <c r="B68">
        <v>34507</v>
      </c>
      <c r="C68">
        <v>965</v>
      </c>
      <c r="F68" s="4" t="s">
        <v>3180</v>
      </c>
      <c r="G68">
        <v>0.27902813555377048</v>
      </c>
      <c r="H68">
        <f t="shared" ref="H68:H131" si="3">_xlfn.RANK.EQ(G68,$G$3:$G$825,1)/COUNT($G$3:$G$825)</f>
        <v>8.0194410692588092E-2</v>
      </c>
      <c r="I68">
        <f t="shared" si="2"/>
        <v>1</v>
      </c>
    </row>
    <row r="69" spans="1:9" ht="60" x14ac:dyDescent="0.25">
      <c r="A69" t="s">
        <v>3181</v>
      </c>
      <c r="B69">
        <v>34788</v>
      </c>
      <c r="C69">
        <v>1092</v>
      </c>
      <c r="F69" s="4" t="s">
        <v>3182</v>
      </c>
      <c r="G69">
        <v>0.28044039568323587</v>
      </c>
      <c r="H69">
        <f t="shared" si="3"/>
        <v>8.1409477521263665E-2</v>
      </c>
      <c r="I69">
        <f t="shared" si="2"/>
        <v>1</v>
      </c>
    </row>
    <row r="70" spans="1:9" ht="60" x14ac:dyDescent="0.25">
      <c r="A70" t="s">
        <v>3183</v>
      </c>
      <c r="B70">
        <v>35030</v>
      </c>
      <c r="C70">
        <v>1127</v>
      </c>
      <c r="F70" s="4" t="s">
        <v>3184</v>
      </c>
      <c r="G70">
        <v>0.28162994318540802</v>
      </c>
      <c r="H70">
        <f t="shared" si="3"/>
        <v>8.2624544349939252E-2</v>
      </c>
      <c r="I70">
        <f t="shared" si="2"/>
        <v>1</v>
      </c>
    </row>
    <row r="71" spans="1:9" ht="60" x14ac:dyDescent="0.25">
      <c r="A71" t="s">
        <v>3185</v>
      </c>
      <c r="B71">
        <v>35163</v>
      </c>
      <c r="C71">
        <v>1256</v>
      </c>
      <c r="F71" s="4" t="s">
        <v>3186</v>
      </c>
      <c r="G71">
        <v>0.28202178694760693</v>
      </c>
      <c r="H71">
        <f t="shared" si="3"/>
        <v>8.3839611178614826E-2</v>
      </c>
      <c r="I71">
        <f t="shared" si="2"/>
        <v>1</v>
      </c>
    </row>
    <row r="72" spans="1:9" ht="60" x14ac:dyDescent="0.25">
      <c r="A72" t="s">
        <v>3187</v>
      </c>
      <c r="B72">
        <v>35234</v>
      </c>
      <c r="C72">
        <v>1033</v>
      </c>
      <c r="F72" s="4" t="s">
        <v>3188</v>
      </c>
      <c r="G72">
        <v>0.28235574391302404</v>
      </c>
      <c r="H72">
        <f t="shared" si="3"/>
        <v>8.5054678007290399E-2</v>
      </c>
      <c r="I72">
        <f t="shared" si="2"/>
        <v>1</v>
      </c>
    </row>
    <row r="73" spans="1:9" ht="60" x14ac:dyDescent="0.25">
      <c r="A73" t="s">
        <v>3189</v>
      </c>
      <c r="B73">
        <v>35313</v>
      </c>
      <c r="C73">
        <v>912</v>
      </c>
      <c r="F73" s="4" t="s">
        <v>3190</v>
      </c>
      <c r="G73">
        <v>0.28270133566461475</v>
      </c>
      <c r="H73">
        <f t="shared" si="3"/>
        <v>8.6269744835965972E-2</v>
      </c>
      <c r="I73">
        <f t="shared" si="2"/>
        <v>1</v>
      </c>
    </row>
    <row r="74" spans="1:9" ht="60" x14ac:dyDescent="0.25">
      <c r="A74" t="s">
        <v>3191</v>
      </c>
      <c r="B74">
        <v>35460</v>
      </c>
      <c r="C74">
        <v>859</v>
      </c>
      <c r="F74" s="4" t="s">
        <v>3192</v>
      </c>
      <c r="G74">
        <v>0.28283723074183525</v>
      </c>
      <c r="H74">
        <f t="shared" si="3"/>
        <v>8.748481166464156E-2</v>
      </c>
      <c r="I74">
        <f t="shared" si="2"/>
        <v>1</v>
      </c>
    </row>
    <row r="75" spans="1:9" ht="60" x14ac:dyDescent="0.25">
      <c r="A75" t="s">
        <v>3193</v>
      </c>
      <c r="B75">
        <v>35463</v>
      </c>
      <c r="C75">
        <v>998</v>
      </c>
      <c r="F75" s="4" t="s">
        <v>3194</v>
      </c>
      <c r="G75">
        <v>0.28304750326493533</v>
      </c>
      <c r="H75">
        <f t="shared" si="3"/>
        <v>8.8699878493317133E-2</v>
      </c>
      <c r="I75">
        <f t="shared" si="2"/>
        <v>1</v>
      </c>
    </row>
    <row r="76" spans="1:9" ht="60" x14ac:dyDescent="0.25">
      <c r="A76" t="s">
        <v>3195</v>
      </c>
      <c r="B76">
        <v>35492</v>
      </c>
      <c r="C76">
        <v>1228</v>
      </c>
      <c r="F76" s="4" t="s">
        <v>3196</v>
      </c>
      <c r="G76">
        <v>0.28310806380765913</v>
      </c>
      <c r="H76">
        <f t="shared" si="3"/>
        <v>8.9914945321992706E-2</v>
      </c>
      <c r="I76">
        <f t="shared" si="2"/>
        <v>1</v>
      </c>
    </row>
    <row r="77" spans="1:9" ht="60" x14ac:dyDescent="0.25">
      <c r="A77" t="s">
        <v>3197</v>
      </c>
      <c r="B77">
        <v>35799</v>
      </c>
      <c r="C77">
        <v>963</v>
      </c>
      <c r="F77" s="4" t="s">
        <v>3198</v>
      </c>
      <c r="G77">
        <v>0.28312886534334947</v>
      </c>
      <c r="H77">
        <f t="shared" si="3"/>
        <v>9.1130012150668294E-2</v>
      </c>
      <c r="I77">
        <f t="shared" si="2"/>
        <v>1</v>
      </c>
    </row>
    <row r="78" spans="1:9" ht="60" x14ac:dyDescent="0.25">
      <c r="A78" t="s">
        <v>3199</v>
      </c>
      <c r="B78">
        <v>36058</v>
      </c>
      <c r="C78">
        <v>1247</v>
      </c>
      <c r="F78" s="4" t="s">
        <v>3200</v>
      </c>
      <c r="G78">
        <v>0.28315219635447619</v>
      </c>
      <c r="H78">
        <f t="shared" si="3"/>
        <v>9.2345078979343867E-2</v>
      </c>
      <c r="I78">
        <f t="shared" si="2"/>
        <v>1</v>
      </c>
    </row>
    <row r="79" spans="1:9" ht="60" x14ac:dyDescent="0.25">
      <c r="A79" t="s">
        <v>3201</v>
      </c>
      <c r="B79">
        <v>36120</v>
      </c>
      <c r="C79">
        <v>1020</v>
      </c>
      <c r="F79" s="4" t="s">
        <v>3202</v>
      </c>
      <c r="G79">
        <v>0.28327930519918321</v>
      </c>
      <c r="H79">
        <f t="shared" si="3"/>
        <v>9.356014580801944E-2</v>
      </c>
      <c r="I79">
        <f t="shared" si="2"/>
        <v>1</v>
      </c>
    </row>
    <row r="80" spans="1:9" ht="60" x14ac:dyDescent="0.25">
      <c r="A80" t="s">
        <v>3203</v>
      </c>
      <c r="B80">
        <v>36304</v>
      </c>
      <c r="C80">
        <v>1165</v>
      </c>
      <c r="F80" s="4" t="s">
        <v>3204</v>
      </c>
      <c r="G80">
        <v>0.28330410573503295</v>
      </c>
      <c r="H80">
        <f t="shared" si="3"/>
        <v>9.4775212636695014E-2</v>
      </c>
      <c r="I80">
        <f t="shared" si="2"/>
        <v>1</v>
      </c>
    </row>
    <row r="81" spans="1:9" ht="60" x14ac:dyDescent="0.25">
      <c r="A81" t="s">
        <v>3205</v>
      </c>
      <c r="B81">
        <v>36495</v>
      </c>
      <c r="C81">
        <v>1081</v>
      </c>
      <c r="F81" s="4" t="s">
        <v>3206</v>
      </c>
      <c r="G81">
        <v>0.28350983409654734</v>
      </c>
      <c r="H81">
        <f t="shared" si="3"/>
        <v>9.5990279465370601E-2</v>
      </c>
      <c r="I81">
        <f t="shared" si="2"/>
        <v>1</v>
      </c>
    </row>
    <row r="82" spans="1:9" ht="60" x14ac:dyDescent="0.25">
      <c r="A82" t="s">
        <v>3207</v>
      </c>
      <c r="B82">
        <v>36540</v>
      </c>
      <c r="C82">
        <v>1129</v>
      </c>
      <c r="F82" s="4" t="s">
        <v>3208</v>
      </c>
      <c r="G82">
        <v>0.2843667206804098</v>
      </c>
      <c r="H82">
        <f t="shared" si="3"/>
        <v>9.7205346294046174E-2</v>
      </c>
      <c r="I82">
        <f t="shared" si="2"/>
        <v>1</v>
      </c>
    </row>
    <row r="83" spans="1:9" ht="60" x14ac:dyDescent="0.25">
      <c r="A83" t="s">
        <v>3209</v>
      </c>
      <c r="B83">
        <v>36743</v>
      </c>
      <c r="C83">
        <v>1060</v>
      </c>
      <c r="F83" s="4" t="s">
        <v>3210</v>
      </c>
      <c r="G83">
        <v>0.28436681519564577</v>
      </c>
      <c r="H83">
        <f t="shared" si="3"/>
        <v>9.8420413122721748E-2</v>
      </c>
      <c r="I83">
        <f t="shared" si="2"/>
        <v>1</v>
      </c>
    </row>
    <row r="84" spans="1:9" ht="60" x14ac:dyDescent="0.25">
      <c r="A84" t="s">
        <v>3211</v>
      </c>
      <c r="B84">
        <v>37353</v>
      </c>
      <c r="C84">
        <v>1097</v>
      </c>
      <c r="F84" s="4" t="s">
        <v>3212</v>
      </c>
      <c r="G84">
        <v>0.28468205929741891</v>
      </c>
      <c r="H84">
        <f t="shared" si="3"/>
        <v>9.9635479951397321E-2</v>
      </c>
      <c r="I84">
        <f t="shared" si="2"/>
        <v>1</v>
      </c>
    </row>
    <row r="85" spans="1:9" ht="60" x14ac:dyDescent="0.25">
      <c r="A85" t="s">
        <v>3213</v>
      </c>
      <c r="B85">
        <v>37403</v>
      </c>
      <c r="C85">
        <v>1017</v>
      </c>
      <c r="F85" s="4" t="s">
        <v>3214</v>
      </c>
      <c r="G85">
        <v>0.28490943189667983</v>
      </c>
      <c r="H85">
        <f t="shared" si="3"/>
        <v>0.10085054678007291</v>
      </c>
      <c r="I85">
        <f t="shared" si="2"/>
        <v>1</v>
      </c>
    </row>
    <row r="86" spans="1:9" ht="60" x14ac:dyDescent="0.25">
      <c r="A86" t="s">
        <v>3215</v>
      </c>
      <c r="B86">
        <v>37463</v>
      </c>
      <c r="C86">
        <v>946</v>
      </c>
      <c r="F86" s="4" t="s">
        <v>3216</v>
      </c>
      <c r="G86">
        <v>0.28513017385227096</v>
      </c>
      <c r="H86">
        <f t="shared" si="3"/>
        <v>0.10206561360874848</v>
      </c>
      <c r="I86">
        <f t="shared" si="2"/>
        <v>1</v>
      </c>
    </row>
    <row r="87" spans="1:9" ht="60" x14ac:dyDescent="0.25">
      <c r="A87" t="s">
        <v>3217</v>
      </c>
      <c r="B87">
        <v>37481</v>
      </c>
      <c r="C87">
        <v>1269</v>
      </c>
      <c r="F87" s="4" t="s">
        <v>3218</v>
      </c>
      <c r="G87">
        <v>0.28581149186523569</v>
      </c>
      <c r="H87">
        <f t="shared" si="3"/>
        <v>0.10328068043742406</v>
      </c>
      <c r="I87">
        <f t="shared" si="2"/>
        <v>1</v>
      </c>
    </row>
    <row r="88" spans="1:9" ht="45" x14ac:dyDescent="0.25">
      <c r="A88" t="s">
        <v>3219</v>
      </c>
      <c r="B88">
        <v>37688</v>
      </c>
      <c r="C88">
        <v>970</v>
      </c>
      <c r="F88" s="4" t="s">
        <v>3220</v>
      </c>
      <c r="G88">
        <v>0.28648356730362845</v>
      </c>
      <c r="H88">
        <f t="shared" si="3"/>
        <v>0.10449574726609964</v>
      </c>
      <c r="I88">
        <f t="shared" si="2"/>
        <v>1</v>
      </c>
    </row>
    <row r="89" spans="1:9" ht="60" x14ac:dyDescent="0.25">
      <c r="A89" t="s">
        <v>3221</v>
      </c>
      <c r="B89">
        <v>37802</v>
      </c>
      <c r="C89">
        <v>1162</v>
      </c>
      <c r="F89" s="4" t="s">
        <v>3222</v>
      </c>
      <c r="G89">
        <v>0.28742175784443358</v>
      </c>
      <c r="H89">
        <f t="shared" si="3"/>
        <v>0.10571081409477522</v>
      </c>
      <c r="I89">
        <f t="shared" si="2"/>
        <v>1</v>
      </c>
    </row>
    <row r="90" spans="1:9" ht="60" x14ac:dyDescent="0.25">
      <c r="A90" t="s">
        <v>3223</v>
      </c>
      <c r="B90">
        <v>38560</v>
      </c>
      <c r="C90">
        <v>1230</v>
      </c>
      <c r="F90" s="4" t="s">
        <v>3224</v>
      </c>
      <c r="G90">
        <v>0.28743560748271829</v>
      </c>
      <c r="H90">
        <f t="shared" si="3"/>
        <v>0.10692588092345079</v>
      </c>
      <c r="I90">
        <f t="shared" si="2"/>
        <v>1</v>
      </c>
    </row>
    <row r="91" spans="1:9" ht="60" x14ac:dyDescent="0.25">
      <c r="A91" t="s">
        <v>3225</v>
      </c>
      <c r="B91">
        <v>39167</v>
      </c>
      <c r="C91">
        <v>1130</v>
      </c>
      <c r="F91" s="4" t="s">
        <v>3226</v>
      </c>
      <c r="G91">
        <v>0.28783845139375291</v>
      </c>
      <c r="H91">
        <f t="shared" si="3"/>
        <v>0.10814094775212636</v>
      </c>
      <c r="I91">
        <f t="shared" si="2"/>
        <v>1</v>
      </c>
    </row>
    <row r="92" spans="1:9" ht="60" x14ac:dyDescent="0.25">
      <c r="A92" t="s">
        <v>3227</v>
      </c>
      <c r="B92">
        <v>39196</v>
      </c>
      <c r="C92">
        <v>1097</v>
      </c>
      <c r="F92" s="4" t="s">
        <v>3228</v>
      </c>
      <c r="G92">
        <v>0.28786256020181056</v>
      </c>
      <c r="H92">
        <f t="shared" si="3"/>
        <v>0.10935601458080195</v>
      </c>
      <c r="I92">
        <f t="shared" si="2"/>
        <v>1</v>
      </c>
    </row>
    <row r="93" spans="1:9" ht="60" x14ac:dyDescent="0.25">
      <c r="A93" t="s">
        <v>3229</v>
      </c>
      <c r="B93">
        <v>39545</v>
      </c>
      <c r="C93">
        <v>1034</v>
      </c>
      <c r="F93" s="4" t="s">
        <v>3230</v>
      </c>
      <c r="G93">
        <v>0.28881289613941058</v>
      </c>
      <c r="H93">
        <f t="shared" si="3"/>
        <v>0.11057108140947752</v>
      </c>
      <c r="I93">
        <f t="shared" si="2"/>
        <v>1</v>
      </c>
    </row>
    <row r="94" spans="1:9" ht="60" x14ac:dyDescent="0.25">
      <c r="A94" t="s">
        <v>3231</v>
      </c>
      <c r="B94">
        <v>39737</v>
      </c>
      <c r="C94">
        <v>1228</v>
      </c>
      <c r="F94" s="4" t="s">
        <v>3232</v>
      </c>
      <c r="G94">
        <v>0.2891563083263064</v>
      </c>
      <c r="H94">
        <f t="shared" si="3"/>
        <v>0.1117861482381531</v>
      </c>
      <c r="I94">
        <f t="shared" si="2"/>
        <v>1</v>
      </c>
    </row>
    <row r="95" spans="1:9" ht="60" x14ac:dyDescent="0.25">
      <c r="A95" t="s">
        <v>3233</v>
      </c>
      <c r="B95">
        <v>40066</v>
      </c>
      <c r="C95">
        <v>1014</v>
      </c>
      <c r="F95" s="4" t="s">
        <v>3234</v>
      </c>
      <c r="G95">
        <v>0.28916231012420829</v>
      </c>
      <c r="H95">
        <f t="shared" si="3"/>
        <v>0.11300121506682867</v>
      </c>
      <c r="I95">
        <f t="shared" si="2"/>
        <v>1</v>
      </c>
    </row>
    <row r="96" spans="1:9" ht="60" x14ac:dyDescent="0.25">
      <c r="A96" t="s">
        <v>3235</v>
      </c>
      <c r="B96">
        <v>40075</v>
      </c>
      <c r="C96">
        <v>1314</v>
      </c>
      <c r="F96" s="4" t="s">
        <v>3236</v>
      </c>
      <c r="G96">
        <v>0.28944071649941455</v>
      </c>
      <c r="H96">
        <f t="shared" si="3"/>
        <v>0.11421628189550426</v>
      </c>
      <c r="I96">
        <f t="shared" si="2"/>
        <v>1</v>
      </c>
    </row>
    <row r="97" spans="1:9" ht="60" x14ac:dyDescent="0.25">
      <c r="A97" t="s">
        <v>3237</v>
      </c>
      <c r="B97">
        <v>40169</v>
      </c>
      <c r="C97">
        <v>1058</v>
      </c>
      <c r="F97" s="4" t="s">
        <v>3238</v>
      </c>
      <c r="G97">
        <v>0.28960118187146189</v>
      </c>
      <c r="H97">
        <f t="shared" si="3"/>
        <v>0.11543134872417983</v>
      </c>
      <c r="I97">
        <f t="shared" si="2"/>
        <v>1</v>
      </c>
    </row>
    <row r="98" spans="1:9" ht="60" x14ac:dyDescent="0.25">
      <c r="A98" t="s">
        <v>3239</v>
      </c>
      <c r="B98">
        <v>40245</v>
      </c>
      <c r="C98">
        <v>1131</v>
      </c>
      <c r="F98" s="4" t="s">
        <v>3240</v>
      </c>
      <c r="G98">
        <v>0.28971250432975404</v>
      </c>
      <c r="H98">
        <f t="shared" si="3"/>
        <v>0.1166464155528554</v>
      </c>
      <c r="I98">
        <f t="shared" si="2"/>
        <v>1</v>
      </c>
    </row>
    <row r="99" spans="1:9" ht="60" x14ac:dyDescent="0.25">
      <c r="A99" t="s">
        <v>3241</v>
      </c>
      <c r="B99">
        <v>40625</v>
      </c>
      <c r="C99">
        <v>1226</v>
      </c>
      <c r="F99" s="4" t="s">
        <v>3242</v>
      </c>
      <c r="G99">
        <v>0.28975975094672807</v>
      </c>
      <c r="H99">
        <f t="shared" si="3"/>
        <v>0.11786148238153099</v>
      </c>
      <c r="I99">
        <f t="shared" si="2"/>
        <v>1</v>
      </c>
    </row>
    <row r="100" spans="1:9" ht="60" x14ac:dyDescent="0.25">
      <c r="A100" t="s">
        <v>3243</v>
      </c>
      <c r="B100">
        <v>40637</v>
      </c>
      <c r="C100">
        <v>1182</v>
      </c>
      <c r="F100" s="4" t="s">
        <v>3244</v>
      </c>
      <c r="G100">
        <v>0.29014657414887463</v>
      </c>
      <c r="H100">
        <f t="shared" si="3"/>
        <v>0.11907654921020656</v>
      </c>
      <c r="I100">
        <f t="shared" si="2"/>
        <v>1</v>
      </c>
    </row>
    <row r="101" spans="1:9" ht="60" x14ac:dyDescent="0.25">
      <c r="A101" t="s">
        <v>3245</v>
      </c>
      <c r="B101">
        <v>40913</v>
      </c>
      <c r="C101">
        <v>1104</v>
      </c>
      <c r="F101" s="4" t="s">
        <v>3246</v>
      </c>
      <c r="G101">
        <v>0.29043440817806582</v>
      </c>
      <c r="H101">
        <f t="shared" si="3"/>
        <v>0.12029161603888214</v>
      </c>
      <c r="I101">
        <f t="shared" si="2"/>
        <v>1</v>
      </c>
    </row>
    <row r="102" spans="1:9" ht="60" x14ac:dyDescent="0.25">
      <c r="A102" t="s">
        <v>3247</v>
      </c>
      <c r="B102">
        <v>41218</v>
      </c>
      <c r="C102">
        <v>1185</v>
      </c>
      <c r="F102" s="4" t="s">
        <v>3248</v>
      </c>
      <c r="G102">
        <v>0.29107585173369593</v>
      </c>
      <c r="H102">
        <f t="shared" si="3"/>
        <v>0.12150668286755771</v>
      </c>
      <c r="I102">
        <f t="shared" si="2"/>
        <v>1</v>
      </c>
    </row>
    <row r="103" spans="1:9" ht="60" x14ac:dyDescent="0.25">
      <c r="A103" t="s">
        <v>3249</v>
      </c>
      <c r="B103">
        <v>41467</v>
      </c>
      <c r="C103">
        <v>1077</v>
      </c>
      <c r="F103" s="4" t="s">
        <v>3250</v>
      </c>
      <c r="G103">
        <v>0.29115080313101643</v>
      </c>
      <c r="H103">
        <f t="shared" si="3"/>
        <v>0.1227217496962333</v>
      </c>
      <c r="I103">
        <f t="shared" si="2"/>
        <v>1</v>
      </c>
    </row>
    <row r="104" spans="1:9" ht="60" x14ac:dyDescent="0.25">
      <c r="A104" t="s">
        <v>3251</v>
      </c>
      <c r="B104">
        <v>41477</v>
      </c>
      <c r="C104">
        <v>1263</v>
      </c>
      <c r="F104" s="4" t="s">
        <v>3252</v>
      </c>
      <c r="G104">
        <v>0.29121531903903208</v>
      </c>
      <c r="H104">
        <f t="shared" si="3"/>
        <v>0.12393681652490887</v>
      </c>
      <c r="I104">
        <f t="shared" si="2"/>
        <v>1</v>
      </c>
    </row>
    <row r="105" spans="1:9" ht="60" x14ac:dyDescent="0.25">
      <c r="A105" t="s">
        <v>3253</v>
      </c>
      <c r="B105">
        <v>41616</v>
      </c>
      <c r="C105">
        <v>886</v>
      </c>
      <c r="F105" s="4" t="s">
        <v>3254</v>
      </c>
      <c r="G105">
        <v>0.29135966901424698</v>
      </c>
      <c r="H105">
        <f t="shared" si="3"/>
        <v>0.12515188335358446</v>
      </c>
      <c r="I105">
        <f t="shared" si="2"/>
        <v>1</v>
      </c>
    </row>
    <row r="106" spans="1:9" ht="60" x14ac:dyDescent="0.25">
      <c r="A106" t="s">
        <v>3255</v>
      </c>
      <c r="B106">
        <v>41881</v>
      </c>
      <c r="C106">
        <v>1365</v>
      </c>
      <c r="F106" s="4" t="s">
        <v>3256</v>
      </c>
      <c r="G106">
        <v>0.29186377763903926</v>
      </c>
      <c r="H106">
        <f t="shared" si="3"/>
        <v>0.12636695018226002</v>
      </c>
      <c r="I106">
        <f t="shared" si="2"/>
        <v>1</v>
      </c>
    </row>
    <row r="107" spans="1:9" ht="60" x14ac:dyDescent="0.25">
      <c r="A107" t="s">
        <v>3257</v>
      </c>
      <c r="B107">
        <v>42021</v>
      </c>
      <c r="C107">
        <v>1142</v>
      </c>
      <c r="F107" s="4" t="s">
        <v>3258</v>
      </c>
      <c r="G107">
        <v>0.29187064657520939</v>
      </c>
      <c r="H107">
        <f t="shared" si="3"/>
        <v>0.12758201701093561</v>
      </c>
      <c r="I107">
        <f t="shared" si="2"/>
        <v>1</v>
      </c>
    </row>
    <row r="108" spans="1:9" ht="60" x14ac:dyDescent="0.25">
      <c r="A108" t="s">
        <v>3259</v>
      </c>
      <c r="B108">
        <v>42095</v>
      </c>
      <c r="C108">
        <v>1195</v>
      </c>
      <c r="F108" s="4" t="s">
        <v>3260</v>
      </c>
      <c r="G108">
        <v>0.29205594022133119</v>
      </c>
      <c r="H108">
        <f t="shared" si="3"/>
        <v>0.12879708383961117</v>
      </c>
      <c r="I108">
        <f t="shared" si="2"/>
        <v>1</v>
      </c>
    </row>
    <row r="109" spans="1:9" ht="60" x14ac:dyDescent="0.25">
      <c r="A109" t="s">
        <v>3261</v>
      </c>
      <c r="B109">
        <v>42188</v>
      </c>
      <c r="C109">
        <v>882</v>
      </c>
      <c r="F109" s="4" t="s">
        <v>3262</v>
      </c>
      <c r="G109">
        <v>0.29224151485056427</v>
      </c>
      <c r="H109">
        <f t="shared" si="3"/>
        <v>0.13001215066828675</v>
      </c>
      <c r="I109">
        <f t="shared" si="2"/>
        <v>1</v>
      </c>
    </row>
    <row r="110" spans="1:9" ht="60" x14ac:dyDescent="0.25">
      <c r="A110" t="s">
        <v>3263</v>
      </c>
      <c r="B110">
        <v>42476</v>
      </c>
      <c r="C110">
        <v>1025</v>
      </c>
      <c r="F110" s="4" t="s">
        <v>3264</v>
      </c>
      <c r="G110">
        <v>0.29241913580413886</v>
      </c>
      <c r="H110">
        <f t="shared" si="3"/>
        <v>0.13122721749696234</v>
      </c>
      <c r="I110">
        <f t="shared" si="2"/>
        <v>1</v>
      </c>
    </row>
    <row r="111" spans="1:9" ht="60" x14ac:dyDescent="0.25">
      <c r="A111" t="s">
        <v>3265</v>
      </c>
      <c r="B111">
        <v>42688</v>
      </c>
      <c r="C111">
        <v>1292</v>
      </c>
      <c r="F111" s="4" t="s">
        <v>3266</v>
      </c>
      <c r="G111">
        <v>0.29246739877959177</v>
      </c>
      <c r="H111">
        <f t="shared" si="3"/>
        <v>0.1324422843256379</v>
      </c>
      <c r="I111">
        <f t="shared" si="2"/>
        <v>1</v>
      </c>
    </row>
    <row r="112" spans="1:9" ht="60" x14ac:dyDescent="0.25">
      <c r="A112" t="s">
        <v>3267</v>
      </c>
      <c r="B112">
        <v>42826</v>
      </c>
      <c r="C112">
        <v>1318</v>
      </c>
      <c r="F112" s="4" t="s">
        <v>3268</v>
      </c>
      <c r="G112">
        <v>0.29253999403542535</v>
      </c>
      <c r="H112">
        <f t="shared" si="3"/>
        <v>0.13365735115431349</v>
      </c>
      <c r="I112">
        <f t="shared" si="2"/>
        <v>1</v>
      </c>
    </row>
    <row r="113" spans="1:9" ht="60" x14ac:dyDescent="0.25">
      <c r="A113" t="s">
        <v>3269</v>
      </c>
      <c r="B113">
        <v>42969</v>
      </c>
      <c r="C113">
        <v>1287</v>
      </c>
      <c r="F113" s="4" t="s">
        <v>3270</v>
      </c>
      <c r="G113">
        <v>0.29277080566342351</v>
      </c>
      <c r="H113">
        <f t="shared" si="3"/>
        <v>0.13487241798298907</v>
      </c>
      <c r="I113">
        <f t="shared" si="2"/>
        <v>1</v>
      </c>
    </row>
    <row r="114" spans="1:9" ht="75" x14ac:dyDescent="0.25">
      <c r="A114" t="s">
        <v>3271</v>
      </c>
      <c r="B114">
        <v>43175</v>
      </c>
      <c r="C114">
        <v>1238</v>
      </c>
      <c r="F114" s="4" t="s">
        <v>3272</v>
      </c>
      <c r="G114">
        <v>0.29281309437028569</v>
      </c>
      <c r="H114">
        <f t="shared" si="3"/>
        <v>0.13608748481166463</v>
      </c>
      <c r="I114">
        <f t="shared" si="2"/>
        <v>1</v>
      </c>
    </row>
    <row r="115" spans="1:9" ht="60" x14ac:dyDescent="0.25">
      <c r="A115" t="s">
        <v>3273</v>
      </c>
      <c r="B115">
        <v>43357</v>
      </c>
      <c r="C115">
        <v>1564</v>
      </c>
      <c r="F115" s="4" t="s">
        <v>3274</v>
      </c>
      <c r="G115">
        <v>0.29305264239059736</v>
      </c>
      <c r="H115">
        <f t="shared" si="3"/>
        <v>0.13730255164034022</v>
      </c>
      <c r="I115">
        <f t="shared" si="2"/>
        <v>1</v>
      </c>
    </row>
    <row r="116" spans="1:9" ht="60" x14ac:dyDescent="0.25">
      <c r="A116" t="s">
        <v>3275</v>
      </c>
      <c r="B116">
        <v>43393</v>
      </c>
      <c r="C116">
        <v>1098</v>
      </c>
      <c r="F116" s="4" t="s">
        <v>3276</v>
      </c>
      <c r="G116">
        <v>0.29321319762575693</v>
      </c>
      <c r="H116">
        <f t="shared" si="3"/>
        <v>0.13851761846901581</v>
      </c>
      <c r="I116">
        <f t="shared" si="2"/>
        <v>1</v>
      </c>
    </row>
    <row r="117" spans="1:9" ht="45" x14ac:dyDescent="0.25">
      <c r="A117" t="s">
        <v>3277</v>
      </c>
      <c r="B117">
        <v>43600</v>
      </c>
      <c r="C117">
        <v>1171</v>
      </c>
      <c r="F117" s="4" t="s">
        <v>3278</v>
      </c>
      <c r="G117">
        <v>0.29352712752878851</v>
      </c>
      <c r="H117">
        <f t="shared" si="3"/>
        <v>0.13973268529769137</v>
      </c>
      <c r="I117">
        <f t="shared" si="2"/>
        <v>1</v>
      </c>
    </row>
    <row r="118" spans="1:9" ht="60" x14ac:dyDescent="0.25">
      <c r="A118" t="s">
        <v>3279</v>
      </c>
      <c r="B118">
        <v>43716</v>
      </c>
      <c r="C118">
        <v>977</v>
      </c>
      <c r="F118" s="4" t="s">
        <v>3280</v>
      </c>
      <c r="G118">
        <v>0.29418294039993387</v>
      </c>
      <c r="H118">
        <f t="shared" si="3"/>
        <v>0.14094775212636695</v>
      </c>
      <c r="I118">
        <f t="shared" si="2"/>
        <v>1</v>
      </c>
    </row>
    <row r="119" spans="1:9" ht="60" x14ac:dyDescent="0.25">
      <c r="A119" t="s">
        <v>3281</v>
      </c>
      <c r="B119">
        <v>43750</v>
      </c>
      <c r="C119">
        <v>958</v>
      </c>
      <c r="F119" s="4" t="s">
        <v>3282</v>
      </c>
      <c r="G119">
        <v>0.29459374271905336</v>
      </c>
      <c r="H119">
        <f t="shared" si="3"/>
        <v>0.14216281895504251</v>
      </c>
      <c r="I119">
        <f t="shared" si="2"/>
        <v>1</v>
      </c>
    </row>
    <row r="120" spans="1:9" ht="60" x14ac:dyDescent="0.25">
      <c r="A120" t="s">
        <v>3283</v>
      </c>
      <c r="B120">
        <v>44015</v>
      </c>
      <c r="C120">
        <v>1189</v>
      </c>
      <c r="F120" s="4" t="s">
        <v>3284</v>
      </c>
      <c r="G120">
        <v>0.29487611761559834</v>
      </c>
      <c r="H120">
        <f t="shared" si="3"/>
        <v>0.1433778857837181</v>
      </c>
      <c r="I120">
        <f t="shared" si="2"/>
        <v>1</v>
      </c>
    </row>
    <row r="121" spans="1:9" ht="60" x14ac:dyDescent="0.25">
      <c r="A121" t="s">
        <v>3285</v>
      </c>
      <c r="B121">
        <v>44352</v>
      </c>
      <c r="C121">
        <v>1015</v>
      </c>
      <c r="F121" s="4" t="s">
        <v>3286</v>
      </c>
      <c r="G121">
        <v>0.29551044493366496</v>
      </c>
      <c r="H121">
        <f t="shared" si="3"/>
        <v>0.14459295261239369</v>
      </c>
      <c r="I121">
        <f t="shared" si="2"/>
        <v>1</v>
      </c>
    </row>
    <row r="122" spans="1:9" ht="60" x14ac:dyDescent="0.25">
      <c r="A122" t="s">
        <v>3287</v>
      </c>
      <c r="B122">
        <v>44473</v>
      </c>
      <c r="C122">
        <v>1045</v>
      </c>
      <c r="F122" s="4" t="s">
        <v>3288</v>
      </c>
      <c r="G122">
        <v>0.29582489196913447</v>
      </c>
      <c r="H122">
        <f t="shared" si="3"/>
        <v>0.14580801944106925</v>
      </c>
      <c r="I122">
        <f t="shared" si="2"/>
        <v>1</v>
      </c>
    </row>
    <row r="123" spans="1:9" ht="60" x14ac:dyDescent="0.25">
      <c r="A123" t="s">
        <v>3289</v>
      </c>
      <c r="B123">
        <v>44635</v>
      </c>
      <c r="C123">
        <v>1345</v>
      </c>
      <c r="F123" s="4" t="s">
        <v>3290</v>
      </c>
      <c r="G123">
        <v>0.29586223477685852</v>
      </c>
      <c r="H123">
        <f t="shared" si="3"/>
        <v>0.14702308626974483</v>
      </c>
      <c r="I123">
        <f t="shared" si="2"/>
        <v>1</v>
      </c>
    </row>
    <row r="124" spans="1:9" ht="60" x14ac:dyDescent="0.25">
      <c r="A124" t="s">
        <v>3291</v>
      </c>
      <c r="B124">
        <v>44815</v>
      </c>
      <c r="C124">
        <v>1308</v>
      </c>
      <c r="F124" s="4" t="s">
        <v>3292</v>
      </c>
      <c r="G124">
        <v>0.29602642846588534</v>
      </c>
      <c r="H124">
        <f t="shared" si="3"/>
        <v>0.14823815309842042</v>
      </c>
      <c r="I124">
        <f t="shared" si="2"/>
        <v>1</v>
      </c>
    </row>
    <row r="125" spans="1:9" ht="60" x14ac:dyDescent="0.25">
      <c r="A125" t="s">
        <v>3293</v>
      </c>
      <c r="B125">
        <v>44915</v>
      </c>
      <c r="C125">
        <v>1226</v>
      </c>
      <c r="F125" s="4" t="s">
        <v>3294</v>
      </c>
      <c r="G125">
        <v>0.29614466494649394</v>
      </c>
      <c r="H125">
        <f t="shared" si="3"/>
        <v>0.14945321992709598</v>
      </c>
      <c r="I125">
        <f t="shared" si="2"/>
        <v>1</v>
      </c>
    </row>
    <row r="126" spans="1:9" ht="60" x14ac:dyDescent="0.25">
      <c r="A126" t="s">
        <v>3295</v>
      </c>
      <c r="B126">
        <v>45278</v>
      </c>
      <c r="C126">
        <v>1049</v>
      </c>
      <c r="F126" s="4" t="s">
        <v>3296</v>
      </c>
      <c r="G126">
        <v>0.29630470645609686</v>
      </c>
      <c r="H126">
        <f t="shared" si="3"/>
        <v>0.15066828675577157</v>
      </c>
      <c r="I126">
        <f t="shared" si="2"/>
        <v>1</v>
      </c>
    </row>
    <row r="127" spans="1:9" ht="60" x14ac:dyDescent="0.25">
      <c r="A127" t="s">
        <v>3297</v>
      </c>
      <c r="B127">
        <v>45481</v>
      </c>
      <c r="C127">
        <v>1051</v>
      </c>
      <c r="F127" s="4" t="s">
        <v>3298</v>
      </c>
      <c r="G127">
        <v>0.29659216019747014</v>
      </c>
      <c r="H127">
        <f t="shared" si="3"/>
        <v>0.15188335358444716</v>
      </c>
      <c r="I127">
        <f t="shared" si="2"/>
        <v>1</v>
      </c>
    </row>
    <row r="128" spans="1:9" ht="60" x14ac:dyDescent="0.25">
      <c r="A128" t="s">
        <v>3299</v>
      </c>
      <c r="B128">
        <v>45828</v>
      </c>
      <c r="C128">
        <v>1129</v>
      </c>
      <c r="F128" s="4" t="s">
        <v>3300</v>
      </c>
      <c r="G128">
        <v>0.29675591711481142</v>
      </c>
      <c r="H128">
        <f t="shared" si="3"/>
        <v>0.15309842041312272</v>
      </c>
      <c r="I128">
        <f t="shared" si="2"/>
        <v>1</v>
      </c>
    </row>
    <row r="129" spans="1:9" ht="60" x14ac:dyDescent="0.25">
      <c r="A129" t="s">
        <v>3301</v>
      </c>
      <c r="B129">
        <v>45875</v>
      </c>
      <c r="C129">
        <v>1230</v>
      </c>
      <c r="F129" s="4" t="s">
        <v>3302</v>
      </c>
      <c r="G129">
        <v>0.2970529111581644</v>
      </c>
      <c r="H129">
        <f t="shared" si="3"/>
        <v>0.1543134872417983</v>
      </c>
      <c r="I129">
        <f t="shared" si="2"/>
        <v>1</v>
      </c>
    </row>
    <row r="130" spans="1:9" ht="60" x14ac:dyDescent="0.25">
      <c r="A130" t="s">
        <v>3303</v>
      </c>
      <c r="B130">
        <v>45903</v>
      </c>
      <c r="C130">
        <v>993</v>
      </c>
      <c r="F130" s="4" t="s">
        <v>3304</v>
      </c>
      <c r="G130">
        <v>0.29746571029271401</v>
      </c>
      <c r="H130">
        <f t="shared" si="3"/>
        <v>0.15552855407047386</v>
      </c>
      <c r="I130">
        <f t="shared" si="2"/>
        <v>1</v>
      </c>
    </row>
    <row r="131" spans="1:9" ht="60" x14ac:dyDescent="0.25">
      <c r="A131" t="s">
        <v>3305</v>
      </c>
      <c r="B131">
        <v>46155</v>
      </c>
      <c r="C131">
        <v>1123</v>
      </c>
      <c r="F131" s="4" t="s">
        <v>3306</v>
      </c>
      <c r="G131">
        <v>0.29775239942048765</v>
      </c>
      <c r="H131">
        <f t="shared" si="3"/>
        <v>0.15674362089914945</v>
      </c>
      <c r="I131">
        <f t="shared" ref="I131:I194" si="4">IF(H131&lt;0.2,1,IF(H131&lt;0.4,2,IF(H131&lt;0.6,3,IF(H131&lt;0.8,4,5))))</f>
        <v>1</v>
      </c>
    </row>
    <row r="132" spans="1:9" ht="60" x14ac:dyDescent="0.25">
      <c r="A132" t="s">
        <v>3307</v>
      </c>
      <c r="B132">
        <v>46176</v>
      </c>
      <c r="C132">
        <v>1108</v>
      </c>
      <c r="F132" s="4" t="s">
        <v>3308</v>
      </c>
      <c r="G132">
        <v>0.29796791814594797</v>
      </c>
      <c r="H132">
        <f t="shared" ref="H132:H195" si="5">_xlfn.RANK.EQ(G132,$G$3:$G$825,1)/COUNT($G$3:$G$825)</f>
        <v>0.15795868772782504</v>
      </c>
      <c r="I132">
        <f t="shared" si="4"/>
        <v>1</v>
      </c>
    </row>
    <row r="133" spans="1:9" ht="60" x14ac:dyDescent="0.25">
      <c r="A133" t="s">
        <v>3309</v>
      </c>
      <c r="B133">
        <v>46184</v>
      </c>
      <c r="C133">
        <v>1164</v>
      </c>
      <c r="F133" s="4" t="s">
        <v>3310</v>
      </c>
      <c r="G133">
        <v>0.29827913799228423</v>
      </c>
      <c r="H133">
        <f t="shared" si="5"/>
        <v>0.1591737545565006</v>
      </c>
      <c r="I133">
        <f t="shared" si="4"/>
        <v>1</v>
      </c>
    </row>
    <row r="134" spans="1:9" ht="60" x14ac:dyDescent="0.25">
      <c r="A134" t="s">
        <v>3311</v>
      </c>
      <c r="B134">
        <v>46326</v>
      </c>
      <c r="C134">
        <v>1198</v>
      </c>
      <c r="F134" s="4" t="s">
        <v>3312</v>
      </c>
      <c r="G134">
        <v>0.29831394513828041</v>
      </c>
      <c r="H134">
        <f t="shared" si="5"/>
        <v>0.16038882138517618</v>
      </c>
      <c r="I134">
        <f t="shared" si="4"/>
        <v>1</v>
      </c>
    </row>
    <row r="135" spans="1:9" ht="45" x14ac:dyDescent="0.25">
      <c r="A135" t="s">
        <v>3313</v>
      </c>
      <c r="B135">
        <v>46326</v>
      </c>
      <c r="C135">
        <v>1172</v>
      </c>
      <c r="F135" s="4" t="s">
        <v>3314</v>
      </c>
      <c r="G135">
        <v>0.29834345933845213</v>
      </c>
      <c r="H135">
        <f t="shared" si="5"/>
        <v>0.16160388821385177</v>
      </c>
      <c r="I135">
        <f t="shared" si="4"/>
        <v>1</v>
      </c>
    </row>
    <row r="136" spans="1:9" ht="60" x14ac:dyDescent="0.25">
      <c r="A136" t="s">
        <v>3315</v>
      </c>
      <c r="B136">
        <v>46429</v>
      </c>
      <c r="C136">
        <v>1233</v>
      </c>
      <c r="F136" s="4" t="s">
        <v>3316</v>
      </c>
      <c r="G136">
        <v>0.29847933262812232</v>
      </c>
      <c r="H136">
        <f t="shared" si="5"/>
        <v>0.16281895504252733</v>
      </c>
      <c r="I136">
        <f t="shared" si="4"/>
        <v>1</v>
      </c>
    </row>
    <row r="137" spans="1:9" ht="60" x14ac:dyDescent="0.25">
      <c r="A137" t="s">
        <v>3317</v>
      </c>
      <c r="B137">
        <v>46566</v>
      </c>
      <c r="C137">
        <v>1793</v>
      </c>
      <c r="F137" s="4" t="s">
        <v>3318</v>
      </c>
      <c r="G137">
        <v>0.29854865729513141</v>
      </c>
      <c r="H137">
        <f t="shared" si="5"/>
        <v>0.16403402187120292</v>
      </c>
      <c r="I137">
        <f t="shared" si="4"/>
        <v>1</v>
      </c>
    </row>
    <row r="138" spans="1:9" ht="60" x14ac:dyDescent="0.25">
      <c r="A138" t="s">
        <v>3319</v>
      </c>
      <c r="B138">
        <v>46646</v>
      </c>
      <c r="C138">
        <v>1166</v>
      </c>
      <c r="F138" s="4" t="s">
        <v>3320</v>
      </c>
      <c r="G138">
        <v>0.29855194210171798</v>
      </c>
      <c r="H138">
        <f t="shared" si="5"/>
        <v>0.1652490886998785</v>
      </c>
      <c r="I138">
        <f t="shared" si="4"/>
        <v>1</v>
      </c>
    </row>
    <row r="139" spans="1:9" ht="60" x14ac:dyDescent="0.25">
      <c r="A139" t="s">
        <v>3321</v>
      </c>
      <c r="B139">
        <v>46716</v>
      </c>
      <c r="C139">
        <v>1203</v>
      </c>
      <c r="F139" s="4" t="s">
        <v>3322</v>
      </c>
      <c r="G139">
        <v>0.29902240924936702</v>
      </c>
      <c r="H139">
        <f t="shared" si="5"/>
        <v>0.16646415552855406</v>
      </c>
      <c r="I139">
        <f t="shared" si="4"/>
        <v>1</v>
      </c>
    </row>
    <row r="140" spans="1:9" ht="60" x14ac:dyDescent="0.25">
      <c r="A140" t="s">
        <v>3323</v>
      </c>
      <c r="B140">
        <v>46801</v>
      </c>
      <c r="C140">
        <v>1073</v>
      </c>
      <c r="F140" s="4" t="s">
        <v>3324</v>
      </c>
      <c r="G140">
        <v>0.29953201810500024</v>
      </c>
      <c r="H140">
        <f t="shared" si="5"/>
        <v>0.16767922235722965</v>
      </c>
      <c r="I140">
        <f t="shared" si="4"/>
        <v>1</v>
      </c>
    </row>
    <row r="141" spans="1:9" ht="60" x14ac:dyDescent="0.25">
      <c r="A141" t="s">
        <v>3325</v>
      </c>
      <c r="B141">
        <v>47036</v>
      </c>
      <c r="C141">
        <v>1102</v>
      </c>
      <c r="F141" s="4" t="s">
        <v>3326</v>
      </c>
      <c r="G141">
        <v>0.29960705892642281</v>
      </c>
      <c r="H141">
        <f t="shared" si="5"/>
        <v>0.16889428918590524</v>
      </c>
      <c r="I141">
        <f t="shared" si="4"/>
        <v>1</v>
      </c>
    </row>
    <row r="142" spans="1:9" ht="60" x14ac:dyDescent="0.25">
      <c r="A142" t="s">
        <v>3327</v>
      </c>
      <c r="B142">
        <v>47183</v>
      </c>
      <c r="C142">
        <v>1210</v>
      </c>
      <c r="F142" s="4" t="s">
        <v>3328</v>
      </c>
      <c r="G142">
        <v>0.30017721976643613</v>
      </c>
      <c r="H142">
        <f t="shared" si="5"/>
        <v>0.1701093560145808</v>
      </c>
      <c r="I142">
        <f t="shared" si="4"/>
        <v>1</v>
      </c>
    </row>
    <row r="143" spans="1:9" ht="45" x14ac:dyDescent="0.25">
      <c r="A143" t="s">
        <v>3329</v>
      </c>
      <c r="B143">
        <v>47578</v>
      </c>
      <c r="C143">
        <v>992</v>
      </c>
      <c r="F143" s="4" t="s">
        <v>3330</v>
      </c>
      <c r="G143">
        <v>0.30019047532537879</v>
      </c>
      <c r="H143">
        <f t="shared" si="5"/>
        <v>0.17132442284325639</v>
      </c>
      <c r="I143">
        <f t="shared" si="4"/>
        <v>1</v>
      </c>
    </row>
    <row r="144" spans="1:9" ht="60" x14ac:dyDescent="0.25">
      <c r="A144" t="s">
        <v>3331</v>
      </c>
      <c r="B144">
        <v>48022</v>
      </c>
      <c r="C144">
        <v>1005</v>
      </c>
      <c r="F144" s="4" t="s">
        <v>3332</v>
      </c>
      <c r="G144">
        <v>0.30025538398003881</v>
      </c>
      <c r="H144">
        <f t="shared" si="5"/>
        <v>0.17253948967193194</v>
      </c>
      <c r="I144">
        <f t="shared" si="4"/>
        <v>1</v>
      </c>
    </row>
    <row r="145" spans="1:9" ht="60" x14ac:dyDescent="0.25">
      <c r="A145" t="s">
        <v>3333</v>
      </c>
      <c r="B145">
        <v>48148</v>
      </c>
      <c r="C145">
        <v>1323</v>
      </c>
      <c r="F145" s="4" t="s">
        <v>3334</v>
      </c>
      <c r="G145">
        <v>0.30060524455510484</v>
      </c>
      <c r="H145">
        <f t="shared" si="5"/>
        <v>0.17375455650060753</v>
      </c>
      <c r="I145">
        <f t="shared" si="4"/>
        <v>1</v>
      </c>
    </row>
    <row r="146" spans="1:9" ht="60" x14ac:dyDescent="0.25">
      <c r="A146" t="s">
        <v>3335</v>
      </c>
      <c r="B146">
        <v>48477</v>
      </c>
      <c r="C146">
        <v>1350</v>
      </c>
      <c r="F146" s="4" t="s">
        <v>3336</v>
      </c>
      <c r="G146">
        <v>0.30060584574914706</v>
      </c>
      <c r="H146">
        <f t="shared" si="5"/>
        <v>0.17496962332928312</v>
      </c>
      <c r="I146">
        <f t="shared" si="4"/>
        <v>1</v>
      </c>
    </row>
    <row r="147" spans="1:9" ht="60" x14ac:dyDescent="0.25">
      <c r="A147" t="s">
        <v>3337</v>
      </c>
      <c r="B147">
        <v>48500</v>
      </c>
      <c r="C147">
        <v>1271</v>
      </c>
      <c r="F147" s="4" t="s">
        <v>3338</v>
      </c>
      <c r="G147">
        <v>0.30061503451799521</v>
      </c>
      <c r="H147">
        <f t="shared" si="5"/>
        <v>0.17618469015795868</v>
      </c>
      <c r="I147">
        <f t="shared" si="4"/>
        <v>1</v>
      </c>
    </row>
    <row r="148" spans="1:9" ht="60" x14ac:dyDescent="0.25">
      <c r="A148" t="s">
        <v>3339</v>
      </c>
      <c r="B148">
        <v>48519</v>
      </c>
      <c r="C148">
        <v>1124</v>
      </c>
      <c r="F148" s="4" t="s">
        <v>3340</v>
      </c>
      <c r="G148">
        <v>0.30082122679850148</v>
      </c>
      <c r="H148">
        <f t="shared" si="5"/>
        <v>0.17739975698663427</v>
      </c>
      <c r="I148">
        <f t="shared" si="4"/>
        <v>1</v>
      </c>
    </row>
    <row r="149" spans="1:9" ht="60" x14ac:dyDescent="0.25">
      <c r="A149" t="s">
        <v>3341</v>
      </c>
      <c r="B149">
        <v>48750</v>
      </c>
      <c r="C149">
        <v>1284</v>
      </c>
      <c r="F149" s="4" t="s">
        <v>3342</v>
      </c>
      <c r="G149">
        <v>0.30092148924521572</v>
      </c>
      <c r="H149">
        <f t="shared" si="5"/>
        <v>0.17861482381530985</v>
      </c>
      <c r="I149">
        <f t="shared" si="4"/>
        <v>1</v>
      </c>
    </row>
    <row r="150" spans="1:9" ht="60" x14ac:dyDescent="0.25">
      <c r="A150" t="s">
        <v>3343</v>
      </c>
      <c r="B150">
        <v>48824</v>
      </c>
      <c r="C150">
        <v>1157</v>
      </c>
      <c r="F150" s="4" t="s">
        <v>3344</v>
      </c>
      <c r="G150">
        <v>0.30123517581394188</v>
      </c>
      <c r="H150">
        <f t="shared" si="5"/>
        <v>0.17982989064398541</v>
      </c>
      <c r="I150">
        <f t="shared" si="4"/>
        <v>1</v>
      </c>
    </row>
    <row r="151" spans="1:9" ht="60" x14ac:dyDescent="0.25">
      <c r="A151" t="s">
        <v>3345</v>
      </c>
      <c r="B151">
        <v>48981</v>
      </c>
      <c r="C151">
        <v>1052</v>
      </c>
      <c r="F151" s="4" t="s">
        <v>3346</v>
      </c>
      <c r="G151">
        <v>0.30182204678350133</v>
      </c>
      <c r="H151">
        <f t="shared" si="5"/>
        <v>0.181044957472661</v>
      </c>
      <c r="I151">
        <f t="shared" si="4"/>
        <v>1</v>
      </c>
    </row>
    <row r="152" spans="1:9" ht="60" x14ac:dyDescent="0.25">
      <c r="A152" t="s">
        <v>3347</v>
      </c>
      <c r="B152">
        <v>49074</v>
      </c>
      <c r="C152">
        <v>1170</v>
      </c>
      <c r="F152" s="4" t="s">
        <v>3348</v>
      </c>
      <c r="G152">
        <v>0.30192435035313608</v>
      </c>
      <c r="H152">
        <f t="shared" si="5"/>
        <v>0.18226002430133659</v>
      </c>
      <c r="I152">
        <f t="shared" si="4"/>
        <v>1</v>
      </c>
    </row>
    <row r="153" spans="1:9" ht="75" x14ac:dyDescent="0.25">
      <c r="A153" t="s">
        <v>3349</v>
      </c>
      <c r="B153">
        <v>49125</v>
      </c>
      <c r="C153">
        <v>1072</v>
      </c>
      <c r="F153" s="4" t="s">
        <v>3350</v>
      </c>
      <c r="G153">
        <v>0.30197716300130456</v>
      </c>
      <c r="H153">
        <f t="shared" si="5"/>
        <v>0.18347509113001215</v>
      </c>
      <c r="I153">
        <f t="shared" si="4"/>
        <v>1</v>
      </c>
    </row>
    <row r="154" spans="1:9" ht="60" x14ac:dyDescent="0.25">
      <c r="A154" t="s">
        <v>3351</v>
      </c>
      <c r="B154">
        <v>49183</v>
      </c>
      <c r="C154">
        <v>1165</v>
      </c>
      <c r="F154" s="4" t="s">
        <v>3352</v>
      </c>
      <c r="G154">
        <v>0.30199312080309443</v>
      </c>
      <c r="H154">
        <f t="shared" si="5"/>
        <v>0.18469015795868773</v>
      </c>
      <c r="I154">
        <f t="shared" si="4"/>
        <v>1</v>
      </c>
    </row>
    <row r="155" spans="1:9" ht="60" x14ac:dyDescent="0.25">
      <c r="A155" t="s">
        <v>3353</v>
      </c>
      <c r="B155">
        <v>49309</v>
      </c>
      <c r="C155">
        <v>1259</v>
      </c>
      <c r="F155" s="4" t="s">
        <v>3354</v>
      </c>
      <c r="G155">
        <v>0.30203061401843023</v>
      </c>
      <c r="H155">
        <f t="shared" si="5"/>
        <v>0.18590522478736329</v>
      </c>
      <c r="I155">
        <f t="shared" si="4"/>
        <v>1</v>
      </c>
    </row>
    <row r="156" spans="1:9" ht="60" x14ac:dyDescent="0.25">
      <c r="A156" t="s">
        <v>3355</v>
      </c>
      <c r="B156">
        <v>49375</v>
      </c>
      <c r="C156">
        <v>1510</v>
      </c>
      <c r="F156" s="4" t="s">
        <v>3356</v>
      </c>
      <c r="G156">
        <v>0.30218678408854244</v>
      </c>
      <c r="H156">
        <f t="shared" si="5"/>
        <v>0.18712029161603888</v>
      </c>
      <c r="I156">
        <f t="shared" si="4"/>
        <v>1</v>
      </c>
    </row>
    <row r="157" spans="1:9" ht="60" x14ac:dyDescent="0.25">
      <c r="A157" t="s">
        <v>3357</v>
      </c>
      <c r="B157">
        <v>49402</v>
      </c>
      <c r="C157">
        <v>1641</v>
      </c>
      <c r="F157" s="4" t="s">
        <v>3358</v>
      </c>
      <c r="G157">
        <v>0.30221312543716788</v>
      </c>
      <c r="H157">
        <f t="shared" si="5"/>
        <v>0.18833535844471447</v>
      </c>
      <c r="I157">
        <f t="shared" si="4"/>
        <v>1</v>
      </c>
    </row>
    <row r="158" spans="1:9" ht="60" x14ac:dyDescent="0.25">
      <c r="A158" t="s">
        <v>3152</v>
      </c>
      <c r="B158">
        <v>49446</v>
      </c>
      <c r="C158">
        <v>730</v>
      </c>
      <c r="F158" s="4" t="s">
        <v>3359</v>
      </c>
      <c r="G158">
        <v>0.30275930730877793</v>
      </c>
      <c r="H158">
        <f t="shared" si="5"/>
        <v>0.18955042527339003</v>
      </c>
      <c r="I158">
        <f t="shared" si="4"/>
        <v>1</v>
      </c>
    </row>
    <row r="159" spans="1:9" ht="60" x14ac:dyDescent="0.25">
      <c r="A159" t="s">
        <v>3360</v>
      </c>
      <c r="B159">
        <v>49583</v>
      </c>
      <c r="C159">
        <v>1087</v>
      </c>
      <c r="F159" s="4" t="s">
        <v>3361</v>
      </c>
      <c r="G159">
        <v>0.30286198100144779</v>
      </c>
      <c r="H159">
        <f t="shared" si="5"/>
        <v>0.19076549210206561</v>
      </c>
      <c r="I159">
        <f t="shared" si="4"/>
        <v>1</v>
      </c>
    </row>
    <row r="160" spans="1:9" ht="45" x14ac:dyDescent="0.25">
      <c r="A160" t="s">
        <v>3362</v>
      </c>
      <c r="B160">
        <v>49643</v>
      </c>
      <c r="C160">
        <v>1218</v>
      </c>
      <c r="F160" s="4" t="s">
        <v>3363</v>
      </c>
      <c r="G160">
        <v>0.30289827688144183</v>
      </c>
      <c r="H160">
        <f t="shared" si="5"/>
        <v>0.1919805589307412</v>
      </c>
      <c r="I160">
        <f t="shared" si="4"/>
        <v>1</v>
      </c>
    </row>
    <row r="161" spans="1:9" ht="60" x14ac:dyDescent="0.25">
      <c r="A161" t="s">
        <v>3364</v>
      </c>
      <c r="B161">
        <v>49783</v>
      </c>
      <c r="C161">
        <v>999</v>
      </c>
      <c r="F161" s="4" t="s">
        <v>3365</v>
      </c>
      <c r="G161">
        <v>0.30304567336148824</v>
      </c>
      <c r="H161">
        <f t="shared" si="5"/>
        <v>0.19319562575941676</v>
      </c>
      <c r="I161">
        <f t="shared" si="4"/>
        <v>1</v>
      </c>
    </row>
    <row r="162" spans="1:9" ht="60" x14ac:dyDescent="0.25">
      <c r="A162" t="s">
        <v>3366</v>
      </c>
      <c r="B162">
        <v>50000</v>
      </c>
      <c r="C162">
        <v>1359</v>
      </c>
      <c r="F162" s="4" t="s">
        <v>3367</v>
      </c>
      <c r="G162">
        <v>0.30314518075628494</v>
      </c>
      <c r="H162">
        <f t="shared" si="5"/>
        <v>0.19441069258809235</v>
      </c>
      <c r="I162">
        <f t="shared" si="4"/>
        <v>1</v>
      </c>
    </row>
    <row r="163" spans="1:9" ht="60" x14ac:dyDescent="0.25">
      <c r="A163" t="s">
        <v>3368</v>
      </c>
      <c r="B163">
        <v>50000</v>
      </c>
      <c r="C163">
        <v>1248</v>
      </c>
      <c r="F163" s="4" t="s">
        <v>3369</v>
      </c>
      <c r="G163">
        <v>0.30365394918759459</v>
      </c>
      <c r="H163">
        <f t="shared" si="5"/>
        <v>0.19562575941676794</v>
      </c>
      <c r="I163">
        <f t="shared" si="4"/>
        <v>1</v>
      </c>
    </row>
    <row r="164" spans="1:9" ht="45" x14ac:dyDescent="0.25">
      <c r="A164" t="s">
        <v>3370</v>
      </c>
      <c r="B164">
        <v>50561</v>
      </c>
      <c r="C164">
        <v>1058</v>
      </c>
      <c r="F164" s="4" t="s">
        <v>3371</v>
      </c>
      <c r="G164">
        <v>0.3040535188530426</v>
      </c>
      <c r="H164">
        <f t="shared" si="5"/>
        <v>0.1968408262454435</v>
      </c>
      <c r="I164">
        <f t="shared" si="4"/>
        <v>1</v>
      </c>
    </row>
    <row r="165" spans="1:9" ht="45" x14ac:dyDescent="0.25">
      <c r="A165" t="s">
        <v>3372</v>
      </c>
      <c r="B165">
        <v>50583</v>
      </c>
      <c r="C165">
        <v>1038</v>
      </c>
      <c r="F165" s="4" t="s">
        <v>3373</v>
      </c>
      <c r="G165">
        <v>0.30418956573820871</v>
      </c>
      <c r="H165">
        <f t="shared" si="5"/>
        <v>0.19805589307411908</v>
      </c>
      <c r="I165">
        <f t="shared" si="4"/>
        <v>1</v>
      </c>
    </row>
    <row r="166" spans="1:9" ht="60" x14ac:dyDescent="0.25">
      <c r="A166" t="s">
        <v>3374</v>
      </c>
      <c r="B166">
        <v>50729</v>
      </c>
      <c r="C166">
        <v>1422</v>
      </c>
      <c r="F166" s="4" t="s">
        <v>3375</v>
      </c>
      <c r="G166">
        <v>0.30431279329179572</v>
      </c>
      <c r="H166">
        <f t="shared" si="5"/>
        <v>0.19927095990279464</v>
      </c>
      <c r="I166">
        <f t="shared" si="4"/>
        <v>1</v>
      </c>
    </row>
    <row r="167" spans="1:9" ht="60" x14ac:dyDescent="0.25">
      <c r="A167" t="s">
        <v>3376</v>
      </c>
      <c r="B167">
        <v>50799</v>
      </c>
      <c r="C167">
        <v>1107</v>
      </c>
      <c r="F167" s="4" t="s">
        <v>3377</v>
      </c>
      <c r="G167">
        <v>0.30459222706594302</v>
      </c>
      <c r="H167">
        <f t="shared" si="5"/>
        <v>0.20048602673147023</v>
      </c>
      <c r="I167">
        <f t="shared" si="4"/>
        <v>2</v>
      </c>
    </row>
    <row r="168" spans="1:9" ht="60" x14ac:dyDescent="0.25">
      <c r="A168" t="s">
        <v>3378</v>
      </c>
      <c r="B168">
        <v>50915</v>
      </c>
      <c r="C168">
        <v>1269</v>
      </c>
      <c r="F168" s="4" t="s">
        <v>3379</v>
      </c>
      <c r="G168">
        <v>0.30494473290806384</v>
      </c>
      <c r="H168">
        <f t="shared" si="5"/>
        <v>0.20170109356014582</v>
      </c>
      <c r="I168">
        <f t="shared" si="4"/>
        <v>2</v>
      </c>
    </row>
    <row r="169" spans="1:9" ht="60" x14ac:dyDescent="0.25">
      <c r="A169" t="s">
        <v>3380</v>
      </c>
      <c r="B169">
        <v>51094</v>
      </c>
      <c r="C169">
        <v>1131</v>
      </c>
      <c r="F169" s="4" t="s">
        <v>3381</v>
      </c>
      <c r="G169">
        <v>0.30556608955907844</v>
      </c>
      <c r="H169">
        <f t="shared" si="5"/>
        <v>0.20291616038882138</v>
      </c>
      <c r="I169">
        <f t="shared" si="4"/>
        <v>2</v>
      </c>
    </row>
    <row r="170" spans="1:9" ht="45" x14ac:dyDescent="0.25">
      <c r="A170" t="s">
        <v>3382</v>
      </c>
      <c r="B170">
        <v>51138</v>
      </c>
      <c r="C170">
        <v>1446</v>
      </c>
      <c r="F170" s="4" t="s">
        <v>3383</v>
      </c>
      <c r="G170">
        <v>0.30564684704364414</v>
      </c>
      <c r="H170">
        <f t="shared" si="5"/>
        <v>0.20413122721749696</v>
      </c>
      <c r="I170">
        <f t="shared" si="4"/>
        <v>2</v>
      </c>
    </row>
    <row r="171" spans="1:9" ht="60" x14ac:dyDescent="0.25">
      <c r="A171" t="s">
        <v>3384</v>
      </c>
      <c r="B171">
        <v>51426</v>
      </c>
      <c r="C171">
        <v>1264</v>
      </c>
      <c r="F171" s="4" t="s">
        <v>3385</v>
      </c>
      <c r="G171">
        <v>0.30573256529870491</v>
      </c>
      <c r="H171">
        <f t="shared" si="5"/>
        <v>0.20534629404617255</v>
      </c>
      <c r="I171">
        <f t="shared" si="4"/>
        <v>2</v>
      </c>
    </row>
    <row r="172" spans="1:9" ht="60" x14ac:dyDescent="0.25">
      <c r="A172" t="s">
        <v>3386</v>
      </c>
      <c r="B172">
        <v>51489</v>
      </c>
      <c r="C172">
        <v>1400</v>
      </c>
      <c r="F172" s="4" t="s">
        <v>3387</v>
      </c>
      <c r="G172">
        <v>0.30582479823753517</v>
      </c>
      <c r="H172">
        <f t="shared" si="5"/>
        <v>0.20656136087484811</v>
      </c>
      <c r="I172">
        <f t="shared" si="4"/>
        <v>2</v>
      </c>
    </row>
    <row r="173" spans="1:9" ht="60" x14ac:dyDescent="0.25">
      <c r="A173" t="s">
        <v>3388</v>
      </c>
      <c r="B173">
        <v>51875</v>
      </c>
      <c r="C173">
        <v>1494</v>
      </c>
      <c r="F173" s="4" t="s">
        <v>3389</v>
      </c>
      <c r="G173">
        <v>0.30591747327275765</v>
      </c>
      <c r="H173">
        <f t="shared" si="5"/>
        <v>0.2077764277035237</v>
      </c>
      <c r="I173">
        <f t="shared" si="4"/>
        <v>2</v>
      </c>
    </row>
    <row r="174" spans="1:9" ht="60" x14ac:dyDescent="0.25">
      <c r="A174" t="s">
        <v>3390</v>
      </c>
      <c r="B174">
        <v>52352</v>
      </c>
      <c r="C174">
        <v>1418</v>
      </c>
      <c r="F174" s="4" t="s">
        <v>3391</v>
      </c>
      <c r="G174">
        <v>0.30643642155300177</v>
      </c>
      <c r="H174">
        <f t="shared" si="5"/>
        <v>0.20899149453219928</v>
      </c>
      <c r="I174">
        <f t="shared" si="4"/>
        <v>2</v>
      </c>
    </row>
    <row r="175" spans="1:9" ht="60" x14ac:dyDescent="0.25">
      <c r="A175" t="s">
        <v>3392</v>
      </c>
      <c r="B175">
        <v>52377</v>
      </c>
      <c r="C175">
        <v>1109</v>
      </c>
      <c r="F175" s="4" t="s">
        <v>3393</v>
      </c>
      <c r="G175">
        <v>0.30701979758126979</v>
      </c>
      <c r="H175">
        <f t="shared" si="5"/>
        <v>0.21020656136087484</v>
      </c>
      <c r="I175">
        <f t="shared" si="4"/>
        <v>2</v>
      </c>
    </row>
    <row r="176" spans="1:9" ht="60" x14ac:dyDescent="0.25">
      <c r="A176" t="s">
        <v>3394</v>
      </c>
      <c r="B176">
        <v>52586</v>
      </c>
      <c r="C176">
        <v>1151</v>
      </c>
      <c r="F176" s="4" t="s">
        <v>3395</v>
      </c>
      <c r="G176">
        <v>0.30723978778984917</v>
      </c>
      <c r="H176">
        <f t="shared" si="5"/>
        <v>0.21142162818955043</v>
      </c>
      <c r="I176">
        <f t="shared" si="4"/>
        <v>2</v>
      </c>
    </row>
    <row r="177" spans="1:9" ht="60" x14ac:dyDescent="0.25">
      <c r="A177" t="s">
        <v>3396</v>
      </c>
      <c r="B177">
        <v>52607</v>
      </c>
      <c r="C177">
        <v>1137</v>
      </c>
      <c r="F177" s="4" t="s">
        <v>3397</v>
      </c>
      <c r="G177">
        <v>0.30745703229405136</v>
      </c>
      <c r="H177">
        <f t="shared" si="5"/>
        <v>0.21263669501822599</v>
      </c>
      <c r="I177">
        <f t="shared" si="4"/>
        <v>2</v>
      </c>
    </row>
    <row r="178" spans="1:9" ht="60" x14ac:dyDescent="0.25">
      <c r="A178" t="s">
        <v>3398</v>
      </c>
      <c r="B178">
        <v>52860</v>
      </c>
      <c r="C178">
        <v>1123</v>
      </c>
      <c r="F178" s="4" t="s">
        <v>3399</v>
      </c>
      <c r="G178">
        <v>0.30752059511423957</v>
      </c>
      <c r="H178">
        <f t="shared" si="5"/>
        <v>0.21385176184690158</v>
      </c>
      <c r="I178">
        <f t="shared" si="4"/>
        <v>2</v>
      </c>
    </row>
    <row r="179" spans="1:9" ht="60" x14ac:dyDescent="0.25">
      <c r="A179" t="s">
        <v>3400</v>
      </c>
      <c r="B179">
        <v>52909</v>
      </c>
      <c r="C179">
        <v>1386</v>
      </c>
      <c r="F179" s="4" t="s">
        <v>3401</v>
      </c>
      <c r="G179">
        <v>0.30756328363369084</v>
      </c>
      <c r="H179">
        <f t="shared" si="5"/>
        <v>0.21506682867557717</v>
      </c>
      <c r="I179">
        <f t="shared" si="4"/>
        <v>2</v>
      </c>
    </row>
    <row r="180" spans="1:9" ht="60" x14ac:dyDescent="0.25">
      <c r="A180" t="s">
        <v>3402</v>
      </c>
      <c r="B180">
        <v>52917</v>
      </c>
      <c r="C180">
        <v>1497</v>
      </c>
      <c r="F180" s="4" t="s">
        <v>3403</v>
      </c>
      <c r="G180">
        <v>0.30799983735642056</v>
      </c>
      <c r="H180">
        <f t="shared" si="5"/>
        <v>0.21628189550425272</v>
      </c>
      <c r="I180">
        <f t="shared" si="4"/>
        <v>2</v>
      </c>
    </row>
    <row r="181" spans="1:9" ht="60" x14ac:dyDescent="0.25">
      <c r="A181" t="s">
        <v>3404</v>
      </c>
      <c r="B181">
        <v>52932</v>
      </c>
      <c r="C181">
        <v>1268</v>
      </c>
      <c r="F181" s="4" t="s">
        <v>3405</v>
      </c>
      <c r="G181">
        <v>0.30854853069382188</v>
      </c>
      <c r="H181">
        <f t="shared" si="5"/>
        <v>0.21749696233292831</v>
      </c>
      <c r="I181">
        <f t="shared" si="4"/>
        <v>2</v>
      </c>
    </row>
    <row r="182" spans="1:9" ht="60" x14ac:dyDescent="0.25">
      <c r="A182" t="s">
        <v>3406</v>
      </c>
      <c r="B182">
        <v>53083</v>
      </c>
      <c r="C182">
        <v>1192</v>
      </c>
      <c r="F182" s="4" t="s">
        <v>3407</v>
      </c>
      <c r="G182">
        <v>0.30861567735258855</v>
      </c>
      <c r="H182">
        <f t="shared" si="5"/>
        <v>0.2187120291616039</v>
      </c>
      <c r="I182">
        <f t="shared" si="4"/>
        <v>2</v>
      </c>
    </row>
    <row r="183" spans="1:9" ht="60" x14ac:dyDescent="0.25">
      <c r="A183" t="s">
        <v>3408</v>
      </c>
      <c r="B183">
        <v>53138</v>
      </c>
      <c r="C183">
        <v>1128</v>
      </c>
      <c r="F183" s="4" t="s">
        <v>3409</v>
      </c>
      <c r="G183">
        <v>0.30903607969291419</v>
      </c>
      <c r="H183">
        <f t="shared" si="5"/>
        <v>0.21992709599027946</v>
      </c>
      <c r="I183">
        <f t="shared" si="4"/>
        <v>2</v>
      </c>
    </row>
    <row r="184" spans="1:9" ht="60" x14ac:dyDescent="0.25">
      <c r="A184" t="s">
        <v>3410</v>
      </c>
      <c r="B184">
        <v>53147</v>
      </c>
      <c r="C184">
        <v>1138</v>
      </c>
      <c r="F184" s="4" t="s">
        <v>3411</v>
      </c>
      <c r="G184">
        <v>0.30906500705865797</v>
      </c>
      <c r="H184">
        <f t="shared" si="5"/>
        <v>0.22114216281895505</v>
      </c>
      <c r="I184">
        <f t="shared" si="4"/>
        <v>2</v>
      </c>
    </row>
    <row r="185" spans="1:9" ht="60" x14ac:dyDescent="0.25">
      <c r="A185" t="s">
        <v>3412</v>
      </c>
      <c r="B185">
        <v>53162</v>
      </c>
      <c r="C185">
        <v>1289</v>
      </c>
      <c r="F185" s="4" t="s">
        <v>3413</v>
      </c>
      <c r="G185">
        <v>0.30908807446306108</v>
      </c>
      <c r="H185">
        <f t="shared" si="5"/>
        <v>0.22235722964763063</v>
      </c>
      <c r="I185">
        <f t="shared" si="4"/>
        <v>2</v>
      </c>
    </row>
    <row r="186" spans="1:9" ht="60" x14ac:dyDescent="0.25">
      <c r="A186" t="s">
        <v>3414</v>
      </c>
      <c r="B186">
        <v>53237</v>
      </c>
      <c r="C186">
        <v>1201</v>
      </c>
      <c r="F186" s="4" t="s">
        <v>3415</v>
      </c>
      <c r="G186">
        <v>0.30909415495628606</v>
      </c>
      <c r="H186">
        <f t="shared" si="5"/>
        <v>0.22357229647630619</v>
      </c>
      <c r="I186">
        <f t="shared" si="4"/>
        <v>2</v>
      </c>
    </row>
    <row r="187" spans="1:9" ht="60" x14ac:dyDescent="0.25">
      <c r="A187" t="s">
        <v>3416</v>
      </c>
      <c r="B187">
        <v>53333</v>
      </c>
      <c r="C187">
        <v>1127</v>
      </c>
      <c r="F187" s="4" t="s">
        <v>3417</v>
      </c>
      <c r="G187">
        <v>0.30929620762458643</v>
      </c>
      <c r="H187">
        <f t="shared" si="5"/>
        <v>0.22478736330498178</v>
      </c>
      <c r="I187">
        <f t="shared" si="4"/>
        <v>2</v>
      </c>
    </row>
    <row r="188" spans="1:9" ht="60" x14ac:dyDescent="0.25">
      <c r="A188" t="s">
        <v>3418</v>
      </c>
      <c r="B188">
        <v>53607</v>
      </c>
      <c r="C188">
        <v>1342</v>
      </c>
      <c r="F188" s="4" t="s">
        <v>3419</v>
      </c>
      <c r="G188">
        <v>0.30987761424459503</v>
      </c>
      <c r="H188">
        <f t="shared" si="5"/>
        <v>0.22600243013365734</v>
      </c>
      <c r="I188">
        <f t="shared" si="4"/>
        <v>2</v>
      </c>
    </row>
    <row r="189" spans="1:9" ht="60" x14ac:dyDescent="0.25">
      <c r="A189" t="s">
        <v>3420</v>
      </c>
      <c r="B189">
        <v>53617</v>
      </c>
      <c r="C189">
        <v>1244</v>
      </c>
      <c r="F189" s="4" t="s">
        <v>3421</v>
      </c>
      <c r="G189">
        <v>0.30998904804152194</v>
      </c>
      <c r="H189">
        <f t="shared" si="5"/>
        <v>0.22721749696233293</v>
      </c>
      <c r="I189">
        <f t="shared" si="4"/>
        <v>2</v>
      </c>
    </row>
    <row r="190" spans="1:9" ht="60" x14ac:dyDescent="0.25">
      <c r="A190" t="s">
        <v>3422</v>
      </c>
      <c r="B190">
        <v>53648</v>
      </c>
      <c r="C190">
        <v>1119</v>
      </c>
      <c r="F190" s="4" t="s">
        <v>3423</v>
      </c>
      <c r="G190">
        <v>0.31075408344342553</v>
      </c>
      <c r="H190">
        <f t="shared" si="5"/>
        <v>0.22843256379100851</v>
      </c>
      <c r="I190">
        <f t="shared" si="4"/>
        <v>2</v>
      </c>
    </row>
    <row r="191" spans="1:9" ht="60" x14ac:dyDescent="0.25">
      <c r="A191" t="s">
        <v>3424</v>
      </c>
      <c r="B191">
        <v>53857</v>
      </c>
      <c r="C191">
        <v>1156</v>
      </c>
      <c r="F191" s="4" t="s">
        <v>3425</v>
      </c>
      <c r="G191">
        <v>0.31115834655761238</v>
      </c>
      <c r="H191">
        <f t="shared" si="5"/>
        <v>0.22964763061968407</v>
      </c>
      <c r="I191">
        <f t="shared" si="4"/>
        <v>2</v>
      </c>
    </row>
    <row r="192" spans="1:9" ht="45" x14ac:dyDescent="0.25">
      <c r="A192" t="s">
        <v>3426</v>
      </c>
      <c r="B192">
        <v>53904</v>
      </c>
      <c r="C192">
        <v>1120</v>
      </c>
      <c r="F192" s="4" t="s">
        <v>3427</v>
      </c>
      <c r="G192">
        <v>0.31117553075929433</v>
      </c>
      <c r="H192">
        <f t="shared" si="5"/>
        <v>0.23086269744835966</v>
      </c>
      <c r="I192">
        <f t="shared" si="4"/>
        <v>2</v>
      </c>
    </row>
    <row r="193" spans="1:9" ht="60" x14ac:dyDescent="0.25">
      <c r="A193" t="s">
        <v>3428</v>
      </c>
      <c r="B193">
        <v>54038</v>
      </c>
      <c r="C193">
        <v>1575</v>
      </c>
      <c r="F193" s="4" t="s">
        <v>3429</v>
      </c>
      <c r="G193">
        <v>0.31121080060412054</v>
      </c>
      <c r="H193">
        <f t="shared" si="5"/>
        <v>0.23207776427703525</v>
      </c>
      <c r="I193">
        <f t="shared" si="4"/>
        <v>2</v>
      </c>
    </row>
    <row r="194" spans="1:9" ht="60" x14ac:dyDescent="0.25">
      <c r="A194" t="s">
        <v>3430</v>
      </c>
      <c r="B194">
        <v>54167</v>
      </c>
      <c r="C194">
        <v>1373</v>
      </c>
      <c r="F194" s="4" t="s">
        <v>3431</v>
      </c>
      <c r="G194">
        <v>0.31143212370189016</v>
      </c>
      <c r="H194">
        <f t="shared" si="5"/>
        <v>0.23329283110571081</v>
      </c>
      <c r="I194">
        <f t="shared" si="4"/>
        <v>2</v>
      </c>
    </row>
    <row r="195" spans="1:9" ht="60" x14ac:dyDescent="0.25">
      <c r="A195" t="s">
        <v>3432</v>
      </c>
      <c r="B195">
        <v>54216</v>
      </c>
      <c r="C195">
        <v>1492</v>
      </c>
      <c r="F195" s="4" t="s">
        <v>3433</v>
      </c>
      <c r="G195">
        <v>0.31168644944665713</v>
      </c>
      <c r="H195">
        <f t="shared" si="5"/>
        <v>0.23450789793438639</v>
      </c>
      <c r="I195">
        <f t="shared" ref="I195:I258" si="6">IF(H195&lt;0.2,1,IF(H195&lt;0.4,2,IF(H195&lt;0.6,3,IF(H195&lt;0.8,4,5))))</f>
        <v>2</v>
      </c>
    </row>
    <row r="196" spans="1:9" ht="60" x14ac:dyDescent="0.25">
      <c r="A196" t="s">
        <v>3434</v>
      </c>
      <c r="B196">
        <v>54280</v>
      </c>
      <c r="C196">
        <v>1185</v>
      </c>
      <c r="F196" s="4" t="s">
        <v>3435</v>
      </c>
      <c r="G196">
        <v>0.31182562348544129</v>
      </c>
      <c r="H196">
        <f t="shared" ref="H196:H259" si="7">_xlfn.RANK.EQ(G196,$G$3:$G$825,1)/COUNT($G$3:$G$825)</f>
        <v>0.23572296476306198</v>
      </c>
      <c r="I196">
        <f t="shared" si="6"/>
        <v>2</v>
      </c>
    </row>
    <row r="197" spans="1:9" ht="60" x14ac:dyDescent="0.25">
      <c r="A197" t="s">
        <v>3436</v>
      </c>
      <c r="B197">
        <v>54482</v>
      </c>
      <c r="C197">
        <v>1230</v>
      </c>
      <c r="F197" s="4" t="s">
        <v>3437</v>
      </c>
      <c r="G197">
        <v>0.31183811914416371</v>
      </c>
      <c r="H197">
        <f t="shared" si="7"/>
        <v>0.23693803159173754</v>
      </c>
      <c r="I197">
        <f t="shared" si="6"/>
        <v>2</v>
      </c>
    </row>
    <row r="198" spans="1:9" ht="60" x14ac:dyDescent="0.25">
      <c r="A198" t="s">
        <v>3438</v>
      </c>
      <c r="B198">
        <v>54908</v>
      </c>
      <c r="C198">
        <v>1182</v>
      </c>
      <c r="F198" s="4" t="s">
        <v>3439</v>
      </c>
      <c r="G198">
        <v>0.31203439244681813</v>
      </c>
      <c r="H198">
        <f t="shared" si="7"/>
        <v>0.23815309842041313</v>
      </c>
      <c r="I198">
        <f t="shared" si="6"/>
        <v>2</v>
      </c>
    </row>
    <row r="199" spans="1:9" ht="60" x14ac:dyDescent="0.25">
      <c r="A199" t="s">
        <v>3440</v>
      </c>
      <c r="B199">
        <v>55399</v>
      </c>
      <c r="C199">
        <v>1198</v>
      </c>
      <c r="F199" s="4" t="s">
        <v>3441</v>
      </c>
      <c r="G199">
        <v>0.31216076501635287</v>
      </c>
      <c r="H199">
        <f t="shared" si="7"/>
        <v>0.23936816524908869</v>
      </c>
      <c r="I199">
        <f t="shared" si="6"/>
        <v>2</v>
      </c>
    </row>
    <row r="200" spans="1:9" ht="60" x14ac:dyDescent="0.25">
      <c r="A200" t="s">
        <v>3442</v>
      </c>
      <c r="B200">
        <v>55565</v>
      </c>
      <c r="C200">
        <v>1268</v>
      </c>
      <c r="F200" s="4" t="s">
        <v>3443</v>
      </c>
      <c r="G200">
        <v>0.31247712461866167</v>
      </c>
      <c r="H200">
        <f t="shared" si="7"/>
        <v>0.24058323207776428</v>
      </c>
      <c r="I200">
        <f t="shared" si="6"/>
        <v>2</v>
      </c>
    </row>
    <row r="201" spans="1:9" ht="60" x14ac:dyDescent="0.25">
      <c r="A201" t="s">
        <v>3444</v>
      </c>
      <c r="B201">
        <v>55982</v>
      </c>
      <c r="C201">
        <v>1617</v>
      </c>
      <c r="F201" s="4" t="s">
        <v>3445</v>
      </c>
      <c r="G201">
        <v>0.31279617201043897</v>
      </c>
      <c r="H201">
        <f t="shared" si="7"/>
        <v>0.24179829890643986</v>
      </c>
      <c r="I201">
        <f t="shared" si="6"/>
        <v>2</v>
      </c>
    </row>
    <row r="202" spans="1:9" ht="60" x14ac:dyDescent="0.25">
      <c r="A202" t="s">
        <v>3446</v>
      </c>
      <c r="B202">
        <v>56009</v>
      </c>
      <c r="C202">
        <v>1463</v>
      </c>
      <c r="F202" s="4" t="s">
        <v>3447</v>
      </c>
      <c r="G202">
        <v>0.31285165271968907</v>
      </c>
      <c r="H202">
        <f t="shared" si="7"/>
        <v>0.24301336573511542</v>
      </c>
      <c r="I202">
        <f t="shared" si="6"/>
        <v>2</v>
      </c>
    </row>
    <row r="203" spans="1:9" ht="60" x14ac:dyDescent="0.25">
      <c r="A203" t="s">
        <v>3448</v>
      </c>
      <c r="B203">
        <v>56020</v>
      </c>
      <c r="C203">
        <v>1254</v>
      </c>
      <c r="F203" s="4" t="s">
        <v>3449</v>
      </c>
      <c r="G203">
        <v>0.31329719239344112</v>
      </c>
      <c r="H203">
        <f t="shared" si="7"/>
        <v>0.24422843256379101</v>
      </c>
      <c r="I203">
        <f t="shared" si="6"/>
        <v>2</v>
      </c>
    </row>
    <row r="204" spans="1:9" ht="60" x14ac:dyDescent="0.25">
      <c r="A204" t="s">
        <v>3450</v>
      </c>
      <c r="B204">
        <v>56292</v>
      </c>
      <c r="C204">
        <v>1185</v>
      </c>
      <c r="F204" s="4" t="s">
        <v>3451</v>
      </c>
      <c r="G204">
        <v>0.31338685061735111</v>
      </c>
      <c r="H204">
        <f t="shared" si="7"/>
        <v>0.2454434993924666</v>
      </c>
      <c r="I204">
        <f t="shared" si="6"/>
        <v>2</v>
      </c>
    </row>
    <row r="205" spans="1:9" ht="60" x14ac:dyDescent="0.25">
      <c r="A205" t="s">
        <v>3452</v>
      </c>
      <c r="B205">
        <v>56438</v>
      </c>
      <c r="C205">
        <v>1270</v>
      </c>
      <c r="F205" s="4" t="s">
        <v>3453</v>
      </c>
      <c r="G205">
        <v>0.31359155894245139</v>
      </c>
      <c r="H205">
        <f t="shared" si="7"/>
        <v>0.24665856622114216</v>
      </c>
      <c r="I205">
        <f t="shared" si="6"/>
        <v>2</v>
      </c>
    </row>
    <row r="206" spans="1:9" ht="45" x14ac:dyDescent="0.25">
      <c r="A206" t="s">
        <v>3454</v>
      </c>
      <c r="B206">
        <v>56714</v>
      </c>
      <c r="C206">
        <v>1007</v>
      </c>
      <c r="F206" s="4" t="s">
        <v>3455</v>
      </c>
      <c r="G206">
        <v>0.31372149532666094</v>
      </c>
      <c r="H206">
        <f t="shared" si="7"/>
        <v>0.24787363304981774</v>
      </c>
      <c r="I206">
        <f t="shared" si="6"/>
        <v>2</v>
      </c>
    </row>
    <row r="207" spans="1:9" ht="60" x14ac:dyDescent="0.25">
      <c r="A207" t="s">
        <v>3456</v>
      </c>
      <c r="B207">
        <v>56932</v>
      </c>
      <c r="C207">
        <v>1483</v>
      </c>
      <c r="F207" s="4" t="s">
        <v>3457</v>
      </c>
      <c r="G207">
        <v>0.31376620303183339</v>
      </c>
      <c r="H207">
        <f t="shared" si="7"/>
        <v>0.24908869987849333</v>
      </c>
      <c r="I207">
        <f t="shared" si="6"/>
        <v>2</v>
      </c>
    </row>
    <row r="208" spans="1:9" ht="60" x14ac:dyDescent="0.25">
      <c r="A208" t="s">
        <v>3458</v>
      </c>
      <c r="B208">
        <v>57072</v>
      </c>
      <c r="C208">
        <v>1136</v>
      </c>
      <c r="F208" s="4" t="s">
        <v>3459</v>
      </c>
      <c r="G208">
        <v>0.31391185590461124</v>
      </c>
      <c r="H208">
        <f t="shared" si="7"/>
        <v>0.25030376670716892</v>
      </c>
      <c r="I208">
        <f t="shared" si="6"/>
        <v>2</v>
      </c>
    </row>
    <row r="209" spans="1:9" ht="60" x14ac:dyDescent="0.25">
      <c r="A209" t="s">
        <v>3460</v>
      </c>
      <c r="B209">
        <v>57218</v>
      </c>
      <c r="C209">
        <v>1035</v>
      </c>
      <c r="F209" s="4" t="s">
        <v>3461</v>
      </c>
      <c r="G209">
        <v>0.31402858162950398</v>
      </c>
      <c r="H209">
        <f t="shared" si="7"/>
        <v>0.25151883353584448</v>
      </c>
      <c r="I209">
        <f t="shared" si="6"/>
        <v>2</v>
      </c>
    </row>
    <row r="210" spans="1:9" ht="60" x14ac:dyDescent="0.25">
      <c r="A210" t="s">
        <v>3462</v>
      </c>
      <c r="B210">
        <v>57286</v>
      </c>
      <c r="C210">
        <v>1094</v>
      </c>
      <c r="F210" s="4" t="s">
        <v>3463</v>
      </c>
      <c r="G210">
        <v>0.3141311101041438</v>
      </c>
      <c r="H210">
        <f t="shared" si="7"/>
        <v>0.25273390036452004</v>
      </c>
      <c r="I210">
        <f t="shared" si="6"/>
        <v>2</v>
      </c>
    </row>
    <row r="211" spans="1:9" ht="60" x14ac:dyDescent="0.25">
      <c r="A211" t="s">
        <v>3464</v>
      </c>
      <c r="B211">
        <v>57358</v>
      </c>
      <c r="C211">
        <v>1120</v>
      </c>
      <c r="F211" s="4" t="s">
        <v>3465</v>
      </c>
      <c r="G211">
        <v>0.31414167129815956</v>
      </c>
      <c r="H211">
        <f t="shared" si="7"/>
        <v>0.25394896719319565</v>
      </c>
      <c r="I211">
        <f t="shared" si="6"/>
        <v>2</v>
      </c>
    </row>
    <row r="212" spans="1:9" ht="60" x14ac:dyDescent="0.25">
      <c r="A212" t="s">
        <v>3466</v>
      </c>
      <c r="B212">
        <v>57587</v>
      </c>
      <c r="C212">
        <v>1181</v>
      </c>
      <c r="F212" s="4" t="s">
        <v>3467</v>
      </c>
      <c r="G212">
        <v>0.31490846611871581</v>
      </c>
      <c r="H212">
        <f t="shared" si="7"/>
        <v>0.25516403402187121</v>
      </c>
      <c r="I212">
        <f t="shared" si="6"/>
        <v>2</v>
      </c>
    </row>
    <row r="213" spans="1:9" ht="60" x14ac:dyDescent="0.25">
      <c r="A213" t="s">
        <v>3468</v>
      </c>
      <c r="B213">
        <v>57778</v>
      </c>
      <c r="C213">
        <v>1109</v>
      </c>
      <c r="F213" s="4" t="s">
        <v>3469</v>
      </c>
      <c r="G213">
        <v>0.31534137192204353</v>
      </c>
      <c r="H213">
        <f t="shared" si="7"/>
        <v>0.25637910085054677</v>
      </c>
      <c r="I213">
        <f t="shared" si="6"/>
        <v>2</v>
      </c>
    </row>
    <row r="214" spans="1:9" ht="60" x14ac:dyDescent="0.25">
      <c r="A214" t="s">
        <v>3470</v>
      </c>
      <c r="B214">
        <v>57917</v>
      </c>
      <c r="C214">
        <v>1032</v>
      </c>
      <c r="F214" s="4" t="s">
        <v>3471</v>
      </c>
      <c r="G214">
        <v>0.31548150879109338</v>
      </c>
      <c r="H214">
        <f t="shared" si="7"/>
        <v>0.25759416767922233</v>
      </c>
      <c r="I214">
        <f t="shared" si="6"/>
        <v>2</v>
      </c>
    </row>
    <row r="215" spans="1:9" ht="60" x14ac:dyDescent="0.25">
      <c r="A215" t="s">
        <v>3472</v>
      </c>
      <c r="B215">
        <v>57917</v>
      </c>
      <c r="C215">
        <v>1077</v>
      </c>
      <c r="F215" s="4" t="s">
        <v>3473</v>
      </c>
      <c r="G215">
        <v>0.31548756124033872</v>
      </c>
      <c r="H215">
        <f t="shared" si="7"/>
        <v>0.25880923450789795</v>
      </c>
      <c r="I215">
        <f t="shared" si="6"/>
        <v>2</v>
      </c>
    </row>
    <row r="216" spans="1:9" ht="60" x14ac:dyDescent="0.25">
      <c r="A216" t="s">
        <v>3474</v>
      </c>
      <c r="B216">
        <v>57955</v>
      </c>
      <c r="C216">
        <v>1260</v>
      </c>
      <c r="F216" s="4" t="s">
        <v>3475</v>
      </c>
      <c r="G216">
        <v>0.31620976342906537</v>
      </c>
      <c r="H216">
        <f t="shared" si="7"/>
        <v>0.2600243013365735</v>
      </c>
      <c r="I216">
        <f t="shared" si="6"/>
        <v>2</v>
      </c>
    </row>
    <row r="217" spans="1:9" ht="60" x14ac:dyDescent="0.25">
      <c r="A217" t="s">
        <v>3476</v>
      </c>
      <c r="B217">
        <v>58000</v>
      </c>
      <c r="C217">
        <v>964</v>
      </c>
      <c r="F217" s="4" t="s">
        <v>3477</v>
      </c>
      <c r="G217">
        <v>0.31636725932255766</v>
      </c>
      <c r="H217">
        <f t="shared" si="7"/>
        <v>0.26123936816524906</v>
      </c>
      <c r="I217">
        <f t="shared" si="6"/>
        <v>2</v>
      </c>
    </row>
    <row r="218" spans="1:9" ht="60" x14ac:dyDescent="0.25">
      <c r="A218" t="s">
        <v>3478</v>
      </c>
      <c r="B218">
        <v>58029</v>
      </c>
      <c r="C218">
        <v>1201</v>
      </c>
      <c r="F218" s="4" t="s">
        <v>3479</v>
      </c>
      <c r="G218">
        <v>0.31664786938082579</v>
      </c>
      <c r="H218">
        <f t="shared" si="7"/>
        <v>0.26245443499392468</v>
      </c>
      <c r="I218">
        <f t="shared" si="6"/>
        <v>2</v>
      </c>
    </row>
    <row r="219" spans="1:9" ht="60" x14ac:dyDescent="0.25">
      <c r="A219" t="s">
        <v>3480</v>
      </c>
      <c r="B219">
        <v>58229</v>
      </c>
      <c r="C219">
        <v>1130</v>
      </c>
      <c r="F219" s="4" t="s">
        <v>3468</v>
      </c>
      <c r="G219">
        <v>0.31665123757384633</v>
      </c>
      <c r="H219">
        <f t="shared" si="7"/>
        <v>0.26366950182260024</v>
      </c>
      <c r="I219">
        <f t="shared" si="6"/>
        <v>2</v>
      </c>
    </row>
    <row r="220" spans="1:9" ht="60" x14ac:dyDescent="0.25">
      <c r="A220" t="s">
        <v>3481</v>
      </c>
      <c r="B220">
        <v>58273</v>
      </c>
      <c r="C220">
        <v>1834</v>
      </c>
      <c r="F220" s="4" t="s">
        <v>3482</v>
      </c>
      <c r="G220">
        <v>0.31699323812396291</v>
      </c>
      <c r="H220">
        <f t="shared" si="7"/>
        <v>0.2648845686512758</v>
      </c>
      <c r="I220">
        <f t="shared" si="6"/>
        <v>2</v>
      </c>
    </row>
    <row r="221" spans="1:9" ht="60" x14ac:dyDescent="0.25">
      <c r="A221" t="s">
        <v>3483</v>
      </c>
      <c r="B221">
        <v>58278</v>
      </c>
      <c r="C221">
        <v>1191</v>
      </c>
      <c r="F221" s="4" t="s">
        <v>3484</v>
      </c>
      <c r="G221">
        <v>0.31712037237468016</v>
      </c>
      <c r="H221">
        <f t="shared" si="7"/>
        <v>0.26609963547995141</v>
      </c>
      <c r="I221">
        <f t="shared" si="6"/>
        <v>2</v>
      </c>
    </row>
    <row r="222" spans="1:9" ht="45" x14ac:dyDescent="0.25">
      <c r="A222" t="s">
        <v>3485</v>
      </c>
      <c r="B222">
        <v>58516</v>
      </c>
      <c r="C222">
        <v>1264</v>
      </c>
      <c r="F222" s="4" t="s">
        <v>3486</v>
      </c>
      <c r="G222">
        <v>0.31717379361897913</v>
      </c>
      <c r="H222">
        <f t="shared" si="7"/>
        <v>0.26731470230862697</v>
      </c>
      <c r="I222">
        <f t="shared" si="6"/>
        <v>2</v>
      </c>
    </row>
    <row r="223" spans="1:9" ht="60" x14ac:dyDescent="0.25">
      <c r="A223" t="s">
        <v>3487</v>
      </c>
      <c r="B223">
        <v>58875</v>
      </c>
      <c r="C223">
        <v>1410</v>
      </c>
      <c r="F223" s="4" t="s">
        <v>3488</v>
      </c>
      <c r="G223">
        <v>0.31743041650885312</v>
      </c>
      <c r="H223">
        <f t="shared" si="7"/>
        <v>0.26852976913730253</v>
      </c>
      <c r="I223">
        <f t="shared" si="6"/>
        <v>2</v>
      </c>
    </row>
    <row r="224" spans="1:9" ht="45" x14ac:dyDescent="0.25">
      <c r="A224" t="s">
        <v>3489</v>
      </c>
      <c r="B224">
        <v>58889</v>
      </c>
      <c r="C224">
        <v>1280</v>
      </c>
      <c r="F224" s="4" t="s">
        <v>3490</v>
      </c>
      <c r="G224">
        <v>0.3174711306376079</v>
      </c>
      <c r="H224">
        <f t="shared" si="7"/>
        <v>0.26974483596597815</v>
      </c>
      <c r="I224">
        <f t="shared" si="6"/>
        <v>2</v>
      </c>
    </row>
    <row r="225" spans="1:9" ht="45" x14ac:dyDescent="0.25">
      <c r="A225" t="s">
        <v>3491</v>
      </c>
      <c r="B225">
        <v>59014</v>
      </c>
      <c r="C225">
        <v>1532</v>
      </c>
      <c r="F225" s="4" t="s">
        <v>3492</v>
      </c>
      <c r="G225">
        <v>0.31771023477661559</v>
      </c>
      <c r="H225">
        <f t="shared" si="7"/>
        <v>0.27095990279465371</v>
      </c>
      <c r="I225">
        <f t="shared" si="6"/>
        <v>2</v>
      </c>
    </row>
    <row r="226" spans="1:9" ht="60" x14ac:dyDescent="0.25">
      <c r="A226" t="s">
        <v>3493</v>
      </c>
      <c r="B226">
        <v>59018</v>
      </c>
      <c r="C226">
        <v>1070</v>
      </c>
      <c r="F226" s="4" t="s">
        <v>3494</v>
      </c>
      <c r="G226">
        <v>0.3177152575730845</v>
      </c>
      <c r="H226">
        <f t="shared" si="7"/>
        <v>0.27217496962332927</v>
      </c>
      <c r="I226">
        <f t="shared" si="6"/>
        <v>2</v>
      </c>
    </row>
    <row r="227" spans="1:9" ht="60" x14ac:dyDescent="0.25">
      <c r="A227" t="s">
        <v>3495</v>
      </c>
      <c r="B227">
        <v>59266</v>
      </c>
      <c r="C227">
        <v>1446</v>
      </c>
      <c r="F227" s="4" t="s">
        <v>3496</v>
      </c>
      <c r="G227">
        <v>0.31779434682333413</v>
      </c>
      <c r="H227">
        <f t="shared" si="7"/>
        <v>0.27339003645200488</v>
      </c>
      <c r="I227">
        <f t="shared" si="6"/>
        <v>2</v>
      </c>
    </row>
    <row r="228" spans="1:9" ht="60" x14ac:dyDescent="0.25">
      <c r="A228" t="s">
        <v>3497</v>
      </c>
      <c r="B228">
        <v>59402</v>
      </c>
      <c r="C228">
        <v>1195</v>
      </c>
      <c r="F228" s="4" t="s">
        <v>3498</v>
      </c>
      <c r="G228">
        <v>0.31804038177043781</v>
      </c>
      <c r="H228">
        <f t="shared" si="7"/>
        <v>0.27460510328068044</v>
      </c>
      <c r="I228">
        <f t="shared" si="6"/>
        <v>2</v>
      </c>
    </row>
    <row r="229" spans="1:9" ht="60" x14ac:dyDescent="0.25">
      <c r="A229" t="s">
        <v>3499</v>
      </c>
      <c r="B229">
        <v>59552</v>
      </c>
      <c r="C229">
        <v>1164</v>
      </c>
      <c r="F229" s="4" t="s">
        <v>3500</v>
      </c>
      <c r="G229">
        <v>0.31818401514086436</v>
      </c>
      <c r="H229">
        <f t="shared" si="7"/>
        <v>0.275820170109356</v>
      </c>
      <c r="I229">
        <f t="shared" si="6"/>
        <v>2</v>
      </c>
    </row>
    <row r="230" spans="1:9" ht="60" x14ac:dyDescent="0.25">
      <c r="A230" t="s">
        <v>3501</v>
      </c>
      <c r="B230">
        <v>59771</v>
      </c>
      <c r="C230">
        <v>1209</v>
      </c>
      <c r="F230" s="4" t="s">
        <v>3502</v>
      </c>
      <c r="G230">
        <v>0.31825468473660468</v>
      </c>
      <c r="H230">
        <f t="shared" si="7"/>
        <v>0.27703523693803161</v>
      </c>
      <c r="I230">
        <f t="shared" si="6"/>
        <v>2</v>
      </c>
    </row>
    <row r="231" spans="1:9" ht="60" x14ac:dyDescent="0.25">
      <c r="A231" t="s">
        <v>3503</v>
      </c>
      <c r="B231">
        <v>59914</v>
      </c>
      <c r="C231">
        <v>1260</v>
      </c>
      <c r="F231" s="4" t="s">
        <v>3504</v>
      </c>
      <c r="G231">
        <v>0.31836749748170623</v>
      </c>
      <c r="H231">
        <f t="shared" si="7"/>
        <v>0.27825030376670717</v>
      </c>
      <c r="I231">
        <f t="shared" si="6"/>
        <v>2</v>
      </c>
    </row>
    <row r="232" spans="1:9" ht="60" x14ac:dyDescent="0.25">
      <c r="A232" t="s">
        <v>3415</v>
      </c>
      <c r="B232">
        <v>60160</v>
      </c>
      <c r="C232">
        <v>1013</v>
      </c>
      <c r="F232" s="4" t="s">
        <v>3505</v>
      </c>
      <c r="G232">
        <v>0.31863009474291487</v>
      </c>
      <c r="H232">
        <f t="shared" si="7"/>
        <v>0.27946537059538273</v>
      </c>
      <c r="I232">
        <f t="shared" si="6"/>
        <v>2</v>
      </c>
    </row>
    <row r="233" spans="1:9" ht="60" x14ac:dyDescent="0.25">
      <c r="A233" t="s">
        <v>3461</v>
      </c>
      <c r="B233">
        <v>60694</v>
      </c>
      <c r="C233">
        <v>1066</v>
      </c>
      <c r="F233" s="4" t="s">
        <v>3506</v>
      </c>
      <c r="G233">
        <v>0.318704750267298</v>
      </c>
      <c r="H233">
        <f t="shared" si="7"/>
        <v>0.28068043742405835</v>
      </c>
      <c r="I233">
        <f t="shared" si="6"/>
        <v>2</v>
      </c>
    </row>
    <row r="234" spans="1:9" ht="60" x14ac:dyDescent="0.25">
      <c r="A234" t="s">
        <v>3507</v>
      </c>
      <c r="B234">
        <v>60725</v>
      </c>
      <c r="C234">
        <v>1634</v>
      </c>
      <c r="F234" s="4" t="s">
        <v>3508</v>
      </c>
      <c r="G234">
        <v>0.31897544066576522</v>
      </c>
      <c r="H234">
        <f t="shared" si="7"/>
        <v>0.28189550425273391</v>
      </c>
      <c r="I234">
        <f t="shared" si="6"/>
        <v>2</v>
      </c>
    </row>
    <row r="235" spans="1:9" ht="60" x14ac:dyDescent="0.25">
      <c r="A235" t="s">
        <v>3387</v>
      </c>
      <c r="B235">
        <v>61048</v>
      </c>
      <c r="C235">
        <v>1084</v>
      </c>
      <c r="F235" s="4" t="s">
        <v>3509</v>
      </c>
      <c r="G235">
        <v>0.3190856938076071</v>
      </c>
      <c r="H235">
        <f t="shared" si="7"/>
        <v>0.28311057108140947</v>
      </c>
      <c r="I235">
        <f t="shared" si="6"/>
        <v>2</v>
      </c>
    </row>
    <row r="236" spans="1:9" ht="60" x14ac:dyDescent="0.25">
      <c r="A236" t="s">
        <v>3510</v>
      </c>
      <c r="B236">
        <v>61071</v>
      </c>
      <c r="C236">
        <v>1124</v>
      </c>
      <c r="F236" s="4" t="s">
        <v>3511</v>
      </c>
      <c r="G236">
        <v>0.31921750327950382</v>
      </c>
      <c r="H236">
        <f t="shared" si="7"/>
        <v>0.28432563791008503</v>
      </c>
      <c r="I236">
        <f t="shared" si="6"/>
        <v>2</v>
      </c>
    </row>
    <row r="237" spans="1:9" ht="60" x14ac:dyDescent="0.25">
      <c r="A237" t="s">
        <v>3512</v>
      </c>
      <c r="B237">
        <v>61196</v>
      </c>
      <c r="C237">
        <v>1454</v>
      </c>
      <c r="F237" s="4" t="s">
        <v>3513</v>
      </c>
      <c r="G237">
        <v>0.3192307689925763</v>
      </c>
      <c r="H237">
        <f t="shared" si="7"/>
        <v>0.28554070473876064</v>
      </c>
      <c r="I237">
        <f t="shared" si="6"/>
        <v>2</v>
      </c>
    </row>
    <row r="238" spans="1:9" ht="60" x14ac:dyDescent="0.25">
      <c r="A238" t="s">
        <v>3514</v>
      </c>
      <c r="B238">
        <v>61667</v>
      </c>
      <c r="C238">
        <v>1586</v>
      </c>
      <c r="F238" s="4" t="s">
        <v>3515</v>
      </c>
      <c r="G238">
        <v>0.3197974746963656</v>
      </c>
      <c r="H238">
        <f t="shared" si="7"/>
        <v>0.2867557715674362</v>
      </c>
      <c r="I238">
        <f t="shared" si="6"/>
        <v>2</v>
      </c>
    </row>
    <row r="239" spans="1:9" ht="60" x14ac:dyDescent="0.25">
      <c r="A239" t="s">
        <v>3516</v>
      </c>
      <c r="B239">
        <v>61675</v>
      </c>
      <c r="C239">
        <v>1167</v>
      </c>
      <c r="F239" s="4" t="s">
        <v>3517</v>
      </c>
      <c r="G239">
        <v>0.31984167261235935</v>
      </c>
      <c r="H239">
        <f t="shared" si="7"/>
        <v>0.28797083839611176</v>
      </c>
      <c r="I239">
        <f t="shared" si="6"/>
        <v>2</v>
      </c>
    </row>
    <row r="240" spans="1:9" ht="60" x14ac:dyDescent="0.25">
      <c r="A240" t="s">
        <v>3518</v>
      </c>
      <c r="B240">
        <v>61755</v>
      </c>
      <c r="C240">
        <v>1320</v>
      </c>
      <c r="F240" s="4" t="s">
        <v>3519</v>
      </c>
      <c r="G240">
        <v>0.32017063404654872</v>
      </c>
      <c r="H240">
        <f t="shared" si="7"/>
        <v>0.28918590522478738</v>
      </c>
      <c r="I240">
        <f t="shared" si="6"/>
        <v>2</v>
      </c>
    </row>
    <row r="241" spans="1:9" ht="60" x14ac:dyDescent="0.25">
      <c r="A241" t="s">
        <v>3520</v>
      </c>
      <c r="B241">
        <v>61844</v>
      </c>
      <c r="C241">
        <v>1541</v>
      </c>
      <c r="F241" s="4" t="s">
        <v>3521</v>
      </c>
      <c r="G241">
        <v>0.32027777488112796</v>
      </c>
      <c r="H241">
        <f t="shared" si="7"/>
        <v>0.29040097205346294</v>
      </c>
      <c r="I241">
        <f t="shared" si="6"/>
        <v>2</v>
      </c>
    </row>
    <row r="242" spans="1:9" ht="60" x14ac:dyDescent="0.25">
      <c r="A242" t="s">
        <v>3522</v>
      </c>
      <c r="B242">
        <v>62054</v>
      </c>
      <c r="C242">
        <v>1097</v>
      </c>
      <c r="F242" s="4" t="s">
        <v>3523</v>
      </c>
      <c r="G242">
        <v>0.32038307943963668</v>
      </c>
      <c r="H242">
        <f t="shared" si="7"/>
        <v>0.2916160388821385</v>
      </c>
      <c r="I242">
        <f t="shared" si="6"/>
        <v>2</v>
      </c>
    </row>
    <row r="243" spans="1:9" ht="60" x14ac:dyDescent="0.25">
      <c r="A243" t="s">
        <v>3524</v>
      </c>
      <c r="B243">
        <v>62060</v>
      </c>
      <c r="C243">
        <v>1181</v>
      </c>
      <c r="F243" s="4" t="s">
        <v>3525</v>
      </c>
      <c r="G243">
        <v>0.32040617197411492</v>
      </c>
      <c r="H243">
        <f t="shared" si="7"/>
        <v>0.29283110571081411</v>
      </c>
      <c r="I243">
        <f t="shared" si="6"/>
        <v>2</v>
      </c>
    </row>
    <row r="244" spans="1:9" ht="45" x14ac:dyDescent="0.25">
      <c r="A244" t="s">
        <v>3526</v>
      </c>
      <c r="B244">
        <v>62120</v>
      </c>
      <c r="C244">
        <v>1268</v>
      </c>
      <c r="F244" s="4" t="s">
        <v>3527</v>
      </c>
      <c r="G244">
        <v>0.32041465096277705</v>
      </c>
      <c r="H244">
        <f t="shared" si="7"/>
        <v>0.29404617253948967</v>
      </c>
      <c r="I244">
        <f t="shared" si="6"/>
        <v>2</v>
      </c>
    </row>
    <row r="245" spans="1:9" ht="60" x14ac:dyDescent="0.25">
      <c r="A245" t="s">
        <v>3212</v>
      </c>
      <c r="B245">
        <v>62212</v>
      </c>
      <c r="C245">
        <v>1094</v>
      </c>
      <c r="F245" s="4" t="s">
        <v>3528</v>
      </c>
      <c r="G245">
        <v>0.32064523625587471</v>
      </c>
      <c r="H245">
        <f t="shared" si="7"/>
        <v>0.29526123936816523</v>
      </c>
      <c r="I245">
        <f t="shared" si="6"/>
        <v>2</v>
      </c>
    </row>
    <row r="246" spans="1:9" ht="60" x14ac:dyDescent="0.25">
      <c r="A246" t="s">
        <v>3529</v>
      </c>
      <c r="B246">
        <v>62432</v>
      </c>
      <c r="C246">
        <v>1290</v>
      </c>
      <c r="F246" s="4" t="s">
        <v>3530</v>
      </c>
      <c r="G246">
        <v>0.32067216425926154</v>
      </c>
      <c r="H246">
        <f t="shared" si="7"/>
        <v>0.29647630619684084</v>
      </c>
      <c r="I246">
        <f t="shared" si="6"/>
        <v>2</v>
      </c>
    </row>
    <row r="247" spans="1:9" ht="60" x14ac:dyDescent="0.25">
      <c r="A247" t="s">
        <v>3531</v>
      </c>
      <c r="B247">
        <v>62462</v>
      </c>
      <c r="C247">
        <v>1116</v>
      </c>
      <c r="F247" s="4" t="s">
        <v>3532</v>
      </c>
      <c r="G247">
        <v>0.32068486542400704</v>
      </c>
      <c r="H247">
        <f t="shared" si="7"/>
        <v>0.2976913730255164</v>
      </c>
      <c r="I247">
        <f t="shared" si="6"/>
        <v>2</v>
      </c>
    </row>
    <row r="248" spans="1:9" ht="60" x14ac:dyDescent="0.25">
      <c r="A248" t="s">
        <v>3533</v>
      </c>
      <c r="B248">
        <v>62700</v>
      </c>
      <c r="C248">
        <v>1198</v>
      </c>
      <c r="F248" s="4" t="s">
        <v>3534</v>
      </c>
      <c r="G248">
        <v>0.32071269487750553</v>
      </c>
      <c r="H248">
        <f t="shared" si="7"/>
        <v>0.29890643985419196</v>
      </c>
      <c r="I248">
        <f t="shared" si="6"/>
        <v>2</v>
      </c>
    </row>
    <row r="249" spans="1:9" ht="60" x14ac:dyDescent="0.25">
      <c r="A249" t="s">
        <v>3535</v>
      </c>
      <c r="B249">
        <v>62788</v>
      </c>
      <c r="C249">
        <v>1102</v>
      </c>
      <c r="F249" s="4" t="s">
        <v>3536</v>
      </c>
      <c r="G249">
        <v>0.32089017014005938</v>
      </c>
      <c r="H249">
        <f t="shared" si="7"/>
        <v>0.30012150668286758</v>
      </c>
      <c r="I249">
        <f t="shared" si="6"/>
        <v>2</v>
      </c>
    </row>
    <row r="250" spans="1:9" ht="60" x14ac:dyDescent="0.25">
      <c r="A250" t="s">
        <v>3537</v>
      </c>
      <c r="B250">
        <v>62843</v>
      </c>
      <c r="C250">
        <v>1099</v>
      </c>
      <c r="F250" s="4" t="s">
        <v>3476</v>
      </c>
      <c r="G250">
        <v>0.32098162281954956</v>
      </c>
      <c r="H250">
        <f t="shared" si="7"/>
        <v>0.30133657351154314</v>
      </c>
      <c r="I250">
        <f t="shared" si="6"/>
        <v>2</v>
      </c>
    </row>
    <row r="251" spans="1:9" ht="60" x14ac:dyDescent="0.25">
      <c r="A251" t="s">
        <v>3538</v>
      </c>
      <c r="B251">
        <v>62927</v>
      </c>
      <c r="C251">
        <v>1377</v>
      </c>
      <c r="F251" s="4" t="s">
        <v>3539</v>
      </c>
      <c r="G251">
        <v>0.32101152019284146</v>
      </c>
      <c r="H251">
        <f t="shared" si="7"/>
        <v>0.3025516403402187</v>
      </c>
      <c r="I251">
        <f t="shared" si="6"/>
        <v>2</v>
      </c>
    </row>
    <row r="252" spans="1:9" ht="60" x14ac:dyDescent="0.25">
      <c r="A252" t="s">
        <v>3540</v>
      </c>
      <c r="B252">
        <v>63036</v>
      </c>
      <c r="C252">
        <v>1161</v>
      </c>
      <c r="F252" s="4" t="s">
        <v>3541</v>
      </c>
      <c r="G252">
        <v>0.32102685228198663</v>
      </c>
      <c r="H252">
        <f t="shared" si="7"/>
        <v>0.30376670716889431</v>
      </c>
      <c r="I252">
        <f t="shared" si="6"/>
        <v>2</v>
      </c>
    </row>
    <row r="253" spans="1:9" ht="60" x14ac:dyDescent="0.25">
      <c r="A253" t="s">
        <v>3542</v>
      </c>
      <c r="B253">
        <v>63044</v>
      </c>
      <c r="C253">
        <v>1285</v>
      </c>
      <c r="F253" s="4" t="s">
        <v>3543</v>
      </c>
      <c r="G253">
        <v>0.32122370635701036</v>
      </c>
      <c r="H253">
        <f t="shared" si="7"/>
        <v>0.30498177399756987</v>
      </c>
      <c r="I253">
        <f t="shared" si="6"/>
        <v>2</v>
      </c>
    </row>
    <row r="254" spans="1:9" ht="60" x14ac:dyDescent="0.25">
      <c r="A254" t="s">
        <v>3544</v>
      </c>
      <c r="B254">
        <v>63141</v>
      </c>
      <c r="C254">
        <v>1526</v>
      </c>
      <c r="F254" s="4" t="s">
        <v>3545</v>
      </c>
      <c r="G254">
        <v>0.32140664359481436</v>
      </c>
      <c r="H254">
        <f t="shared" si="7"/>
        <v>0.30619684082624543</v>
      </c>
      <c r="I254">
        <f t="shared" si="6"/>
        <v>2</v>
      </c>
    </row>
    <row r="255" spans="1:9" ht="60" x14ac:dyDescent="0.25">
      <c r="A255" t="s">
        <v>3546</v>
      </c>
      <c r="B255">
        <v>63167</v>
      </c>
      <c r="C255">
        <v>1345</v>
      </c>
      <c r="F255" s="4" t="s">
        <v>3547</v>
      </c>
      <c r="G255">
        <v>0.32145842057829394</v>
      </c>
      <c r="H255">
        <f t="shared" si="7"/>
        <v>0.30741190765492105</v>
      </c>
      <c r="I255">
        <f t="shared" si="6"/>
        <v>2</v>
      </c>
    </row>
    <row r="256" spans="1:9" ht="60" x14ac:dyDescent="0.25">
      <c r="A256" t="s">
        <v>3548</v>
      </c>
      <c r="B256">
        <v>63190</v>
      </c>
      <c r="C256">
        <v>1310</v>
      </c>
      <c r="F256" s="4" t="s">
        <v>3549</v>
      </c>
      <c r="G256">
        <v>0.32146216282121254</v>
      </c>
      <c r="H256">
        <f t="shared" si="7"/>
        <v>0.30862697448359661</v>
      </c>
      <c r="I256">
        <f t="shared" si="6"/>
        <v>2</v>
      </c>
    </row>
    <row r="257" spans="1:9" ht="60" x14ac:dyDescent="0.25">
      <c r="A257" t="s">
        <v>3550</v>
      </c>
      <c r="B257">
        <v>63295</v>
      </c>
      <c r="C257">
        <v>1187</v>
      </c>
      <c r="F257" s="4" t="s">
        <v>3551</v>
      </c>
      <c r="G257">
        <v>0.32148073543521377</v>
      </c>
      <c r="H257">
        <f t="shared" si="7"/>
        <v>0.30984204131227217</v>
      </c>
      <c r="I257">
        <f t="shared" si="6"/>
        <v>2</v>
      </c>
    </row>
    <row r="258" spans="1:9" ht="60" x14ac:dyDescent="0.25">
      <c r="A258" t="s">
        <v>3552</v>
      </c>
      <c r="B258">
        <v>63468</v>
      </c>
      <c r="C258">
        <v>1283</v>
      </c>
      <c r="F258" s="4" t="s">
        <v>3553</v>
      </c>
      <c r="G258">
        <v>0.32151724269753468</v>
      </c>
      <c r="H258">
        <f t="shared" si="7"/>
        <v>0.31105710814094772</v>
      </c>
      <c r="I258">
        <f t="shared" si="6"/>
        <v>2</v>
      </c>
    </row>
    <row r="259" spans="1:9" ht="45" x14ac:dyDescent="0.25">
      <c r="A259" t="s">
        <v>3554</v>
      </c>
      <c r="B259">
        <v>63514</v>
      </c>
      <c r="C259">
        <v>1542</v>
      </c>
      <c r="F259" s="4" t="s">
        <v>3555</v>
      </c>
      <c r="G259">
        <v>0.32163276740310731</v>
      </c>
      <c r="H259">
        <f t="shared" si="7"/>
        <v>0.31227217496962334</v>
      </c>
      <c r="I259">
        <f t="shared" ref="I259:I322" si="8">IF(H259&lt;0.2,1,IF(H259&lt;0.4,2,IF(H259&lt;0.6,3,IF(H259&lt;0.8,4,5))))</f>
        <v>2</v>
      </c>
    </row>
    <row r="260" spans="1:9" ht="60" x14ac:dyDescent="0.25">
      <c r="A260" t="s">
        <v>3556</v>
      </c>
      <c r="B260">
        <v>63536</v>
      </c>
      <c r="C260">
        <v>1379</v>
      </c>
      <c r="F260" s="4" t="s">
        <v>3557</v>
      </c>
      <c r="G260">
        <v>0.32178779459516366</v>
      </c>
      <c r="H260">
        <f t="shared" ref="H260:H323" si="9">_xlfn.RANK.EQ(G260,$G$3:$G$825,1)/COUNT($G$3:$G$825)</f>
        <v>0.3134872417982989</v>
      </c>
      <c r="I260">
        <f t="shared" si="8"/>
        <v>2</v>
      </c>
    </row>
    <row r="261" spans="1:9" ht="60" x14ac:dyDescent="0.25">
      <c r="A261" t="s">
        <v>3558</v>
      </c>
      <c r="B261">
        <v>63618</v>
      </c>
      <c r="C261">
        <v>1641</v>
      </c>
      <c r="F261" s="4" t="s">
        <v>3559</v>
      </c>
      <c r="G261">
        <v>0.32184869772173991</v>
      </c>
      <c r="H261">
        <f t="shared" si="9"/>
        <v>0.31470230862697446</v>
      </c>
      <c r="I261">
        <f t="shared" si="8"/>
        <v>2</v>
      </c>
    </row>
    <row r="262" spans="1:9" ht="60" x14ac:dyDescent="0.25">
      <c r="A262" t="s">
        <v>3560</v>
      </c>
      <c r="B262">
        <v>63667</v>
      </c>
      <c r="C262">
        <v>1214</v>
      </c>
      <c r="F262" s="4" t="s">
        <v>3561</v>
      </c>
      <c r="G262">
        <v>0.32196262793610025</v>
      </c>
      <c r="H262">
        <f t="shared" si="9"/>
        <v>0.31591737545565007</v>
      </c>
      <c r="I262">
        <f t="shared" si="8"/>
        <v>2</v>
      </c>
    </row>
    <row r="263" spans="1:9" ht="60" x14ac:dyDescent="0.25">
      <c r="A263" t="s">
        <v>3562</v>
      </c>
      <c r="B263">
        <v>63715</v>
      </c>
      <c r="C263">
        <v>1457</v>
      </c>
      <c r="F263" s="4" t="s">
        <v>3563</v>
      </c>
      <c r="G263">
        <v>0.32246795764977293</v>
      </c>
      <c r="H263">
        <f t="shared" si="9"/>
        <v>0.31713244228432563</v>
      </c>
      <c r="I263">
        <f t="shared" si="8"/>
        <v>2</v>
      </c>
    </row>
    <row r="264" spans="1:9" ht="60" x14ac:dyDescent="0.25">
      <c r="A264" t="s">
        <v>3564</v>
      </c>
      <c r="B264">
        <v>63821</v>
      </c>
      <c r="C264">
        <v>1337</v>
      </c>
      <c r="F264" s="4" t="s">
        <v>3460</v>
      </c>
      <c r="G264">
        <v>0.32268966731045451</v>
      </c>
      <c r="H264">
        <f t="shared" si="9"/>
        <v>0.31834750911300119</v>
      </c>
      <c r="I264">
        <f t="shared" si="8"/>
        <v>2</v>
      </c>
    </row>
    <row r="265" spans="1:9" ht="60" x14ac:dyDescent="0.25">
      <c r="A265" t="s">
        <v>3565</v>
      </c>
      <c r="B265">
        <v>64044</v>
      </c>
      <c r="C265">
        <v>1852</v>
      </c>
      <c r="F265" s="4" t="s">
        <v>3566</v>
      </c>
      <c r="G265">
        <v>0.32271046190340169</v>
      </c>
      <c r="H265">
        <f t="shared" si="9"/>
        <v>0.31956257594167681</v>
      </c>
      <c r="I265">
        <f t="shared" si="8"/>
        <v>2</v>
      </c>
    </row>
    <row r="266" spans="1:9" ht="60" x14ac:dyDescent="0.25">
      <c r="A266" t="s">
        <v>3567</v>
      </c>
      <c r="B266">
        <v>64241</v>
      </c>
      <c r="C266">
        <v>1235</v>
      </c>
      <c r="F266" s="4" t="s">
        <v>3531</v>
      </c>
      <c r="G266">
        <v>0.32302972170134309</v>
      </c>
      <c r="H266">
        <f t="shared" si="9"/>
        <v>0.32077764277035237</v>
      </c>
      <c r="I266">
        <f t="shared" si="8"/>
        <v>2</v>
      </c>
    </row>
    <row r="267" spans="1:9" ht="60" x14ac:dyDescent="0.25">
      <c r="A267" t="s">
        <v>3401</v>
      </c>
      <c r="B267">
        <v>64341</v>
      </c>
      <c r="C267">
        <v>1169</v>
      </c>
      <c r="F267" s="4" t="s">
        <v>3568</v>
      </c>
      <c r="G267">
        <v>0.32328728997613376</v>
      </c>
      <c r="H267">
        <f t="shared" si="9"/>
        <v>0.32199270959902793</v>
      </c>
      <c r="I267">
        <f t="shared" si="8"/>
        <v>2</v>
      </c>
    </row>
    <row r="268" spans="1:9" ht="60" x14ac:dyDescent="0.25">
      <c r="A268" t="s">
        <v>3569</v>
      </c>
      <c r="B268">
        <v>64375</v>
      </c>
      <c r="C268">
        <v>1592</v>
      </c>
      <c r="F268" s="4" t="s">
        <v>3570</v>
      </c>
      <c r="G268">
        <v>0.32347169873939019</v>
      </c>
      <c r="H268">
        <f t="shared" si="9"/>
        <v>0.32320777642770354</v>
      </c>
      <c r="I268">
        <f t="shared" si="8"/>
        <v>2</v>
      </c>
    </row>
    <row r="269" spans="1:9" ht="60" x14ac:dyDescent="0.25">
      <c r="A269" t="s">
        <v>3547</v>
      </c>
      <c r="B269">
        <v>64405</v>
      </c>
      <c r="C269">
        <v>1116</v>
      </c>
      <c r="F269" s="4" t="s">
        <v>3571</v>
      </c>
      <c r="G269">
        <v>0.32350231167006321</v>
      </c>
      <c r="H269">
        <f t="shared" si="9"/>
        <v>0.3244228432563791</v>
      </c>
      <c r="I269">
        <f t="shared" si="8"/>
        <v>2</v>
      </c>
    </row>
    <row r="270" spans="1:9" ht="60" x14ac:dyDescent="0.25">
      <c r="A270" t="s">
        <v>3572</v>
      </c>
      <c r="B270">
        <v>64406</v>
      </c>
      <c r="C270">
        <v>1319</v>
      </c>
      <c r="F270" s="4" t="s">
        <v>3573</v>
      </c>
      <c r="G270">
        <v>0.32361607073616744</v>
      </c>
      <c r="H270">
        <f t="shared" si="9"/>
        <v>0.32563791008505466</v>
      </c>
      <c r="I270">
        <f t="shared" si="8"/>
        <v>2</v>
      </c>
    </row>
    <row r="271" spans="1:9" ht="60" x14ac:dyDescent="0.25">
      <c r="A271" t="s">
        <v>3574</v>
      </c>
      <c r="B271">
        <v>64550</v>
      </c>
      <c r="C271">
        <v>1181</v>
      </c>
      <c r="F271" s="4" t="s">
        <v>3575</v>
      </c>
      <c r="G271">
        <v>0.32389652989663958</v>
      </c>
      <c r="H271">
        <f t="shared" si="9"/>
        <v>0.32685297691373028</v>
      </c>
      <c r="I271">
        <f t="shared" si="8"/>
        <v>2</v>
      </c>
    </row>
    <row r="272" spans="1:9" ht="60" x14ac:dyDescent="0.25">
      <c r="A272" t="s">
        <v>3576</v>
      </c>
      <c r="B272">
        <v>64662</v>
      </c>
      <c r="C272">
        <v>1594</v>
      </c>
      <c r="F272" s="4" t="s">
        <v>3577</v>
      </c>
      <c r="G272">
        <v>0.32392302897843028</v>
      </c>
      <c r="H272">
        <f t="shared" si="9"/>
        <v>0.32806804374240583</v>
      </c>
      <c r="I272">
        <f t="shared" si="8"/>
        <v>2</v>
      </c>
    </row>
    <row r="273" spans="1:9" ht="60" x14ac:dyDescent="0.25">
      <c r="A273" t="s">
        <v>3578</v>
      </c>
      <c r="B273">
        <v>65113</v>
      </c>
      <c r="C273">
        <v>1492</v>
      </c>
      <c r="F273" s="4" t="s">
        <v>3579</v>
      </c>
      <c r="G273">
        <v>0.32485166529424536</v>
      </c>
      <c r="H273">
        <f t="shared" si="9"/>
        <v>0.32928311057108139</v>
      </c>
      <c r="I273">
        <f t="shared" si="8"/>
        <v>2</v>
      </c>
    </row>
    <row r="274" spans="1:9" ht="60" x14ac:dyDescent="0.25">
      <c r="A274" t="s">
        <v>3580</v>
      </c>
      <c r="B274">
        <v>65192</v>
      </c>
      <c r="C274">
        <v>1124</v>
      </c>
      <c r="F274" s="4" t="s">
        <v>3574</v>
      </c>
      <c r="G274">
        <v>0.32490541870524797</v>
      </c>
      <c r="H274">
        <f t="shared" si="9"/>
        <v>0.33049817739975701</v>
      </c>
      <c r="I274">
        <f t="shared" si="8"/>
        <v>2</v>
      </c>
    </row>
    <row r="275" spans="1:9" ht="45" x14ac:dyDescent="0.25">
      <c r="A275" t="s">
        <v>3581</v>
      </c>
      <c r="B275">
        <v>65218</v>
      </c>
      <c r="C275">
        <v>1515</v>
      </c>
      <c r="F275" s="4" t="s">
        <v>3582</v>
      </c>
      <c r="G275">
        <v>0.32506111112614633</v>
      </c>
      <c r="H275">
        <f t="shared" si="9"/>
        <v>0.33171324422843257</v>
      </c>
      <c r="I275">
        <f t="shared" si="8"/>
        <v>2</v>
      </c>
    </row>
    <row r="276" spans="1:9" ht="60" x14ac:dyDescent="0.25">
      <c r="A276" t="s">
        <v>3506</v>
      </c>
      <c r="B276">
        <v>65470</v>
      </c>
      <c r="C276">
        <v>1242</v>
      </c>
      <c r="F276" s="4" t="s">
        <v>3583</v>
      </c>
      <c r="G276">
        <v>0.32535431777031937</v>
      </c>
      <c r="H276">
        <f t="shared" si="9"/>
        <v>0.33292831105710813</v>
      </c>
      <c r="I276">
        <f t="shared" si="8"/>
        <v>2</v>
      </c>
    </row>
    <row r="277" spans="1:9" ht="60" x14ac:dyDescent="0.25">
      <c r="A277" t="s">
        <v>3475</v>
      </c>
      <c r="B277">
        <v>65521</v>
      </c>
      <c r="C277">
        <v>1183</v>
      </c>
      <c r="F277" s="4" t="s">
        <v>3584</v>
      </c>
      <c r="G277">
        <v>0.32541857414820569</v>
      </c>
      <c r="H277">
        <f t="shared" si="9"/>
        <v>0.33414337788578374</v>
      </c>
      <c r="I277">
        <f t="shared" si="8"/>
        <v>2</v>
      </c>
    </row>
    <row r="278" spans="1:9" ht="60" x14ac:dyDescent="0.25">
      <c r="A278" t="s">
        <v>3585</v>
      </c>
      <c r="B278">
        <v>65550</v>
      </c>
      <c r="C278">
        <v>1379</v>
      </c>
      <c r="F278" s="4" t="s">
        <v>3586</v>
      </c>
      <c r="G278">
        <v>0.32639640959183125</v>
      </c>
      <c r="H278">
        <f t="shared" si="9"/>
        <v>0.3353584447144593</v>
      </c>
      <c r="I278">
        <f t="shared" si="8"/>
        <v>2</v>
      </c>
    </row>
    <row r="279" spans="1:9" ht="60" x14ac:dyDescent="0.25">
      <c r="A279" t="s">
        <v>3587</v>
      </c>
      <c r="B279">
        <v>65781</v>
      </c>
      <c r="C279">
        <v>1454</v>
      </c>
      <c r="F279" s="4" t="s">
        <v>3588</v>
      </c>
      <c r="G279">
        <v>0.32653377692139007</v>
      </c>
      <c r="H279">
        <f t="shared" si="9"/>
        <v>0.33657351154313486</v>
      </c>
      <c r="I279">
        <f t="shared" si="8"/>
        <v>2</v>
      </c>
    </row>
    <row r="280" spans="1:9" ht="60" x14ac:dyDescent="0.25">
      <c r="A280" t="s">
        <v>3589</v>
      </c>
      <c r="B280">
        <v>65927</v>
      </c>
      <c r="C280">
        <v>1319</v>
      </c>
      <c r="F280" s="4" t="s">
        <v>3590</v>
      </c>
      <c r="G280">
        <v>0.32703935046131022</v>
      </c>
      <c r="H280">
        <f t="shared" si="9"/>
        <v>0.33778857837181048</v>
      </c>
      <c r="I280">
        <f t="shared" si="8"/>
        <v>2</v>
      </c>
    </row>
    <row r="281" spans="1:9" ht="60" x14ac:dyDescent="0.25">
      <c r="A281" t="s">
        <v>3591</v>
      </c>
      <c r="B281">
        <v>65967</v>
      </c>
      <c r="C281">
        <v>1534</v>
      </c>
      <c r="F281" s="4" t="s">
        <v>3592</v>
      </c>
      <c r="G281">
        <v>0.32732138612768419</v>
      </c>
      <c r="H281">
        <f t="shared" si="9"/>
        <v>0.33900364520048604</v>
      </c>
      <c r="I281">
        <f t="shared" si="8"/>
        <v>2</v>
      </c>
    </row>
    <row r="282" spans="1:9" ht="75" x14ac:dyDescent="0.25">
      <c r="A282" t="s">
        <v>3593</v>
      </c>
      <c r="B282">
        <v>66250</v>
      </c>
      <c r="C282">
        <v>2096</v>
      </c>
      <c r="F282" s="4" t="s">
        <v>3594</v>
      </c>
      <c r="G282">
        <v>0.32752840464388355</v>
      </c>
      <c r="H282">
        <f t="shared" si="9"/>
        <v>0.3402187120291616</v>
      </c>
      <c r="I282">
        <f t="shared" si="8"/>
        <v>2</v>
      </c>
    </row>
    <row r="283" spans="1:9" ht="60" x14ac:dyDescent="0.25">
      <c r="A283" t="s">
        <v>3142</v>
      </c>
      <c r="B283">
        <v>66331</v>
      </c>
      <c r="C283">
        <v>1014</v>
      </c>
      <c r="F283" s="4" t="s">
        <v>3595</v>
      </c>
      <c r="G283">
        <v>0.32756337006174308</v>
      </c>
      <c r="H283">
        <f t="shared" si="9"/>
        <v>0.34143377885783716</v>
      </c>
      <c r="I283">
        <f t="shared" si="8"/>
        <v>2</v>
      </c>
    </row>
    <row r="284" spans="1:9" ht="60" x14ac:dyDescent="0.25">
      <c r="A284" t="s">
        <v>3596</v>
      </c>
      <c r="B284">
        <v>66615</v>
      </c>
      <c r="C284">
        <v>1302</v>
      </c>
      <c r="F284" s="4" t="s">
        <v>3597</v>
      </c>
      <c r="G284">
        <v>0.32767361616536322</v>
      </c>
      <c r="H284">
        <f t="shared" si="9"/>
        <v>0.34264884568651277</v>
      </c>
      <c r="I284">
        <f t="shared" si="8"/>
        <v>2</v>
      </c>
    </row>
    <row r="285" spans="1:9" ht="60" x14ac:dyDescent="0.25">
      <c r="A285" t="s">
        <v>3598</v>
      </c>
      <c r="B285">
        <v>66964</v>
      </c>
      <c r="C285">
        <v>1172</v>
      </c>
      <c r="F285" s="4" t="s">
        <v>3599</v>
      </c>
      <c r="G285">
        <v>0.32787331116383334</v>
      </c>
      <c r="H285">
        <f t="shared" si="9"/>
        <v>0.34386391251518833</v>
      </c>
      <c r="I285">
        <f t="shared" si="8"/>
        <v>2</v>
      </c>
    </row>
    <row r="286" spans="1:9" ht="60" x14ac:dyDescent="0.25">
      <c r="A286" t="s">
        <v>3568</v>
      </c>
      <c r="B286">
        <v>66989</v>
      </c>
      <c r="C286">
        <v>1190</v>
      </c>
      <c r="F286" s="4" t="s">
        <v>3600</v>
      </c>
      <c r="G286">
        <v>0.32841203440672728</v>
      </c>
      <c r="H286">
        <f t="shared" si="9"/>
        <v>0.34507897934386389</v>
      </c>
      <c r="I286">
        <f t="shared" si="8"/>
        <v>2</v>
      </c>
    </row>
    <row r="287" spans="1:9" ht="60" x14ac:dyDescent="0.25">
      <c r="A287" t="s">
        <v>3601</v>
      </c>
      <c r="B287">
        <v>67097</v>
      </c>
      <c r="C287">
        <v>1754</v>
      </c>
      <c r="F287" s="4" t="s">
        <v>3602</v>
      </c>
      <c r="G287">
        <v>0.32853248960314985</v>
      </c>
      <c r="H287">
        <f t="shared" si="9"/>
        <v>0.3462940461725395</v>
      </c>
      <c r="I287">
        <f t="shared" si="8"/>
        <v>2</v>
      </c>
    </row>
    <row r="288" spans="1:9" ht="60" x14ac:dyDescent="0.25">
      <c r="A288" t="s">
        <v>3389</v>
      </c>
      <c r="B288">
        <v>67108</v>
      </c>
      <c r="C288">
        <v>1133</v>
      </c>
      <c r="F288" s="4" t="s">
        <v>3535</v>
      </c>
      <c r="G288">
        <v>0.328988793126679</v>
      </c>
      <c r="H288">
        <f t="shared" si="9"/>
        <v>0.34750911300121506</v>
      </c>
      <c r="I288">
        <f t="shared" si="8"/>
        <v>2</v>
      </c>
    </row>
    <row r="289" spans="1:9" ht="60" x14ac:dyDescent="0.25">
      <c r="A289" t="s">
        <v>3603</v>
      </c>
      <c r="B289">
        <v>67262</v>
      </c>
      <c r="C289">
        <v>1245</v>
      </c>
      <c r="F289" s="4" t="s">
        <v>3604</v>
      </c>
      <c r="G289">
        <v>0.32910215055424441</v>
      </c>
      <c r="H289">
        <f t="shared" si="9"/>
        <v>0.34872417982989062</v>
      </c>
      <c r="I289">
        <f t="shared" si="8"/>
        <v>2</v>
      </c>
    </row>
    <row r="290" spans="1:9" ht="60" x14ac:dyDescent="0.25">
      <c r="A290" t="s">
        <v>3605</v>
      </c>
      <c r="B290">
        <v>67314</v>
      </c>
      <c r="C290">
        <v>1320</v>
      </c>
      <c r="F290" s="4" t="s">
        <v>3606</v>
      </c>
      <c r="G290">
        <v>0.32913288482730452</v>
      </c>
      <c r="H290">
        <f t="shared" si="9"/>
        <v>0.34993924665856624</v>
      </c>
      <c r="I290">
        <f t="shared" si="8"/>
        <v>2</v>
      </c>
    </row>
    <row r="291" spans="1:9" ht="60" x14ac:dyDescent="0.25">
      <c r="A291" t="s">
        <v>3607</v>
      </c>
      <c r="B291">
        <v>67917</v>
      </c>
      <c r="C291">
        <v>1487</v>
      </c>
      <c r="F291" s="4" t="s">
        <v>3608</v>
      </c>
      <c r="G291">
        <v>0.32951175313930453</v>
      </c>
      <c r="H291">
        <f t="shared" si="9"/>
        <v>0.3511543134872418</v>
      </c>
      <c r="I291">
        <f t="shared" si="8"/>
        <v>2</v>
      </c>
    </row>
    <row r="292" spans="1:9" ht="60" x14ac:dyDescent="0.25">
      <c r="A292" t="s">
        <v>3609</v>
      </c>
      <c r="B292">
        <v>67917</v>
      </c>
      <c r="C292">
        <v>1286</v>
      </c>
      <c r="F292" s="4" t="s">
        <v>3610</v>
      </c>
      <c r="G292">
        <v>0.329702056226443</v>
      </c>
      <c r="H292">
        <f t="shared" si="9"/>
        <v>0.35236938031591736</v>
      </c>
      <c r="I292">
        <f t="shared" si="8"/>
        <v>2</v>
      </c>
    </row>
    <row r="293" spans="1:9" ht="60" x14ac:dyDescent="0.25">
      <c r="A293" t="s">
        <v>3611</v>
      </c>
      <c r="B293">
        <v>68087</v>
      </c>
      <c r="C293">
        <v>1536</v>
      </c>
      <c r="F293" s="4" t="s">
        <v>3612</v>
      </c>
      <c r="G293">
        <v>0.32974722257128369</v>
      </c>
      <c r="H293">
        <f t="shared" si="9"/>
        <v>0.35358444714459297</v>
      </c>
      <c r="I293">
        <f t="shared" si="8"/>
        <v>2</v>
      </c>
    </row>
    <row r="294" spans="1:9" ht="45" x14ac:dyDescent="0.25">
      <c r="A294" t="s">
        <v>3613</v>
      </c>
      <c r="B294">
        <v>68125</v>
      </c>
      <c r="C294">
        <v>1456</v>
      </c>
      <c r="F294" s="4" t="s">
        <v>3614</v>
      </c>
      <c r="G294">
        <v>0.32978705565679139</v>
      </c>
      <c r="H294">
        <f t="shared" si="9"/>
        <v>0.35479951397326853</v>
      </c>
      <c r="I294">
        <f t="shared" si="8"/>
        <v>2</v>
      </c>
    </row>
    <row r="295" spans="1:9" ht="60" x14ac:dyDescent="0.25">
      <c r="A295" t="s">
        <v>3615</v>
      </c>
      <c r="B295">
        <v>68125</v>
      </c>
      <c r="C295">
        <v>1408</v>
      </c>
      <c r="F295" s="4" t="s">
        <v>3616</v>
      </c>
      <c r="G295">
        <v>0.32985108479615793</v>
      </c>
      <c r="H295">
        <f t="shared" si="9"/>
        <v>0.35601458080194409</v>
      </c>
      <c r="I295">
        <f t="shared" si="8"/>
        <v>2</v>
      </c>
    </row>
    <row r="296" spans="1:9" ht="60" x14ac:dyDescent="0.25">
      <c r="A296" t="s">
        <v>3617</v>
      </c>
      <c r="B296">
        <v>68301</v>
      </c>
      <c r="C296">
        <v>1214</v>
      </c>
      <c r="F296" s="4" t="s">
        <v>3618</v>
      </c>
      <c r="G296">
        <v>0.32987876480979239</v>
      </c>
      <c r="H296">
        <f t="shared" si="9"/>
        <v>0.35722964763061971</v>
      </c>
      <c r="I296">
        <f t="shared" si="8"/>
        <v>2</v>
      </c>
    </row>
    <row r="297" spans="1:9" ht="60" x14ac:dyDescent="0.25">
      <c r="A297" t="s">
        <v>3619</v>
      </c>
      <c r="B297">
        <v>68322</v>
      </c>
      <c r="C297">
        <v>1254</v>
      </c>
      <c r="F297" s="4" t="s">
        <v>3493</v>
      </c>
      <c r="G297">
        <v>0.32994720492602903</v>
      </c>
      <c r="H297">
        <f t="shared" si="9"/>
        <v>0.35844471445929527</v>
      </c>
      <c r="I297">
        <f t="shared" si="8"/>
        <v>2</v>
      </c>
    </row>
    <row r="298" spans="1:9" ht="45" x14ac:dyDescent="0.25">
      <c r="A298" t="s">
        <v>3196</v>
      </c>
      <c r="B298">
        <v>68365</v>
      </c>
      <c r="C298">
        <v>1113</v>
      </c>
      <c r="F298" s="4" t="s">
        <v>3620</v>
      </c>
      <c r="G298">
        <v>0.3299846784383213</v>
      </c>
      <c r="H298">
        <f t="shared" si="9"/>
        <v>0.35965978128797083</v>
      </c>
      <c r="I298">
        <f t="shared" si="8"/>
        <v>2</v>
      </c>
    </row>
    <row r="299" spans="1:9" ht="60" x14ac:dyDescent="0.25">
      <c r="A299" t="s">
        <v>3532</v>
      </c>
      <c r="B299">
        <v>68482</v>
      </c>
      <c r="C299">
        <v>1120</v>
      </c>
      <c r="F299" s="4" t="s">
        <v>3621</v>
      </c>
      <c r="G299">
        <v>0.33005803624844487</v>
      </c>
      <c r="H299">
        <f t="shared" si="9"/>
        <v>0.36087484811664644</v>
      </c>
      <c r="I299">
        <f t="shared" si="8"/>
        <v>2</v>
      </c>
    </row>
    <row r="300" spans="1:9" ht="60" x14ac:dyDescent="0.25">
      <c r="A300" t="s">
        <v>3622</v>
      </c>
      <c r="B300">
        <v>68523</v>
      </c>
      <c r="C300">
        <v>1206</v>
      </c>
      <c r="F300" s="4" t="s">
        <v>3623</v>
      </c>
      <c r="G300">
        <v>0.33043237069195874</v>
      </c>
      <c r="H300">
        <f t="shared" si="9"/>
        <v>0.362089914945322</v>
      </c>
      <c r="I300">
        <f t="shared" si="8"/>
        <v>2</v>
      </c>
    </row>
    <row r="301" spans="1:9" ht="45" x14ac:dyDescent="0.25">
      <c r="A301" t="s">
        <v>3624</v>
      </c>
      <c r="B301">
        <v>68599</v>
      </c>
      <c r="C301">
        <v>1630</v>
      </c>
      <c r="F301" s="4" t="s">
        <v>3625</v>
      </c>
      <c r="G301">
        <v>0.33045480422243945</v>
      </c>
      <c r="H301">
        <f t="shared" si="9"/>
        <v>0.36330498177399756</v>
      </c>
      <c r="I301">
        <f t="shared" si="8"/>
        <v>2</v>
      </c>
    </row>
    <row r="302" spans="1:9" ht="60" x14ac:dyDescent="0.25">
      <c r="A302" t="s">
        <v>3626</v>
      </c>
      <c r="B302">
        <v>68832</v>
      </c>
      <c r="C302">
        <v>1506</v>
      </c>
      <c r="F302" s="4" t="s">
        <v>3627</v>
      </c>
      <c r="G302">
        <v>0.33053813752842892</v>
      </c>
      <c r="H302">
        <f t="shared" si="9"/>
        <v>0.36452004860267317</v>
      </c>
      <c r="I302">
        <f t="shared" si="8"/>
        <v>2</v>
      </c>
    </row>
    <row r="303" spans="1:9" ht="60" x14ac:dyDescent="0.25">
      <c r="A303" t="s">
        <v>3628</v>
      </c>
      <c r="B303">
        <v>69118</v>
      </c>
      <c r="C303">
        <v>1310</v>
      </c>
      <c r="F303" s="4" t="s">
        <v>3622</v>
      </c>
      <c r="G303">
        <v>0.33057897405635872</v>
      </c>
      <c r="H303">
        <f t="shared" si="9"/>
        <v>0.36573511543134873</v>
      </c>
      <c r="I303">
        <f t="shared" si="8"/>
        <v>2</v>
      </c>
    </row>
    <row r="304" spans="1:9" ht="60" x14ac:dyDescent="0.25">
      <c r="A304" t="s">
        <v>3629</v>
      </c>
      <c r="B304">
        <v>69135</v>
      </c>
      <c r="C304">
        <v>1450</v>
      </c>
      <c r="F304" s="4" t="s">
        <v>3522</v>
      </c>
      <c r="G304">
        <v>0.3306901271111134</v>
      </c>
      <c r="H304">
        <f t="shared" si="9"/>
        <v>0.36695018226002429</v>
      </c>
      <c r="I304">
        <f t="shared" si="8"/>
        <v>2</v>
      </c>
    </row>
    <row r="305" spans="1:9" ht="60" x14ac:dyDescent="0.25">
      <c r="A305" t="s">
        <v>3445</v>
      </c>
      <c r="B305">
        <v>69167</v>
      </c>
      <c r="C305">
        <v>1138</v>
      </c>
      <c r="F305" s="4" t="s">
        <v>3630</v>
      </c>
      <c r="G305">
        <v>0.33084031553232907</v>
      </c>
      <c r="H305">
        <f t="shared" si="9"/>
        <v>0.36816524908869985</v>
      </c>
      <c r="I305">
        <f t="shared" si="8"/>
        <v>2</v>
      </c>
    </row>
    <row r="306" spans="1:9" ht="60" x14ac:dyDescent="0.25">
      <c r="A306" t="s">
        <v>3631</v>
      </c>
      <c r="B306">
        <v>69390</v>
      </c>
      <c r="C306">
        <v>1430</v>
      </c>
      <c r="F306" s="4" t="s">
        <v>3632</v>
      </c>
      <c r="G306">
        <v>0.33116464300577503</v>
      </c>
      <c r="H306">
        <f t="shared" si="9"/>
        <v>0.36938031591737547</v>
      </c>
      <c r="I306">
        <f t="shared" si="8"/>
        <v>2</v>
      </c>
    </row>
    <row r="307" spans="1:9" ht="60" x14ac:dyDescent="0.25">
      <c r="A307" t="s">
        <v>3633</v>
      </c>
      <c r="B307">
        <v>69433</v>
      </c>
      <c r="C307">
        <v>1211</v>
      </c>
      <c r="F307" s="4" t="s">
        <v>3598</v>
      </c>
      <c r="G307">
        <v>0.33141117122404401</v>
      </c>
      <c r="H307">
        <f t="shared" si="9"/>
        <v>0.37059538274605103</v>
      </c>
      <c r="I307">
        <f t="shared" si="8"/>
        <v>2</v>
      </c>
    </row>
    <row r="308" spans="1:9" ht="60" x14ac:dyDescent="0.25">
      <c r="A308" t="s">
        <v>3634</v>
      </c>
      <c r="B308">
        <v>69837</v>
      </c>
      <c r="C308">
        <v>1843</v>
      </c>
      <c r="F308" s="4" t="s">
        <v>3454</v>
      </c>
      <c r="G308">
        <v>0.33145770632450772</v>
      </c>
      <c r="H308">
        <f t="shared" si="9"/>
        <v>0.37181044957472659</v>
      </c>
      <c r="I308">
        <f t="shared" si="8"/>
        <v>2</v>
      </c>
    </row>
    <row r="309" spans="1:9" ht="60" x14ac:dyDescent="0.25">
      <c r="A309" t="s">
        <v>3635</v>
      </c>
      <c r="B309">
        <v>70217</v>
      </c>
      <c r="C309">
        <v>1254</v>
      </c>
      <c r="F309" s="4" t="s">
        <v>3636</v>
      </c>
      <c r="G309">
        <v>0.3319371396884791</v>
      </c>
      <c r="H309">
        <f t="shared" si="9"/>
        <v>0.3730255164034022</v>
      </c>
      <c r="I309">
        <f t="shared" si="8"/>
        <v>2</v>
      </c>
    </row>
    <row r="310" spans="1:9" ht="60" x14ac:dyDescent="0.25">
      <c r="A310" t="s">
        <v>3608</v>
      </c>
      <c r="B310">
        <v>70341</v>
      </c>
      <c r="C310">
        <v>1234</v>
      </c>
      <c r="F310" s="4" t="s">
        <v>3637</v>
      </c>
      <c r="G310">
        <v>0.33211104634887723</v>
      </c>
      <c r="H310">
        <f t="shared" si="9"/>
        <v>0.37424058323207776</v>
      </c>
      <c r="I310">
        <f t="shared" si="8"/>
        <v>2</v>
      </c>
    </row>
    <row r="311" spans="1:9" ht="60" x14ac:dyDescent="0.25">
      <c r="A311" t="s">
        <v>3638</v>
      </c>
      <c r="B311">
        <v>70350</v>
      </c>
      <c r="C311">
        <v>1296</v>
      </c>
      <c r="F311" s="4" t="s">
        <v>3639</v>
      </c>
      <c r="G311">
        <v>0.33222731806042011</v>
      </c>
      <c r="H311">
        <f t="shared" si="9"/>
        <v>0.37545565006075332</v>
      </c>
      <c r="I311">
        <f t="shared" si="8"/>
        <v>2</v>
      </c>
    </row>
    <row r="312" spans="1:9" ht="60" x14ac:dyDescent="0.25">
      <c r="A312" t="s">
        <v>3553</v>
      </c>
      <c r="B312">
        <v>70396</v>
      </c>
      <c r="C312">
        <v>1233</v>
      </c>
      <c r="F312" s="4" t="s">
        <v>3550</v>
      </c>
      <c r="G312">
        <v>0.3322697522236584</v>
      </c>
      <c r="H312">
        <f t="shared" si="9"/>
        <v>0.37667071688942894</v>
      </c>
      <c r="I312">
        <f t="shared" si="8"/>
        <v>2</v>
      </c>
    </row>
    <row r="313" spans="1:9" ht="45" x14ac:dyDescent="0.25">
      <c r="A313" t="s">
        <v>3640</v>
      </c>
      <c r="B313">
        <v>70469</v>
      </c>
      <c r="C313">
        <v>1660</v>
      </c>
      <c r="F313" s="4" t="s">
        <v>3641</v>
      </c>
      <c r="G313">
        <v>0.33228888855501365</v>
      </c>
      <c r="H313">
        <f t="shared" si="9"/>
        <v>0.3778857837181045</v>
      </c>
      <c r="I313">
        <f t="shared" si="8"/>
        <v>2</v>
      </c>
    </row>
    <row r="314" spans="1:9" ht="60" x14ac:dyDescent="0.25">
      <c r="A314" t="s">
        <v>3642</v>
      </c>
      <c r="B314">
        <v>70500</v>
      </c>
      <c r="C314">
        <v>1272</v>
      </c>
      <c r="F314" s="4" t="s">
        <v>3643</v>
      </c>
      <c r="G314">
        <v>0.33229752159322223</v>
      </c>
      <c r="H314">
        <f t="shared" si="9"/>
        <v>0.37910085054678005</v>
      </c>
      <c r="I314">
        <f t="shared" si="8"/>
        <v>2</v>
      </c>
    </row>
    <row r="315" spans="1:9" ht="60" x14ac:dyDescent="0.25">
      <c r="A315" t="s">
        <v>3644</v>
      </c>
      <c r="B315">
        <v>70642</v>
      </c>
      <c r="C315">
        <v>1573</v>
      </c>
      <c r="F315" s="4" t="s">
        <v>3607</v>
      </c>
      <c r="G315">
        <v>0.33233318649554344</v>
      </c>
      <c r="H315">
        <f t="shared" si="9"/>
        <v>0.38031591737545567</v>
      </c>
      <c r="I315">
        <f t="shared" si="8"/>
        <v>2</v>
      </c>
    </row>
    <row r="316" spans="1:9" ht="60" x14ac:dyDescent="0.25">
      <c r="A316" t="s">
        <v>3645</v>
      </c>
      <c r="B316">
        <v>70689</v>
      </c>
      <c r="C316">
        <v>1333</v>
      </c>
      <c r="F316" s="4" t="s">
        <v>3646</v>
      </c>
      <c r="G316">
        <v>0.33262245693303</v>
      </c>
      <c r="H316">
        <f t="shared" si="9"/>
        <v>0.38153098420413123</v>
      </c>
      <c r="I316">
        <f t="shared" si="8"/>
        <v>2</v>
      </c>
    </row>
    <row r="317" spans="1:9" ht="60" x14ac:dyDescent="0.25">
      <c r="A317" t="s">
        <v>3647</v>
      </c>
      <c r="B317">
        <v>70787</v>
      </c>
      <c r="C317">
        <v>1616</v>
      </c>
      <c r="F317" s="4" t="s">
        <v>3648</v>
      </c>
      <c r="G317">
        <v>0.33307087180616191</v>
      </c>
      <c r="H317">
        <f t="shared" si="9"/>
        <v>0.38274605103280679</v>
      </c>
      <c r="I317">
        <f t="shared" si="8"/>
        <v>2</v>
      </c>
    </row>
    <row r="318" spans="1:9" ht="60" x14ac:dyDescent="0.25">
      <c r="A318" t="s">
        <v>3328</v>
      </c>
      <c r="B318">
        <v>70857</v>
      </c>
      <c r="C318">
        <v>1195</v>
      </c>
      <c r="F318" s="4" t="s">
        <v>3609</v>
      </c>
      <c r="G318">
        <v>0.33316774578416225</v>
      </c>
      <c r="H318">
        <f t="shared" si="9"/>
        <v>0.3839611178614824</v>
      </c>
      <c r="I318">
        <f t="shared" si="8"/>
        <v>2</v>
      </c>
    </row>
    <row r="319" spans="1:9" ht="60" x14ac:dyDescent="0.25">
      <c r="A319" t="s">
        <v>3649</v>
      </c>
      <c r="B319">
        <v>70875</v>
      </c>
      <c r="C319">
        <v>1332</v>
      </c>
      <c r="F319" s="4" t="s">
        <v>3472</v>
      </c>
      <c r="G319">
        <v>0.33322940894060787</v>
      </c>
      <c r="H319">
        <f t="shared" si="9"/>
        <v>0.38517618469015796</v>
      </c>
      <c r="I319">
        <f t="shared" si="8"/>
        <v>2</v>
      </c>
    </row>
    <row r="320" spans="1:9" ht="45" x14ac:dyDescent="0.25">
      <c r="A320" t="s">
        <v>3423</v>
      </c>
      <c r="B320">
        <v>70952</v>
      </c>
      <c r="C320">
        <v>1191</v>
      </c>
      <c r="F320" s="4" t="s">
        <v>3650</v>
      </c>
      <c r="G320">
        <v>0.33340692258921995</v>
      </c>
      <c r="H320">
        <f t="shared" si="9"/>
        <v>0.38639125151883352</v>
      </c>
      <c r="I320">
        <f t="shared" si="8"/>
        <v>2</v>
      </c>
    </row>
    <row r="321" spans="1:9" ht="60" x14ac:dyDescent="0.25">
      <c r="A321" t="s">
        <v>3250</v>
      </c>
      <c r="B321">
        <v>71159</v>
      </c>
      <c r="C321">
        <v>1151</v>
      </c>
      <c r="F321" s="4" t="s">
        <v>3651</v>
      </c>
      <c r="G321">
        <v>0.33358907177049085</v>
      </c>
      <c r="H321">
        <f t="shared" si="9"/>
        <v>0.38760631834750914</v>
      </c>
      <c r="I321">
        <f t="shared" si="8"/>
        <v>2</v>
      </c>
    </row>
    <row r="322" spans="1:9" ht="60" x14ac:dyDescent="0.25">
      <c r="A322" t="s">
        <v>3652</v>
      </c>
      <c r="B322">
        <v>71178</v>
      </c>
      <c r="C322">
        <v>1867</v>
      </c>
      <c r="F322" s="4" t="s">
        <v>3524</v>
      </c>
      <c r="G322">
        <v>0.33406137095839755</v>
      </c>
      <c r="H322">
        <f t="shared" si="9"/>
        <v>0.3888213851761847</v>
      </c>
      <c r="I322">
        <f t="shared" si="8"/>
        <v>2</v>
      </c>
    </row>
    <row r="323" spans="1:9" ht="60" x14ac:dyDescent="0.25">
      <c r="A323" t="s">
        <v>3653</v>
      </c>
      <c r="B323">
        <v>71225</v>
      </c>
      <c r="C323">
        <v>1380</v>
      </c>
      <c r="F323" s="4" t="s">
        <v>3654</v>
      </c>
      <c r="G323">
        <v>0.33421182360046348</v>
      </c>
      <c r="H323">
        <f t="shared" si="9"/>
        <v>0.39003645200486026</v>
      </c>
      <c r="I323">
        <f t="shared" ref="I323:I386" si="10">IF(H323&lt;0.2,1,IF(H323&lt;0.4,2,IF(H323&lt;0.6,3,IF(H323&lt;0.8,4,5))))</f>
        <v>2</v>
      </c>
    </row>
    <row r="324" spans="1:9" ht="60" x14ac:dyDescent="0.25">
      <c r="A324" t="s">
        <v>3655</v>
      </c>
      <c r="B324">
        <v>71295</v>
      </c>
      <c r="C324">
        <v>1571</v>
      </c>
      <c r="F324" s="4" t="s">
        <v>3656</v>
      </c>
      <c r="G324">
        <v>0.33424504230104168</v>
      </c>
      <c r="H324">
        <f t="shared" ref="H324:H387" si="11">_xlfn.RANK.EQ(G324,$G$3:$G$825,1)/COUNT($G$3:$G$825)</f>
        <v>0.39125151883353587</v>
      </c>
      <c r="I324">
        <f t="shared" si="10"/>
        <v>2</v>
      </c>
    </row>
    <row r="325" spans="1:9" ht="60" x14ac:dyDescent="0.25">
      <c r="A325" t="s">
        <v>3451</v>
      </c>
      <c r="B325">
        <v>71316</v>
      </c>
      <c r="C325">
        <v>1250</v>
      </c>
      <c r="F325" s="4" t="s">
        <v>3657</v>
      </c>
      <c r="G325">
        <v>0.33448885548125251</v>
      </c>
      <c r="H325">
        <f t="shared" si="11"/>
        <v>0.39246658566221143</v>
      </c>
      <c r="I325">
        <f t="shared" si="10"/>
        <v>2</v>
      </c>
    </row>
    <row r="326" spans="1:9" ht="60" x14ac:dyDescent="0.25">
      <c r="A326" t="s">
        <v>3298</v>
      </c>
      <c r="B326">
        <v>71399</v>
      </c>
      <c r="C326">
        <v>1212</v>
      </c>
      <c r="F326" s="4" t="s">
        <v>3633</v>
      </c>
      <c r="G326">
        <v>0.33487246698255874</v>
      </c>
      <c r="H326">
        <f t="shared" si="11"/>
        <v>0.39368165249088699</v>
      </c>
      <c r="I326">
        <f t="shared" si="10"/>
        <v>2</v>
      </c>
    </row>
    <row r="327" spans="1:9" ht="60" x14ac:dyDescent="0.25">
      <c r="A327" t="s">
        <v>3658</v>
      </c>
      <c r="B327">
        <v>71660</v>
      </c>
      <c r="C327">
        <v>1859</v>
      </c>
      <c r="F327" s="4" t="s">
        <v>3510</v>
      </c>
      <c r="G327">
        <v>0.3349472711741</v>
      </c>
      <c r="H327">
        <f t="shared" si="11"/>
        <v>0.39489671931956255</v>
      </c>
      <c r="I327">
        <f t="shared" si="10"/>
        <v>2</v>
      </c>
    </row>
    <row r="328" spans="1:9" ht="60" x14ac:dyDescent="0.25">
      <c r="A328" t="s">
        <v>3659</v>
      </c>
      <c r="B328">
        <v>71683</v>
      </c>
      <c r="C328">
        <v>1286</v>
      </c>
      <c r="F328" s="4" t="s">
        <v>3660</v>
      </c>
      <c r="G328">
        <v>0.33508682179278243</v>
      </c>
      <c r="H328">
        <f t="shared" si="11"/>
        <v>0.39611178614823817</v>
      </c>
      <c r="I328">
        <f t="shared" si="10"/>
        <v>2</v>
      </c>
    </row>
    <row r="329" spans="1:9" ht="60" x14ac:dyDescent="0.25">
      <c r="A329" t="s">
        <v>3661</v>
      </c>
      <c r="B329">
        <v>71734</v>
      </c>
      <c r="C329">
        <v>1409</v>
      </c>
      <c r="F329" s="4" t="s">
        <v>3540</v>
      </c>
      <c r="G329">
        <v>0.33518821208999999</v>
      </c>
      <c r="H329">
        <f t="shared" si="11"/>
        <v>0.39732685297691372</v>
      </c>
      <c r="I329">
        <f t="shared" si="10"/>
        <v>2</v>
      </c>
    </row>
    <row r="330" spans="1:9" ht="60" x14ac:dyDescent="0.25">
      <c r="A330" t="s">
        <v>3662</v>
      </c>
      <c r="B330">
        <v>71810</v>
      </c>
      <c r="C330">
        <v>1716</v>
      </c>
      <c r="F330" s="4" t="s">
        <v>3663</v>
      </c>
      <c r="G330">
        <v>0.33519298802183639</v>
      </c>
      <c r="H330">
        <f t="shared" si="11"/>
        <v>0.39854191980558928</v>
      </c>
      <c r="I330">
        <f t="shared" si="10"/>
        <v>2</v>
      </c>
    </row>
    <row r="331" spans="1:9" ht="60" x14ac:dyDescent="0.25">
      <c r="A331" t="s">
        <v>3559</v>
      </c>
      <c r="B331">
        <v>71825</v>
      </c>
      <c r="C331">
        <v>1273</v>
      </c>
      <c r="F331" s="4" t="s">
        <v>3664</v>
      </c>
      <c r="G331">
        <v>0.33530428225487913</v>
      </c>
      <c r="H331">
        <f t="shared" si="11"/>
        <v>0.3997569866342649</v>
      </c>
      <c r="I331">
        <f t="shared" si="10"/>
        <v>2</v>
      </c>
    </row>
    <row r="332" spans="1:9" ht="45" x14ac:dyDescent="0.25">
      <c r="A332" t="s">
        <v>3206</v>
      </c>
      <c r="B332">
        <v>72150</v>
      </c>
      <c r="C332">
        <v>1227</v>
      </c>
      <c r="F332" s="4" t="s">
        <v>3665</v>
      </c>
      <c r="G332">
        <v>0.33531358457420124</v>
      </c>
      <c r="H332">
        <f t="shared" si="11"/>
        <v>0.40097205346294046</v>
      </c>
      <c r="I332">
        <f t="shared" si="10"/>
        <v>3</v>
      </c>
    </row>
    <row r="333" spans="1:9" ht="60" x14ac:dyDescent="0.25">
      <c r="A333" t="s">
        <v>3666</v>
      </c>
      <c r="B333">
        <v>72188</v>
      </c>
      <c r="C333">
        <v>1715</v>
      </c>
      <c r="F333" s="4" t="s">
        <v>3667</v>
      </c>
      <c r="G333">
        <v>0.33535643686684247</v>
      </c>
      <c r="H333">
        <f t="shared" si="11"/>
        <v>0.40218712029161602</v>
      </c>
      <c r="I333">
        <f t="shared" si="10"/>
        <v>3</v>
      </c>
    </row>
    <row r="334" spans="1:9" ht="60" x14ac:dyDescent="0.25">
      <c r="A334" t="s">
        <v>3583</v>
      </c>
      <c r="B334">
        <v>72198</v>
      </c>
      <c r="C334">
        <v>1335</v>
      </c>
      <c r="F334" s="4" t="s">
        <v>3668</v>
      </c>
      <c r="G334">
        <v>0.33585179920489366</v>
      </c>
      <c r="H334">
        <f t="shared" si="11"/>
        <v>0.40340218712029163</v>
      </c>
      <c r="I334">
        <f t="shared" si="10"/>
        <v>3</v>
      </c>
    </row>
    <row r="335" spans="1:9" ht="60" x14ac:dyDescent="0.25">
      <c r="A335" t="s">
        <v>3669</v>
      </c>
      <c r="B335">
        <v>72219</v>
      </c>
      <c r="C335">
        <v>1542</v>
      </c>
      <c r="F335" s="4" t="s">
        <v>3670</v>
      </c>
      <c r="G335">
        <v>0.33650671734157106</v>
      </c>
      <c r="H335">
        <f t="shared" si="11"/>
        <v>0.40461725394896719</v>
      </c>
      <c r="I335">
        <f t="shared" si="10"/>
        <v>3</v>
      </c>
    </row>
    <row r="336" spans="1:9" ht="60" x14ac:dyDescent="0.25">
      <c r="A336" t="s">
        <v>3671</v>
      </c>
      <c r="B336">
        <v>72344</v>
      </c>
      <c r="C336">
        <v>1719</v>
      </c>
      <c r="F336" s="4" t="s">
        <v>3672</v>
      </c>
      <c r="G336">
        <v>0.33674714393794736</v>
      </c>
      <c r="H336">
        <f t="shared" si="11"/>
        <v>0.40583232077764275</v>
      </c>
      <c r="I336">
        <f t="shared" si="10"/>
        <v>3</v>
      </c>
    </row>
    <row r="337" spans="1:9" ht="60" x14ac:dyDescent="0.25">
      <c r="A337" t="s">
        <v>3673</v>
      </c>
      <c r="B337">
        <v>72455</v>
      </c>
      <c r="C337">
        <v>1365</v>
      </c>
      <c r="F337" s="4" t="s">
        <v>3674</v>
      </c>
      <c r="G337">
        <v>0.33693050851014422</v>
      </c>
      <c r="H337">
        <f t="shared" si="11"/>
        <v>0.40704738760631837</v>
      </c>
      <c r="I337">
        <f t="shared" si="10"/>
        <v>3</v>
      </c>
    </row>
    <row r="338" spans="1:9" ht="45" x14ac:dyDescent="0.25">
      <c r="A338" t="s">
        <v>3675</v>
      </c>
      <c r="B338">
        <v>72464</v>
      </c>
      <c r="C338">
        <v>1368</v>
      </c>
      <c r="F338" s="4" t="s">
        <v>3676</v>
      </c>
      <c r="G338">
        <v>0.33730675210457056</v>
      </c>
      <c r="H338">
        <f t="shared" si="11"/>
        <v>0.40826245443499393</v>
      </c>
      <c r="I338">
        <f t="shared" si="10"/>
        <v>3</v>
      </c>
    </row>
    <row r="339" spans="1:9" ht="60" x14ac:dyDescent="0.25">
      <c r="A339" t="s">
        <v>3677</v>
      </c>
      <c r="B339">
        <v>72606</v>
      </c>
      <c r="C339">
        <v>1283</v>
      </c>
      <c r="F339" s="4" t="s">
        <v>3462</v>
      </c>
      <c r="G339">
        <v>0.33758250874027002</v>
      </c>
      <c r="H339">
        <f t="shared" si="11"/>
        <v>0.40947752126366949</v>
      </c>
      <c r="I339">
        <f t="shared" si="10"/>
        <v>3</v>
      </c>
    </row>
    <row r="340" spans="1:9" ht="60" x14ac:dyDescent="0.25">
      <c r="A340" t="s">
        <v>3590</v>
      </c>
      <c r="B340">
        <v>72658</v>
      </c>
      <c r="C340">
        <v>1373</v>
      </c>
      <c r="F340" s="4" t="s">
        <v>3678</v>
      </c>
      <c r="G340">
        <v>0.3379871726610863</v>
      </c>
      <c r="H340">
        <f t="shared" si="11"/>
        <v>0.4106925880923451</v>
      </c>
      <c r="I340">
        <f t="shared" si="10"/>
        <v>3</v>
      </c>
    </row>
    <row r="341" spans="1:9" ht="45" x14ac:dyDescent="0.25">
      <c r="A341" t="s">
        <v>3679</v>
      </c>
      <c r="B341">
        <v>72667</v>
      </c>
      <c r="C341">
        <v>1446</v>
      </c>
      <c r="F341" s="4" t="s">
        <v>3680</v>
      </c>
      <c r="G341">
        <v>0.338050883743853</v>
      </c>
      <c r="H341">
        <f t="shared" si="11"/>
        <v>0.41190765492102066</v>
      </c>
      <c r="I341">
        <f t="shared" si="10"/>
        <v>3</v>
      </c>
    </row>
    <row r="342" spans="1:9" ht="60" x14ac:dyDescent="0.25">
      <c r="A342" t="s">
        <v>3681</v>
      </c>
      <c r="B342">
        <v>72674</v>
      </c>
      <c r="C342">
        <v>1335</v>
      </c>
      <c r="F342" s="4" t="s">
        <v>3682</v>
      </c>
      <c r="G342">
        <v>0.33817343347640627</v>
      </c>
      <c r="H342">
        <f t="shared" si="11"/>
        <v>0.41312272174969622</v>
      </c>
      <c r="I342">
        <f t="shared" si="10"/>
        <v>3</v>
      </c>
    </row>
    <row r="343" spans="1:9" ht="60" x14ac:dyDescent="0.25">
      <c r="A343" t="s">
        <v>3385</v>
      </c>
      <c r="B343">
        <v>72813</v>
      </c>
      <c r="C343">
        <v>1234</v>
      </c>
      <c r="F343" s="4" t="s">
        <v>3683</v>
      </c>
      <c r="G343">
        <v>0.33823451366817103</v>
      </c>
      <c r="H343">
        <f t="shared" si="11"/>
        <v>0.41433778857837184</v>
      </c>
      <c r="I343">
        <f t="shared" si="10"/>
        <v>3</v>
      </c>
    </row>
    <row r="344" spans="1:9" ht="45" x14ac:dyDescent="0.25">
      <c r="A344" t="s">
        <v>3684</v>
      </c>
      <c r="B344">
        <v>72900</v>
      </c>
      <c r="C344">
        <v>1414</v>
      </c>
      <c r="F344" s="4" t="s">
        <v>3685</v>
      </c>
      <c r="G344">
        <v>0.33899512831283168</v>
      </c>
      <c r="H344">
        <f t="shared" si="11"/>
        <v>0.41555285540704739</v>
      </c>
      <c r="I344">
        <f t="shared" si="10"/>
        <v>3</v>
      </c>
    </row>
    <row r="345" spans="1:9" ht="60" x14ac:dyDescent="0.25">
      <c r="A345" t="s">
        <v>3686</v>
      </c>
      <c r="B345">
        <v>73365</v>
      </c>
      <c r="C345">
        <v>1400</v>
      </c>
      <c r="F345" s="4" t="s">
        <v>3617</v>
      </c>
      <c r="G345">
        <v>0.33926036977717672</v>
      </c>
      <c r="H345">
        <f t="shared" si="11"/>
        <v>0.41676792223572295</v>
      </c>
      <c r="I345">
        <f t="shared" si="10"/>
        <v>3</v>
      </c>
    </row>
    <row r="346" spans="1:9" ht="60" x14ac:dyDescent="0.25">
      <c r="A346" t="s">
        <v>3687</v>
      </c>
      <c r="B346">
        <v>73411</v>
      </c>
      <c r="C346">
        <v>1442</v>
      </c>
      <c r="F346" s="4" t="s">
        <v>3688</v>
      </c>
      <c r="G346">
        <v>0.33963543855101525</v>
      </c>
      <c r="H346">
        <f t="shared" si="11"/>
        <v>0.41798298906439857</v>
      </c>
      <c r="I346">
        <f t="shared" si="10"/>
        <v>3</v>
      </c>
    </row>
    <row r="347" spans="1:9" ht="75" x14ac:dyDescent="0.25">
      <c r="A347" t="s">
        <v>3689</v>
      </c>
      <c r="B347">
        <v>73426</v>
      </c>
      <c r="C347">
        <v>1549</v>
      </c>
      <c r="F347" s="4" t="s">
        <v>3690</v>
      </c>
      <c r="G347">
        <v>0.34043253472690976</v>
      </c>
      <c r="H347">
        <f t="shared" si="11"/>
        <v>0.41919805589307413</v>
      </c>
      <c r="I347">
        <f t="shared" si="10"/>
        <v>3</v>
      </c>
    </row>
    <row r="348" spans="1:9" ht="45" x14ac:dyDescent="0.25">
      <c r="A348" t="s">
        <v>3272</v>
      </c>
      <c r="B348">
        <v>73594</v>
      </c>
      <c r="C348">
        <v>1118</v>
      </c>
      <c r="F348" s="4" t="s">
        <v>3691</v>
      </c>
      <c r="G348">
        <v>0.3406472976005524</v>
      </c>
      <c r="H348">
        <f t="shared" si="11"/>
        <v>0.42041312272174969</v>
      </c>
      <c r="I348">
        <f t="shared" si="10"/>
        <v>3</v>
      </c>
    </row>
    <row r="349" spans="1:9" ht="60" x14ac:dyDescent="0.25">
      <c r="A349" t="s">
        <v>3116</v>
      </c>
      <c r="B349">
        <v>73828</v>
      </c>
      <c r="C349">
        <v>1045</v>
      </c>
      <c r="F349" s="4" t="s">
        <v>3692</v>
      </c>
      <c r="G349">
        <v>0.3407478475129731</v>
      </c>
      <c r="H349">
        <f t="shared" si="11"/>
        <v>0.42162818955042525</v>
      </c>
      <c r="I349">
        <f t="shared" si="10"/>
        <v>3</v>
      </c>
    </row>
    <row r="350" spans="1:9" ht="60" x14ac:dyDescent="0.25">
      <c r="A350" t="s">
        <v>3606</v>
      </c>
      <c r="B350">
        <v>73903</v>
      </c>
      <c r="C350">
        <v>1303</v>
      </c>
      <c r="F350" s="4" t="s">
        <v>3681</v>
      </c>
      <c r="G350">
        <v>0.34078651214536104</v>
      </c>
      <c r="H350">
        <f t="shared" si="11"/>
        <v>0.42284325637910086</v>
      </c>
      <c r="I350">
        <f t="shared" si="10"/>
        <v>3</v>
      </c>
    </row>
    <row r="351" spans="1:9" ht="60" x14ac:dyDescent="0.25">
      <c r="A351" t="s">
        <v>3570</v>
      </c>
      <c r="B351">
        <v>74044</v>
      </c>
      <c r="C351">
        <v>1302</v>
      </c>
      <c r="F351" s="4" t="s">
        <v>3693</v>
      </c>
      <c r="G351">
        <v>0.34078961523166079</v>
      </c>
      <c r="H351">
        <f t="shared" si="11"/>
        <v>0.42405832320777642</v>
      </c>
      <c r="I351">
        <f t="shared" si="10"/>
        <v>3</v>
      </c>
    </row>
    <row r="352" spans="1:9" ht="60" x14ac:dyDescent="0.25">
      <c r="A352" t="s">
        <v>3102</v>
      </c>
      <c r="B352">
        <v>74132</v>
      </c>
      <c r="C352">
        <v>1102</v>
      </c>
      <c r="F352" s="4" t="s">
        <v>3694</v>
      </c>
      <c r="G352">
        <v>0.34113637602232322</v>
      </c>
      <c r="H352">
        <f t="shared" si="11"/>
        <v>0.42527339003645198</v>
      </c>
      <c r="I352">
        <f t="shared" si="10"/>
        <v>3</v>
      </c>
    </row>
    <row r="353" spans="1:9" ht="60" x14ac:dyDescent="0.25">
      <c r="A353" t="s">
        <v>3158</v>
      </c>
      <c r="B353">
        <v>74157</v>
      </c>
      <c r="C353">
        <v>1177</v>
      </c>
      <c r="F353" s="4" t="s">
        <v>3695</v>
      </c>
      <c r="G353">
        <v>0.34115826328575655</v>
      </c>
      <c r="H353">
        <f t="shared" si="11"/>
        <v>0.4264884568651276</v>
      </c>
      <c r="I353">
        <f t="shared" si="10"/>
        <v>3</v>
      </c>
    </row>
    <row r="354" spans="1:9" ht="60" x14ac:dyDescent="0.25">
      <c r="A354" t="s">
        <v>3696</v>
      </c>
      <c r="B354">
        <v>74202</v>
      </c>
      <c r="C354">
        <v>1498</v>
      </c>
      <c r="F354" s="4" t="s">
        <v>3697</v>
      </c>
      <c r="G354">
        <v>0.34130666562491857</v>
      </c>
      <c r="H354">
        <f t="shared" si="11"/>
        <v>0.42770352369380316</v>
      </c>
      <c r="I354">
        <f t="shared" si="10"/>
        <v>3</v>
      </c>
    </row>
    <row r="355" spans="1:9" ht="75" x14ac:dyDescent="0.25">
      <c r="A355" t="s">
        <v>3698</v>
      </c>
      <c r="B355">
        <v>74397</v>
      </c>
      <c r="C355">
        <v>1726</v>
      </c>
      <c r="F355" s="4" t="s">
        <v>3699</v>
      </c>
      <c r="G355">
        <v>0.34148585227171868</v>
      </c>
      <c r="H355">
        <f t="shared" si="11"/>
        <v>0.42891859052247872</v>
      </c>
      <c r="I355">
        <f t="shared" si="10"/>
        <v>3</v>
      </c>
    </row>
    <row r="356" spans="1:9" ht="45" x14ac:dyDescent="0.25">
      <c r="A356" t="s">
        <v>3700</v>
      </c>
      <c r="B356">
        <v>74444</v>
      </c>
      <c r="C356">
        <v>1626</v>
      </c>
      <c r="F356" s="4" t="s">
        <v>3701</v>
      </c>
      <c r="G356">
        <v>0.34177387040400581</v>
      </c>
      <c r="H356">
        <f t="shared" si="11"/>
        <v>0.43013365735115433</v>
      </c>
      <c r="I356">
        <f t="shared" si="10"/>
        <v>3</v>
      </c>
    </row>
    <row r="357" spans="1:9" ht="75" x14ac:dyDescent="0.25">
      <c r="A357" t="s">
        <v>3702</v>
      </c>
      <c r="B357">
        <v>74519</v>
      </c>
      <c r="C357">
        <v>1553</v>
      </c>
      <c r="F357" s="4" t="s">
        <v>3703</v>
      </c>
      <c r="G357">
        <v>0.3418006369285656</v>
      </c>
      <c r="H357">
        <f t="shared" si="11"/>
        <v>0.43134872417982989</v>
      </c>
      <c r="I357">
        <f t="shared" si="10"/>
        <v>3</v>
      </c>
    </row>
    <row r="358" spans="1:9" ht="60" x14ac:dyDescent="0.25">
      <c r="A358" t="s">
        <v>3525</v>
      </c>
      <c r="B358">
        <v>74602</v>
      </c>
      <c r="C358">
        <v>1325</v>
      </c>
      <c r="F358" s="4" t="s">
        <v>3704</v>
      </c>
      <c r="G358">
        <v>0.34198431932069651</v>
      </c>
      <c r="H358">
        <f t="shared" si="11"/>
        <v>0.43256379100850545</v>
      </c>
      <c r="I358">
        <f t="shared" si="10"/>
        <v>3</v>
      </c>
    </row>
    <row r="359" spans="1:9" ht="60" x14ac:dyDescent="0.25">
      <c r="A359" t="s">
        <v>3294</v>
      </c>
      <c r="B359">
        <v>74634</v>
      </c>
      <c r="C359">
        <v>1184</v>
      </c>
      <c r="F359" s="4" t="s">
        <v>3705</v>
      </c>
      <c r="G359">
        <v>0.34202795905388872</v>
      </c>
      <c r="H359">
        <f t="shared" si="11"/>
        <v>0.43377885783718106</v>
      </c>
      <c r="I359">
        <f t="shared" si="10"/>
        <v>3</v>
      </c>
    </row>
    <row r="360" spans="1:9" ht="75" x14ac:dyDescent="0.25">
      <c r="A360" t="s">
        <v>3413</v>
      </c>
      <c r="B360">
        <v>74659</v>
      </c>
      <c r="C360">
        <v>1268</v>
      </c>
      <c r="F360" s="4" t="s">
        <v>3470</v>
      </c>
      <c r="G360">
        <v>0.34211716767097744</v>
      </c>
      <c r="H360">
        <f t="shared" si="11"/>
        <v>0.43499392466585662</v>
      </c>
      <c r="I360">
        <f t="shared" si="10"/>
        <v>3</v>
      </c>
    </row>
    <row r="361" spans="1:9" ht="60" x14ac:dyDescent="0.25">
      <c r="A361" t="s">
        <v>3577</v>
      </c>
      <c r="B361">
        <v>74675</v>
      </c>
      <c r="C361">
        <v>1280</v>
      </c>
      <c r="F361" s="4" t="s">
        <v>3706</v>
      </c>
      <c r="G361">
        <v>0.34247090451925549</v>
      </c>
      <c r="H361">
        <f t="shared" si="11"/>
        <v>0.43620899149453218</v>
      </c>
      <c r="I361">
        <f t="shared" si="10"/>
        <v>3</v>
      </c>
    </row>
    <row r="362" spans="1:9" ht="60" x14ac:dyDescent="0.25">
      <c r="A362" t="s">
        <v>3707</v>
      </c>
      <c r="B362">
        <v>74722</v>
      </c>
      <c r="C362">
        <v>1691</v>
      </c>
      <c r="F362" s="4" t="s">
        <v>3422</v>
      </c>
      <c r="G362">
        <v>0.34319165662908302</v>
      </c>
      <c r="H362">
        <f t="shared" si="11"/>
        <v>0.4374240583232078</v>
      </c>
      <c r="I362">
        <f t="shared" si="10"/>
        <v>3</v>
      </c>
    </row>
    <row r="363" spans="1:9" ht="60" x14ac:dyDescent="0.25">
      <c r="A363" t="s">
        <v>3421</v>
      </c>
      <c r="B363">
        <v>74732</v>
      </c>
      <c r="C363">
        <v>1254</v>
      </c>
      <c r="F363" s="4" t="s">
        <v>3708</v>
      </c>
      <c r="G363">
        <v>0.34321748377342332</v>
      </c>
      <c r="H363">
        <f t="shared" si="11"/>
        <v>0.43863912515188336</v>
      </c>
      <c r="I363">
        <f t="shared" si="10"/>
        <v>3</v>
      </c>
    </row>
    <row r="364" spans="1:9" ht="45" x14ac:dyDescent="0.25">
      <c r="A364" t="s">
        <v>3403</v>
      </c>
      <c r="B364">
        <v>74735</v>
      </c>
      <c r="C364">
        <v>1228</v>
      </c>
      <c r="F364" s="4" t="s">
        <v>3709</v>
      </c>
      <c r="G364">
        <v>0.34346004134396774</v>
      </c>
      <c r="H364">
        <f t="shared" si="11"/>
        <v>0.43985419198055892</v>
      </c>
      <c r="I364">
        <f t="shared" si="10"/>
        <v>3</v>
      </c>
    </row>
    <row r="365" spans="1:9" ht="60" x14ac:dyDescent="0.25">
      <c r="A365" t="s">
        <v>3710</v>
      </c>
      <c r="B365">
        <v>75074</v>
      </c>
      <c r="C365">
        <v>1495</v>
      </c>
      <c r="F365" s="4" t="s">
        <v>3711</v>
      </c>
      <c r="G365">
        <v>0.34352707751689243</v>
      </c>
      <c r="H365">
        <f t="shared" si="11"/>
        <v>0.44106925880923453</v>
      </c>
      <c r="I365">
        <f t="shared" si="10"/>
        <v>3</v>
      </c>
    </row>
    <row r="366" spans="1:9" ht="60" x14ac:dyDescent="0.25">
      <c r="A366" t="s">
        <v>3712</v>
      </c>
      <c r="B366">
        <v>75110</v>
      </c>
      <c r="C366">
        <v>1319</v>
      </c>
      <c r="F366" s="4" t="s">
        <v>3642</v>
      </c>
      <c r="G366">
        <v>0.34369998308161626</v>
      </c>
      <c r="H366">
        <f t="shared" si="11"/>
        <v>0.44228432563791009</v>
      </c>
      <c r="I366">
        <f t="shared" si="10"/>
        <v>3</v>
      </c>
    </row>
    <row r="367" spans="1:9" ht="60" x14ac:dyDescent="0.25">
      <c r="A367" t="s">
        <v>3136</v>
      </c>
      <c r="B367">
        <v>75114</v>
      </c>
      <c r="C367">
        <v>1054</v>
      </c>
      <c r="F367" s="4" t="s">
        <v>3713</v>
      </c>
      <c r="G367">
        <v>0.34393260354297606</v>
      </c>
      <c r="H367">
        <f t="shared" si="11"/>
        <v>0.44349939246658565</v>
      </c>
      <c r="I367">
        <f t="shared" si="10"/>
        <v>3</v>
      </c>
    </row>
    <row r="368" spans="1:9" ht="45" x14ac:dyDescent="0.25">
      <c r="A368" t="s">
        <v>3612</v>
      </c>
      <c r="B368">
        <v>75135</v>
      </c>
      <c r="C368">
        <v>1442</v>
      </c>
      <c r="F368" s="4" t="s">
        <v>3714</v>
      </c>
      <c r="G368">
        <v>0.34402003762792105</v>
      </c>
      <c r="H368">
        <f t="shared" si="11"/>
        <v>0.44471445929526127</v>
      </c>
      <c r="I368">
        <f t="shared" si="10"/>
        <v>3</v>
      </c>
    </row>
    <row r="369" spans="1:9" ht="60" x14ac:dyDescent="0.25">
      <c r="A369" t="s">
        <v>3715</v>
      </c>
      <c r="B369">
        <v>75293</v>
      </c>
      <c r="C369">
        <v>1323</v>
      </c>
      <c r="F369" s="4" t="s">
        <v>3580</v>
      </c>
      <c r="G369">
        <v>0.34434448918123944</v>
      </c>
      <c r="H369">
        <f t="shared" si="11"/>
        <v>0.44592952612393683</v>
      </c>
      <c r="I369">
        <f t="shared" si="10"/>
        <v>3</v>
      </c>
    </row>
    <row r="370" spans="1:9" ht="60" x14ac:dyDescent="0.25">
      <c r="A370" t="s">
        <v>3716</v>
      </c>
      <c r="B370">
        <v>75417</v>
      </c>
      <c r="C370">
        <v>1640</v>
      </c>
      <c r="F370" s="4" t="s">
        <v>3717</v>
      </c>
      <c r="G370">
        <v>0.34434963135073376</v>
      </c>
      <c r="H370">
        <f t="shared" si="11"/>
        <v>0.44714459295261239</v>
      </c>
      <c r="I370">
        <f t="shared" si="10"/>
        <v>3</v>
      </c>
    </row>
    <row r="371" spans="1:9" ht="45" x14ac:dyDescent="0.25">
      <c r="A371" t="s">
        <v>3439</v>
      </c>
      <c r="B371">
        <v>75536</v>
      </c>
      <c r="C371">
        <v>1230</v>
      </c>
      <c r="F371" s="4" t="s">
        <v>3718</v>
      </c>
      <c r="G371">
        <v>0.34445241174257452</v>
      </c>
      <c r="H371">
        <f t="shared" si="11"/>
        <v>0.44835965978128794</v>
      </c>
      <c r="I371">
        <f t="shared" si="10"/>
        <v>3</v>
      </c>
    </row>
    <row r="372" spans="1:9" ht="60" x14ac:dyDescent="0.25">
      <c r="A372" t="s">
        <v>3443</v>
      </c>
      <c r="B372">
        <v>75673</v>
      </c>
      <c r="C372">
        <v>1305</v>
      </c>
      <c r="F372" s="4" t="s">
        <v>3719</v>
      </c>
      <c r="G372">
        <v>0.34452406692965948</v>
      </c>
      <c r="H372">
        <f t="shared" si="11"/>
        <v>0.44957472660996356</v>
      </c>
      <c r="I372">
        <f t="shared" si="10"/>
        <v>3</v>
      </c>
    </row>
    <row r="373" spans="1:9" ht="60" x14ac:dyDescent="0.25">
      <c r="A373" t="s">
        <v>3592</v>
      </c>
      <c r="B373">
        <v>75685</v>
      </c>
      <c r="C373">
        <v>1341</v>
      </c>
      <c r="F373" s="4" t="s">
        <v>3720</v>
      </c>
      <c r="G373">
        <v>0.34458625700618395</v>
      </c>
      <c r="H373">
        <f t="shared" si="11"/>
        <v>0.45078979343863912</v>
      </c>
      <c r="I373">
        <f t="shared" si="10"/>
        <v>3</v>
      </c>
    </row>
    <row r="374" spans="1:9" ht="60" x14ac:dyDescent="0.25">
      <c r="A374" t="s">
        <v>3721</v>
      </c>
      <c r="B374">
        <v>75799</v>
      </c>
      <c r="C374">
        <v>1914</v>
      </c>
      <c r="F374" s="4" t="s">
        <v>3722</v>
      </c>
      <c r="G374">
        <v>0.34478782379707673</v>
      </c>
      <c r="H374">
        <f t="shared" si="11"/>
        <v>0.45200486026731468</v>
      </c>
      <c r="I374">
        <f t="shared" si="10"/>
        <v>3</v>
      </c>
    </row>
    <row r="375" spans="1:9" ht="60" x14ac:dyDescent="0.25">
      <c r="A375" t="s">
        <v>3723</v>
      </c>
      <c r="B375">
        <v>75833</v>
      </c>
      <c r="C375">
        <v>1401</v>
      </c>
      <c r="F375" s="4" t="s">
        <v>3724</v>
      </c>
      <c r="G375">
        <v>0.34497984739710569</v>
      </c>
      <c r="H375">
        <f t="shared" si="11"/>
        <v>0.45321992709599029</v>
      </c>
      <c r="I375">
        <f t="shared" si="10"/>
        <v>3</v>
      </c>
    </row>
    <row r="376" spans="1:9" ht="60" x14ac:dyDescent="0.25">
      <c r="A376" t="s">
        <v>3534</v>
      </c>
      <c r="B376">
        <v>75881</v>
      </c>
      <c r="C376">
        <v>1690</v>
      </c>
      <c r="F376" s="4" t="s">
        <v>3725</v>
      </c>
      <c r="G376">
        <v>0.34502795917347323</v>
      </c>
      <c r="H376">
        <f t="shared" si="11"/>
        <v>0.45443499392466585</v>
      </c>
      <c r="I376">
        <f t="shared" si="10"/>
        <v>3</v>
      </c>
    </row>
    <row r="377" spans="1:9" ht="60" x14ac:dyDescent="0.25">
      <c r="A377" t="s">
        <v>3536</v>
      </c>
      <c r="B377">
        <v>75938</v>
      </c>
      <c r="C377">
        <v>1408</v>
      </c>
      <c r="F377" s="4" t="s">
        <v>3673</v>
      </c>
      <c r="G377">
        <v>0.34508294612948726</v>
      </c>
      <c r="H377">
        <f t="shared" si="11"/>
        <v>0.45565006075334141</v>
      </c>
      <c r="I377">
        <f t="shared" si="10"/>
        <v>3</v>
      </c>
    </row>
    <row r="378" spans="1:9" ht="60" x14ac:dyDescent="0.25">
      <c r="A378" t="s">
        <v>3683</v>
      </c>
      <c r="B378">
        <v>75980</v>
      </c>
      <c r="C378">
        <v>1400</v>
      </c>
      <c r="F378" s="4" t="s">
        <v>3726</v>
      </c>
      <c r="G378">
        <v>0.34515781148896396</v>
      </c>
      <c r="H378">
        <f t="shared" si="11"/>
        <v>0.45686512758201703</v>
      </c>
      <c r="I378">
        <f t="shared" si="10"/>
        <v>3</v>
      </c>
    </row>
    <row r="379" spans="1:9" ht="60" x14ac:dyDescent="0.25">
      <c r="A379" t="s">
        <v>3727</v>
      </c>
      <c r="B379">
        <v>75991</v>
      </c>
      <c r="C379">
        <v>1458</v>
      </c>
      <c r="F379" s="4" t="s">
        <v>3728</v>
      </c>
      <c r="G379">
        <v>0.34560805912736703</v>
      </c>
      <c r="H379">
        <f t="shared" si="11"/>
        <v>0.45808019441069259</v>
      </c>
      <c r="I379">
        <f t="shared" si="10"/>
        <v>3</v>
      </c>
    </row>
    <row r="380" spans="1:9" ht="60" x14ac:dyDescent="0.25">
      <c r="A380" t="s">
        <v>3643</v>
      </c>
      <c r="B380">
        <v>76047</v>
      </c>
      <c r="C380">
        <v>1301</v>
      </c>
      <c r="F380" s="4" t="s">
        <v>3729</v>
      </c>
      <c r="G380">
        <v>0.34613185538262858</v>
      </c>
      <c r="H380">
        <f t="shared" si="11"/>
        <v>0.45929526123936815</v>
      </c>
      <c r="I380">
        <f t="shared" si="10"/>
        <v>3</v>
      </c>
    </row>
    <row r="381" spans="1:9" ht="60" x14ac:dyDescent="0.25">
      <c r="A381" t="s">
        <v>3453</v>
      </c>
      <c r="B381">
        <v>76318</v>
      </c>
      <c r="C381">
        <v>1269</v>
      </c>
      <c r="F381" s="4" t="s">
        <v>3730</v>
      </c>
      <c r="G381">
        <v>0.3463857385284822</v>
      </c>
      <c r="H381">
        <f t="shared" si="11"/>
        <v>0.46051032806804376</v>
      </c>
      <c r="I381">
        <f t="shared" si="10"/>
        <v>3</v>
      </c>
    </row>
    <row r="382" spans="1:9" ht="60" x14ac:dyDescent="0.25">
      <c r="A382" t="s">
        <v>3156</v>
      </c>
      <c r="B382">
        <v>76602</v>
      </c>
      <c r="C382">
        <v>1149</v>
      </c>
      <c r="F382" s="4" t="s">
        <v>3628</v>
      </c>
      <c r="G382">
        <v>0.34642192547290324</v>
      </c>
      <c r="H382">
        <f t="shared" si="11"/>
        <v>0.46172539489671932</v>
      </c>
      <c r="I382">
        <f t="shared" si="10"/>
        <v>3</v>
      </c>
    </row>
    <row r="383" spans="1:9" ht="60" x14ac:dyDescent="0.25">
      <c r="A383" t="s">
        <v>3258</v>
      </c>
      <c r="B383">
        <v>76724</v>
      </c>
      <c r="C383">
        <v>1313</v>
      </c>
      <c r="F383" s="4" t="s">
        <v>3731</v>
      </c>
      <c r="G383">
        <v>0.34680745333781993</v>
      </c>
      <c r="H383">
        <f t="shared" si="11"/>
        <v>0.46294046172539488</v>
      </c>
      <c r="I383">
        <f t="shared" si="10"/>
        <v>3</v>
      </c>
    </row>
    <row r="384" spans="1:9" ht="45" x14ac:dyDescent="0.25">
      <c r="A384" t="s">
        <v>3729</v>
      </c>
      <c r="B384">
        <v>76739</v>
      </c>
      <c r="C384">
        <v>1447</v>
      </c>
      <c r="F384" s="4" t="s">
        <v>3732</v>
      </c>
      <c r="G384">
        <v>0.34682331523724103</v>
      </c>
      <c r="H384">
        <f t="shared" si="11"/>
        <v>0.4641555285540705</v>
      </c>
      <c r="I384">
        <f t="shared" si="10"/>
        <v>3</v>
      </c>
    </row>
    <row r="385" spans="1:9" ht="60" x14ac:dyDescent="0.25">
      <c r="A385" t="s">
        <v>3600</v>
      </c>
      <c r="B385">
        <v>76908</v>
      </c>
      <c r="C385">
        <v>1397</v>
      </c>
      <c r="F385" s="4" t="s">
        <v>3733</v>
      </c>
      <c r="G385">
        <v>0.34712970837330059</v>
      </c>
      <c r="H385">
        <f t="shared" si="11"/>
        <v>0.46537059538274606</v>
      </c>
      <c r="I385">
        <f t="shared" si="10"/>
        <v>3</v>
      </c>
    </row>
    <row r="386" spans="1:9" ht="60" x14ac:dyDescent="0.25">
      <c r="A386" t="s">
        <v>3734</v>
      </c>
      <c r="B386">
        <v>76921</v>
      </c>
      <c r="C386">
        <v>1755</v>
      </c>
      <c r="F386" s="4" t="s">
        <v>3735</v>
      </c>
      <c r="G386">
        <v>0.34782738233662525</v>
      </c>
      <c r="H386">
        <f t="shared" si="11"/>
        <v>0.46658566221142161</v>
      </c>
      <c r="I386">
        <f t="shared" si="10"/>
        <v>3</v>
      </c>
    </row>
    <row r="387" spans="1:9" ht="45" x14ac:dyDescent="0.25">
      <c r="A387" t="s">
        <v>3447</v>
      </c>
      <c r="B387">
        <v>77083</v>
      </c>
      <c r="C387">
        <v>1328</v>
      </c>
      <c r="F387" s="4" t="s">
        <v>3736</v>
      </c>
      <c r="G387">
        <v>0.34786883951750336</v>
      </c>
      <c r="H387">
        <f t="shared" si="11"/>
        <v>0.46780072904009723</v>
      </c>
      <c r="I387">
        <f t="shared" ref="I387:I450" si="12">IF(H387&lt;0.2,1,IF(H387&lt;0.4,2,IF(H387&lt;0.6,3,IF(H387&lt;0.8,4,5))))</f>
        <v>3</v>
      </c>
    </row>
    <row r="388" spans="1:9" ht="45" x14ac:dyDescent="0.25">
      <c r="A388" t="s">
        <v>3737</v>
      </c>
      <c r="B388">
        <v>77273</v>
      </c>
      <c r="C388">
        <v>1466</v>
      </c>
      <c r="F388" s="4" t="s">
        <v>3738</v>
      </c>
      <c r="G388">
        <v>0.34788711369574221</v>
      </c>
      <c r="H388">
        <f t="shared" ref="H388:H451" si="13">_xlfn.RANK.EQ(G388,$G$3:$G$825,1)/COUNT($G$3:$G$825)</f>
        <v>0.46901579586877279</v>
      </c>
      <c r="I388">
        <f t="shared" si="12"/>
        <v>3</v>
      </c>
    </row>
    <row r="389" spans="1:9" ht="45" x14ac:dyDescent="0.25">
      <c r="A389" t="s">
        <v>3739</v>
      </c>
      <c r="B389">
        <v>77434</v>
      </c>
      <c r="C389">
        <v>1574</v>
      </c>
      <c r="F389" s="4" t="s">
        <v>3740</v>
      </c>
      <c r="G389">
        <v>0.34789828044827292</v>
      </c>
      <c r="H389">
        <f t="shared" si="13"/>
        <v>0.47023086269744835</v>
      </c>
      <c r="I389">
        <f t="shared" si="12"/>
        <v>3</v>
      </c>
    </row>
    <row r="390" spans="1:9" ht="60" x14ac:dyDescent="0.25">
      <c r="A390" t="s">
        <v>3741</v>
      </c>
      <c r="B390">
        <v>77778</v>
      </c>
      <c r="C390">
        <v>1704</v>
      </c>
      <c r="F390" s="4" t="s">
        <v>3585</v>
      </c>
      <c r="G390">
        <v>0.34797626048754993</v>
      </c>
      <c r="H390">
        <f t="shared" si="13"/>
        <v>0.47144592952612396</v>
      </c>
      <c r="I390">
        <f t="shared" si="12"/>
        <v>3</v>
      </c>
    </row>
    <row r="391" spans="1:9" ht="45" x14ac:dyDescent="0.25">
      <c r="A391" t="s">
        <v>3242</v>
      </c>
      <c r="B391">
        <v>77903</v>
      </c>
      <c r="C391">
        <v>1295</v>
      </c>
      <c r="F391" s="4" t="s">
        <v>3742</v>
      </c>
      <c r="G391">
        <v>0.34878532079203106</v>
      </c>
      <c r="H391">
        <f t="shared" si="13"/>
        <v>0.47266099635479952</v>
      </c>
      <c r="I391">
        <f t="shared" si="12"/>
        <v>3</v>
      </c>
    </row>
    <row r="392" spans="1:9" ht="60" x14ac:dyDescent="0.25">
      <c r="A392" t="s">
        <v>3743</v>
      </c>
      <c r="B392">
        <v>77917</v>
      </c>
      <c r="C392">
        <v>1672</v>
      </c>
      <c r="F392" s="4" t="s">
        <v>3619</v>
      </c>
      <c r="G392">
        <v>0.34963788292702164</v>
      </c>
      <c r="H392">
        <f t="shared" si="13"/>
        <v>0.47387606318347508</v>
      </c>
      <c r="I392">
        <f t="shared" si="12"/>
        <v>3</v>
      </c>
    </row>
    <row r="393" spans="1:9" ht="75" x14ac:dyDescent="0.25">
      <c r="A393" t="s">
        <v>3744</v>
      </c>
      <c r="B393">
        <v>77939</v>
      </c>
      <c r="C393">
        <v>1424</v>
      </c>
      <c r="F393" s="4" t="s">
        <v>3745</v>
      </c>
      <c r="G393">
        <v>0.34965945742623422</v>
      </c>
      <c r="H393">
        <f t="shared" si="13"/>
        <v>0.47509113001215064</v>
      </c>
      <c r="I393">
        <f t="shared" si="12"/>
        <v>3</v>
      </c>
    </row>
    <row r="394" spans="1:9" ht="60" x14ac:dyDescent="0.25">
      <c r="A394" t="s">
        <v>3728</v>
      </c>
      <c r="B394">
        <v>78125</v>
      </c>
      <c r="C394">
        <v>1549</v>
      </c>
      <c r="F394" s="4" t="s">
        <v>3746</v>
      </c>
      <c r="G394">
        <v>0.34968782234975115</v>
      </c>
      <c r="H394">
        <f t="shared" si="13"/>
        <v>0.47630619684082626</v>
      </c>
      <c r="I394">
        <f t="shared" si="12"/>
        <v>3</v>
      </c>
    </row>
    <row r="395" spans="1:9" ht="60" x14ac:dyDescent="0.25">
      <c r="A395" t="s">
        <v>3747</v>
      </c>
      <c r="B395">
        <v>78134</v>
      </c>
      <c r="C395">
        <v>1673</v>
      </c>
      <c r="F395" s="4" t="s">
        <v>3677</v>
      </c>
      <c r="G395">
        <v>0.34971949542467295</v>
      </c>
      <c r="H395">
        <f t="shared" si="13"/>
        <v>0.47752126366950182</v>
      </c>
      <c r="I395">
        <f t="shared" si="12"/>
        <v>3</v>
      </c>
    </row>
    <row r="396" spans="1:9" ht="45" x14ac:dyDescent="0.25">
      <c r="A396" t="s">
        <v>3098</v>
      </c>
      <c r="B396">
        <v>78209</v>
      </c>
      <c r="C396">
        <v>1197</v>
      </c>
      <c r="F396" s="4" t="s">
        <v>3748</v>
      </c>
      <c r="G396">
        <v>0.34984064943914112</v>
      </c>
      <c r="H396">
        <f t="shared" si="13"/>
        <v>0.47873633049817738</v>
      </c>
      <c r="I396">
        <f t="shared" si="12"/>
        <v>3</v>
      </c>
    </row>
    <row r="397" spans="1:9" ht="60" x14ac:dyDescent="0.25">
      <c r="A397" t="s">
        <v>3735</v>
      </c>
      <c r="B397">
        <v>78239</v>
      </c>
      <c r="C397">
        <v>1470</v>
      </c>
      <c r="F397" s="4" t="s">
        <v>3749</v>
      </c>
      <c r="G397">
        <v>0.35023907591043785</v>
      </c>
      <c r="H397">
        <f t="shared" si="13"/>
        <v>0.47995139732685299</v>
      </c>
      <c r="I397">
        <f t="shared" si="12"/>
        <v>3</v>
      </c>
    </row>
    <row r="398" spans="1:9" ht="60" x14ac:dyDescent="0.25">
      <c r="A398" t="s">
        <v>3479</v>
      </c>
      <c r="B398">
        <v>78254</v>
      </c>
      <c r="C398">
        <v>1259</v>
      </c>
      <c r="F398" s="4" t="s">
        <v>3750</v>
      </c>
      <c r="G398">
        <v>0.35040726901571795</v>
      </c>
      <c r="H398">
        <f t="shared" si="13"/>
        <v>0.48116646415552855</v>
      </c>
      <c r="I398">
        <f t="shared" si="12"/>
        <v>3</v>
      </c>
    </row>
    <row r="399" spans="1:9" ht="60" x14ac:dyDescent="0.25">
      <c r="A399" t="s">
        <v>3751</v>
      </c>
      <c r="B399">
        <v>78684</v>
      </c>
      <c r="C399">
        <v>1671</v>
      </c>
      <c r="F399" s="4" t="s">
        <v>3752</v>
      </c>
      <c r="G399">
        <v>0.35055547333580411</v>
      </c>
      <c r="H399">
        <f t="shared" si="13"/>
        <v>0.48238153098420411</v>
      </c>
      <c r="I399">
        <f t="shared" si="12"/>
        <v>3</v>
      </c>
    </row>
    <row r="400" spans="1:9" ht="60" x14ac:dyDescent="0.25">
      <c r="A400" t="s">
        <v>3753</v>
      </c>
      <c r="B400">
        <v>78713</v>
      </c>
      <c r="C400">
        <v>1620</v>
      </c>
      <c r="F400" s="4" t="s">
        <v>3754</v>
      </c>
      <c r="G400">
        <v>0.35079725949042767</v>
      </c>
      <c r="H400">
        <f t="shared" si="13"/>
        <v>0.48359659781287972</v>
      </c>
      <c r="I400">
        <f t="shared" si="12"/>
        <v>3</v>
      </c>
    </row>
    <row r="401" spans="1:9" ht="45" x14ac:dyDescent="0.25">
      <c r="A401" t="s">
        <v>3755</v>
      </c>
      <c r="B401">
        <v>78844</v>
      </c>
      <c r="C401">
        <v>1741</v>
      </c>
      <c r="F401" s="4" t="s">
        <v>3756</v>
      </c>
      <c r="G401">
        <v>0.35087958838132699</v>
      </c>
      <c r="H401">
        <f t="shared" si="13"/>
        <v>0.48481166464155528</v>
      </c>
      <c r="I401">
        <f t="shared" si="12"/>
        <v>3</v>
      </c>
    </row>
    <row r="402" spans="1:9" ht="60" x14ac:dyDescent="0.25">
      <c r="A402" t="s">
        <v>3717</v>
      </c>
      <c r="B402">
        <v>78958</v>
      </c>
      <c r="C402">
        <v>1494</v>
      </c>
      <c r="F402" s="4" t="s">
        <v>3757</v>
      </c>
      <c r="G402">
        <v>0.35093513265509613</v>
      </c>
      <c r="H402">
        <f t="shared" si="13"/>
        <v>0.48602673147023084</v>
      </c>
      <c r="I402">
        <f t="shared" si="12"/>
        <v>3</v>
      </c>
    </row>
    <row r="403" spans="1:9" ht="60" x14ac:dyDescent="0.25">
      <c r="A403" t="s">
        <v>3395</v>
      </c>
      <c r="B403">
        <v>79082</v>
      </c>
      <c r="C403">
        <v>1338</v>
      </c>
      <c r="F403" s="4" t="s">
        <v>3758</v>
      </c>
      <c r="G403">
        <v>0.35118145075109319</v>
      </c>
      <c r="H403">
        <f t="shared" si="13"/>
        <v>0.48724179829890646</v>
      </c>
      <c r="I403">
        <f t="shared" si="12"/>
        <v>3</v>
      </c>
    </row>
    <row r="404" spans="1:9" ht="60" x14ac:dyDescent="0.25">
      <c r="A404" t="s">
        <v>3711</v>
      </c>
      <c r="B404">
        <v>79444</v>
      </c>
      <c r="C404">
        <v>1427</v>
      </c>
      <c r="F404" s="4" t="s">
        <v>3560</v>
      </c>
      <c r="G404">
        <v>0.35151312691017289</v>
      </c>
      <c r="H404">
        <f t="shared" si="13"/>
        <v>0.48845686512758202</v>
      </c>
      <c r="I404">
        <f t="shared" si="12"/>
        <v>3</v>
      </c>
    </row>
    <row r="405" spans="1:9" ht="60" x14ac:dyDescent="0.25">
      <c r="A405" t="s">
        <v>3759</v>
      </c>
      <c r="B405">
        <v>79475</v>
      </c>
      <c r="C405">
        <v>1461</v>
      </c>
      <c r="F405" s="4" t="s">
        <v>3760</v>
      </c>
      <c r="G405">
        <v>0.35194827140255969</v>
      </c>
      <c r="H405">
        <f t="shared" si="13"/>
        <v>0.48967193195625758</v>
      </c>
      <c r="I405">
        <f t="shared" si="12"/>
        <v>3</v>
      </c>
    </row>
    <row r="406" spans="1:9" ht="60" x14ac:dyDescent="0.25">
      <c r="A406" t="s">
        <v>3162</v>
      </c>
      <c r="B406">
        <v>79611</v>
      </c>
      <c r="C406">
        <v>1216</v>
      </c>
      <c r="F406" s="4" t="s">
        <v>3761</v>
      </c>
      <c r="G406">
        <v>0.35218740405307702</v>
      </c>
      <c r="H406">
        <f t="shared" si="13"/>
        <v>0.49088699878493319</v>
      </c>
      <c r="I406">
        <f t="shared" si="12"/>
        <v>3</v>
      </c>
    </row>
    <row r="407" spans="1:9" ht="60" x14ac:dyDescent="0.25">
      <c r="A407" t="s">
        <v>3762</v>
      </c>
      <c r="B407">
        <v>79707</v>
      </c>
      <c r="C407">
        <v>1654</v>
      </c>
      <c r="F407" s="4" t="s">
        <v>3464</v>
      </c>
      <c r="G407">
        <v>0.35225688365237956</v>
      </c>
      <c r="H407">
        <f t="shared" si="13"/>
        <v>0.49210206561360875</v>
      </c>
      <c r="I407">
        <f t="shared" si="12"/>
        <v>3</v>
      </c>
    </row>
    <row r="408" spans="1:9" ht="45" x14ac:dyDescent="0.25">
      <c r="A408" t="s">
        <v>3672</v>
      </c>
      <c r="B408">
        <v>79864</v>
      </c>
      <c r="C408">
        <v>1398</v>
      </c>
      <c r="F408" s="4" t="s">
        <v>3763</v>
      </c>
      <c r="G408">
        <v>0.35231727784764838</v>
      </c>
      <c r="H408">
        <f t="shared" si="13"/>
        <v>0.49331713244228431</v>
      </c>
      <c r="I408">
        <f t="shared" si="12"/>
        <v>3</v>
      </c>
    </row>
    <row r="409" spans="1:9" ht="60" x14ac:dyDescent="0.25">
      <c r="A409" t="s">
        <v>3764</v>
      </c>
      <c r="B409">
        <v>79954</v>
      </c>
      <c r="C409">
        <v>1591</v>
      </c>
      <c r="F409" s="4" t="s">
        <v>3765</v>
      </c>
      <c r="G409">
        <v>0.35237268816670281</v>
      </c>
      <c r="H409">
        <f t="shared" si="13"/>
        <v>0.49453219927095993</v>
      </c>
      <c r="I409">
        <f t="shared" si="12"/>
        <v>3</v>
      </c>
    </row>
    <row r="410" spans="1:9" ht="45" x14ac:dyDescent="0.25">
      <c r="A410" t="s">
        <v>3511</v>
      </c>
      <c r="B410">
        <v>80000</v>
      </c>
      <c r="C410">
        <v>1448</v>
      </c>
      <c r="F410" s="4" t="s">
        <v>3766</v>
      </c>
      <c r="G410">
        <v>0.35274884624457015</v>
      </c>
      <c r="H410">
        <f t="shared" si="13"/>
        <v>0.49574726609963549</v>
      </c>
      <c r="I410">
        <f t="shared" si="12"/>
        <v>3</v>
      </c>
    </row>
    <row r="411" spans="1:9" ht="60" x14ac:dyDescent="0.25">
      <c r="A411" t="s">
        <v>3144</v>
      </c>
      <c r="B411">
        <v>80000</v>
      </c>
      <c r="C411">
        <v>1181</v>
      </c>
      <c r="F411" s="4" t="s">
        <v>3564</v>
      </c>
      <c r="G411">
        <v>0.35284353267919083</v>
      </c>
      <c r="H411">
        <f t="shared" si="13"/>
        <v>0.49696233292831105</v>
      </c>
      <c r="I411">
        <f t="shared" si="12"/>
        <v>3</v>
      </c>
    </row>
    <row r="412" spans="1:9" ht="45" x14ac:dyDescent="0.25">
      <c r="A412" t="s">
        <v>3758</v>
      </c>
      <c r="B412">
        <v>80298</v>
      </c>
      <c r="C412">
        <v>1359</v>
      </c>
      <c r="F412" s="4" t="s">
        <v>3767</v>
      </c>
      <c r="G412">
        <v>0.35338205867010986</v>
      </c>
      <c r="H412">
        <f t="shared" si="13"/>
        <v>0.49817739975698666</v>
      </c>
      <c r="I412">
        <f t="shared" si="12"/>
        <v>3</v>
      </c>
    </row>
    <row r="413" spans="1:9" ht="45" x14ac:dyDescent="0.25">
      <c r="A413" t="s">
        <v>3411</v>
      </c>
      <c r="B413">
        <v>80725</v>
      </c>
      <c r="C413">
        <v>1365</v>
      </c>
      <c r="F413" s="4" t="s">
        <v>3768</v>
      </c>
      <c r="G413">
        <v>0.35350949067882181</v>
      </c>
      <c r="H413">
        <f t="shared" si="13"/>
        <v>0.49939246658566222</v>
      </c>
      <c r="I413">
        <f t="shared" si="12"/>
        <v>3</v>
      </c>
    </row>
    <row r="414" spans="1:9" ht="60" x14ac:dyDescent="0.25">
      <c r="A414" t="s">
        <v>3459</v>
      </c>
      <c r="B414">
        <v>80753</v>
      </c>
      <c r="C414">
        <v>1399</v>
      </c>
      <c r="F414" s="4" t="s">
        <v>3684</v>
      </c>
      <c r="G414">
        <v>0.35376031922878876</v>
      </c>
      <c r="H414">
        <f t="shared" si="13"/>
        <v>0.50060753341433784</v>
      </c>
      <c r="I414">
        <f t="shared" si="12"/>
        <v>3</v>
      </c>
    </row>
    <row r="415" spans="1:9" ht="60" x14ac:dyDescent="0.25">
      <c r="A415" t="s">
        <v>3769</v>
      </c>
      <c r="B415">
        <v>80759</v>
      </c>
      <c r="C415">
        <v>1705</v>
      </c>
      <c r="F415" s="4" t="s">
        <v>3770</v>
      </c>
      <c r="G415">
        <v>0.35390734931734102</v>
      </c>
      <c r="H415">
        <f t="shared" si="13"/>
        <v>0.50182260024301339</v>
      </c>
      <c r="I415">
        <f t="shared" si="12"/>
        <v>3</v>
      </c>
    </row>
    <row r="416" spans="1:9" ht="60" x14ac:dyDescent="0.25">
      <c r="A416" t="s">
        <v>3771</v>
      </c>
      <c r="B416">
        <v>80816</v>
      </c>
      <c r="C416">
        <v>2170</v>
      </c>
      <c r="F416" s="4" t="s">
        <v>3635</v>
      </c>
      <c r="G416">
        <v>0.35409340300309577</v>
      </c>
      <c r="H416">
        <f t="shared" si="13"/>
        <v>0.50303766707168895</v>
      </c>
      <c r="I416">
        <f t="shared" si="12"/>
        <v>3</v>
      </c>
    </row>
    <row r="417" spans="1:9" ht="60" x14ac:dyDescent="0.25">
      <c r="A417" t="s">
        <v>3695</v>
      </c>
      <c r="B417">
        <v>80871</v>
      </c>
      <c r="C417">
        <v>1526</v>
      </c>
      <c r="F417" s="4" t="s">
        <v>3638</v>
      </c>
      <c r="G417">
        <v>0.35439591516039726</v>
      </c>
      <c r="H417">
        <f t="shared" si="13"/>
        <v>0.50425273390036451</v>
      </c>
      <c r="I417">
        <f t="shared" si="12"/>
        <v>3</v>
      </c>
    </row>
    <row r="418" spans="1:9" ht="60" x14ac:dyDescent="0.25">
      <c r="A418" t="s">
        <v>3772</v>
      </c>
      <c r="B418">
        <v>80882</v>
      </c>
      <c r="C418">
        <v>1944</v>
      </c>
      <c r="F418" s="4" t="s">
        <v>3773</v>
      </c>
      <c r="G418">
        <v>0.35456040491710661</v>
      </c>
      <c r="H418">
        <f t="shared" si="13"/>
        <v>0.50546780072904007</v>
      </c>
      <c r="I418">
        <f t="shared" si="12"/>
        <v>3</v>
      </c>
    </row>
    <row r="419" spans="1:9" ht="60" x14ac:dyDescent="0.25">
      <c r="A419" t="s">
        <v>3488</v>
      </c>
      <c r="B419">
        <v>81016</v>
      </c>
      <c r="C419">
        <v>1407</v>
      </c>
      <c r="F419" s="4" t="s">
        <v>3774</v>
      </c>
      <c r="G419">
        <v>0.35485522350125986</v>
      </c>
      <c r="H419">
        <f t="shared" si="13"/>
        <v>0.50668286755771563</v>
      </c>
      <c r="I419">
        <f t="shared" si="12"/>
        <v>3</v>
      </c>
    </row>
    <row r="420" spans="1:9" ht="60" x14ac:dyDescent="0.25">
      <c r="A420" t="s">
        <v>3775</v>
      </c>
      <c r="B420">
        <v>81154</v>
      </c>
      <c r="C420">
        <v>1520</v>
      </c>
      <c r="F420" s="4" t="s">
        <v>3776</v>
      </c>
      <c r="G420">
        <v>0.3550180277174077</v>
      </c>
      <c r="H420">
        <f t="shared" si="13"/>
        <v>0.5078979343863913</v>
      </c>
      <c r="I420">
        <f t="shared" si="12"/>
        <v>3</v>
      </c>
    </row>
    <row r="421" spans="1:9" ht="60" x14ac:dyDescent="0.25">
      <c r="A421" t="s">
        <v>3777</v>
      </c>
      <c r="B421">
        <v>81163</v>
      </c>
      <c r="C421">
        <v>1602</v>
      </c>
      <c r="F421" s="4" t="s">
        <v>3370</v>
      </c>
      <c r="G421">
        <v>0.35511274278374272</v>
      </c>
      <c r="H421">
        <f t="shared" si="13"/>
        <v>0.50911300121506686</v>
      </c>
      <c r="I421">
        <f t="shared" si="12"/>
        <v>3</v>
      </c>
    </row>
    <row r="422" spans="1:9" ht="60" x14ac:dyDescent="0.25">
      <c r="A422" t="s">
        <v>3670</v>
      </c>
      <c r="B422">
        <v>81250</v>
      </c>
      <c r="C422">
        <v>1352</v>
      </c>
      <c r="F422" s="4" t="s">
        <v>3712</v>
      </c>
      <c r="G422">
        <v>0.35513007218702008</v>
      </c>
      <c r="H422">
        <f t="shared" si="13"/>
        <v>0.51032806804374242</v>
      </c>
      <c r="I422">
        <f t="shared" si="12"/>
        <v>3</v>
      </c>
    </row>
    <row r="423" spans="1:9" ht="60" x14ac:dyDescent="0.25">
      <c r="A423" t="s">
        <v>3778</v>
      </c>
      <c r="B423">
        <v>81270</v>
      </c>
      <c r="C423">
        <v>1503</v>
      </c>
      <c r="F423" s="4" t="s">
        <v>3715</v>
      </c>
      <c r="G423">
        <v>0.35534127687553385</v>
      </c>
      <c r="H423">
        <f t="shared" si="13"/>
        <v>0.51154313487241798</v>
      </c>
      <c r="I423">
        <f t="shared" si="12"/>
        <v>3</v>
      </c>
    </row>
    <row r="424" spans="1:9" ht="45" x14ac:dyDescent="0.25">
      <c r="A424" t="s">
        <v>3779</v>
      </c>
      <c r="B424">
        <v>81316</v>
      </c>
      <c r="C424">
        <v>1846</v>
      </c>
      <c r="F424" s="4" t="s">
        <v>3780</v>
      </c>
      <c r="G424">
        <v>0.35560813167936067</v>
      </c>
      <c r="H424">
        <f t="shared" si="13"/>
        <v>0.51275820170109354</v>
      </c>
      <c r="I424">
        <f t="shared" si="12"/>
        <v>3</v>
      </c>
    </row>
    <row r="425" spans="1:9" ht="60" x14ac:dyDescent="0.25">
      <c r="A425" t="s">
        <v>3781</v>
      </c>
      <c r="B425">
        <v>81474</v>
      </c>
      <c r="C425">
        <v>1767</v>
      </c>
      <c r="F425" s="4" t="s">
        <v>3782</v>
      </c>
      <c r="G425">
        <v>0.35565153491463425</v>
      </c>
      <c r="H425">
        <f t="shared" si="13"/>
        <v>0.5139732685297691</v>
      </c>
      <c r="I425">
        <f t="shared" si="12"/>
        <v>3</v>
      </c>
    </row>
    <row r="426" spans="1:9" ht="60" x14ac:dyDescent="0.25">
      <c r="A426" t="s">
        <v>3656</v>
      </c>
      <c r="B426">
        <v>81641</v>
      </c>
      <c r="C426">
        <v>1413</v>
      </c>
      <c r="F426" s="4" t="s">
        <v>3645</v>
      </c>
      <c r="G426">
        <v>0.35635708512694464</v>
      </c>
      <c r="H426">
        <f t="shared" si="13"/>
        <v>0.51518833535844466</v>
      </c>
      <c r="I426">
        <f t="shared" si="12"/>
        <v>3</v>
      </c>
    </row>
    <row r="427" spans="1:9" ht="60" x14ac:dyDescent="0.25">
      <c r="A427" t="s">
        <v>3783</v>
      </c>
      <c r="B427">
        <v>81667</v>
      </c>
      <c r="C427">
        <v>1853</v>
      </c>
      <c r="F427" s="4" t="s">
        <v>3497</v>
      </c>
      <c r="G427">
        <v>0.35643170715421529</v>
      </c>
      <c r="H427">
        <f t="shared" si="13"/>
        <v>0.51640340218712033</v>
      </c>
      <c r="I427">
        <f t="shared" si="12"/>
        <v>3</v>
      </c>
    </row>
    <row r="428" spans="1:9" ht="60" x14ac:dyDescent="0.25">
      <c r="A428" t="s">
        <v>3070</v>
      </c>
      <c r="B428">
        <v>81919</v>
      </c>
      <c r="C428">
        <v>1194</v>
      </c>
      <c r="F428" s="4" t="s">
        <v>3784</v>
      </c>
      <c r="G428">
        <v>0.35646335836542858</v>
      </c>
      <c r="H428">
        <f t="shared" si="13"/>
        <v>0.51761846901579589</v>
      </c>
      <c r="I428">
        <f t="shared" si="12"/>
        <v>3</v>
      </c>
    </row>
    <row r="429" spans="1:9" ht="45" x14ac:dyDescent="0.25">
      <c r="A429" t="s">
        <v>3785</v>
      </c>
      <c r="B429">
        <v>82000</v>
      </c>
      <c r="C429">
        <v>1490</v>
      </c>
      <c r="F429" s="4" t="s">
        <v>3786</v>
      </c>
      <c r="G429">
        <v>0.35657456419061168</v>
      </c>
      <c r="H429">
        <f t="shared" si="13"/>
        <v>0.51883353584447145</v>
      </c>
      <c r="I429">
        <f t="shared" si="12"/>
        <v>3</v>
      </c>
    </row>
    <row r="430" spans="1:9" ht="60" x14ac:dyDescent="0.25">
      <c r="A430" t="s">
        <v>3787</v>
      </c>
      <c r="B430">
        <v>82266</v>
      </c>
      <c r="C430">
        <v>1596</v>
      </c>
      <c r="F430" s="4" t="s">
        <v>3788</v>
      </c>
      <c r="G430">
        <v>0.35714946268145759</v>
      </c>
      <c r="H430">
        <f t="shared" si="13"/>
        <v>0.52004860267314701</v>
      </c>
      <c r="I430">
        <f t="shared" si="12"/>
        <v>3</v>
      </c>
    </row>
    <row r="431" spans="1:9" ht="45" x14ac:dyDescent="0.25">
      <c r="A431" t="s">
        <v>3750</v>
      </c>
      <c r="B431">
        <v>82281</v>
      </c>
      <c r="C431">
        <v>1535</v>
      </c>
      <c r="F431" s="4" t="s">
        <v>3789</v>
      </c>
      <c r="G431">
        <v>0.35771112143207862</v>
      </c>
      <c r="H431">
        <f t="shared" si="13"/>
        <v>0.52126366950182257</v>
      </c>
      <c r="I431">
        <f t="shared" si="12"/>
        <v>3</v>
      </c>
    </row>
    <row r="432" spans="1:9" ht="45" x14ac:dyDescent="0.25">
      <c r="A432" t="s">
        <v>3621</v>
      </c>
      <c r="B432">
        <v>82346</v>
      </c>
      <c r="C432">
        <v>1447</v>
      </c>
      <c r="F432" s="4" t="s">
        <v>3790</v>
      </c>
      <c r="G432">
        <v>0.35771129498715615</v>
      </c>
      <c r="H432">
        <f t="shared" si="13"/>
        <v>0.52247873633049813</v>
      </c>
      <c r="I432">
        <f t="shared" si="12"/>
        <v>3</v>
      </c>
    </row>
    <row r="433" spans="1:9" ht="60" x14ac:dyDescent="0.25">
      <c r="A433" t="s">
        <v>3100</v>
      </c>
      <c r="B433">
        <v>82355</v>
      </c>
      <c r="C433">
        <v>1487</v>
      </c>
      <c r="F433" s="4" t="s">
        <v>3587</v>
      </c>
      <c r="G433">
        <v>0.35783340022692373</v>
      </c>
      <c r="H433">
        <f t="shared" si="13"/>
        <v>0.5236938031591738</v>
      </c>
      <c r="I433">
        <f t="shared" si="12"/>
        <v>3</v>
      </c>
    </row>
    <row r="434" spans="1:9" ht="75" x14ac:dyDescent="0.25">
      <c r="A434" t="s">
        <v>3126</v>
      </c>
      <c r="B434">
        <v>82364</v>
      </c>
      <c r="C434">
        <v>1283</v>
      </c>
      <c r="F434" s="4" t="s">
        <v>3791</v>
      </c>
      <c r="G434">
        <v>0.35789574354791015</v>
      </c>
      <c r="H434">
        <f t="shared" si="13"/>
        <v>0.52490886998784936</v>
      </c>
      <c r="I434">
        <f t="shared" si="12"/>
        <v>3</v>
      </c>
    </row>
    <row r="435" spans="1:9" ht="60" x14ac:dyDescent="0.25">
      <c r="A435" t="s">
        <v>3262</v>
      </c>
      <c r="B435">
        <v>82436</v>
      </c>
      <c r="C435">
        <v>1366</v>
      </c>
      <c r="F435" s="4" t="s">
        <v>3603</v>
      </c>
      <c r="G435">
        <v>0.35815209407861898</v>
      </c>
      <c r="H435">
        <f t="shared" si="13"/>
        <v>0.52612393681652492</v>
      </c>
      <c r="I435">
        <f t="shared" si="12"/>
        <v>3</v>
      </c>
    </row>
    <row r="436" spans="1:9" ht="60" x14ac:dyDescent="0.25">
      <c r="A436" t="s">
        <v>3375</v>
      </c>
      <c r="B436">
        <v>82454</v>
      </c>
      <c r="C436">
        <v>1312</v>
      </c>
      <c r="F436" s="4" t="s">
        <v>3518</v>
      </c>
      <c r="G436">
        <v>0.35817919568180723</v>
      </c>
      <c r="H436">
        <f t="shared" si="13"/>
        <v>0.52733900364520048</v>
      </c>
      <c r="I436">
        <f t="shared" si="12"/>
        <v>3</v>
      </c>
    </row>
    <row r="437" spans="1:9" ht="60" x14ac:dyDescent="0.25">
      <c r="A437" t="s">
        <v>3773</v>
      </c>
      <c r="B437">
        <v>82688</v>
      </c>
      <c r="C437">
        <v>1536</v>
      </c>
      <c r="F437" s="4" t="s">
        <v>3792</v>
      </c>
      <c r="G437">
        <v>0.35826151824050068</v>
      </c>
      <c r="H437">
        <f t="shared" si="13"/>
        <v>0.52855407047387604</v>
      </c>
      <c r="I437">
        <f t="shared" si="12"/>
        <v>3</v>
      </c>
    </row>
    <row r="438" spans="1:9" ht="60" x14ac:dyDescent="0.25">
      <c r="A438" t="s">
        <v>3306</v>
      </c>
      <c r="B438">
        <v>82702</v>
      </c>
      <c r="C438">
        <v>1362</v>
      </c>
      <c r="F438" s="4" t="s">
        <v>3516</v>
      </c>
      <c r="G438">
        <v>0.35829654263183663</v>
      </c>
      <c r="H438">
        <f t="shared" si="13"/>
        <v>0.5297691373025516</v>
      </c>
      <c r="I438">
        <f t="shared" si="12"/>
        <v>3</v>
      </c>
    </row>
    <row r="439" spans="1:9" ht="60" x14ac:dyDescent="0.25">
      <c r="A439" t="s">
        <v>3767</v>
      </c>
      <c r="B439">
        <v>82753</v>
      </c>
      <c r="C439">
        <v>1441</v>
      </c>
      <c r="F439" s="4" t="s">
        <v>3364</v>
      </c>
      <c r="G439">
        <v>0.35879150942270865</v>
      </c>
      <c r="H439">
        <f t="shared" si="13"/>
        <v>0.53098420413122727</v>
      </c>
      <c r="I439">
        <f t="shared" si="12"/>
        <v>3</v>
      </c>
    </row>
    <row r="440" spans="1:9" ht="60" x14ac:dyDescent="0.25">
      <c r="A440" t="s">
        <v>3280</v>
      </c>
      <c r="B440">
        <v>82790</v>
      </c>
      <c r="C440">
        <v>1302</v>
      </c>
      <c r="F440" s="4" t="s">
        <v>3696</v>
      </c>
      <c r="G440">
        <v>0.35932612060060815</v>
      </c>
      <c r="H440">
        <f t="shared" si="13"/>
        <v>0.53219927095990283</v>
      </c>
      <c r="I440">
        <f t="shared" si="12"/>
        <v>3</v>
      </c>
    </row>
    <row r="441" spans="1:9" ht="60" x14ac:dyDescent="0.25">
      <c r="A441" t="s">
        <v>3761</v>
      </c>
      <c r="B441">
        <v>82841</v>
      </c>
      <c r="C441">
        <v>1662</v>
      </c>
      <c r="F441" s="4" t="s">
        <v>3448</v>
      </c>
      <c r="G441">
        <v>0.35938685939947734</v>
      </c>
      <c r="H441">
        <f t="shared" si="13"/>
        <v>0.53341433778857839</v>
      </c>
      <c r="I441">
        <f t="shared" si="12"/>
        <v>3</v>
      </c>
    </row>
    <row r="442" spans="1:9" ht="60" x14ac:dyDescent="0.25">
      <c r="A442" t="s">
        <v>3268</v>
      </c>
      <c r="B442">
        <v>83039</v>
      </c>
      <c r="C442">
        <v>1304</v>
      </c>
      <c r="F442" s="4" t="s">
        <v>3572</v>
      </c>
      <c r="G442">
        <v>0.35950637880485103</v>
      </c>
      <c r="H442">
        <f t="shared" si="13"/>
        <v>0.53462940461725394</v>
      </c>
      <c r="I442">
        <f t="shared" si="12"/>
        <v>3</v>
      </c>
    </row>
    <row r="443" spans="1:9" ht="60" x14ac:dyDescent="0.25">
      <c r="A443" t="s">
        <v>3072</v>
      </c>
      <c r="B443">
        <v>83345</v>
      </c>
      <c r="C443">
        <v>1133</v>
      </c>
      <c r="F443" s="4" t="s">
        <v>3723</v>
      </c>
      <c r="G443">
        <v>0.35953321500229962</v>
      </c>
      <c r="H443">
        <f t="shared" si="13"/>
        <v>0.5358444714459295</v>
      </c>
      <c r="I443">
        <f t="shared" si="12"/>
        <v>3</v>
      </c>
    </row>
    <row r="444" spans="1:9" ht="60" x14ac:dyDescent="0.25">
      <c r="A444" t="s">
        <v>3793</v>
      </c>
      <c r="B444">
        <v>83672</v>
      </c>
      <c r="C444">
        <v>2127</v>
      </c>
      <c r="F444" s="4" t="s">
        <v>3794</v>
      </c>
      <c r="G444">
        <v>0.3598394843266684</v>
      </c>
      <c r="H444">
        <f t="shared" si="13"/>
        <v>0.53705953827460506</v>
      </c>
      <c r="I444">
        <f t="shared" si="12"/>
        <v>3</v>
      </c>
    </row>
    <row r="445" spans="1:9" ht="60" x14ac:dyDescent="0.25">
      <c r="A445" t="s">
        <v>3795</v>
      </c>
      <c r="B445">
        <v>83925</v>
      </c>
      <c r="C445">
        <v>1703</v>
      </c>
      <c r="F445" s="4" t="s">
        <v>3796</v>
      </c>
      <c r="G445">
        <v>0.35998583330460726</v>
      </c>
      <c r="H445">
        <f t="shared" si="13"/>
        <v>0.53827460510328073</v>
      </c>
      <c r="I445">
        <f t="shared" si="12"/>
        <v>3</v>
      </c>
    </row>
    <row r="446" spans="1:9" ht="60" x14ac:dyDescent="0.25">
      <c r="A446" t="s">
        <v>3708</v>
      </c>
      <c r="B446">
        <v>83929</v>
      </c>
      <c r="C446">
        <v>1576</v>
      </c>
      <c r="F446" s="4" t="s">
        <v>3744</v>
      </c>
      <c r="G446">
        <v>0.36026186104446861</v>
      </c>
      <c r="H446">
        <f t="shared" si="13"/>
        <v>0.53948967193195629</v>
      </c>
      <c r="I446">
        <f t="shared" si="12"/>
        <v>3</v>
      </c>
    </row>
    <row r="447" spans="1:9" ht="60" x14ac:dyDescent="0.25">
      <c r="A447" t="s">
        <v>3765</v>
      </c>
      <c r="B447">
        <v>84167</v>
      </c>
      <c r="C447">
        <v>1524</v>
      </c>
      <c r="F447" s="4" t="s">
        <v>3797</v>
      </c>
      <c r="G447">
        <v>0.36044476991388291</v>
      </c>
      <c r="H447">
        <f t="shared" si="13"/>
        <v>0.54070473876063185</v>
      </c>
      <c r="I447">
        <f t="shared" si="12"/>
        <v>3</v>
      </c>
    </row>
    <row r="448" spans="1:9" ht="60" x14ac:dyDescent="0.25">
      <c r="A448" t="s">
        <v>3798</v>
      </c>
      <c r="B448">
        <v>84340</v>
      </c>
      <c r="C448">
        <v>1665</v>
      </c>
      <c r="F448" s="4" t="s">
        <v>3548</v>
      </c>
      <c r="G448">
        <v>0.36050710943202718</v>
      </c>
      <c r="H448">
        <f t="shared" si="13"/>
        <v>0.54191980558930741</v>
      </c>
      <c r="I448">
        <f t="shared" si="12"/>
        <v>3</v>
      </c>
    </row>
    <row r="449" spans="1:9" ht="60" x14ac:dyDescent="0.25">
      <c r="A449" t="s">
        <v>3230</v>
      </c>
      <c r="B449">
        <v>84625</v>
      </c>
      <c r="C449">
        <v>1323</v>
      </c>
      <c r="F449" s="4" t="s">
        <v>3799</v>
      </c>
      <c r="G449">
        <v>0.36051414327986364</v>
      </c>
      <c r="H449">
        <f t="shared" si="13"/>
        <v>0.54313487241798297</v>
      </c>
      <c r="I449">
        <f t="shared" si="12"/>
        <v>3</v>
      </c>
    </row>
    <row r="450" spans="1:9" ht="45" x14ac:dyDescent="0.25">
      <c r="A450" t="s">
        <v>3674</v>
      </c>
      <c r="B450">
        <v>84648</v>
      </c>
      <c r="C450">
        <v>1460</v>
      </c>
      <c r="F450" s="4" t="s">
        <v>3800</v>
      </c>
      <c r="G450">
        <v>0.36079198565082965</v>
      </c>
      <c r="H450">
        <f t="shared" si="13"/>
        <v>0.54434993924665853</v>
      </c>
      <c r="I450">
        <f t="shared" si="12"/>
        <v>3</v>
      </c>
    </row>
    <row r="451" spans="1:9" ht="60" x14ac:dyDescent="0.25">
      <c r="A451" t="s">
        <v>3801</v>
      </c>
      <c r="B451">
        <v>84688</v>
      </c>
      <c r="C451">
        <v>1663</v>
      </c>
      <c r="F451" s="4" t="s">
        <v>3329</v>
      </c>
      <c r="G451">
        <v>0.3608430987693752</v>
      </c>
      <c r="H451">
        <f t="shared" si="13"/>
        <v>0.54556500607533409</v>
      </c>
      <c r="I451">
        <f t="shared" ref="I451:I514" si="14">IF(H451&lt;0.2,1,IF(H451&lt;0.4,2,IF(H451&lt;0.6,3,IF(H451&lt;0.8,4,5))))</f>
        <v>3</v>
      </c>
    </row>
    <row r="452" spans="1:9" ht="60" x14ac:dyDescent="0.25">
      <c r="A452" t="s">
        <v>3505</v>
      </c>
      <c r="B452">
        <v>84779</v>
      </c>
      <c r="C452">
        <v>1355</v>
      </c>
      <c r="F452" s="4" t="s">
        <v>3802</v>
      </c>
      <c r="G452">
        <v>0.36123480228241939</v>
      </c>
      <c r="H452">
        <f t="shared" ref="H452:H515" si="15">_xlfn.RANK.EQ(G452,$G$3:$G$825,1)/COUNT($G$3:$G$825)</f>
        <v>0.54678007290400976</v>
      </c>
      <c r="I452">
        <f t="shared" si="14"/>
        <v>3</v>
      </c>
    </row>
    <row r="453" spans="1:9" ht="60" x14ac:dyDescent="0.25">
      <c r="A453" t="s">
        <v>3188</v>
      </c>
      <c r="B453">
        <v>84837</v>
      </c>
      <c r="C453">
        <v>1408</v>
      </c>
      <c r="F453" s="4" t="s">
        <v>3803</v>
      </c>
      <c r="G453">
        <v>0.36145955819250386</v>
      </c>
      <c r="H453">
        <f t="shared" si="15"/>
        <v>0.54799513973268532</v>
      </c>
      <c r="I453">
        <f t="shared" si="14"/>
        <v>3</v>
      </c>
    </row>
    <row r="454" spans="1:9" ht="60" x14ac:dyDescent="0.25">
      <c r="A454" t="s">
        <v>3804</v>
      </c>
      <c r="B454">
        <v>85024</v>
      </c>
      <c r="C454">
        <v>1689</v>
      </c>
      <c r="F454" s="4" t="s">
        <v>3737</v>
      </c>
      <c r="G454">
        <v>0.36211599095746783</v>
      </c>
      <c r="H454">
        <f t="shared" si="15"/>
        <v>0.54921020656136088</v>
      </c>
      <c r="I454">
        <f t="shared" si="14"/>
        <v>3</v>
      </c>
    </row>
    <row r="455" spans="1:9" ht="60" x14ac:dyDescent="0.25">
      <c r="A455" t="s">
        <v>3575</v>
      </c>
      <c r="B455">
        <v>85052</v>
      </c>
      <c r="C455">
        <v>1432</v>
      </c>
      <c r="F455" s="4" t="s">
        <v>3764</v>
      </c>
      <c r="G455">
        <v>0.36213887479758911</v>
      </c>
      <c r="H455">
        <f t="shared" si="15"/>
        <v>0.55042527339003644</v>
      </c>
      <c r="I455">
        <f t="shared" si="14"/>
        <v>3</v>
      </c>
    </row>
    <row r="456" spans="1:9" ht="60" x14ac:dyDescent="0.25">
      <c r="A456" t="s">
        <v>3449</v>
      </c>
      <c r="B456">
        <v>85216</v>
      </c>
      <c r="C456">
        <v>1349</v>
      </c>
      <c r="F456" s="4" t="s">
        <v>3281</v>
      </c>
      <c r="G456">
        <v>0.36219754160920953</v>
      </c>
      <c r="H456">
        <f t="shared" si="15"/>
        <v>0.551640340218712</v>
      </c>
      <c r="I456">
        <f t="shared" si="14"/>
        <v>3</v>
      </c>
    </row>
    <row r="457" spans="1:9" ht="60" x14ac:dyDescent="0.25">
      <c r="A457" t="s">
        <v>3176</v>
      </c>
      <c r="B457">
        <v>85347</v>
      </c>
      <c r="C457">
        <v>1256</v>
      </c>
      <c r="F457" s="4" t="s">
        <v>3805</v>
      </c>
      <c r="G457">
        <v>0.36240682743548785</v>
      </c>
      <c r="H457">
        <f t="shared" si="15"/>
        <v>0.55285540704738756</v>
      </c>
      <c r="I457">
        <f t="shared" si="14"/>
        <v>3</v>
      </c>
    </row>
    <row r="458" spans="1:9" ht="60" x14ac:dyDescent="0.25">
      <c r="A458" t="s">
        <v>3146</v>
      </c>
      <c r="B458">
        <v>85378</v>
      </c>
      <c r="C458">
        <v>1363</v>
      </c>
      <c r="F458" s="4" t="s">
        <v>3649</v>
      </c>
      <c r="G458">
        <v>0.36294622278640765</v>
      </c>
      <c r="H458">
        <f t="shared" si="15"/>
        <v>0.55407047387606323</v>
      </c>
      <c r="I458">
        <f t="shared" si="14"/>
        <v>3</v>
      </c>
    </row>
    <row r="459" spans="1:9" ht="45" x14ac:dyDescent="0.25">
      <c r="A459" t="s">
        <v>3651</v>
      </c>
      <c r="B459">
        <v>85406</v>
      </c>
      <c r="C459">
        <v>1464</v>
      </c>
      <c r="F459" s="4" t="s">
        <v>3806</v>
      </c>
      <c r="G459">
        <v>0.36317299244451812</v>
      </c>
      <c r="H459">
        <f t="shared" si="15"/>
        <v>0.55528554070473879</v>
      </c>
      <c r="I459">
        <f t="shared" si="14"/>
        <v>3</v>
      </c>
    </row>
    <row r="460" spans="1:9" ht="60" x14ac:dyDescent="0.25">
      <c r="A460" t="s">
        <v>3616</v>
      </c>
      <c r="B460">
        <v>85406</v>
      </c>
      <c r="C460">
        <v>1408</v>
      </c>
      <c r="F460" s="4" t="s">
        <v>3533</v>
      </c>
      <c r="G460">
        <v>0.36325147296211141</v>
      </c>
      <c r="H460">
        <f t="shared" si="15"/>
        <v>0.55650060753341435</v>
      </c>
      <c r="I460">
        <f t="shared" si="14"/>
        <v>3</v>
      </c>
    </row>
    <row r="461" spans="1:9" ht="75" x14ac:dyDescent="0.25">
      <c r="A461" t="s">
        <v>3807</v>
      </c>
      <c r="B461">
        <v>85420</v>
      </c>
      <c r="C461">
        <v>2014</v>
      </c>
      <c r="F461" s="4" t="s">
        <v>3702</v>
      </c>
      <c r="G461">
        <v>0.36326780615343668</v>
      </c>
      <c r="H461">
        <f t="shared" si="15"/>
        <v>0.55771567436208991</v>
      </c>
      <c r="I461">
        <f t="shared" si="14"/>
        <v>3</v>
      </c>
    </row>
    <row r="462" spans="1:9" ht="60" x14ac:dyDescent="0.25">
      <c r="A462" t="s">
        <v>3602</v>
      </c>
      <c r="B462">
        <v>85446</v>
      </c>
      <c r="C462">
        <v>1448</v>
      </c>
      <c r="F462" s="4" t="s">
        <v>3808</v>
      </c>
      <c r="G462">
        <v>0.36337337937525876</v>
      </c>
      <c r="H462">
        <f t="shared" si="15"/>
        <v>0.55893074119076547</v>
      </c>
      <c r="I462">
        <f t="shared" si="14"/>
        <v>3</v>
      </c>
    </row>
    <row r="463" spans="1:9" ht="60" x14ac:dyDescent="0.25">
      <c r="A463" t="s">
        <v>3663</v>
      </c>
      <c r="B463">
        <v>85524</v>
      </c>
      <c r="C463">
        <v>1496</v>
      </c>
      <c r="F463" s="4" t="s">
        <v>3710</v>
      </c>
      <c r="G463">
        <v>0.36397945898499751</v>
      </c>
      <c r="H463">
        <f t="shared" si="15"/>
        <v>0.56014580801944103</v>
      </c>
      <c r="I463">
        <f t="shared" si="14"/>
        <v>3</v>
      </c>
    </row>
    <row r="464" spans="1:9" ht="60" x14ac:dyDescent="0.25">
      <c r="A464" t="s">
        <v>3118</v>
      </c>
      <c r="B464">
        <v>85536</v>
      </c>
      <c r="C464">
        <v>1238</v>
      </c>
      <c r="F464" s="4" t="s">
        <v>3809</v>
      </c>
      <c r="G464">
        <v>0.36406223093132933</v>
      </c>
      <c r="H464">
        <f t="shared" si="15"/>
        <v>0.5613608748481167</v>
      </c>
      <c r="I464">
        <f t="shared" si="14"/>
        <v>3</v>
      </c>
    </row>
    <row r="465" spans="1:9" ht="60" x14ac:dyDescent="0.25">
      <c r="A465" t="s">
        <v>3573</v>
      </c>
      <c r="B465">
        <v>85960</v>
      </c>
      <c r="C465">
        <v>1509</v>
      </c>
      <c r="F465" s="4" t="s">
        <v>3659</v>
      </c>
      <c r="G465">
        <v>0.36407349133579897</v>
      </c>
      <c r="H465">
        <f t="shared" si="15"/>
        <v>0.56257594167679226</v>
      </c>
      <c r="I465">
        <f t="shared" si="14"/>
        <v>3</v>
      </c>
    </row>
    <row r="466" spans="1:9" ht="60" x14ac:dyDescent="0.25">
      <c r="A466" t="s">
        <v>3284</v>
      </c>
      <c r="B466">
        <v>86009</v>
      </c>
      <c r="C466">
        <v>1409</v>
      </c>
      <c r="F466" s="4" t="s">
        <v>3759</v>
      </c>
      <c r="G466">
        <v>0.36448717270218284</v>
      </c>
      <c r="H466">
        <f t="shared" si="15"/>
        <v>0.56379100850546782</v>
      </c>
      <c r="I466">
        <f t="shared" si="14"/>
        <v>3</v>
      </c>
    </row>
    <row r="467" spans="1:9" ht="60" x14ac:dyDescent="0.25">
      <c r="A467" t="s">
        <v>3397</v>
      </c>
      <c r="B467">
        <v>86053</v>
      </c>
      <c r="C467">
        <v>1378</v>
      </c>
      <c r="F467" s="4" t="s">
        <v>3810</v>
      </c>
      <c r="G467">
        <v>0.36484317007438843</v>
      </c>
      <c r="H467">
        <f t="shared" si="15"/>
        <v>0.56500607533414338</v>
      </c>
      <c r="I467">
        <f t="shared" si="14"/>
        <v>3</v>
      </c>
    </row>
    <row r="468" spans="1:9" ht="60" x14ac:dyDescent="0.25">
      <c r="A468" t="s">
        <v>3549</v>
      </c>
      <c r="B468">
        <v>86119</v>
      </c>
      <c r="C468">
        <v>1538</v>
      </c>
      <c r="F468" s="4" t="s">
        <v>3762</v>
      </c>
      <c r="G468">
        <v>0.36512327458179844</v>
      </c>
      <c r="H468">
        <f t="shared" si="15"/>
        <v>0.56622114216281894</v>
      </c>
      <c r="I468">
        <f t="shared" si="14"/>
        <v>3</v>
      </c>
    </row>
    <row r="469" spans="1:9" ht="60" x14ac:dyDescent="0.25">
      <c r="A469" t="s">
        <v>3308</v>
      </c>
      <c r="B469">
        <v>86384</v>
      </c>
      <c r="C469">
        <v>1376</v>
      </c>
      <c r="F469" s="4" t="s">
        <v>3775</v>
      </c>
      <c r="G469">
        <v>0.36587930067878188</v>
      </c>
      <c r="H469">
        <f t="shared" si="15"/>
        <v>0.5674362089914945</v>
      </c>
      <c r="I469">
        <f t="shared" si="14"/>
        <v>3</v>
      </c>
    </row>
    <row r="470" spans="1:9" ht="60" x14ac:dyDescent="0.25">
      <c r="A470" t="s">
        <v>3776</v>
      </c>
      <c r="B470">
        <v>86651</v>
      </c>
      <c r="C470">
        <v>1596</v>
      </c>
      <c r="F470" s="4" t="s">
        <v>3778</v>
      </c>
      <c r="G470">
        <v>0.36601123693190663</v>
      </c>
      <c r="H470">
        <f t="shared" si="15"/>
        <v>0.56865127582017005</v>
      </c>
      <c r="I470">
        <f t="shared" si="14"/>
        <v>3</v>
      </c>
    </row>
    <row r="471" spans="1:9" ht="60" x14ac:dyDescent="0.25">
      <c r="A471" t="s">
        <v>3811</v>
      </c>
      <c r="B471">
        <v>86705</v>
      </c>
      <c r="C471">
        <v>1908</v>
      </c>
      <c r="F471" s="4" t="s">
        <v>3458</v>
      </c>
      <c r="G471">
        <v>0.36615959289812222</v>
      </c>
      <c r="H471">
        <f t="shared" si="15"/>
        <v>0.56986634264884573</v>
      </c>
      <c r="I471">
        <f t="shared" si="14"/>
        <v>3</v>
      </c>
    </row>
    <row r="472" spans="1:9" ht="60" x14ac:dyDescent="0.25">
      <c r="A472" t="s">
        <v>3244</v>
      </c>
      <c r="B472">
        <v>86714</v>
      </c>
      <c r="C472">
        <v>1345</v>
      </c>
      <c r="F472" s="4" t="s">
        <v>3686</v>
      </c>
      <c r="G472">
        <v>0.36638724187282762</v>
      </c>
      <c r="H472">
        <f t="shared" si="15"/>
        <v>0.57108140947752128</v>
      </c>
      <c r="I472">
        <f t="shared" si="14"/>
        <v>3</v>
      </c>
    </row>
    <row r="473" spans="1:9" ht="45" x14ac:dyDescent="0.25">
      <c r="A473" t="s">
        <v>3182</v>
      </c>
      <c r="B473">
        <v>86821</v>
      </c>
      <c r="C473">
        <v>1307</v>
      </c>
      <c r="F473" s="4" t="s">
        <v>3812</v>
      </c>
      <c r="G473">
        <v>0.3669102277877806</v>
      </c>
      <c r="H473">
        <f t="shared" si="15"/>
        <v>0.57229647630619684</v>
      </c>
      <c r="I473">
        <f t="shared" si="14"/>
        <v>3</v>
      </c>
    </row>
    <row r="474" spans="1:9" ht="60" x14ac:dyDescent="0.25">
      <c r="A474" t="s">
        <v>3302</v>
      </c>
      <c r="B474">
        <v>86983</v>
      </c>
      <c r="C474">
        <v>1426</v>
      </c>
      <c r="F474" s="4" t="s">
        <v>3777</v>
      </c>
      <c r="G474">
        <v>0.36693681528524763</v>
      </c>
      <c r="H474">
        <f t="shared" si="15"/>
        <v>0.5735115431348724</v>
      </c>
      <c r="I474">
        <f t="shared" si="14"/>
        <v>3</v>
      </c>
    </row>
    <row r="475" spans="1:9" ht="60" x14ac:dyDescent="0.25">
      <c r="A475" t="s">
        <v>3791</v>
      </c>
      <c r="B475">
        <v>87039</v>
      </c>
      <c r="C475">
        <v>1574</v>
      </c>
      <c r="F475" s="4" t="s">
        <v>3261</v>
      </c>
      <c r="G475">
        <v>0.36700145032914899</v>
      </c>
      <c r="H475">
        <f t="shared" si="15"/>
        <v>0.57472660996354796</v>
      </c>
      <c r="I475">
        <f t="shared" si="14"/>
        <v>3</v>
      </c>
    </row>
    <row r="476" spans="1:9" ht="60" x14ac:dyDescent="0.25">
      <c r="A476" t="s">
        <v>3757</v>
      </c>
      <c r="B476">
        <v>87227</v>
      </c>
      <c r="C476">
        <v>1786</v>
      </c>
      <c r="F476" s="4" t="s">
        <v>3813</v>
      </c>
      <c r="G476">
        <v>0.36736530119258792</v>
      </c>
      <c r="H476">
        <f t="shared" si="15"/>
        <v>0.57594167679222352</v>
      </c>
      <c r="I476">
        <f t="shared" si="14"/>
        <v>3</v>
      </c>
    </row>
    <row r="477" spans="1:9" ht="60" x14ac:dyDescent="0.25">
      <c r="A477" t="s">
        <v>3730</v>
      </c>
      <c r="B477">
        <v>87308</v>
      </c>
      <c r="C477">
        <v>1569</v>
      </c>
      <c r="F477" s="4" t="s">
        <v>3814</v>
      </c>
      <c r="G477">
        <v>0.36759767409960559</v>
      </c>
      <c r="H477">
        <f t="shared" si="15"/>
        <v>0.57715674362089919</v>
      </c>
      <c r="I477">
        <f t="shared" si="14"/>
        <v>3</v>
      </c>
    </row>
    <row r="478" spans="1:9" ht="60" x14ac:dyDescent="0.25">
      <c r="A478" t="s">
        <v>3348</v>
      </c>
      <c r="B478">
        <v>87500</v>
      </c>
      <c r="C478">
        <v>1458</v>
      </c>
      <c r="F478" s="4" t="s">
        <v>3679</v>
      </c>
      <c r="G478">
        <v>0.36760929243239299</v>
      </c>
      <c r="H478">
        <f t="shared" si="15"/>
        <v>0.57837181044957475</v>
      </c>
      <c r="I478">
        <f t="shared" si="14"/>
        <v>3</v>
      </c>
    </row>
    <row r="479" spans="1:9" ht="60" x14ac:dyDescent="0.25">
      <c r="A479" t="s">
        <v>3300</v>
      </c>
      <c r="B479">
        <v>87604</v>
      </c>
      <c r="C479">
        <v>1297</v>
      </c>
      <c r="F479" s="4" t="s">
        <v>3815</v>
      </c>
      <c r="G479">
        <v>0.36768624669000227</v>
      </c>
      <c r="H479">
        <f t="shared" si="15"/>
        <v>0.57958687727825031</v>
      </c>
      <c r="I479">
        <f t="shared" si="14"/>
        <v>3</v>
      </c>
    </row>
    <row r="480" spans="1:9" ht="60" x14ac:dyDescent="0.25">
      <c r="A480" t="s">
        <v>3733</v>
      </c>
      <c r="B480">
        <v>87647</v>
      </c>
      <c r="C480">
        <v>1661</v>
      </c>
      <c r="F480" s="4" t="s">
        <v>3542</v>
      </c>
      <c r="G480">
        <v>0.36770101858148313</v>
      </c>
      <c r="H480">
        <f t="shared" si="15"/>
        <v>0.58080194410692587</v>
      </c>
      <c r="I480">
        <f t="shared" si="14"/>
        <v>3</v>
      </c>
    </row>
    <row r="481" spans="1:9" ht="45" x14ac:dyDescent="0.25">
      <c r="A481" t="s">
        <v>3346</v>
      </c>
      <c r="B481">
        <v>87917</v>
      </c>
      <c r="C481">
        <v>1407</v>
      </c>
      <c r="F481" s="4" t="s">
        <v>3816</v>
      </c>
      <c r="G481">
        <v>0.36773511254959701</v>
      </c>
      <c r="H481">
        <f t="shared" si="15"/>
        <v>0.58201701093560143</v>
      </c>
      <c r="I481">
        <f t="shared" si="14"/>
        <v>3</v>
      </c>
    </row>
    <row r="482" spans="1:9" ht="60" x14ac:dyDescent="0.25">
      <c r="A482" t="s">
        <v>3314</v>
      </c>
      <c r="B482">
        <v>88021</v>
      </c>
      <c r="C482">
        <v>1489</v>
      </c>
      <c r="F482" s="4" t="s">
        <v>3817</v>
      </c>
      <c r="G482">
        <v>0.36792641927426001</v>
      </c>
      <c r="H482">
        <f t="shared" si="15"/>
        <v>0.58323207776427699</v>
      </c>
      <c r="I482">
        <f t="shared" si="14"/>
        <v>3</v>
      </c>
    </row>
    <row r="483" spans="1:9" ht="60" x14ac:dyDescent="0.25">
      <c r="A483" t="s">
        <v>3678</v>
      </c>
      <c r="B483">
        <v>88063</v>
      </c>
      <c r="C483">
        <v>1618</v>
      </c>
      <c r="F483" s="4" t="s">
        <v>3331</v>
      </c>
      <c r="G483">
        <v>0.36823604239993979</v>
      </c>
      <c r="H483">
        <f t="shared" si="15"/>
        <v>0.58444714459295266</v>
      </c>
      <c r="I483">
        <f t="shared" si="14"/>
        <v>3</v>
      </c>
    </row>
    <row r="484" spans="1:9" ht="60" x14ac:dyDescent="0.25">
      <c r="A484" t="s">
        <v>3705</v>
      </c>
      <c r="B484">
        <v>88167</v>
      </c>
      <c r="C484">
        <v>1657</v>
      </c>
      <c r="F484" s="4" t="s">
        <v>3727</v>
      </c>
      <c r="G484">
        <v>0.36838046610782854</v>
      </c>
      <c r="H484">
        <f t="shared" si="15"/>
        <v>0.58566221142162822</v>
      </c>
      <c r="I484">
        <f t="shared" si="14"/>
        <v>3</v>
      </c>
    </row>
    <row r="485" spans="1:9" ht="60" x14ac:dyDescent="0.25">
      <c r="A485" t="s">
        <v>3134</v>
      </c>
      <c r="B485">
        <v>88167</v>
      </c>
      <c r="C485">
        <v>1264</v>
      </c>
      <c r="F485" s="4" t="s">
        <v>3596</v>
      </c>
      <c r="G485">
        <v>0.36861132549323533</v>
      </c>
      <c r="H485">
        <f t="shared" si="15"/>
        <v>0.58687727825030378</v>
      </c>
      <c r="I485">
        <f t="shared" si="14"/>
        <v>3</v>
      </c>
    </row>
    <row r="486" spans="1:9" ht="60" x14ac:dyDescent="0.25">
      <c r="A486" t="s">
        <v>3409</v>
      </c>
      <c r="B486">
        <v>88438</v>
      </c>
      <c r="C486">
        <v>1515</v>
      </c>
      <c r="F486" s="4" t="s">
        <v>3499</v>
      </c>
      <c r="G486">
        <v>0.36862632919191285</v>
      </c>
      <c r="H486">
        <f t="shared" si="15"/>
        <v>0.58809234507897934</v>
      </c>
      <c r="I486">
        <f t="shared" si="14"/>
        <v>3</v>
      </c>
    </row>
    <row r="487" spans="1:9" ht="60" x14ac:dyDescent="0.25">
      <c r="A487" t="s">
        <v>3818</v>
      </c>
      <c r="B487">
        <v>88750</v>
      </c>
      <c r="C487">
        <v>1741</v>
      </c>
      <c r="F487" s="4" t="s">
        <v>3785</v>
      </c>
      <c r="G487">
        <v>0.36875394794164051</v>
      </c>
      <c r="H487">
        <f t="shared" si="15"/>
        <v>0.5893074119076549</v>
      </c>
      <c r="I487">
        <f t="shared" si="14"/>
        <v>3</v>
      </c>
    </row>
    <row r="488" spans="1:9" ht="60" x14ac:dyDescent="0.25">
      <c r="A488" t="s">
        <v>3367</v>
      </c>
      <c r="B488">
        <v>88896</v>
      </c>
      <c r="C488">
        <v>1484</v>
      </c>
      <c r="F488" s="4" t="s">
        <v>3297</v>
      </c>
      <c r="G488">
        <v>0.36892712733127836</v>
      </c>
      <c r="H488">
        <f t="shared" si="15"/>
        <v>0.59052247873633046</v>
      </c>
      <c r="I488">
        <f t="shared" si="14"/>
        <v>3</v>
      </c>
    </row>
    <row r="489" spans="1:9" ht="60" x14ac:dyDescent="0.25">
      <c r="A489" t="s">
        <v>3296</v>
      </c>
      <c r="B489">
        <v>89036</v>
      </c>
      <c r="C489">
        <v>1489</v>
      </c>
      <c r="F489" s="4" t="s">
        <v>3787</v>
      </c>
      <c r="G489">
        <v>0.37030025611635387</v>
      </c>
      <c r="H489">
        <f t="shared" si="15"/>
        <v>0.59173754556500613</v>
      </c>
      <c r="I489">
        <f t="shared" si="14"/>
        <v>3</v>
      </c>
    </row>
    <row r="490" spans="1:9" ht="60" x14ac:dyDescent="0.25">
      <c r="A490" t="s">
        <v>3405</v>
      </c>
      <c r="B490">
        <v>89063</v>
      </c>
      <c r="C490">
        <v>1371</v>
      </c>
      <c r="F490" s="4" t="s">
        <v>3801</v>
      </c>
      <c r="G490">
        <v>0.37033955062066898</v>
      </c>
      <c r="H490">
        <f t="shared" si="15"/>
        <v>0.59295261239368169</v>
      </c>
      <c r="I490">
        <f t="shared" si="14"/>
        <v>3</v>
      </c>
    </row>
    <row r="491" spans="1:9" ht="60" x14ac:dyDescent="0.25">
      <c r="A491" t="s">
        <v>3170</v>
      </c>
      <c r="B491">
        <v>89076</v>
      </c>
      <c r="C491">
        <v>1346</v>
      </c>
      <c r="F491" s="4" t="s">
        <v>3589</v>
      </c>
      <c r="G491">
        <v>0.37038313766124809</v>
      </c>
      <c r="H491">
        <f t="shared" si="15"/>
        <v>0.59416767922235725</v>
      </c>
      <c r="I491">
        <f t="shared" si="14"/>
        <v>3</v>
      </c>
    </row>
    <row r="492" spans="1:9" ht="60" x14ac:dyDescent="0.25">
      <c r="A492" t="s">
        <v>3148</v>
      </c>
      <c r="B492">
        <v>89079</v>
      </c>
      <c r="C492">
        <v>1336</v>
      </c>
      <c r="F492" s="4" t="s">
        <v>3769</v>
      </c>
      <c r="G492">
        <v>0.37061379738751926</v>
      </c>
      <c r="H492">
        <f t="shared" si="15"/>
        <v>0.59538274605103281</v>
      </c>
      <c r="I492">
        <f t="shared" si="14"/>
        <v>3</v>
      </c>
    </row>
    <row r="493" spans="1:9" ht="60" x14ac:dyDescent="0.25">
      <c r="A493" t="s">
        <v>3515</v>
      </c>
      <c r="B493">
        <v>89079</v>
      </c>
      <c r="C493">
        <v>1650</v>
      </c>
      <c r="F493" s="4" t="s">
        <v>3529</v>
      </c>
      <c r="G493">
        <v>0.37109723441350984</v>
      </c>
      <c r="H493">
        <f t="shared" si="15"/>
        <v>0.59659781287970837</v>
      </c>
      <c r="I493">
        <f t="shared" si="14"/>
        <v>3</v>
      </c>
    </row>
    <row r="494" spans="1:9" ht="60" x14ac:dyDescent="0.25">
      <c r="A494" t="s">
        <v>3594</v>
      </c>
      <c r="B494">
        <v>89141</v>
      </c>
      <c r="C494">
        <v>1506</v>
      </c>
      <c r="F494" s="4" t="s">
        <v>3480</v>
      </c>
      <c r="G494">
        <v>0.37113953224150353</v>
      </c>
      <c r="H494">
        <f t="shared" si="15"/>
        <v>0.59781287970838393</v>
      </c>
      <c r="I494">
        <f t="shared" si="14"/>
        <v>3</v>
      </c>
    </row>
    <row r="495" spans="1:9" ht="60" x14ac:dyDescent="0.25">
      <c r="A495" t="s">
        <v>3819</v>
      </c>
      <c r="B495">
        <v>89167</v>
      </c>
      <c r="C495">
        <v>1730</v>
      </c>
      <c r="F495" s="4" t="s">
        <v>3820</v>
      </c>
      <c r="G495">
        <v>0.37117092050150924</v>
      </c>
      <c r="H495">
        <f t="shared" si="15"/>
        <v>0.59902794653705949</v>
      </c>
      <c r="I495">
        <f t="shared" si="14"/>
        <v>3</v>
      </c>
    </row>
    <row r="496" spans="1:9" ht="60" x14ac:dyDescent="0.25">
      <c r="A496" t="s">
        <v>3467</v>
      </c>
      <c r="B496">
        <v>89261</v>
      </c>
      <c r="C496">
        <v>1605</v>
      </c>
      <c r="F496" s="4" t="s">
        <v>3615</v>
      </c>
      <c r="G496">
        <v>0.37119438213244782</v>
      </c>
      <c r="H496">
        <f t="shared" si="15"/>
        <v>0.60024301336573516</v>
      </c>
      <c r="I496">
        <f t="shared" si="14"/>
        <v>4</v>
      </c>
    </row>
    <row r="497" spans="1:9" ht="45" x14ac:dyDescent="0.25">
      <c r="A497" t="s">
        <v>3074</v>
      </c>
      <c r="B497">
        <v>89292</v>
      </c>
      <c r="C497">
        <v>1193</v>
      </c>
      <c r="F497" s="4" t="s">
        <v>3821</v>
      </c>
      <c r="G497">
        <v>0.37143943719855482</v>
      </c>
      <c r="H497">
        <f t="shared" si="15"/>
        <v>0.60145808019441072</v>
      </c>
      <c r="I497">
        <f t="shared" si="14"/>
        <v>4</v>
      </c>
    </row>
    <row r="498" spans="1:9" ht="45" x14ac:dyDescent="0.25">
      <c r="A498" t="s">
        <v>3292</v>
      </c>
      <c r="B498">
        <v>89460</v>
      </c>
      <c r="C498">
        <v>1382</v>
      </c>
      <c r="F498" s="4" t="s">
        <v>3822</v>
      </c>
      <c r="G498">
        <v>0.37161913770247196</v>
      </c>
      <c r="H498">
        <f t="shared" si="15"/>
        <v>0.60267314702308628</v>
      </c>
      <c r="I498">
        <f t="shared" si="14"/>
        <v>4</v>
      </c>
    </row>
    <row r="499" spans="1:9" ht="45" x14ac:dyDescent="0.25">
      <c r="A499" t="s">
        <v>3823</v>
      </c>
      <c r="B499">
        <v>89506</v>
      </c>
      <c r="C499">
        <v>2194</v>
      </c>
      <c r="F499" s="4" t="s">
        <v>3824</v>
      </c>
      <c r="G499">
        <v>0.37243217866704359</v>
      </c>
      <c r="H499">
        <f t="shared" si="15"/>
        <v>0.60388821385176183</v>
      </c>
      <c r="I499">
        <f t="shared" si="14"/>
        <v>4</v>
      </c>
    </row>
    <row r="500" spans="1:9" ht="60" x14ac:dyDescent="0.25">
      <c r="A500" t="s">
        <v>3784</v>
      </c>
      <c r="B500">
        <v>89545</v>
      </c>
      <c r="C500">
        <v>1634</v>
      </c>
      <c r="F500" s="4" t="s">
        <v>3631</v>
      </c>
      <c r="G500">
        <v>0.3725918273730513</v>
      </c>
      <c r="H500">
        <f t="shared" si="15"/>
        <v>0.60510328068043739</v>
      </c>
      <c r="I500">
        <f t="shared" si="14"/>
        <v>4</v>
      </c>
    </row>
    <row r="501" spans="1:9" ht="60" x14ac:dyDescent="0.25">
      <c r="A501" t="s">
        <v>3441</v>
      </c>
      <c r="B501">
        <v>89691</v>
      </c>
      <c r="C501">
        <v>1552</v>
      </c>
      <c r="F501" s="4" t="s">
        <v>3825</v>
      </c>
      <c r="G501">
        <v>0.37317759101350106</v>
      </c>
      <c r="H501">
        <f t="shared" si="15"/>
        <v>0.60631834750911295</v>
      </c>
      <c r="I501">
        <f t="shared" si="14"/>
        <v>4</v>
      </c>
    </row>
    <row r="502" spans="1:9" ht="60" x14ac:dyDescent="0.25">
      <c r="A502" t="s">
        <v>3358</v>
      </c>
      <c r="B502">
        <v>89699</v>
      </c>
      <c r="C502">
        <v>1530</v>
      </c>
      <c r="F502" s="4" t="s">
        <v>3795</v>
      </c>
      <c r="G502">
        <v>0.37328322641837763</v>
      </c>
      <c r="H502">
        <f t="shared" si="15"/>
        <v>0.60753341433778862</v>
      </c>
      <c r="I502">
        <f t="shared" si="14"/>
        <v>4</v>
      </c>
    </row>
    <row r="503" spans="1:9" ht="60" x14ac:dyDescent="0.25">
      <c r="A503" t="s">
        <v>3508</v>
      </c>
      <c r="B503">
        <v>89900</v>
      </c>
      <c r="C503">
        <v>1457</v>
      </c>
      <c r="F503" s="4" t="s">
        <v>3191</v>
      </c>
      <c r="G503">
        <v>0.37340286920721982</v>
      </c>
      <c r="H503">
        <f t="shared" si="15"/>
        <v>0.60874848116646418</v>
      </c>
      <c r="I503">
        <f t="shared" si="14"/>
        <v>4</v>
      </c>
    </row>
    <row r="504" spans="1:9" ht="45" x14ac:dyDescent="0.25">
      <c r="A504" t="s">
        <v>3826</v>
      </c>
      <c r="B504">
        <v>89985</v>
      </c>
      <c r="C504">
        <v>1860</v>
      </c>
      <c r="F504" s="4" t="s">
        <v>3827</v>
      </c>
      <c r="G504">
        <v>0.3739027069320453</v>
      </c>
      <c r="H504">
        <f t="shared" si="15"/>
        <v>0.60996354799513974</v>
      </c>
      <c r="I504">
        <f t="shared" si="14"/>
        <v>4</v>
      </c>
    </row>
    <row r="505" spans="1:9" ht="45" x14ac:dyDescent="0.25">
      <c r="A505" t="s">
        <v>3828</v>
      </c>
      <c r="B505">
        <v>90000</v>
      </c>
      <c r="C505">
        <v>1798</v>
      </c>
      <c r="F505" s="4" t="s">
        <v>3829</v>
      </c>
      <c r="G505">
        <v>0.37435811869582913</v>
      </c>
      <c r="H505">
        <f t="shared" si="15"/>
        <v>0.6111786148238153</v>
      </c>
      <c r="I505">
        <f t="shared" si="14"/>
        <v>4</v>
      </c>
    </row>
    <row r="506" spans="1:9" ht="60" x14ac:dyDescent="0.25">
      <c r="A506" t="s">
        <v>3106</v>
      </c>
      <c r="B506">
        <v>90054</v>
      </c>
      <c r="C506">
        <v>1342</v>
      </c>
      <c r="F506" s="4" t="s">
        <v>3495</v>
      </c>
      <c r="G506">
        <v>0.37494351489196098</v>
      </c>
      <c r="H506">
        <f t="shared" si="15"/>
        <v>0.61239368165249086</v>
      </c>
      <c r="I506">
        <f t="shared" si="14"/>
        <v>4</v>
      </c>
    </row>
    <row r="507" spans="1:9" ht="60" x14ac:dyDescent="0.25">
      <c r="A507" t="s">
        <v>3646</v>
      </c>
      <c r="B507">
        <v>90141</v>
      </c>
      <c r="C507">
        <v>1623</v>
      </c>
      <c r="F507" s="4" t="s">
        <v>3629</v>
      </c>
      <c r="G507">
        <v>0.37499697838731944</v>
      </c>
      <c r="H507">
        <f t="shared" si="15"/>
        <v>0.61360874848116642</v>
      </c>
      <c r="I507">
        <f t="shared" si="14"/>
        <v>4</v>
      </c>
    </row>
    <row r="508" spans="1:9" ht="60" x14ac:dyDescent="0.25">
      <c r="A508" t="s">
        <v>3797</v>
      </c>
      <c r="B508">
        <v>90150</v>
      </c>
      <c r="C508">
        <v>1651</v>
      </c>
      <c r="F508" s="4" t="s">
        <v>3830</v>
      </c>
      <c r="G508">
        <v>0.37518114578874051</v>
      </c>
      <c r="H508">
        <f t="shared" si="15"/>
        <v>0.61482381530984209</v>
      </c>
      <c r="I508">
        <f t="shared" si="14"/>
        <v>4</v>
      </c>
    </row>
    <row r="509" spans="1:9" ht="60" x14ac:dyDescent="0.25">
      <c r="A509" t="s">
        <v>3062</v>
      </c>
      <c r="B509">
        <v>90156</v>
      </c>
      <c r="C509">
        <v>1138</v>
      </c>
      <c r="F509" s="4" t="s">
        <v>3831</v>
      </c>
      <c r="G509">
        <v>0.37549526211623308</v>
      </c>
      <c r="H509">
        <f t="shared" si="15"/>
        <v>0.61603888213851765</v>
      </c>
      <c r="I509">
        <f t="shared" si="14"/>
        <v>4</v>
      </c>
    </row>
    <row r="510" spans="1:9" ht="60" x14ac:dyDescent="0.25">
      <c r="A510" t="s">
        <v>3519</v>
      </c>
      <c r="B510">
        <v>90285</v>
      </c>
      <c r="C510">
        <v>1466</v>
      </c>
      <c r="F510" s="4" t="s">
        <v>3661</v>
      </c>
      <c r="G510">
        <v>0.37565056728080132</v>
      </c>
      <c r="H510">
        <f t="shared" si="15"/>
        <v>0.61725394896719321</v>
      </c>
      <c r="I510">
        <f t="shared" si="14"/>
        <v>4</v>
      </c>
    </row>
    <row r="511" spans="1:9" ht="60" x14ac:dyDescent="0.25">
      <c r="A511" t="s">
        <v>3504</v>
      </c>
      <c r="B511">
        <v>90375</v>
      </c>
      <c r="C511">
        <v>1581</v>
      </c>
      <c r="F511" s="4" t="s">
        <v>3832</v>
      </c>
      <c r="G511">
        <v>0.37594612795555238</v>
      </c>
      <c r="H511">
        <f t="shared" si="15"/>
        <v>0.61846901579586877</v>
      </c>
      <c r="I511">
        <f t="shared" si="14"/>
        <v>4</v>
      </c>
    </row>
    <row r="512" spans="1:9" ht="60" x14ac:dyDescent="0.25">
      <c r="A512" t="s">
        <v>3208</v>
      </c>
      <c r="B512">
        <v>90500</v>
      </c>
      <c r="C512">
        <v>1343</v>
      </c>
      <c r="F512" s="4" t="s">
        <v>3833</v>
      </c>
      <c r="G512">
        <v>0.37618406562845047</v>
      </c>
      <c r="H512">
        <f t="shared" si="15"/>
        <v>0.61968408262454433</v>
      </c>
      <c r="I512">
        <f t="shared" si="14"/>
        <v>4</v>
      </c>
    </row>
    <row r="513" spans="1:9" ht="60" x14ac:dyDescent="0.25">
      <c r="A513" t="s">
        <v>3834</v>
      </c>
      <c r="B513">
        <v>90527</v>
      </c>
      <c r="C513">
        <v>1773</v>
      </c>
      <c r="F513" s="4" t="s">
        <v>3687</v>
      </c>
      <c r="G513">
        <v>0.37640506312392474</v>
      </c>
      <c r="H513">
        <f t="shared" si="15"/>
        <v>0.62089914945321989</v>
      </c>
      <c r="I513">
        <f t="shared" si="14"/>
        <v>4</v>
      </c>
    </row>
    <row r="514" spans="1:9" ht="60" x14ac:dyDescent="0.25">
      <c r="A514" t="s">
        <v>3066</v>
      </c>
      <c r="B514">
        <v>90543</v>
      </c>
      <c r="C514">
        <v>1204</v>
      </c>
      <c r="F514" s="4" t="s">
        <v>3819</v>
      </c>
      <c r="G514">
        <v>0.37685461640238455</v>
      </c>
      <c r="H514">
        <f t="shared" si="15"/>
        <v>0.62211421628189545</v>
      </c>
      <c r="I514">
        <f t="shared" si="14"/>
        <v>4</v>
      </c>
    </row>
    <row r="515" spans="1:9" ht="60" x14ac:dyDescent="0.25">
      <c r="A515" t="s">
        <v>3557</v>
      </c>
      <c r="B515">
        <v>90563</v>
      </c>
      <c r="C515">
        <v>1509</v>
      </c>
      <c r="F515" s="4" t="s">
        <v>3753</v>
      </c>
      <c r="G515">
        <v>0.37698819945484185</v>
      </c>
      <c r="H515">
        <f t="shared" si="15"/>
        <v>0.62332928311057112</v>
      </c>
      <c r="I515">
        <f t="shared" ref="I515:I578" si="16">IF(H515&lt;0.2,1,IF(H515&lt;0.4,2,IF(H515&lt;0.6,3,IF(H515&lt;0.8,4,5))))</f>
        <v>4</v>
      </c>
    </row>
    <row r="516" spans="1:9" ht="60" x14ac:dyDescent="0.25">
      <c r="A516" t="s">
        <v>3835</v>
      </c>
      <c r="B516">
        <v>90568</v>
      </c>
      <c r="C516">
        <v>1958</v>
      </c>
      <c r="F516" s="4" t="s">
        <v>3836</v>
      </c>
      <c r="G516">
        <v>0.37788336365517661</v>
      </c>
      <c r="H516">
        <f t="shared" ref="H516:H579" si="17">_xlfn.RANK.EQ(G516,$G$3:$G$825,1)/COUNT($G$3:$G$825)</f>
        <v>0.62454434993924668</v>
      </c>
      <c r="I516">
        <f t="shared" si="16"/>
        <v>4</v>
      </c>
    </row>
    <row r="517" spans="1:9" ht="60" x14ac:dyDescent="0.25">
      <c r="A517" t="s">
        <v>3198</v>
      </c>
      <c r="B517">
        <v>90571</v>
      </c>
      <c r="C517">
        <v>1431</v>
      </c>
      <c r="F517" s="4" t="s">
        <v>3804</v>
      </c>
      <c r="G517">
        <v>0.37841612419545395</v>
      </c>
      <c r="H517">
        <f t="shared" si="17"/>
        <v>0.62575941676792224</v>
      </c>
      <c r="I517">
        <f t="shared" si="16"/>
        <v>4</v>
      </c>
    </row>
    <row r="518" spans="1:9" ht="60" x14ac:dyDescent="0.25">
      <c r="A518" t="s">
        <v>3794</v>
      </c>
      <c r="B518">
        <v>90644</v>
      </c>
      <c r="C518">
        <v>1726</v>
      </c>
      <c r="F518" s="4" t="s">
        <v>3837</v>
      </c>
      <c r="G518">
        <v>0.37864504414201916</v>
      </c>
      <c r="H518">
        <f t="shared" si="17"/>
        <v>0.6269744835965978</v>
      </c>
      <c r="I518">
        <f t="shared" si="16"/>
        <v>4</v>
      </c>
    </row>
    <row r="519" spans="1:9" ht="45" x14ac:dyDescent="0.25">
      <c r="A519" t="s">
        <v>3838</v>
      </c>
      <c r="B519">
        <v>90913</v>
      </c>
      <c r="C519">
        <v>1857</v>
      </c>
      <c r="F519" s="4" t="s">
        <v>3839</v>
      </c>
      <c r="G519">
        <v>0.37874563445570386</v>
      </c>
      <c r="H519">
        <f t="shared" si="17"/>
        <v>0.62818955042527336</v>
      </c>
      <c r="I519">
        <f t="shared" si="16"/>
        <v>4</v>
      </c>
    </row>
    <row r="520" spans="1:9" ht="45" x14ac:dyDescent="0.25">
      <c r="A520" t="s">
        <v>3837</v>
      </c>
      <c r="B520">
        <v>90929</v>
      </c>
      <c r="C520">
        <v>1930</v>
      </c>
      <c r="F520" s="4" t="s">
        <v>3811</v>
      </c>
      <c r="G520">
        <v>0.37900861699042743</v>
      </c>
      <c r="H520">
        <f t="shared" si="17"/>
        <v>0.62940461725394892</v>
      </c>
      <c r="I520">
        <f t="shared" si="16"/>
        <v>4</v>
      </c>
    </row>
    <row r="521" spans="1:9" ht="60" x14ac:dyDescent="0.25">
      <c r="A521" t="s">
        <v>3210</v>
      </c>
      <c r="B521">
        <v>91125</v>
      </c>
      <c r="C521">
        <v>1374</v>
      </c>
      <c r="F521" s="4" t="s">
        <v>3840</v>
      </c>
      <c r="G521">
        <v>0.37940035929392119</v>
      </c>
      <c r="H521">
        <f t="shared" si="17"/>
        <v>0.63061968408262459</v>
      </c>
      <c r="I521">
        <f t="shared" si="16"/>
        <v>4</v>
      </c>
    </row>
    <row r="522" spans="1:9" ht="60" x14ac:dyDescent="0.25">
      <c r="A522" t="s">
        <v>3693</v>
      </c>
      <c r="B522">
        <v>91129</v>
      </c>
      <c r="C522">
        <v>1605</v>
      </c>
      <c r="F522" s="4" t="s">
        <v>3416</v>
      </c>
      <c r="G522">
        <v>0.37951868073223549</v>
      </c>
      <c r="H522">
        <f t="shared" si="17"/>
        <v>0.63183475091130015</v>
      </c>
      <c r="I522">
        <f t="shared" si="16"/>
        <v>4</v>
      </c>
    </row>
    <row r="523" spans="1:9" ht="60" x14ac:dyDescent="0.25">
      <c r="A523" t="s">
        <v>3657</v>
      </c>
      <c r="B523">
        <v>91170</v>
      </c>
      <c r="C523">
        <v>1516</v>
      </c>
      <c r="F523" s="4" t="s">
        <v>3818</v>
      </c>
      <c r="G523">
        <v>0.37957563690693702</v>
      </c>
      <c r="H523">
        <f t="shared" si="17"/>
        <v>0.63304981773997571</v>
      </c>
      <c r="I523">
        <f t="shared" si="16"/>
        <v>4</v>
      </c>
    </row>
    <row r="524" spans="1:9" ht="60" x14ac:dyDescent="0.25">
      <c r="A524" t="s">
        <v>3254</v>
      </c>
      <c r="B524">
        <v>91250</v>
      </c>
      <c r="C524">
        <v>1361</v>
      </c>
      <c r="F524" s="4" t="s">
        <v>3567</v>
      </c>
      <c r="G524">
        <v>0.38046995141204981</v>
      </c>
      <c r="H524">
        <f t="shared" si="17"/>
        <v>0.63426488456865127</v>
      </c>
      <c r="I524">
        <f t="shared" si="16"/>
        <v>4</v>
      </c>
    </row>
    <row r="525" spans="1:9" ht="60" x14ac:dyDescent="0.25">
      <c r="A525" t="s">
        <v>3722</v>
      </c>
      <c r="B525">
        <v>91375</v>
      </c>
      <c r="C525">
        <v>1709</v>
      </c>
      <c r="F525" s="4" t="s">
        <v>3410</v>
      </c>
      <c r="G525">
        <v>0.38111504521338313</v>
      </c>
      <c r="H525">
        <f t="shared" si="17"/>
        <v>0.63547995139732683</v>
      </c>
      <c r="I525">
        <f t="shared" si="16"/>
        <v>4</v>
      </c>
    </row>
    <row r="526" spans="1:9" ht="60" x14ac:dyDescent="0.25">
      <c r="A526" t="s">
        <v>3699</v>
      </c>
      <c r="B526">
        <v>91383</v>
      </c>
      <c r="C526">
        <v>1648</v>
      </c>
      <c r="F526" s="4" t="s">
        <v>3613</v>
      </c>
      <c r="G526">
        <v>0.38126965600462231</v>
      </c>
      <c r="H526">
        <f t="shared" si="17"/>
        <v>0.63669501822600238</v>
      </c>
      <c r="I526">
        <f t="shared" si="16"/>
        <v>4</v>
      </c>
    </row>
    <row r="527" spans="1:9" ht="45" x14ac:dyDescent="0.25">
      <c r="A527" t="s">
        <v>3841</v>
      </c>
      <c r="B527">
        <v>91467</v>
      </c>
      <c r="C527">
        <v>1873</v>
      </c>
      <c r="F527" s="4" t="s">
        <v>3842</v>
      </c>
      <c r="G527">
        <v>0.38186530443292716</v>
      </c>
      <c r="H527">
        <f t="shared" si="17"/>
        <v>0.63791008505467806</v>
      </c>
      <c r="I527">
        <f t="shared" si="16"/>
        <v>4</v>
      </c>
    </row>
    <row r="528" spans="1:9" ht="60" x14ac:dyDescent="0.25">
      <c r="A528" t="s">
        <v>3843</v>
      </c>
      <c r="B528">
        <v>91500</v>
      </c>
      <c r="C528">
        <v>1696</v>
      </c>
      <c r="F528" s="4" t="s">
        <v>3483</v>
      </c>
      <c r="G528">
        <v>0.38228873893402238</v>
      </c>
      <c r="H528">
        <f t="shared" si="17"/>
        <v>0.63912515188335361</v>
      </c>
      <c r="I528">
        <f t="shared" si="16"/>
        <v>4</v>
      </c>
    </row>
    <row r="529" spans="1:9" ht="45" x14ac:dyDescent="0.25">
      <c r="A529" t="s">
        <v>3844</v>
      </c>
      <c r="B529">
        <v>91556</v>
      </c>
      <c r="C529">
        <v>1979</v>
      </c>
      <c r="F529" s="4" t="s">
        <v>3845</v>
      </c>
      <c r="G529">
        <v>0.3823677179732749</v>
      </c>
      <c r="H529">
        <f t="shared" si="17"/>
        <v>0.64034021871202917</v>
      </c>
      <c r="I529">
        <f t="shared" si="16"/>
        <v>4</v>
      </c>
    </row>
    <row r="530" spans="1:9" ht="60" x14ac:dyDescent="0.25">
      <c r="A530" t="s">
        <v>3236</v>
      </c>
      <c r="B530">
        <v>91591</v>
      </c>
      <c r="C530">
        <v>1429</v>
      </c>
      <c r="F530" s="4" t="s">
        <v>3846</v>
      </c>
      <c r="G530">
        <v>0.38243058388898854</v>
      </c>
      <c r="H530">
        <f t="shared" si="17"/>
        <v>0.64155528554070473</v>
      </c>
      <c r="I530">
        <f t="shared" si="16"/>
        <v>4</v>
      </c>
    </row>
    <row r="531" spans="1:9" ht="60" x14ac:dyDescent="0.25">
      <c r="A531" t="s">
        <v>3381</v>
      </c>
      <c r="B531">
        <v>91684</v>
      </c>
      <c r="C531">
        <v>1462</v>
      </c>
      <c r="F531" s="4" t="s">
        <v>3626</v>
      </c>
      <c r="G531">
        <v>0.3831824685513528</v>
      </c>
      <c r="H531">
        <f t="shared" si="17"/>
        <v>0.64277035236938029</v>
      </c>
      <c r="I531">
        <f t="shared" si="16"/>
        <v>4</v>
      </c>
    </row>
    <row r="532" spans="1:9" ht="45" x14ac:dyDescent="0.25">
      <c r="A532" t="s">
        <v>3815</v>
      </c>
      <c r="B532">
        <v>91829</v>
      </c>
      <c r="C532">
        <v>1762</v>
      </c>
      <c r="F532" s="4" t="s">
        <v>3847</v>
      </c>
      <c r="G532">
        <v>0.38332709578777618</v>
      </c>
      <c r="H532">
        <f t="shared" si="17"/>
        <v>0.64398541919805585</v>
      </c>
      <c r="I532">
        <f t="shared" si="16"/>
        <v>4</v>
      </c>
    </row>
    <row r="533" spans="1:9" ht="60" x14ac:dyDescent="0.25">
      <c r="A533" t="s">
        <v>3597</v>
      </c>
      <c r="B533">
        <v>91836</v>
      </c>
      <c r="C533">
        <v>1586</v>
      </c>
      <c r="F533" s="4" t="s">
        <v>3828</v>
      </c>
      <c r="G533">
        <v>0.38357333333333332</v>
      </c>
      <c r="H533">
        <f t="shared" si="17"/>
        <v>0.64520048602673152</v>
      </c>
      <c r="I533">
        <f t="shared" si="16"/>
        <v>4</v>
      </c>
    </row>
    <row r="534" spans="1:9" ht="60" x14ac:dyDescent="0.25">
      <c r="A534" t="s">
        <v>3584</v>
      </c>
      <c r="B534">
        <v>91932</v>
      </c>
      <c r="C534">
        <v>1596</v>
      </c>
      <c r="F534" s="4" t="s">
        <v>3526</v>
      </c>
      <c r="G534">
        <v>0.38496170500636517</v>
      </c>
      <c r="H534">
        <f t="shared" si="17"/>
        <v>0.64641555285540708</v>
      </c>
      <c r="I534">
        <f t="shared" si="16"/>
        <v>4</v>
      </c>
    </row>
    <row r="535" spans="1:9" ht="60" x14ac:dyDescent="0.25">
      <c r="A535" t="s">
        <v>3425</v>
      </c>
      <c r="B535">
        <v>91973</v>
      </c>
      <c r="C535">
        <v>1465</v>
      </c>
      <c r="F535" s="4" t="s">
        <v>3478</v>
      </c>
      <c r="G535">
        <v>0.38555619728497731</v>
      </c>
      <c r="H535">
        <f t="shared" si="17"/>
        <v>0.64763061968408264</v>
      </c>
      <c r="I535">
        <f t="shared" si="16"/>
        <v>4</v>
      </c>
    </row>
    <row r="536" spans="1:9" ht="60" x14ac:dyDescent="0.25">
      <c r="A536" t="s">
        <v>3848</v>
      </c>
      <c r="B536">
        <v>91996</v>
      </c>
      <c r="C536">
        <v>2280</v>
      </c>
      <c r="F536" s="4" t="s">
        <v>3849</v>
      </c>
      <c r="G536">
        <v>0.38602573793593115</v>
      </c>
      <c r="H536">
        <f t="shared" si="17"/>
        <v>0.6488456865127582</v>
      </c>
      <c r="I536">
        <f t="shared" si="16"/>
        <v>4</v>
      </c>
    </row>
    <row r="537" spans="1:9" ht="45" x14ac:dyDescent="0.25">
      <c r="A537" t="s">
        <v>3437</v>
      </c>
      <c r="B537">
        <v>92283</v>
      </c>
      <c r="C537">
        <v>1493</v>
      </c>
      <c r="F537" s="4" t="s">
        <v>3850</v>
      </c>
      <c r="G537">
        <v>0.38615899413002441</v>
      </c>
      <c r="H537">
        <f t="shared" si="17"/>
        <v>0.65006075334143376</v>
      </c>
      <c r="I537">
        <f t="shared" si="16"/>
        <v>4</v>
      </c>
    </row>
    <row r="538" spans="1:9" ht="60" x14ac:dyDescent="0.25">
      <c r="A538" t="s">
        <v>3084</v>
      </c>
      <c r="B538">
        <v>92500</v>
      </c>
      <c r="C538">
        <v>1268</v>
      </c>
      <c r="F538" s="4" t="s">
        <v>3851</v>
      </c>
      <c r="G538">
        <v>0.38698856412661004</v>
      </c>
      <c r="H538">
        <f t="shared" si="17"/>
        <v>0.65127582017010932</v>
      </c>
      <c r="I538">
        <f t="shared" si="16"/>
        <v>4</v>
      </c>
    </row>
    <row r="539" spans="1:9" ht="45" x14ac:dyDescent="0.25">
      <c r="A539" t="s">
        <v>3541</v>
      </c>
      <c r="B539">
        <v>92750</v>
      </c>
      <c r="C539">
        <v>1582</v>
      </c>
      <c r="F539" s="4" t="s">
        <v>3689</v>
      </c>
      <c r="G539">
        <v>0.38724937236944418</v>
      </c>
      <c r="H539">
        <f t="shared" si="17"/>
        <v>0.65249088699878488</v>
      </c>
      <c r="I539">
        <f t="shared" si="16"/>
        <v>4</v>
      </c>
    </row>
    <row r="540" spans="1:9" ht="45" x14ac:dyDescent="0.25">
      <c r="A540" t="s">
        <v>3090</v>
      </c>
      <c r="B540">
        <v>92813</v>
      </c>
      <c r="C540">
        <v>1280</v>
      </c>
      <c r="F540" s="4" t="s">
        <v>3554</v>
      </c>
      <c r="G540">
        <v>0.38759912524531426</v>
      </c>
      <c r="H540">
        <f t="shared" si="17"/>
        <v>0.65370595382746055</v>
      </c>
      <c r="I540">
        <f t="shared" si="16"/>
        <v>4</v>
      </c>
    </row>
    <row r="541" spans="1:9" ht="60" x14ac:dyDescent="0.25">
      <c r="A541" t="s">
        <v>3350</v>
      </c>
      <c r="B541">
        <v>93125</v>
      </c>
      <c r="C541">
        <v>1552</v>
      </c>
      <c r="F541" s="4" t="s">
        <v>3852</v>
      </c>
      <c r="G541">
        <v>0.3876007719873083</v>
      </c>
      <c r="H541">
        <f t="shared" si="17"/>
        <v>0.65492102065613611</v>
      </c>
      <c r="I541">
        <f t="shared" si="16"/>
        <v>4</v>
      </c>
    </row>
    <row r="542" spans="1:9" ht="60" x14ac:dyDescent="0.25">
      <c r="A542" t="s">
        <v>3502</v>
      </c>
      <c r="B542">
        <v>93403</v>
      </c>
      <c r="C542">
        <v>1502</v>
      </c>
      <c r="F542" s="4" t="s">
        <v>3853</v>
      </c>
      <c r="G542">
        <v>0.38821967977844024</v>
      </c>
      <c r="H542">
        <f t="shared" si="17"/>
        <v>0.65613608748481167</v>
      </c>
      <c r="I542">
        <f t="shared" si="16"/>
        <v>4</v>
      </c>
    </row>
    <row r="543" spans="1:9" ht="60" x14ac:dyDescent="0.25">
      <c r="A543" t="s">
        <v>3068</v>
      </c>
      <c r="B543">
        <v>93472</v>
      </c>
      <c r="C543">
        <v>1240</v>
      </c>
      <c r="F543" s="4" t="s">
        <v>3798</v>
      </c>
      <c r="G543">
        <v>0.38854204997367486</v>
      </c>
      <c r="H543">
        <f t="shared" si="17"/>
        <v>0.65735115431348723</v>
      </c>
      <c r="I543">
        <f t="shared" si="16"/>
        <v>4</v>
      </c>
    </row>
    <row r="544" spans="1:9" ht="60" x14ac:dyDescent="0.25">
      <c r="A544" t="s">
        <v>3790</v>
      </c>
      <c r="B544">
        <v>93558</v>
      </c>
      <c r="C544">
        <v>1831</v>
      </c>
      <c r="F544" s="4" t="s">
        <v>3279</v>
      </c>
      <c r="G544">
        <v>0.3886378007418908</v>
      </c>
      <c r="H544">
        <f t="shared" si="17"/>
        <v>0.65856622114216279</v>
      </c>
      <c r="I544">
        <f t="shared" si="16"/>
        <v>4</v>
      </c>
    </row>
    <row r="545" spans="1:9" ht="45" x14ac:dyDescent="0.25">
      <c r="A545" t="s">
        <v>3494</v>
      </c>
      <c r="B545">
        <v>93571</v>
      </c>
      <c r="C545">
        <v>1586</v>
      </c>
      <c r="F545" s="4" t="s">
        <v>3854</v>
      </c>
      <c r="G545">
        <v>0.38887093691906516</v>
      </c>
      <c r="H545">
        <f t="shared" si="17"/>
        <v>0.65978128797083835</v>
      </c>
      <c r="I545">
        <f t="shared" si="16"/>
        <v>4</v>
      </c>
    </row>
    <row r="546" spans="1:9" ht="60" x14ac:dyDescent="0.25">
      <c r="A546" t="s">
        <v>3814</v>
      </c>
      <c r="B546">
        <v>93632</v>
      </c>
      <c r="C546">
        <v>1699</v>
      </c>
      <c r="F546" s="4" t="s">
        <v>3552</v>
      </c>
      <c r="G546">
        <v>0.38888362019727418</v>
      </c>
      <c r="H546">
        <f t="shared" si="17"/>
        <v>0.66099635479951402</v>
      </c>
      <c r="I546">
        <f t="shared" si="16"/>
        <v>4</v>
      </c>
    </row>
    <row r="547" spans="1:9" ht="60" x14ac:dyDescent="0.25">
      <c r="A547" t="s">
        <v>3369</v>
      </c>
      <c r="B547">
        <v>93839</v>
      </c>
      <c r="C547">
        <v>1487</v>
      </c>
      <c r="F547" s="4" t="s">
        <v>3303</v>
      </c>
      <c r="G547">
        <v>0.38938631461995948</v>
      </c>
      <c r="H547">
        <f t="shared" si="17"/>
        <v>0.66221142162818958</v>
      </c>
      <c r="I547">
        <f t="shared" si="16"/>
        <v>4</v>
      </c>
    </row>
    <row r="548" spans="1:9" ht="60" x14ac:dyDescent="0.25">
      <c r="A548" t="s">
        <v>3774</v>
      </c>
      <c r="B548">
        <v>93843</v>
      </c>
      <c r="C548">
        <v>1818</v>
      </c>
      <c r="F548" s="4" t="s">
        <v>3442</v>
      </c>
      <c r="G548">
        <v>0.39016400433899129</v>
      </c>
      <c r="H548">
        <f t="shared" si="17"/>
        <v>0.66342648845686514</v>
      </c>
      <c r="I548">
        <f t="shared" si="16"/>
        <v>4</v>
      </c>
    </row>
    <row r="549" spans="1:9" ht="60" x14ac:dyDescent="0.25">
      <c r="A549" t="s">
        <v>3318</v>
      </c>
      <c r="B549">
        <v>93945</v>
      </c>
      <c r="C549">
        <v>1594</v>
      </c>
      <c r="F549" s="4" t="s">
        <v>3392</v>
      </c>
      <c r="G549">
        <v>0.39032662280251046</v>
      </c>
      <c r="H549">
        <f t="shared" si="17"/>
        <v>0.6646415552855407</v>
      </c>
      <c r="I549">
        <f t="shared" si="16"/>
        <v>4</v>
      </c>
    </row>
    <row r="550" spans="1:9" ht="45" x14ac:dyDescent="0.25">
      <c r="A550" t="s">
        <v>3354</v>
      </c>
      <c r="B550">
        <v>94167</v>
      </c>
      <c r="C550">
        <v>1496</v>
      </c>
      <c r="F550" s="4" t="s">
        <v>3675</v>
      </c>
      <c r="G550">
        <v>0.3904120959603456</v>
      </c>
      <c r="H550">
        <f t="shared" si="17"/>
        <v>0.66585662211421626</v>
      </c>
      <c r="I550">
        <f t="shared" si="16"/>
        <v>4</v>
      </c>
    </row>
    <row r="551" spans="1:9" ht="45" x14ac:dyDescent="0.25">
      <c r="A551" t="s">
        <v>3664</v>
      </c>
      <c r="B551">
        <v>94434</v>
      </c>
      <c r="C551">
        <v>1597</v>
      </c>
      <c r="F551" s="4" t="s">
        <v>3834</v>
      </c>
      <c r="G551">
        <v>0.39045086948080671</v>
      </c>
      <c r="H551">
        <f t="shared" si="17"/>
        <v>0.66707168894289182</v>
      </c>
      <c r="I551">
        <f t="shared" si="16"/>
        <v>4</v>
      </c>
    </row>
    <row r="552" spans="1:9" ht="45" x14ac:dyDescent="0.25">
      <c r="A552" t="s">
        <v>3399</v>
      </c>
      <c r="B552">
        <v>94576</v>
      </c>
      <c r="C552">
        <v>1475</v>
      </c>
      <c r="F552" s="4" t="s">
        <v>3855</v>
      </c>
      <c r="G552">
        <v>0.39167862355087463</v>
      </c>
      <c r="H552">
        <f t="shared" si="17"/>
        <v>0.66828675577156749</v>
      </c>
      <c r="I552">
        <f t="shared" si="16"/>
        <v>4</v>
      </c>
    </row>
    <row r="553" spans="1:9" ht="60" x14ac:dyDescent="0.25">
      <c r="A553" t="s">
        <v>3246</v>
      </c>
      <c r="B553">
        <v>94592</v>
      </c>
      <c r="C553">
        <v>1565</v>
      </c>
      <c r="F553" s="4" t="s">
        <v>3605</v>
      </c>
      <c r="G553">
        <v>0.39234866281671532</v>
      </c>
      <c r="H553">
        <f t="shared" si="17"/>
        <v>0.66950182260024305</v>
      </c>
      <c r="I553">
        <f t="shared" si="16"/>
        <v>4</v>
      </c>
    </row>
    <row r="554" spans="1:9" ht="60" x14ac:dyDescent="0.25">
      <c r="A554" t="s">
        <v>3500</v>
      </c>
      <c r="B554">
        <v>94872</v>
      </c>
      <c r="C554">
        <v>1648</v>
      </c>
      <c r="F554" s="4" t="s">
        <v>3426</v>
      </c>
      <c r="G554">
        <v>0.39264865622854983</v>
      </c>
      <c r="H554">
        <f t="shared" si="17"/>
        <v>0.67071688942891861</v>
      </c>
      <c r="I554">
        <f t="shared" si="16"/>
        <v>4</v>
      </c>
    </row>
    <row r="555" spans="1:9" ht="60" x14ac:dyDescent="0.25">
      <c r="A555" t="s">
        <v>3731</v>
      </c>
      <c r="B555">
        <v>95057</v>
      </c>
      <c r="C555">
        <v>1694</v>
      </c>
      <c r="F555" s="4" t="s">
        <v>3408</v>
      </c>
      <c r="G555">
        <v>0.39463060389373783</v>
      </c>
      <c r="H555">
        <f t="shared" si="17"/>
        <v>0.67193195625759417</v>
      </c>
      <c r="I555">
        <f t="shared" si="16"/>
        <v>4</v>
      </c>
    </row>
    <row r="556" spans="1:9" ht="60" x14ac:dyDescent="0.25">
      <c r="A556" t="s">
        <v>3513</v>
      </c>
      <c r="B556">
        <v>95125</v>
      </c>
      <c r="C556">
        <v>1710</v>
      </c>
      <c r="F556" s="4" t="s">
        <v>3655</v>
      </c>
      <c r="G556">
        <v>0.39486695368381997</v>
      </c>
      <c r="H556">
        <f t="shared" si="17"/>
        <v>0.67314702308626972</v>
      </c>
      <c r="I556">
        <f t="shared" si="16"/>
        <v>4</v>
      </c>
    </row>
    <row r="557" spans="1:9" ht="60" x14ac:dyDescent="0.25">
      <c r="A557" t="s">
        <v>3682</v>
      </c>
      <c r="B557">
        <v>95234</v>
      </c>
      <c r="C557">
        <v>1694</v>
      </c>
      <c r="F557" s="4" t="s">
        <v>3647</v>
      </c>
      <c r="G557">
        <v>0.39509429886164232</v>
      </c>
      <c r="H557">
        <f t="shared" si="17"/>
        <v>0.67436208991494528</v>
      </c>
      <c r="I557">
        <f t="shared" si="16"/>
        <v>4</v>
      </c>
    </row>
    <row r="558" spans="1:9" ht="45" x14ac:dyDescent="0.25">
      <c r="A558" t="s">
        <v>3128</v>
      </c>
      <c r="B558">
        <v>95240</v>
      </c>
      <c r="C558">
        <v>1358</v>
      </c>
      <c r="F558" s="4" t="s">
        <v>3856</v>
      </c>
      <c r="G558">
        <v>0.39529676907963773</v>
      </c>
      <c r="H558">
        <f t="shared" si="17"/>
        <v>0.67557715674362095</v>
      </c>
      <c r="I558">
        <f t="shared" si="16"/>
        <v>4</v>
      </c>
    </row>
    <row r="559" spans="1:9" ht="60" x14ac:dyDescent="0.25">
      <c r="A559" t="s">
        <v>3857</v>
      </c>
      <c r="B559">
        <v>95279</v>
      </c>
      <c r="C559">
        <v>2131</v>
      </c>
      <c r="F559" s="4" t="s">
        <v>3489</v>
      </c>
      <c r="G559">
        <v>0.39556782020625852</v>
      </c>
      <c r="H559">
        <f t="shared" si="17"/>
        <v>0.67679222357229651</v>
      </c>
      <c r="I559">
        <f t="shared" si="16"/>
        <v>4</v>
      </c>
    </row>
    <row r="560" spans="1:9" ht="45" x14ac:dyDescent="0.25">
      <c r="A560" t="s">
        <v>3429</v>
      </c>
      <c r="B560">
        <v>95642</v>
      </c>
      <c r="C560">
        <v>1661</v>
      </c>
      <c r="F560" s="4" t="s">
        <v>3841</v>
      </c>
      <c r="G560">
        <v>0.39622444193153428</v>
      </c>
      <c r="H560">
        <f t="shared" si="17"/>
        <v>0.67800729040097207</v>
      </c>
      <c r="I560">
        <f t="shared" si="16"/>
        <v>4</v>
      </c>
    </row>
    <row r="561" spans="1:9" ht="60" x14ac:dyDescent="0.25">
      <c r="A561" t="s">
        <v>3108</v>
      </c>
      <c r="B561">
        <v>95795</v>
      </c>
      <c r="C561">
        <v>1421</v>
      </c>
      <c r="F561" s="4" t="s">
        <v>3858</v>
      </c>
      <c r="G561">
        <v>0.39626775550966375</v>
      </c>
      <c r="H561">
        <f t="shared" si="17"/>
        <v>0.67922235722964763</v>
      </c>
      <c r="I561">
        <f t="shared" si="16"/>
        <v>4</v>
      </c>
    </row>
    <row r="562" spans="1:9" ht="60" x14ac:dyDescent="0.25">
      <c r="A562" t="s">
        <v>3822</v>
      </c>
      <c r="B562">
        <v>95948</v>
      </c>
      <c r="C562">
        <v>1955</v>
      </c>
      <c r="F562" s="4" t="s">
        <v>3859</v>
      </c>
      <c r="G562">
        <v>0.39702714517833038</v>
      </c>
      <c r="H562">
        <f t="shared" si="17"/>
        <v>0.68043742405832319</v>
      </c>
      <c r="I562">
        <f t="shared" si="16"/>
        <v>4</v>
      </c>
    </row>
    <row r="563" spans="1:9" ht="60" x14ac:dyDescent="0.25">
      <c r="A563" t="s">
        <v>3419</v>
      </c>
      <c r="B563">
        <v>96111</v>
      </c>
      <c r="C563">
        <v>1576</v>
      </c>
      <c r="F563" s="4" t="s">
        <v>3466</v>
      </c>
      <c r="G563">
        <v>0.39834313300747404</v>
      </c>
      <c r="H563">
        <f t="shared" si="17"/>
        <v>0.68165249088699875</v>
      </c>
      <c r="I563">
        <f t="shared" si="16"/>
        <v>4</v>
      </c>
    </row>
    <row r="564" spans="1:9" ht="60" x14ac:dyDescent="0.25">
      <c r="A564" t="s">
        <v>3124</v>
      </c>
      <c r="B564">
        <v>96472</v>
      </c>
      <c r="C564">
        <v>1454</v>
      </c>
      <c r="F564" s="4" t="s">
        <v>3414</v>
      </c>
      <c r="G564">
        <v>0.40153371751234179</v>
      </c>
      <c r="H564">
        <f t="shared" si="17"/>
        <v>0.68286755771567431</v>
      </c>
      <c r="I564">
        <f t="shared" si="16"/>
        <v>4</v>
      </c>
    </row>
    <row r="565" spans="1:9" ht="60" x14ac:dyDescent="0.25">
      <c r="A565" t="s">
        <v>3282</v>
      </c>
      <c r="B565">
        <v>96607</v>
      </c>
      <c r="C565">
        <v>1494</v>
      </c>
      <c r="F565" s="4" t="s">
        <v>3669</v>
      </c>
      <c r="G565">
        <v>0.40186640588168027</v>
      </c>
      <c r="H565">
        <f t="shared" si="17"/>
        <v>0.68408262454434998</v>
      </c>
      <c r="I565">
        <f t="shared" si="16"/>
        <v>4</v>
      </c>
    </row>
    <row r="566" spans="1:9" ht="45" x14ac:dyDescent="0.25">
      <c r="A566" t="s">
        <v>3433</v>
      </c>
      <c r="B566">
        <v>96658</v>
      </c>
      <c r="C566">
        <v>1560</v>
      </c>
      <c r="F566" s="4" t="s">
        <v>3860</v>
      </c>
      <c r="G566">
        <v>0.40322523499121393</v>
      </c>
      <c r="H566">
        <f t="shared" si="17"/>
        <v>0.68529769137302554</v>
      </c>
      <c r="I566">
        <f t="shared" si="16"/>
        <v>4</v>
      </c>
    </row>
    <row r="567" spans="1:9" ht="60" x14ac:dyDescent="0.25">
      <c r="A567" t="s">
        <v>3266</v>
      </c>
      <c r="B567">
        <v>96719</v>
      </c>
      <c r="C567">
        <v>1506</v>
      </c>
      <c r="F567" s="4" t="s">
        <v>3501</v>
      </c>
      <c r="G567">
        <v>0.40397725101415188</v>
      </c>
      <c r="H567">
        <f t="shared" si="17"/>
        <v>0.6865127582017011</v>
      </c>
      <c r="I567">
        <f t="shared" si="16"/>
        <v>4</v>
      </c>
    </row>
    <row r="568" spans="1:9" ht="60" x14ac:dyDescent="0.25">
      <c r="A568" t="s">
        <v>3796</v>
      </c>
      <c r="B568">
        <v>96875</v>
      </c>
      <c r="C568">
        <v>1792</v>
      </c>
      <c r="F568" s="4" t="s">
        <v>3861</v>
      </c>
      <c r="G568">
        <v>0.40411164288619711</v>
      </c>
      <c r="H568">
        <f t="shared" si="17"/>
        <v>0.68772782503037666</v>
      </c>
      <c r="I568">
        <f t="shared" si="16"/>
        <v>4</v>
      </c>
    </row>
    <row r="569" spans="1:9" ht="60" x14ac:dyDescent="0.25">
      <c r="A569" t="s">
        <v>3830</v>
      </c>
      <c r="B569">
        <v>96916</v>
      </c>
      <c r="C569">
        <v>1905</v>
      </c>
      <c r="F569" s="4" t="s">
        <v>3781</v>
      </c>
      <c r="G569">
        <v>0.40486146272694379</v>
      </c>
      <c r="H569">
        <f t="shared" si="17"/>
        <v>0.68894289185905222</v>
      </c>
      <c r="I569">
        <f t="shared" si="16"/>
        <v>4</v>
      </c>
    </row>
    <row r="570" spans="1:9" ht="60" x14ac:dyDescent="0.25">
      <c r="A570" t="s">
        <v>3365</v>
      </c>
      <c r="B570">
        <v>97750</v>
      </c>
      <c r="C570">
        <v>1528</v>
      </c>
      <c r="F570" s="4" t="s">
        <v>3394</v>
      </c>
      <c r="G570">
        <v>0.4052051077224344</v>
      </c>
      <c r="H570">
        <f t="shared" si="17"/>
        <v>0.69015795868772778</v>
      </c>
      <c r="I570">
        <f t="shared" si="16"/>
        <v>4</v>
      </c>
    </row>
    <row r="571" spans="1:9" ht="60" x14ac:dyDescent="0.25">
      <c r="A571" t="s">
        <v>3725</v>
      </c>
      <c r="B571">
        <v>98000</v>
      </c>
      <c r="C571">
        <v>1768</v>
      </c>
      <c r="F571" s="4" t="s">
        <v>3424</v>
      </c>
      <c r="G571">
        <v>0.40562317703656658</v>
      </c>
      <c r="H571">
        <f t="shared" si="17"/>
        <v>0.69137302551640345</v>
      </c>
      <c r="I571">
        <f t="shared" si="16"/>
        <v>4</v>
      </c>
    </row>
    <row r="572" spans="1:9" ht="45" x14ac:dyDescent="0.25">
      <c r="A572" t="s">
        <v>3120</v>
      </c>
      <c r="B572">
        <v>98000</v>
      </c>
      <c r="C572">
        <v>1396</v>
      </c>
      <c r="F572" s="4" t="s">
        <v>3838</v>
      </c>
      <c r="G572">
        <v>0.40573497117121726</v>
      </c>
      <c r="H572">
        <f t="shared" si="17"/>
        <v>0.69258809234507901</v>
      </c>
      <c r="I572">
        <f t="shared" si="16"/>
        <v>4</v>
      </c>
    </row>
    <row r="573" spans="1:9" ht="45" x14ac:dyDescent="0.25">
      <c r="A573" t="s">
        <v>3324</v>
      </c>
      <c r="B573">
        <v>98250</v>
      </c>
      <c r="C573">
        <v>1570</v>
      </c>
      <c r="F573" s="4" t="s">
        <v>3862</v>
      </c>
      <c r="G573">
        <v>0.4057420508118208</v>
      </c>
      <c r="H573">
        <f t="shared" si="17"/>
        <v>0.69380315917375457</v>
      </c>
      <c r="I573">
        <f t="shared" si="16"/>
        <v>4</v>
      </c>
    </row>
    <row r="574" spans="1:9" ht="60" x14ac:dyDescent="0.25">
      <c r="A574" t="s">
        <v>3632</v>
      </c>
      <c r="B574">
        <v>98409</v>
      </c>
      <c r="C574">
        <v>1623</v>
      </c>
      <c r="F574" s="4" t="s">
        <v>3556</v>
      </c>
      <c r="G574">
        <v>0.40600256684847646</v>
      </c>
      <c r="H574">
        <f t="shared" si="17"/>
        <v>0.69501822600243013</v>
      </c>
      <c r="I574">
        <f t="shared" si="16"/>
        <v>4</v>
      </c>
    </row>
    <row r="575" spans="1:9" ht="60" x14ac:dyDescent="0.25">
      <c r="A575" t="s">
        <v>3648</v>
      </c>
      <c r="B575">
        <v>98611</v>
      </c>
      <c r="C575">
        <v>1627</v>
      </c>
      <c r="F575" s="4" t="s">
        <v>3436</v>
      </c>
      <c r="G575">
        <v>0.40637274696229947</v>
      </c>
      <c r="H575">
        <f t="shared" si="17"/>
        <v>0.69623329283110569</v>
      </c>
      <c r="I575">
        <f t="shared" si="16"/>
        <v>4</v>
      </c>
    </row>
    <row r="576" spans="1:9" ht="60" x14ac:dyDescent="0.25">
      <c r="A576" t="s">
        <v>3824</v>
      </c>
      <c r="B576">
        <v>98636</v>
      </c>
      <c r="C576">
        <v>1940</v>
      </c>
      <c r="F576" s="4" t="s">
        <v>3581</v>
      </c>
      <c r="G576">
        <v>0.40683302901247259</v>
      </c>
      <c r="H576">
        <f t="shared" si="17"/>
        <v>0.69744835965978125</v>
      </c>
      <c r="I576">
        <f t="shared" si="16"/>
        <v>4</v>
      </c>
    </row>
    <row r="577" spans="1:9" ht="45" x14ac:dyDescent="0.25">
      <c r="A577" t="s">
        <v>3332</v>
      </c>
      <c r="B577">
        <v>98664</v>
      </c>
      <c r="C577">
        <v>1549</v>
      </c>
      <c r="F577" s="4" t="s">
        <v>3863</v>
      </c>
      <c r="G577">
        <v>0.40741971344097672</v>
      </c>
      <c r="H577">
        <f t="shared" si="17"/>
        <v>0.69866342648845692</v>
      </c>
      <c r="I577">
        <f t="shared" si="16"/>
        <v>4</v>
      </c>
    </row>
    <row r="578" spans="1:9" ht="60" x14ac:dyDescent="0.25">
      <c r="A578" t="s">
        <v>3833</v>
      </c>
      <c r="B578">
        <v>99112</v>
      </c>
      <c r="C578">
        <v>1969</v>
      </c>
      <c r="F578" s="4" t="s">
        <v>3779</v>
      </c>
      <c r="G578">
        <v>0.40862806827684589</v>
      </c>
      <c r="H578">
        <f t="shared" si="17"/>
        <v>0.69987849331713248</v>
      </c>
      <c r="I578">
        <f t="shared" si="16"/>
        <v>4</v>
      </c>
    </row>
    <row r="579" spans="1:9" ht="60" x14ac:dyDescent="0.25">
      <c r="A579" t="s">
        <v>3803</v>
      </c>
      <c r="B579">
        <v>99391</v>
      </c>
      <c r="C579">
        <v>1752</v>
      </c>
      <c r="F579" s="4" t="s">
        <v>3864</v>
      </c>
      <c r="G579">
        <v>0.40907697200156468</v>
      </c>
      <c r="H579">
        <f t="shared" si="17"/>
        <v>0.70109356014580804</v>
      </c>
      <c r="I579">
        <f t="shared" ref="I579:I642" si="18">IF(H579&lt;0.2,1,IF(H579&lt;0.4,2,IF(H579&lt;0.6,3,IF(H579&lt;0.8,4,5))))</f>
        <v>4</v>
      </c>
    </row>
    <row r="580" spans="1:9" ht="75" x14ac:dyDescent="0.25">
      <c r="A580" t="s">
        <v>3174</v>
      </c>
      <c r="B580">
        <v>99554</v>
      </c>
      <c r="C580">
        <v>1497</v>
      </c>
      <c r="F580" s="4" t="s">
        <v>3345</v>
      </c>
      <c r="G580">
        <v>0.40913780303643527</v>
      </c>
      <c r="H580">
        <f t="shared" ref="H580:H643" si="19">_xlfn.RANK.EQ(G580,$G$3:$G$825,1)/COUNT($G$3:$G$825)</f>
        <v>0.7023086269744836</v>
      </c>
      <c r="I580">
        <f t="shared" si="18"/>
        <v>4</v>
      </c>
    </row>
    <row r="581" spans="1:9" ht="45" x14ac:dyDescent="0.25">
      <c r="A581" t="s">
        <v>3200</v>
      </c>
      <c r="B581">
        <v>99617</v>
      </c>
      <c r="C581">
        <v>1511</v>
      </c>
      <c r="F581" s="4" t="s">
        <v>3743</v>
      </c>
      <c r="G581">
        <v>0.40958642751884039</v>
      </c>
      <c r="H581">
        <f t="shared" si="19"/>
        <v>0.70352369380315916</v>
      </c>
      <c r="I581">
        <f t="shared" si="18"/>
        <v>4</v>
      </c>
    </row>
    <row r="582" spans="1:9" ht="60" x14ac:dyDescent="0.25">
      <c r="A582" t="s">
        <v>3218</v>
      </c>
      <c r="B582">
        <v>99722</v>
      </c>
      <c r="C582">
        <v>1473</v>
      </c>
      <c r="F582" s="4" t="s">
        <v>3376</v>
      </c>
      <c r="G582">
        <v>0.41014862258273055</v>
      </c>
      <c r="H582">
        <f t="shared" si="19"/>
        <v>0.70473876063183472</v>
      </c>
      <c r="I582">
        <f t="shared" si="18"/>
        <v>4</v>
      </c>
    </row>
    <row r="583" spans="1:9" ht="60" x14ac:dyDescent="0.25">
      <c r="A583" t="s">
        <v>3326</v>
      </c>
      <c r="B583">
        <v>99743</v>
      </c>
      <c r="C583">
        <v>1591</v>
      </c>
      <c r="F583" s="4" t="s">
        <v>3751</v>
      </c>
      <c r="G583">
        <v>0.41092062520685918</v>
      </c>
      <c r="H583">
        <f t="shared" si="19"/>
        <v>0.70595382746051027</v>
      </c>
      <c r="I583">
        <f t="shared" si="18"/>
        <v>4</v>
      </c>
    </row>
    <row r="584" spans="1:9" ht="60" x14ac:dyDescent="0.25">
      <c r="A584" t="s">
        <v>3706</v>
      </c>
      <c r="B584">
        <v>99779</v>
      </c>
      <c r="C584">
        <v>1823</v>
      </c>
      <c r="F584" s="4" t="s">
        <v>3360</v>
      </c>
      <c r="G584">
        <v>0.41093478318184218</v>
      </c>
      <c r="H584">
        <f t="shared" si="19"/>
        <v>0.70716889428918595</v>
      </c>
      <c r="I584">
        <f t="shared" si="18"/>
        <v>4</v>
      </c>
    </row>
    <row r="585" spans="1:9" ht="60" x14ac:dyDescent="0.25">
      <c r="A585" t="s">
        <v>3816</v>
      </c>
      <c r="B585">
        <v>100156</v>
      </c>
      <c r="C585">
        <v>1861</v>
      </c>
      <c r="F585" s="4" t="s">
        <v>3741</v>
      </c>
      <c r="G585">
        <v>0.41318309236958906</v>
      </c>
      <c r="H585">
        <f t="shared" si="19"/>
        <v>0.7083839611178615</v>
      </c>
      <c r="I585">
        <f t="shared" si="18"/>
        <v>4</v>
      </c>
    </row>
    <row r="586" spans="1:9" ht="45" x14ac:dyDescent="0.25">
      <c r="A586" t="s">
        <v>3802</v>
      </c>
      <c r="B586">
        <v>100286</v>
      </c>
      <c r="C586">
        <v>1782</v>
      </c>
      <c r="F586" s="4" t="s">
        <v>3671</v>
      </c>
      <c r="G586">
        <v>0.41320374809299421</v>
      </c>
      <c r="H586">
        <f t="shared" si="19"/>
        <v>0.70959902794653706</v>
      </c>
      <c r="I586">
        <f t="shared" si="18"/>
        <v>4</v>
      </c>
    </row>
    <row r="587" spans="1:9" ht="45" x14ac:dyDescent="0.25">
      <c r="A587" t="s">
        <v>3417</v>
      </c>
      <c r="B587">
        <v>100309</v>
      </c>
      <c r="C587">
        <v>1797</v>
      </c>
      <c r="F587" s="4" t="s">
        <v>3844</v>
      </c>
      <c r="G587">
        <v>0.41420021500458548</v>
      </c>
      <c r="H587">
        <f t="shared" si="19"/>
        <v>0.71081409477521262</v>
      </c>
      <c r="I587">
        <f t="shared" si="18"/>
        <v>4</v>
      </c>
    </row>
    <row r="588" spans="1:9" ht="45" x14ac:dyDescent="0.25">
      <c r="A588" t="s">
        <v>3865</v>
      </c>
      <c r="B588">
        <v>100357</v>
      </c>
      <c r="C588">
        <v>2200</v>
      </c>
      <c r="F588" s="4" t="s">
        <v>3866</v>
      </c>
      <c r="G588">
        <v>0.4142631515797443</v>
      </c>
      <c r="H588">
        <f t="shared" si="19"/>
        <v>0.71202916160388818</v>
      </c>
      <c r="I588">
        <f t="shared" si="18"/>
        <v>4</v>
      </c>
    </row>
    <row r="589" spans="1:9" ht="60" x14ac:dyDescent="0.25">
      <c r="A589" t="s">
        <v>3588</v>
      </c>
      <c r="B589">
        <v>100435</v>
      </c>
      <c r="C589">
        <v>1779</v>
      </c>
      <c r="F589" s="4" t="s">
        <v>3253</v>
      </c>
      <c r="G589">
        <v>0.41431676527799866</v>
      </c>
      <c r="H589">
        <f t="shared" si="19"/>
        <v>0.71324422843256374</v>
      </c>
      <c r="I589">
        <f t="shared" si="18"/>
        <v>4</v>
      </c>
    </row>
    <row r="590" spans="1:9" ht="60" x14ac:dyDescent="0.25">
      <c r="A590" t="s">
        <v>3361</v>
      </c>
      <c r="B590">
        <v>100757</v>
      </c>
      <c r="C590">
        <v>1517</v>
      </c>
      <c r="F590" s="4" t="s">
        <v>3054</v>
      </c>
      <c r="G590">
        <v>0.41649201673021297</v>
      </c>
      <c r="H590">
        <f t="shared" si="19"/>
        <v>0.71445929526123941</v>
      </c>
      <c r="I590">
        <f t="shared" si="18"/>
        <v>4</v>
      </c>
    </row>
    <row r="591" spans="1:9" ht="45" x14ac:dyDescent="0.25">
      <c r="A591" t="s">
        <v>3867</v>
      </c>
      <c r="B591">
        <v>100813</v>
      </c>
      <c r="C591">
        <v>2347</v>
      </c>
      <c r="F591" s="4" t="s">
        <v>3868</v>
      </c>
      <c r="G591">
        <v>0.41651541620530474</v>
      </c>
      <c r="H591">
        <f t="shared" si="19"/>
        <v>0.71567436208991497</v>
      </c>
      <c r="I591">
        <f t="shared" si="18"/>
        <v>4</v>
      </c>
    </row>
    <row r="592" spans="1:9" ht="60" x14ac:dyDescent="0.25">
      <c r="A592" t="s">
        <v>3356</v>
      </c>
      <c r="B592">
        <v>100833</v>
      </c>
      <c r="C592">
        <v>1587</v>
      </c>
      <c r="F592" s="4" t="s">
        <v>3716</v>
      </c>
      <c r="G592">
        <v>0.41670233268118784</v>
      </c>
      <c r="H592">
        <f t="shared" si="19"/>
        <v>0.71688942891859053</v>
      </c>
      <c r="I592">
        <f t="shared" si="18"/>
        <v>4</v>
      </c>
    </row>
    <row r="593" spans="1:9" ht="60" x14ac:dyDescent="0.25">
      <c r="A593" t="s">
        <v>3704</v>
      </c>
      <c r="B593">
        <v>101679</v>
      </c>
      <c r="C593">
        <v>1757</v>
      </c>
      <c r="F593" s="4" t="s">
        <v>3503</v>
      </c>
      <c r="G593">
        <v>0.41773297359811123</v>
      </c>
      <c r="H593">
        <f t="shared" si="19"/>
        <v>0.71810449574726609</v>
      </c>
      <c r="I593">
        <f t="shared" si="18"/>
        <v>4</v>
      </c>
    </row>
    <row r="594" spans="1:9" ht="60" x14ac:dyDescent="0.25">
      <c r="A594" t="s">
        <v>3694</v>
      </c>
      <c r="B594">
        <v>101818</v>
      </c>
      <c r="C594">
        <v>1838</v>
      </c>
      <c r="F594" s="4" t="s">
        <v>3440</v>
      </c>
      <c r="G594">
        <v>0.41923389917164006</v>
      </c>
      <c r="H594">
        <f t="shared" si="19"/>
        <v>0.71931956257594165</v>
      </c>
      <c r="I594">
        <f t="shared" si="18"/>
        <v>4</v>
      </c>
    </row>
    <row r="595" spans="1:9" ht="60" x14ac:dyDescent="0.25">
      <c r="A595" t="s">
        <v>3334</v>
      </c>
      <c r="B595">
        <v>101848</v>
      </c>
      <c r="C595">
        <v>1522</v>
      </c>
      <c r="F595" s="4" t="s">
        <v>3487</v>
      </c>
      <c r="G595">
        <v>0.41942975841529184</v>
      </c>
      <c r="H595">
        <f t="shared" si="19"/>
        <v>0.72053462940461721</v>
      </c>
      <c r="I595">
        <f t="shared" si="18"/>
        <v>4</v>
      </c>
    </row>
    <row r="596" spans="1:9" ht="60" x14ac:dyDescent="0.25">
      <c r="A596" t="s">
        <v>3058</v>
      </c>
      <c r="B596">
        <v>101964</v>
      </c>
      <c r="C596">
        <v>1333</v>
      </c>
      <c r="F596" s="4" t="s">
        <v>3662</v>
      </c>
      <c r="G596">
        <v>0.41948891541407324</v>
      </c>
      <c r="H596">
        <f t="shared" si="19"/>
        <v>0.72174969623329288</v>
      </c>
      <c r="I596">
        <f t="shared" si="18"/>
        <v>4</v>
      </c>
    </row>
    <row r="597" spans="1:9" ht="60" x14ac:dyDescent="0.25">
      <c r="A597" t="s">
        <v>3832</v>
      </c>
      <c r="B597">
        <v>101974</v>
      </c>
      <c r="C597">
        <v>1923</v>
      </c>
      <c r="F597" s="4" t="s">
        <v>3438</v>
      </c>
      <c r="G597">
        <v>0.41972521574763771</v>
      </c>
      <c r="H597">
        <f t="shared" si="19"/>
        <v>0.72296476306196844</v>
      </c>
      <c r="I597">
        <f t="shared" si="18"/>
        <v>4</v>
      </c>
    </row>
    <row r="598" spans="1:9" ht="60" x14ac:dyDescent="0.25">
      <c r="A598" t="s">
        <v>3654</v>
      </c>
      <c r="B598">
        <v>102222</v>
      </c>
      <c r="C598">
        <v>1797</v>
      </c>
      <c r="F598" s="4" t="s">
        <v>3747</v>
      </c>
      <c r="G598">
        <v>0.41984864847554176</v>
      </c>
      <c r="H598">
        <f t="shared" si="19"/>
        <v>0.724179829890644</v>
      </c>
      <c r="I598">
        <f t="shared" si="18"/>
        <v>4</v>
      </c>
    </row>
    <row r="599" spans="1:9" ht="60" x14ac:dyDescent="0.25">
      <c r="A599" t="s">
        <v>3130</v>
      </c>
      <c r="B599">
        <v>102227</v>
      </c>
      <c r="C599">
        <v>1493</v>
      </c>
      <c r="F599" s="4" t="s">
        <v>3869</v>
      </c>
      <c r="G599">
        <v>0.42011676726157032</v>
      </c>
      <c r="H599">
        <f t="shared" si="19"/>
        <v>0.72539489671931956</v>
      </c>
      <c r="I599">
        <f t="shared" si="18"/>
        <v>4</v>
      </c>
    </row>
    <row r="600" spans="1:9" ht="45" x14ac:dyDescent="0.25">
      <c r="A600" t="s">
        <v>3563</v>
      </c>
      <c r="B600">
        <v>102610</v>
      </c>
      <c r="C600">
        <v>1720</v>
      </c>
      <c r="F600" s="4" t="s">
        <v>3843</v>
      </c>
      <c r="G600">
        <v>0.42026198547625249</v>
      </c>
      <c r="H600">
        <f t="shared" si="19"/>
        <v>0.72660996354799512</v>
      </c>
      <c r="I600">
        <f t="shared" si="18"/>
        <v>4</v>
      </c>
    </row>
    <row r="601" spans="1:9" ht="60" x14ac:dyDescent="0.25">
      <c r="A601" t="s">
        <v>3288</v>
      </c>
      <c r="B601">
        <v>102656</v>
      </c>
      <c r="C601">
        <v>1507</v>
      </c>
      <c r="F601" s="4" t="s">
        <v>3404</v>
      </c>
      <c r="G601">
        <v>0.42150373345373043</v>
      </c>
      <c r="H601">
        <f t="shared" si="19"/>
        <v>0.72782503037667068</v>
      </c>
      <c r="I601">
        <f t="shared" si="18"/>
        <v>4</v>
      </c>
    </row>
    <row r="602" spans="1:9" ht="45" x14ac:dyDescent="0.25">
      <c r="A602" t="s">
        <v>3561</v>
      </c>
      <c r="B602">
        <v>102688</v>
      </c>
      <c r="C602">
        <v>1746</v>
      </c>
      <c r="F602" s="4" t="s">
        <v>3835</v>
      </c>
      <c r="G602">
        <v>0.42152284770631243</v>
      </c>
      <c r="H602">
        <f t="shared" si="19"/>
        <v>0.72904009720534635</v>
      </c>
      <c r="I602">
        <f t="shared" si="18"/>
        <v>4</v>
      </c>
    </row>
    <row r="603" spans="1:9" ht="60" x14ac:dyDescent="0.25">
      <c r="A603" t="s">
        <v>3530</v>
      </c>
      <c r="B603">
        <v>102697</v>
      </c>
      <c r="C603">
        <v>1664</v>
      </c>
      <c r="F603" s="4" t="s">
        <v>3295</v>
      </c>
      <c r="G603">
        <v>0.42163185692707678</v>
      </c>
      <c r="H603">
        <f t="shared" si="19"/>
        <v>0.73025516403402191</v>
      </c>
      <c r="I603">
        <f t="shared" si="18"/>
        <v>4</v>
      </c>
    </row>
    <row r="604" spans="1:9" ht="60" x14ac:dyDescent="0.25">
      <c r="A604" t="s">
        <v>3248</v>
      </c>
      <c r="B604">
        <v>102955</v>
      </c>
      <c r="C604">
        <v>1589</v>
      </c>
      <c r="F604" s="4" t="s">
        <v>3739</v>
      </c>
      <c r="G604">
        <v>0.42178377948427376</v>
      </c>
      <c r="H604">
        <f t="shared" si="19"/>
        <v>0.73147023086269747</v>
      </c>
      <c r="I604">
        <f t="shared" si="18"/>
        <v>4</v>
      </c>
    </row>
    <row r="605" spans="1:9" ht="60" x14ac:dyDescent="0.25">
      <c r="A605" t="s">
        <v>3473</v>
      </c>
      <c r="B605">
        <v>103348</v>
      </c>
      <c r="C605">
        <v>1618</v>
      </c>
      <c r="F605" s="4" t="s">
        <v>3398</v>
      </c>
      <c r="G605">
        <v>0.42199676813140091</v>
      </c>
      <c r="H605">
        <f t="shared" si="19"/>
        <v>0.73268529769137303</v>
      </c>
      <c r="I605">
        <f t="shared" si="18"/>
        <v>4</v>
      </c>
    </row>
    <row r="606" spans="1:9" ht="60" x14ac:dyDescent="0.25">
      <c r="A606" t="s">
        <v>3276</v>
      </c>
      <c r="B606">
        <v>103558</v>
      </c>
      <c r="C606">
        <v>1763</v>
      </c>
      <c r="F606" s="4" t="s">
        <v>3129</v>
      </c>
      <c r="G606">
        <v>0.42229327442853559</v>
      </c>
      <c r="H606">
        <f t="shared" si="19"/>
        <v>0.73390036452004859</v>
      </c>
      <c r="I606">
        <f t="shared" si="18"/>
        <v>4</v>
      </c>
    </row>
    <row r="607" spans="1:9" ht="45" x14ac:dyDescent="0.25">
      <c r="A607" t="s">
        <v>3391</v>
      </c>
      <c r="B607">
        <v>103598</v>
      </c>
      <c r="C607">
        <v>1613</v>
      </c>
      <c r="F607" s="4" t="s">
        <v>3755</v>
      </c>
      <c r="G607">
        <v>0.42230694751159092</v>
      </c>
      <c r="H607">
        <f t="shared" si="19"/>
        <v>0.73511543134872415</v>
      </c>
      <c r="I607">
        <f t="shared" si="18"/>
        <v>4</v>
      </c>
    </row>
    <row r="608" spans="1:9" ht="60" x14ac:dyDescent="0.25">
      <c r="A608" t="s">
        <v>3407</v>
      </c>
      <c r="B608">
        <v>103631</v>
      </c>
      <c r="C608">
        <v>1669</v>
      </c>
      <c r="F608" s="4" t="s">
        <v>3870</v>
      </c>
      <c r="G608">
        <v>0.42261074584372743</v>
      </c>
      <c r="H608">
        <f t="shared" si="19"/>
        <v>0.73633049817739971</v>
      </c>
      <c r="I608">
        <f t="shared" si="18"/>
        <v>4</v>
      </c>
    </row>
    <row r="609" spans="1:9" ht="60" x14ac:dyDescent="0.25">
      <c r="A609" t="s">
        <v>3806</v>
      </c>
      <c r="B609">
        <v>103810</v>
      </c>
      <c r="C609">
        <v>1898</v>
      </c>
      <c r="F609" s="4" t="s">
        <v>3325</v>
      </c>
      <c r="G609">
        <v>0.42265564951867357</v>
      </c>
      <c r="H609">
        <f t="shared" si="19"/>
        <v>0.73754556500607538</v>
      </c>
      <c r="I609">
        <f t="shared" si="18"/>
        <v>4</v>
      </c>
    </row>
    <row r="610" spans="1:9" ht="45" x14ac:dyDescent="0.25">
      <c r="A610" t="s">
        <v>3050</v>
      </c>
      <c r="B610">
        <v>104336</v>
      </c>
      <c r="C610">
        <v>1214</v>
      </c>
      <c r="F610" s="4" t="s">
        <v>3189</v>
      </c>
      <c r="G610">
        <v>0.42266661142302608</v>
      </c>
      <c r="H610">
        <f t="shared" si="19"/>
        <v>0.73876063183475094</v>
      </c>
      <c r="I610">
        <f t="shared" si="18"/>
        <v>4</v>
      </c>
    </row>
    <row r="611" spans="1:9" ht="60" x14ac:dyDescent="0.25">
      <c r="A611" t="s">
        <v>3752</v>
      </c>
      <c r="B611">
        <v>104375</v>
      </c>
      <c r="C611">
        <v>1948</v>
      </c>
      <c r="F611" s="4" t="s">
        <v>3546</v>
      </c>
      <c r="G611">
        <v>0.42294954337860613</v>
      </c>
      <c r="H611">
        <f t="shared" si="19"/>
        <v>0.7399756986634265</v>
      </c>
      <c r="I611">
        <f t="shared" si="18"/>
        <v>4</v>
      </c>
    </row>
    <row r="612" spans="1:9" ht="45" x14ac:dyDescent="0.25">
      <c r="A612" t="s">
        <v>3780</v>
      </c>
      <c r="B612">
        <v>104417</v>
      </c>
      <c r="C612">
        <v>1919</v>
      </c>
      <c r="F612" s="4" t="s">
        <v>3652</v>
      </c>
      <c r="G612">
        <v>0.42463469662908576</v>
      </c>
      <c r="H612">
        <f t="shared" si="19"/>
        <v>0.74119076549210205</v>
      </c>
      <c r="I612">
        <f t="shared" si="18"/>
        <v>4</v>
      </c>
    </row>
    <row r="613" spans="1:9" ht="60" x14ac:dyDescent="0.25">
      <c r="A613" t="s">
        <v>3724</v>
      </c>
      <c r="B613">
        <v>104432</v>
      </c>
      <c r="C613">
        <v>1895</v>
      </c>
      <c r="F613" s="4" t="s">
        <v>3452</v>
      </c>
      <c r="G613">
        <v>0.42524497678847589</v>
      </c>
      <c r="H613">
        <f t="shared" si="19"/>
        <v>0.74240583232077761</v>
      </c>
      <c r="I613">
        <f t="shared" si="18"/>
        <v>4</v>
      </c>
    </row>
    <row r="614" spans="1:9" ht="60" x14ac:dyDescent="0.25">
      <c r="A614" t="s">
        <v>3469</v>
      </c>
      <c r="B614">
        <v>104500</v>
      </c>
      <c r="C614">
        <v>1647</v>
      </c>
      <c r="F614" s="4" t="s">
        <v>3285</v>
      </c>
      <c r="G614">
        <v>0.42544135242429959</v>
      </c>
      <c r="H614">
        <f t="shared" si="19"/>
        <v>0.74362089914945317</v>
      </c>
      <c r="I614">
        <f t="shared" si="18"/>
        <v>4</v>
      </c>
    </row>
    <row r="615" spans="1:9" ht="45" x14ac:dyDescent="0.25">
      <c r="A615" t="s">
        <v>3555</v>
      </c>
      <c r="B615">
        <v>104868</v>
      </c>
      <c r="C615">
        <v>2018</v>
      </c>
      <c r="F615" s="4" t="s">
        <v>3666</v>
      </c>
      <c r="G615">
        <v>0.4276334016734083</v>
      </c>
      <c r="H615">
        <f t="shared" si="19"/>
        <v>0.74483596597812884</v>
      </c>
      <c r="I615">
        <f t="shared" si="18"/>
        <v>4</v>
      </c>
    </row>
    <row r="616" spans="1:9" ht="60" x14ac:dyDescent="0.25">
      <c r="A616" t="s">
        <v>3431</v>
      </c>
      <c r="B616">
        <v>105000</v>
      </c>
      <c r="C616">
        <v>1759</v>
      </c>
      <c r="F616" s="4" t="s">
        <v>3611</v>
      </c>
      <c r="G616">
        <v>0.42803399938478393</v>
      </c>
      <c r="H616">
        <f t="shared" si="19"/>
        <v>0.7460510328068044</v>
      </c>
      <c r="I616">
        <f t="shared" si="18"/>
        <v>4</v>
      </c>
    </row>
    <row r="617" spans="1:9" ht="45" x14ac:dyDescent="0.25">
      <c r="A617" t="s">
        <v>3064</v>
      </c>
      <c r="B617">
        <v>105066</v>
      </c>
      <c r="C617">
        <v>1483</v>
      </c>
      <c r="F617" s="4" t="s">
        <v>3807</v>
      </c>
      <c r="G617">
        <v>0.42815289642915966</v>
      </c>
      <c r="H617">
        <f t="shared" si="19"/>
        <v>0.74726609963547996</v>
      </c>
      <c r="I617">
        <f t="shared" si="18"/>
        <v>4</v>
      </c>
    </row>
    <row r="618" spans="1:9" ht="60" x14ac:dyDescent="0.25">
      <c r="A618" t="s">
        <v>3168</v>
      </c>
      <c r="B618">
        <v>105328</v>
      </c>
      <c r="C618">
        <v>1487</v>
      </c>
      <c r="F618" s="4" t="s">
        <v>3538</v>
      </c>
      <c r="G618">
        <v>0.42827130524938212</v>
      </c>
      <c r="H618">
        <f t="shared" si="19"/>
        <v>0.74848116646415552</v>
      </c>
      <c r="I618">
        <f t="shared" si="18"/>
        <v>4</v>
      </c>
    </row>
    <row r="619" spans="1:9" ht="45" x14ac:dyDescent="0.25">
      <c r="A619" t="s">
        <v>3703</v>
      </c>
      <c r="B619">
        <v>105441</v>
      </c>
      <c r="C619">
        <v>1838</v>
      </c>
      <c r="F619" s="4" t="s">
        <v>3857</v>
      </c>
      <c r="G619">
        <v>0.4285856202064996</v>
      </c>
      <c r="H619">
        <f t="shared" si="19"/>
        <v>0.74969623329283108</v>
      </c>
      <c r="I619">
        <f t="shared" si="18"/>
        <v>4</v>
      </c>
    </row>
    <row r="620" spans="1:9" ht="60" x14ac:dyDescent="0.25">
      <c r="A620" t="s">
        <v>3851</v>
      </c>
      <c r="B620">
        <v>105528</v>
      </c>
      <c r="C620">
        <v>1936</v>
      </c>
      <c r="F620" s="4" t="s">
        <v>3323</v>
      </c>
      <c r="G620">
        <v>0.42887326293094546</v>
      </c>
      <c r="H620">
        <f t="shared" si="19"/>
        <v>0.75091130012150664</v>
      </c>
      <c r="I620">
        <f t="shared" si="18"/>
        <v>4</v>
      </c>
    </row>
    <row r="621" spans="1:9" ht="45" x14ac:dyDescent="0.25">
      <c r="A621" t="s">
        <v>3688</v>
      </c>
      <c r="B621">
        <v>105701</v>
      </c>
      <c r="C621">
        <v>1769</v>
      </c>
      <c r="F621" s="4" t="s">
        <v>3871</v>
      </c>
      <c r="G621">
        <v>0.42979207907731848</v>
      </c>
      <c r="H621">
        <f t="shared" si="19"/>
        <v>0.75212636695018231</v>
      </c>
      <c r="I621">
        <f t="shared" si="18"/>
        <v>4</v>
      </c>
    </row>
    <row r="622" spans="1:9" ht="45" x14ac:dyDescent="0.25">
      <c r="A622" t="s">
        <v>3056</v>
      </c>
      <c r="B622">
        <v>105708</v>
      </c>
      <c r="C622">
        <v>1281</v>
      </c>
      <c r="F622" s="4" t="s">
        <v>3865</v>
      </c>
      <c r="G622">
        <v>0.43064920867987821</v>
      </c>
      <c r="H622">
        <f t="shared" si="19"/>
        <v>0.75334143377885787</v>
      </c>
      <c r="I622">
        <f t="shared" si="18"/>
        <v>4</v>
      </c>
    </row>
    <row r="623" spans="1:9" ht="60" x14ac:dyDescent="0.25">
      <c r="A623" t="s">
        <v>3224</v>
      </c>
      <c r="B623">
        <v>105759</v>
      </c>
      <c r="C623">
        <v>1649</v>
      </c>
      <c r="F623" s="4" t="s">
        <v>3653</v>
      </c>
      <c r="G623">
        <v>0.43185447284502793</v>
      </c>
      <c r="H623">
        <f t="shared" si="19"/>
        <v>0.75455650060753343</v>
      </c>
      <c r="I623">
        <f t="shared" si="18"/>
        <v>4</v>
      </c>
    </row>
    <row r="624" spans="1:9" ht="60" x14ac:dyDescent="0.25">
      <c r="A624" t="s">
        <v>3610</v>
      </c>
      <c r="B624">
        <v>105769</v>
      </c>
      <c r="C624">
        <v>1827</v>
      </c>
      <c r="F624" s="4" t="s">
        <v>3700</v>
      </c>
      <c r="G624">
        <v>0.43227143607034435</v>
      </c>
      <c r="H624">
        <f t="shared" si="19"/>
        <v>0.75577156743620899</v>
      </c>
      <c r="I624">
        <f t="shared" si="18"/>
        <v>4</v>
      </c>
    </row>
    <row r="625" spans="1:9" ht="45" x14ac:dyDescent="0.25">
      <c r="A625" t="s">
        <v>3630</v>
      </c>
      <c r="B625">
        <v>105772</v>
      </c>
      <c r="C625">
        <v>1778</v>
      </c>
      <c r="F625" s="4" t="s">
        <v>3644</v>
      </c>
      <c r="G625">
        <v>0.4333360861761022</v>
      </c>
      <c r="H625">
        <f t="shared" si="19"/>
        <v>0.75698663426488455</v>
      </c>
      <c r="I625">
        <f t="shared" si="18"/>
        <v>4</v>
      </c>
    </row>
    <row r="626" spans="1:9" ht="60" x14ac:dyDescent="0.25">
      <c r="A626" t="s">
        <v>3340</v>
      </c>
      <c r="B626">
        <v>105833</v>
      </c>
      <c r="C626">
        <v>1727</v>
      </c>
      <c r="F626" s="4" t="s">
        <v>3233</v>
      </c>
      <c r="G626">
        <v>0.43376878709384215</v>
      </c>
      <c r="H626">
        <f t="shared" si="19"/>
        <v>0.75820170109356011</v>
      </c>
      <c r="I626">
        <f t="shared" si="18"/>
        <v>4</v>
      </c>
    </row>
    <row r="627" spans="1:9" ht="45" x14ac:dyDescent="0.25">
      <c r="A627" t="s">
        <v>3782</v>
      </c>
      <c r="B627">
        <v>106063</v>
      </c>
      <c r="C627">
        <v>1906</v>
      </c>
      <c r="F627" s="4" t="s">
        <v>3872</v>
      </c>
      <c r="G627">
        <v>0.43481001460471491</v>
      </c>
      <c r="H627">
        <f t="shared" si="19"/>
        <v>0.75941676792223567</v>
      </c>
      <c r="I627">
        <f t="shared" si="18"/>
        <v>4</v>
      </c>
    </row>
    <row r="628" spans="1:9" ht="60" x14ac:dyDescent="0.25">
      <c r="A628" t="s">
        <v>3164</v>
      </c>
      <c r="B628">
        <v>106111</v>
      </c>
      <c r="C628">
        <v>1589</v>
      </c>
      <c r="F628" s="4" t="s">
        <v>3406</v>
      </c>
      <c r="G628">
        <v>0.43533370797384441</v>
      </c>
      <c r="H628">
        <f t="shared" si="19"/>
        <v>0.76063183475091134</v>
      </c>
      <c r="I628">
        <f t="shared" si="18"/>
        <v>4</v>
      </c>
    </row>
    <row r="629" spans="1:9" ht="45" x14ac:dyDescent="0.25">
      <c r="A629" t="s">
        <v>3477</v>
      </c>
      <c r="B629">
        <v>106250</v>
      </c>
      <c r="C629">
        <v>1724</v>
      </c>
      <c r="F629" s="4" t="s">
        <v>3698</v>
      </c>
      <c r="G629">
        <v>0.43665070697986402</v>
      </c>
      <c r="H629">
        <f t="shared" si="19"/>
        <v>0.7618469015795869</v>
      </c>
      <c r="I629">
        <f t="shared" si="18"/>
        <v>4</v>
      </c>
    </row>
    <row r="630" spans="1:9" ht="60" x14ac:dyDescent="0.25">
      <c r="A630" t="s">
        <v>3788</v>
      </c>
      <c r="B630">
        <v>106296</v>
      </c>
      <c r="C630">
        <v>1962</v>
      </c>
      <c r="F630" s="4" t="s">
        <v>3450</v>
      </c>
      <c r="G630">
        <v>0.43680591583802686</v>
      </c>
      <c r="H630">
        <f t="shared" si="19"/>
        <v>0.76306196840826246</v>
      </c>
      <c r="I630">
        <f t="shared" si="18"/>
        <v>4</v>
      </c>
    </row>
    <row r="631" spans="1:9" ht="45" x14ac:dyDescent="0.25">
      <c r="A631" t="s">
        <v>3310</v>
      </c>
      <c r="B631">
        <v>106765</v>
      </c>
      <c r="C631">
        <v>1649</v>
      </c>
      <c r="F631" s="4" t="s">
        <v>3848</v>
      </c>
      <c r="G631">
        <v>0.43709317380678131</v>
      </c>
      <c r="H631">
        <f t="shared" si="19"/>
        <v>0.76427703523693802</v>
      </c>
      <c r="I631">
        <f t="shared" si="18"/>
        <v>4</v>
      </c>
    </row>
    <row r="632" spans="1:9" ht="60" x14ac:dyDescent="0.25">
      <c r="A632" t="s">
        <v>3192</v>
      </c>
      <c r="B632">
        <v>106782</v>
      </c>
      <c r="C632">
        <v>1549</v>
      </c>
      <c r="F632" s="4" t="s">
        <v>3351</v>
      </c>
      <c r="G632">
        <v>0.43758893188785219</v>
      </c>
      <c r="H632">
        <f t="shared" si="19"/>
        <v>0.76549210206561358</v>
      </c>
      <c r="I632">
        <f t="shared" si="18"/>
        <v>4</v>
      </c>
    </row>
    <row r="633" spans="1:9" ht="60" x14ac:dyDescent="0.25">
      <c r="A633" t="s">
        <v>3858</v>
      </c>
      <c r="B633">
        <v>106904</v>
      </c>
      <c r="C633">
        <v>2045</v>
      </c>
      <c r="F633" s="4" t="s">
        <v>3380</v>
      </c>
      <c r="G633">
        <v>0.43808501625148072</v>
      </c>
      <c r="H633">
        <f t="shared" si="19"/>
        <v>0.76670716889428914</v>
      </c>
      <c r="I633">
        <f t="shared" si="18"/>
        <v>4</v>
      </c>
    </row>
    <row r="634" spans="1:9" ht="60" x14ac:dyDescent="0.25">
      <c r="A634" t="s">
        <v>3792</v>
      </c>
      <c r="B634">
        <v>106915</v>
      </c>
      <c r="C634">
        <v>1972</v>
      </c>
      <c r="F634" s="4" t="s">
        <v>3349</v>
      </c>
      <c r="G634">
        <v>0.43817993206450268</v>
      </c>
      <c r="H634">
        <f t="shared" si="19"/>
        <v>0.76792223572296481</v>
      </c>
      <c r="I634">
        <f t="shared" si="18"/>
        <v>4</v>
      </c>
    </row>
    <row r="635" spans="1:9" ht="60" x14ac:dyDescent="0.25">
      <c r="A635" t="s">
        <v>3809</v>
      </c>
      <c r="B635">
        <v>107033</v>
      </c>
      <c r="C635">
        <v>1991</v>
      </c>
      <c r="F635" s="4" t="s">
        <v>3275</v>
      </c>
      <c r="G635">
        <v>0.44002115550386478</v>
      </c>
      <c r="H635">
        <f t="shared" si="19"/>
        <v>0.76913730255164037</v>
      </c>
      <c r="I635">
        <f t="shared" si="18"/>
        <v>4</v>
      </c>
    </row>
    <row r="636" spans="1:9" ht="60" x14ac:dyDescent="0.25">
      <c r="A636" t="s">
        <v>3799</v>
      </c>
      <c r="B636">
        <v>107109</v>
      </c>
      <c r="C636">
        <v>1988</v>
      </c>
      <c r="F636" s="4" t="s">
        <v>3372</v>
      </c>
      <c r="G636">
        <v>0.440503137065613</v>
      </c>
      <c r="H636">
        <f t="shared" si="19"/>
        <v>0.77035236938031593</v>
      </c>
      <c r="I636">
        <f t="shared" si="18"/>
        <v>4</v>
      </c>
    </row>
    <row r="637" spans="1:9" ht="60" x14ac:dyDescent="0.25">
      <c r="A637" t="s">
        <v>3528</v>
      </c>
      <c r="B637">
        <v>107500</v>
      </c>
      <c r="C637">
        <v>1778</v>
      </c>
      <c r="F637" s="4" t="s">
        <v>3412</v>
      </c>
      <c r="G637">
        <v>0.44126224509457651</v>
      </c>
      <c r="H637">
        <f t="shared" si="19"/>
        <v>0.77156743620899149</v>
      </c>
      <c r="I637">
        <f t="shared" si="18"/>
        <v>4</v>
      </c>
    </row>
    <row r="638" spans="1:9" ht="60" x14ac:dyDescent="0.25">
      <c r="A638" t="s">
        <v>3571</v>
      </c>
      <c r="B638">
        <v>107619</v>
      </c>
      <c r="C638">
        <v>1824</v>
      </c>
      <c r="F638" s="4" t="s">
        <v>3474</v>
      </c>
      <c r="G638">
        <v>0.44197919784831841</v>
      </c>
      <c r="H638">
        <f t="shared" si="19"/>
        <v>0.77278250303766705</v>
      </c>
      <c r="I638">
        <f t="shared" si="18"/>
        <v>4</v>
      </c>
    </row>
    <row r="639" spans="1:9" ht="60" x14ac:dyDescent="0.25">
      <c r="A639" t="s">
        <v>3194</v>
      </c>
      <c r="B639">
        <v>107670</v>
      </c>
      <c r="C639">
        <v>1572</v>
      </c>
      <c r="F639" s="4" t="s">
        <v>3826</v>
      </c>
      <c r="G639">
        <v>0.4423210717817801</v>
      </c>
      <c r="H639">
        <f t="shared" si="19"/>
        <v>0.77399756986634261</v>
      </c>
      <c r="I639">
        <f t="shared" si="18"/>
        <v>4</v>
      </c>
    </row>
    <row r="640" spans="1:9" ht="60" x14ac:dyDescent="0.25">
      <c r="A640" t="s">
        <v>3517</v>
      </c>
      <c r="B640">
        <v>108250</v>
      </c>
      <c r="C640">
        <v>1915</v>
      </c>
      <c r="F640" s="4" t="s">
        <v>3343</v>
      </c>
      <c r="G640">
        <v>0.44237332479900987</v>
      </c>
      <c r="H640">
        <f t="shared" si="19"/>
        <v>0.77521263669501828</v>
      </c>
      <c r="I640">
        <f t="shared" si="18"/>
        <v>4</v>
      </c>
    </row>
    <row r="641" spans="1:9" ht="45" x14ac:dyDescent="0.25">
      <c r="A641" t="s">
        <v>3692</v>
      </c>
      <c r="B641">
        <v>108636</v>
      </c>
      <c r="C641">
        <v>1867</v>
      </c>
      <c r="F641" s="4" t="s">
        <v>3591</v>
      </c>
      <c r="G641">
        <v>0.4429759437362043</v>
      </c>
      <c r="H641">
        <f t="shared" si="19"/>
        <v>0.77642770352369384</v>
      </c>
      <c r="I641">
        <f t="shared" si="18"/>
        <v>4</v>
      </c>
    </row>
    <row r="642" spans="1:9" ht="60" x14ac:dyDescent="0.25">
      <c r="A642" t="s">
        <v>3166</v>
      </c>
      <c r="B642">
        <v>108750</v>
      </c>
      <c r="C642">
        <v>1577</v>
      </c>
      <c r="F642" s="4" t="s">
        <v>3562</v>
      </c>
      <c r="G642">
        <v>0.44332208187054695</v>
      </c>
      <c r="H642">
        <f t="shared" si="19"/>
        <v>0.77764277035236939</v>
      </c>
      <c r="I642">
        <f t="shared" si="18"/>
        <v>4</v>
      </c>
    </row>
    <row r="643" spans="1:9" ht="60" x14ac:dyDescent="0.25">
      <c r="A643" t="s">
        <v>3639</v>
      </c>
      <c r="B643">
        <v>109167</v>
      </c>
      <c r="C643">
        <v>1878</v>
      </c>
      <c r="F643" s="4" t="s">
        <v>3339</v>
      </c>
      <c r="G643">
        <v>0.4447907005502999</v>
      </c>
      <c r="H643">
        <f t="shared" si="19"/>
        <v>0.77885783718104495</v>
      </c>
      <c r="I643">
        <f t="shared" ref="I643:I706" si="20">IF(H643&lt;0.2,1,IF(H643&lt;0.4,2,IF(H643&lt;0.6,3,IF(H643&lt;0.8,4,5))))</f>
        <v>4</v>
      </c>
    </row>
    <row r="644" spans="1:9" ht="45" x14ac:dyDescent="0.25">
      <c r="A644" t="s">
        <v>3523</v>
      </c>
      <c r="B644">
        <v>109429</v>
      </c>
      <c r="C644">
        <v>1826</v>
      </c>
      <c r="F644" s="4" t="s">
        <v>3873</v>
      </c>
      <c r="G644">
        <v>0.44497832102998863</v>
      </c>
      <c r="H644">
        <f t="shared" ref="H644:H707" si="21">_xlfn.RANK.EQ(G644,$G$3:$G$825,1)/COUNT($G$3:$G$825)</f>
        <v>0.78007290400972051</v>
      </c>
      <c r="I644">
        <f t="shared" si="20"/>
        <v>4</v>
      </c>
    </row>
    <row r="645" spans="1:9" ht="60" x14ac:dyDescent="0.25">
      <c r="A645" t="s">
        <v>3226</v>
      </c>
      <c r="B645">
        <v>109460</v>
      </c>
      <c r="C645">
        <v>1674</v>
      </c>
      <c r="F645" s="4" t="s">
        <v>3434</v>
      </c>
      <c r="G645">
        <v>0.44612725520168273</v>
      </c>
      <c r="H645">
        <f t="shared" si="21"/>
        <v>0.78128797083839607</v>
      </c>
      <c r="I645">
        <f t="shared" si="20"/>
        <v>4</v>
      </c>
    </row>
    <row r="646" spans="1:9" ht="45" x14ac:dyDescent="0.25">
      <c r="A646" t="s">
        <v>3274</v>
      </c>
      <c r="B646">
        <v>109605</v>
      </c>
      <c r="C646">
        <v>1660</v>
      </c>
      <c r="F646" s="4" t="s">
        <v>3544</v>
      </c>
      <c r="G646">
        <v>0.44835629773911168</v>
      </c>
      <c r="H646">
        <f t="shared" si="21"/>
        <v>0.78250303766707174</v>
      </c>
      <c r="I646">
        <f t="shared" si="20"/>
        <v>4</v>
      </c>
    </row>
    <row r="647" spans="1:9" ht="60" x14ac:dyDescent="0.25">
      <c r="A647" t="s">
        <v>3184</v>
      </c>
      <c r="B647">
        <v>109671</v>
      </c>
      <c r="C647">
        <v>1615</v>
      </c>
      <c r="F647" s="4" t="s">
        <v>3382</v>
      </c>
      <c r="G647">
        <v>0.45015505778283782</v>
      </c>
      <c r="H647">
        <f t="shared" si="21"/>
        <v>0.7837181044957473</v>
      </c>
      <c r="I647">
        <f t="shared" si="20"/>
        <v>4</v>
      </c>
    </row>
    <row r="648" spans="1:9" ht="60" x14ac:dyDescent="0.25">
      <c r="A648" t="s">
        <v>3457</v>
      </c>
      <c r="B648">
        <v>109688</v>
      </c>
      <c r="C648">
        <v>1739</v>
      </c>
      <c r="F648" s="4" t="s">
        <v>3384</v>
      </c>
      <c r="G648">
        <v>0.45021870559810567</v>
      </c>
      <c r="H648">
        <f t="shared" si="21"/>
        <v>0.78493317132442286</v>
      </c>
      <c r="I648">
        <f t="shared" si="20"/>
        <v>4</v>
      </c>
    </row>
    <row r="649" spans="1:9" ht="45" x14ac:dyDescent="0.25">
      <c r="A649" t="s">
        <v>3094</v>
      </c>
      <c r="B649">
        <v>109886</v>
      </c>
      <c r="C649">
        <v>1464</v>
      </c>
      <c r="F649" s="4" t="s">
        <v>3514</v>
      </c>
      <c r="G649">
        <v>0.45042388229007491</v>
      </c>
      <c r="H649">
        <f t="shared" si="21"/>
        <v>0.78614823815309842</v>
      </c>
      <c r="I649">
        <f t="shared" si="20"/>
        <v>4</v>
      </c>
    </row>
    <row r="650" spans="1:9" ht="60" x14ac:dyDescent="0.25">
      <c r="A650" t="s">
        <v>3114</v>
      </c>
      <c r="B650">
        <v>109962</v>
      </c>
      <c r="C650">
        <v>1517</v>
      </c>
      <c r="F650" s="4" t="s">
        <v>3347</v>
      </c>
      <c r="G650">
        <v>0.45326533893564452</v>
      </c>
      <c r="H650">
        <f t="shared" si="21"/>
        <v>0.78736330498177398</v>
      </c>
      <c r="I650">
        <f t="shared" si="20"/>
        <v>4</v>
      </c>
    </row>
    <row r="651" spans="1:9" ht="60" x14ac:dyDescent="0.25">
      <c r="A651" t="s">
        <v>3252</v>
      </c>
      <c r="B651">
        <v>110365</v>
      </c>
      <c r="C651">
        <v>1621</v>
      </c>
      <c r="F651" s="4" t="s">
        <v>3307</v>
      </c>
      <c r="G651">
        <v>0.45436447745763842</v>
      </c>
      <c r="H651">
        <f t="shared" si="21"/>
        <v>0.78857837181044954</v>
      </c>
      <c r="I651">
        <f t="shared" si="20"/>
        <v>4</v>
      </c>
    </row>
    <row r="652" spans="1:9" ht="60" x14ac:dyDescent="0.25">
      <c r="A652" t="s">
        <v>3595</v>
      </c>
      <c r="B652">
        <v>110497</v>
      </c>
      <c r="C652">
        <v>1867</v>
      </c>
      <c r="F652" s="4" t="s">
        <v>3123</v>
      </c>
      <c r="G652">
        <v>0.45453774160863369</v>
      </c>
      <c r="H652">
        <f t="shared" si="21"/>
        <v>0.7897934386391251</v>
      </c>
      <c r="I652">
        <f t="shared" si="20"/>
        <v>4</v>
      </c>
    </row>
    <row r="653" spans="1:9" ht="60" x14ac:dyDescent="0.25">
      <c r="A653" t="s">
        <v>3760</v>
      </c>
      <c r="B653">
        <v>110543</v>
      </c>
      <c r="C653">
        <v>1948</v>
      </c>
      <c r="F653" s="4" t="s">
        <v>3309</v>
      </c>
      <c r="G653">
        <v>0.4546706301167347</v>
      </c>
      <c r="H653">
        <f t="shared" si="21"/>
        <v>0.79100850546780077</v>
      </c>
      <c r="I653">
        <f t="shared" si="20"/>
        <v>4</v>
      </c>
    </row>
    <row r="654" spans="1:9" ht="45" x14ac:dyDescent="0.25">
      <c r="A654" t="s">
        <v>3849</v>
      </c>
      <c r="B654">
        <v>110625</v>
      </c>
      <c r="C654">
        <v>2079</v>
      </c>
      <c r="F654" s="4" t="s">
        <v>3867</v>
      </c>
      <c r="G654">
        <v>0.45477934717601115</v>
      </c>
      <c r="H654">
        <f t="shared" si="21"/>
        <v>0.79222357229647633</v>
      </c>
      <c r="I654">
        <f t="shared" si="20"/>
        <v>4</v>
      </c>
    </row>
    <row r="655" spans="1:9" ht="60" x14ac:dyDescent="0.25">
      <c r="A655" t="s">
        <v>3256</v>
      </c>
      <c r="B655">
        <v>110625</v>
      </c>
      <c r="C655">
        <v>1712</v>
      </c>
      <c r="F655" s="4" t="s">
        <v>3097</v>
      </c>
      <c r="G655">
        <v>0.45603808906444537</v>
      </c>
      <c r="H655">
        <f t="shared" si="21"/>
        <v>0.79343863912515189</v>
      </c>
      <c r="I655">
        <f t="shared" si="20"/>
        <v>4</v>
      </c>
    </row>
    <row r="656" spans="1:9" ht="60" x14ac:dyDescent="0.25">
      <c r="A656" t="s">
        <v>3496</v>
      </c>
      <c r="B656">
        <v>111250</v>
      </c>
      <c r="C656">
        <v>1890</v>
      </c>
      <c r="F656" s="4" t="s">
        <v>3707</v>
      </c>
      <c r="G656">
        <v>0.45684574442180692</v>
      </c>
      <c r="H656">
        <f t="shared" si="21"/>
        <v>0.79465370595382745</v>
      </c>
      <c r="I656">
        <f t="shared" si="20"/>
        <v>4</v>
      </c>
    </row>
    <row r="657" spans="1:9" ht="60" x14ac:dyDescent="0.25">
      <c r="A657" t="s">
        <v>3870</v>
      </c>
      <c r="B657">
        <v>111793</v>
      </c>
      <c r="C657">
        <v>2304</v>
      </c>
      <c r="F657" s="4" t="s">
        <v>3569</v>
      </c>
      <c r="G657">
        <v>0.45685800652051234</v>
      </c>
      <c r="H657">
        <f t="shared" si="21"/>
        <v>0.79586877278250301</v>
      </c>
      <c r="I657">
        <f t="shared" si="20"/>
        <v>4</v>
      </c>
    </row>
    <row r="658" spans="1:9" ht="60" x14ac:dyDescent="0.25">
      <c r="A658" t="s">
        <v>3178</v>
      </c>
      <c r="B658">
        <v>111809</v>
      </c>
      <c r="C658">
        <v>1678</v>
      </c>
      <c r="F658" s="4" t="s">
        <v>3420</v>
      </c>
      <c r="G658">
        <v>0.45833577952464294</v>
      </c>
      <c r="H658">
        <f t="shared" si="21"/>
        <v>0.79708383961117857</v>
      </c>
      <c r="I658">
        <f t="shared" si="20"/>
        <v>4</v>
      </c>
    </row>
    <row r="659" spans="1:9" ht="60" x14ac:dyDescent="0.25">
      <c r="A659" t="s">
        <v>3076</v>
      </c>
      <c r="B659">
        <v>111849</v>
      </c>
      <c r="C659">
        <v>1443</v>
      </c>
      <c r="F659" s="4" t="s">
        <v>3520</v>
      </c>
      <c r="G659">
        <v>0.4603206801868498</v>
      </c>
      <c r="H659">
        <f t="shared" si="21"/>
        <v>0.79829890643985424</v>
      </c>
      <c r="I659">
        <f t="shared" si="20"/>
        <v>4</v>
      </c>
    </row>
    <row r="660" spans="1:9" ht="60" x14ac:dyDescent="0.25">
      <c r="A660" t="s">
        <v>3805</v>
      </c>
      <c r="B660">
        <v>111983</v>
      </c>
      <c r="C660">
        <v>2174</v>
      </c>
      <c r="F660" s="4" t="s">
        <v>3117</v>
      </c>
      <c r="G660">
        <v>0.46050497827004405</v>
      </c>
      <c r="H660">
        <f t="shared" si="21"/>
        <v>0.7995139732685298</v>
      </c>
      <c r="I660">
        <f t="shared" si="20"/>
        <v>4</v>
      </c>
    </row>
    <row r="661" spans="1:9" ht="60" x14ac:dyDescent="0.25">
      <c r="A661" t="s">
        <v>3866</v>
      </c>
      <c r="B661">
        <v>112188</v>
      </c>
      <c r="C661">
        <v>2357</v>
      </c>
      <c r="F661" s="4" t="s">
        <v>3263</v>
      </c>
      <c r="G661">
        <v>0.46059769461158878</v>
      </c>
      <c r="H661">
        <f t="shared" si="21"/>
        <v>0.80072904009720536</v>
      </c>
      <c r="I661">
        <f t="shared" si="20"/>
        <v>5</v>
      </c>
    </row>
    <row r="662" spans="1:9" ht="45" x14ac:dyDescent="0.25">
      <c r="A662" t="s">
        <v>3579</v>
      </c>
      <c r="B662">
        <v>112500</v>
      </c>
      <c r="C662">
        <v>1850</v>
      </c>
      <c r="F662" s="4" t="s">
        <v>3783</v>
      </c>
      <c r="G662">
        <v>0.46206844046571777</v>
      </c>
      <c r="H662">
        <f t="shared" si="21"/>
        <v>0.80194410692588092</v>
      </c>
      <c r="I662">
        <f t="shared" si="20"/>
        <v>5</v>
      </c>
    </row>
    <row r="663" spans="1:9" ht="60" x14ac:dyDescent="0.25">
      <c r="A663" t="s">
        <v>3566</v>
      </c>
      <c r="B663">
        <v>112557</v>
      </c>
      <c r="C663">
        <v>1849</v>
      </c>
      <c r="F663" s="4" t="s">
        <v>3734</v>
      </c>
      <c r="G663">
        <v>0.46220631546623792</v>
      </c>
      <c r="H663">
        <f t="shared" si="21"/>
        <v>0.80315917375455648</v>
      </c>
      <c r="I663">
        <f t="shared" si="20"/>
        <v>5</v>
      </c>
    </row>
    <row r="664" spans="1:9" ht="45" x14ac:dyDescent="0.25">
      <c r="A664" t="s">
        <v>3745</v>
      </c>
      <c r="B664">
        <v>113466</v>
      </c>
      <c r="C664">
        <v>1955</v>
      </c>
      <c r="F664" s="4" t="s">
        <v>3578</v>
      </c>
      <c r="G664">
        <v>0.46256799590547509</v>
      </c>
      <c r="H664">
        <f t="shared" si="21"/>
        <v>0.80437424058323204</v>
      </c>
      <c r="I664">
        <f t="shared" si="20"/>
        <v>5</v>
      </c>
    </row>
    <row r="665" spans="1:9" ht="45" x14ac:dyDescent="0.25">
      <c r="A665" t="s">
        <v>3808</v>
      </c>
      <c r="B665">
        <v>113500</v>
      </c>
      <c r="C665">
        <v>1981</v>
      </c>
      <c r="F665" s="4" t="s">
        <v>3658</v>
      </c>
      <c r="G665">
        <v>0.46487507722662952</v>
      </c>
      <c r="H665">
        <f t="shared" si="21"/>
        <v>0.80558930741190771</v>
      </c>
      <c r="I665">
        <f t="shared" si="20"/>
        <v>5</v>
      </c>
    </row>
    <row r="666" spans="1:9" ht="60" x14ac:dyDescent="0.25">
      <c r="A666" t="s">
        <v>3829</v>
      </c>
      <c r="B666">
        <v>113594</v>
      </c>
      <c r="C666">
        <v>2278</v>
      </c>
      <c r="F666" s="4" t="s">
        <v>3287</v>
      </c>
      <c r="G666">
        <v>0.46503491597369606</v>
      </c>
      <c r="H666">
        <f t="shared" si="21"/>
        <v>0.80680437424058327</v>
      </c>
      <c r="I666">
        <f t="shared" si="20"/>
        <v>5</v>
      </c>
    </row>
    <row r="667" spans="1:9" ht="60" x14ac:dyDescent="0.25">
      <c r="A667" t="s">
        <v>3872</v>
      </c>
      <c r="B667">
        <v>113636</v>
      </c>
      <c r="C667">
        <v>2439</v>
      </c>
      <c r="F667" s="4" t="s">
        <v>3341</v>
      </c>
      <c r="G667">
        <v>0.4666592691529769</v>
      </c>
      <c r="H667">
        <f t="shared" si="21"/>
        <v>0.80801944106925883</v>
      </c>
      <c r="I667">
        <f t="shared" si="20"/>
        <v>5</v>
      </c>
    </row>
    <row r="668" spans="1:9" ht="60" x14ac:dyDescent="0.25">
      <c r="A668" t="s">
        <v>3864</v>
      </c>
      <c r="B668">
        <v>113765</v>
      </c>
      <c r="C668">
        <v>2369</v>
      </c>
      <c r="F668" s="4" t="s">
        <v>3257</v>
      </c>
      <c r="G668">
        <v>0.46807406319163747</v>
      </c>
      <c r="H668">
        <f t="shared" si="21"/>
        <v>0.80923450789793439</v>
      </c>
      <c r="I668">
        <f t="shared" si="20"/>
        <v>5</v>
      </c>
    </row>
    <row r="669" spans="1:9" ht="45" x14ac:dyDescent="0.25">
      <c r="A669" t="s">
        <v>3786</v>
      </c>
      <c r="B669">
        <v>113814</v>
      </c>
      <c r="C669">
        <v>2062</v>
      </c>
      <c r="F669" s="4" t="s">
        <v>3396</v>
      </c>
      <c r="G669">
        <v>0.46828147174975515</v>
      </c>
      <c r="H669">
        <f t="shared" si="21"/>
        <v>0.81044957472660994</v>
      </c>
      <c r="I669">
        <f t="shared" si="20"/>
        <v>5</v>
      </c>
    </row>
    <row r="670" spans="1:9" ht="60" x14ac:dyDescent="0.25">
      <c r="A670" t="s">
        <v>3660</v>
      </c>
      <c r="B670">
        <v>114773</v>
      </c>
      <c r="C670">
        <v>1980</v>
      </c>
      <c r="F670" s="4" t="s">
        <v>3173</v>
      </c>
      <c r="G670">
        <v>0.46856431358405343</v>
      </c>
      <c r="H670">
        <f t="shared" si="21"/>
        <v>0.8116646415552855</v>
      </c>
      <c r="I670">
        <f t="shared" si="20"/>
        <v>5</v>
      </c>
    </row>
    <row r="671" spans="1:9" ht="45" x14ac:dyDescent="0.25">
      <c r="A671" t="s">
        <v>3228</v>
      </c>
      <c r="B671">
        <v>114792</v>
      </c>
      <c r="C671">
        <v>1698</v>
      </c>
      <c r="F671" s="4" t="s">
        <v>3446</v>
      </c>
      <c r="G671">
        <v>0.46912844065920345</v>
      </c>
      <c r="H671">
        <f t="shared" si="21"/>
        <v>0.81287970838396106</v>
      </c>
      <c r="I671">
        <f t="shared" si="20"/>
        <v>5</v>
      </c>
    </row>
    <row r="672" spans="1:9" ht="60" x14ac:dyDescent="0.25">
      <c r="A672" t="s">
        <v>3222</v>
      </c>
      <c r="B672">
        <v>115625</v>
      </c>
      <c r="C672">
        <v>1667</v>
      </c>
      <c r="F672" s="4" t="s">
        <v>3512</v>
      </c>
      <c r="G672">
        <v>0.47195207300026637</v>
      </c>
      <c r="H672">
        <f t="shared" si="21"/>
        <v>0.81409477521263673</v>
      </c>
      <c r="I672">
        <f t="shared" si="20"/>
        <v>5</v>
      </c>
    </row>
    <row r="673" spans="1:9" ht="60" x14ac:dyDescent="0.25">
      <c r="A673" t="s">
        <v>3154</v>
      </c>
      <c r="B673">
        <v>116000</v>
      </c>
      <c r="C673">
        <v>1628</v>
      </c>
      <c r="F673" s="4" t="s">
        <v>3237</v>
      </c>
      <c r="G673">
        <v>0.47304221845186056</v>
      </c>
      <c r="H673">
        <f t="shared" si="21"/>
        <v>0.81530984204131229</v>
      </c>
      <c r="I673">
        <f t="shared" si="20"/>
        <v>5</v>
      </c>
    </row>
    <row r="674" spans="1:9" ht="60" x14ac:dyDescent="0.25">
      <c r="A674" t="s">
        <v>3625</v>
      </c>
      <c r="B674">
        <v>116222</v>
      </c>
      <c r="C674">
        <v>1923</v>
      </c>
      <c r="F674" s="4" t="s">
        <v>3624</v>
      </c>
      <c r="G674">
        <v>0.47455980418365246</v>
      </c>
      <c r="H674">
        <f t="shared" si="21"/>
        <v>0.81652490886998785</v>
      </c>
      <c r="I674">
        <f t="shared" si="20"/>
        <v>5</v>
      </c>
    </row>
    <row r="675" spans="1:9" ht="60" x14ac:dyDescent="0.25">
      <c r="A675" t="s">
        <v>3204</v>
      </c>
      <c r="B675">
        <v>116250</v>
      </c>
      <c r="C675">
        <v>1652</v>
      </c>
      <c r="F675" s="4" t="s">
        <v>3315</v>
      </c>
      <c r="G675">
        <v>0.47482270745313665</v>
      </c>
      <c r="H675">
        <f t="shared" si="21"/>
        <v>0.81773997569866341</v>
      </c>
      <c r="I675">
        <f t="shared" si="20"/>
        <v>5</v>
      </c>
    </row>
    <row r="676" spans="1:9" ht="45" x14ac:dyDescent="0.25">
      <c r="A676" t="s">
        <v>3465</v>
      </c>
      <c r="B676">
        <v>116402</v>
      </c>
      <c r="C676">
        <v>1912</v>
      </c>
      <c r="F676" s="4" t="s">
        <v>3772</v>
      </c>
      <c r="G676">
        <v>0.47567472631442742</v>
      </c>
      <c r="H676">
        <f t="shared" si="21"/>
        <v>0.81895504252733897</v>
      </c>
      <c r="I676">
        <f t="shared" si="20"/>
        <v>5</v>
      </c>
    </row>
    <row r="677" spans="1:9" ht="60" x14ac:dyDescent="0.25">
      <c r="A677" t="s">
        <v>3846</v>
      </c>
      <c r="B677">
        <v>116500</v>
      </c>
      <c r="C677">
        <v>2158</v>
      </c>
      <c r="F677" s="4" t="s">
        <v>3149</v>
      </c>
      <c r="G677">
        <v>0.47723852699276037</v>
      </c>
      <c r="H677">
        <f t="shared" si="21"/>
        <v>0.82017010935601453</v>
      </c>
      <c r="I677">
        <f t="shared" si="20"/>
        <v>5</v>
      </c>
    </row>
    <row r="678" spans="1:9" ht="60" x14ac:dyDescent="0.25">
      <c r="A678" t="s">
        <v>3078</v>
      </c>
      <c r="B678">
        <v>117009</v>
      </c>
      <c r="C678">
        <v>1522</v>
      </c>
      <c r="F678" s="4" t="s">
        <v>3313</v>
      </c>
      <c r="G678">
        <v>0.48001417144376901</v>
      </c>
      <c r="H678">
        <f t="shared" si="21"/>
        <v>0.8213851761846902</v>
      </c>
      <c r="I678">
        <f t="shared" si="20"/>
        <v>5</v>
      </c>
    </row>
    <row r="679" spans="1:9" ht="60" x14ac:dyDescent="0.25">
      <c r="A679" t="s">
        <v>3435</v>
      </c>
      <c r="B679">
        <v>117401</v>
      </c>
      <c r="C679">
        <v>1833</v>
      </c>
      <c r="F679" s="4" t="s">
        <v>3299</v>
      </c>
      <c r="G679">
        <v>0.48033722748541496</v>
      </c>
      <c r="H679">
        <f t="shared" si="21"/>
        <v>0.82260024301336576</v>
      </c>
      <c r="I679">
        <f t="shared" si="20"/>
        <v>5</v>
      </c>
    </row>
    <row r="680" spans="1:9" ht="60" x14ac:dyDescent="0.25">
      <c r="A680" t="s">
        <v>3482</v>
      </c>
      <c r="B680">
        <v>117625</v>
      </c>
      <c r="C680">
        <v>1927</v>
      </c>
      <c r="F680" s="4" t="s">
        <v>3139</v>
      </c>
      <c r="G680">
        <v>0.48065709603211432</v>
      </c>
      <c r="H680">
        <f t="shared" si="21"/>
        <v>0.82381530984204132</v>
      </c>
      <c r="I680">
        <f t="shared" si="20"/>
        <v>5</v>
      </c>
    </row>
    <row r="681" spans="1:9" ht="60" x14ac:dyDescent="0.25">
      <c r="A681" t="s">
        <v>3234</v>
      </c>
      <c r="B681">
        <v>117635</v>
      </c>
      <c r="C681">
        <v>1688</v>
      </c>
      <c r="F681" s="4" t="s">
        <v>3201</v>
      </c>
      <c r="G681">
        <v>0.48162537580142634</v>
      </c>
      <c r="H681">
        <f t="shared" si="21"/>
        <v>0.82503037667071688</v>
      </c>
      <c r="I681">
        <f t="shared" si="20"/>
        <v>5</v>
      </c>
    </row>
    <row r="682" spans="1:9" ht="60" x14ac:dyDescent="0.25">
      <c r="A682" t="s">
        <v>3238</v>
      </c>
      <c r="B682">
        <v>117895</v>
      </c>
      <c r="C682">
        <v>1722</v>
      </c>
      <c r="F682" s="4" t="s">
        <v>3215</v>
      </c>
      <c r="G682">
        <v>0.48388250510147268</v>
      </c>
      <c r="H682">
        <f t="shared" si="21"/>
        <v>0.82624544349939244</v>
      </c>
      <c r="I682">
        <f t="shared" si="20"/>
        <v>5</v>
      </c>
    </row>
    <row r="683" spans="1:9" ht="60" x14ac:dyDescent="0.25">
      <c r="A683" t="s">
        <v>3180</v>
      </c>
      <c r="B683">
        <v>118388</v>
      </c>
      <c r="C683">
        <v>1660</v>
      </c>
      <c r="F683" s="4" t="s">
        <v>3368</v>
      </c>
      <c r="G683">
        <v>0.48388936890987799</v>
      </c>
      <c r="H683">
        <f t="shared" si="21"/>
        <v>0.827460510328068</v>
      </c>
      <c r="I683">
        <f t="shared" si="20"/>
        <v>5</v>
      </c>
    </row>
    <row r="684" spans="1:9" ht="60" x14ac:dyDescent="0.25">
      <c r="A684" t="s">
        <v>3842</v>
      </c>
      <c r="B684">
        <v>118819</v>
      </c>
      <c r="C684">
        <v>2194</v>
      </c>
      <c r="F684" s="4" t="s">
        <v>3283</v>
      </c>
      <c r="G684">
        <v>0.48407742082275446</v>
      </c>
      <c r="H684">
        <f t="shared" si="21"/>
        <v>0.82867557715674367</v>
      </c>
      <c r="I684">
        <f t="shared" si="20"/>
        <v>5</v>
      </c>
    </row>
    <row r="685" spans="1:9" ht="60" x14ac:dyDescent="0.25">
      <c r="A685" t="s">
        <v>3270</v>
      </c>
      <c r="B685">
        <v>118906</v>
      </c>
      <c r="C685">
        <v>1759</v>
      </c>
      <c r="F685" s="4" t="s">
        <v>3430</v>
      </c>
      <c r="G685">
        <v>0.48667269739878521</v>
      </c>
      <c r="H685">
        <f t="shared" si="21"/>
        <v>0.82989064398541923</v>
      </c>
      <c r="I685">
        <f t="shared" si="20"/>
        <v>5</v>
      </c>
    </row>
    <row r="686" spans="1:9" ht="60" x14ac:dyDescent="0.25">
      <c r="A686" t="s">
        <v>3471</v>
      </c>
      <c r="B686">
        <v>118971</v>
      </c>
      <c r="C686">
        <v>2036</v>
      </c>
      <c r="F686" s="4" t="s">
        <v>3327</v>
      </c>
      <c r="G686">
        <v>0.48851886107273196</v>
      </c>
      <c r="H686">
        <f t="shared" si="21"/>
        <v>0.83110571081409479</v>
      </c>
      <c r="I686">
        <f t="shared" si="20"/>
        <v>5</v>
      </c>
    </row>
    <row r="687" spans="1:9" ht="60" x14ac:dyDescent="0.25">
      <c r="A687" t="s">
        <v>3720</v>
      </c>
      <c r="B687">
        <v>119042</v>
      </c>
      <c r="C687">
        <v>2032</v>
      </c>
      <c r="F687" s="4" t="s">
        <v>3103</v>
      </c>
      <c r="G687">
        <v>0.48971743013045332</v>
      </c>
      <c r="H687">
        <f t="shared" si="21"/>
        <v>0.83232077764277035</v>
      </c>
      <c r="I687">
        <f t="shared" si="20"/>
        <v>5</v>
      </c>
    </row>
    <row r="688" spans="1:9" ht="45" x14ac:dyDescent="0.25">
      <c r="A688" t="s">
        <v>3047</v>
      </c>
      <c r="B688">
        <v>119375</v>
      </c>
      <c r="C688">
        <v>1488</v>
      </c>
      <c r="F688" s="4" t="s">
        <v>3793</v>
      </c>
      <c r="G688">
        <v>0.48998009655443969</v>
      </c>
      <c r="H688">
        <f t="shared" si="21"/>
        <v>0.83353584447144591</v>
      </c>
      <c r="I688">
        <f t="shared" si="20"/>
        <v>5</v>
      </c>
    </row>
    <row r="689" spans="1:9" ht="60" x14ac:dyDescent="0.25">
      <c r="A689" t="s">
        <v>3082</v>
      </c>
      <c r="B689">
        <v>119861</v>
      </c>
      <c r="C689">
        <v>1552</v>
      </c>
      <c r="F689" s="4" t="s">
        <v>3601</v>
      </c>
      <c r="G689">
        <v>0.49000740771862605</v>
      </c>
      <c r="H689">
        <f t="shared" si="21"/>
        <v>0.83475091130012147</v>
      </c>
      <c r="I689">
        <f t="shared" si="20"/>
        <v>5</v>
      </c>
    </row>
    <row r="690" spans="1:9" ht="60" x14ac:dyDescent="0.25">
      <c r="A690" t="s">
        <v>3379</v>
      </c>
      <c r="B690">
        <v>119905</v>
      </c>
      <c r="C690">
        <v>1897</v>
      </c>
      <c r="F690" s="4" t="s">
        <v>3111</v>
      </c>
      <c r="G690">
        <v>0.49120990555461597</v>
      </c>
      <c r="H690">
        <f t="shared" si="21"/>
        <v>0.83596597812879714</v>
      </c>
      <c r="I690">
        <f t="shared" si="20"/>
        <v>5</v>
      </c>
    </row>
    <row r="691" spans="1:9" ht="45" x14ac:dyDescent="0.25">
      <c r="A691" t="s">
        <v>3342</v>
      </c>
      <c r="B691">
        <v>119917</v>
      </c>
      <c r="C691">
        <v>1820</v>
      </c>
      <c r="F691" s="4" t="s">
        <v>3485</v>
      </c>
      <c r="G691">
        <v>0.49318285913562226</v>
      </c>
      <c r="H691">
        <f t="shared" si="21"/>
        <v>0.8371810449574727</v>
      </c>
      <c r="I691">
        <f t="shared" si="20"/>
        <v>5</v>
      </c>
    </row>
    <row r="692" spans="1:9" ht="60" x14ac:dyDescent="0.25">
      <c r="A692" t="s">
        <v>3853</v>
      </c>
      <c r="B692">
        <v>120476</v>
      </c>
      <c r="C692">
        <v>2277</v>
      </c>
      <c r="F692" s="4" t="s">
        <v>3311</v>
      </c>
      <c r="G692">
        <v>0.49457267674420552</v>
      </c>
      <c r="H692">
        <f t="shared" si="21"/>
        <v>0.83839611178614826</v>
      </c>
      <c r="I692">
        <f t="shared" si="20"/>
        <v>5</v>
      </c>
    </row>
    <row r="693" spans="1:9" ht="60" x14ac:dyDescent="0.25">
      <c r="A693" t="s">
        <v>3080</v>
      </c>
      <c r="B693">
        <v>120745</v>
      </c>
      <c r="C693">
        <v>1590</v>
      </c>
      <c r="F693" s="4" t="s">
        <v>3249</v>
      </c>
      <c r="G693">
        <v>0.49769631229315847</v>
      </c>
      <c r="H693">
        <f t="shared" si="21"/>
        <v>0.83961117861482382</v>
      </c>
      <c r="I693">
        <f t="shared" si="20"/>
        <v>5</v>
      </c>
    </row>
    <row r="694" spans="1:9" ht="60" x14ac:dyDescent="0.25">
      <c r="A694" t="s">
        <v>3112</v>
      </c>
      <c r="B694">
        <v>120833</v>
      </c>
      <c r="C694">
        <v>1589</v>
      </c>
      <c r="F694" s="4" t="s">
        <v>3353</v>
      </c>
      <c r="G694">
        <v>0.49783192608748944</v>
      </c>
      <c r="H694">
        <f t="shared" si="21"/>
        <v>0.84082624544349938</v>
      </c>
      <c r="I694">
        <f t="shared" si="20"/>
        <v>5</v>
      </c>
    </row>
    <row r="695" spans="1:9" ht="60" x14ac:dyDescent="0.25">
      <c r="A695" t="s">
        <v>3690</v>
      </c>
      <c r="B695">
        <v>120893</v>
      </c>
      <c r="C695">
        <v>2028</v>
      </c>
      <c r="F695" s="4" t="s">
        <v>3319</v>
      </c>
      <c r="G695">
        <v>0.49833332371457228</v>
      </c>
      <c r="H695">
        <f t="shared" si="21"/>
        <v>0.84204131227217494</v>
      </c>
      <c r="I695">
        <f t="shared" si="20"/>
        <v>5</v>
      </c>
    </row>
    <row r="696" spans="1:9" ht="60" x14ac:dyDescent="0.25">
      <c r="A696" t="s">
        <v>3352</v>
      </c>
      <c r="B696">
        <v>121250</v>
      </c>
      <c r="C696">
        <v>1878</v>
      </c>
      <c r="F696" s="4" t="s">
        <v>3135</v>
      </c>
      <c r="G696">
        <v>0.49848195781264582</v>
      </c>
      <c r="H696">
        <f t="shared" si="21"/>
        <v>0.84325637910085049</v>
      </c>
      <c r="I696">
        <f t="shared" si="20"/>
        <v>5</v>
      </c>
    </row>
    <row r="697" spans="1:9" ht="45" x14ac:dyDescent="0.25">
      <c r="A697" t="s">
        <v>3393</v>
      </c>
      <c r="B697">
        <v>121296</v>
      </c>
      <c r="C697">
        <v>1813</v>
      </c>
      <c r="F697" s="4" t="s">
        <v>3640</v>
      </c>
      <c r="G697">
        <v>0.49850718245453191</v>
      </c>
      <c r="H697">
        <f t="shared" si="21"/>
        <v>0.84447144592952617</v>
      </c>
      <c r="I697">
        <f t="shared" si="20"/>
        <v>5</v>
      </c>
    </row>
    <row r="698" spans="1:9" ht="60" x14ac:dyDescent="0.25">
      <c r="A698" t="s">
        <v>3812</v>
      </c>
      <c r="B698">
        <v>121802</v>
      </c>
      <c r="C698">
        <v>2161</v>
      </c>
      <c r="F698" s="4" t="s">
        <v>3051</v>
      </c>
      <c r="G698">
        <v>0.50016357548320067</v>
      </c>
      <c r="H698">
        <f t="shared" si="21"/>
        <v>0.84568651275820172</v>
      </c>
      <c r="I698">
        <f t="shared" si="20"/>
        <v>5</v>
      </c>
    </row>
    <row r="699" spans="1:9" ht="60" x14ac:dyDescent="0.25">
      <c r="A699" t="s">
        <v>3539</v>
      </c>
      <c r="B699">
        <v>121889</v>
      </c>
      <c r="C699">
        <v>2003</v>
      </c>
      <c r="F699" s="4" t="s">
        <v>3305</v>
      </c>
      <c r="G699">
        <v>0.50147958177205698</v>
      </c>
      <c r="H699">
        <f t="shared" si="21"/>
        <v>0.84690157958687728</v>
      </c>
      <c r="I699">
        <f t="shared" si="20"/>
        <v>5</v>
      </c>
    </row>
    <row r="700" spans="1:9" ht="60" x14ac:dyDescent="0.25">
      <c r="A700" t="s">
        <v>3202</v>
      </c>
      <c r="B700">
        <v>121939</v>
      </c>
      <c r="C700">
        <v>1775</v>
      </c>
      <c r="F700" s="4" t="s">
        <v>3245</v>
      </c>
      <c r="G700">
        <v>0.50164283597444193</v>
      </c>
      <c r="H700">
        <f t="shared" si="21"/>
        <v>0.84811664641555284</v>
      </c>
      <c r="I700">
        <f t="shared" si="20"/>
        <v>5</v>
      </c>
    </row>
    <row r="701" spans="1:9" ht="60" x14ac:dyDescent="0.25">
      <c r="A701" t="s">
        <v>3820</v>
      </c>
      <c r="B701">
        <v>122031</v>
      </c>
      <c r="C701">
        <v>2272</v>
      </c>
      <c r="F701" s="4" t="s">
        <v>3229</v>
      </c>
      <c r="G701">
        <v>0.50203059805285122</v>
      </c>
      <c r="H701">
        <f t="shared" si="21"/>
        <v>0.8493317132442284</v>
      </c>
      <c r="I701">
        <f t="shared" si="20"/>
        <v>5</v>
      </c>
    </row>
    <row r="702" spans="1:9" ht="60" x14ac:dyDescent="0.25">
      <c r="A702" t="s">
        <v>3859</v>
      </c>
      <c r="B702">
        <v>122097</v>
      </c>
      <c r="C702">
        <v>2348</v>
      </c>
      <c r="F702" s="4" t="s">
        <v>3251</v>
      </c>
      <c r="G702">
        <v>0.50367925087802734</v>
      </c>
      <c r="H702">
        <f t="shared" si="21"/>
        <v>0.85054678007290396</v>
      </c>
      <c r="I702">
        <f t="shared" si="20"/>
        <v>5</v>
      </c>
    </row>
    <row r="703" spans="1:9" ht="60" x14ac:dyDescent="0.25">
      <c r="A703" t="s">
        <v>3316</v>
      </c>
      <c r="B703">
        <v>122222</v>
      </c>
      <c r="C703">
        <v>1767</v>
      </c>
      <c r="F703" s="4" t="s">
        <v>3301</v>
      </c>
      <c r="G703">
        <v>0.5046355405045142</v>
      </c>
      <c r="H703">
        <f t="shared" si="21"/>
        <v>0.85176184690157963</v>
      </c>
      <c r="I703">
        <f t="shared" si="20"/>
        <v>5</v>
      </c>
    </row>
    <row r="704" spans="1:9" ht="60" x14ac:dyDescent="0.25">
      <c r="A704" t="s">
        <v>3754</v>
      </c>
      <c r="B704">
        <v>122431</v>
      </c>
      <c r="C704">
        <v>2046</v>
      </c>
      <c r="F704" s="4" t="s">
        <v>3293</v>
      </c>
      <c r="G704">
        <v>0.50532267996305624</v>
      </c>
      <c r="H704">
        <f t="shared" si="21"/>
        <v>0.85297691373025519</v>
      </c>
      <c r="I704">
        <f t="shared" si="20"/>
        <v>5</v>
      </c>
    </row>
    <row r="705" spans="1:9" ht="60" x14ac:dyDescent="0.25">
      <c r="A705" t="s">
        <v>3847</v>
      </c>
      <c r="B705">
        <v>122633</v>
      </c>
      <c r="C705">
        <v>2513</v>
      </c>
      <c r="F705" s="4" t="s">
        <v>3277</v>
      </c>
      <c r="G705">
        <v>0.5065241174004359</v>
      </c>
      <c r="H705">
        <f t="shared" si="21"/>
        <v>0.85419198055893075</v>
      </c>
      <c r="I705">
        <f t="shared" si="20"/>
        <v>5</v>
      </c>
    </row>
    <row r="706" spans="1:9" ht="60" x14ac:dyDescent="0.25">
      <c r="A706" t="s">
        <v>3377</v>
      </c>
      <c r="B706">
        <v>123480</v>
      </c>
      <c r="C706">
        <v>1929</v>
      </c>
      <c r="F706" s="4" t="s">
        <v>3378</v>
      </c>
      <c r="G706">
        <v>0.50756698327371086</v>
      </c>
      <c r="H706">
        <f t="shared" si="21"/>
        <v>0.85540704738760631</v>
      </c>
      <c r="I706">
        <f t="shared" si="20"/>
        <v>5</v>
      </c>
    </row>
    <row r="707" spans="1:9" ht="60" x14ac:dyDescent="0.25">
      <c r="A707" t="s">
        <v>3110</v>
      </c>
      <c r="B707">
        <v>123580</v>
      </c>
      <c r="C707">
        <v>1738</v>
      </c>
      <c r="F707" s="4" t="s">
        <v>3197</v>
      </c>
      <c r="G707">
        <v>0.5083495907264477</v>
      </c>
      <c r="H707">
        <f t="shared" si="21"/>
        <v>0.85662211421628187</v>
      </c>
      <c r="I707">
        <f t="shared" ref="I707:I770" si="22">IF(H707&lt;0.2,1,IF(H707&lt;0.4,2,IF(H707&lt;0.6,3,IF(H707&lt;0.8,4,5))))</f>
        <v>5</v>
      </c>
    </row>
    <row r="708" spans="1:9" ht="45" x14ac:dyDescent="0.25">
      <c r="A708" t="s">
        <v>3770</v>
      </c>
      <c r="B708">
        <v>123750</v>
      </c>
      <c r="C708">
        <v>2185</v>
      </c>
      <c r="F708" s="4" t="s">
        <v>3823</v>
      </c>
      <c r="G708">
        <v>0.51032749559945101</v>
      </c>
      <c r="H708">
        <f t="shared" ref="H708:H771" si="23">_xlfn.RANK.EQ(G708,$G$3:$G$825,1)/COUNT($G$3:$G$825)</f>
        <v>0.85783718104495743</v>
      </c>
      <c r="I708">
        <f t="shared" si="22"/>
        <v>5</v>
      </c>
    </row>
    <row r="709" spans="1:9" ht="60" x14ac:dyDescent="0.25">
      <c r="A709" t="s">
        <v>3240</v>
      </c>
      <c r="B709">
        <v>124141</v>
      </c>
      <c r="C709">
        <v>1763</v>
      </c>
      <c r="F709" s="4" t="s">
        <v>3362</v>
      </c>
      <c r="G709">
        <v>0.51418622214030307</v>
      </c>
      <c r="H709">
        <f t="shared" si="23"/>
        <v>0.8590522478736331</v>
      </c>
      <c r="I709">
        <f t="shared" si="22"/>
        <v>5</v>
      </c>
    </row>
    <row r="710" spans="1:9" ht="60" x14ac:dyDescent="0.25">
      <c r="A710" t="s">
        <v>3668</v>
      </c>
      <c r="B710">
        <v>126422</v>
      </c>
      <c r="C710">
        <v>2107</v>
      </c>
      <c r="F710" s="4" t="s">
        <v>3418</v>
      </c>
      <c r="G710">
        <v>0.51421657161549028</v>
      </c>
      <c r="H710">
        <f t="shared" si="23"/>
        <v>0.86026731470230866</v>
      </c>
      <c r="I710">
        <f t="shared" si="22"/>
        <v>5</v>
      </c>
    </row>
    <row r="711" spans="1:9" ht="60" x14ac:dyDescent="0.25">
      <c r="A711" t="s">
        <v>3304</v>
      </c>
      <c r="B711">
        <v>126534</v>
      </c>
      <c r="C711">
        <v>1916</v>
      </c>
      <c r="F711" s="4" t="s">
        <v>3227</v>
      </c>
      <c r="G711">
        <v>0.51484921602044742</v>
      </c>
      <c r="H711">
        <f t="shared" si="23"/>
        <v>0.86148238153098422</v>
      </c>
      <c r="I711">
        <f t="shared" si="22"/>
        <v>5</v>
      </c>
    </row>
    <row r="712" spans="1:9" ht="60" x14ac:dyDescent="0.25">
      <c r="A712" t="s">
        <v>3216</v>
      </c>
      <c r="B712">
        <v>126738</v>
      </c>
      <c r="C712">
        <v>1920</v>
      </c>
      <c r="F712" s="4" t="s">
        <v>3355</v>
      </c>
      <c r="G712">
        <v>0.51509128003816051</v>
      </c>
      <c r="H712">
        <f t="shared" si="23"/>
        <v>0.86269744835965978</v>
      </c>
      <c r="I712">
        <f t="shared" si="22"/>
        <v>5</v>
      </c>
    </row>
    <row r="713" spans="1:9" ht="60" x14ac:dyDescent="0.25">
      <c r="A713" t="s">
        <v>3854</v>
      </c>
      <c r="B713">
        <v>126838</v>
      </c>
      <c r="C713">
        <v>2452</v>
      </c>
      <c r="F713" s="4" t="s">
        <v>3115</v>
      </c>
      <c r="G713">
        <v>0.51638208487115422</v>
      </c>
      <c r="H713">
        <f t="shared" si="23"/>
        <v>0.86391251518833534</v>
      </c>
      <c r="I713">
        <f t="shared" si="22"/>
        <v>5</v>
      </c>
    </row>
    <row r="714" spans="1:9" ht="45" x14ac:dyDescent="0.25">
      <c r="A714" t="s">
        <v>3586</v>
      </c>
      <c r="B714">
        <v>128056</v>
      </c>
      <c r="C714">
        <v>2056</v>
      </c>
      <c r="F714" s="4" t="s">
        <v>3771</v>
      </c>
      <c r="G714">
        <v>0.5175513928499339</v>
      </c>
      <c r="H714">
        <f t="shared" si="23"/>
        <v>0.8651275820170109</v>
      </c>
      <c r="I714">
        <f t="shared" si="22"/>
        <v>5</v>
      </c>
    </row>
    <row r="715" spans="1:9" ht="60" x14ac:dyDescent="0.25">
      <c r="A715" t="s">
        <v>3732</v>
      </c>
      <c r="B715">
        <v>128623</v>
      </c>
      <c r="C715">
        <v>2425</v>
      </c>
      <c r="F715" s="4" t="s">
        <v>3187</v>
      </c>
      <c r="G715">
        <v>0.51945492040260322</v>
      </c>
      <c r="H715">
        <f t="shared" si="23"/>
        <v>0.86634264884568646</v>
      </c>
      <c r="I715">
        <f t="shared" si="22"/>
        <v>5</v>
      </c>
    </row>
    <row r="716" spans="1:9" ht="60" x14ac:dyDescent="0.25">
      <c r="A716" t="s">
        <v>3186</v>
      </c>
      <c r="B716">
        <v>128661</v>
      </c>
      <c r="C716">
        <v>1861</v>
      </c>
      <c r="F716" s="4" t="s">
        <v>3193</v>
      </c>
      <c r="G716">
        <v>0.52316892033025997</v>
      </c>
      <c r="H716">
        <f t="shared" si="23"/>
        <v>0.86755771567436213</v>
      </c>
      <c r="I716">
        <f t="shared" si="22"/>
        <v>5</v>
      </c>
    </row>
    <row r="717" spans="1:9" ht="60" x14ac:dyDescent="0.25">
      <c r="A717" t="s">
        <v>3845</v>
      </c>
      <c r="B717">
        <v>128667</v>
      </c>
      <c r="C717">
        <v>2371</v>
      </c>
      <c r="F717" s="4" t="s">
        <v>3061</v>
      </c>
      <c r="G717">
        <v>0.52377843808525282</v>
      </c>
      <c r="H717">
        <f t="shared" si="23"/>
        <v>0.86877278250303769</v>
      </c>
      <c r="I717">
        <f t="shared" si="22"/>
        <v>5</v>
      </c>
    </row>
    <row r="718" spans="1:9" ht="45" x14ac:dyDescent="0.25">
      <c r="A718" t="s">
        <v>3498</v>
      </c>
      <c r="B718">
        <v>128750</v>
      </c>
      <c r="C718">
        <v>2032</v>
      </c>
      <c r="F718" s="4" t="s">
        <v>3634</v>
      </c>
      <c r="G718">
        <v>0.52419912012381875</v>
      </c>
      <c r="H718">
        <f t="shared" si="23"/>
        <v>0.86998784933171325</v>
      </c>
      <c r="I718">
        <f t="shared" si="22"/>
        <v>5</v>
      </c>
    </row>
    <row r="719" spans="1:9" ht="60" x14ac:dyDescent="0.25">
      <c r="A719" t="s">
        <v>3713</v>
      </c>
      <c r="B719">
        <v>129133</v>
      </c>
      <c r="C719">
        <v>2240</v>
      </c>
      <c r="F719" s="4" t="s">
        <v>3247</v>
      </c>
      <c r="G719">
        <v>0.52548058404281994</v>
      </c>
      <c r="H719">
        <f t="shared" si="23"/>
        <v>0.87120291616038881</v>
      </c>
      <c r="I719">
        <f t="shared" si="22"/>
        <v>5</v>
      </c>
    </row>
    <row r="720" spans="1:9" ht="45" x14ac:dyDescent="0.25">
      <c r="A720" t="s">
        <v>3766</v>
      </c>
      <c r="B720">
        <v>129250</v>
      </c>
      <c r="C720">
        <v>2370</v>
      </c>
      <c r="F720" s="4" t="s">
        <v>3576</v>
      </c>
      <c r="G720">
        <v>0.52668392206987436</v>
      </c>
      <c r="H720">
        <f t="shared" si="23"/>
        <v>0.87241798298906437</v>
      </c>
      <c r="I720">
        <f t="shared" si="22"/>
        <v>5</v>
      </c>
    </row>
    <row r="721" spans="1:9" ht="60" x14ac:dyDescent="0.25">
      <c r="A721" t="s">
        <v>3831</v>
      </c>
      <c r="B721">
        <v>129559</v>
      </c>
      <c r="C721">
        <v>2329</v>
      </c>
      <c r="F721" s="4" t="s">
        <v>3432</v>
      </c>
      <c r="G721">
        <v>0.52734239439189012</v>
      </c>
      <c r="H721">
        <f t="shared" si="23"/>
        <v>0.87363304981773993</v>
      </c>
      <c r="I721">
        <f t="shared" si="22"/>
        <v>5</v>
      </c>
    </row>
    <row r="722" spans="1:9" ht="60" x14ac:dyDescent="0.25">
      <c r="A722" t="s">
        <v>3856</v>
      </c>
      <c r="B722">
        <v>129821</v>
      </c>
      <c r="C722">
        <v>2593</v>
      </c>
      <c r="F722" s="4" t="s">
        <v>3366</v>
      </c>
      <c r="G722">
        <v>0.53294983136501695</v>
      </c>
      <c r="H722">
        <f t="shared" si="23"/>
        <v>0.8748481166464156</v>
      </c>
      <c r="I722">
        <f t="shared" si="22"/>
        <v>5</v>
      </c>
    </row>
    <row r="723" spans="1:9" ht="45" x14ac:dyDescent="0.25">
      <c r="A723" t="s">
        <v>3623</v>
      </c>
      <c r="B723">
        <v>130625</v>
      </c>
      <c r="C723">
        <v>2189</v>
      </c>
      <c r="F723" s="4" t="s">
        <v>3400</v>
      </c>
      <c r="G723">
        <v>0.53439679449621047</v>
      </c>
      <c r="H723">
        <f t="shared" si="23"/>
        <v>0.87606318347509116</v>
      </c>
      <c r="I723">
        <f t="shared" si="22"/>
        <v>5</v>
      </c>
    </row>
    <row r="724" spans="1:9" ht="60" x14ac:dyDescent="0.25">
      <c r="A724" t="s">
        <v>3338</v>
      </c>
      <c r="B724">
        <v>130694</v>
      </c>
      <c r="C724">
        <v>2109</v>
      </c>
      <c r="F724" s="4" t="s">
        <v>3219</v>
      </c>
      <c r="G724">
        <v>0.53494670452403237</v>
      </c>
      <c r="H724">
        <f t="shared" si="23"/>
        <v>0.87727825030376672</v>
      </c>
      <c r="I724">
        <f t="shared" si="22"/>
        <v>5</v>
      </c>
    </row>
    <row r="725" spans="1:9" ht="45" x14ac:dyDescent="0.25">
      <c r="A725" t="s">
        <v>3086</v>
      </c>
      <c r="B725">
        <v>130885</v>
      </c>
      <c r="C725">
        <v>1686</v>
      </c>
      <c r="F725" s="4" t="s">
        <v>3565</v>
      </c>
      <c r="G725">
        <v>0.53534315992585502</v>
      </c>
      <c r="H725">
        <f t="shared" si="23"/>
        <v>0.87849331713244228</v>
      </c>
      <c r="I725">
        <f t="shared" si="22"/>
        <v>5</v>
      </c>
    </row>
    <row r="726" spans="1:9" ht="45" x14ac:dyDescent="0.25">
      <c r="A726" t="s">
        <v>3618</v>
      </c>
      <c r="B726">
        <v>130888</v>
      </c>
      <c r="C726">
        <v>2202</v>
      </c>
      <c r="F726" s="4" t="s">
        <v>3721</v>
      </c>
      <c r="G726">
        <v>0.53864575885408628</v>
      </c>
      <c r="H726">
        <f t="shared" si="23"/>
        <v>0.87970838396111783</v>
      </c>
      <c r="I726">
        <f t="shared" si="22"/>
        <v>5</v>
      </c>
    </row>
    <row r="727" spans="1:9" ht="60" x14ac:dyDescent="0.25">
      <c r="A727" t="s">
        <v>3543</v>
      </c>
      <c r="B727">
        <v>130962</v>
      </c>
      <c r="C727">
        <v>2282</v>
      </c>
      <c r="F727" s="4" t="s">
        <v>3291</v>
      </c>
      <c r="G727">
        <v>0.54032376290978368</v>
      </c>
      <c r="H727">
        <f t="shared" si="23"/>
        <v>0.88092345078979339</v>
      </c>
      <c r="I727">
        <f t="shared" si="22"/>
        <v>5</v>
      </c>
    </row>
    <row r="728" spans="1:9" ht="60" x14ac:dyDescent="0.25">
      <c r="A728" t="s">
        <v>3359</v>
      </c>
      <c r="B728">
        <v>131563</v>
      </c>
      <c r="C728">
        <v>1998</v>
      </c>
      <c r="F728" s="4" t="s">
        <v>3456</v>
      </c>
      <c r="G728">
        <v>0.54050728347012078</v>
      </c>
      <c r="H728">
        <f t="shared" si="23"/>
        <v>0.88213851761846906</v>
      </c>
      <c r="I728">
        <f t="shared" si="22"/>
        <v>5</v>
      </c>
    </row>
    <row r="729" spans="1:9" ht="45" x14ac:dyDescent="0.25">
      <c r="A729" t="s">
        <v>3214</v>
      </c>
      <c r="B729">
        <v>131583</v>
      </c>
      <c r="C729">
        <v>1968</v>
      </c>
      <c r="F729" s="4" t="s">
        <v>3428</v>
      </c>
      <c r="G729">
        <v>0.54408934382724461</v>
      </c>
      <c r="H729">
        <f t="shared" si="23"/>
        <v>0.88335358444714462</v>
      </c>
      <c r="I729">
        <f t="shared" si="22"/>
        <v>5</v>
      </c>
    </row>
    <row r="730" spans="1:9" ht="45" x14ac:dyDescent="0.25">
      <c r="A730" t="s">
        <v>3740</v>
      </c>
      <c r="B730">
        <v>131897</v>
      </c>
      <c r="C730">
        <v>2349</v>
      </c>
      <c r="F730" s="4" t="s">
        <v>3321</v>
      </c>
      <c r="G730">
        <v>0.54495597437769649</v>
      </c>
      <c r="H730">
        <f t="shared" si="23"/>
        <v>0.88456865127582018</v>
      </c>
      <c r="I730">
        <f t="shared" si="22"/>
        <v>5</v>
      </c>
    </row>
    <row r="731" spans="1:9" ht="60" x14ac:dyDescent="0.25">
      <c r="A731" t="s">
        <v>3810</v>
      </c>
      <c r="B731">
        <v>131992</v>
      </c>
      <c r="C731">
        <v>2518</v>
      </c>
      <c r="F731" s="4" t="s">
        <v>3335</v>
      </c>
      <c r="G731">
        <v>0.5480944682283948</v>
      </c>
      <c r="H731">
        <f t="shared" si="23"/>
        <v>0.88578371810449574</v>
      </c>
      <c r="I731">
        <f t="shared" si="22"/>
        <v>5</v>
      </c>
    </row>
    <row r="732" spans="1:9" ht="45" x14ac:dyDescent="0.25">
      <c r="A732" t="s">
        <v>3322</v>
      </c>
      <c r="B732">
        <v>132740</v>
      </c>
      <c r="C732">
        <v>1939</v>
      </c>
      <c r="F732" s="4" t="s">
        <v>3390</v>
      </c>
      <c r="G732">
        <v>0.55063669214775679</v>
      </c>
      <c r="H732">
        <f t="shared" si="23"/>
        <v>0.8869987849331713</v>
      </c>
      <c r="I732">
        <f t="shared" si="22"/>
        <v>5</v>
      </c>
    </row>
    <row r="733" spans="1:9" ht="60" x14ac:dyDescent="0.25">
      <c r="A733" t="s">
        <v>3150</v>
      </c>
      <c r="B733">
        <v>133417</v>
      </c>
      <c r="C733">
        <v>1791</v>
      </c>
      <c r="F733" s="4" t="s">
        <v>3386</v>
      </c>
      <c r="G733">
        <v>0.55275893688833844</v>
      </c>
      <c r="H733">
        <f t="shared" si="23"/>
        <v>0.88821385176184686</v>
      </c>
      <c r="I733">
        <f t="shared" si="22"/>
        <v>5</v>
      </c>
    </row>
    <row r="734" spans="1:9" ht="60" x14ac:dyDescent="0.25">
      <c r="A734" t="s">
        <v>3869</v>
      </c>
      <c r="B734">
        <v>133482</v>
      </c>
      <c r="C734">
        <v>2844</v>
      </c>
      <c r="F734" s="4" t="s">
        <v>3213</v>
      </c>
      <c r="G734">
        <v>0.55372228907417864</v>
      </c>
      <c r="H734">
        <f t="shared" si="23"/>
        <v>0.88942891859052253</v>
      </c>
      <c r="I734">
        <f t="shared" si="22"/>
        <v>5</v>
      </c>
    </row>
    <row r="735" spans="1:9" ht="45" x14ac:dyDescent="0.25">
      <c r="A735" t="s">
        <v>3122</v>
      </c>
      <c r="B735">
        <v>133984</v>
      </c>
      <c r="C735">
        <v>1768</v>
      </c>
      <c r="F735" s="4" t="s">
        <v>3388</v>
      </c>
      <c r="G735">
        <v>0.5540389473674211</v>
      </c>
      <c r="H735">
        <f t="shared" si="23"/>
        <v>0.89064398541919809</v>
      </c>
      <c r="I735">
        <f t="shared" si="22"/>
        <v>5</v>
      </c>
    </row>
    <row r="736" spans="1:9" ht="60" x14ac:dyDescent="0.25">
      <c r="A736" t="s">
        <v>3736</v>
      </c>
      <c r="B736">
        <v>133988</v>
      </c>
      <c r="C736">
        <v>2313</v>
      </c>
      <c r="F736" s="4" t="s">
        <v>3507</v>
      </c>
      <c r="G736">
        <v>0.55553526170826462</v>
      </c>
      <c r="H736">
        <f t="shared" si="23"/>
        <v>0.89185905224787365</v>
      </c>
      <c r="I736">
        <f t="shared" si="22"/>
        <v>5</v>
      </c>
    </row>
    <row r="737" spans="1:9" ht="45" x14ac:dyDescent="0.25">
      <c r="A737" t="s">
        <v>3719</v>
      </c>
      <c r="B737">
        <v>135197</v>
      </c>
      <c r="C737">
        <v>2328</v>
      </c>
      <c r="F737" s="4" t="s">
        <v>3558</v>
      </c>
      <c r="G737">
        <v>0.55630258304174962</v>
      </c>
      <c r="H737">
        <f t="shared" si="23"/>
        <v>0.89307411907654921</v>
      </c>
      <c r="I737">
        <f t="shared" si="22"/>
        <v>5</v>
      </c>
    </row>
    <row r="738" spans="1:9" ht="60" x14ac:dyDescent="0.25">
      <c r="A738" t="s">
        <v>3599</v>
      </c>
      <c r="B738">
        <v>136053</v>
      </c>
      <c r="C738">
        <v>2168</v>
      </c>
      <c r="F738" s="4" t="s">
        <v>3211</v>
      </c>
      <c r="G738">
        <v>0.55722730595208614</v>
      </c>
      <c r="H738">
        <f t="shared" si="23"/>
        <v>0.89428918590522477</v>
      </c>
      <c r="I738">
        <f t="shared" si="22"/>
        <v>5</v>
      </c>
    </row>
    <row r="739" spans="1:9" ht="60" x14ac:dyDescent="0.25">
      <c r="A739" t="s">
        <v>3521</v>
      </c>
      <c r="B739">
        <v>136103</v>
      </c>
      <c r="C739">
        <v>2080</v>
      </c>
      <c r="F739" s="4" t="s">
        <v>3179</v>
      </c>
      <c r="G739">
        <v>0.55852322889483208</v>
      </c>
      <c r="H739">
        <f t="shared" si="23"/>
        <v>0.89550425273390033</v>
      </c>
      <c r="I739">
        <f t="shared" si="22"/>
        <v>5</v>
      </c>
    </row>
    <row r="740" spans="1:9" ht="60" x14ac:dyDescent="0.25">
      <c r="A740" t="s">
        <v>3691</v>
      </c>
      <c r="B740">
        <v>136495</v>
      </c>
      <c r="C740">
        <v>2403</v>
      </c>
      <c r="F740" s="4" t="s">
        <v>3271</v>
      </c>
      <c r="G740">
        <v>0.55907684789471601</v>
      </c>
      <c r="H740">
        <f t="shared" si="23"/>
        <v>0.89671931956257589</v>
      </c>
      <c r="I740">
        <f t="shared" si="22"/>
        <v>5</v>
      </c>
    </row>
    <row r="741" spans="1:9" ht="45" x14ac:dyDescent="0.25">
      <c r="A741" t="s">
        <v>3260</v>
      </c>
      <c r="B741">
        <v>136719</v>
      </c>
      <c r="C741">
        <v>1985</v>
      </c>
      <c r="F741" s="4" t="s">
        <v>3265</v>
      </c>
      <c r="G741">
        <v>0.55912913734902892</v>
      </c>
      <c r="H741">
        <f t="shared" si="23"/>
        <v>0.89793438639125156</v>
      </c>
      <c r="I741">
        <f t="shared" si="22"/>
        <v>5</v>
      </c>
    </row>
    <row r="742" spans="1:9" ht="45" x14ac:dyDescent="0.25">
      <c r="A742" t="s">
        <v>3053</v>
      </c>
      <c r="B742">
        <v>136855</v>
      </c>
      <c r="C742">
        <v>1528</v>
      </c>
      <c r="F742" s="4" t="s">
        <v>3491</v>
      </c>
      <c r="G742">
        <v>0.56073474090893682</v>
      </c>
      <c r="H742">
        <f t="shared" si="23"/>
        <v>0.89914945321992712</v>
      </c>
      <c r="I742">
        <f t="shared" si="22"/>
        <v>5</v>
      </c>
    </row>
    <row r="743" spans="1:9" ht="60" x14ac:dyDescent="0.25">
      <c r="A743" t="s">
        <v>3667</v>
      </c>
      <c r="B743">
        <v>137361</v>
      </c>
      <c r="C743">
        <v>2262</v>
      </c>
      <c r="F743" s="4" t="s">
        <v>3181</v>
      </c>
      <c r="G743">
        <v>0.56124296491619396</v>
      </c>
      <c r="H743">
        <f t="shared" si="23"/>
        <v>0.90036452004860268</v>
      </c>
      <c r="I743">
        <f t="shared" si="22"/>
        <v>5</v>
      </c>
    </row>
    <row r="744" spans="1:9" ht="60" x14ac:dyDescent="0.25">
      <c r="A744" t="s">
        <v>3749</v>
      </c>
      <c r="B744">
        <v>138169</v>
      </c>
      <c r="C744">
        <v>2364</v>
      </c>
      <c r="F744" s="4" t="s">
        <v>3444</v>
      </c>
      <c r="G744">
        <v>0.56317688258210197</v>
      </c>
      <c r="H744">
        <f t="shared" si="23"/>
        <v>0.90157958687727824</v>
      </c>
      <c r="I744">
        <f t="shared" si="22"/>
        <v>5</v>
      </c>
    </row>
    <row r="745" spans="1:9" ht="45" x14ac:dyDescent="0.25">
      <c r="A745" t="s">
        <v>3871</v>
      </c>
      <c r="B745">
        <v>138542</v>
      </c>
      <c r="C745">
        <v>3132</v>
      </c>
      <c r="F745" s="4" t="s">
        <v>3221</v>
      </c>
      <c r="G745">
        <v>0.56426163772449434</v>
      </c>
      <c r="H745">
        <f t="shared" si="23"/>
        <v>0.9027946537059538</v>
      </c>
      <c r="I745">
        <f t="shared" si="22"/>
        <v>5</v>
      </c>
    </row>
    <row r="746" spans="1:9" ht="60" x14ac:dyDescent="0.25">
      <c r="A746" t="s">
        <v>3096</v>
      </c>
      <c r="B746">
        <v>138542</v>
      </c>
      <c r="C746">
        <v>1949</v>
      </c>
      <c r="F746" s="4" t="s">
        <v>3259</v>
      </c>
      <c r="G746">
        <v>0.56901110081707462</v>
      </c>
      <c r="H746">
        <f t="shared" si="23"/>
        <v>0.90400972053462936</v>
      </c>
      <c r="I746">
        <f t="shared" si="22"/>
        <v>5</v>
      </c>
    </row>
    <row r="747" spans="1:9" ht="60" x14ac:dyDescent="0.25">
      <c r="A747" t="s">
        <v>3800</v>
      </c>
      <c r="B747">
        <v>138686</v>
      </c>
      <c r="C747">
        <v>2581</v>
      </c>
      <c r="F747" s="4" t="s">
        <v>3169</v>
      </c>
      <c r="G747">
        <v>0.5726616532010097</v>
      </c>
      <c r="H747">
        <f t="shared" si="23"/>
        <v>0.90522478736330503</v>
      </c>
      <c r="I747">
        <f t="shared" si="22"/>
        <v>5</v>
      </c>
    </row>
    <row r="748" spans="1:9" ht="60" x14ac:dyDescent="0.25">
      <c r="A748" t="s">
        <v>3582</v>
      </c>
      <c r="B748">
        <v>139000</v>
      </c>
      <c r="C748">
        <v>2313</v>
      </c>
      <c r="F748" s="4" t="s">
        <v>3203</v>
      </c>
      <c r="G748">
        <v>0.57375856289115179</v>
      </c>
      <c r="H748">
        <f t="shared" si="23"/>
        <v>0.90643985419198059</v>
      </c>
      <c r="I748">
        <f t="shared" si="22"/>
        <v>5</v>
      </c>
    </row>
    <row r="749" spans="1:9" ht="60" x14ac:dyDescent="0.25">
      <c r="A749" t="s">
        <v>3092</v>
      </c>
      <c r="B749">
        <v>139236</v>
      </c>
      <c r="C749">
        <v>1892</v>
      </c>
      <c r="F749" s="4" t="s">
        <v>3155</v>
      </c>
      <c r="G749">
        <v>0.57770388483876678</v>
      </c>
      <c r="H749">
        <f t="shared" si="23"/>
        <v>0.90765492102065615</v>
      </c>
      <c r="I749">
        <f t="shared" si="22"/>
        <v>5</v>
      </c>
    </row>
    <row r="750" spans="1:9" ht="60" x14ac:dyDescent="0.25">
      <c r="A750" t="s">
        <v>3825</v>
      </c>
      <c r="B750">
        <v>139313</v>
      </c>
      <c r="C750">
        <v>2531</v>
      </c>
      <c r="F750" s="4" t="s">
        <v>3225</v>
      </c>
      <c r="G750">
        <v>0.58138515142340441</v>
      </c>
      <c r="H750">
        <f t="shared" si="23"/>
        <v>0.90886998784933171</v>
      </c>
      <c r="I750">
        <f t="shared" si="22"/>
        <v>5</v>
      </c>
    </row>
    <row r="751" spans="1:9" ht="60" x14ac:dyDescent="0.25">
      <c r="A751" t="s">
        <v>3232</v>
      </c>
      <c r="B751">
        <v>140000</v>
      </c>
      <c r="C751">
        <v>2038</v>
      </c>
      <c r="F751" s="4" t="s">
        <v>3137</v>
      </c>
      <c r="G751">
        <v>0.58199370308593157</v>
      </c>
      <c r="H751">
        <f t="shared" si="23"/>
        <v>0.91008505467800727</v>
      </c>
      <c r="I751">
        <f t="shared" si="22"/>
        <v>5</v>
      </c>
    </row>
    <row r="752" spans="1:9" ht="45" x14ac:dyDescent="0.25">
      <c r="A752" t="s">
        <v>3855</v>
      </c>
      <c r="B752">
        <v>140278</v>
      </c>
      <c r="C752">
        <v>2698</v>
      </c>
      <c r="F752" s="4" t="s">
        <v>3402</v>
      </c>
      <c r="G752">
        <v>0.58306750640885652</v>
      </c>
      <c r="H752">
        <f t="shared" si="23"/>
        <v>0.91130012150668283</v>
      </c>
      <c r="I752">
        <f t="shared" si="22"/>
        <v>5</v>
      </c>
    </row>
    <row r="753" spans="1:9" ht="45" x14ac:dyDescent="0.25">
      <c r="A753" t="s">
        <v>3813</v>
      </c>
      <c r="B753">
        <v>140337</v>
      </c>
      <c r="C753">
        <v>2456</v>
      </c>
      <c r="F753" s="4" t="s">
        <v>3333</v>
      </c>
      <c r="G753">
        <v>0.58335779733666981</v>
      </c>
      <c r="H753">
        <f t="shared" si="23"/>
        <v>0.9125151883353585</v>
      </c>
      <c r="I753">
        <f t="shared" si="22"/>
        <v>5</v>
      </c>
    </row>
    <row r="754" spans="1:9" ht="60" x14ac:dyDescent="0.25">
      <c r="A754" t="s">
        <v>3636</v>
      </c>
      <c r="B754">
        <v>140625</v>
      </c>
      <c r="C754">
        <v>2333</v>
      </c>
      <c r="F754" s="4" t="s">
        <v>3133</v>
      </c>
      <c r="G754">
        <v>0.58523723619363488</v>
      </c>
      <c r="H754">
        <f t="shared" si="23"/>
        <v>0.91373025516403406</v>
      </c>
      <c r="I754">
        <f t="shared" si="22"/>
        <v>5</v>
      </c>
    </row>
    <row r="755" spans="1:9" ht="45" x14ac:dyDescent="0.25">
      <c r="A755" t="s">
        <v>3463</v>
      </c>
      <c r="B755">
        <v>141765</v>
      </c>
      <c r="C755">
        <v>2426</v>
      </c>
      <c r="F755" s="4" t="s">
        <v>3269</v>
      </c>
      <c r="G755">
        <v>0.59059046136352622</v>
      </c>
      <c r="H755">
        <f t="shared" si="23"/>
        <v>0.91494532199270961</v>
      </c>
      <c r="I755">
        <f t="shared" si="22"/>
        <v>5</v>
      </c>
    </row>
    <row r="756" spans="1:9" ht="60" x14ac:dyDescent="0.25">
      <c r="A756" t="s">
        <v>3160</v>
      </c>
      <c r="B756">
        <v>141914</v>
      </c>
      <c r="C756">
        <v>1960</v>
      </c>
      <c r="F756" s="4" t="s">
        <v>3163</v>
      </c>
      <c r="G756">
        <v>0.59411710356832825</v>
      </c>
      <c r="H756">
        <f t="shared" si="23"/>
        <v>0.91616038882138517</v>
      </c>
      <c r="I756">
        <f t="shared" si="22"/>
        <v>5</v>
      </c>
    </row>
    <row r="757" spans="1:9" ht="45" x14ac:dyDescent="0.25">
      <c r="A757" t="s">
        <v>3140</v>
      </c>
      <c r="B757">
        <v>142566</v>
      </c>
      <c r="C757">
        <v>1910</v>
      </c>
      <c r="F757" s="4" t="s">
        <v>3337</v>
      </c>
      <c r="G757">
        <v>0.59501316017387729</v>
      </c>
      <c r="H757">
        <f t="shared" si="23"/>
        <v>0.91737545565006073</v>
      </c>
      <c r="I757">
        <f t="shared" si="22"/>
        <v>5</v>
      </c>
    </row>
    <row r="758" spans="1:9" ht="60" x14ac:dyDescent="0.25">
      <c r="A758" t="s">
        <v>3650</v>
      </c>
      <c r="B758">
        <v>143141</v>
      </c>
      <c r="C758">
        <v>2407</v>
      </c>
      <c r="F758" s="4" t="s">
        <v>3374</v>
      </c>
      <c r="G758">
        <v>0.59605915823841549</v>
      </c>
      <c r="H758">
        <f t="shared" si="23"/>
        <v>0.91859052247873629</v>
      </c>
      <c r="I758">
        <f t="shared" si="22"/>
        <v>5</v>
      </c>
    </row>
    <row r="759" spans="1:9" ht="60" x14ac:dyDescent="0.25">
      <c r="A759" t="s">
        <v>3836</v>
      </c>
      <c r="B759">
        <v>143182</v>
      </c>
      <c r="C759">
        <v>2775</v>
      </c>
      <c r="F759" s="4" t="s">
        <v>3241</v>
      </c>
      <c r="G759">
        <v>0.59616021203437897</v>
      </c>
      <c r="H759">
        <f t="shared" si="23"/>
        <v>0.91980558930741185</v>
      </c>
      <c r="I759">
        <f t="shared" si="22"/>
        <v>5</v>
      </c>
    </row>
    <row r="760" spans="1:9" ht="60" x14ac:dyDescent="0.25">
      <c r="A760" t="s">
        <v>3312</v>
      </c>
      <c r="B760">
        <v>144250</v>
      </c>
      <c r="C760">
        <v>2291</v>
      </c>
      <c r="F760" s="4" t="s">
        <v>3209</v>
      </c>
      <c r="G760">
        <v>0.59661026751188306</v>
      </c>
      <c r="H760">
        <f t="shared" si="23"/>
        <v>0.92102065613608752</v>
      </c>
      <c r="I760">
        <f t="shared" si="22"/>
        <v>5</v>
      </c>
    </row>
    <row r="761" spans="1:9" ht="60" x14ac:dyDescent="0.25">
      <c r="A761" t="s">
        <v>3850</v>
      </c>
      <c r="B761">
        <v>144375</v>
      </c>
      <c r="C761">
        <v>2854</v>
      </c>
      <c r="F761" s="4" t="s">
        <v>3059</v>
      </c>
      <c r="G761">
        <v>0.59723165906261755</v>
      </c>
      <c r="H761">
        <f t="shared" si="23"/>
        <v>0.92223572296476308</v>
      </c>
      <c r="I761">
        <f t="shared" si="22"/>
        <v>5</v>
      </c>
    </row>
    <row r="762" spans="1:9" ht="45" x14ac:dyDescent="0.25">
      <c r="A762" t="s">
        <v>3827</v>
      </c>
      <c r="B762">
        <v>144519</v>
      </c>
      <c r="C762">
        <v>2570</v>
      </c>
      <c r="F762" s="4" t="s">
        <v>3239</v>
      </c>
      <c r="G762">
        <v>0.59948105171726762</v>
      </c>
      <c r="H762">
        <f t="shared" si="23"/>
        <v>0.92345078979343864</v>
      </c>
      <c r="I762">
        <f t="shared" si="22"/>
        <v>5</v>
      </c>
    </row>
    <row r="763" spans="1:9" ht="60" x14ac:dyDescent="0.25">
      <c r="A763" t="s">
        <v>3088</v>
      </c>
      <c r="B763">
        <v>144886</v>
      </c>
      <c r="C763">
        <v>1967</v>
      </c>
      <c r="F763" s="4" t="s">
        <v>3153</v>
      </c>
      <c r="G763">
        <v>0.6051488839945216</v>
      </c>
      <c r="H763">
        <f t="shared" si="23"/>
        <v>0.9246658566221142</v>
      </c>
      <c r="I763">
        <f t="shared" si="22"/>
        <v>5</v>
      </c>
    </row>
    <row r="764" spans="1:9" ht="60" x14ac:dyDescent="0.25">
      <c r="A764" t="s">
        <v>3839</v>
      </c>
      <c r="B764">
        <v>145125</v>
      </c>
      <c r="C764">
        <v>2718</v>
      </c>
      <c r="F764" s="4" t="s">
        <v>3157</v>
      </c>
      <c r="G764">
        <v>0.60736442757696341</v>
      </c>
      <c r="H764">
        <f t="shared" si="23"/>
        <v>0.92588092345078976</v>
      </c>
      <c r="I764">
        <f t="shared" si="22"/>
        <v>5</v>
      </c>
    </row>
    <row r="765" spans="1:9" ht="60" x14ac:dyDescent="0.25">
      <c r="A765" t="s">
        <v>3873</v>
      </c>
      <c r="B765">
        <v>145625</v>
      </c>
      <c r="C765">
        <v>3144</v>
      </c>
      <c r="F765" s="4" t="s">
        <v>3083</v>
      </c>
      <c r="G765">
        <v>0.6086258376348479</v>
      </c>
      <c r="H765">
        <f t="shared" si="23"/>
        <v>0.92709599027946532</v>
      </c>
      <c r="I765">
        <f t="shared" si="22"/>
        <v>5</v>
      </c>
    </row>
    <row r="766" spans="1:9" ht="60" x14ac:dyDescent="0.25">
      <c r="A766" t="s">
        <v>3509</v>
      </c>
      <c r="B766">
        <v>147778</v>
      </c>
      <c r="C766">
        <v>2361</v>
      </c>
      <c r="F766" s="4" t="s">
        <v>3147</v>
      </c>
      <c r="G766">
        <v>0.61180798783307444</v>
      </c>
      <c r="H766">
        <f t="shared" si="23"/>
        <v>0.92831105710814099</v>
      </c>
      <c r="I766">
        <f t="shared" si="22"/>
        <v>5</v>
      </c>
    </row>
    <row r="767" spans="1:9" ht="60" x14ac:dyDescent="0.25">
      <c r="A767" t="s">
        <v>3789</v>
      </c>
      <c r="B767">
        <v>148804</v>
      </c>
      <c r="C767">
        <v>2670</v>
      </c>
      <c r="F767" s="4" t="s">
        <v>3205</v>
      </c>
      <c r="G767">
        <v>0.61462350676595534</v>
      </c>
      <c r="H767">
        <f t="shared" si="23"/>
        <v>0.92952612393681655</v>
      </c>
      <c r="I767">
        <f t="shared" si="22"/>
        <v>5</v>
      </c>
    </row>
    <row r="768" spans="1:9" ht="60" x14ac:dyDescent="0.25">
      <c r="A768" t="s">
        <v>3484</v>
      </c>
      <c r="B768">
        <v>149107</v>
      </c>
      <c r="C768">
        <v>2238</v>
      </c>
      <c r="F768" s="4" t="s">
        <v>3151</v>
      </c>
      <c r="G768">
        <v>0.61612104424244762</v>
      </c>
      <c r="H768">
        <f t="shared" si="23"/>
        <v>0.93074119076549211</v>
      </c>
      <c r="I768">
        <f t="shared" si="22"/>
        <v>5</v>
      </c>
    </row>
    <row r="769" spans="1:9" ht="60" x14ac:dyDescent="0.25">
      <c r="A769" t="s">
        <v>3330</v>
      </c>
      <c r="B769">
        <v>152321</v>
      </c>
      <c r="C769">
        <v>2569</v>
      </c>
      <c r="F769" s="4" t="s">
        <v>3125</v>
      </c>
      <c r="G769">
        <v>0.62004107804800823</v>
      </c>
      <c r="H769">
        <f t="shared" si="23"/>
        <v>0.93195625759416767</v>
      </c>
      <c r="I769">
        <f t="shared" si="22"/>
        <v>5</v>
      </c>
    </row>
    <row r="770" spans="1:9" ht="45" x14ac:dyDescent="0.25">
      <c r="A770" t="s">
        <v>3551</v>
      </c>
      <c r="B770">
        <v>152708</v>
      </c>
      <c r="C770">
        <v>2467</v>
      </c>
      <c r="F770" s="4" t="s">
        <v>3077</v>
      </c>
      <c r="G770">
        <v>0.6206043742640216</v>
      </c>
      <c r="H770">
        <f t="shared" si="23"/>
        <v>0.93317132442284323</v>
      </c>
      <c r="I770">
        <f t="shared" si="22"/>
        <v>5</v>
      </c>
    </row>
    <row r="771" spans="1:9" ht="45" x14ac:dyDescent="0.25">
      <c r="A771" t="s">
        <v>3627</v>
      </c>
      <c r="B771">
        <v>153267</v>
      </c>
      <c r="C771">
        <v>2492</v>
      </c>
      <c r="F771" s="4" t="s">
        <v>3243</v>
      </c>
      <c r="G771">
        <v>0.62438444162427387</v>
      </c>
      <c r="H771">
        <f t="shared" si="23"/>
        <v>0.93438639125151879</v>
      </c>
      <c r="I771">
        <f t="shared" ref="I771:I825" si="24">IF(H771&lt;0.2,1,IF(H771&lt;0.4,2,IF(H771&lt;0.6,3,IF(H771&lt;0.8,4,5))))</f>
        <v>5</v>
      </c>
    </row>
    <row r="772" spans="1:9" ht="60" x14ac:dyDescent="0.25">
      <c r="A772" t="s">
        <v>3264</v>
      </c>
      <c r="B772">
        <v>153878</v>
      </c>
      <c r="C772">
        <v>2253</v>
      </c>
      <c r="F772" s="4" t="s">
        <v>3183</v>
      </c>
      <c r="G772">
        <v>0.62847493503183671</v>
      </c>
      <c r="H772">
        <f t="shared" ref="H772:H825" si="25">_xlfn.RANK.EQ(G772,$G$3:$G$825,1)/COUNT($G$3:$G$825)</f>
        <v>0.93560145808019446</v>
      </c>
      <c r="I772">
        <f t="shared" si="24"/>
        <v>5</v>
      </c>
    </row>
    <row r="773" spans="1:9" ht="45" x14ac:dyDescent="0.25">
      <c r="A773" t="s">
        <v>3817</v>
      </c>
      <c r="B773">
        <v>159338</v>
      </c>
      <c r="C773">
        <v>2946</v>
      </c>
      <c r="F773" s="4" t="s">
        <v>3357</v>
      </c>
      <c r="G773">
        <v>0.62899177915685123</v>
      </c>
      <c r="H773">
        <f t="shared" si="25"/>
        <v>0.93681652490887002</v>
      </c>
      <c r="I773">
        <f t="shared" si="24"/>
        <v>5</v>
      </c>
    </row>
    <row r="774" spans="1:9" ht="60" x14ac:dyDescent="0.25">
      <c r="A774" t="s">
        <v>3641</v>
      </c>
      <c r="B774">
        <v>163315</v>
      </c>
      <c r="C774">
        <v>2544</v>
      </c>
      <c r="F774" s="4" t="s">
        <v>3093</v>
      </c>
      <c r="G774">
        <v>0.62983990451232974</v>
      </c>
      <c r="H774">
        <f t="shared" si="25"/>
        <v>0.93803159173754558</v>
      </c>
      <c r="I774">
        <f t="shared" si="24"/>
        <v>5</v>
      </c>
    </row>
    <row r="775" spans="1:9" ht="60" x14ac:dyDescent="0.25">
      <c r="A775" t="s">
        <v>3701</v>
      </c>
      <c r="B775">
        <v>163438</v>
      </c>
      <c r="C775">
        <v>2692</v>
      </c>
      <c r="F775" s="4" t="s">
        <v>3267</v>
      </c>
      <c r="G775">
        <v>0.63107440917172786</v>
      </c>
      <c r="H775">
        <f t="shared" si="25"/>
        <v>0.93924665856622114</v>
      </c>
      <c r="I775">
        <f t="shared" si="24"/>
        <v>5</v>
      </c>
    </row>
    <row r="776" spans="1:9" ht="45" x14ac:dyDescent="0.25">
      <c r="A776" t="s">
        <v>3363</v>
      </c>
      <c r="B776">
        <v>164063</v>
      </c>
      <c r="C776">
        <v>2436</v>
      </c>
      <c r="F776" s="4" t="s">
        <v>3175</v>
      </c>
      <c r="G776">
        <v>0.63332981334249927</v>
      </c>
      <c r="H776">
        <f t="shared" si="25"/>
        <v>0.9404617253948967</v>
      </c>
      <c r="I776">
        <f t="shared" si="24"/>
        <v>5</v>
      </c>
    </row>
    <row r="777" spans="1:9" ht="60" x14ac:dyDescent="0.25">
      <c r="A777" t="s">
        <v>3861</v>
      </c>
      <c r="B777">
        <v>166677</v>
      </c>
      <c r="C777">
        <v>3214</v>
      </c>
      <c r="F777" s="4" t="s">
        <v>3289</v>
      </c>
      <c r="G777">
        <v>0.63460479539602932</v>
      </c>
      <c r="H777">
        <f t="shared" si="25"/>
        <v>0.94167679222357226</v>
      </c>
      <c r="I777">
        <f t="shared" si="24"/>
        <v>5</v>
      </c>
    </row>
    <row r="778" spans="1:9" ht="45" x14ac:dyDescent="0.25">
      <c r="A778" t="s">
        <v>3726</v>
      </c>
      <c r="B778">
        <v>166908</v>
      </c>
      <c r="C778">
        <v>2824</v>
      </c>
      <c r="F778" s="4" t="s">
        <v>3593</v>
      </c>
      <c r="G778">
        <v>0.6364141126903694</v>
      </c>
      <c r="H778">
        <f t="shared" si="25"/>
        <v>0.94289185905224793</v>
      </c>
      <c r="I778">
        <f t="shared" si="24"/>
        <v>5</v>
      </c>
    </row>
    <row r="779" spans="1:9" ht="60" x14ac:dyDescent="0.25">
      <c r="A779" t="s">
        <v>3545</v>
      </c>
      <c r="B779">
        <v>167400</v>
      </c>
      <c r="C779">
        <v>2642</v>
      </c>
      <c r="F779" s="4" t="s">
        <v>3143</v>
      </c>
      <c r="G779">
        <v>0.64147329040022483</v>
      </c>
      <c r="H779">
        <f t="shared" si="25"/>
        <v>0.94410692588092349</v>
      </c>
      <c r="I779">
        <f t="shared" si="24"/>
        <v>5</v>
      </c>
    </row>
    <row r="780" spans="1:9" ht="45" x14ac:dyDescent="0.25">
      <c r="A780" t="s">
        <v>3290</v>
      </c>
      <c r="B780">
        <v>168672</v>
      </c>
      <c r="C780">
        <v>2397</v>
      </c>
      <c r="F780" s="4" t="s">
        <v>3235</v>
      </c>
      <c r="G780">
        <v>0.64171752312656727</v>
      </c>
      <c r="H780">
        <f t="shared" si="25"/>
        <v>0.94532199270959905</v>
      </c>
      <c r="I780">
        <f t="shared" si="24"/>
        <v>5</v>
      </c>
    </row>
    <row r="781" spans="1:9" ht="60" x14ac:dyDescent="0.25">
      <c r="A781" t="s">
        <v>3455</v>
      </c>
      <c r="B781">
        <v>168846</v>
      </c>
      <c r="C781">
        <v>2638</v>
      </c>
      <c r="F781" s="4" t="s">
        <v>3131</v>
      </c>
      <c r="G781">
        <v>0.64711234490233216</v>
      </c>
      <c r="H781">
        <f t="shared" si="25"/>
        <v>0.94653705953827461</v>
      </c>
      <c r="I781">
        <f t="shared" si="24"/>
        <v>5</v>
      </c>
    </row>
    <row r="782" spans="1:9" ht="60" x14ac:dyDescent="0.25">
      <c r="A782" t="s">
        <v>3286</v>
      </c>
      <c r="B782">
        <v>169688</v>
      </c>
      <c r="C782">
        <v>2347</v>
      </c>
      <c r="F782" s="4" t="s">
        <v>3207</v>
      </c>
      <c r="G782">
        <v>0.65386311553271403</v>
      </c>
      <c r="H782">
        <f t="shared" si="25"/>
        <v>0.94775212636695016</v>
      </c>
      <c r="I782">
        <f t="shared" si="24"/>
        <v>5</v>
      </c>
    </row>
    <row r="783" spans="1:9" ht="45" x14ac:dyDescent="0.25">
      <c r="A783" t="s">
        <v>3714</v>
      </c>
      <c r="B783">
        <v>169810</v>
      </c>
      <c r="C783">
        <v>2925</v>
      </c>
      <c r="F783" s="4" t="s">
        <v>3223</v>
      </c>
      <c r="G783">
        <v>0.65967124997070525</v>
      </c>
      <c r="H783">
        <f t="shared" si="25"/>
        <v>0.94896719319562572</v>
      </c>
      <c r="I783">
        <f t="shared" si="24"/>
        <v>5</v>
      </c>
    </row>
    <row r="784" spans="1:9" ht="45" x14ac:dyDescent="0.25">
      <c r="A784" t="s">
        <v>3860</v>
      </c>
      <c r="B784">
        <v>170972</v>
      </c>
      <c r="C784">
        <v>3328</v>
      </c>
      <c r="F784" s="4" t="s">
        <v>3481</v>
      </c>
      <c r="G784">
        <v>0.66173238312480664</v>
      </c>
      <c r="H784">
        <f t="shared" si="25"/>
        <v>0.95018226002430128</v>
      </c>
      <c r="I784">
        <f t="shared" si="24"/>
        <v>5</v>
      </c>
    </row>
    <row r="785" spans="1:9" ht="60" x14ac:dyDescent="0.25">
      <c r="A785" t="s">
        <v>3763</v>
      </c>
      <c r="B785">
        <v>171250</v>
      </c>
      <c r="C785">
        <v>3043</v>
      </c>
      <c r="F785" s="4" t="s">
        <v>3167</v>
      </c>
      <c r="G785">
        <v>0.66305123281760381</v>
      </c>
      <c r="H785">
        <f t="shared" si="25"/>
        <v>0.95139732685297695</v>
      </c>
      <c r="I785">
        <f t="shared" si="24"/>
        <v>5</v>
      </c>
    </row>
    <row r="786" spans="1:9" ht="45" x14ac:dyDescent="0.25">
      <c r="A786" t="s">
        <v>3060</v>
      </c>
      <c r="B786">
        <v>172031</v>
      </c>
      <c r="C786">
        <v>2065</v>
      </c>
      <c r="F786" s="4" t="s">
        <v>3231</v>
      </c>
      <c r="G786">
        <v>0.66441136515237975</v>
      </c>
      <c r="H786">
        <f t="shared" si="25"/>
        <v>0.95261239368165251</v>
      </c>
      <c r="I786">
        <f t="shared" si="24"/>
        <v>5</v>
      </c>
    </row>
    <row r="787" spans="1:9" ht="60" x14ac:dyDescent="0.25">
      <c r="A787" t="s">
        <v>3132</v>
      </c>
      <c r="B787">
        <v>174375</v>
      </c>
      <c r="C787">
        <v>2346</v>
      </c>
      <c r="F787" s="4" t="s">
        <v>3091</v>
      </c>
      <c r="G787">
        <v>0.67353690955274126</v>
      </c>
      <c r="H787">
        <f t="shared" si="25"/>
        <v>0.95382746051032807</v>
      </c>
      <c r="I787">
        <f t="shared" si="24"/>
        <v>5</v>
      </c>
    </row>
    <row r="788" spans="1:9" ht="60" x14ac:dyDescent="0.25">
      <c r="A788" t="s">
        <v>3104</v>
      </c>
      <c r="B788">
        <v>174712</v>
      </c>
      <c r="C788">
        <v>2525</v>
      </c>
      <c r="F788" s="4" t="s">
        <v>3217</v>
      </c>
      <c r="G788">
        <v>0.67497274984400868</v>
      </c>
      <c r="H788">
        <f t="shared" si="25"/>
        <v>0.95504252733900363</v>
      </c>
      <c r="I788">
        <f t="shared" si="24"/>
        <v>5</v>
      </c>
    </row>
    <row r="789" spans="1:9" ht="60" x14ac:dyDescent="0.25">
      <c r="A789" t="s">
        <v>3604</v>
      </c>
      <c r="B789">
        <v>175000</v>
      </c>
      <c r="C789">
        <v>2833</v>
      </c>
      <c r="F789" s="4" t="s">
        <v>3075</v>
      </c>
      <c r="G789">
        <v>0.6757311691665927</v>
      </c>
      <c r="H789">
        <f t="shared" si="25"/>
        <v>0.95625759416767919</v>
      </c>
      <c r="I789">
        <f t="shared" si="24"/>
        <v>5</v>
      </c>
    </row>
    <row r="790" spans="1:9" ht="60" x14ac:dyDescent="0.25">
      <c r="A790" t="s">
        <v>3685</v>
      </c>
      <c r="B790">
        <v>175972</v>
      </c>
      <c r="C790">
        <v>3048</v>
      </c>
      <c r="F790" s="4" t="s">
        <v>3073</v>
      </c>
      <c r="G790">
        <v>0.68996139871308193</v>
      </c>
      <c r="H790">
        <f t="shared" si="25"/>
        <v>0.95747266099635475</v>
      </c>
      <c r="I790">
        <f t="shared" si="24"/>
        <v>5</v>
      </c>
    </row>
    <row r="791" spans="1:9" ht="60" x14ac:dyDescent="0.25">
      <c r="A791" t="s">
        <v>3840</v>
      </c>
      <c r="B791">
        <v>176875</v>
      </c>
      <c r="C791">
        <v>3267</v>
      </c>
      <c r="F791" s="4" t="s">
        <v>3255</v>
      </c>
      <c r="G791">
        <v>0.69083471259258444</v>
      </c>
      <c r="H791">
        <f t="shared" si="25"/>
        <v>0.95868772782503042</v>
      </c>
      <c r="I791">
        <f t="shared" si="24"/>
        <v>5</v>
      </c>
    </row>
    <row r="792" spans="1:9" ht="60" x14ac:dyDescent="0.25">
      <c r="A792" t="s">
        <v>3637</v>
      </c>
      <c r="B792">
        <v>177361</v>
      </c>
      <c r="C792">
        <v>2944</v>
      </c>
      <c r="F792" s="4" t="s">
        <v>3079</v>
      </c>
      <c r="G792">
        <v>0.69222093960369657</v>
      </c>
      <c r="H792">
        <f t="shared" si="25"/>
        <v>0.95990279465370598</v>
      </c>
      <c r="I792">
        <f t="shared" si="24"/>
        <v>5</v>
      </c>
    </row>
    <row r="793" spans="1:9" ht="60" x14ac:dyDescent="0.25">
      <c r="A793" t="s">
        <v>3344</v>
      </c>
      <c r="B793">
        <v>178696</v>
      </c>
      <c r="C793">
        <v>2676</v>
      </c>
      <c r="F793" s="4" t="s">
        <v>3087</v>
      </c>
      <c r="G793">
        <v>0.69335080270943583</v>
      </c>
      <c r="H793">
        <f t="shared" si="25"/>
        <v>0.96111786148238154</v>
      </c>
      <c r="I793">
        <f t="shared" si="24"/>
        <v>5</v>
      </c>
    </row>
    <row r="794" spans="1:9" ht="60" x14ac:dyDescent="0.25">
      <c r="A794" t="s">
        <v>3138</v>
      </c>
      <c r="B794">
        <v>179821</v>
      </c>
      <c r="C794">
        <v>2397</v>
      </c>
      <c r="F794" s="4" t="s">
        <v>3057</v>
      </c>
      <c r="G794">
        <v>0.69442052028284396</v>
      </c>
      <c r="H794">
        <f t="shared" si="25"/>
        <v>0.9623329283110571</v>
      </c>
      <c r="I794">
        <f t="shared" si="24"/>
        <v>5</v>
      </c>
    </row>
    <row r="795" spans="1:9" ht="60" x14ac:dyDescent="0.25">
      <c r="A795" t="s">
        <v>3620</v>
      </c>
      <c r="B795">
        <v>180694</v>
      </c>
      <c r="C795">
        <v>2864</v>
      </c>
      <c r="F795" s="4" t="s">
        <v>3113</v>
      </c>
      <c r="G795">
        <v>0.6965126491405772</v>
      </c>
      <c r="H795">
        <f t="shared" si="25"/>
        <v>0.96354799513973266</v>
      </c>
      <c r="I795">
        <f t="shared" si="24"/>
        <v>5</v>
      </c>
    </row>
    <row r="796" spans="1:9" ht="60" x14ac:dyDescent="0.25">
      <c r="A796" t="s">
        <v>3486</v>
      </c>
      <c r="B796">
        <v>186324</v>
      </c>
      <c r="C796">
        <v>2959</v>
      </c>
      <c r="F796" s="4" t="s">
        <v>3141</v>
      </c>
      <c r="G796">
        <v>0.69857705331820685</v>
      </c>
      <c r="H796">
        <f t="shared" si="25"/>
        <v>0.96476306196840822</v>
      </c>
      <c r="I796">
        <f t="shared" si="24"/>
        <v>5</v>
      </c>
    </row>
    <row r="797" spans="1:9" ht="60" x14ac:dyDescent="0.25">
      <c r="A797" t="s">
        <v>3868</v>
      </c>
      <c r="B797">
        <v>189712</v>
      </c>
      <c r="C797" s="14">
        <v>4000</v>
      </c>
      <c r="F797" s="4" t="s">
        <v>3101</v>
      </c>
      <c r="G797">
        <v>0.70207000073030534</v>
      </c>
      <c r="H797">
        <f t="shared" si="25"/>
        <v>0.96597812879708389</v>
      </c>
      <c r="I797">
        <f t="shared" si="24"/>
        <v>5</v>
      </c>
    </row>
    <row r="798" spans="1:9" ht="60" x14ac:dyDescent="0.25">
      <c r="A798" t="s">
        <v>3746</v>
      </c>
      <c r="B798">
        <v>191524</v>
      </c>
      <c r="C798">
        <v>3201</v>
      </c>
      <c r="F798" s="4" t="s">
        <v>3165</v>
      </c>
      <c r="G798">
        <v>0.7032355944830101</v>
      </c>
      <c r="H798">
        <f t="shared" si="25"/>
        <v>0.96719319562575945</v>
      </c>
      <c r="I798">
        <f t="shared" si="24"/>
        <v>5</v>
      </c>
    </row>
    <row r="799" spans="1:9" ht="60" x14ac:dyDescent="0.25">
      <c r="A799" t="s">
        <v>3863</v>
      </c>
      <c r="B799">
        <v>192222</v>
      </c>
      <c r="C799">
        <v>3654</v>
      </c>
      <c r="F799" s="4" t="s">
        <v>3145</v>
      </c>
      <c r="G799">
        <v>0.71615389206496416</v>
      </c>
      <c r="H799">
        <f t="shared" si="25"/>
        <v>0.96840826245443501</v>
      </c>
      <c r="I799">
        <f t="shared" si="24"/>
        <v>5</v>
      </c>
    </row>
    <row r="800" spans="1:9" ht="60" x14ac:dyDescent="0.25">
      <c r="A800" t="s">
        <v>3756</v>
      </c>
      <c r="B800">
        <v>195250</v>
      </c>
      <c r="C800">
        <v>3341</v>
      </c>
      <c r="F800" s="4" t="s">
        <v>3159</v>
      </c>
      <c r="G800">
        <v>0.71699684119435625</v>
      </c>
      <c r="H800">
        <f t="shared" si="25"/>
        <v>0.96962332928311057</v>
      </c>
      <c r="I800">
        <f t="shared" si="24"/>
        <v>5</v>
      </c>
    </row>
    <row r="801" spans="1:9" ht="60" x14ac:dyDescent="0.25">
      <c r="A801" t="s">
        <v>3190</v>
      </c>
      <c r="B801">
        <v>195357</v>
      </c>
      <c r="C801">
        <v>2589</v>
      </c>
      <c r="F801" s="4" t="s">
        <v>3161</v>
      </c>
      <c r="G801">
        <v>0.72481622733925999</v>
      </c>
      <c r="H801">
        <f t="shared" si="25"/>
        <v>0.97083839611178613</v>
      </c>
      <c r="I801">
        <f t="shared" si="24"/>
        <v>5</v>
      </c>
    </row>
    <row r="802" spans="1:9" ht="45" x14ac:dyDescent="0.25">
      <c r="A802" t="s">
        <v>3718</v>
      </c>
      <c r="B802">
        <v>196250</v>
      </c>
      <c r="C802">
        <v>3331</v>
      </c>
      <c r="F802" s="4" t="s">
        <v>3195</v>
      </c>
      <c r="G802">
        <v>0.73102122527163071</v>
      </c>
      <c r="H802">
        <f t="shared" si="25"/>
        <v>0.97205346294046169</v>
      </c>
      <c r="I802">
        <f t="shared" si="24"/>
        <v>5</v>
      </c>
    </row>
    <row r="803" spans="1:9" ht="60" x14ac:dyDescent="0.25">
      <c r="A803" t="s">
        <v>3738</v>
      </c>
      <c r="B803">
        <v>198281</v>
      </c>
      <c r="C803">
        <v>3417</v>
      </c>
      <c r="F803" s="4" t="s">
        <v>3095</v>
      </c>
      <c r="G803">
        <v>0.7344847323427065</v>
      </c>
      <c r="H803">
        <f t="shared" si="25"/>
        <v>0.97326852976913725</v>
      </c>
      <c r="I803">
        <f t="shared" si="24"/>
        <v>5</v>
      </c>
    </row>
    <row r="804" spans="1:9" ht="45" x14ac:dyDescent="0.25">
      <c r="A804" t="s">
        <v>3862</v>
      </c>
      <c r="B804">
        <v>202500</v>
      </c>
      <c r="C804" s="14">
        <v>4000</v>
      </c>
      <c r="F804" s="4" t="s">
        <v>3105</v>
      </c>
      <c r="G804">
        <v>0.73871788877535682</v>
      </c>
      <c r="H804">
        <f t="shared" si="25"/>
        <v>0.97448359659781292</v>
      </c>
      <c r="I804">
        <f t="shared" si="24"/>
        <v>5</v>
      </c>
    </row>
    <row r="805" spans="1:9" ht="60" x14ac:dyDescent="0.25">
      <c r="A805" t="s">
        <v>3676</v>
      </c>
      <c r="B805">
        <v>216500</v>
      </c>
      <c r="C805">
        <v>3418</v>
      </c>
      <c r="F805" s="4" t="s">
        <v>3171</v>
      </c>
      <c r="G805">
        <v>0.74488080792767797</v>
      </c>
      <c r="H805">
        <f t="shared" si="25"/>
        <v>0.97569866342648848</v>
      </c>
      <c r="I805">
        <f t="shared" si="24"/>
        <v>5</v>
      </c>
    </row>
    <row r="806" spans="1:9" ht="60" x14ac:dyDescent="0.25">
      <c r="A806" t="s">
        <v>3220</v>
      </c>
      <c r="B806">
        <v>219783</v>
      </c>
      <c r="C806">
        <v>3273</v>
      </c>
      <c r="F806" s="4" t="s">
        <v>3121</v>
      </c>
      <c r="G806">
        <v>0.74948241139948379</v>
      </c>
      <c r="H806">
        <f t="shared" si="25"/>
        <v>0.97691373025516404</v>
      </c>
      <c r="I806">
        <f t="shared" si="24"/>
        <v>5</v>
      </c>
    </row>
    <row r="807" spans="1:9" ht="60" x14ac:dyDescent="0.25">
      <c r="A807" t="s">
        <v>3852</v>
      </c>
      <c r="B807">
        <v>219792</v>
      </c>
      <c r="C807" s="14">
        <v>4000</v>
      </c>
      <c r="F807" s="4" t="s">
        <v>3199</v>
      </c>
      <c r="G807">
        <v>0.75159345059120475</v>
      </c>
      <c r="H807">
        <f t="shared" si="25"/>
        <v>0.9781287970838396</v>
      </c>
      <c r="I807">
        <f t="shared" si="24"/>
        <v>5</v>
      </c>
    </row>
    <row r="808" spans="1:9" ht="45" x14ac:dyDescent="0.25">
      <c r="A808" t="s">
        <v>3320</v>
      </c>
      <c r="B808">
        <v>222839</v>
      </c>
      <c r="C808">
        <v>3250</v>
      </c>
      <c r="F808" s="4" t="s">
        <v>3273</v>
      </c>
      <c r="G808">
        <v>0.75968600974502543</v>
      </c>
      <c r="H808">
        <f t="shared" si="25"/>
        <v>0.97934386391251516</v>
      </c>
      <c r="I808">
        <f t="shared" si="24"/>
        <v>5</v>
      </c>
    </row>
    <row r="809" spans="1:9" ht="60" x14ac:dyDescent="0.25">
      <c r="A809" t="s">
        <v>3527</v>
      </c>
      <c r="B809">
        <v>228558</v>
      </c>
      <c r="C809">
        <v>3756</v>
      </c>
      <c r="F809" s="4" t="s">
        <v>3109</v>
      </c>
      <c r="G809">
        <v>0.77378480320692844</v>
      </c>
      <c r="H809">
        <f t="shared" si="25"/>
        <v>0.98055893074119072</v>
      </c>
      <c r="I809">
        <f t="shared" si="24"/>
        <v>5</v>
      </c>
    </row>
    <row r="810" spans="1:9" ht="45" x14ac:dyDescent="0.25">
      <c r="A810" t="s">
        <v>3821</v>
      </c>
      <c r="B810">
        <v>229531</v>
      </c>
      <c r="C810">
        <v>3941</v>
      </c>
      <c r="F810" s="4" t="s">
        <v>3185</v>
      </c>
      <c r="G810">
        <v>0.7751019707516954</v>
      </c>
      <c r="H810">
        <f t="shared" si="25"/>
        <v>0.98177399756986639</v>
      </c>
      <c r="I810">
        <f t="shared" si="24"/>
        <v>5</v>
      </c>
    </row>
    <row r="811" spans="1:9" ht="45" x14ac:dyDescent="0.25">
      <c r="A811" t="s">
        <v>3490</v>
      </c>
      <c r="B811">
        <v>233750</v>
      </c>
      <c r="C811">
        <v>3644</v>
      </c>
      <c r="F811" s="4" t="s">
        <v>3177</v>
      </c>
      <c r="G811">
        <v>0.78665415368789204</v>
      </c>
      <c r="H811">
        <f t="shared" si="25"/>
        <v>0.98298906439854195</v>
      </c>
      <c r="I811">
        <f t="shared" si="24"/>
        <v>5</v>
      </c>
    </row>
    <row r="812" spans="1:9" ht="45" x14ac:dyDescent="0.25">
      <c r="A812" t="s">
        <v>3371</v>
      </c>
      <c r="B812">
        <v>236000</v>
      </c>
      <c r="C812">
        <v>3348</v>
      </c>
      <c r="F812" s="4" t="s">
        <v>3317</v>
      </c>
      <c r="G812">
        <v>0.79762862949172275</v>
      </c>
      <c r="H812">
        <f t="shared" si="25"/>
        <v>0.9842041312272175</v>
      </c>
      <c r="I812">
        <f t="shared" si="24"/>
        <v>5</v>
      </c>
    </row>
    <row r="813" spans="1:9" ht="60" x14ac:dyDescent="0.25">
      <c r="A813" t="s">
        <v>3172</v>
      </c>
      <c r="B813">
        <v>238068</v>
      </c>
      <c r="C813">
        <v>3293</v>
      </c>
      <c r="F813" s="4" t="s">
        <v>3119</v>
      </c>
      <c r="G813">
        <v>0.80400814261383713</v>
      </c>
      <c r="H813">
        <f t="shared" si="25"/>
        <v>0.98541919805589306</v>
      </c>
      <c r="I813">
        <f t="shared" si="24"/>
        <v>5</v>
      </c>
    </row>
    <row r="814" spans="1:9" ht="60" x14ac:dyDescent="0.25">
      <c r="A814" t="s">
        <v>3278</v>
      </c>
      <c r="B814">
        <v>238750</v>
      </c>
      <c r="C814">
        <v>3541</v>
      </c>
      <c r="F814" s="4" t="s">
        <v>3089</v>
      </c>
      <c r="G814">
        <v>0.81176971729365488</v>
      </c>
      <c r="H814">
        <f t="shared" si="25"/>
        <v>0.98663426488456862</v>
      </c>
      <c r="I814">
        <f t="shared" si="24"/>
        <v>5</v>
      </c>
    </row>
    <row r="815" spans="1:9" ht="60" x14ac:dyDescent="0.25">
      <c r="A815" t="s">
        <v>3383</v>
      </c>
      <c r="B815">
        <v>242125</v>
      </c>
      <c r="C815">
        <v>3609</v>
      </c>
      <c r="F815" s="4" t="s">
        <v>3071</v>
      </c>
      <c r="G815">
        <v>0.81745185335017578</v>
      </c>
      <c r="H815">
        <f t="shared" si="25"/>
        <v>0.98784933171324418</v>
      </c>
      <c r="I815">
        <f t="shared" si="24"/>
        <v>5</v>
      </c>
    </row>
    <row r="816" spans="1:9" ht="60" x14ac:dyDescent="0.25">
      <c r="A816" t="s">
        <v>3614</v>
      </c>
      <c r="B816">
        <v>242500</v>
      </c>
      <c r="C816">
        <v>3773</v>
      </c>
      <c r="F816" s="4" t="s">
        <v>3099</v>
      </c>
      <c r="G816">
        <v>0.83850478650660987</v>
      </c>
      <c r="H816">
        <f t="shared" si="25"/>
        <v>0.98906439854191985</v>
      </c>
      <c r="I816">
        <f t="shared" si="24"/>
        <v>5</v>
      </c>
    </row>
    <row r="817" spans="1:9" ht="60" x14ac:dyDescent="0.25">
      <c r="A817" t="s">
        <v>3427</v>
      </c>
      <c r="B817">
        <v>247169</v>
      </c>
      <c r="C817">
        <v>3810</v>
      </c>
      <c r="F817" s="4" t="s">
        <v>3107</v>
      </c>
      <c r="G817">
        <v>0.86266678259075513</v>
      </c>
      <c r="H817">
        <f t="shared" si="25"/>
        <v>0.99027946537059541</v>
      </c>
      <c r="I817">
        <f t="shared" si="24"/>
        <v>5</v>
      </c>
    </row>
    <row r="818" spans="1:9" ht="60" x14ac:dyDescent="0.25">
      <c r="A818" t="s">
        <v>3492</v>
      </c>
      <c r="B818">
        <v>247361</v>
      </c>
      <c r="C818">
        <v>3750</v>
      </c>
      <c r="F818" s="4" t="s">
        <v>3067</v>
      </c>
      <c r="G818">
        <v>0.87759274587493308</v>
      </c>
      <c r="H818">
        <f t="shared" si="25"/>
        <v>0.99149453219927097</v>
      </c>
      <c r="I818">
        <f t="shared" si="24"/>
        <v>5</v>
      </c>
    </row>
    <row r="819" spans="1:9" ht="60" x14ac:dyDescent="0.25">
      <c r="A819" t="s">
        <v>3697</v>
      </c>
      <c r="B819" s="14">
        <v>250000</v>
      </c>
      <c r="C819" s="14">
        <v>4000</v>
      </c>
      <c r="F819" s="4" t="s">
        <v>3069</v>
      </c>
      <c r="G819">
        <v>0.90899645373555571</v>
      </c>
      <c r="H819">
        <f t="shared" si="25"/>
        <v>0.99270959902794653</v>
      </c>
      <c r="I819">
        <f t="shared" si="24"/>
        <v>5</v>
      </c>
    </row>
    <row r="820" spans="1:9" ht="45" x14ac:dyDescent="0.25">
      <c r="A820" t="s">
        <v>3336</v>
      </c>
      <c r="B820" s="14">
        <v>250000</v>
      </c>
      <c r="C820">
        <v>3523</v>
      </c>
      <c r="F820" s="4" t="s">
        <v>3048</v>
      </c>
      <c r="G820">
        <v>0.93922474392448296</v>
      </c>
      <c r="H820">
        <f t="shared" si="25"/>
        <v>0.99392466585662209</v>
      </c>
      <c r="I820">
        <f t="shared" si="24"/>
        <v>5</v>
      </c>
    </row>
    <row r="821" spans="1:9" ht="45" x14ac:dyDescent="0.25">
      <c r="A821" t="s">
        <v>3709</v>
      </c>
      <c r="B821" s="14">
        <v>250000</v>
      </c>
      <c r="C821" s="14">
        <v>4000</v>
      </c>
      <c r="F821" s="4" t="s">
        <v>3081</v>
      </c>
      <c r="G821">
        <v>0.94956444437546872</v>
      </c>
      <c r="H821">
        <f t="shared" si="25"/>
        <v>0.99513973268529765</v>
      </c>
      <c r="I821">
        <f t="shared" si="24"/>
        <v>5</v>
      </c>
    </row>
    <row r="822" spans="1:9" ht="45" x14ac:dyDescent="0.25">
      <c r="A822" t="s">
        <v>3768</v>
      </c>
      <c r="B822" s="14">
        <v>250000</v>
      </c>
      <c r="C822" s="14">
        <v>4000</v>
      </c>
      <c r="F822" s="4" t="s">
        <v>3085</v>
      </c>
      <c r="G822">
        <v>0.99778149024619756</v>
      </c>
      <c r="H822">
        <f t="shared" si="25"/>
        <v>0.99635479951397332</v>
      </c>
      <c r="I822">
        <f t="shared" si="24"/>
        <v>5</v>
      </c>
    </row>
    <row r="823" spans="1:9" ht="45" x14ac:dyDescent="0.25">
      <c r="A823" t="s">
        <v>3373</v>
      </c>
      <c r="B823" s="14">
        <v>250000</v>
      </c>
      <c r="C823">
        <v>3565</v>
      </c>
      <c r="F823" s="4" t="s">
        <v>3063</v>
      </c>
      <c r="G823">
        <v>0.998889884512971</v>
      </c>
      <c r="H823">
        <f t="shared" si="25"/>
        <v>0.99756986634264888</v>
      </c>
      <c r="I823">
        <f t="shared" si="24"/>
        <v>5</v>
      </c>
    </row>
    <row r="824" spans="1:9" ht="45" x14ac:dyDescent="0.25">
      <c r="A824" t="s">
        <v>3680</v>
      </c>
      <c r="B824" s="14">
        <v>250000</v>
      </c>
      <c r="C824" s="14">
        <v>4000</v>
      </c>
      <c r="F824" s="4" t="s">
        <v>3065</v>
      </c>
      <c r="G824">
        <v>1.0520927871393047</v>
      </c>
      <c r="H824">
        <f t="shared" si="25"/>
        <v>0.99878493317132444</v>
      </c>
      <c r="I824">
        <f t="shared" si="24"/>
        <v>5</v>
      </c>
    </row>
    <row r="825" spans="1:9" ht="60" x14ac:dyDescent="0.25">
      <c r="A825" t="s">
        <v>3665</v>
      </c>
      <c r="B825" s="14">
        <v>250000</v>
      </c>
      <c r="C825" s="14">
        <v>4000</v>
      </c>
      <c r="F825" s="4" t="s">
        <v>3127</v>
      </c>
      <c r="G825">
        <v>1.2414263633593696</v>
      </c>
      <c r="H825">
        <f t="shared" si="25"/>
        <v>1</v>
      </c>
      <c r="I825">
        <f t="shared" si="24"/>
        <v>5</v>
      </c>
    </row>
    <row r="826" spans="1:9" ht="60" x14ac:dyDescent="0.25">
      <c r="A826" t="s">
        <v>3742</v>
      </c>
      <c r="B826" s="14">
        <v>250000</v>
      </c>
      <c r="C826" s="14">
        <v>4000</v>
      </c>
      <c r="F826" s="4" t="s">
        <v>3874</v>
      </c>
      <c r="G826" t="e">
        <v>#N/A</v>
      </c>
    </row>
    <row r="827" spans="1:9" ht="60" x14ac:dyDescent="0.25">
      <c r="A827" t="s">
        <v>3748</v>
      </c>
      <c r="B827" s="14">
        <v>250000</v>
      </c>
      <c r="C827" s="14">
        <v>4000</v>
      </c>
      <c r="F827" s="4" t="s">
        <v>3875</v>
      </c>
      <c r="G827" t="e">
        <v>#N/A</v>
      </c>
    </row>
    <row r="828" spans="1:9" ht="60" x14ac:dyDescent="0.25">
      <c r="F828" s="4" t="s">
        <v>3876</v>
      </c>
      <c r="G828" t="e">
        <v>#N/A</v>
      </c>
    </row>
    <row r="829" spans="1:9" ht="60" x14ac:dyDescent="0.25">
      <c r="F829" s="4" t="s">
        <v>3877</v>
      </c>
      <c r="G829" t="e">
        <v>#N/A</v>
      </c>
    </row>
    <row r="830" spans="1:9" ht="60" x14ac:dyDescent="0.25">
      <c r="F830" s="4" t="s">
        <v>3878</v>
      </c>
      <c r="G830" t="e">
        <v>#N/A</v>
      </c>
    </row>
    <row r="831" spans="1:9" ht="60" x14ac:dyDescent="0.25">
      <c r="F831" s="4" t="s">
        <v>3879</v>
      </c>
      <c r="G831" t="e">
        <v>#N/A</v>
      </c>
    </row>
    <row r="832" spans="1:9" ht="60" x14ac:dyDescent="0.25">
      <c r="F832" s="4" t="s">
        <v>3880</v>
      </c>
      <c r="G832" t="e">
        <v>#N/A</v>
      </c>
    </row>
    <row r="833" spans="6:7" ht="60" x14ac:dyDescent="0.25">
      <c r="F833" s="4" t="s">
        <v>3881</v>
      </c>
      <c r="G833" t="e">
        <v>#N/A</v>
      </c>
    </row>
    <row r="834" spans="6:7" ht="60" x14ac:dyDescent="0.25">
      <c r="F834" s="4" t="s">
        <v>3882</v>
      </c>
      <c r="G834" t="e">
        <v>#N/A</v>
      </c>
    </row>
    <row r="835" spans="6:7" ht="60" x14ac:dyDescent="0.25">
      <c r="F835" s="4" t="s">
        <v>3883</v>
      </c>
      <c r="G835" t="e">
        <v>#N/A</v>
      </c>
    </row>
    <row r="836" spans="6:7" x14ac:dyDescent="0.25">
      <c r="G836" t="e">
        <v>#N/A</v>
      </c>
    </row>
  </sheetData>
  <sortState xmlns:xlrd2="http://schemas.microsoft.com/office/spreadsheetml/2017/richdata2" ref="F3:G835">
    <sortCondition ref="G3:G835"/>
  </sortState>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671EF-4C5B-4DA9-8C79-054955AB34A6}">
  <sheetPr>
    <tabColor theme="9" tint="0.79998168889431442"/>
  </sheetPr>
  <dimension ref="A1:H824"/>
  <sheetViews>
    <sheetView workbookViewId="0">
      <selection activeCell="L6" sqref="L6"/>
    </sheetView>
  </sheetViews>
  <sheetFormatPr defaultRowHeight="15" x14ac:dyDescent="0.25"/>
  <cols>
    <col min="2" max="2" width="12" bestFit="1" customWidth="1"/>
    <col min="3" max="3" width="15" style="7" bestFit="1" customWidth="1"/>
    <col min="5" max="5" width="12" bestFit="1" customWidth="1"/>
  </cols>
  <sheetData>
    <row r="1" spans="1:8" ht="60" x14ac:dyDescent="0.25">
      <c r="A1" s="201" t="s">
        <v>2704</v>
      </c>
      <c r="B1" s="201" t="s">
        <v>3884</v>
      </c>
      <c r="C1" s="7" t="s">
        <v>3885</v>
      </c>
      <c r="E1" t="s">
        <v>3886</v>
      </c>
      <c r="F1" t="s">
        <v>3887</v>
      </c>
    </row>
    <row r="2" spans="1:8" ht="90" x14ac:dyDescent="0.25">
      <c r="A2" s="4" t="s">
        <v>3048</v>
      </c>
      <c r="B2">
        <v>5.5322222222222219</v>
      </c>
      <c r="C2" s="8">
        <v>1.215066828675577E-3</v>
      </c>
      <c r="E2">
        <v>5.5322222222222219</v>
      </c>
      <c r="F2">
        <f>_xlfn.RANK.EQ(E2,$E$2:$E$824,1)/COUNT($E$2:$E$824)</f>
        <v>1.215066828675577E-3</v>
      </c>
      <c r="H2">
        <f>IF(F2&lt;0.2,1,IF(F2&lt;0.4,2,IF(F2&lt;0.6,3,IF(F2&lt;0.8,4,5))))</f>
        <v>1</v>
      </c>
    </row>
    <row r="3" spans="1:8" ht="120" x14ac:dyDescent="0.25">
      <c r="A3" s="4" t="s">
        <v>3051</v>
      </c>
      <c r="B3">
        <v>11.060381585475545</v>
      </c>
      <c r="C3" s="8">
        <v>2.4301336573511541E-3</v>
      </c>
      <c r="E3">
        <v>11.060381585475545</v>
      </c>
      <c r="F3">
        <f t="shared" ref="F3:F66" si="0">_xlfn.RANK.EQ(E3,$E$2:$E$824,1)/COUNT($E$2:$E$824)</f>
        <v>2.4301336573511541E-3</v>
      </c>
    </row>
    <row r="4" spans="1:8" ht="90" x14ac:dyDescent="0.25">
      <c r="A4" s="4" t="s">
        <v>3065</v>
      </c>
      <c r="B4">
        <v>11.770824922840449</v>
      </c>
      <c r="C4" s="7">
        <v>3.6452004860267314E-3</v>
      </c>
      <c r="E4">
        <v>11.770824922840449</v>
      </c>
      <c r="F4">
        <f t="shared" si="0"/>
        <v>3.6452004860267314E-3</v>
      </c>
    </row>
    <row r="5" spans="1:8" ht="120" x14ac:dyDescent="0.25">
      <c r="A5" s="4" t="s">
        <v>3054</v>
      </c>
      <c r="B5">
        <v>12.677313820927749</v>
      </c>
      <c r="C5" s="7">
        <v>4.8602673147023082E-3</v>
      </c>
      <c r="E5">
        <v>12.677313820927749</v>
      </c>
      <c r="F5">
        <f t="shared" si="0"/>
        <v>4.8602673147023082E-3</v>
      </c>
    </row>
    <row r="6" spans="1:8" ht="105" x14ac:dyDescent="0.25">
      <c r="A6" s="4" t="s">
        <v>3067</v>
      </c>
      <c r="B6">
        <v>12.812321037123063</v>
      </c>
      <c r="C6" s="7">
        <v>6.0753341433778859E-3</v>
      </c>
      <c r="E6">
        <v>12.812321037123063</v>
      </c>
      <c r="F6">
        <f t="shared" si="0"/>
        <v>6.0753341433778859E-3</v>
      </c>
    </row>
    <row r="7" spans="1:8" ht="105" x14ac:dyDescent="0.25">
      <c r="A7" s="4" t="s">
        <v>3069</v>
      </c>
      <c r="B7">
        <v>13.25417712081085</v>
      </c>
      <c r="C7" s="7">
        <v>7.2904009720534627E-3</v>
      </c>
      <c r="E7">
        <v>13.25417712081085</v>
      </c>
      <c r="F7">
        <f t="shared" si="0"/>
        <v>7.2904009720534627E-3</v>
      </c>
    </row>
    <row r="8" spans="1:8" ht="90" x14ac:dyDescent="0.25">
      <c r="A8" s="4" t="s">
        <v>3063</v>
      </c>
      <c r="B8">
        <v>13.322789835326628</v>
      </c>
      <c r="C8" s="7">
        <v>8.5054678007290396E-3</v>
      </c>
      <c r="E8">
        <v>13.322789835326628</v>
      </c>
      <c r="F8">
        <f t="shared" si="0"/>
        <v>8.5054678007290396E-3</v>
      </c>
    </row>
    <row r="9" spans="1:8" ht="120" x14ac:dyDescent="0.25">
      <c r="A9" s="4" t="s">
        <v>3057</v>
      </c>
      <c r="B9">
        <v>13.5307061435525</v>
      </c>
      <c r="C9" s="7">
        <v>9.7205346294046164E-3</v>
      </c>
      <c r="E9">
        <v>13.5307061435525</v>
      </c>
      <c r="F9">
        <f t="shared" si="0"/>
        <v>9.7205346294046164E-3</v>
      </c>
    </row>
    <row r="10" spans="1:8" ht="120" x14ac:dyDescent="0.25">
      <c r="A10" s="4" t="s">
        <v>3071</v>
      </c>
      <c r="B10">
        <v>13.564101609847572</v>
      </c>
      <c r="C10" s="7">
        <v>1.0935601458080195E-2</v>
      </c>
      <c r="E10">
        <v>13.564101609847572</v>
      </c>
      <c r="F10">
        <f t="shared" si="0"/>
        <v>1.0935601458080195E-2</v>
      </c>
    </row>
    <row r="11" spans="1:8" ht="105" x14ac:dyDescent="0.25">
      <c r="A11" s="4" t="s">
        <v>3061</v>
      </c>
      <c r="B11">
        <v>13.654628522214777</v>
      </c>
      <c r="C11" s="7">
        <v>1.2150668286755772E-2</v>
      </c>
      <c r="E11">
        <v>13.654628522214777</v>
      </c>
      <c r="F11">
        <f t="shared" si="0"/>
        <v>1.2150668286755772E-2</v>
      </c>
    </row>
    <row r="12" spans="1:8" ht="90" x14ac:dyDescent="0.25">
      <c r="A12" s="4" t="s">
        <v>3081</v>
      </c>
      <c r="B12">
        <v>13.989571828099487</v>
      </c>
      <c r="C12" s="7">
        <v>1.3365735115431349E-2</v>
      </c>
      <c r="E12">
        <v>13.989571828099487</v>
      </c>
      <c r="F12">
        <f t="shared" si="0"/>
        <v>1.3365735115431349E-2</v>
      </c>
    </row>
    <row r="13" spans="1:8" ht="120" x14ac:dyDescent="0.25">
      <c r="A13" s="4" t="s">
        <v>3059</v>
      </c>
      <c r="B13">
        <v>14.366284623066875</v>
      </c>
      <c r="C13" s="7">
        <v>1.4580801944106925E-2</v>
      </c>
      <c r="E13">
        <v>14.366284623066875</v>
      </c>
      <c r="F13">
        <f t="shared" si="0"/>
        <v>1.4580801944106925E-2</v>
      </c>
    </row>
    <row r="14" spans="1:8" ht="105" x14ac:dyDescent="0.25">
      <c r="A14" s="4" t="s">
        <v>3089</v>
      </c>
      <c r="B14">
        <v>14.723387366366127</v>
      </c>
      <c r="C14" s="7">
        <v>1.5795868772782502E-2</v>
      </c>
      <c r="E14">
        <v>14.723387366366127</v>
      </c>
      <c r="F14">
        <f t="shared" si="0"/>
        <v>1.5795868772782502E-2</v>
      </c>
    </row>
    <row r="15" spans="1:8" ht="105" x14ac:dyDescent="0.25">
      <c r="A15" s="4" t="s">
        <v>3073</v>
      </c>
      <c r="B15">
        <v>14.939966234671262</v>
      </c>
      <c r="C15" s="7">
        <v>1.7010935601458079E-2</v>
      </c>
      <c r="E15">
        <v>14.939966234671262</v>
      </c>
      <c r="F15">
        <f t="shared" si="0"/>
        <v>1.7010935601458079E-2</v>
      </c>
    </row>
    <row r="16" spans="1:8" ht="105" x14ac:dyDescent="0.25">
      <c r="A16" s="4" t="s">
        <v>3075</v>
      </c>
      <c r="B16">
        <v>14.952691929930777</v>
      </c>
      <c r="C16" s="7">
        <v>1.8226002430133656E-2</v>
      </c>
      <c r="E16">
        <v>14.952691929930777</v>
      </c>
      <c r="F16">
        <f t="shared" si="0"/>
        <v>1.8226002430133656E-2</v>
      </c>
    </row>
    <row r="17" spans="1:6" ht="105" x14ac:dyDescent="0.25">
      <c r="A17" s="4" t="s">
        <v>3109</v>
      </c>
      <c r="B17">
        <v>15.291073113561577</v>
      </c>
      <c r="C17" s="7">
        <v>1.9441069258809233E-2</v>
      </c>
      <c r="E17">
        <v>15.291073113561577</v>
      </c>
      <c r="F17">
        <f t="shared" si="0"/>
        <v>1.9441069258809233E-2</v>
      </c>
    </row>
    <row r="18" spans="1:6" ht="90" x14ac:dyDescent="0.25">
      <c r="A18" s="4" t="s">
        <v>3085</v>
      </c>
      <c r="B18">
        <v>15.334018669984349</v>
      </c>
      <c r="C18" s="7">
        <v>2.0656136087484813E-2</v>
      </c>
      <c r="E18">
        <v>15.334018669984349</v>
      </c>
      <c r="F18">
        <f t="shared" si="0"/>
        <v>2.0656136087484813E-2</v>
      </c>
    </row>
    <row r="19" spans="1:6" ht="120" x14ac:dyDescent="0.25">
      <c r="A19" s="4" t="s">
        <v>3091</v>
      </c>
      <c r="B19">
        <v>15.48244773538047</v>
      </c>
      <c r="C19" s="7">
        <v>2.187120291616039E-2</v>
      </c>
      <c r="E19">
        <v>15.48244773538047</v>
      </c>
      <c r="F19">
        <f t="shared" si="0"/>
        <v>2.187120291616039E-2</v>
      </c>
    </row>
    <row r="20" spans="1:6" ht="120" x14ac:dyDescent="0.25">
      <c r="A20" s="4" t="s">
        <v>3099</v>
      </c>
      <c r="B20">
        <v>15.484705882352943</v>
      </c>
      <c r="C20" s="7">
        <v>2.3086269744835967E-2</v>
      </c>
      <c r="E20">
        <v>15.484705882352943</v>
      </c>
      <c r="F20">
        <f t="shared" si="0"/>
        <v>2.3086269744835967E-2</v>
      </c>
    </row>
    <row r="21" spans="1:6" ht="105" x14ac:dyDescent="0.25">
      <c r="A21" s="4" t="s">
        <v>3079</v>
      </c>
      <c r="B21">
        <v>15.844652151492687</v>
      </c>
      <c r="C21" s="7">
        <v>2.4301336573511544E-2</v>
      </c>
      <c r="E21">
        <v>15.844652151492687</v>
      </c>
      <c r="F21">
        <f t="shared" si="0"/>
        <v>2.4301336573511544E-2</v>
      </c>
    </row>
    <row r="22" spans="1:6" ht="105" x14ac:dyDescent="0.25">
      <c r="A22" s="4" t="s">
        <v>3095</v>
      </c>
      <c r="B22">
        <v>15.945872642775704</v>
      </c>
      <c r="C22" s="7">
        <v>2.551640340218712E-2</v>
      </c>
      <c r="E22">
        <v>15.945872642775704</v>
      </c>
      <c r="F22">
        <f t="shared" si="0"/>
        <v>2.551640340218712E-2</v>
      </c>
    </row>
    <row r="23" spans="1:6" ht="120" x14ac:dyDescent="0.25">
      <c r="A23" s="4" t="s">
        <v>3101</v>
      </c>
      <c r="B23">
        <v>16.169327827982187</v>
      </c>
      <c r="C23" s="7">
        <v>2.6731470230862697E-2</v>
      </c>
      <c r="E23">
        <v>16.169327827982187</v>
      </c>
      <c r="F23">
        <f t="shared" si="0"/>
        <v>2.6731470230862697E-2</v>
      </c>
    </row>
    <row r="24" spans="1:6" ht="120" x14ac:dyDescent="0.25">
      <c r="A24" s="4" t="s">
        <v>3119</v>
      </c>
      <c r="B24">
        <v>16.178940623301258</v>
      </c>
      <c r="C24" s="7">
        <v>2.7946537059538274E-2</v>
      </c>
      <c r="E24">
        <v>16.178940623301258</v>
      </c>
      <c r="F24">
        <f t="shared" si="0"/>
        <v>2.7946537059538274E-2</v>
      </c>
    </row>
    <row r="25" spans="1:6" ht="120" x14ac:dyDescent="0.25">
      <c r="A25" s="4" t="s">
        <v>3107</v>
      </c>
      <c r="B25">
        <v>16.622872573039391</v>
      </c>
      <c r="C25" s="7">
        <v>2.9161603888213851E-2</v>
      </c>
      <c r="E25">
        <v>16.622872573039391</v>
      </c>
      <c r="F25">
        <f t="shared" si="0"/>
        <v>2.9161603888213851E-2</v>
      </c>
    </row>
    <row r="26" spans="1:6" ht="105" x14ac:dyDescent="0.25">
      <c r="A26" s="4" t="s">
        <v>3097</v>
      </c>
      <c r="B26">
        <v>17.051207314617812</v>
      </c>
      <c r="C26" s="7">
        <v>3.0376670716889428E-2</v>
      </c>
      <c r="E26">
        <v>17.051207314617812</v>
      </c>
      <c r="F26">
        <f t="shared" si="0"/>
        <v>3.0376670716889428E-2</v>
      </c>
    </row>
    <row r="27" spans="1:6" ht="105" x14ac:dyDescent="0.25">
      <c r="A27" s="4" t="s">
        <v>3113</v>
      </c>
      <c r="B27">
        <v>17.211460574035407</v>
      </c>
      <c r="C27" s="7">
        <v>3.1591737545565005E-2</v>
      </c>
      <c r="E27">
        <v>17.211460574035407</v>
      </c>
      <c r="F27">
        <f t="shared" si="0"/>
        <v>3.1591737545565005E-2</v>
      </c>
    </row>
    <row r="28" spans="1:6" ht="120" x14ac:dyDescent="0.25">
      <c r="A28" s="4" t="s">
        <v>3087</v>
      </c>
      <c r="B28">
        <v>17.324563486564386</v>
      </c>
      <c r="C28" s="7">
        <v>3.2806804374240585E-2</v>
      </c>
      <c r="E28">
        <v>17.324563486564386</v>
      </c>
      <c r="F28">
        <f t="shared" si="0"/>
        <v>3.2806804374240585E-2</v>
      </c>
    </row>
    <row r="29" spans="1:6" ht="105" x14ac:dyDescent="0.25">
      <c r="A29" s="4" t="s">
        <v>3083</v>
      </c>
      <c r="B29">
        <v>17.330844909559023</v>
      </c>
      <c r="C29" s="7">
        <v>3.4021871202916158E-2</v>
      </c>
      <c r="E29">
        <v>17.330844909559023</v>
      </c>
      <c r="F29">
        <f t="shared" si="0"/>
        <v>3.4021871202916158E-2</v>
      </c>
    </row>
    <row r="30" spans="1:6" ht="120" x14ac:dyDescent="0.25">
      <c r="A30" s="4" t="s">
        <v>3103</v>
      </c>
      <c r="B30">
        <v>17.397787940140095</v>
      </c>
      <c r="C30" s="7">
        <v>3.5236938031591739E-2</v>
      </c>
      <c r="E30">
        <v>17.397787940140095</v>
      </c>
      <c r="F30">
        <f t="shared" si="0"/>
        <v>3.5236938031591739E-2</v>
      </c>
    </row>
    <row r="31" spans="1:6" ht="105" x14ac:dyDescent="0.25">
      <c r="A31" s="4" t="s">
        <v>3125</v>
      </c>
      <c r="B31">
        <v>17.456907910159341</v>
      </c>
      <c r="C31" s="7">
        <v>3.6452004860267312E-2</v>
      </c>
      <c r="E31">
        <v>17.456907910159341</v>
      </c>
      <c r="F31">
        <f t="shared" si="0"/>
        <v>3.6452004860267312E-2</v>
      </c>
    </row>
    <row r="32" spans="1:6" ht="105" x14ac:dyDescent="0.25">
      <c r="A32" s="4" t="s">
        <v>3141</v>
      </c>
      <c r="B32">
        <v>17.486975763052332</v>
      </c>
      <c r="C32" s="7">
        <v>3.7667071688942892E-2</v>
      </c>
      <c r="E32">
        <v>17.486975763052332</v>
      </c>
      <c r="F32">
        <f t="shared" si="0"/>
        <v>3.7667071688942892E-2</v>
      </c>
    </row>
    <row r="33" spans="1:6" ht="90" x14ac:dyDescent="0.25">
      <c r="A33" s="4" t="s">
        <v>3105</v>
      </c>
      <c r="B33">
        <v>17.511421066904504</v>
      </c>
      <c r="C33" s="7">
        <v>3.8882138517618466E-2</v>
      </c>
      <c r="E33">
        <v>17.511421066904504</v>
      </c>
      <c r="F33">
        <f t="shared" si="0"/>
        <v>3.8882138517618466E-2</v>
      </c>
    </row>
    <row r="34" spans="1:6" ht="120" x14ac:dyDescent="0.25">
      <c r="A34" s="4" t="s">
        <v>3139</v>
      </c>
      <c r="B34">
        <v>17.725734354769102</v>
      </c>
      <c r="C34" s="7">
        <v>4.0097205346294046E-2</v>
      </c>
      <c r="E34">
        <v>17.725734354769102</v>
      </c>
      <c r="F34">
        <f t="shared" si="0"/>
        <v>4.0097205346294046E-2</v>
      </c>
    </row>
    <row r="35" spans="1:6" ht="90" x14ac:dyDescent="0.25">
      <c r="A35" s="4" t="s">
        <v>3177</v>
      </c>
      <c r="B35">
        <v>18.33588487695544</v>
      </c>
      <c r="C35" s="7">
        <v>4.1312272174969626E-2</v>
      </c>
      <c r="E35">
        <v>18.33588487695544</v>
      </c>
      <c r="F35">
        <f t="shared" si="0"/>
        <v>4.1312272174969626E-2</v>
      </c>
    </row>
    <row r="36" spans="1:6" ht="105" x14ac:dyDescent="0.25">
      <c r="A36" s="4" t="s">
        <v>3093</v>
      </c>
      <c r="B36">
        <v>18.461834375202518</v>
      </c>
      <c r="C36" s="7">
        <v>4.25273390036452E-2</v>
      </c>
      <c r="E36">
        <v>18.461834375202518</v>
      </c>
      <c r="F36">
        <f t="shared" si="0"/>
        <v>4.25273390036452E-2</v>
      </c>
    </row>
    <row r="37" spans="1:6" ht="120" x14ac:dyDescent="0.25">
      <c r="A37" s="4" t="s">
        <v>3171</v>
      </c>
      <c r="B37">
        <v>18.462014128487535</v>
      </c>
      <c r="C37" s="7">
        <v>4.374240583232078E-2</v>
      </c>
      <c r="E37">
        <v>18.462014128487535</v>
      </c>
      <c r="F37">
        <f t="shared" si="0"/>
        <v>4.374240583232078E-2</v>
      </c>
    </row>
    <row r="38" spans="1:6" ht="105" x14ac:dyDescent="0.25">
      <c r="A38" s="4" t="s">
        <v>3145</v>
      </c>
      <c r="B38">
        <v>18.666379039642717</v>
      </c>
      <c r="C38" s="7">
        <v>4.4957472660996353E-2</v>
      </c>
      <c r="E38">
        <v>18.666379039642717</v>
      </c>
      <c r="F38">
        <f t="shared" si="0"/>
        <v>4.4957472660996353E-2</v>
      </c>
    </row>
    <row r="39" spans="1:6" ht="120" x14ac:dyDescent="0.25">
      <c r="A39" s="4" t="s">
        <v>3121</v>
      </c>
      <c r="B39">
        <v>18.668883735207608</v>
      </c>
      <c r="C39" s="7">
        <v>4.6172539489671933E-2</v>
      </c>
      <c r="E39">
        <v>18.668883735207608</v>
      </c>
      <c r="F39">
        <f t="shared" si="0"/>
        <v>4.6172539489671933E-2</v>
      </c>
    </row>
    <row r="40" spans="1:6" ht="120" x14ac:dyDescent="0.25">
      <c r="A40" s="4" t="s">
        <v>3155</v>
      </c>
      <c r="B40">
        <v>18.757014249651885</v>
      </c>
      <c r="C40" s="7">
        <v>4.7387606318347507E-2</v>
      </c>
      <c r="E40">
        <v>18.757014249651885</v>
      </c>
      <c r="F40">
        <f t="shared" si="0"/>
        <v>4.7387606318347507E-2</v>
      </c>
    </row>
    <row r="41" spans="1:6" ht="90" x14ac:dyDescent="0.25">
      <c r="A41" s="4" t="s">
        <v>3077</v>
      </c>
      <c r="B41">
        <v>18.833254299666947</v>
      </c>
      <c r="C41" s="7">
        <v>4.8602673147023087E-2</v>
      </c>
      <c r="E41">
        <v>18.833254299666947</v>
      </c>
      <c r="F41">
        <f t="shared" si="0"/>
        <v>4.8602673147023087E-2</v>
      </c>
    </row>
    <row r="42" spans="1:6" ht="105" x14ac:dyDescent="0.25">
      <c r="A42" s="4" t="s">
        <v>3131</v>
      </c>
      <c r="B42">
        <v>19.007518705050238</v>
      </c>
      <c r="C42" s="7">
        <v>4.9817739975698661E-2</v>
      </c>
      <c r="E42">
        <v>19.007518705050238</v>
      </c>
      <c r="F42">
        <f t="shared" si="0"/>
        <v>4.9817739975698661E-2</v>
      </c>
    </row>
    <row r="43" spans="1:6" ht="105" x14ac:dyDescent="0.25">
      <c r="A43" s="4" t="s">
        <v>3127</v>
      </c>
      <c r="B43">
        <v>19.090943047049898</v>
      </c>
      <c r="C43" s="7">
        <v>5.1032806804374241E-2</v>
      </c>
      <c r="E43">
        <v>19.090943047049898</v>
      </c>
      <c r="F43">
        <f t="shared" si="0"/>
        <v>5.1032806804374241E-2</v>
      </c>
    </row>
    <row r="44" spans="1:6" ht="90" x14ac:dyDescent="0.25">
      <c r="A44" s="4" t="s">
        <v>3185</v>
      </c>
      <c r="B44">
        <v>19.445183432294908</v>
      </c>
      <c r="C44" s="7">
        <v>5.2247873633049821E-2</v>
      </c>
      <c r="E44">
        <v>19.445183432294908</v>
      </c>
      <c r="F44">
        <f t="shared" si="0"/>
        <v>5.2247873633049821E-2</v>
      </c>
    </row>
    <row r="45" spans="1:6" ht="105" x14ac:dyDescent="0.25">
      <c r="A45" s="4" t="s">
        <v>3137</v>
      </c>
      <c r="B45">
        <v>19.525984456093163</v>
      </c>
      <c r="C45" s="7">
        <v>5.3462940461725394E-2</v>
      </c>
      <c r="E45">
        <v>19.525984456093163</v>
      </c>
      <c r="F45">
        <f t="shared" si="0"/>
        <v>5.3462940461725394E-2</v>
      </c>
    </row>
    <row r="46" spans="1:6" ht="120" x14ac:dyDescent="0.25">
      <c r="A46" s="4" t="s">
        <v>3143</v>
      </c>
      <c r="B46">
        <v>19.642283145006193</v>
      </c>
      <c r="C46" s="7">
        <v>5.4678007290400975E-2</v>
      </c>
      <c r="E46">
        <v>19.642283145006193</v>
      </c>
      <c r="F46">
        <f t="shared" si="0"/>
        <v>5.4678007290400975E-2</v>
      </c>
    </row>
    <row r="47" spans="1:6" ht="105" x14ac:dyDescent="0.25">
      <c r="A47" s="4" t="s">
        <v>3153</v>
      </c>
      <c r="B47">
        <v>19.790171173989009</v>
      </c>
      <c r="C47" s="7">
        <v>5.5893074119076548E-2</v>
      </c>
      <c r="E47">
        <v>19.790171173989009</v>
      </c>
      <c r="F47">
        <f t="shared" si="0"/>
        <v>5.5893074119076548E-2</v>
      </c>
    </row>
    <row r="48" spans="1:6" ht="120" x14ac:dyDescent="0.25">
      <c r="A48" s="4" t="s">
        <v>3199</v>
      </c>
      <c r="B48">
        <v>19.909699836034083</v>
      </c>
      <c r="C48" s="7">
        <v>5.7108140947752128E-2</v>
      </c>
      <c r="E48">
        <v>19.909699836034083</v>
      </c>
      <c r="F48">
        <f t="shared" si="0"/>
        <v>5.7108140947752128E-2</v>
      </c>
    </row>
    <row r="49" spans="1:6" ht="120" x14ac:dyDescent="0.25">
      <c r="A49" s="4" t="s">
        <v>3161</v>
      </c>
      <c r="B49">
        <v>20.082331839387571</v>
      </c>
      <c r="C49" s="7">
        <v>5.8323207776427702E-2</v>
      </c>
      <c r="E49">
        <v>20.082331839387571</v>
      </c>
      <c r="F49">
        <f t="shared" si="0"/>
        <v>5.8323207776427702E-2</v>
      </c>
    </row>
    <row r="50" spans="1:6" ht="105" x14ac:dyDescent="0.25">
      <c r="A50" s="4" t="s">
        <v>3147</v>
      </c>
      <c r="B50">
        <v>20.084732864508883</v>
      </c>
      <c r="C50" s="7">
        <v>5.9538274605103282E-2</v>
      </c>
      <c r="E50">
        <v>20.084732864508883</v>
      </c>
      <c r="F50">
        <f t="shared" si="0"/>
        <v>5.9538274605103282E-2</v>
      </c>
    </row>
    <row r="51" spans="1:6" ht="90" x14ac:dyDescent="0.25">
      <c r="A51" s="4" t="s">
        <v>3195</v>
      </c>
      <c r="B51">
        <v>20.158101421096823</v>
      </c>
      <c r="C51" s="7">
        <v>6.0753341433778855E-2</v>
      </c>
      <c r="E51">
        <v>20.158101421096823</v>
      </c>
      <c r="F51">
        <f t="shared" si="0"/>
        <v>6.0753341433778855E-2</v>
      </c>
    </row>
    <row r="52" spans="1:6" ht="105" x14ac:dyDescent="0.25">
      <c r="A52" s="4" t="s">
        <v>3165</v>
      </c>
      <c r="B52">
        <v>20.30613938206309</v>
      </c>
      <c r="C52" s="7">
        <v>6.1968408262454436E-2</v>
      </c>
      <c r="E52">
        <v>20.30613938206309</v>
      </c>
      <c r="F52">
        <f t="shared" si="0"/>
        <v>6.1968408262454436E-2</v>
      </c>
    </row>
    <row r="53" spans="1:6" ht="105" x14ac:dyDescent="0.25">
      <c r="A53" s="4" t="s">
        <v>3115</v>
      </c>
      <c r="B53">
        <v>20.612643838439617</v>
      </c>
      <c r="C53" s="7">
        <v>6.3183475091130009E-2</v>
      </c>
      <c r="E53">
        <v>20.612643838439617</v>
      </c>
      <c r="F53">
        <f t="shared" si="0"/>
        <v>6.3183475091130009E-2</v>
      </c>
    </row>
    <row r="54" spans="1:6" ht="120" x14ac:dyDescent="0.25">
      <c r="A54" s="4" t="s">
        <v>3117</v>
      </c>
      <c r="B54">
        <v>20.664271721335741</v>
      </c>
      <c r="C54" s="7">
        <v>6.4398541919805583E-2</v>
      </c>
      <c r="E54">
        <v>20.664271721335741</v>
      </c>
      <c r="F54">
        <f t="shared" si="0"/>
        <v>6.4398541919805583E-2</v>
      </c>
    </row>
    <row r="55" spans="1:6" ht="120" x14ac:dyDescent="0.25">
      <c r="A55" s="4" t="s">
        <v>3207</v>
      </c>
      <c r="B55">
        <v>20.719933084101559</v>
      </c>
      <c r="C55" s="7">
        <v>6.561360874848117E-2</v>
      </c>
      <c r="E55">
        <v>20.719933084101559</v>
      </c>
      <c r="F55">
        <f t="shared" si="0"/>
        <v>6.561360874848117E-2</v>
      </c>
    </row>
    <row r="56" spans="1:6" ht="120" x14ac:dyDescent="0.25">
      <c r="A56" s="4" t="s">
        <v>3179</v>
      </c>
      <c r="B56">
        <v>20.733246892727664</v>
      </c>
      <c r="C56" s="7">
        <v>6.6828675577156743E-2</v>
      </c>
      <c r="E56">
        <v>20.733246892727664</v>
      </c>
      <c r="F56">
        <f t="shared" si="0"/>
        <v>6.6828675577156743E-2</v>
      </c>
    </row>
    <row r="57" spans="1:6" ht="105" x14ac:dyDescent="0.25">
      <c r="A57" s="4" t="s">
        <v>3159</v>
      </c>
      <c r="B57">
        <v>20.987540161171978</v>
      </c>
      <c r="C57" s="7">
        <v>6.8043742405832316E-2</v>
      </c>
      <c r="E57">
        <v>20.987540161171978</v>
      </c>
      <c r="F57">
        <f t="shared" si="0"/>
        <v>6.8043742405832316E-2</v>
      </c>
    </row>
    <row r="58" spans="1:6" ht="120" x14ac:dyDescent="0.25">
      <c r="A58" s="4" t="s">
        <v>3135</v>
      </c>
      <c r="B58">
        <v>21.039878847414393</v>
      </c>
      <c r="C58" s="7">
        <v>6.9258809234507904E-2</v>
      </c>
      <c r="E58">
        <v>21.039878847414393</v>
      </c>
      <c r="F58">
        <f t="shared" si="0"/>
        <v>6.9258809234507904E-2</v>
      </c>
    </row>
    <row r="59" spans="1:6" ht="120" x14ac:dyDescent="0.25">
      <c r="A59" s="4" t="s">
        <v>3157</v>
      </c>
      <c r="B59">
        <v>21.081247795628457</v>
      </c>
      <c r="C59" s="7">
        <v>7.0473876063183477E-2</v>
      </c>
      <c r="E59">
        <v>21.081247795628457</v>
      </c>
      <c r="F59">
        <f t="shared" si="0"/>
        <v>7.0473876063183477E-2</v>
      </c>
    </row>
    <row r="60" spans="1:6" ht="105" x14ac:dyDescent="0.25">
      <c r="A60" s="4" t="s">
        <v>3205</v>
      </c>
      <c r="B60">
        <v>21.105603442107938</v>
      </c>
      <c r="C60" s="7">
        <v>7.168894289185905E-2</v>
      </c>
      <c r="E60">
        <v>21.105603442107938</v>
      </c>
      <c r="F60">
        <f t="shared" si="0"/>
        <v>7.168894289185905E-2</v>
      </c>
    </row>
    <row r="61" spans="1:6" ht="105" x14ac:dyDescent="0.25">
      <c r="A61" s="4" t="s">
        <v>3123</v>
      </c>
      <c r="B61">
        <v>21.199559723902517</v>
      </c>
      <c r="C61" s="7">
        <v>7.2904009720534624E-2</v>
      </c>
      <c r="E61">
        <v>21.199559723902517</v>
      </c>
      <c r="F61">
        <f t="shared" si="0"/>
        <v>7.2904009720534624E-2</v>
      </c>
    </row>
    <row r="62" spans="1:6" ht="105" x14ac:dyDescent="0.25">
      <c r="A62" s="4" t="s">
        <v>3163</v>
      </c>
      <c r="B62">
        <v>21.288732345921055</v>
      </c>
      <c r="C62" s="7">
        <v>7.4119076549210211E-2</v>
      </c>
      <c r="E62">
        <v>21.288732345921055</v>
      </c>
      <c r="F62">
        <f t="shared" si="0"/>
        <v>7.4119076549210211E-2</v>
      </c>
    </row>
    <row r="63" spans="1:6" ht="90" x14ac:dyDescent="0.25">
      <c r="A63" s="4" t="s">
        <v>3175</v>
      </c>
      <c r="B63">
        <v>21.315907944948293</v>
      </c>
      <c r="C63" s="7">
        <v>7.5334143377885784E-2</v>
      </c>
      <c r="E63">
        <v>21.315907944948293</v>
      </c>
      <c r="F63">
        <f t="shared" si="0"/>
        <v>7.5334143377885784E-2</v>
      </c>
    </row>
    <row r="64" spans="1:6" ht="105" x14ac:dyDescent="0.25">
      <c r="A64" s="4" t="s">
        <v>3209</v>
      </c>
      <c r="B64">
        <v>21.320451042600684</v>
      </c>
      <c r="C64" s="7">
        <v>7.6549210206561358E-2</v>
      </c>
      <c r="E64">
        <v>21.320451042600684</v>
      </c>
      <c r="F64">
        <f t="shared" si="0"/>
        <v>7.6549210206561358E-2</v>
      </c>
    </row>
    <row r="65" spans="1:6" ht="120" x14ac:dyDescent="0.25">
      <c r="A65" s="4" t="s">
        <v>3133</v>
      </c>
      <c r="B65">
        <v>21.32468549193749</v>
      </c>
      <c r="C65" s="7">
        <v>7.7764277035236931E-2</v>
      </c>
      <c r="E65">
        <v>21.32468549193749</v>
      </c>
      <c r="F65">
        <f t="shared" si="0"/>
        <v>7.7764277035236931E-2</v>
      </c>
    </row>
    <row r="66" spans="1:6" ht="105" x14ac:dyDescent="0.25">
      <c r="A66" s="4" t="s">
        <v>3183</v>
      </c>
      <c r="B66">
        <v>21.518757942693313</v>
      </c>
      <c r="C66" s="7">
        <v>7.8979343863912518E-2</v>
      </c>
      <c r="E66">
        <v>21.518757942693313</v>
      </c>
      <c r="F66">
        <f t="shared" si="0"/>
        <v>7.8979343863912518E-2</v>
      </c>
    </row>
    <row r="67" spans="1:6" ht="120" x14ac:dyDescent="0.25">
      <c r="A67" s="4" t="s">
        <v>3219</v>
      </c>
      <c r="B67">
        <v>21.759176945218616</v>
      </c>
      <c r="C67" s="7">
        <v>8.0194410692588092E-2</v>
      </c>
      <c r="E67">
        <v>21.759176945218616</v>
      </c>
      <c r="F67">
        <f t="shared" ref="F67:F130" si="1">_xlfn.RANK.EQ(E67,$E$2:$E$824,1)/COUNT($E$2:$E$824)</f>
        <v>8.0194410692588092E-2</v>
      </c>
    </row>
    <row r="68" spans="1:6" ht="105" x14ac:dyDescent="0.25">
      <c r="A68" s="4" t="s">
        <v>3167</v>
      </c>
      <c r="B68">
        <v>21.953054725718538</v>
      </c>
      <c r="C68" s="7">
        <v>8.1409477521263665E-2</v>
      </c>
      <c r="E68">
        <v>21.953054725718538</v>
      </c>
      <c r="F68">
        <f t="shared" si="1"/>
        <v>8.1409477521263665E-2</v>
      </c>
    </row>
    <row r="69" spans="1:6" ht="105" x14ac:dyDescent="0.25">
      <c r="A69" s="4" t="s">
        <v>3213</v>
      </c>
      <c r="B69">
        <v>22.039929113933695</v>
      </c>
      <c r="C69" s="7">
        <v>8.2624544349939252E-2</v>
      </c>
      <c r="E69">
        <v>22.039929113933695</v>
      </c>
      <c r="F69">
        <f t="shared" si="1"/>
        <v>8.2624544349939252E-2</v>
      </c>
    </row>
    <row r="70" spans="1:6" ht="90" x14ac:dyDescent="0.25">
      <c r="A70" s="4" t="s">
        <v>3231</v>
      </c>
      <c r="B70">
        <v>22.179030601952999</v>
      </c>
      <c r="C70" s="7">
        <v>8.3839611178614826E-2</v>
      </c>
      <c r="E70">
        <v>22.179030601952999</v>
      </c>
      <c r="F70">
        <f t="shared" si="1"/>
        <v>8.3839611178614826E-2</v>
      </c>
    </row>
    <row r="71" spans="1:6" ht="120" x14ac:dyDescent="0.25">
      <c r="A71" s="4" t="s">
        <v>3111</v>
      </c>
      <c r="B71">
        <v>22.230822050851014</v>
      </c>
      <c r="C71" s="7">
        <v>8.5054678007290399E-2</v>
      </c>
      <c r="E71">
        <v>22.230822050851014</v>
      </c>
      <c r="F71">
        <f t="shared" si="1"/>
        <v>8.5054678007290399E-2</v>
      </c>
    </row>
    <row r="72" spans="1:6" ht="90" x14ac:dyDescent="0.25">
      <c r="A72" s="4" t="s">
        <v>3223</v>
      </c>
      <c r="B72">
        <v>22.374781378839028</v>
      </c>
      <c r="C72" s="7">
        <v>8.6269744835965972E-2</v>
      </c>
      <c r="E72">
        <v>22.374781378839028</v>
      </c>
      <c r="F72">
        <f t="shared" si="1"/>
        <v>8.6269744835965972E-2</v>
      </c>
    </row>
    <row r="73" spans="1:6" ht="105" x14ac:dyDescent="0.25">
      <c r="A73" s="4" t="s">
        <v>3169</v>
      </c>
      <c r="B73">
        <v>22.400661766499056</v>
      </c>
      <c r="C73" s="7">
        <v>8.748481166464156E-2</v>
      </c>
      <c r="E73">
        <v>22.400661766499056</v>
      </c>
      <c r="F73">
        <f t="shared" si="1"/>
        <v>8.748481166464156E-2</v>
      </c>
    </row>
    <row r="74" spans="1:6" ht="120" x14ac:dyDescent="0.25">
      <c r="A74" s="4" t="s">
        <v>3217</v>
      </c>
      <c r="B74">
        <v>22.560910797538579</v>
      </c>
      <c r="C74" s="7">
        <v>8.8699878493317133E-2</v>
      </c>
      <c r="E74">
        <v>22.560910797538579</v>
      </c>
      <c r="F74">
        <f t="shared" si="1"/>
        <v>8.8699878493317133E-2</v>
      </c>
    </row>
    <row r="75" spans="1:6" ht="90" x14ac:dyDescent="0.25">
      <c r="A75" s="4" t="s">
        <v>3239</v>
      </c>
      <c r="B75">
        <v>22.639581286383915</v>
      </c>
      <c r="C75" s="7">
        <v>8.9914945321992706E-2</v>
      </c>
      <c r="E75">
        <v>22.639581286383915</v>
      </c>
      <c r="F75">
        <f t="shared" si="1"/>
        <v>8.9914945321992706E-2</v>
      </c>
    </row>
    <row r="76" spans="1:6" ht="90" x14ac:dyDescent="0.25">
      <c r="A76" s="4" t="s">
        <v>3243</v>
      </c>
      <c r="B76">
        <v>22.716773600414736</v>
      </c>
      <c r="C76" s="7">
        <v>9.1130012150668294E-2</v>
      </c>
      <c r="E76">
        <v>22.716773600414736</v>
      </c>
      <c r="F76">
        <f t="shared" si="1"/>
        <v>9.1130012150668294E-2</v>
      </c>
    </row>
    <row r="77" spans="1:6" ht="120" x14ac:dyDescent="0.25">
      <c r="A77" s="4" t="s">
        <v>3197</v>
      </c>
      <c r="B77">
        <v>22.732387732399097</v>
      </c>
      <c r="C77" s="7">
        <v>9.2345078979343867E-2</v>
      </c>
      <c r="E77">
        <v>22.732387732399097</v>
      </c>
      <c r="F77">
        <f t="shared" si="1"/>
        <v>9.2345078979343867E-2</v>
      </c>
    </row>
    <row r="78" spans="1:6" ht="105" x14ac:dyDescent="0.25">
      <c r="A78" s="4" t="s">
        <v>3193</v>
      </c>
      <c r="B78">
        <v>22.891268067758936</v>
      </c>
      <c r="C78" s="7">
        <v>9.356014580801944E-2</v>
      </c>
      <c r="E78">
        <v>22.891268067758936</v>
      </c>
      <c r="F78">
        <f t="shared" si="1"/>
        <v>9.356014580801944E-2</v>
      </c>
    </row>
    <row r="79" spans="1:6" ht="105" x14ac:dyDescent="0.25">
      <c r="A79" s="4" t="s">
        <v>3173</v>
      </c>
      <c r="B79">
        <v>22.946689895689747</v>
      </c>
      <c r="C79" s="7">
        <v>9.4775212636695014E-2</v>
      </c>
      <c r="E79">
        <v>22.946689895689747</v>
      </c>
      <c r="F79">
        <f t="shared" si="1"/>
        <v>9.4775212636695014E-2</v>
      </c>
    </row>
    <row r="80" spans="1:6" ht="120" x14ac:dyDescent="0.25">
      <c r="A80" s="4" t="s">
        <v>3149</v>
      </c>
      <c r="B80">
        <v>23.309098848527686</v>
      </c>
      <c r="C80" s="7">
        <v>9.5990279465370601E-2</v>
      </c>
      <c r="E80">
        <v>23.309098848527686</v>
      </c>
      <c r="F80">
        <f t="shared" si="1"/>
        <v>9.5990279465370601E-2</v>
      </c>
    </row>
    <row r="81" spans="1:6" ht="105" x14ac:dyDescent="0.25">
      <c r="A81" s="4" t="s">
        <v>3225</v>
      </c>
      <c r="B81">
        <v>23.323609085648425</v>
      </c>
      <c r="C81" s="7">
        <v>9.7205346294046174E-2</v>
      </c>
      <c r="E81">
        <v>23.323609085648425</v>
      </c>
      <c r="F81">
        <f t="shared" si="1"/>
        <v>9.7205346294046174E-2</v>
      </c>
    </row>
    <row r="82" spans="1:6" ht="120" x14ac:dyDescent="0.25">
      <c r="A82" s="4" t="s">
        <v>3181</v>
      </c>
      <c r="B82">
        <v>23.348176848785478</v>
      </c>
      <c r="C82" s="7">
        <v>9.8420413122721748E-2</v>
      </c>
      <c r="E82">
        <v>23.348176848785478</v>
      </c>
      <c r="F82">
        <f t="shared" si="1"/>
        <v>9.8420413122721748E-2</v>
      </c>
    </row>
    <row r="83" spans="1:6" ht="105" x14ac:dyDescent="0.25">
      <c r="A83" s="4" t="s">
        <v>3215</v>
      </c>
      <c r="B83">
        <v>23.46024061692296</v>
      </c>
      <c r="C83" s="7">
        <v>9.9635479951397321E-2</v>
      </c>
      <c r="E83">
        <v>23.46024061692296</v>
      </c>
      <c r="F83">
        <f t="shared" si="1"/>
        <v>9.9635479951397321E-2</v>
      </c>
    </row>
    <row r="84" spans="1:6" ht="105" x14ac:dyDescent="0.25">
      <c r="A84" s="4" t="s">
        <v>3211</v>
      </c>
      <c r="B84">
        <v>23.624111488053892</v>
      </c>
      <c r="C84" s="7">
        <v>0.10085054678007291</v>
      </c>
      <c r="E84">
        <v>23.624111488053892</v>
      </c>
      <c r="F84">
        <f t="shared" si="1"/>
        <v>0.10085054678007291</v>
      </c>
    </row>
    <row r="85" spans="1:6" ht="120" x14ac:dyDescent="0.25">
      <c r="A85" s="4" t="s">
        <v>3255</v>
      </c>
      <c r="B85">
        <v>23.710447233504908</v>
      </c>
      <c r="C85" s="7">
        <v>0.10206561360874848</v>
      </c>
      <c r="E85">
        <v>23.710447233504908</v>
      </c>
      <c r="F85">
        <f t="shared" si="1"/>
        <v>0.10206561360874848</v>
      </c>
    </row>
    <row r="86" spans="1:6" ht="120" x14ac:dyDescent="0.25">
      <c r="A86" s="4" t="s">
        <v>3187</v>
      </c>
      <c r="B86">
        <v>23.863475949736866</v>
      </c>
      <c r="C86" s="7">
        <v>0.10328068043742406</v>
      </c>
      <c r="E86">
        <v>23.863475949736866</v>
      </c>
      <c r="F86">
        <f t="shared" si="1"/>
        <v>0.10328068043742406</v>
      </c>
    </row>
    <row r="87" spans="1:6" ht="105" x14ac:dyDescent="0.25">
      <c r="A87" s="4" t="s">
        <v>3129</v>
      </c>
      <c r="B87">
        <v>23.954916198202259</v>
      </c>
      <c r="C87" s="7">
        <v>0.10449574726609964</v>
      </c>
      <c r="E87">
        <v>23.954916198202259</v>
      </c>
      <c r="F87">
        <f t="shared" si="1"/>
        <v>0.10449574726609964</v>
      </c>
    </row>
    <row r="88" spans="1:6" ht="120" x14ac:dyDescent="0.25">
      <c r="A88" s="4" t="s">
        <v>3203</v>
      </c>
      <c r="B88">
        <v>24.365649428489938</v>
      </c>
      <c r="C88" s="7">
        <v>0.10571081409477522</v>
      </c>
      <c r="E88">
        <v>24.365649428489938</v>
      </c>
      <c r="F88">
        <f t="shared" si="1"/>
        <v>0.10571081409477522</v>
      </c>
    </row>
    <row r="89" spans="1:6" ht="90" x14ac:dyDescent="0.25">
      <c r="A89" s="4" t="s">
        <v>3235</v>
      </c>
      <c r="B89">
        <v>24.571559029860005</v>
      </c>
      <c r="C89" s="7">
        <v>0.10692588092345079</v>
      </c>
      <c r="E89">
        <v>24.571559029860005</v>
      </c>
      <c r="F89">
        <f t="shared" si="1"/>
        <v>0.10692588092345079</v>
      </c>
    </row>
    <row r="90" spans="1:6" ht="120" x14ac:dyDescent="0.25">
      <c r="A90" s="4" t="s">
        <v>3241</v>
      </c>
      <c r="B90">
        <v>24.677930031250721</v>
      </c>
      <c r="C90" s="7">
        <v>0.10814094775212636</v>
      </c>
      <c r="E90">
        <v>24.677930031250721</v>
      </c>
      <c r="F90">
        <f t="shared" si="1"/>
        <v>0.10814094775212636</v>
      </c>
    </row>
    <row r="91" spans="1:6" ht="90" x14ac:dyDescent="0.25">
      <c r="A91" s="4" t="s">
        <v>3273</v>
      </c>
      <c r="B91">
        <v>24.704943567802612</v>
      </c>
      <c r="C91" s="7">
        <v>0.10935601458080195</v>
      </c>
      <c r="E91">
        <v>24.704943567802612</v>
      </c>
      <c r="F91">
        <f t="shared" si="1"/>
        <v>0.10935601458080195</v>
      </c>
    </row>
    <row r="92" spans="1:6" ht="90" x14ac:dyDescent="0.25">
      <c r="A92" s="4" t="s">
        <v>3221</v>
      </c>
      <c r="B92">
        <v>24.711940468312111</v>
      </c>
      <c r="C92" s="7">
        <v>0.11057108140947752</v>
      </c>
      <c r="E92">
        <v>24.711940468312111</v>
      </c>
      <c r="F92">
        <f t="shared" si="1"/>
        <v>0.11057108140947752</v>
      </c>
    </row>
    <row r="93" spans="1:6" ht="105" x14ac:dyDescent="0.25">
      <c r="A93" s="4" t="s">
        <v>3229</v>
      </c>
      <c r="B93">
        <v>24.715624999999999</v>
      </c>
      <c r="C93" s="7">
        <v>0.1117861482381531</v>
      </c>
      <c r="E93">
        <v>24.715624999999999</v>
      </c>
      <c r="F93">
        <f t="shared" si="1"/>
        <v>0.1117861482381531</v>
      </c>
    </row>
    <row r="94" spans="1:6" ht="120" x14ac:dyDescent="0.25">
      <c r="A94" s="4" t="s">
        <v>3267</v>
      </c>
      <c r="B94">
        <v>25.062020849107437</v>
      </c>
      <c r="C94" s="7">
        <v>0.11300121506682867</v>
      </c>
      <c r="E94">
        <v>25.062020849107437</v>
      </c>
      <c r="F94">
        <f t="shared" si="1"/>
        <v>0.11300121506682867</v>
      </c>
    </row>
    <row r="95" spans="1:6" ht="120" x14ac:dyDescent="0.25">
      <c r="A95" s="4" t="s">
        <v>3259</v>
      </c>
      <c r="B95">
        <v>25.201617296056963</v>
      </c>
      <c r="C95" s="7">
        <v>0.11421628189550426</v>
      </c>
      <c r="E95">
        <v>25.201617296056963</v>
      </c>
      <c r="F95">
        <f t="shared" si="1"/>
        <v>0.11421628189550426</v>
      </c>
    </row>
    <row r="96" spans="1:6" ht="105" x14ac:dyDescent="0.25">
      <c r="A96" s="4" t="s">
        <v>3201</v>
      </c>
      <c r="B96">
        <v>25.413943315658145</v>
      </c>
      <c r="C96" s="7">
        <v>0.11543134872417983</v>
      </c>
      <c r="E96">
        <v>25.413943315658145</v>
      </c>
      <c r="F96">
        <f t="shared" si="1"/>
        <v>0.11543134872417983</v>
      </c>
    </row>
    <row r="97" spans="1:6" ht="105" x14ac:dyDescent="0.25">
      <c r="A97" s="4" t="s">
        <v>3289</v>
      </c>
      <c r="B97">
        <v>25.433151651379699</v>
      </c>
      <c r="C97" s="7">
        <v>0.1166464155528554</v>
      </c>
      <c r="E97">
        <v>25.433151651379699</v>
      </c>
      <c r="F97">
        <f t="shared" si="1"/>
        <v>0.1166464155528554</v>
      </c>
    </row>
    <row r="98" spans="1:6" ht="120" x14ac:dyDescent="0.25">
      <c r="A98" s="4" t="s">
        <v>3227</v>
      </c>
      <c r="B98">
        <v>25.568651151402719</v>
      </c>
      <c r="C98" s="7">
        <v>0.11786148238153099</v>
      </c>
      <c r="E98">
        <v>25.568651151402719</v>
      </c>
      <c r="F98">
        <f t="shared" si="1"/>
        <v>0.11786148238153099</v>
      </c>
    </row>
    <row r="99" spans="1:6" ht="120" x14ac:dyDescent="0.25">
      <c r="A99" s="4" t="s">
        <v>3151</v>
      </c>
      <c r="B99">
        <v>25.572896993597759</v>
      </c>
      <c r="C99" s="7">
        <v>0.11907654921020656</v>
      </c>
      <c r="E99">
        <v>25.572896993597759</v>
      </c>
      <c r="F99">
        <f t="shared" si="1"/>
        <v>0.11907654921020656</v>
      </c>
    </row>
    <row r="100" spans="1:6" ht="90" x14ac:dyDescent="0.25">
      <c r="A100" s="4" t="s">
        <v>3337</v>
      </c>
      <c r="B100">
        <v>25.633046495211961</v>
      </c>
      <c r="C100" s="7">
        <v>0.12029161603888214</v>
      </c>
      <c r="E100">
        <v>25.633046495211961</v>
      </c>
      <c r="F100">
        <f t="shared" si="1"/>
        <v>0.12029161603888214</v>
      </c>
    </row>
    <row r="101" spans="1:6" ht="105" x14ac:dyDescent="0.25">
      <c r="A101" s="4" t="s">
        <v>3253</v>
      </c>
      <c r="B101">
        <v>25.661524927349081</v>
      </c>
      <c r="C101" s="7">
        <v>0.12150668286755771</v>
      </c>
      <c r="E101">
        <v>25.661524927349081</v>
      </c>
      <c r="F101">
        <f t="shared" si="1"/>
        <v>0.12150668286755771</v>
      </c>
    </row>
    <row r="102" spans="1:6" ht="90" x14ac:dyDescent="0.25">
      <c r="A102" s="4" t="s">
        <v>3189</v>
      </c>
      <c r="B102">
        <v>25.892747863745242</v>
      </c>
      <c r="C102" s="7">
        <v>0.1227217496962333</v>
      </c>
      <c r="E102">
        <v>25.892747863745242</v>
      </c>
      <c r="F102">
        <f t="shared" si="1"/>
        <v>0.1227217496962333</v>
      </c>
    </row>
    <row r="103" spans="1:6" ht="105" x14ac:dyDescent="0.25">
      <c r="A103" s="4" t="s">
        <v>3249</v>
      </c>
      <c r="B103">
        <v>25.967642678427897</v>
      </c>
      <c r="C103" s="7">
        <v>0.12393681652490887</v>
      </c>
      <c r="E103">
        <v>25.967642678427897</v>
      </c>
      <c r="F103">
        <f t="shared" si="1"/>
        <v>0.12393681652490887</v>
      </c>
    </row>
    <row r="104" spans="1:6" ht="90" x14ac:dyDescent="0.25">
      <c r="A104" s="4" t="s">
        <v>3269</v>
      </c>
      <c r="B104">
        <v>26.150100637154978</v>
      </c>
      <c r="C104" s="7">
        <v>0.12515188335358446</v>
      </c>
      <c r="E104">
        <v>26.150100637154978</v>
      </c>
      <c r="F104">
        <f t="shared" si="1"/>
        <v>0.12515188335358446</v>
      </c>
    </row>
    <row r="105" spans="1:6" ht="120" x14ac:dyDescent="0.25">
      <c r="A105" s="4" t="s">
        <v>3245</v>
      </c>
      <c r="B105">
        <v>26.409227940564008</v>
      </c>
      <c r="C105" s="7">
        <v>0.12636695018226002</v>
      </c>
      <c r="E105">
        <v>26.409227940564008</v>
      </c>
      <c r="F105">
        <f t="shared" si="1"/>
        <v>0.12636695018226002</v>
      </c>
    </row>
    <row r="106" spans="1:6" ht="90" x14ac:dyDescent="0.25">
      <c r="A106" s="4" t="s">
        <v>3321</v>
      </c>
      <c r="B106">
        <v>26.490213299312764</v>
      </c>
      <c r="C106" s="7">
        <v>0.12758201701093561</v>
      </c>
      <c r="E106">
        <v>26.490213299312764</v>
      </c>
      <c r="F106">
        <f t="shared" si="1"/>
        <v>0.12758201701093561</v>
      </c>
    </row>
    <row r="107" spans="1:6" ht="120" x14ac:dyDescent="0.25">
      <c r="A107" s="4" t="s">
        <v>3271</v>
      </c>
      <c r="B107">
        <v>26.572375615163455</v>
      </c>
      <c r="C107" s="7">
        <v>0.12879708383961117</v>
      </c>
      <c r="E107">
        <v>26.572375615163455</v>
      </c>
      <c r="F107">
        <f t="shared" si="1"/>
        <v>0.12879708383961117</v>
      </c>
    </row>
    <row r="108" spans="1:6" ht="120" x14ac:dyDescent="0.25">
      <c r="A108" s="4" t="s">
        <v>3263</v>
      </c>
      <c r="B108">
        <v>26.704432401409001</v>
      </c>
      <c r="C108" s="7">
        <v>0.13001215066828675</v>
      </c>
      <c r="E108">
        <v>26.704432401409001</v>
      </c>
      <c r="F108">
        <f t="shared" si="1"/>
        <v>0.13001215066828675</v>
      </c>
    </row>
    <row r="109" spans="1:6" ht="105" x14ac:dyDescent="0.25">
      <c r="A109" s="4" t="s">
        <v>3237</v>
      </c>
      <c r="B109">
        <v>26.839042065950434</v>
      </c>
      <c r="C109" s="7">
        <v>0.13122721749696234</v>
      </c>
      <c r="E109">
        <v>26.839042065950434</v>
      </c>
      <c r="F109">
        <f t="shared" si="1"/>
        <v>0.13122721749696234</v>
      </c>
    </row>
    <row r="110" spans="1:6" ht="105" x14ac:dyDescent="0.25">
      <c r="A110" s="4" t="s">
        <v>3305</v>
      </c>
      <c r="B110">
        <v>26.872479937030405</v>
      </c>
      <c r="C110" s="7">
        <v>0.1324422843256379</v>
      </c>
      <c r="E110">
        <v>26.872479937030405</v>
      </c>
      <c r="F110">
        <f t="shared" si="1"/>
        <v>0.1324422843256379</v>
      </c>
    </row>
    <row r="111" spans="1:6" ht="120" x14ac:dyDescent="0.25">
      <c r="A111" s="4" t="s">
        <v>3287</v>
      </c>
      <c r="B111">
        <v>26.965717130602091</v>
      </c>
      <c r="C111" s="7">
        <v>0.13365735115431349</v>
      </c>
      <c r="E111">
        <v>26.965717130602091</v>
      </c>
      <c r="F111">
        <f t="shared" si="1"/>
        <v>0.13365735115431349</v>
      </c>
    </row>
    <row r="112" spans="1:6" ht="90" x14ac:dyDescent="0.25">
      <c r="A112" s="4" t="s">
        <v>3317</v>
      </c>
      <c r="B112">
        <v>26.97495952936238</v>
      </c>
      <c r="C112" s="7">
        <v>0.13487241798298907</v>
      </c>
      <c r="E112">
        <v>26.97495952936238</v>
      </c>
      <c r="F112">
        <f t="shared" si="1"/>
        <v>0.13487241798298907</v>
      </c>
    </row>
    <row r="113" spans="1:6" ht="105" x14ac:dyDescent="0.25">
      <c r="A113" s="4" t="s">
        <v>3247</v>
      </c>
      <c r="B113">
        <v>27.060942748060224</v>
      </c>
      <c r="C113" s="7">
        <v>0.13608748481166463</v>
      </c>
      <c r="E113">
        <v>27.060942748060224</v>
      </c>
      <c r="F113">
        <f t="shared" si="1"/>
        <v>0.13608748481166463</v>
      </c>
    </row>
    <row r="114" spans="1:6" ht="90" x14ac:dyDescent="0.25">
      <c r="A114" s="4" t="s">
        <v>3333</v>
      </c>
      <c r="B114">
        <v>27.214858655326378</v>
      </c>
      <c r="C114" s="7">
        <v>0.13730255164034022</v>
      </c>
      <c r="E114">
        <v>27.214858655326378</v>
      </c>
      <c r="F114">
        <f t="shared" si="1"/>
        <v>0.13730255164034022</v>
      </c>
    </row>
    <row r="115" spans="1:6" ht="120" x14ac:dyDescent="0.25">
      <c r="A115" s="4" t="s">
        <v>3191</v>
      </c>
      <c r="B115">
        <v>27.605572559967605</v>
      </c>
      <c r="C115" s="7">
        <v>0.13851761846901581</v>
      </c>
      <c r="E115">
        <v>27.605572559967605</v>
      </c>
      <c r="F115">
        <f t="shared" si="1"/>
        <v>0.13851761846901581</v>
      </c>
    </row>
    <row r="116" spans="1:6" ht="90" x14ac:dyDescent="0.25">
      <c r="A116" s="4" t="s">
        <v>3265</v>
      </c>
      <c r="B116">
        <v>27.7288357274821</v>
      </c>
      <c r="C116" s="7">
        <v>0.13973268529769137</v>
      </c>
      <c r="E116">
        <v>27.7288357274821</v>
      </c>
      <c r="F116">
        <f t="shared" si="1"/>
        <v>0.13973268529769137</v>
      </c>
    </row>
    <row r="117" spans="1:6" ht="105" x14ac:dyDescent="0.25">
      <c r="A117" s="4" t="s">
        <v>3277</v>
      </c>
      <c r="B117">
        <v>27.74201566574391</v>
      </c>
      <c r="C117" s="7">
        <v>0.14094775212636695</v>
      </c>
      <c r="E117">
        <v>27.74201566574391</v>
      </c>
      <c r="F117">
        <f t="shared" si="1"/>
        <v>0.14094775212636695</v>
      </c>
    </row>
    <row r="118" spans="1:6" ht="120" x14ac:dyDescent="0.25">
      <c r="A118" s="4" t="s">
        <v>3233</v>
      </c>
      <c r="B118">
        <v>28.051810923333118</v>
      </c>
      <c r="C118" s="7">
        <v>0.14216281895504251</v>
      </c>
      <c r="E118">
        <v>28.051810923333118</v>
      </c>
      <c r="F118">
        <f t="shared" si="1"/>
        <v>0.14216281895504251</v>
      </c>
    </row>
    <row r="119" spans="1:6" ht="105" x14ac:dyDescent="0.25">
      <c r="A119" s="4" t="s">
        <v>3319</v>
      </c>
      <c r="B119">
        <v>28.077592515193952</v>
      </c>
      <c r="C119" s="7">
        <v>0.1433778857837181</v>
      </c>
      <c r="E119">
        <v>28.077592515193952</v>
      </c>
      <c r="F119">
        <f t="shared" si="1"/>
        <v>0.1433778857837181</v>
      </c>
    </row>
    <row r="120" spans="1:6" ht="105" x14ac:dyDescent="0.25">
      <c r="A120" s="4" t="s">
        <v>3299</v>
      </c>
      <c r="B120">
        <v>28.205184243004304</v>
      </c>
      <c r="C120" s="7">
        <v>0.14459295261239369</v>
      </c>
      <c r="E120">
        <v>28.205184243004304</v>
      </c>
      <c r="F120">
        <f t="shared" si="1"/>
        <v>0.14459295261239369</v>
      </c>
    </row>
    <row r="121" spans="1:6" ht="120" x14ac:dyDescent="0.25">
      <c r="A121" s="4" t="s">
        <v>3372</v>
      </c>
      <c r="B121">
        <v>28.276756626467968</v>
      </c>
      <c r="C121" s="7">
        <v>0.14580801944106925</v>
      </c>
      <c r="E121">
        <v>28.276756626467968</v>
      </c>
      <c r="F121">
        <f t="shared" si="1"/>
        <v>0.14580801944106925</v>
      </c>
    </row>
    <row r="122" spans="1:6" ht="105" x14ac:dyDescent="0.25">
      <c r="A122" s="4" t="s">
        <v>3362</v>
      </c>
      <c r="B122">
        <v>28.42549911034336</v>
      </c>
      <c r="C122" s="7">
        <v>0.14702308626974483</v>
      </c>
      <c r="E122">
        <v>28.42549911034336</v>
      </c>
      <c r="F122">
        <f t="shared" si="1"/>
        <v>0.14702308626974483</v>
      </c>
    </row>
    <row r="123" spans="1:6" ht="105" x14ac:dyDescent="0.25">
      <c r="A123" s="4" t="s">
        <v>3374</v>
      </c>
      <c r="B123">
        <v>28.628030899534696</v>
      </c>
      <c r="C123" s="7">
        <v>0.14823815309842042</v>
      </c>
      <c r="E123">
        <v>28.628030899534696</v>
      </c>
      <c r="F123">
        <f t="shared" si="1"/>
        <v>0.14823815309842042</v>
      </c>
    </row>
    <row r="124" spans="1:6" ht="120" x14ac:dyDescent="0.25">
      <c r="A124" s="4" t="s">
        <v>3285</v>
      </c>
      <c r="B124">
        <v>28.629092895165225</v>
      </c>
      <c r="C124" s="7">
        <v>0.14945321992709598</v>
      </c>
      <c r="E124">
        <v>28.629092895165225</v>
      </c>
      <c r="F124">
        <f t="shared" si="1"/>
        <v>0.14945321992709598</v>
      </c>
    </row>
    <row r="125" spans="1:6" ht="105" x14ac:dyDescent="0.25">
      <c r="A125" s="4" t="s">
        <v>3261</v>
      </c>
      <c r="B125">
        <v>28.839123089316491</v>
      </c>
      <c r="C125" s="7">
        <v>0.15066828675577157</v>
      </c>
      <c r="E125">
        <v>28.839123089316491</v>
      </c>
      <c r="F125">
        <f t="shared" si="1"/>
        <v>0.15066828675577157</v>
      </c>
    </row>
    <row r="126" spans="1:6" ht="120" x14ac:dyDescent="0.25">
      <c r="A126" s="4" t="s">
        <v>3291</v>
      </c>
      <c r="B126">
        <v>29.049249870990248</v>
      </c>
      <c r="C126" s="7">
        <v>0.15188335358444716</v>
      </c>
      <c r="E126">
        <v>29.049249870990248</v>
      </c>
      <c r="F126">
        <f t="shared" si="1"/>
        <v>0.15188335358444716</v>
      </c>
    </row>
    <row r="127" spans="1:6" ht="105" x14ac:dyDescent="0.25">
      <c r="A127" s="4" t="s">
        <v>3311</v>
      </c>
      <c r="B127">
        <v>29.067517628830334</v>
      </c>
      <c r="C127" s="7">
        <v>0.15309842041312272</v>
      </c>
      <c r="E127">
        <v>29.067517628830334</v>
      </c>
      <c r="F127">
        <f t="shared" si="1"/>
        <v>0.15309842041312272</v>
      </c>
    </row>
    <row r="128" spans="1:6" ht="120" x14ac:dyDescent="0.25">
      <c r="A128" s="4" t="s">
        <v>3293</v>
      </c>
      <c r="B128">
        <v>29.114070243345463</v>
      </c>
      <c r="C128" s="7">
        <v>0.1543134872417983</v>
      </c>
      <c r="E128">
        <v>29.114070243345463</v>
      </c>
      <c r="F128">
        <f t="shared" si="1"/>
        <v>0.1543134872417983</v>
      </c>
    </row>
    <row r="129" spans="1:6" ht="90" x14ac:dyDescent="0.25">
      <c r="A129" s="4" t="s">
        <v>3396</v>
      </c>
      <c r="B129">
        <v>29.136322539131367</v>
      </c>
      <c r="C129" s="7">
        <v>0.15552855407047386</v>
      </c>
      <c r="E129">
        <v>29.136322539131367</v>
      </c>
      <c r="F129">
        <f t="shared" si="1"/>
        <v>0.15552855407047386</v>
      </c>
    </row>
    <row r="130" spans="1:6" ht="120" x14ac:dyDescent="0.25">
      <c r="A130" s="4" t="s">
        <v>3301</v>
      </c>
      <c r="B130">
        <v>29.248831711780642</v>
      </c>
      <c r="C130" s="7">
        <v>0.15674362089914945</v>
      </c>
      <c r="E130">
        <v>29.248831711780642</v>
      </c>
      <c r="F130">
        <f t="shared" si="1"/>
        <v>0.15674362089914945</v>
      </c>
    </row>
    <row r="131" spans="1:6" ht="120" x14ac:dyDescent="0.25">
      <c r="A131" s="4" t="s">
        <v>3307</v>
      </c>
      <c r="B131">
        <v>29.262850992218294</v>
      </c>
      <c r="C131" s="7">
        <v>0.15795868772782504</v>
      </c>
      <c r="E131">
        <v>29.262850992218294</v>
      </c>
      <c r="F131">
        <f t="shared" ref="F131:F194" si="2">_xlfn.RANK.EQ(E131,$E$2:$E$824,1)/COUNT($E$2:$E$824)</f>
        <v>0.15795868772782504</v>
      </c>
    </row>
    <row r="132" spans="1:6" ht="105" x14ac:dyDescent="0.25">
      <c r="A132" s="4" t="s">
        <v>3257</v>
      </c>
      <c r="B132">
        <v>29.277417993548063</v>
      </c>
      <c r="C132" s="7">
        <v>0.1591737545565006</v>
      </c>
      <c r="E132">
        <v>29.277417993548063</v>
      </c>
      <c r="F132">
        <f t="shared" si="2"/>
        <v>0.1591737545565006</v>
      </c>
    </row>
    <row r="133" spans="1:6" ht="120" x14ac:dyDescent="0.25">
      <c r="A133" s="4" t="s">
        <v>3313</v>
      </c>
      <c r="B133">
        <v>29.299134976992068</v>
      </c>
      <c r="C133" s="7">
        <v>0.16038882138517618</v>
      </c>
      <c r="E133">
        <v>29.299134976992068</v>
      </c>
      <c r="F133">
        <f t="shared" si="2"/>
        <v>0.16038882138517618</v>
      </c>
    </row>
    <row r="134" spans="1:6" ht="105" x14ac:dyDescent="0.25">
      <c r="A134" s="4" t="s">
        <v>3349</v>
      </c>
      <c r="B134">
        <v>29.357802716776046</v>
      </c>
      <c r="C134" s="7">
        <v>0.16160388821385177</v>
      </c>
      <c r="E134">
        <v>29.357802716776046</v>
      </c>
      <c r="F134">
        <f t="shared" si="2"/>
        <v>0.16160388821385177</v>
      </c>
    </row>
    <row r="135" spans="1:6" ht="105" x14ac:dyDescent="0.25">
      <c r="A135" s="4" t="s">
        <v>3283</v>
      </c>
      <c r="B135">
        <v>29.474624070979438</v>
      </c>
      <c r="C135" s="7">
        <v>0.16281895504252733</v>
      </c>
      <c r="E135">
        <v>29.474624070979438</v>
      </c>
      <c r="F135">
        <f t="shared" si="2"/>
        <v>0.16281895504252733</v>
      </c>
    </row>
    <row r="136" spans="1:6" ht="120" x14ac:dyDescent="0.25">
      <c r="A136" s="4" t="s">
        <v>3335</v>
      </c>
      <c r="B136">
        <v>29.556948553710541</v>
      </c>
      <c r="C136" s="7">
        <v>0.16403402187120292</v>
      </c>
      <c r="E136">
        <v>29.556948553710541</v>
      </c>
      <c r="F136">
        <f t="shared" si="2"/>
        <v>0.16403402187120292</v>
      </c>
    </row>
    <row r="137" spans="1:6" ht="120" x14ac:dyDescent="0.25">
      <c r="A137" s="4" t="s">
        <v>3327</v>
      </c>
      <c r="B137">
        <v>29.72249621665728</v>
      </c>
      <c r="C137" s="7">
        <v>0.1652490886998785</v>
      </c>
      <c r="E137">
        <v>29.72249621665728</v>
      </c>
      <c r="F137">
        <f t="shared" si="2"/>
        <v>0.1652490886998785</v>
      </c>
    </row>
    <row r="138" spans="1:6" ht="105" x14ac:dyDescent="0.25">
      <c r="A138" s="4" t="s">
        <v>3295</v>
      </c>
      <c r="B138">
        <v>29.855429074414445</v>
      </c>
      <c r="C138" s="7">
        <v>0.16646415552855406</v>
      </c>
      <c r="E138">
        <v>29.855429074414445</v>
      </c>
      <c r="F138">
        <f t="shared" si="2"/>
        <v>0.16646415552855406</v>
      </c>
    </row>
    <row r="139" spans="1:6" ht="105" x14ac:dyDescent="0.25">
      <c r="A139" s="4" t="s">
        <v>3275</v>
      </c>
      <c r="B139">
        <v>29.944014816542776</v>
      </c>
      <c r="C139" s="7">
        <v>0.16767922235722965</v>
      </c>
      <c r="E139">
        <v>29.944014816542776</v>
      </c>
      <c r="F139">
        <f t="shared" si="2"/>
        <v>0.16767922235722965</v>
      </c>
    </row>
    <row r="140" spans="1:6" ht="105" x14ac:dyDescent="0.25">
      <c r="A140" s="4" t="s">
        <v>3378</v>
      </c>
      <c r="B140">
        <v>30.001951470094223</v>
      </c>
      <c r="C140" s="7">
        <v>0.16889428918590524</v>
      </c>
      <c r="E140">
        <v>30.001951470094223</v>
      </c>
      <c r="F140">
        <f t="shared" si="2"/>
        <v>0.16889428918590524</v>
      </c>
    </row>
    <row r="141" spans="1:6" ht="120" x14ac:dyDescent="0.25">
      <c r="A141" s="4" t="s">
        <v>3323</v>
      </c>
      <c r="B141">
        <v>30.02285549815964</v>
      </c>
      <c r="C141" s="7">
        <v>0.1701093560145808</v>
      </c>
      <c r="E141">
        <v>30.02285549815964</v>
      </c>
      <c r="F141">
        <f t="shared" si="2"/>
        <v>0.1701093560145808</v>
      </c>
    </row>
    <row r="142" spans="1:6" ht="120" x14ac:dyDescent="0.25">
      <c r="A142" s="4" t="s">
        <v>3251</v>
      </c>
      <c r="B142">
        <v>30.090578425812957</v>
      </c>
      <c r="C142" s="7">
        <v>0.17132442284325639</v>
      </c>
      <c r="E142">
        <v>30.090578425812957</v>
      </c>
      <c r="F142">
        <f t="shared" si="2"/>
        <v>0.17132442284325639</v>
      </c>
    </row>
    <row r="143" spans="1:6" ht="120" x14ac:dyDescent="0.25">
      <c r="A143" s="4" t="s">
        <v>3279</v>
      </c>
      <c r="B143">
        <v>30.166905992210356</v>
      </c>
      <c r="C143" s="7">
        <v>0.17253948967193194</v>
      </c>
      <c r="E143">
        <v>30.166905992210356</v>
      </c>
      <c r="F143">
        <f t="shared" si="2"/>
        <v>0.17253948967193194</v>
      </c>
    </row>
    <row r="144" spans="1:6" ht="120" x14ac:dyDescent="0.25">
      <c r="A144" s="4" t="s">
        <v>3339</v>
      </c>
      <c r="B144">
        <v>30.324375</v>
      </c>
      <c r="C144" s="7">
        <v>0.17375455650060753</v>
      </c>
      <c r="E144">
        <v>30.324375</v>
      </c>
      <c r="F144">
        <f t="shared" si="2"/>
        <v>0.17375455650060753</v>
      </c>
    </row>
    <row r="145" spans="1:6" ht="105" x14ac:dyDescent="0.25">
      <c r="A145" s="4" t="s">
        <v>3353</v>
      </c>
      <c r="B145">
        <v>30.347591643499587</v>
      </c>
      <c r="C145" s="7">
        <v>0.17496962332928312</v>
      </c>
      <c r="E145">
        <v>30.347591643499587</v>
      </c>
      <c r="F145">
        <f t="shared" si="2"/>
        <v>0.17496962332928312</v>
      </c>
    </row>
    <row r="146" spans="1:6" ht="120" x14ac:dyDescent="0.25">
      <c r="A146" s="4" t="s">
        <v>3386</v>
      </c>
      <c r="B146">
        <v>30.392995714502089</v>
      </c>
      <c r="C146" s="7">
        <v>0.17618469015795868</v>
      </c>
      <c r="E146">
        <v>30.392995714502089</v>
      </c>
      <c r="F146">
        <f t="shared" si="2"/>
        <v>0.17618469015795868</v>
      </c>
    </row>
    <row r="147" spans="1:6" ht="105" x14ac:dyDescent="0.25">
      <c r="A147" s="4" t="s">
        <v>3366</v>
      </c>
      <c r="B147">
        <v>30.599503068105232</v>
      </c>
      <c r="C147" s="7">
        <v>0.17739975698663427</v>
      </c>
      <c r="E147">
        <v>30.599503068105232</v>
      </c>
      <c r="F147">
        <f t="shared" si="2"/>
        <v>0.17739975698663427</v>
      </c>
    </row>
    <row r="148" spans="1:6" ht="105" x14ac:dyDescent="0.25">
      <c r="A148" s="4" t="s">
        <v>3303</v>
      </c>
      <c r="B148">
        <v>30.602</v>
      </c>
      <c r="C148" s="7">
        <v>0.17861482381530985</v>
      </c>
      <c r="E148">
        <v>30.602</v>
      </c>
      <c r="F148">
        <f t="shared" si="2"/>
        <v>0.17861482381530985</v>
      </c>
    </row>
    <row r="149" spans="1:6" ht="120" x14ac:dyDescent="0.25">
      <c r="A149" s="4" t="s">
        <v>3309</v>
      </c>
      <c r="B149">
        <v>30.721139820299754</v>
      </c>
      <c r="C149" s="7">
        <v>0.17982989064398541</v>
      </c>
      <c r="E149">
        <v>30.721139820299754</v>
      </c>
      <c r="F149">
        <f t="shared" si="2"/>
        <v>0.17982989064398541</v>
      </c>
    </row>
    <row r="150" spans="1:6" ht="90" x14ac:dyDescent="0.25">
      <c r="A150" s="4" t="s">
        <v>3485</v>
      </c>
      <c r="B150">
        <v>30.755326790116388</v>
      </c>
      <c r="C150" s="7">
        <v>0.181044957472661</v>
      </c>
      <c r="E150">
        <v>30.755326790116388</v>
      </c>
      <c r="F150">
        <f t="shared" si="2"/>
        <v>0.181044957472661</v>
      </c>
    </row>
    <row r="151" spans="1:6" ht="90" x14ac:dyDescent="0.25">
      <c r="A151" s="4" t="s">
        <v>3402</v>
      </c>
      <c r="B151">
        <v>30.809468547889459</v>
      </c>
      <c r="C151" s="7">
        <v>0.18226002430133659</v>
      </c>
      <c r="E151">
        <v>30.809468547889459</v>
      </c>
      <c r="F151">
        <f t="shared" si="2"/>
        <v>0.18226002430133659</v>
      </c>
    </row>
    <row r="152" spans="1:6" ht="105" x14ac:dyDescent="0.25">
      <c r="A152" s="4" t="s">
        <v>3345</v>
      </c>
      <c r="B152">
        <v>30.855129754108265</v>
      </c>
      <c r="C152" s="7">
        <v>0.18347509113001215</v>
      </c>
      <c r="E152">
        <v>30.855129754108265</v>
      </c>
      <c r="F152">
        <f t="shared" si="2"/>
        <v>0.18347509113001215</v>
      </c>
    </row>
    <row r="153" spans="1:6" ht="90" x14ac:dyDescent="0.25">
      <c r="A153" s="4" t="s">
        <v>3390</v>
      </c>
      <c r="B153">
        <v>30.902408507557212</v>
      </c>
      <c r="C153" s="7">
        <v>0.18469015795868773</v>
      </c>
      <c r="E153">
        <v>30.902408507557212</v>
      </c>
      <c r="F153">
        <f t="shared" si="2"/>
        <v>0.18469015795868773</v>
      </c>
    </row>
    <row r="154" spans="1:6" ht="120" x14ac:dyDescent="0.25">
      <c r="A154" s="4" t="s">
        <v>3368</v>
      </c>
      <c r="B154">
        <v>30.949223029508644</v>
      </c>
      <c r="C154" s="7">
        <v>0.18590522478736329</v>
      </c>
      <c r="E154">
        <v>30.949223029508644</v>
      </c>
      <c r="F154">
        <f t="shared" si="2"/>
        <v>0.18590522478736329</v>
      </c>
    </row>
    <row r="155" spans="1:6" ht="105" x14ac:dyDescent="0.25">
      <c r="A155" s="4" t="s">
        <v>3347</v>
      </c>
      <c r="B155">
        <v>30.975234137621594</v>
      </c>
      <c r="C155" s="7">
        <v>0.18712029161603888</v>
      </c>
      <c r="E155">
        <v>30.975234137621594</v>
      </c>
      <c r="F155">
        <f t="shared" si="2"/>
        <v>0.18712029161603888</v>
      </c>
    </row>
    <row r="156" spans="1:6" ht="120" x14ac:dyDescent="0.25">
      <c r="A156" s="4" t="s">
        <v>3380</v>
      </c>
      <c r="B156">
        <v>30.980288064015994</v>
      </c>
      <c r="C156" s="7">
        <v>0.18833535844471447</v>
      </c>
      <c r="E156">
        <v>30.980288064015994</v>
      </c>
      <c r="F156">
        <f t="shared" si="2"/>
        <v>0.18833535844471447</v>
      </c>
    </row>
    <row r="157" spans="1:6" ht="90" x14ac:dyDescent="0.25">
      <c r="A157" s="4" t="s">
        <v>3400</v>
      </c>
      <c r="B157">
        <v>31.122941176470587</v>
      </c>
      <c r="C157" s="7">
        <v>0.18955042527339003</v>
      </c>
      <c r="E157">
        <v>31.122941176470587</v>
      </c>
      <c r="F157">
        <f t="shared" si="2"/>
        <v>0.18955042527339003</v>
      </c>
    </row>
    <row r="158" spans="1:6" ht="105" x14ac:dyDescent="0.25">
      <c r="A158" s="4" t="s">
        <v>3315</v>
      </c>
      <c r="B158">
        <v>31.161104487531937</v>
      </c>
      <c r="C158" s="7">
        <v>0.19076549210206561</v>
      </c>
      <c r="E158">
        <v>31.161104487531937</v>
      </c>
      <c r="F158">
        <f t="shared" si="2"/>
        <v>0.19076549210206561</v>
      </c>
    </row>
    <row r="159" spans="1:6" ht="120" x14ac:dyDescent="0.25">
      <c r="A159" s="4" t="s">
        <v>3325</v>
      </c>
      <c r="B159">
        <v>31.287881789962309</v>
      </c>
      <c r="C159" s="7">
        <v>0.1919805589307412</v>
      </c>
      <c r="E159">
        <v>31.287881789962309</v>
      </c>
      <c r="F159">
        <f t="shared" si="2"/>
        <v>0.1919805589307412</v>
      </c>
    </row>
    <row r="160" spans="1:6" ht="90" x14ac:dyDescent="0.25">
      <c r="A160" s="4" t="s">
        <v>3357</v>
      </c>
      <c r="B160">
        <v>31.307245424410258</v>
      </c>
      <c r="C160" s="7">
        <v>0.19319562575941676</v>
      </c>
      <c r="E160">
        <v>31.307245424410258</v>
      </c>
      <c r="F160">
        <f t="shared" si="2"/>
        <v>0.19319562575941676</v>
      </c>
    </row>
    <row r="161" spans="1:6" ht="105" x14ac:dyDescent="0.25">
      <c r="A161" s="4" t="s">
        <v>3418</v>
      </c>
      <c r="B161">
        <v>31.31754379172731</v>
      </c>
      <c r="C161" s="7">
        <v>0.19441069258809235</v>
      </c>
      <c r="E161">
        <v>31.31754379172731</v>
      </c>
      <c r="F161">
        <f t="shared" si="2"/>
        <v>0.19441069258809235</v>
      </c>
    </row>
    <row r="162" spans="1:6" ht="105" x14ac:dyDescent="0.25">
      <c r="A162" s="4" t="s">
        <v>3343</v>
      </c>
      <c r="B162">
        <v>31.385255895138176</v>
      </c>
      <c r="C162" s="7">
        <v>0.19562575941676794</v>
      </c>
      <c r="E162">
        <v>31.385255895138176</v>
      </c>
      <c r="F162">
        <f t="shared" si="2"/>
        <v>0.19562575941676794</v>
      </c>
    </row>
    <row r="163" spans="1:6" ht="120" x14ac:dyDescent="0.25">
      <c r="A163" s="4" t="s">
        <v>3281</v>
      </c>
      <c r="B163">
        <v>31.739585942313013</v>
      </c>
      <c r="C163" s="7">
        <v>0.1968408262454435</v>
      </c>
      <c r="E163">
        <v>31.739585942313013</v>
      </c>
      <c r="F163">
        <f t="shared" si="2"/>
        <v>0.1968408262454435</v>
      </c>
    </row>
    <row r="164" spans="1:6" ht="105" x14ac:dyDescent="0.25">
      <c r="A164" s="4" t="s">
        <v>3360</v>
      </c>
      <c r="B164">
        <v>31.742263088563906</v>
      </c>
      <c r="C164" s="7">
        <v>0.19805589307411908</v>
      </c>
      <c r="E164">
        <v>31.742263088563906</v>
      </c>
      <c r="F164">
        <f t="shared" si="2"/>
        <v>0.19805589307411908</v>
      </c>
    </row>
    <row r="165" spans="1:6" ht="120" x14ac:dyDescent="0.25">
      <c r="A165" s="4" t="s">
        <v>3434</v>
      </c>
      <c r="B165">
        <v>31.874313515258109</v>
      </c>
      <c r="C165" s="7">
        <v>0.19927095990279464</v>
      </c>
      <c r="E165">
        <v>31.874313515258109</v>
      </c>
      <c r="F165">
        <f t="shared" si="2"/>
        <v>0.19927095990279464</v>
      </c>
    </row>
    <row r="166" spans="1:6" ht="105" x14ac:dyDescent="0.25">
      <c r="A166" s="4" t="s">
        <v>3398</v>
      </c>
      <c r="B166">
        <v>31.933893853433155</v>
      </c>
      <c r="C166" s="7">
        <v>0.20048602673147023</v>
      </c>
      <c r="E166">
        <v>31.933893853433155</v>
      </c>
      <c r="F166">
        <f t="shared" si="2"/>
        <v>0.20048602673147023</v>
      </c>
    </row>
    <row r="167" spans="1:6" ht="120" x14ac:dyDescent="0.25">
      <c r="A167" s="4" t="s">
        <v>3351</v>
      </c>
      <c r="B167">
        <v>31.947791594470388</v>
      </c>
      <c r="C167" s="7">
        <v>0.20170109356014582</v>
      </c>
      <c r="E167">
        <v>31.947791594470388</v>
      </c>
      <c r="F167">
        <f t="shared" si="2"/>
        <v>0.20170109356014582</v>
      </c>
    </row>
    <row r="168" spans="1:6" ht="90" x14ac:dyDescent="0.25">
      <c r="A168" s="4" t="s">
        <v>3388</v>
      </c>
      <c r="B168">
        <v>32.358735942999907</v>
      </c>
      <c r="C168" s="7">
        <v>0.20291616038882138</v>
      </c>
      <c r="E168">
        <v>32.358735942999907</v>
      </c>
      <c r="F168">
        <f t="shared" si="2"/>
        <v>0.20291616038882138</v>
      </c>
    </row>
    <row r="169" spans="1:6" ht="105" x14ac:dyDescent="0.25">
      <c r="A169" s="4" t="s">
        <v>3376</v>
      </c>
      <c r="B169">
        <v>32.38825944690452</v>
      </c>
      <c r="C169" s="7">
        <v>0.20413122721749696</v>
      </c>
      <c r="E169">
        <v>32.38825944690452</v>
      </c>
      <c r="F169">
        <f t="shared" si="2"/>
        <v>0.20413122721749696</v>
      </c>
    </row>
    <row r="170" spans="1:6" ht="90" x14ac:dyDescent="0.25">
      <c r="A170" s="4" t="s">
        <v>3152</v>
      </c>
      <c r="B170">
        <v>32.533079508980741</v>
      </c>
      <c r="C170" s="7">
        <v>0.20534629404617255</v>
      </c>
      <c r="E170">
        <v>32.533079508980741</v>
      </c>
      <c r="F170">
        <f t="shared" si="2"/>
        <v>0.20534629404617255</v>
      </c>
    </row>
    <row r="171" spans="1:6" ht="120" x14ac:dyDescent="0.25">
      <c r="A171" s="4" t="s">
        <v>3450</v>
      </c>
      <c r="B171">
        <v>32.554504150243595</v>
      </c>
      <c r="C171" s="7">
        <v>0.20656136087484811</v>
      </c>
      <c r="E171">
        <v>32.554504150243595</v>
      </c>
      <c r="F171">
        <f t="shared" si="2"/>
        <v>0.20656136087484811</v>
      </c>
    </row>
    <row r="172" spans="1:6" ht="105" x14ac:dyDescent="0.25">
      <c r="A172" s="4" t="s">
        <v>3420</v>
      </c>
      <c r="B172">
        <v>32.570007987337107</v>
      </c>
      <c r="C172" s="7">
        <v>0.2077764277035237</v>
      </c>
      <c r="E172">
        <v>32.570007987337107</v>
      </c>
      <c r="F172">
        <f t="shared" si="2"/>
        <v>0.2077764277035237</v>
      </c>
    </row>
    <row r="173" spans="1:6" ht="120" x14ac:dyDescent="0.25">
      <c r="A173" s="4" t="s">
        <v>3331</v>
      </c>
      <c r="B173">
        <v>32.75073217005108</v>
      </c>
      <c r="C173" s="7">
        <v>0.20899149453219928</v>
      </c>
      <c r="E173">
        <v>32.75073217005108</v>
      </c>
      <c r="F173">
        <f t="shared" si="2"/>
        <v>0.20899149453219928</v>
      </c>
    </row>
    <row r="174" spans="1:6" ht="90" x14ac:dyDescent="0.25">
      <c r="A174" s="4" t="s">
        <v>3491</v>
      </c>
      <c r="B174">
        <v>32.785555555555554</v>
      </c>
      <c r="C174" s="7">
        <v>0.21020656136087484</v>
      </c>
      <c r="E174">
        <v>32.785555555555554</v>
      </c>
      <c r="F174">
        <f t="shared" si="2"/>
        <v>0.21020656136087484</v>
      </c>
    </row>
    <row r="175" spans="1:6" ht="105" x14ac:dyDescent="0.25">
      <c r="A175" s="4" t="s">
        <v>3406</v>
      </c>
      <c r="B175">
        <v>32.857552121508149</v>
      </c>
      <c r="C175" s="7">
        <v>0.21142162818955043</v>
      </c>
      <c r="E175">
        <v>32.857552121508149</v>
      </c>
      <c r="F175">
        <f t="shared" si="2"/>
        <v>0.21142162818955043</v>
      </c>
    </row>
    <row r="176" spans="1:6" ht="105" x14ac:dyDescent="0.25">
      <c r="A176" s="4" t="s">
        <v>3456</v>
      </c>
      <c r="B176">
        <v>32.924625706701988</v>
      </c>
      <c r="C176" s="7">
        <v>0.21263669501822599</v>
      </c>
      <c r="E176">
        <v>32.924625706701988</v>
      </c>
      <c r="F176">
        <f t="shared" si="2"/>
        <v>0.21263669501822599</v>
      </c>
    </row>
    <row r="177" spans="1:6" ht="120" x14ac:dyDescent="0.25">
      <c r="A177" s="4" t="s">
        <v>3329</v>
      </c>
      <c r="B177">
        <v>32.989407420004937</v>
      </c>
      <c r="C177" s="7">
        <v>0.21385176184690158</v>
      </c>
      <c r="E177">
        <v>32.989407420004937</v>
      </c>
      <c r="F177">
        <f t="shared" si="2"/>
        <v>0.21385176184690158</v>
      </c>
    </row>
    <row r="178" spans="1:6" ht="120" x14ac:dyDescent="0.25">
      <c r="A178" s="4" t="s">
        <v>3341</v>
      </c>
      <c r="B178">
        <v>33.017666247081571</v>
      </c>
      <c r="C178" s="7">
        <v>0.21506682867557717</v>
      </c>
      <c r="E178">
        <v>33.017666247081571</v>
      </c>
      <c r="F178">
        <f t="shared" si="2"/>
        <v>0.21506682867557717</v>
      </c>
    </row>
    <row r="179" spans="1:6" ht="90" x14ac:dyDescent="0.25">
      <c r="A179" s="4" t="s">
        <v>3481</v>
      </c>
      <c r="B179">
        <v>33.25815777078143</v>
      </c>
      <c r="C179" s="7">
        <v>0.21628189550425272</v>
      </c>
      <c r="E179">
        <v>33.25815777078143</v>
      </c>
      <c r="F179">
        <f t="shared" si="2"/>
        <v>0.21628189550425272</v>
      </c>
    </row>
    <row r="180" spans="1:6" ht="120" x14ac:dyDescent="0.25">
      <c r="A180" s="4" t="s">
        <v>3364</v>
      </c>
      <c r="B180">
        <v>33.412161896719773</v>
      </c>
      <c r="C180" s="7">
        <v>0.21749696233292831</v>
      </c>
      <c r="E180">
        <v>33.412161896719773</v>
      </c>
      <c r="F180">
        <f t="shared" si="2"/>
        <v>0.21749696233292831</v>
      </c>
    </row>
    <row r="181" spans="1:6" ht="120" x14ac:dyDescent="0.25">
      <c r="A181" s="4" t="s">
        <v>3384</v>
      </c>
      <c r="B181">
        <v>33.690292765267593</v>
      </c>
      <c r="C181" s="7">
        <v>0.2187120291616039</v>
      </c>
      <c r="E181">
        <v>33.690292765267593</v>
      </c>
      <c r="F181">
        <f t="shared" si="2"/>
        <v>0.2187120291616039</v>
      </c>
    </row>
    <row r="182" spans="1:6" ht="105" x14ac:dyDescent="0.25">
      <c r="A182" s="4" t="s">
        <v>3438</v>
      </c>
      <c r="B182">
        <v>33.793537933466013</v>
      </c>
      <c r="C182" s="7">
        <v>0.21992709599027946</v>
      </c>
      <c r="E182">
        <v>33.793537933466013</v>
      </c>
      <c r="F182">
        <f t="shared" si="2"/>
        <v>0.21992709599027946</v>
      </c>
    </row>
    <row r="183" spans="1:6" ht="120" x14ac:dyDescent="0.25">
      <c r="A183" s="4" t="s">
        <v>3430</v>
      </c>
      <c r="B183">
        <v>33.854374999999997</v>
      </c>
      <c r="C183" s="7">
        <v>0.22114216281895505</v>
      </c>
      <c r="E183">
        <v>33.854374999999997</v>
      </c>
      <c r="F183">
        <f t="shared" si="2"/>
        <v>0.22114216281895505</v>
      </c>
    </row>
    <row r="184" spans="1:6" ht="105" x14ac:dyDescent="0.25">
      <c r="A184" s="4" t="s">
        <v>3432</v>
      </c>
      <c r="B184">
        <v>33.951376165472468</v>
      </c>
      <c r="C184" s="7">
        <v>0.22235722964763063</v>
      </c>
      <c r="E184">
        <v>33.951376165472468</v>
      </c>
      <c r="F184">
        <f t="shared" si="2"/>
        <v>0.22235722964763063</v>
      </c>
    </row>
    <row r="185" spans="1:6" ht="120" x14ac:dyDescent="0.25">
      <c r="A185" s="4" t="s">
        <v>3394</v>
      </c>
      <c r="B185">
        <v>34.086441006714125</v>
      </c>
      <c r="C185" s="7">
        <v>0.22357229647630619</v>
      </c>
      <c r="E185">
        <v>34.086441006714125</v>
      </c>
      <c r="F185">
        <f t="shared" si="2"/>
        <v>0.22357229647630619</v>
      </c>
    </row>
    <row r="186" spans="1:6" ht="120" x14ac:dyDescent="0.25">
      <c r="A186" s="4" t="s">
        <v>3392</v>
      </c>
      <c r="B186">
        <v>34.094522952213055</v>
      </c>
      <c r="C186" s="7">
        <v>0.22478736330498178</v>
      </c>
      <c r="E186">
        <v>34.094522952213055</v>
      </c>
      <c r="F186">
        <f t="shared" si="2"/>
        <v>0.22478736330498178</v>
      </c>
    </row>
    <row r="187" spans="1:6" ht="105" x14ac:dyDescent="0.25">
      <c r="A187" s="4" t="s">
        <v>3297</v>
      </c>
      <c r="B187">
        <v>34.185612999596657</v>
      </c>
      <c r="C187" s="7">
        <v>0.22600243013365734</v>
      </c>
      <c r="E187">
        <v>34.185612999596657</v>
      </c>
      <c r="F187">
        <f t="shared" si="2"/>
        <v>0.22600243013365734</v>
      </c>
    </row>
    <row r="188" spans="1:6" ht="120" x14ac:dyDescent="0.25">
      <c r="A188" s="4" t="s">
        <v>3424</v>
      </c>
      <c r="B188">
        <v>34.199229199246297</v>
      </c>
      <c r="C188" s="7">
        <v>0.22721749696233293</v>
      </c>
      <c r="E188">
        <v>34.199229199246297</v>
      </c>
      <c r="F188">
        <f t="shared" si="2"/>
        <v>0.22721749696233293</v>
      </c>
    </row>
    <row r="189" spans="1:6" ht="120" x14ac:dyDescent="0.25">
      <c r="A189" s="4" t="s">
        <v>3474</v>
      </c>
      <c r="B189">
        <v>34.209754833730862</v>
      </c>
      <c r="C189" s="7">
        <v>0.22843256379100851</v>
      </c>
      <c r="E189">
        <v>34.209754833730862</v>
      </c>
      <c r="F189">
        <f t="shared" si="2"/>
        <v>0.22843256379100851</v>
      </c>
    </row>
    <row r="190" spans="1:6" ht="120" x14ac:dyDescent="0.25">
      <c r="A190" s="4" t="s">
        <v>3426</v>
      </c>
      <c r="B190">
        <v>34.229074229091339</v>
      </c>
      <c r="C190" s="7">
        <v>0.22964763061968407</v>
      </c>
      <c r="E190">
        <v>34.229074229091339</v>
      </c>
      <c r="F190">
        <f t="shared" si="2"/>
        <v>0.22964763061968407</v>
      </c>
    </row>
    <row r="191" spans="1:6" ht="120" x14ac:dyDescent="0.25">
      <c r="A191" s="4" t="s">
        <v>3440</v>
      </c>
      <c r="B191">
        <v>34.291120132234987</v>
      </c>
      <c r="C191" s="7">
        <v>0.23086269744835966</v>
      </c>
      <c r="E191">
        <v>34.291120132234987</v>
      </c>
      <c r="F191">
        <f t="shared" si="2"/>
        <v>0.23086269744835966</v>
      </c>
    </row>
    <row r="192" spans="1:6" ht="120" x14ac:dyDescent="0.25">
      <c r="A192" s="4" t="s">
        <v>3408</v>
      </c>
      <c r="B192">
        <v>34.300431508461614</v>
      </c>
      <c r="C192" s="7">
        <v>0.23207776427703525</v>
      </c>
      <c r="E192">
        <v>34.300431508461614</v>
      </c>
      <c r="F192">
        <f t="shared" si="2"/>
        <v>0.23207776427703525</v>
      </c>
    </row>
    <row r="193" spans="1:6" ht="120" x14ac:dyDescent="0.25">
      <c r="A193" s="4" t="s">
        <v>3444</v>
      </c>
      <c r="B193">
        <v>34.454539240025028</v>
      </c>
      <c r="C193" s="7">
        <v>0.23329283110571081</v>
      </c>
      <c r="E193">
        <v>34.454539240025028</v>
      </c>
      <c r="F193">
        <f t="shared" si="2"/>
        <v>0.23329283110571081</v>
      </c>
    </row>
    <row r="194" spans="1:6" ht="90" x14ac:dyDescent="0.25">
      <c r="A194" s="4" t="s">
        <v>3428</v>
      </c>
      <c r="B194">
        <v>34.736942037962415</v>
      </c>
      <c r="C194" s="7">
        <v>0.23450789793438639</v>
      </c>
      <c r="E194">
        <v>34.736942037962415</v>
      </c>
      <c r="F194">
        <f t="shared" si="2"/>
        <v>0.23450789793438639</v>
      </c>
    </row>
    <row r="195" spans="1:6" ht="105" x14ac:dyDescent="0.25">
      <c r="A195" s="4" t="s">
        <v>3412</v>
      </c>
      <c r="B195">
        <v>35.053984726666826</v>
      </c>
      <c r="C195" s="7">
        <v>0.23572296476306198</v>
      </c>
      <c r="E195">
        <v>35.053984726666826</v>
      </c>
      <c r="F195">
        <f t="shared" ref="F195:F258" si="3">_xlfn.RANK.EQ(E195,$E$2:$E$824,1)/COUNT($E$2:$E$824)</f>
        <v>0.23572296476306198</v>
      </c>
    </row>
    <row r="196" spans="1:6" ht="120" x14ac:dyDescent="0.25">
      <c r="A196" s="4" t="s">
        <v>3355</v>
      </c>
      <c r="B196">
        <v>35.178230931530386</v>
      </c>
      <c r="C196" s="7">
        <v>0.23693803159173754</v>
      </c>
      <c r="E196">
        <v>35.178230931530386</v>
      </c>
      <c r="F196">
        <f t="shared" si="3"/>
        <v>0.23693803159173754</v>
      </c>
    </row>
    <row r="197" spans="1:6" ht="105" x14ac:dyDescent="0.25">
      <c r="A197" s="4" t="s">
        <v>3507</v>
      </c>
      <c r="B197">
        <v>35.295689313592128</v>
      </c>
      <c r="C197" s="7">
        <v>0.23815309842041313</v>
      </c>
      <c r="E197">
        <v>35.295689313592128</v>
      </c>
      <c r="F197">
        <f t="shared" si="3"/>
        <v>0.23815309842041313</v>
      </c>
    </row>
    <row r="198" spans="1:6" ht="90" x14ac:dyDescent="0.25">
      <c r="A198" s="4" t="s">
        <v>3558</v>
      </c>
      <c r="B198">
        <v>35.398002095061543</v>
      </c>
      <c r="C198" s="7">
        <v>0.23936816524908869</v>
      </c>
      <c r="E198">
        <v>35.398002095061543</v>
      </c>
      <c r="F198">
        <f t="shared" si="3"/>
        <v>0.23936816524908869</v>
      </c>
    </row>
    <row r="199" spans="1:6" ht="120" x14ac:dyDescent="0.25">
      <c r="A199" s="4" t="s">
        <v>3466</v>
      </c>
      <c r="B199">
        <v>35.577367414374621</v>
      </c>
      <c r="C199" s="7">
        <v>0.24058323207776428</v>
      </c>
      <c r="E199">
        <v>35.577367414374621</v>
      </c>
      <c r="F199">
        <f t="shared" si="3"/>
        <v>0.24058323207776428</v>
      </c>
    </row>
    <row r="200" spans="1:6" ht="105" x14ac:dyDescent="0.25">
      <c r="A200" s="4" t="s">
        <v>3416</v>
      </c>
      <c r="B200">
        <v>35.63460953728832</v>
      </c>
      <c r="C200" s="7">
        <v>0.24179829890643986</v>
      </c>
      <c r="E200">
        <v>35.63460953728832</v>
      </c>
      <c r="F200">
        <f t="shared" si="3"/>
        <v>0.24179829890643986</v>
      </c>
    </row>
    <row r="201" spans="1:6" ht="120" x14ac:dyDescent="0.25">
      <c r="A201" s="4" t="s">
        <v>3370</v>
      </c>
      <c r="B201">
        <v>35.752025963573026</v>
      </c>
      <c r="C201" s="7">
        <v>0.24301336573511542</v>
      </c>
      <c r="E201">
        <v>35.752025963573026</v>
      </c>
      <c r="F201">
        <f t="shared" si="3"/>
        <v>0.24301336573511542</v>
      </c>
    </row>
    <row r="202" spans="1:6" ht="120" x14ac:dyDescent="0.25">
      <c r="A202" s="4" t="s">
        <v>3410</v>
      </c>
      <c r="B202">
        <v>35.831700090333932</v>
      </c>
      <c r="C202" s="7">
        <v>0.24422843256379101</v>
      </c>
      <c r="E202">
        <v>35.831700090333932</v>
      </c>
      <c r="F202">
        <f t="shared" si="3"/>
        <v>0.24422843256379101</v>
      </c>
    </row>
    <row r="203" spans="1:6" ht="120" x14ac:dyDescent="0.25">
      <c r="A203" s="4" t="s">
        <v>3452</v>
      </c>
      <c r="B203">
        <v>35.838165838183755</v>
      </c>
      <c r="C203" s="7">
        <v>0.2454434993924666</v>
      </c>
      <c r="E203">
        <v>35.838165838183755</v>
      </c>
      <c r="F203">
        <f t="shared" si="3"/>
        <v>0.2454434993924666</v>
      </c>
    </row>
    <row r="204" spans="1:6" ht="105" x14ac:dyDescent="0.25">
      <c r="A204" s="4" t="s">
        <v>3414</v>
      </c>
      <c r="B204">
        <v>35.89237807795562</v>
      </c>
      <c r="C204" s="7">
        <v>0.24665856622114216</v>
      </c>
      <c r="E204">
        <v>35.89237807795562</v>
      </c>
      <c r="F204">
        <f t="shared" si="3"/>
        <v>0.24665856622114216</v>
      </c>
    </row>
    <row r="205" spans="1:6" ht="120" x14ac:dyDescent="0.25">
      <c r="A205" s="4" t="s">
        <v>3501</v>
      </c>
      <c r="B205">
        <v>35.912913322665702</v>
      </c>
      <c r="C205" s="7">
        <v>0.24787363304981774</v>
      </c>
      <c r="E205">
        <v>35.912913322665702</v>
      </c>
      <c r="F205">
        <f t="shared" si="3"/>
        <v>0.24787363304981774</v>
      </c>
    </row>
    <row r="206" spans="1:6" ht="105" x14ac:dyDescent="0.25">
      <c r="A206" s="4" t="s">
        <v>3476</v>
      </c>
      <c r="B206">
        <v>36.039446428069603</v>
      </c>
      <c r="C206" s="7">
        <v>0.24908869987849333</v>
      </c>
      <c r="E206">
        <v>36.039446428069603</v>
      </c>
      <c r="F206">
        <f t="shared" si="3"/>
        <v>0.24908869987849333</v>
      </c>
    </row>
    <row r="207" spans="1:6" ht="105" x14ac:dyDescent="0.25">
      <c r="A207" s="4" t="s">
        <v>3404</v>
      </c>
      <c r="B207">
        <v>36.099324376851101</v>
      </c>
      <c r="C207" s="7">
        <v>0.25030376670716892</v>
      </c>
      <c r="E207">
        <v>36.099324376851101</v>
      </c>
      <c r="F207">
        <f t="shared" si="3"/>
        <v>0.25030376670716892</v>
      </c>
    </row>
    <row r="208" spans="1:6" ht="105" x14ac:dyDescent="0.25">
      <c r="A208" s="4" t="s">
        <v>3503</v>
      </c>
      <c r="B208">
        <v>36.195371099784218</v>
      </c>
      <c r="C208" s="7">
        <v>0.25151883353584448</v>
      </c>
      <c r="E208">
        <v>36.195371099784218</v>
      </c>
      <c r="F208">
        <f t="shared" si="3"/>
        <v>0.25151883353584448</v>
      </c>
    </row>
    <row r="209" spans="1:6" ht="105" x14ac:dyDescent="0.25">
      <c r="A209" s="4" t="s">
        <v>3470</v>
      </c>
      <c r="B209">
        <v>36.198124999999997</v>
      </c>
      <c r="C209" s="7">
        <v>0.25273390036452004</v>
      </c>
      <c r="E209">
        <v>36.198124999999997</v>
      </c>
      <c r="F209">
        <f t="shared" si="3"/>
        <v>0.25273390036452004</v>
      </c>
    </row>
    <row r="210" spans="1:6" ht="90" x14ac:dyDescent="0.25">
      <c r="A210" s="4" t="s">
        <v>3576</v>
      </c>
      <c r="B210">
        <v>36.317797446382492</v>
      </c>
      <c r="C210" s="7">
        <v>0.25394896719319565</v>
      </c>
      <c r="E210">
        <v>36.317797446382492</v>
      </c>
      <c r="F210">
        <f t="shared" si="3"/>
        <v>0.25394896719319565</v>
      </c>
    </row>
    <row r="211" spans="1:6" ht="105" x14ac:dyDescent="0.25">
      <c r="A211" s="4" t="s">
        <v>3436</v>
      </c>
      <c r="B211">
        <v>36.321333333333335</v>
      </c>
      <c r="C211" s="7">
        <v>0.25516403402187121</v>
      </c>
      <c r="E211">
        <v>36.321333333333335</v>
      </c>
      <c r="F211">
        <f t="shared" si="3"/>
        <v>0.25516403402187121</v>
      </c>
    </row>
    <row r="212" spans="1:6" ht="105" x14ac:dyDescent="0.25">
      <c r="A212" s="4" t="s">
        <v>3454</v>
      </c>
      <c r="B212">
        <v>36.457139989285324</v>
      </c>
      <c r="C212" s="7">
        <v>0.25637910085054677</v>
      </c>
      <c r="E212">
        <v>36.457139989285324</v>
      </c>
      <c r="F212">
        <f t="shared" si="3"/>
        <v>0.25637910085054677</v>
      </c>
    </row>
    <row r="213" spans="1:6" ht="120" x14ac:dyDescent="0.25">
      <c r="A213" s="4" t="s">
        <v>3480</v>
      </c>
      <c r="B213">
        <v>36.536124077389836</v>
      </c>
      <c r="C213" s="7">
        <v>0.25759416767922233</v>
      </c>
      <c r="E213">
        <v>36.536124077389836</v>
      </c>
      <c r="F213">
        <f t="shared" si="3"/>
        <v>0.25759416767922233</v>
      </c>
    </row>
    <row r="214" spans="1:6" ht="120" x14ac:dyDescent="0.25">
      <c r="A214" s="4" t="s">
        <v>3512</v>
      </c>
      <c r="B214">
        <v>36.96985562343351</v>
      </c>
      <c r="C214" s="7">
        <v>0.25880923450789795</v>
      </c>
      <c r="E214">
        <v>36.96985562343351</v>
      </c>
      <c r="F214">
        <f t="shared" si="3"/>
        <v>0.25880923450789795</v>
      </c>
    </row>
    <row r="215" spans="1:6" ht="105" x14ac:dyDescent="0.25">
      <c r="A215" s="4" t="s">
        <v>3458</v>
      </c>
      <c r="B215">
        <v>37.229667785306056</v>
      </c>
      <c r="C215" s="7">
        <v>0.2600243013365735</v>
      </c>
      <c r="E215">
        <v>37.229667785306056</v>
      </c>
      <c r="F215">
        <f t="shared" si="3"/>
        <v>0.2600243013365735</v>
      </c>
    </row>
    <row r="216" spans="1:6" ht="105" x14ac:dyDescent="0.25">
      <c r="A216" s="4" t="s">
        <v>3478</v>
      </c>
      <c r="B216">
        <v>37.379764873413812</v>
      </c>
      <c r="C216" s="7">
        <v>0.26123936816524906</v>
      </c>
      <c r="E216">
        <v>37.379764873413812</v>
      </c>
      <c r="F216">
        <f t="shared" si="3"/>
        <v>0.26123936816524906</v>
      </c>
    </row>
    <row r="217" spans="1:6" ht="120" x14ac:dyDescent="0.25">
      <c r="A217" s="4" t="s">
        <v>3483</v>
      </c>
      <c r="B217">
        <v>37.385354430925567</v>
      </c>
      <c r="C217" s="7">
        <v>0.26245443499392468</v>
      </c>
      <c r="E217">
        <v>37.385354430925567</v>
      </c>
      <c r="F217">
        <f t="shared" si="3"/>
        <v>0.26245443499392468</v>
      </c>
    </row>
    <row r="218" spans="1:6" ht="90" x14ac:dyDescent="0.25">
      <c r="A218" s="4" t="s">
        <v>3446</v>
      </c>
      <c r="B218">
        <v>37.422587245682443</v>
      </c>
      <c r="C218" s="7">
        <v>0.26366950182260024</v>
      </c>
      <c r="E218">
        <v>37.422587245682443</v>
      </c>
      <c r="F218">
        <f t="shared" si="3"/>
        <v>0.26366950182260024</v>
      </c>
    </row>
    <row r="219" spans="1:6" ht="105" x14ac:dyDescent="0.25">
      <c r="A219" s="4" t="s">
        <v>3499</v>
      </c>
      <c r="B219">
        <v>37.892030204733516</v>
      </c>
      <c r="C219" s="7">
        <v>0.2648845686512758</v>
      </c>
      <c r="E219">
        <v>37.892030204733516</v>
      </c>
      <c r="F219">
        <f t="shared" si="3"/>
        <v>0.2648845686512758</v>
      </c>
    </row>
    <row r="220" spans="1:6" ht="120" x14ac:dyDescent="0.25">
      <c r="A220" s="4" t="s">
        <v>3464</v>
      </c>
      <c r="B220">
        <v>38.153974056226254</v>
      </c>
      <c r="C220" s="7">
        <v>0.26609963547995141</v>
      </c>
      <c r="E220">
        <v>38.153974056226254</v>
      </c>
      <c r="F220">
        <f t="shared" si="3"/>
        <v>0.26609963547995141</v>
      </c>
    </row>
    <row r="221" spans="1:6" ht="105" x14ac:dyDescent="0.25">
      <c r="A221" s="4" t="s">
        <v>3546</v>
      </c>
      <c r="B221">
        <v>38.160580269387289</v>
      </c>
      <c r="C221" s="7">
        <v>0.26731470230862697</v>
      </c>
      <c r="E221">
        <v>38.160580269387289</v>
      </c>
      <c r="F221">
        <f t="shared" si="3"/>
        <v>0.26731470230862697</v>
      </c>
    </row>
    <row r="222" spans="1:6" ht="120" x14ac:dyDescent="0.25">
      <c r="A222" s="4" t="s">
        <v>3653</v>
      </c>
      <c r="B222">
        <v>38.34625097409284</v>
      </c>
      <c r="C222" s="7">
        <v>0.26852976913730253</v>
      </c>
      <c r="E222">
        <v>38.34625097409284</v>
      </c>
      <c r="F222">
        <f t="shared" si="3"/>
        <v>0.26852976913730253</v>
      </c>
    </row>
    <row r="223" spans="1:6" ht="120" x14ac:dyDescent="0.25">
      <c r="A223" s="4" t="s">
        <v>3460</v>
      </c>
      <c r="B223">
        <v>38.488991926881006</v>
      </c>
      <c r="C223" s="7">
        <v>0.26974483596597815</v>
      </c>
      <c r="E223">
        <v>38.488991926881006</v>
      </c>
      <c r="F223">
        <f t="shared" si="3"/>
        <v>0.26974483596597815</v>
      </c>
    </row>
    <row r="224" spans="1:6" ht="120" x14ac:dyDescent="0.25">
      <c r="A224" s="4" t="s">
        <v>3382</v>
      </c>
      <c r="B224">
        <v>38.546717847544194</v>
      </c>
      <c r="C224" s="7">
        <v>0.27095990279465371</v>
      </c>
      <c r="E224">
        <v>38.546717847544194</v>
      </c>
      <c r="F224">
        <f t="shared" si="3"/>
        <v>0.27095990279465371</v>
      </c>
    </row>
    <row r="225" spans="1:6" ht="120" x14ac:dyDescent="0.25">
      <c r="A225" s="4" t="s">
        <v>3538</v>
      </c>
      <c r="B225">
        <v>38.583019215770442</v>
      </c>
      <c r="C225" s="7">
        <v>0.27217496962332927</v>
      </c>
      <c r="E225">
        <v>38.583019215770442</v>
      </c>
      <c r="F225">
        <f t="shared" si="3"/>
        <v>0.27217496962332927</v>
      </c>
    </row>
    <row r="226" spans="1:6" ht="90" x14ac:dyDescent="0.25">
      <c r="A226" s="4" t="s">
        <v>3578</v>
      </c>
      <c r="B226">
        <v>38.705660915760049</v>
      </c>
      <c r="C226" s="7">
        <v>0.27339003645200488</v>
      </c>
      <c r="E226">
        <v>38.705660915760049</v>
      </c>
      <c r="F226">
        <f t="shared" si="3"/>
        <v>0.27339003645200488</v>
      </c>
    </row>
    <row r="227" spans="1:6" ht="120" x14ac:dyDescent="0.25">
      <c r="A227" s="4" t="s">
        <v>3472</v>
      </c>
      <c r="B227">
        <v>38.78409183957551</v>
      </c>
      <c r="C227" s="7">
        <v>0.27460510328068044</v>
      </c>
      <c r="E227">
        <v>38.78409183957551</v>
      </c>
      <c r="F227">
        <f t="shared" si="3"/>
        <v>0.27460510328068044</v>
      </c>
    </row>
    <row r="228" spans="1:6" ht="105" x14ac:dyDescent="0.25">
      <c r="A228" s="4" t="s">
        <v>3489</v>
      </c>
      <c r="B228">
        <v>38.830256697804508</v>
      </c>
      <c r="C228" s="7">
        <v>0.275820170109356</v>
      </c>
      <c r="E228">
        <v>38.830256697804508</v>
      </c>
      <c r="F228">
        <f t="shared" si="3"/>
        <v>0.275820170109356</v>
      </c>
    </row>
    <row r="229" spans="1:6" ht="120" x14ac:dyDescent="0.25">
      <c r="A229" s="4" t="s">
        <v>3462</v>
      </c>
      <c r="B229">
        <v>38.888270748945857</v>
      </c>
      <c r="C229" s="7">
        <v>0.27703523693803161</v>
      </c>
      <c r="E229">
        <v>38.888270748945857</v>
      </c>
      <c r="F229">
        <f t="shared" si="3"/>
        <v>0.27703523693803161</v>
      </c>
    </row>
    <row r="230" spans="1:6" ht="105" x14ac:dyDescent="0.25">
      <c r="A230" s="4" t="s">
        <v>3493</v>
      </c>
      <c r="B230">
        <v>38.915316778872565</v>
      </c>
      <c r="C230" s="7">
        <v>0.27825030376670717</v>
      </c>
      <c r="E230">
        <v>38.915316778872565</v>
      </c>
      <c r="F230">
        <f t="shared" si="3"/>
        <v>0.27825030376670717</v>
      </c>
    </row>
    <row r="231" spans="1:6" ht="120" x14ac:dyDescent="0.25">
      <c r="A231" s="4" t="s">
        <v>3567</v>
      </c>
      <c r="B231">
        <v>38.951827719897665</v>
      </c>
      <c r="C231" s="7">
        <v>0.27946537059538273</v>
      </c>
      <c r="E231">
        <v>38.951827719897665</v>
      </c>
      <c r="F231">
        <f t="shared" si="3"/>
        <v>0.27946537059538273</v>
      </c>
    </row>
    <row r="232" spans="1:6" ht="120" x14ac:dyDescent="0.25">
      <c r="A232" s="4" t="s">
        <v>3442</v>
      </c>
      <c r="B232">
        <v>38.998984608481933</v>
      </c>
      <c r="C232" s="7">
        <v>0.28068043742405835</v>
      </c>
      <c r="E232">
        <v>38.998984608481933</v>
      </c>
      <c r="F232">
        <f t="shared" si="3"/>
        <v>0.28068043742405835</v>
      </c>
    </row>
    <row r="233" spans="1:6" ht="120" x14ac:dyDescent="0.25">
      <c r="A233" s="4" t="s">
        <v>3516</v>
      </c>
      <c r="B233">
        <v>39.084943151097178</v>
      </c>
      <c r="C233" s="7">
        <v>0.28189550425273391</v>
      </c>
      <c r="E233">
        <v>39.084943151097178</v>
      </c>
      <c r="F233">
        <f t="shared" si="3"/>
        <v>0.28189550425273391</v>
      </c>
    </row>
    <row r="234" spans="1:6" ht="105" x14ac:dyDescent="0.25">
      <c r="A234" s="4" t="s">
        <v>3422</v>
      </c>
      <c r="B234">
        <v>39.12682531939523</v>
      </c>
      <c r="C234" s="7">
        <v>0.28311057108140947</v>
      </c>
      <c r="E234">
        <v>39.12682531939523</v>
      </c>
      <c r="F234">
        <f t="shared" si="3"/>
        <v>0.28311057108140947</v>
      </c>
    </row>
    <row r="235" spans="1:6" ht="120" x14ac:dyDescent="0.25">
      <c r="A235" s="4" t="s">
        <v>3580</v>
      </c>
      <c r="B235">
        <v>39.17007654767734</v>
      </c>
      <c r="C235" s="7">
        <v>0.28432563791008503</v>
      </c>
      <c r="E235">
        <v>39.17007654767734</v>
      </c>
      <c r="F235">
        <f t="shared" si="3"/>
        <v>0.28432563791008503</v>
      </c>
    </row>
    <row r="236" spans="1:6" ht="105" x14ac:dyDescent="0.25">
      <c r="A236" s="4" t="s">
        <v>3415</v>
      </c>
      <c r="B236">
        <v>39.327822299710505</v>
      </c>
      <c r="C236" s="7">
        <v>0.28554070473876064</v>
      </c>
      <c r="E236">
        <v>39.327822299710505</v>
      </c>
      <c r="F236">
        <f t="shared" si="3"/>
        <v>0.28554070473876064</v>
      </c>
    </row>
    <row r="237" spans="1:6" ht="120" x14ac:dyDescent="0.25">
      <c r="A237" s="4" t="s">
        <v>3562</v>
      </c>
      <c r="B237">
        <v>39.438594906502871</v>
      </c>
      <c r="C237" s="7">
        <v>0.2867557715674362</v>
      </c>
      <c r="E237">
        <v>39.438594906502871</v>
      </c>
      <c r="F237">
        <f t="shared" si="3"/>
        <v>0.2867557715674362</v>
      </c>
    </row>
    <row r="238" spans="1:6" ht="90" x14ac:dyDescent="0.25">
      <c r="A238" s="4" t="s">
        <v>3593</v>
      </c>
      <c r="B238">
        <v>39.521436590512955</v>
      </c>
      <c r="C238" s="7">
        <v>0.28797083839611176</v>
      </c>
      <c r="E238">
        <v>39.521436590512955</v>
      </c>
      <c r="F238">
        <f t="shared" si="3"/>
        <v>0.28797083839611176</v>
      </c>
    </row>
    <row r="239" spans="1:6" ht="105" x14ac:dyDescent="0.25">
      <c r="A239" s="4" t="s">
        <v>3526</v>
      </c>
      <c r="B239">
        <v>39.526009476055314</v>
      </c>
      <c r="C239" s="7">
        <v>0.28918590522478738</v>
      </c>
      <c r="E239">
        <v>39.526009476055314</v>
      </c>
      <c r="F239">
        <f t="shared" si="3"/>
        <v>0.28918590522478738</v>
      </c>
    </row>
    <row r="240" spans="1:6" ht="105" x14ac:dyDescent="0.25">
      <c r="A240" s="4" t="s">
        <v>3533</v>
      </c>
      <c r="B240">
        <v>39.575889074232265</v>
      </c>
      <c r="C240" s="7">
        <v>0.29040097205346294</v>
      </c>
      <c r="E240">
        <v>39.575889074232265</v>
      </c>
      <c r="F240">
        <f t="shared" si="3"/>
        <v>0.29040097205346294</v>
      </c>
    </row>
    <row r="241" spans="1:6" ht="105" x14ac:dyDescent="0.25">
      <c r="A241" s="4" t="s">
        <v>3552</v>
      </c>
      <c r="B241">
        <v>39.590250656969985</v>
      </c>
      <c r="C241" s="7">
        <v>0.2916160388821385</v>
      </c>
      <c r="E241">
        <v>39.590250656969985</v>
      </c>
      <c r="F241">
        <f t="shared" si="3"/>
        <v>0.2916160388821385</v>
      </c>
    </row>
    <row r="242" spans="1:6" ht="105" x14ac:dyDescent="0.25">
      <c r="A242" s="4" t="s">
        <v>3522</v>
      </c>
      <c r="B242">
        <v>39.807659560325597</v>
      </c>
      <c r="C242" s="7">
        <v>0.29283110571081411</v>
      </c>
      <c r="E242">
        <v>39.807659560325597</v>
      </c>
      <c r="F242">
        <f t="shared" si="3"/>
        <v>0.29283110571081411</v>
      </c>
    </row>
    <row r="243" spans="1:6" ht="90" x14ac:dyDescent="0.25">
      <c r="A243" s="4" t="s">
        <v>3640</v>
      </c>
      <c r="B243">
        <v>39.959303899933026</v>
      </c>
      <c r="C243" s="7">
        <v>0.29404617253948967</v>
      </c>
      <c r="E243">
        <v>39.959303899933026</v>
      </c>
      <c r="F243">
        <f t="shared" si="3"/>
        <v>0.29404617253948967</v>
      </c>
    </row>
    <row r="244" spans="1:6" ht="105" x14ac:dyDescent="0.25">
      <c r="A244" s="4" t="s">
        <v>3520</v>
      </c>
      <c r="B244">
        <v>40.171994863437092</v>
      </c>
      <c r="C244" s="7">
        <v>0.29526123936816523</v>
      </c>
      <c r="E244">
        <v>40.171994863437092</v>
      </c>
      <c r="F244">
        <f t="shared" si="3"/>
        <v>0.29526123936816523</v>
      </c>
    </row>
    <row r="245" spans="1:6" ht="105" x14ac:dyDescent="0.25">
      <c r="A245" s="4" t="s">
        <v>3535</v>
      </c>
      <c r="B245">
        <v>40.195898086133361</v>
      </c>
      <c r="C245" s="7">
        <v>0.29647630619684084</v>
      </c>
      <c r="E245">
        <v>40.195898086133361</v>
      </c>
      <c r="F245">
        <f t="shared" si="3"/>
        <v>0.29647630619684084</v>
      </c>
    </row>
    <row r="246" spans="1:6" ht="120" x14ac:dyDescent="0.25">
      <c r="A246" s="4" t="s">
        <v>3497</v>
      </c>
      <c r="B246">
        <v>40.232110982751585</v>
      </c>
      <c r="C246" s="7">
        <v>0.2976913730255164</v>
      </c>
      <c r="E246">
        <v>40.232110982751585</v>
      </c>
      <c r="F246">
        <f t="shared" si="3"/>
        <v>0.2976913730255164</v>
      </c>
    </row>
    <row r="247" spans="1:6" ht="120" x14ac:dyDescent="0.25">
      <c r="A247" s="4" t="s">
        <v>3510</v>
      </c>
      <c r="B247">
        <v>40.26902489075411</v>
      </c>
      <c r="C247" s="7">
        <v>0.29890643985419196</v>
      </c>
      <c r="E247">
        <v>40.26902489075411</v>
      </c>
      <c r="F247">
        <f t="shared" si="3"/>
        <v>0.29890643985419196</v>
      </c>
    </row>
    <row r="248" spans="1:6" ht="105" x14ac:dyDescent="0.25">
      <c r="A248" s="4" t="s">
        <v>3487</v>
      </c>
      <c r="B248">
        <v>40.340485291095931</v>
      </c>
      <c r="C248" s="7">
        <v>0.30012150668286758</v>
      </c>
      <c r="E248">
        <v>40.340485291095931</v>
      </c>
      <c r="F248">
        <f t="shared" si="3"/>
        <v>0.30012150668286758</v>
      </c>
    </row>
    <row r="249" spans="1:6" ht="120" x14ac:dyDescent="0.25">
      <c r="A249" s="4" t="s">
        <v>3605</v>
      </c>
      <c r="B249">
        <v>40.37225432675838</v>
      </c>
      <c r="C249" s="7">
        <v>0.30133657351154314</v>
      </c>
      <c r="E249">
        <v>40.37225432675838</v>
      </c>
      <c r="F249">
        <f t="shared" si="3"/>
        <v>0.30133657351154314</v>
      </c>
    </row>
    <row r="250" spans="1:6" ht="105" x14ac:dyDescent="0.25">
      <c r="A250" s="4" t="s">
        <v>3461</v>
      </c>
      <c r="B250">
        <v>40.735145615159993</v>
      </c>
      <c r="C250" s="7">
        <v>0.3025516403402187</v>
      </c>
      <c r="E250">
        <v>40.735145615159993</v>
      </c>
      <c r="F250">
        <f t="shared" si="3"/>
        <v>0.3025516403402187</v>
      </c>
    </row>
    <row r="251" spans="1:6" ht="120" x14ac:dyDescent="0.25">
      <c r="A251" s="4" t="s">
        <v>3556</v>
      </c>
      <c r="B251">
        <v>40.758363003591185</v>
      </c>
      <c r="C251" s="7">
        <v>0.30376670716889431</v>
      </c>
      <c r="E251">
        <v>40.758363003591185</v>
      </c>
      <c r="F251">
        <f t="shared" si="3"/>
        <v>0.30376670716889431</v>
      </c>
    </row>
    <row r="252" spans="1:6" ht="90" x14ac:dyDescent="0.25">
      <c r="A252" s="4" t="s">
        <v>3544</v>
      </c>
      <c r="B252">
        <v>40.842517641305299</v>
      </c>
      <c r="C252" s="7">
        <v>0.30498177399756987</v>
      </c>
      <c r="E252">
        <v>40.842517641305299</v>
      </c>
      <c r="F252">
        <f t="shared" si="3"/>
        <v>0.30498177399756987</v>
      </c>
    </row>
    <row r="253" spans="1:6" ht="105" x14ac:dyDescent="0.25">
      <c r="A253" s="4" t="s">
        <v>3624</v>
      </c>
      <c r="B253">
        <v>41.217144451682991</v>
      </c>
      <c r="C253" s="7">
        <v>0.30619684082624543</v>
      </c>
      <c r="E253">
        <v>41.217144451682991</v>
      </c>
      <c r="F253">
        <f t="shared" si="3"/>
        <v>0.30619684082624543</v>
      </c>
    </row>
    <row r="254" spans="1:6" ht="105" x14ac:dyDescent="0.25">
      <c r="A254" s="4" t="s">
        <v>3560</v>
      </c>
      <c r="B254">
        <v>41.443686977080567</v>
      </c>
      <c r="C254" s="7">
        <v>0.30741190765492105</v>
      </c>
      <c r="E254">
        <v>41.443686977080567</v>
      </c>
      <c r="F254">
        <f t="shared" si="3"/>
        <v>0.30741190765492105</v>
      </c>
    </row>
    <row r="255" spans="1:6" ht="105" x14ac:dyDescent="0.25">
      <c r="A255" s="4" t="s">
        <v>3531</v>
      </c>
      <c r="B255">
        <v>41.457485489157449</v>
      </c>
      <c r="C255" s="7">
        <v>0.30862697448359661</v>
      </c>
      <c r="E255">
        <v>41.457485489157449</v>
      </c>
      <c r="F255">
        <f t="shared" si="3"/>
        <v>0.30862697448359661</v>
      </c>
    </row>
    <row r="256" spans="1:6" ht="90" x14ac:dyDescent="0.25">
      <c r="A256" s="4" t="s">
        <v>3565</v>
      </c>
      <c r="B256">
        <v>41.51355927117482</v>
      </c>
      <c r="C256" s="7">
        <v>0.30984204131227217</v>
      </c>
      <c r="E256">
        <v>41.51355927117482</v>
      </c>
      <c r="F256">
        <f t="shared" si="3"/>
        <v>0.30984204131227217</v>
      </c>
    </row>
    <row r="257" spans="1:6" ht="90" x14ac:dyDescent="0.25">
      <c r="A257" s="4" t="s">
        <v>3591</v>
      </c>
      <c r="B257">
        <v>41.55530398499949</v>
      </c>
      <c r="C257" s="7">
        <v>0.31105710814094772</v>
      </c>
      <c r="E257">
        <v>41.55530398499949</v>
      </c>
      <c r="F257">
        <f t="shared" si="3"/>
        <v>0.31105710814094772</v>
      </c>
    </row>
    <row r="258" spans="1:6" ht="120" x14ac:dyDescent="0.25">
      <c r="A258" s="4" t="s">
        <v>3540</v>
      </c>
      <c r="B258">
        <v>41.564707520976832</v>
      </c>
      <c r="C258" s="7">
        <v>0.31227217496962334</v>
      </c>
      <c r="E258">
        <v>41.564707520976832</v>
      </c>
      <c r="F258">
        <f t="shared" si="3"/>
        <v>0.31227217496962334</v>
      </c>
    </row>
    <row r="259" spans="1:6" ht="120" x14ac:dyDescent="0.25">
      <c r="A259" s="4" t="s">
        <v>3547</v>
      </c>
      <c r="B259">
        <v>41.660131272679685</v>
      </c>
      <c r="C259" s="7">
        <v>0.3134872417982989</v>
      </c>
      <c r="E259">
        <v>41.660131272679685</v>
      </c>
      <c r="F259">
        <f t="shared" ref="F259:F322" si="4">_xlfn.RANK.EQ(E259,$E$2:$E$824,1)/COUNT($E$2:$E$824)</f>
        <v>0.3134872417982989</v>
      </c>
    </row>
    <row r="260" spans="1:6" ht="120" x14ac:dyDescent="0.25">
      <c r="A260" s="4" t="s">
        <v>3603</v>
      </c>
      <c r="B260">
        <v>41.714121589696688</v>
      </c>
      <c r="C260" s="7">
        <v>0.31470230862697446</v>
      </c>
      <c r="E260">
        <v>41.714121589696688</v>
      </c>
      <c r="F260">
        <f t="shared" si="4"/>
        <v>0.31470230862697446</v>
      </c>
    </row>
    <row r="261" spans="1:6" ht="105" x14ac:dyDescent="0.25">
      <c r="A261" s="4" t="s">
        <v>3529</v>
      </c>
      <c r="B261">
        <v>41.714134637691195</v>
      </c>
      <c r="C261" s="7">
        <v>0.31591737545565007</v>
      </c>
      <c r="E261">
        <v>41.714134637691195</v>
      </c>
      <c r="F261">
        <f t="shared" si="4"/>
        <v>0.31591737545565007</v>
      </c>
    </row>
    <row r="262" spans="1:6" ht="120" x14ac:dyDescent="0.25">
      <c r="A262" s="4" t="s">
        <v>3569</v>
      </c>
      <c r="B262">
        <v>41.81605603346749</v>
      </c>
      <c r="C262" s="7">
        <v>0.31713244228432563</v>
      </c>
      <c r="E262">
        <v>41.81605603346749</v>
      </c>
      <c r="F262">
        <f t="shared" si="4"/>
        <v>0.31713244228432563</v>
      </c>
    </row>
    <row r="263" spans="1:6" ht="120" x14ac:dyDescent="0.25">
      <c r="A263" s="4" t="s">
        <v>3448</v>
      </c>
      <c r="B263">
        <v>41.871313895963453</v>
      </c>
      <c r="C263" s="7">
        <v>0.31834750911300119</v>
      </c>
      <c r="E263">
        <v>41.871313895963453</v>
      </c>
      <c r="F263">
        <f t="shared" si="4"/>
        <v>0.31834750911300119</v>
      </c>
    </row>
    <row r="264" spans="1:6" ht="105" x14ac:dyDescent="0.25">
      <c r="A264" s="4" t="s">
        <v>3532</v>
      </c>
      <c r="B264">
        <v>41.910303382199643</v>
      </c>
      <c r="C264" s="7">
        <v>0.31956257594167681</v>
      </c>
      <c r="E264">
        <v>41.910303382199643</v>
      </c>
      <c r="F264">
        <f t="shared" si="4"/>
        <v>0.31956257594167681</v>
      </c>
    </row>
    <row r="265" spans="1:6" ht="105" x14ac:dyDescent="0.25">
      <c r="A265" s="4" t="s">
        <v>3542</v>
      </c>
      <c r="B265">
        <v>41.936244994608039</v>
      </c>
      <c r="C265" s="7">
        <v>0.32077764277035237</v>
      </c>
      <c r="E265">
        <v>41.936244994608039</v>
      </c>
      <c r="F265">
        <f t="shared" si="4"/>
        <v>0.32077764277035237</v>
      </c>
    </row>
    <row r="266" spans="1:6" ht="105" x14ac:dyDescent="0.25">
      <c r="A266" s="4" t="s">
        <v>3468</v>
      </c>
      <c r="B266">
        <v>42.02731087351723</v>
      </c>
      <c r="C266" s="7">
        <v>0.32199270959902793</v>
      </c>
      <c r="E266">
        <v>42.02731087351723</v>
      </c>
      <c r="F266">
        <f t="shared" si="4"/>
        <v>0.32199270959902793</v>
      </c>
    </row>
    <row r="267" spans="1:6" ht="90" x14ac:dyDescent="0.25">
      <c r="A267" s="4" t="s">
        <v>3675</v>
      </c>
      <c r="B267">
        <v>42.047877537245633</v>
      </c>
      <c r="C267" s="7">
        <v>0.32320777642770354</v>
      </c>
      <c r="E267">
        <v>42.047877537245633</v>
      </c>
      <c r="F267">
        <f t="shared" si="4"/>
        <v>0.32320777642770354</v>
      </c>
    </row>
    <row r="268" spans="1:6" ht="90" x14ac:dyDescent="0.25">
      <c r="A268" s="4" t="s">
        <v>3634</v>
      </c>
      <c r="B268">
        <v>42.190074631899563</v>
      </c>
      <c r="C268" s="7">
        <v>0.3244228432563791</v>
      </c>
      <c r="E268">
        <v>42.190074631899563</v>
      </c>
      <c r="F268">
        <f t="shared" si="4"/>
        <v>0.3244228432563791</v>
      </c>
    </row>
    <row r="269" spans="1:6" ht="90" x14ac:dyDescent="0.25">
      <c r="A269" s="4" t="s">
        <v>3514</v>
      </c>
      <c r="B269">
        <v>42.253532168934399</v>
      </c>
      <c r="C269" s="7">
        <v>0.32563791008505466</v>
      </c>
      <c r="E269">
        <v>42.253532168934399</v>
      </c>
      <c r="F269">
        <f t="shared" si="4"/>
        <v>0.32563791008505466</v>
      </c>
    </row>
    <row r="270" spans="1:6" ht="120" x14ac:dyDescent="0.25">
      <c r="A270" s="4" t="s">
        <v>3596</v>
      </c>
      <c r="B270">
        <v>42.386109485631437</v>
      </c>
      <c r="C270" s="7">
        <v>0.32685297691373028</v>
      </c>
      <c r="E270">
        <v>42.386109485631437</v>
      </c>
      <c r="F270">
        <f t="shared" si="4"/>
        <v>0.32685297691373028</v>
      </c>
    </row>
    <row r="271" spans="1:6" ht="120" x14ac:dyDescent="0.25">
      <c r="A271" s="4" t="s">
        <v>3659</v>
      </c>
      <c r="B271">
        <v>42.38704648168541</v>
      </c>
      <c r="C271" s="7">
        <v>0.32806804374240583</v>
      </c>
      <c r="E271">
        <v>42.38704648168541</v>
      </c>
      <c r="F271">
        <f t="shared" si="4"/>
        <v>0.32806804374240583</v>
      </c>
    </row>
    <row r="272" spans="1:6" ht="105" x14ac:dyDescent="0.25">
      <c r="A272" s="4" t="s">
        <v>3524</v>
      </c>
      <c r="B272">
        <v>42.423342631150597</v>
      </c>
      <c r="C272" s="7">
        <v>0.32928311057108139</v>
      </c>
      <c r="E272">
        <v>42.423342631150597</v>
      </c>
      <c r="F272">
        <f t="shared" si="4"/>
        <v>0.32928311057108139</v>
      </c>
    </row>
    <row r="273" spans="1:6" ht="120" x14ac:dyDescent="0.25">
      <c r="A273" s="4" t="s">
        <v>3598</v>
      </c>
      <c r="B273">
        <v>42.43671071212114</v>
      </c>
      <c r="C273" s="7">
        <v>0.33049817739975701</v>
      </c>
      <c r="E273">
        <v>42.43671071212114</v>
      </c>
      <c r="F273">
        <f t="shared" si="4"/>
        <v>0.33049817739975701</v>
      </c>
    </row>
    <row r="274" spans="1:6" ht="105" x14ac:dyDescent="0.25">
      <c r="A274" s="4" t="s">
        <v>3635</v>
      </c>
      <c r="B274">
        <v>42.497261661405304</v>
      </c>
      <c r="C274" s="7">
        <v>0.33171324422843257</v>
      </c>
      <c r="E274">
        <v>42.497261661405304</v>
      </c>
      <c r="F274">
        <f t="shared" si="4"/>
        <v>0.33171324422843257</v>
      </c>
    </row>
    <row r="275" spans="1:6" ht="105" x14ac:dyDescent="0.25">
      <c r="A275" s="4" t="s">
        <v>3387</v>
      </c>
      <c r="B275">
        <v>42.534157056474676</v>
      </c>
      <c r="C275" s="7">
        <v>0.33292831105710813</v>
      </c>
      <c r="E275">
        <v>42.534157056474676</v>
      </c>
      <c r="F275">
        <f t="shared" si="4"/>
        <v>0.33292831105710813</v>
      </c>
    </row>
    <row r="276" spans="1:6" ht="90" x14ac:dyDescent="0.25">
      <c r="A276" s="4" t="s">
        <v>3721</v>
      </c>
      <c r="B276">
        <v>42.640268901145845</v>
      </c>
      <c r="C276" s="7">
        <v>0.33414337788578374</v>
      </c>
      <c r="E276">
        <v>42.640268901145845</v>
      </c>
      <c r="F276">
        <f t="shared" si="4"/>
        <v>0.33414337788578374</v>
      </c>
    </row>
    <row r="277" spans="1:6" ht="120" x14ac:dyDescent="0.25">
      <c r="A277" s="4" t="s">
        <v>3589</v>
      </c>
      <c r="B277">
        <v>42.734126882623549</v>
      </c>
      <c r="C277" s="7">
        <v>0.3353584447144593</v>
      </c>
      <c r="E277">
        <v>42.734126882623549</v>
      </c>
      <c r="F277">
        <f t="shared" si="4"/>
        <v>0.3353584447144593</v>
      </c>
    </row>
    <row r="278" spans="1:6" ht="120" x14ac:dyDescent="0.25">
      <c r="A278" s="4" t="s">
        <v>3550</v>
      </c>
      <c r="B278">
        <v>42.868783284287751</v>
      </c>
      <c r="C278" s="7">
        <v>0.33657351154313486</v>
      </c>
      <c r="E278">
        <v>42.868783284287751</v>
      </c>
      <c r="F278">
        <f t="shared" si="4"/>
        <v>0.33657351154313486</v>
      </c>
    </row>
    <row r="279" spans="1:6" ht="120" x14ac:dyDescent="0.25">
      <c r="A279" s="4" t="s">
        <v>3617</v>
      </c>
      <c r="B279">
        <v>42.94047079406338</v>
      </c>
      <c r="C279" s="7">
        <v>0.33778857837181048</v>
      </c>
      <c r="E279">
        <v>42.94047079406338</v>
      </c>
      <c r="F279">
        <f t="shared" si="4"/>
        <v>0.33778857837181048</v>
      </c>
    </row>
    <row r="280" spans="1:6" ht="120" x14ac:dyDescent="0.25">
      <c r="A280" s="4" t="s">
        <v>3601</v>
      </c>
      <c r="B280">
        <v>42.954452664287608</v>
      </c>
      <c r="C280" s="7">
        <v>0.33900364520048604</v>
      </c>
      <c r="E280">
        <v>42.954452664287608</v>
      </c>
      <c r="F280">
        <f t="shared" si="4"/>
        <v>0.33900364520048604</v>
      </c>
    </row>
    <row r="281" spans="1:6" ht="120" x14ac:dyDescent="0.25">
      <c r="A281" s="4" t="s">
        <v>3619</v>
      </c>
      <c r="B281">
        <v>43.038814541560704</v>
      </c>
      <c r="C281" s="7">
        <v>0.3402187120291616</v>
      </c>
      <c r="E281">
        <v>43.038814541560704</v>
      </c>
      <c r="F281">
        <f t="shared" si="4"/>
        <v>0.3402187120291616</v>
      </c>
    </row>
    <row r="282" spans="1:6" ht="120" x14ac:dyDescent="0.25">
      <c r="A282" s="4" t="s">
        <v>3611</v>
      </c>
      <c r="B282">
        <v>43.061999809576889</v>
      </c>
      <c r="C282" s="7">
        <v>0.34143377885783716</v>
      </c>
      <c r="E282">
        <v>43.061999809576889</v>
      </c>
      <c r="F282">
        <f t="shared" si="4"/>
        <v>0.34143377885783716</v>
      </c>
    </row>
    <row r="283" spans="1:6" ht="120" x14ac:dyDescent="0.25">
      <c r="A283" s="4" t="s">
        <v>3633</v>
      </c>
      <c r="B283">
        <v>43.395625000000003</v>
      </c>
      <c r="C283" s="7">
        <v>0.34264884568651277</v>
      </c>
      <c r="E283">
        <v>43.395625000000003</v>
      </c>
      <c r="F283">
        <f t="shared" si="4"/>
        <v>0.34264884568651277</v>
      </c>
    </row>
    <row r="284" spans="1:6" ht="90" x14ac:dyDescent="0.25">
      <c r="A284" s="4" t="s">
        <v>3644</v>
      </c>
      <c r="B284">
        <v>43.559723277532527</v>
      </c>
      <c r="C284" s="7">
        <v>0.34386391251518833</v>
      </c>
      <c r="E284">
        <v>43.559723277532527</v>
      </c>
      <c r="F284">
        <f t="shared" si="4"/>
        <v>0.34386391251518833</v>
      </c>
    </row>
    <row r="285" spans="1:6" ht="105" x14ac:dyDescent="0.25">
      <c r="A285" s="4" t="s">
        <v>3548</v>
      </c>
      <c r="B285">
        <v>43.605242694843362</v>
      </c>
      <c r="C285" s="7">
        <v>0.34507897934386389</v>
      </c>
      <c r="E285">
        <v>43.605242694843362</v>
      </c>
      <c r="F285">
        <f t="shared" si="4"/>
        <v>0.34507897934386389</v>
      </c>
    </row>
    <row r="286" spans="1:6" ht="105" x14ac:dyDescent="0.25">
      <c r="A286" s="4" t="s">
        <v>3574</v>
      </c>
      <c r="B286">
        <v>43.618847775686817</v>
      </c>
      <c r="C286" s="7">
        <v>0.3462940461725395</v>
      </c>
      <c r="E286">
        <v>43.618847775686817</v>
      </c>
      <c r="F286">
        <f t="shared" si="4"/>
        <v>0.3462940461725395</v>
      </c>
    </row>
    <row r="287" spans="1:6" ht="120" x14ac:dyDescent="0.25">
      <c r="A287" s="4" t="s">
        <v>3445</v>
      </c>
      <c r="B287">
        <v>43.657823279065759</v>
      </c>
      <c r="C287" s="7">
        <v>0.34750911300121506</v>
      </c>
      <c r="E287">
        <v>43.657823279065759</v>
      </c>
      <c r="F287">
        <f t="shared" si="4"/>
        <v>0.34750911300121506</v>
      </c>
    </row>
    <row r="288" spans="1:6" ht="105" x14ac:dyDescent="0.25">
      <c r="A288" s="4" t="s">
        <v>3622</v>
      </c>
      <c r="B288">
        <v>43.777738863490889</v>
      </c>
      <c r="C288" s="7">
        <v>0.34872417982989062</v>
      </c>
      <c r="E288">
        <v>43.777738863490889</v>
      </c>
      <c r="F288">
        <f t="shared" si="4"/>
        <v>0.34872417982989062</v>
      </c>
    </row>
    <row r="289" spans="1:6" ht="120" x14ac:dyDescent="0.25">
      <c r="A289" s="4" t="s">
        <v>3638</v>
      </c>
      <c r="B289">
        <v>43.883124310169507</v>
      </c>
      <c r="C289" s="7">
        <v>0.34993924665856624</v>
      </c>
      <c r="E289">
        <v>43.883124310169507</v>
      </c>
      <c r="F289">
        <f t="shared" si="4"/>
        <v>0.34993924665856624</v>
      </c>
    </row>
    <row r="290" spans="1:6" ht="120" x14ac:dyDescent="0.25">
      <c r="A290" s="4" t="s">
        <v>3677</v>
      </c>
      <c r="B290">
        <v>44.023853978469973</v>
      </c>
      <c r="C290" s="7">
        <v>0.3511543134872418</v>
      </c>
      <c r="E290">
        <v>44.023853978469973</v>
      </c>
      <c r="F290">
        <f t="shared" si="4"/>
        <v>0.3511543134872418</v>
      </c>
    </row>
    <row r="291" spans="1:6" ht="120" x14ac:dyDescent="0.25">
      <c r="A291" s="4" t="s">
        <v>3572</v>
      </c>
      <c r="B291">
        <v>44.027035215950455</v>
      </c>
      <c r="C291" s="7">
        <v>0.35236938031591736</v>
      </c>
      <c r="E291">
        <v>44.027035215950455</v>
      </c>
      <c r="F291">
        <f t="shared" si="4"/>
        <v>0.35236938031591736</v>
      </c>
    </row>
    <row r="292" spans="1:6" ht="105" x14ac:dyDescent="0.25">
      <c r="A292" s="4" t="s">
        <v>3649</v>
      </c>
      <c r="B292">
        <v>44.039582165335048</v>
      </c>
      <c r="C292" s="7">
        <v>0.35358444714459297</v>
      </c>
      <c r="E292">
        <v>44.039582165335048</v>
      </c>
      <c r="F292">
        <f t="shared" si="4"/>
        <v>0.35358444714459297</v>
      </c>
    </row>
    <row r="293" spans="1:6" ht="120" x14ac:dyDescent="0.25">
      <c r="A293" s="4" t="s">
        <v>3568</v>
      </c>
      <c r="B293">
        <v>44.171238532310383</v>
      </c>
      <c r="C293" s="7">
        <v>0.35479951397326853</v>
      </c>
      <c r="E293">
        <v>44.171238532310383</v>
      </c>
      <c r="F293">
        <f t="shared" si="4"/>
        <v>0.35479951397326853</v>
      </c>
    </row>
    <row r="294" spans="1:6" ht="120" x14ac:dyDescent="0.25">
      <c r="A294" s="4" t="s">
        <v>3518</v>
      </c>
      <c r="B294">
        <v>44.223674046305177</v>
      </c>
      <c r="C294" s="7">
        <v>0.35601458080194409</v>
      </c>
      <c r="E294">
        <v>44.223674046305177</v>
      </c>
      <c r="F294">
        <f t="shared" si="4"/>
        <v>0.35601458080194409</v>
      </c>
    </row>
    <row r="295" spans="1:6" ht="120" x14ac:dyDescent="0.25">
      <c r="A295" s="4" t="s">
        <v>3642</v>
      </c>
      <c r="B295">
        <v>44.410825578584195</v>
      </c>
      <c r="C295" s="7">
        <v>0.35722964763061971</v>
      </c>
      <c r="E295">
        <v>44.410825578584195</v>
      </c>
      <c r="F295">
        <f t="shared" si="4"/>
        <v>0.35722964763061971</v>
      </c>
    </row>
    <row r="296" spans="1:6" ht="120" x14ac:dyDescent="0.25">
      <c r="A296" s="4" t="s">
        <v>3707</v>
      </c>
      <c r="B296">
        <v>44.417618523911088</v>
      </c>
      <c r="C296" s="7">
        <v>0.35844471445929527</v>
      </c>
      <c r="E296">
        <v>44.417618523911088</v>
      </c>
      <c r="F296">
        <f t="shared" si="4"/>
        <v>0.35844471445929527</v>
      </c>
    </row>
    <row r="297" spans="1:6" ht="120" x14ac:dyDescent="0.25">
      <c r="A297" s="4" t="s">
        <v>3389</v>
      </c>
      <c r="B297">
        <v>44.443358708960481</v>
      </c>
      <c r="C297" s="7">
        <v>0.35965978128797083</v>
      </c>
      <c r="E297">
        <v>44.443358708960481</v>
      </c>
      <c r="F297">
        <f t="shared" si="4"/>
        <v>0.35965978128797083</v>
      </c>
    </row>
    <row r="298" spans="1:6" ht="105" x14ac:dyDescent="0.25">
      <c r="A298" s="4" t="s">
        <v>3712</v>
      </c>
      <c r="B298">
        <v>44.569585173470166</v>
      </c>
      <c r="C298" s="7">
        <v>0.36087484811664644</v>
      </c>
      <c r="E298">
        <v>44.569585173470166</v>
      </c>
      <c r="F298">
        <f t="shared" si="4"/>
        <v>0.36087484811664644</v>
      </c>
    </row>
    <row r="299" spans="1:6" ht="105" x14ac:dyDescent="0.25">
      <c r="A299" s="4" t="s">
        <v>3715</v>
      </c>
      <c r="B299">
        <v>44.678175695194909</v>
      </c>
      <c r="C299" s="7">
        <v>0.362089914945322</v>
      </c>
      <c r="E299">
        <v>44.678175695194909</v>
      </c>
      <c r="F299">
        <f t="shared" si="4"/>
        <v>0.362089914945322</v>
      </c>
    </row>
    <row r="300" spans="1:6" ht="120" x14ac:dyDescent="0.25">
      <c r="A300" s="4" t="s">
        <v>3581</v>
      </c>
      <c r="B300">
        <v>44.686637277531965</v>
      </c>
      <c r="C300" s="7">
        <v>0.36330498177399756</v>
      </c>
      <c r="E300">
        <v>44.686637277531965</v>
      </c>
      <c r="F300">
        <f t="shared" si="4"/>
        <v>0.36330498177399756</v>
      </c>
    </row>
    <row r="301" spans="1:6" ht="120" x14ac:dyDescent="0.25">
      <c r="A301" s="4" t="s">
        <v>3739</v>
      </c>
      <c r="B301">
        <v>44.781238441873846</v>
      </c>
      <c r="C301" s="7">
        <v>0.36452004860267317</v>
      </c>
      <c r="E301">
        <v>44.781238441873846</v>
      </c>
      <c r="F301">
        <f t="shared" si="4"/>
        <v>0.36452004860267317</v>
      </c>
    </row>
    <row r="302" spans="1:6" ht="105" x14ac:dyDescent="0.25">
      <c r="A302" s="4" t="s">
        <v>3645</v>
      </c>
      <c r="B302">
        <v>44.887559887582327</v>
      </c>
      <c r="C302" s="7">
        <v>0.36573511543134873</v>
      </c>
      <c r="E302">
        <v>44.887559887582327</v>
      </c>
      <c r="F302">
        <f t="shared" si="4"/>
        <v>0.36573511543134873</v>
      </c>
    </row>
    <row r="303" spans="1:6" ht="120" x14ac:dyDescent="0.25">
      <c r="A303" s="4" t="s">
        <v>3475</v>
      </c>
      <c r="B303">
        <v>44.8942494566097</v>
      </c>
      <c r="C303" s="7">
        <v>0.36695018226002429</v>
      </c>
      <c r="E303">
        <v>44.8942494566097</v>
      </c>
      <c r="F303">
        <f t="shared" si="4"/>
        <v>0.36695018226002429</v>
      </c>
    </row>
    <row r="304" spans="1:6" ht="120" x14ac:dyDescent="0.25">
      <c r="A304" s="4" t="s">
        <v>3608</v>
      </c>
      <c r="B304">
        <v>44.939216458660773</v>
      </c>
      <c r="C304" s="7">
        <v>0.36816524908869985</v>
      </c>
      <c r="E304">
        <v>44.939216458660773</v>
      </c>
      <c r="F304">
        <f t="shared" si="4"/>
        <v>0.36816524908869985</v>
      </c>
    </row>
    <row r="305" spans="1:6" ht="120" x14ac:dyDescent="0.25">
      <c r="A305" s="4" t="s">
        <v>3661</v>
      </c>
      <c r="B305">
        <v>45.009914725780668</v>
      </c>
      <c r="C305" s="7">
        <v>0.36938031591737547</v>
      </c>
      <c r="E305">
        <v>45.009914725780668</v>
      </c>
      <c r="F305">
        <f t="shared" si="4"/>
        <v>0.36938031591737547</v>
      </c>
    </row>
    <row r="306" spans="1:6" ht="120" x14ac:dyDescent="0.25">
      <c r="A306" s="4" t="s">
        <v>3700</v>
      </c>
      <c r="B306">
        <v>45.138305175511931</v>
      </c>
      <c r="C306" s="7">
        <v>0.37059538274605103</v>
      </c>
      <c r="E306">
        <v>45.138305175511931</v>
      </c>
      <c r="F306">
        <f t="shared" si="4"/>
        <v>0.37059538274605103</v>
      </c>
    </row>
    <row r="307" spans="1:6" ht="105" x14ac:dyDescent="0.25">
      <c r="A307" s="4" t="s">
        <v>3628</v>
      </c>
      <c r="B307">
        <v>45.378190131991516</v>
      </c>
      <c r="C307" s="7">
        <v>0.37181044957472659</v>
      </c>
      <c r="E307">
        <v>45.378190131991516</v>
      </c>
      <c r="F307">
        <f t="shared" si="4"/>
        <v>0.37181044957472659</v>
      </c>
    </row>
    <row r="308" spans="1:6" ht="105" x14ac:dyDescent="0.25">
      <c r="A308" s="4" t="s">
        <v>3564</v>
      </c>
      <c r="B308">
        <v>45.470579772783815</v>
      </c>
      <c r="C308" s="7">
        <v>0.3730255164034022</v>
      </c>
      <c r="E308">
        <v>45.470579772783815</v>
      </c>
      <c r="F308">
        <f t="shared" si="4"/>
        <v>0.3730255164034022</v>
      </c>
    </row>
    <row r="309" spans="1:6" ht="120" x14ac:dyDescent="0.25">
      <c r="A309" s="4" t="s">
        <v>3615</v>
      </c>
      <c r="B309">
        <v>45.517930263209777</v>
      </c>
      <c r="C309" s="7">
        <v>0.37424058323207776</v>
      </c>
      <c r="E309">
        <v>45.517930263209777</v>
      </c>
      <c r="F309">
        <f t="shared" si="4"/>
        <v>0.37424058323207776</v>
      </c>
    </row>
    <row r="310" spans="1:6" ht="105" x14ac:dyDescent="0.25">
      <c r="A310" s="4" t="s">
        <v>3734</v>
      </c>
      <c r="B310">
        <v>45.564068026107137</v>
      </c>
      <c r="C310" s="7">
        <v>0.37545565006075332</v>
      </c>
      <c r="E310">
        <v>45.564068026107137</v>
      </c>
      <c r="F310">
        <f t="shared" si="4"/>
        <v>0.37545565006075332</v>
      </c>
    </row>
    <row r="311" spans="1:6" ht="105" x14ac:dyDescent="0.25">
      <c r="A311" s="4" t="s">
        <v>3401</v>
      </c>
      <c r="B311">
        <v>45.61012561144134</v>
      </c>
      <c r="C311" s="7">
        <v>0.37667071688942894</v>
      </c>
      <c r="E311">
        <v>45.61012561144134</v>
      </c>
      <c r="F311">
        <f t="shared" si="4"/>
        <v>0.37667071688942894</v>
      </c>
    </row>
    <row r="312" spans="1:6" ht="105" x14ac:dyDescent="0.25">
      <c r="A312" s="4" t="s">
        <v>3142</v>
      </c>
      <c r="B312">
        <v>45.664143591581862</v>
      </c>
      <c r="C312" s="7">
        <v>0.3778857837181045</v>
      </c>
      <c r="E312">
        <v>45.664143591581862</v>
      </c>
      <c r="F312">
        <f t="shared" si="4"/>
        <v>0.3778857837181045</v>
      </c>
    </row>
    <row r="313" spans="1:6" ht="105" x14ac:dyDescent="0.25">
      <c r="A313" s="4" t="s">
        <v>3272</v>
      </c>
      <c r="B313">
        <v>45.817623111603027</v>
      </c>
      <c r="C313" s="7">
        <v>0.37910085054678005</v>
      </c>
      <c r="E313">
        <v>45.817623111603027</v>
      </c>
      <c r="F313">
        <f t="shared" si="4"/>
        <v>0.37910085054678005</v>
      </c>
    </row>
    <row r="314" spans="1:6" ht="105" x14ac:dyDescent="0.25">
      <c r="A314" s="4" t="s">
        <v>3613</v>
      </c>
      <c r="B314">
        <v>45.825834090998782</v>
      </c>
      <c r="C314" s="7">
        <v>0.38031591737545567</v>
      </c>
      <c r="E314">
        <v>45.825834090998782</v>
      </c>
      <c r="F314">
        <f t="shared" si="4"/>
        <v>0.38031591737545567</v>
      </c>
    </row>
    <row r="315" spans="1:6" ht="105" x14ac:dyDescent="0.25">
      <c r="A315" s="4" t="s">
        <v>3686</v>
      </c>
      <c r="B315">
        <v>45.853124999999999</v>
      </c>
      <c r="C315" s="7">
        <v>0.38153098420413123</v>
      </c>
      <c r="E315">
        <v>45.853124999999999</v>
      </c>
      <c r="F315">
        <f t="shared" si="4"/>
        <v>0.38153098420413123</v>
      </c>
    </row>
    <row r="316" spans="1:6" ht="120" x14ac:dyDescent="0.25">
      <c r="A316" s="4" t="s">
        <v>3687</v>
      </c>
      <c r="B316">
        <v>45.97175143285191</v>
      </c>
      <c r="C316" s="7">
        <v>0.38274605103280679</v>
      </c>
      <c r="E316">
        <v>45.97175143285191</v>
      </c>
      <c r="F316">
        <f t="shared" si="4"/>
        <v>0.38274605103280679</v>
      </c>
    </row>
    <row r="317" spans="1:6" ht="120" x14ac:dyDescent="0.25">
      <c r="A317" s="4" t="s">
        <v>3423</v>
      </c>
      <c r="B317">
        <v>45.991350593473172</v>
      </c>
      <c r="C317" s="7">
        <v>0.3839611178614824</v>
      </c>
      <c r="E317">
        <v>45.991350593473172</v>
      </c>
      <c r="F317">
        <f t="shared" si="4"/>
        <v>0.3839611178614824</v>
      </c>
    </row>
    <row r="318" spans="1:6" ht="120" x14ac:dyDescent="0.25">
      <c r="A318" s="4" t="s">
        <v>3553</v>
      </c>
      <c r="B318">
        <v>46.019304830625344</v>
      </c>
      <c r="C318" s="7">
        <v>0.38517618469015796</v>
      </c>
      <c r="E318">
        <v>46.019304830625344</v>
      </c>
      <c r="F318">
        <f t="shared" si="4"/>
        <v>0.38517618469015796</v>
      </c>
    </row>
    <row r="319" spans="1:6" ht="105" x14ac:dyDescent="0.25">
      <c r="A319" s="4" t="s">
        <v>3669</v>
      </c>
      <c r="B319">
        <v>46.045152640721227</v>
      </c>
      <c r="C319" s="7">
        <v>0.38639125151883352</v>
      </c>
      <c r="E319">
        <v>46.045152640721227</v>
      </c>
      <c r="F319">
        <f t="shared" si="4"/>
        <v>0.38639125151883352</v>
      </c>
    </row>
    <row r="320" spans="1:6" ht="120" x14ac:dyDescent="0.25">
      <c r="A320" s="4" t="s">
        <v>3631</v>
      </c>
      <c r="B320">
        <v>46.055760591922052</v>
      </c>
      <c r="C320" s="7">
        <v>0.38760631834750914</v>
      </c>
      <c r="E320">
        <v>46.055760591922052</v>
      </c>
      <c r="F320">
        <f t="shared" si="4"/>
        <v>0.38760631834750914</v>
      </c>
    </row>
    <row r="321" spans="1:6" ht="105" x14ac:dyDescent="0.25">
      <c r="A321" s="4" t="s">
        <v>3212</v>
      </c>
      <c r="B321">
        <v>46.114602488120418</v>
      </c>
      <c r="C321" s="7">
        <v>0.3888213851761847</v>
      </c>
      <c r="E321">
        <v>46.114602488120418</v>
      </c>
      <c r="F321">
        <f t="shared" si="4"/>
        <v>0.3888213851761847</v>
      </c>
    </row>
    <row r="322" spans="1:6" ht="120" x14ac:dyDescent="0.25">
      <c r="A322" s="4" t="s">
        <v>3495</v>
      </c>
      <c r="B322">
        <v>46.278970860450627</v>
      </c>
      <c r="C322" s="7">
        <v>0.39003645200486026</v>
      </c>
      <c r="E322">
        <v>46.278970860450627</v>
      </c>
      <c r="F322">
        <f t="shared" si="4"/>
        <v>0.39003645200486026</v>
      </c>
    </row>
    <row r="323" spans="1:6" ht="120" x14ac:dyDescent="0.25">
      <c r="A323" s="4" t="s">
        <v>3609</v>
      </c>
      <c r="B323">
        <v>46.319009553816144</v>
      </c>
      <c r="C323" s="7">
        <v>0.39125151883353587</v>
      </c>
      <c r="E323">
        <v>46.319009553816144</v>
      </c>
      <c r="F323">
        <f t="shared" ref="F323:F386" si="5">_xlfn.RANK.EQ(E323,$E$2:$E$824,1)/COUNT($E$2:$E$824)</f>
        <v>0.39125151883353587</v>
      </c>
    </row>
    <row r="324" spans="1:6" ht="105" x14ac:dyDescent="0.25">
      <c r="A324" s="4" t="s">
        <v>3629</v>
      </c>
      <c r="B324">
        <v>46.400373877221575</v>
      </c>
      <c r="C324" s="7">
        <v>0.39246658566221143</v>
      </c>
      <c r="E324">
        <v>46.400373877221575</v>
      </c>
      <c r="F324">
        <f t="shared" si="5"/>
        <v>0.39246658566221143</v>
      </c>
    </row>
    <row r="325" spans="1:6" ht="105" x14ac:dyDescent="0.25">
      <c r="A325" s="4" t="s">
        <v>3758</v>
      </c>
      <c r="B325">
        <v>46.437532407025159</v>
      </c>
      <c r="C325" s="7">
        <v>0.39368165249088699</v>
      </c>
      <c r="E325">
        <v>46.437532407025159</v>
      </c>
      <c r="F325">
        <f t="shared" si="5"/>
        <v>0.39368165249088699</v>
      </c>
    </row>
    <row r="326" spans="1:6" ht="120" x14ac:dyDescent="0.25">
      <c r="A326" s="4" t="s">
        <v>3723</v>
      </c>
      <c r="B326">
        <v>46.7606310028754</v>
      </c>
      <c r="C326" s="7">
        <v>0.39489671931956255</v>
      </c>
      <c r="E326">
        <v>46.7606310028754</v>
      </c>
      <c r="F326">
        <f t="shared" si="5"/>
        <v>0.39489671931956255</v>
      </c>
    </row>
    <row r="327" spans="1:6" ht="105" x14ac:dyDescent="0.25">
      <c r="A327" s="4" t="s">
        <v>3506</v>
      </c>
      <c r="B327">
        <v>46.76428571428572</v>
      </c>
      <c r="C327" s="7">
        <v>0.39611178614823817</v>
      </c>
      <c r="E327">
        <v>46.76428571428572</v>
      </c>
      <c r="F327">
        <f t="shared" si="5"/>
        <v>0.39611178614823817</v>
      </c>
    </row>
    <row r="328" spans="1:6" ht="120" x14ac:dyDescent="0.25">
      <c r="A328" s="4" t="s">
        <v>3643</v>
      </c>
      <c r="B328">
        <v>46.981993501327494</v>
      </c>
      <c r="C328" s="7">
        <v>0.39732685297691372</v>
      </c>
      <c r="E328">
        <v>46.981993501327494</v>
      </c>
      <c r="F328">
        <f t="shared" si="5"/>
        <v>0.39732685297691372</v>
      </c>
    </row>
    <row r="329" spans="1:6" ht="120" x14ac:dyDescent="0.25">
      <c r="A329" s="4" t="s">
        <v>3681</v>
      </c>
      <c r="B329">
        <v>47.008902726662889</v>
      </c>
      <c r="C329" s="7">
        <v>0.39854191980558928</v>
      </c>
      <c r="E329">
        <v>47.008902726662889</v>
      </c>
      <c r="F329">
        <f t="shared" si="5"/>
        <v>0.39854191980558928</v>
      </c>
    </row>
    <row r="330" spans="1:6" ht="120" x14ac:dyDescent="0.25">
      <c r="A330" s="4" t="s">
        <v>3626</v>
      </c>
      <c r="B330">
        <v>47.162909274848658</v>
      </c>
      <c r="C330" s="7">
        <v>0.3997569866342649</v>
      </c>
      <c r="E330">
        <v>47.162909274848658</v>
      </c>
      <c r="F330">
        <f t="shared" si="5"/>
        <v>0.3997569866342649</v>
      </c>
    </row>
    <row r="331" spans="1:6" ht="105" x14ac:dyDescent="0.25">
      <c r="A331" s="4" t="s">
        <v>3196</v>
      </c>
      <c r="B331">
        <v>47.176331964440038</v>
      </c>
      <c r="C331" s="7">
        <v>0.40097205346294046</v>
      </c>
      <c r="E331">
        <v>47.176331964440038</v>
      </c>
      <c r="F331">
        <f t="shared" si="5"/>
        <v>0.40097205346294046</v>
      </c>
    </row>
    <row r="332" spans="1:6" ht="105" x14ac:dyDescent="0.25">
      <c r="A332" s="4" t="s">
        <v>3679</v>
      </c>
      <c r="B332">
        <v>47.20228883547933</v>
      </c>
      <c r="C332" s="7">
        <v>0.40218712029161602</v>
      </c>
      <c r="E332">
        <v>47.20228883547933</v>
      </c>
      <c r="F332">
        <f t="shared" si="5"/>
        <v>0.40218712029161602</v>
      </c>
    </row>
    <row r="333" spans="1:6" ht="105" x14ac:dyDescent="0.25">
      <c r="A333" s="4" t="s">
        <v>3716</v>
      </c>
      <c r="B333">
        <v>47.22795736076872</v>
      </c>
      <c r="C333" s="7">
        <v>0.40340218712029163</v>
      </c>
      <c r="E333">
        <v>47.22795736076872</v>
      </c>
      <c r="F333">
        <f t="shared" si="5"/>
        <v>0.40340218712029163</v>
      </c>
    </row>
    <row r="334" spans="1:6" ht="105" x14ac:dyDescent="0.25">
      <c r="A334" s="4" t="s">
        <v>3439</v>
      </c>
      <c r="B334">
        <v>47.302478051407853</v>
      </c>
      <c r="C334" s="7">
        <v>0.40461725394896719</v>
      </c>
      <c r="E334">
        <v>47.302478051407853</v>
      </c>
      <c r="F334">
        <f t="shared" si="5"/>
        <v>0.40461725394896719</v>
      </c>
    </row>
    <row r="335" spans="1:6" ht="120" x14ac:dyDescent="0.25">
      <c r="A335" s="4" t="s">
        <v>3577</v>
      </c>
      <c r="B335">
        <v>47.418672418696126</v>
      </c>
      <c r="C335" s="7">
        <v>0.40583232077764275</v>
      </c>
      <c r="E335">
        <v>47.418672418696126</v>
      </c>
      <c r="F335">
        <f t="shared" si="5"/>
        <v>0.40583232077764275</v>
      </c>
    </row>
    <row r="336" spans="1:6" ht="120" x14ac:dyDescent="0.25">
      <c r="A336" s="4" t="s">
        <v>3744</v>
      </c>
      <c r="B336">
        <v>47.43216489932793</v>
      </c>
      <c r="C336" s="7">
        <v>0.40704738760631837</v>
      </c>
      <c r="E336">
        <v>47.43216489932793</v>
      </c>
      <c r="F336">
        <f t="shared" si="5"/>
        <v>0.40704738760631837</v>
      </c>
    </row>
    <row r="337" spans="1:6" ht="90" x14ac:dyDescent="0.25">
      <c r="A337" s="4" t="s">
        <v>3698</v>
      </c>
      <c r="B337">
        <v>47.433794721773175</v>
      </c>
      <c r="C337" s="7">
        <v>0.40826245443499393</v>
      </c>
      <c r="E337">
        <v>47.433794721773175</v>
      </c>
      <c r="F337">
        <f t="shared" si="5"/>
        <v>0.40826245443499393</v>
      </c>
    </row>
    <row r="338" spans="1:6" ht="105" x14ac:dyDescent="0.25">
      <c r="A338" s="4" t="s">
        <v>3250</v>
      </c>
      <c r="B338">
        <v>47.439333333333337</v>
      </c>
      <c r="C338" s="7">
        <v>0.40947752126366949</v>
      </c>
      <c r="E338">
        <v>47.439333333333337</v>
      </c>
      <c r="F338">
        <f t="shared" si="5"/>
        <v>0.40947752126366949</v>
      </c>
    </row>
    <row r="339" spans="1:6" ht="120" x14ac:dyDescent="0.25">
      <c r="A339" s="4" t="s">
        <v>3559</v>
      </c>
      <c r="B339">
        <v>47.463295977686826</v>
      </c>
      <c r="C339" s="7">
        <v>0.4106925880923451</v>
      </c>
      <c r="E339">
        <v>47.463295977686826</v>
      </c>
      <c r="F339">
        <f t="shared" si="5"/>
        <v>0.4106925880923451</v>
      </c>
    </row>
    <row r="340" spans="1:6" ht="120" x14ac:dyDescent="0.25">
      <c r="A340" s="4" t="s">
        <v>3673</v>
      </c>
      <c r="B340">
        <v>47.466848720636712</v>
      </c>
      <c r="C340" s="7">
        <v>0.41190765492102066</v>
      </c>
      <c r="E340">
        <v>47.466848720636712</v>
      </c>
      <c r="F340">
        <f t="shared" si="5"/>
        <v>0.41190765492102066</v>
      </c>
    </row>
    <row r="341" spans="1:6" ht="120" x14ac:dyDescent="0.25">
      <c r="A341" s="4" t="s">
        <v>3727</v>
      </c>
      <c r="B341">
        <v>47.494374999999998</v>
      </c>
      <c r="C341" s="7">
        <v>0.41312272174969622</v>
      </c>
      <c r="E341">
        <v>47.494374999999998</v>
      </c>
      <c r="F341">
        <f t="shared" si="5"/>
        <v>0.41312272174969622</v>
      </c>
    </row>
    <row r="342" spans="1:6" ht="105" x14ac:dyDescent="0.25">
      <c r="A342" s="4" t="s">
        <v>3606</v>
      </c>
      <c r="B342">
        <v>47.506647681844932</v>
      </c>
      <c r="C342" s="7">
        <v>0.41433778857837184</v>
      </c>
      <c r="E342">
        <v>47.506647681844932</v>
      </c>
      <c r="F342">
        <f t="shared" si="5"/>
        <v>0.41433778857837184</v>
      </c>
    </row>
    <row r="343" spans="1:6" ht="120" x14ac:dyDescent="0.25">
      <c r="A343" s="4" t="s">
        <v>3585</v>
      </c>
      <c r="B343">
        <v>47.554968194711272</v>
      </c>
      <c r="C343" s="7">
        <v>0.41555285540704739</v>
      </c>
      <c r="E343">
        <v>47.554968194711272</v>
      </c>
      <c r="F343">
        <f t="shared" si="5"/>
        <v>0.41555285540704739</v>
      </c>
    </row>
    <row r="344" spans="1:6" ht="120" x14ac:dyDescent="0.25">
      <c r="A344" s="4" t="s">
        <v>3136</v>
      </c>
      <c r="B344">
        <v>47.601563353895635</v>
      </c>
      <c r="C344" s="7">
        <v>0.41676792223572295</v>
      </c>
      <c r="E344">
        <v>47.601563353895635</v>
      </c>
      <c r="F344">
        <f t="shared" si="5"/>
        <v>0.41676792223572295</v>
      </c>
    </row>
    <row r="345" spans="1:6" ht="105" x14ac:dyDescent="0.25">
      <c r="A345" s="4" t="s">
        <v>3479</v>
      </c>
      <c r="B345">
        <v>47.712305879531826</v>
      </c>
      <c r="C345" s="7">
        <v>0.41798298906439857</v>
      </c>
      <c r="E345">
        <v>47.712305879531826</v>
      </c>
      <c r="F345">
        <f t="shared" si="5"/>
        <v>0.41798298906439857</v>
      </c>
    </row>
    <row r="346" spans="1:6" ht="90" x14ac:dyDescent="0.25">
      <c r="A346" s="4" t="s">
        <v>3554</v>
      </c>
      <c r="B346">
        <v>47.740045822571673</v>
      </c>
      <c r="C346" s="7">
        <v>0.41919805589307413</v>
      </c>
      <c r="E346">
        <v>47.740045822571673</v>
      </c>
      <c r="F346">
        <f t="shared" si="5"/>
        <v>0.41919805589307413</v>
      </c>
    </row>
    <row r="347" spans="1:6" ht="120" x14ac:dyDescent="0.25">
      <c r="A347" s="4" t="s">
        <v>3655</v>
      </c>
      <c r="B347">
        <v>47.742663254355989</v>
      </c>
      <c r="C347" s="7">
        <v>0.42041312272174969</v>
      </c>
      <c r="E347">
        <v>47.742663254355989</v>
      </c>
      <c r="F347">
        <f t="shared" si="5"/>
        <v>0.42041312272174969</v>
      </c>
    </row>
    <row r="348" spans="1:6" ht="120" x14ac:dyDescent="0.25">
      <c r="A348" s="4" t="s">
        <v>3328</v>
      </c>
      <c r="B348">
        <v>47.771779654557939</v>
      </c>
      <c r="C348" s="7">
        <v>0.42162818955042525</v>
      </c>
      <c r="E348">
        <v>47.771779654557939</v>
      </c>
      <c r="F348">
        <f t="shared" si="5"/>
        <v>0.42162818955042525</v>
      </c>
    </row>
    <row r="349" spans="1:6" ht="120" x14ac:dyDescent="0.25">
      <c r="A349" s="4" t="s">
        <v>3747</v>
      </c>
      <c r="B349">
        <v>47.817231454466679</v>
      </c>
      <c r="C349" s="7">
        <v>0.42284325637910086</v>
      </c>
      <c r="E349">
        <v>47.817231454466679</v>
      </c>
      <c r="F349">
        <f t="shared" si="5"/>
        <v>0.42284325637910086</v>
      </c>
    </row>
    <row r="350" spans="1:6" ht="120" x14ac:dyDescent="0.25">
      <c r="A350" s="4" t="s">
        <v>3403</v>
      </c>
      <c r="B350">
        <v>47.8441811089249</v>
      </c>
      <c r="C350" s="7">
        <v>0.42405832320777642</v>
      </c>
      <c r="E350">
        <v>47.8441811089249</v>
      </c>
      <c r="F350">
        <f t="shared" si="5"/>
        <v>0.42405832320777642</v>
      </c>
    </row>
    <row r="351" spans="1:6" ht="105" x14ac:dyDescent="0.25">
      <c r="A351" s="4" t="s">
        <v>3451</v>
      </c>
      <c r="B351">
        <v>47.864165233643355</v>
      </c>
      <c r="C351" s="7">
        <v>0.42527339003645198</v>
      </c>
      <c r="E351">
        <v>47.864165233643355</v>
      </c>
      <c r="F351">
        <f t="shared" si="5"/>
        <v>0.42527339003645198</v>
      </c>
    </row>
    <row r="352" spans="1:6" ht="120" x14ac:dyDescent="0.25">
      <c r="A352" s="4" t="s">
        <v>3116</v>
      </c>
      <c r="B352">
        <v>47.956439376137283</v>
      </c>
      <c r="C352" s="7">
        <v>0.4264884568651276</v>
      </c>
      <c r="E352">
        <v>47.956439376137283</v>
      </c>
      <c r="F352">
        <f t="shared" si="5"/>
        <v>0.4264884568651276</v>
      </c>
    </row>
    <row r="353" spans="1:6" ht="105" x14ac:dyDescent="0.25">
      <c r="A353" s="4" t="s">
        <v>3684</v>
      </c>
      <c r="B353">
        <v>47.964678562567158</v>
      </c>
      <c r="C353" s="7">
        <v>0.42770352369380316</v>
      </c>
      <c r="E353">
        <v>47.964678562567158</v>
      </c>
      <c r="F353">
        <f t="shared" si="5"/>
        <v>0.42770352369380316</v>
      </c>
    </row>
    <row r="354" spans="1:6" ht="105" x14ac:dyDescent="0.25">
      <c r="A354" s="4" t="s">
        <v>3294</v>
      </c>
      <c r="B354">
        <v>47.976552279160714</v>
      </c>
      <c r="C354" s="7">
        <v>0.42891859052247872</v>
      </c>
      <c r="E354">
        <v>47.976552279160714</v>
      </c>
      <c r="F354">
        <f t="shared" si="5"/>
        <v>0.42891859052247872</v>
      </c>
    </row>
    <row r="355" spans="1:6" ht="90" x14ac:dyDescent="0.25">
      <c r="A355" s="4" t="s">
        <v>3658</v>
      </c>
      <c r="B355">
        <v>47.987085332872581</v>
      </c>
      <c r="C355" s="7">
        <v>0.43013365735115433</v>
      </c>
      <c r="E355">
        <v>47.987085332872581</v>
      </c>
      <c r="F355">
        <f t="shared" si="5"/>
        <v>0.43013365735115433</v>
      </c>
    </row>
    <row r="356" spans="1:6" ht="90" x14ac:dyDescent="0.25">
      <c r="A356" s="4" t="s">
        <v>3689</v>
      </c>
      <c r="B356">
        <v>48.000077795521001</v>
      </c>
      <c r="C356" s="7">
        <v>0.43134872417982989</v>
      </c>
      <c r="E356">
        <v>48.000077795521001</v>
      </c>
      <c r="F356">
        <f t="shared" si="5"/>
        <v>0.43134872417982989</v>
      </c>
    </row>
    <row r="357" spans="1:6" ht="105" x14ac:dyDescent="0.25">
      <c r="A357" s="4" t="s">
        <v>3759</v>
      </c>
      <c r="B357">
        <v>48.100458158853073</v>
      </c>
      <c r="C357" s="7">
        <v>0.43256379100850545</v>
      </c>
      <c r="E357">
        <v>48.100458158853073</v>
      </c>
      <c r="F357">
        <f t="shared" si="5"/>
        <v>0.43256379100850545</v>
      </c>
    </row>
    <row r="358" spans="1:6" ht="90" x14ac:dyDescent="0.25">
      <c r="A358" s="4" t="s">
        <v>3783</v>
      </c>
      <c r="B358">
        <v>48.122741249301477</v>
      </c>
      <c r="C358" s="7">
        <v>0.43377885783718106</v>
      </c>
      <c r="E358">
        <v>48.122741249301477</v>
      </c>
      <c r="F358">
        <f t="shared" si="5"/>
        <v>0.43377885783718106</v>
      </c>
    </row>
    <row r="359" spans="1:6" ht="90" x14ac:dyDescent="0.25">
      <c r="A359" s="4" t="s">
        <v>3666</v>
      </c>
      <c r="B359">
        <v>48.125333333333337</v>
      </c>
      <c r="C359" s="7">
        <v>0.43499392466585662</v>
      </c>
      <c r="E359">
        <v>48.125333333333337</v>
      </c>
      <c r="F359">
        <f t="shared" si="5"/>
        <v>0.43499392466585662</v>
      </c>
    </row>
    <row r="360" spans="1:6" ht="105" x14ac:dyDescent="0.25">
      <c r="A360" s="4" t="s">
        <v>3670</v>
      </c>
      <c r="B360">
        <v>48.213004864125296</v>
      </c>
      <c r="C360" s="7">
        <v>0.43620899149453218</v>
      </c>
      <c r="E360">
        <v>48.213004864125296</v>
      </c>
      <c r="F360">
        <f t="shared" si="5"/>
        <v>0.43620899149453218</v>
      </c>
    </row>
    <row r="361" spans="1:6" ht="105" x14ac:dyDescent="0.25">
      <c r="A361" s="4" t="s">
        <v>3570</v>
      </c>
      <c r="B361">
        <v>48.300979841169074</v>
      </c>
      <c r="C361" s="7">
        <v>0.4374240583232078</v>
      </c>
      <c r="E361">
        <v>48.300979841169074</v>
      </c>
      <c r="F361">
        <f t="shared" si="5"/>
        <v>0.4374240583232078</v>
      </c>
    </row>
    <row r="362" spans="1:6" ht="90" x14ac:dyDescent="0.25">
      <c r="A362" s="4" t="s">
        <v>3843</v>
      </c>
      <c r="B362">
        <v>48.426935348284125</v>
      </c>
      <c r="C362" s="7">
        <v>0.43863912515188336</v>
      </c>
      <c r="E362">
        <v>48.426935348284125</v>
      </c>
      <c r="F362">
        <f t="shared" si="5"/>
        <v>0.43863912515188336</v>
      </c>
    </row>
    <row r="363" spans="1:6" ht="105" x14ac:dyDescent="0.25">
      <c r="A363" s="4" t="s">
        <v>3385</v>
      </c>
      <c r="B363">
        <v>48.434487132675514</v>
      </c>
      <c r="C363" s="7">
        <v>0.43985419198055892</v>
      </c>
      <c r="E363">
        <v>48.434487132675514</v>
      </c>
      <c r="F363">
        <f t="shared" si="5"/>
        <v>0.43985419198055892</v>
      </c>
    </row>
    <row r="364" spans="1:6" ht="120" x14ac:dyDescent="0.25">
      <c r="A364" s="4" t="s">
        <v>3785</v>
      </c>
      <c r="B364">
        <v>48.487616471104772</v>
      </c>
      <c r="C364" s="7">
        <v>0.44106925880923453</v>
      </c>
      <c r="E364">
        <v>48.487616471104772</v>
      </c>
      <c r="F364">
        <f t="shared" si="5"/>
        <v>0.44106925880923453</v>
      </c>
    </row>
    <row r="365" spans="1:6" ht="105" x14ac:dyDescent="0.25">
      <c r="A365" s="4" t="s">
        <v>3421</v>
      </c>
      <c r="B365">
        <v>48.543650477562593</v>
      </c>
      <c r="C365" s="7">
        <v>0.44228432563791009</v>
      </c>
      <c r="E365">
        <v>48.543650477562593</v>
      </c>
      <c r="F365">
        <f t="shared" si="5"/>
        <v>0.44228432563791009</v>
      </c>
    </row>
    <row r="366" spans="1:6" ht="105" x14ac:dyDescent="0.25">
      <c r="A366" s="4" t="s">
        <v>3453</v>
      </c>
      <c r="B366">
        <v>48.559980540785411</v>
      </c>
      <c r="C366" s="7">
        <v>0.44349939246658565</v>
      </c>
      <c r="E366">
        <v>48.559980540785411</v>
      </c>
      <c r="F366">
        <f t="shared" si="5"/>
        <v>0.44349939246658565</v>
      </c>
    </row>
    <row r="367" spans="1:6" ht="105" x14ac:dyDescent="0.25">
      <c r="A367" s="4" t="s">
        <v>3737</v>
      </c>
      <c r="B367">
        <v>48.581118866043838</v>
      </c>
      <c r="C367" s="7">
        <v>0.44471445929526127</v>
      </c>
      <c r="E367">
        <v>48.581118866043838</v>
      </c>
      <c r="F367">
        <f t="shared" si="5"/>
        <v>0.44471445929526127</v>
      </c>
    </row>
    <row r="368" spans="1:6" ht="120" x14ac:dyDescent="0.25">
      <c r="A368" s="4" t="s">
        <v>3587</v>
      </c>
      <c r="B368">
        <v>48.760121299283895</v>
      </c>
      <c r="C368" s="7">
        <v>0.44592952612393683</v>
      </c>
      <c r="E368">
        <v>48.760121299283895</v>
      </c>
      <c r="F368">
        <f t="shared" si="5"/>
        <v>0.44592952612393683</v>
      </c>
    </row>
    <row r="369" spans="1:6" ht="120" x14ac:dyDescent="0.25">
      <c r="A369" s="4" t="s">
        <v>3751</v>
      </c>
      <c r="B369">
        <v>48.797745282086382</v>
      </c>
      <c r="C369" s="7">
        <v>0.44714459295261239</v>
      </c>
      <c r="E369">
        <v>48.797745282086382</v>
      </c>
      <c r="F369">
        <f t="shared" si="5"/>
        <v>0.44714459295261239</v>
      </c>
    </row>
    <row r="370" spans="1:6" ht="90" x14ac:dyDescent="0.25">
      <c r="A370" s="4" t="s">
        <v>3767</v>
      </c>
      <c r="B370">
        <v>48.932874705284547</v>
      </c>
      <c r="C370" s="7">
        <v>0.44835965978128794</v>
      </c>
      <c r="E370">
        <v>48.932874705284547</v>
      </c>
      <c r="F370">
        <f t="shared" si="5"/>
        <v>0.44835965978128794</v>
      </c>
    </row>
    <row r="371" spans="1:6" ht="90" x14ac:dyDescent="0.25">
      <c r="A371" s="4" t="s">
        <v>3743</v>
      </c>
      <c r="B371">
        <v>48.985998197113318</v>
      </c>
      <c r="C371" s="7">
        <v>0.44957472660996356</v>
      </c>
      <c r="E371">
        <v>48.985998197113318</v>
      </c>
      <c r="F371">
        <f t="shared" si="5"/>
        <v>0.44957472660996356</v>
      </c>
    </row>
    <row r="372" spans="1:6" ht="120" x14ac:dyDescent="0.25">
      <c r="A372" s="4" t="s">
        <v>3298</v>
      </c>
      <c r="B372">
        <v>49.037034526862243</v>
      </c>
      <c r="C372" s="7">
        <v>0.45078979343863912</v>
      </c>
      <c r="E372">
        <v>49.037034526862243</v>
      </c>
      <c r="F372">
        <f t="shared" si="5"/>
        <v>0.45078979343863912</v>
      </c>
    </row>
    <row r="373" spans="1:6" ht="90" x14ac:dyDescent="0.25">
      <c r="A373" s="4" t="s">
        <v>3772</v>
      </c>
      <c r="B373">
        <v>49.041916060471706</v>
      </c>
      <c r="C373" s="7">
        <v>0.45200486026731468</v>
      </c>
      <c r="E373">
        <v>49.041916060471706</v>
      </c>
      <c r="F373">
        <f t="shared" si="5"/>
        <v>0.45200486026731468</v>
      </c>
    </row>
    <row r="374" spans="1:6" ht="120" x14ac:dyDescent="0.25">
      <c r="A374" s="4" t="s">
        <v>3647</v>
      </c>
      <c r="B374">
        <v>49.081953487744109</v>
      </c>
      <c r="C374" s="7">
        <v>0.45321992709599029</v>
      </c>
      <c r="E374">
        <v>49.081953487744109</v>
      </c>
      <c r="F374">
        <f t="shared" si="5"/>
        <v>0.45321992709599029</v>
      </c>
    </row>
    <row r="375" spans="1:6" ht="105" x14ac:dyDescent="0.25">
      <c r="A375" s="4" t="s">
        <v>3662</v>
      </c>
      <c r="B375">
        <v>49.08830541964106</v>
      </c>
      <c r="C375" s="7">
        <v>0.45443499392466585</v>
      </c>
      <c r="E375">
        <v>49.08830541964106</v>
      </c>
      <c r="F375">
        <f t="shared" si="5"/>
        <v>0.45443499392466585</v>
      </c>
    </row>
    <row r="376" spans="1:6" ht="105" x14ac:dyDescent="0.25">
      <c r="A376" s="4" t="s">
        <v>3592</v>
      </c>
      <c r="B376">
        <v>49.162690499308532</v>
      </c>
      <c r="C376" s="7">
        <v>0.45565006075334141</v>
      </c>
      <c r="E376">
        <v>49.162690499308532</v>
      </c>
      <c r="F376">
        <f t="shared" si="5"/>
        <v>0.45565006075334141</v>
      </c>
    </row>
    <row r="377" spans="1:6" ht="105" x14ac:dyDescent="0.25">
      <c r="A377" s="4" t="s">
        <v>3413</v>
      </c>
      <c r="B377">
        <v>49.228686763256071</v>
      </c>
      <c r="C377" s="7">
        <v>0.45686512758201703</v>
      </c>
      <c r="E377">
        <v>49.228686763256071</v>
      </c>
      <c r="F377">
        <f t="shared" si="5"/>
        <v>0.45686512758201703</v>
      </c>
    </row>
    <row r="378" spans="1:6" ht="105" x14ac:dyDescent="0.25">
      <c r="A378" s="4" t="s">
        <v>3583</v>
      </c>
      <c r="B378">
        <v>49.238627321089247</v>
      </c>
      <c r="C378" s="7">
        <v>0.45808019441069259</v>
      </c>
      <c r="E378">
        <v>49.238627321089247</v>
      </c>
      <c r="F378">
        <f t="shared" si="5"/>
        <v>0.45808019441069259</v>
      </c>
    </row>
    <row r="379" spans="1:6" ht="105" x14ac:dyDescent="0.25">
      <c r="A379" s="4" t="s">
        <v>3778</v>
      </c>
      <c r="B379">
        <v>49.277175616756949</v>
      </c>
      <c r="C379" s="7">
        <v>0.45929526123936815</v>
      </c>
      <c r="E379">
        <v>49.277175616756949</v>
      </c>
      <c r="F379">
        <f t="shared" si="5"/>
        <v>0.45929526123936815</v>
      </c>
    </row>
    <row r="380" spans="1:6" ht="105" x14ac:dyDescent="0.25">
      <c r="A380" s="4" t="s">
        <v>3710</v>
      </c>
      <c r="B380">
        <v>49.288495702554059</v>
      </c>
      <c r="C380" s="7">
        <v>0.46051032806804376</v>
      </c>
      <c r="E380">
        <v>49.288495702554059</v>
      </c>
      <c r="F380">
        <f t="shared" si="5"/>
        <v>0.46051032806804376</v>
      </c>
    </row>
    <row r="381" spans="1:6" ht="90" x14ac:dyDescent="0.25">
      <c r="A381" s="4" t="s">
        <v>3755</v>
      </c>
      <c r="B381">
        <v>49.471125500312979</v>
      </c>
      <c r="C381" s="7">
        <v>0.46172539489671932</v>
      </c>
      <c r="E381">
        <v>49.471125500312979</v>
      </c>
      <c r="F381">
        <f t="shared" si="5"/>
        <v>0.46172539489671932</v>
      </c>
    </row>
    <row r="382" spans="1:6" ht="120" x14ac:dyDescent="0.25">
      <c r="A382" s="4" t="s">
        <v>3741</v>
      </c>
      <c r="B382">
        <v>49.488956294730045</v>
      </c>
      <c r="C382" s="7">
        <v>0.46294046172539488</v>
      </c>
      <c r="E382">
        <v>49.488956294730045</v>
      </c>
      <c r="F382">
        <f t="shared" si="5"/>
        <v>0.46294046172539488</v>
      </c>
    </row>
    <row r="383" spans="1:6" ht="120" x14ac:dyDescent="0.25">
      <c r="A383" s="4" t="s">
        <v>3525</v>
      </c>
      <c r="B383">
        <v>49.624512230945832</v>
      </c>
      <c r="C383" s="7">
        <v>0.4641555285540705</v>
      </c>
      <c r="E383">
        <v>49.624512230945832</v>
      </c>
      <c r="F383">
        <f t="shared" si="5"/>
        <v>0.4641555285540705</v>
      </c>
    </row>
    <row r="384" spans="1:6" ht="105" x14ac:dyDescent="0.25">
      <c r="A384" s="4" t="s">
        <v>3683</v>
      </c>
      <c r="B384">
        <v>49.669679825997406</v>
      </c>
      <c r="C384" s="7">
        <v>0.46537059538274606</v>
      </c>
      <c r="E384">
        <v>49.669679825997406</v>
      </c>
      <c r="F384">
        <f t="shared" si="5"/>
        <v>0.46537059538274606</v>
      </c>
    </row>
    <row r="385" spans="1:6" ht="105" x14ac:dyDescent="0.25">
      <c r="A385" s="4" t="s">
        <v>3672</v>
      </c>
      <c r="B385">
        <v>49.817794454973388</v>
      </c>
      <c r="C385" s="7">
        <v>0.46658566221142161</v>
      </c>
      <c r="E385">
        <v>49.817794454973388</v>
      </c>
      <c r="F385">
        <f t="shared" si="5"/>
        <v>0.46658566221142161</v>
      </c>
    </row>
    <row r="386" spans="1:6" ht="120" x14ac:dyDescent="0.25">
      <c r="A386" s="4" t="s">
        <v>3711</v>
      </c>
      <c r="B386">
        <v>49.847598983395869</v>
      </c>
      <c r="C386" s="7">
        <v>0.46780072904009723</v>
      </c>
      <c r="E386">
        <v>49.847598983395869</v>
      </c>
      <c r="F386">
        <f t="shared" si="5"/>
        <v>0.46780072904009723</v>
      </c>
    </row>
    <row r="387" spans="1:6" ht="120" x14ac:dyDescent="0.25">
      <c r="A387" s="4" t="s">
        <v>3775</v>
      </c>
      <c r="B387">
        <v>49.852505911542472</v>
      </c>
      <c r="C387" s="7">
        <v>0.46901579586877279</v>
      </c>
      <c r="E387">
        <v>49.852505911542472</v>
      </c>
      <c r="F387">
        <f t="shared" ref="F387:F450" si="6">_xlfn.RANK.EQ(E387,$E$2:$E$824,1)/COUNT($E$2:$E$824)</f>
        <v>0.46901579586877279</v>
      </c>
    </row>
    <row r="388" spans="1:6" ht="90" x14ac:dyDescent="0.25">
      <c r="A388" s="4" t="s">
        <v>3671</v>
      </c>
      <c r="B388">
        <v>49.922102825063277</v>
      </c>
      <c r="C388" s="7">
        <v>0.47023086269744835</v>
      </c>
      <c r="E388">
        <v>49.922102825063277</v>
      </c>
      <c r="F388">
        <f t="shared" si="6"/>
        <v>0.47023086269744835</v>
      </c>
    </row>
    <row r="389" spans="1:6" ht="120" x14ac:dyDescent="0.25">
      <c r="A389" s="4" t="s">
        <v>3696</v>
      </c>
      <c r="B389">
        <v>50.026978194497488</v>
      </c>
      <c r="C389" s="7">
        <v>0.47144592952612396</v>
      </c>
      <c r="E389">
        <v>50.026978194497488</v>
      </c>
      <c r="F389">
        <f t="shared" si="6"/>
        <v>0.47144592952612396</v>
      </c>
    </row>
    <row r="390" spans="1:6" ht="120" x14ac:dyDescent="0.25">
      <c r="A390" s="4" t="s">
        <v>3443</v>
      </c>
      <c r="B390">
        <v>50.115668528091533</v>
      </c>
      <c r="C390" s="7">
        <v>0.47266099635479952</v>
      </c>
      <c r="E390">
        <v>50.115668528091533</v>
      </c>
      <c r="F390">
        <f t="shared" si="6"/>
        <v>0.47266099635479952</v>
      </c>
    </row>
    <row r="391" spans="1:6" ht="120" x14ac:dyDescent="0.25">
      <c r="A391" s="4" t="s">
        <v>3729</v>
      </c>
      <c r="B391">
        <v>50.165853647897009</v>
      </c>
      <c r="C391" s="7">
        <v>0.47387606318347508</v>
      </c>
      <c r="E391">
        <v>50.165853647897009</v>
      </c>
      <c r="F391">
        <f t="shared" si="6"/>
        <v>0.47387606318347508</v>
      </c>
    </row>
    <row r="392" spans="1:6" ht="90" x14ac:dyDescent="0.25">
      <c r="A392" s="4" t="s">
        <v>3771</v>
      </c>
      <c r="B392">
        <v>50.313843919168818</v>
      </c>
      <c r="C392" s="7">
        <v>0.47509113001215064</v>
      </c>
      <c r="E392">
        <v>50.313843919168818</v>
      </c>
      <c r="F392">
        <f t="shared" si="6"/>
        <v>0.47509113001215064</v>
      </c>
    </row>
    <row r="393" spans="1:6" ht="105" x14ac:dyDescent="0.25">
      <c r="A393" s="4" t="s">
        <v>3590</v>
      </c>
      <c r="B393">
        <v>50.379258571665865</v>
      </c>
      <c r="C393" s="7">
        <v>0.47630619684082626</v>
      </c>
      <c r="E393">
        <v>50.379258571665865</v>
      </c>
      <c r="F393">
        <f t="shared" si="6"/>
        <v>0.47630619684082626</v>
      </c>
    </row>
    <row r="394" spans="1:6" ht="105" x14ac:dyDescent="0.25">
      <c r="A394" s="4" t="s">
        <v>3826</v>
      </c>
      <c r="B394">
        <v>50.461082285972601</v>
      </c>
      <c r="C394" s="7">
        <v>0.47752126366950182</v>
      </c>
      <c r="E394">
        <v>50.461082285972601</v>
      </c>
      <c r="F394">
        <f t="shared" si="6"/>
        <v>0.47752126366950182</v>
      </c>
    </row>
    <row r="395" spans="1:6" ht="120" x14ac:dyDescent="0.25">
      <c r="A395" s="4" t="s">
        <v>3735</v>
      </c>
      <c r="B395">
        <v>50.714811126997795</v>
      </c>
      <c r="C395" s="7">
        <v>0.47873633049817738</v>
      </c>
      <c r="E395">
        <v>50.714811126997795</v>
      </c>
      <c r="F395">
        <f t="shared" si="6"/>
        <v>0.47873633049817738</v>
      </c>
    </row>
    <row r="396" spans="1:6" ht="105" x14ac:dyDescent="0.25">
      <c r="A396" s="4" t="s">
        <v>3656</v>
      </c>
      <c r="B396">
        <v>50.729249066103968</v>
      </c>
      <c r="C396" s="7">
        <v>0.47995139732685299</v>
      </c>
      <c r="E396">
        <v>50.729249066103968</v>
      </c>
      <c r="F396">
        <f t="shared" si="6"/>
        <v>0.47995139732685299</v>
      </c>
    </row>
    <row r="397" spans="1:6" ht="105" x14ac:dyDescent="0.25">
      <c r="A397" s="4" t="s">
        <v>3447</v>
      </c>
      <c r="B397">
        <v>50.937880178879688</v>
      </c>
      <c r="C397" s="7">
        <v>0.48116646415552855</v>
      </c>
      <c r="E397">
        <v>50.937880178879688</v>
      </c>
      <c r="F397">
        <f t="shared" si="6"/>
        <v>0.48116646415552855</v>
      </c>
    </row>
    <row r="398" spans="1:6" ht="105" x14ac:dyDescent="0.25">
      <c r="A398" s="4" t="s">
        <v>3505</v>
      </c>
      <c r="B398">
        <v>51.030961193792137</v>
      </c>
      <c r="C398" s="7">
        <v>0.48238153098420411</v>
      </c>
      <c r="E398">
        <v>51.030961193792137</v>
      </c>
      <c r="F398">
        <f t="shared" si="6"/>
        <v>0.48238153098420411</v>
      </c>
    </row>
    <row r="399" spans="1:6" ht="105" x14ac:dyDescent="0.25">
      <c r="A399" s="4" t="s">
        <v>3102</v>
      </c>
      <c r="B399">
        <v>51.034573468380493</v>
      </c>
      <c r="C399" s="7">
        <v>0.48359659781287972</v>
      </c>
      <c r="E399">
        <v>51.034573468380493</v>
      </c>
      <c r="F399">
        <f t="shared" si="6"/>
        <v>0.48359659781287972</v>
      </c>
    </row>
    <row r="400" spans="1:6" ht="105" x14ac:dyDescent="0.25">
      <c r="A400" s="4" t="s">
        <v>3600</v>
      </c>
      <c r="B400">
        <v>51.045632448530647</v>
      </c>
      <c r="C400" s="7">
        <v>0.48481166464155528</v>
      </c>
      <c r="E400">
        <v>51.045632448530647</v>
      </c>
      <c r="F400">
        <f t="shared" si="6"/>
        <v>0.48481166464155528</v>
      </c>
    </row>
    <row r="401" spans="1:6" ht="120" x14ac:dyDescent="0.25">
      <c r="A401" s="4" t="s">
        <v>3156</v>
      </c>
      <c r="B401">
        <v>51.067999999999998</v>
      </c>
      <c r="C401" s="7">
        <v>0.48602673147023084</v>
      </c>
      <c r="E401">
        <v>51.067999999999998</v>
      </c>
      <c r="F401">
        <f t="shared" si="6"/>
        <v>0.48602673147023084</v>
      </c>
    </row>
    <row r="402" spans="1:6" ht="120" x14ac:dyDescent="0.25">
      <c r="A402" s="4" t="s">
        <v>3616</v>
      </c>
      <c r="B402">
        <v>51.223114850270768</v>
      </c>
      <c r="C402" s="7">
        <v>0.48724179829890646</v>
      </c>
      <c r="E402">
        <v>51.223114850270768</v>
      </c>
      <c r="F402">
        <f t="shared" si="6"/>
        <v>0.48724179829890646</v>
      </c>
    </row>
    <row r="403" spans="1:6" ht="105" x14ac:dyDescent="0.25">
      <c r="A403" s="4" t="s">
        <v>3702</v>
      </c>
      <c r="B403">
        <v>51.300995255628422</v>
      </c>
      <c r="C403" s="7">
        <v>0.48845686512758202</v>
      </c>
      <c r="E403">
        <v>51.300995255628422</v>
      </c>
      <c r="F403">
        <f t="shared" si="6"/>
        <v>0.48845686512758202</v>
      </c>
    </row>
    <row r="404" spans="1:6" ht="120" x14ac:dyDescent="0.25">
      <c r="A404" s="4" t="s">
        <v>3798</v>
      </c>
      <c r="B404">
        <v>51.423005570063054</v>
      </c>
      <c r="C404" s="7">
        <v>0.48967193195625758</v>
      </c>
      <c r="E404">
        <v>51.423005570063054</v>
      </c>
      <c r="F404">
        <f t="shared" si="6"/>
        <v>0.48967193195625758</v>
      </c>
    </row>
    <row r="405" spans="1:6" ht="105" x14ac:dyDescent="0.25">
      <c r="A405" s="4" t="s">
        <v>3753</v>
      </c>
      <c r="B405">
        <v>51.566600832895972</v>
      </c>
      <c r="C405" s="7">
        <v>0.49088699878493319</v>
      </c>
      <c r="E405">
        <v>51.566600832895972</v>
      </c>
      <c r="F405">
        <f t="shared" si="6"/>
        <v>0.49088699878493319</v>
      </c>
    </row>
    <row r="406" spans="1:6" ht="90" x14ac:dyDescent="0.25">
      <c r="A406" s="4" t="s">
        <v>3823</v>
      </c>
      <c r="B406">
        <v>51.590400727035259</v>
      </c>
      <c r="C406" s="7">
        <v>0.49210206561360875</v>
      </c>
      <c r="E406">
        <v>51.590400727035259</v>
      </c>
      <c r="F406">
        <f t="shared" si="6"/>
        <v>0.49210206561360875</v>
      </c>
    </row>
    <row r="407" spans="1:6" ht="120" x14ac:dyDescent="0.25">
      <c r="A407" s="4" t="s">
        <v>3449</v>
      </c>
      <c r="B407">
        <v>51.669789557740373</v>
      </c>
      <c r="C407" s="7">
        <v>0.49331713244228431</v>
      </c>
      <c r="E407">
        <v>51.669789557740373</v>
      </c>
      <c r="F407">
        <f t="shared" si="6"/>
        <v>0.49331713244228431</v>
      </c>
    </row>
    <row r="408" spans="1:6" ht="105" x14ac:dyDescent="0.25">
      <c r="A408" s="4" t="s">
        <v>3787</v>
      </c>
      <c r="B408">
        <v>51.720191071059254</v>
      </c>
      <c r="C408" s="7">
        <v>0.49453219927095993</v>
      </c>
      <c r="E408">
        <v>51.720191071059254</v>
      </c>
      <c r="F408">
        <f t="shared" si="6"/>
        <v>0.49453219927095993</v>
      </c>
    </row>
    <row r="409" spans="1:6" ht="105" x14ac:dyDescent="0.25">
      <c r="A409" s="4" t="s">
        <v>3375</v>
      </c>
      <c r="B409">
        <v>51.736240956861728</v>
      </c>
      <c r="C409" s="7">
        <v>0.49574726609963549</v>
      </c>
      <c r="E409">
        <v>51.736240956861728</v>
      </c>
      <c r="F409">
        <f t="shared" si="6"/>
        <v>0.49574726609963549</v>
      </c>
    </row>
    <row r="410" spans="1:6" ht="105" x14ac:dyDescent="0.25">
      <c r="A410" s="4" t="s">
        <v>3765</v>
      </c>
      <c r="B410">
        <v>51.899595553637781</v>
      </c>
      <c r="C410" s="7">
        <v>0.49696233292831105</v>
      </c>
      <c r="E410">
        <v>51.899595553637781</v>
      </c>
      <c r="F410">
        <f t="shared" si="6"/>
        <v>0.49696233292831105</v>
      </c>
    </row>
    <row r="411" spans="1:6" ht="105" x14ac:dyDescent="0.25">
      <c r="A411" s="4" t="s">
        <v>3206</v>
      </c>
      <c r="B411">
        <v>51.93470641651831</v>
      </c>
      <c r="C411" s="7">
        <v>0.49817739975698666</v>
      </c>
      <c r="E411">
        <v>51.93470641651831</v>
      </c>
      <c r="F411">
        <f t="shared" si="6"/>
        <v>0.49817739975698666</v>
      </c>
    </row>
    <row r="412" spans="1:6" ht="105" x14ac:dyDescent="0.25">
      <c r="A412" s="4" t="s">
        <v>3773</v>
      </c>
      <c r="B412">
        <v>51.985500197940191</v>
      </c>
      <c r="C412" s="7">
        <v>0.49939246658566222</v>
      </c>
      <c r="E412">
        <v>51.985500197940191</v>
      </c>
      <c r="F412">
        <f t="shared" si="6"/>
        <v>0.49939246658566222</v>
      </c>
    </row>
    <row r="413" spans="1:6" ht="105" x14ac:dyDescent="0.25">
      <c r="A413" s="4" t="s">
        <v>3674</v>
      </c>
      <c r="B413">
        <v>51.998853049760299</v>
      </c>
      <c r="C413" s="7">
        <v>0.50060753341433784</v>
      </c>
      <c r="E413">
        <v>51.998853049760299</v>
      </c>
      <c r="F413">
        <f t="shared" si="6"/>
        <v>0.50060753341433784</v>
      </c>
    </row>
    <row r="414" spans="1:6" ht="120" x14ac:dyDescent="0.25">
      <c r="A414" s="4" t="s">
        <v>3158</v>
      </c>
      <c r="B414">
        <v>52.048010467222085</v>
      </c>
      <c r="C414" s="7">
        <v>0.50182260024301339</v>
      </c>
      <c r="E414">
        <v>52.048010467222085</v>
      </c>
      <c r="F414">
        <f t="shared" si="6"/>
        <v>0.50182260024301339</v>
      </c>
    </row>
    <row r="415" spans="1:6" ht="105" x14ac:dyDescent="0.25">
      <c r="A415" s="4" t="s">
        <v>3717</v>
      </c>
      <c r="B415">
        <v>52.063363418384554</v>
      </c>
      <c r="C415" s="7">
        <v>0.50303766707168895</v>
      </c>
      <c r="E415">
        <v>52.063363418384554</v>
      </c>
      <c r="F415">
        <f t="shared" si="6"/>
        <v>0.50303766707168895</v>
      </c>
    </row>
    <row r="416" spans="1:6" ht="90" x14ac:dyDescent="0.25">
      <c r="A416" s="4" t="s">
        <v>3793</v>
      </c>
      <c r="B416">
        <v>52.091911854146367</v>
      </c>
      <c r="C416" s="7">
        <v>0.50425273390036451</v>
      </c>
      <c r="E416">
        <v>52.091911854146367</v>
      </c>
      <c r="F416">
        <f t="shared" si="6"/>
        <v>0.50425273390036451</v>
      </c>
    </row>
    <row r="417" spans="1:6" ht="120" x14ac:dyDescent="0.25">
      <c r="A417" s="4" t="s">
        <v>3395</v>
      </c>
      <c r="B417">
        <v>52.258856561189411</v>
      </c>
      <c r="C417" s="7">
        <v>0.50546780072904007</v>
      </c>
      <c r="E417">
        <v>52.258856561189411</v>
      </c>
      <c r="F417">
        <f t="shared" si="6"/>
        <v>0.50546780072904007</v>
      </c>
    </row>
    <row r="418" spans="1:6" ht="105" x14ac:dyDescent="0.25">
      <c r="A418" s="4" t="s">
        <v>3781</v>
      </c>
      <c r="B418">
        <v>52.373470809447973</v>
      </c>
      <c r="C418" s="7">
        <v>0.50668286755771563</v>
      </c>
      <c r="E418">
        <v>52.373470809447973</v>
      </c>
      <c r="F418">
        <f t="shared" si="6"/>
        <v>0.50668286755771563</v>
      </c>
    </row>
    <row r="419" spans="1:6" ht="105" x14ac:dyDescent="0.25">
      <c r="A419" s="4" t="s">
        <v>3777</v>
      </c>
      <c r="B419">
        <v>52.390491221372095</v>
      </c>
      <c r="C419" s="7">
        <v>0.5078979343863913</v>
      </c>
      <c r="E419">
        <v>52.390491221372095</v>
      </c>
      <c r="F419">
        <f t="shared" si="6"/>
        <v>0.5078979343863913</v>
      </c>
    </row>
    <row r="420" spans="1:6" ht="120" x14ac:dyDescent="0.25">
      <c r="A420" s="4" t="s">
        <v>3300</v>
      </c>
      <c r="B420">
        <v>52.447142929178625</v>
      </c>
      <c r="C420" s="7">
        <v>0.50911300121506686</v>
      </c>
      <c r="E420">
        <v>52.447142929178625</v>
      </c>
      <c r="F420">
        <f t="shared" si="6"/>
        <v>0.50911300121506686</v>
      </c>
    </row>
    <row r="421" spans="1:6" ht="105" x14ac:dyDescent="0.25">
      <c r="A421" s="4" t="s">
        <v>3612</v>
      </c>
      <c r="B421">
        <v>52.476560272647255</v>
      </c>
      <c r="C421" s="7">
        <v>0.51032806804374242</v>
      </c>
      <c r="E421">
        <v>52.476560272647255</v>
      </c>
      <c r="F421">
        <f t="shared" si="6"/>
        <v>0.51032806804374242</v>
      </c>
    </row>
    <row r="422" spans="1:6" ht="120" x14ac:dyDescent="0.25">
      <c r="A422" s="4" t="s">
        <v>3750</v>
      </c>
      <c r="B422">
        <v>52.567402644760058</v>
      </c>
      <c r="C422" s="7">
        <v>0.51154313487241798</v>
      </c>
      <c r="E422">
        <v>52.567402644760058</v>
      </c>
      <c r="F422">
        <f t="shared" si="6"/>
        <v>0.51154313487241798</v>
      </c>
    </row>
    <row r="423" spans="1:6" ht="105" x14ac:dyDescent="0.25">
      <c r="A423" s="4" t="s">
        <v>3621</v>
      </c>
      <c r="B423">
        <v>52.608929621485053</v>
      </c>
      <c r="C423" s="7">
        <v>0.51275820170109354</v>
      </c>
      <c r="E423">
        <v>52.608929621485053</v>
      </c>
      <c r="F423">
        <f t="shared" si="6"/>
        <v>0.51275820170109354</v>
      </c>
    </row>
    <row r="424" spans="1:6" ht="120" x14ac:dyDescent="0.25">
      <c r="A424" s="4" t="s">
        <v>3536</v>
      </c>
      <c r="B424">
        <v>52.653529376189304</v>
      </c>
      <c r="C424" s="7">
        <v>0.5139732685297691</v>
      </c>
      <c r="E424">
        <v>52.653529376189304</v>
      </c>
      <c r="F424">
        <f t="shared" si="6"/>
        <v>0.5139732685297691</v>
      </c>
    </row>
    <row r="425" spans="1:6" ht="120" x14ac:dyDescent="0.25">
      <c r="A425" s="4" t="s">
        <v>3651</v>
      </c>
      <c r="B425">
        <v>52.663595683034778</v>
      </c>
      <c r="C425" s="7">
        <v>0.51518833535844466</v>
      </c>
      <c r="E425">
        <v>52.663595683034778</v>
      </c>
      <c r="F425">
        <f t="shared" si="6"/>
        <v>0.51518833535844466</v>
      </c>
    </row>
    <row r="426" spans="1:6" ht="105" x14ac:dyDescent="0.25">
      <c r="A426" s="4" t="s">
        <v>3764</v>
      </c>
      <c r="B426">
        <v>52.720106369886757</v>
      </c>
      <c r="C426" s="7">
        <v>0.51640340218712033</v>
      </c>
      <c r="E426">
        <v>52.720106369886757</v>
      </c>
      <c r="F426">
        <f t="shared" si="6"/>
        <v>0.51640340218712033</v>
      </c>
    </row>
    <row r="427" spans="1:6" ht="90" x14ac:dyDescent="0.25">
      <c r="A427" s="4" t="s">
        <v>3652</v>
      </c>
      <c r="B427">
        <v>52.760643861303855</v>
      </c>
      <c r="C427" s="7">
        <v>0.51761846901579589</v>
      </c>
      <c r="E427">
        <v>52.760643861303855</v>
      </c>
      <c r="F427">
        <f t="shared" si="6"/>
        <v>0.51761846901579589</v>
      </c>
    </row>
    <row r="428" spans="1:6" ht="105" x14ac:dyDescent="0.25">
      <c r="A428" s="4" t="s">
        <v>3791</v>
      </c>
      <c r="B428">
        <v>52.775145668843464</v>
      </c>
      <c r="C428" s="7">
        <v>0.51883353584447145</v>
      </c>
      <c r="E428">
        <v>52.775145668843464</v>
      </c>
      <c r="F428">
        <f t="shared" si="6"/>
        <v>0.51883353584447145</v>
      </c>
    </row>
    <row r="429" spans="1:6" ht="105" x14ac:dyDescent="0.25">
      <c r="A429" s="4" t="s">
        <v>3602</v>
      </c>
      <c r="B429">
        <v>52.889746219587913</v>
      </c>
      <c r="C429" s="7">
        <v>0.52004860267314701</v>
      </c>
      <c r="E429">
        <v>52.889746219587913</v>
      </c>
      <c r="F429">
        <f t="shared" si="6"/>
        <v>0.52004860267314701</v>
      </c>
    </row>
    <row r="430" spans="1:6" ht="105" x14ac:dyDescent="0.25">
      <c r="A430" s="4" t="s">
        <v>3411</v>
      </c>
      <c r="B430">
        <v>52.998558963005522</v>
      </c>
      <c r="C430" s="7">
        <v>0.52126366950182257</v>
      </c>
      <c r="E430">
        <v>52.998558963005522</v>
      </c>
      <c r="F430">
        <f t="shared" si="6"/>
        <v>0.52126366950182257</v>
      </c>
    </row>
    <row r="431" spans="1:6" ht="120" x14ac:dyDescent="0.25">
      <c r="A431" s="4" t="s">
        <v>3575</v>
      </c>
      <c r="B431">
        <v>53.053979940704153</v>
      </c>
      <c r="C431" s="7">
        <v>0.52247873633049813</v>
      </c>
      <c r="E431">
        <v>53.053979940704153</v>
      </c>
      <c r="F431">
        <f t="shared" si="6"/>
        <v>0.52247873633049813</v>
      </c>
    </row>
    <row r="432" spans="1:6" ht="105" x14ac:dyDescent="0.25">
      <c r="A432" s="4" t="s">
        <v>3144</v>
      </c>
      <c r="B432">
        <v>53.097864927997755</v>
      </c>
      <c r="C432" s="7">
        <v>0.5236938031591738</v>
      </c>
      <c r="E432">
        <v>53.097864927997755</v>
      </c>
      <c r="F432">
        <f t="shared" si="6"/>
        <v>0.5236938031591738</v>
      </c>
    </row>
    <row r="433" spans="1:6" ht="120" x14ac:dyDescent="0.25">
      <c r="A433" s="4" t="s">
        <v>3280</v>
      </c>
      <c r="B433">
        <v>53.109809762454574</v>
      </c>
      <c r="C433" s="7">
        <v>0.52490886998784936</v>
      </c>
      <c r="E433">
        <v>53.109809762454574</v>
      </c>
      <c r="F433">
        <f t="shared" si="6"/>
        <v>0.52490886998784936</v>
      </c>
    </row>
    <row r="434" spans="1:6" ht="120" x14ac:dyDescent="0.25">
      <c r="A434" s="4" t="s">
        <v>3488</v>
      </c>
      <c r="B434">
        <v>53.189609822816422</v>
      </c>
      <c r="C434" s="7">
        <v>0.52612393681652492</v>
      </c>
      <c r="E434">
        <v>53.189609822816422</v>
      </c>
      <c r="F434">
        <f t="shared" si="6"/>
        <v>0.52612393681652492</v>
      </c>
    </row>
    <row r="435" spans="1:6" ht="120" x14ac:dyDescent="0.25">
      <c r="A435" s="4" t="s">
        <v>3405</v>
      </c>
      <c r="B435">
        <v>53.320623381368847</v>
      </c>
      <c r="C435" s="7">
        <v>0.52733900364520048</v>
      </c>
      <c r="E435">
        <v>53.320623381368847</v>
      </c>
      <c r="F435">
        <f t="shared" si="6"/>
        <v>0.52733900364520048</v>
      </c>
    </row>
    <row r="436" spans="1:6" ht="120" x14ac:dyDescent="0.25">
      <c r="A436" s="4" t="s">
        <v>3459</v>
      </c>
      <c r="B436">
        <v>53.479980715036739</v>
      </c>
      <c r="C436" s="7">
        <v>0.52855407047387604</v>
      </c>
      <c r="E436">
        <v>53.479980715036739</v>
      </c>
      <c r="F436">
        <f t="shared" si="6"/>
        <v>0.52855407047387604</v>
      </c>
    </row>
    <row r="437" spans="1:6" ht="120" x14ac:dyDescent="0.25">
      <c r="A437" s="4" t="s">
        <v>3268</v>
      </c>
      <c r="B437">
        <v>53.490122099698596</v>
      </c>
      <c r="C437" s="7">
        <v>0.5297691373025516</v>
      </c>
      <c r="E437">
        <v>53.490122099698596</v>
      </c>
      <c r="F437">
        <f t="shared" si="6"/>
        <v>0.5297691373025516</v>
      </c>
    </row>
    <row r="438" spans="1:6" ht="120" x14ac:dyDescent="0.25">
      <c r="A438" s="4" t="s">
        <v>3162</v>
      </c>
      <c r="B438">
        <v>53.552153802840429</v>
      </c>
      <c r="C438" s="7">
        <v>0.53098420413122727</v>
      </c>
      <c r="E438">
        <v>53.552153802840429</v>
      </c>
      <c r="F438">
        <f t="shared" si="6"/>
        <v>0.53098420413122727</v>
      </c>
    </row>
    <row r="439" spans="1:6" ht="105" x14ac:dyDescent="0.25">
      <c r="A439" s="4" t="s">
        <v>3663</v>
      </c>
      <c r="B439">
        <v>53.557206270766329</v>
      </c>
      <c r="C439" s="7">
        <v>0.53219927095990283</v>
      </c>
      <c r="E439">
        <v>53.557206270766329</v>
      </c>
      <c r="F439">
        <f t="shared" si="6"/>
        <v>0.53219927095990283</v>
      </c>
    </row>
    <row r="440" spans="1:6" ht="120" x14ac:dyDescent="0.25">
      <c r="A440" s="4" t="s">
        <v>3804</v>
      </c>
      <c r="B440">
        <v>53.560085588560888</v>
      </c>
      <c r="C440" s="7">
        <v>0.53341433778857839</v>
      </c>
      <c r="E440">
        <v>53.560085588560888</v>
      </c>
      <c r="F440">
        <f t="shared" si="6"/>
        <v>0.53341433778857839</v>
      </c>
    </row>
    <row r="441" spans="1:6" ht="120" x14ac:dyDescent="0.25">
      <c r="A441" s="4" t="s">
        <v>3242</v>
      </c>
      <c r="B441">
        <v>53.630636930168421</v>
      </c>
      <c r="C441" s="7">
        <v>0.53462940461725394</v>
      </c>
      <c r="E441">
        <v>53.630636930168421</v>
      </c>
      <c r="F441">
        <f t="shared" si="6"/>
        <v>0.53462940461725394</v>
      </c>
    </row>
    <row r="442" spans="1:6" ht="105" x14ac:dyDescent="0.25">
      <c r="A442" s="4" t="s">
        <v>3695</v>
      </c>
      <c r="B442">
        <v>53.675967932401335</v>
      </c>
      <c r="C442" s="7">
        <v>0.5358444714459295</v>
      </c>
      <c r="E442">
        <v>53.675967932401335</v>
      </c>
      <c r="F442">
        <f t="shared" si="6"/>
        <v>0.5358444714459295</v>
      </c>
    </row>
    <row r="443" spans="1:6" ht="120" x14ac:dyDescent="0.25">
      <c r="A443" s="4" t="s">
        <v>3607</v>
      </c>
      <c r="B443">
        <v>53.693102961413956</v>
      </c>
      <c r="C443" s="7">
        <v>0.53705953827460506</v>
      </c>
      <c r="E443">
        <v>53.693102961413956</v>
      </c>
      <c r="F443">
        <f t="shared" si="6"/>
        <v>0.53705953827460506</v>
      </c>
    </row>
    <row r="444" spans="1:6" ht="120" x14ac:dyDescent="0.25">
      <c r="A444" s="4" t="s">
        <v>3397</v>
      </c>
      <c r="B444">
        <v>53.783124999999998</v>
      </c>
      <c r="C444" s="7">
        <v>0.53827460510328073</v>
      </c>
      <c r="E444">
        <v>53.783124999999998</v>
      </c>
      <c r="F444">
        <f t="shared" si="6"/>
        <v>0.53827460510328073</v>
      </c>
    </row>
    <row r="445" spans="1:6" ht="105" x14ac:dyDescent="0.25">
      <c r="A445" s="4" t="s">
        <v>3728</v>
      </c>
      <c r="B445">
        <v>53.783468032930799</v>
      </c>
      <c r="C445" s="7">
        <v>0.53948967193195629</v>
      </c>
      <c r="E445">
        <v>53.783468032930799</v>
      </c>
      <c r="F445">
        <f t="shared" si="6"/>
        <v>0.53948967193195629</v>
      </c>
    </row>
    <row r="446" spans="1:6" ht="120" x14ac:dyDescent="0.25">
      <c r="A446" s="4" t="s">
        <v>3801</v>
      </c>
      <c r="B446">
        <v>53.885684006892667</v>
      </c>
      <c r="C446" s="7">
        <v>0.54070473876063185</v>
      </c>
      <c r="E446">
        <v>53.885684006892667</v>
      </c>
      <c r="F446">
        <f t="shared" si="6"/>
        <v>0.54070473876063185</v>
      </c>
    </row>
    <row r="447" spans="1:6" ht="105" x14ac:dyDescent="0.25">
      <c r="A447" s="4" t="s">
        <v>3776</v>
      </c>
      <c r="B447">
        <v>53.946556244306784</v>
      </c>
      <c r="C447" s="7">
        <v>0.54191980558930741</v>
      </c>
      <c r="E447">
        <v>53.946556244306784</v>
      </c>
      <c r="F447">
        <f t="shared" si="6"/>
        <v>0.54191980558930741</v>
      </c>
    </row>
    <row r="448" spans="1:6" ht="105" x14ac:dyDescent="0.25">
      <c r="A448" s="4" t="s">
        <v>3258</v>
      </c>
      <c r="B448">
        <v>53.982818021886914</v>
      </c>
      <c r="C448" s="7">
        <v>0.54313487241798297</v>
      </c>
      <c r="E448">
        <v>53.982818021886914</v>
      </c>
      <c r="F448">
        <f t="shared" si="6"/>
        <v>0.54313487241798297</v>
      </c>
    </row>
    <row r="449" spans="1:6" ht="120" x14ac:dyDescent="0.25">
      <c r="A449" s="4" t="s">
        <v>3779</v>
      </c>
      <c r="B449">
        <v>54.210666666666661</v>
      </c>
      <c r="C449" s="7">
        <v>0.54434993924665853</v>
      </c>
      <c r="E449">
        <v>54.210666666666661</v>
      </c>
      <c r="F449">
        <f t="shared" si="6"/>
        <v>0.54434993924665853</v>
      </c>
    </row>
    <row r="450" spans="1:6" ht="105" x14ac:dyDescent="0.25">
      <c r="A450" s="4" t="s">
        <v>3072</v>
      </c>
      <c r="B450">
        <v>54.252973928483819</v>
      </c>
      <c r="C450" s="7">
        <v>0.54556500607533409</v>
      </c>
      <c r="E450">
        <v>54.252973928483819</v>
      </c>
      <c r="F450">
        <f t="shared" si="6"/>
        <v>0.54556500607533409</v>
      </c>
    </row>
    <row r="451" spans="1:6" ht="105" x14ac:dyDescent="0.25">
      <c r="A451" s="4" t="s">
        <v>3730</v>
      </c>
      <c r="B451">
        <v>54.355586578088385</v>
      </c>
      <c r="C451" s="7">
        <v>0.54678007290400976</v>
      </c>
      <c r="E451">
        <v>54.355586578088385</v>
      </c>
      <c r="F451">
        <f t="shared" ref="F451:F514" si="7">_xlfn.RANK.EQ(E451,$E$2:$E$824,1)/COUNT($E$2:$E$824)</f>
        <v>0.54678007290400976</v>
      </c>
    </row>
    <row r="452" spans="1:6" ht="120" x14ac:dyDescent="0.25">
      <c r="A452" s="4" t="s">
        <v>3762</v>
      </c>
      <c r="B452">
        <v>54.359722816173033</v>
      </c>
      <c r="C452" s="7">
        <v>0.54799513973268532</v>
      </c>
      <c r="E452">
        <v>54.359722816173033</v>
      </c>
      <c r="F452">
        <f t="shared" si="7"/>
        <v>0.54799513973268532</v>
      </c>
    </row>
    <row r="453" spans="1:6" ht="105" x14ac:dyDescent="0.25">
      <c r="A453" s="4" t="s">
        <v>3657</v>
      </c>
      <c r="B453">
        <v>54.387462248408539</v>
      </c>
      <c r="C453" s="7">
        <v>0.54921020656136088</v>
      </c>
      <c r="E453">
        <v>54.387462248408539</v>
      </c>
      <c r="F453">
        <f t="shared" si="7"/>
        <v>0.54921020656136088</v>
      </c>
    </row>
    <row r="454" spans="1:6" ht="105" x14ac:dyDescent="0.25">
      <c r="A454" s="4" t="s">
        <v>3511</v>
      </c>
      <c r="B454">
        <v>54.433105395181727</v>
      </c>
      <c r="C454" s="7">
        <v>0.55042527339003644</v>
      </c>
      <c r="E454">
        <v>54.433105395181727</v>
      </c>
      <c r="F454">
        <f t="shared" si="7"/>
        <v>0.55042527339003644</v>
      </c>
    </row>
    <row r="455" spans="1:6" ht="90" x14ac:dyDescent="0.25">
      <c r="A455" s="4" t="s">
        <v>3834</v>
      </c>
      <c r="B455">
        <v>54.490850611477143</v>
      </c>
      <c r="C455" s="7">
        <v>0.551640340218712</v>
      </c>
      <c r="E455">
        <v>54.490850611477143</v>
      </c>
      <c r="F455">
        <f t="shared" si="7"/>
        <v>0.551640340218712</v>
      </c>
    </row>
    <row r="456" spans="1:6" ht="105" x14ac:dyDescent="0.25">
      <c r="A456" s="4" t="s">
        <v>3176</v>
      </c>
      <c r="B456">
        <v>54.526198193049872</v>
      </c>
      <c r="C456" s="7">
        <v>0.55285540704738756</v>
      </c>
      <c r="E456">
        <v>54.526198193049872</v>
      </c>
      <c r="F456">
        <f t="shared" si="7"/>
        <v>0.55285540704738756</v>
      </c>
    </row>
    <row r="457" spans="1:6" ht="120" x14ac:dyDescent="0.25">
      <c r="A457" s="4" t="s">
        <v>3795</v>
      </c>
      <c r="B457">
        <v>54.746633531010133</v>
      </c>
      <c r="C457" s="7">
        <v>0.55407047387606323</v>
      </c>
      <c r="E457">
        <v>54.746633531010133</v>
      </c>
      <c r="F457">
        <f t="shared" si="7"/>
        <v>0.55407047387606323</v>
      </c>
    </row>
    <row r="458" spans="1:6" ht="105" x14ac:dyDescent="0.25">
      <c r="A458" s="4" t="s">
        <v>3508</v>
      </c>
      <c r="B458">
        <v>54.812997400387353</v>
      </c>
      <c r="C458" s="7">
        <v>0.55528554070473879</v>
      </c>
      <c r="E458">
        <v>54.812997400387353</v>
      </c>
      <c r="F458">
        <f t="shared" si="7"/>
        <v>0.55528554070473879</v>
      </c>
    </row>
    <row r="459" spans="1:6" ht="105" x14ac:dyDescent="0.25">
      <c r="A459" s="4" t="s">
        <v>3306</v>
      </c>
      <c r="B459">
        <v>54.891245315940886</v>
      </c>
      <c r="C459" s="7">
        <v>0.55650060753341435</v>
      </c>
      <c r="E459">
        <v>54.891245315940886</v>
      </c>
      <c r="F459">
        <f t="shared" si="7"/>
        <v>0.55650060753341435</v>
      </c>
    </row>
    <row r="460" spans="1:6" ht="90" x14ac:dyDescent="0.25">
      <c r="A460" s="4" t="s">
        <v>3838</v>
      </c>
      <c r="B460">
        <v>54.922551870926377</v>
      </c>
      <c r="C460" s="7">
        <v>0.55771567436208991</v>
      </c>
      <c r="E460">
        <v>54.922551870926377</v>
      </c>
      <c r="F460">
        <f t="shared" si="7"/>
        <v>0.55771567436208991</v>
      </c>
    </row>
    <row r="461" spans="1:6" ht="105" x14ac:dyDescent="0.25">
      <c r="A461" s="4" t="s">
        <v>3519</v>
      </c>
      <c r="B461">
        <v>54.945701227059907</v>
      </c>
      <c r="C461" s="7">
        <v>0.55893074119076547</v>
      </c>
      <c r="E461">
        <v>54.945701227059907</v>
      </c>
      <c r="F461">
        <f t="shared" si="7"/>
        <v>0.55893074119076547</v>
      </c>
    </row>
    <row r="462" spans="1:6" ht="120" x14ac:dyDescent="0.25">
      <c r="A462" s="4" t="s">
        <v>3797</v>
      </c>
      <c r="B462">
        <v>54.965425090599766</v>
      </c>
      <c r="C462" s="7">
        <v>0.56014580801944103</v>
      </c>
      <c r="E462">
        <v>54.965425090599766</v>
      </c>
      <c r="F462">
        <f t="shared" si="7"/>
        <v>0.56014580801944103</v>
      </c>
    </row>
    <row r="463" spans="1:6" ht="120" x14ac:dyDescent="0.25">
      <c r="A463" s="4" t="s">
        <v>3230</v>
      </c>
      <c r="B463">
        <v>54.969844533315509</v>
      </c>
      <c r="C463" s="7">
        <v>0.5613608748481167</v>
      </c>
      <c r="E463">
        <v>54.969844533315509</v>
      </c>
      <c r="F463">
        <f t="shared" si="7"/>
        <v>0.5613608748481167</v>
      </c>
    </row>
    <row r="464" spans="1:6" ht="120" x14ac:dyDescent="0.25">
      <c r="A464" s="4" t="s">
        <v>3784</v>
      </c>
      <c r="B464">
        <v>55.007056236896162</v>
      </c>
      <c r="C464" s="7">
        <v>0.56257594167679226</v>
      </c>
      <c r="E464">
        <v>55.007056236896162</v>
      </c>
      <c r="F464">
        <f t="shared" si="7"/>
        <v>0.56257594167679226</v>
      </c>
    </row>
    <row r="465" spans="1:6" ht="120" x14ac:dyDescent="0.25">
      <c r="A465" s="4" t="s">
        <v>3818</v>
      </c>
      <c r="B465">
        <v>55.040413473961252</v>
      </c>
      <c r="C465" s="7">
        <v>0.56379100850546782</v>
      </c>
      <c r="E465">
        <v>55.040413473961252</v>
      </c>
      <c r="F465">
        <f t="shared" si="7"/>
        <v>0.56379100850546782</v>
      </c>
    </row>
    <row r="466" spans="1:6" ht="120" x14ac:dyDescent="0.25">
      <c r="A466" s="4" t="s">
        <v>3819</v>
      </c>
      <c r="B466">
        <v>55.087556570711122</v>
      </c>
      <c r="C466" s="7">
        <v>0.56500607533414338</v>
      </c>
      <c r="E466">
        <v>55.087556570711122</v>
      </c>
      <c r="F466">
        <f t="shared" si="7"/>
        <v>0.56500607533414338</v>
      </c>
    </row>
    <row r="467" spans="1:6" ht="105" x14ac:dyDescent="0.25">
      <c r="A467" s="4" t="s">
        <v>3708</v>
      </c>
      <c r="B467">
        <v>55.102088017418275</v>
      </c>
      <c r="C467" s="7">
        <v>0.56622114216281894</v>
      </c>
      <c r="E467">
        <v>55.102088017418275</v>
      </c>
      <c r="F467">
        <f t="shared" si="7"/>
        <v>0.56622114216281894</v>
      </c>
    </row>
    <row r="468" spans="1:6" ht="120" x14ac:dyDescent="0.25">
      <c r="A468" s="4" t="s">
        <v>3594</v>
      </c>
      <c r="B468">
        <v>55.176893801468609</v>
      </c>
      <c r="C468" s="7">
        <v>0.5674362089914945</v>
      </c>
      <c r="E468">
        <v>55.176893801468609</v>
      </c>
      <c r="F468">
        <f t="shared" si="7"/>
        <v>0.5674362089914945</v>
      </c>
    </row>
    <row r="469" spans="1:6" ht="120" x14ac:dyDescent="0.25">
      <c r="A469" s="4" t="s">
        <v>3769</v>
      </c>
      <c r="B469">
        <v>55.205715880584769</v>
      </c>
      <c r="C469" s="7">
        <v>0.56865127582017005</v>
      </c>
      <c r="E469">
        <v>55.205715880584769</v>
      </c>
      <c r="F469">
        <f t="shared" si="7"/>
        <v>0.56865127582017005</v>
      </c>
    </row>
    <row r="470" spans="1:6" ht="120" x14ac:dyDescent="0.25">
      <c r="A470" s="4" t="s">
        <v>3308</v>
      </c>
      <c r="B470">
        <v>55.41536183741848</v>
      </c>
      <c r="C470" s="7">
        <v>0.56986634264884573</v>
      </c>
      <c r="E470">
        <v>55.41536183741848</v>
      </c>
      <c r="F470">
        <f t="shared" si="7"/>
        <v>0.56986634264884573</v>
      </c>
    </row>
    <row r="471" spans="1:6" ht="120" x14ac:dyDescent="0.25">
      <c r="A471" s="4" t="s">
        <v>3098</v>
      </c>
      <c r="B471">
        <v>55.440890162496935</v>
      </c>
      <c r="C471" s="7">
        <v>0.57108140947752128</v>
      </c>
      <c r="E471">
        <v>55.440890162496935</v>
      </c>
      <c r="F471">
        <f t="shared" si="7"/>
        <v>0.57108140947752128</v>
      </c>
    </row>
    <row r="472" spans="1:6" ht="120" x14ac:dyDescent="0.25">
      <c r="A472" s="4" t="s">
        <v>3814</v>
      </c>
      <c r="B472">
        <v>55.462810122339334</v>
      </c>
      <c r="C472" s="7">
        <v>0.57229647630619684</v>
      </c>
      <c r="E472">
        <v>55.462810122339334</v>
      </c>
      <c r="F472">
        <f t="shared" si="7"/>
        <v>0.57229647630619684</v>
      </c>
    </row>
    <row r="473" spans="1:6" ht="105" x14ac:dyDescent="0.25">
      <c r="A473" s="4" t="s">
        <v>3244</v>
      </c>
      <c r="B473">
        <v>55.627056936121342</v>
      </c>
      <c r="C473" s="7">
        <v>0.5735115431348724</v>
      </c>
      <c r="E473">
        <v>55.627056936121342</v>
      </c>
      <c r="F473">
        <f t="shared" si="7"/>
        <v>0.5735115431348724</v>
      </c>
    </row>
    <row r="474" spans="1:6" ht="90" x14ac:dyDescent="0.25">
      <c r="A474" s="4" t="s">
        <v>3835</v>
      </c>
      <c r="B474">
        <v>55.740750775081032</v>
      </c>
      <c r="C474" s="7">
        <v>0.57472660996354796</v>
      </c>
      <c r="E474">
        <v>55.740750775081032</v>
      </c>
      <c r="F474">
        <f t="shared" si="7"/>
        <v>0.57472660996354796</v>
      </c>
    </row>
    <row r="475" spans="1:6" ht="120" x14ac:dyDescent="0.25">
      <c r="A475" s="4" t="s">
        <v>3062</v>
      </c>
      <c r="B475">
        <v>55.805163028967634</v>
      </c>
      <c r="C475" s="7">
        <v>0.57594167679222352</v>
      </c>
      <c r="E475">
        <v>55.805163028967634</v>
      </c>
      <c r="F475">
        <f t="shared" si="7"/>
        <v>0.57594167679222352</v>
      </c>
    </row>
    <row r="476" spans="1:6" ht="120" x14ac:dyDescent="0.25">
      <c r="A476" s="4" t="s">
        <v>3182</v>
      </c>
      <c r="B476">
        <v>55.926322460746533</v>
      </c>
      <c r="C476" s="7">
        <v>0.57715674362089919</v>
      </c>
      <c r="E476">
        <v>55.926322460746533</v>
      </c>
      <c r="F476">
        <f t="shared" si="7"/>
        <v>0.57715674362089919</v>
      </c>
    </row>
    <row r="477" spans="1:6" ht="105" x14ac:dyDescent="0.25">
      <c r="A477" s="4" t="s">
        <v>3346</v>
      </c>
      <c r="B477">
        <v>55.940247506541454</v>
      </c>
      <c r="C477" s="7">
        <v>0.57837181044957475</v>
      </c>
      <c r="E477">
        <v>55.940247506541454</v>
      </c>
      <c r="F477">
        <f t="shared" si="7"/>
        <v>0.57837181044957475</v>
      </c>
    </row>
    <row r="478" spans="1:6" ht="120" x14ac:dyDescent="0.25">
      <c r="A478" s="4" t="s">
        <v>3573</v>
      </c>
      <c r="B478">
        <v>55.9551939395581</v>
      </c>
      <c r="C478" s="7">
        <v>0.57958687727825031</v>
      </c>
      <c r="E478">
        <v>55.9551939395581</v>
      </c>
      <c r="F478">
        <f t="shared" si="7"/>
        <v>0.57958687727825031</v>
      </c>
    </row>
    <row r="479" spans="1:6" ht="105" x14ac:dyDescent="0.25">
      <c r="A479" s="4" t="s">
        <v>3292</v>
      </c>
      <c r="B479">
        <v>56.022025080477476</v>
      </c>
      <c r="C479" s="7">
        <v>0.58080194410692587</v>
      </c>
      <c r="E479">
        <v>56.022025080477476</v>
      </c>
      <c r="F479">
        <f t="shared" si="7"/>
        <v>0.58080194410692587</v>
      </c>
    </row>
    <row r="480" spans="1:6" ht="105" x14ac:dyDescent="0.25">
      <c r="A480" s="4" t="s">
        <v>3254</v>
      </c>
      <c r="B480">
        <v>56.054429411098049</v>
      </c>
      <c r="C480" s="7">
        <v>0.58201701093560143</v>
      </c>
      <c r="E480">
        <v>56.054429411098049</v>
      </c>
      <c r="F480">
        <f t="shared" si="7"/>
        <v>0.58201701093560143</v>
      </c>
    </row>
    <row r="481" spans="1:6" ht="105" x14ac:dyDescent="0.25">
      <c r="A481" s="4" t="s">
        <v>3262</v>
      </c>
      <c r="B481">
        <v>56.090593454465015</v>
      </c>
      <c r="C481" s="7">
        <v>0.58323207776427699</v>
      </c>
      <c r="E481">
        <v>56.090593454465015</v>
      </c>
      <c r="F481">
        <f t="shared" si="7"/>
        <v>0.58323207776427699</v>
      </c>
    </row>
    <row r="482" spans="1:6" ht="120" x14ac:dyDescent="0.25">
      <c r="A482" s="4" t="s">
        <v>3828</v>
      </c>
      <c r="B482">
        <v>56.25</v>
      </c>
      <c r="C482" s="7">
        <v>0.58444714459295266</v>
      </c>
      <c r="E482">
        <v>56.25</v>
      </c>
      <c r="F482">
        <f t="shared" si="7"/>
        <v>0.58444714459295266</v>
      </c>
    </row>
    <row r="483" spans="1:6" ht="105" x14ac:dyDescent="0.25">
      <c r="A483" s="4" t="s">
        <v>3557</v>
      </c>
      <c r="B483">
        <v>56.273110118366674</v>
      </c>
      <c r="C483" s="7">
        <v>0.58566221142162822</v>
      </c>
      <c r="E483">
        <v>56.273110118366674</v>
      </c>
      <c r="F483">
        <f t="shared" si="7"/>
        <v>0.58566221142162822</v>
      </c>
    </row>
    <row r="484" spans="1:6" ht="90" x14ac:dyDescent="0.25">
      <c r="A484" s="4" t="s">
        <v>3807</v>
      </c>
      <c r="B484">
        <v>56.44712485087377</v>
      </c>
      <c r="C484" s="7">
        <v>0.58687727825030378</v>
      </c>
      <c r="E484">
        <v>56.44712485087377</v>
      </c>
      <c r="F484">
        <f t="shared" si="7"/>
        <v>0.58687727825030378</v>
      </c>
    </row>
    <row r="485" spans="1:6" ht="120" x14ac:dyDescent="0.25">
      <c r="A485" s="4" t="s">
        <v>3425</v>
      </c>
      <c r="B485">
        <v>56.498564780568998</v>
      </c>
      <c r="C485" s="7">
        <v>0.58809234507897934</v>
      </c>
      <c r="E485">
        <v>56.498564780568998</v>
      </c>
      <c r="F485">
        <f t="shared" si="7"/>
        <v>0.58809234507897934</v>
      </c>
    </row>
    <row r="486" spans="1:6" ht="105" x14ac:dyDescent="0.25">
      <c r="A486" s="4" t="s">
        <v>3693</v>
      </c>
      <c r="B486">
        <v>56.515806641899886</v>
      </c>
      <c r="C486" s="7">
        <v>0.5893074119076549</v>
      </c>
      <c r="E486">
        <v>56.515806641899886</v>
      </c>
      <c r="F486">
        <f t="shared" si="7"/>
        <v>0.5893074119076549</v>
      </c>
    </row>
    <row r="487" spans="1:6" ht="120" x14ac:dyDescent="0.25">
      <c r="A487" s="4" t="s">
        <v>3761</v>
      </c>
      <c r="B487">
        <v>56.628941780650123</v>
      </c>
      <c r="C487" s="7">
        <v>0.59052247873633046</v>
      </c>
      <c r="E487">
        <v>56.628941780650123</v>
      </c>
      <c r="F487">
        <f t="shared" si="7"/>
        <v>0.59052247873633046</v>
      </c>
    </row>
    <row r="488" spans="1:6" ht="105" x14ac:dyDescent="0.25">
      <c r="A488" s="4" t="s">
        <v>3502</v>
      </c>
      <c r="B488">
        <v>56.633887463171526</v>
      </c>
      <c r="C488" s="7">
        <v>0.59173754556500613</v>
      </c>
      <c r="E488">
        <v>56.633887463171526</v>
      </c>
      <c r="F488">
        <f t="shared" si="7"/>
        <v>0.59173754556500613</v>
      </c>
    </row>
    <row r="489" spans="1:6" ht="105" x14ac:dyDescent="0.25">
      <c r="A489" s="4" t="s">
        <v>3208</v>
      </c>
      <c r="B489">
        <v>56.673298343206028</v>
      </c>
      <c r="C489" s="7">
        <v>0.59295261239368169</v>
      </c>
      <c r="E489">
        <v>56.673298343206028</v>
      </c>
      <c r="F489">
        <f t="shared" si="7"/>
        <v>0.59295261239368169</v>
      </c>
    </row>
    <row r="490" spans="1:6" ht="90" x14ac:dyDescent="0.25">
      <c r="A490" s="4" t="s">
        <v>3841</v>
      </c>
      <c r="B490">
        <v>56.725425343355646</v>
      </c>
      <c r="C490" s="7">
        <v>0.59416767922235725</v>
      </c>
      <c r="E490">
        <v>56.725425343355646</v>
      </c>
      <c r="F490">
        <f t="shared" si="7"/>
        <v>0.59416767922235725</v>
      </c>
    </row>
    <row r="491" spans="1:6" ht="120" x14ac:dyDescent="0.25">
      <c r="A491" s="4" t="s">
        <v>3118</v>
      </c>
      <c r="B491">
        <v>56.772237181015207</v>
      </c>
      <c r="C491" s="7">
        <v>0.59538274605103281</v>
      </c>
      <c r="E491">
        <v>56.772237181015207</v>
      </c>
      <c r="F491">
        <f t="shared" si="7"/>
        <v>0.59538274605103281</v>
      </c>
    </row>
    <row r="492" spans="1:6" ht="105" x14ac:dyDescent="0.25">
      <c r="A492" s="4" t="s">
        <v>3074</v>
      </c>
      <c r="B492">
        <v>57.046566241974638</v>
      </c>
      <c r="C492" s="7">
        <v>0.59659781287970837</v>
      </c>
      <c r="E492">
        <v>57.046566241974638</v>
      </c>
      <c r="F492">
        <f t="shared" si="7"/>
        <v>0.59659781287970837</v>
      </c>
    </row>
    <row r="493" spans="1:6" ht="120" x14ac:dyDescent="0.25">
      <c r="A493" s="4" t="s">
        <v>3134</v>
      </c>
      <c r="B493">
        <v>57.150177694423682</v>
      </c>
      <c r="C493" s="7">
        <v>0.59781287970838393</v>
      </c>
      <c r="E493">
        <v>57.150177694423682</v>
      </c>
      <c r="F493">
        <f t="shared" si="7"/>
        <v>0.59781287970838393</v>
      </c>
    </row>
    <row r="494" spans="1:6" ht="120" x14ac:dyDescent="0.25">
      <c r="A494" s="4" t="s">
        <v>3664</v>
      </c>
      <c r="B494">
        <v>57.154056820045689</v>
      </c>
      <c r="C494" s="7">
        <v>0.59902794653705949</v>
      </c>
      <c r="E494">
        <v>57.154056820045689</v>
      </c>
      <c r="F494">
        <f t="shared" si="7"/>
        <v>0.59902794653705949</v>
      </c>
    </row>
    <row r="495" spans="1:6" ht="90" x14ac:dyDescent="0.25">
      <c r="A495" s="4" t="s">
        <v>3844</v>
      </c>
      <c r="B495">
        <v>57.334591194591951</v>
      </c>
      <c r="C495" s="7">
        <v>0.60024301336573516</v>
      </c>
      <c r="E495">
        <v>57.334591194591951</v>
      </c>
      <c r="F495">
        <f t="shared" si="7"/>
        <v>0.60024301336573516</v>
      </c>
    </row>
    <row r="496" spans="1:6" ht="105" x14ac:dyDescent="0.25">
      <c r="A496" s="4" t="s">
        <v>3284</v>
      </c>
      <c r="B496">
        <v>57.339333333333336</v>
      </c>
      <c r="C496" s="7">
        <v>0.60145808019441072</v>
      </c>
      <c r="E496">
        <v>57.339333333333336</v>
      </c>
      <c r="F496">
        <f t="shared" si="7"/>
        <v>0.60145808019441072</v>
      </c>
    </row>
    <row r="497" spans="1:6" ht="105" x14ac:dyDescent="0.25">
      <c r="A497" s="4" t="s">
        <v>3549</v>
      </c>
      <c r="B497">
        <v>57.412666666666667</v>
      </c>
      <c r="C497" s="7">
        <v>0.60267314702308628</v>
      </c>
      <c r="E497">
        <v>57.412666666666667</v>
      </c>
      <c r="F497">
        <f t="shared" si="7"/>
        <v>0.60267314702308628</v>
      </c>
    </row>
    <row r="498" spans="1:6" ht="120" x14ac:dyDescent="0.25">
      <c r="A498" s="4" t="s">
        <v>3381</v>
      </c>
      <c r="B498">
        <v>57.414747903850845</v>
      </c>
      <c r="C498" s="7">
        <v>0.60388821385176183</v>
      </c>
      <c r="E498">
        <v>57.414747903850845</v>
      </c>
      <c r="F498">
        <f t="shared" si="7"/>
        <v>0.60388821385176183</v>
      </c>
    </row>
    <row r="499" spans="1:6" ht="120" x14ac:dyDescent="0.25">
      <c r="A499" s="4" t="s">
        <v>3733</v>
      </c>
      <c r="B499">
        <v>57.419458834002427</v>
      </c>
      <c r="C499" s="7">
        <v>0.60510328068043739</v>
      </c>
      <c r="E499">
        <v>57.419458834002427</v>
      </c>
      <c r="F499">
        <f t="shared" si="7"/>
        <v>0.60510328068043739</v>
      </c>
    </row>
    <row r="500" spans="1:6" ht="120" x14ac:dyDescent="0.25">
      <c r="A500" s="4" t="s">
        <v>3678</v>
      </c>
      <c r="B500">
        <v>57.445967097305278</v>
      </c>
      <c r="C500" s="7">
        <v>0.60631834750911295</v>
      </c>
      <c r="E500">
        <v>57.445967097305278</v>
      </c>
      <c r="F500">
        <f t="shared" si="7"/>
        <v>0.60631834750911295</v>
      </c>
    </row>
    <row r="501" spans="1:6" ht="120" x14ac:dyDescent="0.25">
      <c r="A501" s="4" t="s">
        <v>3437</v>
      </c>
      <c r="B501">
        <v>57.452886289752719</v>
      </c>
      <c r="C501" s="7">
        <v>0.60753341433778862</v>
      </c>
      <c r="E501">
        <v>57.452886289752719</v>
      </c>
      <c r="F501">
        <f t="shared" si="7"/>
        <v>0.60753341433778862</v>
      </c>
    </row>
    <row r="502" spans="1:6" ht="105" x14ac:dyDescent="0.25">
      <c r="A502" s="4" t="s">
        <v>3070</v>
      </c>
      <c r="B502">
        <v>57.495866465261074</v>
      </c>
      <c r="C502" s="7">
        <v>0.60874848116646418</v>
      </c>
      <c r="E502">
        <v>57.495866465261074</v>
      </c>
      <c r="F502">
        <f t="shared" si="7"/>
        <v>0.60874848116646418</v>
      </c>
    </row>
    <row r="503" spans="1:6" ht="120" x14ac:dyDescent="0.25">
      <c r="A503" s="4" t="s">
        <v>3815</v>
      </c>
      <c r="B503">
        <v>57.505550426058193</v>
      </c>
      <c r="C503" s="7">
        <v>0.60996354799513974</v>
      </c>
      <c r="E503">
        <v>57.505550426058193</v>
      </c>
      <c r="F503">
        <f t="shared" si="7"/>
        <v>0.60996354799513974</v>
      </c>
    </row>
    <row r="504" spans="1:6" ht="120" x14ac:dyDescent="0.25">
      <c r="A504" s="4" t="s">
        <v>3399</v>
      </c>
      <c r="B504">
        <v>57.55712066512065</v>
      </c>
      <c r="C504" s="7">
        <v>0.6111786148238153</v>
      </c>
      <c r="E504">
        <v>57.55712066512065</v>
      </c>
      <c r="F504">
        <f t="shared" si="7"/>
        <v>0.6111786148238153</v>
      </c>
    </row>
    <row r="505" spans="1:6" ht="105" x14ac:dyDescent="0.25">
      <c r="A505" s="4" t="s">
        <v>3794</v>
      </c>
      <c r="B505">
        <v>57.558997559026338</v>
      </c>
      <c r="C505" s="7">
        <v>0.61239368165249086</v>
      </c>
      <c r="E505">
        <v>57.558997559026338</v>
      </c>
      <c r="F505">
        <f t="shared" si="7"/>
        <v>0.61239368165249086</v>
      </c>
    </row>
    <row r="506" spans="1:6" ht="120" x14ac:dyDescent="0.25">
      <c r="A506" s="4" t="s">
        <v>3302</v>
      </c>
      <c r="B506">
        <v>57.605899007294354</v>
      </c>
      <c r="C506" s="7">
        <v>0.61360874848116642</v>
      </c>
      <c r="E506">
        <v>57.605899007294354</v>
      </c>
      <c r="F506">
        <f t="shared" si="7"/>
        <v>0.61360874848116642</v>
      </c>
    </row>
    <row r="507" spans="1:6" ht="105" x14ac:dyDescent="0.25">
      <c r="A507" s="4" t="s">
        <v>3699</v>
      </c>
      <c r="B507">
        <v>57.911623185678366</v>
      </c>
      <c r="C507" s="7">
        <v>0.61482381530984209</v>
      </c>
      <c r="E507">
        <v>57.911623185678366</v>
      </c>
      <c r="F507">
        <f t="shared" si="7"/>
        <v>0.61482381530984209</v>
      </c>
    </row>
    <row r="508" spans="1:6" ht="105" x14ac:dyDescent="0.25">
      <c r="A508" s="4" t="s">
        <v>3348</v>
      </c>
      <c r="B508">
        <v>57.948290621595667</v>
      </c>
      <c r="C508" s="7">
        <v>0.61603888213851765</v>
      </c>
      <c r="E508">
        <v>57.948290621595667</v>
      </c>
      <c r="F508">
        <f t="shared" si="7"/>
        <v>0.61603888213851765</v>
      </c>
    </row>
    <row r="509" spans="1:6" ht="120" x14ac:dyDescent="0.25">
      <c r="A509" s="4" t="s">
        <v>3210</v>
      </c>
      <c r="B509">
        <v>57.981449026167752</v>
      </c>
      <c r="C509" s="7">
        <v>0.61725394896719321</v>
      </c>
      <c r="E509">
        <v>57.981449026167752</v>
      </c>
      <c r="F509">
        <f t="shared" si="7"/>
        <v>0.61725394896719321</v>
      </c>
    </row>
    <row r="510" spans="1:6" ht="120" x14ac:dyDescent="0.25">
      <c r="A510" s="4" t="s">
        <v>3597</v>
      </c>
      <c r="B510">
        <v>58.082186239844653</v>
      </c>
      <c r="C510" s="7">
        <v>0.61846901579586877</v>
      </c>
      <c r="E510">
        <v>58.082186239844653</v>
      </c>
      <c r="F510">
        <f t="shared" si="7"/>
        <v>0.61846901579586877</v>
      </c>
    </row>
    <row r="511" spans="1:6" ht="120" x14ac:dyDescent="0.25">
      <c r="A511" s="4" t="s">
        <v>3126</v>
      </c>
      <c r="B511">
        <v>58.095086304577592</v>
      </c>
      <c r="C511" s="7">
        <v>0.61968408262454433</v>
      </c>
      <c r="E511">
        <v>58.095086304577592</v>
      </c>
      <c r="F511">
        <f t="shared" si="7"/>
        <v>0.61968408262454433</v>
      </c>
    </row>
    <row r="512" spans="1:6" ht="120" x14ac:dyDescent="0.25">
      <c r="A512" s="4" t="s">
        <v>3705</v>
      </c>
      <c r="B512">
        <v>58.13559819788636</v>
      </c>
      <c r="C512" s="7">
        <v>0.62089914945321989</v>
      </c>
      <c r="E512">
        <v>58.13559819788636</v>
      </c>
      <c r="F512">
        <f t="shared" si="7"/>
        <v>0.62089914945321989</v>
      </c>
    </row>
    <row r="513" spans="1:6" ht="120" x14ac:dyDescent="0.25">
      <c r="A513" s="4" t="s">
        <v>3803</v>
      </c>
      <c r="B513">
        <v>58.164183304853069</v>
      </c>
      <c r="C513" s="7">
        <v>0.62211421628189545</v>
      </c>
      <c r="E513">
        <v>58.164183304853069</v>
      </c>
      <c r="F513">
        <f t="shared" si="7"/>
        <v>0.62211421628189545</v>
      </c>
    </row>
    <row r="514" spans="1:6" ht="105" x14ac:dyDescent="0.25">
      <c r="A514" s="4" t="s">
        <v>3066</v>
      </c>
      <c r="B514">
        <v>58.445255185943026</v>
      </c>
      <c r="C514" s="7">
        <v>0.62332928311057112</v>
      </c>
      <c r="E514">
        <v>58.445255185943026</v>
      </c>
      <c r="F514">
        <f t="shared" si="7"/>
        <v>0.62332928311057112</v>
      </c>
    </row>
    <row r="515" spans="1:6" ht="105" x14ac:dyDescent="0.25">
      <c r="A515" s="4" t="s">
        <v>3646</v>
      </c>
      <c r="B515">
        <v>58.552871563693863</v>
      </c>
      <c r="C515" s="7">
        <v>0.62454434993924668</v>
      </c>
      <c r="E515">
        <v>58.552871563693863</v>
      </c>
      <c r="F515">
        <f t="shared" ref="F515:F578" si="8">_xlfn.RANK.EQ(E515,$E$2:$E$824,1)/COUNT($E$2:$E$824)</f>
        <v>0.62454434993924668</v>
      </c>
    </row>
    <row r="516" spans="1:6" ht="105" x14ac:dyDescent="0.25">
      <c r="A516" s="4" t="s">
        <v>3170</v>
      </c>
      <c r="B516">
        <v>58.607705180236387</v>
      </c>
      <c r="C516" s="7">
        <v>0.62575941676792224</v>
      </c>
      <c r="E516">
        <v>58.607705180236387</v>
      </c>
      <c r="F516">
        <f t="shared" si="8"/>
        <v>0.62575941676792224</v>
      </c>
    </row>
    <row r="517" spans="1:6" ht="120" x14ac:dyDescent="0.25">
      <c r="A517" s="4" t="s">
        <v>3731</v>
      </c>
      <c r="B517">
        <v>58.614657223640464</v>
      </c>
      <c r="C517" s="7">
        <v>0.6269744835965978</v>
      </c>
      <c r="E517">
        <v>58.614657223640464</v>
      </c>
      <c r="F517">
        <f t="shared" si="8"/>
        <v>0.6269744835965978</v>
      </c>
    </row>
    <row r="518" spans="1:6" ht="105" x14ac:dyDescent="0.25">
      <c r="A518" s="4" t="s">
        <v>3648</v>
      </c>
      <c r="B518">
        <v>58.618155031468589</v>
      </c>
      <c r="C518" s="7">
        <v>0.62818955042527336</v>
      </c>
      <c r="E518">
        <v>58.618155031468589</v>
      </c>
      <c r="F518">
        <f t="shared" si="8"/>
        <v>0.62818955042527336</v>
      </c>
    </row>
    <row r="519" spans="1:6" ht="105" x14ac:dyDescent="0.25">
      <c r="A519" s="4" t="s">
        <v>3367</v>
      </c>
      <c r="B519">
        <v>58.744130306055659</v>
      </c>
      <c r="C519" s="7">
        <v>0.62940461725394892</v>
      </c>
      <c r="E519">
        <v>58.744130306055659</v>
      </c>
      <c r="F519">
        <f t="shared" si="8"/>
        <v>0.62940461725394892</v>
      </c>
    </row>
    <row r="520" spans="1:6" ht="105" x14ac:dyDescent="0.25">
      <c r="A520" s="4" t="s">
        <v>3369</v>
      </c>
      <c r="B520">
        <v>58.764261251139345</v>
      </c>
      <c r="C520" s="7">
        <v>0.63061968408262459</v>
      </c>
      <c r="E520">
        <v>58.764261251139345</v>
      </c>
      <c r="F520">
        <f t="shared" si="8"/>
        <v>0.63061968408262459</v>
      </c>
    </row>
    <row r="521" spans="1:6" ht="105" x14ac:dyDescent="0.25">
      <c r="A521" s="4" t="s">
        <v>3632</v>
      </c>
      <c r="B521">
        <v>58.810626107994167</v>
      </c>
      <c r="C521" s="7">
        <v>0.63183475091130015</v>
      </c>
      <c r="E521">
        <v>58.810626107994167</v>
      </c>
      <c r="F521">
        <f t="shared" si="8"/>
        <v>0.63183475091130015</v>
      </c>
    </row>
    <row r="522" spans="1:6" ht="120" x14ac:dyDescent="0.25">
      <c r="A522" s="4" t="s">
        <v>3409</v>
      </c>
      <c r="B522">
        <v>58.828082527015191</v>
      </c>
      <c r="C522" s="7">
        <v>0.63304981773997571</v>
      </c>
      <c r="E522">
        <v>58.828082527015191</v>
      </c>
      <c r="F522">
        <f t="shared" si="8"/>
        <v>0.63304981773997571</v>
      </c>
    </row>
    <row r="523" spans="1:6" ht="120" x14ac:dyDescent="0.25">
      <c r="A523" s="4" t="s">
        <v>3584</v>
      </c>
      <c r="B523">
        <v>58.853432229954969</v>
      </c>
      <c r="C523" s="7">
        <v>0.63426488456865127</v>
      </c>
      <c r="E523">
        <v>58.853432229954969</v>
      </c>
      <c r="F523">
        <f t="shared" si="8"/>
        <v>0.63426488456865127</v>
      </c>
    </row>
    <row r="524" spans="1:6" ht="105" x14ac:dyDescent="0.25">
      <c r="A524" s="4" t="s">
        <v>3541</v>
      </c>
      <c r="B524">
        <v>59.135240136624624</v>
      </c>
      <c r="C524" s="7">
        <v>0.63547995139732683</v>
      </c>
      <c r="E524">
        <v>59.135240136624624</v>
      </c>
      <c r="F524">
        <f t="shared" si="8"/>
        <v>0.63547995139732683</v>
      </c>
    </row>
    <row r="525" spans="1:6" ht="120" x14ac:dyDescent="0.25">
      <c r="A525" s="4" t="s">
        <v>3802</v>
      </c>
      <c r="B525">
        <v>59.196954072220407</v>
      </c>
      <c r="C525" s="7">
        <v>0.63669501822600238</v>
      </c>
      <c r="E525">
        <v>59.196954072220407</v>
      </c>
      <c r="F525">
        <f t="shared" si="8"/>
        <v>0.63669501822600238</v>
      </c>
    </row>
    <row r="526" spans="1:6" ht="105" x14ac:dyDescent="0.25">
      <c r="A526" s="4" t="s">
        <v>3236</v>
      </c>
      <c r="B526">
        <v>59.245292809502445</v>
      </c>
      <c r="C526" s="7">
        <v>0.63791008505467806</v>
      </c>
      <c r="E526">
        <v>59.245292809502445</v>
      </c>
      <c r="F526">
        <f t="shared" si="8"/>
        <v>0.63791008505467806</v>
      </c>
    </row>
    <row r="527" spans="1:6" ht="105" x14ac:dyDescent="0.25">
      <c r="A527" s="4" t="s">
        <v>3354</v>
      </c>
      <c r="B527">
        <v>59.437683356510838</v>
      </c>
      <c r="C527" s="7">
        <v>0.63912515188335361</v>
      </c>
      <c r="E527">
        <v>59.437683356510838</v>
      </c>
      <c r="F527">
        <f t="shared" si="8"/>
        <v>0.63912515188335361</v>
      </c>
    </row>
    <row r="528" spans="1:6" ht="120" x14ac:dyDescent="0.25">
      <c r="A528" s="4" t="s">
        <v>3722</v>
      </c>
      <c r="B528">
        <v>59.480058704363906</v>
      </c>
      <c r="C528" s="7">
        <v>0.64034021871202917</v>
      </c>
      <c r="E528">
        <v>59.480058704363906</v>
      </c>
      <c r="F528">
        <f t="shared" si="8"/>
        <v>0.64034021871202917</v>
      </c>
    </row>
    <row r="529" spans="1:6" ht="105" x14ac:dyDescent="0.25">
      <c r="A529" s="4" t="s">
        <v>3504</v>
      </c>
      <c r="B529">
        <v>59.59151028314426</v>
      </c>
      <c r="C529" s="7">
        <v>0.64155528554070473</v>
      </c>
      <c r="E529">
        <v>59.59151028314426</v>
      </c>
      <c r="F529">
        <f t="shared" si="8"/>
        <v>0.64155528554070473</v>
      </c>
    </row>
    <row r="530" spans="1:6" ht="105" x14ac:dyDescent="0.25">
      <c r="A530" s="4" t="s">
        <v>3148</v>
      </c>
      <c r="B530">
        <v>59.651710499120234</v>
      </c>
      <c r="C530" s="7">
        <v>0.64277035236938029</v>
      </c>
      <c r="E530">
        <v>59.651710499120234</v>
      </c>
      <c r="F530">
        <f t="shared" si="8"/>
        <v>0.64277035236938029</v>
      </c>
    </row>
    <row r="531" spans="1:6" ht="105" x14ac:dyDescent="0.25">
      <c r="A531" s="4" t="s">
        <v>3441</v>
      </c>
      <c r="B531">
        <v>59.661565728878081</v>
      </c>
      <c r="C531" s="7">
        <v>0.64398541919805585</v>
      </c>
      <c r="E531">
        <v>59.661565728878081</v>
      </c>
      <c r="F531">
        <f t="shared" si="8"/>
        <v>0.64398541919805585</v>
      </c>
    </row>
    <row r="532" spans="1:6" ht="90" x14ac:dyDescent="0.25">
      <c r="A532" s="4" t="s">
        <v>3857</v>
      </c>
      <c r="B532">
        <v>59.666024230301964</v>
      </c>
      <c r="C532" s="7">
        <v>0.64520048602673152</v>
      </c>
      <c r="E532">
        <v>59.666024230301964</v>
      </c>
      <c r="F532">
        <f t="shared" si="8"/>
        <v>0.64520048602673152</v>
      </c>
    </row>
    <row r="533" spans="1:6" ht="105" x14ac:dyDescent="0.25">
      <c r="A533" s="4" t="s">
        <v>3084</v>
      </c>
      <c r="B533">
        <v>59.708493254031012</v>
      </c>
      <c r="C533" s="7">
        <v>0.64641555285540708</v>
      </c>
      <c r="E533">
        <v>59.708493254031012</v>
      </c>
      <c r="F533">
        <f t="shared" si="8"/>
        <v>0.64641555285540708</v>
      </c>
    </row>
    <row r="534" spans="1:6" ht="120" x14ac:dyDescent="0.25">
      <c r="A534" s="4" t="s">
        <v>3068</v>
      </c>
      <c r="B534">
        <v>59.717070283674389</v>
      </c>
      <c r="C534" s="7">
        <v>0.64763061968408264</v>
      </c>
      <c r="E534">
        <v>59.717070283674389</v>
      </c>
      <c r="F534">
        <f t="shared" si="8"/>
        <v>0.64763061968408264</v>
      </c>
    </row>
    <row r="535" spans="1:6" ht="105" x14ac:dyDescent="0.25">
      <c r="A535" s="4" t="s">
        <v>3796</v>
      </c>
      <c r="B535">
        <v>59.735684047888839</v>
      </c>
      <c r="C535" s="7">
        <v>0.6488456865127582</v>
      </c>
      <c r="E535">
        <v>59.735684047888839</v>
      </c>
      <c r="F535">
        <f t="shared" si="8"/>
        <v>0.6488456865127582</v>
      </c>
    </row>
    <row r="536" spans="1:6" ht="120" x14ac:dyDescent="0.25">
      <c r="A536" s="4" t="s">
        <v>3188</v>
      </c>
      <c r="B536">
        <v>59.839406012595909</v>
      </c>
      <c r="C536" s="7">
        <v>0.65006075334143376</v>
      </c>
      <c r="E536">
        <v>59.839406012595909</v>
      </c>
      <c r="F536">
        <f t="shared" si="8"/>
        <v>0.65006075334143376</v>
      </c>
    </row>
    <row r="537" spans="1:6" ht="90" x14ac:dyDescent="0.25">
      <c r="A537" s="4" t="s">
        <v>3314</v>
      </c>
      <c r="B537">
        <v>59.890704624866146</v>
      </c>
      <c r="C537" s="7">
        <v>0.65127582017010932</v>
      </c>
      <c r="E537">
        <v>59.890704624866146</v>
      </c>
      <c r="F537">
        <f t="shared" si="8"/>
        <v>0.65127582017010932</v>
      </c>
    </row>
    <row r="538" spans="1:6" ht="105" x14ac:dyDescent="0.25">
      <c r="A538" s="4" t="s">
        <v>3494</v>
      </c>
      <c r="B538">
        <v>59.902694461005048</v>
      </c>
      <c r="C538" s="7">
        <v>0.65249088699878488</v>
      </c>
      <c r="E538">
        <v>59.902694461005048</v>
      </c>
      <c r="F538">
        <f t="shared" si="8"/>
        <v>0.65249088699878488</v>
      </c>
    </row>
    <row r="539" spans="1:6" ht="105" x14ac:dyDescent="0.25">
      <c r="A539" s="4" t="s">
        <v>3851</v>
      </c>
      <c r="B539">
        <v>60.032781724266272</v>
      </c>
      <c r="C539" s="7">
        <v>0.65370595382746055</v>
      </c>
      <c r="E539">
        <v>60.032781724266272</v>
      </c>
      <c r="F539">
        <f t="shared" si="8"/>
        <v>0.65370595382746055</v>
      </c>
    </row>
    <row r="540" spans="1:6" ht="120" x14ac:dyDescent="0.25">
      <c r="A540" s="4" t="s">
        <v>3090</v>
      </c>
      <c r="B540">
        <v>60.035738899327995</v>
      </c>
      <c r="C540" s="7">
        <v>0.65492102065613611</v>
      </c>
      <c r="E540">
        <v>60.035738899327995</v>
      </c>
      <c r="F540">
        <f t="shared" si="8"/>
        <v>0.65492102065613611</v>
      </c>
    </row>
    <row r="541" spans="1:6" ht="105" x14ac:dyDescent="0.25">
      <c r="A541" s="4" t="s">
        <v>3433</v>
      </c>
      <c r="B541">
        <v>60.060358842143991</v>
      </c>
      <c r="C541" s="7">
        <v>0.65613608748481167</v>
      </c>
      <c r="E541">
        <v>60.060358842143991</v>
      </c>
      <c r="F541">
        <f t="shared" si="8"/>
        <v>0.65613608748481167</v>
      </c>
    </row>
    <row r="542" spans="1:6" ht="120" x14ac:dyDescent="0.25">
      <c r="A542" s="4" t="s">
        <v>3361</v>
      </c>
      <c r="B542">
        <v>60.106586966797188</v>
      </c>
      <c r="C542" s="7">
        <v>0.65735115431348723</v>
      </c>
      <c r="E542">
        <v>60.106586966797188</v>
      </c>
      <c r="F542">
        <f t="shared" si="8"/>
        <v>0.65735115431348723</v>
      </c>
    </row>
    <row r="543" spans="1:6" ht="105" x14ac:dyDescent="0.25">
      <c r="A543" s="4" t="s">
        <v>3682</v>
      </c>
      <c r="B543">
        <v>60.111167784616192</v>
      </c>
      <c r="C543" s="7">
        <v>0.65856622114216279</v>
      </c>
      <c r="E543">
        <v>60.111167784616192</v>
      </c>
      <c r="F543">
        <f t="shared" si="8"/>
        <v>0.65856622114216279</v>
      </c>
    </row>
    <row r="544" spans="1:6" ht="120" x14ac:dyDescent="0.25">
      <c r="A544" s="4" t="s">
        <v>3296</v>
      </c>
      <c r="B544">
        <v>60.302788348208303</v>
      </c>
      <c r="C544" s="7">
        <v>0.65978128797083835</v>
      </c>
      <c r="E544">
        <v>60.302788348208303</v>
      </c>
      <c r="F544">
        <f t="shared" si="8"/>
        <v>0.65978128797083835</v>
      </c>
    </row>
    <row r="545" spans="1:6" ht="90" x14ac:dyDescent="0.25">
      <c r="A545" s="4" t="s">
        <v>3811</v>
      </c>
      <c r="B545">
        <v>60.410236004154704</v>
      </c>
      <c r="C545" s="7">
        <v>0.66099635479951402</v>
      </c>
      <c r="E545">
        <v>60.410236004154704</v>
      </c>
      <c r="F545">
        <f t="shared" si="8"/>
        <v>0.66099635479951402</v>
      </c>
    </row>
    <row r="546" spans="1:6" ht="120" x14ac:dyDescent="0.25">
      <c r="A546" s="4" t="s">
        <v>3365</v>
      </c>
      <c r="B546">
        <v>60.505731022689403</v>
      </c>
      <c r="C546" s="7">
        <v>0.66221142162818958</v>
      </c>
      <c r="E546">
        <v>60.505731022689403</v>
      </c>
      <c r="F546">
        <f t="shared" si="8"/>
        <v>0.66221142162818958</v>
      </c>
    </row>
    <row r="547" spans="1:6" ht="105" x14ac:dyDescent="0.25">
      <c r="A547" s="4" t="s">
        <v>3198</v>
      </c>
      <c r="B547">
        <v>60.650827598152418</v>
      </c>
      <c r="C547" s="7">
        <v>0.66342648845686514</v>
      </c>
      <c r="E547">
        <v>60.650827598152418</v>
      </c>
      <c r="F547">
        <f t="shared" si="8"/>
        <v>0.66342648845686514</v>
      </c>
    </row>
    <row r="548" spans="1:6" ht="90" x14ac:dyDescent="0.25">
      <c r="A548" s="4" t="s">
        <v>3816</v>
      </c>
      <c r="B548">
        <v>60.728495152847415</v>
      </c>
      <c r="C548" s="7">
        <v>0.6646415552855407</v>
      </c>
      <c r="E548">
        <v>60.728495152847415</v>
      </c>
      <c r="F548">
        <f t="shared" si="8"/>
        <v>0.6646415552855407</v>
      </c>
    </row>
    <row r="549" spans="1:6" ht="120" x14ac:dyDescent="0.25">
      <c r="A549" s="4" t="s">
        <v>3358</v>
      </c>
      <c r="B549">
        <v>60.751828609168619</v>
      </c>
      <c r="C549" s="7">
        <v>0.66585662211421626</v>
      </c>
      <c r="E549">
        <v>60.751828609168619</v>
      </c>
      <c r="F549">
        <f t="shared" si="8"/>
        <v>0.66585662211421626</v>
      </c>
    </row>
    <row r="550" spans="1:6" ht="120" x14ac:dyDescent="0.25">
      <c r="A550" s="4" t="s">
        <v>3334</v>
      </c>
      <c r="B550">
        <v>60.757423001819824</v>
      </c>
      <c r="C550" s="7">
        <v>0.66707168894289182</v>
      </c>
      <c r="E550">
        <v>60.757423001819824</v>
      </c>
      <c r="F550">
        <f t="shared" si="8"/>
        <v>0.66707168894289182</v>
      </c>
    </row>
    <row r="551" spans="1:6" ht="120" x14ac:dyDescent="0.25">
      <c r="A551" s="4" t="s">
        <v>3282</v>
      </c>
      <c r="B551">
        <v>60.856689740004022</v>
      </c>
      <c r="C551" s="7">
        <v>0.66828675577156749</v>
      </c>
      <c r="E551">
        <v>60.856689740004022</v>
      </c>
      <c r="F551">
        <f t="shared" si="8"/>
        <v>0.66828675577156749</v>
      </c>
    </row>
    <row r="552" spans="1:6" ht="120" x14ac:dyDescent="0.25">
      <c r="A552" s="4" t="s">
        <v>3830</v>
      </c>
      <c r="B552">
        <v>60.93056715827656</v>
      </c>
      <c r="C552" s="7">
        <v>0.66950182260024305</v>
      </c>
      <c r="E552">
        <v>60.93056715827656</v>
      </c>
      <c r="F552">
        <f t="shared" si="8"/>
        <v>0.66950182260024305</v>
      </c>
    </row>
    <row r="553" spans="1:6" ht="120" x14ac:dyDescent="0.25">
      <c r="A553" s="4" t="s">
        <v>3146</v>
      </c>
      <c r="B553">
        <v>60.984285714285718</v>
      </c>
      <c r="C553" s="7">
        <v>0.67071688942891861</v>
      </c>
      <c r="E553">
        <v>60.984285714285718</v>
      </c>
      <c r="F553">
        <f t="shared" si="8"/>
        <v>0.67071688942891861</v>
      </c>
    </row>
    <row r="554" spans="1:6" ht="120" x14ac:dyDescent="0.25">
      <c r="A554" s="4" t="s">
        <v>3419</v>
      </c>
      <c r="B554">
        <v>61.030546030576545</v>
      </c>
      <c r="C554" s="7">
        <v>0.67193195625759417</v>
      </c>
      <c r="E554">
        <v>61.030546030576545</v>
      </c>
      <c r="F554">
        <f t="shared" si="8"/>
        <v>0.67193195625759417</v>
      </c>
    </row>
    <row r="555" spans="1:6" ht="120" x14ac:dyDescent="0.25">
      <c r="A555" s="4" t="s">
        <v>3757</v>
      </c>
      <c r="B555">
        <v>61.071115444755613</v>
      </c>
      <c r="C555" s="7">
        <v>0.67314702308626972</v>
      </c>
      <c r="E555">
        <v>61.071115444755613</v>
      </c>
      <c r="F555">
        <f t="shared" si="8"/>
        <v>0.67314702308626972</v>
      </c>
    </row>
    <row r="556" spans="1:6" ht="120" x14ac:dyDescent="0.25">
      <c r="A556" s="4" t="s">
        <v>3288</v>
      </c>
      <c r="B556">
        <v>61.130758401111265</v>
      </c>
      <c r="C556" s="7">
        <v>0.67436208991494528</v>
      </c>
      <c r="E556">
        <v>61.130758401111265</v>
      </c>
      <c r="F556">
        <f t="shared" si="8"/>
        <v>0.67436208991494528</v>
      </c>
    </row>
    <row r="557" spans="1:6" ht="120" x14ac:dyDescent="0.25">
      <c r="A557" s="4" t="s">
        <v>3467</v>
      </c>
      <c r="B557">
        <v>61.16062942791531</v>
      </c>
      <c r="C557" s="7">
        <v>0.67557715674362095</v>
      </c>
      <c r="E557">
        <v>61.16062942791531</v>
      </c>
      <c r="F557">
        <f t="shared" si="8"/>
        <v>0.67557715674362095</v>
      </c>
    </row>
    <row r="558" spans="1:6" ht="105" x14ac:dyDescent="0.25">
      <c r="A558" s="4" t="s">
        <v>3837</v>
      </c>
      <c r="B558">
        <v>61.165464485290691</v>
      </c>
      <c r="C558" s="7">
        <v>0.67679222357229651</v>
      </c>
      <c r="E558">
        <v>61.165464485290691</v>
      </c>
      <c r="F558">
        <f t="shared" si="8"/>
        <v>0.67679222357229651</v>
      </c>
    </row>
    <row r="559" spans="1:6" ht="90" x14ac:dyDescent="0.25">
      <c r="A559" s="4" t="s">
        <v>3865</v>
      </c>
      <c r="B559">
        <v>61.302794636328613</v>
      </c>
      <c r="C559" s="7">
        <v>0.67800729040097207</v>
      </c>
      <c r="E559">
        <v>61.302794636328613</v>
      </c>
      <c r="F559">
        <f t="shared" si="8"/>
        <v>0.67800729040097207</v>
      </c>
    </row>
    <row r="560" spans="1:6" ht="105" x14ac:dyDescent="0.25">
      <c r="A560" s="4" t="s">
        <v>3832</v>
      </c>
      <c r="B560">
        <v>61.381134912841148</v>
      </c>
      <c r="C560" s="7">
        <v>0.67922235722964763</v>
      </c>
      <c r="E560">
        <v>61.381134912841148</v>
      </c>
      <c r="F560">
        <f t="shared" si="8"/>
        <v>0.67922235722964763</v>
      </c>
    </row>
    <row r="561" spans="1:6" ht="90" x14ac:dyDescent="0.25">
      <c r="A561" s="4" t="s">
        <v>3790</v>
      </c>
      <c r="B561">
        <v>61.42383622744962</v>
      </c>
      <c r="C561" s="7">
        <v>0.68043742405832319</v>
      </c>
      <c r="E561">
        <v>61.42383622744962</v>
      </c>
      <c r="F561">
        <f t="shared" si="8"/>
        <v>0.68043742405832319</v>
      </c>
    </row>
    <row r="562" spans="1:6" ht="105" x14ac:dyDescent="0.25">
      <c r="A562" s="4" t="s">
        <v>3128</v>
      </c>
      <c r="B562">
        <v>61.477155648799062</v>
      </c>
      <c r="C562" s="7">
        <v>0.68165249088699875</v>
      </c>
      <c r="E562">
        <v>61.477155648799062</v>
      </c>
      <c r="F562">
        <f t="shared" si="8"/>
        <v>0.68165249088699875</v>
      </c>
    </row>
    <row r="563" spans="1:6" ht="105" x14ac:dyDescent="0.25">
      <c r="A563" s="4" t="s">
        <v>3774</v>
      </c>
      <c r="B563">
        <v>61.478593395772705</v>
      </c>
      <c r="C563" s="7">
        <v>0.68286755771567431</v>
      </c>
      <c r="E563">
        <v>61.478593395772705</v>
      </c>
      <c r="F563">
        <f t="shared" si="8"/>
        <v>0.68286755771567431</v>
      </c>
    </row>
    <row r="564" spans="1:6" ht="105" x14ac:dyDescent="0.25">
      <c r="A564" s="4" t="s">
        <v>3725</v>
      </c>
      <c r="B564">
        <v>61.490668903539536</v>
      </c>
      <c r="C564" s="7">
        <v>0.68408262454434998</v>
      </c>
      <c r="E564">
        <v>61.490668903539536</v>
      </c>
      <c r="F564">
        <f t="shared" si="8"/>
        <v>0.68408262454434998</v>
      </c>
    </row>
    <row r="565" spans="1:6" ht="105" x14ac:dyDescent="0.25">
      <c r="A565" s="4" t="s">
        <v>3473</v>
      </c>
      <c r="B565">
        <v>61.542838404360651</v>
      </c>
      <c r="C565" s="7">
        <v>0.68529769137302554</v>
      </c>
      <c r="E565">
        <v>61.542838404360651</v>
      </c>
      <c r="F565">
        <f t="shared" si="8"/>
        <v>0.68529769137302554</v>
      </c>
    </row>
    <row r="566" spans="1:6" ht="105" x14ac:dyDescent="0.25">
      <c r="A566" s="4" t="s">
        <v>3704</v>
      </c>
      <c r="B566">
        <v>61.651949545173252</v>
      </c>
      <c r="C566" s="7">
        <v>0.6865127582017011</v>
      </c>
      <c r="E566">
        <v>61.651949545173252</v>
      </c>
      <c r="F566">
        <f t="shared" si="8"/>
        <v>0.6865127582017011</v>
      </c>
    </row>
    <row r="567" spans="1:6" ht="120" x14ac:dyDescent="0.25">
      <c r="A567" s="4" t="s">
        <v>3350</v>
      </c>
      <c r="B567">
        <v>61.673537875841113</v>
      </c>
      <c r="C567" s="7">
        <v>0.68772782503037666</v>
      </c>
      <c r="E567">
        <v>61.673537875841113</v>
      </c>
      <c r="F567">
        <f t="shared" si="8"/>
        <v>0.68772782503037666</v>
      </c>
    </row>
    <row r="568" spans="1:6" ht="120" x14ac:dyDescent="0.25">
      <c r="A568" s="4" t="s">
        <v>3266</v>
      </c>
      <c r="B568">
        <v>61.791502490229192</v>
      </c>
      <c r="C568" s="7">
        <v>0.68894289185905222</v>
      </c>
      <c r="E568">
        <v>61.791502490229192</v>
      </c>
      <c r="F568">
        <f t="shared" si="8"/>
        <v>0.68894289185905222</v>
      </c>
    </row>
    <row r="569" spans="1:6" ht="105" x14ac:dyDescent="0.25">
      <c r="A569" s="4" t="s">
        <v>3218</v>
      </c>
      <c r="B569">
        <v>61.844959013525219</v>
      </c>
      <c r="C569" s="7">
        <v>0.69015795868772778</v>
      </c>
      <c r="E569">
        <v>61.844959013525219</v>
      </c>
      <c r="F569">
        <f t="shared" si="8"/>
        <v>0.69015795868772778</v>
      </c>
    </row>
    <row r="570" spans="1:6" ht="105" x14ac:dyDescent="0.25">
      <c r="A570" s="4" t="s">
        <v>3332</v>
      </c>
      <c r="B570">
        <v>61.90729955815128</v>
      </c>
      <c r="C570" s="7">
        <v>0.69137302551640345</v>
      </c>
      <c r="E570">
        <v>61.90729955815128</v>
      </c>
      <c r="F570">
        <f t="shared" si="8"/>
        <v>0.69137302551640345</v>
      </c>
    </row>
    <row r="571" spans="1:6" ht="120" x14ac:dyDescent="0.25">
      <c r="A571" s="4" t="s">
        <v>3515</v>
      </c>
      <c r="B571">
        <v>61.914184965967216</v>
      </c>
      <c r="C571" s="7">
        <v>0.69258809234507901</v>
      </c>
      <c r="E571">
        <v>61.914184965967216</v>
      </c>
      <c r="F571">
        <f t="shared" si="8"/>
        <v>0.69258809234507901</v>
      </c>
    </row>
    <row r="572" spans="1:6" ht="120" x14ac:dyDescent="0.25">
      <c r="A572" s="4" t="s">
        <v>3858</v>
      </c>
      <c r="B572">
        <v>61.927824454042778</v>
      </c>
      <c r="C572" s="7">
        <v>0.69380315917375457</v>
      </c>
      <c r="E572">
        <v>61.927824454042778</v>
      </c>
      <c r="F572">
        <f t="shared" si="8"/>
        <v>0.69380315917375457</v>
      </c>
    </row>
    <row r="573" spans="1:6" ht="90" x14ac:dyDescent="0.25">
      <c r="A573" s="4" t="s">
        <v>3867</v>
      </c>
      <c r="B573">
        <v>61.928933613381126</v>
      </c>
      <c r="C573" s="7">
        <v>0.69501822600243013</v>
      </c>
      <c r="E573">
        <v>61.928933613381126</v>
      </c>
      <c r="F573">
        <f t="shared" si="8"/>
        <v>0.69501822600243013</v>
      </c>
    </row>
    <row r="574" spans="1:6" ht="105" x14ac:dyDescent="0.25">
      <c r="A574" s="4" t="s">
        <v>3106</v>
      </c>
      <c r="B574">
        <v>61.995730307040638</v>
      </c>
      <c r="C574" s="7">
        <v>0.69623329283110569</v>
      </c>
      <c r="E574">
        <v>61.995730307040638</v>
      </c>
      <c r="F574">
        <f t="shared" si="8"/>
        <v>0.69623329283110569</v>
      </c>
    </row>
    <row r="575" spans="1:6" ht="105" x14ac:dyDescent="0.25">
      <c r="A575" s="4" t="s">
        <v>3500</v>
      </c>
      <c r="B575">
        <v>62.152713709533458</v>
      </c>
      <c r="C575" s="7">
        <v>0.69744835965978125</v>
      </c>
      <c r="E575">
        <v>62.152713709533458</v>
      </c>
      <c r="F575">
        <f t="shared" si="8"/>
        <v>0.69744835965978125</v>
      </c>
    </row>
    <row r="576" spans="1:6" ht="120" x14ac:dyDescent="0.25">
      <c r="A576" s="4" t="s">
        <v>3530</v>
      </c>
      <c r="B576">
        <v>62.26920271089071</v>
      </c>
      <c r="C576" s="7">
        <v>0.69866342648845692</v>
      </c>
      <c r="E576">
        <v>62.26920271089071</v>
      </c>
      <c r="F576">
        <f t="shared" si="8"/>
        <v>0.69866342648845692</v>
      </c>
    </row>
    <row r="577" spans="1:6" ht="105" x14ac:dyDescent="0.25">
      <c r="A577" s="4" t="s">
        <v>3688</v>
      </c>
      <c r="B577">
        <v>62.502311568442018</v>
      </c>
      <c r="C577" s="7">
        <v>0.69987849331713248</v>
      </c>
      <c r="E577">
        <v>62.502311568442018</v>
      </c>
      <c r="F577">
        <f t="shared" si="8"/>
        <v>0.69987849331713248</v>
      </c>
    </row>
    <row r="578" spans="1:6" ht="90" x14ac:dyDescent="0.25">
      <c r="A578" s="4" t="s">
        <v>3824</v>
      </c>
      <c r="B578">
        <v>62.50802517473241</v>
      </c>
      <c r="C578" s="7">
        <v>0.70109356014580804</v>
      </c>
      <c r="E578">
        <v>62.50802517473241</v>
      </c>
      <c r="F578">
        <f t="shared" si="8"/>
        <v>0.70109356014580804</v>
      </c>
    </row>
    <row r="579" spans="1:6" ht="90" x14ac:dyDescent="0.25">
      <c r="A579" s="4" t="s">
        <v>3848</v>
      </c>
      <c r="B579">
        <v>62.59534954918923</v>
      </c>
      <c r="C579" s="7">
        <v>0.7023086269744836</v>
      </c>
      <c r="E579">
        <v>62.59534954918923</v>
      </c>
      <c r="F579">
        <f t="shared" ref="F579:F642" si="9">_xlfn.RANK.EQ(E579,$E$2:$E$824,1)/COUNT($E$2:$E$824)</f>
        <v>0.7023086269744836</v>
      </c>
    </row>
    <row r="580" spans="1:6" ht="105" x14ac:dyDescent="0.25">
      <c r="A580" s="4" t="s">
        <v>3469</v>
      </c>
      <c r="B580">
        <v>62.674935037975025</v>
      </c>
      <c r="C580" s="7">
        <v>0.70352369380315916</v>
      </c>
      <c r="E580">
        <v>62.674935037975025</v>
      </c>
      <c r="F580">
        <f t="shared" si="9"/>
        <v>0.70352369380315916</v>
      </c>
    </row>
    <row r="581" spans="1:6" ht="90" x14ac:dyDescent="0.25">
      <c r="A581" s="4" t="s">
        <v>3806</v>
      </c>
      <c r="B581">
        <v>62.713914508605669</v>
      </c>
      <c r="C581" s="7">
        <v>0.70473876063183472</v>
      </c>
      <c r="E581">
        <v>62.713914508605669</v>
      </c>
      <c r="F581">
        <f t="shared" si="9"/>
        <v>0.70473876063183472</v>
      </c>
    </row>
    <row r="582" spans="1:6" ht="105" x14ac:dyDescent="0.25">
      <c r="A582" s="4" t="s">
        <v>3833</v>
      </c>
      <c r="B582">
        <v>62.809677917982057</v>
      </c>
      <c r="C582" s="7">
        <v>0.70595382746051027</v>
      </c>
      <c r="E582">
        <v>62.809677917982057</v>
      </c>
      <c r="F582">
        <f t="shared" si="9"/>
        <v>0.70595382746051027</v>
      </c>
    </row>
    <row r="583" spans="1:6" ht="105" x14ac:dyDescent="0.25">
      <c r="A583" s="4" t="s">
        <v>3324</v>
      </c>
      <c r="B583">
        <v>62.898117267035154</v>
      </c>
      <c r="C583" s="7">
        <v>0.70716889428918595</v>
      </c>
      <c r="E583">
        <v>62.898117267035154</v>
      </c>
      <c r="F583">
        <f t="shared" si="9"/>
        <v>0.70716889428918595</v>
      </c>
    </row>
    <row r="584" spans="1:6" ht="105" x14ac:dyDescent="0.25">
      <c r="A584" s="4" t="s">
        <v>3356</v>
      </c>
      <c r="B584">
        <v>63.020625000000003</v>
      </c>
      <c r="C584" s="7">
        <v>0.7083839611178615</v>
      </c>
      <c r="E584">
        <v>63.020625000000003</v>
      </c>
      <c r="F584">
        <f t="shared" si="9"/>
        <v>0.7083839611178615</v>
      </c>
    </row>
    <row r="585" spans="1:6" ht="90" x14ac:dyDescent="0.25">
      <c r="A585" s="4" t="s">
        <v>3822</v>
      </c>
      <c r="B585">
        <v>63.129149227999918</v>
      </c>
      <c r="C585" s="7">
        <v>0.70959902794653706</v>
      </c>
      <c r="E585">
        <v>63.129149227999918</v>
      </c>
      <c r="F585">
        <f t="shared" si="9"/>
        <v>0.70959902794653706</v>
      </c>
    </row>
    <row r="586" spans="1:6" ht="120" x14ac:dyDescent="0.25">
      <c r="A586" s="4" t="s">
        <v>3391</v>
      </c>
      <c r="B586">
        <v>63.164815402506434</v>
      </c>
      <c r="C586" s="7">
        <v>0.71081409477521262</v>
      </c>
      <c r="E586">
        <v>63.164815402506434</v>
      </c>
      <c r="F586">
        <f t="shared" si="9"/>
        <v>0.71081409477521262</v>
      </c>
    </row>
    <row r="587" spans="1:6" ht="120" x14ac:dyDescent="0.25">
      <c r="A587" s="4" t="s">
        <v>3534</v>
      </c>
      <c r="B587">
        <v>63.234166666666674</v>
      </c>
      <c r="C587" s="7">
        <v>0.71202916160388818</v>
      </c>
      <c r="E587">
        <v>63.234166666666674</v>
      </c>
      <c r="F587">
        <f t="shared" si="9"/>
        <v>0.71202916160388818</v>
      </c>
    </row>
    <row r="588" spans="1:6" ht="120" x14ac:dyDescent="0.25">
      <c r="A588" s="4" t="s">
        <v>3120</v>
      </c>
      <c r="B588">
        <v>63.657840641239822</v>
      </c>
      <c r="C588" s="7">
        <v>0.71324422843256374</v>
      </c>
      <c r="E588">
        <v>63.657840641239822</v>
      </c>
      <c r="F588">
        <f t="shared" si="9"/>
        <v>0.71324422843256374</v>
      </c>
    </row>
    <row r="589" spans="1:6" ht="105" x14ac:dyDescent="0.25">
      <c r="A589" s="4" t="s">
        <v>3326</v>
      </c>
      <c r="B589">
        <v>63.723465222789002</v>
      </c>
      <c r="C589" s="7">
        <v>0.71445929526123941</v>
      </c>
      <c r="E589">
        <v>63.723465222789002</v>
      </c>
      <c r="F589">
        <f t="shared" si="9"/>
        <v>0.71445929526123941</v>
      </c>
    </row>
    <row r="590" spans="1:6" ht="120" x14ac:dyDescent="0.25">
      <c r="A590" s="4" t="s">
        <v>3706</v>
      </c>
      <c r="B590">
        <v>63.876959214122138</v>
      </c>
      <c r="C590" s="7">
        <v>0.71567436208991497</v>
      </c>
      <c r="E590">
        <v>63.876959214122138</v>
      </c>
      <c r="F590">
        <f t="shared" si="9"/>
        <v>0.71567436208991497</v>
      </c>
    </row>
    <row r="591" spans="1:6" ht="120" x14ac:dyDescent="0.25">
      <c r="A591" s="4" t="s">
        <v>3563</v>
      </c>
      <c r="B591">
        <v>64.006359423830745</v>
      </c>
      <c r="C591" s="7">
        <v>0.71688942891859053</v>
      </c>
      <c r="E591">
        <v>64.006359423830745</v>
      </c>
      <c r="F591">
        <f t="shared" si="9"/>
        <v>0.71688942891859053</v>
      </c>
    </row>
    <row r="592" spans="1:6" ht="105" x14ac:dyDescent="0.25">
      <c r="A592" s="4" t="s">
        <v>3200</v>
      </c>
      <c r="B592">
        <v>64.036232928600285</v>
      </c>
      <c r="C592" s="7">
        <v>0.71810449574726609</v>
      </c>
      <c r="E592">
        <v>64.036232928600285</v>
      </c>
      <c r="F592">
        <f t="shared" si="9"/>
        <v>0.71810449574726609</v>
      </c>
    </row>
    <row r="593" spans="1:6" ht="120" x14ac:dyDescent="0.25">
      <c r="A593" s="4" t="s">
        <v>3429</v>
      </c>
      <c r="B593">
        <v>64.046620365707497</v>
      </c>
      <c r="C593" s="7">
        <v>0.71931956257594165</v>
      </c>
      <c r="E593">
        <v>64.046620365707497</v>
      </c>
      <c r="F593">
        <f t="shared" si="9"/>
        <v>0.71931956257594165</v>
      </c>
    </row>
    <row r="594" spans="1:6" ht="120" x14ac:dyDescent="0.25">
      <c r="A594" s="4" t="s">
        <v>3318</v>
      </c>
      <c r="B594">
        <v>64.069958221553634</v>
      </c>
      <c r="C594" s="7">
        <v>0.72053462940461721</v>
      </c>
      <c r="E594">
        <v>64.069958221553634</v>
      </c>
      <c r="F594">
        <f t="shared" si="9"/>
        <v>0.72053462940461721</v>
      </c>
    </row>
    <row r="595" spans="1:6" ht="120" x14ac:dyDescent="0.25">
      <c r="A595" s="4" t="s">
        <v>3513</v>
      </c>
      <c r="B595">
        <v>64.279518120251097</v>
      </c>
      <c r="C595" s="7">
        <v>0.72174969623329288</v>
      </c>
      <c r="E595">
        <v>64.279518120251097</v>
      </c>
      <c r="F595">
        <f t="shared" si="9"/>
        <v>0.72174969623329288</v>
      </c>
    </row>
    <row r="596" spans="1:6" ht="120" x14ac:dyDescent="0.25">
      <c r="A596" s="4" t="s">
        <v>3782</v>
      </c>
      <c r="B596">
        <v>64.310139995571461</v>
      </c>
      <c r="C596" s="7">
        <v>0.72296476306196844</v>
      </c>
      <c r="E596">
        <v>64.310139995571461</v>
      </c>
      <c r="F596">
        <f t="shared" si="9"/>
        <v>0.72296476306196844</v>
      </c>
    </row>
    <row r="597" spans="1:6" ht="105" x14ac:dyDescent="0.25">
      <c r="A597" s="4" t="s">
        <v>3050</v>
      </c>
      <c r="B597">
        <v>64.458996067622721</v>
      </c>
      <c r="C597" s="7">
        <v>0.724179829890644</v>
      </c>
      <c r="E597">
        <v>64.458996067622721</v>
      </c>
      <c r="F597">
        <f t="shared" si="9"/>
        <v>0.724179829890644</v>
      </c>
    </row>
    <row r="598" spans="1:6" ht="105" x14ac:dyDescent="0.25">
      <c r="A598" s="4" t="s">
        <v>3630</v>
      </c>
      <c r="B598">
        <v>64.490326596593661</v>
      </c>
      <c r="C598" s="7">
        <v>0.72539489671931956</v>
      </c>
      <c r="E598">
        <v>64.490326596593661</v>
      </c>
      <c r="F598">
        <f t="shared" si="9"/>
        <v>0.72539489671931956</v>
      </c>
    </row>
    <row r="599" spans="1:6" ht="105" x14ac:dyDescent="0.25">
      <c r="A599" s="4" t="s">
        <v>3654</v>
      </c>
      <c r="B599">
        <v>64.521954273463635</v>
      </c>
      <c r="C599" s="7">
        <v>0.72660996354799512</v>
      </c>
      <c r="E599">
        <v>64.521954273463635</v>
      </c>
      <c r="F599">
        <f t="shared" si="9"/>
        <v>0.72660996354799512</v>
      </c>
    </row>
    <row r="600" spans="1:6" ht="120" x14ac:dyDescent="0.25">
      <c r="A600" s="4" t="s">
        <v>3703</v>
      </c>
      <c r="B600">
        <v>64.528844060081667</v>
      </c>
      <c r="C600" s="7">
        <v>0.72782503037667068</v>
      </c>
      <c r="E600">
        <v>64.528844060081667</v>
      </c>
      <c r="F600">
        <f t="shared" si="9"/>
        <v>0.72782503037667068</v>
      </c>
    </row>
    <row r="601" spans="1:6" ht="105" x14ac:dyDescent="0.25">
      <c r="A601" s="4" t="s">
        <v>3849</v>
      </c>
      <c r="B601">
        <v>64.627815060716571</v>
      </c>
      <c r="C601" s="7">
        <v>0.72904009720534635</v>
      </c>
      <c r="E601">
        <v>64.627815060716571</v>
      </c>
      <c r="F601">
        <f t="shared" si="9"/>
        <v>0.72904009720534635</v>
      </c>
    </row>
    <row r="602" spans="1:6" ht="105" x14ac:dyDescent="0.25">
      <c r="A602" s="4" t="s">
        <v>3694</v>
      </c>
      <c r="B602">
        <v>64.654494654526971</v>
      </c>
      <c r="C602" s="7">
        <v>0.73025516403402191</v>
      </c>
      <c r="E602">
        <v>64.654494654526971</v>
      </c>
      <c r="F602">
        <f t="shared" si="9"/>
        <v>0.73025516403402191</v>
      </c>
    </row>
    <row r="603" spans="1:6" ht="120" x14ac:dyDescent="0.25">
      <c r="A603" s="4" t="s">
        <v>3246</v>
      </c>
      <c r="B603">
        <v>64.661760009116932</v>
      </c>
      <c r="C603" s="7">
        <v>0.73147023086269747</v>
      </c>
      <c r="E603">
        <v>64.661760009116932</v>
      </c>
      <c r="F603">
        <f t="shared" si="9"/>
        <v>0.73147023086269747</v>
      </c>
    </row>
    <row r="604" spans="1:6" ht="90" x14ac:dyDescent="0.25">
      <c r="A604" s="4" t="s">
        <v>3780</v>
      </c>
      <c r="B604">
        <v>64.756674408006887</v>
      </c>
      <c r="C604" s="7">
        <v>0.73268529769137303</v>
      </c>
      <c r="E604">
        <v>64.756674408006887</v>
      </c>
      <c r="F604">
        <f t="shared" si="9"/>
        <v>0.73268529769137303</v>
      </c>
    </row>
    <row r="605" spans="1:6" ht="105" x14ac:dyDescent="0.25">
      <c r="A605" s="4" t="s">
        <v>3056</v>
      </c>
      <c r="B605">
        <v>64.813733298276759</v>
      </c>
      <c r="C605" s="7">
        <v>0.73390036452004859</v>
      </c>
      <c r="E605">
        <v>64.813733298276759</v>
      </c>
      <c r="F605">
        <f t="shared" si="9"/>
        <v>0.73390036452004859</v>
      </c>
    </row>
    <row r="606" spans="1:6" ht="105" x14ac:dyDescent="0.25">
      <c r="A606" s="4" t="s">
        <v>3407</v>
      </c>
      <c r="B606">
        <v>64.896249509445127</v>
      </c>
      <c r="C606" s="7">
        <v>0.73511543134872415</v>
      </c>
      <c r="E606">
        <v>64.896249509445127</v>
      </c>
      <c r="F606">
        <f t="shared" si="9"/>
        <v>0.73511543134872415</v>
      </c>
    </row>
    <row r="607" spans="1:6" ht="105" x14ac:dyDescent="0.25">
      <c r="A607" s="4" t="s">
        <v>3168</v>
      </c>
      <c r="B607">
        <v>64.948027142152625</v>
      </c>
      <c r="C607" s="7">
        <v>0.73633049817739971</v>
      </c>
      <c r="E607">
        <v>64.948027142152625</v>
      </c>
      <c r="F607">
        <f t="shared" si="9"/>
        <v>0.73633049817739971</v>
      </c>
    </row>
    <row r="608" spans="1:6" ht="105" x14ac:dyDescent="0.25">
      <c r="A608" s="4" t="s">
        <v>3561</v>
      </c>
      <c r="B608">
        <v>65.075875837857581</v>
      </c>
      <c r="C608" s="7">
        <v>0.73754556500607538</v>
      </c>
      <c r="E608">
        <v>65.075875837857581</v>
      </c>
      <c r="F608">
        <f t="shared" si="9"/>
        <v>0.73754556500607538</v>
      </c>
    </row>
    <row r="609" spans="1:6" ht="120" x14ac:dyDescent="0.25">
      <c r="A609" s="4" t="s">
        <v>3174</v>
      </c>
      <c r="B609">
        <v>65.08048572515591</v>
      </c>
      <c r="C609" s="7">
        <v>0.73876063183475094</v>
      </c>
      <c r="E609">
        <v>65.08048572515591</v>
      </c>
      <c r="F609">
        <f t="shared" si="9"/>
        <v>0.73876063183475094</v>
      </c>
    </row>
    <row r="610" spans="1:6" ht="120" x14ac:dyDescent="0.25">
      <c r="A610" s="4" t="s">
        <v>3588</v>
      </c>
      <c r="B610">
        <v>65.377616371795227</v>
      </c>
      <c r="C610" s="7">
        <v>0.7399756986634265</v>
      </c>
      <c r="E610">
        <v>65.377616371795227</v>
      </c>
      <c r="F610">
        <f t="shared" si="9"/>
        <v>0.7399756986634265</v>
      </c>
    </row>
    <row r="611" spans="1:6" ht="120" x14ac:dyDescent="0.25">
      <c r="A611" s="4" t="s">
        <v>3477</v>
      </c>
      <c r="B611">
        <v>65.392354582770523</v>
      </c>
      <c r="C611" s="7">
        <v>0.74119076549210205</v>
      </c>
      <c r="E611">
        <v>65.392354582770523</v>
      </c>
      <c r="F611">
        <f t="shared" si="9"/>
        <v>0.74119076549210205</v>
      </c>
    </row>
    <row r="612" spans="1:6" ht="120" x14ac:dyDescent="0.25">
      <c r="A612" s="4" t="s">
        <v>3808</v>
      </c>
      <c r="B612">
        <v>65.420312409430665</v>
      </c>
      <c r="C612" s="7">
        <v>0.74240583232077761</v>
      </c>
      <c r="E612">
        <v>65.420312409430665</v>
      </c>
      <c r="F612">
        <f t="shared" si="9"/>
        <v>0.74240583232077761</v>
      </c>
    </row>
    <row r="613" spans="1:6" ht="105" x14ac:dyDescent="0.25">
      <c r="A613" s="4" t="s">
        <v>3870</v>
      </c>
      <c r="B613">
        <v>65.42190484248512</v>
      </c>
      <c r="C613" s="7">
        <v>0.74362089914945317</v>
      </c>
      <c r="E613">
        <v>65.42190484248512</v>
      </c>
      <c r="F613">
        <f t="shared" si="9"/>
        <v>0.74362089914945317</v>
      </c>
    </row>
    <row r="614" spans="1:6" ht="105" x14ac:dyDescent="0.25">
      <c r="A614" s="4" t="s">
        <v>3248</v>
      </c>
      <c r="B614">
        <v>65.508697772171189</v>
      </c>
      <c r="C614" s="7">
        <v>0.74483596597812884</v>
      </c>
      <c r="E614">
        <v>65.508697772171189</v>
      </c>
      <c r="F614">
        <f t="shared" si="9"/>
        <v>0.74483596597812884</v>
      </c>
    </row>
    <row r="615" spans="1:6" ht="105" x14ac:dyDescent="0.25">
      <c r="A615" s="4" t="s">
        <v>3809</v>
      </c>
      <c r="B615">
        <v>65.626142923094349</v>
      </c>
      <c r="C615" s="7">
        <v>0.7460510328068044</v>
      </c>
      <c r="E615">
        <v>65.626142923094349</v>
      </c>
      <c r="F615">
        <f t="shared" si="9"/>
        <v>0.7460510328068044</v>
      </c>
    </row>
    <row r="616" spans="1:6" ht="105" x14ac:dyDescent="0.25">
      <c r="A616" s="4" t="s">
        <v>3108</v>
      </c>
      <c r="B616">
        <v>65.637652457928397</v>
      </c>
      <c r="C616" s="7">
        <v>0.74726609963547996</v>
      </c>
      <c r="E616">
        <v>65.637652457928397</v>
      </c>
      <c r="F616">
        <f t="shared" si="9"/>
        <v>0.74726609963547996</v>
      </c>
    </row>
    <row r="617" spans="1:6" ht="105" x14ac:dyDescent="0.25">
      <c r="A617" s="4" t="s">
        <v>3192</v>
      </c>
      <c r="B617">
        <v>65.71977794877553</v>
      </c>
      <c r="C617" s="7">
        <v>0.74848116646415552</v>
      </c>
      <c r="E617">
        <v>65.71977794877553</v>
      </c>
      <c r="F617">
        <f t="shared" si="9"/>
        <v>0.74848116646415552</v>
      </c>
    </row>
    <row r="618" spans="1:6" ht="105" x14ac:dyDescent="0.25">
      <c r="A618" s="4" t="s">
        <v>3692</v>
      </c>
      <c r="B618">
        <v>65.74949823900802</v>
      </c>
      <c r="C618" s="7">
        <v>0.74969623329283108</v>
      </c>
      <c r="E618">
        <v>65.74949823900802</v>
      </c>
      <c r="F618">
        <f t="shared" si="9"/>
        <v>0.74969623329283108</v>
      </c>
    </row>
    <row r="619" spans="1:6" ht="105" x14ac:dyDescent="0.25">
      <c r="A619" s="4" t="s">
        <v>3724</v>
      </c>
      <c r="B619">
        <v>65.916893904309788</v>
      </c>
      <c r="C619" s="7">
        <v>0.75091130012150664</v>
      </c>
      <c r="E619">
        <v>65.916893904309788</v>
      </c>
      <c r="F619">
        <f t="shared" si="9"/>
        <v>0.75091130012150664</v>
      </c>
    </row>
    <row r="620" spans="1:6" ht="105" x14ac:dyDescent="0.25">
      <c r="A620" s="4" t="s">
        <v>3788</v>
      </c>
      <c r="B620">
        <v>65.921980739472502</v>
      </c>
      <c r="C620" s="7">
        <v>0.75212636695018231</v>
      </c>
      <c r="E620">
        <v>65.921980739472502</v>
      </c>
      <c r="F620">
        <f t="shared" si="9"/>
        <v>0.75212636695018231</v>
      </c>
    </row>
    <row r="621" spans="1:6" ht="105" x14ac:dyDescent="0.25">
      <c r="A621" s="4" t="s">
        <v>3792</v>
      </c>
      <c r="B621">
        <v>66.052307588654756</v>
      </c>
      <c r="C621" s="7">
        <v>0.75334143377885787</v>
      </c>
      <c r="E621">
        <v>66.052307588654756</v>
      </c>
      <c r="F621">
        <f t="shared" si="9"/>
        <v>0.75334143377885787</v>
      </c>
    </row>
    <row r="622" spans="1:6" ht="105" x14ac:dyDescent="0.25">
      <c r="A622" s="4" t="s">
        <v>3124</v>
      </c>
      <c r="B622">
        <v>66.10152521448164</v>
      </c>
      <c r="C622" s="7">
        <v>0.75455650060753343</v>
      </c>
      <c r="E622">
        <v>66.10152521448164</v>
      </c>
      <c r="F622">
        <f t="shared" si="9"/>
        <v>0.75455650060753343</v>
      </c>
    </row>
    <row r="623" spans="1:6" ht="105" x14ac:dyDescent="0.25">
      <c r="A623" s="4" t="s">
        <v>3799</v>
      </c>
      <c r="B623">
        <v>66.172161188918508</v>
      </c>
      <c r="C623" s="7">
        <v>0.75577156743620899</v>
      </c>
      <c r="E623">
        <v>66.172161188918508</v>
      </c>
      <c r="F623">
        <f t="shared" si="9"/>
        <v>0.75577156743620899</v>
      </c>
    </row>
    <row r="624" spans="1:6" ht="105" x14ac:dyDescent="0.25">
      <c r="A624" s="4" t="s">
        <v>3310</v>
      </c>
      <c r="B624">
        <v>66.340543067118119</v>
      </c>
      <c r="C624" s="7">
        <v>0.75698663426488455</v>
      </c>
      <c r="E624">
        <v>66.340543067118119</v>
      </c>
      <c r="F624">
        <f t="shared" si="9"/>
        <v>0.75698663426488455</v>
      </c>
    </row>
    <row r="625" spans="1:6" ht="120" x14ac:dyDescent="0.25">
      <c r="A625" s="4" t="s">
        <v>3760</v>
      </c>
      <c r="B625">
        <v>66.418851573964531</v>
      </c>
      <c r="C625" s="7">
        <v>0.75820170109356011</v>
      </c>
      <c r="E625">
        <v>66.418851573964531</v>
      </c>
      <c r="F625">
        <f t="shared" si="9"/>
        <v>0.75820170109356011</v>
      </c>
    </row>
    <row r="626" spans="1:6" ht="120" x14ac:dyDescent="0.25">
      <c r="A626" s="4" t="s">
        <v>3610</v>
      </c>
      <c r="B626">
        <v>66.496400571255023</v>
      </c>
      <c r="C626" s="7">
        <v>0.75941676792223567</v>
      </c>
      <c r="E626">
        <v>66.496400571255023</v>
      </c>
      <c r="F626">
        <f t="shared" si="9"/>
        <v>0.75941676792223567</v>
      </c>
    </row>
    <row r="627" spans="1:6" ht="105" x14ac:dyDescent="0.25">
      <c r="A627" s="4" t="s">
        <v>3457</v>
      </c>
      <c r="B627">
        <v>66.508119097463222</v>
      </c>
      <c r="C627" s="7">
        <v>0.76063183475091134</v>
      </c>
      <c r="E627">
        <v>66.508119097463222</v>
      </c>
      <c r="F627">
        <f t="shared" si="9"/>
        <v>0.76063183475091134</v>
      </c>
    </row>
    <row r="628" spans="1:6" ht="120" x14ac:dyDescent="0.25">
      <c r="A628" s="4" t="s">
        <v>3528</v>
      </c>
      <c r="B628">
        <v>66.540829513443583</v>
      </c>
      <c r="C628" s="7">
        <v>0.7618469015795869</v>
      </c>
      <c r="E628">
        <v>66.540829513443583</v>
      </c>
      <c r="F628">
        <f t="shared" si="9"/>
        <v>0.7618469015795869</v>
      </c>
    </row>
    <row r="629" spans="1:6" ht="105" x14ac:dyDescent="0.25">
      <c r="A629" s="4" t="s">
        <v>3194</v>
      </c>
      <c r="B629">
        <v>66.646056871743923</v>
      </c>
      <c r="C629" s="7">
        <v>0.76306196840826246</v>
      </c>
      <c r="E629">
        <v>66.646056871743923</v>
      </c>
      <c r="F629">
        <f t="shared" si="9"/>
        <v>0.76306196840826246</v>
      </c>
    </row>
    <row r="630" spans="1:6" ht="105" x14ac:dyDescent="0.25">
      <c r="A630" s="4" t="s">
        <v>3752</v>
      </c>
      <c r="B630">
        <v>66.682741471868738</v>
      </c>
      <c r="C630" s="7">
        <v>0.76427703523693802</v>
      </c>
      <c r="E630">
        <v>66.682741471868738</v>
      </c>
      <c r="F630">
        <f t="shared" si="9"/>
        <v>0.76427703523693802</v>
      </c>
    </row>
    <row r="631" spans="1:6" ht="105" x14ac:dyDescent="0.25">
      <c r="A631" s="4" t="s">
        <v>3252</v>
      </c>
      <c r="B631">
        <v>66.795936642992388</v>
      </c>
      <c r="C631" s="7">
        <v>0.76549210206561358</v>
      </c>
      <c r="E631">
        <v>66.795936642992388</v>
      </c>
      <c r="F631">
        <f t="shared" si="9"/>
        <v>0.76549210206561358</v>
      </c>
    </row>
    <row r="632" spans="1:6" ht="105" x14ac:dyDescent="0.25">
      <c r="A632" s="4" t="s">
        <v>3058</v>
      </c>
      <c r="B632">
        <v>66.94264560054377</v>
      </c>
      <c r="C632" s="7">
        <v>0.76670716889428914</v>
      </c>
      <c r="E632">
        <v>66.94264560054377</v>
      </c>
      <c r="F632">
        <f t="shared" si="9"/>
        <v>0.76670716889428914</v>
      </c>
    </row>
    <row r="633" spans="1:6" ht="120" x14ac:dyDescent="0.25">
      <c r="A633" s="4" t="s">
        <v>3745</v>
      </c>
      <c r="B633">
        <v>67.093852323297256</v>
      </c>
      <c r="C633" s="7">
        <v>0.76792223572296481</v>
      </c>
      <c r="E633">
        <v>67.093852323297256</v>
      </c>
      <c r="F633">
        <f t="shared" si="9"/>
        <v>0.76792223572296481</v>
      </c>
    </row>
    <row r="634" spans="1:6" ht="90" x14ac:dyDescent="0.25">
      <c r="A634" s="4" t="s">
        <v>3872</v>
      </c>
      <c r="B634">
        <v>67.312157073032211</v>
      </c>
      <c r="C634" s="7">
        <v>0.76913730255164037</v>
      </c>
      <c r="E634">
        <v>67.312157073032211</v>
      </c>
      <c r="F634">
        <f t="shared" si="9"/>
        <v>0.76913730255164037</v>
      </c>
    </row>
    <row r="635" spans="1:6" ht="105" x14ac:dyDescent="0.25">
      <c r="A635" s="4" t="s">
        <v>3130</v>
      </c>
      <c r="B635">
        <v>67.553503068722463</v>
      </c>
      <c r="C635" s="7">
        <v>0.77035236938031593</v>
      </c>
      <c r="E635">
        <v>67.553503068722463</v>
      </c>
      <c r="F635">
        <f t="shared" si="9"/>
        <v>0.77035236938031593</v>
      </c>
    </row>
    <row r="636" spans="1:6" ht="120" x14ac:dyDescent="0.25">
      <c r="A636" s="4" t="s">
        <v>3571</v>
      </c>
      <c r="B636">
        <v>67.659485606159606</v>
      </c>
      <c r="C636" s="7">
        <v>0.77156743620899149</v>
      </c>
      <c r="E636">
        <v>67.659485606159606</v>
      </c>
      <c r="F636">
        <f t="shared" si="9"/>
        <v>0.77156743620899149</v>
      </c>
    </row>
    <row r="637" spans="1:6" ht="105" x14ac:dyDescent="0.25">
      <c r="A637" s="4" t="s">
        <v>3846</v>
      </c>
      <c r="B637">
        <v>67.714249568274738</v>
      </c>
      <c r="C637" s="7">
        <v>0.77278250303766705</v>
      </c>
      <c r="E637">
        <v>67.714249568274738</v>
      </c>
      <c r="F637">
        <f t="shared" si="9"/>
        <v>0.77278250303766705</v>
      </c>
    </row>
    <row r="638" spans="1:6" ht="105" x14ac:dyDescent="0.25">
      <c r="A638" s="4" t="s">
        <v>3431</v>
      </c>
      <c r="B638">
        <v>67.777208558629795</v>
      </c>
      <c r="C638" s="7">
        <v>0.77399756986634261</v>
      </c>
      <c r="E638">
        <v>67.777208558629795</v>
      </c>
      <c r="F638">
        <f t="shared" si="9"/>
        <v>0.77399756986634261</v>
      </c>
    </row>
    <row r="639" spans="1:6" ht="105" x14ac:dyDescent="0.25">
      <c r="A639" s="4" t="s">
        <v>3639</v>
      </c>
      <c r="B639">
        <v>67.833073245053001</v>
      </c>
      <c r="C639" s="7">
        <v>0.77521263669501828</v>
      </c>
      <c r="E639">
        <v>67.833073245053001</v>
      </c>
      <c r="F639">
        <f t="shared" si="9"/>
        <v>0.77521263669501828</v>
      </c>
    </row>
    <row r="640" spans="1:6" ht="105" x14ac:dyDescent="0.25">
      <c r="A640" s="4" t="s">
        <v>3094</v>
      </c>
      <c r="B640">
        <v>67.887797518467167</v>
      </c>
      <c r="C640" s="7">
        <v>0.77642770352369384</v>
      </c>
      <c r="E640">
        <v>67.887797518467167</v>
      </c>
      <c r="F640">
        <f t="shared" si="9"/>
        <v>0.77642770352369384</v>
      </c>
    </row>
    <row r="641" spans="1:6" ht="105" x14ac:dyDescent="0.25">
      <c r="A641" s="4" t="s">
        <v>3274</v>
      </c>
      <c r="B641">
        <v>67.974135423250956</v>
      </c>
      <c r="C641" s="7">
        <v>0.77764277035236939</v>
      </c>
      <c r="E641">
        <v>67.974135423250956</v>
      </c>
      <c r="F641">
        <f t="shared" si="9"/>
        <v>0.77764277035236939</v>
      </c>
    </row>
    <row r="642" spans="1:6" ht="90" x14ac:dyDescent="0.25">
      <c r="A642" s="4" t="s">
        <v>3866</v>
      </c>
      <c r="B642">
        <v>68.275442534877314</v>
      </c>
      <c r="C642" s="7">
        <v>0.77885783718104495</v>
      </c>
      <c r="E642">
        <v>68.275442534877314</v>
      </c>
      <c r="F642">
        <f t="shared" si="9"/>
        <v>0.77885783718104495</v>
      </c>
    </row>
    <row r="643" spans="1:6" ht="105" x14ac:dyDescent="0.25">
      <c r="A643" s="4" t="s">
        <v>3579</v>
      </c>
      <c r="B643">
        <v>68.338883163463549</v>
      </c>
      <c r="C643" s="7">
        <v>0.78007290400972051</v>
      </c>
      <c r="E643">
        <v>68.338883163463549</v>
      </c>
      <c r="F643">
        <f t="shared" ref="F643:F706" si="10">_xlfn.RANK.EQ(E643,$E$2:$E$824,1)/COUNT($E$2:$E$824)</f>
        <v>0.78007290400972051</v>
      </c>
    </row>
    <row r="644" spans="1:6" ht="120" x14ac:dyDescent="0.25">
      <c r="A644" s="4" t="s">
        <v>3523</v>
      </c>
      <c r="B644">
        <v>68.393124999999998</v>
      </c>
      <c r="C644" s="7">
        <v>0.78128797083839607</v>
      </c>
      <c r="E644">
        <v>68.393124999999998</v>
      </c>
      <c r="F644">
        <f t="shared" si="10"/>
        <v>0.78128797083839607</v>
      </c>
    </row>
    <row r="645" spans="1:6" ht="120" x14ac:dyDescent="0.25">
      <c r="A645" s="4" t="s">
        <v>3595</v>
      </c>
      <c r="B645">
        <v>68.395925941832331</v>
      </c>
      <c r="C645" s="7">
        <v>0.78250303766707174</v>
      </c>
      <c r="E645">
        <v>68.395925941832331</v>
      </c>
      <c r="F645">
        <f t="shared" si="10"/>
        <v>0.78250303766707174</v>
      </c>
    </row>
    <row r="646" spans="1:6" ht="105" x14ac:dyDescent="0.25">
      <c r="A646" s="4" t="s">
        <v>3566</v>
      </c>
      <c r="B646">
        <v>68.75513074206323</v>
      </c>
      <c r="C646" s="7">
        <v>0.7837181044957473</v>
      </c>
      <c r="E646">
        <v>68.75513074206323</v>
      </c>
      <c r="F646">
        <f t="shared" si="10"/>
        <v>0.7837181044957473</v>
      </c>
    </row>
    <row r="647" spans="1:6" ht="105" x14ac:dyDescent="0.25">
      <c r="A647" s="4" t="s">
        <v>3184</v>
      </c>
      <c r="B647">
        <v>68.813705605306978</v>
      </c>
      <c r="C647" s="7">
        <v>0.78493317132442286</v>
      </c>
      <c r="E647">
        <v>68.813705605306978</v>
      </c>
      <c r="F647">
        <f t="shared" si="10"/>
        <v>0.78493317132442286</v>
      </c>
    </row>
    <row r="648" spans="1:6" ht="120" x14ac:dyDescent="0.25">
      <c r="A648" s="4" t="s">
        <v>3076</v>
      </c>
      <c r="B648">
        <v>68.838300872736937</v>
      </c>
      <c r="C648" s="7">
        <v>0.78614823815309842</v>
      </c>
      <c r="E648">
        <v>68.838300872736937</v>
      </c>
      <c r="F648">
        <f t="shared" si="10"/>
        <v>0.78614823815309842</v>
      </c>
    </row>
    <row r="649" spans="1:6" ht="120" x14ac:dyDescent="0.25">
      <c r="A649" s="4" t="s">
        <v>3224</v>
      </c>
      <c r="B649">
        <v>68.843245182104752</v>
      </c>
      <c r="C649" s="7">
        <v>0.78736330498177398</v>
      </c>
      <c r="E649">
        <v>68.843245182104752</v>
      </c>
      <c r="F649">
        <f t="shared" si="10"/>
        <v>0.78736330498177398</v>
      </c>
    </row>
    <row r="650" spans="1:6" ht="105" x14ac:dyDescent="0.25">
      <c r="A650" s="4" t="s">
        <v>3100</v>
      </c>
      <c r="B650">
        <v>68.868710734133955</v>
      </c>
      <c r="C650" s="7">
        <v>0.78857837181044954</v>
      </c>
      <c r="E650">
        <v>68.868710734133955</v>
      </c>
      <c r="F650">
        <f t="shared" si="10"/>
        <v>0.78857837181044954</v>
      </c>
    </row>
    <row r="651" spans="1:6" ht="120" x14ac:dyDescent="0.25">
      <c r="A651" s="4" t="s">
        <v>3340</v>
      </c>
      <c r="B651">
        <v>68.891415079167672</v>
      </c>
      <c r="C651" s="7">
        <v>0.7897934386391251</v>
      </c>
      <c r="E651">
        <v>68.891415079167672</v>
      </c>
      <c r="F651">
        <f t="shared" si="10"/>
        <v>0.7897934386391251</v>
      </c>
    </row>
    <row r="652" spans="1:6" ht="120" x14ac:dyDescent="0.25">
      <c r="A652" s="4" t="s">
        <v>3166</v>
      </c>
      <c r="B652">
        <v>68.917512244536979</v>
      </c>
      <c r="C652" s="7">
        <v>0.79100850546780077</v>
      </c>
      <c r="E652">
        <v>68.917512244536979</v>
      </c>
      <c r="F652">
        <f t="shared" si="10"/>
        <v>0.79100850546780077</v>
      </c>
    </row>
    <row r="653" spans="1:6" ht="90" x14ac:dyDescent="0.25">
      <c r="A653" s="4" t="s">
        <v>3842</v>
      </c>
      <c r="B653">
        <v>68.945776676666867</v>
      </c>
      <c r="C653" s="7">
        <v>0.79222357229647633</v>
      </c>
      <c r="E653">
        <v>68.945776676666867</v>
      </c>
      <c r="F653">
        <f t="shared" si="10"/>
        <v>0.79222357229647633</v>
      </c>
    </row>
    <row r="654" spans="1:6" ht="90" x14ac:dyDescent="0.25">
      <c r="A654" s="4" t="s">
        <v>3786</v>
      </c>
      <c r="B654">
        <v>69.393620535346898</v>
      </c>
      <c r="C654" s="7">
        <v>0.79343863912515189</v>
      </c>
      <c r="E654">
        <v>69.393620535346898</v>
      </c>
      <c r="F654">
        <f t="shared" si="10"/>
        <v>0.79343863912515189</v>
      </c>
    </row>
    <row r="655" spans="1:6" ht="120" x14ac:dyDescent="0.25">
      <c r="A655" s="4" t="s">
        <v>3864</v>
      </c>
      <c r="B655">
        <v>69.493034185975304</v>
      </c>
      <c r="C655" s="7">
        <v>0.79465370595382745</v>
      </c>
      <c r="E655">
        <v>69.493034185975304</v>
      </c>
      <c r="F655">
        <f t="shared" si="10"/>
        <v>0.79465370595382745</v>
      </c>
    </row>
    <row r="656" spans="1:6" ht="120" x14ac:dyDescent="0.25">
      <c r="A656" s="4" t="s">
        <v>3222</v>
      </c>
      <c r="B656">
        <v>69.598071315210333</v>
      </c>
      <c r="C656" s="7">
        <v>0.79586877278250301</v>
      </c>
      <c r="E656">
        <v>69.598071315210333</v>
      </c>
      <c r="F656">
        <f t="shared" si="10"/>
        <v>0.79586877278250301</v>
      </c>
    </row>
    <row r="657" spans="1:6" ht="105" x14ac:dyDescent="0.25">
      <c r="A657" s="4" t="s">
        <v>3114</v>
      </c>
      <c r="B657">
        <v>69.685586036172637</v>
      </c>
      <c r="C657" s="7">
        <v>0.79708383961117857</v>
      </c>
      <c r="E657">
        <v>69.685586036172637</v>
      </c>
      <c r="F657">
        <f t="shared" si="10"/>
        <v>0.79708383961117857</v>
      </c>
    </row>
    <row r="658" spans="1:6" ht="120" x14ac:dyDescent="0.25">
      <c r="A658" s="4" t="s">
        <v>3417</v>
      </c>
      <c r="B658">
        <v>69.719574532170384</v>
      </c>
      <c r="C658" s="7">
        <v>0.79829890643985424</v>
      </c>
      <c r="E658">
        <v>69.719574532170384</v>
      </c>
      <c r="F658">
        <f t="shared" si="10"/>
        <v>0.79829890643985424</v>
      </c>
    </row>
    <row r="659" spans="1:6" ht="120" x14ac:dyDescent="0.25">
      <c r="A659" s="4" t="s">
        <v>3226</v>
      </c>
      <c r="B659">
        <v>69.789147011913016</v>
      </c>
      <c r="C659" s="7">
        <v>0.7995139732685298</v>
      </c>
      <c r="E659">
        <v>69.789147011913016</v>
      </c>
      <c r="F659">
        <f t="shared" si="10"/>
        <v>0.7995139732685298</v>
      </c>
    </row>
    <row r="660" spans="1:6" ht="120" x14ac:dyDescent="0.25">
      <c r="A660" s="4" t="s">
        <v>3164</v>
      </c>
      <c r="B660">
        <v>69.815912303876047</v>
      </c>
      <c r="C660" s="7">
        <v>0.80072904009720536</v>
      </c>
      <c r="E660">
        <v>69.815912303876047</v>
      </c>
      <c r="F660">
        <f t="shared" si="10"/>
        <v>0.80072904009720536</v>
      </c>
    </row>
    <row r="661" spans="1:6" ht="90" x14ac:dyDescent="0.25">
      <c r="A661" s="4" t="s">
        <v>3625</v>
      </c>
      <c r="B661">
        <v>69.831031975152712</v>
      </c>
      <c r="C661" s="7">
        <v>0.80194410692588092</v>
      </c>
      <c r="E661">
        <v>69.831031975152712</v>
      </c>
      <c r="F661">
        <f t="shared" si="10"/>
        <v>0.80194410692588092</v>
      </c>
    </row>
    <row r="662" spans="1:6" ht="105" x14ac:dyDescent="0.25">
      <c r="A662" s="4" t="s">
        <v>3204</v>
      </c>
      <c r="B662">
        <v>69.974277106103358</v>
      </c>
      <c r="C662" s="7">
        <v>0.80315917375455648</v>
      </c>
      <c r="E662">
        <v>69.974277106103358</v>
      </c>
      <c r="F662">
        <f t="shared" si="10"/>
        <v>0.80315917375455648</v>
      </c>
    </row>
    <row r="663" spans="1:6" ht="120" x14ac:dyDescent="0.25">
      <c r="A663" s="4" t="s">
        <v>3754</v>
      </c>
      <c r="B663">
        <v>69.989144258608334</v>
      </c>
      <c r="C663" s="7">
        <v>0.80437424058323204</v>
      </c>
      <c r="E663">
        <v>69.989144258608334</v>
      </c>
      <c r="F663">
        <f t="shared" si="10"/>
        <v>0.80437424058323204</v>
      </c>
    </row>
    <row r="664" spans="1:6" ht="105" x14ac:dyDescent="0.25">
      <c r="A664" s="4" t="s">
        <v>3234</v>
      </c>
      <c r="B664">
        <v>70.050623095724788</v>
      </c>
      <c r="C664" s="7">
        <v>0.80558930741190771</v>
      </c>
      <c r="E664">
        <v>70.050623095724788</v>
      </c>
      <c r="F664">
        <f t="shared" si="10"/>
        <v>0.80558930741190771</v>
      </c>
    </row>
    <row r="665" spans="1:6" ht="105" x14ac:dyDescent="0.25">
      <c r="A665" s="4" t="s">
        <v>3853</v>
      </c>
      <c r="B665">
        <v>70.382830709648729</v>
      </c>
      <c r="C665" s="7">
        <v>0.80680437424058327</v>
      </c>
      <c r="E665">
        <v>70.382830709648729</v>
      </c>
      <c r="F665">
        <f t="shared" si="10"/>
        <v>0.80680437424058327</v>
      </c>
    </row>
    <row r="666" spans="1:6" ht="120" x14ac:dyDescent="0.25">
      <c r="A666" s="4" t="s">
        <v>3256</v>
      </c>
      <c r="B666">
        <v>70.38900190419541</v>
      </c>
      <c r="C666" s="7">
        <v>0.80801944106925883</v>
      </c>
      <c r="E666">
        <v>70.38900190419541</v>
      </c>
      <c r="F666">
        <f t="shared" si="10"/>
        <v>0.80801944106925883</v>
      </c>
    </row>
    <row r="667" spans="1:6" ht="105" x14ac:dyDescent="0.25">
      <c r="A667" s="4" t="s">
        <v>3435</v>
      </c>
      <c r="B667">
        <v>70.539424419773397</v>
      </c>
      <c r="C667" s="7">
        <v>0.80923450789793439</v>
      </c>
      <c r="E667">
        <v>70.539424419773397</v>
      </c>
      <c r="F667">
        <f t="shared" si="10"/>
        <v>0.80923450789793439</v>
      </c>
    </row>
    <row r="668" spans="1:6" ht="90" x14ac:dyDescent="0.25">
      <c r="A668" s="4" t="s">
        <v>3812</v>
      </c>
      <c r="B668">
        <v>70.676688835719688</v>
      </c>
      <c r="C668" s="7">
        <v>0.81044957472660994</v>
      </c>
      <c r="E668">
        <v>70.676688835719688</v>
      </c>
      <c r="F668">
        <f t="shared" si="10"/>
        <v>0.81044957472660994</v>
      </c>
    </row>
    <row r="669" spans="1:6" ht="105" x14ac:dyDescent="0.25">
      <c r="A669" s="4" t="s">
        <v>3720</v>
      </c>
      <c r="B669">
        <v>70.763123903581587</v>
      </c>
      <c r="C669" s="7">
        <v>0.8116646415552855</v>
      </c>
      <c r="E669">
        <v>70.763123903581587</v>
      </c>
      <c r="F669">
        <f t="shared" si="10"/>
        <v>0.8116646415552855</v>
      </c>
    </row>
    <row r="670" spans="1:6" ht="105" x14ac:dyDescent="0.25">
      <c r="A670" s="4" t="s">
        <v>3228</v>
      </c>
      <c r="B670">
        <v>70.783779542970379</v>
      </c>
      <c r="C670" s="7">
        <v>0.81287970838396106</v>
      </c>
      <c r="E670">
        <v>70.783779542970379</v>
      </c>
      <c r="F670">
        <f t="shared" si="10"/>
        <v>0.81287970838396106</v>
      </c>
    </row>
    <row r="671" spans="1:6" ht="105" x14ac:dyDescent="0.25">
      <c r="A671" s="4" t="s">
        <v>3393</v>
      </c>
      <c r="B671">
        <v>70.861879824675057</v>
      </c>
      <c r="C671" s="7">
        <v>0.81409477521263673</v>
      </c>
      <c r="E671">
        <v>70.861879824675057</v>
      </c>
      <c r="F671">
        <f t="shared" si="10"/>
        <v>0.81409477521263673</v>
      </c>
    </row>
    <row r="672" spans="1:6" ht="105" x14ac:dyDescent="0.25">
      <c r="A672" s="4" t="s">
        <v>3660</v>
      </c>
      <c r="B672">
        <v>70.906996201399934</v>
      </c>
      <c r="C672" s="7">
        <v>0.81530984204131229</v>
      </c>
      <c r="E672">
        <v>70.906996201399934</v>
      </c>
      <c r="F672">
        <f t="shared" si="10"/>
        <v>0.81530984204131229</v>
      </c>
    </row>
    <row r="673" spans="1:6" ht="105" x14ac:dyDescent="0.25">
      <c r="A673" s="4" t="s">
        <v>3859</v>
      </c>
      <c r="B673">
        <v>70.967439738520525</v>
      </c>
      <c r="C673" s="7">
        <v>0.81652490886998785</v>
      </c>
      <c r="E673">
        <v>70.967439738520525</v>
      </c>
      <c r="F673">
        <f t="shared" si="10"/>
        <v>0.81652490886998785</v>
      </c>
    </row>
    <row r="674" spans="1:6" ht="105" x14ac:dyDescent="0.25">
      <c r="A674" s="4" t="s">
        <v>3316</v>
      </c>
      <c r="B674">
        <v>71.040094512735408</v>
      </c>
      <c r="C674" s="7">
        <v>0.81773997569866341</v>
      </c>
      <c r="E674">
        <v>71.040094512735408</v>
      </c>
      <c r="F674">
        <f t="shared" si="10"/>
        <v>0.81773997569866341</v>
      </c>
    </row>
    <row r="675" spans="1:6" ht="105" x14ac:dyDescent="0.25">
      <c r="A675" s="4" t="s">
        <v>3238</v>
      </c>
      <c r="B675">
        <v>71.353299963988462</v>
      </c>
      <c r="C675" s="7">
        <v>0.81895504252733897</v>
      </c>
      <c r="E675">
        <v>71.353299963988462</v>
      </c>
      <c r="F675">
        <f t="shared" si="10"/>
        <v>0.81895504252733897</v>
      </c>
    </row>
    <row r="676" spans="1:6" ht="105" x14ac:dyDescent="0.25">
      <c r="A676" s="4" t="s">
        <v>3496</v>
      </c>
      <c r="B676">
        <v>71.366908274828745</v>
      </c>
      <c r="C676" s="7">
        <v>0.82017010935601453</v>
      </c>
      <c r="E676">
        <v>71.366908274828745</v>
      </c>
      <c r="F676">
        <f t="shared" si="10"/>
        <v>0.82017010935601453</v>
      </c>
    </row>
    <row r="677" spans="1:6" ht="105" x14ac:dyDescent="0.25">
      <c r="A677" s="4" t="s">
        <v>3180</v>
      </c>
      <c r="B677">
        <v>71.390650123744564</v>
      </c>
      <c r="C677" s="7">
        <v>0.8213851761846902</v>
      </c>
      <c r="E677">
        <v>71.390650123744564</v>
      </c>
      <c r="F677">
        <f t="shared" si="10"/>
        <v>0.8213851761846902</v>
      </c>
    </row>
    <row r="678" spans="1:6" ht="120" x14ac:dyDescent="0.25">
      <c r="A678" s="4" t="s">
        <v>3690</v>
      </c>
      <c r="B678">
        <v>71.48552948830816</v>
      </c>
      <c r="C678" s="7">
        <v>0.82260024301336576</v>
      </c>
      <c r="E678">
        <v>71.48552948830816</v>
      </c>
      <c r="F678">
        <f t="shared" si="10"/>
        <v>0.82260024301336576</v>
      </c>
    </row>
    <row r="679" spans="1:6" ht="105" x14ac:dyDescent="0.25">
      <c r="A679" s="4" t="s">
        <v>3517</v>
      </c>
      <c r="B679">
        <v>71.84804848069696</v>
      </c>
      <c r="C679" s="7">
        <v>0.82381530984204132</v>
      </c>
      <c r="E679">
        <v>71.84804848069696</v>
      </c>
      <c r="F679">
        <f t="shared" si="10"/>
        <v>0.82381530984204132</v>
      </c>
    </row>
    <row r="680" spans="1:6" ht="120" x14ac:dyDescent="0.25">
      <c r="A680" s="4" t="s">
        <v>3805</v>
      </c>
      <c r="B680">
        <v>71.985398797830129</v>
      </c>
      <c r="C680" s="7">
        <v>0.82503037667071688</v>
      </c>
      <c r="E680">
        <v>71.985398797830129</v>
      </c>
      <c r="F680">
        <f t="shared" si="10"/>
        <v>0.82503037667071688</v>
      </c>
    </row>
    <row r="681" spans="1:6" ht="105" x14ac:dyDescent="0.25">
      <c r="A681" s="4" t="s">
        <v>3270</v>
      </c>
      <c r="B681">
        <v>72.097352576425521</v>
      </c>
      <c r="C681" s="7">
        <v>0.82624544349939244</v>
      </c>
      <c r="E681">
        <v>72.097352576425521</v>
      </c>
      <c r="F681">
        <f t="shared" si="10"/>
        <v>0.82624544349939244</v>
      </c>
    </row>
    <row r="682" spans="1:6" ht="120" x14ac:dyDescent="0.25">
      <c r="A682" s="4" t="s">
        <v>3276</v>
      </c>
      <c r="B682">
        <v>72.152277494011329</v>
      </c>
      <c r="C682" s="7">
        <v>0.827460510328068</v>
      </c>
      <c r="E682">
        <v>72.152277494011329</v>
      </c>
      <c r="F682">
        <f t="shared" si="10"/>
        <v>0.827460510328068</v>
      </c>
    </row>
    <row r="683" spans="1:6" ht="105" x14ac:dyDescent="0.25">
      <c r="A683" s="4" t="s">
        <v>3064</v>
      </c>
      <c r="B683">
        <v>72.159625059164796</v>
      </c>
      <c r="C683" s="7">
        <v>0.82867557715674367</v>
      </c>
      <c r="E683">
        <v>72.159625059164796</v>
      </c>
      <c r="F683">
        <f t="shared" si="10"/>
        <v>0.82867557715674367</v>
      </c>
    </row>
    <row r="684" spans="1:6" ht="105" x14ac:dyDescent="0.25">
      <c r="A684" s="4" t="s">
        <v>3154</v>
      </c>
      <c r="B684">
        <v>72.358811940009431</v>
      </c>
      <c r="C684" s="7">
        <v>0.82989064398541923</v>
      </c>
      <c r="E684">
        <v>72.358811940009431</v>
      </c>
      <c r="F684">
        <f t="shared" si="10"/>
        <v>0.82989064398541923</v>
      </c>
    </row>
    <row r="685" spans="1:6" ht="120" x14ac:dyDescent="0.25">
      <c r="A685" s="4" t="s">
        <v>3078</v>
      </c>
      <c r="B685">
        <v>72.565901297743466</v>
      </c>
      <c r="C685" s="7">
        <v>0.83110571081409479</v>
      </c>
      <c r="E685">
        <v>72.565901297743466</v>
      </c>
      <c r="F685">
        <f t="shared" si="10"/>
        <v>0.83110571081409479</v>
      </c>
    </row>
    <row r="686" spans="1:6" ht="105" x14ac:dyDescent="0.25">
      <c r="A686" s="4" t="s">
        <v>3342</v>
      </c>
      <c r="B686">
        <v>72.577070035044784</v>
      </c>
      <c r="C686" s="7">
        <v>0.83232077764277035</v>
      </c>
      <c r="E686">
        <v>72.577070035044784</v>
      </c>
      <c r="F686">
        <f t="shared" si="10"/>
        <v>0.83232077764277035</v>
      </c>
    </row>
    <row r="687" spans="1:6" ht="105" x14ac:dyDescent="0.25">
      <c r="A687" s="4" t="s">
        <v>3178</v>
      </c>
      <c r="B687">
        <v>72.78145973927468</v>
      </c>
      <c r="C687" s="7">
        <v>0.83353584447144591</v>
      </c>
      <c r="E687">
        <v>72.78145973927468</v>
      </c>
      <c r="F687">
        <f t="shared" si="10"/>
        <v>0.83353584447144591</v>
      </c>
    </row>
    <row r="688" spans="1:6" ht="120" x14ac:dyDescent="0.25">
      <c r="A688" s="4" t="s">
        <v>3482</v>
      </c>
      <c r="B688">
        <v>72.947928280278205</v>
      </c>
      <c r="C688" s="7">
        <v>0.83475091130012147</v>
      </c>
      <c r="E688">
        <v>72.947928280278205</v>
      </c>
      <c r="F688">
        <f t="shared" si="10"/>
        <v>0.83475091130012147</v>
      </c>
    </row>
    <row r="689" spans="1:6" ht="120" x14ac:dyDescent="0.25">
      <c r="A689" s="4" t="s">
        <v>3112</v>
      </c>
      <c r="B689">
        <v>72.997884903365261</v>
      </c>
      <c r="C689" s="7">
        <v>0.83596597812879714</v>
      </c>
      <c r="E689">
        <v>72.997884903365261</v>
      </c>
      <c r="F689">
        <f t="shared" si="10"/>
        <v>0.83596597812879714</v>
      </c>
    </row>
    <row r="690" spans="1:6" ht="90" x14ac:dyDescent="0.25">
      <c r="A690" s="4" t="s">
        <v>3829</v>
      </c>
      <c r="B690">
        <v>73.02098882009517</v>
      </c>
      <c r="C690" s="7">
        <v>0.8371810449574727</v>
      </c>
      <c r="E690">
        <v>73.02098882009517</v>
      </c>
      <c r="F690">
        <f t="shared" si="10"/>
        <v>0.8371810449574727</v>
      </c>
    </row>
    <row r="691" spans="1:6" ht="120" x14ac:dyDescent="0.25">
      <c r="A691" s="4" t="s">
        <v>3240</v>
      </c>
      <c r="B691">
        <v>73.02411764705883</v>
      </c>
      <c r="C691" s="7">
        <v>0.83839611178614826</v>
      </c>
      <c r="E691">
        <v>73.02411764705883</v>
      </c>
      <c r="F691">
        <f t="shared" si="10"/>
        <v>0.83839611178614826</v>
      </c>
    </row>
    <row r="692" spans="1:6" ht="105" x14ac:dyDescent="0.25">
      <c r="A692" s="4" t="s">
        <v>3465</v>
      </c>
      <c r="B692">
        <v>73.037110629691938</v>
      </c>
      <c r="C692" s="7">
        <v>0.83961117861482382</v>
      </c>
      <c r="E692">
        <v>73.037110629691938</v>
      </c>
      <c r="F692">
        <f t="shared" si="10"/>
        <v>0.83961117861482382</v>
      </c>
    </row>
    <row r="693" spans="1:6" ht="120" x14ac:dyDescent="0.25">
      <c r="A693" s="4" t="s">
        <v>3820</v>
      </c>
      <c r="B693">
        <v>73.45403018954751</v>
      </c>
      <c r="C693" s="7">
        <v>0.84082624544349938</v>
      </c>
      <c r="E693">
        <v>73.45403018954751</v>
      </c>
      <c r="F693">
        <f t="shared" si="10"/>
        <v>0.84082624544349938</v>
      </c>
    </row>
    <row r="694" spans="1:6" ht="120" x14ac:dyDescent="0.25">
      <c r="A694" s="4" t="s">
        <v>3082</v>
      </c>
      <c r="B694">
        <v>73.769346001369001</v>
      </c>
      <c r="C694" s="7">
        <v>0.84204131227217494</v>
      </c>
      <c r="E694">
        <v>73.769346001369001</v>
      </c>
      <c r="F694">
        <f t="shared" si="10"/>
        <v>0.84204131227217494</v>
      </c>
    </row>
    <row r="695" spans="1:6" ht="105" x14ac:dyDescent="0.25">
      <c r="A695" s="4" t="s">
        <v>3770</v>
      </c>
      <c r="B695">
        <v>74.087187086044651</v>
      </c>
      <c r="C695" s="7">
        <v>0.84325637910085049</v>
      </c>
      <c r="E695">
        <v>74.087187086044651</v>
      </c>
      <c r="F695">
        <f t="shared" si="10"/>
        <v>0.84325637910085049</v>
      </c>
    </row>
    <row r="696" spans="1:6" ht="90" x14ac:dyDescent="0.25">
      <c r="A696" s="4" t="s">
        <v>3845</v>
      </c>
      <c r="B696">
        <v>74.410047351300236</v>
      </c>
      <c r="C696" s="7">
        <v>0.84447144592952617</v>
      </c>
      <c r="E696">
        <v>74.410047351300236</v>
      </c>
      <c r="F696">
        <f t="shared" si="10"/>
        <v>0.84447144592952617</v>
      </c>
    </row>
    <row r="697" spans="1:6" ht="120" x14ac:dyDescent="0.25">
      <c r="A697" s="4" t="s">
        <v>3831</v>
      </c>
      <c r="B697">
        <v>74.429700770362345</v>
      </c>
      <c r="C697" s="7">
        <v>0.84568651275820172</v>
      </c>
      <c r="E697">
        <v>74.429700770362345</v>
      </c>
      <c r="F697">
        <f t="shared" si="10"/>
        <v>0.84568651275820172</v>
      </c>
    </row>
    <row r="698" spans="1:6" ht="105" x14ac:dyDescent="0.25">
      <c r="A698" s="4" t="s">
        <v>3352</v>
      </c>
      <c r="B698">
        <v>74.624216406220469</v>
      </c>
      <c r="C698" s="7">
        <v>0.84690157958687728</v>
      </c>
      <c r="E698">
        <v>74.624216406220469</v>
      </c>
      <c r="F698">
        <f t="shared" si="10"/>
        <v>0.84690157958687728</v>
      </c>
    </row>
    <row r="699" spans="1:6" ht="120" x14ac:dyDescent="0.25">
      <c r="A699" s="4" t="s">
        <v>3379</v>
      </c>
      <c r="B699">
        <v>74.64959234715819</v>
      </c>
      <c r="C699" s="7">
        <v>0.84811664641555284</v>
      </c>
      <c r="E699">
        <v>74.64959234715819</v>
      </c>
      <c r="F699">
        <f t="shared" si="10"/>
        <v>0.84811664641555284</v>
      </c>
    </row>
    <row r="700" spans="1:6" ht="120" x14ac:dyDescent="0.25">
      <c r="A700" s="4" t="s">
        <v>3539</v>
      </c>
      <c r="B700">
        <v>74.875817495773475</v>
      </c>
      <c r="C700" s="7">
        <v>0.8493317132442284</v>
      </c>
      <c r="E700">
        <v>74.875817495773475</v>
      </c>
      <c r="F700">
        <f t="shared" si="10"/>
        <v>0.8493317132442284</v>
      </c>
    </row>
    <row r="701" spans="1:6" ht="105" x14ac:dyDescent="0.25">
      <c r="A701" s="4" t="s">
        <v>3202</v>
      </c>
      <c r="B701">
        <v>75.190808537966632</v>
      </c>
      <c r="C701" s="7">
        <v>0.85054678007290396</v>
      </c>
      <c r="E701">
        <v>75.190808537966632</v>
      </c>
      <c r="F701">
        <f t="shared" si="10"/>
        <v>0.85054678007290396</v>
      </c>
    </row>
    <row r="702" spans="1:6" ht="105" x14ac:dyDescent="0.25">
      <c r="A702" s="4" t="s">
        <v>3668</v>
      </c>
      <c r="B702">
        <v>75.283205449124139</v>
      </c>
      <c r="C702" s="7">
        <v>0.85176184690157963</v>
      </c>
      <c r="E702">
        <v>75.283205449124139</v>
      </c>
      <c r="F702">
        <f t="shared" si="10"/>
        <v>0.85176184690157963</v>
      </c>
    </row>
    <row r="703" spans="1:6" ht="90" x14ac:dyDescent="0.25">
      <c r="A703" s="4" t="s">
        <v>3555</v>
      </c>
      <c r="B703">
        <v>75.290836177924973</v>
      </c>
      <c r="C703" s="7">
        <v>0.85297691373025519</v>
      </c>
      <c r="E703">
        <v>75.290836177924973</v>
      </c>
      <c r="F703">
        <f t="shared" si="10"/>
        <v>0.85297691373025519</v>
      </c>
    </row>
    <row r="704" spans="1:6" ht="105" x14ac:dyDescent="0.25">
      <c r="A704" s="4" t="s">
        <v>3586</v>
      </c>
      <c r="B704">
        <v>75.58906677574393</v>
      </c>
      <c r="C704" s="7">
        <v>0.85419198055893075</v>
      </c>
      <c r="E704">
        <v>75.58906677574393</v>
      </c>
      <c r="F704">
        <f t="shared" si="10"/>
        <v>0.85419198055893075</v>
      </c>
    </row>
    <row r="705" spans="1:6" ht="90" x14ac:dyDescent="0.25">
      <c r="A705" s="4" t="s">
        <v>3854</v>
      </c>
      <c r="B705">
        <v>75.665207158754455</v>
      </c>
      <c r="C705" s="7">
        <v>0.85540704738760631</v>
      </c>
      <c r="E705">
        <v>75.665207158754455</v>
      </c>
      <c r="F705">
        <f t="shared" si="10"/>
        <v>0.85540704738760631</v>
      </c>
    </row>
    <row r="706" spans="1:6" ht="120" x14ac:dyDescent="0.25">
      <c r="A706" s="4" t="s">
        <v>3080</v>
      </c>
      <c r="B706">
        <v>75.762151191406957</v>
      </c>
      <c r="C706" s="7">
        <v>0.85662211421628187</v>
      </c>
      <c r="E706">
        <v>75.762151191406957</v>
      </c>
      <c r="F706">
        <f t="shared" si="10"/>
        <v>0.85662211421628187</v>
      </c>
    </row>
    <row r="707" spans="1:6" ht="105" x14ac:dyDescent="0.25">
      <c r="A707" s="4" t="s">
        <v>3377</v>
      </c>
      <c r="B707">
        <v>75.996686530640034</v>
      </c>
      <c r="C707" s="7">
        <v>0.85783718104495743</v>
      </c>
      <c r="E707">
        <v>75.996686530640034</v>
      </c>
      <c r="F707">
        <f t="shared" ref="F707:F770" si="11">_xlfn.RANK.EQ(E707,$E$2:$E$824,1)/COUNT($E$2:$E$824)</f>
        <v>0.85783718104495743</v>
      </c>
    </row>
    <row r="708" spans="1:6" ht="120" x14ac:dyDescent="0.25">
      <c r="A708" s="4" t="s">
        <v>3498</v>
      </c>
      <c r="B708">
        <v>76.669509275084508</v>
      </c>
      <c r="C708" s="7">
        <v>0.8590522478736331</v>
      </c>
      <c r="E708">
        <v>76.669509275084508</v>
      </c>
      <c r="F708">
        <f t="shared" si="11"/>
        <v>0.8590522478736331</v>
      </c>
    </row>
    <row r="709" spans="1:6" ht="120" x14ac:dyDescent="0.25">
      <c r="A709" s="4" t="s">
        <v>3304</v>
      </c>
      <c r="B709">
        <v>77.292942360903623</v>
      </c>
      <c r="C709" s="7">
        <v>0.86026731470230866</v>
      </c>
      <c r="E709">
        <v>77.292942360903623</v>
      </c>
      <c r="F709">
        <f t="shared" si="11"/>
        <v>0.86026731470230866</v>
      </c>
    </row>
    <row r="710" spans="1:6" ht="105" x14ac:dyDescent="0.25">
      <c r="A710" s="4" t="s">
        <v>3471</v>
      </c>
      <c r="B710">
        <v>77.443524641497973</v>
      </c>
      <c r="C710" s="7">
        <v>0.86148238153098422</v>
      </c>
      <c r="E710">
        <v>77.443524641497973</v>
      </c>
      <c r="F710">
        <f t="shared" si="11"/>
        <v>0.86148238153098422</v>
      </c>
    </row>
    <row r="711" spans="1:6" ht="105" x14ac:dyDescent="0.25">
      <c r="A711" s="4" t="s">
        <v>3322</v>
      </c>
      <c r="B711">
        <v>77.813566074895292</v>
      </c>
      <c r="C711" s="7">
        <v>0.86269744835965978</v>
      </c>
      <c r="E711">
        <v>77.813566074895292</v>
      </c>
      <c r="F711">
        <f t="shared" si="11"/>
        <v>0.86269744835965978</v>
      </c>
    </row>
    <row r="712" spans="1:6" ht="120" x14ac:dyDescent="0.25">
      <c r="A712" s="4" t="s">
        <v>3521</v>
      </c>
      <c r="B712">
        <v>77.93235109512041</v>
      </c>
      <c r="C712" s="7">
        <v>0.86391251518833534</v>
      </c>
      <c r="E712">
        <v>77.93235109512041</v>
      </c>
      <c r="F712">
        <f t="shared" si="11"/>
        <v>0.86391251518833534</v>
      </c>
    </row>
    <row r="713" spans="1:6" ht="120" x14ac:dyDescent="0.25">
      <c r="A713" s="4" t="s">
        <v>3713</v>
      </c>
      <c r="B713">
        <v>78.154846976120467</v>
      </c>
      <c r="C713" s="7">
        <v>0.8651275820170109</v>
      </c>
      <c r="E713">
        <v>78.154846976120467</v>
      </c>
      <c r="F713">
        <f t="shared" si="11"/>
        <v>0.8651275820170109</v>
      </c>
    </row>
    <row r="714" spans="1:6" ht="90" x14ac:dyDescent="0.25">
      <c r="A714" s="4" t="s">
        <v>3847</v>
      </c>
      <c r="B714">
        <v>78.6691061794793</v>
      </c>
      <c r="C714" s="7">
        <v>0.86634264884568646</v>
      </c>
      <c r="E714">
        <v>78.6691061794793</v>
      </c>
      <c r="F714">
        <f t="shared" si="11"/>
        <v>0.86634264884568646</v>
      </c>
    </row>
    <row r="715" spans="1:6" ht="90" x14ac:dyDescent="0.25">
      <c r="A715" s="4" t="s">
        <v>3856</v>
      </c>
      <c r="B715">
        <v>78.71554344460445</v>
      </c>
      <c r="C715" s="7">
        <v>0.86755771567436213</v>
      </c>
      <c r="E715">
        <v>78.71554344460445</v>
      </c>
      <c r="F715">
        <f t="shared" si="11"/>
        <v>0.86755771567436213</v>
      </c>
    </row>
    <row r="716" spans="1:6" ht="105" x14ac:dyDescent="0.25">
      <c r="A716" s="4" t="s">
        <v>3186</v>
      </c>
      <c r="B716">
        <v>79.185371604459633</v>
      </c>
      <c r="C716" s="7">
        <v>0.86877278250303769</v>
      </c>
      <c r="E716">
        <v>79.185371604459633</v>
      </c>
      <c r="F716">
        <f t="shared" si="11"/>
        <v>0.86877278250303769</v>
      </c>
    </row>
    <row r="717" spans="1:6" ht="105" x14ac:dyDescent="0.25">
      <c r="A717" s="4" t="s">
        <v>3359</v>
      </c>
      <c r="B717">
        <v>79.191619947615266</v>
      </c>
      <c r="C717" s="7">
        <v>0.86998784933171325</v>
      </c>
      <c r="E717">
        <v>79.191619947615266</v>
      </c>
      <c r="F717">
        <f t="shared" si="11"/>
        <v>0.86998784933171325</v>
      </c>
    </row>
    <row r="718" spans="1:6" ht="120" x14ac:dyDescent="0.25">
      <c r="A718" s="4" t="s">
        <v>3086</v>
      </c>
      <c r="B718">
        <v>79.215205613356218</v>
      </c>
      <c r="C718" s="7">
        <v>0.87120291616038881</v>
      </c>
      <c r="E718">
        <v>79.215205613356218</v>
      </c>
      <c r="F718">
        <f t="shared" si="11"/>
        <v>0.87120291616038881</v>
      </c>
    </row>
    <row r="719" spans="1:6" ht="120" x14ac:dyDescent="0.25">
      <c r="A719" s="4" t="s">
        <v>3599</v>
      </c>
      <c r="B719">
        <v>79.347720946399932</v>
      </c>
      <c r="C719" s="7">
        <v>0.87241798298906437</v>
      </c>
      <c r="E719">
        <v>79.347720946399932</v>
      </c>
      <c r="F719">
        <f t="shared" si="11"/>
        <v>0.87241798298906437</v>
      </c>
    </row>
    <row r="720" spans="1:6" ht="105" x14ac:dyDescent="0.25">
      <c r="A720" s="4" t="s">
        <v>3623</v>
      </c>
      <c r="B720">
        <v>79.495843415680355</v>
      </c>
      <c r="C720" s="7">
        <v>0.87363304981773993</v>
      </c>
      <c r="E720">
        <v>79.495843415680355</v>
      </c>
      <c r="F720">
        <f t="shared" si="11"/>
        <v>0.87363304981773993</v>
      </c>
    </row>
    <row r="721" spans="1:6" ht="90" x14ac:dyDescent="0.25">
      <c r="A721" s="4" t="s">
        <v>3736</v>
      </c>
      <c r="B721">
        <v>79.78869288349533</v>
      </c>
      <c r="C721" s="7">
        <v>0.8748481166464156</v>
      </c>
      <c r="E721">
        <v>79.78869288349533</v>
      </c>
      <c r="F721">
        <f t="shared" si="11"/>
        <v>0.8748481166464156</v>
      </c>
    </row>
    <row r="722" spans="1:6" ht="105" x14ac:dyDescent="0.25">
      <c r="A722" s="4" t="s">
        <v>3150</v>
      </c>
      <c r="B722">
        <v>79.874668601687432</v>
      </c>
      <c r="C722" s="7">
        <v>0.87606318347509116</v>
      </c>
      <c r="E722">
        <v>79.874668601687432</v>
      </c>
      <c r="F722">
        <f t="shared" si="11"/>
        <v>0.87606318347509116</v>
      </c>
    </row>
    <row r="723" spans="1:6" ht="105" x14ac:dyDescent="0.25">
      <c r="A723" s="4" t="s">
        <v>3053</v>
      </c>
      <c r="B723">
        <v>79.951544679180714</v>
      </c>
      <c r="C723" s="7">
        <v>0.87727825030376672</v>
      </c>
      <c r="E723">
        <v>79.951544679180714</v>
      </c>
      <c r="F723">
        <f t="shared" si="11"/>
        <v>0.87727825030376672</v>
      </c>
    </row>
    <row r="724" spans="1:6" ht="120" x14ac:dyDescent="0.25">
      <c r="A724" s="4" t="s">
        <v>3618</v>
      </c>
      <c r="B724">
        <v>80.102155151563139</v>
      </c>
      <c r="C724" s="7">
        <v>0.87849331713244228</v>
      </c>
      <c r="E724">
        <v>80.102155151563139</v>
      </c>
      <c r="F724">
        <f t="shared" si="11"/>
        <v>0.87849331713244228</v>
      </c>
    </row>
    <row r="725" spans="1:6" ht="105" x14ac:dyDescent="0.25">
      <c r="A725" s="4" t="s">
        <v>3813</v>
      </c>
      <c r="B725">
        <v>80.225323143814208</v>
      </c>
      <c r="C725" s="7">
        <v>0.87970838396111783</v>
      </c>
      <c r="E725">
        <v>80.225323143814208</v>
      </c>
      <c r="F725">
        <f t="shared" si="11"/>
        <v>0.87970838396111783</v>
      </c>
    </row>
    <row r="726" spans="1:6" ht="105" x14ac:dyDescent="0.25">
      <c r="A726" s="4" t="s">
        <v>3110</v>
      </c>
      <c r="B726">
        <v>80.273836188208335</v>
      </c>
      <c r="C726" s="7">
        <v>0.88092345078979339</v>
      </c>
      <c r="E726">
        <v>80.273836188208335</v>
      </c>
      <c r="F726">
        <f t="shared" si="11"/>
        <v>0.88092345078979339</v>
      </c>
    </row>
    <row r="727" spans="1:6" ht="120" x14ac:dyDescent="0.25">
      <c r="A727" s="4" t="s">
        <v>3122</v>
      </c>
      <c r="B727">
        <v>80.503183460608682</v>
      </c>
      <c r="C727" s="7">
        <v>0.88213851761846906</v>
      </c>
      <c r="E727">
        <v>80.503183460608682</v>
      </c>
      <c r="F727">
        <f t="shared" si="11"/>
        <v>0.88213851761846906</v>
      </c>
    </row>
    <row r="728" spans="1:6" ht="90" x14ac:dyDescent="0.25">
      <c r="A728" s="4" t="s">
        <v>3766</v>
      </c>
      <c r="B728">
        <v>80.623934855570837</v>
      </c>
      <c r="C728" s="7">
        <v>0.88335358444714462</v>
      </c>
      <c r="E728">
        <v>80.623934855570837</v>
      </c>
      <c r="F728">
        <f t="shared" si="11"/>
        <v>0.88335358444714462</v>
      </c>
    </row>
    <row r="729" spans="1:6" ht="105" x14ac:dyDescent="0.25">
      <c r="A729" s="4" t="s">
        <v>3216</v>
      </c>
      <c r="B729">
        <v>80.805197460221365</v>
      </c>
      <c r="C729" s="7">
        <v>0.88456865127582018</v>
      </c>
      <c r="E729">
        <v>80.805197460221365</v>
      </c>
      <c r="F729">
        <f t="shared" si="11"/>
        <v>0.88456865127582018</v>
      </c>
    </row>
    <row r="730" spans="1:6" ht="120" x14ac:dyDescent="0.25">
      <c r="A730" s="4" t="s">
        <v>3667</v>
      </c>
      <c r="B730">
        <v>80.940745475471132</v>
      </c>
      <c r="C730" s="7">
        <v>0.88578371810449574</v>
      </c>
      <c r="E730">
        <v>80.940745475471132</v>
      </c>
      <c r="F730">
        <f t="shared" si="11"/>
        <v>0.88578371810449574</v>
      </c>
    </row>
    <row r="731" spans="1:6" ht="120" x14ac:dyDescent="0.25">
      <c r="A731" s="4" t="s">
        <v>3749</v>
      </c>
      <c r="B731">
        <v>80.996102237473309</v>
      </c>
      <c r="C731" s="7">
        <v>0.8869987849331713</v>
      </c>
      <c r="E731">
        <v>80.996102237473309</v>
      </c>
      <c r="F731">
        <f t="shared" si="11"/>
        <v>0.8869987849331713</v>
      </c>
    </row>
    <row r="732" spans="1:6" ht="90" x14ac:dyDescent="0.25">
      <c r="A732" s="4" t="s">
        <v>3740</v>
      </c>
      <c r="B732">
        <v>81.02368302504766</v>
      </c>
      <c r="C732" s="7">
        <v>0.88821385176184686</v>
      </c>
      <c r="E732">
        <v>81.02368302504766</v>
      </c>
      <c r="F732">
        <f t="shared" si="11"/>
        <v>0.88821385176184686</v>
      </c>
    </row>
    <row r="733" spans="1:6" ht="120" x14ac:dyDescent="0.25">
      <c r="A733" s="4" t="s">
        <v>3719</v>
      </c>
      <c r="B733">
        <v>81.085772175398176</v>
      </c>
      <c r="C733" s="7">
        <v>0.88942891859052253</v>
      </c>
      <c r="E733">
        <v>81.085772175398176</v>
      </c>
      <c r="F733">
        <f t="shared" si="11"/>
        <v>0.88942891859052253</v>
      </c>
    </row>
    <row r="734" spans="1:6" ht="105" x14ac:dyDescent="0.25">
      <c r="A734" s="4" t="s">
        <v>3869</v>
      </c>
      <c r="B734">
        <v>81.234558245449534</v>
      </c>
      <c r="C734" s="7">
        <v>0.89064398541919809</v>
      </c>
      <c r="E734">
        <v>81.234558245449534</v>
      </c>
      <c r="F734">
        <f t="shared" si="11"/>
        <v>0.89064398541919809</v>
      </c>
    </row>
    <row r="735" spans="1:6" ht="105" x14ac:dyDescent="0.25">
      <c r="A735" s="4" t="s">
        <v>3825</v>
      </c>
      <c r="B735">
        <v>81.387523611784019</v>
      </c>
      <c r="C735" s="7">
        <v>0.89185905224787365</v>
      </c>
      <c r="E735">
        <v>81.387523611784019</v>
      </c>
      <c r="F735">
        <f t="shared" si="11"/>
        <v>0.89185905224787365</v>
      </c>
    </row>
    <row r="736" spans="1:6" ht="105" x14ac:dyDescent="0.25">
      <c r="A736" s="4" t="s">
        <v>3260</v>
      </c>
      <c r="B736">
        <v>81.559717573107037</v>
      </c>
      <c r="C736" s="7">
        <v>0.89307411907654921</v>
      </c>
      <c r="E736">
        <v>81.559717573107037</v>
      </c>
      <c r="F736">
        <f t="shared" si="11"/>
        <v>0.89307411907654921</v>
      </c>
    </row>
    <row r="737" spans="1:6" ht="90" x14ac:dyDescent="0.25">
      <c r="A737" s="4" t="s">
        <v>3827</v>
      </c>
      <c r="B737">
        <v>82.481349902623194</v>
      </c>
      <c r="C737" s="7">
        <v>0.89428918590522477</v>
      </c>
      <c r="E737">
        <v>82.481349902623194</v>
      </c>
      <c r="F737">
        <f t="shared" si="11"/>
        <v>0.89428918590522477</v>
      </c>
    </row>
    <row r="738" spans="1:6" ht="120" x14ac:dyDescent="0.25">
      <c r="A738" s="4" t="s">
        <v>3047</v>
      </c>
      <c r="B738">
        <v>82.573414124012658</v>
      </c>
      <c r="C738" s="7">
        <v>0.89550425273390033</v>
      </c>
      <c r="E738">
        <v>82.573414124012658</v>
      </c>
      <c r="F738">
        <f t="shared" si="11"/>
        <v>0.89550425273390033</v>
      </c>
    </row>
    <row r="739" spans="1:6" ht="90" x14ac:dyDescent="0.25">
      <c r="A739" s="4" t="s">
        <v>3855</v>
      </c>
      <c r="B739">
        <v>82.65960420940543</v>
      </c>
      <c r="C739" s="7">
        <v>0.89671931956257589</v>
      </c>
      <c r="E739">
        <v>82.65960420940543</v>
      </c>
      <c r="F739">
        <f t="shared" si="11"/>
        <v>0.89671931956257589</v>
      </c>
    </row>
    <row r="740" spans="1:6" ht="105" x14ac:dyDescent="0.25">
      <c r="A740" s="4" t="s">
        <v>3810</v>
      </c>
      <c r="B740">
        <v>82.819146631795832</v>
      </c>
      <c r="C740" s="7">
        <v>0.89793438639125156</v>
      </c>
      <c r="E740">
        <v>82.819146631795832</v>
      </c>
      <c r="F740">
        <f t="shared" si="11"/>
        <v>0.89793438639125156</v>
      </c>
    </row>
    <row r="741" spans="1:6" ht="105" x14ac:dyDescent="0.25">
      <c r="A741" s="4" t="s">
        <v>3214</v>
      </c>
      <c r="B741">
        <v>82.889498753288578</v>
      </c>
      <c r="C741" s="7">
        <v>0.89914945321992712</v>
      </c>
      <c r="E741">
        <v>82.889498753288578</v>
      </c>
      <c r="F741">
        <f t="shared" si="11"/>
        <v>0.89914945321992712</v>
      </c>
    </row>
    <row r="742" spans="1:6" ht="90" x14ac:dyDescent="0.25">
      <c r="A742" s="4" t="s">
        <v>3732</v>
      </c>
      <c r="B742">
        <v>83.904393740352887</v>
      </c>
      <c r="C742" s="7">
        <v>0.90036452004860268</v>
      </c>
      <c r="E742">
        <v>83.904393740352887</v>
      </c>
      <c r="F742">
        <f t="shared" si="11"/>
        <v>0.90036452004860268</v>
      </c>
    </row>
    <row r="743" spans="1:6" ht="105" x14ac:dyDescent="0.25">
      <c r="A743" s="4" t="s">
        <v>3338</v>
      </c>
      <c r="B743">
        <v>84.187406130830183</v>
      </c>
      <c r="C743" s="7">
        <v>0.90157958687727824</v>
      </c>
      <c r="E743">
        <v>84.187406130830183</v>
      </c>
      <c r="F743">
        <f t="shared" si="11"/>
        <v>0.90157958687727824</v>
      </c>
    </row>
    <row r="744" spans="1:6" ht="105" x14ac:dyDescent="0.25">
      <c r="A744" s="4" t="s">
        <v>3636</v>
      </c>
      <c r="B744">
        <v>84.341270236509445</v>
      </c>
      <c r="C744" s="7">
        <v>0.9027946537059538</v>
      </c>
      <c r="E744">
        <v>84.341270236509445</v>
      </c>
      <c r="F744">
        <f t="shared" si="11"/>
        <v>0.9027946537059538</v>
      </c>
    </row>
    <row r="745" spans="1:6" ht="105" x14ac:dyDescent="0.25">
      <c r="A745" s="4" t="s">
        <v>3232</v>
      </c>
      <c r="B745">
        <v>84.577093066224776</v>
      </c>
      <c r="C745" s="7">
        <v>0.90400972053462936</v>
      </c>
      <c r="E745">
        <v>84.577093066224776</v>
      </c>
      <c r="F745">
        <f t="shared" si="11"/>
        <v>0.90400972053462936</v>
      </c>
    </row>
    <row r="746" spans="1:6" ht="90" x14ac:dyDescent="0.25">
      <c r="A746" s="4" t="s">
        <v>3691</v>
      </c>
      <c r="B746">
        <v>84.650605488770026</v>
      </c>
      <c r="C746" s="7">
        <v>0.90522478736330503</v>
      </c>
      <c r="E746">
        <v>84.650605488770026</v>
      </c>
      <c r="F746">
        <f t="shared" si="11"/>
        <v>0.90522478736330503</v>
      </c>
    </row>
    <row r="747" spans="1:6" ht="120" x14ac:dyDescent="0.25">
      <c r="A747" s="4" t="s">
        <v>3484</v>
      </c>
      <c r="B747">
        <v>84.68708521907709</v>
      </c>
      <c r="C747" s="7">
        <v>0.90643985419198059</v>
      </c>
      <c r="E747">
        <v>84.68708521907709</v>
      </c>
      <c r="F747">
        <f t="shared" si="11"/>
        <v>0.90643985419198059</v>
      </c>
    </row>
    <row r="748" spans="1:6" ht="90" x14ac:dyDescent="0.25">
      <c r="A748" s="4" t="s">
        <v>3873</v>
      </c>
      <c r="B748">
        <v>84.786152980826628</v>
      </c>
      <c r="C748" s="7">
        <v>0.90765492102065615</v>
      </c>
      <c r="E748">
        <v>84.786152980826628</v>
      </c>
      <c r="F748">
        <f t="shared" si="11"/>
        <v>0.90765492102065615</v>
      </c>
    </row>
    <row r="749" spans="1:6" ht="105" x14ac:dyDescent="0.25">
      <c r="A749" s="4" t="s">
        <v>3543</v>
      </c>
      <c r="B749">
        <v>85.249000799353283</v>
      </c>
      <c r="C749" s="7">
        <v>0.90886998784933171</v>
      </c>
      <c r="E749">
        <v>85.249000799353283</v>
      </c>
      <c r="F749">
        <f t="shared" si="11"/>
        <v>0.90886998784933171</v>
      </c>
    </row>
    <row r="750" spans="1:6" ht="90" x14ac:dyDescent="0.25">
      <c r="A750" s="4" t="s">
        <v>3582</v>
      </c>
      <c r="B750">
        <v>85.387021239919221</v>
      </c>
      <c r="C750" s="7">
        <v>0.91008505467800727</v>
      </c>
      <c r="E750">
        <v>85.387021239919221</v>
      </c>
      <c r="F750">
        <f t="shared" si="11"/>
        <v>0.91008505467800727</v>
      </c>
    </row>
    <row r="751" spans="1:6" ht="90" x14ac:dyDescent="0.25">
      <c r="A751" s="4" t="s">
        <v>3800</v>
      </c>
      <c r="B751">
        <v>85.844478901408721</v>
      </c>
      <c r="C751" s="7">
        <v>0.91130012150668283</v>
      </c>
      <c r="E751">
        <v>85.844478901408721</v>
      </c>
      <c r="F751">
        <f t="shared" si="11"/>
        <v>0.91130012150668283</v>
      </c>
    </row>
    <row r="752" spans="1:6" ht="90" x14ac:dyDescent="0.25">
      <c r="A752" s="4" t="s">
        <v>3839</v>
      </c>
      <c r="B752">
        <v>86.115844072691488</v>
      </c>
      <c r="C752" s="7">
        <v>0.9125151883353585</v>
      </c>
      <c r="E752">
        <v>86.115844072691488</v>
      </c>
      <c r="F752">
        <f t="shared" si="11"/>
        <v>0.9125151883353585</v>
      </c>
    </row>
    <row r="753" spans="1:6" ht="105" x14ac:dyDescent="0.25">
      <c r="A753" s="4" t="s">
        <v>3140</v>
      </c>
      <c r="B753">
        <v>86.127270357710003</v>
      </c>
      <c r="C753" s="7">
        <v>0.91373025516403406</v>
      </c>
      <c r="E753">
        <v>86.127270357710003</v>
      </c>
      <c r="F753">
        <f t="shared" si="11"/>
        <v>0.91373025516403406</v>
      </c>
    </row>
    <row r="754" spans="1:6" ht="105" x14ac:dyDescent="0.25">
      <c r="A754" s="4" t="s">
        <v>3160</v>
      </c>
      <c r="B754">
        <v>86.526492915223244</v>
      </c>
      <c r="C754" s="7">
        <v>0.91494532199270961</v>
      </c>
      <c r="E754">
        <v>86.526492915223244</v>
      </c>
      <c r="F754">
        <f t="shared" si="11"/>
        <v>0.91494532199270961</v>
      </c>
    </row>
    <row r="755" spans="1:6" ht="90" x14ac:dyDescent="0.25">
      <c r="A755" s="4" t="s">
        <v>3650</v>
      </c>
      <c r="B755">
        <v>86.632874253745044</v>
      </c>
      <c r="C755" s="7">
        <v>0.91616038882138517</v>
      </c>
      <c r="E755">
        <v>86.632874253745044</v>
      </c>
      <c r="F755">
        <f t="shared" si="11"/>
        <v>0.91616038882138517</v>
      </c>
    </row>
    <row r="756" spans="1:6" ht="90" x14ac:dyDescent="0.25">
      <c r="A756" s="4" t="s">
        <v>3871</v>
      </c>
      <c r="B756">
        <v>87.446934993975859</v>
      </c>
      <c r="C756" s="7">
        <v>0.91737545565006073</v>
      </c>
      <c r="E756">
        <v>87.446934993975859</v>
      </c>
      <c r="F756">
        <f t="shared" si="11"/>
        <v>0.91737545565006073</v>
      </c>
    </row>
    <row r="757" spans="1:6" ht="105" x14ac:dyDescent="0.25">
      <c r="A757" s="4" t="s">
        <v>3836</v>
      </c>
      <c r="B757">
        <v>88.122429307014102</v>
      </c>
      <c r="C757" s="7">
        <v>0.91859052247873629</v>
      </c>
      <c r="E757">
        <v>88.122429307014102</v>
      </c>
      <c r="F757">
        <f t="shared" si="11"/>
        <v>0.91859052247873629</v>
      </c>
    </row>
    <row r="758" spans="1:6" ht="105" x14ac:dyDescent="0.25">
      <c r="A758" s="4" t="s">
        <v>3092</v>
      </c>
      <c r="B758">
        <v>88.237229746026202</v>
      </c>
      <c r="C758" s="7">
        <v>0.91980558930741185</v>
      </c>
      <c r="E758">
        <v>88.237229746026202</v>
      </c>
      <c r="F758">
        <f t="shared" si="11"/>
        <v>0.91980558930741185</v>
      </c>
    </row>
    <row r="759" spans="1:6" ht="90" x14ac:dyDescent="0.25">
      <c r="A759" s="4" t="s">
        <v>3850</v>
      </c>
      <c r="B759">
        <v>88.688857492901704</v>
      </c>
      <c r="C759" s="7">
        <v>0.92102065613608752</v>
      </c>
      <c r="E759">
        <v>88.688857492901704</v>
      </c>
      <c r="F759">
        <f t="shared" si="11"/>
        <v>0.92102065613608752</v>
      </c>
    </row>
    <row r="760" spans="1:6" ht="105" x14ac:dyDescent="0.25">
      <c r="A760" s="4" t="s">
        <v>3509</v>
      </c>
      <c r="B760">
        <v>88.79119481014024</v>
      </c>
      <c r="C760" s="7">
        <v>0.92223572296476308</v>
      </c>
      <c r="E760">
        <v>88.79119481014024</v>
      </c>
      <c r="F760">
        <f t="shared" si="11"/>
        <v>0.92223572296476308</v>
      </c>
    </row>
    <row r="761" spans="1:6" ht="90" x14ac:dyDescent="0.25">
      <c r="A761" s="4" t="s">
        <v>3789</v>
      </c>
      <c r="B761">
        <v>89.569482412873995</v>
      </c>
      <c r="C761" s="7">
        <v>0.92345078979343864</v>
      </c>
      <c r="E761">
        <v>89.569482412873995</v>
      </c>
      <c r="F761">
        <f t="shared" si="11"/>
        <v>0.92345078979343864</v>
      </c>
    </row>
    <row r="762" spans="1:6" ht="105" x14ac:dyDescent="0.25">
      <c r="A762" s="4" t="s">
        <v>3096</v>
      </c>
      <c r="B762">
        <v>90.374835896969984</v>
      </c>
      <c r="C762" s="7">
        <v>0.9246658566221142</v>
      </c>
      <c r="E762">
        <v>90.374835896969984</v>
      </c>
      <c r="F762">
        <f t="shared" si="11"/>
        <v>0.9246658566221142</v>
      </c>
    </row>
    <row r="763" spans="1:6" ht="105" x14ac:dyDescent="0.25">
      <c r="A763" s="4" t="s">
        <v>3627</v>
      </c>
      <c r="B763">
        <v>90.470649540185107</v>
      </c>
      <c r="C763" s="7">
        <v>0.92588092345078976</v>
      </c>
      <c r="E763">
        <v>90.470649540185107</v>
      </c>
      <c r="F763">
        <f t="shared" si="11"/>
        <v>0.92588092345078976</v>
      </c>
    </row>
    <row r="764" spans="1:6" ht="90" x14ac:dyDescent="0.25">
      <c r="A764" s="4" t="s">
        <v>3641</v>
      </c>
      <c r="B764">
        <v>91.871865269866802</v>
      </c>
      <c r="C764" s="7">
        <v>0.92709599027946532</v>
      </c>
      <c r="E764">
        <v>91.871865269866802</v>
      </c>
      <c r="F764">
        <f t="shared" si="11"/>
        <v>0.92709599027946532</v>
      </c>
    </row>
    <row r="765" spans="1:6" ht="105" x14ac:dyDescent="0.25">
      <c r="A765" s="4" t="s">
        <v>3551</v>
      </c>
      <c r="B765">
        <v>92.086388815562259</v>
      </c>
      <c r="C765" s="7">
        <v>0.92831105710814099</v>
      </c>
      <c r="E765">
        <v>92.086388815562259</v>
      </c>
      <c r="F765">
        <f t="shared" si="11"/>
        <v>0.92831105710814099</v>
      </c>
    </row>
    <row r="766" spans="1:6" ht="120" x14ac:dyDescent="0.25">
      <c r="A766" s="4" t="s">
        <v>3312</v>
      </c>
      <c r="B766">
        <v>92.157944501241332</v>
      </c>
      <c r="C766" s="7">
        <v>0.92952612393681655</v>
      </c>
      <c r="E766">
        <v>92.157944501241332</v>
      </c>
      <c r="F766">
        <f t="shared" si="11"/>
        <v>0.92952612393681655</v>
      </c>
    </row>
    <row r="767" spans="1:6" ht="105" x14ac:dyDescent="0.25">
      <c r="A767" s="4" t="s">
        <v>3088</v>
      </c>
      <c r="B767">
        <v>92.375939648894828</v>
      </c>
      <c r="C767" s="7">
        <v>0.93074119076549211</v>
      </c>
      <c r="E767">
        <v>92.375939648894828</v>
      </c>
      <c r="F767">
        <f t="shared" si="11"/>
        <v>0.93074119076549211</v>
      </c>
    </row>
    <row r="768" spans="1:6" ht="105" x14ac:dyDescent="0.25">
      <c r="A768" s="4" t="s">
        <v>3264</v>
      </c>
      <c r="B768">
        <v>92.456329595709491</v>
      </c>
      <c r="C768" s="7">
        <v>0.93195625759416767</v>
      </c>
      <c r="E768">
        <v>92.456329595709491</v>
      </c>
      <c r="F768">
        <f t="shared" si="11"/>
        <v>0.93195625759416767</v>
      </c>
    </row>
    <row r="769" spans="1:6" ht="105" x14ac:dyDescent="0.25">
      <c r="A769" s="4" t="s">
        <v>3463</v>
      </c>
      <c r="B769">
        <v>92.674679659548872</v>
      </c>
      <c r="C769" s="7">
        <v>0.93317132442284323</v>
      </c>
      <c r="E769">
        <v>92.674679659548872</v>
      </c>
      <c r="F769">
        <f t="shared" si="11"/>
        <v>0.93317132442284323</v>
      </c>
    </row>
    <row r="770" spans="1:6" ht="90" x14ac:dyDescent="0.25">
      <c r="A770" s="4" t="s">
        <v>3701</v>
      </c>
      <c r="B770">
        <v>94.518635850698374</v>
      </c>
      <c r="C770" s="7">
        <v>0.93438639125151879</v>
      </c>
      <c r="E770">
        <v>94.518635850698374</v>
      </c>
      <c r="F770">
        <f t="shared" si="11"/>
        <v>0.93438639125151879</v>
      </c>
    </row>
    <row r="771" spans="1:6" ht="105" x14ac:dyDescent="0.25">
      <c r="A771" s="4" t="s">
        <v>3286</v>
      </c>
      <c r="B771">
        <v>95.306275912928044</v>
      </c>
      <c r="C771" s="7">
        <v>0.93560145808019446</v>
      </c>
      <c r="E771">
        <v>95.306275912928044</v>
      </c>
      <c r="F771">
        <f t="shared" ref="F771:F824" si="12">_xlfn.RANK.EQ(E771,$E$2:$E$824,1)/COUNT($E$2:$E$824)</f>
        <v>0.93560145808019446</v>
      </c>
    </row>
    <row r="772" spans="1:6" ht="105" x14ac:dyDescent="0.25">
      <c r="A772" s="4" t="s">
        <v>3861</v>
      </c>
      <c r="B772">
        <v>95.438972568432618</v>
      </c>
      <c r="C772" s="7">
        <v>0.93681652490887002</v>
      </c>
      <c r="E772">
        <v>95.438972568432618</v>
      </c>
      <c r="F772">
        <f t="shared" si="12"/>
        <v>0.93681652490887002</v>
      </c>
    </row>
    <row r="773" spans="1:6" ht="105" x14ac:dyDescent="0.25">
      <c r="A773" s="4" t="s">
        <v>3817</v>
      </c>
      <c r="B773">
        <v>96.084429244663411</v>
      </c>
      <c r="C773" s="7">
        <v>0.93803159173754558</v>
      </c>
      <c r="E773">
        <v>96.084429244663411</v>
      </c>
      <c r="F773">
        <f t="shared" si="12"/>
        <v>0.93803159173754558</v>
      </c>
    </row>
    <row r="774" spans="1:6" ht="90" x14ac:dyDescent="0.25">
      <c r="A774" s="4" t="s">
        <v>3363</v>
      </c>
      <c r="B774">
        <v>96.507647058823537</v>
      </c>
      <c r="C774" s="7">
        <v>0.93924665856622114</v>
      </c>
      <c r="E774">
        <v>96.507647058823537</v>
      </c>
      <c r="F774">
        <f t="shared" si="12"/>
        <v>0.93924665856622114</v>
      </c>
    </row>
    <row r="775" spans="1:6" ht="105" x14ac:dyDescent="0.25">
      <c r="A775" s="4" t="s">
        <v>3290</v>
      </c>
      <c r="B775">
        <v>97.220924535008734</v>
      </c>
      <c r="C775" s="7">
        <v>0.9404617253948967</v>
      </c>
      <c r="E775">
        <v>97.220924535008734</v>
      </c>
      <c r="F775">
        <f t="shared" si="12"/>
        <v>0.9404617253948967</v>
      </c>
    </row>
    <row r="776" spans="1:6" ht="105" x14ac:dyDescent="0.25">
      <c r="A776" s="4" t="s">
        <v>3726</v>
      </c>
      <c r="B776">
        <v>98.181176470588241</v>
      </c>
      <c r="C776" s="7">
        <v>0.94167679222357226</v>
      </c>
      <c r="E776">
        <v>98.181176470588241</v>
      </c>
      <c r="F776">
        <f t="shared" si="12"/>
        <v>0.94167679222357226</v>
      </c>
    </row>
    <row r="777" spans="1:6" ht="120" x14ac:dyDescent="0.25">
      <c r="A777" s="4" t="s">
        <v>3545</v>
      </c>
      <c r="B777">
        <v>98.64139597552338</v>
      </c>
      <c r="C777" s="7">
        <v>0.94289185905224793</v>
      </c>
      <c r="E777">
        <v>98.64139597552338</v>
      </c>
      <c r="F777">
        <f t="shared" si="12"/>
        <v>0.94289185905224793</v>
      </c>
    </row>
    <row r="778" spans="1:6" ht="90" x14ac:dyDescent="0.25">
      <c r="A778" s="4" t="s">
        <v>3860</v>
      </c>
      <c r="B778">
        <v>99.041420363659</v>
      </c>
      <c r="C778" s="7">
        <v>0.94410692588092349</v>
      </c>
      <c r="E778">
        <v>99.041420363659</v>
      </c>
      <c r="F778">
        <f t="shared" si="12"/>
        <v>0.94410692588092349</v>
      </c>
    </row>
    <row r="779" spans="1:6" ht="90" x14ac:dyDescent="0.25">
      <c r="A779" s="4" t="s">
        <v>3455</v>
      </c>
      <c r="B779">
        <v>100.9047848858375</v>
      </c>
      <c r="C779" s="7">
        <v>0.94532199270959905</v>
      </c>
      <c r="E779">
        <v>100.9047848858375</v>
      </c>
      <c r="F779">
        <f t="shared" si="12"/>
        <v>0.94532199270959905</v>
      </c>
    </row>
    <row r="780" spans="1:6" ht="90" x14ac:dyDescent="0.25">
      <c r="A780" s="4" t="s">
        <v>3714</v>
      </c>
      <c r="B780">
        <v>102.02894064549467</v>
      </c>
      <c r="C780" s="7">
        <v>0.94653705953827461</v>
      </c>
      <c r="E780">
        <v>102.02894064549467</v>
      </c>
      <c r="F780">
        <f t="shared" si="12"/>
        <v>0.94653705953827461</v>
      </c>
    </row>
    <row r="781" spans="1:6" ht="90" x14ac:dyDescent="0.25">
      <c r="A781" s="4" t="s">
        <v>3330</v>
      </c>
      <c r="B781">
        <v>102.69479725026349</v>
      </c>
      <c r="C781" s="7">
        <v>0.94775212636695016</v>
      </c>
      <c r="E781">
        <v>102.69479725026349</v>
      </c>
      <c r="F781">
        <f t="shared" si="12"/>
        <v>0.94775212636695016</v>
      </c>
    </row>
    <row r="782" spans="1:6" ht="105" x14ac:dyDescent="0.25">
      <c r="A782" s="4" t="s">
        <v>3604</v>
      </c>
      <c r="B782">
        <v>103.29923381766717</v>
      </c>
      <c r="C782" s="7">
        <v>0.94896719319562572</v>
      </c>
      <c r="E782">
        <v>103.29923381766717</v>
      </c>
      <c r="F782">
        <f t="shared" si="12"/>
        <v>0.94896719319562572</v>
      </c>
    </row>
    <row r="783" spans="1:6" ht="105" x14ac:dyDescent="0.25">
      <c r="A783" s="4" t="s">
        <v>3840</v>
      </c>
      <c r="B783">
        <v>103.3314783174169</v>
      </c>
      <c r="C783" s="7">
        <v>0.95018226002430128</v>
      </c>
      <c r="E783">
        <v>103.3314783174169</v>
      </c>
      <c r="F783">
        <f t="shared" si="12"/>
        <v>0.95018226002430128</v>
      </c>
    </row>
    <row r="784" spans="1:6" ht="105" x14ac:dyDescent="0.25">
      <c r="A784" s="4" t="s">
        <v>3060</v>
      </c>
      <c r="B784">
        <v>103.36341021250277</v>
      </c>
      <c r="C784" s="7">
        <v>0.95139732685297695</v>
      </c>
      <c r="E784">
        <v>103.36341021250277</v>
      </c>
      <c r="F784">
        <f t="shared" si="12"/>
        <v>0.95139732685297695</v>
      </c>
    </row>
    <row r="785" spans="1:6" ht="90" x14ac:dyDescent="0.25">
      <c r="A785" s="4" t="s">
        <v>3763</v>
      </c>
      <c r="B785">
        <v>103.64521496953242</v>
      </c>
      <c r="C785" s="7">
        <v>0.95261239368165251</v>
      </c>
      <c r="E785">
        <v>103.64521496953242</v>
      </c>
      <c r="F785">
        <f t="shared" si="12"/>
        <v>0.95261239368165251</v>
      </c>
    </row>
    <row r="786" spans="1:6" ht="90" x14ac:dyDescent="0.25">
      <c r="A786" s="4" t="s">
        <v>3620</v>
      </c>
      <c r="B786">
        <v>104.15029013664903</v>
      </c>
      <c r="C786" s="7">
        <v>0.95382746051032807</v>
      </c>
      <c r="E786">
        <v>104.15029013664903</v>
      </c>
      <c r="F786">
        <f t="shared" si="12"/>
        <v>0.95382746051032807</v>
      </c>
    </row>
    <row r="787" spans="1:6" ht="105" x14ac:dyDescent="0.25">
      <c r="A787" s="4" t="s">
        <v>3132</v>
      </c>
      <c r="B787">
        <v>106.12124551662593</v>
      </c>
      <c r="C787" s="7">
        <v>0.95504252733900363</v>
      </c>
      <c r="E787">
        <v>106.12124551662593</v>
      </c>
      <c r="F787">
        <f t="shared" si="12"/>
        <v>0.95504252733900363</v>
      </c>
    </row>
    <row r="788" spans="1:6" ht="105" x14ac:dyDescent="0.25">
      <c r="A788" s="4" t="s">
        <v>3637</v>
      </c>
      <c r="B788">
        <v>106.37405888296925</v>
      </c>
      <c r="C788" s="7">
        <v>0.95625759416767919</v>
      </c>
      <c r="E788">
        <v>106.37405888296925</v>
      </c>
      <c r="F788">
        <f t="shared" si="12"/>
        <v>0.95625759416767919</v>
      </c>
    </row>
    <row r="789" spans="1:6" ht="105" x14ac:dyDescent="0.25">
      <c r="A789" s="4" t="s">
        <v>3344</v>
      </c>
      <c r="B789">
        <v>106.6010963468423</v>
      </c>
      <c r="C789" s="7">
        <v>0.95747266099635475</v>
      </c>
      <c r="E789">
        <v>106.6010963468423</v>
      </c>
      <c r="F789">
        <f t="shared" si="12"/>
        <v>0.95747266099635475</v>
      </c>
    </row>
    <row r="790" spans="1:6" ht="90" x14ac:dyDescent="0.25">
      <c r="A790" s="4" t="s">
        <v>3863</v>
      </c>
      <c r="B790">
        <v>107.62365824095623</v>
      </c>
      <c r="C790" s="7">
        <v>0.95868772782503042</v>
      </c>
      <c r="E790">
        <v>107.62365824095623</v>
      </c>
      <c r="F790">
        <f t="shared" si="12"/>
        <v>0.95868772782503042</v>
      </c>
    </row>
    <row r="791" spans="1:6" ht="90" x14ac:dyDescent="0.25">
      <c r="A791" s="4" t="s">
        <v>3685</v>
      </c>
      <c r="B791">
        <v>107.89535584784839</v>
      </c>
      <c r="C791" s="7">
        <v>0.95990279465370598</v>
      </c>
      <c r="E791">
        <v>107.89535584784839</v>
      </c>
      <c r="F791">
        <f t="shared" si="12"/>
        <v>0.95990279465370598</v>
      </c>
    </row>
    <row r="792" spans="1:6" ht="105" x14ac:dyDescent="0.25">
      <c r="A792" s="4" t="s">
        <v>3138</v>
      </c>
      <c r="B792">
        <v>108.23952243868052</v>
      </c>
      <c r="C792" s="7">
        <v>0.96111786148238154</v>
      </c>
      <c r="E792">
        <v>108.23952243868052</v>
      </c>
      <c r="F792">
        <f t="shared" si="12"/>
        <v>0.96111786148238154</v>
      </c>
    </row>
    <row r="793" spans="1:6" ht="105" x14ac:dyDescent="0.25">
      <c r="A793" s="4" t="s">
        <v>3746</v>
      </c>
      <c r="B793">
        <v>109.84654753456368</v>
      </c>
      <c r="C793" s="7">
        <v>0.9623329283110571</v>
      </c>
      <c r="E793">
        <v>109.84654753456368</v>
      </c>
      <c r="F793">
        <f t="shared" si="12"/>
        <v>0.9623329283110571</v>
      </c>
    </row>
    <row r="794" spans="1:6" ht="105" x14ac:dyDescent="0.25">
      <c r="A794" s="4" t="s">
        <v>3190</v>
      </c>
      <c r="B794">
        <v>109.89689853060263</v>
      </c>
      <c r="C794" s="7">
        <v>0.96354799513973266</v>
      </c>
      <c r="E794">
        <v>109.89689853060263</v>
      </c>
      <c r="F794">
        <f t="shared" si="12"/>
        <v>0.96354799513973266</v>
      </c>
    </row>
    <row r="795" spans="1:6" ht="90" x14ac:dyDescent="0.25">
      <c r="A795" s="4" t="s">
        <v>3486</v>
      </c>
      <c r="B795">
        <v>111.95124160432925</v>
      </c>
      <c r="C795" s="7">
        <v>0.96476306196840822</v>
      </c>
      <c r="E795">
        <v>111.95124160432925</v>
      </c>
      <c r="F795">
        <f t="shared" si="12"/>
        <v>0.96476306196840822</v>
      </c>
    </row>
    <row r="796" spans="1:6" ht="90" x14ac:dyDescent="0.25">
      <c r="A796" s="4" t="s">
        <v>3756</v>
      </c>
      <c r="B796">
        <v>114.26141995022246</v>
      </c>
      <c r="C796" s="7">
        <v>0.96597812879708389</v>
      </c>
      <c r="E796">
        <v>114.26141995022246</v>
      </c>
      <c r="F796">
        <f t="shared" si="12"/>
        <v>0.96597812879708389</v>
      </c>
    </row>
    <row r="797" spans="1:6" ht="90" x14ac:dyDescent="0.25">
      <c r="A797" s="4" t="s">
        <v>3868</v>
      </c>
      <c r="B797">
        <v>115.24183291295107</v>
      </c>
      <c r="C797" s="7">
        <v>0.96719319562575945</v>
      </c>
      <c r="E797">
        <v>115.24183291295107</v>
      </c>
      <c r="F797">
        <f t="shared" si="12"/>
        <v>0.96719319562575945</v>
      </c>
    </row>
    <row r="798" spans="1:6" ht="90" x14ac:dyDescent="0.25">
      <c r="A798" s="4" t="s">
        <v>3718</v>
      </c>
      <c r="B798">
        <v>116.04505771285747</v>
      </c>
      <c r="C798" s="7">
        <v>0.96840826245443501</v>
      </c>
      <c r="E798">
        <v>116.04505771285747</v>
      </c>
      <c r="F798">
        <f t="shared" si="12"/>
        <v>0.96840826245443501</v>
      </c>
    </row>
    <row r="799" spans="1:6" ht="90" x14ac:dyDescent="0.25">
      <c r="A799" s="4" t="s">
        <v>3104</v>
      </c>
      <c r="B799">
        <v>116.73436524250872</v>
      </c>
      <c r="C799" s="7">
        <v>0.96962332928311057</v>
      </c>
      <c r="E799">
        <v>116.73436524250872</v>
      </c>
      <c r="F799">
        <f t="shared" si="12"/>
        <v>0.96962332928311057</v>
      </c>
    </row>
    <row r="800" spans="1:6" ht="90" x14ac:dyDescent="0.25">
      <c r="A800" s="4" t="s">
        <v>3738</v>
      </c>
      <c r="B800">
        <v>117.86582022081333</v>
      </c>
      <c r="C800" s="7">
        <v>0.97083839611178613</v>
      </c>
      <c r="E800">
        <v>117.86582022081333</v>
      </c>
      <c r="F800">
        <f t="shared" si="12"/>
        <v>0.97083839611178613</v>
      </c>
    </row>
    <row r="801" spans="1:6" ht="90" x14ac:dyDescent="0.25">
      <c r="A801" s="4" t="s">
        <v>3862</v>
      </c>
      <c r="B801">
        <v>118.30176316198965</v>
      </c>
      <c r="C801" s="7">
        <v>0.97205346294046169</v>
      </c>
      <c r="E801">
        <v>118.30176316198965</v>
      </c>
      <c r="F801">
        <f t="shared" si="12"/>
        <v>0.97205346294046169</v>
      </c>
    </row>
    <row r="802" spans="1:6" ht="90" x14ac:dyDescent="0.25">
      <c r="A802" s="4" t="s">
        <v>3676</v>
      </c>
      <c r="B802">
        <v>121.59851453932465</v>
      </c>
      <c r="C802" s="7">
        <v>0.97326852976913725</v>
      </c>
      <c r="E802">
        <v>121.59851453932465</v>
      </c>
      <c r="F802">
        <f t="shared" si="12"/>
        <v>0.97326852976913725</v>
      </c>
    </row>
    <row r="803" spans="1:6" ht="105" x14ac:dyDescent="0.25">
      <c r="A803" s="4" t="s">
        <v>3852</v>
      </c>
      <c r="B803">
        <v>123.83876263686008</v>
      </c>
      <c r="C803" s="7">
        <v>0.97448359659781292</v>
      </c>
      <c r="E803">
        <v>123.83876263686008</v>
      </c>
      <c r="F803">
        <f t="shared" si="12"/>
        <v>0.97448359659781292</v>
      </c>
    </row>
    <row r="804" spans="1:6" ht="90" x14ac:dyDescent="0.25">
      <c r="A804" s="4" t="s">
        <v>3821</v>
      </c>
      <c r="B804">
        <v>127.32089073977306</v>
      </c>
      <c r="C804" s="7">
        <v>0.97569866342648848</v>
      </c>
      <c r="E804">
        <v>127.32089073977306</v>
      </c>
      <c r="F804">
        <f t="shared" si="12"/>
        <v>0.97569866342648848</v>
      </c>
    </row>
    <row r="805" spans="1:6" ht="105" x14ac:dyDescent="0.25">
      <c r="A805" s="4" t="s">
        <v>3320</v>
      </c>
      <c r="B805">
        <v>130.63053526113902</v>
      </c>
      <c r="C805" s="7">
        <v>0.97691373025516404</v>
      </c>
      <c r="E805">
        <v>130.63053526113902</v>
      </c>
      <c r="F805">
        <f t="shared" si="12"/>
        <v>0.97691373025516404</v>
      </c>
    </row>
    <row r="806" spans="1:6" ht="90" x14ac:dyDescent="0.25">
      <c r="A806" s="4" t="s">
        <v>3371</v>
      </c>
      <c r="B806">
        <v>132.13463258558161</v>
      </c>
      <c r="C806" s="7">
        <v>0.9781287970838396</v>
      </c>
      <c r="E806">
        <v>132.13463258558161</v>
      </c>
      <c r="F806">
        <f t="shared" si="12"/>
        <v>0.9781287970838396</v>
      </c>
    </row>
    <row r="807" spans="1:6" ht="90" x14ac:dyDescent="0.25">
      <c r="A807" s="4" t="s">
        <v>3768</v>
      </c>
      <c r="B807">
        <v>135.78136164839211</v>
      </c>
      <c r="C807" s="7">
        <v>0.97934386391251516</v>
      </c>
      <c r="E807">
        <v>135.78136164839211</v>
      </c>
      <c r="F807">
        <f t="shared" si="12"/>
        <v>0.97934386391251516</v>
      </c>
    </row>
    <row r="808" spans="1:6" ht="90" x14ac:dyDescent="0.25">
      <c r="A808" s="4" t="s">
        <v>3220</v>
      </c>
      <c r="B808">
        <v>137.09686866044044</v>
      </c>
      <c r="C808" s="7">
        <v>0.98055893074119072</v>
      </c>
      <c r="E808">
        <v>137.09686866044044</v>
      </c>
      <c r="F808">
        <f t="shared" si="12"/>
        <v>0.98055893074119072</v>
      </c>
    </row>
    <row r="809" spans="1:6" ht="90" x14ac:dyDescent="0.25">
      <c r="A809" s="4" t="s">
        <v>3748</v>
      </c>
      <c r="B809">
        <v>137.20532498711293</v>
      </c>
      <c r="C809" s="7">
        <v>0.98177399756986639</v>
      </c>
      <c r="E809">
        <v>137.20532498711293</v>
      </c>
      <c r="F809">
        <f t="shared" si="12"/>
        <v>0.98177399756986639</v>
      </c>
    </row>
    <row r="810" spans="1:6" ht="90" x14ac:dyDescent="0.25">
      <c r="A810" s="4" t="s">
        <v>3614</v>
      </c>
      <c r="B810">
        <v>137.28859039003225</v>
      </c>
      <c r="C810" s="7">
        <v>0.98298906439854195</v>
      </c>
      <c r="E810">
        <v>137.28859039003225</v>
      </c>
      <c r="F810">
        <f t="shared" si="12"/>
        <v>0.98298906439854195</v>
      </c>
    </row>
    <row r="811" spans="1:6" ht="90" x14ac:dyDescent="0.25">
      <c r="A811" s="4" t="s">
        <v>3742</v>
      </c>
      <c r="B811">
        <v>137.62047064079508</v>
      </c>
      <c r="C811" s="7">
        <v>0.9842041312272175</v>
      </c>
      <c r="E811">
        <v>137.62047064079508</v>
      </c>
      <c r="F811">
        <f t="shared" si="12"/>
        <v>0.9842041312272175</v>
      </c>
    </row>
    <row r="812" spans="1:6" ht="90" x14ac:dyDescent="0.25">
      <c r="A812" s="4" t="s">
        <v>3490</v>
      </c>
      <c r="B812">
        <v>137.73850841862955</v>
      </c>
      <c r="C812" s="7">
        <v>0.98541919805589306</v>
      </c>
      <c r="E812">
        <v>137.73850841862955</v>
      </c>
      <c r="F812">
        <f t="shared" si="12"/>
        <v>0.98541919805589306</v>
      </c>
    </row>
    <row r="813" spans="1:6" ht="90" x14ac:dyDescent="0.25">
      <c r="A813" s="4" t="s">
        <v>3709</v>
      </c>
      <c r="B813">
        <v>139.75424859373686</v>
      </c>
      <c r="C813" s="7">
        <v>0.98663426488456862</v>
      </c>
      <c r="E813">
        <v>139.75424859373686</v>
      </c>
      <c r="F813">
        <f t="shared" si="12"/>
        <v>0.98663426488456862</v>
      </c>
    </row>
    <row r="814" spans="1:6" ht="105" x14ac:dyDescent="0.25">
      <c r="A814" s="4" t="s">
        <v>3697</v>
      </c>
      <c r="B814">
        <v>140.63598761575298</v>
      </c>
      <c r="C814" s="7">
        <v>0.98784933171324418</v>
      </c>
      <c r="E814">
        <v>140.63598761575298</v>
      </c>
      <c r="F814">
        <f t="shared" si="12"/>
        <v>0.98784933171324418</v>
      </c>
    </row>
    <row r="815" spans="1:6" ht="105" x14ac:dyDescent="0.25">
      <c r="A815" s="4" t="s">
        <v>3336</v>
      </c>
      <c r="B815">
        <v>140.63598761575298</v>
      </c>
      <c r="C815" s="7">
        <v>0.98784933171324418</v>
      </c>
      <c r="E815">
        <v>140.63598761575298</v>
      </c>
      <c r="F815">
        <f t="shared" si="12"/>
        <v>0.98784933171324418</v>
      </c>
    </row>
    <row r="816" spans="1:6" ht="90" x14ac:dyDescent="0.25">
      <c r="A816" s="4" t="s">
        <v>3373</v>
      </c>
      <c r="B816">
        <v>140.63598761575298</v>
      </c>
      <c r="C816" s="7">
        <v>0.98784933171324418</v>
      </c>
      <c r="E816">
        <v>140.63598761575298</v>
      </c>
      <c r="F816">
        <f t="shared" si="12"/>
        <v>0.98784933171324418</v>
      </c>
    </row>
    <row r="817" spans="1:6" ht="90" x14ac:dyDescent="0.25">
      <c r="A817" s="4" t="s">
        <v>3527</v>
      </c>
      <c r="B817">
        <v>140.66772497627164</v>
      </c>
      <c r="C817" s="7">
        <v>0.99149453219927097</v>
      </c>
      <c r="E817">
        <v>140.66772497627164</v>
      </c>
      <c r="F817">
        <f t="shared" si="12"/>
        <v>0.99149453219927097</v>
      </c>
    </row>
    <row r="818" spans="1:6" ht="90" x14ac:dyDescent="0.25">
      <c r="A818" s="4" t="s">
        <v>3492</v>
      </c>
      <c r="B818">
        <v>141.63849657421278</v>
      </c>
      <c r="C818" s="7">
        <v>0.99270959902794653</v>
      </c>
      <c r="E818">
        <v>141.63849657421278</v>
      </c>
      <c r="F818">
        <f t="shared" si="12"/>
        <v>0.99270959902794653</v>
      </c>
    </row>
    <row r="819" spans="1:6" ht="90" x14ac:dyDescent="0.25">
      <c r="A819" s="4" t="s">
        <v>3383</v>
      </c>
      <c r="B819">
        <v>141.69293882431555</v>
      </c>
      <c r="C819" s="7">
        <v>0.99392466585662209</v>
      </c>
      <c r="E819">
        <v>141.69293882431555</v>
      </c>
      <c r="F819">
        <f t="shared" si="12"/>
        <v>0.99392466585662209</v>
      </c>
    </row>
    <row r="820" spans="1:6" ht="90" x14ac:dyDescent="0.25">
      <c r="A820" s="4" t="s">
        <v>3680</v>
      </c>
      <c r="B820">
        <v>141.99045856176619</v>
      </c>
      <c r="C820" s="7">
        <v>0.99513973268529765</v>
      </c>
      <c r="E820">
        <v>141.99045856176619</v>
      </c>
      <c r="F820">
        <f t="shared" si="12"/>
        <v>0.99513973268529765</v>
      </c>
    </row>
    <row r="821" spans="1:6" ht="90" x14ac:dyDescent="0.25">
      <c r="A821" s="4" t="s">
        <v>3665</v>
      </c>
      <c r="B821">
        <v>143.14958357846706</v>
      </c>
      <c r="C821" s="7">
        <v>0.99635479951397332</v>
      </c>
      <c r="E821">
        <v>143.14958357846706</v>
      </c>
      <c r="F821">
        <f t="shared" si="12"/>
        <v>0.99635479951397332</v>
      </c>
    </row>
    <row r="822" spans="1:6" ht="90" x14ac:dyDescent="0.25">
      <c r="A822" s="4" t="s">
        <v>3172</v>
      </c>
      <c r="B822">
        <v>143.30009636211452</v>
      </c>
      <c r="C822" s="7">
        <v>0.99756986634264888</v>
      </c>
      <c r="E822">
        <v>143.30009636211452</v>
      </c>
      <c r="F822">
        <f t="shared" si="12"/>
        <v>0.99756986634264888</v>
      </c>
    </row>
    <row r="823" spans="1:6" ht="90" x14ac:dyDescent="0.25">
      <c r="A823" s="4" t="s">
        <v>3278</v>
      </c>
      <c r="B823">
        <v>144.76345119356122</v>
      </c>
      <c r="C823" s="7">
        <v>0.99878493317132444</v>
      </c>
      <c r="E823">
        <v>144.76345119356122</v>
      </c>
      <c r="F823">
        <f t="shared" si="12"/>
        <v>0.99878493317132444</v>
      </c>
    </row>
    <row r="824" spans="1:6" ht="90" x14ac:dyDescent="0.25">
      <c r="A824" s="4" t="s">
        <v>3427</v>
      </c>
      <c r="B824">
        <v>146.92671974701668</v>
      </c>
      <c r="C824" s="7">
        <v>1</v>
      </c>
      <c r="E824">
        <v>146.92671974701668</v>
      </c>
      <c r="F824">
        <f t="shared" si="12"/>
        <v>1</v>
      </c>
    </row>
  </sheetData>
  <sortState xmlns:xlrd2="http://schemas.microsoft.com/office/spreadsheetml/2017/richdata2" ref="A2:B824">
    <sortCondition ref="B2:B824"/>
  </sortState>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A5C06-22EE-4FCC-8599-D6052C0334F8}">
  <sheetPr>
    <tabColor theme="9" tint="0.79998168889431442"/>
  </sheetPr>
  <dimension ref="A1"/>
  <sheetViews>
    <sheetView workbookViewId="0">
      <selection activeCell="Q35" sqref="Q35"/>
    </sheetView>
  </sheetViews>
  <sheetFormatPr defaultRowHeight="15" x14ac:dyDescent="0.2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E5BB3-B7E0-49DA-81BF-1B0A180196F9}">
  <sheetPr>
    <tabColor theme="9" tint="0.79998168889431442"/>
  </sheetPr>
  <dimension ref="A1:AA835"/>
  <sheetViews>
    <sheetView topLeftCell="D1" workbookViewId="0">
      <selection activeCell="G2" sqref="G2"/>
    </sheetView>
  </sheetViews>
  <sheetFormatPr defaultRowHeight="15" x14ac:dyDescent="0.25"/>
  <cols>
    <col min="1" max="1" width="15.7109375" customWidth="1"/>
    <col min="2" max="2" width="29.140625" customWidth="1"/>
    <col min="3" max="3" width="12.5703125" customWidth="1"/>
    <col min="4" max="4" width="22.28515625" customWidth="1"/>
    <col min="5" max="5" width="24.5703125" customWidth="1"/>
    <col min="6" max="6" width="22.28515625" style="7" bestFit="1" customWidth="1"/>
    <col min="7" max="7" width="18.140625" customWidth="1"/>
    <col min="8" max="8" width="25.140625" bestFit="1" customWidth="1"/>
    <col min="9" max="9" width="20.140625" bestFit="1" customWidth="1"/>
    <col min="10" max="10" width="27.42578125" bestFit="1" customWidth="1"/>
    <col min="11" max="11" width="36.7109375" bestFit="1" customWidth="1"/>
    <col min="12" max="12" width="22.42578125" bestFit="1" customWidth="1"/>
    <col min="13" max="13" width="17.42578125" bestFit="1" customWidth="1"/>
  </cols>
  <sheetData>
    <row r="1" spans="1:27" s="5" customFormat="1" ht="45" x14ac:dyDescent="0.25">
      <c r="A1" s="201" t="s">
        <v>2704</v>
      </c>
      <c r="B1" s="201" t="s">
        <v>3888</v>
      </c>
      <c r="C1" s="201" t="s">
        <v>8</v>
      </c>
      <c r="D1" s="201" t="s">
        <v>3889</v>
      </c>
      <c r="E1" s="201" t="s">
        <v>3884</v>
      </c>
      <c r="F1" s="12" t="s">
        <v>3890</v>
      </c>
      <c r="G1" s="200" t="s">
        <v>1010</v>
      </c>
      <c r="H1" s="200" t="s">
        <v>3891</v>
      </c>
      <c r="I1" s="200" t="s">
        <v>3892</v>
      </c>
      <c r="J1" s="200" t="s">
        <v>3893</v>
      </c>
      <c r="K1" s="200" t="s">
        <v>3041</v>
      </c>
      <c r="L1" s="200" t="s">
        <v>3042</v>
      </c>
      <c r="M1" s="200" t="s">
        <v>3894</v>
      </c>
      <c r="N1" s="200"/>
      <c r="O1" s="200"/>
      <c r="P1" s="200"/>
      <c r="Q1" s="200"/>
      <c r="R1" s="200"/>
      <c r="S1" s="200"/>
      <c r="T1" s="200"/>
      <c r="U1" s="200"/>
      <c r="V1" s="200"/>
      <c r="W1" s="200"/>
      <c r="X1" s="200"/>
      <c r="Y1" s="200"/>
      <c r="Z1" s="200"/>
      <c r="AA1" s="200"/>
    </row>
    <row r="2" spans="1:27" ht="45" x14ac:dyDescent="0.25">
      <c r="A2" s="4" t="s">
        <v>3048</v>
      </c>
      <c r="B2">
        <v>9958</v>
      </c>
      <c r="C2">
        <v>3.24</v>
      </c>
      <c r="D2">
        <f t="shared" ref="D2:D65" si="0">(B2/(C2)^0.5)</f>
        <v>5532.2222222222217</v>
      </c>
      <c r="E2">
        <f t="shared" ref="E2:E65" si="1">D2/1000</f>
        <v>5.5322222222222219</v>
      </c>
      <c r="F2" s="7">
        <v>1.215066828675577E-3</v>
      </c>
      <c r="G2">
        <f>IF(F2&lt;0.2,1,IF(F2&lt;0.4,2,IF(F2&lt;0.6,3,IF(F2&lt;0.8,4,5))))</f>
        <v>1</v>
      </c>
      <c r="H2" s="7">
        <f>1-F2</f>
        <v>0.99878493317132444</v>
      </c>
      <c r="I2">
        <f>6-G2</f>
        <v>5</v>
      </c>
      <c r="J2">
        <f>VLOOKUP(A2,'Housing Cost Calc'!$A$2:$C$827,3,FALSE)</f>
        <v>433</v>
      </c>
      <c r="K2">
        <f>(J2*12)/D2</f>
        <v>0.93922474392448296</v>
      </c>
      <c r="Z2" t="s">
        <v>3895</v>
      </c>
    </row>
    <row r="3" spans="1:27" ht="60" x14ac:dyDescent="0.25">
      <c r="A3" s="4" t="s">
        <v>3051</v>
      </c>
      <c r="B3">
        <v>13410</v>
      </c>
      <c r="C3">
        <v>1.47</v>
      </c>
      <c r="D3">
        <f t="shared" si="0"/>
        <v>11060.381585475545</v>
      </c>
      <c r="E3">
        <f t="shared" si="1"/>
        <v>11.060381585475545</v>
      </c>
      <c r="F3" s="7">
        <v>2.4301336573511541E-3</v>
      </c>
      <c r="G3">
        <f t="shared" ref="G3:G66" si="2">IF(F3&lt;0.2,1,IF(F3&lt;0.4,2,IF(F3&lt;0.6,3,IF(F3&lt;0.8,4,5))))</f>
        <v>1</v>
      </c>
      <c r="H3" s="7">
        <f t="shared" ref="H3:H66" si="3">1-F3</f>
        <v>0.99756986634264888</v>
      </c>
      <c r="I3">
        <f t="shared" ref="I3:I66" si="4">6-G3</f>
        <v>5</v>
      </c>
      <c r="J3">
        <f>VLOOKUP(A3,'Housing Cost Calc'!$A$2:$C$827,3,FALSE)</f>
        <v>461</v>
      </c>
      <c r="K3">
        <f t="shared" ref="K3:K66" si="5">(J3*12)/D3</f>
        <v>0.50016357548320067</v>
      </c>
      <c r="Z3" t="s">
        <v>3896</v>
      </c>
    </row>
    <row r="4" spans="1:27" ht="45" x14ac:dyDescent="0.25">
      <c r="A4" s="4" t="s">
        <v>3065</v>
      </c>
      <c r="B4">
        <v>21895</v>
      </c>
      <c r="C4">
        <v>3.46</v>
      </c>
      <c r="D4">
        <f t="shared" si="0"/>
        <v>11770.824922840449</v>
      </c>
      <c r="E4">
        <f t="shared" si="1"/>
        <v>11.770824922840449</v>
      </c>
      <c r="F4" s="7">
        <v>3.6452004860267314E-3</v>
      </c>
      <c r="G4">
        <f t="shared" si="2"/>
        <v>1</v>
      </c>
      <c r="H4" s="7">
        <f t="shared" si="3"/>
        <v>0.99635479951397332</v>
      </c>
      <c r="I4">
        <f t="shared" si="4"/>
        <v>5</v>
      </c>
      <c r="J4">
        <f>VLOOKUP(A4,'Housing Cost Calc'!$A$2:$C$827,3,FALSE)</f>
        <v>1032</v>
      </c>
      <c r="K4">
        <f t="shared" si="5"/>
        <v>1.0520927871393047</v>
      </c>
      <c r="Z4" t="s">
        <v>3897</v>
      </c>
    </row>
    <row r="5" spans="1:27" ht="60" x14ac:dyDescent="0.25">
      <c r="A5" s="4" t="s">
        <v>3054</v>
      </c>
      <c r="B5">
        <v>15000</v>
      </c>
      <c r="C5">
        <v>1.4</v>
      </c>
      <c r="D5">
        <f t="shared" si="0"/>
        <v>12677.313820927749</v>
      </c>
      <c r="E5">
        <f t="shared" si="1"/>
        <v>12.677313820927749</v>
      </c>
      <c r="F5" s="7">
        <v>4.8602673147023082E-3</v>
      </c>
      <c r="G5">
        <f t="shared" si="2"/>
        <v>1</v>
      </c>
      <c r="H5" s="7">
        <f t="shared" si="3"/>
        <v>0.99513973268529765</v>
      </c>
      <c r="I5">
        <f t="shared" si="4"/>
        <v>5</v>
      </c>
      <c r="J5">
        <f>VLOOKUP(A5,'Housing Cost Calc'!$A$2:$C$827,3,FALSE)</f>
        <v>440</v>
      </c>
      <c r="K5">
        <f t="shared" si="5"/>
        <v>0.41649201673021297</v>
      </c>
      <c r="N5" s="6"/>
      <c r="AA5" t="s">
        <v>3898</v>
      </c>
    </row>
    <row r="6" spans="1:27" ht="60" x14ac:dyDescent="0.25">
      <c r="A6" s="4" t="s">
        <v>3067</v>
      </c>
      <c r="B6">
        <v>22449</v>
      </c>
      <c r="C6">
        <v>3.07</v>
      </c>
      <c r="D6">
        <f t="shared" si="0"/>
        <v>12812.321037123063</v>
      </c>
      <c r="E6">
        <f t="shared" si="1"/>
        <v>12.812321037123063</v>
      </c>
      <c r="F6" s="7">
        <v>6.0753341433778859E-3</v>
      </c>
      <c r="G6">
        <f t="shared" si="2"/>
        <v>1</v>
      </c>
      <c r="H6" s="7">
        <f t="shared" si="3"/>
        <v>0.99392466585662209</v>
      </c>
      <c r="I6">
        <f t="shared" si="4"/>
        <v>5</v>
      </c>
      <c r="J6">
        <f>VLOOKUP(A6,'Housing Cost Calc'!$A$2:$C$827,3,FALSE)</f>
        <v>937</v>
      </c>
      <c r="K6">
        <f t="shared" si="5"/>
        <v>0.87759274587493308</v>
      </c>
    </row>
    <row r="7" spans="1:27" ht="60" x14ac:dyDescent="0.25">
      <c r="A7" s="4" t="s">
        <v>3069</v>
      </c>
      <c r="B7">
        <v>22454</v>
      </c>
      <c r="C7">
        <v>2.87</v>
      </c>
      <c r="D7">
        <f t="shared" si="0"/>
        <v>13254.177120810849</v>
      </c>
      <c r="E7">
        <f t="shared" si="1"/>
        <v>13.25417712081085</v>
      </c>
      <c r="F7" s="7">
        <v>7.2904009720534627E-3</v>
      </c>
      <c r="G7">
        <f t="shared" si="2"/>
        <v>1</v>
      </c>
      <c r="H7" s="7">
        <f t="shared" si="3"/>
        <v>0.99270959902794653</v>
      </c>
      <c r="I7">
        <f t="shared" si="4"/>
        <v>5</v>
      </c>
      <c r="J7">
        <f>VLOOKUP(A7,'Housing Cost Calc'!$A$2:$C$827,3,FALSE)</f>
        <v>1004</v>
      </c>
      <c r="K7">
        <f t="shared" si="5"/>
        <v>0.90899645373555571</v>
      </c>
    </row>
    <row r="8" spans="1:27" ht="45" x14ac:dyDescent="0.25">
      <c r="A8" s="4" t="s">
        <v>3063</v>
      </c>
      <c r="B8">
        <v>21851</v>
      </c>
      <c r="C8">
        <v>2.69</v>
      </c>
      <c r="D8">
        <f t="shared" si="0"/>
        <v>13322.789835326628</v>
      </c>
      <c r="E8">
        <f t="shared" si="1"/>
        <v>13.322789835326628</v>
      </c>
      <c r="F8" s="7">
        <v>8.5054678007290396E-3</v>
      </c>
      <c r="G8">
        <f t="shared" si="2"/>
        <v>1</v>
      </c>
      <c r="H8" s="7">
        <f t="shared" si="3"/>
        <v>0.99149453219927097</v>
      </c>
      <c r="I8">
        <f t="shared" si="4"/>
        <v>5</v>
      </c>
      <c r="J8">
        <f>VLOOKUP(A8,'Housing Cost Calc'!$A$2:$C$827,3,FALSE)</f>
        <v>1109</v>
      </c>
      <c r="K8">
        <f t="shared" si="5"/>
        <v>0.998889884512971</v>
      </c>
    </row>
    <row r="9" spans="1:27" ht="60" x14ac:dyDescent="0.25">
      <c r="A9" s="4" t="s">
        <v>3057</v>
      </c>
      <c r="B9">
        <v>18304</v>
      </c>
      <c r="C9">
        <v>1.83</v>
      </c>
      <c r="D9">
        <f t="shared" si="0"/>
        <v>13530.706143552499</v>
      </c>
      <c r="E9">
        <f t="shared" si="1"/>
        <v>13.5307061435525</v>
      </c>
      <c r="F9" s="7">
        <v>9.7205346294046164E-3</v>
      </c>
      <c r="G9">
        <f t="shared" si="2"/>
        <v>1</v>
      </c>
      <c r="H9" s="7">
        <f t="shared" si="3"/>
        <v>0.99027946537059541</v>
      </c>
      <c r="I9">
        <f t="shared" si="4"/>
        <v>5</v>
      </c>
      <c r="J9">
        <f>VLOOKUP(A9,'Housing Cost Calc'!$A$2:$C$827,3,FALSE)</f>
        <v>783</v>
      </c>
      <c r="K9">
        <f t="shared" si="5"/>
        <v>0.69442052028284396</v>
      </c>
    </row>
    <row r="10" spans="1:27" ht="60" x14ac:dyDescent="0.25">
      <c r="A10" s="4" t="s">
        <v>3071</v>
      </c>
      <c r="B10">
        <v>22778</v>
      </c>
      <c r="C10">
        <v>2.82</v>
      </c>
      <c r="D10">
        <f t="shared" si="0"/>
        <v>13564.101609847572</v>
      </c>
      <c r="E10">
        <f t="shared" si="1"/>
        <v>13.564101609847572</v>
      </c>
      <c r="F10" s="7">
        <v>1.0935601458080195E-2</v>
      </c>
      <c r="G10">
        <f t="shared" si="2"/>
        <v>1</v>
      </c>
      <c r="H10" s="7">
        <f t="shared" si="3"/>
        <v>0.98906439854191985</v>
      </c>
      <c r="I10">
        <f t="shared" si="4"/>
        <v>5</v>
      </c>
      <c r="J10">
        <f>VLOOKUP(A10,'Housing Cost Calc'!$A$2:$C$827,3,FALSE)</f>
        <v>924</v>
      </c>
      <c r="K10">
        <f t="shared" si="5"/>
        <v>0.81745185335017578</v>
      </c>
    </row>
    <row r="11" spans="1:27" ht="60" x14ac:dyDescent="0.25">
      <c r="A11" s="4" t="s">
        <v>3061</v>
      </c>
      <c r="B11">
        <v>21633</v>
      </c>
      <c r="C11">
        <v>2.5099999999999998</v>
      </c>
      <c r="D11">
        <f t="shared" si="0"/>
        <v>13654.628522214776</v>
      </c>
      <c r="E11">
        <f t="shared" si="1"/>
        <v>13.654628522214777</v>
      </c>
      <c r="F11" s="7">
        <v>1.2150668286755772E-2</v>
      </c>
      <c r="G11">
        <f t="shared" si="2"/>
        <v>1</v>
      </c>
      <c r="H11" s="7">
        <f t="shared" si="3"/>
        <v>0.98784933171324418</v>
      </c>
      <c r="I11">
        <f t="shared" si="4"/>
        <v>5</v>
      </c>
      <c r="J11">
        <f>VLOOKUP(A11,'Housing Cost Calc'!$A$2:$C$827,3,FALSE)</f>
        <v>596</v>
      </c>
      <c r="K11">
        <f t="shared" si="5"/>
        <v>0.52377843808525282</v>
      </c>
    </row>
    <row r="12" spans="1:27" ht="45" x14ac:dyDescent="0.25">
      <c r="A12" s="4" t="s">
        <v>3081</v>
      </c>
      <c r="B12">
        <v>24271</v>
      </c>
      <c r="C12">
        <v>3.01</v>
      </c>
      <c r="D12">
        <f t="shared" si="0"/>
        <v>13989.571828099488</v>
      </c>
      <c r="E12">
        <f t="shared" si="1"/>
        <v>13.989571828099487</v>
      </c>
      <c r="F12" s="7">
        <v>1.3365735115431349E-2</v>
      </c>
      <c r="G12">
        <f t="shared" si="2"/>
        <v>1</v>
      </c>
      <c r="H12" s="7">
        <f t="shared" si="3"/>
        <v>0.98663426488456862</v>
      </c>
      <c r="I12">
        <f t="shared" si="4"/>
        <v>5</v>
      </c>
      <c r="J12">
        <f>VLOOKUP(A12,'Housing Cost Calc'!$A$2:$C$827,3,FALSE)</f>
        <v>1107</v>
      </c>
      <c r="K12">
        <f t="shared" si="5"/>
        <v>0.94956444437546872</v>
      </c>
    </row>
    <row r="13" spans="1:27" ht="60" x14ac:dyDescent="0.25">
      <c r="A13" s="4" t="s">
        <v>3059</v>
      </c>
      <c r="B13">
        <v>19593</v>
      </c>
      <c r="C13">
        <v>1.86</v>
      </c>
      <c r="D13">
        <f t="shared" si="0"/>
        <v>14366.284623066875</v>
      </c>
      <c r="E13">
        <f t="shared" si="1"/>
        <v>14.366284623066875</v>
      </c>
      <c r="F13" s="7">
        <v>1.4580801944106925E-2</v>
      </c>
      <c r="G13">
        <f t="shared" si="2"/>
        <v>1</v>
      </c>
      <c r="H13" s="7">
        <f t="shared" si="3"/>
        <v>0.98541919805589306</v>
      </c>
      <c r="I13">
        <f t="shared" si="4"/>
        <v>5</v>
      </c>
      <c r="J13">
        <f>VLOOKUP(A13,'Housing Cost Calc'!$A$2:$C$827,3,FALSE)</f>
        <v>715</v>
      </c>
      <c r="K13">
        <f t="shared" si="5"/>
        <v>0.59723165906261755</v>
      </c>
    </row>
    <row r="14" spans="1:27" ht="60" x14ac:dyDescent="0.25">
      <c r="A14" s="4" t="s">
        <v>3089</v>
      </c>
      <c r="B14">
        <v>24943</v>
      </c>
      <c r="C14">
        <v>2.87</v>
      </c>
      <c r="D14">
        <f t="shared" si="0"/>
        <v>14723.387366366127</v>
      </c>
      <c r="E14">
        <f t="shared" si="1"/>
        <v>14.723387366366127</v>
      </c>
      <c r="F14" s="7">
        <v>1.5795868772782502E-2</v>
      </c>
      <c r="G14">
        <f t="shared" si="2"/>
        <v>1</v>
      </c>
      <c r="H14" s="7">
        <f t="shared" si="3"/>
        <v>0.9842041312272175</v>
      </c>
      <c r="I14">
        <f t="shared" si="4"/>
        <v>5</v>
      </c>
      <c r="J14">
        <f>VLOOKUP(A14,'Housing Cost Calc'!$A$2:$C$827,3,FALSE)</f>
        <v>996</v>
      </c>
      <c r="K14">
        <f t="shared" si="5"/>
        <v>0.81176971729365488</v>
      </c>
    </row>
    <row r="15" spans="1:27" ht="60" x14ac:dyDescent="0.25">
      <c r="A15" s="4" t="s">
        <v>3073</v>
      </c>
      <c r="B15">
        <v>23480</v>
      </c>
      <c r="C15">
        <v>2.4700000000000002</v>
      </c>
      <c r="D15">
        <f t="shared" si="0"/>
        <v>14939.966234671261</v>
      </c>
      <c r="E15">
        <f t="shared" si="1"/>
        <v>14.939966234671262</v>
      </c>
      <c r="F15" s="7">
        <v>1.7010935601458079E-2</v>
      </c>
      <c r="G15">
        <f t="shared" si="2"/>
        <v>1</v>
      </c>
      <c r="H15" s="7">
        <f t="shared" si="3"/>
        <v>0.98298906439854195</v>
      </c>
      <c r="I15">
        <f t="shared" si="4"/>
        <v>5</v>
      </c>
      <c r="J15">
        <f>VLOOKUP(A15,'Housing Cost Calc'!$A$2:$C$827,3,FALSE)</f>
        <v>859</v>
      </c>
      <c r="K15">
        <f t="shared" si="5"/>
        <v>0.68996139871308193</v>
      </c>
    </row>
    <row r="16" spans="1:27" ht="60" x14ac:dyDescent="0.25">
      <c r="A16" s="4" t="s">
        <v>3075</v>
      </c>
      <c r="B16">
        <v>23500</v>
      </c>
      <c r="C16">
        <v>2.4700000000000002</v>
      </c>
      <c r="D16">
        <f t="shared" si="0"/>
        <v>14952.691929930777</v>
      </c>
      <c r="E16">
        <f t="shared" si="1"/>
        <v>14.952691929930777</v>
      </c>
      <c r="F16" s="7">
        <v>1.8226002430133656E-2</v>
      </c>
      <c r="G16">
        <f t="shared" si="2"/>
        <v>1</v>
      </c>
      <c r="H16" s="7">
        <f t="shared" si="3"/>
        <v>0.98177399756986639</v>
      </c>
      <c r="I16">
        <f t="shared" si="4"/>
        <v>5</v>
      </c>
      <c r="J16">
        <f>VLOOKUP(A16,'Housing Cost Calc'!$A$2:$C$827,3,FALSE)</f>
        <v>842</v>
      </c>
      <c r="K16">
        <f t="shared" si="5"/>
        <v>0.6757311691665927</v>
      </c>
    </row>
    <row r="17" spans="1:11" ht="60" x14ac:dyDescent="0.25">
      <c r="A17" s="4" t="s">
        <v>3109</v>
      </c>
      <c r="B17">
        <v>28029</v>
      </c>
      <c r="C17">
        <v>3.36</v>
      </c>
      <c r="D17">
        <f t="shared" si="0"/>
        <v>15291.073113561577</v>
      </c>
      <c r="E17">
        <f t="shared" si="1"/>
        <v>15.291073113561577</v>
      </c>
      <c r="F17" s="7">
        <v>1.9441069258809233E-2</v>
      </c>
      <c r="G17">
        <f t="shared" si="2"/>
        <v>1</v>
      </c>
      <c r="H17" s="7">
        <f t="shared" si="3"/>
        <v>0.98055893074119072</v>
      </c>
      <c r="I17">
        <f t="shared" si="4"/>
        <v>5</v>
      </c>
      <c r="J17">
        <f>VLOOKUP(A17,'Housing Cost Calc'!$A$2:$C$827,3,FALSE)</f>
        <v>986</v>
      </c>
      <c r="K17">
        <f t="shared" si="5"/>
        <v>0.77378480320692844</v>
      </c>
    </row>
    <row r="18" spans="1:11" ht="45" x14ac:dyDescent="0.25">
      <c r="A18" s="4" t="s">
        <v>3085</v>
      </c>
      <c r="B18">
        <v>24342</v>
      </c>
      <c r="C18">
        <v>2.52</v>
      </c>
      <c r="D18">
        <f t="shared" si="0"/>
        <v>15334.018669984349</v>
      </c>
      <c r="E18">
        <f t="shared" si="1"/>
        <v>15.334018669984349</v>
      </c>
      <c r="F18" s="7">
        <v>2.0656136087484813E-2</v>
      </c>
      <c r="G18">
        <f t="shared" si="2"/>
        <v>1</v>
      </c>
      <c r="H18" s="7">
        <f t="shared" si="3"/>
        <v>0.97934386391251516</v>
      </c>
      <c r="I18">
        <f t="shared" si="4"/>
        <v>5</v>
      </c>
      <c r="J18">
        <f>VLOOKUP(A18,'Housing Cost Calc'!$A$2:$C$827,3,FALSE)</f>
        <v>1275</v>
      </c>
      <c r="K18">
        <f t="shared" si="5"/>
        <v>0.99778149024619756</v>
      </c>
    </row>
    <row r="19" spans="1:11" ht="60" x14ac:dyDescent="0.25">
      <c r="A19" s="4" t="s">
        <v>3091</v>
      </c>
      <c r="B19">
        <v>25156</v>
      </c>
      <c r="C19">
        <v>2.64</v>
      </c>
      <c r="D19">
        <f t="shared" si="0"/>
        <v>15482.44773538047</v>
      </c>
      <c r="E19">
        <f t="shared" si="1"/>
        <v>15.48244773538047</v>
      </c>
      <c r="F19" s="7">
        <v>2.187120291616039E-2</v>
      </c>
      <c r="G19">
        <f t="shared" si="2"/>
        <v>1</v>
      </c>
      <c r="H19" s="7">
        <f t="shared" si="3"/>
        <v>0.9781287970838396</v>
      </c>
      <c r="I19">
        <f t="shared" si="4"/>
        <v>5</v>
      </c>
      <c r="J19">
        <f>VLOOKUP(A19,'Housing Cost Calc'!$A$2:$C$827,3,FALSE)</f>
        <v>869</v>
      </c>
      <c r="K19">
        <f t="shared" si="5"/>
        <v>0.67353690955274126</v>
      </c>
    </row>
    <row r="20" spans="1:11" ht="60" x14ac:dyDescent="0.25">
      <c r="A20" s="4" t="s">
        <v>3099</v>
      </c>
      <c r="B20">
        <v>26324</v>
      </c>
      <c r="C20">
        <v>2.89</v>
      </c>
      <c r="D20">
        <f t="shared" si="0"/>
        <v>15484.705882352942</v>
      </c>
      <c r="E20">
        <f t="shared" si="1"/>
        <v>15.484705882352943</v>
      </c>
      <c r="F20" s="7">
        <v>2.3086269744835967E-2</v>
      </c>
      <c r="G20">
        <f t="shared" si="2"/>
        <v>1</v>
      </c>
      <c r="H20" s="7">
        <f t="shared" si="3"/>
        <v>0.97691373025516404</v>
      </c>
      <c r="I20">
        <f t="shared" si="4"/>
        <v>5</v>
      </c>
      <c r="J20">
        <f>VLOOKUP(A20,'Housing Cost Calc'!$A$2:$C$827,3,FALSE)</f>
        <v>1082</v>
      </c>
      <c r="K20">
        <f t="shared" si="5"/>
        <v>0.83850478650660987</v>
      </c>
    </row>
    <row r="21" spans="1:11" ht="60" x14ac:dyDescent="0.25">
      <c r="A21" s="4" t="s">
        <v>3079</v>
      </c>
      <c r="B21">
        <v>23608</v>
      </c>
      <c r="C21">
        <v>2.2200000000000002</v>
      </c>
      <c r="D21">
        <f t="shared" si="0"/>
        <v>15844.652151492686</v>
      </c>
      <c r="E21">
        <f t="shared" si="1"/>
        <v>15.844652151492687</v>
      </c>
      <c r="F21" s="7">
        <v>2.4301336573511544E-2</v>
      </c>
      <c r="G21">
        <f t="shared" si="2"/>
        <v>1</v>
      </c>
      <c r="H21" s="7">
        <f t="shared" si="3"/>
        <v>0.97569866342648848</v>
      </c>
      <c r="I21">
        <f t="shared" si="4"/>
        <v>5</v>
      </c>
      <c r="J21">
        <f>VLOOKUP(A21,'Housing Cost Calc'!$A$2:$C$827,3,FALSE)</f>
        <v>914</v>
      </c>
      <c r="K21">
        <f t="shared" si="5"/>
        <v>0.69222093960369657</v>
      </c>
    </row>
    <row r="22" spans="1:11" ht="60" x14ac:dyDescent="0.25">
      <c r="A22" s="4" t="s">
        <v>3095</v>
      </c>
      <c r="B22">
        <v>25958</v>
      </c>
      <c r="C22">
        <v>2.65</v>
      </c>
      <c r="D22">
        <f t="shared" si="0"/>
        <v>15945.872642775705</v>
      </c>
      <c r="E22">
        <f t="shared" si="1"/>
        <v>15.945872642775704</v>
      </c>
      <c r="F22" s="7">
        <v>2.551640340218712E-2</v>
      </c>
      <c r="G22">
        <f t="shared" si="2"/>
        <v>1</v>
      </c>
      <c r="H22" s="7">
        <f t="shared" si="3"/>
        <v>0.97448359659781292</v>
      </c>
      <c r="I22">
        <f t="shared" si="4"/>
        <v>5</v>
      </c>
      <c r="J22">
        <f>VLOOKUP(A22,'Housing Cost Calc'!$A$2:$C$827,3,FALSE)</f>
        <v>976</v>
      </c>
      <c r="K22">
        <f t="shared" si="5"/>
        <v>0.7344847323427065</v>
      </c>
    </row>
    <row r="23" spans="1:11" ht="60" x14ac:dyDescent="0.25">
      <c r="A23" s="4" t="s">
        <v>3101</v>
      </c>
      <c r="B23">
        <v>26765</v>
      </c>
      <c r="C23">
        <v>2.74</v>
      </c>
      <c r="D23">
        <f t="shared" si="0"/>
        <v>16169.327827982186</v>
      </c>
      <c r="E23">
        <f t="shared" si="1"/>
        <v>16.169327827982187</v>
      </c>
      <c r="F23" s="7">
        <v>2.6731470230862697E-2</v>
      </c>
      <c r="G23">
        <f t="shared" si="2"/>
        <v>1</v>
      </c>
      <c r="H23" s="7">
        <f t="shared" si="3"/>
        <v>0.97326852976913725</v>
      </c>
      <c r="I23">
        <f t="shared" si="4"/>
        <v>5</v>
      </c>
      <c r="J23">
        <f>VLOOKUP(A23,'Housing Cost Calc'!$A$2:$C$827,3,FALSE)</f>
        <v>946</v>
      </c>
      <c r="K23">
        <f t="shared" si="5"/>
        <v>0.70207000073030534</v>
      </c>
    </row>
    <row r="24" spans="1:11" ht="60" x14ac:dyDescent="0.25">
      <c r="A24" s="4" t="s">
        <v>3119</v>
      </c>
      <c r="B24">
        <v>29167</v>
      </c>
      <c r="C24">
        <v>3.25</v>
      </c>
      <c r="D24">
        <f t="shared" si="0"/>
        <v>16178.940623301258</v>
      </c>
      <c r="E24">
        <f t="shared" si="1"/>
        <v>16.178940623301258</v>
      </c>
      <c r="F24" s="7">
        <v>2.7946537059538274E-2</v>
      </c>
      <c r="G24">
        <f t="shared" si="2"/>
        <v>1</v>
      </c>
      <c r="H24" s="7">
        <f t="shared" si="3"/>
        <v>0.97205346294046169</v>
      </c>
      <c r="I24">
        <f t="shared" si="4"/>
        <v>5</v>
      </c>
      <c r="J24">
        <f>VLOOKUP(A24,'Housing Cost Calc'!$A$2:$C$827,3,FALSE)</f>
        <v>1084</v>
      </c>
      <c r="K24">
        <f t="shared" si="5"/>
        <v>0.80400814261383713</v>
      </c>
    </row>
    <row r="25" spans="1:11" ht="60" x14ac:dyDescent="0.25">
      <c r="A25" s="4" t="s">
        <v>3107</v>
      </c>
      <c r="B25">
        <v>27964</v>
      </c>
      <c r="C25">
        <v>2.83</v>
      </c>
      <c r="D25">
        <f t="shared" si="0"/>
        <v>16622.872573039393</v>
      </c>
      <c r="E25">
        <f t="shared" si="1"/>
        <v>16.622872573039391</v>
      </c>
      <c r="F25" s="7">
        <v>2.9161603888213851E-2</v>
      </c>
      <c r="G25">
        <f t="shared" si="2"/>
        <v>1</v>
      </c>
      <c r="H25" s="7">
        <f t="shared" si="3"/>
        <v>0.97083839611178613</v>
      </c>
      <c r="I25">
        <f t="shared" si="4"/>
        <v>5</v>
      </c>
      <c r="J25">
        <f>VLOOKUP(A25,'Housing Cost Calc'!$A$2:$C$827,3,FALSE)</f>
        <v>1195</v>
      </c>
      <c r="K25">
        <f t="shared" si="5"/>
        <v>0.86266678259075513</v>
      </c>
    </row>
    <row r="26" spans="1:11" ht="60" x14ac:dyDescent="0.25">
      <c r="A26" s="4" t="s">
        <v>3097</v>
      </c>
      <c r="B26">
        <v>26250</v>
      </c>
      <c r="C26">
        <v>2.37</v>
      </c>
      <c r="D26">
        <f t="shared" si="0"/>
        <v>17051.207314617812</v>
      </c>
      <c r="E26">
        <f t="shared" si="1"/>
        <v>17.051207314617812</v>
      </c>
      <c r="F26" s="7">
        <v>3.0376670716889428E-2</v>
      </c>
      <c r="G26">
        <f t="shared" si="2"/>
        <v>1</v>
      </c>
      <c r="H26" s="7">
        <f t="shared" si="3"/>
        <v>0.96962332928311057</v>
      </c>
      <c r="I26">
        <f t="shared" si="4"/>
        <v>5</v>
      </c>
      <c r="J26">
        <f>VLOOKUP(A26,'Housing Cost Calc'!$A$2:$C$827,3,FALSE)</f>
        <v>648</v>
      </c>
      <c r="K26">
        <f t="shared" si="5"/>
        <v>0.45603808906444537</v>
      </c>
    </row>
    <row r="27" spans="1:11" ht="60" x14ac:dyDescent="0.25">
      <c r="A27" s="4" t="s">
        <v>3113</v>
      </c>
      <c r="B27">
        <v>28438</v>
      </c>
      <c r="C27">
        <v>2.73</v>
      </c>
      <c r="D27">
        <f t="shared" si="0"/>
        <v>17211.460574035405</v>
      </c>
      <c r="E27">
        <f t="shared" si="1"/>
        <v>17.211460574035407</v>
      </c>
      <c r="F27" s="7">
        <v>3.1591737545565005E-2</v>
      </c>
      <c r="G27">
        <f t="shared" si="2"/>
        <v>1</v>
      </c>
      <c r="H27" s="7">
        <f t="shared" si="3"/>
        <v>0.96840826245443501</v>
      </c>
      <c r="I27">
        <f t="shared" si="4"/>
        <v>5</v>
      </c>
      <c r="J27">
        <f>VLOOKUP(A27,'Housing Cost Calc'!$A$2:$C$827,3,FALSE)</f>
        <v>999</v>
      </c>
      <c r="K27">
        <f t="shared" si="5"/>
        <v>0.6965126491405772</v>
      </c>
    </row>
    <row r="28" spans="1:11" ht="60" x14ac:dyDescent="0.25">
      <c r="A28" s="4" t="s">
        <v>3087</v>
      </c>
      <c r="B28">
        <v>24805</v>
      </c>
      <c r="C28">
        <v>2.0499999999999998</v>
      </c>
      <c r="D28">
        <f t="shared" si="0"/>
        <v>17324.563486564388</v>
      </c>
      <c r="E28">
        <f t="shared" si="1"/>
        <v>17.324563486564386</v>
      </c>
      <c r="F28" s="7">
        <v>3.2806804374240585E-2</v>
      </c>
      <c r="G28">
        <f t="shared" si="2"/>
        <v>1</v>
      </c>
      <c r="H28" s="7">
        <f t="shared" si="3"/>
        <v>0.96719319562575945</v>
      </c>
      <c r="I28">
        <f t="shared" si="4"/>
        <v>5</v>
      </c>
      <c r="J28">
        <f>VLOOKUP(A28,'Housing Cost Calc'!$A$2:$C$827,3,FALSE)</f>
        <v>1001</v>
      </c>
      <c r="K28">
        <f t="shared" si="5"/>
        <v>0.69335080270943583</v>
      </c>
    </row>
    <row r="29" spans="1:11" ht="60" x14ac:dyDescent="0.25">
      <c r="A29" s="4" t="s">
        <v>3083</v>
      </c>
      <c r="B29">
        <v>24325</v>
      </c>
      <c r="C29">
        <v>1.97</v>
      </c>
      <c r="D29">
        <f t="shared" si="0"/>
        <v>17330.844909559022</v>
      </c>
      <c r="E29">
        <f t="shared" si="1"/>
        <v>17.330844909559023</v>
      </c>
      <c r="F29" s="7">
        <v>3.4021871202916158E-2</v>
      </c>
      <c r="G29">
        <f t="shared" si="2"/>
        <v>1</v>
      </c>
      <c r="H29" s="7">
        <f t="shared" si="3"/>
        <v>0.96597812879708389</v>
      </c>
      <c r="I29">
        <f t="shared" si="4"/>
        <v>5</v>
      </c>
      <c r="J29">
        <f>VLOOKUP(A29,'Housing Cost Calc'!$A$2:$C$827,3,FALSE)</f>
        <v>879</v>
      </c>
      <c r="K29">
        <f t="shared" si="5"/>
        <v>0.6086258376348479</v>
      </c>
    </row>
    <row r="30" spans="1:11" ht="60" x14ac:dyDescent="0.25">
      <c r="A30" s="4" t="s">
        <v>3103</v>
      </c>
      <c r="B30">
        <v>26840</v>
      </c>
      <c r="C30">
        <v>2.38</v>
      </c>
      <c r="D30">
        <f t="shared" si="0"/>
        <v>17397.787940140093</v>
      </c>
      <c r="E30">
        <f t="shared" si="1"/>
        <v>17.397787940140095</v>
      </c>
      <c r="F30" s="7">
        <v>3.5236938031591739E-2</v>
      </c>
      <c r="G30">
        <f t="shared" si="2"/>
        <v>1</v>
      </c>
      <c r="H30" s="7">
        <f t="shared" si="3"/>
        <v>0.96476306196840822</v>
      </c>
      <c r="I30">
        <f t="shared" si="4"/>
        <v>5</v>
      </c>
      <c r="J30">
        <f>VLOOKUP(A30,'Housing Cost Calc'!$A$2:$C$827,3,FALSE)</f>
        <v>710</v>
      </c>
      <c r="K30">
        <f t="shared" si="5"/>
        <v>0.48971743013045332</v>
      </c>
    </row>
    <row r="31" spans="1:11" ht="60" x14ac:dyDescent="0.25">
      <c r="A31" s="4" t="s">
        <v>3125</v>
      </c>
      <c r="B31">
        <v>30034</v>
      </c>
      <c r="C31">
        <v>2.96</v>
      </c>
      <c r="D31">
        <f t="shared" si="0"/>
        <v>17456.907910159342</v>
      </c>
      <c r="E31">
        <f t="shared" si="1"/>
        <v>17.456907910159341</v>
      </c>
      <c r="F31" s="7">
        <v>3.6452004860267312E-2</v>
      </c>
      <c r="G31">
        <f t="shared" si="2"/>
        <v>1</v>
      </c>
      <c r="H31" s="7">
        <f t="shared" si="3"/>
        <v>0.96354799513973266</v>
      </c>
      <c r="I31">
        <f t="shared" si="4"/>
        <v>5</v>
      </c>
      <c r="J31">
        <f>VLOOKUP(A31,'Housing Cost Calc'!$A$2:$C$827,3,FALSE)</f>
        <v>902</v>
      </c>
      <c r="K31">
        <f t="shared" si="5"/>
        <v>0.62004107804800823</v>
      </c>
    </row>
    <row r="32" spans="1:11" ht="60" x14ac:dyDescent="0.25">
      <c r="A32" s="4" t="s">
        <v>3141</v>
      </c>
      <c r="B32">
        <v>30987</v>
      </c>
      <c r="C32">
        <v>3.14</v>
      </c>
      <c r="D32">
        <f t="shared" si="0"/>
        <v>17486.975763052331</v>
      </c>
      <c r="E32">
        <f t="shared" si="1"/>
        <v>17.486975763052332</v>
      </c>
      <c r="F32" s="7">
        <v>3.7667071688942892E-2</v>
      </c>
      <c r="G32">
        <f t="shared" si="2"/>
        <v>1</v>
      </c>
      <c r="H32" s="7">
        <f t="shared" si="3"/>
        <v>0.9623329283110571</v>
      </c>
      <c r="I32">
        <f t="shared" si="4"/>
        <v>5</v>
      </c>
      <c r="J32">
        <f>VLOOKUP(A32,'Housing Cost Calc'!$A$2:$C$827,3,FALSE)</f>
        <v>1018</v>
      </c>
      <c r="K32">
        <f t="shared" si="5"/>
        <v>0.69857705331820685</v>
      </c>
    </row>
    <row r="33" spans="1:11" ht="45" x14ac:dyDescent="0.25">
      <c r="A33" s="4" t="s">
        <v>3105</v>
      </c>
      <c r="B33">
        <v>27072</v>
      </c>
      <c r="C33">
        <v>2.39</v>
      </c>
      <c r="D33">
        <f t="shared" si="0"/>
        <v>17511.421066904502</v>
      </c>
      <c r="E33">
        <f t="shared" si="1"/>
        <v>17.511421066904504</v>
      </c>
      <c r="F33" s="7">
        <v>3.8882138517618466E-2</v>
      </c>
      <c r="G33">
        <f t="shared" si="2"/>
        <v>1</v>
      </c>
      <c r="H33" s="7">
        <f t="shared" si="3"/>
        <v>0.96111786148238154</v>
      </c>
      <c r="I33">
        <f t="shared" si="4"/>
        <v>5</v>
      </c>
      <c r="J33">
        <f>VLOOKUP(A33,'Housing Cost Calc'!$A$2:$C$827,3,FALSE)</f>
        <v>1078</v>
      </c>
      <c r="K33">
        <f t="shared" si="5"/>
        <v>0.73871788877535682</v>
      </c>
    </row>
    <row r="34" spans="1:11" ht="60" x14ac:dyDescent="0.25">
      <c r="A34" s="4" t="s">
        <v>3139</v>
      </c>
      <c r="B34">
        <v>30855</v>
      </c>
      <c r="C34">
        <v>3.03</v>
      </c>
      <c r="D34">
        <f t="shared" si="0"/>
        <v>17725.734354769102</v>
      </c>
      <c r="E34">
        <f t="shared" si="1"/>
        <v>17.725734354769102</v>
      </c>
      <c r="F34" s="7">
        <v>4.0097205346294046E-2</v>
      </c>
      <c r="G34">
        <f t="shared" si="2"/>
        <v>1</v>
      </c>
      <c r="H34" s="7">
        <f t="shared" si="3"/>
        <v>0.95990279465370598</v>
      </c>
      <c r="I34">
        <f t="shared" si="4"/>
        <v>5</v>
      </c>
      <c r="J34">
        <f>VLOOKUP(A34,'Housing Cost Calc'!$A$2:$C$827,3,FALSE)</f>
        <v>710</v>
      </c>
      <c r="K34">
        <f t="shared" si="5"/>
        <v>0.48065709603211432</v>
      </c>
    </row>
    <row r="35" spans="1:11" ht="45" x14ac:dyDescent="0.25">
      <c r="A35" s="4" t="s">
        <v>3177</v>
      </c>
      <c r="B35">
        <v>34450</v>
      </c>
      <c r="C35">
        <v>3.53</v>
      </c>
      <c r="D35">
        <f t="shared" si="0"/>
        <v>18335.884876955439</v>
      </c>
      <c r="E35">
        <f t="shared" si="1"/>
        <v>18.33588487695544</v>
      </c>
      <c r="F35" s="7">
        <v>4.1312272174969626E-2</v>
      </c>
      <c r="G35">
        <f t="shared" si="2"/>
        <v>1</v>
      </c>
      <c r="H35" s="7">
        <f t="shared" si="3"/>
        <v>0.95868772782503042</v>
      </c>
      <c r="I35">
        <f t="shared" si="4"/>
        <v>5</v>
      </c>
      <c r="J35">
        <f>VLOOKUP(A35,'Housing Cost Calc'!$A$2:$C$827,3,FALSE)</f>
        <v>1202</v>
      </c>
      <c r="K35">
        <f t="shared" si="5"/>
        <v>0.78665415368789204</v>
      </c>
    </row>
    <row r="36" spans="1:11" ht="60" x14ac:dyDescent="0.25">
      <c r="A36" s="4" t="s">
        <v>3093</v>
      </c>
      <c r="B36">
        <v>25648</v>
      </c>
      <c r="C36">
        <v>1.93</v>
      </c>
      <c r="D36">
        <f t="shared" si="0"/>
        <v>18461.834375202518</v>
      </c>
      <c r="E36">
        <f t="shared" si="1"/>
        <v>18.461834375202518</v>
      </c>
      <c r="F36" s="7">
        <v>4.25273390036452E-2</v>
      </c>
      <c r="G36">
        <f t="shared" si="2"/>
        <v>1</v>
      </c>
      <c r="H36" s="7">
        <f t="shared" si="3"/>
        <v>0.95747266099635475</v>
      </c>
      <c r="I36">
        <f t="shared" si="4"/>
        <v>5</v>
      </c>
      <c r="J36">
        <f>VLOOKUP(A36,'Housing Cost Calc'!$A$2:$C$827,3,FALSE)</f>
        <v>969</v>
      </c>
      <c r="K36">
        <f t="shared" si="5"/>
        <v>0.62983990451232974</v>
      </c>
    </row>
    <row r="37" spans="1:11" ht="60" x14ac:dyDescent="0.25">
      <c r="A37" s="4" t="s">
        <v>3171</v>
      </c>
      <c r="B37">
        <v>33942</v>
      </c>
      <c r="C37">
        <v>3.38</v>
      </c>
      <c r="D37">
        <f t="shared" si="0"/>
        <v>18462.014128487535</v>
      </c>
      <c r="E37">
        <f t="shared" si="1"/>
        <v>18.462014128487535</v>
      </c>
      <c r="F37" s="7">
        <v>4.374240583232078E-2</v>
      </c>
      <c r="G37">
        <f t="shared" si="2"/>
        <v>1</v>
      </c>
      <c r="H37" s="7">
        <f t="shared" si="3"/>
        <v>0.95625759416767919</v>
      </c>
      <c r="I37">
        <f t="shared" si="4"/>
        <v>5</v>
      </c>
      <c r="J37">
        <f>VLOOKUP(A37,'Housing Cost Calc'!$A$2:$C$827,3,FALSE)</f>
        <v>1146</v>
      </c>
      <c r="K37">
        <f t="shared" si="5"/>
        <v>0.74488080792767797</v>
      </c>
    </row>
    <row r="38" spans="1:11" ht="60" x14ac:dyDescent="0.25">
      <c r="A38" s="4" t="s">
        <v>3145</v>
      </c>
      <c r="B38">
        <v>31179</v>
      </c>
      <c r="C38">
        <v>2.79</v>
      </c>
      <c r="D38">
        <f t="shared" si="0"/>
        <v>18666.379039642718</v>
      </c>
      <c r="E38">
        <f t="shared" si="1"/>
        <v>18.666379039642717</v>
      </c>
      <c r="F38" s="7">
        <v>4.4957472660996353E-2</v>
      </c>
      <c r="G38">
        <f t="shared" si="2"/>
        <v>1</v>
      </c>
      <c r="H38" s="7">
        <f t="shared" si="3"/>
        <v>0.95504252733900363</v>
      </c>
      <c r="I38">
        <f t="shared" si="4"/>
        <v>5</v>
      </c>
      <c r="J38">
        <f>VLOOKUP(A38,'Housing Cost Calc'!$A$2:$C$827,3,FALSE)</f>
        <v>1114</v>
      </c>
      <c r="K38">
        <f t="shared" si="5"/>
        <v>0.71615389206496416</v>
      </c>
    </row>
    <row r="39" spans="1:11" ht="60" x14ac:dyDescent="0.25">
      <c r="A39" s="4" t="s">
        <v>3121</v>
      </c>
      <c r="B39">
        <v>29281</v>
      </c>
      <c r="C39">
        <v>2.46</v>
      </c>
      <c r="D39">
        <f t="shared" si="0"/>
        <v>18668.883735207608</v>
      </c>
      <c r="E39">
        <f t="shared" si="1"/>
        <v>18.668883735207608</v>
      </c>
      <c r="F39" s="7">
        <v>4.6172539489671933E-2</v>
      </c>
      <c r="G39">
        <f t="shared" si="2"/>
        <v>1</v>
      </c>
      <c r="H39" s="7">
        <f t="shared" si="3"/>
        <v>0.95382746051032807</v>
      </c>
      <c r="I39">
        <f t="shared" si="4"/>
        <v>5</v>
      </c>
      <c r="J39">
        <f>VLOOKUP(A39,'Housing Cost Calc'!$A$2:$C$827,3,FALSE)</f>
        <v>1166</v>
      </c>
      <c r="K39">
        <f t="shared" si="5"/>
        <v>0.74948241139948379</v>
      </c>
    </row>
    <row r="40" spans="1:11" ht="60" x14ac:dyDescent="0.25">
      <c r="A40" s="4" t="s">
        <v>3155</v>
      </c>
      <c r="B40">
        <v>32052</v>
      </c>
      <c r="C40">
        <v>2.92</v>
      </c>
      <c r="D40">
        <f t="shared" si="0"/>
        <v>18757.014249651886</v>
      </c>
      <c r="E40">
        <f t="shared" si="1"/>
        <v>18.757014249651885</v>
      </c>
      <c r="F40" s="7">
        <v>4.7387606318347507E-2</v>
      </c>
      <c r="G40">
        <f t="shared" si="2"/>
        <v>1</v>
      </c>
      <c r="H40" s="7">
        <f t="shared" si="3"/>
        <v>0.95261239368165251</v>
      </c>
      <c r="I40">
        <f t="shared" si="4"/>
        <v>5</v>
      </c>
      <c r="J40">
        <f>VLOOKUP(A40,'Housing Cost Calc'!$A$2:$C$827,3,FALSE)</f>
        <v>903</v>
      </c>
      <c r="K40">
        <f t="shared" si="5"/>
        <v>0.57770388483876678</v>
      </c>
    </row>
    <row r="41" spans="1:11" ht="45" x14ac:dyDescent="0.25">
      <c r="A41" s="4" t="s">
        <v>3077</v>
      </c>
      <c r="B41">
        <v>23598</v>
      </c>
      <c r="C41">
        <v>1.57</v>
      </c>
      <c r="D41">
        <f t="shared" si="0"/>
        <v>18833.254299666947</v>
      </c>
      <c r="E41">
        <f t="shared" si="1"/>
        <v>18.833254299666947</v>
      </c>
      <c r="F41" s="7">
        <v>4.8602673147023087E-2</v>
      </c>
      <c r="G41">
        <f t="shared" si="2"/>
        <v>1</v>
      </c>
      <c r="H41" s="7">
        <f t="shared" si="3"/>
        <v>0.95139732685297695</v>
      </c>
      <c r="I41">
        <f t="shared" si="4"/>
        <v>5</v>
      </c>
      <c r="J41">
        <f>VLOOKUP(A41,'Housing Cost Calc'!$A$2:$C$827,3,FALSE)</f>
        <v>974</v>
      </c>
      <c r="K41">
        <f t="shared" si="5"/>
        <v>0.6206043742640216</v>
      </c>
    </row>
    <row r="42" spans="1:11" ht="60" x14ac:dyDescent="0.25">
      <c r="A42" s="4" t="s">
        <v>3131</v>
      </c>
      <c r="B42">
        <v>30293</v>
      </c>
      <c r="C42">
        <v>2.54</v>
      </c>
      <c r="D42">
        <f t="shared" si="0"/>
        <v>19007.518705050239</v>
      </c>
      <c r="E42">
        <f t="shared" si="1"/>
        <v>19.007518705050238</v>
      </c>
      <c r="F42" s="7">
        <v>4.9817739975698661E-2</v>
      </c>
      <c r="G42">
        <f t="shared" si="2"/>
        <v>1</v>
      </c>
      <c r="H42" s="7">
        <f t="shared" si="3"/>
        <v>0.95018226002430128</v>
      </c>
      <c r="I42">
        <f t="shared" si="4"/>
        <v>5</v>
      </c>
      <c r="J42">
        <f>VLOOKUP(A42,'Housing Cost Calc'!$A$2:$C$827,3,FALSE)</f>
        <v>1025</v>
      </c>
      <c r="K42">
        <f t="shared" si="5"/>
        <v>0.64711234490233216</v>
      </c>
    </row>
    <row r="43" spans="1:11" ht="60" x14ac:dyDescent="0.25">
      <c r="A43" s="4" t="s">
        <v>3127</v>
      </c>
      <c r="B43">
        <v>30125</v>
      </c>
      <c r="C43">
        <v>2.4900000000000002</v>
      </c>
      <c r="D43">
        <f t="shared" si="0"/>
        <v>19090.943047049899</v>
      </c>
      <c r="E43">
        <f t="shared" si="1"/>
        <v>19.090943047049898</v>
      </c>
      <c r="F43" s="7">
        <v>5.1032806804374241E-2</v>
      </c>
      <c r="G43">
        <f t="shared" si="2"/>
        <v>1</v>
      </c>
      <c r="H43" s="7">
        <f t="shared" si="3"/>
        <v>0.94896719319562572</v>
      </c>
      <c r="I43">
        <f t="shared" si="4"/>
        <v>5</v>
      </c>
      <c r="J43">
        <f>VLOOKUP(A43,'Housing Cost Calc'!$A$2:$C$827,3,FALSE)</f>
        <v>1975</v>
      </c>
      <c r="K43">
        <f t="shared" si="5"/>
        <v>1.2414263633593696</v>
      </c>
    </row>
    <row r="44" spans="1:11" ht="45" x14ac:dyDescent="0.25">
      <c r="A44" s="4" t="s">
        <v>3185</v>
      </c>
      <c r="B44">
        <v>35163</v>
      </c>
      <c r="C44">
        <v>3.27</v>
      </c>
      <c r="D44">
        <f t="shared" si="0"/>
        <v>19445.183432294907</v>
      </c>
      <c r="E44">
        <f t="shared" si="1"/>
        <v>19.445183432294908</v>
      </c>
      <c r="F44" s="7">
        <v>5.2247873633049821E-2</v>
      </c>
      <c r="G44">
        <f t="shared" si="2"/>
        <v>1</v>
      </c>
      <c r="H44" s="7">
        <f t="shared" si="3"/>
        <v>0.94775212636695016</v>
      </c>
      <c r="I44">
        <f t="shared" si="4"/>
        <v>5</v>
      </c>
      <c r="J44">
        <f>VLOOKUP(A44,'Housing Cost Calc'!$A$2:$C$827,3,FALSE)</f>
        <v>1256</v>
      </c>
      <c r="K44">
        <f t="shared" si="5"/>
        <v>0.7751019707516954</v>
      </c>
    </row>
    <row r="45" spans="1:11" ht="60" x14ac:dyDescent="0.25">
      <c r="A45" s="4" t="s">
        <v>3137</v>
      </c>
      <c r="B45">
        <v>30563</v>
      </c>
      <c r="C45">
        <v>2.4500000000000002</v>
      </c>
      <c r="D45">
        <f t="shared" si="0"/>
        <v>19525.984456093163</v>
      </c>
      <c r="E45">
        <f t="shared" si="1"/>
        <v>19.525984456093163</v>
      </c>
      <c r="F45" s="7">
        <v>5.3462940461725394E-2</v>
      </c>
      <c r="G45">
        <f t="shared" si="2"/>
        <v>1</v>
      </c>
      <c r="H45" s="7">
        <f t="shared" si="3"/>
        <v>0.94653705953827461</v>
      </c>
      <c r="I45">
        <f t="shared" si="4"/>
        <v>5</v>
      </c>
      <c r="J45">
        <f>VLOOKUP(A45,'Housing Cost Calc'!$A$2:$C$827,3,FALSE)</f>
        <v>947</v>
      </c>
      <c r="K45">
        <f t="shared" si="5"/>
        <v>0.58199370308593157</v>
      </c>
    </row>
    <row r="46" spans="1:11" ht="60" x14ac:dyDescent="0.25">
      <c r="A46" s="4" t="s">
        <v>3143</v>
      </c>
      <c r="B46">
        <v>30995</v>
      </c>
      <c r="C46">
        <v>2.4900000000000002</v>
      </c>
      <c r="D46">
        <f t="shared" si="0"/>
        <v>19642.283145006193</v>
      </c>
      <c r="E46">
        <f t="shared" si="1"/>
        <v>19.642283145006193</v>
      </c>
      <c r="F46" s="7">
        <v>5.4678007290400975E-2</v>
      </c>
      <c r="G46">
        <f t="shared" si="2"/>
        <v>1</v>
      </c>
      <c r="H46" s="7">
        <f t="shared" si="3"/>
        <v>0.94532199270959905</v>
      </c>
      <c r="I46">
        <f t="shared" si="4"/>
        <v>5</v>
      </c>
      <c r="J46">
        <f>VLOOKUP(A46,'Housing Cost Calc'!$A$2:$C$827,3,FALSE)</f>
        <v>1050</v>
      </c>
      <c r="K46">
        <f t="shared" si="5"/>
        <v>0.64147329040022483</v>
      </c>
    </row>
    <row r="47" spans="1:11" ht="60" x14ac:dyDescent="0.25">
      <c r="A47" s="4" t="s">
        <v>3153</v>
      </c>
      <c r="B47">
        <v>31972</v>
      </c>
      <c r="C47">
        <v>2.61</v>
      </c>
      <c r="D47">
        <f t="shared" si="0"/>
        <v>19790.171173989009</v>
      </c>
      <c r="E47">
        <f t="shared" si="1"/>
        <v>19.790171173989009</v>
      </c>
      <c r="F47" s="7">
        <v>5.5893074119076548E-2</v>
      </c>
      <c r="G47">
        <f t="shared" si="2"/>
        <v>1</v>
      </c>
      <c r="H47" s="7">
        <f t="shared" si="3"/>
        <v>0.94410692588092349</v>
      </c>
      <c r="I47">
        <f t="shared" si="4"/>
        <v>5</v>
      </c>
      <c r="J47">
        <f>VLOOKUP(A47,'Housing Cost Calc'!$A$2:$C$827,3,FALSE)</f>
        <v>998</v>
      </c>
      <c r="K47">
        <f t="shared" si="5"/>
        <v>0.6051488839945216</v>
      </c>
    </row>
    <row r="48" spans="1:11" ht="60" x14ac:dyDescent="0.25">
      <c r="A48" s="4" t="s">
        <v>3199</v>
      </c>
      <c r="B48">
        <v>36058</v>
      </c>
      <c r="C48">
        <v>3.28</v>
      </c>
      <c r="D48">
        <f t="shared" si="0"/>
        <v>19909.699836034084</v>
      </c>
      <c r="E48">
        <f t="shared" si="1"/>
        <v>19.909699836034083</v>
      </c>
      <c r="F48" s="7">
        <v>5.7108140947752128E-2</v>
      </c>
      <c r="G48">
        <f t="shared" si="2"/>
        <v>1</v>
      </c>
      <c r="H48" s="7">
        <f t="shared" si="3"/>
        <v>0.94289185905224793</v>
      </c>
      <c r="I48">
        <f t="shared" si="4"/>
        <v>5</v>
      </c>
      <c r="J48">
        <f>VLOOKUP(A48,'Housing Cost Calc'!$A$2:$C$827,3,FALSE)</f>
        <v>1247</v>
      </c>
      <c r="K48">
        <f t="shared" si="5"/>
        <v>0.75159345059120475</v>
      </c>
    </row>
    <row r="49" spans="1:11" ht="60" x14ac:dyDescent="0.25">
      <c r="A49" s="4" t="s">
        <v>3161</v>
      </c>
      <c r="B49">
        <v>32444</v>
      </c>
      <c r="C49">
        <v>2.61</v>
      </c>
      <c r="D49">
        <f t="shared" si="0"/>
        <v>20082.331839387571</v>
      </c>
      <c r="E49">
        <f t="shared" si="1"/>
        <v>20.082331839387571</v>
      </c>
      <c r="F49" s="7">
        <v>5.8323207776427702E-2</v>
      </c>
      <c r="G49">
        <f t="shared" si="2"/>
        <v>1</v>
      </c>
      <c r="H49" s="7">
        <f t="shared" si="3"/>
        <v>0.94167679222357226</v>
      </c>
      <c r="I49">
        <f t="shared" si="4"/>
        <v>5</v>
      </c>
      <c r="J49">
        <f>VLOOKUP(A49,'Housing Cost Calc'!$A$2:$C$827,3,FALSE)</f>
        <v>1213</v>
      </c>
      <c r="K49">
        <f t="shared" si="5"/>
        <v>0.72481622733925999</v>
      </c>
    </row>
    <row r="50" spans="1:11" ht="60" x14ac:dyDescent="0.25">
      <c r="A50" s="4" t="s">
        <v>3147</v>
      </c>
      <c r="B50">
        <v>31309</v>
      </c>
      <c r="C50">
        <v>2.4300000000000002</v>
      </c>
      <c r="D50">
        <f t="shared" si="0"/>
        <v>20084.732864508882</v>
      </c>
      <c r="E50">
        <f t="shared" si="1"/>
        <v>20.084732864508883</v>
      </c>
      <c r="F50" s="7">
        <v>5.9538274605103282E-2</v>
      </c>
      <c r="G50">
        <f t="shared" si="2"/>
        <v>1</v>
      </c>
      <c r="H50" s="7">
        <f t="shared" si="3"/>
        <v>0.9404617253948967</v>
      </c>
      <c r="I50">
        <f t="shared" si="4"/>
        <v>5</v>
      </c>
      <c r="J50">
        <f>VLOOKUP(A50,'Housing Cost Calc'!$A$2:$C$827,3,FALSE)</f>
        <v>1024</v>
      </c>
      <c r="K50">
        <f t="shared" si="5"/>
        <v>0.61180798783307444</v>
      </c>
    </row>
    <row r="51" spans="1:11" ht="45" x14ac:dyDescent="0.25">
      <c r="A51" s="4" t="s">
        <v>3195</v>
      </c>
      <c r="B51">
        <v>35492</v>
      </c>
      <c r="C51">
        <v>3.1</v>
      </c>
      <c r="D51">
        <f t="shared" si="0"/>
        <v>20158.101421096824</v>
      </c>
      <c r="E51">
        <f t="shared" si="1"/>
        <v>20.158101421096823</v>
      </c>
      <c r="F51" s="7">
        <v>6.0753341433778855E-2</v>
      </c>
      <c r="G51">
        <f t="shared" si="2"/>
        <v>1</v>
      </c>
      <c r="H51" s="7">
        <f t="shared" si="3"/>
        <v>0.93924665856622114</v>
      </c>
      <c r="I51">
        <f t="shared" si="4"/>
        <v>5</v>
      </c>
      <c r="J51">
        <f>VLOOKUP(A51,'Housing Cost Calc'!$A$2:$C$827,3,FALSE)</f>
        <v>1228</v>
      </c>
      <c r="K51">
        <f t="shared" si="5"/>
        <v>0.73102122527163071</v>
      </c>
    </row>
    <row r="52" spans="1:11" ht="60" x14ac:dyDescent="0.25">
      <c r="A52" s="4" t="s">
        <v>3165</v>
      </c>
      <c r="B52">
        <v>33056</v>
      </c>
      <c r="C52">
        <v>2.65</v>
      </c>
      <c r="D52">
        <f t="shared" si="0"/>
        <v>20306.139382063091</v>
      </c>
      <c r="E52">
        <f t="shared" si="1"/>
        <v>20.30613938206309</v>
      </c>
      <c r="F52" s="7">
        <v>6.1968408262454436E-2</v>
      </c>
      <c r="G52">
        <f t="shared" si="2"/>
        <v>1</v>
      </c>
      <c r="H52" s="7">
        <f t="shared" si="3"/>
        <v>0.93803159173754558</v>
      </c>
      <c r="I52">
        <f t="shared" si="4"/>
        <v>5</v>
      </c>
      <c r="J52">
        <f>VLOOKUP(A52,'Housing Cost Calc'!$A$2:$C$827,3,FALSE)</f>
        <v>1190</v>
      </c>
      <c r="K52">
        <f t="shared" si="5"/>
        <v>0.7032355944830101</v>
      </c>
    </row>
    <row r="53" spans="1:11" ht="60" x14ac:dyDescent="0.25">
      <c r="A53" s="4" t="s">
        <v>3115</v>
      </c>
      <c r="B53">
        <v>28636</v>
      </c>
      <c r="C53">
        <v>1.93</v>
      </c>
      <c r="D53">
        <f t="shared" si="0"/>
        <v>20612.643838439617</v>
      </c>
      <c r="E53">
        <f t="shared" si="1"/>
        <v>20.612643838439617</v>
      </c>
      <c r="F53" s="7">
        <v>6.3183475091130009E-2</v>
      </c>
      <c r="G53">
        <f t="shared" si="2"/>
        <v>1</v>
      </c>
      <c r="H53" s="7">
        <f t="shared" si="3"/>
        <v>0.93681652490887002</v>
      </c>
      <c r="I53">
        <f t="shared" si="4"/>
        <v>5</v>
      </c>
      <c r="J53">
        <f>VLOOKUP(A53,'Housing Cost Calc'!$A$2:$C$827,3,FALSE)</f>
        <v>887</v>
      </c>
      <c r="K53">
        <f t="shared" si="5"/>
        <v>0.51638208487115422</v>
      </c>
    </row>
    <row r="54" spans="1:11" ht="60" x14ac:dyDescent="0.25">
      <c r="A54" s="4" t="s">
        <v>3117</v>
      </c>
      <c r="B54">
        <v>28782</v>
      </c>
      <c r="C54">
        <v>1.94</v>
      </c>
      <c r="D54">
        <f t="shared" si="0"/>
        <v>20664.271721335739</v>
      </c>
      <c r="E54">
        <f t="shared" si="1"/>
        <v>20.664271721335741</v>
      </c>
      <c r="F54" s="7">
        <v>6.4398541919805583E-2</v>
      </c>
      <c r="G54">
        <f t="shared" si="2"/>
        <v>1</v>
      </c>
      <c r="H54" s="7">
        <f t="shared" si="3"/>
        <v>0.93560145808019446</v>
      </c>
      <c r="I54">
        <f t="shared" si="4"/>
        <v>5</v>
      </c>
      <c r="J54">
        <f>VLOOKUP(A54,'Housing Cost Calc'!$A$2:$C$827,3,FALSE)</f>
        <v>793</v>
      </c>
      <c r="K54">
        <f t="shared" si="5"/>
        <v>0.46050497827004405</v>
      </c>
    </row>
    <row r="55" spans="1:11" ht="60" x14ac:dyDescent="0.25">
      <c r="A55" s="4" t="s">
        <v>3207</v>
      </c>
      <c r="B55">
        <v>36540</v>
      </c>
      <c r="C55">
        <v>3.11</v>
      </c>
      <c r="D55">
        <f t="shared" si="0"/>
        <v>20719.933084101558</v>
      </c>
      <c r="E55">
        <f t="shared" si="1"/>
        <v>20.719933084101559</v>
      </c>
      <c r="F55" s="7">
        <v>6.561360874848117E-2</v>
      </c>
      <c r="G55">
        <f t="shared" si="2"/>
        <v>1</v>
      </c>
      <c r="H55" s="7">
        <f t="shared" si="3"/>
        <v>0.93438639125151879</v>
      </c>
      <c r="I55">
        <f t="shared" si="4"/>
        <v>5</v>
      </c>
      <c r="J55">
        <f>VLOOKUP(A55,'Housing Cost Calc'!$A$2:$C$827,3,FALSE)</f>
        <v>1129</v>
      </c>
      <c r="K55">
        <f t="shared" si="5"/>
        <v>0.65386311553271403</v>
      </c>
    </row>
    <row r="56" spans="1:11" ht="60" x14ac:dyDescent="0.25">
      <c r="A56" s="4" t="s">
        <v>3179</v>
      </c>
      <c r="B56">
        <v>34507</v>
      </c>
      <c r="C56">
        <v>2.77</v>
      </c>
      <c r="D56">
        <f t="shared" si="0"/>
        <v>20733.246892727664</v>
      </c>
      <c r="E56">
        <f t="shared" si="1"/>
        <v>20.733246892727664</v>
      </c>
      <c r="F56" s="7">
        <v>6.6828675577156743E-2</v>
      </c>
      <c r="G56">
        <f t="shared" si="2"/>
        <v>1</v>
      </c>
      <c r="H56" s="7">
        <f t="shared" si="3"/>
        <v>0.93317132442284323</v>
      </c>
      <c r="I56">
        <f t="shared" si="4"/>
        <v>5</v>
      </c>
      <c r="J56">
        <f>VLOOKUP(A56,'Housing Cost Calc'!$A$2:$C$827,3,FALSE)</f>
        <v>965</v>
      </c>
      <c r="K56">
        <f t="shared" si="5"/>
        <v>0.55852322889483208</v>
      </c>
    </row>
    <row r="57" spans="1:11" ht="60" x14ac:dyDescent="0.25">
      <c r="A57" s="4" t="s">
        <v>3159</v>
      </c>
      <c r="B57">
        <v>32378</v>
      </c>
      <c r="C57">
        <v>2.38</v>
      </c>
      <c r="D57">
        <f t="shared" si="0"/>
        <v>20987.540161171979</v>
      </c>
      <c r="E57">
        <f t="shared" si="1"/>
        <v>20.987540161171978</v>
      </c>
      <c r="F57" s="7">
        <v>6.8043742405832316E-2</v>
      </c>
      <c r="G57">
        <f t="shared" si="2"/>
        <v>1</v>
      </c>
      <c r="H57" s="7">
        <f t="shared" si="3"/>
        <v>0.93195625759416767</v>
      </c>
      <c r="I57">
        <f t="shared" si="4"/>
        <v>5</v>
      </c>
      <c r="J57">
        <f>VLOOKUP(A57,'Housing Cost Calc'!$A$2:$C$827,3,FALSE)</f>
        <v>1254</v>
      </c>
      <c r="K57">
        <f t="shared" si="5"/>
        <v>0.71699684119435625</v>
      </c>
    </row>
    <row r="58" spans="1:11" ht="60" x14ac:dyDescent="0.25">
      <c r="A58" s="4" t="s">
        <v>3135</v>
      </c>
      <c r="B58">
        <v>30417</v>
      </c>
      <c r="C58">
        <v>2.09</v>
      </c>
      <c r="D58">
        <f t="shared" si="0"/>
        <v>21039.878847414391</v>
      </c>
      <c r="E58">
        <f t="shared" si="1"/>
        <v>21.039878847414393</v>
      </c>
      <c r="F58" s="7">
        <v>6.9258809234507904E-2</v>
      </c>
      <c r="G58">
        <f t="shared" si="2"/>
        <v>1</v>
      </c>
      <c r="H58" s="7">
        <f t="shared" si="3"/>
        <v>0.93074119076549211</v>
      </c>
      <c r="I58">
        <f t="shared" si="4"/>
        <v>5</v>
      </c>
      <c r="J58">
        <f>VLOOKUP(A58,'Housing Cost Calc'!$A$2:$C$827,3,FALSE)</f>
        <v>874</v>
      </c>
      <c r="K58">
        <f t="shared" si="5"/>
        <v>0.49848195781264582</v>
      </c>
    </row>
    <row r="59" spans="1:11" ht="60" x14ac:dyDescent="0.25">
      <c r="A59" s="4" t="s">
        <v>3157</v>
      </c>
      <c r="B59">
        <v>32110</v>
      </c>
      <c r="C59">
        <v>2.3199999999999998</v>
      </c>
      <c r="D59">
        <f t="shared" si="0"/>
        <v>21081.247795628457</v>
      </c>
      <c r="E59">
        <f t="shared" si="1"/>
        <v>21.081247795628457</v>
      </c>
      <c r="F59" s="7">
        <v>7.0473876063183477E-2</v>
      </c>
      <c r="G59">
        <f t="shared" si="2"/>
        <v>1</v>
      </c>
      <c r="H59" s="7">
        <f t="shared" si="3"/>
        <v>0.92952612393681655</v>
      </c>
      <c r="I59">
        <f t="shared" si="4"/>
        <v>5</v>
      </c>
      <c r="J59">
        <f>VLOOKUP(A59,'Housing Cost Calc'!$A$2:$C$827,3,FALSE)</f>
        <v>1067</v>
      </c>
      <c r="K59">
        <f t="shared" si="5"/>
        <v>0.60736442757696341</v>
      </c>
    </row>
    <row r="60" spans="1:11" ht="60" x14ac:dyDescent="0.25">
      <c r="A60" s="4" t="s">
        <v>3205</v>
      </c>
      <c r="B60">
        <v>36495</v>
      </c>
      <c r="C60">
        <v>2.99</v>
      </c>
      <c r="D60">
        <f t="shared" si="0"/>
        <v>21105.603442107938</v>
      </c>
      <c r="E60">
        <f t="shared" si="1"/>
        <v>21.105603442107938</v>
      </c>
      <c r="F60" s="7">
        <v>7.168894289185905E-2</v>
      </c>
      <c r="G60">
        <f t="shared" si="2"/>
        <v>1</v>
      </c>
      <c r="H60" s="7">
        <f t="shared" si="3"/>
        <v>0.92831105710814099</v>
      </c>
      <c r="I60">
        <f t="shared" si="4"/>
        <v>5</v>
      </c>
      <c r="J60">
        <f>VLOOKUP(A60,'Housing Cost Calc'!$A$2:$C$827,3,FALSE)</f>
        <v>1081</v>
      </c>
      <c r="K60">
        <f t="shared" si="5"/>
        <v>0.61462350676595534</v>
      </c>
    </row>
    <row r="61" spans="1:11" ht="60" x14ac:dyDescent="0.25">
      <c r="A61" s="4" t="s">
        <v>3123</v>
      </c>
      <c r="B61">
        <v>29755</v>
      </c>
      <c r="C61">
        <v>1.97</v>
      </c>
      <c r="D61">
        <f t="shared" si="0"/>
        <v>21199.559723902516</v>
      </c>
      <c r="E61">
        <f t="shared" si="1"/>
        <v>21.199559723902517</v>
      </c>
      <c r="F61" s="7">
        <v>7.2904009720534624E-2</v>
      </c>
      <c r="G61">
        <f t="shared" si="2"/>
        <v>1</v>
      </c>
      <c r="H61" s="7">
        <f t="shared" si="3"/>
        <v>0.92709599027946532</v>
      </c>
      <c r="I61">
        <f t="shared" si="4"/>
        <v>5</v>
      </c>
      <c r="J61">
        <f>VLOOKUP(A61,'Housing Cost Calc'!$A$2:$C$827,3,FALSE)</f>
        <v>803</v>
      </c>
      <c r="K61">
        <f t="shared" si="5"/>
        <v>0.45453774160863369</v>
      </c>
    </row>
    <row r="62" spans="1:11" ht="60" x14ac:dyDescent="0.25">
      <c r="A62" s="4" t="s">
        <v>3163</v>
      </c>
      <c r="B62">
        <v>33049</v>
      </c>
      <c r="C62">
        <v>2.41</v>
      </c>
      <c r="D62">
        <f t="shared" si="0"/>
        <v>21288.732345921057</v>
      </c>
      <c r="E62">
        <f t="shared" si="1"/>
        <v>21.288732345921055</v>
      </c>
      <c r="F62" s="7">
        <v>7.4119076549210211E-2</v>
      </c>
      <c r="G62">
        <f t="shared" si="2"/>
        <v>1</v>
      </c>
      <c r="H62" s="7">
        <f t="shared" si="3"/>
        <v>0.92588092345078976</v>
      </c>
      <c r="I62">
        <f t="shared" si="4"/>
        <v>5</v>
      </c>
      <c r="J62">
        <f>VLOOKUP(A62,'Housing Cost Calc'!$A$2:$C$827,3,FALSE)</f>
        <v>1054</v>
      </c>
      <c r="K62">
        <f t="shared" si="5"/>
        <v>0.59411710356832825</v>
      </c>
    </row>
    <row r="63" spans="1:11" ht="45" x14ac:dyDescent="0.25">
      <c r="A63" s="4" t="s">
        <v>3175</v>
      </c>
      <c r="B63">
        <v>34172</v>
      </c>
      <c r="C63">
        <v>2.57</v>
      </c>
      <c r="D63">
        <f t="shared" si="0"/>
        <v>21315.907944948292</v>
      </c>
      <c r="E63">
        <f t="shared" si="1"/>
        <v>21.315907944948293</v>
      </c>
      <c r="F63" s="7">
        <v>7.5334143377885784E-2</v>
      </c>
      <c r="G63">
        <f t="shared" si="2"/>
        <v>1</v>
      </c>
      <c r="H63" s="7">
        <f t="shared" si="3"/>
        <v>0.9246658566221142</v>
      </c>
      <c r="I63">
        <f t="shared" si="4"/>
        <v>5</v>
      </c>
      <c r="J63">
        <f>VLOOKUP(A63,'Housing Cost Calc'!$A$2:$C$827,3,FALSE)</f>
        <v>1125</v>
      </c>
      <c r="K63">
        <f t="shared" si="5"/>
        <v>0.63332981334249927</v>
      </c>
    </row>
    <row r="64" spans="1:11" ht="60" x14ac:dyDescent="0.25">
      <c r="A64" s="4" t="s">
        <v>3209</v>
      </c>
      <c r="B64">
        <v>36743</v>
      </c>
      <c r="C64">
        <v>2.97</v>
      </c>
      <c r="D64">
        <f t="shared" si="0"/>
        <v>21320.451042600685</v>
      </c>
      <c r="E64">
        <f t="shared" si="1"/>
        <v>21.320451042600684</v>
      </c>
      <c r="F64" s="7">
        <v>7.6549210206561358E-2</v>
      </c>
      <c r="G64">
        <f t="shared" si="2"/>
        <v>1</v>
      </c>
      <c r="H64" s="7">
        <f t="shared" si="3"/>
        <v>0.92345078979343864</v>
      </c>
      <c r="I64">
        <f t="shared" si="4"/>
        <v>5</v>
      </c>
      <c r="J64">
        <f>VLOOKUP(A64,'Housing Cost Calc'!$A$2:$C$827,3,FALSE)</f>
        <v>1060</v>
      </c>
      <c r="K64">
        <f t="shared" si="5"/>
        <v>0.59661026751188306</v>
      </c>
    </row>
    <row r="65" spans="1:11" ht="60" x14ac:dyDescent="0.25">
      <c r="A65" s="4" t="s">
        <v>3133</v>
      </c>
      <c r="B65">
        <v>30383</v>
      </c>
      <c r="C65">
        <v>2.0299999999999998</v>
      </c>
      <c r="D65">
        <f t="shared" si="0"/>
        <v>21324.685491937489</v>
      </c>
      <c r="E65">
        <f t="shared" si="1"/>
        <v>21.32468549193749</v>
      </c>
      <c r="F65" s="7">
        <v>7.7764277035236931E-2</v>
      </c>
      <c r="G65">
        <f t="shared" si="2"/>
        <v>1</v>
      </c>
      <c r="H65" s="7">
        <f t="shared" si="3"/>
        <v>0.92223572296476308</v>
      </c>
      <c r="I65">
        <f t="shared" si="4"/>
        <v>5</v>
      </c>
      <c r="J65">
        <f>VLOOKUP(A65,'Housing Cost Calc'!$A$2:$C$827,3,FALSE)</f>
        <v>1040</v>
      </c>
      <c r="K65">
        <f t="shared" si="5"/>
        <v>0.58523723619363488</v>
      </c>
    </row>
    <row r="66" spans="1:11" ht="60" x14ac:dyDescent="0.25">
      <c r="A66" s="4" t="s">
        <v>3183</v>
      </c>
      <c r="B66">
        <v>35030</v>
      </c>
      <c r="C66">
        <v>2.65</v>
      </c>
      <c r="D66">
        <f t="shared" ref="D66:D129" si="6">(B66/(C66)^0.5)</f>
        <v>21518.757942693312</v>
      </c>
      <c r="E66">
        <f t="shared" ref="E66:E129" si="7">D66/1000</f>
        <v>21.518757942693313</v>
      </c>
      <c r="F66" s="7">
        <v>7.8979343863912518E-2</v>
      </c>
      <c r="G66">
        <f t="shared" si="2"/>
        <v>1</v>
      </c>
      <c r="H66" s="7">
        <f t="shared" si="3"/>
        <v>0.92102065613608752</v>
      </c>
      <c r="I66">
        <f t="shared" si="4"/>
        <v>5</v>
      </c>
      <c r="J66">
        <f>VLOOKUP(A66,'Housing Cost Calc'!$A$2:$C$827,3,FALSE)</f>
        <v>1127</v>
      </c>
      <c r="K66">
        <f t="shared" si="5"/>
        <v>0.62847493503183671</v>
      </c>
    </row>
    <row r="67" spans="1:11" ht="60" x14ac:dyDescent="0.25">
      <c r="A67" s="4" t="s">
        <v>3219</v>
      </c>
      <c r="B67">
        <v>37688</v>
      </c>
      <c r="C67">
        <v>3</v>
      </c>
      <c r="D67">
        <f t="shared" si="6"/>
        <v>21759.176945218616</v>
      </c>
      <c r="E67">
        <f t="shared" si="7"/>
        <v>21.759176945218616</v>
      </c>
      <c r="F67" s="7">
        <v>8.0194410692588092E-2</v>
      </c>
      <c r="G67">
        <f t="shared" ref="G67:G130" si="8">IF(F67&lt;0.2,1,IF(F67&lt;0.4,2,IF(F67&lt;0.6,3,IF(F67&lt;0.8,4,5))))</f>
        <v>1</v>
      </c>
      <c r="H67" s="7">
        <f t="shared" ref="H67:H130" si="9">1-F67</f>
        <v>0.91980558930741196</v>
      </c>
      <c r="I67">
        <f t="shared" ref="I67:I130" si="10">6-G67</f>
        <v>5</v>
      </c>
      <c r="J67">
        <f>VLOOKUP(A67,'Housing Cost Calc'!$A$2:$C$827,3,FALSE)</f>
        <v>970</v>
      </c>
      <c r="K67">
        <f t="shared" ref="K67:K130" si="11">(J67*12)/D67</f>
        <v>0.53494670452403237</v>
      </c>
    </row>
    <row r="68" spans="1:11" ht="60" x14ac:dyDescent="0.25">
      <c r="A68" s="4" t="s">
        <v>3167</v>
      </c>
      <c r="B68">
        <v>33221</v>
      </c>
      <c r="C68">
        <v>2.29</v>
      </c>
      <c r="D68">
        <f t="shared" si="6"/>
        <v>21953.054725718539</v>
      </c>
      <c r="E68">
        <f t="shared" si="7"/>
        <v>21.953054725718538</v>
      </c>
      <c r="F68" s="7">
        <v>8.1409477521263665E-2</v>
      </c>
      <c r="G68">
        <f t="shared" si="8"/>
        <v>1</v>
      </c>
      <c r="H68" s="7">
        <f t="shared" si="9"/>
        <v>0.91859052247873629</v>
      </c>
      <c r="I68">
        <f t="shared" si="10"/>
        <v>5</v>
      </c>
      <c r="J68">
        <f>VLOOKUP(A68,'Housing Cost Calc'!$A$2:$C$827,3,FALSE)</f>
        <v>1213</v>
      </c>
      <c r="K68">
        <f t="shared" si="11"/>
        <v>0.66305123281760381</v>
      </c>
    </row>
    <row r="69" spans="1:11" ht="60" x14ac:dyDescent="0.25">
      <c r="A69" s="4" t="s">
        <v>3213</v>
      </c>
      <c r="B69">
        <v>37403</v>
      </c>
      <c r="C69">
        <v>2.88</v>
      </c>
      <c r="D69">
        <f t="shared" si="6"/>
        <v>22039.929113933696</v>
      </c>
      <c r="E69">
        <f t="shared" si="7"/>
        <v>22.039929113933695</v>
      </c>
      <c r="F69" s="7">
        <v>8.2624544349939252E-2</v>
      </c>
      <c r="G69">
        <f t="shared" si="8"/>
        <v>1</v>
      </c>
      <c r="H69" s="7">
        <f t="shared" si="9"/>
        <v>0.91737545565006073</v>
      </c>
      <c r="I69">
        <f t="shared" si="10"/>
        <v>5</v>
      </c>
      <c r="J69">
        <f>VLOOKUP(A69,'Housing Cost Calc'!$A$2:$C$827,3,FALSE)</f>
        <v>1017</v>
      </c>
      <c r="K69">
        <f t="shared" si="11"/>
        <v>0.55372228907417864</v>
      </c>
    </row>
    <row r="70" spans="1:11" ht="45" x14ac:dyDescent="0.25">
      <c r="A70" s="4" t="s">
        <v>3231</v>
      </c>
      <c r="B70">
        <v>39737</v>
      </c>
      <c r="C70">
        <v>3.21</v>
      </c>
      <c r="D70">
        <f t="shared" si="6"/>
        <v>22179.030601953</v>
      </c>
      <c r="E70">
        <f t="shared" si="7"/>
        <v>22.179030601952999</v>
      </c>
      <c r="F70" s="7">
        <v>8.3839611178614826E-2</v>
      </c>
      <c r="G70">
        <f t="shared" si="8"/>
        <v>1</v>
      </c>
      <c r="H70" s="7">
        <f t="shared" si="9"/>
        <v>0.91616038882138517</v>
      </c>
      <c r="I70">
        <f t="shared" si="10"/>
        <v>5</v>
      </c>
      <c r="J70">
        <f>VLOOKUP(A70,'Housing Cost Calc'!$A$2:$C$827,3,FALSE)</f>
        <v>1228</v>
      </c>
      <c r="K70">
        <f t="shared" si="11"/>
        <v>0.66441136515237975</v>
      </c>
    </row>
    <row r="71" spans="1:11" ht="60" x14ac:dyDescent="0.25">
      <c r="A71" s="4" t="s">
        <v>3111</v>
      </c>
      <c r="B71">
        <v>28032</v>
      </c>
      <c r="C71">
        <v>1.59</v>
      </c>
      <c r="D71">
        <f t="shared" si="6"/>
        <v>22230.822050851013</v>
      </c>
      <c r="E71">
        <f t="shared" si="7"/>
        <v>22.230822050851014</v>
      </c>
      <c r="F71" s="7">
        <v>8.5054678007290399E-2</v>
      </c>
      <c r="G71">
        <f t="shared" si="8"/>
        <v>1</v>
      </c>
      <c r="H71" s="7">
        <f t="shared" si="9"/>
        <v>0.91494532199270961</v>
      </c>
      <c r="I71">
        <f t="shared" si="10"/>
        <v>5</v>
      </c>
      <c r="J71">
        <f>VLOOKUP(A71,'Housing Cost Calc'!$A$2:$C$827,3,FALSE)</f>
        <v>910</v>
      </c>
      <c r="K71">
        <f t="shared" si="11"/>
        <v>0.49120990555461597</v>
      </c>
    </row>
    <row r="72" spans="1:11" ht="45" x14ac:dyDescent="0.25">
      <c r="A72" s="4" t="s">
        <v>3223</v>
      </c>
      <c r="B72">
        <v>38560</v>
      </c>
      <c r="C72">
        <v>2.97</v>
      </c>
      <c r="D72">
        <f t="shared" si="6"/>
        <v>22374.781378839027</v>
      </c>
      <c r="E72">
        <f t="shared" si="7"/>
        <v>22.374781378839028</v>
      </c>
      <c r="F72" s="7">
        <v>8.6269744835965972E-2</v>
      </c>
      <c r="G72">
        <f t="shared" si="8"/>
        <v>1</v>
      </c>
      <c r="H72" s="7">
        <f t="shared" si="9"/>
        <v>0.91373025516403406</v>
      </c>
      <c r="I72">
        <f t="shared" si="10"/>
        <v>5</v>
      </c>
      <c r="J72">
        <f>VLOOKUP(A72,'Housing Cost Calc'!$A$2:$C$827,3,FALSE)</f>
        <v>1230</v>
      </c>
      <c r="K72">
        <f t="shared" si="11"/>
        <v>0.65967124997070525</v>
      </c>
    </row>
    <row r="73" spans="1:11" ht="60" x14ac:dyDescent="0.25">
      <c r="A73" s="4" t="s">
        <v>3169</v>
      </c>
      <c r="B73">
        <v>33750</v>
      </c>
      <c r="C73">
        <v>2.27</v>
      </c>
      <c r="D73">
        <f t="shared" si="6"/>
        <v>22400.661766499055</v>
      </c>
      <c r="E73">
        <f t="shared" si="7"/>
        <v>22.400661766499056</v>
      </c>
      <c r="F73" s="7">
        <v>8.748481166464156E-2</v>
      </c>
      <c r="G73">
        <f t="shared" si="8"/>
        <v>1</v>
      </c>
      <c r="H73" s="7">
        <f t="shared" si="9"/>
        <v>0.91251518833535838</v>
      </c>
      <c r="I73">
        <f t="shared" si="10"/>
        <v>5</v>
      </c>
      <c r="J73">
        <f>VLOOKUP(A73,'Housing Cost Calc'!$A$2:$C$827,3,FALSE)</f>
        <v>1069</v>
      </c>
      <c r="K73">
        <f t="shared" si="11"/>
        <v>0.5726616532010097</v>
      </c>
    </row>
    <row r="74" spans="1:11" ht="60" x14ac:dyDescent="0.25">
      <c r="A74" s="4" t="s">
        <v>3217</v>
      </c>
      <c r="B74">
        <v>37481</v>
      </c>
      <c r="C74">
        <v>2.76</v>
      </c>
      <c r="D74">
        <f t="shared" si="6"/>
        <v>22560.910797538578</v>
      </c>
      <c r="E74">
        <f t="shared" si="7"/>
        <v>22.560910797538579</v>
      </c>
      <c r="F74" s="7">
        <v>8.8699878493317133E-2</v>
      </c>
      <c r="G74">
        <f t="shared" si="8"/>
        <v>1</v>
      </c>
      <c r="H74" s="7">
        <f t="shared" si="9"/>
        <v>0.91130012150668283</v>
      </c>
      <c r="I74">
        <f t="shared" si="10"/>
        <v>5</v>
      </c>
      <c r="J74">
        <f>VLOOKUP(A74,'Housing Cost Calc'!$A$2:$C$827,3,FALSE)</f>
        <v>1269</v>
      </c>
      <c r="K74">
        <f t="shared" si="11"/>
        <v>0.67497274984400868</v>
      </c>
    </row>
    <row r="75" spans="1:11" ht="45" x14ac:dyDescent="0.25">
      <c r="A75" s="4" t="s">
        <v>3239</v>
      </c>
      <c r="B75">
        <v>40245</v>
      </c>
      <c r="C75">
        <v>3.16</v>
      </c>
      <c r="D75">
        <f t="shared" si="6"/>
        <v>22639.581286383916</v>
      </c>
      <c r="E75">
        <f t="shared" si="7"/>
        <v>22.639581286383915</v>
      </c>
      <c r="F75" s="7">
        <v>8.9914945321992706E-2</v>
      </c>
      <c r="G75">
        <f t="shared" si="8"/>
        <v>1</v>
      </c>
      <c r="H75" s="7">
        <f t="shared" si="9"/>
        <v>0.91008505467800727</v>
      </c>
      <c r="I75">
        <f t="shared" si="10"/>
        <v>5</v>
      </c>
      <c r="J75">
        <f>VLOOKUP(A75,'Housing Cost Calc'!$A$2:$C$827,3,FALSE)</f>
        <v>1131</v>
      </c>
      <c r="K75">
        <f t="shared" si="11"/>
        <v>0.59948105171726762</v>
      </c>
    </row>
    <row r="76" spans="1:11" ht="45" x14ac:dyDescent="0.25">
      <c r="A76" s="4" t="s">
        <v>3243</v>
      </c>
      <c r="B76">
        <v>40637</v>
      </c>
      <c r="C76">
        <v>3.2</v>
      </c>
      <c r="D76">
        <f t="shared" si="6"/>
        <v>22716.773600414737</v>
      </c>
      <c r="E76">
        <f t="shared" si="7"/>
        <v>22.716773600414736</v>
      </c>
      <c r="F76" s="7">
        <v>9.1130012150668294E-2</v>
      </c>
      <c r="G76">
        <f t="shared" si="8"/>
        <v>1</v>
      </c>
      <c r="H76" s="7">
        <f t="shared" si="9"/>
        <v>0.90886998784933171</v>
      </c>
      <c r="I76">
        <f t="shared" si="10"/>
        <v>5</v>
      </c>
      <c r="J76">
        <f>VLOOKUP(A76,'Housing Cost Calc'!$A$2:$C$827,3,FALSE)</f>
        <v>1182</v>
      </c>
      <c r="K76">
        <f t="shared" si="11"/>
        <v>0.62438444162427387</v>
      </c>
    </row>
    <row r="77" spans="1:11" ht="60" x14ac:dyDescent="0.25">
      <c r="A77" s="4" t="s">
        <v>3197</v>
      </c>
      <c r="B77">
        <v>35799</v>
      </c>
      <c r="C77">
        <v>2.48</v>
      </c>
      <c r="D77">
        <f t="shared" si="6"/>
        <v>22732.387732399096</v>
      </c>
      <c r="E77">
        <f t="shared" si="7"/>
        <v>22.732387732399097</v>
      </c>
      <c r="F77" s="7">
        <v>9.2345078979343867E-2</v>
      </c>
      <c r="G77">
        <f t="shared" si="8"/>
        <v>1</v>
      </c>
      <c r="H77" s="7">
        <f t="shared" si="9"/>
        <v>0.90765492102065615</v>
      </c>
      <c r="I77">
        <f t="shared" si="10"/>
        <v>5</v>
      </c>
      <c r="J77">
        <f>VLOOKUP(A77,'Housing Cost Calc'!$A$2:$C$827,3,FALSE)</f>
        <v>963</v>
      </c>
      <c r="K77">
        <f t="shared" si="11"/>
        <v>0.5083495907264477</v>
      </c>
    </row>
    <row r="78" spans="1:11" ht="60" x14ac:dyDescent="0.25">
      <c r="A78" s="4" t="s">
        <v>3193</v>
      </c>
      <c r="B78">
        <v>35463</v>
      </c>
      <c r="C78">
        <v>2.4</v>
      </c>
      <c r="D78">
        <f t="shared" si="6"/>
        <v>22891.268067758938</v>
      </c>
      <c r="E78">
        <f t="shared" si="7"/>
        <v>22.891268067758936</v>
      </c>
      <c r="F78" s="7">
        <v>9.356014580801944E-2</v>
      </c>
      <c r="G78">
        <f t="shared" si="8"/>
        <v>1</v>
      </c>
      <c r="H78" s="7">
        <f t="shared" si="9"/>
        <v>0.90643985419198059</v>
      </c>
      <c r="I78">
        <f t="shared" si="10"/>
        <v>5</v>
      </c>
      <c r="J78">
        <f>VLOOKUP(A78,'Housing Cost Calc'!$A$2:$C$827,3,FALSE)</f>
        <v>998</v>
      </c>
      <c r="K78">
        <f t="shared" si="11"/>
        <v>0.52316892033025997</v>
      </c>
    </row>
    <row r="79" spans="1:11" ht="60" x14ac:dyDescent="0.25">
      <c r="A79" s="4" t="s">
        <v>3173</v>
      </c>
      <c r="B79">
        <v>33958</v>
      </c>
      <c r="C79">
        <v>2.19</v>
      </c>
      <c r="D79">
        <f t="shared" si="6"/>
        <v>22946.689895689746</v>
      </c>
      <c r="E79">
        <f t="shared" si="7"/>
        <v>22.946689895689747</v>
      </c>
      <c r="F79" s="7">
        <v>9.4775212636695014E-2</v>
      </c>
      <c r="G79">
        <f t="shared" si="8"/>
        <v>1</v>
      </c>
      <c r="H79" s="7">
        <f t="shared" si="9"/>
        <v>0.90522478736330503</v>
      </c>
      <c r="I79">
        <f t="shared" si="10"/>
        <v>5</v>
      </c>
      <c r="J79">
        <f>VLOOKUP(A79,'Housing Cost Calc'!$A$2:$C$827,3,FALSE)</f>
        <v>896</v>
      </c>
      <c r="K79">
        <f t="shared" si="11"/>
        <v>0.46856431358405343</v>
      </c>
    </row>
    <row r="80" spans="1:11" ht="60" x14ac:dyDescent="0.25">
      <c r="A80" s="4" t="s">
        <v>3149</v>
      </c>
      <c r="B80">
        <v>31618</v>
      </c>
      <c r="C80">
        <v>1.84</v>
      </c>
      <c r="D80">
        <f t="shared" si="6"/>
        <v>23309.098848527687</v>
      </c>
      <c r="E80">
        <f t="shared" si="7"/>
        <v>23.309098848527686</v>
      </c>
      <c r="F80" s="7">
        <v>9.5990279465370601E-2</v>
      </c>
      <c r="G80">
        <f t="shared" si="8"/>
        <v>1</v>
      </c>
      <c r="H80" s="7">
        <f t="shared" si="9"/>
        <v>0.90400972053462936</v>
      </c>
      <c r="I80">
        <f t="shared" si="10"/>
        <v>5</v>
      </c>
      <c r="J80">
        <f>VLOOKUP(A80,'Housing Cost Calc'!$A$2:$C$827,3,FALSE)</f>
        <v>927</v>
      </c>
      <c r="K80">
        <f t="shared" si="11"/>
        <v>0.47723852699276037</v>
      </c>
    </row>
    <row r="81" spans="1:11" ht="60" x14ac:dyDescent="0.25">
      <c r="A81" s="4" t="s">
        <v>3225</v>
      </c>
      <c r="B81">
        <v>39167</v>
      </c>
      <c r="C81">
        <v>2.82</v>
      </c>
      <c r="D81">
        <f t="shared" si="6"/>
        <v>23323.609085648426</v>
      </c>
      <c r="E81">
        <f t="shared" si="7"/>
        <v>23.323609085648425</v>
      </c>
      <c r="F81" s="7">
        <v>9.7205346294046174E-2</v>
      </c>
      <c r="G81">
        <f t="shared" si="8"/>
        <v>1</v>
      </c>
      <c r="H81" s="7">
        <f t="shared" si="9"/>
        <v>0.9027946537059538</v>
      </c>
      <c r="I81">
        <f t="shared" si="10"/>
        <v>5</v>
      </c>
      <c r="J81">
        <f>VLOOKUP(A81,'Housing Cost Calc'!$A$2:$C$827,3,FALSE)</f>
        <v>1130</v>
      </c>
      <c r="K81">
        <f t="shared" si="11"/>
        <v>0.58138515142340441</v>
      </c>
    </row>
    <row r="82" spans="1:11" ht="60" x14ac:dyDescent="0.25">
      <c r="A82" s="4" t="s">
        <v>3181</v>
      </c>
      <c r="B82">
        <v>34788</v>
      </c>
      <c r="C82">
        <v>2.2200000000000002</v>
      </c>
      <c r="D82">
        <f t="shared" si="6"/>
        <v>23348.176848785479</v>
      </c>
      <c r="E82">
        <f t="shared" si="7"/>
        <v>23.348176848785478</v>
      </c>
      <c r="F82" s="7">
        <v>9.8420413122721748E-2</v>
      </c>
      <c r="G82">
        <f t="shared" si="8"/>
        <v>1</v>
      </c>
      <c r="H82" s="7">
        <f t="shared" si="9"/>
        <v>0.90157958687727824</v>
      </c>
      <c r="I82">
        <f t="shared" si="10"/>
        <v>5</v>
      </c>
      <c r="J82">
        <f>VLOOKUP(A82,'Housing Cost Calc'!$A$2:$C$827,3,FALSE)</f>
        <v>1092</v>
      </c>
      <c r="K82">
        <f t="shared" si="11"/>
        <v>0.56124296491619396</v>
      </c>
    </row>
    <row r="83" spans="1:11" ht="60" x14ac:dyDescent="0.25">
      <c r="A83" s="4" t="s">
        <v>3215</v>
      </c>
      <c r="B83">
        <v>37463</v>
      </c>
      <c r="C83">
        <v>2.5499999999999998</v>
      </c>
      <c r="D83">
        <f t="shared" si="6"/>
        <v>23460.240616922958</v>
      </c>
      <c r="E83">
        <f t="shared" si="7"/>
        <v>23.46024061692296</v>
      </c>
      <c r="F83" s="7">
        <v>9.9635479951397321E-2</v>
      </c>
      <c r="G83">
        <f t="shared" si="8"/>
        <v>1</v>
      </c>
      <c r="H83" s="7">
        <f t="shared" si="9"/>
        <v>0.90036452004860268</v>
      </c>
      <c r="I83">
        <f t="shared" si="10"/>
        <v>5</v>
      </c>
      <c r="J83">
        <f>VLOOKUP(A83,'Housing Cost Calc'!$A$2:$C$827,3,FALSE)</f>
        <v>946</v>
      </c>
      <c r="K83">
        <f t="shared" si="11"/>
        <v>0.48388250510147268</v>
      </c>
    </row>
    <row r="84" spans="1:11" ht="60" x14ac:dyDescent="0.25">
      <c r="A84" s="4" t="s">
        <v>3211</v>
      </c>
      <c r="B84">
        <v>37353</v>
      </c>
      <c r="C84">
        <v>2.5</v>
      </c>
      <c r="D84">
        <f t="shared" si="6"/>
        <v>23624.111488053892</v>
      </c>
      <c r="E84">
        <f t="shared" si="7"/>
        <v>23.624111488053892</v>
      </c>
      <c r="F84" s="7">
        <v>0.10085054678007291</v>
      </c>
      <c r="G84">
        <f t="shared" si="8"/>
        <v>1</v>
      </c>
      <c r="H84" s="7">
        <f t="shared" si="9"/>
        <v>0.89914945321992712</v>
      </c>
      <c r="I84">
        <f t="shared" si="10"/>
        <v>5</v>
      </c>
      <c r="J84">
        <f>VLOOKUP(A84,'Housing Cost Calc'!$A$2:$C$827,3,FALSE)</f>
        <v>1097</v>
      </c>
      <c r="K84">
        <f t="shared" si="11"/>
        <v>0.55722730595208614</v>
      </c>
    </row>
    <row r="85" spans="1:11" ht="60" x14ac:dyDescent="0.25">
      <c r="A85" s="4" t="s">
        <v>3255</v>
      </c>
      <c r="B85">
        <v>41881</v>
      </c>
      <c r="C85">
        <v>3.12</v>
      </c>
      <c r="D85">
        <f t="shared" si="6"/>
        <v>23710.447233504907</v>
      </c>
      <c r="E85">
        <f t="shared" si="7"/>
        <v>23.710447233504908</v>
      </c>
      <c r="F85" s="7">
        <v>0.10206561360874848</v>
      </c>
      <c r="G85">
        <f t="shared" si="8"/>
        <v>1</v>
      </c>
      <c r="H85" s="7">
        <f t="shared" si="9"/>
        <v>0.89793438639125156</v>
      </c>
      <c r="I85">
        <f t="shared" si="10"/>
        <v>5</v>
      </c>
      <c r="J85">
        <f>VLOOKUP(A85,'Housing Cost Calc'!$A$2:$C$827,3,FALSE)</f>
        <v>1365</v>
      </c>
      <c r="K85">
        <f t="shared" si="11"/>
        <v>0.69083471259258444</v>
      </c>
    </row>
    <row r="86" spans="1:11" ht="60" x14ac:dyDescent="0.25">
      <c r="A86" s="4" t="s">
        <v>3187</v>
      </c>
      <c r="B86">
        <v>35234</v>
      </c>
      <c r="C86">
        <v>2.1800000000000002</v>
      </c>
      <c r="D86">
        <f t="shared" si="6"/>
        <v>23863.475949736865</v>
      </c>
      <c r="E86">
        <f t="shared" si="7"/>
        <v>23.863475949736866</v>
      </c>
      <c r="F86" s="7">
        <v>0.10328068043742406</v>
      </c>
      <c r="G86">
        <f t="shared" si="8"/>
        <v>1</v>
      </c>
      <c r="H86" s="7">
        <f t="shared" si="9"/>
        <v>0.896719319562576</v>
      </c>
      <c r="I86">
        <f t="shared" si="10"/>
        <v>5</v>
      </c>
      <c r="J86">
        <f>VLOOKUP(A86,'Housing Cost Calc'!$A$2:$C$827,3,FALSE)</f>
        <v>1033</v>
      </c>
      <c r="K86">
        <f t="shared" si="11"/>
        <v>0.51945492040260322</v>
      </c>
    </row>
    <row r="87" spans="1:11" ht="60" x14ac:dyDescent="0.25">
      <c r="A87" s="4" t="s">
        <v>3129</v>
      </c>
      <c r="B87">
        <v>30206</v>
      </c>
      <c r="C87">
        <v>1.59</v>
      </c>
      <c r="D87">
        <f t="shared" si="6"/>
        <v>23954.91619820226</v>
      </c>
      <c r="E87">
        <f t="shared" si="7"/>
        <v>23.954916198202259</v>
      </c>
      <c r="F87" s="7">
        <v>0.10449574726609964</v>
      </c>
      <c r="G87">
        <f t="shared" si="8"/>
        <v>1</v>
      </c>
      <c r="H87" s="7">
        <f t="shared" si="9"/>
        <v>0.89550425273390033</v>
      </c>
      <c r="I87">
        <f t="shared" si="10"/>
        <v>5</v>
      </c>
      <c r="J87">
        <f>VLOOKUP(A87,'Housing Cost Calc'!$A$2:$C$827,3,FALSE)</f>
        <v>843</v>
      </c>
      <c r="K87">
        <f t="shared" si="11"/>
        <v>0.42229327442853559</v>
      </c>
    </row>
    <row r="88" spans="1:11" ht="60" x14ac:dyDescent="0.25">
      <c r="A88" s="4" t="s">
        <v>3203</v>
      </c>
      <c r="B88">
        <v>36304</v>
      </c>
      <c r="C88">
        <v>2.2200000000000002</v>
      </c>
      <c r="D88">
        <f t="shared" si="6"/>
        <v>24365.649428489938</v>
      </c>
      <c r="E88">
        <f t="shared" si="7"/>
        <v>24.365649428489938</v>
      </c>
      <c r="F88" s="7">
        <v>0.10571081409477522</v>
      </c>
      <c r="G88">
        <f t="shared" si="8"/>
        <v>1</v>
      </c>
      <c r="H88" s="7">
        <f t="shared" si="9"/>
        <v>0.89428918590522477</v>
      </c>
      <c r="I88">
        <f t="shared" si="10"/>
        <v>5</v>
      </c>
      <c r="J88">
        <f>VLOOKUP(A88,'Housing Cost Calc'!$A$2:$C$827,3,FALSE)</f>
        <v>1165</v>
      </c>
      <c r="K88">
        <f t="shared" si="11"/>
        <v>0.57375856289115179</v>
      </c>
    </row>
    <row r="89" spans="1:11" ht="45" x14ac:dyDescent="0.25">
      <c r="A89" s="4" t="s">
        <v>3235</v>
      </c>
      <c r="B89">
        <v>40075</v>
      </c>
      <c r="C89">
        <v>2.66</v>
      </c>
      <c r="D89">
        <f t="shared" si="6"/>
        <v>24571.559029860004</v>
      </c>
      <c r="E89">
        <f t="shared" si="7"/>
        <v>24.571559029860005</v>
      </c>
      <c r="F89" s="7">
        <v>0.10692588092345079</v>
      </c>
      <c r="G89">
        <f t="shared" si="8"/>
        <v>1</v>
      </c>
      <c r="H89" s="7">
        <f t="shared" si="9"/>
        <v>0.89307411907654921</v>
      </c>
      <c r="I89">
        <f t="shared" si="10"/>
        <v>5</v>
      </c>
      <c r="J89">
        <f>VLOOKUP(A89,'Housing Cost Calc'!$A$2:$C$827,3,FALSE)</f>
        <v>1314</v>
      </c>
      <c r="K89">
        <f t="shared" si="11"/>
        <v>0.64171752312656727</v>
      </c>
    </row>
    <row r="90" spans="1:11" ht="60" x14ac:dyDescent="0.25">
      <c r="A90" s="4" t="s">
        <v>3241</v>
      </c>
      <c r="B90">
        <v>40625</v>
      </c>
      <c r="C90">
        <v>2.71</v>
      </c>
      <c r="D90">
        <f t="shared" si="6"/>
        <v>24677.930031250722</v>
      </c>
      <c r="E90">
        <f t="shared" si="7"/>
        <v>24.677930031250721</v>
      </c>
      <c r="F90" s="7">
        <v>0.10814094775212636</v>
      </c>
      <c r="G90">
        <f t="shared" si="8"/>
        <v>1</v>
      </c>
      <c r="H90" s="7">
        <f t="shared" si="9"/>
        <v>0.89185905224787365</v>
      </c>
      <c r="I90">
        <f t="shared" si="10"/>
        <v>5</v>
      </c>
      <c r="J90">
        <f>VLOOKUP(A90,'Housing Cost Calc'!$A$2:$C$827,3,FALSE)</f>
        <v>1226</v>
      </c>
      <c r="K90">
        <f t="shared" si="11"/>
        <v>0.59616021203437897</v>
      </c>
    </row>
    <row r="91" spans="1:11" ht="45" x14ac:dyDescent="0.25">
      <c r="A91" s="4" t="s">
        <v>3273</v>
      </c>
      <c r="B91">
        <v>43357</v>
      </c>
      <c r="C91">
        <v>3.08</v>
      </c>
      <c r="D91">
        <f t="shared" si="6"/>
        <v>24704.943567802613</v>
      </c>
      <c r="E91">
        <f t="shared" si="7"/>
        <v>24.704943567802612</v>
      </c>
      <c r="F91" s="7">
        <v>0.10935601458080195</v>
      </c>
      <c r="G91">
        <f t="shared" si="8"/>
        <v>1</v>
      </c>
      <c r="H91" s="7">
        <f t="shared" si="9"/>
        <v>0.89064398541919809</v>
      </c>
      <c r="I91">
        <f t="shared" si="10"/>
        <v>5</v>
      </c>
      <c r="J91">
        <f>VLOOKUP(A91,'Housing Cost Calc'!$A$2:$C$827,3,FALSE)</f>
        <v>1564</v>
      </c>
      <c r="K91">
        <f t="shared" si="11"/>
        <v>0.75968600974502543</v>
      </c>
    </row>
    <row r="92" spans="1:11" ht="45" x14ac:dyDescent="0.25">
      <c r="A92" s="4" t="s">
        <v>3221</v>
      </c>
      <c r="B92">
        <v>37802</v>
      </c>
      <c r="C92">
        <v>2.34</v>
      </c>
      <c r="D92">
        <f t="shared" si="6"/>
        <v>24711.94046831211</v>
      </c>
      <c r="E92">
        <f t="shared" si="7"/>
        <v>24.711940468312111</v>
      </c>
      <c r="F92" s="7">
        <v>0.11057108140947752</v>
      </c>
      <c r="G92">
        <f t="shared" si="8"/>
        <v>1</v>
      </c>
      <c r="H92" s="7">
        <f t="shared" si="9"/>
        <v>0.88942891859052242</v>
      </c>
      <c r="I92">
        <f t="shared" si="10"/>
        <v>5</v>
      </c>
      <c r="J92">
        <f>VLOOKUP(A92,'Housing Cost Calc'!$A$2:$C$827,3,FALSE)</f>
        <v>1162</v>
      </c>
      <c r="K92">
        <f t="shared" si="11"/>
        <v>0.56426163772449434</v>
      </c>
    </row>
    <row r="93" spans="1:11" ht="60" x14ac:dyDescent="0.25">
      <c r="A93" s="4" t="s">
        <v>3229</v>
      </c>
      <c r="B93">
        <v>39545</v>
      </c>
      <c r="C93">
        <v>2.56</v>
      </c>
      <c r="D93">
        <f t="shared" si="6"/>
        <v>24715.625</v>
      </c>
      <c r="E93">
        <f t="shared" si="7"/>
        <v>24.715624999999999</v>
      </c>
      <c r="F93" s="7">
        <v>0.1117861482381531</v>
      </c>
      <c r="G93">
        <f t="shared" si="8"/>
        <v>1</v>
      </c>
      <c r="H93" s="7">
        <f t="shared" si="9"/>
        <v>0.88821385176184686</v>
      </c>
      <c r="I93">
        <f t="shared" si="10"/>
        <v>5</v>
      </c>
      <c r="J93">
        <f>VLOOKUP(A93,'Housing Cost Calc'!$A$2:$C$827,3,FALSE)</f>
        <v>1034</v>
      </c>
      <c r="K93">
        <f t="shared" si="11"/>
        <v>0.50203059805285122</v>
      </c>
    </row>
    <row r="94" spans="1:11" ht="60" x14ac:dyDescent="0.25">
      <c r="A94" s="4" t="s">
        <v>3267</v>
      </c>
      <c r="B94">
        <v>42826</v>
      </c>
      <c r="C94">
        <v>2.92</v>
      </c>
      <c r="D94">
        <f t="shared" si="6"/>
        <v>25062.020849107437</v>
      </c>
      <c r="E94">
        <f t="shared" si="7"/>
        <v>25.062020849107437</v>
      </c>
      <c r="F94" s="7">
        <v>0.11300121506682867</v>
      </c>
      <c r="G94">
        <f t="shared" si="8"/>
        <v>1</v>
      </c>
      <c r="H94" s="7">
        <f t="shared" si="9"/>
        <v>0.8869987849331713</v>
      </c>
      <c r="I94">
        <f t="shared" si="10"/>
        <v>5</v>
      </c>
      <c r="J94">
        <f>VLOOKUP(A94,'Housing Cost Calc'!$A$2:$C$827,3,FALSE)</f>
        <v>1318</v>
      </c>
      <c r="K94">
        <f t="shared" si="11"/>
        <v>0.63107440917172786</v>
      </c>
    </row>
    <row r="95" spans="1:11" ht="60" x14ac:dyDescent="0.25">
      <c r="A95" s="4" t="s">
        <v>3259</v>
      </c>
      <c r="B95">
        <v>42095</v>
      </c>
      <c r="C95">
        <v>2.79</v>
      </c>
      <c r="D95">
        <f t="shared" si="6"/>
        <v>25201.617296056964</v>
      </c>
      <c r="E95">
        <f t="shared" si="7"/>
        <v>25.201617296056963</v>
      </c>
      <c r="F95" s="7">
        <v>0.11421628189550426</v>
      </c>
      <c r="G95">
        <f t="shared" si="8"/>
        <v>1</v>
      </c>
      <c r="H95" s="7">
        <f t="shared" si="9"/>
        <v>0.88578371810449574</v>
      </c>
      <c r="I95">
        <f t="shared" si="10"/>
        <v>5</v>
      </c>
      <c r="J95">
        <f>VLOOKUP(A95,'Housing Cost Calc'!$A$2:$C$827,3,FALSE)</f>
        <v>1195</v>
      </c>
      <c r="K95">
        <f t="shared" si="11"/>
        <v>0.56901110081707462</v>
      </c>
    </row>
    <row r="96" spans="1:11" ht="60" x14ac:dyDescent="0.25">
      <c r="A96" s="4" t="s">
        <v>3201</v>
      </c>
      <c r="B96">
        <v>36120</v>
      </c>
      <c r="C96">
        <v>2.02</v>
      </c>
      <c r="D96">
        <f t="shared" si="6"/>
        <v>25413.943315658144</v>
      </c>
      <c r="E96">
        <f t="shared" si="7"/>
        <v>25.413943315658145</v>
      </c>
      <c r="F96" s="7">
        <v>0.11543134872417983</v>
      </c>
      <c r="G96">
        <f t="shared" si="8"/>
        <v>1</v>
      </c>
      <c r="H96" s="7">
        <f t="shared" si="9"/>
        <v>0.88456865127582018</v>
      </c>
      <c r="I96">
        <f t="shared" si="10"/>
        <v>5</v>
      </c>
      <c r="J96">
        <f>VLOOKUP(A96,'Housing Cost Calc'!$A$2:$C$827,3,FALSE)</f>
        <v>1020</v>
      </c>
      <c r="K96">
        <f t="shared" si="11"/>
        <v>0.48162537580142634</v>
      </c>
    </row>
    <row r="97" spans="1:11" ht="60" x14ac:dyDescent="0.25">
      <c r="A97" s="4" t="s">
        <v>3289</v>
      </c>
      <c r="B97">
        <v>44635</v>
      </c>
      <c r="C97">
        <v>3.08</v>
      </c>
      <c r="D97">
        <f t="shared" si="6"/>
        <v>25433.1516513797</v>
      </c>
      <c r="E97">
        <f t="shared" si="7"/>
        <v>25.433151651379699</v>
      </c>
      <c r="F97" s="7">
        <v>0.1166464155528554</v>
      </c>
      <c r="G97">
        <f t="shared" si="8"/>
        <v>1</v>
      </c>
      <c r="H97" s="7">
        <f t="shared" si="9"/>
        <v>0.88335358444714462</v>
      </c>
      <c r="I97">
        <f t="shared" si="10"/>
        <v>5</v>
      </c>
      <c r="J97">
        <f>VLOOKUP(A97,'Housing Cost Calc'!$A$2:$C$827,3,FALSE)</f>
        <v>1345</v>
      </c>
      <c r="K97">
        <f t="shared" si="11"/>
        <v>0.63460479539602932</v>
      </c>
    </row>
    <row r="98" spans="1:11" ht="60" x14ac:dyDescent="0.25">
      <c r="A98" s="4" t="s">
        <v>3227</v>
      </c>
      <c r="B98">
        <v>39196</v>
      </c>
      <c r="C98">
        <v>2.35</v>
      </c>
      <c r="D98">
        <f t="shared" si="6"/>
        <v>25568.651151402719</v>
      </c>
      <c r="E98">
        <f t="shared" si="7"/>
        <v>25.568651151402719</v>
      </c>
      <c r="F98" s="7">
        <v>0.11786148238153099</v>
      </c>
      <c r="G98">
        <f t="shared" si="8"/>
        <v>1</v>
      </c>
      <c r="H98" s="7">
        <f t="shared" si="9"/>
        <v>0.88213851761846906</v>
      </c>
      <c r="I98">
        <f t="shared" si="10"/>
        <v>5</v>
      </c>
      <c r="J98">
        <f>VLOOKUP(A98,'Housing Cost Calc'!$A$2:$C$827,3,FALSE)</f>
        <v>1097</v>
      </c>
      <c r="K98">
        <f t="shared" si="11"/>
        <v>0.51484921602044742</v>
      </c>
    </row>
    <row r="99" spans="1:11" ht="60" x14ac:dyDescent="0.25">
      <c r="A99" s="4" t="s">
        <v>3151</v>
      </c>
      <c r="B99">
        <v>31838</v>
      </c>
      <c r="C99">
        <v>1.55</v>
      </c>
      <c r="D99">
        <f t="shared" si="6"/>
        <v>25572.896993597758</v>
      </c>
      <c r="E99">
        <f t="shared" si="7"/>
        <v>25.572896993597759</v>
      </c>
      <c r="F99" s="7">
        <v>0.11907654921020656</v>
      </c>
      <c r="G99">
        <f t="shared" si="8"/>
        <v>1</v>
      </c>
      <c r="H99" s="7">
        <f t="shared" si="9"/>
        <v>0.88092345078979339</v>
      </c>
      <c r="I99">
        <f t="shared" si="10"/>
        <v>5</v>
      </c>
      <c r="J99">
        <f>VLOOKUP(A99,'Housing Cost Calc'!$A$2:$C$827,3,FALSE)</f>
        <v>1313</v>
      </c>
      <c r="K99">
        <f t="shared" si="11"/>
        <v>0.61612104424244762</v>
      </c>
    </row>
    <row r="100" spans="1:11" ht="45" x14ac:dyDescent="0.25">
      <c r="A100" s="4" t="s">
        <v>3337</v>
      </c>
      <c r="B100">
        <v>48500</v>
      </c>
      <c r="C100">
        <v>3.58</v>
      </c>
      <c r="D100">
        <f t="shared" si="6"/>
        <v>25633.046495211962</v>
      </c>
      <c r="E100">
        <f t="shared" si="7"/>
        <v>25.633046495211961</v>
      </c>
      <c r="F100" s="7">
        <v>0.12029161603888214</v>
      </c>
      <c r="G100">
        <f t="shared" si="8"/>
        <v>1</v>
      </c>
      <c r="H100" s="7">
        <f t="shared" si="9"/>
        <v>0.87970838396111783</v>
      </c>
      <c r="I100">
        <f t="shared" si="10"/>
        <v>5</v>
      </c>
      <c r="J100">
        <f>VLOOKUP(A100,'Housing Cost Calc'!$A$2:$C$827,3,FALSE)</f>
        <v>1271</v>
      </c>
      <c r="K100">
        <f t="shared" si="11"/>
        <v>0.59501316017387729</v>
      </c>
    </row>
    <row r="101" spans="1:11" ht="60" x14ac:dyDescent="0.25">
      <c r="A101" s="4" t="s">
        <v>3253</v>
      </c>
      <c r="B101">
        <v>41616</v>
      </c>
      <c r="C101">
        <v>2.63</v>
      </c>
      <c r="D101">
        <f t="shared" si="6"/>
        <v>25661.524927349081</v>
      </c>
      <c r="E101">
        <f t="shared" si="7"/>
        <v>25.661524927349081</v>
      </c>
      <c r="F101" s="7">
        <v>0.12150668286755771</v>
      </c>
      <c r="G101">
        <f t="shared" si="8"/>
        <v>1</v>
      </c>
      <c r="H101" s="7">
        <f t="shared" si="9"/>
        <v>0.87849331713244228</v>
      </c>
      <c r="I101">
        <f t="shared" si="10"/>
        <v>5</v>
      </c>
      <c r="J101">
        <f>VLOOKUP(A101,'Housing Cost Calc'!$A$2:$C$827,3,FALSE)</f>
        <v>886</v>
      </c>
      <c r="K101">
        <f t="shared" si="11"/>
        <v>0.41431676527799866</v>
      </c>
    </row>
    <row r="102" spans="1:11" ht="45" x14ac:dyDescent="0.25">
      <c r="A102" s="4" t="s">
        <v>3189</v>
      </c>
      <c r="B102">
        <v>35313</v>
      </c>
      <c r="C102">
        <v>1.86</v>
      </c>
      <c r="D102">
        <f t="shared" si="6"/>
        <v>25892.747863745244</v>
      </c>
      <c r="E102">
        <f t="shared" si="7"/>
        <v>25.892747863745242</v>
      </c>
      <c r="F102" s="7">
        <v>0.1227217496962333</v>
      </c>
      <c r="G102">
        <f t="shared" si="8"/>
        <v>1</v>
      </c>
      <c r="H102" s="7">
        <f t="shared" si="9"/>
        <v>0.87727825030376672</v>
      </c>
      <c r="I102">
        <f t="shared" si="10"/>
        <v>5</v>
      </c>
      <c r="J102">
        <f>VLOOKUP(A102,'Housing Cost Calc'!$A$2:$C$827,3,FALSE)</f>
        <v>912</v>
      </c>
      <c r="K102">
        <f t="shared" si="11"/>
        <v>0.42266661142302608</v>
      </c>
    </row>
    <row r="103" spans="1:11" ht="60" x14ac:dyDescent="0.25">
      <c r="A103" s="4" t="s">
        <v>3249</v>
      </c>
      <c r="B103">
        <v>41467</v>
      </c>
      <c r="C103">
        <v>2.5499999999999998</v>
      </c>
      <c r="D103">
        <f t="shared" si="6"/>
        <v>25967.642678427896</v>
      </c>
      <c r="E103">
        <f t="shared" si="7"/>
        <v>25.967642678427897</v>
      </c>
      <c r="F103" s="7">
        <v>0.12393681652490887</v>
      </c>
      <c r="G103">
        <f t="shared" si="8"/>
        <v>1</v>
      </c>
      <c r="H103" s="7">
        <f t="shared" si="9"/>
        <v>0.87606318347509116</v>
      </c>
      <c r="I103">
        <f t="shared" si="10"/>
        <v>5</v>
      </c>
      <c r="J103">
        <f>VLOOKUP(A103,'Housing Cost Calc'!$A$2:$C$827,3,FALSE)</f>
        <v>1077</v>
      </c>
      <c r="K103">
        <f t="shared" si="11"/>
        <v>0.49769631229315847</v>
      </c>
    </row>
    <row r="104" spans="1:11" ht="45" x14ac:dyDescent="0.25">
      <c r="A104" s="4" t="s">
        <v>3269</v>
      </c>
      <c r="B104">
        <v>42969</v>
      </c>
      <c r="C104">
        <v>2.7</v>
      </c>
      <c r="D104">
        <f t="shared" si="6"/>
        <v>26150.100637154977</v>
      </c>
      <c r="E104">
        <f t="shared" si="7"/>
        <v>26.150100637154978</v>
      </c>
      <c r="F104" s="7">
        <v>0.12515188335358446</v>
      </c>
      <c r="G104">
        <f t="shared" si="8"/>
        <v>1</v>
      </c>
      <c r="H104" s="7">
        <f t="shared" si="9"/>
        <v>0.87484811664641549</v>
      </c>
      <c r="I104">
        <f t="shared" si="10"/>
        <v>5</v>
      </c>
      <c r="J104">
        <f>VLOOKUP(A104,'Housing Cost Calc'!$A$2:$C$827,3,FALSE)</f>
        <v>1287</v>
      </c>
      <c r="K104">
        <f t="shared" si="11"/>
        <v>0.59059046136352622</v>
      </c>
    </row>
    <row r="105" spans="1:11" ht="60" x14ac:dyDescent="0.25">
      <c r="A105" s="4" t="s">
        <v>3245</v>
      </c>
      <c r="B105">
        <v>40913</v>
      </c>
      <c r="C105">
        <v>2.4</v>
      </c>
      <c r="D105">
        <f t="shared" si="6"/>
        <v>26409.227940564007</v>
      </c>
      <c r="E105">
        <f t="shared" si="7"/>
        <v>26.409227940564008</v>
      </c>
      <c r="F105" s="7">
        <v>0.12636695018226002</v>
      </c>
      <c r="G105">
        <f t="shared" si="8"/>
        <v>1</v>
      </c>
      <c r="H105" s="7">
        <f t="shared" si="9"/>
        <v>0.87363304981774004</v>
      </c>
      <c r="I105">
        <f t="shared" si="10"/>
        <v>5</v>
      </c>
      <c r="J105">
        <f>VLOOKUP(A105,'Housing Cost Calc'!$A$2:$C$827,3,FALSE)</f>
        <v>1104</v>
      </c>
      <c r="K105">
        <f t="shared" si="11"/>
        <v>0.50164283597444193</v>
      </c>
    </row>
    <row r="106" spans="1:11" ht="45" x14ac:dyDescent="0.25">
      <c r="A106" s="4" t="s">
        <v>3321</v>
      </c>
      <c r="B106">
        <v>46716</v>
      </c>
      <c r="C106">
        <v>3.11</v>
      </c>
      <c r="D106">
        <f t="shared" si="6"/>
        <v>26490.213299312763</v>
      </c>
      <c r="E106">
        <f t="shared" si="7"/>
        <v>26.490213299312764</v>
      </c>
      <c r="F106" s="7">
        <v>0.12758201701093561</v>
      </c>
      <c r="G106">
        <f t="shared" si="8"/>
        <v>1</v>
      </c>
      <c r="H106" s="7">
        <f t="shared" si="9"/>
        <v>0.87241798298906437</v>
      </c>
      <c r="I106">
        <f t="shared" si="10"/>
        <v>5</v>
      </c>
      <c r="J106">
        <f>VLOOKUP(A106,'Housing Cost Calc'!$A$2:$C$827,3,FALSE)</f>
        <v>1203</v>
      </c>
      <c r="K106">
        <f t="shared" si="11"/>
        <v>0.54495597437769649</v>
      </c>
    </row>
    <row r="107" spans="1:11" ht="60" x14ac:dyDescent="0.25">
      <c r="A107" s="4" t="s">
        <v>3271</v>
      </c>
      <c r="B107">
        <v>43175</v>
      </c>
      <c r="C107">
        <v>2.64</v>
      </c>
      <c r="D107">
        <f t="shared" si="6"/>
        <v>26572.375615163455</v>
      </c>
      <c r="E107">
        <f t="shared" si="7"/>
        <v>26.572375615163455</v>
      </c>
      <c r="F107" s="7">
        <v>0.12879708383961117</v>
      </c>
      <c r="G107">
        <f t="shared" si="8"/>
        <v>1</v>
      </c>
      <c r="H107" s="7">
        <f t="shared" si="9"/>
        <v>0.87120291616038881</v>
      </c>
      <c r="I107">
        <f t="shared" si="10"/>
        <v>5</v>
      </c>
      <c r="J107">
        <f>VLOOKUP(A107,'Housing Cost Calc'!$A$2:$C$827,3,FALSE)</f>
        <v>1238</v>
      </c>
      <c r="K107">
        <f t="shared" si="11"/>
        <v>0.55907684789471601</v>
      </c>
    </row>
    <row r="108" spans="1:11" ht="60" x14ac:dyDescent="0.25">
      <c r="A108" s="4" t="s">
        <v>3263</v>
      </c>
      <c r="B108">
        <v>42476</v>
      </c>
      <c r="C108">
        <v>2.5299999999999998</v>
      </c>
      <c r="D108">
        <f t="shared" si="6"/>
        <v>26704.432401409002</v>
      </c>
      <c r="E108">
        <f t="shared" si="7"/>
        <v>26.704432401409001</v>
      </c>
      <c r="F108" s="7">
        <v>0.13001215066828675</v>
      </c>
      <c r="G108">
        <f t="shared" si="8"/>
        <v>1</v>
      </c>
      <c r="H108" s="7">
        <f t="shared" si="9"/>
        <v>0.86998784933171325</v>
      </c>
      <c r="I108">
        <f t="shared" si="10"/>
        <v>5</v>
      </c>
      <c r="J108">
        <f>VLOOKUP(A108,'Housing Cost Calc'!$A$2:$C$827,3,FALSE)</f>
        <v>1025</v>
      </c>
      <c r="K108">
        <f t="shared" si="11"/>
        <v>0.46059769461158878</v>
      </c>
    </row>
    <row r="109" spans="1:11" ht="60" x14ac:dyDescent="0.25">
      <c r="A109" s="4" t="s">
        <v>3237</v>
      </c>
      <c r="B109">
        <v>40169</v>
      </c>
      <c r="C109">
        <v>2.2400000000000002</v>
      </c>
      <c r="D109">
        <f t="shared" si="6"/>
        <v>26839.042065950434</v>
      </c>
      <c r="E109">
        <f t="shared" si="7"/>
        <v>26.839042065950434</v>
      </c>
      <c r="F109" s="7">
        <v>0.13122721749696234</v>
      </c>
      <c r="G109">
        <f t="shared" si="8"/>
        <v>1</v>
      </c>
      <c r="H109" s="7">
        <f t="shared" si="9"/>
        <v>0.86877278250303769</v>
      </c>
      <c r="I109">
        <f t="shared" si="10"/>
        <v>5</v>
      </c>
      <c r="J109">
        <f>VLOOKUP(A109,'Housing Cost Calc'!$A$2:$C$827,3,FALSE)</f>
        <v>1058</v>
      </c>
      <c r="K109">
        <f t="shared" si="11"/>
        <v>0.47304221845186056</v>
      </c>
    </row>
    <row r="110" spans="1:11" ht="60" x14ac:dyDescent="0.25">
      <c r="A110" s="4" t="s">
        <v>3305</v>
      </c>
      <c r="B110">
        <v>46155</v>
      </c>
      <c r="C110">
        <v>2.95</v>
      </c>
      <c r="D110">
        <f t="shared" si="6"/>
        <v>26872.479937030406</v>
      </c>
      <c r="E110">
        <f t="shared" si="7"/>
        <v>26.872479937030405</v>
      </c>
      <c r="F110" s="7">
        <v>0.1324422843256379</v>
      </c>
      <c r="G110">
        <f t="shared" si="8"/>
        <v>1</v>
      </c>
      <c r="H110" s="7">
        <f t="shared" si="9"/>
        <v>0.86755771567436213</v>
      </c>
      <c r="I110">
        <f t="shared" si="10"/>
        <v>5</v>
      </c>
      <c r="J110">
        <f>VLOOKUP(A110,'Housing Cost Calc'!$A$2:$C$827,3,FALSE)</f>
        <v>1123</v>
      </c>
      <c r="K110">
        <f t="shared" si="11"/>
        <v>0.50147958177205698</v>
      </c>
    </row>
    <row r="111" spans="1:11" ht="60" x14ac:dyDescent="0.25">
      <c r="A111" s="4" t="s">
        <v>3287</v>
      </c>
      <c r="B111">
        <v>44473</v>
      </c>
      <c r="C111">
        <v>2.72</v>
      </c>
      <c r="D111">
        <f t="shared" si="6"/>
        <v>26965.71713060209</v>
      </c>
      <c r="E111">
        <f t="shared" si="7"/>
        <v>26.965717130602091</v>
      </c>
      <c r="F111" s="7">
        <v>0.13365735115431349</v>
      </c>
      <c r="G111">
        <f t="shared" si="8"/>
        <v>1</v>
      </c>
      <c r="H111" s="7">
        <f t="shared" si="9"/>
        <v>0.86634264884568646</v>
      </c>
      <c r="I111">
        <f t="shared" si="10"/>
        <v>5</v>
      </c>
      <c r="J111">
        <f>VLOOKUP(A111,'Housing Cost Calc'!$A$2:$C$827,3,FALSE)</f>
        <v>1045</v>
      </c>
      <c r="K111">
        <f t="shared" si="11"/>
        <v>0.46503491597369606</v>
      </c>
    </row>
    <row r="112" spans="1:11" ht="45" x14ac:dyDescent="0.25">
      <c r="A112" s="4" t="s">
        <v>3317</v>
      </c>
      <c r="B112">
        <v>46566</v>
      </c>
      <c r="C112">
        <v>2.98</v>
      </c>
      <c r="D112">
        <f t="shared" si="6"/>
        <v>26974.959529362379</v>
      </c>
      <c r="E112">
        <f t="shared" si="7"/>
        <v>26.97495952936238</v>
      </c>
      <c r="F112" s="7">
        <v>0.13487241798298907</v>
      </c>
      <c r="G112">
        <f t="shared" si="8"/>
        <v>1</v>
      </c>
      <c r="H112" s="7">
        <f t="shared" si="9"/>
        <v>0.8651275820170109</v>
      </c>
      <c r="I112">
        <f t="shared" si="10"/>
        <v>5</v>
      </c>
      <c r="J112">
        <f>VLOOKUP(A112,'Housing Cost Calc'!$A$2:$C$827,3,FALSE)</f>
        <v>1793</v>
      </c>
      <c r="K112">
        <f t="shared" si="11"/>
        <v>0.79762862949172275</v>
      </c>
    </row>
    <row r="113" spans="1:11" ht="60" x14ac:dyDescent="0.25">
      <c r="A113" s="4" t="s">
        <v>3247</v>
      </c>
      <c r="B113">
        <v>41218</v>
      </c>
      <c r="C113">
        <v>2.3199999999999998</v>
      </c>
      <c r="D113">
        <f t="shared" si="6"/>
        <v>27060.942748060224</v>
      </c>
      <c r="E113">
        <f t="shared" si="7"/>
        <v>27.060942748060224</v>
      </c>
      <c r="F113" s="7">
        <v>0.13608748481166463</v>
      </c>
      <c r="G113">
        <f t="shared" si="8"/>
        <v>1</v>
      </c>
      <c r="H113" s="7">
        <f t="shared" si="9"/>
        <v>0.86391251518833534</v>
      </c>
      <c r="I113">
        <f t="shared" si="10"/>
        <v>5</v>
      </c>
      <c r="J113">
        <f>VLOOKUP(A113,'Housing Cost Calc'!$A$2:$C$827,3,FALSE)</f>
        <v>1185</v>
      </c>
      <c r="K113">
        <f t="shared" si="11"/>
        <v>0.52548058404281994</v>
      </c>
    </row>
    <row r="114" spans="1:11" ht="45" x14ac:dyDescent="0.25">
      <c r="A114" s="4" t="s">
        <v>3333</v>
      </c>
      <c r="B114">
        <v>48148</v>
      </c>
      <c r="C114">
        <v>3.13</v>
      </c>
      <c r="D114">
        <f t="shared" si="6"/>
        <v>27214.858655326378</v>
      </c>
      <c r="E114">
        <f t="shared" si="7"/>
        <v>27.214858655326378</v>
      </c>
      <c r="F114" s="7">
        <v>0.13730255164034022</v>
      </c>
      <c r="G114">
        <f t="shared" si="8"/>
        <v>1</v>
      </c>
      <c r="H114" s="7">
        <f t="shared" si="9"/>
        <v>0.86269744835965978</v>
      </c>
      <c r="I114">
        <f t="shared" si="10"/>
        <v>5</v>
      </c>
      <c r="J114">
        <f>VLOOKUP(A114,'Housing Cost Calc'!$A$2:$C$827,3,FALSE)</f>
        <v>1323</v>
      </c>
      <c r="K114">
        <f t="shared" si="11"/>
        <v>0.58335779733666981</v>
      </c>
    </row>
    <row r="115" spans="1:11" ht="60" x14ac:dyDescent="0.25">
      <c r="A115" s="4" t="s">
        <v>3191</v>
      </c>
      <c r="B115">
        <v>35460</v>
      </c>
      <c r="C115">
        <v>1.65</v>
      </c>
      <c r="D115">
        <f t="shared" si="6"/>
        <v>27605.572559967604</v>
      </c>
      <c r="E115">
        <f t="shared" si="7"/>
        <v>27.605572559967605</v>
      </c>
      <c r="F115" s="7">
        <v>0.13851761846901581</v>
      </c>
      <c r="G115">
        <f t="shared" si="8"/>
        <v>1</v>
      </c>
      <c r="H115" s="7">
        <f t="shared" si="9"/>
        <v>0.86148238153098422</v>
      </c>
      <c r="I115">
        <f t="shared" si="10"/>
        <v>5</v>
      </c>
      <c r="J115">
        <f>VLOOKUP(A115,'Housing Cost Calc'!$A$2:$C$827,3,FALSE)</f>
        <v>859</v>
      </c>
      <c r="K115">
        <f t="shared" si="11"/>
        <v>0.37340286920721982</v>
      </c>
    </row>
    <row r="116" spans="1:11" ht="45" x14ac:dyDescent="0.25">
      <c r="A116" s="4" t="s">
        <v>3265</v>
      </c>
      <c r="B116">
        <v>42688</v>
      </c>
      <c r="C116">
        <v>2.37</v>
      </c>
      <c r="D116">
        <f t="shared" si="6"/>
        <v>27728.835727482099</v>
      </c>
      <c r="E116">
        <f t="shared" si="7"/>
        <v>27.7288357274821</v>
      </c>
      <c r="F116" s="7">
        <v>0.13973268529769137</v>
      </c>
      <c r="G116">
        <f t="shared" si="8"/>
        <v>1</v>
      </c>
      <c r="H116" s="7">
        <f t="shared" si="9"/>
        <v>0.86026731470230866</v>
      </c>
      <c r="I116">
        <f t="shared" si="10"/>
        <v>5</v>
      </c>
      <c r="J116">
        <f>VLOOKUP(A116,'Housing Cost Calc'!$A$2:$C$827,3,FALSE)</f>
        <v>1292</v>
      </c>
      <c r="K116">
        <f t="shared" si="11"/>
        <v>0.55912913734902892</v>
      </c>
    </row>
    <row r="117" spans="1:11" ht="60" x14ac:dyDescent="0.25">
      <c r="A117" s="4" t="s">
        <v>3277</v>
      </c>
      <c r="B117">
        <v>43600</v>
      </c>
      <c r="C117">
        <v>2.4700000000000002</v>
      </c>
      <c r="D117">
        <f t="shared" si="6"/>
        <v>27742.015665743911</v>
      </c>
      <c r="E117">
        <f t="shared" si="7"/>
        <v>27.74201566574391</v>
      </c>
      <c r="F117" s="7">
        <v>0.14094775212636695</v>
      </c>
      <c r="G117">
        <f t="shared" si="8"/>
        <v>1</v>
      </c>
      <c r="H117" s="7">
        <f t="shared" si="9"/>
        <v>0.8590522478736331</v>
      </c>
      <c r="I117">
        <f t="shared" si="10"/>
        <v>5</v>
      </c>
      <c r="J117">
        <f>VLOOKUP(A117,'Housing Cost Calc'!$A$2:$C$827,3,FALSE)</f>
        <v>1171</v>
      </c>
      <c r="K117">
        <f t="shared" si="11"/>
        <v>0.5065241174004359</v>
      </c>
    </row>
    <row r="118" spans="1:11" ht="60" x14ac:dyDescent="0.25">
      <c r="A118" s="4" t="s">
        <v>3233</v>
      </c>
      <c r="B118">
        <v>40066</v>
      </c>
      <c r="C118">
        <v>2.04</v>
      </c>
      <c r="D118">
        <f t="shared" si="6"/>
        <v>28051.81092333312</v>
      </c>
      <c r="E118">
        <f t="shared" si="7"/>
        <v>28.051810923333118</v>
      </c>
      <c r="F118" s="7">
        <v>0.14216281895504251</v>
      </c>
      <c r="G118">
        <f t="shared" si="8"/>
        <v>1</v>
      </c>
      <c r="H118" s="7">
        <f t="shared" si="9"/>
        <v>0.85783718104495743</v>
      </c>
      <c r="I118">
        <f t="shared" si="10"/>
        <v>5</v>
      </c>
      <c r="J118">
        <f>VLOOKUP(A118,'Housing Cost Calc'!$A$2:$C$827,3,FALSE)</f>
        <v>1014</v>
      </c>
      <c r="K118">
        <f t="shared" si="11"/>
        <v>0.43376878709384215</v>
      </c>
    </row>
    <row r="119" spans="1:11" ht="60" x14ac:dyDescent="0.25">
      <c r="A119" s="4" t="s">
        <v>3319</v>
      </c>
      <c r="B119">
        <v>46646</v>
      </c>
      <c r="C119">
        <v>2.76</v>
      </c>
      <c r="D119">
        <f t="shared" si="6"/>
        <v>28077.592515193952</v>
      </c>
      <c r="E119">
        <f t="shared" si="7"/>
        <v>28.077592515193952</v>
      </c>
      <c r="F119" s="7">
        <v>0.1433778857837181</v>
      </c>
      <c r="G119">
        <f t="shared" si="8"/>
        <v>1</v>
      </c>
      <c r="H119" s="7">
        <f t="shared" si="9"/>
        <v>0.85662211421628187</v>
      </c>
      <c r="I119">
        <f t="shared" si="10"/>
        <v>5</v>
      </c>
      <c r="J119">
        <f>VLOOKUP(A119,'Housing Cost Calc'!$A$2:$C$827,3,FALSE)</f>
        <v>1166</v>
      </c>
      <c r="K119">
        <f t="shared" si="11"/>
        <v>0.49833332371457228</v>
      </c>
    </row>
    <row r="120" spans="1:11" ht="60" x14ac:dyDescent="0.25">
      <c r="A120" s="4" t="s">
        <v>3299</v>
      </c>
      <c r="B120">
        <v>45828</v>
      </c>
      <c r="C120">
        <v>2.64</v>
      </c>
      <c r="D120">
        <f t="shared" si="6"/>
        <v>28205.184243004303</v>
      </c>
      <c r="E120">
        <f t="shared" si="7"/>
        <v>28.205184243004304</v>
      </c>
      <c r="F120" s="7">
        <v>0.14459295261239369</v>
      </c>
      <c r="G120">
        <f t="shared" si="8"/>
        <v>1</v>
      </c>
      <c r="H120" s="7">
        <f t="shared" si="9"/>
        <v>0.85540704738760631</v>
      </c>
      <c r="I120">
        <f t="shared" si="10"/>
        <v>5</v>
      </c>
      <c r="J120">
        <f>VLOOKUP(A120,'Housing Cost Calc'!$A$2:$C$827,3,FALSE)</f>
        <v>1129</v>
      </c>
      <c r="K120">
        <f t="shared" si="11"/>
        <v>0.48033722748541496</v>
      </c>
    </row>
    <row r="121" spans="1:11" ht="60" x14ac:dyDescent="0.25">
      <c r="A121" s="4" t="s">
        <v>3372</v>
      </c>
      <c r="B121">
        <v>50583</v>
      </c>
      <c r="C121">
        <v>3.2</v>
      </c>
      <c r="D121">
        <f t="shared" si="6"/>
        <v>28276.756626467966</v>
      </c>
      <c r="E121">
        <f t="shared" si="7"/>
        <v>28.276756626467968</v>
      </c>
      <c r="F121" s="7">
        <v>0.14580801944106925</v>
      </c>
      <c r="G121">
        <f t="shared" si="8"/>
        <v>1</v>
      </c>
      <c r="H121" s="7">
        <f t="shared" si="9"/>
        <v>0.85419198055893075</v>
      </c>
      <c r="I121">
        <f t="shared" si="10"/>
        <v>5</v>
      </c>
      <c r="J121">
        <f>VLOOKUP(A121,'Housing Cost Calc'!$A$2:$C$827,3,FALSE)</f>
        <v>1038</v>
      </c>
      <c r="K121">
        <f t="shared" si="11"/>
        <v>0.440503137065613</v>
      </c>
    </row>
    <row r="122" spans="1:11" ht="60" x14ac:dyDescent="0.25">
      <c r="A122" s="4" t="s">
        <v>3362</v>
      </c>
      <c r="B122">
        <v>49643</v>
      </c>
      <c r="C122">
        <v>3.05</v>
      </c>
      <c r="D122">
        <f t="shared" si="6"/>
        <v>28425.49911034336</v>
      </c>
      <c r="E122">
        <f t="shared" si="7"/>
        <v>28.42549911034336</v>
      </c>
      <c r="F122" s="7">
        <v>0.14702308626974483</v>
      </c>
      <c r="G122">
        <f t="shared" si="8"/>
        <v>1</v>
      </c>
      <c r="H122" s="7">
        <f t="shared" si="9"/>
        <v>0.85297691373025519</v>
      </c>
      <c r="I122">
        <f t="shared" si="10"/>
        <v>5</v>
      </c>
      <c r="J122">
        <f>VLOOKUP(A122,'Housing Cost Calc'!$A$2:$C$827,3,FALSE)</f>
        <v>1218</v>
      </c>
      <c r="K122">
        <f t="shared" si="11"/>
        <v>0.51418622214030307</v>
      </c>
    </row>
    <row r="123" spans="1:11" ht="60" x14ac:dyDescent="0.25">
      <c r="A123" s="4" t="s">
        <v>3374</v>
      </c>
      <c r="B123">
        <v>50729</v>
      </c>
      <c r="C123">
        <v>3.14</v>
      </c>
      <c r="D123">
        <f t="shared" si="6"/>
        <v>28628.030899534697</v>
      </c>
      <c r="E123">
        <f t="shared" si="7"/>
        <v>28.628030899534696</v>
      </c>
      <c r="F123" s="7">
        <v>0.14823815309842042</v>
      </c>
      <c r="G123">
        <f t="shared" si="8"/>
        <v>1</v>
      </c>
      <c r="H123" s="7">
        <f t="shared" si="9"/>
        <v>0.85176184690157952</v>
      </c>
      <c r="I123">
        <f t="shared" si="10"/>
        <v>5</v>
      </c>
      <c r="J123">
        <f>VLOOKUP(A123,'Housing Cost Calc'!$A$2:$C$827,3,FALSE)</f>
        <v>1422</v>
      </c>
      <c r="K123">
        <f t="shared" si="11"/>
        <v>0.59605915823841549</v>
      </c>
    </row>
    <row r="124" spans="1:11" ht="60" x14ac:dyDescent="0.25">
      <c r="A124" s="4" t="s">
        <v>3285</v>
      </c>
      <c r="B124">
        <v>44352</v>
      </c>
      <c r="C124">
        <v>2.4</v>
      </c>
      <c r="D124">
        <f t="shared" si="6"/>
        <v>28629.092895165224</v>
      </c>
      <c r="E124">
        <f t="shared" si="7"/>
        <v>28.629092895165225</v>
      </c>
      <c r="F124" s="7">
        <v>0.14945321992709598</v>
      </c>
      <c r="G124">
        <f t="shared" si="8"/>
        <v>1</v>
      </c>
      <c r="H124" s="7">
        <f t="shared" si="9"/>
        <v>0.85054678007290407</v>
      </c>
      <c r="I124">
        <f t="shared" si="10"/>
        <v>5</v>
      </c>
      <c r="J124">
        <f>VLOOKUP(A124,'Housing Cost Calc'!$A$2:$C$827,3,FALSE)</f>
        <v>1015</v>
      </c>
      <c r="K124">
        <f t="shared" si="11"/>
        <v>0.42544135242429959</v>
      </c>
    </row>
    <row r="125" spans="1:11" ht="60" x14ac:dyDescent="0.25">
      <c r="A125" s="4" t="s">
        <v>3261</v>
      </c>
      <c r="B125">
        <v>42188</v>
      </c>
      <c r="C125">
        <v>2.14</v>
      </c>
      <c r="D125">
        <f t="shared" si="6"/>
        <v>28839.12308931649</v>
      </c>
      <c r="E125">
        <f t="shared" si="7"/>
        <v>28.839123089316491</v>
      </c>
      <c r="F125" s="7">
        <v>0.15066828675577157</v>
      </c>
      <c r="G125">
        <f t="shared" si="8"/>
        <v>1</v>
      </c>
      <c r="H125" s="7">
        <f t="shared" si="9"/>
        <v>0.8493317132442284</v>
      </c>
      <c r="I125">
        <f t="shared" si="10"/>
        <v>5</v>
      </c>
      <c r="J125">
        <f>VLOOKUP(A125,'Housing Cost Calc'!$A$2:$C$827,3,FALSE)</f>
        <v>882</v>
      </c>
      <c r="K125">
        <f t="shared" si="11"/>
        <v>0.36700145032914899</v>
      </c>
    </row>
    <row r="126" spans="1:11" ht="60" x14ac:dyDescent="0.25">
      <c r="A126" s="4" t="s">
        <v>3291</v>
      </c>
      <c r="B126">
        <v>44815</v>
      </c>
      <c r="C126">
        <v>2.38</v>
      </c>
      <c r="D126">
        <f t="shared" si="6"/>
        <v>29049.24987099025</v>
      </c>
      <c r="E126">
        <f t="shared" si="7"/>
        <v>29.049249870990248</v>
      </c>
      <c r="F126" s="7">
        <v>0.15188335358444716</v>
      </c>
      <c r="G126">
        <f t="shared" si="8"/>
        <v>1</v>
      </c>
      <c r="H126" s="7">
        <f t="shared" si="9"/>
        <v>0.84811664641555284</v>
      </c>
      <c r="I126">
        <f t="shared" si="10"/>
        <v>5</v>
      </c>
      <c r="J126">
        <f>VLOOKUP(A126,'Housing Cost Calc'!$A$2:$C$827,3,FALSE)</f>
        <v>1308</v>
      </c>
      <c r="K126">
        <f t="shared" si="11"/>
        <v>0.54032376290978368</v>
      </c>
    </row>
    <row r="127" spans="1:11" ht="60" x14ac:dyDescent="0.25">
      <c r="A127" s="4" t="s">
        <v>3311</v>
      </c>
      <c r="B127">
        <v>46326</v>
      </c>
      <c r="C127">
        <v>2.54</v>
      </c>
      <c r="D127">
        <f t="shared" si="6"/>
        <v>29067.517628830334</v>
      </c>
      <c r="E127">
        <f t="shared" si="7"/>
        <v>29.067517628830334</v>
      </c>
      <c r="F127" s="7">
        <v>0.15309842041312272</v>
      </c>
      <c r="G127">
        <f t="shared" si="8"/>
        <v>1</v>
      </c>
      <c r="H127" s="7">
        <f t="shared" si="9"/>
        <v>0.84690157958687728</v>
      </c>
      <c r="I127">
        <f t="shared" si="10"/>
        <v>5</v>
      </c>
      <c r="J127">
        <f>VLOOKUP(A127,'Housing Cost Calc'!$A$2:$C$827,3,FALSE)</f>
        <v>1198</v>
      </c>
      <c r="K127">
        <f t="shared" si="11"/>
        <v>0.49457267674420552</v>
      </c>
    </row>
    <row r="128" spans="1:11" ht="60" x14ac:dyDescent="0.25">
      <c r="A128" s="4" t="s">
        <v>3293</v>
      </c>
      <c r="B128">
        <v>44915</v>
      </c>
      <c r="C128">
        <v>2.38</v>
      </c>
      <c r="D128">
        <f t="shared" si="6"/>
        <v>29114.070243345464</v>
      </c>
      <c r="E128">
        <f t="shared" si="7"/>
        <v>29.114070243345463</v>
      </c>
      <c r="F128" s="7">
        <v>0.1543134872417983</v>
      </c>
      <c r="G128">
        <f t="shared" si="8"/>
        <v>1</v>
      </c>
      <c r="H128" s="7">
        <f t="shared" si="9"/>
        <v>0.84568651275820172</v>
      </c>
      <c r="I128">
        <f t="shared" si="10"/>
        <v>5</v>
      </c>
      <c r="J128">
        <f>VLOOKUP(A128,'Housing Cost Calc'!$A$2:$C$827,3,FALSE)</f>
        <v>1226</v>
      </c>
      <c r="K128">
        <f t="shared" si="11"/>
        <v>0.50532267996305624</v>
      </c>
    </row>
    <row r="129" spans="1:11" ht="45" x14ac:dyDescent="0.25">
      <c r="A129" s="4" t="s">
        <v>3396</v>
      </c>
      <c r="B129">
        <v>52607</v>
      </c>
      <c r="C129">
        <v>3.26</v>
      </c>
      <c r="D129">
        <f t="shared" si="6"/>
        <v>29136.322539131368</v>
      </c>
      <c r="E129">
        <f t="shared" si="7"/>
        <v>29.136322539131367</v>
      </c>
      <c r="F129" s="7">
        <v>0.15552855407047386</v>
      </c>
      <c r="G129">
        <f t="shared" si="8"/>
        <v>1</v>
      </c>
      <c r="H129" s="7">
        <f t="shared" si="9"/>
        <v>0.84447144592952617</v>
      </c>
      <c r="I129">
        <f t="shared" si="10"/>
        <v>5</v>
      </c>
      <c r="J129">
        <f>VLOOKUP(A129,'Housing Cost Calc'!$A$2:$C$827,3,FALSE)</f>
        <v>1137</v>
      </c>
      <c r="K129">
        <f t="shared" si="11"/>
        <v>0.46828147174975515</v>
      </c>
    </row>
    <row r="130" spans="1:11" ht="60" x14ac:dyDescent="0.25">
      <c r="A130" s="4" t="s">
        <v>3301</v>
      </c>
      <c r="B130">
        <v>45875</v>
      </c>
      <c r="C130">
        <v>2.46</v>
      </c>
      <c r="D130">
        <f t="shared" ref="D130:D193" si="12">(B130/(C130)^0.5)</f>
        <v>29248.831711780644</v>
      </c>
      <c r="E130">
        <f t="shared" ref="E130:E193" si="13">D130/1000</f>
        <v>29.248831711780642</v>
      </c>
      <c r="F130" s="7">
        <v>0.15674362089914945</v>
      </c>
      <c r="G130">
        <f t="shared" si="8"/>
        <v>1</v>
      </c>
      <c r="H130" s="7">
        <f t="shared" si="9"/>
        <v>0.84325637910085049</v>
      </c>
      <c r="I130">
        <f t="shared" si="10"/>
        <v>5</v>
      </c>
      <c r="J130">
        <f>VLOOKUP(A130,'Housing Cost Calc'!$A$2:$C$827,3,FALSE)</f>
        <v>1230</v>
      </c>
      <c r="K130">
        <f t="shared" si="11"/>
        <v>0.5046355405045142</v>
      </c>
    </row>
    <row r="131" spans="1:11" ht="60" x14ac:dyDescent="0.25">
      <c r="A131" s="4" t="s">
        <v>3307</v>
      </c>
      <c r="B131">
        <v>46176</v>
      </c>
      <c r="C131">
        <v>2.4900000000000002</v>
      </c>
      <c r="D131">
        <f t="shared" si="12"/>
        <v>29262.850992218293</v>
      </c>
      <c r="E131">
        <f t="shared" si="13"/>
        <v>29.262850992218294</v>
      </c>
      <c r="F131" s="7">
        <v>0.15795868772782504</v>
      </c>
      <c r="G131">
        <f t="shared" ref="G131:G194" si="14">IF(F131&lt;0.2,1,IF(F131&lt;0.4,2,IF(F131&lt;0.6,3,IF(F131&lt;0.8,4,5))))</f>
        <v>1</v>
      </c>
      <c r="H131" s="7">
        <f t="shared" ref="H131:H194" si="15">1-F131</f>
        <v>0.84204131227217494</v>
      </c>
      <c r="I131">
        <f t="shared" ref="I131:I194" si="16">6-G131</f>
        <v>5</v>
      </c>
      <c r="J131">
        <f>VLOOKUP(A131,'Housing Cost Calc'!$A$2:$C$827,3,FALSE)</f>
        <v>1108</v>
      </c>
      <c r="K131">
        <f t="shared" ref="K131:K194" si="17">(J131*12)/D131</f>
        <v>0.45436447745763842</v>
      </c>
    </row>
    <row r="132" spans="1:11" ht="60" x14ac:dyDescent="0.25">
      <c r="A132" s="4" t="s">
        <v>3257</v>
      </c>
      <c r="B132">
        <v>42021</v>
      </c>
      <c r="C132">
        <v>2.06</v>
      </c>
      <c r="D132">
        <f t="shared" si="12"/>
        <v>29277.417993548064</v>
      </c>
      <c r="E132">
        <f t="shared" si="13"/>
        <v>29.277417993548063</v>
      </c>
      <c r="F132" s="7">
        <v>0.1591737545565006</v>
      </c>
      <c r="G132">
        <f t="shared" si="14"/>
        <v>1</v>
      </c>
      <c r="H132" s="7">
        <f t="shared" si="15"/>
        <v>0.84082624544349938</v>
      </c>
      <c r="I132">
        <f t="shared" si="16"/>
        <v>5</v>
      </c>
      <c r="J132">
        <f>VLOOKUP(A132,'Housing Cost Calc'!$A$2:$C$827,3,FALSE)</f>
        <v>1142</v>
      </c>
      <c r="K132">
        <f t="shared" si="17"/>
        <v>0.46807406319163747</v>
      </c>
    </row>
    <row r="133" spans="1:11" ht="60" x14ac:dyDescent="0.25">
      <c r="A133" s="4" t="s">
        <v>3313</v>
      </c>
      <c r="B133">
        <v>46326</v>
      </c>
      <c r="C133">
        <v>2.5</v>
      </c>
      <c r="D133">
        <f t="shared" si="12"/>
        <v>29299.134976992067</v>
      </c>
      <c r="E133">
        <f t="shared" si="13"/>
        <v>29.299134976992068</v>
      </c>
      <c r="F133" s="7">
        <v>0.16038882138517618</v>
      </c>
      <c r="G133">
        <f t="shared" si="14"/>
        <v>1</v>
      </c>
      <c r="H133" s="7">
        <f t="shared" si="15"/>
        <v>0.83961117861482382</v>
      </c>
      <c r="I133">
        <f t="shared" si="16"/>
        <v>5</v>
      </c>
      <c r="J133">
        <f>VLOOKUP(A133,'Housing Cost Calc'!$A$2:$C$827,3,FALSE)</f>
        <v>1172</v>
      </c>
      <c r="K133">
        <f t="shared" si="17"/>
        <v>0.48001417144376901</v>
      </c>
    </row>
    <row r="134" spans="1:11" ht="60" x14ac:dyDescent="0.25">
      <c r="A134" s="4" t="s">
        <v>3349</v>
      </c>
      <c r="B134">
        <v>49125</v>
      </c>
      <c r="C134">
        <v>2.8</v>
      </c>
      <c r="D134">
        <f t="shared" si="12"/>
        <v>29357.802716776045</v>
      </c>
      <c r="E134">
        <f t="shared" si="13"/>
        <v>29.357802716776046</v>
      </c>
      <c r="F134" s="7">
        <v>0.16160388821385177</v>
      </c>
      <c r="G134">
        <f t="shared" si="14"/>
        <v>1</v>
      </c>
      <c r="H134" s="7">
        <f t="shared" si="15"/>
        <v>0.83839611178614826</v>
      </c>
      <c r="I134">
        <f t="shared" si="16"/>
        <v>5</v>
      </c>
      <c r="J134">
        <f>VLOOKUP(A134,'Housing Cost Calc'!$A$2:$C$827,3,FALSE)</f>
        <v>1072</v>
      </c>
      <c r="K134">
        <f t="shared" si="17"/>
        <v>0.43817993206450268</v>
      </c>
    </row>
    <row r="135" spans="1:11" ht="60" x14ac:dyDescent="0.25">
      <c r="A135" s="4" t="s">
        <v>3283</v>
      </c>
      <c r="B135">
        <v>44015</v>
      </c>
      <c r="C135">
        <v>2.23</v>
      </c>
      <c r="D135">
        <f t="shared" si="12"/>
        <v>29474.624070979437</v>
      </c>
      <c r="E135">
        <f t="shared" si="13"/>
        <v>29.474624070979438</v>
      </c>
      <c r="F135" s="7">
        <v>0.16281895504252733</v>
      </c>
      <c r="G135">
        <f t="shared" si="14"/>
        <v>1</v>
      </c>
      <c r="H135" s="7">
        <f t="shared" si="15"/>
        <v>0.8371810449574727</v>
      </c>
      <c r="I135">
        <f t="shared" si="16"/>
        <v>5</v>
      </c>
      <c r="J135">
        <f>VLOOKUP(A135,'Housing Cost Calc'!$A$2:$C$827,3,FALSE)</f>
        <v>1189</v>
      </c>
      <c r="K135">
        <f t="shared" si="17"/>
        <v>0.48407742082275446</v>
      </c>
    </row>
    <row r="136" spans="1:11" ht="60" x14ac:dyDescent="0.25">
      <c r="A136" s="4" t="s">
        <v>3335</v>
      </c>
      <c r="B136">
        <v>48477</v>
      </c>
      <c r="C136">
        <v>2.69</v>
      </c>
      <c r="D136">
        <f t="shared" si="12"/>
        <v>29556.948553710539</v>
      </c>
      <c r="E136">
        <f t="shared" si="13"/>
        <v>29.556948553710541</v>
      </c>
      <c r="F136" s="7">
        <v>0.16403402187120292</v>
      </c>
      <c r="G136">
        <f t="shared" si="14"/>
        <v>1</v>
      </c>
      <c r="H136" s="7">
        <f t="shared" si="15"/>
        <v>0.83596597812879714</v>
      </c>
      <c r="I136">
        <f t="shared" si="16"/>
        <v>5</v>
      </c>
      <c r="J136">
        <f>VLOOKUP(A136,'Housing Cost Calc'!$A$2:$C$827,3,FALSE)</f>
        <v>1350</v>
      </c>
      <c r="K136">
        <f t="shared" si="17"/>
        <v>0.5480944682283948</v>
      </c>
    </row>
    <row r="137" spans="1:11" ht="60" x14ac:dyDescent="0.25">
      <c r="A137" s="4" t="s">
        <v>3327</v>
      </c>
      <c r="B137">
        <v>47183</v>
      </c>
      <c r="C137">
        <v>2.52</v>
      </c>
      <c r="D137">
        <f t="shared" si="12"/>
        <v>29722.49621665728</v>
      </c>
      <c r="E137">
        <f t="shared" si="13"/>
        <v>29.72249621665728</v>
      </c>
      <c r="F137" s="7">
        <v>0.1652490886998785</v>
      </c>
      <c r="G137">
        <f t="shared" si="14"/>
        <v>1</v>
      </c>
      <c r="H137" s="7">
        <f t="shared" si="15"/>
        <v>0.83475091130012147</v>
      </c>
      <c r="I137">
        <f t="shared" si="16"/>
        <v>5</v>
      </c>
      <c r="J137">
        <f>VLOOKUP(A137,'Housing Cost Calc'!$A$2:$C$827,3,FALSE)</f>
        <v>1210</v>
      </c>
      <c r="K137">
        <f t="shared" si="17"/>
        <v>0.48851886107273196</v>
      </c>
    </row>
    <row r="138" spans="1:11" ht="60" x14ac:dyDescent="0.25">
      <c r="A138" s="4" t="s">
        <v>3295</v>
      </c>
      <c r="B138">
        <v>45278</v>
      </c>
      <c r="C138">
        <v>2.2999999999999998</v>
      </c>
      <c r="D138">
        <f t="shared" si="12"/>
        <v>29855.429074414445</v>
      </c>
      <c r="E138">
        <f t="shared" si="13"/>
        <v>29.855429074414445</v>
      </c>
      <c r="F138" s="7">
        <v>0.16646415552855406</v>
      </c>
      <c r="G138">
        <f t="shared" si="14"/>
        <v>1</v>
      </c>
      <c r="H138" s="7">
        <f t="shared" si="15"/>
        <v>0.83353584447144591</v>
      </c>
      <c r="I138">
        <f t="shared" si="16"/>
        <v>5</v>
      </c>
      <c r="J138">
        <f>VLOOKUP(A138,'Housing Cost Calc'!$A$2:$C$827,3,FALSE)</f>
        <v>1049</v>
      </c>
      <c r="K138">
        <f t="shared" si="17"/>
        <v>0.42163185692707678</v>
      </c>
    </row>
    <row r="139" spans="1:11" ht="60" x14ac:dyDescent="0.25">
      <c r="A139" s="4" t="s">
        <v>3275</v>
      </c>
      <c r="B139">
        <v>43393</v>
      </c>
      <c r="C139">
        <v>2.1</v>
      </c>
      <c r="D139">
        <f t="shared" si="12"/>
        <v>29944.014816542774</v>
      </c>
      <c r="E139">
        <f t="shared" si="13"/>
        <v>29.944014816542776</v>
      </c>
      <c r="F139" s="7">
        <v>0.16767922235722965</v>
      </c>
      <c r="G139">
        <f t="shared" si="14"/>
        <v>1</v>
      </c>
      <c r="H139" s="7">
        <f t="shared" si="15"/>
        <v>0.83232077764277035</v>
      </c>
      <c r="I139">
        <f t="shared" si="16"/>
        <v>5</v>
      </c>
      <c r="J139">
        <f>VLOOKUP(A139,'Housing Cost Calc'!$A$2:$C$827,3,FALSE)</f>
        <v>1098</v>
      </c>
      <c r="K139">
        <f t="shared" si="17"/>
        <v>0.44002115550386478</v>
      </c>
    </row>
    <row r="140" spans="1:11" ht="60" x14ac:dyDescent="0.25">
      <c r="A140" s="4" t="s">
        <v>3378</v>
      </c>
      <c r="B140">
        <v>50915</v>
      </c>
      <c r="C140">
        <v>2.88</v>
      </c>
      <c r="D140">
        <f t="shared" si="12"/>
        <v>30001.951470094224</v>
      </c>
      <c r="E140">
        <f t="shared" si="13"/>
        <v>30.001951470094223</v>
      </c>
      <c r="F140" s="7">
        <v>0.16889428918590524</v>
      </c>
      <c r="G140">
        <f t="shared" si="14"/>
        <v>1</v>
      </c>
      <c r="H140" s="7">
        <f t="shared" si="15"/>
        <v>0.83110571081409479</v>
      </c>
      <c r="I140">
        <f t="shared" si="16"/>
        <v>5</v>
      </c>
      <c r="J140">
        <f>VLOOKUP(A140,'Housing Cost Calc'!$A$2:$C$827,3,FALSE)</f>
        <v>1269</v>
      </c>
      <c r="K140">
        <f t="shared" si="17"/>
        <v>0.50756698327371086</v>
      </c>
    </row>
    <row r="141" spans="1:11" ht="60" x14ac:dyDescent="0.25">
      <c r="A141" s="4" t="s">
        <v>3323</v>
      </c>
      <c r="B141">
        <v>46801</v>
      </c>
      <c r="C141">
        <v>2.4300000000000002</v>
      </c>
      <c r="D141">
        <f t="shared" si="12"/>
        <v>30022.855498159639</v>
      </c>
      <c r="E141">
        <f t="shared" si="13"/>
        <v>30.02285549815964</v>
      </c>
      <c r="F141" s="7">
        <v>0.1701093560145808</v>
      </c>
      <c r="G141">
        <f t="shared" si="14"/>
        <v>1</v>
      </c>
      <c r="H141" s="7">
        <f t="shared" si="15"/>
        <v>0.82989064398541923</v>
      </c>
      <c r="I141">
        <f t="shared" si="16"/>
        <v>5</v>
      </c>
      <c r="J141">
        <f>VLOOKUP(A141,'Housing Cost Calc'!$A$2:$C$827,3,FALSE)</f>
        <v>1073</v>
      </c>
      <c r="K141">
        <f t="shared" si="17"/>
        <v>0.42887326293094546</v>
      </c>
    </row>
    <row r="142" spans="1:11" ht="60" x14ac:dyDescent="0.25">
      <c r="A142" s="4" t="s">
        <v>3251</v>
      </c>
      <c r="B142">
        <v>41477</v>
      </c>
      <c r="C142">
        <v>1.9</v>
      </c>
      <c r="D142">
        <f t="shared" si="12"/>
        <v>30090.578425812957</v>
      </c>
      <c r="E142">
        <f t="shared" si="13"/>
        <v>30.090578425812957</v>
      </c>
      <c r="F142" s="7">
        <v>0.17132442284325639</v>
      </c>
      <c r="G142">
        <f t="shared" si="14"/>
        <v>1</v>
      </c>
      <c r="H142" s="7">
        <f t="shared" si="15"/>
        <v>0.82867557715674356</v>
      </c>
      <c r="I142">
        <f t="shared" si="16"/>
        <v>5</v>
      </c>
      <c r="J142">
        <f>VLOOKUP(A142,'Housing Cost Calc'!$A$2:$C$827,3,FALSE)</f>
        <v>1263</v>
      </c>
      <c r="K142">
        <f t="shared" si="17"/>
        <v>0.50367925087802734</v>
      </c>
    </row>
    <row r="143" spans="1:11" ht="60" x14ac:dyDescent="0.25">
      <c r="A143" s="4" t="s">
        <v>3279</v>
      </c>
      <c r="B143">
        <v>43716</v>
      </c>
      <c r="C143">
        <v>2.1</v>
      </c>
      <c r="D143">
        <f t="shared" si="12"/>
        <v>30166.905992210355</v>
      </c>
      <c r="E143">
        <f t="shared" si="13"/>
        <v>30.166905992210356</v>
      </c>
      <c r="F143" s="7">
        <v>0.17253948967193194</v>
      </c>
      <c r="G143">
        <f t="shared" si="14"/>
        <v>1</v>
      </c>
      <c r="H143" s="7">
        <f t="shared" si="15"/>
        <v>0.82746051032806811</v>
      </c>
      <c r="I143">
        <f t="shared" si="16"/>
        <v>5</v>
      </c>
      <c r="J143">
        <f>VLOOKUP(A143,'Housing Cost Calc'!$A$2:$C$827,3,FALSE)</f>
        <v>977</v>
      </c>
      <c r="K143">
        <f t="shared" si="17"/>
        <v>0.3886378007418908</v>
      </c>
    </row>
    <row r="144" spans="1:11" ht="60" x14ac:dyDescent="0.25">
      <c r="A144" s="4" t="s">
        <v>3339</v>
      </c>
      <c r="B144">
        <v>48519</v>
      </c>
      <c r="C144">
        <v>2.56</v>
      </c>
      <c r="D144">
        <f t="shared" si="12"/>
        <v>30324.375</v>
      </c>
      <c r="E144">
        <f t="shared" si="13"/>
        <v>30.324375</v>
      </c>
      <c r="F144" s="7">
        <v>0.17375455650060753</v>
      </c>
      <c r="G144">
        <f t="shared" si="14"/>
        <v>1</v>
      </c>
      <c r="H144" s="7">
        <f t="shared" si="15"/>
        <v>0.82624544349939244</v>
      </c>
      <c r="I144">
        <f t="shared" si="16"/>
        <v>5</v>
      </c>
      <c r="J144">
        <f>VLOOKUP(A144,'Housing Cost Calc'!$A$2:$C$827,3,FALSE)</f>
        <v>1124</v>
      </c>
      <c r="K144">
        <f t="shared" si="17"/>
        <v>0.4447907005502999</v>
      </c>
    </row>
    <row r="145" spans="1:11" ht="60" x14ac:dyDescent="0.25">
      <c r="A145" s="4" t="s">
        <v>3353</v>
      </c>
      <c r="B145">
        <v>49309</v>
      </c>
      <c r="C145">
        <v>2.64</v>
      </c>
      <c r="D145">
        <f t="shared" si="12"/>
        <v>30347.591643499589</v>
      </c>
      <c r="E145">
        <f t="shared" si="13"/>
        <v>30.347591643499587</v>
      </c>
      <c r="F145" s="7">
        <v>0.17496962332928312</v>
      </c>
      <c r="G145">
        <f t="shared" si="14"/>
        <v>1</v>
      </c>
      <c r="H145" s="7">
        <f t="shared" si="15"/>
        <v>0.82503037667071688</v>
      </c>
      <c r="I145">
        <f t="shared" si="16"/>
        <v>5</v>
      </c>
      <c r="J145">
        <f>VLOOKUP(A145,'Housing Cost Calc'!$A$2:$C$827,3,FALSE)</f>
        <v>1259</v>
      </c>
      <c r="K145">
        <f t="shared" si="17"/>
        <v>0.49783192608748944</v>
      </c>
    </row>
    <row r="146" spans="1:11" ht="60" x14ac:dyDescent="0.25">
      <c r="A146" s="4" t="s">
        <v>3386</v>
      </c>
      <c r="B146">
        <v>51489</v>
      </c>
      <c r="C146">
        <v>2.87</v>
      </c>
      <c r="D146">
        <f t="shared" si="12"/>
        <v>30392.995714502089</v>
      </c>
      <c r="E146">
        <f t="shared" si="13"/>
        <v>30.392995714502089</v>
      </c>
      <c r="F146" s="7">
        <v>0.17618469015795868</v>
      </c>
      <c r="G146">
        <f t="shared" si="14"/>
        <v>1</v>
      </c>
      <c r="H146" s="7">
        <f t="shared" si="15"/>
        <v>0.82381530984204132</v>
      </c>
      <c r="I146">
        <f t="shared" si="16"/>
        <v>5</v>
      </c>
      <c r="J146">
        <f>VLOOKUP(A146,'Housing Cost Calc'!$A$2:$C$827,3,FALSE)</f>
        <v>1400</v>
      </c>
      <c r="K146">
        <f t="shared" si="17"/>
        <v>0.55275893688833844</v>
      </c>
    </row>
    <row r="147" spans="1:11" ht="60" x14ac:dyDescent="0.25">
      <c r="A147" s="4" t="s">
        <v>3366</v>
      </c>
      <c r="B147">
        <v>50000</v>
      </c>
      <c r="C147">
        <v>2.67</v>
      </c>
      <c r="D147">
        <f t="shared" si="12"/>
        <v>30599.50306810523</v>
      </c>
      <c r="E147">
        <f t="shared" si="13"/>
        <v>30.599503068105232</v>
      </c>
      <c r="F147" s="7">
        <v>0.17739975698663427</v>
      </c>
      <c r="G147">
        <f t="shared" si="14"/>
        <v>1</v>
      </c>
      <c r="H147" s="7">
        <f t="shared" si="15"/>
        <v>0.82260024301336576</v>
      </c>
      <c r="I147">
        <f t="shared" si="16"/>
        <v>5</v>
      </c>
      <c r="J147">
        <f>VLOOKUP(A147,'Housing Cost Calc'!$A$2:$C$827,3,FALSE)</f>
        <v>1359</v>
      </c>
      <c r="K147">
        <f t="shared" si="17"/>
        <v>0.53294983136501695</v>
      </c>
    </row>
    <row r="148" spans="1:11" ht="60" x14ac:dyDescent="0.25">
      <c r="A148" s="4" t="s">
        <v>3303</v>
      </c>
      <c r="B148">
        <v>45903</v>
      </c>
      <c r="C148">
        <v>2.25</v>
      </c>
      <c r="D148">
        <f t="shared" si="12"/>
        <v>30602</v>
      </c>
      <c r="E148">
        <f t="shared" si="13"/>
        <v>30.602</v>
      </c>
      <c r="F148" s="7">
        <v>0.17861482381530985</v>
      </c>
      <c r="G148">
        <f t="shared" si="14"/>
        <v>1</v>
      </c>
      <c r="H148" s="7">
        <f t="shared" si="15"/>
        <v>0.8213851761846902</v>
      </c>
      <c r="I148">
        <f t="shared" si="16"/>
        <v>5</v>
      </c>
      <c r="J148">
        <f>VLOOKUP(A148,'Housing Cost Calc'!$A$2:$C$827,3,FALSE)</f>
        <v>993</v>
      </c>
      <c r="K148">
        <f t="shared" si="17"/>
        <v>0.38938631461995948</v>
      </c>
    </row>
    <row r="149" spans="1:11" ht="60" x14ac:dyDescent="0.25">
      <c r="A149" s="4" t="s">
        <v>3309</v>
      </c>
      <c r="B149">
        <v>46184</v>
      </c>
      <c r="C149">
        <v>2.2599999999999998</v>
      </c>
      <c r="D149">
        <f t="shared" si="12"/>
        <v>30721.139820299755</v>
      </c>
      <c r="E149">
        <f t="shared" si="13"/>
        <v>30.721139820299754</v>
      </c>
      <c r="F149" s="7">
        <v>0.17982989064398541</v>
      </c>
      <c r="G149">
        <f t="shared" si="14"/>
        <v>1</v>
      </c>
      <c r="H149" s="7">
        <f t="shared" si="15"/>
        <v>0.82017010935601453</v>
      </c>
      <c r="I149">
        <f t="shared" si="16"/>
        <v>5</v>
      </c>
      <c r="J149">
        <f>VLOOKUP(A149,'Housing Cost Calc'!$A$2:$C$827,3,FALSE)</f>
        <v>1164</v>
      </c>
      <c r="K149">
        <f t="shared" si="17"/>
        <v>0.4546706301167347</v>
      </c>
    </row>
    <row r="150" spans="1:11" ht="45" x14ac:dyDescent="0.25">
      <c r="A150" s="4" t="s">
        <v>3485</v>
      </c>
      <c r="B150">
        <v>58516</v>
      </c>
      <c r="C150">
        <v>3.62</v>
      </c>
      <c r="D150">
        <f t="shared" si="12"/>
        <v>30755.326790116389</v>
      </c>
      <c r="E150">
        <f t="shared" si="13"/>
        <v>30.755326790116388</v>
      </c>
      <c r="F150" s="7">
        <v>0.181044957472661</v>
      </c>
      <c r="G150">
        <f t="shared" si="14"/>
        <v>1</v>
      </c>
      <c r="H150" s="7">
        <f t="shared" si="15"/>
        <v>0.81895504252733897</v>
      </c>
      <c r="I150">
        <f t="shared" si="16"/>
        <v>5</v>
      </c>
      <c r="J150">
        <f>VLOOKUP(A150,'Housing Cost Calc'!$A$2:$C$827,3,FALSE)</f>
        <v>1264</v>
      </c>
      <c r="K150">
        <f t="shared" si="17"/>
        <v>0.49318285913562226</v>
      </c>
    </row>
    <row r="151" spans="1:11" ht="45" x14ac:dyDescent="0.25">
      <c r="A151" s="4" t="s">
        <v>3402</v>
      </c>
      <c r="B151">
        <v>52917</v>
      </c>
      <c r="C151">
        <v>2.95</v>
      </c>
      <c r="D151">
        <f t="shared" si="12"/>
        <v>30809.468547889461</v>
      </c>
      <c r="E151">
        <f t="shared" si="13"/>
        <v>30.809468547889459</v>
      </c>
      <c r="F151" s="7">
        <v>0.18226002430133659</v>
      </c>
      <c r="G151">
        <f t="shared" si="14"/>
        <v>1</v>
      </c>
      <c r="H151" s="7">
        <f t="shared" si="15"/>
        <v>0.81773997569866341</v>
      </c>
      <c r="I151">
        <f t="shared" si="16"/>
        <v>5</v>
      </c>
      <c r="J151">
        <f>VLOOKUP(A151,'Housing Cost Calc'!$A$2:$C$827,3,FALSE)</f>
        <v>1497</v>
      </c>
      <c r="K151">
        <f t="shared" si="17"/>
        <v>0.58306750640885652</v>
      </c>
    </row>
    <row r="152" spans="1:11" ht="75" x14ac:dyDescent="0.25">
      <c r="A152" s="4" t="s">
        <v>3345</v>
      </c>
      <c r="B152">
        <v>48981</v>
      </c>
      <c r="C152">
        <v>2.52</v>
      </c>
      <c r="D152">
        <f t="shared" si="12"/>
        <v>30855.129754108264</v>
      </c>
      <c r="E152">
        <f t="shared" si="13"/>
        <v>30.855129754108265</v>
      </c>
      <c r="F152" s="7">
        <v>0.18347509113001215</v>
      </c>
      <c r="G152">
        <f t="shared" si="14"/>
        <v>1</v>
      </c>
      <c r="H152" s="7">
        <f t="shared" si="15"/>
        <v>0.81652490886998785</v>
      </c>
      <c r="I152">
        <f t="shared" si="16"/>
        <v>5</v>
      </c>
      <c r="J152">
        <f>VLOOKUP(A152,'Housing Cost Calc'!$A$2:$C$827,3,FALSE)</f>
        <v>1052</v>
      </c>
      <c r="K152">
        <f t="shared" si="17"/>
        <v>0.40913780303643527</v>
      </c>
    </row>
    <row r="153" spans="1:11" ht="45" x14ac:dyDescent="0.25">
      <c r="A153" s="4" t="s">
        <v>3390</v>
      </c>
      <c r="B153">
        <v>52352</v>
      </c>
      <c r="C153">
        <v>2.87</v>
      </c>
      <c r="D153">
        <f t="shared" si="12"/>
        <v>30902.408507557211</v>
      </c>
      <c r="E153">
        <f t="shared" si="13"/>
        <v>30.902408507557212</v>
      </c>
      <c r="F153" s="7">
        <v>0.18469015795868773</v>
      </c>
      <c r="G153">
        <f t="shared" si="14"/>
        <v>1</v>
      </c>
      <c r="H153" s="7">
        <f t="shared" si="15"/>
        <v>0.81530984204131229</v>
      </c>
      <c r="I153">
        <f t="shared" si="16"/>
        <v>5</v>
      </c>
      <c r="J153">
        <f>VLOOKUP(A153,'Housing Cost Calc'!$A$2:$C$827,3,FALSE)</f>
        <v>1418</v>
      </c>
      <c r="K153">
        <f t="shared" si="17"/>
        <v>0.55063669214775679</v>
      </c>
    </row>
    <row r="154" spans="1:11" ht="60" x14ac:dyDescent="0.25">
      <c r="A154" s="4" t="s">
        <v>3368</v>
      </c>
      <c r="B154">
        <v>50000</v>
      </c>
      <c r="C154">
        <v>2.61</v>
      </c>
      <c r="D154">
        <f t="shared" si="12"/>
        <v>30949.223029508645</v>
      </c>
      <c r="E154">
        <f t="shared" si="13"/>
        <v>30.949223029508644</v>
      </c>
      <c r="F154" s="7">
        <v>0.18590522478736329</v>
      </c>
      <c r="G154">
        <f t="shared" si="14"/>
        <v>1</v>
      </c>
      <c r="H154" s="7">
        <f t="shared" si="15"/>
        <v>0.81409477521263673</v>
      </c>
      <c r="I154">
        <f t="shared" si="16"/>
        <v>5</v>
      </c>
      <c r="J154">
        <f>VLOOKUP(A154,'Housing Cost Calc'!$A$2:$C$827,3,FALSE)</f>
        <v>1248</v>
      </c>
      <c r="K154">
        <f t="shared" si="17"/>
        <v>0.48388936890987799</v>
      </c>
    </row>
    <row r="155" spans="1:11" ht="60" x14ac:dyDescent="0.25">
      <c r="A155" s="4" t="s">
        <v>3347</v>
      </c>
      <c r="B155">
        <v>49074</v>
      </c>
      <c r="C155">
        <v>2.5099999999999998</v>
      </c>
      <c r="D155">
        <f t="shared" si="12"/>
        <v>30975.234137621595</v>
      </c>
      <c r="E155">
        <f t="shared" si="13"/>
        <v>30.975234137621594</v>
      </c>
      <c r="F155" s="7">
        <v>0.18712029161603888</v>
      </c>
      <c r="G155">
        <f t="shared" si="14"/>
        <v>1</v>
      </c>
      <c r="H155" s="7">
        <f t="shared" si="15"/>
        <v>0.81287970838396117</v>
      </c>
      <c r="I155">
        <f t="shared" si="16"/>
        <v>5</v>
      </c>
      <c r="J155">
        <f>VLOOKUP(A155,'Housing Cost Calc'!$A$2:$C$827,3,FALSE)</f>
        <v>1170</v>
      </c>
      <c r="K155">
        <f t="shared" si="17"/>
        <v>0.45326533893564452</v>
      </c>
    </row>
    <row r="156" spans="1:11" ht="60" x14ac:dyDescent="0.25">
      <c r="A156" s="4" t="s">
        <v>3380</v>
      </c>
      <c r="B156">
        <v>51094</v>
      </c>
      <c r="C156">
        <v>2.72</v>
      </c>
      <c r="D156">
        <f t="shared" si="12"/>
        <v>30980.288064015993</v>
      </c>
      <c r="E156">
        <f t="shared" si="13"/>
        <v>30.980288064015994</v>
      </c>
      <c r="F156" s="7">
        <v>0.18833535844471447</v>
      </c>
      <c r="G156">
        <f t="shared" si="14"/>
        <v>1</v>
      </c>
      <c r="H156" s="7">
        <f t="shared" si="15"/>
        <v>0.8116646415552855</v>
      </c>
      <c r="I156">
        <f t="shared" si="16"/>
        <v>5</v>
      </c>
      <c r="J156">
        <f>VLOOKUP(A156,'Housing Cost Calc'!$A$2:$C$827,3,FALSE)</f>
        <v>1131</v>
      </c>
      <c r="K156">
        <f t="shared" si="17"/>
        <v>0.43808501625148072</v>
      </c>
    </row>
    <row r="157" spans="1:11" ht="45" x14ac:dyDescent="0.25">
      <c r="A157" s="4" t="s">
        <v>3400</v>
      </c>
      <c r="B157">
        <v>52909</v>
      </c>
      <c r="C157">
        <v>2.89</v>
      </c>
      <c r="D157">
        <f t="shared" si="12"/>
        <v>31122.941176470587</v>
      </c>
      <c r="E157">
        <f t="shared" si="13"/>
        <v>31.122941176470587</v>
      </c>
      <c r="F157" s="7">
        <v>0.18955042527339003</v>
      </c>
      <c r="G157">
        <f t="shared" si="14"/>
        <v>1</v>
      </c>
      <c r="H157" s="7">
        <f t="shared" si="15"/>
        <v>0.81044957472660994</v>
      </c>
      <c r="I157">
        <f t="shared" si="16"/>
        <v>5</v>
      </c>
      <c r="J157">
        <f>VLOOKUP(A157,'Housing Cost Calc'!$A$2:$C$827,3,FALSE)</f>
        <v>1386</v>
      </c>
      <c r="K157">
        <f t="shared" si="17"/>
        <v>0.53439679449621047</v>
      </c>
    </row>
    <row r="158" spans="1:11" ht="60" x14ac:dyDescent="0.25">
      <c r="A158" s="4" t="s">
        <v>3315</v>
      </c>
      <c r="B158">
        <v>46429</v>
      </c>
      <c r="C158">
        <v>2.2200000000000002</v>
      </c>
      <c r="D158">
        <f t="shared" si="12"/>
        <v>31161.104487531935</v>
      </c>
      <c r="E158">
        <f t="shared" si="13"/>
        <v>31.161104487531937</v>
      </c>
      <c r="F158" s="7">
        <v>0.19076549210206561</v>
      </c>
      <c r="G158">
        <f t="shared" si="14"/>
        <v>1</v>
      </c>
      <c r="H158" s="7">
        <f t="shared" si="15"/>
        <v>0.80923450789793439</v>
      </c>
      <c r="I158">
        <f t="shared" si="16"/>
        <v>5</v>
      </c>
      <c r="J158">
        <f>VLOOKUP(A158,'Housing Cost Calc'!$A$2:$C$827,3,FALSE)</f>
        <v>1233</v>
      </c>
      <c r="K158">
        <f t="shared" si="17"/>
        <v>0.47482270745313665</v>
      </c>
    </row>
    <row r="159" spans="1:11" ht="60" x14ac:dyDescent="0.25">
      <c r="A159" s="4" t="s">
        <v>3325</v>
      </c>
      <c r="B159">
        <v>47036</v>
      </c>
      <c r="C159">
        <v>2.2599999999999998</v>
      </c>
      <c r="D159">
        <f t="shared" si="12"/>
        <v>31287.88178996231</v>
      </c>
      <c r="E159">
        <f t="shared" si="13"/>
        <v>31.287881789962309</v>
      </c>
      <c r="F159" s="7">
        <v>0.1919805589307412</v>
      </c>
      <c r="G159">
        <f t="shared" si="14"/>
        <v>1</v>
      </c>
      <c r="H159" s="7">
        <f t="shared" si="15"/>
        <v>0.80801944106925883</v>
      </c>
      <c r="I159">
        <f t="shared" si="16"/>
        <v>5</v>
      </c>
      <c r="J159">
        <f>VLOOKUP(A159,'Housing Cost Calc'!$A$2:$C$827,3,FALSE)</f>
        <v>1102</v>
      </c>
      <c r="K159">
        <f t="shared" si="17"/>
        <v>0.42265564951867357</v>
      </c>
    </row>
    <row r="160" spans="1:11" ht="45" x14ac:dyDescent="0.25">
      <c r="A160" s="4" t="s">
        <v>3357</v>
      </c>
      <c r="B160">
        <v>49402</v>
      </c>
      <c r="C160">
        <v>2.4900000000000002</v>
      </c>
      <c r="D160">
        <f t="shared" si="12"/>
        <v>31307.245424410259</v>
      </c>
      <c r="E160">
        <f t="shared" si="13"/>
        <v>31.307245424410258</v>
      </c>
      <c r="F160" s="7">
        <v>0.19319562575941676</v>
      </c>
      <c r="G160">
        <f t="shared" si="14"/>
        <v>1</v>
      </c>
      <c r="H160" s="7">
        <f t="shared" si="15"/>
        <v>0.80680437424058327</v>
      </c>
      <c r="I160">
        <f t="shared" si="16"/>
        <v>5</v>
      </c>
      <c r="J160">
        <f>VLOOKUP(A160,'Housing Cost Calc'!$A$2:$C$827,3,FALSE)</f>
        <v>1641</v>
      </c>
      <c r="K160">
        <f t="shared" si="17"/>
        <v>0.62899177915685123</v>
      </c>
    </row>
    <row r="161" spans="1:11" ht="60" x14ac:dyDescent="0.25">
      <c r="A161" s="4" t="s">
        <v>3418</v>
      </c>
      <c r="B161">
        <v>53607</v>
      </c>
      <c r="C161">
        <v>2.93</v>
      </c>
      <c r="D161">
        <f t="shared" si="12"/>
        <v>31317.543791727308</v>
      </c>
      <c r="E161">
        <f t="shared" si="13"/>
        <v>31.31754379172731</v>
      </c>
      <c r="F161" s="7">
        <v>0.19441069258809235</v>
      </c>
      <c r="G161">
        <f t="shared" si="14"/>
        <v>1</v>
      </c>
      <c r="H161" s="7">
        <f t="shared" si="15"/>
        <v>0.8055893074119076</v>
      </c>
      <c r="I161">
        <f t="shared" si="16"/>
        <v>5</v>
      </c>
      <c r="J161">
        <f>VLOOKUP(A161,'Housing Cost Calc'!$A$2:$C$827,3,FALSE)</f>
        <v>1342</v>
      </c>
      <c r="K161">
        <f t="shared" si="17"/>
        <v>0.51421657161549028</v>
      </c>
    </row>
    <row r="162" spans="1:11" ht="60" x14ac:dyDescent="0.25">
      <c r="A162" s="4" t="s">
        <v>3343</v>
      </c>
      <c r="B162">
        <v>48824</v>
      </c>
      <c r="C162">
        <v>2.42</v>
      </c>
      <c r="D162">
        <f t="shared" si="12"/>
        <v>31385.255895138176</v>
      </c>
      <c r="E162">
        <f t="shared" si="13"/>
        <v>31.385255895138176</v>
      </c>
      <c r="F162" s="7">
        <v>0.19562575941676794</v>
      </c>
      <c r="G162">
        <f t="shared" si="14"/>
        <v>1</v>
      </c>
      <c r="H162" s="7">
        <f t="shared" si="15"/>
        <v>0.80437424058323204</v>
      </c>
      <c r="I162">
        <f t="shared" si="16"/>
        <v>5</v>
      </c>
      <c r="J162">
        <f>VLOOKUP(A162,'Housing Cost Calc'!$A$2:$C$827,3,FALSE)</f>
        <v>1157</v>
      </c>
      <c r="K162">
        <f t="shared" si="17"/>
        <v>0.44237332479900987</v>
      </c>
    </row>
    <row r="163" spans="1:11" ht="60" x14ac:dyDescent="0.25">
      <c r="A163" s="4" t="s">
        <v>3281</v>
      </c>
      <c r="B163">
        <v>43750</v>
      </c>
      <c r="C163">
        <v>1.9</v>
      </c>
      <c r="D163">
        <f t="shared" si="12"/>
        <v>31739.585942313013</v>
      </c>
      <c r="E163">
        <f t="shared" si="13"/>
        <v>31.739585942313013</v>
      </c>
      <c r="F163" s="7">
        <v>0.1968408262454435</v>
      </c>
      <c r="G163">
        <f t="shared" si="14"/>
        <v>1</v>
      </c>
      <c r="H163" s="7">
        <f t="shared" si="15"/>
        <v>0.80315917375455648</v>
      </c>
      <c r="I163">
        <f t="shared" si="16"/>
        <v>5</v>
      </c>
      <c r="J163">
        <f>VLOOKUP(A163,'Housing Cost Calc'!$A$2:$C$827,3,FALSE)</f>
        <v>958</v>
      </c>
      <c r="K163">
        <f t="shared" si="17"/>
        <v>0.36219754160920953</v>
      </c>
    </row>
    <row r="164" spans="1:11" ht="60" x14ac:dyDescent="0.25">
      <c r="A164" s="4" t="s">
        <v>3360</v>
      </c>
      <c r="B164">
        <v>49583</v>
      </c>
      <c r="C164">
        <v>2.44</v>
      </c>
      <c r="D164">
        <f t="shared" si="12"/>
        <v>31742.263088563905</v>
      </c>
      <c r="E164">
        <f t="shared" si="13"/>
        <v>31.742263088563906</v>
      </c>
      <c r="F164" s="7">
        <v>0.19805589307411908</v>
      </c>
      <c r="G164">
        <f t="shared" si="14"/>
        <v>1</v>
      </c>
      <c r="H164" s="7">
        <f t="shared" si="15"/>
        <v>0.80194410692588092</v>
      </c>
      <c r="I164">
        <f t="shared" si="16"/>
        <v>5</v>
      </c>
      <c r="J164">
        <f>VLOOKUP(A164,'Housing Cost Calc'!$A$2:$C$827,3,FALSE)</f>
        <v>1087</v>
      </c>
      <c r="K164">
        <f t="shared" si="17"/>
        <v>0.41093478318184218</v>
      </c>
    </row>
    <row r="165" spans="1:11" ht="60" x14ac:dyDescent="0.25">
      <c r="A165" s="4" t="s">
        <v>3434</v>
      </c>
      <c r="B165">
        <v>54280</v>
      </c>
      <c r="C165">
        <v>2.9</v>
      </c>
      <c r="D165">
        <f t="shared" si="12"/>
        <v>31874.313515258109</v>
      </c>
      <c r="E165">
        <f t="shared" si="13"/>
        <v>31.874313515258109</v>
      </c>
      <c r="F165" s="7">
        <v>0.19927095990279464</v>
      </c>
      <c r="G165">
        <f t="shared" si="14"/>
        <v>1</v>
      </c>
      <c r="H165" s="7">
        <f t="shared" si="15"/>
        <v>0.80072904009720536</v>
      </c>
      <c r="I165">
        <f t="shared" si="16"/>
        <v>5</v>
      </c>
      <c r="J165">
        <f>VLOOKUP(A165,'Housing Cost Calc'!$A$2:$C$827,3,FALSE)</f>
        <v>1185</v>
      </c>
      <c r="K165">
        <f t="shared" si="17"/>
        <v>0.44612725520168273</v>
      </c>
    </row>
    <row r="166" spans="1:11" ht="60" x14ac:dyDescent="0.25">
      <c r="A166" s="4" t="s">
        <v>3398</v>
      </c>
      <c r="B166">
        <v>52860</v>
      </c>
      <c r="C166">
        <v>2.74</v>
      </c>
      <c r="D166">
        <f t="shared" si="12"/>
        <v>31933.893853433154</v>
      </c>
      <c r="E166">
        <f t="shared" si="13"/>
        <v>31.933893853433155</v>
      </c>
      <c r="F166" s="7">
        <v>0.20048602673147023</v>
      </c>
      <c r="G166">
        <f t="shared" si="14"/>
        <v>2</v>
      </c>
      <c r="H166" s="7">
        <f t="shared" si="15"/>
        <v>0.7995139732685298</v>
      </c>
      <c r="I166">
        <f t="shared" si="16"/>
        <v>4</v>
      </c>
      <c r="J166">
        <f>VLOOKUP(A166,'Housing Cost Calc'!$A$2:$C$827,3,FALSE)</f>
        <v>1123</v>
      </c>
      <c r="K166">
        <f t="shared" si="17"/>
        <v>0.42199676813140091</v>
      </c>
    </row>
    <row r="167" spans="1:11" ht="60" x14ac:dyDescent="0.25">
      <c r="A167" s="4" t="s">
        <v>3351</v>
      </c>
      <c r="B167">
        <v>49183</v>
      </c>
      <c r="C167">
        <v>2.37</v>
      </c>
      <c r="D167">
        <f t="shared" si="12"/>
        <v>31947.791594470389</v>
      </c>
      <c r="E167">
        <f t="shared" si="13"/>
        <v>31.947791594470388</v>
      </c>
      <c r="F167" s="7">
        <v>0.20170109356014582</v>
      </c>
      <c r="G167">
        <f t="shared" si="14"/>
        <v>2</v>
      </c>
      <c r="H167" s="7">
        <f t="shared" si="15"/>
        <v>0.79829890643985424</v>
      </c>
      <c r="I167">
        <f t="shared" si="16"/>
        <v>4</v>
      </c>
      <c r="J167">
        <f>VLOOKUP(A167,'Housing Cost Calc'!$A$2:$C$827,3,FALSE)</f>
        <v>1165</v>
      </c>
      <c r="K167">
        <f t="shared" si="17"/>
        <v>0.43758893188785219</v>
      </c>
    </row>
    <row r="168" spans="1:11" ht="45" x14ac:dyDescent="0.25">
      <c r="A168" s="4" t="s">
        <v>3388</v>
      </c>
      <c r="B168">
        <v>51875</v>
      </c>
      <c r="C168">
        <v>2.57</v>
      </c>
      <c r="D168">
        <f t="shared" si="12"/>
        <v>32358.735942999905</v>
      </c>
      <c r="E168">
        <f t="shared" si="13"/>
        <v>32.358735942999907</v>
      </c>
      <c r="F168" s="7">
        <v>0.20291616038882138</v>
      </c>
      <c r="G168">
        <f t="shared" si="14"/>
        <v>2</v>
      </c>
      <c r="H168" s="7">
        <f t="shared" si="15"/>
        <v>0.79708383961117857</v>
      </c>
      <c r="I168">
        <f t="shared" si="16"/>
        <v>4</v>
      </c>
      <c r="J168">
        <f>VLOOKUP(A168,'Housing Cost Calc'!$A$2:$C$827,3,FALSE)</f>
        <v>1494</v>
      </c>
      <c r="K168">
        <f t="shared" si="17"/>
        <v>0.5540389473674211</v>
      </c>
    </row>
    <row r="169" spans="1:11" ht="60" x14ac:dyDescent="0.25">
      <c r="A169" s="4" t="s">
        <v>3376</v>
      </c>
      <c r="B169">
        <v>50799</v>
      </c>
      <c r="C169">
        <v>2.46</v>
      </c>
      <c r="D169">
        <f t="shared" si="12"/>
        <v>32388.259446904522</v>
      </c>
      <c r="E169">
        <f t="shared" si="13"/>
        <v>32.38825944690452</v>
      </c>
      <c r="F169" s="7">
        <v>0.20413122721749696</v>
      </c>
      <c r="G169">
        <f t="shared" si="14"/>
        <v>2</v>
      </c>
      <c r="H169" s="7">
        <f t="shared" si="15"/>
        <v>0.79586877278250301</v>
      </c>
      <c r="I169">
        <f t="shared" si="16"/>
        <v>4</v>
      </c>
      <c r="J169">
        <f>VLOOKUP(A169,'Housing Cost Calc'!$A$2:$C$827,3,FALSE)</f>
        <v>1107</v>
      </c>
      <c r="K169">
        <f t="shared" si="17"/>
        <v>0.41014862258273055</v>
      </c>
    </row>
    <row r="170" spans="1:11" ht="45" x14ac:dyDescent="0.25">
      <c r="A170" s="4" t="s">
        <v>3152</v>
      </c>
      <c r="B170">
        <v>49446</v>
      </c>
      <c r="C170">
        <v>2.31</v>
      </c>
      <c r="D170">
        <f t="shared" si="12"/>
        <v>32533.07950898074</v>
      </c>
      <c r="E170">
        <f t="shared" si="13"/>
        <v>32.533079508980741</v>
      </c>
      <c r="F170" s="7">
        <v>0.20534629404617255</v>
      </c>
      <c r="G170">
        <f t="shared" si="14"/>
        <v>2</v>
      </c>
      <c r="H170" s="7">
        <f t="shared" si="15"/>
        <v>0.79465370595382745</v>
      </c>
      <c r="I170">
        <f t="shared" si="16"/>
        <v>4</v>
      </c>
      <c r="J170">
        <f>VLOOKUP(A170,'Housing Cost Calc'!$A$2:$C$827,3,FALSE)</f>
        <v>730</v>
      </c>
      <c r="K170">
        <f t="shared" si="17"/>
        <v>0.26926439587687379</v>
      </c>
    </row>
    <row r="171" spans="1:11" ht="60" x14ac:dyDescent="0.25">
      <c r="A171" s="4" t="s">
        <v>3450</v>
      </c>
      <c r="B171">
        <v>56292</v>
      </c>
      <c r="C171">
        <v>2.99</v>
      </c>
      <c r="D171">
        <f t="shared" si="12"/>
        <v>32554.504150243596</v>
      </c>
      <c r="E171">
        <f t="shared" si="13"/>
        <v>32.554504150243595</v>
      </c>
      <c r="F171" s="7">
        <v>0.20656136087484811</v>
      </c>
      <c r="G171">
        <f t="shared" si="14"/>
        <v>2</v>
      </c>
      <c r="H171" s="7">
        <f t="shared" si="15"/>
        <v>0.79343863912515189</v>
      </c>
      <c r="I171">
        <f t="shared" si="16"/>
        <v>4</v>
      </c>
      <c r="J171">
        <f>VLOOKUP(A171,'Housing Cost Calc'!$A$2:$C$827,3,FALSE)</f>
        <v>1185</v>
      </c>
      <c r="K171">
        <f t="shared" si="17"/>
        <v>0.43680591583802686</v>
      </c>
    </row>
    <row r="172" spans="1:11" ht="60" x14ac:dyDescent="0.25">
      <c r="A172" s="4" t="s">
        <v>3420</v>
      </c>
      <c r="B172">
        <v>53617</v>
      </c>
      <c r="C172">
        <v>2.71</v>
      </c>
      <c r="D172">
        <f t="shared" si="12"/>
        <v>32570.007987337107</v>
      </c>
      <c r="E172">
        <f t="shared" si="13"/>
        <v>32.570007987337107</v>
      </c>
      <c r="F172" s="7">
        <v>0.2077764277035237</v>
      </c>
      <c r="G172">
        <f t="shared" si="14"/>
        <v>2</v>
      </c>
      <c r="H172" s="7">
        <f t="shared" si="15"/>
        <v>0.79222357229647633</v>
      </c>
      <c r="I172">
        <f t="shared" si="16"/>
        <v>4</v>
      </c>
      <c r="J172">
        <f>VLOOKUP(A172,'Housing Cost Calc'!$A$2:$C$827,3,FALSE)</f>
        <v>1244</v>
      </c>
      <c r="K172">
        <f t="shared" si="17"/>
        <v>0.45833577952464294</v>
      </c>
    </row>
    <row r="173" spans="1:11" ht="60" x14ac:dyDescent="0.25">
      <c r="A173" s="4" t="s">
        <v>3331</v>
      </c>
      <c r="B173">
        <v>48022</v>
      </c>
      <c r="C173">
        <v>2.15</v>
      </c>
      <c r="D173">
        <f t="shared" si="12"/>
        <v>32750.732170051077</v>
      </c>
      <c r="E173">
        <f t="shared" si="13"/>
        <v>32.75073217005108</v>
      </c>
      <c r="F173" s="7">
        <v>0.20899149453219928</v>
      </c>
      <c r="G173">
        <f t="shared" si="14"/>
        <v>2</v>
      </c>
      <c r="H173" s="7">
        <f t="shared" si="15"/>
        <v>0.79100850546780066</v>
      </c>
      <c r="I173">
        <f t="shared" si="16"/>
        <v>4</v>
      </c>
      <c r="J173">
        <f>VLOOKUP(A173,'Housing Cost Calc'!$A$2:$C$827,3,FALSE)</f>
        <v>1005</v>
      </c>
      <c r="K173">
        <f t="shared" si="17"/>
        <v>0.36823604239993979</v>
      </c>
    </row>
    <row r="174" spans="1:11" ht="45" x14ac:dyDescent="0.25">
      <c r="A174" s="4" t="s">
        <v>3491</v>
      </c>
      <c r="B174">
        <v>59014</v>
      </c>
      <c r="C174">
        <v>3.24</v>
      </c>
      <c r="D174">
        <f t="shared" si="12"/>
        <v>32785.555555555555</v>
      </c>
      <c r="E174">
        <f t="shared" si="13"/>
        <v>32.785555555555554</v>
      </c>
      <c r="F174" s="7">
        <v>0.21020656136087484</v>
      </c>
      <c r="G174">
        <f t="shared" si="14"/>
        <v>2</v>
      </c>
      <c r="H174" s="7">
        <f t="shared" si="15"/>
        <v>0.78979343863912521</v>
      </c>
      <c r="I174">
        <f t="shared" si="16"/>
        <v>4</v>
      </c>
      <c r="J174">
        <f>VLOOKUP(A174,'Housing Cost Calc'!$A$2:$C$827,3,FALSE)</f>
        <v>1532</v>
      </c>
      <c r="K174">
        <f t="shared" si="17"/>
        <v>0.56073474090893682</v>
      </c>
    </row>
    <row r="175" spans="1:11" ht="60" x14ac:dyDescent="0.25">
      <c r="A175" s="4" t="s">
        <v>3406</v>
      </c>
      <c r="B175">
        <v>53083</v>
      </c>
      <c r="C175">
        <v>2.61</v>
      </c>
      <c r="D175">
        <f t="shared" si="12"/>
        <v>32857.552121508146</v>
      </c>
      <c r="E175">
        <f t="shared" si="13"/>
        <v>32.857552121508149</v>
      </c>
      <c r="F175" s="7">
        <v>0.21142162818955043</v>
      </c>
      <c r="G175">
        <f t="shared" si="14"/>
        <v>2</v>
      </c>
      <c r="H175" s="7">
        <f t="shared" si="15"/>
        <v>0.78857837181044954</v>
      </c>
      <c r="I175">
        <f t="shared" si="16"/>
        <v>4</v>
      </c>
      <c r="J175">
        <f>VLOOKUP(A175,'Housing Cost Calc'!$A$2:$C$827,3,FALSE)</f>
        <v>1192</v>
      </c>
      <c r="K175">
        <f t="shared" si="17"/>
        <v>0.43533370797384441</v>
      </c>
    </row>
    <row r="176" spans="1:11" ht="60" x14ac:dyDescent="0.25">
      <c r="A176" s="4" t="s">
        <v>3456</v>
      </c>
      <c r="B176">
        <v>56932</v>
      </c>
      <c r="C176">
        <v>2.99</v>
      </c>
      <c r="D176">
        <f t="shared" si="12"/>
        <v>32924.625706701991</v>
      </c>
      <c r="E176">
        <f t="shared" si="13"/>
        <v>32.924625706701988</v>
      </c>
      <c r="F176" s="7">
        <v>0.21263669501822599</v>
      </c>
      <c r="G176">
        <f t="shared" si="14"/>
        <v>2</v>
      </c>
      <c r="H176" s="7">
        <f t="shared" si="15"/>
        <v>0.78736330498177398</v>
      </c>
      <c r="I176">
        <f t="shared" si="16"/>
        <v>4</v>
      </c>
      <c r="J176">
        <f>VLOOKUP(A176,'Housing Cost Calc'!$A$2:$C$827,3,FALSE)</f>
        <v>1483</v>
      </c>
      <c r="K176">
        <f t="shared" si="17"/>
        <v>0.54050728347012078</v>
      </c>
    </row>
    <row r="177" spans="1:11" ht="60" x14ac:dyDescent="0.25">
      <c r="A177" s="4" t="s">
        <v>3329</v>
      </c>
      <c r="B177">
        <v>47578</v>
      </c>
      <c r="C177">
        <v>2.08</v>
      </c>
      <c r="D177">
        <f t="shared" si="12"/>
        <v>32989.407420004936</v>
      </c>
      <c r="E177">
        <f t="shared" si="13"/>
        <v>32.989407420004937</v>
      </c>
      <c r="F177" s="7">
        <v>0.21385176184690158</v>
      </c>
      <c r="G177">
        <f t="shared" si="14"/>
        <v>2</v>
      </c>
      <c r="H177" s="7">
        <f t="shared" si="15"/>
        <v>0.78614823815309842</v>
      </c>
      <c r="I177">
        <f t="shared" si="16"/>
        <v>4</v>
      </c>
      <c r="J177">
        <f>VLOOKUP(A177,'Housing Cost Calc'!$A$2:$C$827,3,FALSE)</f>
        <v>992</v>
      </c>
      <c r="K177">
        <f t="shared" si="17"/>
        <v>0.3608430987693752</v>
      </c>
    </row>
    <row r="178" spans="1:11" ht="60" x14ac:dyDescent="0.25">
      <c r="A178" s="4" t="s">
        <v>3341</v>
      </c>
      <c r="B178">
        <v>48750</v>
      </c>
      <c r="C178">
        <v>2.1800000000000002</v>
      </c>
      <c r="D178">
        <f t="shared" si="12"/>
        <v>33017.666247081572</v>
      </c>
      <c r="E178">
        <f t="shared" si="13"/>
        <v>33.017666247081571</v>
      </c>
      <c r="F178" s="7">
        <v>0.21506682867557717</v>
      </c>
      <c r="G178">
        <f t="shared" si="14"/>
        <v>2</v>
      </c>
      <c r="H178" s="7">
        <f t="shared" si="15"/>
        <v>0.78493317132442286</v>
      </c>
      <c r="I178">
        <f t="shared" si="16"/>
        <v>4</v>
      </c>
      <c r="J178">
        <f>VLOOKUP(A178,'Housing Cost Calc'!$A$2:$C$827,3,FALSE)</f>
        <v>1284</v>
      </c>
      <c r="K178">
        <f t="shared" si="17"/>
        <v>0.4666592691529769</v>
      </c>
    </row>
    <row r="179" spans="1:11" ht="45" x14ac:dyDescent="0.25">
      <c r="A179" s="4" t="s">
        <v>3481</v>
      </c>
      <c r="B179">
        <v>58273</v>
      </c>
      <c r="C179">
        <v>3.07</v>
      </c>
      <c r="D179">
        <f t="shared" si="12"/>
        <v>33258.157770781429</v>
      </c>
      <c r="E179">
        <f t="shared" si="13"/>
        <v>33.25815777078143</v>
      </c>
      <c r="F179" s="7">
        <v>0.21628189550425272</v>
      </c>
      <c r="G179">
        <f t="shared" si="14"/>
        <v>2</v>
      </c>
      <c r="H179" s="7">
        <f t="shared" si="15"/>
        <v>0.7837181044957473</v>
      </c>
      <c r="I179">
        <f t="shared" si="16"/>
        <v>4</v>
      </c>
      <c r="J179">
        <f>VLOOKUP(A179,'Housing Cost Calc'!$A$2:$C$827,3,FALSE)</f>
        <v>1834</v>
      </c>
      <c r="K179">
        <f t="shared" si="17"/>
        <v>0.66173238312480664</v>
      </c>
    </row>
    <row r="180" spans="1:11" ht="60" x14ac:dyDescent="0.25">
      <c r="A180" s="4" t="s">
        <v>3364</v>
      </c>
      <c r="B180">
        <v>49783</v>
      </c>
      <c r="C180">
        <v>2.2200000000000002</v>
      </c>
      <c r="D180">
        <f t="shared" si="12"/>
        <v>33412.161896719772</v>
      </c>
      <c r="E180">
        <f t="shared" si="13"/>
        <v>33.412161896719773</v>
      </c>
      <c r="F180" s="7">
        <v>0.21749696233292831</v>
      </c>
      <c r="G180">
        <f t="shared" si="14"/>
        <v>2</v>
      </c>
      <c r="H180" s="7">
        <f t="shared" si="15"/>
        <v>0.78250303766707163</v>
      </c>
      <c r="I180">
        <f t="shared" si="16"/>
        <v>4</v>
      </c>
      <c r="J180">
        <f>VLOOKUP(A180,'Housing Cost Calc'!$A$2:$C$827,3,FALSE)</f>
        <v>999</v>
      </c>
      <c r="K180">
        <f t="shared" si="17"/>
        <v>0.35879150942270865</v>
      </c>
    </row>
    <row r="181" spans="1:11" ht="60" x14ac:dyDescent="0.25">
      <c r="A181" s="4" t="s">
        <v>3384</v>
      </c>
      <c r="B181">
        <v>51426</v>
      </c>
      <c r="C181">
        <v>2.33</v>
      </c>
      <c r="D181">
        <f t="shared" si="12"/>
        <v>33690.292765267593</v>
      </c>
      <c r="E181">
        <f t="shared" si="13"/>
        <v>33.690292765267593</v>
      </c>
      <c r="F181" s="7">
        <v>0.2187120291616039</v>
      </c>
      <c r="G181">
        <f t="shared" si="14"/>
        <v>2</v>
      </c>
      <c r="H181" s="7">
        <f t="shared" si="15"/>
        <v>0.78128797083839607</v>
      </c>
      <c r="I181">
        <f t="shared" si="16"/>
        <v>4</v>
      </c>
      <c r="J181">
        <f>VLOOKUP(A181,'Housing Cost Calc'!$A$2:$C$827,3,FALSE)</f>
        <v>1264</v>
      </c>
      <c r="K181">
        <f t="shared" si="17"/>
        <v>0.45021870559810567</v>
      </c>
    </row>
    <row r="182" spans="1:11" ht="60" x14ac:dyDescent="0.25">
      <c r="A182" s="4" t="s">
        <v>3438</v>
      </c>
      <c r="B182">
        <v>54908</v>
      </c>
      <c r="C182">
        <v>2.64</v>
      </c>
      <c r="D182">
        <f t="shared" si="12"/>
        <v>33793.53793346601</v>
      </c>
      <c r="E182">
        <f t="shared" si="13"/>
        <v>33.793537933466013</v>
      </c>
      <c r="F182" s="7">
        <v>0.21992709599027946</v>
      </c>
      <c r="G182">
        <f t="shared" si="14"/>
        <v>2</v>
      </c>
      <c r="H182" s="7">
        <f t="shared" si="15"/>
        <v>0.78007290400972051</v>
      </c>
      <c r="I182">
        <f t="shared" si="16"/>
        <v>4</v>
      </c>
      <c r="J182">
        <f>VLOOKUP(A182,'Housing Cost Calc'!$A$2:$C$827,3,FALSE)</f>
        <v>1182</v>
      </c>
      <c r="K182">
        <f t="shared" si="17"/>
        <v>0.41972521574763771</v>
      </c>
    </row>
    <row r="183" spans="1:11" ht="60" x14ac:dyDescent="0.25">
      <c r="A183" s="4" t="s">
        <v>3430</v>
      </c>
      <c r="B183">
        <v>54167</v>
      </c>
      <c r="C183">
        <v>2.56</v>
      </c>
      <c r="D183">
        <f t="shared" si="12"/>
        <v>33854.375</v>
      </c>
      <c r="E183">
        <f t="shared" si="13"/>
        <v>33.854374999999997</v>
      </c>
      <c r="F183" s="7">
        <v>0.22114216281895505</v>
      </c>
      <c r="G183">
        <f t="shared" si="14"/>
        <v>2</v>
      </c>
      <c r="H183" s="7">
        <f t="shared" si="15"/>
        <v>0.77885783718104495</v>
      </c>
      <c r="I183">
        <f t="shared" si="16"/>
        <v>4</v>
      </c>
      <c r="J183">
        <f>VLOOKUP(A183,'Housing Cost Calc'!$A$2:$C$827,3,FALSE)</f>
        <v>1373</v>
      </c>
      <c r="K183">
        <f t="shared" si="17"/>
        <v>0.48667269739878521</v>
      </c>
    </row>
    <row r="184" spans="1:11" ht="60" x14ac:dyDescent="0.25">
      <c r="A184" s="4" t="s">
        <v>3432</v>
      </c>
      <c r="B184">
        <v>54216</v>
      </c>
      <c r="C184">
        <v>2.5499999999999998</v>
      </c>
      <c r="D184">
        <f t="shared" si="12"/>
        <v>33951.376165472466</v>
      </c>
      <c r="E184">
        <f t="shared" si="13"/>
        <v>33.951376165472468</v>
      </c>
      <c r="F184" s="7">
        <v>0.22235722964763063</v>
      </c>
      <c r="G184">
        <f t="shared" si="14"/>
        <v>2</v>
      </c>
      <c r="H184" s="7">
        <f t="shared" si="15"/>
        <v>0.77764277035236939</v>
      </c>
      <c r="I184">
        <f t="shared" si="16"/>
        <v>4</v>
      </c>
      <c r="J184">
        <f>VLOOKUP(A184,'Housing Cost Calc'!$A$2:$C$827,3,FALSE)</f>
        <v>1492</v>
      </c>
      <c r="K184">
        <f t="shared" si="17"/>
        <v>0.52734239439189012</v>
      </c>
    </row>
    <row r="185" spans="1:11" ht="60" x14ac:dyDescent="0.25">
      <c r="A185" s="4" t="s">
        <v>3394</v>
      </c>
      <c r="B185">
        <v>52586</v>
      </c>
      <c r="C185">
        <v>2.38</v>
      </c>
      <c r="D185">
        <f t="shared" si="12"/>
        <v>34086.441006714122</v>
      </c>
      <c r="E185">
        <f t="shared" si="13"/>
        <v>34.086441006714125</v>
      </c>
      <c r="F185" s="7">
        <v>0.22357229647630619</v>
      </c>
      <c r="G185">
        <f t="shared" si="14"/>
        <v>2</v>
      </c>
      <c r="H185" s="7">
        <f t="shared" si="15"/>
        <v>0.77642770352369384</v>
      </c>
      <c r="I185">
        <f t="shared" si="16"/>
        <v>4</v>
      </c>
      <c r="J185">
        <f>VLOOKUP(A185,'Housing Cost Calc'!$A$2:$C$827,3,FALSE)</f>
        <v>1151</v>
      </c>
      <c r="K185">
        <f t="shared" si="17"/>
        <v>0.4052051077224344</v>
      </c>
    </row>
    <row r="186" spans="1:11" ht="60" x14ac:dyDescent="0.25">
      <c r="A186" s="4" t="s">
        <v>3392</v>
      </c>
      <c r="B186">
        <v>52377</v>
      </c>
      <c r="C186">
        <v>2.36</v>
      </c>
      <c r="D186">
        <f t="shared" si="12"/>
        <v>34094.522952213054</v>
      </c>
      <c r="E186">
        <f t="shared" si="13"/>
        <v>34.094522952213055</v>
      </c>
      <c r="F186" s="7">
        <v>0.22478736330498178</v>
      </c>
      <c r="G186">
        <f t="shared" si="14"/>
        <v>2</v>
      </c>
      <c r="H186" s="7">
        <f t="shared" si="15"/>
        <v>0.77521263669501828</v>
      </c>
      <c r="I186">
        <f t="shared" si="16"/>
        <v>4</v>
      </c>
      <c r="J186">
        <f>VLOOKUP(A186,'Housing Cost Calc'!$A$2:$C$827,3,FALSE)</f>
        <v>1109</v>
      </c>
      <c r="K186">
        <f t="shared" si="17"/>
        <v>0.39032662280251046</v>
      </c>
    </row>
    <row r="187" spans="1:11" ht="60" x14ac:dyDescent="0.25">
      <c r="A187" s="4" t="s">
        <v>3297</v>
      </c>
      <c r="B187">
        <v>45481</v>
      </c>
      <c r="C187">
        <v>1.77</v>
      </c>
      <c r="D187">
        <f t="shared" si="12"/>
        <v>34185.612999596655</v>
      </c>
      <c r="E187">
        <f t="shared" si="13"/>
        <v>34.185612999596657</v>
      </c>
      <c r="F187" s="7">
        <v>0.22600243013365734</v>
      </c>
      <c r="G187">
        <f t="shared" si="14"/>
        <v>2</v>
      </c>
      <c r="H187" s="7">
        <f t="shared" si="15"/>
        <v>0.77399756986634261</v>
      </c>
      <c r="I187">
        <f t="shared" si="16"/>
        <v>4</v>
      </c>
      <c r="J187">
        <f>VLOOKUP(A187,'Housing Cost Calc'!$A$2:$C$827,3,FALSE)</f>
        <v>1051</v>
      </c>
      <c r="K187">
        <f t="shared" si="17"/>
        <v>0.36892712733127836</v>
      </c>
    </row>
    <row r="188" spans="1:11" ht="60" x14ac:dyDescent="0.25">
      <c r="A188" s="4" t="s">
        <v>3424</v>
      </c>
      <c r="B188">
        <v>53857</v>
      </c>
      <c r="C188">
        <v>2.48</v>
      </c>
      <c r="D188">
        <f t="shared" si="12"/>
        <v>34199.2291992463</v>
      </c>
      <c r="E188">
        <f t="shared" si="13"/>
        <v>34.199229199246297</v>
      </c>
      <c r="F188" s="7">
        <v>0.22721749696233293</v>
      </c>
      <c r="G188">
        <f t="shared" si="14"/>
        <v>2</v>
      </c>
      <c r="H188" s="7">
        <f t="shared" si="15"/>
        <v>0.77278250303766705</v>
      </c>
      <c r="I188">
        <f t="shared" si="16"/>
        <v>4</v>
      </c>
      <c r="J188">
        <f>VLOOKUP(A188,'Housing Cost Calc'!$A$2:$C$827,3,FALSE)</f>
        <v>1156</v>
      </c>
      <c r="K188">
        <f t="shared" si="17"/>
        <v>0.40562317703656658</v>
      </c>
    </row>
    <row r="189" spans="1:11" ht="60" x14ac:dyDescent="0.25">
      <c r="A189" s="4" t="s">
        <v>3474</v>
      </c>
      <c r="B189">
        <v>57955</v>
      </c>
      <c r="C189">
        <v>2.87</v>
      </c>
      <c r="D189">
        <f t="shared" si="12"/>
        <v>34209.754833730862</v>
      </c>
      <c r="E189">
        <f t="shared" si="13"/>
        <v>34.209754833730862</v>
      </c>
      <c r="F189" s="7">
        <v>0.22843256379100851</v>
      </c>
      <c r="G189">
        <f t="shared" si="14"/>
        <v>2</v>
      </c>
      <c r="H189" s="7">
        <f t="shared" si="15"/>
        <v>0.77156743620899149</v>
      </c>
      <c r="I189">
        <f t="shared" si="16"/>
        <v>4</v>
      </c>
      <c r="J189">
        <f>VLOOKUP(A189,'Housing Cost Calc'!$A$2:$C$827,3,FALSE)</f>
        <v>1260</v>
      </c>
      <c r="K189">
        <f t="shared" si="17"/>
        <v>0.44197919784831841</v>
      </c>
    </row>
    <row r="190" spans="1:11" ht="60" x14ac:dyDescent="0.25">
      <c r="A190" s="4" t="s">
        <v>3426</v>
      </c>
      <c r="B190">
        <v>53904</v>
      </c>
      <c r="C190">
        <v>2.48</v>
      </c>
      <c r="D190">
        <f t="shared" si="12"/>
        <v>34229.07422909134</v>
      </c>
      <c r="E190">
        <f t="shared" si="13"/>
        <v>34.229074229091339</v>
      </c>
      <c r="F190" s="7">
        <v>0.22964763061968407</v>
      </c>
      <c r="G190">
        <f t="shared" si="14"/>
        <v>2</v>
      </c>
      <c r="H190" s="7">
        <f t="shared" si="15"/>
        <v>0.77035236938031593</v>
      </c>
      <c r="I190">
        <f t="shared" si="16"/>
        <v>4</v>
      </c>
      <c r="J190">
        <f>VLOOKUP(A190,'Housing Cost Calc'!$A$2:$C$827,3,FALSE)</f>
        <v>1120</v>
      </c>
      <c r="K190">
        <f t="shared" si="17"/>
        <v>0.39264865622854983</v>
      </c>
    </row>
    <row r="191" spans="1:11" ht="60" x14ac:dyDescent="0.25">
      <c r="A191" s="4" t="s">
        <v>3440</v>
      </c>
      <c r="B191">
        <v>55399</v>
      </c>
      <c r="C191">
        <v>2.61</v>
      </c>
      <c r="D191">
        <f t="shared" si="12"/>
        <v>34291.120132234988</v>
      </c>
      <c r="E191">
        <f t="shared" si="13"/>
        <v>34.291120132234987</v>
      </c>
      <c r="F191" s="7">
        <v>0.23086269744835966</v>
      </c>
      <c r="G191">
        <f t="shared" si="14"/>
        <v>2</v>
      </c>
      <c r="H191" s="7">
        <f t="shared" si="15"/>
        <v>0.76913730255164037</v>
      </c>
      <c r="I191">
        <f t="shared" si="16"/>
        <v>4</v>
      </c>
      <c r="J191">
        <f>VLOOKUP(A191,'Housing Cost Calc'!$A$2:$C$827,3,FALSE)</f>
        <v>1198</v>
      </c>
      <c r="K191">
        <f t="shared" si="17"/>
        <v>0.41923389917164006</v>
      </c>
    </row>
    <row r="192" spans="1:11" ht="60" x14ac:dyDescent="0.25">
      <c r="A192" s="4" t="s">
        <v>3408</v>
      </c>
      <c r="B192">
        <v>53138</v>
      </c>
      <c r="C192">
        <v>2.4</v>
      </c>
      <c r="D192">
        <f t="shared" si="12"/>
        <v>34300.431508461617</v>
      </c>
      <c r="E192">
        <f t="shared" si="13"/>
        <v>34.300431508461614</v>
      </c>
      <c r="F192" s="7">
        <v>0.23207776427703525</v>
      </c>
      <c r="G192">
        <f t="shared" si="14"/>
        <v>2</v>
      </c>
      <c r="H192" s="7">
        <f t="shared" si="15"/>
        <v>0.7679222357229647</v>
      </c>
      <c r="I192">
        <f t="shared" si="16"/>
        <v>4</v>
      </c>
      <c r="J192">
        <f>VLOOKUP(A192,'Housing Cost Calc'!$A$2:$C$827,3,FALSE)</f>
        <v>1128</v>
      </c>
      <c r="K192">
        <f t="shared" si="17"/>
        <v>0.39463060389373783</v>
      </c>
    </row>
    <row r="193" spans="1:11" ht="60" x14ac:dyDescent="0.25">
      <c r="A193" s="4" t="s">
        <v>3444</v>
      </c>
      <c r="B193">
        <v>55982</v>
      </c>
      <c r="C193">
        <v>2.64</v>
      </c>
      <c r="D193">
        <f t="shared" si="12"/>
        <v>34454.539240025028</v>
      </c>
      <c r="E193">
        <f t="shared" si="13"/>
        <v>34.454539240025028</v>
      </c>
      <c r="F193" s="7">
        <v>0.23329283110571081</v>
      </c>
      <c r="G193">
        <f t="shared" si="14"/>
        <v>2</v>
      </c>
      <c r="H193" s="7">
        <f t="shared" si="15"/>
        <v>0.76670716889428925</v>
      </c>
      <c r="I193">
        <f t="shared" si="16"/>
        <v>4</v>
      </c>
      <c r="J193">
        <f>VLOOKUP(A193,'Housing Cost Calc'!$A$2:$C$827,3,FALSE)</f>
        <v>1617</v>
      </c>
      <c r="K193">
        <f t="shared" si="17"/>
        <v>0.56317688258210197</v>
      </c>
    </row>
    <row r="194" spans="1:11" ht="45" x14ac:dyDescent="0.25">
      <c r="A194" s="4" t="s">
        <v>3428</v>
      </c>
      <c r="B194">
        <v>54038</v>
      </c>
      <c r="C194">
        <v>2.42</v>
      </c>
      <c r="D194">
        <f t="shared" ref="D194:D257" si="18">(B194/(C194)^0.5)</f>
        <v>34736.942037962413</v>
      </c>
      <c r="E194">
        <f t="shared" ref="E194:E257" si="19">D194/1000</f>
        <v>34.736942037962415</v>
      </c>
      <c r="F194" s="7">
        <v>0.23450789793438639</v>
      </c>
      <c r="G194">
        <f t="shared" si="14"/>
        <v>2</v>
      </c>
      <c r="H194" s="7">
        <f t="shared" si="15"/>
        <v>0.76549210206561358</v>
      </c>
      <c r="I194">
        <f t="shared" si="16"/>
        <v>4</v>
      </c>
      <c r="J194">
        <f>VLOOKUP(A194,'Housing Cost Calc'!$A$2:$C$827,3,FALSE)</f>
        <v>1575</v>
      </c>
      <c r="K194">
        <f t="shared" si="17"/>
        <v>0.54408934382724461</v>
      </c>
    </row>
    <row r="195" spans="1:11" ht="60" x14ac:dyDescent="0.25">
      <c r="A195" s="4" t="s">
        <v>3412</v>
      </c>
      <c r="B195">
        <v>53162</v>
      </c>
      <c r="C195">
        <v>2.2999999999999998</v>
      </c>
      <c r="D195">
        <f t="shared" si="18"/>
        <v>35053.984726666829</v>
      </c>
      <c r="E195">
        <f t="shared" si="19"/>
        <v>35.053984726666826</v>
      </c>
      <c r="F195" s="7">
        <v>0.23572296476306198</v>
      </c>
      <c r="G195">
        <f t="shared" ref="G195:G258" si="20">IF(F195&lt;0.2,1,IF(F195&lt;0.4,2,IF(F195&lt;0.6,3,IF(F195&lt;0.8,4,5))))</f>
        <v>2</v>
      </c>
      <c r="H195" s="7">
        <f t="shared" ref="H195:H258" si="21">1-F195</f>
        <v>0.76427703523693802</v>
      </c>
      <c r="I195">
        <f t="shared" ref="I195:I258" si="22">6-G195</f>
        <v>4</v>
      </c>
      <c r="J195">
        <f>VLOOKUP(A195,'Housing Cost Calc'!$A$2:$C$827,3,FALSE)</f>
        <v>1289</v>
      </c>
      <c r="K195">
        <f t="shared" ref="K195:K258" si="23">(J195*12)/D195</f>
        <v>0.44126224509457651</v>
      </c>
    </row>
    <row r="196" spans="1:11" ht="60" x14ac:dyDescent="0.25">
      <c r="A196" s="4" t="s">
        <v>3355</v>
      </c>
      <c r="B196">
        <v>49375</v>
      </c>
      <c r="C196">
        <v>1.97</v>
      </c>
      <c r="D196">
        <f t="shared" si="18"/>
        <v>35178.230931530386</v>
      </c>
      <c r="E196">
        <f t="shared" si="19"/>
        <v>35.178230931530386</v>
      </c>
      <c r="F196" s="7">
        <v>0.23693803159173754</v>
      </c>
      <c r="G196">
        <f t="shared" si="20"/>
        <v>2</v>
      </c>
      <c r="H196" s="7">
        <f t="shared" si="21"/>
        <v>0.76306196840826246</v>
      </c>
      <c r="I196">
        <f t="shared" si="22"/>
        <v>4</v>
      </c>
      <c r="J196">
        <f>VLOOKUP(A196,'Housing Cost Calc'!$A$2:$C$827,3,FALSE)</f>
        <v>1510</v>
      </c>
      <c r="K196">
        <f t="shared" si="23"/>
        <v>0.51509128003816051</v>
      </c>
    </row>
    <row r="197" spans="1:11" ht="60" x14ac:dyDescent="0.25">
      <c r="A197" s="4" t="s">
        <v>3507</v>
      </c>
      <c r="B197">
        <v>60725</v>
      </c>
      <c r="C197">
        <v>2.96</v>
      </c>
      <c r="D197">
        <f t="shared" si="18"/>
        <v>35295.689313592127</v>
      </c>
      <c r="E197">
        <f t="shared" si="19"/>
        <v>35.295689313592128</v>
      </c>
      <c r="F197" s="7">
        <v>0.23815309842041313</v>
      </c>
      <c r="G197">
        <f t="shared" si="20"/>
        <v>2</v>
      </c>
      <c r="H197" s="7">
        <f t="shared" si="21"/>
        <v>0.7618469015795869</v>
      </c>
      <c r="I197">
        <f t="shared" si="22"/>
        <v>4</v>
      </c>
      <c r="J197">
        <f>VLOOKUP(A197,'Housing Cost Calc'!$A$2:$C$827,3,FALSE)</f>
        <v>1634</v>
      </c>
      <c r="K197">
        <f t="shared" si="23"/>
        <v>0.55553526170826462</v>
      </c>
    </row>
    <row r="198" spans="1:11" ht="45" x14ac:dyDescent="0.25">
      <c r="A198" s="4" t="s">
        <v>3558</v>
      </c>
      <c r="B198">
        <v>63618</v>
      </c>
      <c r="C198">
        <v>3.23</v>
      </c>
      <c r="D198">
        <f t="shared" si="18"/>
        <v>35398.002095061544</v>
      </c>
      <c r="E198">
        <f t="shared" si="19"/>
        <v>35.398002095061543</v>
      </c>
      <c r="F198" s="7">
        <v>0.23936816524908869</v>
      </c>
      <c r="G198">
        <f t="shared" si="20"/>
        <v>2</v>
      </c>
      <c r="H198" s="7">
        <f t="shared" si="21"/>
        <v>0.76063183475091134</v>
      </c>
      <c r="I198">
        <f t="shared" si="22"/>
        <v>4</v>
      </c>
      <c r="J198">
        <f>VLOOKUP(A198,'Housing Cost Calc'!$A$2:$C$827,3,FALSE)</f>
        <v>1641</v>
      </c>
      <c r="K198">
        <f t="shared" si="23"/>
        <v>0.55630258304174962</v>
      </c>
    </row>
    <row r="199" spans="1:11" ht="60" x14ac:dyDescent="0.25">
      <c r="A199" s="4" t="s">
        <v>3466</v>
      </c>
      <c r="B199">
        <v>57587</v>
      </c>
      <c r="C199">
        <v>2.62</v>
      </c>
      <c r="D199">
        <f t="shared" si="18"/>
        <v>35577.367414374618</v>
      </c>
      <c r="E199">
        <f t="shared" si="19"/>
        <v>35.577367414374621</v>
      </c>
      <c r="F199" s="7">
        <v>0.24058323207776428</v>
      </c>
      <c r="G199">
        <f t="shared" si="20"/>
        <v>2</v>
      </c>
      <c r="H199" s="7">
        <f t="shared" si="21"/>
        <v>0.75941676792223567</v>
      </c>
      <c r="I199">
        <f t="shared" si="22"/>
        <v>4</v>
      </c>
      <c r="J199">
        <f>VLOOKUP(A199,'Housing Cost Calc'!$A$2:$C$827,3,FALSE)</f>
        <v>1181</v>
      </c>
      <c r="K199">
        <f t="shared" si="23"/>
        <v>0.39834313300747404</v>
      </c>
    </row>
    <row r="200" spans="1:11" ht="60" x14ac:dyDescent="0.25">
      <c r="A200" s="4" t="s">
        <v>3416</v>
      </c>
      <c r="B200">
        <v>53333</v>
      </c>
      <c r="C200">
        <v>2.2400000000000002</v>
      </c>
      <c r="D200">
        <f t="shared" si="18"/>
        <v>35634.609537288321</v>
      </c>
      <c r="E200">
        <f t="shared" si="19"/>
        <v>35.63460953728832</v>
      </c>
      <c r="F200" s="7">
        <v>0.24179829890643986</v>
      </c>
      <c r="G200">
        <f t="shared" si="20"/>
        <v>2</v>
      </c>
      <c r="H200" s="7">
        <f t="shared" si="21"/>
        <v>0.75820170109356011</v>
      </c>
      <c r="I200">
        <f t="shared" si="22"/>
        <v>4</v>
      </c>
      <c r="J200">
        <f>VLOOKUP(A200,'Housing Cost Calc'!$A$2:$C$827,3,FALSE)</f>
        <v>1127</v>
      </c>
      <c r="K200">
        <f t="shared" si="23"/>
        <v>0.37951868073223549</v>
      </c>
    </row>
    <row r="201" spans="1:11" ht="60" x14ac:dyDescent="0.25">
      <c r="A201" s="4" t="s">
        <v>3370</v>
      </c>
      <c r="B201">
        <v>50561</v>
      </c>
      <c r="C201">
        <v>2</v>
      </c>
      <c r="D201">
        <f t="shared" si="18"/>
        <v>35752.025963573025</v>
      </c>
      <c r="E201">
        <f t="shared" si="19"/>
        <v>35.752025963573026</v>
      </c>
      <c r="F201" s="7">
        <v>0.24301336573511542</v>
      </c>
      <c r="G201">
        <f t="shared" si="20"/>
        <v>2</v>
      </c>
      <c r="H201" s="7">
        <f t="shared" si="21"/>
        <v>0.75698663426488455</v>
      </c>
      <c r="I201">
        <f t="shared" si="22"/>
        <v>4</v>
      </c>
      <c r="J201">
        <f>VLOOKUP(A201,'Housing Cost Calc'!$A$2:$C$827,3,FALSE)</f>
        <v>1058</v>
      </c>
      <c r="K201">
        <f t="shared" si="23"/>
        <v>0.35511274278374272</v>
      </c>
    </row>
    <row r="202" spans="1:11" ht="60" x14ac:dyDescent="0.25">
      <c r="A202" s="4" t="s">
        <v>3410</v>
      </c>
      <c r="B202">
        <v>53147</v>
      </c>
      <c r="C202">
        <v>2.2000000000000002</v>
      </c>
      <c r="D202">
        <f t="shared" si="18"/>
        <v>35831.700090333929</v>
      </c>
      <c r="E202">
        <f t="shared" si="19"/>
        <v>35.831700090333932</v>
      </c>
      <c r="F202" s="7">
        <v>0.24422843256379101</v>
      </c>
      <c r="G202">
        <f t="shared" si="20"/>
        <v>2</v>
      </c>
      <c r="H202" s="7">
        <f t="shared" si="21"/>
        <v>0.75577156743620899</v>
      </c>
      <c r="I202">
        <f t="shared" si="22"/>
        <v>4</v>
      </c>
      <c r="J202">
        <f>VLOOKUP(A202,'Housing Cost Calc'!$A$2:$C$827,3,FALSE)</f>
        <v>1138</v>
      </c>
      <c r="K202">
        <f t="shared" si="23"/>
        <v>0.38111504521338313</v>
      </c>
    </row>
    <row r="203" spans="1:11" ht="60" x14ac:dyDescent="0.25">
      <c r="A203" s="4" t="s">
        <v>3452</v>
      </c>
      <c r="B203">
        <v>56438</v>
      </c>
      <c r="C203">
        <v>2.48</v>
      </c>
      <c r="D203">
        <f t="shared" si="18"/>
        <v>35838.165838183755</v>
      </c>
      <c r="E203">
        <f t="shared" si="19"/>
        <v>35.838165838183755</v>
      </c>
      <c r="F203" s="7">
        <v>0.2454434993924666</v>
      </c>
      <c r="G203">
        <f t="shared" si="20"/>
        <v>2</v>
      </c>
      <c r="H203" s="7">
        <f t="shared" si="21"/>
        <v>0.75455650060753343</v>
      </c>
      <c r="I203">
        <f t="shared" si="22"/>
        <v>4</v>
      </c>
      <c r="J203">
        <f>VLOOKUP(A203,'Housing Cost Calc'!$A$2:$C$827,3,FALSE)</f>
        <v>1270</v>
      </c>
      <c r="K203">
        <f t="shared" si="23"/>
        <v>0.42524497678847589</v>
      </c>
    </row>
    <row r="204" spans="1:11" ht="60" x14ac:dyDescent="0.25">
      <c r="A204" s="4" t="s">
        <v>3414</v>
      </c>
      <c r="B204">
        <v>53237</v>
      </c>
      <c r="C204">
        <v>2.2000000000000002</v>
      </c>
      <c r="D204">
        <f t="shared" si="18"/>
        <v>35892.378077955618</v>
      </c>
      <c r="E204">
        <f t="shared" si="19"/>
        <v>35.89237807795562</v>
      </c>
      <c r="F204" s="7">
        <v>0.24665856622114216</v>
      </c>
      <c r="G204">
        <f t="shared" si="20"/>
        <v>2</v>
      </c>
      <c r="H204" s="7">
        <f t="shared" si="21"/>
        <v>0.75334143377885787</v>
      </c>
      <c r="I204">
        <f t="shared" si="22"/>
        <v>4</v>
      </c>
      <c r="J204">
        <f>VLOOKUP(A204,'Housing Cost Calc'!$A$2:$C$827,3,FALSE)</f>
        <v>1201</v>
      </c>
      <c r="K204">
        <f t="shared" si="23"/>
        <v>0.40153371751234179</v>
      </c>
    </row>
    <row r="205" spans="1:11" ht="60" x14ac:dyDescent="0.25">
      <c r="A205" s="4" t="s">
        <v>3501</v>
      </c>
      <c r="B205">
        <v>59771</v>
      </c>
      <c r="C205">
        <v>2.77</v>
      </c>
      <c r="D205">
        <f t="shared" si="18"/>
        <v>35912.9133226657</v>
      </c>
      <c r="E205">
        <f t="shared" si="19"/>
        <v>35.912913322665702</v>
      </c>
      <c r="F205" s="7">
        <v>0.24787363304981774</v>
      </c>
      <c r="G205">
        <f t="shared" si="20"/>
        <v>2</v>
      </c>
      <c r="H205" s="7">
        <f t="shared" si="21"/>
        <v>0.75212636695018231</v>
      </c>
      <c r="I205">
        <f t="shared" si="22"/>
        <v>4</v>
      </c>
      <c r="J205">
        <f>VLOOKUP(A205,'Housing Cost Calc'!$A$2:$C$827,3,FALSE)</f>
        <v>1209</v>
      </c>
      <c r="K205">
        <f t="shared" si="23"/>
        <v>0.40397725101415188</v>
      </c>
    </row>
    <row r="206" spans="1:11" ht="60" x14ac:dyDescent="0.25">
      <c r="A206" s="4" t="s">
        <v>3476</v>
      </c>
      <c r="B206">
        <v>58000</v>
      </c>
      <c r="C206">
        <v>2.59</v>
      </c>
      <c r="D206">
        <f t="shared" si="18"/>
        <v>36039.446428069605</v>
      </c>
      <c r="E206">
        <f t="shared" si="19"/>
        <v>36.039446428069603</v>
      </c>
      <c r="F206" s="7">
        <v>0.24908869987849333</v>
      </c>
      <c r="G206">
        <f t="shared" si="20"/>
        <v>2</v>
      </c>
      <c r="H206" s="7">
        <f t="shared" si="21"/>
        <v>0.75091130012150664</v>
      </c>
      <c r="I206">
        <f t="shared" si="22"/>
        <v>4</v>
      </c>
      <c r="J206">
        <f>VLOOKUP(A206,'Housing Cost Calc'!$A$2:$C$827,3,FALSE)</f>
        <v>964</v>
      </c>
      <c r="K206">
        <f t="shared" si="23"/>
        <v>0.32098162281954956</v>
      </c>
    </row>
    <row r="207" spans="1:11" ht="60" x14ac:dyDescent="0.25">
      <c r="A207" s="4" t="s">
        <v>3404</v>
      </c>
      <c r="B207">
        <v>52932</v>
      </c>
      <c r="C207">
        <v>2.15</v>
      </c>
      <c r="D207">
        <f t="shared" si="18"/>
        <v>36099.324376851102</v>
      </c>
      <c r="E207">
        <f t="shared" si="19"/>
        <v>36.099324376851101</v>
      </c>
      <c r="F207" s="7">
        <v>0.25030376670716892</v>
      </c>
      <c r="G207">
        <f t="shared" si="20"/>
        <v>2</v>
      </c>
      <c r="H207" s="7">
        <f t="shared" si="21"/>
        <v>0.74969623329283108</v>
      </c>
      <c r="I207">
        <f t="shared" si="22"/>
        <v>4</v>
      </c>
      <c r="J207">
        <f>VLOOKUP(A207,'Housing Cost Calc'!$A$2:$C$827,3,FALSE)</f>
        <v>1268</v>
      </c>
      <c r="K207">
        <f t="shared" si="23"/>
        <v>0.42150373345373043</v>
      </c>
    </row>
    <row r="208" spans="1:11" ht="60" x14ac:dyDescent="0.25">
      <c r="A208" s="4" t="s">
        <v>3503</v>
      </c>
      <c r="B208">
        <v>59914</v>
      </c>
      <c r="C208">
        <v>2.74</v>
      </c>
      <c r="D208">
        <f t="shared" si="18"/>
        <v>36195.371099784221</v>
      </c>
      <c r="E208">
        <f t="shared" si="19"/>
        <v>36.195371099784218</v>
      </c>
      <c r="F208" s="7">
        <v>0.25151883353584448</v>
      </c>
      <c r="G208">
        <f t="shared" si="20"/>
        <v>2</v>
      </c>
      <c r="H208" s="7">
        <f t="shared" si="21"/>
        <v>0.74848116646415552</v>
      </c>
      <c r="I208">
        <f t="shared" si="22"/>
        <v>4</v>
      </c>
      <c r="J208">
        <f>VLOOKUP(A208,'Housing Cost Calc'!$A$2:$C$827,3,FALSE)</f>
        <v>1260</v>
      </c>
      <c r="K208">
        <f t="shared" si="23"/>
        <v>0.41773297359811123</v>
      </c>
    </row>
    <row r="209" spans="1:11" ht="75" x14ac:dyDescent="0.25">
      <c r="A209" s="4" t="s">
        <v>3470</v>
      </c>
      <c r="B209">
        <v>57917</v>
      </c>
      <c r="C209">
        <v>2.56</v>
      </c>
      <c r="D209">
        <f t="shared" si="18"/>
        <v>36198.125</v>
      </c>
      <c r="E209">
        <f t="shared" si="19"/>
        <v>36.198124999999997</v>
      </c>
      <c r="F209" s="7">
        <v>0.25273390036452004</v>
      </c>
      <c r="G209">
        <f t="shared" si="20"/>
        <v>2</v>
      </c>
      <c r="H209" s="7">
        <f t="shared" si="21"/>
        <v>0.74726609963547996</v>
      </c>
      <c r="I209">
        <f t="shared" si="22"/>
        <v>4</v>
      </c>
      <c r="J209">
        <f>VLOOKUP(A209,'Housing Cost Calc'!$A$2:$C$827,3,FALSE)</f>
        <v>1032</v>
      </c>
      <c r="K209">
        <f t="shared" si="23"/>
        <v>0.34211716767097744</v>
      </c>
    </row>
    <row r="210" spans="1:11" ht="45" x14ac:dyDescent="0.25">
      <c r="A210" s="4" t="s">
        <v>3576</v>
      </c>
      <c r="B210">
        <v>64662</v>
      </c>
      <c r="C210">
        <v>3.17</v>
      </c>
      <c r="D210">
        <f t="shared" si="18"/>
        <v>36317.797446382494</v>
      </c>
      <c r="E210">
        <f t="shared" si="19"/>
        <v>36.317797446382492</v>
      </c>
      <c r="F210" s="7">
        <v>0.25394896719319565</v>
      </c>
      <c r="G210">
        <f t="shared" si="20"/>
        <v>2</v>
      </c>
      <c r="H210" s="7">
        <f t="shared" si="21"/>
        <v>0.7460510328068044</v>
      </c>
      <c r="I210">
        <f t="shared" si="22"/>
        <v>4</v>
      </c>
      <c r="J210">
        <f>VLOOKUP(A210,'Housing Cost Calc'!$A$2:$C$827,3,FALSE)</f>
        <v>1594</v>
      </c>
      <c r="K210">
        <f t="shared" si="23"/>
        <v>0.52668392206987436</v>
      </c>
    </row>
    <row r="211" spans="1:11" ht="60" x14ac:dyDescent="0.25">
      <c r="A211" s="4" t="s">
        <v>3436</v>
      </c>
      <c r="B211">
        <v>54482</v>
      </c>
      <c r="C211">
        <v>2.25</v>
      </c>
      <c r="D211">
        <f t="shared" si="18"/>
        <v>36321.333333333336</v>
      </c>
      <c r="E211">
        <f t="shared" si="19"/>
        <v>36.321333333333335</v>
      </c>
      <c r="F211" s="7">
        <v>0.25516403402187121</v>
      </c>
      <c r="G211">
        <f t="shared" si="20"/>
        <v>2</v>
      </c>
      <c r="H211" s="7">
        <f t="shared" si="21"/>
        <v>0.74483596597812873</v>
      </c>
      <c r="I211">
        <f t="shared" si="22"/>
        <v>4</v>
      </c>
      <c r="J211">
        <f>VLOOKUP(A211,'Housing Cost Calc'!$A$2:$C$827,3,FALSE)</f>
        <v>1230</v>
      </c>
      <c r="K211">
        <f t="shared" si="23"/>
        <v>0.40637274696229947</v>
      </c>
    </row>
    <row r="212" spans="1:11" ht="60" x14ac:dyDescent="0.25">
      <c r="A212" s="4" t="s">
        <v>3454</v>
      </c>
      <c r="B212">
        <v>56714</v>
      </c>
      <c r="C212">
        <v>2.42</v>
      </c>
      <c r="D212">
        <f t="shared" si="18"/>
        <v>36457.139989285322</v>
      </c>
      <c r="E212">
        <f t="shared" si="19"/>
        <v>36.457139989285324</v>
      </c>
      <c r="F212" s="7">
        <v>0.25637910085054677</v>
      </c>
      <c r="G212">
        <f t="shared" si="20"/>
        <v>2</v>
      </c>
      <c r="H212" s="7">
        <f t="shared" si="21"/>
        <v>0.74362089914945328</v>
      </c>
      <c r="I212">
        <f t="shared" si="22"/>
        <v>4</v>
      </c>
      <c r="J212">
        <f>VLOOKUP(A212,'Housing Cost Calc'!$A$2:$C$827,3,FALSE)</f>
        <v>1007</v>
      </c>
      <c r="K212">
        <f t="shared" si="23"/>
        <v>0.33145770632450772</v>
      </c>
    </row>
    <row r="213" spans="1:11" ht="60" x14ac:dyDescent="0.25">
      <c r="A213" s="4" t="s">
        <v>3480</v>
      </c>
      <c r="B213">
        <v>58229</v>
      </c>
      <c r="C213">
        <v>2.54</v>
      </c>
      <c r="D213">
        <f t="shared" si="18"/>
        <v>36536.124077389839</v>
      </c>
      <c r="E213">
        <f t="shared" si="19"/>
        <v>36.536124077389836</v>
      </c>
      <c r="F213" s="7">
        <v>0.25759416767922233</v>
      </c>
      <c r="G213">
        <f t="shared" si="20"/>
        <v>2</v>
      </c>
      <c r="H213" s="7">
        <f t="shared" si="21"/>
        <v>0.74240583232077761</v>
      </c>
      <c r="I213">
        <f t="shared" si="22"/>
        <v>4</v>
      </c>
      <c r="J213">
        <f>VLOOKUP(A213,'Housing Cost Calc'!$A$2:$C$827,3,FALSE)</f>
        <v>1130</v>
      </c>
      <c r="K213">
        <f t="shared" si="23"/>
        <v>0.37113953224150353</v>
      </c>
    </row>
    <row r="214" spans="1:11" ht="60" x14ac:dyDescent="0.25">
      <c r="A214" s="4" t="s">
        <v>3512</v>
      </c>
      <c r="B214">
        <v>61196</v>
      </c>
      <c r="C214">
        <v>2.74</v>
      </c>
      <c r="D214">
        <f t="shared" si="18"/>
        <v>36969.855623433512</v>
      </c>
      <c r="E214">
        <f t="shared" si="19"/>
        <v>36.96985562343351</v>
      </c>
      <c r="F214" s="7">
        <v>0.25880923450789795</v>
      </c>
      <c r="G214">
        <f t="shared" si="20"/>
        <v>2</v>
      </c>
      <c r="H214" s="7">
        <f t="shared" si="21"/>
        <v>0.74119076549210205</v>
      </c>
      <c r="I214">
        <f t="shared" si="22"/>
        <v>4</v>
      </c>
      <c r="J214">
        <f>VLOOKUP(A214,'Housing Cost Calc'!$A$2:$C$827,3,FALSE)</f>
        <v>1454</v>
      </c>
      <c r="K214">
        <f t="shared" si="23"/>
        <v>0.47195207300026637</v>
      </c>
    </row>
    <row r="215" spans="1:11" ht="60" x14ac:dyDescent="0.25">
      <c r="A215" s="4" t="s">
        <v>3458</v>
      </c>
      <c r="B215">
        <v>57072</v>
      </c>
      <c r="C215">
        <v>2.35</v>
      </c>
      <c r="D215">
        <f t="shared" si="18"/>
        <v>37229.667785306054</v>
      </c>
      <c r="E215">
        <f t="shared" si="19"/>
        <v>37.229667785306056</v>
      </c>
      <c r="F215" s="7">
        <v>0.2600243013365735</v>
      </c>
      <c r="G215">
        <f t="shared" si="20"/>
        <v>2</v>
      </c>
      <c r="H215" s="7">
        <f t="shared" si="21"/>
        <v>0.7399756986634265</v>
      </c>
      <c r="I215">
        <f t="shared" si="22"/>
        <v>4</v>
      </c>
      <c r="J215">
        <f>VLOOKUP(A215,'Housing Cost Calc'!$A$2:$C$827,3,FALSE)</f>
        <v>1136</v>
      </c>
      <c r="K215">
        <f t="shared" si="23"/>
        <v>0.36615959289812222</v>
      </c>
    </row>
    <row r="216" spans="1:11" ht="60" x14ac:dyDescent="0.25">
      <c r="A216" s="4" t="s">
        <v>3478</v>
      </c>
      <c r="B216">
        <v>58029</v>
      </c>
      <c r="C216">
        <v>2.41</v>
      </c>
      <c r="D216">
        <f t="shared" si="18"/>
        <v>37379.764873413813</v>
      </c>
      <c r="E216">
        <f t="shared" si="19"/>
        <v>37.379764873413812</v>
      </c>
      <c r="F216" s="7">
        <v>0.26123936816524906</v>
      </c>
      <c r="G216">
        <f t="shared" si="20"/>
        <v>2</v>
      </c>
      <c r="H216" s="7">
        <f t="shared" si="21"/>
        <v>0.73876063183475094</v>
      </c>
      <c r="I216">
        <f t="shared" si="22"/>
        <v>4</v>
      </c>
      <c r="J216">
        <f>VLOOKUP(A216,'Housing Cost Calc'!$A$2:$C$827,3,FALSE)</f>
        <v>1201</v>
      </c>
      <c r="K216">
        <f t="shared" si="23"/>
        <v>0.38555619728497731</v>
      </c>
    </row>
    <row r="217" spans="1:11" ht="60" x14ac:dyDescent="0.25">
      <c r="A217" s="4" t="s">
        <v>3483</v>
      </c>
      <c r="B217">
        <v>58278</v>
      </c>
      <c r="C217">
        <v>2.4300000000000002</v>
      </c>
      <c r="D217">
        <f t="shared" si="18"/>
        <v>37385.354430925567</v>
      </c>
      <c r="E217">
        <f t="shared" si="19"/>
        <v>37.385354430925567</v>
      </c>
      <c r="F217" s="7">
        <v>0.26245443499392468</v>
      </c>
      <c r="G217">
        <f t="shared" si="20"/>
        <v>2</v>
      </c>
      <c r="H217" s="7">
        <f t="shared" si="21"/>
        <v>0.73754556500607538</v>
      </c>
      <c r="I217">
        <f t="shared" si="22"/>
        <v>4</v>
      </c>
      <c r="J217">
        <f>VLOOKUP(A217,'Housing Cost Calc'!$A$2:$C$827,3,FALSE)</f>
        <v>1191</v>
      </c>
      <c r="K217">
        <f t="shared" si="23"/>
        <v>0.38228873893402238</v>
      </c>
    </row>
    <row r="218" spans="1:11" ht="45" x14ac:dyDescent="0.25">
      <c r="A218" s="4" t="s">
        <v>3446</v>
      </c>
      <c r="B218">
        <v>56009</v>
      </c>
      <c r="C218">
        <v>2.2400000000000002</v>
      </c>
      <c r="D218">
        <f t="shared" si="18"/>
        <v>37422.587245682444</v>
      </c>
      <c r="E218">
        <f t="shared" si="19"/>
        <v>37.422587245682443</v>
      </c>
      <c r="F218" s="7">
        <v>0.26366950182260024</v>
      </c>
      <c r="G218">
        <f t="shared" si="20"/>
        <v>2</v>
      </c>
      <c r="H218" s="7">
        <f t="shared" si="21"/>
        <v>0.73633049817739971</v>
      </c>
      <c r="I218">
        <f t="shared" si="22"/>
        <v>4</v>
      </c>
      <c r="J218">
        <f>VLOOKUP(A218,'Housing Cost Calc'!$A$2:$C$827,3,FALSE)</f>
        <v>1463</v>
      </c>
      <c r="K218">
        <f t="shared" si="23"/>
        <v>0.46912844065920345</v>
      </c>
    </row>
    <row r="219" spans="1:11" ht="60" x14ac:dyDescent="0.25">
      <c r="A219" s="4" t="s">
        <v>3499</v>
      </c>
      <c r="B219">
        <v>59552</v>
      </c>
      <c r="C219">
        <v>2.4700000000000002</v>
      </c>
      <c r="D219">
        <f t="shared" si="18"/>
        <v>37892.030204733514</v>
      </c>
      <c r="E219">
        <f t="shared" si="19"/>
        <v>37.892030204733516</v>
      </c>
      <c r="F219" s="7">
        <v>0.2648845686512758</v>
      </c>
      <c r="G219">
        <f t="shared" si="20"/>
        <v>2</v>
      </c>
      <c r="H219" s="7">
        <f t="shared" si="21"/>
        <v>0.73511543134872426</v>
      </c>
      <c r="I219">
        <f t="shared" si="22"/>
        <v>4</v>
      </c>
      <c r="J219">
        <f>VLOOKUP(A219,'Housing Cost Calc'!$A$2:$C$827,3,FALSE)</f>
        <v>1164</v>
      </c>
      <c r="K219">
        <f t="shared" si="23"/>
        <v>0.36862632919191285</v>
      </c>
    </row>
    <row r="220" spans="1:11" ht="60" x14ac:dyDescent="0.25">
      <c r="A220" s="4" t="s">
        <v>3464</v>
      </c>
      <c r="B220">
        <v>57358</v>
      </c>
      <c r="C220">
        <v>2.2599999999999998</v>
      </c>
      <c r="D220">
        <f t="shared" si="18"/>
        <v>38153.974056226252</v>
      </c>
      <c r="E220">
        <f t="shared" si="19"/>
        <v>38.153974056226254</v>
      </c>
      <c r="F220" s="7">
        <v>0.26609963547995141</v>
      </c>
      <c r="G220">
        <f t="shared" si="20"/>
        <v>2</v>
      </c>
      <c r="H220" s="7">
        <f t="shared" si="21"/>
        <v>0.73390036452004859</v>
      </c>
      <c r="I220">
        <f t="shared" si="22"/>
        <v>4</v>
      </c>
      <c r="J220">
        <f>VLOOKUP(A220,'Housing Cost Calc'!$A$2:$C$827,3,FALSE)</f>
        <v>1120</v>
      </c>
      <c r="K220">
        <f t="shared" si="23"/>
        <v>0.35225688365237956</v>
      </c>
    </row>
    <row r="221" spans="1:11" ht="60" x14ac:dyDescent="0.25">
      <c r="A221" s="4" t="s">
        <v>3546</v>
      </c>
      <c r="B221">
        <v>63167</v>
      </c>
      <c r="C221">
        <v>2.74</v>
      </c>
      <c r="D221">
        <f t="shared" si="18"/>
        <v>38160.58026938729</v>
      </c>
      <c r="E221">
        <f t="shared" si="19"/>
        <v>38.160580269387289</v>
      </c>
      <c r="F221" s="7">
        <v>0.26731470230862697</v>
      </c>
      <c r="G221">
        <f t="shared" si="20"/>
        <v>2</v>
      </c>
      <c r="H221" s="7">
        <f t="shared" si="21"/>
        <v>0.73268529769137303</v>
      </c>
      <c r="I221">
        <f t="shared" si="22"/>
        <v>4</v>
      </c>
      <c r="J221">
        <f>VLOOKUP(A221,'Housing Cost Calc'!$A$2:$C$827,3,FALSE)</f>
        <v>1345</v>
      </c>
      <c r="K221">
        <f t="shared" si="23"/>
        <v>0.42294954337860613</v>
      </c>
    </row>
    <row r="222" spans="1:11" ht="60" x14ac:dyDescent="0.25">
      <c r="A222" s="4" t="s">
        <v>3653</v>
      </c>
      <c r="B222">
        <v>71225</v>
      </c>
      <c r="C222">
        <v>3.45</v>
      </c>
      <c r="D222">
        <f t="shared" si="18"/>
        <v>38346.250974092836</v>
      </c>
      <c r="E222">
        <f t="shared" si="19"/>
        <v>38.34625097409284</v>
      </c>
      <c r="F222" s="7">
        <v>0.26852976913730253</v>
      </c>
      <c r="G222">
        <f t="shared" si="20"/>
        <v>2</v>
      </c>
      <c r="H222" s="7">
        <f t="shared" si="21"/>
        <v>0.73147023086269747</v>
      </c>
      <c r="I222">
        <f t="shared" si="22"/>
        <v>4</v>
      </c>
      <c r="J222">
        <f>VLOOKUP(A222,'Housing Cost Calc'!$A$2:$C$827,3,FALSE)</f>
        <v>1380</v>
      </c>
      <c r="K222">
        <f t="shared" si="23"/>
        <v>0.43185447284502793</v>
      </c>
    </row>
    <row r="223" spans="1:11" ht="60" x14ac:dyDescent="0.25">
      <c r="A223" s="4" t="s">
        <v>3460</v>
      </c>
      <c r="B223">
        <v>57218</v>
      </c>
      <c r="C223">
        <v>2.21</v>
      </c>
      <c r="D223">
        <f t="shared" si="18"/>
        <v>38488.991926881004</v>
      </c>
      <c r="E223">
        <f t="shared" si="19"/>
        <v>38.488991926881006</v>
      </c>
      <c r="F223" s="7">
        <v>0.26974483596597815</v>
      </c>
      <c r="G223">
        <f t="shared" si="20"/>
        <v>2</v>
      </c>
      <c r="H223" s="7">
        <f t="shared" si="21"/>
        <v>0.7302551640340218</v>
      </c>
      <c r="I223">
        <f t="shared" si="22"/>
        <v>4</v>
      </c>
      <c r="J223">
        <f>VLOOKUP(A223,'Housing Cost Calc'!$A$2:$C$827,3,FALSE)</f>
        <v>1035</v>
      </c>
      <c r="K223">
        <f t="shared" si="23"/>
        <v>0.32268966731045451</v>
      </c>
    </row>
    <row r="224" spans="1:11" ht="60" x14ac:dyDescent="0.25">
      <c r="A224" s="4" t="s">
        <v>3382</v>
      </c>
      <c r="B224">
        <v>51138</v>
      </c>
      <c r="C224">
        <v>1.76</v>
      </c>
      <c r="D224">
        <f t="shared" si="18"/>
        <v>38546.717847544191</v>
      </c>
      <c r="E224">
        <f t="shared" si="19"/>
        <v>38.546717847544194</v>
      </c>
      <c r="F224" s="7">
        <v>0.27095990279465371</v>
      </c>
      <c r="G224">
        <f t="shared" si="20"/>
        <v>2</v>
      </c>
      <c r="H224" s="7">
        <f t="shared" si="21"/>
        <v>0.72904009720534635</v>
      </c>
      <c r="I224">
        <f t="shared" si="22"/>
        <v>4</v>
      </c>
      <c r="J224">
        <f>VLOOKUP(A224,'Housing Cost Calc'!$A$2:$C$827,3,FALSE)</f>
        <v>1446</v>
      </c>
      <c r="K224">
        <f t="shared" si="23"/>
        <v>0.45015505778283782</v>
      </c>
    </row>
    <row r="225" spans="1:11" ht="60" x14ac:dyDescent="0.25">
      <c r="A225" s="4" t="s">
        <v>3538</v>
      </c>
      <c r="B225">
        <v>62927</v>
      </c>
      <c r="C225">
        <v>2.66</v>
      </c>
      <c r="D225">
        <f t="shared" si="18"/>
        <v>38583.019215770444</v>
      </c>
      <c r="E225">
        <f t="shared" si="19"/>
        <v>38.583019215770442</v>
      </c>
      <c r="F225" s="7">
        <v>0.27217496962332927</v>
      </c>
      <c r="G225">
        <f t="shared" si="20"/>
        <v>2</v>
      </c>
      <c r="H225" s="7">
        <f t="shared" si="21"/>
        <v>0.72782503037667068</v>
      </c>
      <c r="I225">
        <f t="shared" si="22"/>
        <v>4</v>
      </c>
      <c r="J225">
        <f>VLOOKUP(A225,'Housing Cost Calc'!$A$2:$C$827,3,FALSE)</f>
        <v>1377</v>
      </c>
      <c r="K225">
        <f t="shared" si="23"/>
        <v>0.42827130524938212</v>
      </c>
    </row>
    <row r="226" spans="1:11" ht="45" x14ac:dyDescent="0.25">
      <c r="A226" s="4" t="s">
        <v>3578</v>
      </c>
      <c r="B226">
        <v>65113</v>
      </c>
      <c r="C226">
        <v>2.83</v>
      </c>
      <c r="D226">
        <f t="shared" si="18"/>
        <v>38705.660915760047</v>
      </c>
      <c r="E226">
        <f t="shared" si="19"/>
        <v>38.705660915760049</v>
      </c>
      <c r="F226" s="7">
        <v>0.27339003645200488</v>
      </c>
      <c r="G226">
        <f t="shared" si="20"/>
        <v>2</v>
      </c>
      <c r="H226" s="7">
        <f t="shared" si="21"/>
        <v>0.72660996354799512</v>
      </c>
      <c r="I226">
        <f t="shared" si="22"/>
        <v>4</v>
      </c>
      <c r="J226">
        <f>VLOOKUP(A226,'Housing Cost Calc'!$A$2:$C$827,3,FALSE)</f>
        <v>1492</v>
      </c>
      <c r="K226">
        <f t="shared" si="23"/>
        <v>0.46256799590547509</v>
      </c>
    </row>
    <row r="227" spans="1:11" ht="60" x14ac:dyDescent="0.25">
      <c r="A227" s="4" t="s">
        <v>3472</v>
      </c>
      <c r="B227">
        <v>57917</v>
      </c>
      <c r="C227">
        <v>2.23</v>
      </c>
      <c r="D227">
        <f t="shared" si="18"/>
        <v>38784.091839575507</v>
      </c>
      <c r="E227">
        <f t="shared" si="19"/>
        <v>38.78409183957551</v>
      </c>
      <c r="F227" s="7">
        <v>0.27460510328068044</v>
      </c>
      <c r="G227">
        <f t="shared" si="20"/>
        <v>2</v>
      </c>
      <c r="H227" s="7">
        <f t="shared" si="21"/>
        <v>0.72539489671931956</v>
      </c>
      <c r="I227">
        <f t="shared" si="22"/>
        <v>4</v>
      </c>
      <c r="J227">
        <f>VLOOKUP(A227,'Housing Cost Calc'!$A$2:$C$827,3,FALSE)</f>
        <v>1077</v>
      </c>
      <c r="K227">
        <f t="shared" si="23"/>
        <v>0.33322940894060787</v>
      </c>
    </row>
    <row r="228" spans="1:11" ht="60" x14ac:dyDescent="0.25">
      <c r="A228" s="4" t="s">
        <v>3489</v>
      </c>
      <c r="B228">
        <v>58889</v>
      </c>
      <c r="C228">
        <v>2.2999999999999998</v>
      </c>
      <c r="D228">
        <f t="shared" si="18"/>
        <v>38830.256697804507</v>
      </c>
      <c r="E228">
        <f t="shared" si="19"/>
        <v>38.830256697804508</v>
      </c>
      <c r="F228" s="7">
        <v>0.275820170109356</v>
      </c>
      <c r="G228">
        <f t="shared" si="20"/>
        <v>2</v>
      </c>
      <c r="H228" s="7">
        <f t="shared" si="21"/>
        <v>0.724179829890644</v>
      </c>
      <c r="I228">
        <f t="shared" si="22"/>
        <v>4</v>
      </c>
      <c r="J228">
        <f>VLOOKUP(A228,'Housing Cost Calc'!$A$2:$C$827,3,FALSE)</f>
        <v>1280</v>
      </c>
      <c r="K228">
        <f t="shared" si="23"/>
        <v>0.39556782020625852</v>
      </c>
    </row>
    <row r="229" spans="1:11" ht="60" x14ac:dyDescent="0.25">
      <c r="A229" s="4" t="s">
        <v>3462</v>
      </c>
      <c r="B229">
        <v>57286</v>
      </c>
      <c r="C229">
        <v>2.17</v>
      </c>
      <c r="D229">
        <f t="shared" si="18"/>
        <v>38888.270748945855</v>
      </c>
      <c r="E229">
        <f t="shared" si="19"/>
        <v>38.888270748945857</v>
      </c>
      <c r="F229" s="7">
        <v>0.27703523693803161</v>
      </c>
      <c r="G229">
        <f t="shared" si="20"/>
        <v>2</v>
      </c>
      <c r="H229" s="7">
        <f t="shared" si="21"/>
        <v>0.72296476306196844</v>
      </c>
      <c r="I229">
        <f t="shared" si="22"/>
        <v>4</v>
      </c>
      <c r="J229">
        <f>VLOOKUP(A229,'Housing Cost Calc'!$A$2:$C$827,3,FALSE)</f>
        <v>1094</v>
      </c>
      <c r="K229">
        <f t="shared" si="23"/>
        <v>0.33758250874027002</v>
      </c>
    </row>
    <row r="230" spans="1:11" ht="60" x14ac:dyDescent="0.25">
      <c r="A230" s="4" t="s">
        <v>3493</v>
      </c>
      <c r="B230">
        <v>59018</v>
      </c>
      <c r="C230">
        <v>2.2999999999999998</v>
      </c>
      <c r="D230">
        <f t="shared" si="18"/>
        <v>38915.316778872562</v>
      </c>
      <c r="E230">
        <f t="shared" si="19"/>
        <v>38.915316778872565</v>
      </c>
      <c r="F230" s="7">
        <v>0.27825030376670717</v>
      </c>
      <c r="G230">
        <f t="shared" si="20"/>
        <v>2</v>
      </c>
      <c r="H230" s="7">
        <f t="shared" si="21"/>
        <v>0.72174969623329277</v>
      </c>
      <c r="I230">
        <f t="shared" si="22"/>
        <v>4</v>
      </c>
      <c r="J230">
        <f>VLOOKUP(A230,'Housing Cost Calc'!$A$2:$C$827,3,FALSE)</f>
        <v>1070</v>
      </c>
      <c r="K230">
        <f t="shared" si="23"/>
        <v>0.32994720492602903</v>
      </c>
    </row>
    <row r="231" spans="1:11" ht="60" x14ac:dyDescent="0.25">
      <c r="A231" s="4" t="s">
        <v>3567</v>
      </c>
      <c r="B231">
        <v>64241</v>
      </c>
      <c r="C231">
        <v>2.72</v>
      </c>
      <c r="D231">
        <f t="shared" si="18"/>
        <v>38951.827719897665</v>
      </c>
      <c r="E231">
        <f t="shared" si="19"/>
        <v>38.951827719897665</v>
      </c>
      <c r="F231" s="7">
        <v>0.27946537059538273</v>
      </c>
      <c r="G231">
        <f t="shared" si="20"/>
        <v>2</v>
      </c>
      <c r="H231" s="7">
        <f t="shared" si="21"/>
        <v>0.72053462940461732</v>
      </c>
      <c r="I231">
        <f t="shared" si="22"/>
        <v>4</v>
      </c>
      <c r="J231">
        <f>VLOOKUP(A231,'Housing Cost Calc'!$A$2:$C$827,3,FALSE)</f>
        <v>1235</v>
      </c>
      <c r="K231">
        <f t="shared" si="23"/>
        <v>0.38046995141204981</v>
      </c>
    </row>
    <row r="232" spans="1:11" ht="60" x14ac:dyDescent="0.25">
      <c r="A232" s="4" t="s">
        <v>3442</v>
      </c>
      <c r="B232">
        <v>55565</v>
      </c>
      <c r="C232">
        <v>2.0299999999999998</v>
      </c>
      <c r="D232">
        <f t="shared" si="18"/>
        <v>38998.984608481936</v>
      </c>
      <c r="E232">
        <f t="shared" si="19"/>
        <v>38.998984608481933</v>
      </c>
      <c r="F232" s="7">
        <v>0.28068043742405835</v>
      </c>
      <c r="G232">
        <f t="shared" si="20"/>
        <v>2</v>
      </c>
      <c r="H232" s="7">
        <f t="shared" si="21"/>
        <v>0.71931956257594165</v>
      </c>
      <c r="I232">
        <f t="shared" si="22"/>
        <v>4</v>
      </c>
      <c r="J232">
        <f>VLOOKUP(A232,'Housing Cost Calc'!$A$2:$C$827,3,FALSE)</f>
        <v>1268</v>
      </c>
      <c r="K232">
        <f t="shared" si="23"/>
        <v>0.39016400433899129</v>
      </c>
    </row>
    <row r="233" spans="1:11" ht="60" x14ac:dyDescent="0.25">
      <c r="A233" s="4" t="s">
        <v>3516</v>
      </c>
      <c r="B233">
        <v>61675</v>
      </c>
      <c r="C233">
        <v>2.4900000000000002</v>
      </c>
      <c r="D233">
        <f t="shared" si="18"/>
        <v>39084.943151097177</v>
      </c>
      <c r="E233">
        <f t="shared" si="19"/>
        <v>39.084943151097178</v>
      </c>
      <c r="F233" s="7">
        <v>0.28189550425273391</v>
      </c>
      <c r="G233">
        <f t="shared" si="20"/>
        <v>2</v>
      </c>
      <c r="H233" s="7">
        <f t="shared" si="21"/>
        <v>0.71810449574726609</v>
      </c>
      <c r="I233">
        <f t="shared" si="22"/>
        <v>4</v>
      </c>
      <c r="J233">
        <f>VLOOKUP(A233,'Housing Cost Calc'!$A$2:$C$827,3,FALSE)</f>
        <v>1167</v>
      </c>
      <c r="K233">
        <f t="shared" si="23"/>
        <v>0.35829654263183663</v>
      </c>
    </row>
    <row r="234" spans="1:11" ht="60" x14ac:dyDescent="0.25">
      <c r="A234" s="4" t="s">
        <v>3422</v>
      </c>
      <c r="B234">
        <v>53648</v>
      </c>
      <c r="C234">
        <v>1.88</v>
      </c>
      <c r="D234">
        <f t="shared" si="18"/>
        <v>39126.825319395233</v>
      </c>
      <c r="E234">
        <f t="shared" si="19"/>
        <v>39.12682531939523</v>
      </c>
      <c r="F234" s="7">
        <v>0.28311057108140947</v>
      </c>
      <c r="G234">
        <f t="shared" si="20"/>
        <v>2</v>
      </c>
      <c r="H234" s="7">
        <f t="shared" si="21"/>
        <v>0.71688942891859053</v>
      </c>
      <c r="I234">
        <f t="shared" si="22"/>
        <v>4</v>
      </c>
      <c r="J234">
        <f>VLOOKUP(A234,'Housing Cost Calc'!$A$2:$C$827,3,FALSE)</f>
        <v>1119</v>
      </c>
      <c r="K234">
        <f t="shared" si="23"/>
        <v>0.34319165662908302</v>
      </c>
    </row>
    <row r="235" spans="1:11" ht="60" x14ac:dyDescent="0.25">
      <c r="A235" s="4" t="s">
        <v>3580</v>
      </c>
      <c r="B235">
        <v>65192</v>
      </c>
      <c r="C235">
        <v>2.77</v>
      </c>
      <c r="D235">
        <f t="shared" si="18"/>
        <v>39170.076547677338</v>
      </c>
      <c r="E235">
        <f t="shared" si="19"/>
        <v>39.17007654767734</v>
      </c>
      <c r="F235" s="7">
        <v>0.28432563791008503</v>
      </c>
      <c r="G235">
        <f t="shared" si="20"/>
        <v>2</v>
      </c>
      <c r="H235" s="7">
        <f t="shared" si="21"/>
        <v>0.71567436208991497</v>
      </c>
      <c r="I235">
        <f t="shared" si="22"/>
        <v>4</v>
      </c>
      <c r="J235">
        <f>VLOOKUP(A235,'Housing Cost Calc'!$A$2:$C$827,3,FALSE)</f>
        <v>1124</v>
      </c>
      <c r="K235">
        <f t="shared" si="23"/>
        <v>0.34434448918123944</v>
      </c>
    </row>
    <row r="236" spans="1:11" ht="60" x14ac:dyDescent="0.25">
      <c r="A236" s="4" t="s">
        <v>3415</v>
      </c>
      <c r="B236">
        <v>60160</v>
      </c>
      <c r="C236">
        <v>2.34</v>
      </c>
      <c r="D236">
        <f t="shared" si="18"/>
        <v>39327.822299710504</v>
      </c>
      <c r="E236">
        <f t="shared" si="19"/>
        <v>39.327822299710505</v>
      </c>
      <c r="F236" s="7">
        <v>0.28554070473876064</v>
      </c>
      <c r="G236">
        <f t="shared" si="20"/>
        <v>2</v>
      </c>
      <c r="H236" s="7">
        <f t="shared" si="21"/>
        <v>0.71445929526123941</v>
      </c>
      <c r="I236">
        <f t="shared" si="22"/>
        <v>4</v>
      </c>
      <c r="J236">
        <f>VLOOKUP(A236,'Housing Cost Calc'!$A$2:$C$827,3,FALSE)</f>
        <v>1013</v>
      </c>
      <c r="K236">
        <f t="shared" si="23"/>
        <v>0.30909415495628606</v>
      </c>
    </row>
    <row r="237" spans="1:11" ht="60" x14ac:dyDescent="0.25">
      <c r="A237" s="4" t="s">
        <v>3562</v>
      </c>
      <c r="B237">
        <v>63715</v>
      </c>
      <c r="C237">
        <v>2.61</v>
      </c>
      <c r="D237">
        <f t="shared" si="18"/>
        <v>39438.594906502869</v>
      </c>
      <c r="E237">
        <f t="shared" si="19"/>
        <v>39.438594906502871</v>
      </c>
      <c r="F237" s="7">
        <v>0.2867557715674362</v>
      </c>
      <c r="G237">
        <f t="shared" si="20"/>
        <v>2</v>
      </c>
      <c r="H237" s="7">
        <f t="shared" si="21"/>
        <v>0.71324422843256374</v>
      </c>
      <c r="I237">
        <f t="shared" si="22"/>
        <v>4</v>
      </c>
      <c r="J237">
        <f>VLOOKUP(A237,'Housing Cost Calc'!$A$2:$C$827,3,FALSE)</f>
        <v>1457</v>
      </c>
      <c r="K237">
        <f t="shared" si="23"/>
        <v>0.44332208187054695</v>
      </c>
    </row>
    <row r="238" spans="1:11" ht="45" x14ac:dyDescent="0.25">
      <c r="A238" s="4" t="s">
        <v>3593</v>
      </c>
      <c r="B238">
        <v>66250</v>
      </c>
      <c r="C238">
        <v>2.81</v>
      </c>
      <c r="D238">
        <f t="shared" si="18"/>
        <v>39521.436590512953</v>
      </c>
      <c r="E238">
        <f t="shared" si="19"/>
        <v>39.521436590512955</v>
      </c>
      <c r="F238" s="7">
        <v>0.28797083839611176</v>
      </c>
      <c r="G238">
        <f t="shared" si="20"/>
        <v>2</v>
      </c>
      <c r="H238" s="7">
        <f t="shared" si="21"/>
        <v>0.71202916160388829</v>
      </c>
      <c r="I238">
        <f t="shared" si="22"/>
        <v>4</v>
      </c>
      <c r="J238">
        <f>VLOOKUP(A238,'Housing Cost Calc'!$A$2:$C$827,3,FALSE)</f>
        <v>2096</v>
      </c>
      <c r="K238">
        <f t="shared" si="23"/>
        <v>0.6364141126903694</v>
      </c>
    </row>
    <row r="239" spans="1:11" ht="60" x14ac:dyDescent="0.25">
      <c r="A239" s="4" t="s">
        <v>3526</v>
      </c>
      <c r="B239">
        <v>62120</v>
      </c>
      <c r="C239">
        <v>2.4700000000000002</v>
      </c>
      <c r="D239">
        <f t="shared" si="18"/>
        <v>39526.009476055311</v>
      </c>
      <c r="E239">
        <f t="shared" si="19"/>
        <v>39.526009476055314</v>
      </c>
      <c r="F239" s="7">
        <v>0.28918590522478738</v>
      </c>
      <c r="G239">
        <f t="shared" si="20"/>
        <v>2</v>
      </c>
      <c r="H239" s="7">
        <f t="shared" si="21"/>
        <v>0.71081409477521262</v>
      </c>
      <c r="I239">
        <f t="shared" si="22"/>
        <v>4</v>
      </c>
      <c r="J239">
        <f>VLOOKUP(A239,'Housing Cost Calc'!$A$2:$C$827,3,FALSE)</f>
        <v>1268</v>
      </c>
      <c r="K239">
        <f t="shared" si="23"/>
        <v>0.38496170500636517</v>
      </c>
    </row>
    <row r="240" spans="1:11" ht="60" x14ac:dyDescent="0.25">
      <c r="A240" s="4" t="s">
        <v>3533</v>
      </c>
      <c r="B240">
        <v>62700</v>
      </c>
      <c r="C240">
        <v>2.5099999999999998</v>
      </c>
      <c r="D240">
        <f t="shared" si="18"/>
        <v>39575.889074232262</v>
      </c>
      <c r="E240">
        <f t="shared" si="19"/>
        <v>39.575889074232265</v>
      </c>
      <c r="F240" s="7">
        <v>0.29040097205346294</v>
      </c>
      <c r="G240">
        <f t="shared" si="20"/>
        <v>2</v>
      </c>
      <c r="H240" s="7">
        <f t="shared" si="21"/>
        <v>0.70959902794653706</v>
      </c>
      <c r="I240">
        <f t="shared" si="22"/>
        <v>4</v>
      </c>
      <c r="J240">
        <f>VLOOKUP(A240,'Housing Cost Calc'!$A$2:$C$827,3,FALSE)</f>
        <v>1198</v>
      </c>
      <c r="K240">
        <f t="shared" si="23"/>
        <v>0.36325147296211141</v>
      </c>
    </row>
    <row r="241" spans="1:11" ht="60" x14ac:dyDescent="0.25">
      <c r="A241" s="4" t="s">
        <v>3552</v>
      </c>
      <c r="B241">
        <v>63468</v>
      </c>
      <c r="C241">
        <v>2.57</v>
      </c>
      <c r="D241">
        <f t="shared" si="18"/>
        <v>39590.250656969984</v>
      </c>
      <c r="E241">
        <f t="shared" si="19"/>
        <v>39.590250656969985</v>
      </c>
      <c r="F241" s="7">
        <v>0.2916160388821385</v>
      </c>
      <c r="G241">
        <f t="shared" si="20"/>
        <v>2</v>
      </c>
      <c r="H241" s="7">
        <f t="shared" si="21"/>
        <v>0.7083839611178615</v>
      </c>
      <c r="I241">
        <f t="shared" si="22"/>
        <v>4</v>
      </c>
      <c r="J241">
        <f>VLOOKUP(A241,'Housing Cost Calc'!$A$2:$C$827,3,FALSE)</f>
        <v>1283</v>
      </c>
      <c r="K241">
        <f t="shared" si="23"/>
        <v>0.38888362019727418</v>
      </c>
    </row>
    <row r="242" spans="1:11" ht="60" x14ac:dyDescent="0.25">
      <c r="A242" s="4" t="s">
        <v>3522</v>
      </c>
      <c r="B242">
        <v>62054</v>
      </c>
      <c r="C242">
        <v>2.4300000000000002</v>
      </c>
      <c r="D242">
        <f t="shared" si="18"/>
        <v>39807.659560325599</v>
      </c>
      <c r="E242">
        <f t="shared" si="19"/>
        <v>39.807659560325597</v>
      </c>
      <c r="F242" s="7">
        <v>0.29283110571081411</v>
      </c>
      <c r="G242">
        <f t="shared" si="20"/>
        <v>2</v>
      </c>
      <c r="H242" s="7">
        <f t="shared" si="21"/>
        <v>0.70716889428918583</v>
      </c>
      <c r="I242">
        <f t="shared" si="22"/>
        <v>4</v>
      </c>
      <c r="J242">
        <f>VLOOKUP(A242,'Housing Cost Calc'!$A$2:$C$827,3,FALSE)</f>
        <v>1097</v>
      </c>
      <c r="K242">
        <f t="shared" si="23"/>
        <v>0.3306901271111134</v>
      </c>
    </row>
    <row r="243" spans="1:11" ht="45" x14ac:dyDescent="0.25">
      <c r="A243" s="4" t="s">
        <v>3640</v>
      </c>
      <c r="B243">
        <v>70469</v>
      </c>
      <c r="C243">
        <v>3.11</v>
      </c>
      <c r="D243">
        <f t="shared" si="18"/>
        <v>39959.303899933024</v>
      </c>
      <c r="E243">
        <f t="shared" si="19"/>
        <v>39.959303899933026</v>
      </c>
      <c r="F243" s="7">
        <v>0.29404617253948967</v>
      </c>
      <c r="G243">
        <f t="shared" si="20"/>
        <v>2</v>
      </c>
      <c r="H243" s="7">
        <f t="shared" si="21"/>
        <v>0.70595382746051039</v>
      </c>
      <c r="I243">
        <f t="shared" si="22"/>
        <v>4</v>
      </c>
      <c r="J243">
        <f>VLOOKUP(A243,'Housing Cost Calc'!$A$2:$C$827,3,FALSE)</f>
        <v>1660</v>
      </c>
      <c r="K243">
        <f t="shared" si="23"/>
        <v>0.49850718245453191</v>
      </c>
    </row>
    <row r="244" spans="1:11" ht="60" x14ac:dyDescent="0.25">
      <c r="A244" s="4" t="s">
        <v>3520</v>
      </c>
      <c r="B244">
        <v>61844</v>
      </c>
      <c r="C244">
        <v>2.37</v>
      </c>
      <c r="D244">
        <f t="shared" si="18"/>
        <v>40171.994863437096</v>
      </c>
      <c r="E244">
        <f t="shared" si="19"/>
        <v>40.171994863437092</v>
      </c>
      <c r="F244" s="7">
        <v>0.29526123936816523</v>
      </c>
      <c r="G244">
        <f t="shared" si="20"/>
        <v>2</v>
      </c>
      <c r="H244" s="7">
        <f t="shared" si="21"/>
        <v>0.70473876063183472</v>
      </c>
      <c r="I244">
        <f t="shared" si="22"/>
        <v>4</v>
      </c>
      <c r="J244">
        <f>VLOOKUP(A244,'Housing Cost Calc'!$A$2:$C$827,3,FALSE)</f>
        <v>1541</v>
      </c>
      <c r="K244">
        <f t="shared" si="23"/>
        <v>0.4603206801868498</v>
      </c>
    </row>
    <row r="245" spans="1:11" ht="60" x14ac:dyDescent="0.25">
      <c r="A245" s="4" t="s">
        <v>3535</v>
      </c>
      <c r="B245">
        <v>62788</v>
      </c>
      <c r="C245">
        <v>2.44</v>
      </c>
      <c r="D245">
        <f t="shared" si="18"/>
        <v>40195.898086133362</v>
      </c>
      <c r="E245">
        <f t="shared" si="19"/>
        <v>40.195898086133361</v>
      </c>
      <c r="F245" s="7">
        <v>0.29647630619684084</v>
      </c>
      <c r="G245">
        <f t="shared" si="20"/>
        <v>2</v>
      </c>
      <c r="H245" s="7">
        <f t="shared" si="21"/>
        <v>0.70352369380315916</v>
      </c>
      <c r="I245">
        <f t="shared" si="22"/>
        <v>4</v>
      </c>
      <c r="J245">
        <f>VLOOKUP(A245,'Housing Cost Calc'!$A$2:$C$827,3,FALSE)</f>
        <v>1102</v>
      </c>
      <c r="K245">
        <f t="shared" si="23"/>
        <v>0.328988793126679</v>
      </c>
    </row>
    <row r="246" spans="1:11" ht="60" x14ac:dyDescent="0.25">
      <c r="A246" s="4" t="s">
        <v>3497</v>
      </c>
      <c r="B246">
        <v>59402</v>
      </c>
      <c r="C246">
        <v>2.1800000000000002</v>
      </c>
      <c r="D246">
        <f t="shared" si="18"/>
        <v>40232.110982751583</v>
      </c>
      <c r="E246">
        <f t="shared" si="19"/>
        <v>40.232110982751585</v>
      </c>
      <c r="F246" s="7">
        <v>0.2976913730255164</v>
      </c>
      <c r="G246">
        <f t="shared" si="20"/>
        <v>2</v>
      </c>
      <c r="H246" s="7">
        <f t="shared" si="21"/>
        <v>0.7023086269744836</v>
      </c>
      <c r="I246">
        <f t="shared" si="22"/>
        <v>4</v>
      </c>
      <c r="J246">
        <f>VLOOKUP(A246,'Housing Cost Calc'!$A$2:$C$827,3,FALSE)</f>
        <v>1195</v>
      </c>
      <c r="K246">
        <f t="shared" si="23"/>
        <v>0.35643170715421529</v>
      </c>
    </row>
    <row r="247" spans="1:11" ht="60" x14ac:dyDescent="0.25">
      <c r="A247" s="4" t="s">
        <v>3510</v>
      </c>
      <c r="B247">
        <v>61071</v>
      </c>
      <c r="C247">
        <v>2.2999999999999998</v>
      </c>
      <c r="D247">
        <f t="shared" si="18"/>
        <v>40269.02489075411</v>
      </c>
      <c r="E247">
        <f t="shared" si="19"/>
        <v>40.26902489075411</v>
      </c>
      <c r="F247" s="7">
        <v>0.29890643985419196</v>
      </c>
      <c r="G247">
        <f t="shared" si="20"/>
        <v>2</v>
      </c>
      <c r="H247" s="7">
        <f t="shared" si="21"/>
        <v>0.70109356014580804</v>
      </c>
      <c r="I247">
        <f t="shared" si="22"/>
        <v>4</v>
      </c>
      <c r="J247">
        <f>VLOOKUP(A247,'Housing Cost Calc'!$A$2:$C$827,3,FALSE)</f>
        <v>1124</v>
      </c>
      <c r="K247">
        <f t="shared" si="23"/>
        <v>0.3349472711741</v>
      </c>
    </row>
    <row r="248" spans="1:11" ht="60" x14ac:dyDescent="0.25">
      <c r="A248" s="4" t="s">
        <v>3487</v>
      </c>
      <c r="B248">
        <v>58875</v>
      </c>
      <c r="C248">
        <v>2.13</v>
      </c>
      <c r="D248">
        <f t="shared" si="18"/>
        <v>40340.485291095931</v>
      </c>
      <c r="E248">
        <f t="shared" si="19"/>
        <v>40.340485291095931</v>
      </c>
      <c r="F248" s="7">
        <v>0.30012150668286758</v>
      </c>
      <c r="G248">
        <f t="shared" si="20"/>
        <v>2</v>
      </c>
      <c r="H248" s="7">
        <f t="shared" si="21"/>
        <v>0.69987849331713248</v>
      </c>
      <c r="I248">
        <f t="shared" si="22"/>
        <v>4</v>
      </c>
      <c r="J248">
        <f>VLOOKUP(A248,'Housing Cost Calc'!$A$2:$C$827,3,FALSE)</f>
        <v>1410</v>
      </c>
      <c r="K248">
        <f t="shared" si="23"/>
        <v>0.41942975841529184</v>
      </c>
    </row>
    <row r="249" spans="1:11" ht="60" x14ac:dyDescent="0.25">
      <c r="A249" s="4" t="s">
        <v>3605</v>
      </c>
      <c r="B249">
        <v>67314</v>
      </c>
      <c r="C249">
        <v>2.78</v>
      </c>
      <c r="D249">
        <f t="shared" si="18"/>
        <v>40372.254326758382</v>
      </c>
      <c r="E249">
        <f t="shared" si="19"/>
        <v>40.37225432675838</v>
      </c>
      <c r="F249" s="7">
        <v>0.30133657351154314</v>
      </c>
      <c r="G249">
        <f t="shared" si="20"/>
        <v>2</v>
      </c>
      <c r="H249" s="7">
        <f t="shared" si="21"/>
        <v>0.69866342648845681</v>
      </c>
      <c r="I249">
        <f t="shared" si="22"/>
        <v>4</v>
      </c>
      <c r="J249">
        <f>VLOOKUP(A249,'Housing Cost Calc'!$A$2:$C$827,3,FALSE)</f>
        <v>1320</v>
      </c>
      <c r="K249">
        <f t="shared" si="23"/>
        <v>0.39234866281671532</v>
      </c>
    </row>
    <row r="250" spans="1:11" ht="60" x14ac:dyDescent="0.25">
      <c r="A250" s="4" t="s">
        <v>3461</v>
      </c>
      <c r="B250">
        <v>60694</v>
      </c>
      <c r="C250">
        <v>2.2200000000000002</v>
      </c>
      <c r="D250">
        <f t="shared" si="18"/>
        <v>40735.145615159992</v>
      </c>
      <c r="E250">
        <f t="shared" si="19"/>
        <v>40.735145615159993</v>
      </c>
      <c r="F250" s="7">
        <v>0.3025516403402187</v>
      </c>
      <c r="G250">
        <f t="shared" si="20"/>
        <v>2</v>
      </c>
      <c r="H250" s="7">
        <f t="shared" si="21"/>
        <v>0.69744835965978136</v>
      </c>
      <c r="I250">
        <f t="shared" si="22"/>
        <v>4</v>
      </c>
      <c r="J250">
        <f>VLOOKUP(A250,'Housing Cost Calc'!$A$2:$C$827,3,FALSE)</f>
        <v>1066</v>
      </c>
      <c r="K250">
        <f t="shared" si="23"/>
        <v>0.31402858162950398</v>
      </c>
    </row>
    <row r="251" spans="1:11" ht="60" x14ac:dyDescent="0.25">
      <c r="A251" s="4" t="s">
        <v>3556</v>
      </c>
      <c r="B251">
        <v>63536</v>
      </c>
      <c r="C251">
        <v>2.4300000000000002</v>
      </c>
      <c r="D251">
        <f t="shared" si="18"/>
        <v>40758.363003591185</v>
      </c>
      <c r="E251">
        <f t="shared" si="19"/>
        <v>40.758363003591185</v>
      </c>
      <c r="F251" s="7">
        <v>0.30376670716889431</v>
      </c>
      <c r="G251">
        <f t="shared" si="20"/>
        <v>2</v>
      </c>
      <c r="H251" s="7">
        <f t="shared" si="21"/>
        <v>0.69623329283110569</v>
      </c>
      <c r="I251">
        <f t="shared" si="22"/>
        <v>4</v>
      </c>
      <c r="J251">
        <f>VLOOKUP(A251,'Housing Cost Calc'!$A$2:$C$827,3,FALSE)</f>
        <v>1379</v>
      </c>
      <c r="K251">
        <f t="shared" si="23"/>
        <v>0.40600256684847646</v>
      </c>
    </row>
    <row r="252" spans="1:11" ht="45" x14ac:dyDescent="0.25">
      <c r="A252" s="4" t="s">
        <v>3544</v>
      </c>
      <c r="B252">
        <v>63141</v>
      </c>
      <c r="C252">
        <v>2.39</v>
      </c>
      <c r="D252">
        <f t="shared" si="18"/>
        <v>40842.517641305298</v>
      </c>
      <c r="E252">
        <f t="shared" si="19"/>
        <v>40.842517641305299</v>
      </c>
      <c r="F252" s="7">
        <v>0.30498177399756987</v>
      </c>
      <c r="G252">
        <f t="shared" si="20"/>
        <v>2</v>
      </c>
      <c r="H252" s="7">
        <f t="shared" si="21"/>
        <v>0.69501822600243013</v>
      </c>
      <c r="I252">
        <f t="shared" si="22"/>
        <v>4</v>
      </c>
      <c r="J252">
        <f>VLOOKUP(A252,'Housing Cost Calc'!$A$2:$C$827,3,FALSE)</f>
        <v>1526</v>
      </c>
      <c r="K252">
        <f t="shared" si="23"/>
        <v>0.44835629773911168</v>
      </c>
    </row>
    <row r="253" spans="1:11" ht="60" x14ac:dyDescent="0.25">
      <c r="A253" s="4" t="s">
        <v>3624</v>
      </c>
      <c r="B253">
        <v>68599</v>
      </c>
      <c r="C253">
        <v>2.77</v>
      </c>
      <c r="D253">
        <f t="shared" si="18"/>
        <v>41217.144451682994</v>
      </c>
      <c r="E253">
        <f t="shared" si="19"/>
        <v>41.217144451682991</v>
      </c>
      <c r="F253" s="7">
        <v>0.30619684082624543</v>
      </c>
      <c r="G253">
        <f t="shared" si="20"/>
        <v>2</v>
      </c>
      <c r="H253" s="7">
        <f t="shared" si="21"/>
        <v>0.69380315917375457</v>
      </c>
      <c r="I253">
        <f t="shared" si="22"/>
        <v>4</v>
      </c>
      <c r="J253">
        <f>VLOOKUP(A253,'Housing Cost Calc'!$A$2:$C$827,3,FALSE)</f>
        <v>1630</v>
      </c>
      <c r="K253">
        <f t="shared" si="23"/>
        <v>0.47455980418365246</v>
      </c>
    </row>
    <row r="254" spans="1:11" ht="60" x14ac:dyDescent="0.25">
      <c r="A254" s="4" t="s">
        <v>3560</v>
      </c>
      <c r="B254">
        <v>63667</v>
      </c>
      <c r="C254">
        <v>2.36</v>
      </c>
      <c r="D254">
        <f t="shared" si="18"/>
        <v>41443.686977080564</v>
      </c>
      <c r="E254">
        <f t="shared" si="19"/>
        <v>41.443686977080567</v>
      </c>
      <c r="F254" s="7">
        <v>0.30741190765492105</v>
      </c>
      <c r="G254">
        <f t="shared" si="20"/>
        <v>2</v>
      </c>
      <c r="H254" s="7">
        <f t="shared" si="21"/>
        <v>0.6925880923450789</v>
      </c>
      <c r="I254">
        <f t="shared" si="22"/>
        <v>4</v>
      </c>
      <c r="J254">
        <f>VLOOKUP(A254,'Housing Cost Calc'!$A$2:$C$827,3,FALSE)</f>
        <v>1214</v>
      </c>
      <c r="K254">
        <f t="shared" si="23"/>
        <v>0.35151312691017289</v>
      </c>
    </row>
    <row r="255" spans="1:11" ht="60" x14ac:dyDescent="0.25">
      <c r="A255" s="4" t="s">
        <v>3531</v>
      </c>
      <c r="B255">
        <v>62462</v>
      </c>
      <c r="C255">
        <v>2.27</v>
      </c>
      <c r="D255">
        <f t="shared" si="18"/>
        <v>41457.485489157451</v>
      </c>
      <c r="E255">
        <f t="shared" si="19"/>
        <v>41.457485489157449</v>
      </c>
      <c r="F255" s="7">
        <v>0.30862697448359661</v>
      </c>
      <c r="G255">
        <f t="shared" si="20"/>
        <v>2</v>
      </c>
      <c r="H255" s="7">
        <f t="shared" si="21"/>
        <v>0.69137302551640345</v>
      </c>
      <c r="I255">
        <f t="shared" si="22"/>
        <v>4</v>
      </c>
      <c r="J255">
        <f>VLOOKUP(A255,'Housing Cost Calc'!$A$2:$C$827,3,FALSE)</f>
        <v>1116</v>
      </c>
      <c r="K255">
        <f t="shared" si="23"/>
        <v>0.32302972170134309</v>
      </c>
    </row>
    <row r="256" spans="1:11" ht="45" x14ac:dyDescent="0.25">
      <c r="A256" s="4" t="s">
        <v>3565</v>
      </c>
      <c r="B256">
        <v>64044</v>
      </c>
      <c r="C256">
        <v>2.38</v>
      </c>
      <c r="D256">
        <f t="shared" si="18"/>
        <v>41513.559271174818</v>
      </c>
      <c r="E256">
        <f t="shared" si="19"/>
        <v>41.51355927117482</v>
      </c>
      <c r="F256" s="7">
        <v>0.30984204131227217</v>
      </c>
      <c r="G256">
        <f t="shared" si="20"/>
        <v>2</v>
      </c>
      <c r="H256" s="7">
        <f t="shared" si="21"/>
        <v>0.69015795868772778</v>
      </c>
      <c r="I256">
        <f t="shared" si="22"/>
        <v>4</v>
      </c>
      <c r="J256">
        <f>VLOOKUP(A256,'Housing Cost Calc'!$A$2:$C$827,3,FALSE)</f>
        <v>1852</v>
      </c>
      <c r="K256">
        <f t="shared" si="23"/>
        <v>0.53534315992585502</v>
      </c>
    </row>
    <row r="257" spans="1:11" ht="45" x14ac:dyDescent="0.25">
      <c r="A257" s="4" t="s">
        <v>3591</v>
      </c>
      <c r="B257">
        <v>65967</v>
      </c>
      <c r="C257">
        <v>2.52</v>
      </c>
      <c r="D257">
        <f t="shared" si="18"/>
        <v>41555.303984999489</v>
      </c>
      <c r="E257">
        <f t="shared" si="19"/>
        <v>41.55530398499949</v>
      </c>
      <c r="F257" s="7">
        <v>0.31105710814094772</v>
      </c>
      <c r="G257">
        <f t="shared" si="20"/>
        <v>2</v>
      </c>
      <c r="H257" s="7">
        <f t="shared" si="21"/>
        <v>0.68894289185905233</v>
      </c>
      <c r="I257">
        <f t="shared" si="22"/>
        <v>4</v>
      </c>
      <c r="J257">
        <f>VLOOKUP(A257,'Housing Cost Calc'!$A$2:$C$827,3,FALSE)</f>
        <v>1534</v>
      </c>
      <c r="K257">
        <f t="shared" si="23"/>
        <v>0.4429759437362043</v>
      </c>
    </row>
    <row r="258" spans="1:11" ht="60" x14ac:dyDescent="0.25">
      <c r="A258" s="4" t="s">
        <v>3540</v>
      </c>
      <c r="B258">
        <v>63036</v>
      </c>
      <c r="C258">
        <v>2.2999999999999998</v>
      </c>
      <c r="D258">
        <f t="shared" ref="D258:D321" si="24">(B258/(C258)^0.5)</f>
        <v>41564.70752097683</v>
      </c>
      <c r="E258">
        <f t="shared" ref="E258:E321" si="25">D258/1000</f>
        <v>41.564707520976832</v>
      </c>
      <c r="F258" s="7">
        <v>0.31227217496962334</v>
      </c>
      <c r="G258">
        <f t="shared" si="20"/>
        <v>2</v>
      </c>
      <c r="H258" s="7">
        <f t="shared" si="21"/>
        <v>0.68772782503037666</v>
      </c>
      <c r="I258">
        <f t="shared" si="22"/>
        <v>4</v>
      </c>
      <c r="J258">
        <f>VLOOKUP(A258,'Housing Cost Calc'!$A$2:$C$827,3,FALSE)</f>
        <v>1161</v>
      </c>
      <c r="K258">
        <f t="shared" si="23"/>
        <v>0.33518821208999999</v>
      </c>
    </row>
    <row r="259" spans="1:11" ht="60" x14ac:dyDescent="0.25">
      <c r="A259" s="4" t="s">
        <v>3547</v>
      </c>
      <c r="B259">
        <v>64405</v>
      </c>
      <c r="C259">
        <v>2.39</v>
      </c>
      <c r="D259">
        <f t="shared" si="24"/>
        <v>41660.131272679682</v>
      </c>
      <c r="E259">
        <f t="shared" si="25"/>
        <v>41.660131272679685</v>
      </c>
      <c r="F259" s="7">
        <v>0.3134872417982989</v>
      </c>
      <c r="G259">
        <f t="shared" ref="G259:G322" si="26">IF(F259&lt;0.2,1,IF(F259&lt;0.4,2,IF(F259&lt;0.6,3,IF(F259&lt;0.8,4,5))))</f>
        <v>2</v>
      </c>
      <c r="H259" s="7">
        <f t="shared" ref="H259:H322" si="27">1-F259</f>
        <v>0.6865127582017011</v>
      </c>
      <c r="I259">
        <f t="shared" ref="I259:I322" si="28">6-G259</f>
        <v>4</v>
      </c>
      <c r="J259">
        <f>VLOOKUP(A259,'Housing Cost Calc'!$A$2:$C$827,3,FALSE)</f>
        <v>1116</v>
      </c>
      <c r="K259">
        <f t="shared" ref="K259:K322" si="29">(J259*12)/D259</f>
        <v>0.32145842057829394</v>
      </c>
    </row>
    <row r="260" spans="1:11" ht="60" x14ac:dyDescent="0.25">
      <c r="A260" s="4" t="s">
        <v>3603</v>
      </c>
      <c r="B260">
        <v>67262</v>
      </c>
      <c r="C260">
        <v>2.6</v>
      </c>
      <c r="D260">
        <f t="shared" si="24"/>
        <v>41714.12158969669</v>
      </c>
      <c r="E260">
        <f t="shared" si="25"/>
        <v>41.714121589696688</v>
      </c>
      <c r="F260" s="7">
        <v>0.31470230862697446</v>
      </c>
      <c r="G260">
        <f t="shared" si="26"/>
        <v>2</v>
      </c>
      <c r="H260" s="7">
        <f t="shared" si="27"/>
        <v>0.68529769137302554</v>
      </c>
      <c r="I260">
        <f t="shared" si="28"/>
        <v>4</v>
      </c>
      <c r="J260">
        <f>VLOOKUP(A260,'Housing Cost Calc'!$A$2:$C$827,3,FALSE)</f>
        <v>1245</v>
      </c>
      <c r="K260">
        <f t="shared" si="29"/>
        <v>0.35815209407861898</v>
      </c>
    </row>
    <row r="261" spans="1:11" ht="60" x14ac:dyDescent="0.25">
      <c r="A261" s="4" t="s">
        <v>3529</v>
      </c>
      <c r="B261">
        <v>62432</v>
      </c>
      <c r="C261">
        <v>2.2400000000000002</v>
      </c>
      <c r="D261">
        <f t="shared" si="24"/>
        <v>41714.134637691197</v>
      </c>
      <c r="E261">
        <f t="shared" si="25"/>
        <v>41.714134637691195</v>
      </c>
      <c r="F261" s="7">
        <v>0.31591737545565007</v>
      </c>
      <c r="G261">
        <f t="shared" si="26"/>
        <v>2</v>
      </c>
      <c r="H261" s="7">
        <f t="shared" si="27"/>
        <v>0.68408262454434987</v>
      </c>
      <c r="I261">
        <f t="shared" si="28"/>
        <v>4</v>
      </c>
      <c r="J261">
        <f>VLOOKUP(A261,'Housing Cost Calc'!$A$2:$C$827,3,FALSE)</f>
        <v>1290</v>
      </c>
      <c r="K261">
        <f t="shared" si="29"/>
        <v>0.37109723441350984</v>
      </c>
    </row>
    <row r="262" spans="1:11" ht="60" x14ac:dyDescent="0.25">
      <c r="A262" s="4" t="s">
        <v>3569</v>
      </c>
      <c r="B262">
        <v>64375</v>
      </c>
      <c r="C262">
        <v>2.37</v>
      </c>
      <c r="D262">
        <f t="shared" si="24"/>
        <v>41816.056033467488</v>
      </c>
      <c r="E262">
        <f t="shared" si="25"/>
        <v>41.81605603346749</v>
      </c>
      <c r="F262" s="7">
        <v>0.31713244228432563</v>
      </c>
      <c r="G262">
        <f t="shared" si="26"/>
        <v>2</v>
      </c>
      <c r="H262" s="7">
        <f t="shared" si="27"/>
        <v>0.68286755771567442</v>
      </c>
      <c r="I262">
        <f t="shared" si="28"/>
        <v>4</v>
      </c>
      <c r="J262">
        <f>VLOOKUP(A262,'Housing Cost Calc'!$A$2:$C$827,3,FALSE)</f>
        <v>1592</v>
      </c>
      <c r="K262">
        <f t="shared" si="29"/>
        <v>0.45685800652051234</v>
      </c>
    </row>
    <row r="263" spans="1:11" ht="60" x14ac:dyDescent="0.25">
      <c r="A263" s="4" t="s">
        <v>3448</v>
      </c>
      <c r="B263">
        <v>56020</v>
      </c>
      <c r="C263">
        <v>1.79</v>
      </c>
      <c r="D263">
        <f t="shared" si="24"/>
        <v>41871.313895963453</v>
      </c>
      <c r="E263">
        <f t="shared" si="25"/>
        <v>41.871313895963453</v>
      </c>
      <c r="F263" s="7">
        <v>0.31834750911300119</v>
      </c>
      <c r="G263">
        <f t="shared" si="26"/>
        <v>2</v>
      </c>
      <c r="H263" s="7">
        <f t="shared" si="27"/>
        <v>0.68165249088699875</v>
      </c>
      <c r="I263">
        <f t="shared" si="28"/>
        <v>4</v>
      </c>
      <c r="J263">
        <f>VLOOKUP(A263,'Housing Cost Calc'!$A$2:$C$827,3,FALSE)</f>
        <v>1254</v>
      </c>
      <c r="K263">
        <f t="shared" si="29"/>
        <v>0.35938685939947734</v>
      </c>
    </row>
    <row r="264" spans="1:11" ht="60" x14ac:dyDescent="0.25">
      <c r="A264" s="4" t="s">
        <v>3532</v>
      </c>
      <c r="B264">
        <v>68482</v>
      </c>
      <c r="C264">
        <v>2.67</v>
      </c>
      <c r="D264">
        <f t="shared" si="24"/>
        <v>41910.303382199643</v>
      </c>
      <c r="E264">
        <f t="shared" si="25"/>
        <v>41.910303382199643</v>
      </c>
      <c r="F264" s="7">
        <v>0.31956257594167681</v>
      </c>
      <c r="G264">
        <f t="shared" si="26"/>
        <v>2</v>
      </c>
      <c r="H264" s="7">
        <f t="shared" si="27"/>
        <v>0.68043742405832319</v>
      </c>
      <c r="I264">
        <f t="shared" si="28"/>
        <v>4</v>
      </c>
      <c r="J264">
        <f>VLOOKUP(A264,'Housing Cost Calc'!$A$2:$C$827,3,FALSE)</f>
        <v>1120</v>
      </c>
      <c r="K264">
        <f t="shared" si="29"/>
        <v>0.32068486542400704</v>
      </c>
    </row>
    <row r="265" spans="1:11" ht="60" x14ac:dyDescent="0.25">
      <c r="A265" s="4" t="s">
        <v>3542</v>
      </c>
      <c r="B265">
        <v>63044</v>
      </c>
      <c r="C265">
        <v>2.2599999999999998</v>
      </c>
      <c r="D265">
        <f t="shared" si="24"/>
        <v>41936.244994608038</v>
      </c>
      <c r="E265">
        <f t="shared" si="25"/>
        <v>41.936244994608039</v>
      </c>
      <c r="F265" s="7">
        <v>0.32077764277035237</v>
      </c>
      <c r="G265">
        <f t="shared" si="26"/>
        <v>2</v>
      </c>
      <c r="H265" s="7">
        <f t="shared" si="27"/>
        <v>0.67922235722964763</v>
      </c>
      <c r="I265">
        <f t="shared" si="28"/>
        <v>4</v>
      </c>
      <c r="J265">
        <f>VLOOKUP(A265,'Housing Cost Calc'!$A$2:$C$827,3,FALSE)</f>
        <v>1285</v>
      </c>
      <c r="K265">
        <f t="shared" si="29"/>
        <v>0.36770101858148313</v>
      </c>
    </row>
    <row r="266" spans="1:11" ht="60" x14ac:dyDescent="0.25">
      <c r="A266" s="4" t="s">
        <v>3468</v>
      </c>
      <c r="B266">
        <v>57778</v>
      </c>
      <c r="C266">
        <v>1.89</v>
      </c>
      <c r="D266">
        <f t="shared" si="24"/>
        <v>42027.310873517228</v>
      </c>
      <c r="E266">
        <f t="shared" si="25"/>
        <v>42.02731087351723</v>
      </c>
      <c r="F266" s="7">
        <v>0.32199270959902793</v>
      </c>
      <c r="G266">
        <f t="shared" si="26"/>
        <v>2</v>
      </c>
      <c r="H266" s="7">
        <f t="shared" si="27"/>
        <v>0.67800729040097207</v>
      </c>
      <c r="I266">
        <f t="shared" si="28"/>
        <v>4</v>
      </c>
      <c r="J266">
        <f>VLOOKUP(A266,'Housing Cost Calc'!$A$2:$C$827,3,FALSE)</f>
        <v>1109</v>
      </c>
      <c r="K266">
        <f t="shared" si="29"/>
        <v>0.31665123757384633</v>
      </c>
    </row>
    <row r="267" spans="1:11" ht="45" x14ac:dyDescent="0.25">
      <c r="A267" s="4" t="s">
        <v>3675</v>
      </c>
      <c r="B267">
        <v>72464</v>
      </c>
      <c r="C267">
        <v>2.97</v>
      </c>
      <c r="D267">
        <f t="shared" si="24"/>
        <v>42047.877537245629</v>
      </c>
      <c r="E267">
        <f t="shared" si="25"/>
        <v>42.047877537245633</v>
      </c>
      <c r="F267" s="7">
        <v>0.32320777642770354</v>
      </c>
      <c r="G267">
        <f t="shared" si="26"/>
        <v>2</v>
      </c>
      <c r="H267" s="7">
        <f t="shared" si="27"/>
        <v>0.67679222357229651</v>
      </c>
      <c r="I267">
        <f t="shared" si="28"/>
        <v>4</v>
      </c>
      <c r="J267">
        <f>VLOOKUP(A267,'Housing Cost Calc'!$A$2:$C$827,3,FALSE)</f>
        <v>1368</v>
      </c>
      <c r="K267">
        <f t="shared" si="29"/>
        <v>0.3904120959603456</v>
      </c>
    </row>
    <row r="268" spans="1:11" ht="45" x14ac:dyDescent="0.25">
      <c r="A268" s="4" t="s">
        <v>3634</v>
      </c>
      <c r="B268">
        <v>69837</v>
      </c>
      <c r="C268">
        <v>2.74</v>
      </c>
      <c r="D268">
        <f t="shared" si="24"/>
        <v>42190.074631899566</v>
      </c>
      <c r="E268">
        <f t="shared" si="25"/>
        <v>42.190074631899563</v>
      </c>
      <c r="F268" s="7">
        <v>0.3244228432563791</v>
      </c>
      <c r="G268">
        <f t="shared" si="26"/>
        <v>2</v>
      </c>
      <c r="H268" s="7">
        <f t="shared" si="27"/>
        <v>0.67557715674362084</v>
      </c>
      <c r="I268">
        <f t="shared" si="28"/>
        <v>4</v>
      </c>
      <c r="J268">
        <f>VLOOKUP(A268,'Housing Cost Calc'!$A$2:$C$827,3,FALSE)</f>
        <v>1843</v>
      </c>
      <c r="K268">
        <f t="shared" si="29"/>
        <v>0.52419912012381875</v>
      </c>
    </row>
    <row r="269" spans="1:11" ht="45" x14ac:dyDescent="0.25">
      <c r="A269" s="4" t="s">
        <v>3514</v>
      </c>
      <c r="B269">
        <v>61667</v>
      </c>
      <c r="C269">
        <v>2.13</v>
      </c>
      <c r="D269">
        <f t="shared" si="24"/>
        <v>42253.532168934398</v>
      </c>
      <c r="E269">
        <f t="shared" si="25"/>
        <v>42.253532168934399</v>
      </c>
      <c r="F269" s="7">
        <v>0.32563791008505466</v>
      </c>
      <c r="G269">
        <f t="shared" si="26"/>
        <v>2</v>
      </c>
      <c r="H269" s="7">
        <f t="shared" si="27"/>
        <v>0.6743620899149454</v>
      </c>
      <c r="I269">
        <f t="shared" si="28"/>
        <v>4</v>
      </c>
      <c r="J269">
        <f>VLOOKUP(A269,'Housing Cost Calc'!$A$2:$C$827,3,FALSE)</f>
        <v>1586</v>
      </c>
      <c r="K269">
        <f t="shared" si="29"/>
        <v>0.45042388229007491</v>
      </c>
    </row>
    <row r="270" spans="1:11" ht="60" x14ac:dyDescent="0.25">
      <c r="A270" s="4" t="s">
        <v>3596</v>
      </c>
      <c r="B270">
        <v>66615</v>
      </c>
      <c r="C270">
        <v>2.4700000000000002</v>
      </c>
      <c r="D270">
        <f t="shared" si="24"/>
        <v>42386.109485631438</v>
      </c>
      <c r="E270">
        <f t="shared" si="25"/>
        <v>42.386109485631437</v>
      </c>
      <c r="F270" s="7">
        <v>0.32685297691373028</v>
      </c>
      <c r="G270">
        <f t="shared" si="26"/>
        <v>2</v>
      </c>
      <c r="H270" s="7">
        <f t="shared" si="27"/>
        <v>0.67314702308626972</v>
      </c>
      <c r="I270">
        <f t="shared" si="28"/>
        <v>4</v>
      </c>
      <c r="J270">
        <f>VLOOKUP(A270,'Housing Cost Calc'!$A$2:$C$827,3,FALSE)</f>
        <v>1302</v>
      </c>
      <c r="K270">
        <f t="shared" si="29"/>
        <v>0.36861132549323533</v>
      </c>
    </row>
    <row r="271" spans="1:11" ht="60" x14ac:dyDescent="0.25">
      <c r="A271" s="4" t="s">
        <v>3659</v>
      </c>
      <c r="B271">
        <v>71683</v>
      </c>
      <c r="C271">
        <v>2.86</v>
      </c>
      <c r="D271">
        <f t="shared" si="24"/>
        <v>42387.046481685407</v>
      </c>
      <c r="E271">
        <f t="shared" si="25"/>
        <v>42.38704648168541</v>
      </c>
      <c r="F271" s="7">
        <v>0.32806804374240583</v>
      </c>
      <c r="G271">
        <f t="shared" si="26"/>
        <v>2</v>
      </c>
      <c r="H271" s="7">
        <f t="shared" si="27"/>
        <v>0.67193195625759417</v>
      </c>
      <c r="I271">
        <f t="shared" si="28"/>
        <v>4</v>
      </c>
      <c r="J271">
        <f>VLOOKUP(A271,'Housing Cost Calc'!$A$2:$C$827,3,FALSE)</f>
        <v>1286</v>
      </c>
      <c r="K271">
        <f t="shared" si="29"/>
        <v>0.36407349133579897</v>
      </c>
    </row>
    <row r="272" spans="1:11" ht="60" x14ac:dyDescent="0.25">
      <c r="A272" s="4" t="s">
        <v>3524</v>
      </c>
      <c r="B272">
        <v>62060</v>
      </c>
      <c r="C272">
        <v>2.14</v>
      </c>
      <c r="D272">
        <f t="shared" si="24"/>
        <v>42423.342631150597</v>
      </c>
      <c r="E272">
        <f t="shared" si="25"/>
        <v>42.423342631150597</v>
      </c>
      <c r="F272" s="7">
        <v>0.32928311057108139</v>
      </c>
      <c r="G272">
        <f t="shared" si="26"/>
        <v>2</v>
      </c>
      <c r="H272" s="7">
        <f t="shared" si="27"/>
        <v>0.67071688942891861</v>
      </c>
      <c r="I272">
        <f t="shared" si="28"/>
        <v>4</v>
      </c>
      <c r="J272">
        <f>VLOOKUP(A272,'Housing Cost Calc'!$A$2:$C$827,3,FALSE)</f>
        <v>1181</v>
      </c>
      <c r="K272">
        <f t="shared" si="29"/>
        <v>0.33406137095839755</v>
      </c>
    </row>
    <row r="273" spans="1:11" ht="60" x14ac:dyDescent="0.25">
      <c r="A273" s="4" t="s">
        <v>3598</v>
      </c>
      <c r="B273">
        <v>66964</v>
      </c>
      <c r="C273">
        <v>2.4900000000000002</v>
      </c>
      <c r="D273">
        <f t="shared" si="24"/>
        <v>42436.710712121137</v>
      </c>
      <c r="E273">
        <f t="shared" si="25"/>
        <v>42.43671071212114</v>
      </c>
      <c r="F273" s="7">
        <v>0.33049817739975701</v>
      </c>
      <c r="G273">
        <f t="shared" si="26"/>
        <v>2</v>
      </c>
      <c r="H273" s="7">
        <f t="shared" si="27"/>
        <v>0.66950182260024294</v>
      </c>
      <c r="I273">
        <f t="shared" si="28"/>
        <v>4</v>
      </c>
      <c r="J273">
        <f>VLOOKUP(A273,'Housing Cost Calc'!$A$2:$C$827,3,FALSE)</f>
        <v>1172</v>
      </c>
      <c r="K273">
        <f t="shared" si="29"/>
        <v>0.33141117122404401</v>
      </c>
    </row>
    <row r="274" spans="1:11" ht="60" x14ac:dyDescent="0.25">
      <c r="A274" s="4" t="s">
        <v>3635</v>
      </c>
      <c r="B274">
        <v>70217</v>
      </c>
      <c r="C274">
        <v>2.73</v>
      </c>
      <c r="D274">
        <f t="shared" si="24"/>
        <v>42497.261661405304</v>
      </c>
      <c r="E274">
        <f t="shared" si="25"/>
        <v>42.497261661405304</v>
      </c>
      <c r="F274" s="7">
        <v>0.33171324422843257</v>
      </c>
      <c r="G274">
        <f t="shared" si="26"/>
        <v>2</v>
      </c>
      <c r="H274" s="7">
        <f t="shared" si="27"/>
        <v>0.66828675577156749</v>
      </c>
      <c r="I274">
        <f t="shared" si="28"/>
        <v>4</v>
      </c>
      <c r="J274">
        <f>VLOOKUP(A274,'Housing Cost Calc'!$A$2:$C$827,3,FALSE)</f>
        <v>1254</v>
      </c>
      <c r="K274">
        <f t="shared" si="29"/>
        <v>0.35409340300309577</v>
      </c>
    </row>
    <row r="275" spans="1:11" ht="60" x14ac:dyDescent="0.25">
      <c r="A275" s="4" t="s">
        <v>3387</v>
      </c>
      <c r="B275">
        <v>61048</v>
      </c>
      <c r="C275">
        <v>2.06</v>
      </c>
      <c r="D275">
        <f t="shared" si="24"/>
        <v>42534.157056474673</v>
      </c>
      <c r="E275">
        <f t="shared" si="25"/>
        <v>42.534157056474676</v>
      </c>
      <c r="F275" s="7">
        <v>0.33292831105710813</v>
      </c>
      <c r="G275">
        <f t="shared" si="26"/>
        <v>2</v>
      </c>
      <c r="H275" s="7">
        <f t="shared" si="27"/>
        <v>0.66707168894289182</v>
      </c>
      <c r="I275">
        <f t="shared" si="28"/>
        <v>4</v>
      </c>
      <c r="J275">
        <f>VLOOKUP(A275,'Housing Cost Calc'!$A$2:$C$827,3,FALSE)</f>
        <v>1084</v>
      </c>
      <c r="K275">
        <f t="shared" si="29"/>
        <v>0.30582479823753517</v>
      </c>
    </row>
    <row r="276" spans="1:11" ht="45" x14ac:dyDescent="0.25">
      <c r="A276" s="4" t="s">
        <v>3721</v>
      </c>
      <c r="B276">
        <v>75799</v>
      </c>
      <c r="C276">
        <v>3.16</v>
      </c>
      <c r="D276">
        <f t="shared" si="24"/>
        <v>42640.268901145842</v>
      </c>
      <c r="E276">
        <f t="shared" si="25"/>
        <v>42.640268901145845</v>
      </c>
      <c r="F276" s="7">
        <v>0.33414337788578374</v>
      </c>
      <c r="G276">
        <f t="shared" si="26"/>
        <v>2</v>
      </c>
      <c r="H276" s="7">
        <f t="shared" si="27"/>
        <v>0.66585662211421626</v>
      </c>
      <c r="I276">
        <f t="shared" si="28"/>
        <v>4</v>
      </c>
      <c r="J276">
        <f>VLOOKUP(A276,'Housing Cost Calc'!$A$2:$C$827,3,FALSE)</f>
        <v>1914</v>
      </c>
      <c r="K276">
        <f t="shared" si="29"/>
        <v>0.53864575885408628</v>
      </c>
    </row>
    <row r="277" spans="1:11" ht="60" x14ac:dyDescent="0.25">
      <c r="A277" s="4" t="s">
        <v>3589</v>
      </c>
      <c r="B277">
        <v>65927</v>
      </c>
      <c r="C277">
        <v>2.38</v>
      </c>
      <c r="D277">
        <f t="shared" si="24"/>
        <v>42734.126882623546</v>
      </c>
      <c r="E277">
        <f t="shared" si="25"/>
        <v>42.734126882623549</v>
      </c>
      <c r="F277" s="7">
        <v>0.3353584447144593</v>
      </c>
      <c r="G277">
        <f t="shared" si="26"/>
        <v>2</v>
      </c>
      <c r="H277" s="7">
        <f t="shared" si="27"/>
        <v>0.6646415552855407</v>
      </c>
      <c r="I277">
        <f t="shared" si="28"/>
        <v>4</v>
      </c>
      <c r="J277">
        <f>VLOOKUP(A277,'Housing Cost Calc'!$A$2:$C$827,3,FALSE)</f>
        <v>1319</v>
      </c>
      <c r="K277">
        <f t="shared" si="29"/>
        <v>0.37038313766124809</v>
      </c>
    </row>
    <row r="278" spans="1:11" ht="60" x14ac:dyDescent="0.25">
      <c r="A278" s="4" t="s">
        <v>3550</v>
      </c>
      <c r="B278">
        <v>63295</v>
      </c>
      <c r="C278">
        <v>2.1800000000000002</v>
      </c>
      <c r="D278">
        <f t="shared" si="24"/>
        <v>42868.783284287754</v>
      </c>
      <c r="E278">
        <f t="shared" si="25"/>
        <v>42.868783284287751</v>
      </c>
      <c r="F278" s="7">
        <v>0.33657351154313486</v>
      </c>
      <c r="G278">
        <f t="shared" si="26"/>
        <v>2</v>
      </c>
      <c r="H278" s="7">
        <f t="shared" si="27"/>
        <v>0.66342648845686514</v>
      </c>
      <c r="I278">
        <f t="shared" si="28"/>
        <v>4</v>
      </c>
      <c r="J278">
        <f>VLOOKUP(A278,'Housing Cost Calc'!$A$2:$C$827,3,FALSE)</f>
        <v>1187</v>
      </c>
      <c r="K278">
        <f t="shared" si="29"/>
        <v>0.3322697522236584</v>
      </c>
    </row>
    <row r="279" spans="1:11" ht="60" x14ac:dyDescent="0.25">
      <c r="A279" s="4" t="s">
        <v>3617</v>
      </c>
      <c r="B279">
        <v>68301</v>
      </c>
      <c r="C279">
        <v>2.5299999999999998</v>
      </c>
      <c r="D279">
        <f t="shared" si="24"/>
        <v>42940.470794063382</v>
      </c>
      <c r="E279">
        <f t="shared" si="25"/>
        <v>42.94047079406338</v>
      </c>
      <c r="F279" s="7">
        <v>0.33778857837181048</v>
      </c>
      <c r="G279">
        <f t="shared" si="26"/>
        <v>2</v>
      </c>
      <c r="H279" s="7">
        <f t="shared" si="27"/>
        <v>0.66221142162818958</v>
      </c>
      <c r="I279">
        <f t="shared" si="28"/>
        <v>4</v>
      </c>
      <c r="J279">
        <f>VLOOKUP(A279,'Housing Cost Calc'!$A$2:$C$827,3,FALSE)</f>
        <v>1214</v>
      </c>
      <c r="K279">
        <f t="shared" si="29"/>
        <v>0.33926036977717672</v>
      </c>
    </row>
    <row r="280" spans="1:11" ht="60" x14ac:dyDescent="0.25">
      <c r="A280" s="4" t="s">
        <v>3601</v>
      </c>
      <c r="B280">
        <v>67097</v>
      </c>
      <c r="C280">
        <v>2.44</v>
      </c>
      <c r="D280">
        <f t="shared" si="24"/>
        <v>42954.452664287608</v>
      </c>
      <c r="E280">
        <f t="shared" si="25"/>
        <v>42.954452664287608</v>
      </c>
      <c r="F280" s="7">
        <v>0.33900364520048604</v>
      </c>
      <c r="G280">
        <f t="shared" si="26"/>
        <v>2</v>
      </c>
      <c r="H280" s="7">
        <f t="shared" si="27"/>
        <v>0.66099635479951391</v>
      </c>
      <c r="I280">
        <f t="shared" si="28"/>
        <v>4</v>
      </c>
      <c r="J280">
        <f>VLOOKUP(A280,'Housing Cost Calc'!$A$2:$C$827,3,FALSE)</f>
        <v>1754</v>
      </c>
      <c r="K280">
        <f t="shared" si="29"/>
        <v>0.49000740771862605</v>
      </c>
    </row>
    <row r="281" spans="1:11" ht="60" x14ac:dyDescent="0.25">
      <c r="A281" s="4" t="s">
        <v>3619</v>
      </c>
      <c r="B281">
        <v>68322</v>
      </c>
      <c r="C281">
        <v>2.52</v>
      </c>
      <c r="D281">
        <f t="shared" si="24"/>
        <v>43038.814541560707</v>
      </c>
      <c r="E281">
        <f t="shared" si="25"/>
        <v>43.038814541560704</v>
      </c>
      <c r="F281" s="7">
        <v>0.3402187120291616</v>
      </c>
      <c r="G281">
        <f t="shared" si="26"/>
        <v>2</v>
      </c>
      <c r="H281" s="7">
        <f t="shared" si="27"/>
        <v>0.65978128797083846</v>
      </c>
      <c r="I281">
        <f t="shared" si="28"/>
        <v>4</v>
      </c>
      <c r="J281">
        <f>VLOOKUP(A281,'Housing Cost Calc'!$A$2:$C$827,3,FALSE)</f>
        <v>1254</v>
      </c>
      <c r="K281">
        <f t="shared" si="29"/>
        <v>0.34963788292702164</v>
      </c>
    </row>
    <row r="282" spans="1:11" ht="60" x14ac:dyDescent="0.25">
      <c r="A282" s="4" t="s">
        <v>3611</v>
      </c>
      <c r="B282">
        <v>68087</v>
      </c>
      <c r="C282">
        <v>2.5</v>
      </c>
      <c r="D282">
        <f t="shared" si="24"/>
        <v>43061.99980957689</v>
      </c>
      <c r="E282">
        <f t="shared" si="25"/>
        <v>43.061999809576889</v>
      </c>
      <c r="F282" s="7">
        <v>0.34143377885783716</v>
      </c>
      <c r="G282">
        <f t="shared" si="26"/>
        <v>2</v>
      </c>
      <c r="H282" s="7">
        <f t="shared" si="27"/>
        <v>0.65856622114216279</v>
      </c>
      <c r="I282">
        <f t="shared" si="28"/>
        <v>4</v>
      </c>
      <c r="J282">
        <f>VLOOKUP(A282,'Housing Cost Calc'!$A$2:$C$827,3,FALSE)</f>
        <v>1536</v>
      </c>
      <c r="K282">
        <f t="shared" si="29"/>
        <v>0.42803399938478393</v>
      </c>
    </row>
    <row r="283" spans="1:11" ht="60" x14ac:dyDescent="0.25">
      <c r="A283" s="4" t="s">
        <v>3633</v>
      </c>
      <c r="B283">
        <v>69433</v>
      </c>
      <c r="C283">
        <v>2.56</v>
      </c>
      <c r="D283">
        <f t="shared" si="24"/>
        <v>43395.625</v>
      </c>
      <c r="E283">
        <f t="shared" si="25"/>
        <v>43.395625000000003</v>
      </c>
      <c r="F283" s="7">
        <v>0.34264884568651277</v>
      </c>
      <c r="G283">
        <f t="shared" si="26"/>
        <v>2</v>
      </c>
      <c r="H283" s="7">
        <f t="shared" si="27"/>
        <v>0.65735115431348723</v>
      </c>
      <c r="I283">
        <f t="shared" si="28"/>
        <v>4</v>
      </c>
      <c r="J283">
        <f>VLOOKUP(A283,'Housing Cost Calc'!$A$2:$C$827,3,FALSE)</f>
        <v>1211</v>
      </c>
      <c r="K283">
        <f t="shared" si="29"/>
        <v>0.33487246698255874</v>
      </c>
    </row>
    <row r="284" spans="1:11" ht="45" x14ac:dyDescent="0.25">
      <c r="A284" s="4" t="s">
        <v>3644</v>
      </c>
      <c r="B284">
        <v>70642</v>
      </c>
      <c r="C284">
        <v>2.63</v>
      </c>
      <c r="D284">
        <f t="shared" si="24"/>
        <v>43559.723277532525</v>
      </c>
      <c r="E284">
        <f t="shared" si="25"/>
        <v>43.559723277532527</v>
      </c>
      <c r="F284" s="7">
        <v>0.34386391251518833</v>
      </c>
      <c r="G284">
        <f t="shared" si="26"/>
        <v>2</v>
      </c>
      <c r="H284" s="7">
        <f t="shared" si="27"/>
        <v>0.65613608748481167</v>
      </c>
      <c r="I284">
        <f t="shared" si="28"/>
        <v>4</v>
      </c>
      <c r="J284">
        <f>VLOOKUP(A284,'Housing Cost Calc'!$A$2:$C$827,3,FALSE)</f>
        <v>1573</v>
      </c>
      <c r="K284">
        <f t="shared" si="29"/>
        <v>0.4333360861761022</v>
      </c>
    </row>
    <row r="285" spans="1:11" ht="60" x14ac:dyDescent="0.25">
      <c r="A285" s="4" t="s">
        <v>3548</v>
      </c>
      <c r="B285">
        <v>63190</v>
      </c>
      <c r="C285">
        <v>2.1</v>
      </c>
      <c r="D285">
        <f t="shared" si="24"/>
        <v>43605.242694843364</v>
      </c>
      <c r="E285">
        <f t="shared" si="25"/>
        <v>43.605242694843362</v>
      </c>
      <c r="F285" s="7">
        <v>0.34507897934386389</v>
      </c>
      <c r="G285">
        <f t="shared" si="26"/>
        <v>2</v>
      </c>
      <c r="H285" s="7">
        <f t="shared" si="27"/>
        <v>0.65492102065613611</v>
      </c>
      <c r="I285">
        <f t="shared" si="28"/>
        <v>4</v>
      </c>
      <c r="J285">
        <f>VLOOKUP(A285,'Housing Cost Calc'!$A$2:$C$827,3,FALSE)</f>
        <v>1310</v>
      </c>
      <c r="K285">
        <f t="shared" si="29"/>
        <v>0.36050710943202718</v>
      </c>
    </row>
    <row r="286" spans="1:11" ht="60" x14ac:dyDescent="0.25">
      <c r="A286" s="4" t="s">
        <v>3574</v>
      </c>
      <c r="B286">
        <v>64550</v>
      </c>
      <c r="C286">
        <v>2.19</v>
      </c>
      <c r="D286">
        <f t="shared" si="24"/>
        <v>43618.847775686816</v>
      </c>
      <c r="E286">
        <f t="shared" si="25"/>
        <v>43.618847775686817</v>
      </c>
      <c r="F286" s="7">
        <v>0.3462940461725395</v>
      </c>
      <c r="G286">
        <f t="shared" si="26"/>
        <v>2</v>
      </c>
      <c r="H286" s="7">
        <f t="shared" si="27"/>
        <v>0.65370595382746055</v>
      </c>
      <c r="I286">
        <f t="shared" si="28"/>
        <v>4</v>
      </c>
      <c r="J286">
        <f>VLOOKUP(A286,'Housing Cost Calc'!$A$2:$C$827,3,FALSE)</f>
        <v>1181</v>
      </c>
      <c r="K286">
        <f t="shared" si="29"/>
        <v>0.32490541870524797</v>
      </c>
    </row>
    <row r="287" spans="1:11" ht="60" x14ac:dyDescent="0.25">
      <c r="A287" s="4" t="s">
        <v>3445</v>
      </c>
      <c r="B287">
        <v>69167</v>
      </c>
      <c r="C287">
        <v>2.5099999999999998</v>
      </c>
      <c r="D287">
        <f t="shared" si="24"/>
        <v>43657.823279065757</v>
      </c>
      <c r="E287">
        <f t="shared" si="25"/>
        <v>43.657823279065759</v>
      </c>
      <c r="F287" s="7">
        <v>0.34750911300121506</v>
      </c>
      <c r="G287">
        <f t="shared" si="26"/>
        <v>2</v>
      </c>
      <c r="H287" s="7">
        <f t="shared" si="27"/>
        <v>0.65249088699878488</v>
      </c>
      <c r="I287">
        <f t="shared" si="28"/>
        <v>4</v>
      </c>
      <c r="J287">
        <f>VLOOKUP(A287,'Housing Cost Calc'!$A$2:$C$827,3,FALSE)</f>
        <v>1138</v>
      </c>
      <c r="K287">
        <f t="shared" si="29"/>
        <v>0.31279617201043897</v>
      </c>
    </row>
    <row r="288" spans="1:11" ht="60" x14ac:dyDescent="0.25">
      <c r="A288" s="4" t="s">
        <v>3622</v>
      </c>
      <c r="B288">
        <v>68523</v>
      </c>
      <c r="C288">
        <v>2.4500000000000002</v>
      </c>
      <c r="D288">
        <f t="shared" si="24"/>
        <v>43777.738863490886</v>
      </c>
      <c r="E288">
        <f t="shared" si="25"/>
        <v>43.777738863490889</v>
      </c>
      <c r="F288" s="7">
        <v>0.34872417982989062</v>
      </c>
      <c r="G288">
        <f t="shared" si="26"/>
        <v>2</v>
      </c>
      <c r="H288" s="7">
        <f t="shared" si="27"/>
        <v>0.65127582017010943</v>
      </c>
      <c r="I288">
        <f t="shared" si="28"/>
        <v>4</v>
      </c>
      <c r="J288">
        <f>VLOOKUP(A288,'Housing Cost Calc'!$A$2:$C$827,3,FALSE)</f>
        <v>1206</v>
      </c>
      <c r="K288">
        <f t="shared" si="29"/>
        <v>0.33057897405635872</v>
      </c>
    </row>
    <row r="289" spans="1:11" ht="60" x14ac:dyDescent="0.25">
      <c r="A289" s="4" t="s">
        <v>3638</v>
      </c>
      <c r="B289">
        <v>70350</v>
      </c>
      <c r="C289">
        <v>2.57</v>
      </c>
      <c r="D289">
        <f t="shared" si="24"/>
        <v>43883.124310169507</v>
      </c>
      <c r="E289">
        <f t="shared" si="25"/>
        <v>43.883124310169507</v>
      </c>
      <c r="F289" s="7">
        <v>0.34993924665856624</v>
      </c>
      <c r="G289">
        <f t="shared" si="26"/>
        <v>2</v>
      </c>
      <c r="H289" s="7">
        <f t="shared" si="27"/>
        <v>0.65006075334143376</v>
      </c>
      <c r="I289">
        <f t="shared" si="28"/>
        <v>4</v>
      </c>
      <c r="J289">
        <f>VLOOKUP(A289,'Housing Cost Calc'!$A$2:$C$827,3,FALSE)</f>
        <v>1296</v>
      </c>
      <c r="K289">
        <f t="shared" si="29"/>
        <v>0.35439591516039726</v>
      </c>
    </row>
    <row r="290" spans="1:11" ht="60" x14ac:dyDescent="0.25">
      <c r="A290" s="4" t="s">
        <v>3677</v>
      </c>
      <c r="B290">
        <v>72606</v>
      </c>
      <c r="C290">
        <v>2.72</v>
      </c>
      <c r="D290">
        <f t="shared" si="24"/>
        <v>44023.853978469975</v>
      </c>
      <c r="E290">
        <f t="shared" si="25"/>
        <v>44.023853978469973</v>
      </c>
      <c r="F290" s="7">
        <v>0.3511543134872418</v>
      </c>
      <c r="G290">
        <f t="shared" si="26"/>
        <v>2</v>
      </c>
      <c r="H290" s="7">
        <f t="shared" si="27"/>
        <v>0.6488456865127582</v>
      </c>
      <c r="I290">
        <f t="shared" si="28"/>
        <v>4</v>
      </c>
      <c r="J290">
        <f>VLOOKUP(A290,'Housing Cost Calc'!$A$2:$C$827,3,FALSE)</f>
        <v>1283</v>
      </c>
      <c r="K290">
        <f t="shared" si="29"/>
        <v>0.34971949542467295</v>
      </c>
    </row>
    <row r="291" spans="1:11" ht="60" x14ac:dyDescent="0.25">
      <c r="A291" s="4" t="s">
        <v>3572</v>
      </c>
      <c r="B291">
        <v>64406</v>
      </c>
      <c r="C291">
        <v>2.14</v>
      </c>
      <c r="D291">
        <f t="shared" si="24"/>
        <v>44027.035215950455</v>
      </c>
      <c r="E291">
        <f t="shared" si="25"/>
        <v>44.027035215950455</v>
      </c>
      <c r="F291" s="7">
        <v>0.35236938031591736</v>
      </c>
      <c r="G291">
        <f t="shared" si="26"/>
        <v>2</v>
      </c>
      <c r="H291" s="7">
        <f t="shared" si="27"/>
        <v>0.64763061968408264</v>
      </c>
      <c r="I291">
        <f t="shared" si="28"/>
        <v>4</v>
      </c>
      <c r="J291">
        <f>VLOOKUP(A291,'Housing Cost Calc'!$A$2:$C$827,3,FALSE)</f>
        <v>1319</v>
      </c>
      <c r="K291">
        <f t="shared" si="29"/>
        <v>0.35950637880485103</v>
      </c>
    </row>
    <row r="292" spans="1:11" ht="60" x14ac:dyDescent="0.25">
      <c r="A292" s="4" t="s">
        <v>3649</v>
      </c>
      <c r="B292">
        <v>70875</v>
      </c>
      <c r="C292">
        <v>2.59</v>
      </c>
      <c r="D292">
        <f t="shared" si="24"/>
        <v>44039.58216533505</v>
      </c>
      <c r="E292">
        <f t="shared" si="25"/>
        <v>44.039582165335048</v>
      </c>
      <c r="F292" s="7">
        <v>0.35358444714459297</v>
      </c>
      <c r="G292">
        <f t="shared" si="26"/>
        <v>2</v>
      </c>
      <c r="H292" s="7">
        <f t="shared" si="27"/>
        <v>0.64641555285540697</v>
      </c>
      <c r="I292">
        <f t="shared" si="28"/>
        <v>4</v>
      </c>
      <c r="J292">
        <f>VLOOKUP(A292,'Housing Cost Calc'!$A$2:$C$827,3,FALSE)</f>
        <v>1332</v>
      </c>
      <c r="K292">
        <f t="shared" si="29"/>
        <v>0.36294622278640765</v>
      </c>
    </row>
    <row r="293" spans="1:11" ht="60" x14ac:dyDescent="0.25">
      <c r="A293" s="4" t="s">
        <v>3568</v>
      </c>
      <c r="B293">
        <v>66989</v>
      </c>
      <c r="C293">
        <v>2.2999999999999998</v>
      </c>
      <c r="D293">
        <f t="shared" si="24"/>
        <v>44171.238532310381</v>
      </c>
      <c r="E293">
        <f t="shared" si="25"/>
        <v>44.171238532310383</v>
      </c>
      <c r="F293" s="7">
        <v>0.35479951397326853</v>
      </c>
      <c r="G293">
        <f t="shared" si="26"/>
        <v>2</v>
      </c>
      <c r="H293" s="7">
        <f t="shared" si="27"/>
        <v>0.64520048602673152</v>
      </c>
      <c r="I293">
        <f t="shared" si="28"/>
        <v>4</v>
      </c>
      <c r="J293">
        <f>VLOOKUP(A293,'Housing Cost Calc'!$A$2:$C$827,3,FALSE)</f>
        <v>1190</v>
      </c>
      <c r="K293">
        <f t="shared" si="29"/>
        <v>0.32328728997613376</v>
      </c>
    </row>
    <row r="294" spans="1:11" ht="60" x14ac:dyDescent="0.25">
      <c r="A294" s="4" t="s">
        <v>3518</v>
      </c>
      <c r="B294">
        <v>61755</v>
      </c>
      <c r="C294">
        <v>1.95</v>
      </c>
      <c r="D294">
        <f t="shared" si="24"/>
        <v>44223.674046305176</v>
      </c>
      <c r="E294">
        <f t="shared" si="25"/>
        <v>44.223674046305177</v>
      </c>
      <c r="F294" s="7">
        <v>0.35601458080194409</v>
      </c>
      <c r="G294">
        <f t="shared" si="26"/>
        <v>2</v>
      </c>
      <c r="H294" s="7">
        <f t="shared" si="27"/>
        <v>0.64398541919805585</v>
      </c>
      <c r="I294">
        <f t="shared" si="28"/>
        <v>4</v>
      </c>
      <c r="J294">
        <f>VLOOKUP(A294,'Housing Cost Calc'!$A$2:$C$827,3,FALSE)</f>
        <v>1320</v>
      </c>
      <c r="K294">
        <f t="shared" si="29"/>
        <v>0.35817919568180723</v>
      </c>
    </row>
    <row r="295" spans="1:11" ht="60" x14ac:dyDescent="0.25">
      <c r="A295" s="4" t="s">
        <v>3642</v>
      </c>
      <c r="B295">
        <v>70500</v>
      </c>
      <c r="C295">
        <v>2.52</v>
      </c>
      <c r="D295">
        <f t="shared" si="24"/>
        <v>44410.825578584198</v>
      </c>
      <c r="E295">
        <f t="shared" si="25"/>
        <v>44.410825578584195</v>
      </c>
      <c r="F295" s="7">
        <v>0.35722964763061971</v>
      </c>
      <c r="G295">
        <f t="shared" si="26"/>
        <v>2</v>
      </c>
      <c r="H295" s="7">
        <f t="shared" si="27"/>
        <v>0.64277035236938029</v>
      </c>
      <c r="I295">
        <f t="shared" si="28"/>
        <v>4</v>
      </c>
      <c r="J295">
        <f>VLOOKUP(A295,'Housing Cost Calc'!$A$2:$C$827,3,FALSE)</f>
        <v>1272</v>
      </c>
      <c r="K295">
        <f t="shared" si="29"/>
        <v>0.34369998308161626</v>
      </c>
    </row>
    <row r="296" spans="1:11" ht="60" x14ac:dyDescent="0.25">
      <c r="A296" s="4" t="s">
        <v>3707</v>
      </c>
      <c r="B296">
        <v>74722</v>
      </c>
      <c r="C296">
        <v>2.83</v>
      </c>
      <c r="D296">
        <f t="shared" si="24"/>
        <v>44417.618523911086</v>
      </c>
      <c r="E296">
        <f t="shared" si="25"/>
        <v>44.417618523911088</v>
      </c>
      <c r="F296" s="7">
        <v>0.35844471445929527</v>
      </c>
      <c r="G296">
        <f t="shared" si="26"/>
        <v>2</v>
      </c>
      <c r="H296" s="7">
        <f t="shared" si="27"/>
        <v>0.64155528554070473</v>
      </c>
      <c r="I296">
        <f t="shared" si="28"/>
        <v>4</v>
      </c>
      <c r="J296">
        <f>VLOOKUP(A296,'Housing Cost Calc'!$A$2:$C$827,3,FALSE)</f>
        <v>1691</v>
      </c>
      <c r="K296">
        <f t="shared" si="29"/>
        <v>0.45684574442180692</v>
      </c>
    </row>
    <row r="297" spans="1:11" ht="60" x14ac:dyDescent="0.25">
      <c r="A297" s="4" t="s">
        <v>3389</v>
      </c>
      <c r="B297">
        <v>67108</v>
      </c>
      <c r="C297">
        <v>2.2799999999999998</v>
      </c>
      <c r="D297">
        <f t="shared" si="24"/>
        <v>44443.358708960484</v>
      </c>
      <c r="E297">
        <f t="shared" si="25"/>
        <v>44.443358708960481</v>
      </c>
      <c r="F297" s="7">
        <v>0.35965978128797083</v>
      </c>
      <c r="G297">
        <f t="shared" si="26"/>
        <v>2</v>
      </c>
      <c r="H297" s="7">
        <f t="shared" si="27"/>
        <v>0.64034021871202917</v>
      </c>
      <c r="I297">
        <f t="shared" si="28"/>
        <v>4</v>
      </c>
      <c r="J297">
        <f>VLOOKUP(A297,'Housing Cost Calc'!$A$2:$C$827,3,FALSE)</f>
        <v>1133</v>
      </c>
      <c r="K297">
        <f t="shared" si="29"/>
        <v>0.30591747327275765</v>
      </c>
    </row>
    <row r="298" spans="1:11" ht="60" x14ac:dyDescent="0.25">
      <c r="A298" s="4" t="s">
        <v>3712</v>
      </c>
      <c r="B298">
        <v>75110</v>
      </c>
      <c r="C298">
        <v>2.84</v>
      </c>
      <c r="D298">
        <f t="shared" si="24"/>
        <v>44569.585173470165</v>
      </c>
      <c r="E298">
        <f t="shared" si="25"/>
        <v>44.569585173470166</v>
      </c>
      <c r="F298" s="7">
        <v>0.36087484811664644</v>
      </c>
      <c r="G298">
        <f t="shared" si="26"/>
        <v>2</v>
      </c>
      <c r="H298" s="7">
        <f t="shared" si="27"/>
        <v>0.63912515188335361</v>
      </c>
      <c r="I298">
        <f t="shared" si="28"/>
        <v>4</v>
      </c>
      <c r="J298">
        <f>VLOOKUP(A298,'Housing Cost Calc'!$A$2:$C$827,3,FALSE)</f>
        <v>1319</v>
      </c>
      <c r="K298">
        <f t="shared" si="29"/>
        <v>0.35513007218702008</v>
      </c>
    </row>
    <row r="299" spans="1:11" ht="60" x14ac:dyDescent="0.25">
      <c r="A299" s="4" t="s">
        <v>3715</v>
      </c>
      <c r="B299">
        <v>75293</v>
      </c>
      <c r="C299">
        <v>2.84</v>
      </c>
      <c r="D299">
        <f t="shared" si="24"/>
        <v>44678.175695194906</v>
      </c>
      <c r="E299">
        <f t="shared" si="25"/>
        <v>44.678175695194909</v>
      </c>
      <c r="F299" s="7">
        <v>0.362089914945322</v>
      </c>
      <c r="G299">
        <f t="shared" si="26"/>
        <v>2</v>
      </c>
      <c r="H299" s="7">
        <f t="shared" si="27"/>
        <v>0.63791008505467794</v>
      </c>
      <c r="I299">
        <f t="shared" si="28"/>
        <v>4</v>
      </c>
      <c r="J299">
        <f>VLOOKUP(A299,'Housing Cost Calc'!$A$2:$C$827,3,FALSE)</f>
        <v>1323</v>
      </c>
      <c r="K299">
        <f t="shared" si="29"/>
        <v>0.35534127687553385</v>
      </c>
    </row>
    <row r="300" spans="1:11" ht="60" x14ac:dyDescent="0.25">
      <c r="A300" s="4" t="s">
        <v>3581</v>
      </c>
      <c r="B300">
        <v>65218</v>
      </c>
      <c r="C300">
        <v>2.13</v>
      </c>
      <c r="D300">
        <f t="shared" si="24"/>
        <v>44686.637277531961</v>
      </c>
      <c r="E300">
        <f t="shared" si="25"/>
        <v>44.686637277531965</v>
      </c>
      <c r="F300" s="7">
        <v>0.36330498177399756</v>
      </c>
      <c r="G300">
        <f t="shared" si="26"/>
        <v>2</v>
      </c>
      <c r="H300" s="7">
        <f t="shared" si="27"/>
        <v>0.6366950182260025</v>
      </c>
      <c r="I300">
        <f t="shared" si="28"/>
        <v>4</v>
      </c>
      <c r="J300">
        <f>VLOOKUP(A300,'Housing Cost Calc'!$A$2:$C$827,3,FALSE)</f>
        <v>1515</v>
      </c>
      <c r="K300">
        <f t="shared" si="29"/>
        <v>0.40683302901247259</v>
      </c>
    </row>
    <row r="301" spans="1:11" ht="60" x14ac:dyDescent="0.25">
      <c r="A301" s="4" t="s">
        <v>3739</v>
      </c>
      <c r="B301">
        <v>77434</v>
      </c>
      <c r="C301">
        <v>2.99</v>
      </c>
      <c r="D301">
        <f t="shared" si="24"/>
        <v>44781.238441873844</v>
      </c>
      <c r="E301">
        <f t="shared" si="25"/>
        <v>44.781238441873846</v>
      </c>
      <c r="F301" s="7">
        <v>0.36452004860267317</v>
      </c>
      <c r="G301">
        <f t="shared" si="26"/>
        <v>2</v>
      </c>
      <c r="H301" s="7">
        <f t="shared" si="27"/>
        <v>0.63547995139732683</v>
      </c>
      <c r="I301">
        <f t="shared" si="28"/>
        <v>4</v>
      </c>
      <c r="J301">
        <f>VLOOKUP(A301,'Housing Cost Calc'!$A$2:$C$827,3,FALSE)</f>
        <v>1574</v>
      </c>
      <c r="K301">
        <f t="shared" si="29"/>
        <v>0.42178377948427376</v>
      </c>
    </row>
    <row r="302" spans="1:11" ht="60" x14ac:dyDescent="0.25">
      <c r="A302" s="4" t="s">
        <v>3645</v>
      </c>
      <c r="B302">
        <v>70689</v>
      </c>
      <c r="C302">
        <v>2.48</v>
      </c>
      <c r="D302">
        <f t="shared" si="24"/>
        <v>44887.559887582327</v>
      </c>
      <c r="E302">
        <f t="shared" si="25"/>
        <v>44.887559887582327</v>
      </c>
      <c r="F302" s="7">
        <v>0.36573511543134873</v>
      </c>
      <c r="G302">
        <f t="shared" si="26"/>
        <v>2</v>
      </c>
      <c r="H302" s="7">
        <f t="shared" si="27"/>
        <v>0.63426488456865127</v>
      </c>
      <c r="I302">
        <f t="shared" si="28"/>
        <v>4</v>
      </c>
      <c r="J302">
        <f>VLOOKUP(A302,'Housing Cost Calc'!$A$2:$C$827,3,FALSE)</f>
        <v>1333</v>
      </c>
      <c r="K302">
        <f t="shared" si="29"/>
        <v>0.35635708512694464</v>
      </c>
    </row>
    <row r="303" spans="1:11" ht="60" x14ac:dyDescent="0.25">
      <c r="A303" s="4" t="s">
        <v>3475</v>
      </c>
      <c r="B303">
        <v>65521</v>
      </c>
      <c r="C303">
        <v>2.13</v>
      </c>
      <c r="D303">
        <f t="shared" si="24"/>
        <v>44894.249456609701</v>
      </c>
      <c r="E303">
        <f t="shared" si="25"/>
        <v>44.8942494566097</v>
      </c>
      <c r="F303" s="7">
        <v>0.36695018226002429</v>
      </c>
      <c r="G303">
        <f t="shared" si="26"/>
        <v>2</v>
      </c>
      <c r="H303" s="7">
        <f t="shared" si="27"/>
        <v>0.63304981773997571</v>
      </c>
      <c r="I303">
        <f t="shared" si="28"/>
        <v>4</v>
      </c>
      <c r="J303">
        <f>VLOOKUP(A303,'Housing Cost Calc'!$A$2:$C$827,3,FALSE)</f>
        <v>1183</v>
      </c>
      <c r="K303">
        <f t="shared" si="29"/>
        <v>0.31620976342906537</v>
      </c>
    </row>
    <row r="304" spans="1:11" ht="60" x14ac:dyDescent="0.25">
      <c r="A304" s="4" t="s">
        <v>3608</v>
      </c>
      <c r="B304">
        <v>70341</v>
      </c>
      <c r="C304">
        <v>2.4500000000000002</v>
      </c>
      <c r="D304">
        <f t="shared" si="24"/>
        <v>44939.216458660776</v>
      </c>
      <c r="E304">
        <f t="shared" si="25"/>
        <v>44.939216458660773</v>
      </c>
      <c r="F304" s="7">
        <v>0.36816524908869985</v>
      </c>
      <c r="G304">
        <f t="shared" si="26"/>
        <v>2</v>
      </c>
      <c r="H304" s="7">
        <f t="shared" si="27"/>
        <v>0.63183475091130015</v>
      </c>
      <c r="I304">
        <f t="shared" si="28"/>
        <v>4</v>
      </c>
      <c r="J304">
        <f>VLOOKUP(A304,'Housing Cost Calc'!$A$2:$C$827,3,FALSE)</f>
        <v>1234</v>
      </c>
      <c r="K304">
        <f t="shared" si="29"/>
        <v>0.32951175313930453</v>
      </c>
    </row>
    <row r="305" spans="1:11" ht="60" x14ac:dyDescent="0.25">
      <c r="A305" s="4" t="s">
        <v>3661</v>
      </c>
      <c r="B305">
        <v>71734</v>
      </c>
      <c r="C305">
        <v>2.54</v>
      </c>
      <c r="D305">
        <f t="shared" si="24"/>
        <v>45009.914725780669</v>
      </c>
      <c r="E305">
        <f t="shared" si="25"/>
        <v>45.009914725780668</v>
      </c>
      <c r="F305" s="7">
        <v>0.36938031591737547</v>
      </c>
      <c r="G305">
        <f t="shared" si="26"/>
        <v>2</v>
      </c>
      <c r="H305" s="7">
        <f t="shared" si="27"/>
        <v>0.63061968408262459</v>
      </c>
      <c r="I305">
        <f t="shared" si="28"/>
        <v>4</v>
      </c>
      <c r="J305">
        <f>VLOOKUP(A305,'Housing Cost Calc'!$A$2:$C$827,3,FALSE)</f>
        <v>1409</v>
      </c>
      <c r="K305">
        <f t="shared" si="29"/>
        <v>0.37565056728080132</v>
      </c>
    </row>
    <row r="306" spans="1:11" ht="60" x14ac:dyDescent="0.25">
      <c r="A306" s="4" t="s">
        <v>3700</v>
      </c>
      <c r="B306">
        <v>74444</v>
      </c>
      <c r="C306">
        <v>2.72</v>
      </c>
      <c r="D306">
        <f t="shared" si="24"/>
        <v>45138.30517551193</v>
      </c>
      <c r="E306">
        <f t="shared" si="25"/>
        <v>45.138305175511931</v>
      </c>
      <c r="F306" s="7">
        <v>0.37059538274605103</v>
      </c>
      <c r="G306">
        <f t="shared" si="26"/>
        <v>2</v>
      </c>
      <c r="H306" s="7">
        <f t="shared" si="27"/>
        <v>0.62940461725394892</v>
      </c>
      <c r="I306">
        <f t="shared" si="28"/>
        <v>4</v>
      </c>
      <c r="J306">
        <f>VLOOKUP(A306,'Housing Cost Calc'!$A$2:$C$827,3,FALSE)</f>
        <v>1626</v>
      </c>
      <c r="K306">
        <f t="shared" si="29"/>
        <v>0.43227143607034435</v>
      </c>
    </row>
    <row r="307" spans="1:11" ht="60" x14ac:dyDescent="0.25">
      <c r="A307" s="4" t="s">
        <v>3628</v>
      </c>
      <c r="B307">
        <v>69118</v>
      </c>
      <c r="C307">
        <v>2.3199999999999998</v>
      </c>
      <c r="D307">
        <f t="shared" si="24"/>
        <v>45378.19013199152</v>
      </c>
      <c r="E307">
        <f t="shared" si="25"/>
        <v>45.378190131991516</v>
      </c>
      <c r="F307" s="7">
        <v>0.37181044957472659</v>
      </c>
      <c r="G307">
        <f t="shared" si="26"/>
        <v>2</v>
      </c>
      <c r="H307" s="7">
        <f t="shared" si="27"/>
        <v>0.62818955042527347</v>
      </c>
      <c r="I307">
        <f t="shared" si="28"/>
        <v>4</v>
      </c>
      <c r="J307">
        <f>VLOOKUP(A307,'Housing Cost Calc'!$A$2:$C$827,3,FALSE)</f>
        <v>1310</v>
      </c>
      <c r="K307">
        <f t="shared" si="29"/>
        <v>0.34642192547290324</v>
      </c>
    </row>
    <row r="308" spans="1:11" ht="60" x14ac:dyDescent="0.25">
      <c r="A308" s="4" t="s">
        <v>3564</v>
      </c>
      <c r="B308">
        <v>63821</v>
      </c>
      <c r="C308">
        <v>1.97</v>
      </c>
      <c r="D308">
        <f t="shared" si="24"/>
        <v>45470.579772783814</v>
      </c>
      <c r="E308">
        <f t="shared" si="25"/>
        <v>45.470579772783815</v>
      </c>
      <c r="F308" s="7">
        <v>0.3730255164034022</v>
      </c>
      <c r="G308">
        <f t="shared" si="26"/>
        <v>2</v>
      </c>
      <c r="H308" s="7">
        <f t="shared" si="27"/>
        <v>0.6269744835965978</v>
      </c>
      <c r="I308">
        <f t="shared" si="28"/>
        <v>4</v>
      </c>
      <c r="J308">
        <f>VLOOKUP(A308,'Housing Cost Calc'!$A$2:$C$827,3,FALSE)</f>
        <v>1337</v>
      </c>
      <c r="K308">
        <f t="shared" si="29"/>
        <v>0.35284353267919083</v>
      </c>
    </row>
    <row r="309" spans="1:11" ht="60" x14ac:dyDescent="0.25">
      <c r="A309" s="4" t="s">
        <v>3615</v>
      </c>
      <c r="B309">
        <v>68125</v>
      </c>
      <c r="C309">
        <v>2.2400000000000002</v>
      </c>
      <c r="D309">
        <f t="shared" si="24"/>
        <v>45517.930263209775</v>
      </c>
      <c r="E309">
        <f t="shared" si="25"/>
        <v>45.517930263209777</v>
      </c>
      <c r="F309" s="7">
        <v>0.37424058323207776</v>
      </c>
      <c r="G309">
        <f t="shared" si="26"/>
        <v>2</v>
      </c>
      <c r="H309" s="7">
        <f t="shared" si="27"/>
        <v>0.62575941676792224</v>
      </c>
      <c r="I309">
        <f t="shared" si="28"/>
        <v>4</v>
      </c>
      <c r="J309">
        <f>VLOOKUP(A309,'Housing Cost Calc'!$A$2:$C$827,3,FALSE)</f>
        <v>1408</v>
      </c>
      <c r="K309">
        <f t="shared" si="29"/>
        <v>0.37119438213244782</v>
      </c>
    </row>
    <row r="310" spans="1:11" ht="60" x14ac:dyDescent="0.25">
      <c r="A310" s="4" t="s">
        <v>3734</v>
      </c>
      <c r="B310">
        <v>76921</v>
      </c>
      <c r="C310">
        <v>2.85</v>
      </c>
      <c r="D310">
        <f t="shared" si="24"/>
        <v>45564.068026107139</v>
      </c>
      <c r="E310">
        <f t="shared" si="25"/>
        <v>45.564068026107137</v>
      </c>
      <c r="F310" s="7">
        <v>0.37545565006075332</v>
      </c>
      <c r="G310">
        <f t="shared" si="26"/>
        <v>2</v>
      </c>
      <c r="H310" s="7">
        <f t="shared" si="27"/>
        <v>0.62454434993924668</v>
      </c>
      <c r="I310">
        <f t="shared" si="28"/>
        <v>4</v>
      </c>
      <c r="J310">
        <f>VLOOKUP(A310,'Housing Cost Calc'!$A$2:$C$827,3,FALSE)</f>
        <v>1755</v>
      </c>
      <c r="K310">
        <f t="shared" si="29"/>
        <v>0.46220631546623792</v>
      </c>
    </row>
    <row r="311" spans="1:11" ht="60" x14ac:dyDescent="0.25">
      <c r="A311" s="4" t="s">
        <v>3401</v>
      </c>
      <c r="B311">
        <v>64341</v>
      </c>
      <c r="C311">
        <v>1.99</v>
      </c>
      <c r="D311">
        <f t="shared" si="24"/>
        <v>45610.125611441341</v>
      </c>
      <c r="E311">
        <f t="shared" si="25"/>
        <v>45.61012561144134</v>
      </c>
      <c r="F311" s="7">
        <v>0.37667071688942894</v>
      </c>
      <c r="G311">
        <f t="shared" si="26"/>
        <v>2</v>
      </c>
      <c r="H311" s="7">
        <f t="shared" si="27"/>
        <v>0.62332928311057101</v>
      </c>
      <c r="I311">
        <f t="shared" si="28"/>
        <v>4</v>
      </c>
      <c r="J311">
        <f>VLOOKUP(A311,'Housing Cost Calc'!$A$2:$C$827,3,FALSE)</f>
        <v>1169</v>
      </c>
      <c r="K311">
        <f t="shared" si="29"/>
        <v>0.30756328363369084</v>
      </c>
    </row>
    <row r="312" spans="1:11" ht="60" x14ac:dyDescent="0.25">
      <c r="A312" s="4" t="s">
        <v>3142</v>
      </c>
      <c r="B312">
        <v>66331</v>
      </c>
      <c r="C312">
        <v>2.11</v>
      </c>
      <c r="D312">
        <f t="shared" si="24"/>
        <v>45664.143591581858</v>
      </c>
      <c r="E312">
        <f t="shared" si="25"/>
        <v>45.664143591581862</v>
      </c>
      <c r="F312" s="7">
        <v>0.3778857837181045</v>
      </c>
      <c r="G312">
        <f t="shared" si="26"/>
        <v>2</v>
      </c>
      <c r="H312" s="7">
        <f t="shared" si="27"/>
        <v>0.62211421628189556</v>
      </c>
      <c r="I312">
        <f t="shared" si="28"/>
        <v>4</v>
      </c>
      <c r="J312">
        <f>VLOOKUP(A312,'Housing Cost Calc'!$A$2:$C$827,3,FALSE)</f>
        <v>1014</v>
      </c>
      <c r="K312">
        <f t="shared" si="29"/>
        <v>0.26646727701344997</v>
      </c>
    </row>
    <row r="313" spans="1:11" ht="75" x14ac:dyDescent="0.25">
      <c r="A313" s="4" t="s">
        <v>3272</v>
      </c>
      <c r="B313">
        <v>73594</v>
      </c>
      <c r="C313">
        <v>2.58</v>
      </c>
      <c r="D313">
        <f t="shared" si="24"/>
        <v>45817.623111603025</v>
      </c>
      <c r="E313">
        <f t="shared" si="25"/>
        <v>45.817623111603027</v>
      </c>
      <c r="F313" s="7">
        <v>0.37910085054678005</v>
      </c>
      <c r="G313">
        <f t="shared" si="26"/>
        <v>2</v>
      </c>
      <c r="H313" s="7">
        <f t="shared" si="27"/>
        <v>0.62089914945321989</v>
      </c>
      <c r="I313">
        <f t="shared" si="28"/>
        <v>4</v>
      </c>
      <c r="J313">
        <f>VLOOKUP(A313,'Housing Cost Calc'!$A$2:$C$827,3,FALSE)</f>
        <v>1118</v>
      </c>
      <c r="K313">
        <f t="shared" si="29"/>
        <v>0.29281309437028569</v>
      </c>
    </row>
    <row r="314" spans="1:11" ht="60" x14ac:dyDescent="0.25">
      <c r="A314" s="4" t="s">
        <v>3613</v>
      </c>
      <c r="B314">
        <v>68125</v>
      </c>
      <c r="C314">
        <v>2.21</v>
      </c>
      <c r="D314">
        <f t="shared" si="24"/>
        <v>45825.834090998782</v>
      </c>
      <c r="E314">
        <f t="shared" si="25"/>
        <v>45.825834090998782</v>
      </c>
      <c r="F314" s="7">
        <v>0.38031591737545567</v>
      </c>
      <c r="G314">
        <f t="shared" si="26"/>
        <v>2</v>
      </c>
      <c r="H314" s="7">
        <f t="shared" si="27"/>
        <v>0.61968408262454433</v>
      </c>
      <c r="I314">
        <f t="shared" si="28"/>
        <v>4</v>
      </c>
      <c r="J314">
        <f>VLOOKUP(A314,'Housing Cost Calc'!$A$2:$C$827,3,FALSE)</f>
        <v>1456</v>
      </c>
      <c r="K314">
        <f t="shared" si="29"/>
        <v>0.38126965600462231</v>
      </c>
    </row>
    <row r="315" spans="1:11" ht="60" x14ac:dyDescent="0.25">
      <c r="A315" s="4" t="s">
        <v>3686</v>
      </c>
      <c r="B315">
        <v>73365</v>
      </c>
      <c r="C315">
        <v>2.56</v>
      </c>
      <c r="D315">
        <f t="shared" si="24"/>
        <v>45853.125</v>
      </c>
      <c r="E315">
        <f t="shared" si="25"/>
        <v>45.853124999999999</v>
      </c>
      <c r="F315" s="7">
        <v>0.38153098420413123</v>
      </c>
      <c r="G315">
        <f t="shared" si="26"/>
        <v>2</v>
      </c>
      <c r="H315" s="7">
        <f t="shared" si="27"/>
        <v>0.61846901579586877</v>
      </c>
      <c r="I315">
        <f t="shared" si="28"/>
        <v>4</v>
      </c>
      <c r="J315">
        <f>VLOOKUP(A315,'Housing Cost Calc'!$A$2:$C$827,3,FALSE)</f>
        <v>1400</v>
      </c>
      <c r="K315">
        <f t="shared" si="29"/>
        <v>0.36638724187282762</v>
      </c>
    </row>
    <row r="316" spans="1:11" ht="60" x14ac:dyDescent="0.25">
      <c r="A316" s="4" t="s">
        <v>3687</v>
      </c>
      <c r="B316">
        <v>73411</v>
      </c>
      <c r="C316">
        <v>2.5499999999999998</v>
      </c>
      <c r="D316">
        <f t="shared" si="24"/>
        <v>45971.75143285191</v>
      </c>
      <c r="E316">
        <f t="shared" si="25"/>
        <v>45.97175143285191</v>
      </c>
      <c r="F316" s="7">
        <v>0.38274605103280679</v>
      </c>
      <c r="G316">
        <f t="shared" si="26"/>
        <v>2</v>
      </c>
      <c r="H316" s="7">
        <f t="shared" si="27"/>
        <v>0.61725394896719321</v>
      </c>
      <c r="I316">
        <f t="shared" si="28"/>
        <v>4</v>
      </c>
      <c r="J316">
        <f>VLOOKUP(A316,'Housing Cost Calc'!$A$2:$C$827,3,FALSE)</f>
        <v>1442</v>
      </c>
      <c r="K316">
        <f t="shared" si="29"/>
        <v>0.37640506312392474</v>
      </c>
    </row>
    <row r="317" spans="1:11" ht="60" x14ac:dyDescent="0.25">
      <c r="A317" s="4" t="s">
        <v>3423</v>
      </c>
      <c r="B317">
        <v>70952</v>
      </c>
      <c r="C317">
        <v>2.38</v>
      </c>
      <c r="D317">
        <f t="shared" si="24"/>
        <v>45991.350593473173</v>
      </c>
      <c r="E317">
        <f t="shared" si="25"/>
        <v>45.991350593473172</v>
      </c>
      <c r="F317" s="7">
        <v>0.3839611178614824</v>
      </c>
      <c r="G317">
        <f t="shared" si="26"/>
        <v>2</v>
      </c>
      <c r="H317" s="7">
        <f t="shared" si="27"/>
        <v>0.61603888213851765</v>
      </c>
      <c r="I317">
        <f t="shared" si="28"/>
        <v>4</v>
      </c>
      <c r="J317">
        <f>VLOOKUP(A317,'Housing Cost Calc'!$A$2:$C$827,3,FALSE)</f>
        <v>1191</v>
      </c>
      <c r="K317">
        <f t="shared" si="29"/>
        <v>0.31075408344342553</v>
      </c>
    </row>
    <row r="318" spans="1:11" ht="60" x14ac:dyDescent="0.25">
      <c r="A318" s="4" t="s">
        <v>3553</v>
      </c>
      <c r="B318">
        <v>70396</v>
      </c>
      <c r="C318">
        <v>2.34</v>
      </c>
      <c r="D318">
        <f t="shared" si="24"/>
        <v>46019.304830625348</v>
      </c>
      <c r="E318">
        <f t="shared" si="25"/>
        <v>46.019304830625344</v>
      </c>
      <c r="F318" s="7">
        <v>0.38517618469015796</v>
      </c>
      <c r="G318">
        <f t="shared" si="26"/>
        <v>2</v>
      </c>
      <c r="H318" s="7">
        <f t="shared" si="27"/>
        <v>0.61482381530984198</v>
      </c>
      <c r="I318">
        <f t="shared" si="28"/>
        <v>4</v>
      </c>
      <c r="J318">
        <f>VLOOKUP(A318,'Housing Cost Calc'!$A$2:$C$827,3,FALSE)</f>
        <v>1233</v>
      </c>
      <c r="K318">
        <f t="shared" si="29"/>
        <v>0.32151724269753468</v>
      </c>
    </row>
    <row r="319" spans="1:11" ht="60" x14ac:dyDescent="0.25">
      <c r="A319" s="4" t="s">
        <v>3669</v>
      </c>
      <c r="B319">
        <v>72219</v>
      </c>
      <c r="C319">
        <v>2.46</v>
      </c>
      <c r="D319">
        <f t="shared" si="24"/>
        <v>46045.15264072123</v>
      </c>
      <c r="E319">
        <f t="shared" si="25"/>
        <v>46.045152640721227</v>
      </c>
      <c r="F319" s="7">
        <v>0.38639125151883352</v>
      </c>
      <c r="G319">
        <f t="shared" si="26"/>
        <v>2</v>
      </c>
      <c r="H319" s="7">
        <f t="shared" si="27"/>
        <v>0.61360874848116653</v>
      </c>
      <c r="I319">
        <f t="shared" si="28"/>
        <v>4</v>
      </c>
      <c r="J319">
        <f>VLOOKUP(A319,'Housing Cost Calc'!$A$2:$C$827,3,FALSE)</f>
        <v>1542</v>
      </c>
      <c r="K319">
        <f t="shared" si="29"/>
        <v>0.40186640588168027</v>
      </c>
    </row>
    <row r="320" spans="1:11" ht="60" x14ac:dyDescent="0.25">
      <c r="A320" s="4" t="s">
        <v>3631</v>
      </c>
      <c r="B320">
        <v>69390</v>
      </c>
      <c r="C320">
        <v>2.27</v>
      </c>
      <c r="D320">
        <f t="shared" si="24"/>
        <v>46055.760591922051</v>
      </c>
      <c r="E320">
        <f t="shared" si="25"/>
        <v>46.055760591922052</v>
      </c>
      <c r="F320" s="7">
        <v>0.38760631834750914</v>
      </c>
      <c r="G320">
        <f t="shared" si="26"/>
        <v>2</v>
      </c>
      <c r="H320" s="7">
        <f t="shared" si="27"/>
        <v>0.61239368165249086</v>
      </c>
      <c r="I320">
        <f t="shared" si="28"/>
        <v>4</v>
      </c>
      <c r="J320">
        <f>VLOOKUP(A320,'Housing Cost Calc'!$A$2:$C$827,3,FALSE)</f>
        <v>1430</v>
      </c>
      <c r="K320">
        <f t="shared" si="29"/>
        <v>0.3725918273730513</v>
      </c>
    </row>
    <row r="321" spans="1:11" ht="60" x14ac:dyDescent="0.25">
      <c r="A321" s="4" t="s">
        <v>3212</v>
      </c>
      <c r="B321">
        <v>62212</v>
      </c>
      <c r="C321">
        <v>1.82</v>
      </c>
      <c r="D321">
        <f t="shared" si="24"/>
        <v>46114.602488120421</v>
      </c>
      <c r="E321">
        <f t="shared" si="25"/>
        <v>46.114602488120418</v>
      </c>
      <c r="F321" s="7">
        <v>0.3888213851761847</v>
      </c>
      <c r="G321">
        <f t="shared" si="26"/>
        <v>2</v>
      </c>
      <c r="H321" s="7">
        <f t="shared" si="27"/>
        <v>0.6111786148238153</v>
      </c>
      <c r="I321">
        <f t="shared" si="28"/>
        <v>4</v>
      </c>
      <c r="J321">
        <f>VLOOKUP(A321,'Housing Cost Calc'!$A$2:$C$827,3,FALSE)</f>
        <v>1094</v>
      </c>
      <c r="K321">
        <f t="shared" si="29"/>
        <v>0.28468205929741891</v>
      </c>
    </row>
    <row r="322" spans="1:11" ht="60" x14ac:dyDescent="0.25">
      <c r="A322" s="4" t="s">
        <v>3495</v>
      </c>
      <c r="B322">
        <v>59266</v>
      </c>
      <c r="C322">
        <v>1.64</v>
      </c>
      <c r="D322">
        <f t="shared" ref="D322:D385" si="30">(B322/(C322)^0.5)</f>
        <v>46278.97086045063</v>
      </c>
      <c r="E322">
        <f t="shared" ref="E322:E385" si="31">D322/1000</f>
        <v>46.278970860450627</v>
      </c>
      <c r="F322" s="7">
        <v>0.39003645200486026</v>
      </c>
      <c r="G322">
        <f t="shared" si="26"/>
        <v>2</v>
      </c>
      <c r="H322" s="7">
        <f t="shared" si="27"/>
        <v>0.60996354799513974</v>
      </c>
      <c r="I322">
        <f t="shared" si="28"/>
        <v>4</v>
      </c>
      <c r="J322">
        <f>VLOOKUP(A322,'Housing Cost Calc'!$A$2:$C$827,3,FALSE)</f>
        <v>1446</v>
      </c>
      <c r="K322">
        <f t="shared" si="29"/>
        <v>0.37494351489196098</v>
      </c>
    </row>
    <row r="323" spans="1:11" ht="60" x14ac:dyDescent="0.25">
      <c r="A323" s="4" t="s">
        <v>3609</v>
      </c>
      <c r="B323">
        <v>67917</v>
      </c>
      <c r="C323">
        <v>2.15</v>
      </c>
      <c r="D323">
        <f t="shared" si="30"/>
        <v>46319.009553816148</v>
      </c>
      <c r="E323">
        <f t="shared" si="31"/>
        <v>46.319009553816144</v>
      </c>
      <c r="F323" s="7">
        <v>0.39125151883353587</v>
      </c>
      <c r="G323">
        <f t="shared" ref="G323:G386" si="32">IF(F323&lt;0.2,1,IF(F323&lt;0.4,2,IF(F323&lt;0.6,3,IF(F323&lt;0.8,4,5))))</f>
        <v>2</v>
      </c>
      <c r="H323" s="7">
        <f t="shared" ref="H323:H386" si="33">1-F323</f>
        <v>0.60874848116646407</v>
      </c>
      <c r="I323">
        <f t="shared" ref="I323:I386" si="34">6-G323</f>
        <v>4</v>
      </c>
      <c r="J323">
        <f>VLOOKUP(A323,'Housing Cost Calc'!$A$2:$C$827,3,FALSE)</f>
        <v>1286</v>
      </c>
      <c r="K323">
        <f t="shared" ref="K323:K386" si="35">(J323*12)/D323</f>
        <v>0.33316774578416225</v>
      </c>
    </row>
    <row r="324" spans="1:11" ht="60" x14ac:dyDescent="0.25">
      <c r="A324" s="4" t="s">
        <v>3629</v>
      </c>
      <c r="B324">
        <v>69135</v>
      </c>
      <c r="C324">
        <v>2.2200000000000002</v>
      </c>
      <c r="D324">
        <f t="shared" si="30"/>
        <v>46400.373877221573</v>
      </c>
      <c r="E324">
        <f t="shared" si="31"/>
        <v>46.400373877221575</v>
      </c>
      <c r="F324" s="7">
        <v>0.39246658566221143</v>
      </c>
      <c r="G324">
        <f t="shared" si="32"/>
        <v>2</v>
      </c>
      <c r="H324" s="7">
        <f t="shared" si="33"/>
        <v>0.60753341433778862</v>
      </c>
      <c r="I324">
        <f t="shared" si="34"/>
        <v>4</v>
      </c>
      <c r="J324">
        <f>VLOOKUP(A324,'Housing Cost Calc'!$A$2:$C$827,3,FALSE)</f>
        <v>1450</v>
      </c>
      <c r="K324">
        <f t="shared" si="35"/>
        <v>0.37499697838731944</v>
      </c>
    </row>
    <row r="325" spans="1:11" ht="60" x14ac:dyDescent="0.25">
      <c r="A325" s="4" t="s">
        <v>3758</v>
      </c>
      <c r="B325">
        <v>80298</v>
      </c>
      <c r="C325">
        <v>2.99</v>
      </c>
      <c r="D325">
        <f t="shared" si="30"/>
        <v>46437.532407025159</v>
      </c>
      <c r="E325">
        <f t="shared" si="31"/>
        <v>46.437532407025159</v>
      </c>
      <c r="F325" s="7">
        <v>0.39368165249088699</v>
      </c>
      <c r="G325">
        <f t="shared" si="32"/>
        <v>2</v>
      </c>
      <c r="H325" s="7">
        <f t="shared" si="33"/>
        <v>0.60631834750911295</v>
      </c>
      <c r="I325">
        <f t="shared" si="34"/>
        <v>4</v>
      </c>
      <c r="J325">
        <f>VLOOKUP(A325,'Housing Cost Calc'!$A$2:$C$827,3,FALSE)</f>
        <v>1359</v>
      </c>
      <c r="K325">
        <f t="shared" si="35"/>
        <v>0.35118145075109319</v>
      </c>
    </row>
    <row r="326" spans="1:11" ht="60" x14ac:dyDescent="0.25">
      <c r="A326" s="4" t="s">
        <v>3723</v>
      </c>
      <c r="B326">
        <v>75833</v>
      </c>
      <c r="C326">
        <v>2.63</v>
      </c>
      <c r="D326">
        <f t="shared" si="30"/>
        <v>46760.631002875401</v>
      </c>
      <c r="E326">
        <f t="shared" si="31"/>
        <v>46.7606310028754</v>
      </c>
      <c r="F326" s="7">
        <v>0.39489671931956255</v>
      </c>
      <c r="G326">
        <f t="shared" si="32"/>
        <v>2</v>
      </c>
      <c r="H326" s="7">
        <f t="shared" si="33"/>
        <v>0.60510328068043751</v>
      </c>
      <c r="I326">
        <f t="shared" si="34"/>
        <v>4</v>
      </c>
      <c r="J326">
        <f>VLOOKUP(A326,'Housing Cost Calc'!$A$2:$C$827,3,FALSE)</f>
        <v>1401</v>
      </c>
      <c r="K326">
        <f t="shared" si="35"/>
        <v>0.35953321500229962</v>
      </c>
    </row>
    <row r="327" spans="1:11" ht="60" x14ac:dyDescent="0.25">
      <c r="A327" s="4" t="s">
        <v>3506</v>
      </c>
      <c r="B327">
        <v>65470</v>
      </c>
      <c r="C327">
        <v>1.96</v>
      </c>
      <c r="D327">
        <f t="shared" si="30"/>
        <v>46764.285714285717</v>
      </c>
      <c r="E327">
        <f t="shared" si="31"/>
        <v>46.76428571428572</v>
      </c>
      <c r="F327" s="7">
        <v>0.39611178614823817</v>
      </c>
      <c r="G327">
        <f t="shared" si="32"/>
        <v>2</v>
      </c>
      <c r="H327" s="7">
        <f t="shared" si="33"/>
        <v>0.60388821385176183</v>
      </c>
      <c r="I327">
        <f t="shared" si="34"/>
        <v>4</v>
      </c>
      <c r="J327">
        <f>VLOOKUP(A327,'Housing Cost Calc'!$A$2:$C$827,3,FALSE)</f>
        <v>1242</v>
      </c>
      <c r="K327">
        <f t="shared" si="35"/>
        <v>0.318704750267298</v>
      </c>
    </row>
    <row r="328" spans="1:11" ht="60" x14ac:dyDescent="0.25">
      <c r="A328" s="4" t="s">
        <v>3643</v>
      </c>
      <c r="B328">
        <v>76047</v>
      </c>
      <c r="C328">
        <v>2.62</v>
      </c>
      <c r="D328">
        <f t="shared" si="30"/>
        <v>46981.993501327495</v>
      </c>
      <c r="E328">
        <f t="shared" si="31"/>
        <v>46.981993501327494</v>
      </c>
      <c r="F328" s="7">
        <v>0.39732685297691372</v>
      </c>
      <c r="G328">
        <f t="shared" si="32"/>
        <v>2</v>
      </c>
      <c r="H328" s="7">
        <f t="shared" si="33"/>
        <v>0.60267314702308628</v>
      </c>
      <c r="I328">
        <f t="shared" si="34"/>
        <v>4</v>
      </c>
      <c r="J328">
        <f>VLOOKUP(A328,'Housing Cost Calc'!$A$2:$C$827,3,FALSE)</f>
        <v>1301</v>
      </c>
      <c r="K328">
        <f t="shared" si="35"/>
        <v>0.33229752159322223</v>
      </c>
    </row>
    <row r="329" spans="1:11" ht="60" x14ac:dyDescent="0.25">
      <c r="A329" s="4" t="s">
        <v>3681</v>
      </c>
      <c r="B329">
        <v>72674</v>
      </c>
      <c r="C329">
        <v>2.39</v>
      </c>
      <c r="D329">
        <f t="shared" si="30"/>
        <v>47008.902726662891</v>
      </c>
      <c r="E329">
        <f t="shared" si="31"/>
        <v>47.008902726662889</v>
      </c>
      <c r="F329" s="7">
        <v>0.39854191980558928</v>
      </c>
      <c r="G329">
        <f t="shared" si="32"/>
        <v>2</v>
      </c>
      <c r="H329" s="7">
        <f t="shared" si="33"/>
        <v>0.60145808019441072</v>
      </c>
      <c r="I329">
        <f t="shared" si="34"/>
        <v>4</v>
      </c>
      <c r="J329">
        <f>VLOOKUP(A329,'Housing Cost Calc'!$A$2:$C$827,3,FALSE)</f>
        <v>1335</v>
      </c>
      <c r="K329">
        <f t="shared" si="35"/>
        <v>0.34078651214536104</v>
      </c>
    </row>
    <row r="330" spans="1:11" ht="60" x14ac:dyDescent="0.25">
      <c r="A330" s="4" t="s">
        <v>3626</v>
      </c>
      <c r="B330">
        <v>68832</v>
      </c>
      <c r="C330">
        <v>2.13</v>
      </c>
      <c r="D330">
        <f t="shared" si="30"/>
        <v>47162.909274848658</v>
      </c>
      <c r="E330">
        <f t="shared" si="31"/>
        <v>47.162909274848658</v>
      </c>
      <c r="F330" s="7">
        <v>0.3997569866342649</v>
      </c>
      <c r="G330">
        <f t="shared" si="32"/>
        <v>2</v>
      </c>
      <c r="H330" s="7">
        <f t="shared" si="33"/>
        <v>0.60024301336573505</v>
      </c>
      <c r="I330">
        <f t="shared" si="34"/>
        <v>4</v>
      </c>
      <c r="J330">
        <f>VLOOKUP(A330,'Housing Cost Calc'!$A$2:$C$827,3,FALSE)</f>
        <v>1506</v>
      </c>
      <c r="K330">
        <f t="shared" si="35"/>
        <v>0.3831824685513528</v>
      </c>
    </row>
    <row r="331" spans="1:11" ht="60" x14ac:dyDescent="0.25">
      <c r="A331" s="4" t="s">
        <v>3196</v>
      </c>
      <c r="B331">
        <v>68365</v>
      </c>
      <c r="C331">
        <v>2.1</v>
      </c>
      <c r="D331">
        <f t="shared" si="30"/>
        <v>47176.33196444004</v>
      </c>
      <c r="E331">
        <f t="shared" si="31"/>
        <v>47.176331964440038</v>
      </c>
      <c r="F331" s="7">
        <v>0.40097205346294046</v>
      </c>
      <c r="G331">
        <f t="shared" si="32"/>
        <v>3</v>
      </c>
      <c r="H331" s="7">
        <f t="shared" si="33"/>
        <v>0.5990279465370596</v>
      </c>
      <c r="I331">
        <f t="shared" si="34"/>
        <v>3</v>
      </c>
      <c r="J331">
        <f>VLOOKUP(A331,'Housing Cost Calc'!$A$2:$C$827,3,FALSE)</f>
        <v>1113</v>
      </c>
      <c r="K331">
        <f t="shared" si="35"/>
        <v>0.28310806380765913</v>
      </c>
    </row>
    <row r="332" spans="1:11" ht="60" x14ac:dyDescent="0.25">
      <c r="A332" s="4" t="s">
        <v>3679</v>
      </c>
      <c r="B332">
        <v>72667</v>
      </c>
      <c r="C332">
        <v>2.37</v>
      </c>
      <c r="D332">
        <f t="shared" si="30"/>
        <v>47202.288835479332</v>
      </c>
      <c r="E332">
        <f t="shared" si="31"/>
        <v>47.20228883547933</v>
      </c>
      <c r="F332" s="7">
        <v>0.40218712029161602</v>
      </c>
      <c r="G332">
        <f t="shared" si="32"/>
        <v>3</v>
      </c>
      <c r="H332" s="7">
        <f t="shared" si="33"/>
        <v>0.59781287970838393</v>
      </c>
      <c r="I332">
        <f t="shared" si="34"/>
        <v>3</v>
      </c>
      <c r="J332">
        <f>VLOOKUP(A332,'Housing Cost Calc'!$A$2:$C$827,3,FALSE)</f>
        <v>1446</v>
      </c>
      <c r="K332">
        <f t="shared" si="35"/>
        <v>0.36760929243239299</v>
      </c>
    </row>
    <row r="333" spans="1:11" ht="60" x14ac:dyDescent="0.25">
      <c r="A333" s="4" t="s">
        <v>3716</v>
      </c>
      <c r="B333">
        <v>75417</v>
      </c>
      <c r="C333">
        <v>2.5499999999999998</v>
      </c>
      <c r="D333">
        <f t="shared" si="30"/>
        <v>47227.95736076872</v>
      </c>
      <c r="E333">
        <f t="shared" si="31"/>
        <v>47.22795736076872</v>
      </c>
      <c r="F333" s="7">
        <v>0.40340218712029163</v>
      </c>
      <c r="G333">
        <f t="shared" si="32"/>
        <v>3</v>
      </c>
      <c r="H333" s="7">
        <f t="shared" si="33"/>
        <v>0.59659781287970837</v>
      </c>
      <c r="I333">
        <f t="shared" si="34"/>
        <v>3</v>
      </c>
      <c r="J333">
        <f>VLOOKUP(A333,'Housing Cost Calc'!$A$2:$C$827,3,FALSE)</f>
        <v>1640</v>
      </c>
      <c r="K333">
        <f t="shared" si="35"/>
        <v>0.41670233268118784</v>
      </c>
    </row>
    <row r="334" spans="1:11" ht="60" x14ac:dyDescent="0.25">
      <c r="A334" s="4" t="s">
        <v>3439</v>
      </c>
      <c r="B334">
        <v>75536</v>
      </c>
      <c r="C334">
        <v>2.5499999999999998</v>
      </c>
      <c r="D334">
        <f t="shared" si="30"/>
        <v>47302.478051407852</v>
      </c>
      <c r="E334">
        <f t="shared" si="31"/>
        <v>47.302478051407853</v>
      </c>
      <c r="F334" s="7">
        <v>0.40461725394896719</v>
      </c>
      <c r="G334">
        <f t="shared" si="32"/>
        <v>3</v>
      </c>
      <c r="H334" s="7">
        <f t="shared" si="33"/>
        <v>0.59538274605103281</v>
      </c>
      <c r="I334">
        <f t="shared" si="34"/>
        <v>3</v>
      </c>
      <c r="J334">
        <f>VLOOKUP(A334,'Housing Cost Calc'!$A$2:$C$827,3,FALSE)</f>
        <v>1230</v>
      </c>
      <c r="K334">
        <f t="shared" si="35"/>
        <v>0.31203439244681813</v>
      </c>
    </row>
    <row r="335" spans="1:11" ht="60" x14ac:dyDescent="0.25">
      <c r="A335" s="4" t="s">
        <v>3577</v>
      </c>
      <c r="B335">
        <v>74675</v>
      </c>
      <c r="C335">
        <v>2.48</v>
      </c>
      <c r="D335">
        <f t="shared" si="30"/>
        <v>47418.672418696129</v>
      </c>
      <c r="E335">
        <f t="shared" si="31"/>
        <v>47.418672418696126</v>
      </c>
      <c r="F335" s="7">
        <v>0.40583232077764275</v>
      </c>
      <c r="G335">
        <f t="shared" si="32"/>
        <v>3</v>
      </c>
      <c r="H335" s="7">
        <f t="shared" si="33"/>
        <v>0.59416767922235725</v>
      </c>
      <c r="I335">
        <f t="shared" si="34"/>
        <v>3</v>
      </c>
      <c r="J335">
        <f>VLOOKUP(A335,'Housing Cost Calc'!$A$2:$C$827,3,FALSE)</f>
        <v>1280</v>
      </c>
      <c r="K335">
        <f t="shared" si="35"/>
        <v>0.32392302897843028</v>
      </c>
    </row>
    <row r="336" spans="1:11" ht="60" x14ac:dyDescent="0.25">
      <c r="A336" s="4" t="s">
        <v>3744</v>
      </c>
      <c r="B336">
        <v>77939</v>
      </c>
      <c r="C336">
        <v>2.7</v>
      </c>
      <c r="D336">
        <f t="shared" si="30"/>
        <v>47432.16489932793</v>
      </c>
      <c r="E336">
        <f t="shared" si="31"/>
        <v>47.43216489932793</v>
      </c>
      <c r="F336" s="7">
        <v>0.40704738760631837</v>
      </c>
      <c r="G336">
        <f t="shared" si="32"/>
        <v>3</v>
      </c>
      <c r="H336" s="7">
        <f t="shared" si="33"/>
        <v>0.59295261239368169</v>
      </c>
      <c r="I336">
        <f t="shared" si="34"/>
        <v>3</v>
      </c>
      <c r="J336">
        <f>VLOOKUP(A336,'Housing Cost Calc'!$A$2:$C$827,3,FALSE)</f>
        <v>1424</v>
      </c>
      <c r="K336">
        <f t="shared" si="35"/>
        <v>0.36026186104446861</v>
      </c>
    </row>
    <row r="337" spans="1:11" ht="45" x14ac:dyDescent="0.25">
      <c r="A337" s="4" t="s">
        <v>3698</v>
      </c>
      <c r="B337">
        <v>74397</v>
      </c>
      <c r="C337">
        <v>2.46</v>
      </c>
      <c r="D337">
        <f t="shared" si="30"/>
        <v>47433.794721773178</v>
      </c>
      <c r="E337">
        <f t="shared" si="31"/>
        <v>47.433794721773175</v>
      </c>
      <c r="F337" s="7">
        <v>0.40826245443499393</v>
      </c>
      <c r="G337">
        <f t="shared" si="32"/>
        <v>3</v>
      </c>
      <c r="H337" s="7">
        <f t="shared" si="33"/>
        <v>0.59173754556500602</v>
      </c>
      <c r="I337">
        <f t="shared" si="34"/>
        <v>3</v>
      </c>
      <c r="J337">
        <f>VLOOKUP(A337,'Housing Cost Calc'!$A$2:$C$827,3,FALSE)</f>
        <v>1726</v>
      </c>
      <c r="K337">
        <f t="shared" si="35"/>
        <v>0.43665070697986402</v>
      </c>
    </row>
    <row r="338" spans="1:11" ht="60" x14ac:dyDescent="0.25">
      <c r="A338" s="4" t="s">
        <v>3250</v>
      </c>
      <c r="B338">
        <v>71159</v>
      </c>
      <c r="C338">
        <v>2.25</v>
      </c>
      <c r="D338">
        <f t="shared" si="30"/>
        <v>47439.333333333336</v>
      </c>
      <c r="E338">
        <f t="shared" si="31"/>
        <v>47.439333333333337</v>
      </c>
      <c r="F338" s="7">
        <v>0.40947752126366949</v>
      </c>
      <c r="G338">
        <f t="shared" si="32"/>
        <v>3</v>
      </c>
      <c r="H338" s="7">
        <f t="shared" si="33"/>
        <v>0.59052247873633057</v>
      </c>
      <c r="I338">
        <f t="shared" si="34"/>
        <v>3</v>
      </c>
      <c r="J338">
        <f>VLOOKUP(A338,'Housing Cost Calc'!$A$2:$C$827,3,FALSE)</f>
        <v>1151</v>
      </c>
      <c r="K338">
        <f t="shared" si="35"/>
        <v>0.29115080313101643</v>
      </c>
    </row>
    <row r="339" spans="1:11" ht="60" x14ac:dyDescent="0.25">
      <c r="A339" s="4" t="s">
        <v>3559</v>
      </c>
      <c r="B339">
        <v>71825</v>
      </c>
      <c r="C339">
        <v>2.29</v>
      </c>
      <c r="D339">
        <f t="shared" si="30"/>
        <v>47463.295977686823</v>
      </c>
      <c r="E339">
        <f t="shared" si="31"/>
        <v>47.463295977686826</v>
      </c>
      <c r="F339" s="7">
        <v>0.4106925880923451</v>
      </c>
      <c r="G339">
        <f t="shared" si="32"/>
        <v>3</v>
      </c>
      <c r="H339" s="7">
        <f t="shared" si="33"/>
        <v>0.5893074119076549</v>
      </c>
      <c r="I339">
        <f t="shared" si="34"/>
        <v>3</v>
      </c>
      <c r="J339">
        <f>VLOOKUP(A339,'Housing Cost Calc'!$A$2:$C$827,3,FALSE)</f>
        <v>1273</v>
      </c>
      <c r="K339">
        <f t="shared" si="35"/>
        <v>0.32184869772173991</v>
      </c>
    </row>
    <row r="340" spans="1:11" ht="60" x14ac:dyDescent="0.25">
      <c r="A340" s="4" t="s">
        <v>3673</v>
      </c>
      <c r="B340">
        <v>72455</v>
      </c>
      <c r="C340">
        <v>2.33</v>
      </c>
      <c r="D340">
        <f t="shared" si="30"/>
        <v>47466.848720636714</v>
      </c>
      <c r="E340">
        <f t="shared" si="31"/>
        <v>47.466848720636712</v>
      </c>
      <c r="F340" s="7">
        <v>0.41190765492102066</v>
      </c>
      <c r="G340">
        <f t="shared" si="32"/>
        <v>3</v>
      </c>
      <c r="H340" s="7">
        <f t="shared" si="33"/>
        <v>0.58809234507897934</v>
      </c>
      <c r="I340">
        <f t="shared" si="34"/>
        <v>3</v>
      </c>
      <c r="J340">
        <f>VLOOKUP(A340,'Housing Cost Calc'!$A$2:$C$827,3,FALSE)</f>
        <v>1365</v>
      </c>
      <c r="K340">
        <f t="shared" si="35"/>
        <v>0.34508294612948726</v>
      </c>
    </row>
    <row r="341" spans="1:11" ht="60" x14ac:dyDescent="0.25">
      <c r="A341" s="4" t="s">
        <v>3727</v>
      </c>
      <c r="B341">
        <v>75991</v>
      </c>
      <c r="C341">
        <v>2.56</v>
      </c>
      <c r="D341">
        <f t="shared" si="30"/>
        <v>47494.375</v>
      </c>
      <c r="E341">
        <f t="shared" si="31"/>
        <v>47.494374999999998</v>
      </c>
      <c r="F341" s="7">
        <v>0.41312272174969622</v>
      </c>
      <c r="G341">
        <f t="shared" si="32"/>
        <v>3</v>
      </c>
      <c r="H341" s="7">
        <f t="shared" si="33"/>
        <v>0.58687727825030378</v>
      </c>
      <c r="I341">
        <f t="shared" si="34"/>
        <v>3</v>
      </c>
      <c r="J341">
        <f>VLOOKUP(A341,'Housing Cost Calc'!$A$2:$C$827,3,FALSE)</f>
        <v>1458</v>
      </c>
      <c r="K341">
        <f t="shared" si="35"/>
        <v>0.36838046610782854</v>
      </c>
    </row>
    <row r="342" spans="1:11" ht="60" x14ac:dyDescent="0.25">
      <c r="A342" s="4" t="s">
        <v>3606</v>
      </c>
      <c r="B342">
        <v>73903</v>
      </c>
      <c r="C342">
        <v>2.42</v>
      </c>
      <c r="D342">
        <f t="shared" si="30"/>
        <v>47506.64768184493</v>
      </c>
      <c r="E342">
        <f t="shared" si="31"/>
        <v>47.506647681844932</v>
      </c>
      <c r="F342" s="7">
        <v>0.41433778857837184</v>
      </c>
      <c r="G342">
        <f t="shared" si="32"/>
        <v>3</v>
      </c>
      <c r="H342" s="7">
        <f t="shared" si="33"/>
        <v>0.58566221142162811</v>
      </c>
      <c r="I342">
        <f t="shared" si="34"/>
        <v>3</v>
      </c>
      <c r="J342">
        <f>VLOOKUP(A342,'Housing Cost Calc'!$A$2:$C$827,3,FALSE)</f>
        <v>1303</v>
      </c>
      <c r="K342">
        <f t="shared" si="35"/>
        <v>0.32913288482730452</v>
      </c>
    </row>
    <row r="343" spans="1:11" ht="60" x14ac:dyDescent="0.25">
      <c r="A343" s="4" t="s">
        <v>3585</v>
      </c>
      <c r="B343">
        <v>65550</v>
      </c>
      <c r="C343">
        <v>1.9</v>
      </c>
      <c r="D343">
        <f t="shared" si="30"/>
        <v>47554.968194711269</v>
      </c>
      <c r="E343">
        <f t="shared" si="31"/>
        <v>47.554968194711272</v>
      </c>
      <c r="F343" s="7">
        <v>0.41555285540704739</v>
      </c>
      <c r="G343">
        <f t="shared" si="32"/>
        <v>3</v>
      </c>
      <c r="H343" s="7">
        <f t="shared" si="33"/>
        <v>0.58444714459295266</v>
      </c>
      <c r="I343">
        <f t="shared" si="34"/>
        <v>3</v>
      </c>
      <c r="J343">
        <f>VLOOKUP(A343,'Housing Cost Calc'!$A$2:$C$827,3,FALSE)</f>
        <v>1379</v>
      </c>
      <c r="K343">
        <f t="shared" si="35"/>
        <v>0.34797626048754993</v>
      </c>
    </row>
    <row r="344" spans="1:11" ht="60" x14ac:dyDescent="0.25">
      <c r="A344" s="4" t="s">
        <v>3136</v>
      </c>
      <c r="B344">
        <v>75114</v>
      </c>
      <c r="C344">
        <v>2.4900000000000002</v>
      </c>
      <c r="D344">
        <f t="shared" si="30"/>
        <v>47601.563353895632</v>
      </c>
      <c r="E344">
        <f t="shared" si="31"/>
        <v>47.601563353895635</v>
      </c>
      <c r="F344" s="7">
        <v>0.41676792223572295</v>
      </c>
      <c r="G344">
        <f t="shared" si="32"/>
        <v>3</v>
      </c>
      <c r="H344" s="7">
        <f t="shared" si="33"/>
        <v>0.58323207776427699</v>
      </c>
      <c r="I344">
        <f t="shared" si="34"/>
        <v>3</v>
      </c>
      <c r="J344">
        <f>VLOOKUP(A344,'Housing Cost Calc'!$A$2:$C$827,3,FALSE)</f>
        <v>1054</v>
      </c>
      <c r="K344">
        <f t="shared" si="35"/>
        <v>0.26570555899536247</v>
      </c>
    </row>
    <row r="345" spans="1:11" ht="60" x14ac:dyDescent="0.25">
      <c r="A345" s="4" t="s">
        <v>3479</v>
      </c>
      <c r="B345">
        <v>78254</v>
      </c>
      <c r="C345">
        <v>2.69</v>
      </c>
      <c r="D345">
        <f t="shared" si="30"/>
        <v>47712.305879531828</v>
      </c>
      <c r="E345">
        <f t="shared" si="31"/>
        <v>47.712305879531826</v>
      </c>
      <c r="F345" s="7">
        <v>0.41798298906439857</v>
      </c>
      <c r="G345">
        <f t="shared" si="32"/>
        <v>3</v>
      </c>
      <c r="H345" s="7">
        <f t="shared" si="33"/>
        <v>0.58201701093560143</v>
      </c>
      <c r="I345">
        <f t="shared" si="34"/>
        <v>3</v>
      </c>
      <c r="J345">
        <f>VLOOKUP(A345,'Housing Cost Calc'!$A$2:$C$827,3,FALSE)</f>
        <v>1259</v>
      </c>
      <c r="K345">
        <f t="shared" si="35"/>
        <v>0.31664786938082579</v>
      </c>
    </row>
    <row r="346" spans="1:11" ht="45" x14ac:dyDescent="0.25">
      <c r="A346" s="4" t="s">
        <v>3554</v>
      </c>
      <c r="B346">
        <v>63514</v>
      </c>
      <c r="C346">
        <v>1.77</v>
      </c>
      <c r="D346">
        <f t="shared" si="30"/>
        <v>47740.045822571672</v>
      </c>
      <c r="E346">
        <f t="shared" si="31"/>
        <v>47.740045822571673</v>
      </c>
      <c r="F346" s="7">
        <v>0.41919805589307413</v>
      </c>
      <c r="G346">
        <f t="shared" si="32"/>
        <v>3</v>
      </c>
      <c r="H346" s="7">
        <f t="shared" si="33"/>
        <v>0.58080194410692587</v>
      </c>
      <c r="I346">
        <f t="shared" si="34"/>
        <v>3</v>
      </c>
      <c r="J346">
        <f>VLOOKUP(A346,'Housing Cost Calc'!$A$2:$C$827,3,FALSE)</f>
        <v>1542</v>
      </c>
      <c r="K346">
        <f t="shared" si="35"/>
        <v>0.38759912524531426</v>
      </c>
    </row>
    <row r="347" spans="1:11" ht="60" x14ac:dyDescent="0.25">
      <c r="A347" s="4" t="s">
        <v>3655</v>
      </c>
      <c r="B347">
        <v>71295</v>
      </c>
      <c r="C347">
        <v>2.23</v>
      </c>
      <c r="D347">
        <f t="shared" si="30"/>
        <v>47742.66325435599</v>
      </c>
      <c r="E347">
        <f t="shared" si="31"/>
        <v>47.742663254355989</v>
      </c>
      <c r="F347" s="7">
        <v>0.42041312272174969</v>
      </c>
      <c r="G347">
        <f t="shared" si="32"/>
        <v>3</v>
      </c>
      <c r="H347" s="7">
        <f t="shared" si="33"/>
        <v>0.57958687727825031</v>
      </c>
      <c r="I347">
        <f t="shared" si="34"/>
        <v>3</v>
      </c>
      <c r="J347">
        <f>VLOOKUP(A347,'Housing Cost Calc'!$A$2:$C$827,3,FALSE)</f>
        <v>1571</v>
      </c>
      <c r="K347">
        <f t="shared" si="35"/>
        <v>0.39486695368381997</v>
      </c>
    </row>
    <row r="348" spans="1:11" ht="60" x14ac:dyDescent="0.25">
      <c r="A348" s="4" t="s">
        <v>3328</v>
      </c>
      <c r="B348">
        <v>70857</v>
      </c>
      <c r="C348">
        <v>2.2000000000000002</v>
      </c>
      <c r="D348">
        <f t="shared" si="30"/>
        <v>47771.77965455794</v>
      </c>
      <c r="E348">
        <f t="shared" si="31"/>
        <v>47.771779654557939</v>
      </c>
      <c r="F348" s="7">
        <v>0.42162818955042525</v>
      </c>
      <c r="G348">
        <f t="shared" si="32"/>
        <v>3</v>
      </c>
      <c r="H348" s="7">
        <f t="shared" si="33"/>
        <v>0.57837181044957475</v>
      </c>
      <c r="I348">
        <f t="shared" si="34"/>
        <v>3</v>
      </c>
      <c r="J348">
        <f>VLOOKUP(A348,'Housing Cost Calc'!$A$2:$C$827,3,FALSE)</f>
        <v>1195</v>
      </c>
      <c r="K348">
        <f t="shared" si="35"/>
        <v>0.30017721976643613</v>
      </c>
    </row>
    <row r="349" spans="1:11" ht="60" x14ac:dyDescent="0.25">
      <c r="A349" s="4" t="s">
        <v>3747</v>
      </c>
      <c r="B349">
        <v>78134</v>
      </c>
      <c r="C349">
        <v>2.67</v>
      </c>
      <c r="D349">
        <f t="shared" si="30"/>
        <v>47817.231454466681</v>
      </c>
      <c r="E349">
        <f t="shared" si="31"/>
        <v>47.817231454466679</v>
      </c>
      <c r="F349" s="7">
        <v>0.42284325637910086</v>
      </c>
      <c r="G349">
        <f t="shared" si="32"/>
        <v>3</v>
      </c>
      <c r="H349" s="7">
        <f t="shared" si="33"/>
        <v>0.57715674362089908</v>
      </c>
      <c r="I349">
        <f t="shared" si="34"/>
        <v>3</v>
      </c>
      <c r="J349">
        <f>VLOOKUP(A349,'Housing Cost Calc'!$A$2:$C$827,3,FALSE)</f>
        <v>1673</v>
      </c>
      <c r="K349">
        <f t="shared" si="35"/>
        <v>0.41984864847554176</v>
      </c>
    </row>
    <row r="350" spans="1:11" ht="60" x14ac:dyDescent="0.25">
      <c r="A350" s="4" t="s">
        <v>3403</v>
      </c>
      <c r="B350">
        <v>74735</v>
      </c>
      <c r="C350">
        <v>2.44</v>
      </c>
      <c r="D350">
        <f t="shared" si="30"/>
        <v>47844.181108924902</v>
      </c>
      <c r="E350">
        <f t="shared" si="31"/>
        <v>47.8441811089249</v>
      </c>
      <c r="F350" s="7">
        <v>0.42405832320777642</v>
      </c>
      <c r="G350">
        <f t="shared" si="32"/>
        <v>3</v>
      </c>
      <c r="H350" s="7">
        <f t="shared" si="33"/>
        <v>0.57594167679222363</v>
      </c>
      <c r="I350">
        <f t="shared" si="34"/>
        <v>3</v>
      </c>
      <c r="J350">
        <f>VLOOKUP(A350,'Housing Cost Calc'!$A$2:$C$827,3,FALSE)</f>
        <v>1228</v>
      </c>
      <c r="K350">
        <f t="shared" si="35"/>
        <v>0.30799983735642056</v>
      </c>
    </row>
    <row r="351" spans="1:11" ht="60" x14ac:dyDescent="0.25">
      <c r="A351" s="4" t="s">
        <v>3451</v>
      </c>
      <c r="B351">
        <v>71316</v>
      </c>
      <c r="C351">
        <v>2.2200000000000002</v>
      </c>
      <c r="D351">
        <f t="shared" si="30"/>
        <v>47864.165233643354</v>
      </c>
      <c r="E351">
        <f t="shared" si="31"/>
        <v>47.864165233643355</v>
      </c>
      <c r="F351" s="7">
        <v>0.42527339003645198</v>
      </c>
      <c r="G351">
        <f t="shared" si="32"/>
        <v>3</v>
      </c>
      <c r="H351" s="7">
        <f t="shared" si="33"/>
        <v>0.57472660996354796</v>
      </c>
      <c r="I351">
        <f t="shared" si="34"/>
        <v>3</v>
      </c>
      <c r="J351">
        <f>VLOOKUP(A351,'Housing Cost Calc'!$A$2:$C$827,3,FALSE)</f>
        <v>1250</v>
      </c>
      <c r="K351">
        <f t="shared" si="35"/>
        <v>0.31338685061735111</v>
      </c>
    </row>
    <row r="352" spans="1:11" ht="60" x14ac:dyDescent="0.25">
      <c r="A352" s="4" t="s">
        <v>3116</v>
      </c>
      <c r="B352">
        <v>73828</v>
      </c>
      <c r="C352">
        <v>2.37</v>
      </c>
      <c r="D352">
        <f t="shared" si="30"/>
        <v>47956.439376137285</v>
      </c>
      <c r="E352">
        <f t="shared" si="31"/>
        <v>47.956439376137283</v>
      </c>
      <c r="F352" s="7">
        <v>0.4264884568651276</v>
      </c>
      <c r="G352">
        <f t="shared" si="32"/>
        <v>3</v>
      </c>
      <c r="H352" s="7">
        <f t="shared" si="33"/>
        <v>0.5735115431348724</v>
      </c>
      <c r="I352">
        <f t="shared" si="34"/>
        <v>3</v>
      </c>
      <c r="J352">
        <f>VLOOKUP(A352,'Housing Cost Calc'!$A$2:$C$827,3,FALSE)</f>
        <v>1045</v>
      </c>
      <c r="K352">
        <f t="shared" si="35"/>
        <v>0.26148730312617408</v>
      </c>
    </row>
    <row r="353" spans="1:11" ht="60" x14ac:dyDescent="0.25">
      <c r="A353" s="4" t="s">
        <v>3684</v>
      </c>
      <c r="B353">
        <v>72900</v>
      </c>
      <c r="C353">
        <v>2.31</v>
      </c>
      <c r="D353">
        <f t="shared" si="30"/>
        <v>47964.678562567162</v>
      </c>
      <c r="E353">
        <f t="shared" si="31"/>
        <v>47.964678562567158</v>
      </c>
      <c r="F353" s="7">
        <v>0.42770352369380316</v>
      </c>
      <c r="G353">
        <f t="shared" si="32"/>
        <v>3</v>
      </c>
      <c r="H353" s="7">
        <f t="shared" si="33"/>
        <v>0.57229647630619684</v>
      </c>
      <c r="I353">
        <f t="shared" si="34"/>
        <v>3</v>
      </c>
      <c r="J353">
        <f>VLOOKUP(A353,'Housing Cost Calc'!$A$2:$C$827,3,FALSE)</f>
        <v>1414</v>
      </c>
      <c r="K353">
        <f t="shared" si="35"/>
        <v>0.35376031922878876</v>
      </c>
    </row>
    <row r="354" spans="1:11" ht="60" x14ac:dyDescent="0.25">
      <c r="A354" s="4" t="s">
        <v>3294</v>
      </c>
      <c r="B354">
        <v>74634</v>
      </c>
      <c r="C354">
        <v>2.42</v>
      </c>
      <c r="D354">
        <f t="shared" si="30"/>
        <v>47976.552279160715</v>
      </c>
      <c r="E354">
        <f t="shared" si="31"/>
        <v>47.976552279160714</v>
      </c>
      <c r="F354" s="7">
        <v>0.42891859052247872</v>
      </c>
      <c r="G354">
        <f t="shared" si="32"/>
        <v>3</v>
      </c>
      <c r="H354" s="7">
        <f t="shared" si="33"/>
        <v>0.57108140947752128</v>
      </c>
      <c r="I354">
        <f t="shared" si="34"/>
        <v>3</v>
      </c>
      <c r="J354">
        <f>VLOOKUP(A354,'Housing Cost Calc'!$A$2:$C$827,3,FALSE)</f>
        <v>1184</v>
      </c>
      <c r="K354">
        <f t="shared" si="35"/>
        <v>0.29614466494649394</v>
      </c>
    </row>
    <row r="355" spans="1:11" ht="45" x14ac:dyDescent="0.25">
      <c r="A355" s="4" t="s">
        <v>3658</v>
      </c>
      <c r="B355">
        <v>71660</v>
      </c>
      <c r="C355">
        <v>2.23</v>
      </c>
      <c r="D355">
        <f t="shared" si="30"/>
        <v>47987.085332872579</v>
      </c>
      <c r="E355">
        <f t="shared" si="31"/>
        <v>47.987085332872581</v>
      </c>
      <c r="F355" s="7">
        <v>0.43013365735115433</v>
      </c>
      <c r="G355">
        <f t="shared" si="32"/>
        <v>3</v>
      </c>
      <c r="H355" s="7">
        <f t="shared" si="33"/>
        <v>0.56986634264884573</v>
      </c>
      <c r="I355">
        <f t="shared" si="34"/>
        <v>3</v>
      </c>
      <c r="J355">
        <f>VLOOKUP(A355,'Housing Cost Calc'!$A$2:$C$827,3,FALSE)</f>
        <v>1859</v>
      </c>
      <c r="K355">
        <f t="shared" si="35"/>
        <v>0.46487507722662952</v>
      </c>
    </row>
    <row r="356" spans="1:11" ht="45" x14ac:dyDescent="0.25">
      <c r="A356" s="4" t="s">
        <v>3689</v>
      </c>
      <c r="B356">
        <v>73426</v>
      </c>
      <c r="C356">
        <v>2.34</v>
      </c>
      <c r="D356">
        <f t="shared" si="30"/>
        <v>48000.077795521</v>
      </c>
      <c r="E356">
        <f t="shared" si="31"/>
        <v>48.000077795521001</v>
      </c>
      <c r="F356" s="7">
        <v>0.43134872417982989</v>
      </c>
      <c r="G356">
        <f t="shared" si="32"/>
        <v>3</v>
      </c>
      <c r="H356" s="7">
        <f t="shared" si="33"/>
        <v>0.56865127582017005</v>
      </c>
      <c r="I356">
        <f t="shared" si="34"/>
        <v>3</v>
      </c>
      <c r="J356">
        <f>VLOOKUP(A356,'Housing Cost Calc'!$A$2:$C$827,3,FALSE)</f>
        <v>1549</v>
      </c>
      <c r="K356">
        <f t="shared" si="35"/>
        <v>0.38724937236944418</v>
      </c>
    </row>
    <row r="357" spans="1:11" ht="60" x14ac:dyDescent="0.25">
      <c r="A357" s="4" t="s">
        <v>3759</v>
      </c>
      <c r="B357">
        <v>79475</v>
      </c>
      <c r="C357">
        <v>2.73</v>
      </c>
      <c r="D357">
        <f t="shared" si="30"/>
        <v>48100.458158853071</v>
      </c>
      <c r="E357">
        <f t="shared" si="31"/>
        <v>48.100458158853073</v>
      </c>
      <c r="F357" s="7">
        <v>0.43256379100850545</v>
      </c>
      <c r="G357">
        <f t="shared" si="32"/>
        <v>3</v>
      </c>
      <c r="H357" s="7">
        <f t="shared" si="33"/>
        <v>0.56743620899149461</v>
      </c>
      <c r="I357">
        <f t="shared" si="34"/>
        <v>3</v>
      </c>
      <c r="J357">
        <f>VLOOKUP(A357,'Housing Cost Calc'!$A$2:$C$827,3,FALSE)</f>
        <v>1461</v>
      </c>
      <c r="K357">
        <f t="shared" si="35"/>
        <v>0.36448717270218284</v>
      </c>
    </row>
    <row r="358" spans="1:11" ht="45" x14ac:dyDescent="0.25">
      <c r="A358" s="4" t="s">
        <v>3783</v>
      </c>
      <c r="B358">
        <v>81667</v>
      </c>
      <c r="C358">
        <v>2.88</v>
      </c>
      <c r="D358">
        <f t="shared" si="30"/>
        <v>48122.741249301478</v>
      </c>
      <c r="E358">
        <f t="shared" si="31"/>
        <v>48.122741249301477</v>
      </c>
      <c r="F358" s="7">
        <v>0.43377885783718106</v>
      </c>
      <c r="G358">
        <f t="shared" si="32"/>
        <v>3</v>
      </c>
      <c r="H358" s="7">
        <f t="shared" si="33"/>
        <v>0.56622114216281894</v>
      </c>
      <c r="I358">
        <f t="shared" si="34"/>
        <v>3</v>
      </c>
      <c r="J358">
        <f>VLOOKUP(A358,'Housing Cost Calc'!$A$2:$C$827,3,FALSE)</f>
        <v>1853</v>
      </c>
      <c r="K358">
        <f t="shared" si="35"/>
        <v>0.46206844046571777</v>
      </c>
    </row>
    <row r="359" spans="1:11" ht="45" x14ac:dyDescent="0.25">
      <c r="A359" s="4" t="s">
        <v>3666</v>
      </c>
      <c r="B359">
        <v>72188</v>
      </c>
      <c r="C359">
        <v>2.25</v>
      </c>
      <c r="D359">
        <f t="shared" si="30"/>
        <v>48125.333333333336</v>
      </c>
      <c r="E359">
        <f t="shared" si="31"/>
        <v>48.125333333333337</v>
      </c>
      <c r="F359" s="7">
        <v>0.43499392466585662</v>
      </c>
      <c r="G359">
        <f t="shared" si="32"/>
        <v>3</v>
      </c>
      <c r="H359" s="7">
        <f t="shared" si="33"/>
        <v>0.56500607533414338</v>
      </c>
      <c r="I359">
        <f t="shared" si="34"/>
        <v>3</v>
      </c>
      <c r="J359">
        <f>VLOOKUP(A359,'Housing Cost Calc'!$A$2:$C$827,3,FALSE)</f>
        <v>1715</v>
      </c>
      <c r="K359">
        <f t="shared" si="35"/>
        <v>0.4276334016734083</v>
      </c>
    </row>
    <row r="360" spans="1:11" ht="60" x14ac:dyDescent="0.25">
      <c r="A360" s="4" t="s">
        <v>3670</v>
      </c>
      <c r="B360">
        <v>81250</v>
      </c>
      <c r="C360">
        <v>2.84</v>
      </c>
      <c r="D360">
        <f t="shared" si="30"/>
        <v>48213.004864125294</v>
      </c>
      <c r="E360">
        <f t="shared" si="31"/>
        <v>48.213004864125296</v>
      </c>
      <c r="F360" s="7">
        <v>0.43620899149453218</v>
      </c>
      <c r="G360">
        <f t="shared" si="32"/>
        <v>3</v>
      </c>
      <c r="H360" s="7">
        <f t="shared" si="33"/>
        <v>0.56379100850546782</v>
      </c>
      <c r="I360">
        <f t="shared" si="34"/>
        <v>3</v>
      </c>
      <c r="J360">
        <f>VLOOKUP(A360,'Housing Cost Calc'!$A$2:$C$827,3,FALSE)</f>
        <v>1352</v>
      </c>
      <c r="K360">
        <f t="shared" si="35"/>
        <v>0.33650671734157106</v>
      </c>
    </row>
    <row r="361" spans="1:11" ht="60" x14ac:dyDescent="0.25">
      <c r="A361" s="4" t="s">
        <v>3570</v>
      </c>
      <c r="B361">
        <v>74044</v>
      </c>
      <c r="C361">
        <v>2.35</v>
      </c>
      <c r="D361">
        <f t="shared" si="30"/>
        <v>48300.979841169072</v>
      </c>
      <c r="E361">
        <f t="shared" si="31"/>
        <v>48.300979841169074</v>
      </c>
      <c r="F361" s="7">
        <v>0.4374240583232078</v>
      </c>
      <c r="G361">
        <f t="shared" si="32"/>
        <v>3</v>
      </c>
      <c r="H361" s="7">
        <f t="shared" si="33"/>
        <v>0.56257594167679215</v>
      </c>
      <c r="I361">
        <f t="shared" si="34"/>
        <v>3</v>
      </c>
      <c r="J361">
        <f>VLOOKUP(A361,'Housing Cost Calc'!$A$2:$C$827,3,FALSE)</f>
        <v>1302</v>
      </c>
      <c r="K361">
        <f t="shared" si="35"/>
        <v>0.32347169873939019</v>
      </c>
    </row>
    <row r="362" spans="1:11" ht="45" x14ac:dyDescent="0.25">
      <c r="A362" s="4" t="s">
        <v>3843</v>
      </c>
      <c r="B362">
        <v>91500</v>
      </c>
      <c r="C362">
        <v>3.57</v>
      </c>
      <c r="D362">
        <f t="shared" si="30"/>
        <v>48426.935348284125</v>
      </c>
      <c r="E362">
        <f t="shared" si="31"/>
        <v>48.426935348284125</v>
      </c>
      <c r="F362" s="7">
        <v>0.43863912515188336</v>
      </c>
      <c r="G362">
        <f t="shared" si="32"/>
        <v>3</v>
      </c>
      <c r="H362" s="7">
        <f t="shared" si="33"/>
        <v>0.5613608748481167</v>
      </c>
      <c r="I362">
        <f t="shared" si="34"/>
        <v>3</v>
      </c>
      <c r="J362">
        <f>VLOOKUP(A362,'Housing Cost Calc'!$A$2:$C$827,3,FALSE)</f>
        <v>1696</v>
      </c>
      <c r="K362">
        <f t="shared" si="35"/>
        <v>0.42026198547625249</v>
      </c>
    </row>
    <row r="363" spans="1:11" ht="60" x14ac:dyDescent="0.25">
      <c r="A363" s="4" t="s">
        <v>3385</v>
      </c>
      <c r="B363">
        <v>72813</v>
      </c>
      <c r="C363">
        <v>2.2599999999999998</v>
      </c>
      <c r="D363">
        <f t="shared" si="30"/>
        <v>48434.487132675516</v>
      </c>
      <c r="E363">
        <f t="shared" si="31"/>
        <v>48.434487132675514</v>
      </c>
      <c r="F363" s="7">
        <v>0.43985419198055892</v>
      </c>
      <c r="G363">
        <f t="shared" si="32"/>
        <v>3</v>
      </c>
      <c r="H363" s="7">
        <f t="shared" si="33"/>
        <v>0.56014580801944103</v>
      </c>
      <c r="I363">
        <f t="shared" si="34"/>
        <v>3</v>
      </c>
      <c r="J363">
        <f>VLOOKUP(A363,'Housing Cost Calc'!$A$2:$C$827,3,FALSE)</f>
        <v>1234</v>
      </c>
      <c r="K363">
        <f t="shared" si="35"/>
        <v>0.30573256529870491</v>
      </c>
    </row>
    <row r="364" spans="1:11" ht="60" x14ac:dyDescent="0.25">
      <c r="A364" s="4" t="s">
        <v>3785</v>
      </c>
      <c r="B364">
        <v>82000</v>
      </c>
      <c r="C364">
        <v>2.86</v>
      </c>
      <c r="D364">
        <f t="shared" si="30"/>
        <v>48487.616471104775</v>
      </c>
      <c r="E364">
        <f t="shared" si="31"/>
        <v>48.487616471104772</v>
      </c>
      <c r="F364" s="7">
        <v>0.44106925880923453</v>
      </c>
      <c r="G364">
        <f t="shared" si="32"/>
        <v>3</v>
      </c>
      <c r="H364" s="7">
        <f t="shared" si="33"/>
        <v>0.55893074119076547</v>
      </c>
      <c r="I364">
        <f t="shared" si="34"/>
        <v>3</v>
      </c>
      <c r="J364">
        <f>VLOOKUP(A364,'Housing Cost Calc'!$A$2:$C$827,3,FALSE)</f>
        <v>1490</v>
      </c>
      <c r="K364">
        <f t="shared" si="35"/>
        <v>0.36875394794164051</v>
      </c>
    </row>
    <row r="365" spans="1:11" ht="60" x14ac:dyDescent="0.25">
      <c r="A365" s="4" t="s">
        <v>3421</v>
      </c>
      <c r="B365">
        <v>74732</v>
      </c>
      <c r="C365">
        <v>2.37</v>
      </c>
      <c r="D365">
        <f t="shared" si="30"/>
        <v>48543.650477562594</v>
      </c>
      <c r="E365">
        <f t="shared" si="31"/>
        <v>48.543650477562593</v>
      </c>
      <c r="F365" s="7">
        <v>0.44228432563791009</v>
      </c>
      <c r="G365">
        <f t="shared" si="32"/>
        <v>3</v>
      </c>
      <c r="H365" s="7">
        <f t="shared" si="33"/>
        <v>0.55771567436208991</v>
      </c>
      <c r="I365">
        <f t="shared" si="34"/>
        <v>3</v>
      </c>
      <c r="J365">
        <f>VLOOKUP(A365,'Housing Cost Calc'!$A$2:$C$827,3,FALSE)</f>
        <v>1254</v>
      </c>
      <c r="K365">
        <f t="shared" si="35"/>
        <v>0.30998904804152194</v>
      </c>
    </row>
    <row r="366" spans="1:11" ht="60" x14ac:dyDescent="0.25">
      <c r="A366" s="4" t="s">
        <v>3453</v>
      </c>
      <c r="B366">
        <v>76318</v>
      </c>
      <c r="C366">
        <v>2.4700000000000002</v>
      </c>
      <c r="D366">
        <f t="shared" si="30"/>
        <v>48559.980540785407</v>
      </c>
      <c r="E366">
        <f t="shared" si="31"/>
        <v>48.559980540785411</v>
      </c>
      <c r="F366" s="7">
        <v>0.44349939246658565</v>
      </c>
      <c r="G366">
        <f t="shared" si="32"/>
        <v>3</v>
      </c>
      <c r="H366" s="7">
        <f t="shared" si="33"/>
        <v>0.55650060753341435</v>
      </c>
      <c r="I366">
        <f t="shared" si="34"/>
        <v>3</v>
      </c>
      <c r="J366">
        <f>VLOOKUP(A366,'Housing Cost Calc'!$A$2:$C$827,3,FALSE)</f>
        <v>1269</v>
      </c>
      <c r="K366">
        <f t="shared" si="35"/>
        <v>0.31359155894245139</v>
      </c>
    </row>
    <row r="367" spans="1:11" ht="60" x14ac:dyDescent="0.25">
      <c r="A367" s="4" t="s">
        <v>3737</v>
      </c>
      <c r="B367">
        <v>77273</v>
      </c>
      <c r="C367">
        <v>2.5299999999999998</v>
      </c>
      <c r="D367">
        <f t="shared" si="30"/>
        <v>48581.118866043835</v>
      </c>
      <c r="E367">
        <f t="shared" si="31"/>
        <v>48.581118866043838</v>
      </c>
      <c r="F367" s="7">
        <v>0.44471445929526127</v>
      </c>
      <c r="G367">
        <f t="shared" si="32"/>
        <v>3</v>
      </c>
      <c r="H367" s="7">
        <f t="shared" si="33"/>
        <v>0.55528554070473879</v>
      </c>
      <c r="I367">
        <f t="shared" si="34"/>
        <v>3</v>
      </c>
      <c r="J367">
        <f>VLOOKUP(A367,'Housing Cost Calc'!$A$2:$C$827,3,FALSE)</f>
        <v>1466</v>
      </c>
      <c r="K367">
        <f t="shared" si="35"/>
        <v>0.36211599095746783</v>
      </c>
    </row>
    <row r="368" spans="1:11" ht="60" x14ac:dyDescent="0.25">
      <c r="A368" s="4" t="s">
        <v>3587</v>
      </c>
      <c r="B368">
        <v>65781</v>
      </c>
      <c r="C368">
        <v>1.82</v>
      </c>
      <c r="D368">
        <f t="shared" si="30"/>
        <v>48760.121299283892</v>
      </c>
      <c r="E368">
        <f t="shared" si="31"/>
        <v>48.760121299283895</v>
      </c>
      <c r="F368" s="7">
        <v>0.44592952612393683</v>
      </c>
      <c r="G368">
        <f t="shared" si="32"/>
        <v>3</v>
      </c>
      <c r="H368" s="7">
        <f t="shared" si="33"/>
        <v>0.55407047387606312</v>
      </c>
      <c r="I368">
        <f t="shared" si="34"/>
        <v>3</v>
      </c>
      <c r="J368">
        <f>VLOOKUP(A368,'Housing Cost Calc'!$A$2:$C$827,3,FALSE)</f>
        <v>1454</v>
      </c>
      <c r="K368">
        <f t="shared" si="35"/>
        <v>0.35783340022692373</v>
      </c>
    </row>
    <row r="369" spans="1:11" ht="60" x14ac:dyDescent="0.25">
      <c r="A369" s="4" t="s">
        <v>3751</v>
      </c>
      <c r="B369">
        <v>78684</v>
      </c>
      <c r="C369">
        <v>2.6</v>
      </c>
      <c r="D369">
        <f t="shared" si="30"/>
        <v>48797.745282086384</v>
      </c>
      <c r="E369">
        <f t="shared" si="31"/>
        <v>48.797745282086382</v>
      </c>
      <c r="F369" s="7">
        <v>0.44714459295261239</v>
      </c>
      <c r="G369">
        <f t="shared" si="32"/>
        <v>3</v>
      </c>
      <c r="H369" s="7">
        <f t="shared" si="33"/>
        <v>0.55285540704738767</v>
      </c>
      <c r="I369">
        <f t="shared" si="34"/>
        <v>3</v>
      </c>
      <c r="J369">
        <f>VLOOKUP(A369,'Housing Cost Calc'!$A$2:$C$827,3,FALSE)</f>
        <v>1671</v>
      </c>
      <c r="K369">
        <f t="shared" si="35"/>
        <v>0.41092062520685918</v>
      </c>
    </row>
    <row r="370" spans="1:11" ht="45" x14ac:dyDescent="0.25">
      <c r="A370" s="4" t="s">
        <v>3767</v>
      </c>
      <c r="B370">
        <v>82753</v>
      </c>
      <c r="C370">
        <v>2.86</v>
      </c>
      <c r="D370">
        <f t="shared" si="30"/>
        <v>48932.87470528455</v>
      </c>
      <c r="E370">
        <f t="shared" si="31"/>
        <v>48.932874705284547</v>
      </c>
      <c r="F370" s="7">
        <v>0.44835965978128794</v>
      </c>
      <c r="G370">
        <f t="shared" si="32"/>
        <v>3</v>
      </c>
      <c r="H370" s="7">
        <f t="shared" si="33"/>
        <v>0.551640340218712</v>
      </c>
      <c r="I370">
        <f t="shared" si="34"/>
        <v>3</v>
      </c>
      <c r="J370">
        <f>VLOOKUP(A370,'Housing Cost Calc'!$A$2:$C$827,3,FALSE)</f>
        <v>1441</v>
      </c>
      <c r="K370">
        <f t="shared" si="35"/>
        <v>0.35338205867010986</v>
      </c>
    </row>
    <row r="371" spans="1:11" ht="45" x14ac:dyDescent="0.25">
      <c r="A371" s="4" t="s">
        <v>3743</v>
      </c>
      <c r="B371">
        <v>77917</v>
      </c>
      <c r="C371">
        <v>2.5299999999999998</v>
      </c>
      <c r="D371">
        <f t="shared" si="30"/>
        <v>48985.998197113317</v>
      </c>
      <c r="E371">
        <f t="shared" si="31"/>
        <v>48.985998197113318</v>
      </c>
      <c r="F371" s="7">
        <v>0.44957472660996356</v>
      </c>
      <c r="G371">
        <f t="shared" si="32"/>
        <v>3</v>
      </c>
      <c r="H371" s="7">
        <f t="shared" si="33"/>
        <v>0.55042527339003644</v>
      </c>
      <c r="I371">
        <f t="shared" si="34"/>
        <v>3</v>
      </c>
      <c r="J371">
        <f>VLOOKUP(A371,'Housing Cost Calc'!$A$2:$C$827,3,FALSE)</f>
        <v>1672</v>
      </c>
      <c r="K371">
        <f t="shared" si="35"/>
        <v>0.40958642751884039</v>
      </c>
    </row>
    <row r="372" spans="1:11" ht="60" x14ac:dyDescent="0.25">
      <c r="A372" s="4" t="s">
        <v>3298</v>
      </c>
      <c r="B372">
        <v>71399</v>
      </c>
      <c r="C372">
        <v>2.12</v>
      </c>
      <c r="D372">
        <f t="shared" si="30"/>
        <v>49037.03452686224</v>
      </c>
      <c r="E372">
        <f t="shared" si="31"/>
        <v>49.037034526862243</v>
      </c>
      <c r="F372" s="7">
        <v>0.45078979343863912</v>
      </c>
      <c r="G372">
        <f t="shared" si="32"/>
        <v>3</v>
      </c>
      <c r="H372" s="7">
        <f t="shared" si="33"/>
        <v>0.54921020656136088</v>
      </c>
      <c r="I372">
        <f t="shared" si="34"/>
        <v>3</v>
      </c>
      <c r="J372">
        <f>VLOOKUP(A372,'Housing Cost Calc'!$A$2:$C$827,3,FALSE)</f>
        <v>1212</v>
      </c>
      <c r="K372">
        <f t="shared" si="35"/>
        <v>0.29659216019747014</v>
      </c>
    </row>
    <row r="373" spans="1:11" ht="45" x14ac:dyDescent="0.25">
      <c r="A373" s="4" t="s">
        <v>3772</v>
      </c>
      <c r="B373">
        <v>80882</v>
      </c>
      <c r="C373">
        <v>2.72</v>
      </c>
      <c r="D373">
        <f t="shared" si="30"/>
        <v>49041.916060471704</v>
      </c>
      <c r="E373">
        <f t="shared" si="31"/>
        <v>49.041916060471706</v>
      </c>
      <c r="F373" s="7">
        <v>0.45200486026731468</v>
      </c>
      <c r="G373">
        <f t="shared" si="32"/>
        <v>3</v>
      </c>
      <c r="H373" s="7">
        <f t="shared" si="33"/>
        <v>0.54799513973268532</v>
      </c>
      <c r="I373">
        <f t="shared" si="34"/>
        <v>3</v>
      </c>
      <c r="J373">
        <f>VLOOKUP(A373,'Housing Cost Calc'!$A$2:$C$827,3,FALSE)</f>
        <v>1944</v>
      </c>
      <c r="K373">
        <f t="shared" si="35"/>
        <v>0.47567472631442742</v>
      </c>
    </row>
    <row r="374" spans="1:11" ht="60" x14ac:dyDescent="0.25">
      <c r="A374" s="4" t="s">
        <v>3647</v>
      </c>
      <c r="B374">
        <v>70787</v>
      </c>
      <c r="C374">
        <v>2.08</v>
      </c>
      <c r="D374">
        <f t="shared" si="30"/>
        <v>49081.953487744111</v>
      </c>
      <c r="E374">
        <f t="shared" si="31"/>
        <v>49.081953487744109</v>
      </c>
      <c r="F374" s="7">
        <v>0.45321992709599029</v>
      </c>
      <c r="G374">
        <f t="shared" si="32"/>
        <v>3</v>
      </c>
      <c r="H374" s="7">
        <f t="shared" si="33"/>
        <v>0.54678007290400976</v>
      </c>
      <c r="I374">
        <f t="shared" si="34"/>
        <v>3</v>
      </c>
      <c r="J374">
        <f>VLOOKUP(A374,'Housing Cost Calc'!$A$2:$C$827,3,FALSE)</f>
        <v>1616</v>
      </c>
      <c r="K374">
        <f t="shared" si="35"/>
        <v>0.39509429886164232</v>
      </c>
    </row>
    <row r="375" spans="1:11" ht="60" x14ac:dyDescent="0.25">
      <c r="A375" s="4" t="s">
        <v>3662</v>
      </c>
      <c r="B375">
        <v>71810</v>
      </c>
      <c r="C375">
        <v>2.14</v>
      </c>
      <c r="D375">
        <f t="shared" si="30"/>
        <v>49088.305419641059</v>
      </c>
      <c r="E375">
        <f t="shared" si="31"/>
        <v>49.08830541964106</v>
      </c>
      <c r="F375" s="7">
        <v>0.45443499392466585</v>
      </c>
      <c r="G375">
        <f t="shared" si="32"/>
        <v>3</v>
      </c>
      <c r="H375" s="7">
        <f t="shared" si="33"/>
        <v>0.54556500607533409</v>
      </c>
      <c r="I375">
        <f t="shared" si="34"/>
        <v>3</v>
      </c>
      <c r="J375">
        <f>VLOOKUP(A375,'Housing Cost Calc'!$A$2:$C$827,3,FALSE)</f>
        <v>1716</v>
      </c>
      <c r="K375">
        <f t="shared" si="35"/>
        <v>0.41948891541407324</v>
      </c>
    </row>
    <row r="376" spans="1:11" ht="60" x14ac:dyDescent="0.25">
      <c r="A376" s="4" t="s">
        <v>3592</v>
      </c>
      <c r="B376">
        <v>75685</v>
      </c>
      <c r="C376">
        <v>2.37</v>
      </c>
      <c r="D376">
        <f t="shared" si="30"/>
        <v>49162.690499308534</v>
      </c>
      <c r="E376">
        <f t="shared" si="31"/>
        <v>49.162690499308532</v>
      </c>
      <c r="F376" s="7">
        <v>0.45565006075334141</v>
      </c>
      <c r="G376">
        <f t="shared" si="32"/>
        <v>3</v>
      </c>
      <c r="H376" s="7">
        <f t="shared" si="33"/>
        <v>0.54434993924665864</v>
      </c>
      <c r="I376">
        <f t="shared" si="34"/>
        <v>3</v>
      </c>
      <c r="J376">
        <f>VLOOKUP(A376,'Housing Cost Calc'!$A$2:$C$827,3,FALSE)</f>
        <v>1341</v>
      </c>
      <c r="K376">
        <f t="shared" si="35"/>
        <v>0.32732138612768419</v>
      </c>
    </row>
    <row r="377" spans="1:11" ht="60" x14ac:dyDescent="0.25">
      <c r="A377" s="4" t="s">
        <v>3413</v>
      </c>
      <c r="B377">
        <v>74659</v>
      </c>
      <c r="C377">
        <v>2.2999999999999998</v>
      </c>
      <c r="D377">
        <f t="shared" si="30"/>
        <v>49228.686763256068</v>
      </c>
      <c r="E377">
        <f t="shared" si="31"/>
        <v>49.228686763256071</v>
      </c>
      <c r="F377" s="7">
        <v>0.45686512758201703</v>
      </c>
      <c r="G377">
        <f t="shared" si="32"/>
        <v>3</v>
      </c>
      <c r="H377" s="7">
        <f t="shared" si="33"/>
        <v>0.54313487241798297</v>
      </c>
      <c r="I377">
        <f t="shared" si="34"/>
        <v>3</v>
      </c>
      <c r="J377">
        <f>VLOOKUP(A377,'Housing Cost Calc'!$A$2:$C$827,3,FALSE)</f>
        <v>1268</v>
      </c>
      <c r="K377">
        <f t="shared" si="35"/>
        <v>0.30908807446306108</v>
      </c>
    </row>
    <row r="378" spans="1:11" ht="60" x14ac:dyDescent="0.25">
      <c r="A378" s="4" t="s">
        <v>3583</v>
      </c>
      <c r="B378">
        <v>72198</v>
      </c>
      <c r="C378">
        <v>2.15</v>
      </c>
      <c r="D378">
        <f t="shared" si="30"/>
        <v>49238.627321089247</v>
      </c>
      <c r="E378">
        <f t="shared" si="31"/>
        <v>49.238627321089247</v>
      </c>
      <c r="F378" s="7">
        <v>0.45808019441069259</v>
      </c>
      <c r="G378">
        <f t="shared" si="32"/>
        <v>3</v>
      </c>
      <c r="H378" s="7">
        <f t="shared" si="33"/>
        <v>0.54191980558930741</v>
      </c>
      <c r="I378">
        <f t="shared" si="34"/>
        <v>3</v>
      </c>
      <c r="J378">
        <f>VLOOKUP(A378,'Housing Cost Calc'!$A$2:$C$827,3,FALSE)</f>
        <v>1335</v>
      </c>
      <c r="K378">
        <f t="shared" si="35"/>
        <v>0.32535431777031937</v>
      </c>
    </row>
    <row r="379" spans="1:11" ht="60" x14ac:dyDescent="0.25">
      <c r="A379" s="4" t="s">
        <v>3778</v>
      </c>
      <c r="B379">
        <v>81270</v>
      </c>
      <c r="C379">
        <v>2.72</v>
      </c>
      <c r="D379">
        <f t="shared" si="30"/>
        <v>49277.175616756947</v>
      </c>
      <c r="E379">
        <f t="shared" si="31"/>
        <v>49.277175616756949</v>
      </c>
      <c r="F379" s="7">
        <v>0.45929526123936815</v>
      </c>
      <c r="G379">
        <f t="shared" si="32"/>
        <v>3</v>
      </c>
      <c r="H379" s="7">
        <f t="shared" si="33"/>
        <v>0.54070473876063185</v>
      </c>
      <c r="I379">
        <f t="shared" si="34"/>
        <v>3</v>
      </c>
      <c r="J379">
        <f>VLOOKUP(A379,'Housing Cost Calc'!$A$2:$C$827,3,FALSE)</f>
        <v>1503</v>
      </c>
      <c r="K379">
        <f t="shared" si="35"/>
        <v>0.36601123693190663</v>
      </c>
    </row>
    <row r="380" spans="1:11" ht="60" x14ac:dyDescent="0.25">
      <c r="A380" s="4" t="s">
        <v>3710</v>
      </c>
      <c r="B380">
        <v>75074</v>
      </c>
      <c r="C380">
        <v>2.3199999999999998</v>
      </c>
      <c r="D380">
        <f t="shared" si="30"/>
        <v>49288.495702554057</v>
      </c>
      <c r="E380">
        <f t="shared" si="31"/>
        <v>49.288495702554059</v>
      </c>
      <c r="F380" s="7">
        <v>0.46051032806804376</v>
      </c>
      <c r="G380">
        <f t="shared" si="32"/>
        <v>3</v>
      </c>
      <c r="H380" s="7">
        <f t="shared" si="33"/>
        <v>0.53948967193195618</v>
      </c>
      <c r="I380">
        <f t="shared" si="34"/>
        <v>3</v>
      </c>
      <c r="J380">
        <f>VLOOKUP(A380,'Housing Cost Calc'!$A$2:$C$827,3,FALSE)</f>
        <v>1495</v>
      </c>
      <c r="K380">
        <f t="shared" si="35"/>
        <v>0.36397945898499751</v>
      </c>
    </row>
    <row r="381" spans="1:11" ht="45" x14ac:dyDescent="0.25">
      <c r="A381" s="4" t="s">
        <v>3755</v>
      </c>
      <c r="B381">
        <v>78844</v>
      </c>
      <c r="C381">
        <v>2.54</v>
      </c>
      <c r="D381">
        <f t="shared" si="30"/>
        <v>49471.125500312977</v>
      </c>
      <c r="E381">
        <f t="shared" si="31"/>
        <v>49.471125500312979</v>
      </c>
      <c r="F381" s="7">
        <v>0.46172539489671932</v>
      </c>
      <c r="G381">
        <f t="shared" si="32"/>
        <v>3</v>
      </c>
      <c r="H381" s="7">
        <f t="shared" si="33"/>
        <v>0.53827460510328073</v>
      </c>
      <c r="I381">
        <f t="shared" si="34"/>
        <v>3</v>
      </c>
      <c r="J381">
        <f>VLOOKUP(A381,'Housing Cost Calc'!$A$2:$C$827,3,FALSE)</f>
        <v>1741</v>
      </c>
      <c r="K381">
        <f t="shared" si="35"/>
        <v>0.42230694751159092</v>
      </c>
    </row>
    <row r="382" spans="1:11" ht="60" x14ac:dyDescent="0.25">
      <c r="A382" s="4" t="s">
        <v>3741</v>
      </c>
      <c r="B382">
        <v>77778</v>
      </c>
      <c r="C382">
        <v>2.4700000000000002</v>
      </c>
      <c r="D382">
        <f t="shared" si="30"/>
        <v>49488.956294730044</v>
      </c>
      <c r="E382">
        <f t="shared" si="31"/>
        <v>49.488956294730045</v>
      </c>
      <c r="F382" s="7">
        <v>0.46294046172539488</v>
      </c>
      <c r="G382">
        <f t="shared" si="32"/>
        <v>3</v>
      </c>
      <c r="H382" s="7">
        <f t="shared" si="33"/>
        <v>0.53705953827460506</v>
      </c>
      <c r="I382">
        <f t="shared" si="34"/>
        <v>3</v>
      </c>
      <c r="J382">
        <f>VLOOKUP(A382,'Housing Cost Calc'!$A$2:$C$827,3,FALSE)</f>
        <v>1704</v>
      </c>
      <c r="K382">
        <f t="shared" si="35"/>
        <v>0.41318309236958906</v>
      </c>
    </row>
    <row r="383" spans="1:11" ht="60" x14ac:dyDescent="0.25">
      <c r="A383" s="4" t="s">
        <v>3525</v>
      </c>
      <c r="B383">
        <v>74602</v>
      </c>
      <c r="C383">
        <v>2.2599999999999998</v>
      </c>
      <c r="D383">
        <f t="shared" si="30"/>
        <v>49624.512230945831</v>
      </c>
      <c r="E383">
        <f t="shared" si="31"/>
        <v>49.624512230945832</v>
      </c>
      <c r="F383" s="7">
        <v>0.4641555285540705</v>
      </c>
      <c r="G383">
        <f t="shared" si="32"/>
        <v>3</v>
      </c>
      <c r="H383" s="7">
        <f t="shared" si="33"/>
        <v>0.5358444714459295</v>
      </c>
      <c r="I383">
        <f t="shared" si="34"/>
        <v>3</v>
      </c>
      <c r="J383">
        <f>VLOOKUP(A383,'Housing Cost Calc'!$A$2:$C$827,3,FALSE)</f>
        <v>1325</v>
      </c>
      <c r="K383">
        <f t="shared" si="35"/>
        <v>0.32040617197411492</v>
      </c>
    </row>
    <row r="384" spans="1:11" ht="60" x14ac:dyDescent="0.25">
      <c r="A384" s="4" t="s">
        <v>3683</v>
      </c>
      <c r="B384">
        <v>75980</v>
      </c>
      <c r="C384">
        <v>2.34</v>
      </c>
      <c r="D384">
        <f t="shared" si="30"/>
        <v>49669.679825997409</v>
      </c>
      <c r="E384">
        <f t="shared" si="31"/>
        <v>49.669679825997406</v>
      </c>
      <c r="F384" s="7">
        <v>0.46537059538274606</v>
      </c>
      <c r="G384">
        <f t="shared" si="32"/>
        <v>3</v>
      </c>
      <c r="H384" s="7">
        <f t="shared" si="33"/>
        <v>0.53462940461725394</v>
      </c>
      <c r="I384">
        <f t="shared" si="34"/>
        <v>3</v>
      </c>
      <c r="J384">
        <f>VLOOKUP(A384,'Housing Cost Calc'!$A$2:$C$827,3,FALSE)</f>
        <v>1400</v>
      </c>
      <c r="K384">
        <f t="shared" si="35"/>
        <v>0.33823451366817103</v>
      </c>
    </row>
    <row r="385" spans="1:11" ht="60" x14ac:dyDescent="0.25">
      <c r="A385" s="4" t="s">
        <v>3672</v>
      </c>
      <c r="B385">
        <v>79864</v>
      </c>
      <c r="C385">
        <v>2.57</v>
      </c>
      <c r="D385">
        <f t="shared" si="30"/>
        <v>49817.794454973387</v>
      </c>
      <c r="E385">
        <f t="shared" si="31"/>
        <v>49.817794454973388</v>
      </c>
      <c r="F385" s="7">
        <v>0.46658566221142161</v>
      </c>
      <c r="G385">
        <f t="shared" si="32"/>
        <v>3</v>
      </c>
      <c r="H385" s="7">
        <f t="shared" si="33"/>
        <v>0.53341433778857839</v>
      </c>
      <c r="I385">
        <f t="shared" si="34"/>
        <v>3</v>
      </c>
      <c r="J385">
        <f>VLOOKUP(A385,'Housing Cost Calc'!$A$2:$C$827,3,FALSE)</f>
        <v>1398</v>
      </c>
      <c r="K385">
        <f t="shared" si="35"/>
        <v>0.33674714393794736</v>
      </c>
    </row>
    <row r="386" spans="1:11" ht="60" x14ac:dyDescent="0.25">
      <c r="A386" s="4" t="s">
        <v>3711</v>
      </c>
      <c r="B386">
        <v>79444</v>
      </c>
      <c r="C386">
        <v>2.54</v>
      </c>
      <c r="D386">
        <f t="shared" ref="D386:D449" si="36">(B386/(C386)^0.5)</f>
        <v>49847.598983395867</v>
      </c>
      <c r="E386">
        <f t="shared" ref="E386:E449" si="37">D386/1000</f>
        <v>49.847598983395869</v>
      </c>
      <c r="F386" s="7">
        <v>0.46780072904009723</v>
      </c>
      <c r="G386">
        <f t="shared" si="32"/>
        <v>3</v>
      </c>
      <c r="H386" s="7">
        <f t="shared" si="33"/>
        <v>0.53219927095990283</v>
      </c>
      <c r="I386">
        <f t="shared" si="34"/>
        <v>3</v>
      </c>
      <c r="J386">
        <f>VLOOKUP(A386,'Housing Cost Calc'!$A$2:$C$827,3,FALSE)</f>
        <v>1427</v>
      </c>
      <c r="K386">
        <f t="shared" si="35"/>
        <v>0.34352707751689243</v>
      </c>
    </row>
    <row r="387" spans="1:11" ht="60" x14ac:dyDescent="0.25">
      <c r="A387" s="4" t="s">
        <v>3775</v>
      </c>
      <c r="B387">
        <v>81154</v>
      </c>
      <c r="C387">
        <v>2.65</v>
      </c>
      <c r="D387">
        <f t="shared" si="36"/>
        <v>49852.505911542474</v>
      </c>
      <c r="E387">
        <f t="shared" si="37"/>
        <v>49.852505911542472</v>
      </c>
      <c r="F387" s="7">
        <v>0.46901579586877279</v>
      </c>
      <c r="G387">
        <f t="shared" ref="G387:G450" si="38">IF(F387&lt;0.2,1,IF(F387&lt;0.4,2,IF(F387&lt;0.6,3,IF(F387&lt;0.8,4,5))))</f>
        <v>3</v>
      </c>
      <c r="H387" s="7">
        <f t="shared" ref="H387:H450" si="39">1-F387</f>
        <v>0.53098420413122716</v>
      </c>
      <c r="I387">
        <f t="shared" ref="I387:I450" si="40">6-G387</f>
        <v>3</v>
      </c>
      <c r="J387">
        <f>VLOOKUP(A387,'Housing Cost Calc'!$A$2:$C$827,3,FALSE)</f>
        <v>1520</v>
      </c>
      <c r="K387">
        <f t="shared" ref="K387:K450" si="41">(J387*12)/D387</f>
        <v>0.36587930067878188</v>
      </c>
    </row>
    <row r="388" spans="1:11" ht="45" x14ac:dyDescent="0.25">
      <c r="A388" s="4" t="s">
        <v>3671</v>
      </c>
      <c r="B388">
        <v>72344</v>
      </c>
      <c r="C388">
        <v>2.1</v>
      </c>
      <c r="D388">
        <f t="shared" si="36"/>
        <v>49922.102825063273</v>
      </c>
      <c r="E388">
        <f t="shared" si="37"/>
        <v>49.922102825063277</v>
      </c>
      <c r="F388" s="7">
        <v>0.47023086269744835</v>
      </c>
      <c r="G388">
        <f t="shared" si="38"/>
        <v>3</v>
      </c>
      <c r="H388" s="7">
        <f t="shared" si="39"/>
        <v>0.52976913730255171</v>
      </c>
      <c r="I388">
        <f t="shared" si="40"/>
        <v>3</v>
      </c>
      <c r="J388">
        <f>VLOOKUP(A388,'Housing Cost Calc'!$A$2:$C$827,3,FALSE)</f>
        <v>1719</v>
      </c>
      <c r="K388">
        <f t="shared" si="41"/>
        <v>0.41320374809299421</v>
      </c>
    </row>
    <row r="389" spans="1:11" ht="60" x14ac:dyDescent="0.25">
      <c r="A389" s="4" t="s">
        <v>3696</v>
      </c>
      <c r="B389">
        <v>74202</v>
      </c>
      <c r="C389">
        <v>2.2000000000000002</v>
      </c>
      <c r="D389">
        <f t="shared" si="36"/>
        <v>50026.978194497489</v>
      </c>
      <c r="E389">
        <f t="shared" si="37"/>
        <v>50.026978194497488</v>
      </c>
      <c r="F389" s="7">
        <v>0.47144592952612396</v>
      </c>
      <c r="G389">
        <f t="shared" si="38"/>
        <v>3</v>
      </c>
      <c r="H389" s="7">
        <f t="shared" si="39"/>
        <v>0.52855407047387604</v>
      </c>
      <c r="I389">
        <f t="shared" si="40"/>
        <v>3</v>
      </c>
      <c r="J389">
        <f>VLOOKUP(A389,'Housing Cost Calc'!$A$2:$C$827,3,FALSE)</f>
        <v>1498</v>
      </c>
      <c r="K389">
        <f t="shared" si="41"/>
        <v>0.35932612060060815</v>
      </c>
    </row>
    <row r="390" spans="1:11" ht="60" x14ac:dyDescent="0.25">
      <c r="A390" s="4" t="s">
        <v>3443</v>
      </c>
      <c r="B390">
        <v>75673</v>
      </c>
      <c r="C390">
        <v>2.2799999999999998</v>
      </c>
      <c r="D390">
        <f t="shared" si="36"/>
        <v>50115.668528091534</v>
      </c>
      <c r="E390">
        <f t="shared" si="37"/>
        <v>50.115668528091533</v>
      </c>
      <c r="F390" s="7">
        <v>0.47266099635479952</v>
      </c>
      <c r="G390">
        <f t="shared" si="38"/>
        <v>3</v>
      </c>
      <c r="H390" s="7">
        <f t="shared" si="39"/>
        <v>0.52733900364520048</v>
      </c>
      <c r="I390">
        <f t="shared" si="40"/>
        <v>3</v>
      </c>
      <c r="J390">
        <f>VLOOKUP(A390,'Housing Cost Calc'!$A$2:$C$827,3,FALSE)</f>
        <v>1305</v>
      </c>
      <c r="K390">
        <f t="shared" si="41"/>
        <v>0.31247712461866167</v>
      </c>
    </row>
    <row r="391" spans="1:11" ht="60" x14ac:dyDescent="0.25">
      <c r="A391" s="4" t="s">
        <v>3729</v>
      </c>
      <c r="B391">
        <v>76739</v>
      </c>
      <c r="C391">
        <v>2.34</v>
      </c>
      <c r="D391">
        <f t="shared" si="36"/>
        <v>50165.853647897013</v>
      </c>
      <c r="E391">
        <f t="shared" si="37"/>
        <v>50.165853647897009</v>
      </c>
      <c r="F391" s="7">
        <v>0.47387606318347508</v>
      </c>
      <c r="G391">
        <f t="shared" si="38"/>
        <v>3</v>
      </c>
      <c r="H391" s="7">
        <f t="shared" si="39"/>
        <v>0.52612393681652492</v>
      </c>
      <c r="I391">
        <f t="shared" si="40"/>
        <v>3</v>
      </c>
      <c r="J391">
        <f>VLOOKUP(A391,'Housing Cost Calc'!$A$2:$C$827,3,FALSE)</f>
        <v>1447</v>
      </c>
      <c r="K391">
        <f t="shared" si="41"/>
        <v>0.34613185538262858</v>
      </c>
    </row>
    <row r="392" spans="1:11" ht="45" x14ac:dyDescent="0.25">
      <c r="A392" s="4" t="s">
        <v>3771</v>
      </c>
      <c r="B392">
        <v>80816</v>
      </c>
      <c r="C392">
        <v>2.58</v>
      </c>
      <c r="D392">
        <f t="shared" si="36"/>
        <v>50313.843919168816</v>
      </c>
      <c r="E392">
        <f t="shared" si="37"/>
        <v>50.313843919168818</v>
      </c>
      <c r="F392" s="7">
        <v>0.47509113001215064</v>
      </c>
      <c r="G392">
        <f t="shared" si="38"/>
        <v>3</v>
      </c>
      <c r="H392" s="7">
        <f t="shared" si="39"/>
        <v>0.52490886998784936</v>
      </c>
      <c r="I392">
        <f t="shared" si="40"/>
        <v>3</v>
      </c>
      <c r="J392">
        <f>VLOOKUP(A392,'Housing Cost Calc'!$A$2:$C$827,3,FALSE)</f>
        <v>2170</v>
      </c>
      <c r="K392">
        <f t="shared" si="41"/>
        <v>0.5175513928499339</v>
      </c>
    </row>
    <row r="393" spans="1:11" ht="60" x14ac:dyDescent="0.25">
      <c r="A393" s="4" t="s">
        <v>3590</v>
      </c>
      <c r="B393">
        <v>72658</v>
      </c>
      <c r="C393">
        <v>2.08</v>
      </c>
      <c r="D393">
        <f t="shared" si="36"/>
        <v>50379.258571665865</v>
      </c>
      <c r="E393">
        <f t="shared" si="37"/>
        <v>50.379258571665865</v>
      </c>
      <c r="F393" s="7">
        <v>0.47630619684082626</v>
      </c>
      <c r="G393">
        <f t="shared" si="38"/>
        <v>3</v>
      </c>
      <c r="H393" s="7">
        <f t="shared" si="39"/>
        <v>0.5236938031591738</v>
      </c>
      <c r="I393">
        <f t="shared" si="40"/>
        <v>3</v>
      </c>
      <c r="J393">
        <f>VLOOKUP(A393,'Housing Cost Calc'!$A$2:$C$827,3,FALSE)</f>
        <v>1373</v>
      </c>
      <c r="K393">
        <f t="shared" si="41"/>
        <v>0.32703935046131022</v>
      </c>
    </row>
    <row r="394" spans="1:11" ht="60" x14ac:dyDescent="0.25">
      <c r="A394" s="4" t="s">
        <v>3826</v>
      </c>
      <c r="B394">
        <v>89985</v>
      </c>
      <c r="C394">
        <v>3.18</v>
      </c>
      <c r="D394">
        <f t="shared" si="36"/>
        <v>50461.082285972603</v>
      </c>
      <c r="E394">
        <f t="shared" si="37"/>
        <v>50.461082285972601</v>
      </c>
      <c r="F394" s="7">
        <v>0.47752126366950182</v>
      </c>
      <c r="G394">
        <f t="shared" si="38"/>
        <v>3</v>
      </c>
      <c r="H394" s="7">
        <f t="shared" si="39"/>
        <v>0.52247873633049813</v>
      </c>
      <c r="I394">
        <f t="shared" si="40"/>
        <v>3</v>
      </c>
      <c r="J394">
        <f>VLOOKUP(A394,'Housing Cost Calc'!$A$2:$C$827,3,FALSE)</f>
        <v>1860</v>
      </c>
      <c r="K394">
        <f t="shared" si="41"/>
        <v>0.4423210717817801</v>
      </c>
    </row>
    <row r="395" spans="1:11" ht="60" x14ac:dyDescent="0.25">
      <c r="A395" s="4" t="s">
        <v>3735</v>
      </c>
      <c r="B395">
        <v>78239</v>
      </c>
      <c r="C395">
        <v>2.38</v>
      </c>
      <c r="D395">
        <f t="shared" si="36"/>
        <v>50714.811126997796</v>
      </c>
      <c r="E395">
        <f t="shared" si="37"/>
        <v>50.714811126997795</v>
      </c>
      <c r="F395" s="7">
        <v>0.47873633049817738</v>
      </c>
      <c r="G395">
        <f t="shared" si="38"/>
        <v>3</v>
      </c>
      <c r="H395" s="7">
        <f t="shared" si="39"/>
        <v>0.52126366950182268</v>
      </c>
      <c r="I395">
        <f t="shared" si="40"/>
        <v>3</v>
      </c>
      <c r="J395">
        <f>VLOOKUP(A395,'Housing Cost Calc'!$A$2:$C$827,3,FALSE)</f>
        <v>1470</v>
      </c>
      <c r="K395">
        <f t="shared" si="41"/>
        <v>0.34782738233662525</v>
      </c>
    </row>
    <row r="396" spans="1:11" ht="60" x14ac:dyDescent="0.25">
      <c r="A396" s="4" t="s">
        <v>3656</v>
      </c>
      <c r="B396">
        <v>81641</v>
      </c>
      <c r="C396">
        <v>2.59</v>
      </c>
      <c r="D396">
        <f t="shared" si="36"/>
        <v>50729.24906610397</v>
      </c>
      <c r="E396">
        <f t="shared" si="37"/>
        <v>50.729249066103968</v>
      </c>
      <c r="F396" s="7">
        <v>0.47995139732685299</v>
      </c>
      <c r="G396">
        <f t="shared" si="38"/>
        <v>3</v>
      </c>
      <c r="H396" s="7">
        <f t="shared" si="39"/>
        <v>0.52004860267314701</v>
      </c>
      <c r="I396">
        <f t="shared" si="40"/>
        <v>3</v>
      </c>
      <c r="J396">
        <f>VLOOKUP(A396,'Housing Cost Calc'!$A$2:$C$827,3,FALSE)</f>
        <v>1413</v>
      </c>
      <c r="K396">
        <f t="shared" si="41"/>
        <v>0.33424504230104168</v>
      </c>
    </row>
    <row r="397" spans="1:11" ht="60" x14ac:dyDescent="0.25">
      <c r="A397" s="4" t="s">
        <v>3447</v>
      </c>
      <c r="B397">
        <v>77083</v>
      </c>
      <c r="C397">
        <v>2.29</v>
      </c>
      <c r="D397">
        <f t="shared" si="36"/>
        <v>50937.880178879685</v>
      </c>
      <c r="E397">
        <f t="shared" si="37"/>
        <v>50.937880178879688</v>
      </c>
      <c r="F397" s="7">
        <v>0.48116646415552855</v>
      </c>
      <c r="G397">
        <f t="shared" si="38"/>
        <v>3</v>
      </c>
      <c r="H397" s="7">
        <f t="shared" si="39"/>
        <v>0.51883353584447145</v>
      </c>
      <c r="I397">
        <f t="shared" si="40"/>
        <v>3</v>
      </c>
      <c r="J397">
        <f>VLOOKUP(A397,'Housing Cost Calc'!$A$2:$C$827,3,FALSE)</f>
        <v>1328</v>
      </c>
      <c r="K397">
        <f t="shared" si="41"/>
        <v>0.31285165271968907</v>
      </c>
    </row>
    <row r="398" spans="1:11" ht="60" x14ac:dyDescent="0.25">
      <c r="A398" s="4" t="s">
        <v>3505</v>
      </c>
      <c r="B398">
        <v>84779</v>
      </c>
      <c r="C398">
        <v>2.76</v>
      </c>
      <c r="D398">
        <f t="shared" si="36"/>
        <v>51030.961193792136</v>
      </c>
      <c r="E398">
        <f t="shared" si="37"/>
        <v>51.030961193792137</v>
      </c>
      <c r="F398" s="7">
        <v>0.48238153098420411</v>
      </c>
      <c r="G398">
        <f t="shared" si="38"/>
        <v>3</v>
      </c>
      <c r="H398" s="7">
        <f t="shared" si="39"/>
        <v>0.51761846901579589</v>
      </c>
      <c r="I398">
        <f t="shared" si="40"/>
        <v>3</v>
      </c>
      <c r="J398">
        <f>VLOOKUP(A398,'Housing Cost Calc'!$A$2:$C$827,3,FALSE)</f>
        <v>1355</v>
      </c>
      <c r="K398">
        <f t="shared" si="41"/>
        <v>0.31863009474291487</v>
      </c>
    </row>
    <row r="399" spans="1:11" ht="60" x14ac:dyDescent="0.25">
      <c r="A399" s="4" t="s">
        <v>3102</v>
      </c>
      <c r="B399">
        <v>74132</v>
      </c>
      <c r="C399">
        <v>2.11</v>
      </c>
      <c r="D399">
        <f t="shared" si="36"/>
        <v>51034.573468380491</v>
      </c>
      <c r="E399">
        <f t="shared" si="37"/>
        <v>51.034573468380493</v>
      </c>
      <c r="F399" s="7">
        <v>0.48359659781287972</v>
      </c>
      <c r="G399">
        <f t="shared" si="38"/>
        <v>3</v>
      </c>
      <c r="H399" s="7">
        <f t="shared" si="39"/>
        <v>0.51640340218712022</v>
      </c>
      <c r="I399">
        <f t="shared" si="40"/>
        <v>3</v>
      </c>
      <c r="J399">
        <f>VLOOKUP(A399,'Housing Cost Calc'!$A$2:$C$827,3,FALSE)</f>
        <v>1102</v>
      </c>
      <c r="K399">
        <f t="shared" si="41"/>
        <v>0.25911845835633757</v>
      </c>
    </row>
    <row r="400" spans="1:11" ht="60" x14ac:dyDescent="0.25">
      <c r="A400" s="4" t="s">
        <v>3600</v>
      </c>
      <c r="B400">
        <v>76908</v>
      </c>
      <c r="C400">
        <v>2.27</v>
      </c>
      <c r="D400">
        <f t="shared" si="36"/>
        <v>51045.632448530647</v>
      </c>
      <c r="E400">
        <f t="shared" si="37"/>
        <v>51.045632448530647</v>
      </c>
      <c r="F400" s="7">
        <v>0.48481166464155528</v>
      </c>
      <c r="G400">
        <f t="shared" si="38"/>
        <v>3</v>
      </c>
      <c r="H400" s="7">
        <f t="shared" si="39"/>
        <v>0.51518833535844477</v>
      </c>
      <c r="I400">
        <f t="shared" si="40"/>
        <v>3</v>
      </c>
      <c r="J400">
        <f>VLOOKUP(A400,'Housing Cost Calc'!$A$2:$C$827,3,FALSE)</f>
        <v>1397</v>
      </c>
      <c r="K400">
        <f t="shared" si="41"/>
        <v>0.32841203440672728</v>
      </c>
    </row>
    <row r="401" spans="1:11" ht="60" x14ac:dyDescent="0.25">
      <c r="A401" s="4" t="s">
        <v>3156</v>
      </c>
      <c r="B401">
        <v>76602</v>
      </c>
      <c r="C401">
        <v>2.25</v>
      </c>
      <c r="D401">
        <f t="shared" si="36"/>
        <v>51068</v>
      </c>
      <c r="E401">
        <f t="shared" si="37"/>
        <v>51.067999999999998</v>
      </c>
      <c r="F401" s="7">
        <v>0.48602673147023084</v>
      </c>
      <c r="G401">
        <f t="shared" si="38"/>
        <v>3</v>
      </c>
      <c r="H401" s="7">
        <f t="shared" si="39"/>
        <v>0.5139732685297691</v>
      </c>
      <c r="I401">
        <f t="shared" si="40"/>
        <v>3</v>
      </c>
      <c r="J401">
        <f>VLOOKUP(A401,'Housing Cost Calc'!$A$2:$C$827,3,FALSE)</f>
        <v>1149</v>
      </c>
      <c r="K401">
        <f t="shared" si="41"/>
        <v>0.26999295057570299</v>
      </c>
    </row>
    <row r="402" spans="1:11" ht="60" x14ac:dyDescent="0.25">
      <c r="A402" s="4" t="s">
        <v>3616</v>
      </c>
      <c r="B402">
        <v>85406</v>
      </c>
      <c r="C402">
        <v>2.78</v>
      </c>
      <c r="D402">
        <f t="shared" si="36"/>
        <v>51223.114850270766</v>
      </c>
      <c r="E402">
        <f t="shared" si="37"/>
        <v>51.223114850270768</v>
      </c>
      <c r="F402" s="7">
        <v>0.48724179829890646</v>
      </c>
      <c r="G402">
        <f t="shared" si="38"/>
        <v>3</v>
      </c>
      <c r="H402" s="7">
        <f t="shared" si="39"/>
        <v>0.51275820170109354</v>
      </c>
      <c r="I402">
        <f t="shared" si="40"/>
        <v>3</v>
      </c>
      <c r="J402">
        <f>VLOOKUP(A402,'Housing Cost Calc'!$A$2:$C$827,3,FALSE)</f>
        <v>1408</v>
      </c>
      <c r="K402">
        <f t="shared" si="41"/>
        <v>0.32985108479615793</v>
      </c>
    </row>
    <row r="403" spans="1:11" ht="75" x14ac:dyDescent="0.25">
      <c r="A403" s="4" t="s">
        <v>3702</v>
      </c>
      <c r="B403">
        <v>74519</v>
      </c>
      <c r="C403">
        <v>2.11</v>
      </c>
      <c r="D403">
        <f t="shared" si="36"/>
        <v>51300.995255628419</v>
      </c>
      <c r="E403">
        <f t="shared" si="37"/>
        <v>51.300995255628422</v>
      </c>
      <c r="F403" s="7">
        <v>0.48845686512758202</v>
      </c>
      <c r="G403">
        <f t="shared" si="38"/>
        <v>3</v>
      </c>
      <c r="H403" s="7">
        <f t="shared" si="39"/>
        <v>0.51154313487241798</v>
      </c>
      <c r="I403">
        <f t="shared" si="40"/>
        <v>3</v>
      </c>
      <c r="J403">
        <f>VLOOKUP(A403,'Housing Cost Calc'!$A$2:$C$827,3,FALSE)</f>
        <v>1553</v>
      </c>
      <c r="K403">
        <f t="shared" si="41"/>
        <v>0.36326780615343668</v>
      </c>
    </row>
    <row r="404" spans="1:11" ht="60" x14ac:dyDescent="0.25">
      <c r="A404" s="4" t="s">
        <v>3798</v>
      </c>
      <c r="B404">
        <v>84340</v>
      </c>
      <c r="C404">
        <v>2.69</v>
      </c>
      <c r="D404">
        <f t="shared" si="36"/>
        <v>51423.005570063055</v>
      </c>
      <c r="E404">
        <f t="shared" si="37"/>
        <v>51.423005570063054</v>
      </c>
      <c r="F404" s="7">
        <v>0.48967193195625758</v>
      </c>
      <c r="G404">
        <f t="shared" si="38"/>
        <v>3</v>
      </c>
      <c r="H404" s="7">
        <f t="shared" si="39"/>
        <v>0.51032806804374242</v>
      </c>
      <c r="I404">
        <f t="shared" si="40"/>
        <v>3</v>
      </c>
      <c r="J404">
        <f>VLOOKUP(A404,'Housing Cost Calc'!$A$2:$C$827,3,FALSE)</f>
        <v>1665</v>
      </c>
      <c r="K404">
        <f t="shared" si="41"/>
        <v>0.38854204997367486</v>
      </c>
    </row>
    <row r="405" spans="1:11" ht="60" x14ac:dyDescent="0.25">
      <c r="A405" s="4" t="s">
        <v>3753</v>
      </c>
      <c r="B405">
        <v>78713</v>
      </c>
      <c r="C405">
        <v>2.33</v>
      </c>
      <c r="D405">
        <f t="shared" si="36"/>
        <v>51566.600832895972</v>
      </c>
      <c r="E405">
        <f t="shared" si="37"/>
        <v>51.566600832895972</v>
      </c>
      <c r="F405" s="7">
        <v>0.49088699878493319</v>
      </c>
      <c r="G405">
        <f t="shared" si="38"/>
        <v>3</v>
      </c>
      <c r="H405" s="7">
        <f t="shared" si="39"/>
        <v>0.50911300121506686</v>
      </c>
      <c r="I405">
        <f t="shared" si="40"/>
        <v>3</v>
      </c>
      <c r="J405">
        <f>VLOOKUP(A405,'Housing Cost Calc'!$A$2:$C$827,3,FALSE)</f>
        <v>1620</v>
      </c>
      <c r="K405">
        <f t="shared" si="41"/>
        <v>0.37698819945484185</v>
      </c>
    </row>
    <row r="406" spans="1:11" ht="45" x14ac:dyDescent="0.25">
      <c r="A406" s="4" t="s">
        <v>3823</v>
      </c>
      <c r="B406">
        <v>89506</v>
      </c>
      <c r="C406">
        <v>3.01</v>
      </c>
      <c r="D406">
        <f t="shared" si="36"/>
        <v>51590.400727035259</v>
      </c>
      <c r="E406">
        <f t="shared" si="37"/>
        <v>51.590400727035259</v>
      </c>
      <c r="F406" s="7">
        <v>0.49210206561360875</v>
      </c>
      <c r="G406">
        <f t="shared" si="38"/>
        <v>3</v>
      </c>
      <c r="H406" s="7">
        <f t="shared" si="39"/>
        <v>0.50789793438639119</v>
      </c>
      <c r="I406">
        <f t="shared" si="40"/>
        <v>3</v>
      </c>
      <c r="J406">
        <f>VLOOKUP(A406,'Housing Cost Calc'!$A$2:$C$827,3,FALSE)</f>
        <v>2194</v>
      </c>
      <c r="K406">
        <f t="shared" si="41"/>
        <v>0.51032749559945101</v>
      </c>
    </row>
    <row r="407" spans="1:11" ht="60" x14ac:dyDescent="0.25">
      <c r="A407" s="4" t="s">
        <v>3449</v>
      </c>
      <c r="B407">
        <v>85216</v>
      </c>
      <c r="C407">
        <v>2.72</v>
      </c>
      <c r="D407">
        <f t="shared" si="36"/>
        <v>51669.789557740376</v>
      </c>
      <c r="E407">
        <f t="shared" si="37"/>
        <v>51.669789557740373</v>
      </c>
      <c r="F407" s="7">
        <v>0.49331713244228431</v>
      </c>
      <c r="G407">
        <f t="shared" si="38"/>
        <v>3</v>
      </c>
      <c r="H407" s="7">
        <f t="shared" si="39"/>
        <v>0.50668286755771574</v>
      </c>
      <c r="I407">
        <f t="shared" si="40"/>
        <v>3</v>
      </c>
      <c r="J407">
        <f>VLOOKUP(A407,'Housing Cost Calc'!$A$2:$C$827,3,FALSE)</f>
        <v>1349</v>
      </c>
      <c r="K407">
        <f t="shared" si="41"/>
        <v>0.31329719239344112</v>
      </c>
    </row>
    <row r="408" spans="1:11" ht="60" x14ac:dyDescent="0.25">
      <c r="A408" s="4" t="s">
        <v>3787</v>
      </c>
      <c r="B408">
        <v>82266</v>
      </c>
      <c r="C408">
        <v>2.5299999999999998</v>
      </c>
      <c r="D408">
        <f t="shared" si="36"/>
        <v>51720.191071059257</v>
      </c>
      <c r="E408">
        <f t="shared" si="37"/>
        <v>51.720191071059254</v>
      </c>
      <c r="F408" s="7">
        <v>0.49453219927095993</v>
      </c>
      <c r="G408">
        <f t="shared" si="38"/>
        <v>3</v>
      </c>
      <c r="H408" s="7">
        <f t="shared" si="39"/>
        <v>0.50546780072904007</v>
      </c>
      <c r="I408">
        <f t="shared" si="40"/>
        <v>3</v>
      </c>
      <c r="J408">
        <f>VLOOKUP(A408,'Housing Cost Calc'!$A$2:$C$827,3,FALSE)</f>
        <v>1596</v>
      </c>
      <c r="K408">
        <f t="shared" si="41"/>
        <v>0.37030025611635387</v>
      </c>
    </row>
    <row r="409" spans="1:11" ht="60" x14ac:dyDescent="0.25">
      <c r="A409" s="4" t="s">
        <v>3375</v>
      </c>
      <c r="B409">
        <v>82454</v>
      </c>
      <c r="C409">
        <v>2.54</v>
      </c>
      <c r="D409">
        <f t="shared" si="36"/>
        <v>51736.24095686173</v>
      </c>
      <c r="E409">
        <f t="shared" si="37"/>
        <v>51.736240956861728</v>
      </c>
      <c r="F409" s="7">
        <v>0.49574726609963549</v>
      </c>
      <c r="G409">
        <f t="shared" si="38"/>
        <v>3</v>
      </c>
      <c r="H409" s="7">
        <f t="shared" si="39"/>
        <v>0.50425273390036451</v>
      </c>
      <c r="I409">
        <f t="shared" si="40"/>
        <v>3</v>
      </c>
      <c r="J409">
        <f>VLOOKUP(A409,'Housing Cost Calc'!$A$2:$C$827,3,FALSE)</f>
        <v>1312</v>
      </c>
      <c r="K409">
        <f t="shared" si="41"/>
        <v>0.30431279329179572</v>
      </c>
    </row>
    <row r="410" spans="1:11" ht="60" x14ac:dyDescent="0.25">
      <c r="A410" s="4" t="s">
        <v>3765</v>
      </c>
      <c r="B410">
        <v>84167</v>
      </c>
      <c r="C410">
        <v>2.63</v>
      </c>
      <c r="D410">
        <f t="shared" si="36"/>
        <v>51899.595553637781</v>
      </c>
      <c r="E410">
        <f t="shared" si="37"/>
        <v>51.899595553637781</v>
      </c>
      <c r="F410" s="7">
        <v>0.49696233292831105</v>
      </c>
      <c r="G410">
        <f t="shared" si="38"/>
        <v>3</v>
      </c>
      <c r="H410" s="7">
        <f t="shared" si="39"/>
        <v>0.50303766707168895</v>
      </c>
      <c r="I410">
        <f t="shared" si="40"/>
        <v>3</v>
      </c>
      <c r="J410">
        <f>VLOOKUP(A410,'Housing Cost Calc'!$A$2:$C$827,3,FALSE)</f>
        <v>1524</v>
      </c>
      <c r="K410">
        <f t="shared" si="41"/>
        <v>0.35237268816670281</v>
      </c>
    </row>
    <row r="411" spans="1:11" ht="60" x14ac:dyDescent="0.25">
      <c r="A411" s="4" t="s">
        <v>3206</v>
      </c>
      <c r="B411">
        <v>72150</v>
      </c>
      <c r="C411">
        <v>1.93</v>
      </c>
      <c r="D411">
        <f t="shared" si="36"/>
        <v>51934.706416518311</v>
      </c>
      <c r="E411">
        <f t="shared" si="37"/>
        <v>51.93470641651831</v>
      </c>
      <c r="F411" s="7">
        <v>0.49817739975698666</v>
      </c>
      <c r="G411">
        <f t="shared" si="38"/>
        <v>3</v>
      </c>
      <c r="H411" s="7">
        <f t="shared" si="39"/>
        <v>0.50182260024301328</v>
      </c>
      <c r="I411">
        <f t="shared" si="40"/>
        <v>3</v>
      </c>
      <c r="J411">
        <f>VLOOKUP(A411,'Housing Cost Calc'!$A$2:$C$827,3,FALSE)</f>
        <v>1227</v>
      </c>
      <c r="K411">
        <f t="shared" si="41"/>
        <v>0.28350983409654734</v>
      </c>
    </row>
    <row r="412" spans="1:11" ht="60" x14ac:dyDescent="0.25">
      <c r="A412" s="4" t="s">
        <v>3773</v>
      </c>
      <c r="B412">
        <v>82688</v>
      </c>
      <c r="C412">
        <v>2.5299999999999998</v>
      </c>
      <c r="D412">
        <f t="shared" si="36"/>
        <v>51985.500197940193</v>
      </c>
      <c r="E412">
        <f t="shared" si="37"/>
        <v>51.985500197940191</v>
      </c>
      <c r="F412" s="7">
        <v>0.49939246658566222</v>
      </c>
      <c r="G412">
        <f t="shared" si="38"/>
        <v>3</v>
      </c>
      <c r="H412" s="7">
        <f t="shared" si="39"/>
        <v>0.50060753341433784</v>
      </c>
      <c r="I412">
        <f t="shared" si="40"/>
        <v>3</v>
      </c>
      <c r="J412">
        <f>VLOOKUP(A412,'Housing Cost Calc'!$A$2:$C$827,3,FALSE)</f>
        <v>1536</v>
      </c>
      <c r="K412">
        <f t="shared" si="41"/>
        <v>0.35456040491710661</v>
      </c>
    </row>
    <row r="413" spans="1:11" ht="60" x14ac:dyDescent="0.25">
      <c r="A413" s="4" t="s">
        <v>3674</v>
      </c>
      <c r="B413">
        <v>84648</v>
      </c>
      <c r="C413">
        <v>2.65</v>
      </c>
      <c r="D413">
        <f t="shared" si="36"/>
        <v>51998.853049760299</v>
      </c>
      <c r="E413">
        <f t="shared" si="37"/>
        <v>51.998853049760299</v>
      </c>
      <c r="F413" s="7">
        <v>0.50060753341433784</v>
      </c>
      <c r="G413">
        <f t="shared" si="38"/>
        <v>3</v>
      </c>
      <c r="H413" s="7">
        <f t="shared" si="39"/>
        <v>0.49939246658566216</v>
      </c>
      <c r="I413">
        <f t="shared" si="40"/>
        <v>3</v>
      </c>
      <c r="J413">
        <f>VLOOKUP(A413,'Housing Cost Calc'!$A$2:$C$827,3,FALSE)</f>
        <v>1460</v>
      </c>
      <c r="K413">
        <f t="shared" si="41"/>
        <v>0.33693050851014422</v>
      </c>
    </row>
    <row r="414" spans="1:11" ht="60" x14ac:dyDescent="0.25">
      <c r="A414" s="4" t="s">
        <v>3158</v>
      </c>
      <c r="B414">
        <v>74157</v>
      </c>
      <c r="C414">
        <v>2.0299999999999998</v>
      </c>
      <c r="D414">
        <f t="shared" si="36"/>
        <v>52048.010467222084</v>
      </c>
      <c r="E414">
        <f t="shared" si="37"/>
        <v>52.048010467222085</v>
      </c>
      <c r="F414" s="7">
        <v>0.50182260024301339</v>
      </c>
      <c r="G414">
        <f t="shared" si="38"/>
        <v>3</v>
      </c>
      <c r="H414" s="7">
        <f t="shared" si="39"/>
        <v>0.49817739975698661</v>
      </c>
      <c r="I414">
        <f t="shared" si="40"/>
        <v>3</v>
      </c>
      <c r="J414">
        <f>VLOOKUP(A414,'Housing Cost Calc'!$A$2:$C$827,3,FALSE)</f>
        <v>1177</v>
      </c>
      <c r="K414">
        <f t="shared" si="41"/>
        <v>0.27136483937065708</v>
      </c>
    </row>
    <row r="415" spans="1:11" ht="60" x14ac:dyDescent="0.25">
      <c r="A415" s="4" t="s">
        <v>3717</v>
      </c>
      <c r="B415">
        <v>78958</v>
      </c>
      <c r="C415">
        <v>2.2999999999999998</v>
      </c>
      <c r="D415">
        <f t="shared" si="36"/>
        <v>52063.363418384557</v>
      </c>
      <c r="E415">
        <f t="shared" si="37"/>
        <v>52.063363418384554</v>
      </c>
      <c r="F415" s="7">
        <v>0.50303766707168895</v>
      </c>
      <c r="G415">
        <f t="shared" si="38"/>
        <v>3</v>
      </c>
      <c r="H415" s="7">
        <f t="shared" si="39"/>
        <v>0.49696233292831105</v>
      </c>
      <c r="I415">
        <f t="shared" si="40"/>
        <v>3</v>
      </c>
      <c r="J415">
        <f>VLOOKUP(A415,'Housing Cost Calc'!$A$2:$C$827,3,FALSE)</f>
        <v>1494</v>
      </c>
      <c r="K415">
        <f t="shared" si="41"/>
        <v>0.34434963135073376</v>
      </c>
    </row>
    <row r="416" spans="1:11" ht="45" x14ac:dyDescent="0.25">
      <c r="A416" s="4" t="s">
        <v>3793</v>
      </c>
      <c r="B416">
        <v>83672</v>
      </c>
      <c r="C416">
        <v>2.58</v>
      </c>
      <c r="D416">
        <f t="shared" si="36"/>
        <v>52091.911854146369</v>
      </c>
      <c r="E416">
        <f t="shared" si="37"/>
        <v>52.091911854146367</v>
      </c>
      <c r="F416" s="7">
        <v>0.50425273390036451</v>
      </c>
      <c r="G416">
        <f t="shared" si="38"/>
        <v>3</v>
      </c>
      <c r="H416" s="7">
        <f t="shared" si="39"/>
        <v>0.49574726609963549</v>
      </c>
      <c r="I416">
        <f t="shared" si="40"/>
        <v>3</v>
      </c>
      <c r="J416">
        <f>VLOOKUP(A416,'Housing Cost Calc'!$A$2:$C$827,3,FALSE)</f>
        <v>2127</v>
      </c>
      <c r="K416">
        <f t="shared" si="41"/>
        <v>0.48998009655443969</v>
      </c>
    </row>
    <row r="417" spans="1:11" ht="60" x14ac:dyDescent="0.25">
      <c r="A417" s="4" t="s">
        <v>3395</v>
      </c>
      <c r="B417">
        <v>79082</v>
      </c>
      <c r="C417">
        <v>2.29</v>
      </c>
      <c r="D417">
        <f t="shared" si="36"/>
        <v>52258.856561189408</v>
      </c>
      <c r="E417">
        <f t="shared" si="37"/>
        <v>52.258856561189411</v>
      </c>
      <c r="F417" s="7">
        <v>0.50546780072904007</v>
      </c>
      <c r="G417">
        <f t="shared" si="38"/>
        <v>3</v>
      </c>
      <c r="H417" s="7">
        <f t="shared" si="39"/>
        <v>0.49453219927095993</v>
      </c>
      <c r="I417">
        <f t="shared" si="40"/>
        <v>3</v>
      </c>
      <c r="J417">
        <f>VLOOKUP(A417,'Housing Cost Calc'!$A$2:$C$827,3,FALSE)</f>
        <v>1338</v>
      </c>
      <c r="K417">
        <f t="shared" si="41"/>
        <v>0.30723978778984917</v>
      </c>
    </row>
    <row r="418" spans="1:11" ht="60" x14ac:dyDescent="0.25">
      <c r="A418" s="4" t="s">
        <v>3781</v>
      </c>
      <c r="B418">
        <v>81474</v>
      </c>
      <c r="C418">
        <v>2.42</v>
      </c>
      <c r="D418">
        <f t="shared" si="36"/>
        <v>52373.470809447972</v>
      </c>
      <c r="E418">
        <f t="shared" si="37"/>
        <v>52.373470809447973</v>
      </c>
      <c r="F418" s="7">
        <v>0.50668286755771563</v>
      </c>
      <c r="G418">
        <f t="shared" si="38"/>
        <v>3</v>
      </c>
      <c r="H418" s="7">
        <f t="shared" si="39"/>
        <v>0.49331713244228437</v>
      </c>
      <c r="I418">
        <f t="shared" si="40"/>
        <v>3</v>
      </c>
      <c r="J418">
        <f>VLOOKUP(A418,'Housing Cost Calc'!$A$2:$C$827,3,FALSE)</f>
        <v>1767</v>
      </c>
      <c r="K418">
        <f t="shared" si="41"/>
        <v>0.40486146272694379</v>
      </c>
    </row>
    <row r="419" spans="1:11" ht="60" x14ac:dyDescent="0.25">
      <c r="A419" s="4" t="s">
        <v>3777</v>
      </c>
      <c r="B419">
        <v>81163</v>
      </c>
      <c r="C419">
        <v>2.4</v>
      </c>
      <c r="D419">
        <f t="shared" si="36"/>
        <v>52390.491221372096</v>
      </c>
      <c r="E419">
        <f t="shared" si="37"/>
        <v>52.390491221372095</v>
      </c>
      <c r="F419" s="7">
        <v>0.5078979343863913</v>
      </c>
      <c r="G419">
        <f t="shared" si="38"/>
        <v>3</v>
      </c>
      <c r="H419" s="7">
        <f t="shared" si="39"/>
        <v>0.4921020656136087</v>
      </c>
      <c r="I419">
        <f t="shared" si="40"/>
        <v>3</v>
      </c>
      <c r="J419">
        <f>VLOOKUP(A419,'Housing Cost Calc'!$A$2:$C$827,3,FALSE)</f>
        <v>1602</v>
      </c>
      <c r="K419">
        <f t="shared" si="41"/>
        <v>0.36693681528524763</v>
      </c>
    </row>
    <row r="420" spans="1:11" ht="60" x14ac:dyDescent="0.25">
      <c r="A420" s="4" t="s">
        <v>3300</v>
      </c>
      <c r="B420">
        <v>87604</v>
      </c>
      <c r="C420">
        <v>2.79</v>
      </c>
      <c r="D420">
        <f t="shared" si="36"/>
        <v>52447.142929178626</v>
      </c>
      <c r="E420">
        <f t="shared" si="37"/>
        <v>52.447142929178625</v>
      </c>
      <c r="F420" s="7">
        <v>0.50911300121506686</v>
      </c>
      <c r="G420">
        <f t="shared" si="38"/>
        <v>3</v>
      </c>
      <c r="H420" s="7">
        <f t="shared" si="39"/>
        <v>0.49088699878493314</v>
      </c>
      <c r="I420">
        <f t="shared" si="40"/>
        <v>3</v>
      </c>
      <c r="J420">
        <f>VLOOKUP(A420,'Housing Cost Calc'!$A$2:$C$827,3,FALSE)</f>
        <v>1297</v>
      </c>
      <c r="K420">
        <f t="shared" si="41"/>
        <v>0.29675591711481142</v>
      </c>
    </row>
    <row r="421" spans="1:11" ht="60" x14ac:dyDescent="0.25">
      <c r="A421" s="4" t="s">
        <v>3612</v>
      </c>
      <c r="B421">
        <v>75135</v>
      </c>
      <c r="C421">
        <v>2.0499999999999998</v>
      </c>
      <c r="D421">
        <f t="shared" si="36"/>
        <v>52476.560272647257</v>
      </c>
      <c r="E421">
        <f t="shared" si="37"/>
        <v>52.476560272647255</v>
      </c>
      <c r="F421" s="7">
        <v>0.51032806804374242</v>
      </c>
      <c r="G421">
        <f t="shared" si="38"/>
        <v>3</v>
      </c>
      <c r="H421" s="7">
        <f t="shared" si="39"/>
        <v>0.48967193195625758</v>
      </c>
      <c r="I421">
        <f t="shared" si="40"/>
        <v>3</v>
      </c>
      <c r="J421">
        <f>VLOOKUP(A421,'Housing Cost Calc'!$A$2:$C$827,3,FALSE)</f>
        <v>1442</v>
      </c>
      <c r="K421">
        <f t="shared" si="41"/>
        <v>0.32974722257128369</v>
      </c>
    </row>
    <row r="422" spans="1:11" ht="60" x14ac:dyDescent="0.25">
      <c r="A422" s="4" t="s">
        <v>3750</v>
      </c>
      <c r="B422">
        <v>82281</v>
      </c>
      <c r="C422">
        <v>2.4500000000000002</v>
      </c>
      <c r="D422">
        <f t="shared" si="36"/>
        <v>52567.402644760055</v>
      </c>
      <c r="E422">
        <f t="shared" si="37"/>
        <v>52.567402644760058</v>
      </c>
      <c r="F422" s="7">
        <v>0.51154313487241798</v>
      </c>
      <c r="G422">
        <f t="shared" si="38"/>
        <v>3</v>
      </c>
      <c r="H422" s="7">
        <f t="shared" si="39"/>
        <v>0.48845686512758202</v>
      </c>
      <c r="I422">
        <f t="shared" si="40"/>
        <v>3</v>
      </c>
      <c r="J422">
        <f>VLOOKUP(A422,'Housing Cost Calc'!$A$2:$C$827,3,FALSE)</f>
        <v>1535</v>
      </c>
      <c r="K422">
        <f t="shared" si="41"/>
        <v>0.35040726901571795</v>
      </c>
    </row>
    <row r="423" spans="1:11" ht="60" x14ac:dyDescent="0.25">
      <c r="A423" s="4" t="s">
        <v>3621</v>
      </c>
      <c r="B423">
        <v>82346</v>
      </c>
      <c r="C423">
        <v>2.4500000000000002</v>
      </c>
      <c r="D423">
        <f t="shared" si="36"/>
        <v>52608.929621485055</v>
      </c>
      <c r="E423">
        <f t="shared" si="37"/>
        <v>52.608929621485053</v>
      </c>
      <c r="F423" s="7">
        <v>0.51275820170109354</v>
      </c>
      <c r="G423">
        <f t="shared" si="38"/>
        <v>3</v>
      </c>
      <c r="H423" s="7">
        <f t="shared" si="39"/>
        <v>0.48724179829890646</v>
      </c>
      <c r="I423">
        <f t="shared" si="40"/>
        <v>3</v>
      </c>
      <c r="J423">
        <f>VLOOKUP(A423,'Housing Cost Calc'!$A$2:$C$827,3,FALSE)</f>
        <v>1447</v>
      </c>
      <c r="K423">
        <f t="shared" si="41"/>
        <v>0.33005803624844487</v>
      </c>
    </row>
    <row r="424" spans="1:11" ht="60" x14ac:dyDescent="0.25">
      <c r="A424" s="4" t="s">
        <v>3536</v>
      </c>
      <c r="B424">
        <v>75938</v>
      </c>
      <c r="C424">
        <v>2.08</v>
      </c>
      <c r="D424">
        <f t="shared" si="36"/>
        <v>52653.529376189304</v>
      </c>
      <c r="E424">
        <f t="shared" si="37"/>
        <v>52.653529376189304</v>
      </c>
      <c r="F424" s="7">
        <v>0.5139732685297691</v>
      </c>
      <c r="G424">
        <f t="shared" si="38"/>
        <v>3</v>
      </c>
      <c r="H424" s="7">
        <f t="shared" si="39"/>
        <v>0.4860267314702309</v>
      </c>
      <c r="I424">
        <f t="shared" si="40"/>
        <v>3</v>
      </c>
      <c r="J424">
        <f>VLOOKUP(A424,'Housing Cost Calc'!$A$2:$C$827,3,FALSE)</f>
        <v>1408</v>
      </c>
      <c r="K424">
        <f t="shared" si="41"/>
        <v>0.32089017014005938</v>
      </c>
    </row>
    <row r="425" spans="1:11" ht="60" x14ac:dyDescent="0.25">
      <c r="A425" s="4" t="s">
        <v>3651</v>
      </c>
      <c r="B425">
        <v>85406</v>
      </c>
      <c r="C425">
        <v>2.63</v>
      </c>
      <c r="D425">
        <f t="shared" si="36"/>
        <v>52663.595683034779</v>
      </c>
      <c r="E425">
        <f t="shared" si="37"/>
        <v>52.663595683034778</v>
      </c>
      <c r="F425" s="7">
        <v>0.51518833535844466</v>
      </c>
      <c r="G425">
        <f t="shared" si="38"/>
        <v>3</v>
      </c>
      <c r="H425" s="7">
        <f t="shared" si="39"/>
        <v>0.48481166464155534</v>
      </c>
      <c r="I425">
        <f t="shared" si="40"/>
        <v>3</v>
      </c>
      <c r="J425">
        <f>VLOOKUP(A425,'Housing Cost Calc'!$A$2:$C$827,3,FALSE)</f>
        <v>1464</v>
      </c>
      <c r="K425">
        <f t="shared" si="41"/>
        <v>0.33358907177049085</v>
      </c>
    </row>
    <row r="426" spans="1:11" ht="60" x14ac:dyDescent="0.25">
      <c r="A426" s="4" t="s">
        <v>3764</v>
      </c>
      <c r="B426">
        <v>79954</v>
      </c>
      <c r="C426">
        <v>2.2999999999999998</v>
      </c>
      <c r="D426">
        <f t="shared" si="36"/>
        <v>52720.106369886758</v>
      </c>
      <c r="E426">
        <f t="shared" si="37"/>
        <v>52.720106369886757</v>
      </c>
      <c r="F426" s="7">
        <v>0.51640340218712033</v>
      </c>
      <c r="G426">
        <f t="shared" si="38"/>
        <v>3</v>
      </c>
      <c r="H426" s="7">
        <f t="shared" si="39"/>
        <v>0.48359659781287967</v>
      </c>
      <c r="I426">
        <f t="shared" si="40"/>
        <v>3</v>
      </c>
      <c r="J426">
        <f>VLOOKUP(A426,'Housing Cost Calc'!$A$2:$C$827,3,FALSE)</f>
        <v>1591</v>
      </c>
      <c r="K426">
        <f t="shared" si="41"/>
        <v>0.36213887479758911</v>
      </c>
    </row>
    <row r="427" spans="1:11" ht="45" x14ac:dyDescent="0.25">
      <c r="A427" s="4" t="s">
        <v>3652</v>
      </c>
      <c r="B427">
        <v>71178</v>
      </c>
      <c r="C427">
        <v>1.82</v>
      </c>
      <c r="D427">
        <f t="shared" si="36"/>
        <v>52760.643861303855</v>
      </c>
      <c r="E427">
        <f t="shared" si="37"/>
        <v>52.760643861303855</v>
      </c>
      <c r="F427" s="7">
        <v>0.51761846901579589</v>
      </c>
      <c r="G427">
        <f t="shared" si="38"/>
        <v>3</v>
      </c>
      <c r="H427" s="7">
        <f t="shared" si="39"/>
        <v>0.48238153098420411</v>
      </c>
      <c r="I427">
        <f t="shared" si="40"/>
        <v>3</v>
      </c>
      <c r="J427">
        <f>VLOOKUP(A427,'Housing Cost Calc'!$A$2:$C$827,3,FALSE)</f>
        <v>1867</v>
      </c>
      <c r="K427">
        <f t="shared" si="41"/>
        <v>0.42463469662908576</v>
      </c>
    </row>
    <row r="428" spans="1:11" ht="75" x14ac:dyDescent="0.25">
      <c r="A428" s="4" t="s">
        <v>3791</v>
      </c>
      <c r="B428">
        <v>87039</v>
      </c>
      <c r="C428">
        <v>2.72</v>
      </c>
      <c r="D428">
        <f t="shared" si="36"/>
        <v>52775.145668843463</v>
      </c>
      <c r="E428">
        <f t="shared" si="37"/>
        <v>52.775145668843464</v>
      </c>
      <c r="F428" s="7">
        <v>0.51883353584447145</v>
      </c>
      <c r="G428">
        <f t="shared" si="38"/>
        <v>3</v>
      </c>
      <c r="H428" s="7">
        <f t="shared" si="39"/>
        <v>0.48116646415552855</v>
      </c>
      <c r="I428">
        <f t="shared" si="40"/>
        <v>3</v>
      </c>
      <c r="J428">
        <f>VLOOKUP(A428,'Housing Cost Calc'!$A$2:$C$827,3,FALSE)</f>
        <v>1574</v>
      </c>
      <c r="K428">
        <f t="shared" si="41"/>
        <v>0.35789574354791015</v>
      </c>
    </row>
    <row r="429" spans="1:11" ht="60" x14ac:dyDescent="0.25">
      <c r="A429" s="4" t="s">
        <v>3602</v>
      </c>
      <c r="B429">
        <v>85446</v>
      </c>
      <c r="C429">
        <v>2.61</v>
      </c>
      <c r="D429">
        <f t="shared" si="36"/>
        <v>52889.746219587912</v>
      </c>
      <c r="E429">
        <f t="shared" si="37"/>
        <v>52.889746219587913</v>
      </c>
      <c r="F429" s="7">
        <v>0.52004860267314701</v>
      </c>
      <c r="G429">
        <f t="shared" si="38"/>
        <v>3</v>
      </c>
      <c r="H429" s="7">
        <f t="shared" si="39"/>
        <v>0.47995139732685299</v>
      </c>
      <c r="I429">
        <f t="shared" si="40"/>
        <v>3</v>
      </c>
      <c r="J429">
        <f>VLOOKUP(A429,'Housing Cost Calc'!$A$2:$C$827,3,FALSE)</f>
        <v>1448</v>
      </c>
      <c r="K429">
        <f t="shared" si="41"/>
        <v>0.32853248960314985</v>
      </c>
    </row>
    <row r="430" spans="1:11" ht="60" x14ac:dyDescent="0.25">
      <c r="A430" s="4" t="s">
        <v>3411</v>
      </c>
      <c r="B430">
        <v>80725</v>
      </c>
      <c r="C430">
        <v>2.3199999999999998</v>
      </c>
      <c r="D430">
        <f t="shared" si="36"/>
        <v>52998.558963005518</v>
      </c>
      <c r="E430">
        <f t="shared" si="37"/>
        <v>52.998558963005522</v>
      </c>
      <c r="F430" s="7">
        <v>0.52126366950182257</v>
      </c>
      <c r="G430">
        <f t="shared" si="38"/>
        <v>3</v>
      </c>
      <c r="H430" s="7">
        <f t="shared" si="39"/>
        <v>0.47873633049817743</v>
      </c>
      <c r="I430">
        <f t="shared" si="40"/>
        <v>3</v>
      </c>
      <c r="J430">
        <f>VLOOKUP(A430,'Housing Cost Calc'!$A$2:$C$827,3,FALSE)</f>
        <v>1365</v>
      </c>
      <c r="K430">
        <f t="shared" si="41"/>
        <v>0.30906500705865797</v>
      </c>
    </row>
    <row r="431" spans="1:11" ht="60" x14ac:dyDescent="0.25">
      <c r="A431" s="4" t="s">
        <v>3575</v>
      </c>
      <c r="B431">
        <v>85052</v>
      </c>
      <c r="C431">
        <v>2.57</v>
      </c>
      <c r="D431">
        <f t="shared" si="36"/>
        <v>53053.97994070415</v>
      </c>
      <c r="E431">
        <f t="shared" si="37"/>
        <v>53.053979940704153</v>
      </c>
      <c r="F431" s="7">
        <v>0.52247873633049813</v>
      </c>
      <c r="G431">
        <f t="shared" si="38"/>
        <v>3</v>
      </c>
      <c r="H431" s="7">
        <f t="shared" si="39"/>
        <v>0.47752126366950187</v>
      </c>
      <c r="I431">
        <f t="shared" si="40"/>
        <v>3</v>
      </c>
      <c r="J431">
        <f>VLOOKUP(A431,'Housing Cost Calc'!$A$2:$C$827,3,FALSE)</f>
        <v>1432</v>
      </c>
      <c r="K431">
        <f t="shared" si="41"/>
        <v>0.32389652989663958</v>
      </c>
    </row>
    <row r="432" spans="1:11" ht="75" x14ac:dyDescent="0.25">
      <c r="A432" s="4" t="s">
        <v>3144</v>
      </c>
      <c r="B432">
        <v>80000</v>
      </c>
      <c r="C432">
        <v>2.27</v>
      </c>
      <c r="D432">
        <f t="shared" si="36"/>
        <v>53097.864927997754</v>
      </c>
      <c r="E432">
        <f t="shared" si="37"/>
        <v>53.097864927997755</v>
      </c>
      <c r="F432" s="7">
        <v>0.5236938031591738</v>
      </c>
      <c r="G432">
        <f t="shared" si="38"/>
        <v>3</v>
      </c>
      <c r="H432" s="7">
        <f t="shared" si="39"/>
        <v>0.4763061968408262</v>
      </c>
      <c r="I432">
        <f t="shared" si="40"/>
        <v>3</v>
      </c>
      <c r="J432">
        <f>VLOOKUP(A432,'Housing Cost Calc'!$A$2:$C$827,3,FALSE)</f>
        <v>1181</v>
      </c>
      <c r="K432">
        <f t="shared" si="41"/>
        <v>0.26690338715535256</v>
      </c>
    </row>
    <row r="433" spans="1:11" ht="60" x14ac:dyDescent="0.25">
      <c r="A433" s="4" t="s">
        <v>3280</v>
      </c>
      <c r="B433">
        <v>82790</v>
      </c>
      <c r="C433">
        <v>2.4300000000000002</v>
      </c>
      <c r="D433">
        <f t="shared" si="36"/>
        <v>53109.809762454577</v>
      </c>
      <c r="E433">
        <f t="shared" si="37"/>
        <v>53.109809762454574</v>
      </c>
      <c r="F433" s="7">
        <v>0.52490886998784936</v>
      </c>
      <c r="G433">
        <f t="shared" si="38"/>
        <v>3</v>
      </c>
      <c r="H433" s="7">
        <f t="shared" si="39"/>
        <v>0.47509113001215064</v>
      </c>
      <c r="I433">
        <f t="shared" si="40"/>
        <v>3</v>
      </c>
      <c r="J433">
        <f>VLOOKUP(A433,'Housing Cost Calc'!$A$2:$C$827,3,FALSE)</f>
        <v>1302</v>
      </c>
      <c r="K433">
        <f t="shared" si="41"/>
        <v>0.29418294039993387</v>
      </c>
    </row>
    <row r="434" spans="1:11" ht="60" x14ac:dyDescent="0.25">
      <c r="A434" s="4" t="s">
        <v>3488</v>
      </c>
      <c r="B434">
        <v>81016</v>
      </c>
      <c r="C434">
        <v>2.3199999999999998</v>
      </c>
      <c r="D434">
        <f t="shared" si="36"/>
        <v>53189.609822816419</v>
      </c>
      <c r="E434">
        <f t="shared" si="37"/>
        <v>53.189609822816422</v>
      </c>
      <c r="F434" s="7">
        <v>0.52612393681652492</v>
      </c>
      <c r="G434">
        <f t="shared" si="38"/>
        <v>3</v>
      </c>
      <c r="H434" s="7">
        <f t="shared" si="39"/>
        <v>0.47387606318347508</v>
      </c>
      <c r="I434">
        <f t="shared" si="40"/>
        <v>3</v>
      </c>
      <c r="J434">
        <f>VLOOKUP(A434,'Housing Cost Calc'!$A$2:$C$827,3,FALSE)</f>
        <v>1407</v>
      </c>
      <c r="K434">
        <f t="shared" si="41"/>
        <v>0.31743041650885312</v>
      </c>
    </row>
    <row r="435" spans="1:11" ht="60" x14ac:dyDescent="0.25">
      <c r="A435" s="4" t="s">
        <v>3405</v>
      </c>
      <c r="B435">
        <v>89063</v>
      </c>
      <c r="C435">
        <v>2.79</v>
      </c>
      <c r="D435">
        <f t="shared" si="36"/>
        <v>53320.623381368845</v>
      </c>
      <c r="E435">
        <f t="shared" si="37"/>
        <v>53.320623381368847</v>
      </c>
      <c r="F435" s="7">
        <v>0.52733900364520048</v>
      </c>
      <c r="G435">
        <f t="shared" si="38"/>
        <v>3</v>
      </c>
      <c r="H435" s="7">
        <f t="shared" si="39"/>
        <v>0.47266099635479952</v>
      </c>
      <c r="I435">
        <f t="shared" si="40"/>
        <v>3</v>
      </c>
      <c r="J435">
        <f>VLOOKUP(A435,'Housing Cost Calc'!$A$2:$C$827,3,FALSE)</f>
        <v>1371</v>
      </c>
      <c r="K435">
        <f t="shared" si="41"/>
        <v>0.30854853069382188</v>
      </c>
    </row>
    <row r="436" spans="1:11" ht="60" x14ac:dyDescent="0.25">
      <c r="A436" s="4" t="s">
        <v>3459</v>
      </c>
      <c r="B436">
        <v>80753</v>
      </c>
      <c r="C436">
        <v>2.2799999999999998</v>
      </c>
      <c r="D436">
        <f t="shared" si="36"/>
        <v>53479.980715036741</v>
      </c>
      <c r="E436">
        <f t="shared" si="37"/>
        <v>53.479980715036739</v>
      </c>
      <c r="F436" s="7">
        <v>0.52855407047387604</v>
      </c>
      <c r="G436">
        <f t="shared" si="38"/>
        <v>3</v>
      </c>
      <c r="H436" s="7">
        <f t="shared" si="39"/>
        <v>0.47144592952612396</v>
      </c>
      <c r="I436">
        <f t="shared" si="40"/>
        <v>3</v>
      </c>
      <c r="J436">
        <f>VLOOKUP(A436,'Housing Cost Calc'!$A$2:$C$827,3,FALSE)</f>
        <v>1399</v>
      </c>
      <c r="K436">
        <f t="shared" si="41"/>
        <v>0.31391185590461124</v>
      </c>
    </row>
    <row r="437" spans="1:11" ht="60" x14ac:dyDescent="0.25">
      <c r="A437" s="4" t="s">
        <v>3268</v>
      </c>
      <c r="B437">
        <v>83039</v>
      </c>
      <c r="C437">
        <v>2.41</v>
      </c>
      <c r="D437">
        <f t="shared" si="36"/>
        <v>53490.122099698594</v>
      </c>
      <c r="E437">
        <f t="shared" si="37"/>
        <v>53.490122099698596</v>
      </c>
      <c r="F437" s="7">
        <v>0.5297691373025516</v>
      </c>
      <c r="G437">
        <f t="shared" si="38"/>
        <v>3</v>
      </c>
      <c r="H437" s="7">
        <f t="shared" si="39"/>
        <v>0.4702308626974484</v>
      </c>
      <c r="I437">
        <f t="shared" si="40"/>
        <v>3</v>
      </c>
      <c r="J437">
        <f>VLOOKUP(A437,'Housing Cost Calc'!$A$2:$C$827,3,FALSE)</f>
        <v>1304</v>
      </c>
      <c r="K437">
        <f t="shared" si="41"/>
        <v>0.29253999403542535</v>
      </c>
    </row>
    <row r="438" spans="1:11" ht="75" x14ac:dyDescent="0.25">
      <c r="A438" s="4" t="s">
        <v>3162</v>
      </c>
      <c r="B438">
        <v>79611</v>
      </c>
      <c r="C438">
        <v>2.21</v>
      </c>
      <c r="D438">
        <f t="shared" si="36"/>
        <v>53552.153802840432</v>
      </c>
      <c r="E438">
        <f t="shared" si="37"/>
        <v>53.552153802840429</v>
      </c>
      <c r="F438" s="7">
        <v>0.53098420413122727</v>
      </c>
      <c r="G438">
        <f t="shared" si="38"/>
        <v>3</v>
      </c>
      <c r="H438" s="7">
        <f t="shared" si="39"/>
        <v>0.46901579586877273</v>
      </c>
      <c r="I438">
        <f t="shared" si="40"/>
        <v>3</v>
      </c>
      <c r="J438">
        <f>VLOOKUP(A438,'Housing Cost Calc'!$A$2:$C$827,3,FALSE)</f>
        <v>1216</v>
      </c>
      <c r="K438">
        <f t="shared" si="41"/>
        <v>0.27248203786018471</v>
      </c>
    </row>
    <row r="439" spans="1:11" ht="60" x14ac:dyDescent="0.25">
      <c r="A439" s="4" t="s">
        <v>3663</v>
      </c>
      <c r="B439">
        <v>85524</v>
      </c>
      <c r="C439">
        <v>2.5499999999999998</v>
      </c>
      <c r="D439">
        <f t="shared" si="36"/>
        <v>53557.206270766328</v>
      </c>
      <c r="E439">
        <f t="shared" si="37"/>
        <v>53.557206270766329</v>
      </c>
      <c r="F439" s="7">
        <v>0.53219927095990283</v>
      </c>
      <c r="G439">
        <f t="shared" si="38"/>
        <v>3</v>
      </c>
      <c r="H439" s="7">
        <f t="shared" si="39"/>
        <v>0.46780072904009717</v>
      </c>
      <c r="I439">
        <f t="shared" si="40"/>
        <v>3</v>
      </c>
      <c r="J439">
        <f>VLOOKUP(A439,'Housing Cost Calc'!$A$2:$C$827,3,FALSE)</f>
        <v>1496</v>
      </c>
      <c r="K439">
        <f t="shared" si="41"/>
        <v>0.33519298802183639</v>
      </c>
    </row>
    <row r="440" spans="1:11" ht="60" x14ac:dyDescent="0.25">
      <c r="A440" s="4" t="s">
        <v>3804</v>
      </c>
      <c r="B440">
        <v>85024</v>
      </c>
      <c r="C440">
        <v>2.52</v>
      </c>
      <c r="D440">
        <f t="shared" si="36"/>
        <v>53560.085588560891</v>
      </c>
      <c r="E440">
        <f t="shared" si="37"/>
        <v>53.560085588560888</v>
      </c>
      <c r="F440" s="7">
        <v>0.53341433778857839</v>
      </c>
      <c r="G440">
        <f t="shared" si="38"/>
        <v>3</v>
      </c>
      <c r="H440" s="7">
        <f t="shared" si="39"/>
        <v>0.46658566221142161</v>
      </c>
      <c r="I440">
        <f t="shared" si="40"/>
        <v>3</v>
      </c>
      <c r="J440">
        <f>VLOOKUP(A440,'Housing Cost Calc'!$A$2:$C$827,3,FALSE)</f>
        <v>1689</v>
      </c>
      <c r="K440">
        <f t="shared" si="41"/>
        <v>0.37841612419545395</v>
      </c>
    </row>
    <row r="441" spans="1:11" ht="60" x14ac:dyDescent="0.25">
      <c r="A441" s="4" t="s">
        <v>3242</v>
      </c>
      <c r="B441">
        <v>77903</v>
      </c>
      <c r="C441">
        <v>2.11</v>
      </c>
      <c r="D441">
        <f t="shared" si="36"/>
        <v>53630.636930168424</v>
      </c>
      <c r="E441">
        <f t="shared" si="37"/>
        <v>53.630636930168421</v>
      </c>
      <c r="F441" s="7">
        <v>0.53462940461725394</v>
      </c>
      <c r="G441">
        <f t="shared" si="38"/>
        <v>3</v>
      </c>
      <c r="H441" s="7">
        <f t="shared" si="39"/>
        <v>0.46537059538274606</v>
      </c>
      <c r="I441">
        <f t="shared" si="40"/>
        <v>3</v>
      </c>
      <c r="J441">
        <f>VLOOKUP(A441,'Housing Cost Calc'!$A$2:$C$827,3,FALSE)</f>
        <v>1295</v>
      </c>
      <c r="K441">
        <f t="shared" si="41"/>
        <v>0.28975975094672807</v>
      </c>
    </row>
    <row r="442" spans="1:11" ht="60" x14ac:dyDescent="0.25">
      <c r="A442" s="4" t="s">
        <v>3695</v>
      </c>
      <c r="B442">
        <v>80871</v>
      </c>
      <c r="C442">
        <v>2.27</v>
      </c>
      <c r="D442">
        <f t="shared" si="36"/>
        <v>53675.967932401334</v>
      </c>
      <c r="E442">
        <f t="shared" si="37"/>
        <v>53.675967932401335</v>
      </c>
      <c r="F442" s="7">
        <v>0.5358444714459295</v>
      </c>
      <c r="G442">
        <f t="shared" si="38"/>
        <v>3</v>
      </c>
      <c r="H442" s="7">
        <f t="shared" si="39"/>
        <v>0.4641555285540705</v>
      </c>
      <c r="I442">
        <f t="shared" si="40"/>
        <v>3</v>
      </c>
      <c r="J442">
        <f>VLOOKUP(A442,'Housing Cost Calc'!$A$2:$C$827,3,FALSE)</f>
        <v>1526</v>
      </c>
      <c r="K442">
        <f t="shared" si="41"/>
        <v>0.34115826328575655</v>
      </c>
    </row>
    <row r="443" spans="1:11" ht="60" x14ac:dyDescent="0.25">
      <c r="A443" s="4" t="s">
        <v>3607</v>
      </c>
      <c r="B443">
        <v>67917</v>
      </c>
      <c r="C443">
        <v>1.6</v>
      </c>
      <c r="D443">
        <f t="shared" si="36"/>
        <v>53693.102961413955</v>
      </c>
      <c r="E443">
        <f t="shared" si="37"/>
        <v>53.693102961413956</v>
      </c>
      <c r="F443" s="7">
        <v>0.53705953827460506</v>
      </c>
      <c r="G443">
        <f t="shared" si="38"/>
        <v>3</v>
      </c>
      <c r="H443" s="7">
        <f t="shared" si="39"/>
        <v>0.46294046172539494</v>
      </c>
      <c r="I443">
        <f t="shared" si="40"/>
        <v>3</v>
      </c>
      <c r="J443">
        <f>VLOOKUP(A443,'Housing Cost Calc'!$A$2:$C$827,3,FALSE)</f>
        <v>1487</v>
      </c>
      <c r="K443">
        <f t="shared" si="41"/>
        <v>0.33233318649554344</v>
      </c>
    </row>
    <row r="444" spans="1:11" ht="60" x14ac:dyDescent="0.25">
      <c r="A444" s="4" t="s">
        <v>3397</v>
      </c>
      <c r="B444">
        <v>86053</v>
      </c>
      <c r="C444">
        <v>2.56</v>
      </c>
      <c r="D444">
        <f t="shared" si="36"/>
        <v>53783.125</v>
      </c>
      <c r="E444">
        <f t="shared" si="37"/>
        <v>53.783124999999998</v>
      </c>
      <c r="F444" s="7">
        <v>0.53827460510328073</v>
      </c>
      <c r="G444">
        <f t="shared" si="38"/>
        <v>3</v>
      </c>
      <c r="H444" s="7">
        <f t="shared" si="39"/>
        <v>0.46172539489671927</v>
      </c>
      <c r="I444">
        <f t="shared" si="40"/>
        <v>3</v>
      </c>
      <c r="J444">
        <f>VLOOKUP(A444,'Housing Cost Calc'!$A$2:$C$827,3,FALSE)</f>
        <v>1378</v>
      </c>
      <c r="K444">
        <f t="shared" si="41"/>
        <v>0.30745703229405136</v>
      </c>
    </row>
    <row r="445" spans="1:11" ht="60" x14ac:dyDescent="0.25">
      <c r="A445" s="4" t="s">
        <v>3728</v>
      </c>
      <c r="B445">
        <v>78125</v>
      </c>
      <c r="C445">
        <v>2.11</v>
      </c>
      <c r="D445">
        <f t="shared" si="36"/>
        <v>53783.468032930796</v>
      </c>
      <c r="E445">
        <f t="shared" si="37"/>
        <v>53.783468032930799</v>
      </c>
      <c r="F445" s="7">
        <v>0.53948967193195629</v>
      </c>
      <c r="G445">
        <f t="shared" si="38"/>
        <v>3</v>
      </c>
      <c r="H445" s="7">
        <f t="shared" si="39"/>
        <v>0.46051032806804371</v>
      </c>
      <c r="I445">
        <f t="shared" si="40"/>
        <v>3</v>
      </c>
      <c r="J445">
        <f>VLOOKUP(A445,'Housing Cost Calc'!$A$2:$C$827,3,FALSE)</f>
        <v>1549</v>
      </c>
      <c r="K445">
        <f t="shared" si="41"/>
        <v>0.34560805912736703</v>
      </c>
    </row>
    <row r="446" spans="1:11" ht="60" x14ac:dyDescent="0.25">
      <c r="A446" s="4" t="s">
        <v>3801</v>
      </c>
      <c r="B446">
        <v>84688</v>
      </c>
      <c r="C446">
        <v>2.4700000000000002</v>
      </c>
      <c r="D446">
        <f t="shared" si="36"/>
        <v>53885.684006892669</v>
      </c>
      <c r="E446">
        <f t="shared" si="37"/>
        <v>53.885684006892667</v>
      </c>
      <c r="F446" s="7">
        <v>0.54070473876063185</v>
      </c>
      <c r="G446">
        <f t="shared" si="38"/>
        <v>3</v>
      </c>
      <c r="H446" s="7">
        <f t="shared" si="39"/>
        <v>0.45929526123936815</v>
      </c>
      <c r="I446">
        <f t="shared" si="40"/>
        <v>3</v>
      </c>
      <c r="J446">
        <f>VLOOKUP(A446,'Housing Cost Calc'!$A$2:$C$827,3,FALSE)</f>
        <v>1663</v>
      </c>
      <c r="K446">
        <f t="shared" si="41"/>
        <v>0.37033955062066898</v>
      </c>
    </row>
    <row r="447" spans="1:11" ht="60" x14ac:dyDescent="0.25">
      <c r="A447" s="4" t="s">
        <v>3776</v>
      </c>
      <c r="B447">
        <v>86651</v>
      </c>
      <c r="C447">
        <v>2.58</v>
      </c>
      <c r="D447">
        <f t="shared" si="36"/>
        <v>53946.556244306783</v>
      </c>
      <c r="E447">
        <f t="shared" si="37"/>
        <v>53.946556244306784</v>
      </c>
      <c r="F447" s="7">
        <v>0.54191980558930741</v>
      </c>
      <c r="G447">
        <f t="shared" si="38"/>
        <v>3</v>
      </c>
      <c r="H447" s="7">
        <f t="shared" si="39"/>
        <v>0.45808019441069259</v>
      </c>
      <c r="I447">
        <f t="shared" si="40"/>
        <v>3</v>
      </c>
      <c r="J447">
        <f>VLOOKUP(A447,'Housing Cost Calc'!$A$2:$C$827,3,FALSE)</f>
        <v>1596</v>
      </c>
      <c r="K447">
        <f t="shared" si="41"/>
        <v>0.3550180277174077</v>
      </c>
    </row>
    <row r="448" spans="1:11" ht="60" x14ac:dyDescent="0.25">
      <c r="A448" s="4" t="s">
        <v>3258</v>
      </c>
      <c r="B448">
        <v>76724</v>
      </c>
      <c r="C448">
        <v>2.02</v>
      </c>
      <c r="D448">
        <f t="shared" si="36"/>
        <v>53982.818021886917</v>
      </c>
      <c r="E448">
        <f t="shared" si="37"/>
        <v>53.982818021886914</v>
      </c>
      <c r="F448" s="7">
        <v>0.54313487241798297</v>
      </c>
      <c r="G448">
        <f t="shared" si="38"/>
        <v>3</v>
      </c>
      <c r="H448" s="7">
        <f t="shared" si="39"/>
        <v>0.45686512758201703</v>
      </c>
      <c r="I448">
        <f t="shared" si="40"/>
        <v>3</v>
      </c>
      <c r="J448">
        <f>VLOOKUP(A448,'Housing Cost Calc'!$A$2:$C$827,3,FALSE)</f>
        <v>1313</v>
      </c>
      <c r="K448">
        <f t="shared" si="41"/>
        <v>0.29187064657520939</v>
      </c>
    </row>
    <row r="449" spans="1:11" ht="60" x14ac:dyDescent="0.25">
      <c r="A449" s="4" t="s">
        <v>3779</v>
      </c>
      <c r="B449">
        <v>81316</v>
      </c>
      <c r="C449">
        <v>2.25</v>
      </c>
      <c r="D449">
        <f t="shared" si="36"/>
        <v>54210.666666666664</v>
      </c>
      <c r="E449">
        <f t="shared" si="37"/>
        <v>54.210666666666661</v>
      </c>
      <c r="F449" s="7">
        <v>0.54434993924665853</v>
      </c>
      <c r="G449">
        <f t="shared" si="38"/>
        <v>3</v>
      </c>
      <c r="H449" s="7">
        <f t="shared" si="39"/>
        <v>0.45565006075334147</v>
      </c>
      <c r="I449">
        <f t="shared" si="40"/>
        <v>3</v>
      </c>
      <c r="J449">
        <f>VLOOKUP(A449,'Housing Cost Calc'!$A$2:$C$827,3,FALSE)</f>
        <v>1846</v>
      </c>
      <c r="K449">
        <f t="shared" si="41"/>
        <v>0.40862806827684589</v>
      </c>
    </row>
    <row r="450" spans="1:11" ht="60" x14ac:dyDescent="0.25">
      <c r="A450" s="4" t="s">
        <v>3072</v>
      </c>
      <c r="B450">
        <v>83345</v>
      </c>
      <c r="C450">
        <v>2.36</v>
      </c>
      <c r="D450">
        <f t="shared" ref="D450:D513" si="42">(B450/(C450)^0.5)</f>
        <v>54252.973928483822</v>
      </c>
      <c r="E450">
        <f t="shared" ref="E450:E513" si="43">D450/1000</f>
        <v>54.252973928483819</v>
      </c>
      <c r="F450" s="7">
        <v>0.54556500607533409</v>
      </c>
      <c r="G450">
        <f t="shared" si="38"/>
        <v>3</v>
      </c>
      <c r="H450" s="7">
        <f t="shared" si="39"/>
        <v>0.45443499392466591</v>
      </c>
      <c r="I450">
        <f t="shared" si="40"/>
        <v>3</v>
      </c>
      <c r="J450">
        <f>VLOOKUP(A450,'Housing Cost Calc'!$A$2:$C$827,3,FALSE)</f>
        <v>1133</v>
      </c>
      <c r="K450">
        <f t="shared" si="41"/>
        <v>0.25060377368293624</v>
      </c>
    </row>
    <row r="451" spans="1:11" ht="60" x14ac:dyDescent="0.25">
      <c r="A451" s="4" t="s">
        <v>3730</v>
      </c>
      <c r="B451">
        <v>87308</v>
      </c>
      <c r="C451">
        <v>2.58</v>
      </c>
      <c r="D451">
        <f t="shared" si="42"/>
        <v>54355.586578088383</v>
      </c>
      <c r="E451">
        <f t="shared" si="43"/>
        <v>54.355586578088385</v>
      </c>
      <c r="F451" s="7">
        <v>0.54678007290400976</v>
      </c>
      <c r="G451">
        <f t="shared" ref="G451:G514" si="44">IF(F451&lt;0.2,1,IF(F451&lt;0.4,2,IF(F451&lt;0.6,3,IF(F451&lt;0.8,4,5))))</f>
        <v>3</v>
      </c>
      <c r="H451" s="7">
        <f t="shared" ref="H451:H514" si="45">1-F451</f>
        <v>0.45321992709599024</v>
      </c>
      <c r="I451">
        <f t="shared" ref="I451:I514" si="46">6-G451</f>
        <v>3</v>
      </c>
      <c r="J451">
        <f>VLOOKUP(A451,'Housing Cost Calc'!$A$2:$C$827,3,FALSE)</f>
        <v>1569</v>
      </c>
      <c r="K451">
        <f t="shared" ref="K451:K514" si="47">(J451*12)/D451</f>
        <v>0.3463857385284822</v>
      </c>
    </row>
    <row r="452" spans="1:11" ht="60" x14ac:dyDescent="0.25">
      <c r="A452" s="4" t="s">
        <v>3762</v>
      </c>
      <c r="B452">
        <v>79707</v>
      </c>
      <c r="C452">
        <v>2.15</v>
      </c>
      <c r="D452">
        <f t="shared" si="42"/>
        <v>54359.722816173031</v>
      </c>
      <c r="E452">
        <f t="shared" si="43"/>
        <v>54.359722816173033</v>
      </c>
      <c r="F452" s="7">
        <v>0.54799513973268532</v>
      </c>
      <c r="G452">
        <f t="shared" si="44"/>
        <v>3</v>
      </c>
      <c r="H452" s="7">
        <f t="shared" si="45"/>
        <v>0.45200486026731468</v>
      </c>
      <c r="I452">
        <f t="shared" si="46"/>
        <v>3</v>
      </c>
      <c r="J452">
        <f>VLOOKUP(A452,'Housing Cost Calc'!$A$2:$C$827,3,FALSE)</f>
        <v>1654</v>
      </c>
      <c r="K452">
        <f t="shared" si="47"/>
        <v>0.36512327458179844</v>
      </c>
    </row>
    <row r="453" spans="1:11" ht="60" x14ac:dyDescent="0.25">
      <c r="A453" s="4" t="s">
        <v>3657</v>
      </c>
      <c r="B453">
        <v>91170</v>
      </c>
      <c r="C453">
        <v>2.81</v>
      </c>
      <c r="D453">
        <f t="shared" si="42"/>
        <v>54387.462248408541</v>
      </c>
      <c r="E453">
        <f t="shared" si="43"/>
        <v>54.387462248408539</v>
      </c>
      <c r="F453" s="7">
        <v>0.54921020656136088</v>
      </c>
      <c r="G453">
        <f t="shared" si="44"/>
        <v>3</v>
      </c>
      <c r="H453" s="7">
        <f t="shared" si="45"/>
        <v>0.45078979343863912</v>
      </c>
      <c r="I453">
        <f t="shared" si="46"/>
        <v>3</v>
      </c>
      <c r="J453">
        <f>VLOOKUP(A453,'Housing Cost Calc'!$A$2:$C$827,3,FALSE)</f>
        <v>1516</v>
      </c>
      <c r="K453">
        <f t="shared" si="47"/>
        <v>0.33448885548125251</v>
      </c>
    </row>
    <row r="454" spans="1:11" ht="60" x14ac:dyDescent="0.25">
      <c r="A454" s="4" t="s">
        <v>3511</v>
      </c>
      <c r="B454">
        <v>80000</v>
      </c>
      <c r="C454">
        <v>2.16</v>
      </c>
      <c r="D454">
        <f t="shared" si="42"/>
        <v>54433.10539518173</v>
      </c>
      <c r="E454">
        <f t="shared" si="43"/>
        <v>54.433105395181727</v>
      </c>
      <c r="F454" s="7">
        <v>0.55042527339003644</v>
      </c>
      <c r="G454">
        <f t="shared" si="44"/>
        <v>3</v>
      </c>
      <c r="H454" s="7">
        <f t="shared" si="45"/>
        <v>0.44957472660996356</v>
      </c>
      <c r="I454">
        <f t="shared" si="46"/>
        <v>3</v>
      </c>
      <c r="J454">
        <f>VLOOKUP(A454,'Housing Cost Calc'!$A$2:$C$827,3,FALSE)</f>
        <v>1448</v>
      </c>
      <c r="K454">
        <f t="shared" si="47"/>
        <v>0.31921750327950382</v>
      </c>
    </row>
    <row r="455" spans="1:11" ht="45" x14ac:dyDescent="0.25">
      <c r="A455" s="4" t="s">
        <v>3834</v>
      </c>
      <c r="B455">
        <v>90527</v>
      </c>
      <c r="C455">
        <v>2.76</v>
      </c>
      <c r="D455">
        <f t="shared" si="42"/>
        <v>54490.850611477144</v>
      </c>
      <c r="E455">
        <f t="shared" si="43"/>
        <v>54.490850611477143</v>
      </c>
      <c r="F455" s="7">
        <v>0.551640340218712</v>
      </c>
      <c r="G455">
        <f t="shared" si="44"/>
        <v>3</v>
      </c>
      <c r="H455" s="7">
        <f t="shared" si="45"/>
        <v>0.448359659781288</v>
      </c>
      <c r="I455">
        <f t="shared" si="46"/>
        <v>3</v>
      </c>
      <c r="J455">
        <f>VLOOKUP(A455,'Housing Cost Calc'!$A$2:$C$827,3,FALSE)</f>
        <v>1773</v>
      </c>
      <c r="K455">
        <f t="shared" si="47"/>
        <v>0.39045086948080671</v>
      </c>
    </row>
    <row r="456" spans="1:11" ht="60" x14ac:dyDescent="0.25">
      <c r="A456" s="4" t="s">
        <v>3176</v>
      </c>
      <c r="B456">
        <v>85347</v>
      </c>
      <c r="C456">
        <v>2.4500000000000002</v>
      </c>
      <c r="D456">
        <f t="shared" si="42"/>
        <v>54526.198193049873</v>
      </c>
      <c r="E456">
        <f t="shared" si="43"/>
        <v>54.526198193049872</v>
      </c>
      <c r="F456" s="7">
        <v>0.55285540704738756</v>
      </c>
      <c r="G456">
        <f t="shared" si="44"/>
        <v>3</v>
      </c>
      <c r="H456" s="7">
        <f t="shared" si="45"/>
        <v>0.44714459295261244</v>
      </c>
      <c r="I456">
        <f t="shared" si="46"/>
        <v>3</v>
      </c>
      <c r="J456">
        <f>VLOOKUP(A456,'Housing Cost Calc'!$A$2:$C$827,3,FALSE)</f>
        <v>1256</v>
      </c>
      <c r="K456">
        <f t="shared" si="47"/>
        <v>0.27641758456435234</v>
      </c>
    </row>
    <row r="457" spans="1:11" ht="60" x14ac:dyDescent="0.25">
      <c r="A457" s="4" t="s">
        <v>3795</v>
      </c>
      <c r="B457">
        <v>83925</v>
      </c>
      <c r="C457">
        <v>2.35</v>
      </c>
      <c r="D457">
        <f t="shared" si="42"/>
        <v>54746.633531010135</v>
      </c>
      <c r="E457">
        <f t="shared" si="43"/>
        <v>54.746633531010133</v>
      </c>
      <c r="F457" s="7">
        <v>0.55407047387606323</v>
      </c>
      <c r="G457">
        <f t="shared" si="44"/>
        <v>3</v>
      </c>
      <c r="H457" s="7">
        <f t="shared" si="45"/>
        <v>0.44592952612393677</v>
      </c>
      <c r="I457">
        <f t="shared" si="46"/>
        <v>3</v>
      </c>
      <c r="J457">
        <f>VLOOKUP(A457,'Housing Cost Calc'!$A$2:$C$827,3,FALSE)</f>
        <v>1703</v>
      </c>
      <c r="K457">
        <f t="shared" si="47"/>
        <v>0.37328322641837763</v>
      </c>
    </row>
    <row r="458" spans="1:11" ht="60" x14ac:dyDescent="0.25">
      <c r="A458" s="4" t="s">
        <v>3508</v>
      </c>
      <c r="B458">
        <v>89900</v>
      </c>
      <c r="C458">
        <v>2.69</v>
      </c>
      <c r="D458">
        <f t="shared" si="42"/>
        <v>54812.99740038735</v>
      </c>
      <c r="E458">
        <f t="shared" si="43"/>
        <v>54.812997400387353</v>
      </c>
      <c r="F458" s="7">
        <v>0.55528554070473879</v>
      </c>
      <c r="G458">
        <f t="shared" si="44"/>
        <v>3</v>
      </c>
      <c r="H458" s="7">
        <f t="shared" si="45"/>
        <v>0.44471445929526121</v>
      </c>
      <c r="I458">
        <f t="shared" si="46"/>
        <v>3</v>
      </c>
      <c r="J458">
        <f>VLOOKUP(A458,'Housing Cost Calc'!$A$2:$C$827,3,FALSE)</f>
        <v>1457</v>
      </c>
      <c r="K458">
        <f t="shared" si="47"/>
        <v>0.31897544066576522</v>
      </c>
    </row>
    <row r="459" spans="1:11" ht="60" x14ac:dyDescent="0.25">
      <c r="A459" s="4" t="s">
        <v>3306</v>
      </c>
      <c r="B459">
        <v>82702</v>
      </c>
      <c r="C459">
        <v>2.27</v>
      </c>
      <c r="D459">
        <f t="shared" si="42"/>
        <v>54891.245315940883</v>
      </c>
      <c r="E459">
        <f t="shared" si="43"/>
        <v>54.891245315940886</v>
      </c>
      <c r="F459" s="7">
        <v>0.55650060753341435</v>
      </c>
      <c r="G459">
        <f t="shared" si="44"/>
        <v>3</v>
      </c>
      <c r="H459" s="7">
        <f t="shared" si="45"/>
        <v>0.44349939246658565</v>
      </c>
      <c r="I459">
        <f t="shared" si="46"/>
        <v>3</v>
      </c>
      <c r="J459">
        <f>VLOOKUP(A459,'Housing Cost Calc'!$A$2:$C$827,3,FALSE)</f>
        <v>1362</v>
      </c>
      <c r="K459">
        <f t="shared" si="47"/>
        <v>0.29775239942048765</v>
      </c>
    </row>
    <row r="460" spans="1:11" ht="45" x14ac:dyDescent="0.25">
      <c r="A460" s="4" t="s">
        <v>3838</v>
      </c>
      <c r="B460">
        <v>90913</v>
      </c>
      <c r="C460">
        <v>2.74</v>
      </c>
      <c r="D460">
        <f t="shared" si="42"/>
        <v>54922.551870926378</v>
      </c>
      <c r="E460">
        <f t="shared" si="43"/>
        <v>54.922551870926377</v>
      </c>
      <c r="F460" s="7">
        <v>0.55771567436208991</v>
      </c>
      <c r="G460">
        <f t="shared" si="44"/>
        <v>3</v>
      </c>
      <c r="H460" s="7">
        <f t="shared" si="45"/>
        <v>0.44228432563791009</v>
      </c>
      <c r="I460">
        <f t="shared" si="46"/>
        <v>3</v>
      </c>
      <c r="J460">
        <f>VLOOKUP(A460,'Housing Cost Calc'!$A$2:$C$827,3,FALSE)</f>
        <v>1857</v>
      </c>
      <c r="K460">
        <f t="shared" si="47"/>
        <v>0.40573497117121726</v>
      </c>
    </row>
    <row r="461" spans="1:11" ht="60" x14ac:dyDescent="0.25">
      <c r="A461" s="4" t="s">
        <v>3519</v>
      </c>
      <c r="B461">
        <v>90285</v>
      </c>
      <c r="C461">
        <v>2.7</v>
      </c>
      <c r="D461">
        <f t="shared" si="42"/>
        <v>54945.701227059908</v>
      </c>
      <c r="E461">
        <f t="shared" si="43"/>
        <v>54.945701227059907</v>
      </c>
      <c r="F461" s="7">
        <v>0.55893074119076547</v>
      </c>
      <c r="G461">
        <f t="shared" si="44"/>
        <v>3</v>
      </c>
      <c r="H461" s="7">
        <f t="shared" si="45"/>
        <v>0.44106925880923453</v>
      </c>
      <c r="I461">
        <f t="shared" si="46"/>
        <v>3</v>
      </c>
      <c r="J461">
        <f>VLOOKUP(A461,'Housing Cost Calc'!$A$2:$C$827,3,FALSE)</f>
        <v>1466</v>
      </c>
      <c r="K461">
        <f t="shared" si="47"/>
        <v>0.32017063404654872</v>
      </c>
    </row>
    <row r="462" spans="1:11" ht="60" x14ac:dyDescent="0.25">
      <c r="A462" s="4" t="s">
        <v>3797</v>
      </c>
      <c r="B462">
        <v>90150</v>
      </c>
      <c r="C462">
        <v>2.69</v>
      </c>
      <c r="D462">
        <f t="shared" si="42"/>
        <v>54965.425090599769</v>
      </c>
      <c r="E462">
        <f t="shared" si="43"/>
        <v>54.965425090599766</v>
      </c>
      <c r="F462" s="7">
        <v>0.56014580801944103</v>
      </c>
      <c r="G462">
        <f t="shared" si="44"/>
        <v>3</v>
      </c>
      <c r="H462" s="7">
        <f t="shared" si="45"/>
        <v>0.43985419198055897</v>
      </c>
      <c r="I462">
        <f t="shared" si="46"/>
        <v>3</v>
      </c>
      <c r="J462">
        <f>VLOOKUP(A462,'Housing Cost Calc'!$A$2:$C$827,3,FALSE)</f>
        <v>1651</v>
      </c>
      <c r="K462">
        <f t="shared" si="47"/>
        <v>0.36044476991388291</v>
      </c>
    </row>
    <row r="463" spans="1:11" ht="60" x14ac:dyDescent="0.25">
      <c r="A463" s="4" t="s">
        <v>3230</v>
      </c>
      <c r="B463">
        <v>84625</v>
      </c>
      <c r="C463">
        <v>2.37</v>
      </c>
      <c r="D463">
        <f t="shared" si="42"/>
        <v>54969.84453331551</v>
      </c>
      <c r="E463">
        <f t="shared" si="43"/>
        <v>54.969844533315509</v>
      </c>
      <c r="F463" s="7">
        <v>0.5613608748481167</v>
      </c>
      <c r="G463">
        <f t="shared" si="44"/>
        <v>3</v>
      </c>
      <c r="H463" s="7">
        <f t="shared" si="45"/>
        <v>0.4386391251518833</v>
      </c>
      <c r="I463">
        <f t="shared" si="46"/>
        <v>3</v>
      </c>
      <c r="J463">
        <f>VLOOKUP(A463,'Housing Cost Calc'!$A$2:$C$827,3,FALSE)</f>
        <v>1323</v>
      </c>
      <c r="K463">
        <f t="shared" si="47"/>
        <v>0.28881289613941058</v>
      </c>
    </row>
    <row r="464" spans="1:11" ht="60" x14ac:dyDescent="0.25">
      <c r="A464" s="4" t="s">
        <v>3784</v>
      </c>
      <c r="B464">
        <v>89545</v>
      </c>
      <c r="C464">
        <v>2.65</v>
      </c>
      <c r="D464">
        <f t="shared" si="42"/>
        <v>55007.056236896162</v>
      </c>
      <c r="E464">
        <f t="shared" si="43"/>
        <v>55.007056236896162</v>
      </c>
      <c r="F464" s="7">
        <v>0.56257594167679226</v>
      </c>
      <c r="G464">
        <f t="shared" si="44"/>
        <v>3</v>
      </c>
      <c r="H464" s="7">
        <f t="shared" si="45"/>
        <v>0.43742405832320774</v>
      </c>
      <c r="I464">
        <f t="shared" si="46"/>
        <v>3</v>
      </c>
      <c r="J464">
        <f>VLOOKUP(A464,'Housing Cost Calc'!$A$2:$C$827,3,FALSE)</f>
        <v>1634</v>
      </c>
      <c r="K464">
        <f t="shared" si="47"/>
        <v>0.35646335836542858</v>
      </c>
    </row>
    <row r="465" spans="1:11" ht="60" x14ac:dyDescent="0.25">
      <c r="A465" s="4" t="s">
        <v>3818</v>
      </c>
      <c r="B465">
        <v>88750</v>
      </c>
      <c r="C465">
        <v>2.6</v>
      </c>
      <c r="D465">
        <f t="shared" si="42"/>
        <v>55040.413473961249</v>
      </c>
      <c r="E465">
        <f t="shared" si="43"/>
        <v>55.040413473961252</v>
      </c>
      <c r="F465" s="7">
        <v>0.56379100850546782</v>
      </c>
      <c r="G465">
        <f t="shared" si="44"/>
        <v>3</v>
      </c>
      <c r="H465" s="7">
        <f t="shared" si="45"/>
        <v>0.43620899149453218</v>
      </c>
      <c r="I465">
        <f t="shared" si="46"/>
        <v>3</v>
      </c>
      <c r="J465">
        <f>VLOOKUP(A465,'Housing Cost Calc'!$A$2:$C$827,3,FALSE)</f>
        <v>1741</v>
      </c>
      <c r="K465">
        <f t="shared" si="47"/>
        <v>0.37957563690693702</v>
      </c>
    </row>
    <row r="466" spans="1:11" ht="60" x14ac:dyDescent="0.25">
      <c r="A466" s="4" t="s">
        <v>3819</v>
      </c>
      <c r="B466">
        <v>89167</v>
      </c>
      <c r="C466">
        <v>2.62</v>
      </c>
      <c r="D466">
        <f t="shared" si="42"/>
        <v>55087.556570711124</v>
      </c>
      <c r="E466">
        <f t="shared" si="43"/>
        <v>55.087556570711122</v>
      </c>
      <c r="F466" s="7">
        <v>0.56500607533414338</v>
      </c>
      <c r="G466">
        <f t="shared" si="44"/>
        <v>3</v>
      </c>
      <c r="H466" s="7">
        <f t="shared" si="45"/>
        <v>0.43499392466585662</v>
      </c>
      <c r="I466">
        <f t="shared" si="46"/>
        <v>3</v>
      </c>
      <c r="J466">
        <f>VLOOKUP(A466,'Housing Cost Calc'!$A$2:$C$827,3,FALSE)</f>
        <v>1730</v>
      </c>
      <c r="K466">
        <f t="shared" si="47"/>
        <v>0.37685461640238455</v>
      </c>
    </row>
    <row r="467" spans="1:11" ht="60" x14ac:dyDescent="0.25">
      <c r="A467" s="4" t="s">
        <v>3708</v>
      </c>
      <c r="B467">
        <v>83929</v>
      </c>
      <c r="C467">
        <v>2.3199999999999998</v>
      </c>
      <c r="D467">
        <f t="shared" si="42"/>
        <v>55102.088017418275</v>
      </c>
      <c r="E467">
        <f t="shared" si="43"/>
        <v>55.102088017418275</v>
      </c>
      <c r="F467" s="7">
        <v>0.56622114216281894</v>
      </c>
      <c r="G467">
        <f t="shared" si="44"/>
        <v>3</v>
      </c>
      <c r="H467" s="7">
        <f t="shared" si="45"/>
        <v>0.43377885783718106</v>
      </c>
      <c r="I467">
        <f t="shared" si="46"/>
        <v>3</v>
      </c>
      <c r="J467">
        <f>VLOOKUP(A467,'Housing Cost Calc'!$A$2:$C$827,3,FALSE)</f>
        <v>1576</v>
      </c>
      <c r="K467">
        <f t="shared" si="47"/>
        <v>0.34321748377342332</v>
      </c>
    </row>
    <row r="468" spans="1:11" ht="75" x14ac:dyDescent="0.25">
      <c r="A468" s="4" t="s">
        <v>3594</v>
      </c>
      <c r="B468">
        <v>89141</v>
      </c>
      <c r="C468">
        <v>2.61</v>
      </c>
      <c r="D468">
        <f t="shared" si="42"/>
        <v>55176.893801468606</v>
      </c>
      <c r="E468">
        <f t="shared" si="43"/>
        <v>55.176893801468609</v>
      </c>
      <c r="F468" s="7">
        <v>0.5674362089914945</v>
      </c>
      <c r="G468">
        <f t="shared" si="44"/>
        <v>3</v>
      </c>
      <c r="H468" s="7">
        <f t="shared" si="45"/>
        <v>0.4325637910085055</v>
      </c>
      <c r="I468">
        <f t="shared" si="46"/>
        <v>3</v>
      </c>
      <c r="J468">
        <f>VLOOKUP(A468,'Housing Cost Calc'!$A$2:$C$827,3,FALSE)</f>
        <v>1506</v>
      </c>
      <c r="K468">
        <f t="shared" si="47"/>
        <v>0.32752840464388355</v>
      </c>
    </row>
    <row r="469" spans="1:11" ht="60" x14ac:dyDescent="0.25">
      <c r="A469" s="4" t="s">
        <v>3769</v>
      </c>
      <c r="B469">
        <v>80759</v>
      </c>
      <c r="C469">
        <v>2.14</v>
      </c>
      <c r="D469">
        <f t="shared" si="42"/>
        <v>55205.715880584772</v>
      </c>
      <c r="E469">
        <f t="shared" si="43"/>
        <v>55.205715880584769</v>
      </c>
      <c r="F469" s="7">
        <v>0.56865127582017005</v>
      </c>
      <c r="G469">
        <f t="shared" si="44"/>
        <v>3</v>
      </c>
      <c r="H469" s="7">
        <f t="shared" si="45"/>
        <v>0.43134872417982995</v>
      </c>
      <c r="I469">
        <f t="shared" si="46"/>
        <v>3</v>
      </c>
      <c r="J469">
        <f>VLOOKUP(A469,'Housing Cost Calc'!$A$2:$C$827,3,FALSE)</f>
        <v>1705</v>
      </c>
      <c r="K469">
        <f t="shared" si="47"/>
        <v>0.37061379738751926</v>
      </c>
    </row>
    <row r="470" spans="1:11" ht="60" x14ac:dyDescent="0.25">
      <c r="A470" s="4" t="s">
        <v>3308</v>
      </c>
      <c r="B470">
        <v>86384</v>
      </c>
      <c r="C470">
        <v>2.4300000000000002</v>
      </c>
      <c r="D470">
        <f t="shared" si="42"/>
        <v>55415.361837418481</v>
      </c>
      <c r="E470">
        <f t="shared" si="43"/>
        <v>55.41536183741848</v>
      </c>
      <c r="F470" s="7">
        <v>0.56986634264884573</v>
      </c>
      <c r="G470">
        <f t="shared" si="44"/>
        <v>3</v>
      </c>
      <c r="H470" s="7">
        <f t="shared" si="45"/>
        <v>0.43013365735115427</v>
      </c>
      <c r="I470">
        <f t="shared" si="46"/>
        <v>3</v>
      </c>
      <c r="J470">
        <f>VLOOKUP(A470,'Housing Cost Calc'!$A$2:$C$827,3,FALSE)</f>
        <v>1376</v>
      </c>
      <c r="K470">
        <f t="shared" si="47"/>
        <v>0.29796791814594797</v>
      </c>
    </row>
    <row r="471" spans="1:11" ht="60" x14ac:dyDescent="0.25">
      <c r="A471" s="4" t="s">
        <v>3098</v>
      </c>
      <c r="B471">
        <v>78209</v>
      </c>
      <c r="C471">
        <v>1.99</v>
      </c>
      <c r="D471">
        <f t="shared" si="42"/>
        <v>55440.890162496937</v>
      </c>
      <c r="E471">
        <f t="shared" si="43"/>
        <v>55.440890162496935</v>
      </c>
      <c r="F471" s="7">
        <v>0.57108140947752128</v>
      </c>
      <c r="G471">
        <f t="shared" si="44"/>
        <v>3</v>
      </c>
      <c r="H471" s="7">
        <f t="shared" si="45"/>
        <v>0.42891859052247872</v>
      </c>
      <c r="I471">
        <f t="shared" si="46"/>
        <v>3</v>
      </c>
      <c r="J471">
        <f>VLOOKUP(A471,'Housing Cost Calc'!$A$2:$C$827,3,FALSE)</f>
        <v>1197</v>
      </c>
      <c r="K471">
        <f t="shared" si="47"/>
        <v>0.25908674911061486</v>
      </c>
    </row>
    <row r="472" spans="1:11" ht="60" x14ac:dyDescent="0.25">
      <c r="A472" s="4" t="s">
        <v>3814</v>
      </c>
      <c r="B472">
        <v>93632</v>
      </c>
      <c r="C472">
        <v>2.85</v>
      </c>
      <c r="D472">
        <f t="shared" si="42"/>
        <v>55462.810122339331</v>
      </c>
      <c r="E472">
        <f t="shared" si="43"/>
        <v>55.462810122339334</v>
      </c>
      <c r="F472" s="7">
        <v>0.57229647630619684</v>
      </c>
      <c r="G472">
        <f t="shared" si="44"/>
        <v>3</v>
      </c>
      <c r="H472" s="7">
        <f t="shared" si="45"/>
        <v>0.42770352369380316</v>
      </c>
      <c r="I472">
        <f t="shared" si="46"/>
        <v>3</v>
      </c>
      <c r="J472">
        <f>VLOOKUP(A472,'Housing Cost Calc'!$A$2:$C$827,3,FALSE)</f>
        <v>1699</v>
      </c>
      <c r="K472">
        <f t="shared" si="47"/>
        <v>0.36759767409960559</v>
      </c>
    </row>
    <row r="473" spans="1:11" ht="60" x14ac:dyDescent="0.25">
      <c r="A473" s="4" t="s">
        <v>3244</v>
      </c>
      <c r="B473">
        <v>86714</v>
      </c>
      <c r="C473">
        <v>2.4300000000000002</v>
      </c>
      <c r="D473">
        <f t="shared" si="42"/>
        <v>55627.056936121342</v>
      </c>
      <c r="E473">
        <f t="shared" si="43"/>
        <v>55.627056936121342</v>
      </c>
      <c r="F473" s="7">
        <v>0.5735115431348724</v>
      </c>
      <c r="G473">
        <f t="shared" si="44"/>
        <v>3</v>
      </c>
      <c r="H473" s="7">
        <f t="shared" si="45"/>
        <v>0.4264884568651276</v>
      </c>
      <c r="I473">
        <f t="shared" si="46"/>
        <v>3</v>
      </c>
      <c r="J473">
        <f>VLOOKUP(A473,'Housing Cost Calc'!$A$2:$C$827,3,FALSE)</f>
        <v>1345</v>
      </c>
      <c r="K473">
        <f t="shared" si="47"/>
        <v>0.29014657414887463</v>
      </c>
    </row>
    <row r="474" spans="1:11" ht="45" x14ac:dyDescent="0.25">
      <c r="A474" s="4" t="s">
        <v>3835</v>
      </c>
      <c r="B474">
        <v>90568</v>
      </c>
      <c r="C474">
        <v>2.64</v>
      </c>
      <c r="D474">
        <f t="shared" si="42"/>
        <v>55740.750775081033</v>
      </c>
      <c r="E474">
        <f t="shared" si="43"/>
        <v>55.740750775081032</v>
      </c>
      <c r="F474" s="7">
        <v>0.57472660996354796</v>
      </c>
      <c r="G474">
        <f t="shared" si="44"/>
        <v>3</v>
      </c>
      <c r="H474" s="7">
        <f t="shared" si="45"/>
        <v>0.42527339003645204</v>
      </c>
      <c r="I474">
        <f t="shared" si="46"/>
        <v>3</v>
      </c>
      <c r="J474">
        <f>VLOOKUP(A474,'Housing Cost Calc'!$A$2:$C$827,3,FALSE)</f>
        <v>1958</v>
      </c>
      <c r="K474">
        <f t="shared" si="47"/>
        <v>0.42152284770631243</v>
      </c>
    </row>
    <row r="475" spans="1:11" ht="60" x14ac:dyDescent="0.25">
      <c r="A475" s="4" t="s">
        <v>3062</v>
      </c>
      <c r="B475">
        <v>90156</v>
      </c>
      <c r="C475">
        <v>2.61</v>
      </c>
      <c r="D475">
        <f t="shared" si="42"/>
        <v>55805.163028967632</v>
      </c>
      <c r="E475">
        <f t="shared" si="43"/>
        <v>55.805163028967634</v>
      </c>
      <c r="F475" s="7">
        <v>0.57594167679222352</v>
      </c>
      <c r="G475">
        <f t="shared" si="44"/>
        <v>3</v>
      </c>
      <c r="H475" s="7">
        <f t="shared" si="45"/>
        <v>0.42405832320777648</v>
      </c>
      <c r="I475">
        <f t="shared" si="46"/>
        <v>3</v>
      </c>
      <c r="J475">
        <f>VLOOKUP(A475,'Housing Cost Calc'!$A$2:$C$827,3,FALSE)</f>
        <v>1138</v>
      </c>
      <c r="K475">
        <f t="shared" si="47"/>
        <v>0.24470854055047511</v>
      </c>
    </row>
    <row r="476" spans="1:11" ht="60" x14ac:dyDescent="0.25">
      <c r="A476" s="4" t="s">
        <v>3182</v>
      </c>
      <c r="B476">
        <v>86821</v>
      </c>
      <c r="C476">
        <v>2.41</v>
      </c>
      <c r="D476">
        <f t="shared" si="42"/>
        <v>55926.322460746531</v>
      </c>
      <c r="E476">
        <f t="shared" si="43"/>
        <v>55.926322460746533</v>
      </c>
      <c r="F476" s="7">
        <v>0.57715674362089919</v>
      </c>
      <c r="G476">
        <f t="shared" si="44"/>
        <v>3</v>
      </c>
      <c r="H476" s="7">
        <f t="shared" si="45"/>
        <v>0.42284325637910081</v>
      </c>
      <c r="I476">
        <f t="shared" si="46"/>
        <v>3</v>
      </c>
      <c r="J476">
        <f>VLOOKUP(A476,'Housing Cost Calc'!$A$2:$C$827,3,FALSE)</f>
        <v>1307</v>
      </c>
      <c r="K476">
        <f t="shared" si="47"/>
        <v>0.28044039568323587</v>
      </c>
    </row>
    <row r="477" spans="1:11" ht="60" x14ac:dyDescent="0.25">
      <c r="A477" s="4" t="s">
        <v>3346</v>
      </c>
      <c r="B477">
        <v>87917</v>
      </c>
      <c r="C477">
        <v>2.4700000000000002</v>
      </c>
      <c r="D477">
        <f t="shared" si="42"/>
        <v>55940.247506541455</v>
      </c>
      <c r="E477">
        <f t="shared" si="43"/>
        <v>55.940247506541454</v>
      </c>
      <c r="F477" s="7">
        <v>0.57837181044957475</v>
      </c>
      <c r="G477">
        <f t="shared" si="44"/>
        <v>3</v>
      </c>
      <c r="H477" s="7">
        <f t="shared" si="45"/>
        <v>0.42162818955042525</v>
      </c>
      <c r="I477">
        <f t="shared" si="46"/>
        <v>3</v>
      </c>
      <c r="J477">
        <f>VLOOKUP(A477,'Housing Cost Calc'!$A$2:$C$827,3,FALSE)</f>
        <v>1407</v>
      </c>
      <c r="K477">
        <f t="shared" si="47"/>
        <v>0.30182204678350133</v>
      </c>
    </row>
    <row r="478" spans="1:11" ht="60" x14ac:dyDescent="0.25">
      <c r="A478" s="4" t="s">
        <v>3573</v>
      </c>
      <c r="B478">
        <v>85960</v>
      </c>
      <c r="C478">
        <v>2.36</v>
      </c>
      <c r="D478">
        <f t="shared" si="42"/>
        <v>55955.193939558099</v>
      </c>
      <c r="E478">
        <f t="shared" si="43"/>
        <v>55.9551939395581</v>
      </c>
      <c r="F478" s="7">
        <v>0.57958687727825031</v>
      </c>
      <c r="G478">
        <f t="shared" si="44"/>
        <v>3</v>
      </c>
      <c r="H478" s="7">
        <f t="shared" si="45"/>
        <v>0.42041312272174969</v>
      </c>
      <c r="I478">
        <f t="shared" si="46"/>
        <v>3</v>
      </c>
      <c r="J478">
        <f>VLOOKUP(A478,'Housing Cost Calc'!$A$2:$C$827,3,FALSE)</f>
        <v>1509</v>
      </c>
      <c r="K478">
        <f t="shared" si="47"/>
        <v>0.32361607073616744</v>
      </c>
    </row>
    <row r="479" spans="1:11" ht="60" x14ac:dyDescent="0.25">
      <c r="A479" s="4" t="s">
        <v>3292</v>
      </c>
      <c r="B479">
        <v>89460</v>
      </c>
      <c r="C479">
        <v>2.5499999999999998</v>
      </c>
      <c r="D479">
        <f t="shared" si="42"/>
        <v>56022.025080477477</v>
      </c>
      <c r="E479">
        <f t="shared" si="43"/>
        <v>56.022025080477476</v>
      </c>
      <c r="F479" s="7">
        <v>0.58080194410692587</v>
      </c>
      <c r="G479">
        <f t="shared" si="44"/>
        <v>3</v>
      </c>
      <c r="H479" s="7">
        <f t="shared" si="45"/>
        <v>0.41919805589307413</v>
      </c>
      <c r="I479">
        <f t="shared" si="46"/>
        <v>3</v>
      </c>
      <c r="J479">
        <f>VLOOKUP(A479,'Housing Cost Calc'!$A$2:$C$827,3,FALSE)</f>
        <v>1382</v>
      </c>
      <c r="K479">
        <f t="shared" si="47"/>
        <v>0.29602642846588534</v>
      </c>
    </row>
    <row r="480" spans="1:11" ht="60" x14ac:dyDescent="0.25">
      <c r="A480" s="4" t="s">
        <v>3254</v>
      </c>
      <c r="B480">
        <v>91250</v>
      </c>
      <c r="C480">
        <v>2.65</v>
      </c>
      <c r="D480">
        <f t="shared" si="42"/>
        <v>56054.429411098048</v>
      </c>
      <c r="E480">
        <f t="shared" si="43"/>
        <v>56.054429411098049</v>
      </c>
      <c r="F480" s="7">
        <v>0.58201701093560143</v>
      </c>
      <c r="G480">
        <f t="shared" si="44"/>
        <v>3</v>
      </c>
      <c r="H480" s="7">
        <f t="shared" si="45"/>
        <v>0.41798298906439857</v>
      </c>
      <c r="I480">
        <f t="shared" si="46"/>
        <v>3</v>
      </c>
      <c r="J480">
        <f>VLOOKUP(A480,'Housing Cost Calc'!$A$2:$C$827,3,FALSE)</f>
        <v>1361</v>
      </c>
      <c r="K480">
        <f t="shared" si="47"/>
        <v>0.29135966901424698</v>
      </c>
    </row>
    <row r="481" spans="1:11" ht="60" x14ac:dyDescent="0.25">
      <c r="A481" s="4" t="s">
        <v>3262</v>
      </c>
      <c r="B481">
        <v>82436</v>
      </c>
      <c r="C481">
        <v>2.16</v>
      </c>
      <c r="D481">
        <f t="shared" si="42"/>
        <v>56090.593454465015</v>
      </c>
      <c r="E481">
        <f t="shared" si="43"/>
        <v>56.090593454465015</v>
      </c>
      <c r="F481" s="7">
        <v>0.58323207776427699</v>
      </c>
      <c r="G481">
        <f t="shared" si="44"/>
        <v>3</v>
      </c>
      <c r="H481" s="7">
        <f t="shared" si="45"/>
        <v>0.41676792223572301</v>
      </c>
      <c r="I481">
        <f t="shared" si="46"/>
        <v>3</v>
      </c>
      <c r="J481">
        <f>VLOOKUP(A481,'Housing Cost Calc'!$A$2:$C$827,3,FALSE)</f>
        <v>1366</v>
      </c>
      <c r="K481">
        <f t="shared" si="47"/>
        <v>0.29224151485056427</v>
      </c>
    </row>
    <row r="482" spans="1:11" ht="60" x14ac:dyDescent="0.25">
      <c r="A482" s="4" t="s">
        <v>3828</v>
      </c>
      <c r="B482">
        <v>90000</v>
      </c>
      <c r="C482">
        <v>2.56</v>
      </c>
      <c r="D482">
        <f t="shared" si="42"/>
        <v>56250</v>
      </c>
      <c r="E482">
        <f t="shared" si="43"/>
        <v>56.25</v>
      </c>
      <c r="F482" s="7">
        <v>0.58444714459295266</v>
      </c>
      <c r="G482">
        <f t="shared" si="44"/>
        <v>3</v>
      </c>
      <c r="H482" s="7">
        <f t="shared" si="45"/>
        <v>0.41555285540704734</v>
      </c>
      <c r="I482">
        <f t="shared" si="46"/>
        <v>3</v>
      </c>
      <c r="J482">
        <f>VLOOKUP(A482,'Housing Cost Calc'!$A$2:$C$827,3,FALSE)</f>
        <v>1798</v>
      </c>
      <c r="K482">
        <f t="shared" si="47"/>
        <v>0.38357333333333332</v>
      </c>
    </row>
    <row r="483" spans="1:11" ht="60" x14ac:dyDescent="0.25">
      <c r="A483" s="4" t="s">
        <v>3557</v>
      </c>
      <c r="B483">
        <v>90563</v>
      </c>
      <c r="C483">
        <v>2.59</v>
      </c>
      <c r="D483">
        <f t="shared" si="42"/>
        <v>56273.110118366676</v>
      </c>
      <c r="E483">
        <f t="shared" si="43"/>
        <v>56.273110118366674</v>
      </c>
      <c r="F483" s="7">
        <v>0.58566221142162822</v>
      </c>
      <c r="G483">
        <f t="shared" si="44"/>
        <v>3</v>
      </c>
      <c r="H483" s="7">
        <f t="shared" si="45"/>
        <v>0.41433778857837178</v>
      </c>
      <c r="I483">
        <f t="shared" si="46"/>
        <v>3</v>
      </c>
      <c r="J483">
        <f>VLOOKUP(A483,'Housing Cost Calc'!$A$2:$C$827,3,FALSE)</f>
        <v>1509</v>
      </c>
      <c r="K483">
        <f t="shared" si="47"/>
        <v>0.32178779459516366</v>
      </c>
    </row>
    <row r="484" spans="1:11" ht="45" x14ac:dyDescent="0.25">
      <c r="A484" s="4" t="s">
        <v>3807</v>
      </c>
      <c r="B484">
        <v>85420</v>
      </c>
      <c r="C484">
        <v>2.29</v>
      </c>
      <c r="D484">
        <f t="shared" si="42"/>
        <v>56447.12485087377</v>
      </c>
      <c r="E484">
        <f t="shared" si="43"/>
        <v>56.44712485087377</v>
      </c>
      <c r="F484" s="7">
        <v>0.58687727825030378</v>
      </c>
      <c r="G484">
        <f t="shared" si="44"/>
        <v>3</v>
      </c>
      <c r="H484" s="7">
        <f t="shared" si="45"/>
        <v>0.41312272174969622</v>
      </c>
      <c r="I484">
        <f t="shared" si="46"/>
        <v>3</v>
      </c>
      <c r="J484">
        <f>VLOOKUP(A484,'Housing Cost Calc'!$A$2:$C$827,3,FALSE)</f>
        <v>2014</v>
      </c>
      <c r="K484">
        <f t="shared" si="47"/>
        <v>0.42815289642915966</v>
      </c>
    </row>
    <row r="485" spans="1:11" ht="60" x14ac:dyDescent="0.25">
      <c r="A485" s="4" t="s">
        <v>3425</v>
      </c>
      <c r="B485">
        <v>91973</v>
      </c>
      <c r="C485">
        <v>2.65</v>
      </c>
      <c r="D485">
        <f t="shared" si="42"/>
        <v>56498.564780568995</v>
      </c>
      <c r="E485">
        <f t="shared" si="43"/>
        <v>56.498564780568998</v>
      </c>
      <c r="F485" s="7">
        <v>0.58809234507897934</v>
      </c>
      <c r="G485">
        <f t="shared" si="44"/>
        <v>3</v>
      </c>
      <c r="H485" s="7">
        <f t="shared" si="45"/>
        <v>0.41190765492102066</v>
      </c>
      <c r="I485">
        <f t="shared" si="46"/>
        <v>3</v>
      </c>
      <c r="J485">
        <f>VLOOKUP(A485,'Housing Cost Calc'!$A$2:$C$827,3,FALSE)</f>
        <v>1465</v>
      </c>
      <c r="K485">
        <f t="shared" si="47"/>
        <v>0.31115834655761238</v>
      </c>
    </row>
    <row r="486" spans="1:11" ht="60" x14ac:dyDescent="0.25">
      <c r="A486" s="4" t="s">
        <v>3693</v>
      </c>
      <c r="B486">
        <v>91129</v>
      </c>
      <c r="C486">
        <v>2.6</v>
      </c>
      <c r="D486">
        <f t="shared" si="42"/>
        <v>56515.806641899886</v>
      </c>
      <c r="E486">
        <f t="shared" si="43"/>
        <v>56.515806641899886</v>
      </c>
      <c r="F486" s="7">
        <v>0.5893074119076549</v>
      </c>
      <c r="G486">
        <f t="shared" si="44"/>
        <v>3</v>
      </c>
      <c r="H486" s="7">
        <f t="shared" si="45"/>
        <v>0.4106925880923451</v>
      </c>
      <c r="I486">
        <f t="shared" si="46"/>
        <v>3</v>
      </c>
      <c r="J486">
        <f>VLOOKUP(A486,'Housing Cost Calc'!$A$2:$C$827,3,FALSE)</f>
        <v>1605</v>
      </c>
      <c r="K486">
        <f t="shared" si="47"/>
        <v>0.34078961523166079</v>
      </c>
    </row>
    <row r="487" spans="1:11" ht="60" x14ac:dyDescent="0.25">
      <c r="A487" s="4" t="s">
        <v>3761</v>
      </c>
      <c r="B487">
        <v>82841</v>
      </c>
      <c r="C487">
        <v>2.14</v>
      </c>
      <c r="D487">
        <f t="shared" si="42"/>
        <v>56628.941780650122</v>
      </c>
      <c r="E487">
        <f t="shared" si="43"/>
        <v>56.628941780650123</v>
      </c>
      <c r="F487" s="7">
        <v>0.59052247873633046</v>
      </c>
      <c r="G487">
        <f t="shared" si="44"/>
        <v>3</v>
      </c>
      <c r="H487" s="7">
        <f t="shared" si="45"/>
        <v>0.40947752126366954</v>
      </c>
      <c r="I487">
        <f t="shared" si="46"/>
        <v>3</v>
      </c>
      <c r="J487">
        <f>VLOOKUP(A487,'Housing Cost Calc'!$A$2:$C$827,3,FALSE)</f>
        <v>1662</v>
      </c>
      <c r="K487">
        <f t="shared" si="47"/>
        <v>0.35218740405307702</v>
      </c>
    </row>
    <row r="488" spans="1:11" ht="60" x14ac:dyDescent="0.25">
      <c r="A488" s="4" t="s">
        <v>3502</v>
      </c>
      <c r="B488">
        <v>93403</v>
      </c>
      <c r="C488">
        <v>2.72</v>
      </c>
      <c r="D488">
        <f t="shared" si="42"/>
        <v>56633.887463171523</v>
      </c>
      <c r="E488">
        <f t="shared" si="43"/>
        <v>56.633887463171526</v>
      </c>
      <c r="F488" s="7">
        <v>0.59173754556500613</v>
      </c>
      <c r="G488">
        <f t="shared" si="44"/>
        <v>3</v>
      </c>
      <c r="H488" s="7">
        <f t="shared" si="45"/>
        <v>0.40826245443499387</v>
      </c>
      <c r="I488">
        <f t="shared" si="46"/>
        <v>3</v>
      </c>
      <c r="J488">
        <f>VLOOKUP(A488,'Housing Cost Calc'!$A$2:$C$827,3,FALSE)</f>
        <v>1502</v>
      </c>
      <c r="K488">
        <f t="shared" si="47"/>
        <v>0.31825468473660468</v>
      </c>
    </row>
    <row r="489" spans="1:11" ht="60" x14ac:dyDescent="0.25">
      <c r="A489" s="4" t="s">
        <v>3208</v>
      </c>
      <c r="B489">
        <v>90500</v>
      </c>
      <c r="C489">
        <v>2.5499999999999998</v>
      </c>
      <c r="D489">
        <f t="shared" si="42"/>
        <v>56673.298343206028</v>
      </c>
      <c r="E489">
        <f t="shared" si="43"/>
        <v>56.673298343206028</v>
      </c>
      <c r="F489" s="7">
        <v>0.59295261239368169</v>
      </c>
      <c r="G489">
        <f t="shared" si="44"/>
        <v>3</v>
      </c>
      <c r="H489" s="7">
        <f t="shared" si="45"/>
        <v>0.40704738760631831</v>
      </c>
      <c r="I489">
        <f t="shared" si="46"/>
        <v>3</v>
      </c>
      <c r="J489">
        <f>VLOOKUP(A489,'Housing Cost Calc'!$A$2:$C$827,3,FALSE)</f>
        <v>1343</v>
      </c>
      <c r="K489">
        <f t="shared" si="47"/>
        <v>0.2843667206804098</v>
      </c>
    </row>
    <row r="490" spans="1:11" ht="45" x14ac:dyDescent="0.25">
      <c r="A490" s="4" t="s">
        <v>3841</v>
      </c>
      <c r="B490">
        <v>91467</v>
      </c>
      <c r="C490">
        <v>2.6</v>
      </c>
      <c r="D490">
        <f t="shared" si="42"/>
        <v>56725.425343355644</v>
      </c>
      <c r="E490">
        <f t="shared" si="43"/>
        <v>56.725425343355646</v>
      </c>
      <c r="F490" s="7">
        <v>0.59416767922235725</v>
      </c>
      <c r="G490">
        <f t="shared" si="44"/>
        <v>3</v>
      </c>
      <c r="H490" s="7">
        <f t="shared" si="45"/>
        <v>0.40583232077764275</v>
      </c>
      <c r="I490">
        <f t="shared" si="46"/>
        <v>3</v>
      </c>
      <c r="J490">
        <f>VLOOKUP(A490,'Housing Cost Calc'!$A$2:$C$827,3,FALSE)</f>
        <v>1873</v>
      </c>
      <c r="K490">
        <f t="shared" si="47"/>
        <v>0.39622444193153428</v>
      </c>
    </row>
    <row r="491" spans="1:11" ht="60" x14ac:dyDescent="0.25">
      <c r="A491" s="4" t="s">
        <v>3118</v>
      </c>
      <c r="B491">
        <v>85536</v>
      </c>
      <c r="C491">
        <v>2.27</v>
      </c>
      <c r="D491">
        <f t="shared" si="42"/>
        <v>56772.237181015204</v>
      </c>
      <c r="E491">
        <f t="shared" si="43"/>
        <v>56.772237181015207</v>
      </c>
      <c r="F491" s="7">
        <v>0.59538274605103281</v>
      </c>
      <c r="G491">
        <f t="shared" si="44"/>
        <v>3</v>
      </c>
      <c r="H491" s="7">
        <f t="shared" si="45"/>
        <v>0.40461725394896719</v>
      </c>
      <c r="I491">
        <f t="shared" si="46"/>
        <v>3</v>
      </c>
      <c r="J491">
        <f>VLOOKUP(A491,'Housing Cost Calc'!$A$2:$C$827,3,FALSE)</f>
        <v>1238</v>
      </c>
      <c r="K491">
        <f t="shared" si="47"/>
        <v>0.26167719888565338</v>
      </c>
    </row>
    <row r="492" spans="1:11" ht="60" x14ac:dyDescent="0.25">
      <c r="A492" s="4" t="s">
        <v>3074</v>
      </c>
      <c r="B492">
        <v>89292</v>
      </c>
      <c r="C492">
        <v>2.4500000000000002</v>
      </c>
      <c r="D492">
        <f t="shared" si="42"/>
        <v>57046.566241974637</v>
      </c>
      <c r="E492">
        <f t="shared" si="43"/>
        <v>57.046566241974638</v>
      </c>
      <c r="F492" s="7">
        <v>0.59659781287970837</v>
      </c>
      <c r="G492">
        <f t="shared" si="44"/>
        <v>3</v>
      </c>
      <c r="H492" s="7">
        <f t="shared" si="45"/>
        <v>0.40340218712029163</v>
      </c>
      <c r="I492">
        <f t="shared" si="46"/>
        <v>3</v>
      </c>
      <c r="J492">
        <f>VLOOKUP(A492,'Housing Cost Calc'!$A$2:$C$827,3,FALSE)</f>
        <v>1193</v>
      </c>
      <c r="K492">
        <f t="shared" si="47"/>
        <v>0.25095287837791619</v>
      </c>
    </row>
    <row r="493" spans="1:11" ht="60" x14ac:dyDescent="0.25">
      <c r="A493" s="4" t="s">
        <v>3134</v>
      </c>
      <c r="B493">
        <v>88167</v>
      </c>
      <c r="C493">
        <v>2.38</v>
      </c>
      <c r="D493">
        <f t="shared" si="42"/>
        <v>57150.177694423684</v>
      </c>
      <c r="E493">
        <f t="shared" si="43"/>
        <v>57.150177694423682</v>
      </c>
      <c r="F493" s="7">
        <v>0.59781287970838393</v>
      </c>
      <c r="G493">
        <f t="shared" si="44"/>
        <v>3</v>
      </c>
      <c r="H493" s="7">
        <f t="shared" si="45"/>
        <v>0.40218712029161607</v>
      </c>
      <c r="I493">
        <f t="shared" si="46"/>
        <v>3</v>
      </c>
      <c r="J493">
        <f>VLOOKUP(A493,'Housing Cost Calc'!$A$2:$C$827,3,FALSE)</f>
        <v>1264</v>
      </c>
      <c r="K493">
        <f t="shared" si="47"/>
        <v>0.26540599892972838</v>
      </c>
    </row>
    <row r="494" spans="1:11" ht="60" x14ac:dyDescent="0.25">
      <c r="A494" s="4" t="s">
        <v>3664</v>
      </c>
      <c r="B494">
        <v>94434</v>
      </c>
      <c r="C494">
        <v>2.73</v>
      </c>
      <c r="D494">
        <f t="shared" si="42"/>
        <v>57154.056820045691</v>
      </c>
      <c r="E494">
        <f t="shared" si="43"/>
        <v>57.154056820045689</v>
      </c>
      <c r="F494" s="7">
        <v>0.59902794653705949</v>
      </c>
      <c r="G494">
        <f t="shared" si="44"/>
        <v>3</v>
      </c>
      <c r="H494" s="7">
        <f t="shared" si="45"/>
        <v>0.40097205346294051</v>
      </c>
      <c r="I494">
        <f t="shared" si="46"/>
        <v>3</v>
      </c>
      <c r="J494">
        <f>VLOOKUP(A494,'Housing Cost Calc'!$A$2:$C$827,3,FALSE)</f>
        <v>1597</v>
      </c>
      <c r="K494">
        <f t="shared" si="47"/>
        <v>0.33530428225487913</v>
      </c>
    </row>
    <row r="495" spans="1:11" ht="45" x14ac:dyDescent="0.25">
      <c r="A495" s="4" t="s">
        <v>3844</v>
      </c>
      <c r="B495">
        <v>91556</v>
      </c>
      <c r="C495">
        <v>2.5499999999999998</v>
      </c>
      <c r="D495">
        <f t="shared" si="42"/>
        <v>57334.591194591951</v>
      </c>
      <c r="E495">
        <f t="shared" si="43"/>
        <v>57.334591194591951</v>
      </c>
      <c r="F495" s="7">
        <v>0.60024301336573516</v>
      </c>
      <c r="G495">
        <f t="shared" si="44"/>
        <v>4</v>
      </c>
      <c r="H495" s="7">
        <f t="shared" si="45"/>
        <v>0.39975698663426484</v>
      </c>
      <c r="I495">
        <f t="shared" si="46"/>
        <v>2</v>
      </c>
      <c r="J495">
        <f>VLOOKUP(A495,'Housing Cost Calc'!$A$2:$C$827,3,FALSE)</f>
        <v>1979</v>
      </c>
      <c r="K495">
        <f t="shared" si="47"/>
        <v>0.41420021500458548</v>
      </c>
    </row>
    <row r="496" spans="1:11" ht="60" x14ac:dyDescent="0.25">
      <c r="A496" s="4" t="s">
        <v>3284</v>
      </c>
      <c r="B496">
        <v>86009</v>
      </c>
      <c r="C496">
        <v>2.25</v>
      </c>
      <c r="D496">
        <f t="shared" si="42"/>
        <v>57339.333333333336</v>
      </c>
      <c r="E496">
        <f t="shared" si="43"/>
        <v>57.339333333333336</v>
      </c>
      <c r="F496" s="7">
        <v>0.60145808019441072</v>
      </c>
      <c r="G496">
        <f t="shared" si="44"/>
        <v>4</v>
      </c>
      <c r="H496" s="7">
        <f t="shared" si="45"/>
        <v>0.39854191980558928</v>
      </c>
      <c r="I496">
        <f t="shared" si="46"/>
        <v>2</v>
      </c>
      <c r="J496">
        <f>VLOOKUP(A496,'Housing Cost Calc'!$A$2:$C$827,3,FALSE)</f>
        <v>1409</v>
      </c>
      <c r="K496">
        <f t="shared" si="47"/>
        <v>0.29487611761559834</v>
      </c>
    </row>
    <row r="497" spans="1:11" ht="60" x14ac:dyDescent="0.25">
      <c r="A497" s="4" t="s">
        <v>3549</v>
      </c>
      <c r="B497">
        <v>86119</v>
      </c>
      <c r="C497">
        <v>2.25</v>
      </c>
      <c r="D497">
        <f t="shared" si="42"/>
        <v>57412.666666666664</v>
      </c>
      <c r="E497">
        <f t="shared" si="43"/>
        <v>57.412666666666667</v>
      </c>
      <c r="F497" s="7">
        <v>0.60267314702308628</v>
      </c>
      <c r="G497">
        <f t="shared" si="44"/>
        <v>4</v>
      </c>
      <c r="H497" s="7">
        <f t="shared" si="45"/>
        <v>0.39732685297691372</v>
      </c>
      <c r="I497">
        <f t="shared" si="46"/>
        <v>2</v>
      </c>
      <c r="J497">
        <f>VLOOKUP(A497,'Housing Cost Calc'!$A$2:$C$827,3,FALSE)</f>
        <v>1538</v>
      </c>
      <c r="K497">
        <f t="shared" si="47"/>
        <v>0.32146216282121254</v>
      </c>
    </row>
    <row r="498" spans="1:11" ht="60" x14ac:dyDescent="0.25">
      <c r="A498" s="4" t="s">
        <v>3381</v>
      </c>
      <c r="B498">
        <v>91684</v>
      </c>
      <c r="C498">
        <v>2.5499999999999998</v>
      </c>
      <c r="D498">
        <f t="shared" si="42"/>
        <v>57414.747903850846</v>
      </c>
      <c r="E498">
        <f t="shared" si="43"/>
        <v>57.414747903850845</v>
      </c>
      <c r="F498" s="7">
        <v>0.60388821385176183</v>
      </c>
      <c r="G498">
        <f t="shared" si="44"/>
        <v>4</v>
      </c>
      <c r="H498" s="7">
        <f t="shared" si="45"/>
        <v>0.39611178614823817</v>
      </c>
      <c r="I498">
        <f t="shared" si="46"/>
        <v>2</v>
      </c>
      <c r="J498">
        <f>VLOOKUP(A498,'Housing Cost Calc'!$A$2:$C$827,3,FALSE)</f>
        <v>1462</v>
      </c>
      <c r="K498">
        <f t="shared" si="47"/>
        <v>0.30556608955907844</v>
      </c>
    </row>
    <row r="499" spans="1:11" ht="60" x14ac:dyDescent="0.25">
      <c r="A499" s="4" t="s">
        <v>3733</v>
      </c>
      <c r="B499">
        <v>87647</v>
      </c>
      <c r="C499">
        <v>2.33</v>
      </c>
      <c r="D499">
        <f t="shared" si="42"/>
        <v>57419.458834002427</v>
      </c>
      <c r="E499">
        <f t="shared" si="43"/>
        <v>57.419458834002427</v>
      </c>
      <c r="F499" s="7">
        <v>0.60510328068043739</v>
      </c>
      <c r="G499">
        <f t="shared" si="44"/>
        <v>4</v>
      </c>
      <c r="H499" s="7">
        <f t="shared" si="45"/>
        <v>0.39489671931956261</v>
      </c>
      <c r="I499">
        <f t="shared" si="46"/>
        <v>2</v>
      </c>
      <c r="J499">
        <f>VLOOKUP(A499,'Housing Cost Calc'!$A$2:$C$827,3,FALSE)</f>
        <v>1661</v>
      </c>
      <c r="K499">
        <f t="shared" si="47"/>
        <v>0.34712970837330059</v>
      </c>
    </row>
    <row r="500" spans="1:11" ht="60" x14ac:dyDescent="0.25">
      <c r="A500" s="4" t="s">
        <v>3678</v>
      </c>
      <c r="B500">
        <v>88063</v>
      </c>
      <c r="C500">
        <v>2.35</v>
      </c>
      <c r="D500">
        <f t="shared" si="42"/>
        <v>57445.967097305278</v>
      </c>
      <c r="E500">
        <f t="shared" si="43"/>
        <v>57.445967097305278</v>
      </c>
      <c r="F500" s="7">
        <v>0.60631834750911295</v>
      </c>
      <c r="G500">
        <f t="shared" si="44"/>
        <v>4</v>
      </c>
      <c r="H500" s="7">
        <f t="shared" si="45"/>
        <v>0.39368165249088705</v>
      </c>
      <c r="I500">
        <f t="shared" si="46"/>
        <v>2</v>
      </c>
      <c r="J500">
        <f>VLOOKUP(A500,'Housing Cost Calc'!$A$2:$C$827,3,FALSE)</f>
        <v>1618</v>
      </c>
      <c r="K500">
        <f t="shared" si="47"/>
        <v>0.3379871726610863</v>
      </c>
    </row>
    <row r="501" spans="1:11" ht="60" x14ac:dyDescent="0.25">
      <c r="A501" s="4" t="s">
        <v>3437</v>
      </c>
      <c r="B501">
        <v>92283</v>
      </c>
      <c r="C501">
        <v>2.58</v>
      </c>
      <c r="D501">
        <f t="shared" si="42"/>
        <v>57452.886289752721</v>
      </c>
      <c r="E501">
        <f t="shared" si="43"/>
        <v>57.452886289752719</v>
      </c>
      <c r="F501" s="7">
        <v>0.60753341433778862</v>
      </c>
      <c r="G501">
        <f t="shared" si="44"/>
        <v>4</v>
      </c>
      <c r="H501" s="7">
        <f t="shared" si="45"/>
        <v>0.39246658566221138</v>
      </c>
      <c r="I501">
        <f t="shared" si="46"/>
        <v>2</v>
      </c>
      <c r="J501">
        <f>VLOOKUP(A501,'Housing Cost Calc'!$A$2:$C$827,3,FALSE)</f>
        <v>1493</v>
      </c>
      <c r="K501">
        <f t="shared" si="47"/>
        <v>0.31183811914416371</v>
      </c>
    </row>
    <row r="502" spans="1:11" ht="60" x14ac:dyDescent="0.25">
      <c r="A502" s="4" t="s">
        <v>3070</v>
      </c>
      <c r="B502">
        <v>81919</v>
      </c>
      <c r="C502">
        <v>2.0299999999999998</v>
      </c>
      <c r="D502">
        <f t="shared" si="42"/>
        <v>57495.866465261075</v>
      </c>
      <c r="E502">
        <f t="shared" si="43"/>
        <v>57.495866465261074</v>
      </c>
      <c r="F502" s="7">
        <v>0.60874848116646418</v>
      </c>
      <c r="G502">
        <f t="shared" si="44"/>
        <v>4</v>
      </c>
      <c r="H502" s="7">
        <f t="shared" si="45"/>
        <v>0.39125151883353582</v>
      </c>
      <c r="I502">
        <f t="shared" si="46"/>
        <v>2</v>
      </c>
      <c r="J502">
        <f>VLOOKUP(A502,'Housing Cost Calc'!$A$2:$C$827,3,FALSE)</f>
        <v>1194</v>
      </c>
      <c r="K502">
        <f t="shared" si="47"/>
        <v>0.2492005231133782</v>
      </c>
    </row>
    <row r="503" spans="1:11" ht="60" x14ac:dyDescent="0.25">
      <c r="A503" s="4" t="s">
        <v>3815</v>
      </c>
      <c r="B503">
        <v>91829</v>
      </c>
      <c r="C503">
        <v>2.5499999999999998</v>
      </c>
      <c r="D503">
        <f t="shared" si="42"/>
        <v>57505.550426058195</v>
      </c>
      <c r="E503">
        <f t="shared" si="43"/>
        <v>57.505550426058193</v>
      </c>
      <c r="F503" s="7">
        <v>0.60996354799513974</v>
      </c>
      <c r="G503">
        <f t="shared" si="44"/>
        <v>4</v>
      </c>
      <c r="H503" s="7">
        <f t="shared" si="45"/>
        <v>0.39003645200486026</v>
      </c>
      <c r="I503">
        <f t="shared" si="46"/>
        <v>2</v>
      </c>
      <c r="J503">
        <f>VLOOKUP(A503,'Housing Cost Calc'!$A$2:$C$827,3,FALSE)</f>
        <v>1762</v>
      </c>
      <c r="K503">
        <f t="shared" si="47"/>
        <v>0.36768624669000227</v>
      </c>
    </row>
    <row r="504" spans="1:11" ht="60" x14ac:dyDescent="0.25">
      <c r="A504" s="4" t="s">
        <v>3399</v>
      </c>
      <c r="B504">
        <v>94576</v>
      </c>
      <c r="C504">
        <v>2.7</v>
      </c>
      <c r="D504">
        <f t="shared" si="42"/>
        <v>57557.120665120652</v>
      </c>
      <c r="E504">
        <f t="shared" si="43"/>
        <v>57.55712066512065</v>
      </c>
      <c r="F504" s="7">
        <v>0.6111786148238153</v>
      </c>
      <c r="G504">
        <f t="shared" si="44"/>
        <v>4</v>
      </c>
      <c r="H504" s="7">
        <f t="shared" si="45"/>
        <v>0.3888213851761847</v>
      </c>
      <c r="I504">
        <f t="shared" si="46"/>
        <v>2</v>
      </c>
      <c r="J504">
        <f>VLOOKUP(A504,'Housing Cost Calc'!$A$2:$C$827,3,FALSE)</f>
        <v>1475</v>
      </c>
      <c r="K504">
        <f t="shared" si="47"/>
        <v>0.30752059511423957</v>
      </c>
    </row>
    <row r="505" spans="1:11" ht="60" x14ac:dyDescent="0.25">
      <c r="A505" s="4" t="s">
        <v>3794</v>
      </c>
      <c r="B505">
        <v>90644</v>
      </c>
      <c r="C505">
        <v>2.48</v>
      </c>
      <c r="D505">
        <f t="shared" si="42"/>
        <v>57558.997559026335</v>
      </c>
      <c r="E505">
        <f t="shared" si="43"/>
        <v>57.558997559026338</v>
      </c>
      <c r="F505" s="7">
        <v>0.61239368165249086</v>
      </c>
      <c r="G505">
        <f t="shared" si="44"/>
        <v>4</v>
      </c>
      <c r="H505" s="7">
        <f t="shared" si="45"/>
        <v>0.38760631834750914</v>
      </c>
      <c r="I505">
        <f t="shared" si="46"/>
        <v>2</v>
      </c>
      <c r="J505">
        <f>VLOOKUP(A505,'Housing Cost Calc'!$A$2:$C$827,3,FALSE)</f>
        <v>1726</v>
      </c>
      <c r="K505">
        <f t="shared" si="47"/>
        <v>0.3598394843266684</v>
      </c>
    </row>
    <row r="506" spans="1:11" ht="60" x14ac:dyDescent="0.25">
      <c r="A506" s="4" t="s">
        <v>3302</v>
      </c>
      <c r="B506">
        <v>86983</v>
      </c>
      <c r="C506">
        <v>2.2799999999999998</v>
      </c>
      <c r="D506">
        <f t="shared" si="42"/>
        <v>57605.899007294356</v>
      </c>
      <c r="E506">
        <f t="shared" si="43"/>
        <v>57.605899007294354</v>
      </c>
      <c r="F506" s="7">
        <v>0.61360874848116642</v>
      </c>
      <c r="G506">
        <f t="shared" si="44"/>
        <v>4</v>
      </c>
      <c r="H506" s="7">
        <f t="shared" si="45"/>
        <v>0.38639125151883358</v>
      </c>
      <c r="I506">
        <f t="shared" si="46"/>
        <v>2</v>
      </c>
      <c r="J506">
        <f>VLOOKUP(A506,'Housing Cost Calc'!$A$2:$C$827,3,FALSE)</f>
        <v>1426</v>
      </c>
      <c r="K506">
        <f t="shared" si="47"/>
        <v>0.2970529111581644</v>
      </c>
    </row>
    <row r="507" spans="1:11" ht="75" x14ac:dyDescent="0.25">
      <c r="A507" s="4" t="s">
        <v>3699</v>
      </c>
      <c r="B507">
        <v>91383</v>
      </c>
      <c r="C507">
        <v>2.4900000000000002</v>
      </c>
      <c r="D507">
        <f t="shared" si="42"/>
        <v>57911.623185678363</v>
      </c>
      <c r="E507">
        <f t="shared" si="43"/>
        <v>57.911623185678366</v>
      </c>
      <c r="F507" s="7">
        <v>0.61482381530984209</v>
      </c>
      <c r="G507">
        <f t="shared" si="44"/>
        <v>4</v>
      </c>
      <c r="H507" s="7">
        <f t="shared" si="45"/>
        <v>0.38517618469015791</v>
      </c>
      <c r="I507">
        <f t="shared" si="46"/>
        <v>2</v>
      </c>
      <c r="J507">
        <f>VLOOKUP(A507,'Housing Cost Calc'!$A$2:$C$827,3,FALSE)</f>
        <v>1648</v>
      </c>
      <c r="K507">
        <f t="shared" si="47"/>
        <v>0.34148585227171868</v>
      </c>
    </row>
    <row r="508" spans="1:11" ht="60" x14ac:dyDescent="0.25">
      <c r="A508" s="4" t="s">
        <v>3348</v>
      </c>
      <c r="B508">
        <v>87500</v>
      </c>
      <c r="C508">
        <v>2.2799999999999998</v>
      </c>
      <c r="D508">
        <f t="shared" si="42"/>
        <v>57948.290621595668</v>
      </c>
      <c r="E508">
        <f t="shared" si="43"/>
        <v>57.948290621595667</v>
      </c>
      <c r="F508" s="7">
        <v>0.61603888213851765</v>
      </c>
      <c r="G508">
        <f t="shared" si="44"/>
        <v>4</v>
      </c>
      <c r="H508" s="7">
        <f t="shared" si="45"/>
        <v>0.38396111786148235</v>
      </c>
      <c r="I508">
        <f t="shared" si="46"/>
        <v>2</v>
      </c>
      <c r="J508">
        <f>VLOOKUP(A508,'Housing Cost Calc'!$A$2:$C$827,3,FALSE)</f>
        <v>1458</v>
      </c>
      <c r="K508">
        <f t="shared" si="47"/>
        <v>0.30192435035313608</v>
      </c>
    </row>
    <row r="509" spans="1:11" ht="60" x14ac:dyDescent="0.25">
      <c r="A509" s="4" t="s">
        <v>3210</v>
      </c>
      <c r="B509">
        <v>91125</v>
      </c>
      <c r="C509">
        <v>2.4700000000000002</v>
      </c>
      <c r="D509">
        <f t="shared" si="42"/>
        <v>57981.449026167749</v>
      </c>
      <c r="E509">
        <f t="shared" si="43"/>
        <v>57.981449026167752</v>
      </c>
      <c r="F509" s="7">
        <v>0.61725394896719321</v>
      </c>
      <c r="G509">
        <f t="shared" si="44"/>
        <v>4</v>
      </c>
      <c r="H509" s="7">
        <f t="shared" si="45"/>
        <v>0.38274605103280679</v>
      </c>
      <c r="I509">
        <f t="shared" si="46"/>
        <v>2</v>
      </c>
      <c r="J509">
        <f>VLOOKUP(A509,'Housing Cost Calc'!$A$2:$C$827,3,FALSE)</f>
        <v>1374</v>
      </c>
      <c r="K509">
        <f t="shared" si="47"/>
        <v>0.28436681519564577</v>
      </c>
    </row>
    <row r="510" spans="1:11" ht="60" x14ac:dyDescent="0.25">
      <c r="A510" s="4" t="s">
        <v>3597</v>
      </c>
      <c r="B510">
        <v>91836</v>
      </c>
      <c r="C510">
        <v>2.5</v>
      </c>
      <c r="D510">
        <f t="shared" si="42"/>
        <v>58082.186239844654</v>
      </c>
      <c r="E510">
        <f t="shared" si="43"/>
        <v>58.082186239844653</v>
      </c>
      <c r="F510" s="7">
        <v>0.61846901579586877</v>
      </c>
      <c r="G510">
        <f t="shared" si="44"/>
        <v>4</v>
      </c>
      <c r="H510" s="7">
        <f t="shared" si="45"/>
        <v>0.38153098420413123</v>
      </c>
      <c r="I510">
        <f t="shared" si="46"/>
        <v>2</v>
      </c>
      <c r="J510">
        <f>VLOOKUP(A510,'Housing Cost Calc'!$A$2:$C$827,3,FALSE)</f>
        <v>1586</v>
      </c>
      <c r="K510">
        <f t="shared" si="47"/>
        <v>0.32767361616536322</v>
      </c>
    </row>
    <row r="511" spans="1:11" ht="60" x14ac:dyDescent="0.25">
      <c r="A511" s="4" t="s">
        <v>3126</v>
      </c>
      <c r="B511">
        <v>82364</v>
      </c>
      <c r="C511">
        <v>2.0099999999999998</v>
      </c>
      <c r="D511">
        <f t="shared" si="42"/>
        <v>58095.086304577591</v>
      </c>
      <c r="E511">
        <f t="shared" si="43"/>
        <v>58.095086304577592</v>
      </c>
      <c r="F511" s="7">
        <v>0.61968408262454433</v>
      </c>
      <c r="G511">
        <f t="shared" si="44"/>
        <v>4</v>
      </c>
      <c r="H511" s="7">
        <f t="shared" si="45"/>
        <v>0.38031591737545567</v>
      </c>
      <c r="I511">
        <f t="shared" si="46"/>
        <v>2</v>
      </c>
      <c r="J511">
        <f>VLOOKUP(A511,'Housing Cost Calc'!$A$2:$C$827,3,FALSE)</f>
        <v>1283</v>
      </c>
      <c r="K511">
        <f t="shared" si="47"/>
        <v>0.26501380717953893</v>
      </c>
    </row>
    <row r="512" spans="1:11" ht="60" x14ac:dyDescent="0.25">
      <c r="A512" s="4" t="s">
        <v>3705</v>
      </c>
      <c r="B512">
        <v>88167</v>
      </c>
      <c r="C512">
        <v>2.2999999999999998</v>
      </c>
      <c r="D512">
        <f t="shared" si="42"/>
        <v>58135.598197886357</v>
      </c>
      <c r="E512">
        <f t="shared" si="43"/>
        <v>58.13559819788636</v>
      </c>
      <c r="F512" s="7">
        <v>0.62089914945321989</v>
      </c>
      <c r="G512">
        <f t="shared" si="44"/>
        <v>4</v>
      </c>
      <c r="H512" s="7">
        <f t="shared" si="45"/>
        <v>0.37910085054678011</v>
      </c>
      <c r="I512">
        <f t="shared" si="46"/>
        <v>2</v>
      </c>
      <c r="J512">
        <f>VLOOKUP(A512,'Housing Cost Calc'!$A$2:$C$827,3,FALSE)</f>
        <v>1657</v>
      </c>
      <c r="K512">
        <f t="shared" si="47"/>
        <v>0.34202795905388872</v>
      </c>
    </row>
    <row r="513" spans="1:11" ht="60" x14ac:dyDescent="0.25">
      <c r="A513" s="4" t="s">
        <v>3803</v>
      </c>
      <c r="B513">
        <v>99391</v>
      </c>
      <c r="C513">
        <v>2.92</v>
      </c>
      <c r="D513">
        <f t="shared" si="42"/>
        <v>58164.183304853068</v>
      </c>
      <c r="E513">
        <f t="shared" si="43"/>
        <v>58.164183304853069</v>
      </c>
      <c r="F513" s="7">
        <v>0.62211421628189545</v>
      </c>
      <c r="G513">
        <f t="shared" si="44"/>
        <v>4</v>
      </c>
      <c r="H513" s="7">
        <f t="shared" si="45"/>
        <v>0.37788578371810455</v>
      </c>
      <c r="I513">
        <f t="shared" si="46"/>
        <v>2</v>
      </c>
      <c r="J513">
        <f>VLOOKUP(A513,'Housing Cost Calc'!$A$2:$C$827,3,FALSE)</f>
        <v>1752</v>
      </c>
      <c r="K513">
        <f t="shared" si="47"/>
        <v>0.36145955819250386</v>
      </c>
    </row>
    <row r="514" spans="1:11" ht="60" x14ac:dyDescent="0.25">
      <c r="A514" s="4" t="s">
        <v>3066</v>
      </c>
      <c r="B514">
        <v>90543</v>
      </c>
      <c r="C514">
        <v>2.4</v>
      </c>
      <c r="D514">
        <f t="shared" ref="D514:D577" si="48">(B514/(C514)^0.5)</f>
        <v>58445.255185943024</v>
      </c>
      <c r="E514">
        <f t="shared" ref="E514:E577" si="49">D514/1000</f>
        <v>58.445255185943026</v>
      </c>
      <c r="F514" s="7">
        <v>0.62332928311057112</v>
      </c>
      <c r="G514">
        <f t="shared" si="44"/>
        <v>4</v>
      </c>
      <c r="H514" s="7">
        <f t="shared" si="45"/>
        <v>0.37667071688942888</v>
      </c>
      <c r="I514">
        <f t="shared" si="46"/>
        <v>2</v>
      </c>
      <c r="J514">
        <f>VLOOKUP(A514,'Housing Cost Calc'!$A$2:$C$827,3,FALSE)</f>
        <v>1204</v>
      </c>
      <c r="K514">
        <f t="shared" si="47"/>
        <v>0.24720569623716801</v>
      </c>
    </row>
    <row r="515" spans="1:11" ht="60" x14ac:dyDescent="0.25">
      <c r="A515" s="4" t="s">
        <v>3646</v>
      </c>
      <c r="B515">
        <v>90141</v>
      </c>
      <c r="C515">
        <v>2.37</v>
      </c>
      <c r="D515">
        <f t="shared" si="48"/>
        <v>58552.871563693865</v>
      </c>
      <c r="E515">
        <f t="shared" si="49"/>
        <v>58.552871563693863</v>
      </c>
      <c r="F515" s="7">
        <v>0.62454434993924668</v>
      </c>
      <c r="G515">
        <f t="shared" ref="G515:G578" si="50">IF(F515&lt;0.2,1,IF(F515&lt;0.4,2,IF(F515&lt;0.6,3,IF(F515&lt;0.8,4,5))))</f>
        <v>4</v>
      </c>
      <c r="H515" s="7">
        <f t="shared" ref="H515:H578" si="51">1-F515</f>
        <v>0.37545565006075332</v>
      </c>
      <c r="I515">
        <f t="shared" ref="I515:I578" si="52">6-G515</f>
        <v>2</v>
      </c>
      <c r="J515">
        <f>VLOOKUP(A515,'Housing Cost Calc'!$A$2:$C$827,3,FALSE)</f>
        <v>1623</v>
      </c>
      <c r="K515">
        <f t="shared" ref="K515:K578" si="53">(J515*12)/D515</f>
        <v>0.33262245693303</v>
      </c>
    </row>
    <row r="516" spans="1:11" ht="60" x14ac:dyDescent="0.25">
      <c r="A516" s="4" t="s">
        <v>3170</v>
      </c>
      <c r="B516">
        <v>89076</v>
      </c>
      <c r="C516">
        <v>2.31</v>
      </c>
      <c r="D516">
        <f t="shared" si="48"/>
        <v>58607.705180236386</v>
      </c>
      <c r="E516">
        <f t="shared" si="49"/>
        <v>58.607705180236387</v>
      </c>
      <c r="F516" s="7">
        <v>0.62575941676792224</v>
      </c>
      <c r="G516">
        <f t="shared" si="50"/>
        <v>4</v>
      </c>
      <c r="H516" s="7">
        <f t="shared" si="51"/>
        <v>0.37424058323207776</v>
      </c>
      <c r="I516">
        <f t="shared" si="52"/>
        <v>2</v>
      </c>
      <c r="J516">
        <f>VLOOKUP(A516,'Housing Cost Calc'!$A$2:$C$827,3,FALSE)</f>
        <v>1346</v>
      </c>
      <c r="K516">
        <f t="shared" si="53"/>
        <v>0.27559516193865163</v>
      </c>
    </row>
    <row r="517" spans="1:11" ht="60" x14ac:dyDescent="0.25">
      <c r="A517" s="4" t="s">
        <v>3731</v>
      </c>
      <c r="B517">
        <v>95057</v>
      </c>
      <c r="C517">
        <v>2.63</v>
      </c>
      <c r="D517">
        <f t="shared" si="48"/>
        <v>58614.657223640461</v>
      </c>
      <c r="E517">
        <f t="shared" si="49"/>
        <v>58.614657223640464</v>
      </c>
      <c r="F517" s="7">
        <v>0.6269744835965978</v>
      </c>
      <c r="G517">
        <f t="shared" si="50"/>
        <v>4</v>
      </c>
      <c r="H517" s="7">
        <f t="shared" si="51"/>
        <v>0.3730255164034022</v>
      </c>
      <c r="I517">
        <f t="shared" si="52"/>
        <v>2</v>
      </c>
      <c r="J517">
        <f>VLOOKUP(A517,'Housing Cost Calc'!$A$2:$C$827,3,FALSE)</f>
        <v>1694</v>
      </c>
      <c r="K517">
        <f t="shared" si="53"/>
        <v>0.34680745333781993</v>
      </c>
    </row>
    <row r="518" spans="1:11" ht="60" x14ac:dyDescent="0.25">
      <c r="A518" s="4" t="s">
        <v>3648</v>
      </c>
      <c r="B518">
        <v>98611</v>
      </c>
      <c r="C518">
        <v>2.83</v>
      </c>
      <c r="D518">
        <f t="shared" si="48"/>
        <v>58618.155031468588</v>
      </c>
      <c r="E518">
        <f t="shared" si="49"/>
        <v>58.618155031468589</v>
      </c>
      <c r="F518" s="7">
        <v>0.62818955042527336</v>
      </c>
      <c r="G518">
        <f t="shared" si="50"/>
        <v>4</v>
      </c>
      <c r="H518" s="7">
        <f t="shared" si="51"/>
        <v>0.37181044957472664</v>
      </c>
      <c r="I518">
        <f t="shared" si="52"/>
        <v>2</v>
      </c>
      <c r="J518">
        <f>VLOOKUP(A518,'Housing Cost Calc'!$A$2:$C$827,3,FALSE)</f>
        <v>1627</v>
      </c>
      <c r="K518">
        <f t="shared" si="53"/>
        <v>0.33307087180616191</v>
      </c>
    </row>
    <row r="519" spans="1:11" ht="60" x14ac:dyDescent="0.25">
      <c r="A519" s="4" t="s">
        <v>3367</v>
      </c>
      <c r="B519">
        <v>88896</v>
      </c>
      <c r="C519">
        <v>2.29</v>
      </c>
      <c r="D519">
        <f t="shared" si="48"/>
        <v>58744.13030605566</v>
      </c>
      <c r="E519">
        <f t="shared" si="49"/>
        <v>58.744130306055659</v>
      </c>
      <c r="F519" s="7">
        <v>0.62940461725394892</v>
      </c>
      <c r="G519">
        <f t="shared" si="50"/>
        <v>4</v>
      </c>
      <c r="H519" s="7">
        <f t="shared" si="51"/>
        <v>0.37059538274605108</v>
      </c>
      <c r="I519">
        <f t="shared" si="52"/>
        <v>2</v>
      </c>
      <c r="J519">
        <f>VLOOKUP(A519,'Housing Cost Calc'!$A$2:$C$827,3,FALSE)</f>
        <v>1484</v>
      </c>
      <c r="K519">
        <f t="shared" si="53"/>
        <v>0.30314518075628494</v>
      </c>
    </row>
    <row r="520" spans="1:11" ht="60" x14ac:dyDescent="0.25">
      <c r="A520" s="4" t="s">
        <v>3369</v>
      </c>
      <c r="B520">
        <v>93839</v>
      </c>
      <c r="C520">
        <v>2.5499999999999998</v>
      </c>
      <c r="D520">
        <f t="shared" si="48"/>
        <v>58764.261251139345</v>
      </c>
      <c r="E520">
        <f t="shared" si="49"/>
        <v>58.764261251139345</v>
      </c>
      <c r="F520" s="7">
        <v>0.63061968408262459</v>
      </c>
      <c r="G520">
        <f t="shared" si="50"/>
        <v>4</v>
      </c>
      <c r="H520" s="7">
        <f t="shared" si="51"/>
        <v>0.36938031591737541</v>
      </c>
      <c r="I520">
        <f t="shared" si="52"/>
        <v>2</v>
      </c>
      <c r="J520">
        <f>VLOOKUP(A520,'Housing Cost Calc'!$A$2:$C$827,3,FALSE)</f>
        <v>1487</v>
      </c>
      <c r="K520">
        <f t="shared" si="53"/>
        <v>0.30365394918759459</v>
      </c>
    </row>
    <row r="521" spans="1:11" ht="60" x14ac:dyDescent="0.25">
      <c r="A521" s="4" t="s">
        <v>3632</v>
      </c>
      <c r="B521">
        <v>98409</v>
      </c>
      <c r="C521">
        <v>2.8</v>
      </c>
      <c r="D521">
        <f t="shared" si="48"/>
        <v>58810.626107994169</v>
      </c>
      <c r="E521">
        <f t="shared" si="49"/>
        <v>58.810626107994167</v>
      </c>
      <c r="F521" s="7">
        <v>0.63183475091130015</v>
      </c>
      <c r="G521">
        <f t="shared" si="50"/>
        <v>4</v>
      </c>
      <c r="H521" s="7">
        <f t="shared" si="51"/>
        <v>0.36816524908869985</v>
      </c>
      <c r="I521">
        <f t="shared" si="52"/>
        <v>2</v>
      </c>
      <c r="J521">
        <f>VLOOKUP(A521,'Housing Cost Calc'!$A$2:$C$827,3,FALSE)</f>
        <v>1623</v>
      </c>
      <c r="K521">
        <f t="shared" si="53"/>
        <v>0.33116464300577503</v>
      </c>
    </row>
    <row r="522" spans="1:11" ht="60" x14ac:dyDescent="0.25">
      <c r="A522" s="4" t="s">
        <v>3409</v>
      </c>
      <c r="B522">
        <v>88438</v>
      </c>
      <c r="C522">
        <v>2.2599999999999998</v>
      </c>
      <c r="D522">
        <f t="shared" si="48"/>
        <v>58828.082527015191</v>
      </c>
      <c r="E522">
        <f t="shared" si="49"/>
        <v>58.828082527015191</v>
      </c>
      <c r="F522" s="7">
        <v>0.63304981773997571</v>
      </c>
      <c r="G522">
        <f t="shared" si="50"/>
        <v>4</v>
      </c>
      <c r="H522" s="7">
        <f t="shared" si="51"/>
        <v>0.36695018226002429</v>
      </c>
      <c r="I522">
        <f t="shared" si="52"/>
        <v>2</v>
      </c>
      <c r="J522">
        <f>VLOOKUP(A522,'Housing Cost Calc'!$A$2:$C$827,3,FALSE)</f>
        <v>1515</v>
      </c>
      <c r="K522">
        <f t="shared" si="53"/>
        <v>0.30903607969291419</v>
      </c>
    </row>
    <row r="523" spans="1:11" ht="60" x14ac:dyDescent="0.25">
      <c r="A523" s="4" t="s">
        <v>3584</v>
      </c>
      <c r="B523">
        <v>91932</v>
      </c>
      <c r="C523">
        <v>2.44</v>
      </c>
      <c r="D523">
        <f t="shared" si="48"/>
        <v>58853.432229954968</v>
      </c>
      <c r="E523">
        <f t="shared" si="49"/>
        <v>58.853432229954969</v>
      </c>
      <c r="F523" s="7">
        <v>0.63426488456865127</v>
      </c>
      <c r="G523">
        <f t="shared" si="50"/>
        <v>4</v>
      </c>
      <c r="H523" s="7">
        <f t="shared" si="51"/>
        <v>0.36573511543134873</v>
      </c>
      <c r="I523">
        <f t="shared" si="52"/>
        <v>2</v>
      </c>
      <c r="J523">
        <f>VLOOKUP(A523,'Housing Cost Calc'!$A$2:$C$827,3,FALSE)</f>
        <v>1596</v>
      </c>
      <c r="K523">
        <f t="shared" si="53"/>
        <v>0.32541857414820569</v>
      </c>
    </row>
    <row r="524" spans="1:11" ht="60" x14ac:dyDescent="0.25">
      <c r="A524" s="4" t="s">
        <v>3541</v>
      </c>
      <c r="B524">
        <v>92750</v>
      </c>
      <c r="C524">
        <v>2.46</v>
      </c>
      <c r="D524">
        <f t="shared" si="48"/>
        <v>59135.240136624627</v>
      </c>
      <c r="E524">
        <f t="shared" si="49"/>
        <v>59.135240136624624</v>
      </c>
      <c r="F524" s="7">
        <v>0.63547995139732683</v>
      </c>
      <c r="G524">
        <f t="shared" si="50"/>
        <v>4</v>
      </c>
      <c r="H524" s="7">
        <f t="shared" si="51"/>
        <v>0.36452004860267317</v>
      </c>
      <c r="I524">
        <f t="shared" si="52"/>
        <v>2</v>
      </c>
      <c r="J524">
        <f>VLOOKUP(A524,'Housing Cost Calc'!$A$2:$C$827,3,FALSE)</f>
        <v>1582</v>
      </c>
      <c r="K524">
        <f t="shared" si="53"/>
        <v>0.32102685228198663</v>
      </c>
    </row>
    <row r="525" spans="1:11" ht="60" x14ac:dyDescent="0.25">
      <c r="A525" s="4" t="s">
        <v>3802</v>
      </c>
      <c r="B525">
        <v>100286</v>
      </c>
      <c r="C525">
        <v>2.87</v>
      </c>
      <c r="D525">
        <f t="shared" si="48"/>
        <v>59196.954072220404</v>
      </c>
      <c r="E525">
        <f t="shared" si="49"/>
        <v>59.196954072220407</v>
      </c>
      <c r="F525" s="7">
        <v>0.63669501822600238</v>
      </c>
      <c r="G525">
        <f t="shared" si="50"/>
        <v>4</v>
      </c>
      <c r="H525" s="7">
        <f t="shared" si="51"/>
        <v>0.36330498177399762</v>
      </c>
      <c r="I525">
        <f t="shared" si="52"/>
        <v>2</v>
      </c>
      <c r="J525">
        <f>VLOOKUP(A525,'Housing Cost Calc'!$A$2:$C$827,3,FALSE)</f>
        <v>1782</v>
      </c>
      <c r="K525">
        <f t="shared" si="53"/>
        <v>0.36123480228241939</v>
      </c>
    </row>
    <row r="526" spans="1:11" ht="60" x14ac:dyDescent="0.25">
      <c r="A526" s="4" t="s">
        <v>3236</v>
      </c>
      <c r="B526">
        <v>91591</v>
      </c>
      <c r="C526">
        <v>2.39</v>
      </c>
      <c r="D526">
        <f t="shared" si="48"/>
        <v>59245.292809502447</v>
      </c>
      <c r="E526">
        <f t="shared" si="49"/>
        <v>59.245292809502445</v>
      </c>
      <c r="F526" s="7">
        <v>0.63791008505467806</v>
      </c>
      <c r="G526">
        <f t="shared" si="50"/>
        <v>4</v>
      </c>
      <c r="H526" s="7">
        <f t="shared" si="51"/>
        <v>0.36208991494532194</v>
      </c>
      <c r="I526">
        <f t="shared" si="52"/>
        <v>2</v>
      </c>
      <c r="J526">
        <f>VLOOKUP(A526,'Housing Cost Calc'!$A$2:$C$827,3,FALSE)</f>
        <v>1429</v>
      </c>
      <c r="K526">
        <f t="shared" si="53"/>
        <v>0.28944071649941455</v>
      </c>
    </row>
    <row r="527" spans="1:11" ht="60" x14ac:dyDescent="0.25">
      <c r="A527" s="4" t="s">
        <v>3354</v>
      </c>
      <c r="B527">
        <v>94167</v>
      </c>
      <c r="C527">
        <v>2.5099999999999998</v>
      </c>
      <c r="D527">
        <f t="shared" si="48"/>
        <v>59437.683356510839</v>
      </c>
      <c r="E527">
        <f t="shared" si="49"/>
        <v>59.437683356510838</v>
      </c>
      <c r="F527" s="7">
        <v>0.63912515188335361</v>
      </c>
      <c r="G527">
        <f t="shared" si="50"/>
        <v>4</v>
      </c>
      <c r="H527" s="7">
        <f t="shared" si="51"/>
        <v>0.36087484811664639</v>
      </c>
      <c r="I527">
        <f t="shared" si="52"/>
        <v>2</v>
      </c>
      <c r="J527">
        <f>VLOOKUP(A527,'Housing Cost Calc'!$A$2:$C$827,3,FALSE)</f>
        <v>1496</v>
      </c>
      <c r="K527">
        <f t="shared" si="53"/>
        <v>0.30203061401843023</v>
      </c>
    </row>
    <row r="528" spans="1:11" ht="60" x14ac:dyDescent="0.25">
      <c r="A528" s="4" t="s">
        <v>3722</v>
      </c>
      <c r="B528">
        <v>91375</v>
      </c>
      <c r="C528">
        <v>2.36</v>
      </c>
      <c r="D528">
        <f t="shared" si="48"/>
        <v>59480.058704363903</v>
      </c>
      <c r="E528">
        <f t="shared" si="49"/>
        <v>59.480058704363906</v>
      </c>
      <c r="F528" s="7">
        <v>0.64034021871202917</v>
      </c>
      <c r="G528">
        <f t="shared" si="50"/>
        <v>4</v>
      </c>
      <c r="H528" s="7">
        <f t="shared" si="51"/>
        <v>0.35965978128797083</v>
      </c>
      <c r="I528">
        <f t="shared" si="52"/>
        <v>2</v>
      </c>
      <c r="J528">
        <f>VLOOKUP(A528,'Housing Cost Calc'!$A$2:$C$827,3,FALSE)</f>
        <v>1709</v>
      </c>
      <c r="K528">
        <f t="shared" si="53"/>
        <v>0.34478782379707673</v>
      </c>
    </row>
    <row r="529" spans="1:11" ht="60" x14ac:dyDescent="0.25">
      <c r="A529" s="4" t="s">
        <v>3504</v>
      </c>
      <c r="B529">
        <v>90375</v>
      </c>
      <c r="C529">
        <v>2.2999999999999998</v>
      </c>
      <c r="D529">
        <f t="shared" si="48"/>
        <v>59591.510283144256</v>
      </c>
      <c r="E529">
        <f t="shared" si="49"/>
        <v>59.59151028314426</v>
      </c>
      <c r="F529" s="7">
        <v>0.64155528554070473</v>
      </c>
      <c r="G529">
        <f t="shared" si="50"/>
        <v>4</v>
      </c>
      <c r="H529" s="7">
        <f t="shared" si="51"/>
        <v>0.35844471445929527</v>
      </c>
      <c r="I529">
        <f t="shared" si="52"/>
        <v>2</v>
      </c>
      <c r="J529">
        <f>VLOOKUP(A529,'Housing Cost Calc'!$A$2:$C$827,3,FALSE)</f>
        <v>1581</v>
      </c>
      <c r="K529">
        <f t="shared" si="53"/>
        <v>0.31836749748170623</v>
      </c>
    </row>
    <row r="530" spans="1:11" ht="60" x14ac:dyDescent="0.25">
      <c r="A530" s="4" t="s">
        <v>3148</v>
      </c>
      <c r="B530">
        <v>89079</v>
      </c>
      <c r="C530">
        <v>2.23</v>
      </c>
      <c r="D530">
        <f t="shared" si="48"/>
        <v>59651.710499120236</v>
      </c>
      <c r="E530">
        <f t="shared" si="49"/>
        <v>59.651710499120234</v>
      </c>
      <c r="F530" s="7">
        <v>0.64277035236938029</v>
      </c>
      <c r="G530">
        <f t="shared" si="50"/>
        <v>4</v>
      </c>
      <c r="H530" s="7">
        <f t="shared" si="51"/>
        <v>0.35722964763061971</v>
      </c>
      <c r="I530">
        <f t="shared" si="52"/>
        <v>2</v>
      </c>
      <c r="J530">
        <f>VLOOKUP(A530,'Housing Cost Calc'!$A$2:$C$827,3,FALSE)</f>
        <v>1336</v>
      </c>
      <c r="K530">
        <f t="shared" si="53"/>
        <v>0.2687601053826687</v>
      </c>
    </row>
    <row r="531" spans="1:11" ht="60" x14ac:dyDescent="0.25">
      <c r="A531" s="4" t="s">
        <v>3441</v>
      </c>
      <c r="B531">
        <v>89691</v>
      </c>
      <c r="C531">
        <v>2.2599999999999998</v>
      </c>
      <c r="D531">
        <f t="shared" si="48"/>
        <v>59661.565728878079</v>
      </c>
      <c r="E531">
        <f t="shared" si="49"/>
        <v>59.661565728878081</v>
      </c>
      <c r="F531" s="7">
        <v>0.64398541919805585</v>
      </c>
      <c r="G531">
        <f t="shared" si="50"/>
        <v>4</v>
      </c>
      <c r="H531" s="7">
        <f t="shared" si="51"/>
        <v>0.35601458080194415</v>
      </c>
      <c r="I531">
        <f t="shared" si="52"/>
        <v>2</v>
      </c>
      <c r="J531">
        <f>VLOOKUP(A531,'Housing Cost Calc'!$A$2:$C$827,3,FALSE)</f>
        <v>1552</v>
      </c>
      <c r="K531">
        <f t="shared" si="53"/>
        <v>0.31216076501635287</v>
      </c>
    </row>
    <row r="532" spans="1:11" ht="45" x14ac:dyDescent="0.25">
      <c r="A532" s="4" t="s">
        <v>3857</v>
      </c>
      <c r="B532">
        <v>95279</v>
      </c>
      <c r="C532">
        <v>2.5499999999999998</v>
      </c>
      <c r="D532">
        <f t="shared" si="48"/>
        <v>59666.024230301962</v>
      </c>
      <c r="E532">
        <f t="shared" si="49"/>
        <v>59.666024230301964</v>
      </c>
      <c r="F532" s="7">
        <v>0.64520048602673152</v>
      </c>
      <c r="G532">
        <f t="shared" si="50"/>
        <v>4</v>
      </c>
      <c r="H532" s="7">
        <f t="shared" si="51"/>
        <v>0.35479951397326848</v>
      </c>
      <c r="I532">
        <f t="shared" si="52"/>
        <v>2</v>
      </c>
      <c r="J532">
        <f>VLOOKUP(A532,'Housing Cost Calc'!$A$2:$C$827,3,FALSE)</f>
        <v>2131</v>
      </c>
      <c r="K532">
        <f t="shared" si="53"/>
        <v>0.4285856202064996</v>
      </c>
    </row>
    <row r="533" spans="1:11" ht="60" x14ac:dyDescent="0.25">
      <c r="A533" s="4" t="s">
        <v>3084</v>
      </c>
      <c r="B533">
        <v>92500</v>
      </c>
      <c r="C533">
        <v>2.4</v>
      </c>
      <c r="D533">
        <f t="shared" si="48"/>
        <v>59708.493254031011</v>
      </c>
      <c r="E533">
        <f t="shared" si="49"/>
        <v>59.708493254031012</v>
      </c>
      <c r="F533" s="7">
        <v>0.64641555285540708</v>
      </c>
      <c r="G533">
        <f t="shared" si="50"/>
        <v>4</v>
      </c>
      <c r="H533" s="7">
        <f t="shared" si="51"/>
        <v>0.35358444714459292</v>
      </c>
      <c r="I533">
        <f t="shared" si="52"/>
        <v>2</v>
      </c>
      <c r="J533">
        <f>VLOOKUP(A533,'Housing Cost Calc'!$A$2:$C$827,3,FALSE)</f>
        <v>1268</v>
      </c>
      <c r="K533">
        <f t="shared" si="53"/>
        <v>0.25483811717142513</v>
      </c>
    </row>
    <row r="534" spans="1:11" ht="60" x14ac:dyDescent="0.25">
      <c r="A534" s="4" t="s">
        <v>3068</v>
      </c>
      <c r="B534">
        <v>93472</v>
      </c>
      <c r="C534">
        <v>2.4500000000000002</v>
      </c>
      <c r="D534">
        <f t="shared" si="48"/>
        <v>59717.070283674388</v>
      </c>
      <c r="E534">
        <f t="shared" si="49"/>
        <v>59.717070283674389</v>
      </c>
      <c r="F534" s="7">
        <v>0.64763061968408264</v>
      </c>
      <c r="G534">
        <f t="shared" si="50"/>
        <v>4</v>
      </c>
      <c r="H534" s="7">
        <f t="shared" si="51"/>
        <v>0.35236938031591736</v>
      </c>
      <c r="I534">
        <f t="shared" si="52"/>
        <v>2</v>
      </c>
      <c r="J534">
        <f>VLOOKUP(A534,'Housing Cost Calc'!$A$2:$C$827,3,FALSE)</f>
        <v>1240</v>
      </c>
      <c r="K534">
        <f t="shared" si="53"/>
        <v>0.2491749834564127</v>
      </c>
    </row>
    <row r="535" spans="1:11" ht="60" x14ac:dyDescent="0.25">
      <c r="A535" s="4" t="s">
        <v>3796</v>
      </c>
      <c r="B535">
        <v>96875</v>
      </c>
      <c r="C535">
        <v>2.63</v>
      </c>
      <c r="D535">
        <f t="shared" si="48"/>
        <v>59735.684047888841</v>
      </c>
      <c r="E535">
        <f t="shared" si="49"/>
        <v>59.735684047888839</v>
      </c>
      <c r="F535" s="7">
        <v>0.6488456865127582</v>
      </c>
      <c r="G535">
        <f t="shared" si="50"/>
        <v>4</v>
      </c>
      <c r="H535" s="7">
        <f t="shared" si="51"/>
        <v>0.3511543134872418</v>
      </c>
      <c r="I535">
        <f t="shared" si="52"/>
        <v>2</v>
      </c>
      <c r="J535">
        <f>VLOOKUP(A535,'Housing Cost Calc'!$A$2:$C$827,3,FALSE)</f>
        <v>1792</v>
      </c>
      <c r="K535">
        <f t="shared" si="53"/>
        <v>0.35998583330460726</v>
      </c>
    </row>
    <row r="536" spans="1:11" ht="60" x14ac:dyDescent="0.25">
      <c r="A536" s="4" t="s">
        <v>3188</v>
      </c>
      <c r="B536">
        <v>84837</v>
      </c>
      <c r="C536">
        <v>2.0099999999999998</v>
      </c>
      <c r="D536">
        <f t="shared" si="48"/>
        <v>59839.406012595908</v>
      </c>
      <c r="E536">
        <f t="shared" si="49"/>
        <v>59.839406012595909</v>
      </c>
      <c r="F536" s="7">
        <v>0.65006075334143376</v>
      </c>
      <c r="G536">
        <f t="shared" si="50"/>
        <v>4</v>
      </c>
      <c r="H536" s="7">
        <f t="shared" si="51"/>
        <v>0.34993924665856624</v>
      </c>
      <c r="I536">
        <f t="shared" si="52"/>
        <v>2</v>
      </c>
      <c r="J536">
        <f>VLOOKUP(A536,'Housing Cost Calc'!$A$2:$C$827,3,FALSE)</f>
        <v>1408</v>
      </c>
      <c r="K536">
        <f t="shared" si="53"/>
        <v>0.28235574391302404</v>
      </c>
    </row>
    <row r="537" spans="1:11" ht="45" x14ac:dyDescent="0.25">
      <c r="A537" s="4" t="s">
        <v>3314</v>
      </c>
      <c r="B537">
        <v>88021</v>
      </c>
      <c r="C537">
        <v>2.16</v>
      </c>
      <c r="D537">
        <f t="shared" si="48"/>
        <v>59890.704624866143</v>
      </c>
      <c r="E537">
        <f t="shared" si="49"/>
        <v>59.890704624866146</v>
      </c>
      <c r="F537" s="7">
        <v>0.65127582017010932</v>
      </c>
      <c r="G537">
        <f t="shared" si="50"/>
        <v>4</v>
      </c>
      <c r="H537" s="7">
        <f t="shared" si="51"/>
        <v>0.34872417982989068</v>
      </c>
      <c r="I537">
        <f t="shared" si="52"/>
        <v>2</v>
      </c>
      <c r="J537">
        <f>VLOOKUP(A537,'Housing Cost Calc'!$A$2:$C$827,3,FALSE)</f>
        <v>1489</v>
      </c>
      <c r="K537">
        <f t="shared" si="53"/>
        <v>0.29834345933845213</v>
      </c>
    </row>
    <row r="538" spans="1:11" ht="60" x14ac:dyDescent="0.25">
      <c r="A538" s="4" t="s">
        <v>3494</v>
      </c>
      <c r="B538">
        <v>93571</v>
      </c>
      <c r="C538">
        <v>2.44</v>
      </c>
      <c r="D538">
        <f t="shared" si="48"/>
        <v>59902.694461005049</v>
      </c>
      <c r="E538">
        <f t="shared" si="49"/>
        <v>59.902694461005048</v>
      </c>
      <c r="F538" s="7">
        <v>0.65249088699878488</v>
      </c>
      <c r="G538">
        <f t="shared" si="50"/>
        <v>4</v>
      </c>
      <c r="H538" s="7">
        <f t="shared" si="51"/>
        <v>0.34750911300121512</v>
      </c>
      <c r="I538">
        <f t="shared" si="52"/>
        <v>2</v>
      </c>
      <c r="J538">
        <f>VLOOKUP(A538,'Housing Cost Calc'!$A$2:$C$827,3,FALSE)</f>
        <v>1586</v>
      </c>
      <c r="K538">
        <f t="shared" si="53"/>
        <v>0.3177152575730845</v>
      </c>
    </row>
    <row r="539" spans="1:11" ht="60" x14ac:dyDescent="0.25">
      <c r="A539" s="4" t="s">
        <v>3851</v>
      </c>
      <c r="B539">
        <v>105528</v>
      </c>
      <c r="C539">
        <v>3.09</v>
      </c>
      <c r="D539">
        <f t="shared" si="48"/>
        <v>60032.781724266271</v>
      </c>
      <c r="E539">
        <f t="shared" si="49"/>
        <v>60.032781724266272</v>
      </c>
      <c r="F539" s="7">
        <v>0.65370595382746055</v>
      </c>
      <c r="G539">
        <f t="shared" si="50"/>
        <v>4</v>
      </c>
      <c r="H539" s="7">
        <f t="shared" si="51"/>
        <v>0.34629404617253945</v>
      </c>
      <c r="I539">
        <f t="shared" si="52"/>
        <v>2</v>
      </c>
      <c r="J539">
        <f>VLOOKUP(A539,'Housing Cost Calc'!$A$2:$C$827,3,FALSE)</f>
        <v>1936</v>
      </c>
      <c r="K539">
        <f t="shared" si="53"/>
        <v>0.38698856412661004</v>
      </c>
    </row>
    <row r="540" spans="1:11" ht="60" x14ac:dyDescent="0.25">
      <c r="A540" s="4" t="s">
        <v>3090</v>
      </c>
      <c r="B540">
        <v>92813</v>
      </c>
      <c r="C540">
        <v>2.39</v>
      </c>
      <c r="D540">
        <f t="shared" si="48"/>
        <v>60035.738899327996</v>
      </c>
      <c r="E540">
        <f t="shared" si="49"/>
        <v>60.035738899327995</v>
      </c>
      <c r="F540" s="7">
        <v>0.65492102065613611</v>
      </c>
      <c r="G540">
        <f t="shared" si="50"/>
        <v>4</v>
      </c>
      <c r="H540" s="7">
        <f t="shared" si="51"/>
        <v>0.34507897934386389</v>
      </c>
      <c r="I540">
        <f t="shared" si="52"/>
        <v>2</v>
      </c>
      <c r="J540">
        <f>VLOOKUP(A540,'Housing Cost Calc'!$A$2:$C$827,3,FALSE)</f>
        <v>1280</v>
      </c>
      <c r="K540">
        <f t="shared" si="53"/>
        <v>0.25584760480347701</v>
      </c>
    </row>
    <row r="541" spans="1:11" ht="60" x14ac:dyDescent="0.25">
      <c r="A541" s="4" t="s">
        <v>3433</v>
      </c>
      <c r="B541">
        <v>96658</v>
      </c>
      <c r="C541">
        <v>2.59</v>
      </c>
      <c r="D541">
        <f t="shared" si="48"/>
        <v>60060.358842143993</v>
      </c>
      <c r="E541">
        <f t="shared" si="49"/>
        <v>60.060358842143991</v>
      </c>
      <c r="F541" s="7">
        <v>0.65613608748481167</v>
      </c>
      <c r="G541">
        <f t="shared" si="50"/>
        <v>4</v>
      </c>
      <c r="H541" s="7">
        <f t="shared" si="51"/>
        <v>0.34386391251518833</v>
      </c>
      <c r="I541">
        <f t="shared" si="52"/>
        <v>2</v>
      </c>
      <c r="J541">
        <f>VLOOKUP(A541,'Housing Cost Calc'!$A$2:$C$827,3,FALSE)</f>
        <v>1560</v>
      </c>
      <c r="K541">
        <f t="shared" si="53"/>
        <v>0.31168644944665713</v>
      </c>
    </row>
    <row r="542" spans="1:11" ht="60" x14ac:dyDescent="0.25">
      <c r="A542" s="4" t="s">
        <v>3361</v>
      </c>
      <c r="B542">
        <v>100757</v>
      </c>
      <c r="C542">
        <v>2.81</v>
      </c>
      <c r="D542">
        <f t="shared" si="48"/>
        <v>60106.586966797186</v>
      </c>
      <c r="E542">
        <f t="shared" si="49"/>
        <v>60.106586966797188</v>
      </c>
      <c r="F542" s="7">
        <v>0.65735115431348723</v>
      </c>
      <c r="G542">
        <f t="shared" si="50"/>
        <v>4</v>
      </c>
      <c r="H542" s="7">
        <f t="shared" si="51"/>
        <v>0.34264884568651277</v>
      </c>
      <c r="I542">
        <f t="shared" si="52"/>
        <v>2</v>
      </c>
      <c r="J542">
        <f>VLOOKUP(A542,'Housing Cost Calc'!$A$2:$C$827,3,FALSE)</f>
        <v>1517</v>
      </c>
      <c r="K542">
        <f t="shared" si="53"/>
        <v>0.30286198100144779</v>
      </c>
    </row>
    <row r="543" spans="1:11" ht="60" x14ac:dyDescent="0.25">
      <c r="A543" s="4" t="s">
        <v>3682</v>
      </c>
      <c r="B543">
        <v>95234</v>
      </c>
      <c r="C543">
        <v>2.5099999999999998</v>
      </c>
      <c r="D543">
        <f t="shared" si="48"/>
        <v>60111.167784616191</v>
      </c>
      <c r="E543">
        <f t="shared" si="49"/>
        <v>60.111167784616192</v>
      </c>
      <c r="F543" s="7">
        <v>0.65856622114216279</v>
      </c>
      <c r="G543">
        <f t="shared" si="50"/>
        <v>4</v>
      </c>
      <c r="H543" s="7">
        <f t="shared" si="51"/>
        <v>0.34143377885783721</v>
      </c>
      <c r="I543">
        <f t="shared" si="52"/>
        <v>2</v>
      </c>
      <c r="J543">
        <f>VLOOKUP(A543,'Housing Cost Calc'!$A$2:$C$827,3,FALSE)</f>
        <v>1694</v>
      </c>
      <c r="K543">
        <f t="shared" si="53"/>
        <v>0.33817343347640627</v>
      </c>
    </row>
    <row r="544" spans="1:11" ht="60" x14ac:dyDescent="0.25">
      <c r="A544" s="4" t="s">
        <v>3296</v>
      </c>
      <c r="B544">
        <v>89036</v>
      </c>
      <c r="C544">
        <v>2.1800000000000002</v>
      </c>
      <c r="D544">
        <f t="shared" si="48"/>
        <v>60302.788348208305</v>
      </c>
      <c r="E544">
        <f t="shared" si="49"/>
        <v>60.302788348208303</v>
      </c>
      <c r="F544" s="7">
        <v>0.65978128797083835</v>
      </c>
      <c r="G544">
        <f t="shared" si="50"/>
        <v>4</v>
      </c>
      <c r="H544" s="7">
        <f t="shared" si="51"/>
        <v>0.34021871202916165</v>
      </c>
      <c r="I544">
        <f t="shared" si="52"/>
        <v>2</v>
      </c>
      <c r="J544">
        <f>VLOOKUP(A544,'Housing Cost Calc'!$A$2:$C$827,3,FALSE)</f>
        <v>1489</v>
      </c>
      <c r="K544">
        <f t="shared" si="53"/>
        <v>0.29630470645609686</v>
      </c>
    </row>
    <row r="545" spans="1:11" ht="45" x14ac:dyDescent="0.25">
      <c r="A545" s="4" t="s">
        <v>3811</v>
      </c>
      <c r="B545">
        <v>86705</v>
      </c>
      <c r="C545">
        <v>2.06</v>
      </c>
      <c r="D545">
        <f t="shared" si="48"/>
        <v>60410.236004154707</v>
      </c>
      <c r="E545">
        <f t="shared" si="49"/>
        <v>60.410236004154704</v>
      </c>
      <c r="F545" s="7">
        <v>0.66099635479951402</v>
      </c>
      <c r="G545">
        <f t="shared" si="50"/>
        <v>4</v>
      </c>
      <c r="H545" s="7">
        <f t="shared" si="51"/>
        <v>0.33900364520048598</v>
      </c>
      <c r="I545">
        <f t="shared" si="52"/>
        <v>2</v>
      </c>
      <c r="J545">
        <f>VLOOKUP(A545,'Housing Cost Calc'!$A$2:$C$827,3,FALSE)</f>
        <v>1908</v>
      </c>
      <c r="K545">
        <f t="shared" si="53"/>
        <v>0.37900861699042743</v>
      </c>
    </row>
    <row r="546" spans="1:11" ht="60" x14ac:dyDescent="0.25">
      <c r="A546" s="4" t="s">
        <v>3365</v>
      </c>
      <c r="B546">
        <v>97750</v>
      </c>
      <c r="C546">
        <v>2.61</v>
      </c>
      <c r="D546">
        <f t="shared" si="48"/>
        <v>60505.731022689404</v>
      </c>
      <c r="E546">
        <f t="shared" si="49"/>
        <v>60.505731022689403</v>
      </c>
      <c r="F546" s="7">
        <v>0.66221142162818958</v>
      </c>
      <c r="G546">
        <f t="shared" si="50"/>
        <v>4</v>
      </c>
      <c r="H546" s="7">
        <f t="shared" si="51"/>
        <v>0.33778857837181042</v>
      </c>
      <c r="I546">
        <f t="shared" si="52"/>
        <v>2</v>
      </c>
      <c r="J546">
        <f>VLOOKUP(A546,'Housing Cost Calc'!$A$2:$C$827,3,FALSE)</f>
        <v>1528</v>
      </c>
      <c r="K546">
        <f t="shared" si="53"/>
        <v>0.30304567336148824</v>
      </c>
    </row>
    <row r="547" spans="1:11" ht="60" x14ac:dyDescent="0.25">
      <c r="A547" s="4" t="s">
        <v>3198</v>
      </c>
      <c r="B547">
        <v>90571</v>
      </c>
      <c r="C547">
        <v>2.23</v>
      </c>
      <c r="D547">
        <f t="shared" si="48"/>
        <v>60650.82759815242</v>
      </c>
      <c r="E547">
        <f t="shared" si="49"/>
        <v>60.650827598152418</v>
      </c>
      <c r="F547" s="7">
        <v>0.66342648845686514</v>
      </c>
      <c r="G547">
        <f t="shared" si="50"/>
        <v>4</v>
      </c>
      <c r="H547" s="7">
        <f t="shared" si="51"/>
        <v>0.33657351154313486</v>
      </c>
      <c r="I547">
        <f t="shared" si="52"/>
        <v>2</v>
      </c>
      <c r="J547">
        <f>VLOOKUP(A547,'Housing Cost Calc'!$A$2:$C$827,3,FALSE)</f>
        <v>1431</v>
      </c>
      <c r="K547">
        <f t="shared" si="53"/>
        <v>0.28312886534334947</v>
      </c>
    </row>
    <row r="548" spans="1:11" ht="45" x14ac:dyDescent="0.25">
      <c r="A548" s="4" t="s">
        <v>3816</v>
      </c>
      <c r="B548">
        <v>100156</v>
      </c>
      <c r="C548">
        <v>2.72</v>
      </c>
      <c r="D548">
        <f t="shared" si="48"/>
        <v>60728.495152847412</v>
      </c>
      <c r="E548">
        <f t="shared" si="49"/>
        <v>60.728495152847415</v>
      </c>
      <c r="F548" s="7">
        <v>0.6646415552855407</v>
      </c>
      <c r="G548">
        <f t="shared" si="50"/>
        <v>4</v>
      </c>
      <c r="H548" s="7">
        <f t="shared" si="51"/>
        <v>0.3353584447144593</v>
      </c>
      <c r="I548">
        <f t="shared" si="52"/>
        <v>2</v>
      </c>
      <c r="J548">
        <f>VLOOKUP(A548,'Housing Cost Calc'!$A$2:$C$827,3,FALSE)</f>
        <v>1861</v>
      </c>
      <c r="K548">
        <f t="shared" si="53"/>
        <v>0.36773511254959701</v>
      </c>
    </row>
    <row r="549" spans="1:11" ht="60" x14ac:dyDescent="0.25">
      <c r="A549" s="4" t="s">
        <v>3358</v>
      </c>
      <c r="B549">
        <v>89699</v>
      </c>
      <c r="C549">
        <v>2.1800000000000002</v>
      </c>
      <c r="D549">
        <f t="shared" si="48"/>
        <v>60751.828609168617</v>
      </c>
      <c r="E549">
        <f t="shared" si="49"/>
        <v>60.751828609168619</v>
      </c>
      <c r="F549" s="7">
        <v>0.66585662211421626</v>
      </c>
      <c r="G549">
        <f t="shared" si="50"/>
        <v>4</v>
      </c>
      <c r="H549" s="7">
        <f t="shared" si="51"/>
        <v>0.33414337788578374</v>
      </c>
      <c r="I549">
        <f t="shared" si="52"/>
        <v>2</v>
      </c>
      <c r="J549">
        <f>VLOOKUP(A549,'Housing Cost Calc'!$A$2:$C$827,3,FALSE)</f>
        <v>1530</v>
      </c>
      <c r="K549">
        <f t="shared" si="53"/>
        <v>0.30221312543716788</v>
      </c>
    </row>
    <row r="550" spans="1:11" ht="60" x14ac:dyDescent="0.25">
      <c r="A550" s="4" t="s">
        <v>3334</v>
      </c>
      <c r="B550">
        <v>101848</v>
      </c>
      <c r="C550">
        <v>2.81</v>
      </c>
      <c r="D550">
        <f t="shared" si="48"/>
        <v>60757.423001819821</v>
      </c>
      <c r="E550">
        <f t="shared" si="49"/>
        <v>60.757423001819824</v>
      </c>
      <c r="F550" s="7">
        <v>0.66707168894289182</v>
      </c>
      <c r="G550">
        <f t="shared" si="50"/>
        <v>4</v>
      </c>
      <c r="H550" s="7">
        <f t="shared" si="51"/>
        <v>0.33292831105710818</v>
      </c>
      <c r="I550">
        <f t="shared" si="52"/>
        <v>2</v>
      </c>
      <c r="J550">
        <f>VLOOKUP(A550,'Housing Cost Calc'!$A$2:$C$827,3,FALSE)</f>
        <v>1522</v>
      </c>
      <c r="K550">
        <f t="shared" si="53"/>
        <v>0.30060524455510484</v>
      </c>
    </row>
    <row r="551" spans="1:11" ht="60" x14ac:dyDescent="0.25">
      <c r="A551" s="4" t="s">
        <v>3282</v>
      </c>
      <c r="B551">
        <v>96607</v>
      </c>
      <c r="C551">
        <v>2.52</v>
      </c>
      <c r="D551">
        <f t="shared" si="48"/>
        <v>60856.689740004025</v>
      </c>
      <c r="E551">
        <f t="shared" si="49"/>
        <v>60.856689740004022</v>
      </c>
      <c r="F551" s="7">
        <v>0.66828675577156749</v>
      </c>
      <c r="G551">
        <f t="shared" si="50"/>
        <v>4</v>
      </c>
      <c r="H551" s="7">
        <f t="shared" si="51"/>
        <v>0.33171324422843251</v>
      </c>
      <c r="I551">
        <f t="shared" si="52"/>
        <v>2</v>
      </c>
      <c r="J551">
        <f>VLOOKUP(A551,'Housing Cost Calc'!$A$2:$C$827,3,FALSE)</f>
        <v>1494</v>
      </c>
      <c r="K551">
        <f t="shared" si="53"/>
        <v>0.29459374271905336</v>
      </c>
    </row>
    <row r="552" spans="1:11" ht="60" x14ac:dyDescent="0.25">
      <c r="A552" s="4" t="s">
        <v>3830</v>
      </c>
      <c r="B552">
        <v>96916</v>
      </c>
      <c r="C552">
        <v>2.5299999999999998</v>
      </c>
      <c r="D552">
        <f t="shared" si="48"/>
        <v>60930.567158276557</v>
      </c>
      <c r="E552">
        <f t="shared" si="49"/>
        <v>60.93056715827656</v>
      </c>
      <c r="F552" s="7">
        <v>0.66950182260024305</v>
      </c>
      <c r="G552">
        <f t="shared" si="50"/>
        <v>4</v>
      </c>
      <c r="H552" s="7">
        <f t="shared" si="51"/>
        <v>0.33049817739975695</v>
      </c>
      <c r="I552">
        <f t="shared" si="52"/>
        <v>2</v>
      </c>
      <c r="J552">
        <f>VLOOKUP(A552,'Housing Cost Calc'!$A$2:$C$827,3,FALSE)</f>
        <v>1905</v>
      </c>
      <c r="K552">
        <f t="shared" si="53"/>
        <v>0.37518114578874051</v>
      </c>
    </row>
    <row r="553" spans="1:11" ht="60" x14ac:dyDescent="0.25">
      <c r="A553" s="4" t="s">
        <v>3146</v>
      </c>
      <c r="B553">
        <v>85378</v>
      </c>
      <c r="C553">
        <v>1.96</v>
      </c>
      <c r="D553">
        <f t="shared" si="48"/>
        <v>60984.285714285717</v>
      </c>
      <c r="E553">
        <f t="shared" si="49"/>
        <v>60.984285714285718</v>
      </c>
      <c r="F553" s="7">
        <v>0.67071688942891861</v>
      </c>
      <c r="G553">
        <f t="shared" si="50"/>
        <v>4</v>
      </c>
      <c r="H553" s="7">
        <f t="shared" si="51"/>
        <v>0.32928311057108139</v>
      </c>
      <c r="I553">
        <f t="shared" si="52"/>
        <v>2</v>
      </c>
      <c r="J553">
        <f>VLOOKUP(A553,'Housing Cost Calc'!$A$2:$C$827,3,FALSE)</f>
        <v>1363</v>
      </c>
      <c r="K553">
        <f t="shared" si="53"/>
        <v>0.26820023893743117</v>
      </c>
    </row>
    <row r="554" spans="1:11" ht="60" x14ac:dyDescent="0.25">
      <c r="A554" s="4" t="s">
        <v>3419</v>
      </c>
      <c r="B554">
        <v>96111</v>
      </c>
      <c r="C554">
        <v>2.48</v>
      </c>
      <c r="D554">
        <f t="shared" si="48"/>
        <v>61030.546030576545</v>
      </c>
      <c r="E554">
        <f t="shared" si="49"/>
        <v>61.030546030576545</v>
      </c>
      <c r="F554" s="7">
        <v>0.67193195625759417</v>
      </c>
      <c r="G554">
        <f t="shared" si="50"/>
        <v>4</v>
      </c>
      <c r="H554" s="7">
        <f t="shared" si="51"/>
        <v>0.32806804374240583</v>
      </c>
      <c r="I554">
        <f t="shared" si="52"/>
        <v>2</v>
      </c>
      <c r="J554">
        <f>VLOOKUP(A554,'Housing Cost Calc'!$A$2:$C$827,3,FALSE)</f>
        <v>1576</v>
      </c>
      <c r="K554">
        <f t="shared" si="53"/>
        <v>0.30987761424459503</v>
      </c>
    </row>
    <row r="555" spans="1:11" ht="60" x14ac:dyDescent="0.25">
      <c r="A555" s="4" t="s">
        <v>3757</v>
      </c>
      <c r="B555">
        <v>87227</v>
      </c>
      <c r="C555">
        <v>2.04</v>
      </c>
      <c r="D555">
        <f t="shared" si="48"/>
        <v>61071.115444755611</v>
      </c>
      <c r="E555">
        <f t="shared" si="49"/>
        <v>61.071115444755613</v>
      </c>
      <c r="F555" s="7">
        <v>0.67314702308626972</v>
      </c>
      <c r="G555">
        <f t="shared" si="50"/>
        <v>4</v>
      </c>
      <c r="H555" s="7">
        <f t="shared" si="51"/>
        <v>0.32685297691373028</v>
      </c>
      <c r="I555">
        <f t="shared" si="52"/>
        <v>2</v>
      </c>
      <c r="J555">
        <f>VLOOKUP(A555,'Housing Cost Calc'!$A$2:$C$827,3,FALSE)</f>
        <v>1786</v>
      </c>
      <c r="K555">
        <f t="shared" si="53"/>
        <v>0.35093513265509613</v>
      </c>
    </row>
    <row r="556" spans="1:11" ht="60" x14ac:dyDescent="0.25">
      <c r="A556" s="4" t="s">
        <v>3288</v>
      </c>
      <c r="B556">
        <v>102656</v>
      </c>
      <c r="C556">
        <v>2.82</v>
      </c>
      <c r="D556">
        <f t="shared" si="48"/>
        <v>61130.758401111263</v>
      </c>
      <c r="E556">
        <f t="shared" si="49"/>
        <v>61.130758401111265</v>
      </c>
      <c r="F556" s="7">
        <v>0.67436208991494528</v>
      </c>
      <c r="G556">
        <f t="shared" si="50"/>
        <v>4</v>
      </c>
      <c r="H556" s="7">
        <f t="shared" si="51"/>
        <v>0.32563791008505472</v>
      </c>
      <c r="I556">
        <f t="shared" si="52"/>
        <v>2</v>
      </c>
      <c r="J556">
        <f>VLOOKUP(A556,'Housing Cost Calc'!$A$2:$C$827,3,FALSE)</f>
        <v>1507</v>
      </c>
      <c r="K556">
        <f t="shared" si="53"/>
        <v>0.29582489196913447</v>
      </c>
    </row>
    <row r="557" spans="1:11" ht="60" x14ac:dyDescent="0.25">
      <c r="A557" s="4" t="s">
        <v>3467</v>
      </c>
      <c r="B557">
        <v>89261</v>
      </c>
      <c r="C557">
        <v>2.13</v>
      </c>
      <c r="D557">
        <f t="shared" si="48"/>
        <v>61160.629427915308</v>
      </c>
      <c r="E557">
        <f t="shared" si="49"/>
        <v>61.16062942791531</v>
      </c>
      <c r="F557" s="7">
        <v>0.67557715674362095</v>
      </c>
      <c r="G557">
        <f t="shared" si="50"/>
        <v>4</v>
      </c>
      <c r="H557" s="7">
        <f t="shared" si="51"/>
        <v>0.32442284325637905</v>
      </c>
      <c r="I557">
        <f t="shared" si="52"/>
        <v>2</v>
      </c>
      <c r="J557">
        <f>VLOOKUP(A557,'Housing Cost Calc'!$A$2:$C$827,3,FALSE)</f>
        <v>1605</v>
      </c>
      <c r="K557">
        <f t="shared" si="53"/>
        <v>0.31490846611871581</v>
      </c>
    </row>
    <row r="558" spans="1:11" ht="60" x14ac:dyDescent="0.25">
      <c r="A558" s="4" t="s">
        <v>3837</v>
      </c>
      <c r="B558">
        <v>90929</v>
      </c>
      <c r="C558">
        <v>2.21</v>
      </c>
      <c r="D558">
        <f t="shared" si="48"/>
        <v>61165.464485290693</v>
      </c>
      <c r="E558">
        <f t="shared" si="49"/>
        <v>61.165464485290691</v>
      </c>
      <c r="F558" s="7">
        <v>0.67679222357229651</v>
      </c>
      <c r="G558">
        <f t="shared" si="50"/>
        <v>4</v>
      </c>
      <c r="H558" s="7">
        <f t="shared" si="51"/>
        <v>0.32320777642770349</v>
      </c>
      <c r="I558">
        <f t="shared" si="52"/>
        <v>2</v>
      </c>
      <c r="J558">
        <f>VLOOKUP(A558,'Housing Cost Calc'!$A$2:$C$827,3,FALSE)</f>
        <v>1930</v>
      </c>
      <c r="K558">
        <f t="shared" si="53"/>
        <v>0.37864504414201916</v>
      </c>
    </row>
    <row r="559" spans="1:11" ht="45" x14ac:dyDescent="0.25">
      <c r="A559" s="4" t="s">
        <v>3865</v>
      </c>
      <c r="B559">
        <v>100357</v>
      </c>
      <c r="C559">
        <v>2.68</v>
      </c>
      <c r="D559">
        <f t="shared" si="48"/>
        <v>61302.79463632861</v>
      </c>
      <c r="E559">
        <f t="shared" si="49"/>
        <v>61.302794636328613</v>
      </c>
      <c r="F559" s="7">
        <v>0.67800729040097207</v>
      </c>
      <c r="G559">
        <f t="shared" si="50"/>
        <v>4</v>
      </c>
      <c r="H559" s="7">
        <f t="shared" si="51"/>
        <v>0.32199270959902793</v>
      </c>
      <c r="I559">
        <f t="shared" si="52"/>
        <v>2</v>
      </c>
      <c r="J559">
        <f>VLOOKUP(A559,'Housing Cost Calc'!$A$2:$C$827,3,FALSE)</f>
        <v>2200</v>
      </c>
      <c r="K559">
        <f t="shared" si="53"/>
        <v>0.43064920867987821</v>
      </c>
    </row>
    <row r="560" spans="1:11" ht="60" x14ac:dyDescent="0.25">
      <c r="A560" s="4" t="s">
        <v>3832</v>
      </c>
      <c r="B560">
        <v>101974</v>
      </c>
      <c r="C560">
        <v>2.76</v>
      </c>
      <c r="D560">
        <f t="shared" si="48"/>
        <v>61381.134912841146</v>
      </c>
      <c r="E560">
        <f t="shared" si="49"/>
        <v>61.381134912841148</v>
      </c>
      <c r="F560" s="7">
        <v>0.67922235722964763</v>
      </c>
      <c r="G560">
        <f t="shared" si="50"/>
        <v>4</v>
      </c>
      <c r="H560" s="7">
        <f t="shared" si="51"/>
        <v>0.32077764277035237</v>
      </c>
      <c r="I560">
        <f t="shared" si="52"/>
        <v>2</v>
      </c>
      <c r="J560">
        <f>VLOOKUP(A560,'Housing Cost Calc'!$A$2:$C$827,3,FALSE)</f>
        <v>1923</v>
      </c>
      <c r="K560">
        <f t="shared" si="53"/>
        <v>0.37594612795555238</v>
      </c>
    </row>
    <row r="561" spans="1:11" ht="45" x14ac:dyDescent="0.25">
      <c r="A561" s="4" t="s">
        <v>3790</v>
      </c>
      <c r="B561">
        <v>93558</v>
      </c>
      <c r="C561">
        <v>2.3199999999999998</v>
      </c>
      <c r="D561">
        <f t="shared" si="48"/>
        <v>61423.836227449618</v>
      </c>
      <c r="E561">
        <f t="shared" si="49"/>
        <v>61.42383622744962</v>
      </c>
      <c r="F561" s="7">
        <v>0.68043742405832319</v>
      </c>
      <c r="G561">
        <f t="shared" si="50"/>
        <v>4</v>
      </c>
      <c r="H561" s="7">
        <f t="shared" si="51"/>
        <v>0.31956257594167681</v>
      </c>
      <c r="I561">
        <f t="shared" si="52"/>
        <v>2</v>
      </c>
      <c r="J561">
        <f>VLOOKUP(A561,'Housing Cost Calc'!$A$2:$C$827,3,FALSE)</f>
        <v>1831</v>
      </c>
      <c r="K561">
        <f t="shared" si="53"/>
        <v>0.35771129498715615</v>
      </c>
    </row>
    <row r="562" spans="1:11" ht="60" x14ac:dyDescent="0.25">
      <c r="A562" s="4" t="s">
        <v>3128</v>
      </c>
      <c r="B562">
        <v>95240</v>
      </c>
      <c r="C562">
        <v>2.4</v>
      </c>
      <c r="D562">
        <f t="shared" si="48"/>
        <v>61477.15564879906</v>
      </c>
      <c r="E562">
        <f t="shared" si="49"/>
        <v>61.477155648799062</v>
      </c>
      <c r="F562" s="7">
        <v>0.68165249088699875</v>
      </c>
      <c r="G562">
        <f t="shared" si="50"/>
        <v>4</v>
      </c>
      <c r="H562" s="7">
        <f t="shared" si="51"/>
        <v>0.31834750911300125</v>
      </c>
      <c r="I562">
        <f t="shared" si="52"/>
        <v>2</v>
      </c>
      <c r="J562">
        <f>VLOOKUP(A562,'Housing Cost Calc'!$A$2:$C$827,3,FALSE)</f>
        <v>1358</v>
      </c>
      <c r="K562">
        <f t="shared" si="53"/>
        <v>0.26507407227969793</v>
      </c>
    </row>
    <row r="563" spans="1:11" ht="60" x14ac:dyDescent="0.25">
      <c r="A563" s="4" t="s">
        <v>3774</v>
      </c>
      <c r="B563">
        <v>93843</v>
      </c>
      <c r="C563">
        <v>2.33</v>
      </c>
      <c r="D563">
        <f t="shared" si="48"/>
        <v>61478.593395772703</v>
      </c>
      <c r="E563">
        <f t="shared" si="49"/>
        <v>61.478593395772705</v>
      </c>
      <c r="F563" s="7">
        <v>0.68286755771567431</v>
      </c>
      <c r="G563">
        <f t="shared" si="50"/>
        <v>4</v>
      </c>
      <c r="H563" s="7">
        <f t="shared" si="51"/>
        <v>0.31713244228432569</v>
      </c>
      <c r="I563">
        <f t="shared" si="52"/>
        <v>2</v>
      </c>
      <c r="J563">
        <f>VLOOKUP(A563,'Housing Cost Calc'!$A$2:$C$827,3,FALSE)</f>
        <v>1818</v>
      </c>
      <c r="K563">
        <f t="shared" si="53"/>
        <v>0.35485522350125986</v>
      </c>
    </row>
    <row r="564" spans="1:11" ht="60" x14ac:dyDescent="0.25">
      <c r="A564" s="4" t="s">
        <v>3725</v>
      </c>
      <c r="B564">
        <v>98000</v>
      </c>
      <c r="C564">
        <v>2.54</v>
      </c>
      <c r="D564">
        <f t="shared" si="48"/>
        <v>61490.668903539539</v>
      </c>
      <c r="E564">
        <f t="shared" si="49"/>
        <v>61.490668903539536</v>
      </c>
      <c r="F564" s="7">
        <v>0.68408262454434998</v>
      </c>
      <c r="G564">
        <f t="shared" si="50"/>
        <v>4</v>
      </c>
      <c r="H564" s="7">
        <f t="shared" si="51"/>
        <v>0.31591737545565002</v>
      </c>
      <c r="I564">
        <f t="shared" si="52"/>
        <v>2</v>
      </c>
      <c r="J564">
        <f>VLOOKUP(A564,'Housing Cost Calc'!$A$2:$C$827,3,FALSE)</f>
        <v>1768</v>
      </c>
      <c r="K564">
        <f t="shared" si="53"/>
        <v>0.34502795917347323</v>
      </c>
    </row>
    <row r="565" spans="1:11" ht="60" x14ac:dyDescent="0.25">
      <c r="A565" s="4" t="s">
        <v>3473</v>
      </c>
      <c r="B565">
        <v>103348</v>
      </c>
      <c r="C565">
        <v>2.82</v>
      </c>
      <c r="D565">
        <f t="shared" si="48"/>
        <v>61542.838404360649</v>
      </c>
      <c r="E565">
        <f t="shared" si="49"/>
        <v>61.542838404360651</v>
      </c>
      <c r="F565" s="7">
        <v>0.68529769137302554</v>
      </c>
      <c r="G565">
        <f t="shared" si="50"/>
        <v>4</v>
      </c>
      <c r="H565" s="7">
        <f t="shared" si="51"/>
        <v>0.31470230862697446</v>
      </c>
      <c r="I565">
        <f t="shared" si="52"/>
        <v>2</v>
      </c>
      <c r="J565">
        <f>VLOOKUP(A565,'Housing Cost Calc'!$A$2:$C$827,3,FALSE)</f>
        <v>1618</v>
      </c>
      <c r="K565">
        <f t="shared" si="53"/>
        <v>0.31548756124033872</v>
      </c>
    </row>
    <row r="566" spans="1:11" ht="60" x14ac:dyDescent="0.25">
      <c r="A566" s="4" t="s">
        <v>3704</v>
      </c>
      <c r="B566">
        <v>101679</v>
      </c>
      <c r="C566">
        <v>2.72</v>
      </c>
      <c r="D566">
        <f t="shared" si="48"/>
        <v>61651.949545173251</v>
      </c>
      <c r="E566">
        <f t="shared" si="49"/>
        <v>61.651949545173252</v>
      </c>
      <c r="F566" s="7">
        <v>0.6865127582017011</v>
      </c>
      <c r="G566">
        <f t="shared" si="50"/>
        <v>4</v>
      </c>
      <c r="H566" s="7">
        <f t="shared" si="51"/>
        <v>0.3134872417982989</v>
      </c>
      <c r="I566">
        <f t="shared" si="52"/>
        <v>2</v>
      </c>
      <c r="J566">
        <f>VLOOKUP(A566,'Housing Cost Calc'!$A$2:$C$827,3,FALSE)</f>
        <v>1757</v>
      </c>
      <c r="K566">
        <f t="shared" si="53"/>
        <v>0.34198431932069651</v>
      </c>
    </row>
    <row r="567" spans="1:11" ht="75" x14ac:dyDescent="0.25">
      <c r="A567" s="4" t="s">
        <v>3350</v>
      </c>
      <c r="B567">
        <v>93125</v>
      </c>
      <c r="C567">
        <v>2.2799999999999998</v>
      </c>
      <c r="D567">
        <f t="shared" si="48"/>
        <v>61673.53787584111</v>
      </c>
      <c r="E567">
        <f t="shared" si="49"/>
        <v>61.673537875841113</v>
      </c>
      <c r="F567" s="7">
        <v>0.68772782503037666</v>
      </c>
      <c r="G567">
        <f t="shared" si="50"/>
        <v>4</v>
      </c>
      <c r="H567" s="7">
        <f t="shared" si="51"/>
        <v>0.31227217496962334</v>
      </c>
      <c r="I567">
        <f t="shared" si="52"/>
        <v>2</v>
      </c>
      <c r="J567">
        <f>VLOOKUP(A567,'Housing Cost Calc'!$A$2:$C$827,3,FALSE)</f>
        <v>1552</v>
      </c>
      <c r="K567">
        <f t="shared" si="53"/>
        <v>0.30197716300130456</v>
      </c>
    </row>
    <row r="568" spans="1:11" ht="60" x14ac:dyDescent="0.25">
      <c r="A568" s="4" t="s">
        <v>3266</v>
      </c>
      <c r="B568">
        <v>96719</v>
      </c>
      <c r="C568">
        <v>2.4500000000000002</v>
      </c>
      <c r="D568">
        <f t="shared" si="48"/>
        <v>61791.502490229192</v>
      </c>
      <c r="E568">
        <f t="shared" si="49"/>
        <v>61.791502490229192</v>
      </c>
      <c r="F568" s="7">
        <v>0.68894289185905222</v>
      </c>
      <c r="G568">
        <f t="shared" si="50"/>
        <v>4</v>
      </c>
      <c r="H568" s="7">
        <f t="shared" si="51"/>
        <v>0.31105710814094778</v>
      </c>
      <c r="I568">
        <f t="shared" si="52"/>
        <v>2</v>
      </c>
      <c r="J568">
        <f>VLOOKUP(A568,'Housing Cost Calc'!$A$2:$C$827,3,FALSE)</f>
        <v>1506</v>
      </c>
      <c r="K568">
        <f t="shared" si="53"/>
        <v>0.29246739877959177</v>
      </c>
    </row>
    <row r="569" spans="1:11" ht="60" x14ac:dyDescent="0.25">
      <c r="A569" s="4" t="s">
        <v>3218</v>
      </c>
      <c r="B569">
        <v>99722</v>
      </c>
      <c r="C569">
        <v>2.6</v>
      </c>
      <c r="D569">
        <f t="shared" si="48"/>
        <v>61844.959013525222</v>
      </c>
      <c r="E569">
        <f t="shared" si="49"/>
        <v>61.844959013525219</v>
      </c>
      <c r="F569" s="7">
        <v>0.69015795868772778</v>
      </c>
      <c r="G569">
        <f t="shared" si="50"/>
        <v>4</v>
      </c>
      <c r="H569" s="7">
        <f t="shared" si="51"/>
        <v>0.30984204131227222</v>
      </c>
      <c r="I569">
        <f t="shared" si="52"/>
        <v>2</v>
      </c>
      <c r="J569">
        <f>VLOOKUP(A569,'Housing Cost Calc'!$A$2:$C$827,3,FALSE)</f>
        <v>1473</v>
      </c>
      <c r="K569">
        <f t="shared" si="53"/>
        <v>0.28581149186523569</v>
      </c>
    </row>
    <row r="570" spans="1:11" ht="60" x14ac:dyDescent="0.25">
      <c r="A570" s="4" t="s">
        <v>3332</v>
      </c>
      <c r="B570">
        <v>98664</v>
      </c>
      <c r="C570">
        <v>2.54</v>
      </c>
      <c r="D570">
        <f t="shared" si="48"/>
        <v>61907.299558151281</v>
      </c>
      <c r="E570">
        <f t="shared" si="49"/>
        <v>61.90729955815128</v>
      </c>
      <c r="F570" s="7">
        <v>0.69137302551640345</v>
      </c>
      <c r="G570">
        <f t="shared" si="50"/>
        <v>4</v>
      </c>
      <c r="H570" s="7">
        <f t="shared" si="51"/>
        <v>0.30862697448359655</v>
      </c>
      <c r="I570">
        <f t="shared" si="52"/>
        <v>2</v>
      </c>
      <c r="J570">
        <f>VLOOKUP(A570,'Housing Cost Calc'!$A$2:$C$827,3,FALSE)</f>
        <v>1549</v>
      </c>
      <c r="K570">
        <f t="shared" si="53"/>
        <v>0.30025538398003881</v>
      </c>
    </row>
    <row r="571" spans="1:11" ht="60" x14ac:dyDescent="0.25">
      <c r="A571" s="4" t="s">
        <v>3515</v>
      </c>
      <c r="B571">
        <v>89079</v>
      </c>
      <c r="C571">
        <v>2.0699999999999998</v>
      </c>
      <c r="D571">
        <f t="shared" si="48"/>
        <v>61914.184965967215</v>
      </c>
      <c r="E571">
        <f t="shared" si="49"/>
        <v>61.914184965967216</v>
      </c>
      <c r="F571" s="7">
        <v>0.69258809234507901</v>
      </c>
      <c r="G571">
        <f t="shared" si="50"/>
        <v>4</v>
      </c>
      <c r="H571" s="7">
        <f t="shared" si="51"/>
        <v>0.30741190765492099</v>
      </c>
      <c r="I571">
        <f t="shared" si="52"/>
        <v>2</v>
      </c>
      <c r="J571">
        <f>VLOOKUP(A571,'Housing Cost Calc'!$A$2:$C$827,3,FALSE)</f>
        <v>1650</v>
      </c>
      <c r="K571">
        <f t="shared" si="53"/>
        <v>0.3197974746963656</v>
      </c>
    </row>
    <row r="572" spans="1:11" ht="60" x14ac:dyDescent="0.25">
      <c r="A572" s="4" t="s">
        <v>3858</v>
      </c>
      <c r="B572">
        <v>106904</v>
      </c>
      <c r="C572">
        <v>2.98</v>
      </c>
      <c r="D572">
        <f t="shared" si="48"/>
        <v>61927.824454042777</v>
      </c>
      <c r="E572">
        <f t="shared" si="49"/>
        <v>61.927824454042778</v>
      </c>
      <c r="F572" s="7">
        <v>0.69380315917375457</v>
      </c>
      <c r="G572">
        <f t="shared" si="50"/>
        <v>4</v>
      </c>
      <c r="H572" s="7">
        <f t="shared" si="51"/>
        <v>0.30619684082624543</v>
      </c>
      <c r="I572">
        <f t="shared" si="52"/>
        <v>2</v>
      </c>
      <c r="J572">
        <f>VLOOKUP(A572,'Housing Cost Calc'!$A$2:$C$827,3,FALSE)</f>
        <v>2045</v>
      </c>
      <c r="K572">
        <f t="shared" si="53"/>
        <v>0.39626775550966375</v>
      </c>
    </row>
    <row r="573" spans="1:11" ht="45" x14ac:dyDescent="0.25">
      <c r="A573" s="4" t="s">
        <v>3867</v>
      </c>
      <c r="B573">
        <v>100813</v>
      </c>
      <c r="C573">
        <v>2.65</v>
      </c>
      <c r="D573">
        <f t="shared" si="48"/>
        <v>61928.933613381123</v>
      </c>
      <c r="E573">
        <f t="shared" si="49"/>
        <v>61.928933613381126</v>
      </c>
      <c r="F573" s="7">
        <v>0.69501822600243013</v>
      </c>
      <c r="G573">
        <f t="shared" si="50"/>
        <v>4</v>
      </c>
      <c r="H573" s="7">
        <f t="shared" si="51"/>
        <v>0.30498177399756987</v>
      </c>
      <c r="I573">
        <f t="shared" si="52"/>
        <v>2</v>
      </c>
      <c r="J573">
        <f>VLOOKUP(A573,'Housing Cost Calc'!$A$2:$C$827,3,FALSE)</f>
        <v>2347</v>
      </c>
      <c r="K573">
        <f t="shared" si="53"/>
        <v>0.45477934717601115</v>
      </c>
    </row>
    <row r="574" spans="1:11" ht="60" x14ac:dyDescent="0.25">
      <c r="A574" s="4" t="s">
        <v>3106</v>
      </c>
      <c r="B574">
        <v>90054</v>
      </c>
      <c r="C574">
        <v>2.11</v>
      </c>
      <c r="D574">
        <f t="shared" si="48"/>
        <v>61995.730307040641</v>
      </c>
      <c r="E574">
        <f t="shared" si="49"/>
        <v>61.995730307040638</v>
      </c>
      <c r="F574" s="7">
        <v>0.69623329283110569</v>
      </c>
      <c r="G574">
        <f t="shared" si="50"/>
        <v>4</v>
      </c>
      <c r="H574" s="7">
        <f t="shared" si="51"/>
        <v>0.30376670716889431</v>
      </c>
      <c r="I574">
        <f t="shared" si="52"/>
        <v>2</v>
      </c>
      <c r="J574">
        <f>VLOOKUP(A574,'Housing Cost Calc'!$A$2:$C$827,3,FALSE)</f>
        <v>1342</v>
      </c>
      <c r="K574">
        <f t="shared" si="53"/>
        <v>0.25975982410793741</v>
      </c>
    </row>
    <row r="575" spans="1:11" ht="60" x14ac:dyDescent="0.25">
      <c r="A575" s="4" t="s">
        <v>3500</v>
      </c>
      <c r="B575">
        <v>94872</v>
      </c>
      <c r="C575">
        <v>2.33</v>
      </c>
      <c r="D575">
        <f t="shared" si="48"/>
        <v>62152.713709533455</v>
      </c>
      <c r="E575">
        <f t="shared" si="49"/>
        <v>62.152713709533458</v>
      </c>
      <c r="F575" s="7">
        <v>0.69744835965978125</v>
      </c>
      <c r="G575">
        <f t="shared" si="50"/>
        <v>4</v>
      </c>
      <c r="H575" s="7">
        <f t="shared" si="51"/>
        <v>0.30255164034021875</v>
      </c>
      <c r="I575">
        <f t="shared" si="52"/>
        <v>2</v>
      </c>
      <c r="J575">
        <f>VLOOKUP(A575,'Housing Cost Calc'!$A$2:$C$827,3,FALSE)</f>
        <v>1648</v>
      </c>
      <c r="K575">
        <f t="shared" si="53"/>
        <v>0.31818401514086436</v>
      </c>
    </row>
    <row r="576" spans="1:11" ht="60" x14ac:dyDescent="0.25">
      <c r="A576" s="4" t="s">
        <v>3530</v>
      </c>
      <c r="B576">
        <v>102697</v>
      </c>
      <c r="C576">
        <v>2.72</v>
      </c>
      <c r="D576">
        <f t="shared" si="48"/>
        <v>62269.202710890713</v>
      </c>
      <c r="E576">
        <f t="shared" si="49"/>
        <v>62.26920271089071</v>
      </c>
      <c r="F576" s="7">
        <v>0.69866342648845692</v>
      </c>
      <c r="G576">
        <f t="shared" si="50"/>
        <v>4</v>
      </c>
      <c r="H576" s="7">
        <f t="shared" si="51"/>
        <v>0.30133657351154308</v>
      </c>
      <c r="I576">
        <f t="shared" si="52"/>
        <v>2</v>
      </c>
      <c r="J576">
        <f>VLOOKUP(A576,'Housing Cost Calc'!$A$2:$C$827,3,FALSE)</f>
        <v>1664</v>
      </c>
      <c r="K576">
        <f t="shared" si="53"/>
        <v>0.32067216425926154</v>
      </c>
    </row>
    <row r="577" spans="1:11" ht="60" x14ac:dyDescent="0.25">
      <c r="A577" s="4" t="s">
        <v>3688</v>
      </c>
      <c r="B577">
        <v>105701</v>
      </c>
      <c r="C577">
        <v>2.86</v>
      </c>
      <c r="D577">
        <f t="shared" si="48"/>
        <v>62502.311568442019</v>
      </c>
      <c r="E577">
        <f t="shared" si="49"/>
        <v>62.502311568442018</v>
      </c>
      <c r="F577" s="7">
        <v>0.69987849331713248</v>
      </c>
      <c r="G577">
        <f t="shared" si="50"/>
        <v>4</v>
      </c>
      <c r="H577" s="7">
        <f t="shared" si="51"/>
        <v>0.30012150668286752</v>
      </c>
      <c r="I577">
        <f t="shared" si="52"/>
        <v>2</v>
      </c>
      <c r="J577">
        <f>VLOOKUP(A577,'Housing Cost Calc'!$A$2:$C$827,3,FALSE)</f>
        <v>1769</v>
      </c>
      <c r="K577">
        <f t="shared" si="53"/>
        <v>0.33963543855101525</v>
      </c>
    </row>
    <row r="578" spans="1:11" ht="45" x14ac:dyDescent="0.25">
      <c r="A578" s="4" t="s">
        <v>3824</v>
      </c>
      <c r="B578">
        <v>98636</v>
      </c>
      <c r="C578">
        <v>2.4900000000000002</v>
      </c>
      <c r="D578">
        <f t="shared" ref="D578:D641" si="54">(B578/(C578)^0.5)</f>
        <v>62508.025174732407</v>
      </c>
      <c r="E578">
        <f t="shared" ref="E578:E641" si="55">D578/1000</f>
        <v>62.50802517473241</v>
      </c>
      <c r="F578" s="7">
        <v>0.70109356014580804</v>
      </c>
      <c r="G578">
        <f t="shared" si="50"/>
        <v>4</v>
      </c>
      <c r="H578" s="7">
        <f t="shared" si="51"/>
        <v>0.29890643985419196</v>
      </c>
      <c r="I578">
        <f t="shared" si="52"/>
        <v>2</v>
      </c>
      <c r="J578">
        <f>VLOOKUP(A578,'Housing Cost Calc'!$A$2:$C$827,3,FALSE)</f>
        <v>1940</v>
      </c>
      <c r="K578">
        <f t="shared" si="53"/>
        <v>0.37243217866704359</v>
      </c>
    </row>
    <row r="579" spans="1:11" ht="45" x14ac:dyDescent="0.25">
      <c r="A579" s="4" t="s">
        <v>3848</v>
      </c>
      <c r="B579">
        <v>91996</v>
      </c>
      <c r="C579">
        <v>2.16</v>
      </c>
      <c r="D579">
        <f t="shared" si="54"/>
        <v>62595.349549189232</v>
      </c>
      <c r="E579">
        <f t="shared" si="55"/>
        <v>62.59534954918923</v>
      </c>
      <c r="F579" s="7">
        <v>0.7023086269744836</v>
      </c>
      <c r="G579">
        <f t="shared" ref="G579:G642" si="56">IF(F579&lt;0.2,1,IF(F579&lt;0.4,2,IF(F579&lt;0.6,3,IF(F579&lt;0.8,4,5))))</f>
        <v>4</v>
      </c>
      <c r="H579" s="7">
        <f t="shared" ref="H579:H642" si="57">1-F579</f>
        <v>0.2976913730255164</v>
      </c>
      <c r="I579">
        <f t="shared" ref="I579:I642" si="58">6-G579</f>
        <v>2</v>
      </c>
      <c r="J579">
        <f>VLOOKUP(A579,'Housing Cost Calc'!$A$2:$C$827,3,FALSE)</f>
        <v>2280</v>
      </c>
      <c r="K579">
        <f t="shared" ref="K579:K642" si="59">(J579*12)/D579</f>
        <v>0.43709317380678131</v>
      </c>
    </row>
    <row r="580" spans="1:11" ht="60" x14ac:dyDescent="0.25">
      <c r="A580" s="4" t="s">
        <v>3469</v>
      </c>
      <c r="B580">
        <v>104500</v>
      </c>
      <c r="C580">
        <v>2.78</v>
      </c>
      <c r="D580">
        <f t="shared" si="54"/>
        <v>62674.935037975025</v>
      </c>
      <c r="E580">
        <f t="shared" si="55"/>
        <v>62.674935037975025</v>
      </c>
      <c r="F580" s="7">
        <v>0.70352369380315916</v>
      </c>
      <c r="G580">
        <f t="shared" si="56"/>
        <v>4</v>
      </c>
      <c r="H580" s="7">
        <f t="shared" si="57"/>
        <v>0.29647630619684084</v>
      </c>
      <c r="I580">
        <f t="shared" si="58"/>
        <v>2</v>
      </c>
      <c r="J580">
        <f>VLOOKUP(A580,'Housing Cost Calc'!$A$2:$C$827,3,FALSE)</f>
        <v>1647</v>
      </c>
      <c r="K580">
        <f t="shared" si="59"/>
        <v>0.31534137192204353</v>
      </c>
    </row>
    <row r="581" spans="1:11" ht="45" x14ac:dyDescent="0.25">
      <c r="A581" s="4" t="s">
        <v>3806</v>
      </c>
      <c r="B581">
        <v>103810</v>
      </c>
      <c r="C581">
        <v>2.74</v>
      </c>
      <c r="D581">
        <f t="shared" si="54"/>
        <v>62713.914508605667</v>
      </c>
      <c r="E581">
        <f t="shared" si="55"/>
        <v>62.713914508605669</v>
      </c>
      <c r="F581" s="7">
        <v>0.70473876063183472</v>
      </c>
      <c r="G581">
        <f t="shared" si="56"/>
        <v>4</v>
      </c>
      <c r="H581" s="7">
        <f t="shared" si="57"/>
        <v>0.29526123936816528</v>
      </c>
      <c r="I581">
        <f t="shared" si="58"/>
        <v>2</v>
      </c>
      <c r="J581">
        <f>VLOOKUP(A581,'Housing Cost Calc'!$A$2:$C$827,3,FALSE)</f>
        <v>1898</v>
      </c>
      <c r="K581">
        <f t="shared" si="59"/>
        <v>0.36317299244451812</v>
      </c>
    </row>
    <row r="582" spans="1:11" ht="60" x14ac:dyDescent="0.25">
      <c r="A582" s="4" t="s">
        <v>3833</v>
      </c>
      <c r="B582">
        <v>99112</v>
      </c>
      <c r="C582">
        <v>2.4900000000000002</v>
      </c>
      <c r="D582">
        <f t="shared" si="54"/>
        <v>62809.677917982059</v>
      </c>
      <c r="E582">
        <f t="shared" si="55"/>
        <v>62.809677917982057</v>
      </c>
      <c r="F582" s="7">
        <v>0.70595382746051027</v>
      </c>
      <c r="G582">
        <f t="shared" si="56"/>
        <v>4</v>
      </c>
      <c r="H582" s="7">
        <f t="shared" si="57"/>
        <v>0.29404617253948973</v>
      </c>
      <c r="I582">
        <f t="shared" si="58"/>
        <v>2</v>
      </c>
      <c r="J582">
        <f>VLOOKUP(A582,'Housing Cost Calc'!$A$2:$C$827,3,FALSE)</f>
        <v>1969</v>
      </c>
      <c r="K582">
        <f t="shared" si="59"/>
        <v>0.37618406562845047</v>
      </c>
    </row>
    <row r="583" spans="1:11" ht="60" x14ac:dyDescent="0.25">
      <c r="A583" s="4" t="s">
        <v>3324</v>
      </c>
      <c r="B583">
        <v>98250</v>
      </c>
      <c r="C583">
        <v>2.44</v>
      </c>
      <c r="D583">
        <f t="shared" si="54"/>
        <v>62898.117267035152</v>
      </c>
      <c r="E583">
        <f t="shared" si="55"/>
        <v>62.898117267035154</v>
      </c>
      <c r="F583" s="7">
        <v>0.70716889428918595</v>
      </c>
      <c r="G583">
        <f t="shared" si="56"/>
        <v>4</v>
      </c>
      <c r="H583" s="7">
        <f t="shared" si="57"/>
        <v>0.29283110571081405</v>
      </c>
      <c r="I583">
        <f t="shared" si="58"/>
        <v>2</v>
      </c>
      <c r="J583">
        <f>VLOOKUP(A583,'Housing Cost Calc'!$A$2:$C$827,3,FALSE)</f>
        <v>1570</v>
      </c>
      <c r="K583">
        <f t="shared" si="59"/>
        <v>0.29953201810500024</v>
      </c>
    </row>
    <row r="584" spans="1:11" ht="60" x14ac:dyDescent="0.25">
      <c r="A584" s="4" t="s">
        <v>3356</v>
      </c>
      <c r="B584">
        <v>100833</v>
      </c>
      <c r="C584">
        <v>2.56</v>
      </c>
      <c r="D584">
        <f t="shared" si="54"/>
        <v>63020.625</v>
      </c>
      <c r="E584">
        <f t="shared" si="55"/>
        <v>63.020625000000003</v>
      </c>
      <c r="F584" s="7">
        <v>0.7083839611178615</v>
      </c>
      <c r="G584">
        <f t="shared" si="56"/>
        <v>4</v>
      </c>
      <c r="H584" s="7">
        <f t="shared" si="57"/>
        <v>0.2916160388821385</v>
      </c>
      <c r="I584">
        <f t="shared" si="58"/>
        <v>2</v>
      </c>
      <c r="J584">
        <f>VLOOKUP(A584,'Housing Cost Calc'!$A$2:$C$827,3,FALSE)</f>
        <v>1587</v>
      </c>
      <c r="K584">
        <f t="shared" si="59"/>
        <v>0.30218678408854244</v>
      </c>
    </row>
    <row r="585" spans="1:11" ht="45" x14ac:dyDescent="0.25">
      <c r="A585" s="4" t="s">
        <v>3822</v>
      </c>
      <c r="B585">
        <v>95948</v>
      </c>
      <c r="C585">
        <v>2.31</v>
      </c>
      <c r="D585">
        <f t="shared" si="54"/>
        <v>63129.149227999915</v>
      </c>
      <c r="E585">
        <f t="shared" si="55"/>
        <v>63.129149227999918</v>
      </c>
      <c r="F585" s="7">
        <v>0.70959902794653706</v>
      </c>
      <c r="G585">
        <f t="shared" si="56"/>
        <v>4</v>
      </c>
      <c r="H585" s="7">
        <f t="shared" si="57"/>
        <v>0.29040097205346294</v>
      </c>
      <c r="I585">
        <f t="shared" si="58"/>
        <v>2</v>
      </c>
      <c r="J585">
        <f>VLOOKUP(A585,'Housing Cost Calc'!$A$2:$C$827,3,FALSE)</f>
        <v>1955</v>
      </c>
      <c r="K585">
        <f t="shared" si="59"/>
        <v>0.37161913770247196</v>
      </c>
    </row>
    <row r="586" spans="1:11" ht="60" x14ac:dyDescent="0.25">
      <c r="A586" s="4" t="s">
        <v>3391</v>
      </c>
      <c r="B586">
        <v>103598</v>
      </c>
      <c r="C586">
        <v>2.69</v>
      </c>
      <c r="D586">
        <f t="shared" si="54"/>
        <v>63164.815402506436</v>
      </c>
      <c r="E586">
        <f t="shared" si="55"/>
        <v>63.164815402506434</v>
      </c>
      <c r="F586" s="7">
        <v>0.71081409477521262</v>
      </c>
      <c r="G586">
        <f t="shared" si="56"/>
        <v>4</v>
      </c>
      <c r="H586" s="7">
        <f t="shared" si="57"/>
        <v>0.28918590522478738</v>
      </c>
      <c r="I586">
        <f t="shared" si="58"/>
        <v>2</v>
      </c>
      <c r="J586">
        <f>VLOOKUP(A586,'Housing Cost Calc'!$A$2:$C$827,3,FALSE)</f>
        <v>1613</v>
      </c>
      <c r="K586">
        <f t="shared" si="59"/>
        <v>0.30643642155300177</v>
      </c>
    </row>
    <row r="587" spans="1:11" ht="60" x14ac:dyDescent="0.25">
      <c r="A587" s="4" t="s">
        <v>3534</v>
      </c>
      <c r="B587">
        <v>75881</v>
      </c>
      <c r="C587">
        <v>1.44</v>
      </c>
      <c r="D587">
        <f t="shared" si="54"/>
        <v>63234.166666666672</v>
      </c>
      <c r="E587">
        <f t="shared" si="55"/>
        <v>63.234166666666674</v>
      </c>
      <c r="F587" s="7">
        <v>0.71202916160388818</v>
      </c>
      <c r="G587">
        <f t="shared" si="56"/>
        <v>4</v>
      </c>
      <c r="H587" s="7">
        <f t="shared" si="57"/>
        <v>0.28797083839611182</v>
      </c>
      <c r="I587">
        <f t="shared" si="58"/>
        <v>2</v>
      </c>
      <c r="J587">
        <f>VLOOKUP(A587,'Housing Cost Calc'!$A$2:$C$827,3,FALSE)</f>
        <v>1690</v>
      </c>
      <c r="K587">
        <f t="shared" si="59"/>
        <v>0.32071269487750553</v>
      </c>
    </row>
    <row r="588" spans="1:11" ht="60" x14ac:dyDescent="0.25">
      <c r="A588" s="4" t="s">
        <v>3120</v>
      </c>
      <c r="B588">
        <v>98000</v>
      </c>
      <c r="C588">
        <v>2.37</v>
      </c>
      <c r="D588">
        <f t="shared" si="54"/>
        <v>63657.840641239825</v>
      </c>
      <c r="E588">
        <f t="shared" si="55"/>
        <v>63.657840641239822</v>
      </c>
      <c r="F588" s="7">
        <v>0.71324422843256374</v>
      </c>
      <c r="G588">
        <f t="shared" si="56"/>
        <v>4</v>
      </c>
      <c r="H588" s="7">
        <f t="shared" si="57"/>
        <v>0.28675577156743626</v>
      </c>
      <c r="I588">
        <f t="shared" si="58"/>
        <v>2</v>
      </c>
      <c r="J588">
        <f>VLOOKUP(A588,'Housing Cost Calc'!$A$2:$C$827,3,FALSE)</f>
        <v>1396</v>
      </c>
      <c r="K588">
        <f t="shared" si="59"/>
        <v>0.26315689993963531</v>
      </c>
    </row>
    <row r="589" spans="1:11" ht="60" x14ac:dyDescent="0.25">
      <c r="A589" s="4" t="s">
        <v>3326</v>
      </c>
      <c r="B589">
        <v>99743</v>
      </c>
      <c r="C589">
        <v>2.4500000000000002</v>
      </c>
      <c r="D589">
        <f t="shared" si="54"/>
        <v>63723.465222789004</v>
      </c>
      <c r="E589">
        <f t="shared" si="55"/>
        <v>63.723465222789002</v>
      </c>
      <c r="F589" s="7">
        <v>0.71445929526123941</v>
      </c>
      <c r="G589">
        <f t="shared" si="56"/>
        <v>4</v>
      </c>
      <c r="H589" s="7">
        <f t="shared" si="57"/>
        <v>0.28554070473876059</v>
      </c>
      <c r="I589">
        <f t="shared" si="58"/>
        <v>2</v>
      </c>
      <c r="J589">
        <f>VLOOKUP(A589,'Housing Cost Calc'!$A$2:$C$827,3,FALSE)</f>
        <v>1591</v>
      </c>
      <c r="K589">
        <f t="shared" si="59"/>
        <v>0.29960705892642281</v>
      </c>
    </row>
    <row r="590" spans="1:11" ht="60" x14ac:dyDescent="0.25">
      <c r="A590" s="4" t="s">
        <v>3706</v>
      </c>
      <c r="B590">
        <v>99779</v>
      </c>
      <c r="C590">
        <v>2.44</v>
      </c>
      <c r="D590">
        <f t="shared" si="54"/>
        <v>63876.959214122136</v>
      </c>
      <c r="E590">
        <f t="shared" si="55"/>
        <v>63.876959214122138</v>
      </c>
      <c r="F590" s="7">
        <v>0.71567436208991497</v>
      </c>
      <c r="G590">
        <f t="shared" si="56"/>
        <v>4</v>
      </c>
      <c r="H590" s="7">
        <f t="shared" si="57"/>
        <v>0.28432563791008503</v>
      </c>
      <c r="I590">
        <f t="shared" si="58"/>
        <v>2</v>
      </c>
      <c r="J590">
        <f>VLOOKUP(A590,'Housing Cost Calc'!$A$2:$C$827,3,FALSE)</f>
        <v>1823</v>
      </c>
      <c r="K590">
        <f t="shared" si="59"/>
        <v>0.34247090451925549</v>
      </c>
    </row>
    <row r="591" spans="1:11" ht="60" x14ac:dyDescent="0.25">
      <c r="A591" s="4" t="s">
        <v>3563</v>
      </c>
      <c r="B591">
        <v>102610</v>
      </c>
      <c r="C591">
        <v>2.57</v>
      </c>
      <c r="D591">
        <f t="shared" si="54"/>
        <v>64006.359423830749</v>
      </c>
      <c r="E591">
        <f t="shared" si="55"/>
        <v>64.006359423830745</v>
      </c>
      <c r="F591" s="7">
        <v>0.71688942891859053</v>
      </c>
      <c r="G591">
        <f t="shared" si="56"/>
        <v>4</v>
      </c>
      <c r="H591" s="7">
        <f t="shared" si="57"/>
        <v>0.28311057108140947</v>
      </c>
      <c r="I591">
        <f t="shared" si="58"/>
        <v>2</v>
      </c>
      <c r="J591">
        <f>VLOOKUP(A591,'Housing Cost Calc'!$A$2:$C$827,3,FALSE)</f>
        <v>1720</v>
      </c>
      <c r="K591">
        <f t="shared" si="59"/>
        <v>0.32246795764977293</v>
      </c>
    </row>
    <row r="592" spans="1:11" ht="60" x14ac:dyDescent="0.25">
      <c r="A592" s="4" t="s">
        <v>3200</v>
      </c>
      <c r="B592">
        <v>99617</v>
      </c>
      <c r="C592">
        <v>2.42</v>
      </c>
      <c r="D592">
        <f t="shared" si="54"/>
        <v>64036.232928600279</v>
      </c>
      <c r="E592">
        <f t="shared" si="55"/>
        <v>64.036232928600285</v>
      </c>
      <c r="F592" s="7">
        <v>0.71810449574726609</v>
      </c>
      <c r="G592">
        <f t="shared" si="56"/>
        <v>4</v>
      </c>
      <c r="H592" s="7">
        <f t="shared" si="57"/>
        <v>0.28189550425273391</v>
      </c>
      <c r="I592">
        <f t="shared" si="58"/>
        <v>2</v>
      </c>
      <c r="J592">
        <f>VLOOKUP(A592,'Housing Cost Calc'!$A$2:$C$827,3,FALSE)</f>
        <v>1511</v>
      </c>
      <c r="K592">
        <f t="shared" si="59"/>
        <v>0.28315219635447619</v>
      </c>
    </row>
    <row r="593" spans="1:11" ht="60" x14ac:dyDescent="0.25">
      <c r="A593" s="4" t="s">
        <v>3429</v>
      </c>
      <c r="B593">
        <v>95642</v>
      </c>
      <c r="C593">
        <v>2.23</v>
      </c>
      <c r="D593">
        <f t="shared" si="54"/>
        <v>64046.620365707495</v>
      </c>
      <c r="E593">
        <f t="shared" si="55"/>
        <v>64.046620365707497</v>
      </c>
      <c r="F593" s="7">
        <v>0.71931956257594165</v>
      </c>
      <c r="G593">
        <f t="shared" si="56"/>
        <v>4</v>
      </c>
      <c r="H593" s="7">
        <f t="shared" si="57"/>
        <v>0.28068043742405835</v>
      </c>
      <c r="I593">
        <f t="shared" si="58"/>
        <v>2</v>
      </c>
      <c r="J593">
        <f>VLOOKUP(A593,'Housing Cost Calc'!$A$2:$C$827,3,FALSE)</f>
        <v>1661</v>
      </c>
      <c r="K593">
        <f t="shared" si="59"/>
        <v>0.31121080060412054</v>
      </c>
    </row>
    <row r="594" spans="1:11" ht="60" x14ac:dyDescent="0.25">
      <c r="A594" s="4" t="s">
        <v>3318</v>
      </c>
      <c r="B594">
        <v>93945</v>
      </c>
      <c r="C594">
        <v>2.15</v>
      </c>
      <c r="D594">
        <f t="shared" si="54"/>
        <v>64069.958221553628</v>
      </c>
      <c r="E594">
        <f t="shared" si="55"/>
        <v>64.069958221553634</v>
      </c>
      <c r="F594" s="7">
        <v>0.72053462940461721</v>
      </c>
      <c r="G594">
        <f t="shared" si="56"/>
        <v>4</v>
      </c>
      <c r="H594" s="7">
        <f t="shared" si="57"/>
        <v>0.27946537059538279</v>
      </c>
      <c r="I594">
        <f t="shared" si="58"/>
        <v>2</v>
      </c>
      <c r="J594">
        <f>VLOOKUP(A594,'Housing Cost Calc'!$A$2:$C$827,3,FALSE)</f>
        <v>1594</v>
      </c>
      <c r="K594">
        <f t="shared" si="59"/>
        <v>0.29854865729513141</v>
      </c>
    </row>
    <row r="595" spans="1:11" ht="60" x14ac:dyDescent="0.25">
      <c r="A595" s="4" t="s">
        <v>3513</v>
      </c>
      <c r="B595">
        <v>95125</v>
      </c>
      <c r="C595">
        <v>2.19</v>
      </c>
      <c r="D595">
        <f t="shared" si="54"/>
        <v>64279.518120251101</v>
      </c>
      <c r="E595">
        <f t="shared" si="55"/>
        <v>64.279518120251097</v>
      </c>
      <c r="F595" s="7">
        <v>0.72174969623329288</v>
      </c>
      <c r="G595">
        <f t="shared" si="56"/>
        <v>4</v>
      </c>
      <c r="H595" s="7">
        <f t="shared" si="57"/>
        <v>0.27825030376670712</v>
      </c>
      <c r="I595">
        <f t="shared" si="58"/>
        <v>2</v>
      </c>
      <c r="J595">
        <f>VLOOKUP(A595,'Housing Cost Calc'!$A$2:$C$827,3,FALSE)</f>
        <v>1710</v>
      </c>
      <c r="K595">
        <f t="shared" si="59"/>
        <v>0.3192307689925763</v>
      </c>
    </row>
    <row r="596" spans="1:11" ht="60" x14ac:dyDescent="0.25">
      <c r="A596" s="4" t="s">
        <v>3782</v>
      </c>
      <c r="B596">
        <v>106063</v>
      </c>
      <c r="C596">
        <v>2.72</v>
      </c>
      <c r="D596">
        <f t="shared" si="54"/>
        <v>64310.139995571459</v>
      </c>
      <c r="E596">
        <f t="shared" si="55"/>
        <v>64.310139995571461</v>
      </c>
      <c r="F596" s="7">
        <v>0.72296476306196844</v>
      </c>
      <c r="G596">
        <f t="shared" si="56"/>
        <v>4</v>
      </c>
      <c r="H596" s="7">
        <f t="shared" si="57"/>
        <v>0.27703523693803156</v>
      </c>
      <c r="I596">
        <f t="shared" si="58"/>
        <v>2</v>
      </c>
      <c r="J596">
        <f>VLOOKUP(A596,'Housing Cost Calc'!$A$2:$C$827,3,FALSE)</f>
        <v>1906</v>
      </c>
      <c r="K596">
        <f t="shared" si="59"/>
        <v>0.35565153491463425</v>
      </c>
    </row>
    <row r="597" spans="1:11" ht="60" x14ac:dyDescent="0.25">
      <c r="A597" s="4" t="s">
        <v>3050</v>
      </c>
      <c r="B597">
        <v>104336</v>
      </c>
      <c r="C597">
        <v>2.62</v>
      </c>
      <c r="D597">
        <f t="shared" si="54"/>
        <v>64458.996067622727</v>
      </c>
      <c r="E597">
        <f t="shared" si="55"/>
        <v>64.458996067622721</v>
      </c>
      <c r="F597" s="7">
        <v>0.724179829890644</v>
      </c>
      <c r="G597">
        <f t="shared" si="56"/>
        <v>4</v>
      </c>
      <c r="H597" s="7">
        <f t="shared" si="57"/>
        <v>0.275820170109356</v>
      </c>
      <c r="I597">
        <f t="shared" si="58"/>
        <v>2</v>
      </c>
      <c r="J597">
        <f>VLOOKUP(A597,'Housing Cost Calc'!$A$2:$C$827,3,FALSE)</f>
        <v>1214</v>
      </c>
      <c r="K597">
        <f t="shared" si="59"/>
        <v>0.22600414044173112</v>
      </c>
    </row>
    <row r="598" spans="1:11" ht="60" x14ac:dyDescent="0.25">
      <c r="A598" s="4" t="s">
        <v>3630</v>
      </c>
      <c r="B598">
        <v>105772</v>
      </c>
      <c r="C598">
        <v>2.69</v>
      </c>
      <c r="D598">
        <f t="shared" si="54"/>
        <v>64490.326596593666</v>
      </c>
      <c r="E598">
        <f t="shared" si="55"/>
        <v>64.490326596593661</v>
      </c>
      <c r="F598" s="7">
        <v>0.72539489671931956</v>
      </c>
      <c r="G598">
        <f t="shared" si="56"/>
        <v>4</v>
      </c>
      <c r="H598" s="7">
        <f t="shared" si="57"/>
        <v>0.27460510328068044</v>
      </c>
      <c r="I598">
        <f t="shared" si="58"/>
        <v>2</v>
      </c>
      <c r="J598">
        <f>VLOOKUP(A598,'Housing Cost Calc'!$A$2:$C$827,3,FALSE)</f>
        <v>1778</v>
      </c>
      <c r="K598">
        <f t="shared" si="59"/>
        <v>0.33084031553232907</v>
      </c>
    </row>
    <row r="599" spans="1:11" ht="60" x14ac:dyDescent="0.25">
      <c r="A599" s="4" t="s">
        <v>3654</v>
      </c>
      <c r="B599">
        <v>102222</v>
      </c>
      <c r="C599">
        <v>2.5099999999999998</v>
      </c>
      <c r="D599">
        <f t="shared" si="54"/>
        <v>64521.954273463642</v>
      </c>
      <c r="E599">
        <f t="shared" si="55"/>
        <v>64.521954273463635</v>
      </c>
      <c r="F599" s="7">
        <v>0.72660996354799512</v>
      </c>
      <c r="G599">
        <f t="shared" si="56"/>
        <v>4</v>
      </c>
      <c r="H599" s="7">
        <f t="shared" si="57"/>
        <v>0.27339003645200488</v>
      </c>
      <c r="I599">
        <f t="shared" si="58"/>
        <v>2</v>
      </c>
      <c r="J599">
        <f>VLOOKUP(A599,'Housing Cost Calc'!$A$2:$C$827,3,FALSE)</f>
        <v>1797</v>
      </c>
      <c r="K599">
        <f t="shared" si="59"/>
        <v>0.33421182360046348</v>
      </c>
    </row>
    <row r="600" spans="1:11" ht="75" x14ac:dyDescent="0.25">
      <c r="A600" s="4" t="s">
        <v>3703</v>
      </c>
      <c r="B600">
        <v>105441</v>
      </c>
      <c r="C600">
        <v>2.67</v>
      </c>
      <c r="D600">
        <f t="shared" si="54"/>
        <v>64528.844060081668</v>
      </c>
      <c r="E600">
        <f t="shared" si="55"/>
        <v>64.528844060081667</v>
      </c>
      <c r="F600" s="7">
        <v>0.72782503037667068</v>
      </c>
      <c r="G600">
        <f t="shared" si="56"/>
        <v>4</v>
      </c>
      <c r="H600" s="7">
        <f t="shared" si="57"/>
        <v>0.27217496962332932</v>
      </c>
      <c r="I600">
        <f t="shared" si="58"/>
        <v>2</v>
      </c>
      <c r="J600">
        <f>VLOOKUP(A600,'Housing Cost Calc'!$A$2:$C$827,3,FALSE)</f>
        <v>1838</v>
      </c>
      <c r="K600">
        <f t="shared" si="59"/>
        <v>0.3418006369285656</v>
      </c>
    </row>
    <row r="601" spans="1:11" ht="60" x14ac:dyDescent="0.25">
      <c r="A601" s="4" t="s">
        <v>3849</v>
      </c>
      <c r="B601">
        <v>110625</v>
      </c>
      <c r="C601">
        <v>2.93</v>
      </c>
      <c r="D601">
        <f t="shared" si="54"/>
        <v>64627.815060716573</v>
      </c>
      <c r="E601">
        <f t="shared" si="55"/>
        <v>64.627815060716571</v>
      </c>
      <c r="F601" s="7">
        <v>0.72904009720534635</v>
      </c>
      <c r="G601">
        <f t="shared" si="56"/>
        <v>4</v>
      </c>
      <c r="H601" s="7">
        <f t="shared" si="57"/>
        <v>0.27095990279465365</v>
      </c>
      <c r="I601">
        <f t="shared" si="58"/>
        <v>2</v>
      </c>
      <c r="J601">
        <f>VLOOKUP(A601,'Housing Cost Calc'!$A$2:$C$827,3,FALSE)</f>
        <v>2079</v>
      </c>
      <c r="K601">
        <f t="shared" si="59"/>
        <v>0.38602573793593115</v>
      </c>
    </row>
    <row r="602" spans="1:11" ht="60" x14ac:dyDescent="0.25">
      <c r="A602" s="4" t="s">
        <v>3694</v>
      </c>
      <c r="B602">
        <v>101818</v>
      </c>
      <c r="C602">
        <v>2.48</v>
      </c>
      <c r="D602">
        <f t="shared" si="54"/>
        <v>64654.494654526978</v>
      </c>
      <c r="E602">
        <f t="shared" si="55"/>
        <v>64.654494654526971</v>
      </c>
      <c r="F602" s="7">
        <v>0.73025516403402191</v>
      </c>
      <c r="G602">
        <f t="shared" si="56"/>
        <v>4</v>
      </c>
      <c r="H602" s="7">
        <f t="shared" si="57"/>
        <v>0.26974483596597809</v>
      </c>
      <c r="I602">
        <f t="shared" si="58"/>
        <v>2</v>
      </c>
      <c r="J602">
        <f>VLOOKUP(A602,'Housing Cost Calc'!$A$2:$C$827,3,FALSE)</f>
        <v>1838</v>
      </c>
      <c r="K602">
        <f t="shared" si="59"/>
        <v>0.34113637602232322</v>
      </c>
    </row>
    <row r="603" spans="1:11" ht="60" x14ac:dyDescent="0.25">
      <c r="A603" s="4" t="s">
        <v>3246</v>
      </c>
      <c r="B603">
        <v>94592</v>
      </c>
      <c r="C603">
        <v>2.14</v>
      </c>
      <c r="D603">
        <f t="shared" si="54"/>
        <v>64661.760009116937</v>
      </c>
      <c r="E603">
        <f t="shared" si="55"/>
        <v>64.661760009116932</v>
      </c>
      <c r="F603" s="7">
        <v>0.73147023086269747</v>
      </c>
      <c r="G603">
        <f t="shared" si="56"/>
        <v>4</v>
      </c>
      <c r="H603" s="7">
        <f t="shared" si="57"/>
        <v>0.26852976913730253</v>
      </c>
      <c r="I603">
        <f t="shared" si="58"/>
        <v>2</v>
      </c>
      <c r="J603">
        <f>VLOOKUP(A603,'Housing Cost Calc'!$A$2:$C$827,3,FALSE)</f>
        <v>1565</v>
      </c>
      <c r="K603">
        <f t="shared" si="59"/>
        <v>0.29043440817806582</v>
      </c>
    </row>
    <row r="604" spans="1:11" ht="45" x14ac:dyDescent="0.25">
      <c r="A604" s="4" t="s">
        <v>3780</v>
      </c>
      <c r="B604">
        <v>104417</v>
      </c>
      <c r="C604">
        <v>2.6</v>
      </c>
      <c r="D604">
        <f t="shared" si="54"/>
        <v>64756.674408006889</v>
      </c>
      <c r="E604">
        <f t="shared" si="55"/>
        <v>64.756674408006887</v>
      </c>
      <c r="F604" s="7">
        <v>0.73268529769137303</v>
      </c>
      <c r="G604">
        <f t="shared" si="56"/>
        <v>4</v>
      </c>
      <c r="H604" s="7">
        <f t="shared" si="57"/>
        <v>0.26731470230862697</v>
      </c>
      <c r="I604">
        <f t="shared" si="58"/>
        <v>2</v>
      </c>
      <c r="J604">
        <f>VLOOKUP(A604,'Housing Cost Calc'!$A$2:$C$827,3,FALSE)</f>
        <v>1919</v>
      </c>
      <c r="K604">
        <f t="shared" si="59"/>
        <v>0.35560813167936067</v>
      </c>
    </row>
    <row r="605" spans="1:11" ht="60" x14ac:dyDescent="0.25">
      <c r="A605" s="4" t="s">
        <v>3056</v>
      </c>
      <c r="B605">
        <v>105708</v>
      </c>
      <c r="C605">
        <v>2.66</v>
      </c>
      <c r="D605">
        <f t="shared" si="54"/>
        <v>64813.733298276762</v>
      </c>
      <c r="E605">
        <f t="shared" si="55"/>
        <v>64.813733298276759</v>
      </c>
      <c r="F605" s="7">
        <v>0.73390036452004859</v>
      </c>
      <c r="G605">
        <f t="shared" si="56"/>
        <v>4</v>
      </c>
      <c r="H605" s="7">
        <f t="shared" si="57"/>
        <v>0.26609963547995141</v>
      </c>
      <c r="I605">
        <f t="shared" si="58"/>
        <v>2</v>
      </c>
      <c r="J605">
        <f>VLOOKUP(A605,'Housing Cost Calc'!$A$2:$C$827,3,FALSE)</f>
        <v>1281</v>
      </c>
      <c r="K605">
        <f t="shared" si="59"/>
        <v>0.23717195751179948</v>
      </c>
    </row>
    <row r="606" spans="1:11" ht="60" x14ac:dyDescent="0.25">
      <c r="A606" s="4" t="s">
        <v>3407</v>
      </c>
      <c r="B606">
        <v>103631</v>
      </c>
      <c r="C606">
        <v>2.5499999999999998</v>
      </c>
      <c r="D606">
        <f t="shared" si="54"/>
        <v>64896.24950944513</v>
      </c>
      <c r="E606">
        <f t="shared" si="55"/>
        <v>64.896249509445127</v>
      </c>
      <c r="F606" s="7">
        <v>0.73511543134872415</v>
      </c>
      <c r="G606">
        <f t="shared" si="56"/>
        <v>4</v>
      </c>
      <c r="H606" s="7">
        <f t="shared" si="57"/>
        <v>0.26488456865127585</v>
      </c>
      <c r="I606">
        <f t="shared" si="58"/>
        <v>2</v>
      </c>
      <c r="J606">
        <f>VLOOKUP(A606,'Housing Cost Calc'!$A$2:$C$827,3,FALSE)</f>
        <v>1669</v>
      </c>
      <c r="K606">
        <f t="shared" si="59"/>
        <v>0.30861567735258855</v>
      </c>
    </row>
    <row r="607" spans="1:11" ht="60" x14ac:dyDescent="0.25">
      <c r="A607" s="4" t="s">
        <v>3168</v>
      </c>
      <c r="B607">
        <v>105328</v>
      </c>
      <c r="C607">
        <v>2.63</v>
      </c>
      <c r="D607">
        <f t="shared" si="54"/>
        <v>64948.027142152627</v>
      </c>
      <c r="E607">
        <f t="shared" si="55"/>
        <v>64.948027142152625</v>
      </c>
      <c r="F607" s="7">
        <v>0.73633049817739971</v>
      </c>
      <c r="G607">
        <f t="shared" si="56"/>
        <v>4</v>
      </c>
      <c r="H607" s="7">
        <f t="shared" si="57"/>
        <v>0.26366950182260029</v>
      </c>
      <c r="I607">
        <f t="shared" si="58"/>
        <v>2</v>
      </c>
      <c r="J607">
        <f>VLOOKUP(A607,'Housing Cost Calc'!$A$2:$C$827,3,FALSE)</f>
        <v>1487</v>
      </c>
      <c r="K607">
        <f t="shared" si="59"/>
        <v>0.2747427564034331</v>
      </c>
    </row>
    <row r="608" spans="1:11" ht="60" x14ac:dyDescent="0.25">
      <c r="A608" s="4" t="s">
        <v>3561</v>
      </c>
      <c r="B608">
        <v>102688</v>
      </c>
      <c r="C608">
        <v>2.4900000000000002</v>
      </c>
      <c r="D608">
        <f t="shared" si="54"/>
        <v>65075.875837857588</v>
      </c>
      <c r="E608">
        <f t="shared" si="55"/>
        <v>65.075875837857581</v>
      </c>
      <c r="F608" s="7">
        <v>0.73754556500607538</v>
      </c>
      <c r="G608">
        <f t="shared" si="56"/>
        <v>4</v>
      </c>
      <c r="H608" s="7">
        <f t="shared" si="57"/>
        <v>0.26245443499392462</v>
      </c>
      <c r="I608">
        <f t="shared" si="58"/>
        <v>2</v>
      </c>
      <c r="J608">
        <f>VLOOKUP(A608,'Housing Cost Calc'!$A$2:$C$827,3,FALSE)</f>
        <v>1746</v>
      </c>
      <c r="K608">
        <f t="shared" si="59"/>
        <v>0.32196262793610025</v>
      </c>
    </row>
    <row r="609" spans="1:11" ht="60" x14ac:dyDescent="0.25">
      <c r="A609" s="4" t="s">
        <v>3174</v>
      </c>
      <c r="B609">
        <v>99554</v>
      </c>
      <c r="C609">
        <v>2.34</v>
      </c>
      <c r="D609">
        <f t="shared" si="54"/>
        <v>65080.485725155908</v>
      </c>
      <c r="E609">
        <f t="shared" si="55"/>
        <v>65.08048572515591</v>
      </c>
      <c r="F609" s="7">
        <v>0.73876063183475094</v>
      </c>
      <c r="G609">
        <f t="shared" si="56"/>
        <v>4</v>
      </c>
      <c r="H609" s="7">
        <f t="shared" si="57"/>
        <v>0.26123936816524906</v>
      </c>
      <c r="I609">
        <f t="shared" si="58"/>
        <v>2</v>
      </c>
      <c r="J609">
        <f>VLOOKUP(A609,'Housing Cost Calc'!$A$2:$C$827,3,FALSE)</f>
        <v>1497</v>
      </c>
      <c r="K609">
        <f t="shared" si="59"/>
        <v>0.27602744201794238</v>
      </c>
    </row>
    <row r="610" spans="1:11" ht="60" x14ac:dyDescent="0.25">
      <c r="A610" s="4" t="s">
        <v>3588</v>
      </c>
      <c r="B610">
        <v>100435</v>
      </c>
      <c r="C610">
        <v>2.36</v>
      </c>
      <c r="D610">
        <f t="shared" si="54"/>
        <v>65377.616371795222</v>
      </c>
      <c r="E610">
        <f t="shared" si="55"/>
        <v>65.377616371795227</v>
      </c>
      <c r="F610" s="7">
        <v>0.7399756986634265</v>
      </c>
      <c r="G610">
        <f t="shared" si="56"/>
        <v>4</v>
      </c>
      <c r="H610" s="7">
        <f t="shared" si="57"/>
        <v>0.2600243013365735</v>
      </c>
      <c r="I610">
        <f t="shared" si="58"/>
        <v>2</v>
      </c>
      <c r="J610">
        <f>VLOOKUP(A610,'Housing Cost Calc'!$A$2:$C$827,3,FALSE)</f>
        <v>1779</v>
      </c>
      <c r="K610">
        <f t="shared" si="59"/>
        <v>0.32653377692139007</v>
      </c>
    </row>
    <row r="611" spans="1:11" ht="60" x14ac:dyDescent="0.25">
      <c r="A611" s="4" t="s">
        <v>3477</v>
      </c>
      <c r="B611">
        <v>106250</v>
      </c>
      <c r="C611">
        <v>2.64</v>
      </c>
      <c r="D611">
        <f t="shared" si="54"/>
        <v>65392.354582770517</v>
      </c>
      <c r="E611">
        <f t="shared" si="55"/>
        <v>65.392354582770523</v>
      </c>
      <c r="F611" s="7">
        <v>0.74119076549210205</v>
      </c>
      <c r="G611">
        <f t="shared" si="56"/>
        <v>4</v>
      </c>
      <c r="H611" s="7">
        <f t="shared" si="57"/>
        <v>0.25880923450789795</v>
      </c>
      <c r="I611">
        <f t="shared" si="58"/>
        <v>2</v>
      </c>
      <c r="J611">
        <f>VLOOKUP(A611,'Housing Cost Calc'!$A$2:$C$827,3,FALSE)</f>
        <v>1724</v>
      </c>
      <c r="K611">
        <f t="shared" si="59"/>
        <v>0.31636725932255766</v>
      </c>
    </row>
    <row r="612" spans="1:11" ht="60" x14ac:dyDescent="0.25">
      <c r="A612" s="4" t="s">
        <v>3808</v>
      </c>
      <c r="B612">
        <v>113500</v>
      </c>
      <c r="C612">
        <v>3.01</v>
      </c>
      <c r="D612">
        <f t="shared" si="54"/>
        <v>65420.31240943067</v>
      </c>
      <c r="E612">
        <f t="shared" si="55"/>
        <v>65.420312409430665</v>
      </c>
      <c r="F612" s="7">
        <v>0.74240583232077761</v>
      </c>
      <c r="G612">
        <f t="shared" si="56"/>
        <v>4</v>
      </c>
      <c r="H612" s="7">
        <f t="shared" si="57"/>
        <v>0.25759416767922239</v>
      </c>
      <c r="I612">
        <f t="shared" si="58"/>
        <v>2</v>
      </c>
      <c r="J612">
        <f>VLOOKUP(A612,'Housing Cost Calc'!$A$2:$C$827,3,FALSE)</f>
        <v>1981</v>
      </c>
      <c r="K612">
        <f t="shared" si="59"/>
        <v>0.36337337937525876</v>
      </c>
    </row>
    <row r="613" spans="1:11" ht="60" x14ac:dyDescent="0.25">
      <c r="A613" s="4" t="s">
        <v>3870</v>
      </c>
      <c r="B613">
        <v>111793</v>
      </c>
      <c r="C613">
        <v>2.92</v>
      </c>
      <c r="D613">
        <f t="shared" si="54"/>
        <v>65421.904842485121</v>
      </c>
      <c r="E613">
        <f t="shared" si="55"/>
        <v>65.42190484248512</v>
      </c>
      <c r="F613" s="7">
        <v>0.74362089914945317</v>
      </c>
      <c r="G613">
        <f t="shared" si="56"/>
        <v>4</v>
      </c>
      <c r="H613" s="7">
        <f t="shared" si="57"/>
        <v>0.25637910085054683</v>
      </c>
      <c r="I613">
        <f t="shared" si="58"/>
        <v>2</v>
      </c>
      <c r="J613">
        <f>VLOOKUP(A613,'Housing Cost Calc'!$A$2:$C$827,3,FALSE)</f>
        <v>2304</v>
      </c>
      <c r="K613">
        <f t="shared" si="59"/>
        <v>0.42261074584372743</v>
      </c>
    </row>
    <row r="614" spans="1:11" ht="60" x14ac:dyDescent="0.25">
      <c r="A614" s="4" t="s">
        <v>3248</v>
      </c>
      <c r="B614">
        <v>102955</v>
      </c>
      <c r="C614">
        <v>2.4700000000000002</v>
      </c>
      <c r="D614">
        <f t="shared" si="54"/>
        <v>65508.697772171196</v>
      </c>
      <c r="E614">
        <f t="shared" si="55"/>
        <v>65.508697772171189</v>
      </c>
      <c r="F614" s="7">
        <v>0.74483596597812884</v>
      </c>
      <c r="G614">
        <f t="shared" si="56"/>
        <v>4</v>
      </c>
      <c r="H614" s="7">
        <f t="shared" si="57"/>
        <v>0.25516403402187116</v>
      </c>
      <c r="I614">
        <f t="shared" si="58"/>
        <v>2</v>
      </c>
      <c r="J614">
        <f>VLOOKUP(A614,'Housing Cost Calc'!$A$2:$C$827,3,FALSE)</f>
        <v>1589</v>
      </c>
      <c r="K614">
        <f t="shared" si="59"/>
        <v>0.29107585173369593</v>
      </c>
    </row>
    <row r="615" spans="1:11" ht="60" x14ac:dyDescent="0.25">
      <c r="A615" s="4" t="s">
        <v>3809</v>
      </c>
      <c r="B615">
        <v>107033</v>
      </c>
      <c r="C615">
        <v>2.66</v>
      </c>
      <c r="D615">
        <f t="shared" si="54"/>
        <v>65626.142923094347</v>
      </c>
      <c r="E615">
        <f t="shared" si="55"/>
        <v>65.626142923094349</v>
      </c>
      <c r="F615" s="7">
        <v>0.7460510328068044</v>
      </c>
      <c r="G615">
        <f t="shared" si="56"/>
        <v>4</v>
      </c>
      <c r="H615" s="7">
        <f t="shared" si="57"/>
        <v>0.2539489671931956</v>
      </c>
      <c r="I615">
        <f t="shared" si="58"/>
        <v>2</v>
      </c>
      <c r="J615">
        <f>VLOOKUP(A615,'Housing Cost Calc'!$A$2:$C$827,3,FALSE)</f>
        <v>1991</v>
      </c>
      <c r="K615">
        <f t="shared" si="59"/>
        <v>0.36406223093132933</v>
      </c>
    </row>
    <row r="616" spans="1:11" ht="60" x14ac:dyDescent="0.25">
      <c r="A616" s="4" t="s">
        <v>3108</v>
      </c>
      <c r="B616">
        <v>95795</v>
      </c>
      <c r="C616">
        <v>2.13</v>
      </c>
      <c r="D616">
        <f t="shared" si="54"/>
        <v>65637.652457928401</v>
      </c>
      <c r="E616">
        <f t="shared" si="55"/>
        <v>65.637652457928397</v>
      </c>
      <c r="F616" s="7">
        <v>0.74726609963547996</v>
      </c>
      <c r="G616">
        <f t="shared" si="56"/>
        <v>4</v>
      </c>
      <c r="H616" s="7">
        <f t="shared" si="57"/>
        <v>0.25273390036452004</v>
      </c>
      <c r="I616">
        <f t="shared" si="58"/>
        <v>2</v>
      </c>
      <c r="J616">
        <f>VLOOKUP(A616,'Housing Cost Calc'!$A$2:$C$827,3,FALSE)</f>
        <v>1421</v>
      </c>
      <c r="K616">
        <f t="shared" si="59"/>
        <v>0.25978991267138596</v>
      </c>
    </row>
    <row r="617" spans="1:11" ht="60" x14ac:dyDescent="0.25">
      <c r="A617" s="4" t="s">
        <v>3192</v>
      </c>
      <c r="B617">
        <v>106782</v>
      </c>
      <c r="C617">
        <v>2.64</v>
      </c>
      <c r="D617">
        <f t="shared" si="54"/>
        <v>65719.777948775532</v>
      </c>
      <c r="E617">
        <f t="shared" si="55"/>
        <v>65.71977794877553</v>
      </c>
      <c r="F617" s="7">
        <v>0.74848116646415552</v>
      </c>
      <c r="G617">
        <f t="shared" si="56"/>
        <v>4</v>
      </c>
      <c r="H617" s="7">
        <f t="shared" si="57"/>
        <v>0.25151883353584448</v>
      </c>
      <c r="I617">
        <f t="shared" si="58"/>
        <v>2</v>
      </c>
      <c r="J617">
        <f>VLOOKUP(A617,'Housing Cost Calc'!$A$2:$C$827,3,FALSE)</f>
        <v>1549</v>
      </c>
      <c r="K617">
        <f t="shared" si="59"/>
        <v>0.28283723074183525</v>
      </c>
    </row>
    <row r="618" spans="1:11" ht="60" x14ac:dyDescent="0.25">
      <c r="A618" s="4" t="s">
        <v>3692</v>
      </c>
      <c r="B618">
        <v>108636</v>
      </c>
      <c r="C618">
        <v>2.73</v>
      </c>
      <c r="D618">
        <f t="shared" si="54"/>
        <v>65749.498239008026</v>
      </c>
      <c r="E618">
        <f t="shared" si="55"/>
        <v>65.74949823900802</v>
      </c>
      <c r="F618" s="7">
        <v>0.74969623329283108</v>
      </c>
      <c r="G618">
        <f t="shared" si="56"/>
        <v>4</v>
      </c>
      <c r="H618" s="7">
        <f t="shared" si="57"/>
        <v>0.25030376670716892</v>
      </c>
      <c r="I618">
        <f t="shared" si="58"/>
        <v>2</v>
      </c>
      <c r="J618">
        <f>VLOOKUP(A618,'Housing Cost Calc'!$A$2:$C$827,3,FALSE)</f>
        <v>1867</v>
      </c>
      <c r="K618">
        <f t="shared" si="59"/>
        <v>0.3407478475129731</v>
      </c>
    </row>
    <row r="619" spans="1:11" ht="60" x14ac:dyDescent="0.25">
      <c r="A619" s="4" t="s">
        <v>3724</v>
      </c>
      <c r="B619">
        <v>104432</v>
      </c>
      <c r="C619">
        <v>2.5099999999999998</v>
      </c>
      <c r="D619">
        <f t="shared" si="54"/>
        <v>65916.893904309793</v>
      </c>
      <c r="E619">
        <f t="shared" si="55"/>
        <v>65.916893904309788</v>
      </c>
      <c r="F619" s="7">
        <v>0.75091130012150664</v>
      </c>
      <c r="G619">
        <f t="shared" si="56"/>
        <v>4</v>
      </c>
      <c r="H619" s="7">
        <f t="shared" si="57"/>
        <v>0.24908869987849336</v>
      </c>
      <c r="I619">
        <f t="shared" si="58"/>
        <v>2</v>
      </c>
      <c r="J619">
        <f>VLOOKUP(A619,'Housing Cost Calc'!$A$2:$C$827,3,FALSE)</f>
        <v>1895</v>
      </c>
      <c r="K619">
        <f t="shared" si="59"/>
        <v>0.34497984739710569</v>
      </c>
    </row>
    <row r="620" spans="1:11" ht="60" x14ac:dyDescent="0.25">
      <c r="A620" s="4" t="s">
        <v>3788</v>
      </c>
      <c r="B620">
        <v>106296</v>
      </c>
      <c r="C620">
        <v>2.6</v>
      </c>
      <c r="D620">
        <f t="shared" si="54"/>
        <v>65921.980739472507</v>
      </c>
      <c r="E620">
        <f t="shared" si="55"/>
        <v>65.921980739472502</v>
      </c>
      <c r="F620" s="7">
        <v>0.75212636695018231</v>
      </c>
      <c r="G620">
        <f t="shared" si="56"/>
        <v>4</v>
      </c>
      <c r="H620" s="7">
        <f t="shared" si="57"/>
        <v>0.24787363304981769</v>
      </c>
      <c r="I620">
        <f t="shared" si="58"/>
        <v>2</v>
      </c>
      <c r="J620">
        <f>VLOOKUP(A620,'Housing Cost Calc'!$A$2:$C$827,3,FALSE)</f>
        <v>1962</v>
      </c>
      <c r="K620">
        <f t="shared" si="59"/>
        <v>0.35714946268145759</v>
      </c>
    </row>
    <row r="621" spans="1:11" ht="60" x14ac:dyDescent="0.25">
      <c r="A621" s="4" t="s">
        <v>3792</v>
      </c>
      <c r="B621">
        <v>106915</v>
      </c>
      <c r="C621">
        <v>2.62</v>
      </c>
      <c r="D621">
        <f t="shared" si="54"/>
        <v>66052.307588654759</v>
      </c>
      <c r="E621">
        <f t="shared" si="55"/>
        <v>66.052307588654756</v>
      </c>
      <c r="F621" s="7">
        <v>0.75334143377885787</v>
      </c>
      <c r="G621">
        <f t="shared" si="56"/>
        <v>4</v>
      </c>
      <c r="H621" s="7">
        <f t="shared" si="57"/>
        <v>0.24665856622114213</v>
      </c>
      <c r="I621">
        <f t="shared" si="58"/>
        <v>2</v>
      </c>
      <c r="J621">
        <f>VLOOKUP(A621,'Housing Cost Calc'!$A$2:$C$827,3,FALSE)</f>
        <v>1972</v>
      </c>
      <c r="K621">
        <f t="shared" si="59"/>
        <v>0.35826151824050068</v>
      </c>
    </row>
    <row r="622" spans="1:11" ht="60" x14ac:dyDescent="0.25">
      <c r="A622" s="4" t="s">
        <v>3124</v>
      </c>
      <c r="B622">
        <v>96472</v>
      </c>
      <c r="C622">
        <v>2.13</v>
      </c>
      <c r="D622">
        <f t="shared" si="54"/>
        <v>66101.525214481633</v>
      </c>
      <c r="E622">
        <f t="shared" si="55"/>
        <v>66.10152521448164</v>
      </c>
      <c r="F622" s="7">
        <v>0.75455650060753343</v>
      </c>
      <c r="G622">
        <f t="shared" si="56"/>
        <v>4</v>
      </c>
      <c r="H622" s="7">
        <f t="shared" si="57"/>
        <v>0.24544349939246657</v>
      </c>
      <c r="I622">
        <f t="shared" si="58"/>
        <v>2</v>
      </c>
      <c r="J622">
        <f>VLOOKUP(A622,'Housing Cost Calc'!$A$2:$C$827,3,FALSE)</f>
        <v>1454</v>
      </c>
      <c r="K622">
        <f t="shared" si="59"/>
        <v>0.26395760072685076</v>
      </c>
    </row>
    <row r="623" spans="1:11" ht="60" x14ac:dyDescent="0.25">
      <c r="A623" s="4" t="s">
        <v>3799</v>
      </c>
      <c r="B623">
        <v>107109</v>
      </c>
      <c r="C623">
        <v>2.62</v>
      </c>
      <c r="D623">
        <f t="shared" si="54"/>
        <v>66172.161188918515</v>
      </c>
      <c r="E623">
        <f t="shared" si="55"/>
        <v>66.172161188918508</v>
      </c>
      <c r="F623" s="7">
        <v>0.75577156743620899</v>
      </c>
      <c r="G623">
        <f t="shared" si="56"/>
        <v>4</v>
      </c>
      <c r="H623" s="7">
        <f t="shared" si="57"/>
        <v>0.24422843256379101</v>
      </c>
      <c r="I623">
        <f t="shared" si="58"/>
        <v>2</v>
      </c>
      <c r="J623">
        <f>VLOOKUP(A623,'Housing Cost Calc'!$A$2:$C$827,3,FALSE)</f>
        <v>1988</v>
      </c>
      <c r="K623">
        <f t="shared" si="59"/>
        <v>0.36051414327986364</v>
      </c>
    </row>
    <row r="624" spans="1:11" ht="60" x14ac:dyDescent="0.25">
      <c r="A624" s="4" t="s">
        <v>3310</v>
      </c>
      <c r="B624">
        <v>106765</v>
      </c>
      <c r="C624">
        <v>2.59</v>
      </c>
      <c r="D624">
        <f t="shared" si="54"/>
        <v>66340.543067118124</v>
      </c>
      <c r="E624">
        <f t="shared" si="55"/>
        <v>66.340543067118119</v>
      </c>
      <c r="F624" s="7">
        <v>0.75698663426488455</v>
      </c>
      <c r="G624">
        <f t="shared" si="56"/>
        <v>4</v>
      </c>
      <c r="H624" s="7">
        <f t="shared" si="57"/>
        <v>0.24301336573511545</v>
      </c>
      <c r="I624">
        <f t="shared" si="58"/>
        <v>2</v>
      </c>
      <c r="J624">
        <f>VLOOKUP(A624,'Housing Cost Calc'!$A$2:$C$827,3,FALSE)</f>
        <v>1649</v>
      </c>
      <c r="K624">
        <f t="shared" si="59"/>
        <v>0.29827913799228423</v>
      </c>
    </row>
    <row r="625" spans="1:11" ht="60" x14ac:dyDescent="0.25">
      <c r="A625" s="4" t="s">
        <v>3760</v>
      </c>
      <c r="B625">
        <v>110543</v>
      </c>
      <c r="C625">
        <v>2.77</v>
      </c>
      <c r="D625">
        <f t="shared" si="54"/>
        <v>66418.851573964537</v>
      </c>
      <c r="E625">
        <f t="shared" si="55"/>
        <v>66.418851573964531</v>
      </c>
      <c r="F625" s="7">
        <v>0.75820170109356011</v>
      </c>
      <c r="G625">
        <f t="shared" si="56"/>
        <v>4</v>
      </c>
      <c r="H625" s="7">
        <f t="shared" si="57"/>
        <v>0.24179829890643989</v>
      </c>
      <c r="I625">
        <f t="shared" si="58"/>
        <v>2</v>
      </c>
      <c r="J625">
        <f>VLOOKUP(A625,'Housing Cost Calc'!$A$2:$C$827,3,FALSE)</f>
        <v>1948</v>
      </c>
      <c r="K625">
        <f t="shared" si="59"/>
        <v>0.35194827140255969</v>
      </c>
    </row>
    <row r="626" spans="1:11" ht="60" x14ac:dyDescent="0.25">
      <c r="A626" s="4" t="s">
        <v>3610</v>
      </c>
      <c r="B626">
        <v>105769</v>
      </c>
      <c r="C626">
        <v>2.5299999999999998</v>
      </c>
      <c r="D626">
        <f t="shared" si="54"/>
        <v>66496.400571255028</v>
      </c>
      <c r="E626">
        <f t="shared" si="55"/>
        <v>66.496400571255023</v>
      </c>
      <c r="F626" s="7">
        <v>0.75941676792223567</v>
      </c>
      <c r="G626">
        <f t="shared" si="56"/>
        <v>4</v>
      </c>
      <c r="H626" s="7">
        <f t="shared" si="57"/>
        <v>0.24058323207776433</v>
      </c>
      <c r="I626">
        <f t="shared" si="58"/>
        <v>2</v>
      </c>
      <c r="J626">
        <f>VLOOKUP(A626,'Housing Cost Calc'!$A$2:$C$827,3,FALSE)</f>
        <v>1827</v>
      </c>
      <c r="K626">
        <f t="shared" si="59"/>
        <v>0.329702056226443</v>
      </c>
    </row>
    <row r="627" spans="1:11" ht="60" x14ac:dyDescent="0.25">
      <c r="A627" s="4" t="s">
        <v>3457</v>
      </c>
      <c r="B627">
        <v>109688</v>
      </c>
      <c r="C627">
        <v>2.72</v>
      </c>
      <c r="D627">
        <f t="shared" si="54"/>
        <v>66508.119097463219</v>
      </c>
      <c r="E627">
        <f t="shared" si="55"/>
        <v>66.508119097463222</v>
      </c>
      <c r="F627" s="7">
        <v>0.76063183475091134</v>
      </c>
      <c r="G627">
        <f t="shared" si="56"/>
        <v>4</v>
      </c>
      <c r="H627" s="7">
        <f t="shared" si="57"/>
        <v>0.23936816524908866</v>
      </c>
      <c r="I627">
        <f t="shared" si="58"/>
        <v>2</v>
      </c>
      <c r="J627">
        <f>VLOOKUP(A627,'Housing Cost Calc'!$A$2:$C$827,3,FALSE)</f>
        <v>1739</v>
      </c>
      <c r="K627">
        <f t="shared" si="59"/>
        <v>0.31376620303183339</v>
      </c>
    </row>
    <row r="628" spans="1:11" ht="60" x14ac:dyDescent="0.25">
      <c r="A628" s="4" t="s">
        <v>3528</v>
      </c>
      <c r="B628">
        <v>107500</v>
      </c>
      <c r="C628">
        <v>2.61</v>
      </c>
      <c r="D628">
        <f t="shared" si="54"/>
        <v>66540.82951344359</v>
      </c>
      <c r="E628">
        <f t="shared" si="55"/>
        <v>66.540829513443583</v>
      </c>
      <c r="F628" s="7">
        <v>0.7618469015795869</v>
      </c>
      <c r="G628">
        <f t="shared" si="56"/>
        <v>4</v>
      </c>
      <c r="H628" s="7">
        <f t="shared" si="57"/>
        <v>0.2381530984204131</v>
      </c>
      <c r="I628">
        <f t="shared" si="58"/>
        <v>2</v>
      </c>
      <c r="J628">
        <f>VLOOKUP(A628,'Housing Cost Calc'!$A$2:$C$827,3,FALSE)</f>
        <v>1778</v>
      </c>
      <c r="K628">
        <f t="shared" si="59"/>
        <v>0.32064523625587471</v>
      </c>
    </row>
    <row r="629" spans="1:11" ht="60" x14ac:dyDescent="0.25">
      <c r="A629" s="4" t="s">
        <v>3194</v>
      </c>
      <c r="B629">
        <v>107670</v>
      </c>
      <c r="C629">
        <v>2.61</v>
      </c>
      <c r="D629">
        <f t="shared" si="54"/>
        <v>66646.056871743916</v>
      </c>
      <c r="E629">
        <f t="shared" si="55"/>
        <v>66.646056871743923</v>
      </c>
      <c r="F629" s="7">
        <v>0.76306196840826246</v>
      </c>
      <c r="G629">
        <f t="shared" si="56"/>
        <v>4</v>
      </c>
      <c r="H629" s="7">
        <f t="shared" si="57"/>
        <v>0.23693803159173754</v>
      </c>
      <c r="I629">
        <f t="shared" si="58"/>
        <v>2</v>
      </c>
      <c r="J629">
        <f>VLOOKUP(A629,'Housing Cost Calc'!$A$2:$C$827,3,FALSE)</f>
        <v>1572</v>
      </c>
      <c r="K629">
        <f t="shared" si="59"/>
        <v>0.28304750326493533</v>
      </c>
    </row>
    <row r="630" spans="1:11" ht="60" x14ac:dyDescent="0.25">
      <c r="A630" s="4" t="s">
        <v>3752</v>
      </c>
      <c r="B630">
        <v>104375</v>
      </c>
      <c r="C630">
        <v>2.4500000000000002</v>
      </c>
      <c r="D630">
        <f t="shared" si="54"/>
        <v>66682.741471868736</v>
      </c>
      <c r="E630">
        <f t="shared" si="55"/>
        <v>66.682741471868738</v>
      </c>
      <c r="F630" s="7">
        <v>0.76427703523693802</v>
      </c>
      <c r="G630">
        <f t="shared" si="56"/>
        <v>4</v>
      </c>
      <c r="H630" s="7">
        <f t="shared" si="57"/>
        <v>0.23572296476306198</v>
      </c>
      <c r="I630">
        <f t="shared" si="58"/>
        <v>2</v>
      </c>
      <c r="J630">
        <f>VLOOKUP(A630,'Housing Cost Calc'!$A$2:$C$827,3,FALSE)</f>
        <v>1948</v>
      </c>
      <c r="K630">
        <f t="shared" si="59"/>
        <v>0.35055547333580411</v>
      </c>
    </row>
    <row r="631" spans="1:11" ht="60" x14ac:dyDescent="0.25">
      <c r="A631" s="4" t="s">
        <v>3252</v>
      </c>
      <c r="B631">
        <v>110365</v>
      </c>
      <c r="C631">
        <v>2.73</v>
      </c>
      <c r="D631">
        <f t="shared" si="54"/>
        <v>66795.936642992383</v>
      </c>
      <c r="E631">
        <f t="shared" si="55"/>
        <v>66.795936642992388</v>
      </c>
      <c r="F631" s="7">
        <v>0.76549210206561358</v>
      </c>
      <c r="G631">
        <f t="shared" si="56"/>
        <v>4</v>
      </c>
      <c r="H631" s="7">
        <f t="shared" si="57"/>
        <v>0.23450789793438642</v>
      </c>
      <c r="I631">
        <f t="shared" si="58"/>
        <v>2</v>
      </c>
      <c r="J631">
        <f>VLOOKUP(A631,'Housing Cost Calc'!$A$2:$C$827,3,FALSE)</f>
        <v>1621</v>
      </c>
      <c r="K631">
        <f t="shared" si="59"/>
        <v>0.29121531903903208</v>
      </c>
    </row>
    <row r="632" spans="1:11" ht="60" x14ac:dyDescent="0.25">
      <c r="A632" s="4" t="s">
        <v>3058</v>
      </c>
      <c r="B632">
        <v>101964</v>
      </c>
      <c r="C632">
        <v>2.3199999999999998</v>
      </c>
      <c r="D632">
        <f t="shared" si="54"/>
        <v>66942.645600543765</v>
      </c>
      <c r="E632">
        <f t="shared" si="55"/>
        <v>66.94264560054377</v>
      </c>
      <c r="F632" s="7">
        <v>0.76670716889428914</v>
      </c>
      <c r="G632">
        <f t="shared" si="56"/>
        <v>4</v>
      </c>
      <c r="H632" s="7">
        <f t="shared" si="57"/>
        <v>0.23329283110571086</v>
      </c>
      <c r="I632">
        <f t="shared" si="58"/>
        <v>2</v>
      </c>
      <c r="J632">
        <f>VLOOKUP(A632,'Housing Cost Calc'!$A$2:$C$827,3,FALSE)</f>
        <v>1333</v>
      </c>
      <c r="K632">
        <f t="shared" si="59"/>
        <v>0.23895081911537219</v>
      </c>
    </row>
    <row r="633" spans="1:11" ht="75" x14ac:dyDescent="0.25">
      <c r="A633" s="4" t="s">
        <v>3745</v>
      </c>
      <c r="B633">
        <v>113466</v>
      </c>
      <c r="C633">
        <v>2.86</v>
      </c>
      <c r="D633">
        <f t="shared" si="54"/>
        <v>67093.852323297251</v>
      </c>
      <c r="E633">
        <f t="shared" si="55"/>
        <v>67.093852323297256</v>
      </c>
      <c r="F633" s="7">
        <v>0.76792223572296481</v>
      </c>
      <c r="G633">
        <f t="shared" si="56"/>
        <v>4</v>
      </c>
      <c r="H633" s="7">
        <f t="shared" si="57"/>
        <v>0.23207776427703519</v>
      </c>
      <c r="I633">
        <f t="shared" si="58"/>
        <v>2</v>
      </c>
      <c r="J633">
        <f>VLOOKUP(A633,'Housing Cost Calc'!$A$2:$C$827,3,FALSE)</f>
        <v>1955</v>
      </c>
      <c r="K633">
        <f t="shared" si="59"/>
        <v>0.34965945742623422</v>
      </c>
    </row>
    <row r="634" spans="1:11" ht="45" x14ac:dyDescent="0.25">
      <c r="A634" s="4" t="s">
        <v>3872</v>
      </c>
      <c r="B634">
        <v>113636</v>
      </c>
      <c r="C634">
        <v>2.85</v>
      </c>
      <c r="D634">
        <f t="shared" si="54"/>
        <v>67312.157073032213</v>
      </c>
      <c r="E634">
        <f t="shared" si="55"/>
        <v>67.312157073032211</v>
      </c>
      <c r="F634" s="7">
        <v>0.76913730255164037</v>
      </c>
      <c r="G634">
        <f t="shared" si="56"/>
        <v>4</v>
      </c>
      <c r="H634" s="7">
        <f t="shared" si="57"/>
        <v>0.23086269744835963</v>
      </c>
      <c r="I634">
        <f t="shared" si="58"/>
        <v>2</v>
      </c>
      <c r="J634">
        <f>VLOOKUP(A634,'Housing Cost Calc'!$A$2:$C$827,3,FALSE)</f>
        <v>2439</v>
      </c>
      <c r="K634">
        <f t="shared" si="59"/>
        <v>0.43481001460471491</v>
      </c>
    </row>
    <row r="635" spans="1:11" ht="60" x14ac:dyDescent="0.25">
      <c r="A635" s="4" t="s">
        <v>3130</v>
      </c>
      <c r="B635">
        <v>102227</v>
      </c>
      <c r="C635">
        <v>2.29</v>
      </c>
      <c r="D635">
        <f t="shared" si="54"/>
        <v>67553.503068722464</v>
      </c>
      <c r="E635">
        <f t="shared" si="55"/>
        <v>67.553503068722463</v>
      </c>
      <c r="F635" s="7">
        <v>0.77035236938031593</v>
      </c>
      <c r="G635">
        <f t="shared" si="56"/>
        <v>4</v>
      </c>
      <c r="H635" s="7">
        <f t="shared" si="57"/>
        <v>0.22964763061968407</v>
      </c>
      <c r="I635">
        <f t="shared" si="58"/>
        <v>2</v>
      </c>
      <c r="J635">
        <f>VLOOKUP(A635,'Housing Cost Calc'!$A$2:$C$827,3,FALSE)</f>
        <v>1493</v>
      </c>
      <c r="K635">
        <f t="shared" si="59"/>
        <v>0.26521200509430248</v>
      </c>
    </row>
    <row r="636" spans="1:11" ht="60" x14ac:dyDescent="0.25">
      <c r="A636" s="4" t="s">
        <v>3571</v>
      </c>
      <c r="B636">
        <v>107619</v>
      </c>
      <c r="C636">
        <v>2.5299999999999998</v>
      </c>
      <c r="D636">
        <f t="shared" si="54"/>
        <v>67659.485606159607</v>
      </c>
      <c r="E636">
        <f t="shared" si="55"/>
        <v>67.659485606159606</v>
      </c>
      <c r="F636" s="7">
        <v>0.77156743620899149</v>
      </c>
      <c r="G636">
        <f t="shared" si="56"/>
        <v>4</v>
      </c>
      <c r="H636" s="7">
        <f t="shared" si="57"/>
        <v>0.22843256379100851</v>
      </c>
      <c r="I636">
        <f t="shared" si="58"/>
        <v>2</v>
      </c>
      <c r="J636">
        <f>VLOOKUP(A636,'Housing Cost Calc'!$A$2:$C$827,3,FALSE)</f>
        <v>1824</v>
      </c>
      <c r="K636">
        <f t="shared" si="59"/>
        <v>0.32350231167006321</v>
      </c>
    </row>
    <row r="637" spans="1:11" ht="60" x14ac:dyDescent="0.25">
      <c r="A637" s="4" t="s">
        <v>3846</v>
      </c>
      <c r="B637">
        <v>116500</v>
      </c>
      <c r="C637">
        <v>2.96</v>
      </c>
      <c r="D637">
        <f t="shared" si="54"/>
        <v>67714.249568274739</v>
      </c>
      <c r="E637">
        <f t="shared" si="55"/>
        <v>67.714249568274738</v>
      </c>
      <c r="F637" s="7">
        <v>0.77278250303766705</v>
      </c>
      <c r="G637">
        <f t="shared" si="56"/>
        <v>4</v>
      </c>
      <c r="H637" s="7">
        <f t="shared" si="57"/>
        <v>0.22721749696233295</v>
      </c>
      <c r="I637">
        <f t="shared" si="58"/>
        <v>2</v>
      </c>
      <c r="J637">
        <f>VLOOKUP(A637,'Housing Cost Calc'!$A$2:$C$827,3,FALSE)</f>
        <v>2158</v>
      </c>
      <c r="K637">
        <f t="shared" si="59"/>
        <v>0.38243058388898854</v>
      </c>
    </row>
    <row r="638" spans="1:11" ht="60" x14ac:dyDescent="0.25">
      <c r="A638" s="4" t="s">
        <v>3431</v>
      </c>
      <c r="B638">
        <v>105000</v>
      </c>
      <c r="C638">
        <v>2.4</v>
      </c>
      <c r="D638">
        <f t="shared" si="54"/>
        <v>67777.208558629791</v>
      </c>
      <c r="E638">
        <f t="shared" si="55"/>
        <v>67.777208558629795</v>
      </c>
      <c r="F638" s="7">
        <v>0.77399756986634261</v>
      </c>
      <c r="G638">
        <f t="shared" si="56"/>
        <v>4</v>
      </c>
      <c r="H638" s="7">
        <f t="shared" si="57"/>
        <v>0.22600243013365739</v>
      </c>
      <c r="I638">
        <f t="shared" si="58"/>
        <v>2</v>
      </c>
      <c r="J638">
        <f>VLOOKUP(A638,'Housing Cost Calc'!$A$2:$C$827,3,FALSE)</f>
        <v>1759</v>
      </c>
      <c r="K638">
        <f t="shared" si="59"/>
        <v>0.31143212370189016</v>
      </c>
    </row>
    <row r="639" spans="1:11" ht="60" x14ac:dyDescent="0.25">
      <c r="A639" s="4" t="s">
        <v>3639</v>
      </c>
      <c r="B639">
        <v>109167</v>
      </c>
      <c r="C639">
        <v>2.59</v>
      </c>
      <c r="D639">
        <f t="shared" si="54"/>
        <v>67833.073245053005</v>
      </c>
      <c r="E639">
        <f t="shared" si="55"/>
        <v>67.833073245053001</v>
      </c>
      <c r="F639" s="7">
        <v>0.77521263669501828</v>
      </c>
      <c r="G639">
        <f t="shared" si="56"/>
        <v>4</v>
      </c>
      <c r="H639" s="7">
        <f t="shared" si="57"/>
        <v>0.22478736330498172</v>
      </c>
      <c r="I639">
        <f t="shared" si="58"/>
        <v>2</v>
      </c>
      <c r="J639">
        <f>VLOOKUP(A639,'Housing Cost Calc'!$A$2:$C$827,3,FALSE)</f>
        <v>1878</v>
      </c>
      <c r="K639">
        <f t="shared" si="59"/>
        <v>0.33222731806042011</v>
      </c>
    </row>
    <row r="640" spans="1:11" ht="60" x14ac:dyDescent="0.25">
      <c r="A640" s="4" t="s">
        <v>3094</v>
      </c>
      <c r="B640">
        <v>109886</v>
      </c>
      <c r="C640">
        <v>2.62</v>
      </c>
      <c r="D640">
        <f t="shared" si="54"/>
        <v>67887.797518467167</v>
      </c>
      <c r="E640">
        <f t="shared" si="55"/>
        <v>67.887797518467167</v>
      </c>
      <c r="F640" s="7">
        <v>0.77642770352369384</v>
      </c>
      <c r="G640">
        <f t="shared" si="56"/>
        <v>4</v>
      </c>
      <c r="H640" s="7">
        <f t="shared" si="57"/>
        <v>0.22357229647630616</v>
      </c>
      <c r="I640">
        <f t="shared" si="58"/>
        <v>2</v>
      </c>
      <c r="J640">
        <f>VLOOKUP(A640,'Housing Cost Calc'!$A$2:$C$827,3,FALSE)</f>
        <v>1464</v>
      </c>
      <c r="K640">
        <f t="shared" si="59"/>
        <v>0.25877993751706363</v>
      </c>
    </row>
    <row r="641" spans="1:11" ht="60" x14ac:dyDescent="0.25">
      <c r="A641" s="4" t="s">
        <v>3274</v>
      </c>
      <c r="B641">
        <v>109605</v>
      </c>
      <c r="C641">
        <v>2.6</v>
      </c>
      <c r="D641">
        <f t="shared" si="54"/>
        <v>67974.135423250962</v>
      </c>
      <c r="E641">
        <f t="shared" si="55"/>
        <v>67.974135423250956</v>
      </c>
      <c r="F641" s="7">
        <v>0.77764277035236939</v>
      </c>
      <c r="G641">
        <f t="shared" si="56"/>
        <v>4</v>
      </c>
      <c r="H641" s="7">
        <f t="shared" si="57"/>
        <v>0.22235722964763061</v>
      </c>
      <c r="I641">
        <f t="shared" si="58"/>
        <v>2</v>
      </c>
      <c r="J641">
        <f>VLOOKUP(A641,'Housing Cost Calc'!$A$2:$C$827,3,FALSE)</f>
        <v>1660</v>
      </c>
      <c r="K641">
        <f t="shared" si="59"/>
        <v>0.29305264239059736</v>
      </c>
    </row>
    <row r="642" spans="1:11" ht="45" x14ac:dyDescent="0.25">
      <c r="A642" s="4" t="s">
        <v>3866</v>
      </c>
      <c r="B642">
        <v>112188</v>
      </c>
      <c r="C642">
        <v>2.7</v>
      </c>
      <c r="D642">
        <f t="shared" ref="D642:D705" si="60">(B642/(C642)^0.5)</f>
        <v>68275.442534877307</v>
      </c>
      <c r="E642">
        <f t="shared" ref="E642:E705" si="61">D642/1000</f>
        <v>68.275442534877314</v>
      </c>
      <c r="F642" s="7">
        <v>0.77885783718104495</v>
      </c>
      <c r="G642">
        <f t="shared" si="56"/>
        <v>4</v>
      </c>
      <c r="H642" s="7">
        <f t="shared" si="57"/>
        <v>0.22114216281895505</v>
      </c>
      <c r="I642">
        <f t="shared" si="58"/>
        <v>2</v>
      </c>
      <c r="J642">
        <f>VLOOKUP(A642,'Housing Cost Calc'!$A$2:$C$827,3,FALSE)</f>
        <v>2357</v>
      </c>
      <c r="K642">
        <f t="shared" si="59"/>
        <v>0.4142631515797443</v>
      </c>
    </row>
    <row r="643" spans="1:11" ht="60" x14ac:dyDescent="0.25">
      <c r="A643" s="4" t="s">
        <v>3579</v>
      </c>
      <c r="B643">
        <v>112500</v>
      </c>
      <c r="C643">
        <v>2.71</v>
      </c>
      <c r="D643">
        <f t="shared" si="60"/>
        <v>68338.883163463543</v>
      </c>
      <c r="E643">
        <f t="shared" si="61"/>
        <v>68.338883163463549</v>
      </c>
      <c r="F643" s="7">
        <v>0.78007290400972051</v>
      </c>
      <c r="G643">
        <f t="shared" ref="G643:G706" si="62">IF(F643&lt;0.2,1,IF(F643&lt;0.4,2,IF(F643&lt;0.6,3,IF(F643&lt;0.8,4,5))))</f>
        <v>4</v>
      </c>
      <c r="H643" s="7">
        <f t="shared" ref="H643:H706" si="63">1-F643</f>
        <v>0.21992709599027949</v>
      </c>
      <c r="I643">
        <f t="shared" ref="I643:I706" si="64">6-G643</f>
        <v>2</v>
      </c>
      <c r="J643">
        <f>VLOOKUP(A643,'Housing Cost Calc'!$A$2:$C$827,3,FALSE)</f>
        <v>1850</v>
      </c>
      <c r="K643">
        <f t="shared" ref="K643:K706" si="65">(J643*12)/D643</f>
        <v>0.32485166529424536</v>
      </c>
    </row>
    <row r="644" spans="1:11" ht="60" x14ac:dyDescent="0.25">
      <c r="A644" s="4" t="s">
        <v>3523</v>
      </c>
      <c r="B644">
        <v>109429</v>
      </c>
      <c r="C644">
        <v>2.56</v>
      </c>
      <c r="D644">
        <f t="shared" si="60"/>
        <v>68393.125</v>
      </c>
      <c r="E644">
        <f t="shared" si="61"/>
        <v>68.393124999999998</v>
      </c>
      <c r="F644" s="7">
        <v>0.78128797083839607</v>
      </c>
      <c r="G644">
        <f t="shared" si="62"/>
        <v>4</v>
      </c>
      <c r="H644" s="7">
        <f t="shared" si="63"/>
        <v>0.21871202916160393</v>
      </c>
      <c r="I644">
        <f t="shared" si="64"/>
        <v>2</v>
      </c>
      <c r="J644">
        <f>VLOOKUP(A644,'Housing Cost Calc'!$A$2:$C$827,3,FALSE)</f>
        <v>1826</v>
      </c>
      <c r="K644">
        <f t="shared" si="65"/>
        <v>0.32038307943963668</v>
      </c>
    </row>
    <row r="645" spans="1:11" ht="60" x14ac:dyDescent="0.25">
      <c r="A645" s="4" t="s">
        <v>3595</v>
      </c>
      <c r="B645">
        <v>110497</v>
      </c>
      <c r="C645">
        <v>2.61</v>
      </c>
      <c r="D645">
        <f t="shared" si="60"/>
        <v>68395.925941832335</v>
      </c>
      <c r="E645">
        <f t="shared" si="61"/>
        <v>68.395925941832331</v>
      </c>
      <c r="F645" s="7">
        <v>0.78250303766707174</v>
      </c>
      <c r="G645">
        <f t="shared" si="62"/>
        <v>4</v>
      </c>
      <c r="H645" s="7">
        <f t="shared" si="63"/>
        <v>0.21749696233292826</v>
      </c>
      <c r="I645">
        <f t="shared" si="64"/>
        <v>2</v>
      </c>
      <c r="J645">
        <f>VLOOKUP(A645,'Housing Cost Calc'!$A$2:$C$827,3,FALSE)</f>
        <v>1867</v>
      </c>
      <c r="K645">
        <f t="shared" si="65"/>
        <v>0.32756337006174308</v>
      </c>
    </row>
    <row r="646" spans="1:11" ht="60" x14ac:dyDescent="0.25">
      <c r="A646" s="4" t="s">
        <v>3566</v>
      </c>
      <c r="B646">
        <v>112557</v>
      </c>
      <c r="C646">
        <v>2.68</v>
      </c>
      <c r="D646">
        <f t="shared" si="60"/>
        <v>68755.130742063237</v>
      </c>
      <c r="E646">
        <f t="shared" si="61"/>
        <v>68.75513074206323</v>
      </c>
      <c r="F646" s="7">
        <v>0.7837181044957473</v>
      </c>
      <c r="G646">
        <f t="shared" si="62"/>
        <v>4</v>
      </c>
      <c r="H646" s="7">
        <f t="shared" si="63"/>
        <v>0.2162818955042527</v>
      </c>
      <c r="I646">
        <f t="shared" si="64"/>
        <v>2</v>
      </c>
      <c r="J646">
        <f>VLOOKUP(A646,'Housing Cost Calc'!$A$2:$C$827,3,FALSE)</f>
        <v>1849</v>
      </c>
      <c r="K646">
        <f t="shared" si="65"/>
        <v>0.32271046190340169</v>
      </c>
    </row>
    <row r="647" spans="1:11" ht="60" x14ac:dyDescent="0.25">
      <c r="A647" s="4" t="s">
        <v>3184</v>
      </c>
      <c r="B647">
        <v>109671</v>
      </c>
      <c r="C647">
        <v>2.54</v>
      </c>
      <c r="D647">
        <f t="shared" si="60"/>
        <v>68813.705605306983</v>
      </c>
      <c r="E647">
        <f t="shared" si="61"/>
        <v>68.813705605306978</v>
      </c>
      <c r="F647" s="7">
        <v>0.78493317132442286</v>
      </c>
      <c r="G647">
        <f t="shared" si="62"/>
        <v>4</v>
      </c>
      <c r="H647" s="7">
        <f t="shared" si="63"/>
        <v>0.21506682867557714</v>
      </c>
      <c r="I647">
        <f t="shared" si="64"/>
        <v>2</v>
      </c>
      <c r="J647">
        <f>VLOOKUP(A647,'Housing Cost Calc'!$A$2:$C$827,3,FALSE)</f>
        <v>1615</v>
      </c>
      <c r="K647">
        <f t="shared" si="65"/>
        <v>0.28162994318540802</v>
      </c>
    </row>
    <row r="648" spans="1:11" ht="60" x14ac:dyDescent="0.25">
      <c r="A648" s="4" t="s">
        <v>3076</v>
      </c>
      <c r="B648">
        <v>111849</v>
      </c>
      <c r="C648">
        <v>2.64</v>
      </c>
      <c r="D648">
        <f t="shared" si="60"/>
        <v>68838.300872736931</v>
      </c>
      <c r="E648">
        <f t="shared" si="61"/>
        <v>68.838300872736937</v>
      </c>
      <c r="F648" s="7">
        <v>0.78614823815309842</v>
      </c>
      <c r="G648">
        <f t="shared" si="62"/>
        <v>4</v>
      </c>
      <c r="H648" s="7">
        <f t="shared" si="63"/>
        <v>0.21385176184690158</v>
      </c>
      <c r="I648">
        <f t="shared" si="64"/>
        <v>2</v>
      </c>
      <c r="J648">
        <f>VLOOKUP(A648,'Housing Cost Calc'!$A$2:$C$827,3,FALSE)</f>
        <v>1443</v>
      </c>
      <c r="K648">
        <f t="shared" si="65"/>
        <v>0.25154601116626218</v>
      </c>
    </row>
    <row r="649" spans="1:11" ht="60" x14ac:dyDescent="0.25">
      <c r="A649" s="4" t="s">
        <v>3224</v>
      </c>
      <c r="B649">
        <v>105759</v>
      </c>
      <c r="C649">
        <v>2.36</v>
      </c>
      <c r="D649">
        <f t="shared" si="60"/>
        <v>68843.245182104758</v>
      </c>
      <c r="E649">
        <f t="shared" si="61"/>
        <v>68.843245182104752</v>
      </c>
      <c r="F649" s="7">
        <v>0.78736330498177398</v>
      </c>
      <c r="G649">
        <f t="shared" si="62"/>
        <v>4</v>
      </c>
      <c r="H649" s="7">
        <f t="shared" si="63"/>
        <v>0.21263669501822602</v>
      </c>
      <c r="I649">
        <f t="shared" si="64"/>
        <v>2</v>
      </c>
      <c r="J649">
        <f>VLOOKUP(A649,'Housing Cost Calc'!$A$2:$C$827,3,FALSE)</f>
        <v>1649</v>
      </c>
      <c r="K649">
        <f t="shared" si="65"/>
        <v>0.28743560748271829</v>
      </c>
    </row>
    <row r="650" spans="1:11" ht="60" x14ac:dyDescent="0.25">
      <c r="A650" s="4" t="s">
        <v>3100</v>
      </c>
      <c r="B650">
        <v>82355</v>
      </c>
      <c r="C650">
        <v>1.43</v>
      </c>
      <c r="D650">
        <f t="shared" si="60"/>
        <v>68868.710734133958</v>
      </c>
      <c r="E650">
        <f t="shared" si="61"/>
        <v>68.868710734133955</v>
      </c>
      <c r="F650" s="7">
        <v>0.78857837181044954</v>
      </c>
      <c r="G650">
        <f t="shared" si="62"/>
        <v>4</v>
      </c>
      <c r="H650" s="7">
        <f t="shared" si="63"/>
        <v>0.21142162818955046</v>
      </c>
      <c r="I650">
        <f t="shared" si="64"/>
        <v>2</v>
      </c>
      <c r="J650">
        <f>VLOOKUP(A650,'Housing Cost Calc'!$A$2:$C$827,3,FALSE)</f>
        <v>1487</v>
      </c>
      <c r="K650">
        <f t="shared" si="65"/>
        <v>0.2591016995931047</v>
      </c>
    </row>
    <row r="651" spans="1:11" ht="60" x14ac:dyDescent="0.25">
      <c r="A651" s="4" t="s">
        <v>3340</v>
      </c>
      <c r="B651">
        <v>105833</v>
      </c>
      <c r="C651">
        <v>2.36</v>
      </c>
      <c r="D651">
        <f t="shared" si="60"/>
        <v>68891.415079167666</v>
      </c>
      <c r="E651">
        <f t="shared" si="61"/>
        <v>68.891415079167672</v>
      </c>
      <c r="F651" s="7">
        <v>0.7897934386391251</v>
      </c>
      <c r="G651">
        <f t="shared" si="62"/>
        <v>4</v>
      </c>
      <c r="H651" s="7">
        <f t="shared" si="63"/>
        <v>0.2102065613608749</v>
      </c>
      <c r="I651">
        <f t="shared" si="64"/>
        <v>2</v>
      </c>
      <c r="J651">
        <f>VLOOKUP(A651,'Housing Cost Calc'!$A$2:$C$827,3,FALSE)</f>
        <v>1727</v>
      </c>
      <c r="K651">
        <f t="shared" si="65"/>
        <v>0.30082122679850148</v>
      </c>
    </row>
    <row r="652" spans="1:11" ht="60" x14ac:dyDescent="0.25">
      <c r="A652" s="4" t="s">
        <v>3166</v>
      </c>
      <c r="B652">
        <v>108750</v>
      </c>
      <c r="C652">
        <v>2.4900000000000002</v>
      </c>
      <c r="D652">
        <f t="shared" si="60"/>
        <v>68917.512244536978</v>
      </c>
      <c r="E652">
        <f t="shared" si="61"/>
        <v>68.917512244536979</v>
      </c>
      <c r="F652" s="7">
        <v>0.79100850546780077</v>
      </c>
      <c r="G652">
        <f t="shared" si="62"/>
        <v>4</v>
      </c>
      <c r="H652" s="7">
        <f t="shared" si="63"/>
        <v>0.20899149453219923</v>
      </c>
      <c r="I652">
        <f t="shared" si="64"/>
        <v>2</v>
      </c>
      <c r="J652">
        <f>VLOOKUP(A652,'Housing Cost Calc'!$A$2:$C$827,3,FALSE)</f>
        <v>1577</v>
      </c>
      <c r="K652">
        <f t="shared" si="65"/>
        <v>0.27458913393235673</v>
      </c>
    </row>
    <row r="653" spans="1:11" ht="45" x14ac:dyDescent="0.25">
      <c r="A653" s="4" t="s">
        <v>3842</v>
      </c>
      <c r="B653">
        <v>118819</v>
      </c>
      <c r="C653">
        <v>2.97</v>
      </c>
      <c r="D653">
        <f t="shared" si="60"/>
        <v>68945.776676666865</v>
      </c>
      <c r="E653">
        <f t="shared" si="61"/>
        <v>68.945776676666867</v>
      </c>
      <c r="F653" s="7">
        <v>0.79222357229647633</v>
      </c>
      <c r="G653">
        <f t="shared" si="62"/>
        <v>4</v>
      </c>
      <c r="H653" s="7">
        <f t="shared" si="63"/>
        <v>0.20777642770352367</v>
      </c>
      <c r="I653">
        <f t="shared" si="64"/>
        <v>2</v>
      </c>
      <c r="J653">
        <f>VLOOKUP(A653,'Housing Cost Calc'!$A$2:$C$827,3,FALSE)</f>
        <v>2194</v>
      </c>
      <c r="K653">
        <f t="shared" si="65"/>
        <v>0.38186530443292716</v>
      </c>
    </row>
    <row r="654" spans="1:11" ht="45" x14ac:dyDescent="0.25">
      <c r="A654" s="4" t="s">
        <v>3786</v>
      </c>
      <c r="B654">
        <v>113814</v>
      </c>
      <c r="C654">
        <v>2.69</v>
      </c>
      <c r="D654">
        <f t="shared" si="60"/>
        <v>69393.620535346898</v>
      </c>
      <c r="E654">
        <f t="shared" si="61"/>
        <v>69.393620535346898</v>
      </c>
      <c r="F654" s="7">
        <v>0.79343863912515189</v>
      </c>
      <c r="G654">
        <f t="shared" si="62"/>
        <v>4</v>
      </c>
      <c r="H654" s="7">
        <f t="shared" si="63"/>
        <v>0.20656136087484811</v>
      </c>
      <c r="I654">
        <f t="shared" si="64"/>
        <v>2</v>
      </c>
      <c r="J654">
        <f>VLOOKUP(A654,'Housing Cost Calc'!$A$2:$C$827,3,FALSE)</f>
        <v>2062</v>
      </c>
      <c r="K654">
        <f t="shared" si="65"/>
        <v>0.35657456419061168</v>
      </c>
    </row>
    <row r="655" spans="1:11" ht="60" x14ac:dyDescent="0.25">
      <c r="A655" s="4" t="s">
        <v>3864</v>
      </c>
      <c r="B655">
        <v>113765</v>
      </c>
      <c r="C655">
        <v>2.68</v>
      </c>
      <c r="D655">
        <f t="shared" si="60"/>
        <v>69493.03418597531</v>
      </c>
      <c r="E655">
        <f t="shared" si="61"/>
        <v>69.493034185975304</v>
      </c>
      <c r="F655" s="7">
        <v>0.79465370595382745</v>
      </c>
      <c r="G655">
        <f t="shared" si="62"/>
        <v>4</v>
      </c>
      <c r="H655" s="7">
        <f t="shared" si="63"/>
        <v>0.20534629404617255</v>
      </c>
      <c r="I655">
        <f t="shared" si="64"/>
        <v>2</v>
      </c>
      <c r="J655">
        <f>VLOOKUP(A655,'Housing Cost Calc'!$A$2:$C$827,3,FALSE)</f>
        <v>2369</v>
      </c>
      <c r="K655">
        <f t="shared" si="65"/>
        <v>0.40907697200156468</v>
      </c>
    </row>
    <row r="656" spans="1:11" ht="60" x14ac:dyDescent="0.25">
      <c r="A656" s="4" t="s">
        <v>3222</v>
      </c>
      <c r="B656">
        <v>115625</v>
      </c>
      <c r="C656">
        <v>2.76</v>
      </c>
      <c r="D656">
        <f t="shared" si="60"/>
        <v>69598.071315210327</v>
      </c>
      <c r="E656">
        <f t="shared" si="61"/>
        <v>69.598071315210333</v>
      </c>
      <c r="F656" s="7">
        <v>0.79586877278250301</v>
      </c>
      <c r="G656">
        <f t="shared" si="62"/>
        <v>4</v>
      </c>
      <c r="H656" s="7">
        <f t="shared" si="63"/>
        <v>0.20413122721749699</v>
      </c>
      <c r="I656">
        <f t="shared" si="64"/>
        <v>2</v>
      </c>
      <c r="J656">
        <f>VLOOKUP(A656,'Housing Cost Calc'!$A$2:$C$827,3,FALSE)</f>
        <v>1667</v>
      </c>
      <c r="K656">
        <f t="shared" si="65"/>
        <v>0.28742175784443358</v>
      </c>
    </row>
    <row r="657" spans="1:11" ht="60" x14ac:dyDescent="0.25">
      <c r="A657" s="4" t="s">
        <v>3114</v>
      </c>
      <c r="B657">
        <v>109962</v>
      </c>
      <c r="C657">
        <v>2.4900000000000002</v>
      </c>
      <c r="D657">
        <f t="shared" si="60"/>
        <v>69685.586036172637</v>
      </c>
      <c r="E657">
        <f t="shared" si="61"/>
        <v>69.685586036172637</v>
      </c>
      <c r="F657" s="7">
        <v>0.79708383961117857</v>
      </c>
      <c r="G657">
        <f t="shared" si="62"/>
        <v>4</v>
      </c>
      <c r="H657" s="7">
        <f t="shared" si="63"/>
        <v>0.20291616038882143</v>
      </c>
      <c r="I657">
        <f t="shared" si="64"/>
        <v>2</v>
      </c>
      <c r="J657">
        <f>VLOOKUP(A657,'Housing Cost Calc'!$A$2:$C$827,3,FALSE)</f>
        <v>1517</v>
      </c>
      <c r="K657">
        <f t="shared" si="65"/>
        <v>0.26123049306854657</v>
      </c>
    </row>
    <row r="658" spans="1:11" ht="60" x14ac:dyDescent="0.25">
      <c r="A658" s="4" t="s">
        <v>3417</v>
      </c>
      <c r="B658">
        <v>100309</v>
      </c>
      <c r="C658">
        <v>2.0699999999999998</v>
      </c>
      <c r="D658">
        <f t="shared" si="60"/>
        <v>69719.574532170387</v>
      </c>
      <c r="E658">
        <f t="shared" si="61"/>
        <v>69.719574532170384</v>
      </c>
      <c r="F658" s="7">
        <v>0.79829890643985424</v>
      </c>
      <c r="G658">
        <f t="shared" si="62"/>
        <v>4</v>
      </c>
      <c r="H658" s="7">
        <f t="shared" si="63"/>
        <v>0.20170109356014576</v>
      </c>
      <c r="I658">
        <f t="shared" si="64"/>
        <v>2</v>
      </c>
      <c r="J658">
        <f>VLOOKUP(A658,'Housing Cost Calc'!$A$2:$C$827,3,FALSE)</f>
        <v>1797</v>
      </c>
      <c r="K658">
        <f t="shared" si="65"/>
        <v>0.30929620762458643</v>
      </c>
    </row>
    <row r="659" spans="1:11" ht="60" x14ac:dyDescent="0.25">
      <c r="A659" s="4" t="s">
        <v>3226</v>
      </c>
      <c r="B659">
        <v>109460</v>
      </c>
      <c r="C659">
        <v>2.46</v>
      </c>
      <c r="D659">
        <f t="shared" si="60"/>
        <v>69789.14701191301</v>
      </c>
      <c r="E659">
        <f t="shared" si="61"/>
        <v>69.789147011913016</v>
      </c>
      <c r="F659" s="7">
        <v>0.7995139732685298</v>
      </c>
      <c r="G659">
        <f t="shared" si="62"/>
        <v>4</v>
      </c>
      <c r="H659" s="7">
        <f t="shared" si="63"/>
        <v>0.2004860267314702</v>
      </c>
      <c r="I659">
        <f t="shared" si="64"/>
        <v>2</v>
      </c>
      <c r="J659">
        <f>VLOOKUP(A659,'Housing Cost Calc'!$A$2:$C$827,3,FALSE)</f>
        <v>1674</v>
      </c>
      <c r="K659">
        <f t="shared" si="65"/>
        <v>0.28783845139375291</v>
      </c>
    </row>
    <row r="660" spans="1:11" ht="60" x14ac:dyDescent="0.25">
      <c r="A660" s="4" t="s">
        <v>3164</v>
      </c>
      <c r="B660">
        <v>106111</v>
      </c>
      <c r="C660">
        <v>2.31</v>
      </c>
      <c r="D660">
        <f t="shared" si="60"/>
        <v>69815.912303876044</v>
      </c>
      <c r="E660">
        <f t="shared" si="61"/>
        <v>69.815912303876047</v>
      </c>
      <c r="F660" s="7">
        <v>0.80072904009720536</v>
      </c>
      <c r="G660">
        <f t="shared" si="62"/>
        <v>5</v>
      </c>
      <c r="H660" s="7">
        <f t="shared" si="63"/>
        <v>0.19927095990279464</v>
      </c>
      <c r="I660">
        <f t="shared" si="64"/>
        <v>1</v>
      </c>
      <c r="J660">
        <f>VLOOKUP(A660,'Housing Cost Calc'!$A$2:$C$827,3,FALSE)</f>
        <v>1589</v>
      </c>
      <c r="K660">
        <f t="shared" si="65"/>
        <v>0.27311825299948678</v>
      </c>
    </row>
    <row r="661" spans="1:11" ht="45" x14ac:dyDescent="0.25">
      <c r="A661" s="4" t="s">
        <v>3625</v>
      </c>
      <c r="B661">
        <v>116222</v>
      </c>
      <c r="C661">
        <v>2.77</v>
      </c>
      <c r="D661">
        <f t="shared" si="60"/>
        <v>69831.031975152713</v>
      </c>
      <c r="E661">
        <f t="shared" si="61"/>
        <v>69.831031975152712</v>
      </c>
      <c r="F661" s="7">
        <v>0.80194410692588092</v>
      </c>
      <c r="G661">
        <f t="shared" si="62"/>
        <v>5</v>
      </c>
      <c r="H661" s="7">
        <f t="shared" si="63"/>
        <v>0.19805589307411908</v>
      </c>
      <c r="I661">
        <f t="shared" si="64"/>
        <v>1</v>
      </c>
      <c r="J661">
        <f>VLOOKUP(A661,'Housing Cost Calc'!$A$2:$C$827,3,FALSE)</f>
        <v>1923</v>
      </c>
      <c r="K661">
        <f t="shared" si="65"/>
        <v>0.33045480422243945</v>
      </c>
    </row>
    <row r="662" spans="1:11" ht="60" x14ac:dyDescent="0.25">
      <c r="A662" s="4" t="s">
        <v>3204</v>
      </c>
      <c r="B662">
        <v>116250</v>
      </c>
      <c r="C662">
        <v>2.76</v>
      </c>
      <c r="D662">
        <f t="shared" si="60"/>
        <v>69974.277106103356</v>
      </c>
      <c r="E662">
        <f t="shared" si="61"/>
        <v>69.974277106103358</v>
      </c>
      <c r="F662" s="7">
        <v>0.80315917375455648</v>
      </c>
      <c r="G662">
        <f t="shared" si="62"/>
        <v>5</v>
      </c>
      <c r="H662" s="7">
        <f t="shared" si="63"/>
        <v>0.19684082624544352</v>
      </c>
      <c r="I662">
        <f t="shared" si="64"/>
        <v>1</v>
      </c>
      <c r="J662">
        <f>VLOOKUP(A662,'Housing Cost Calc'!$A$2:$C$827,3,FALSE)</f>
        <v>1652</v>
      </c>
      <c r="K662">
        <f t="shared" si="65"/>
        <v>0.28330410573503295</v>
      </c>
    </row>
    <row r="663" spans="1:11" ht="60" x14ac:dyDescent="0.25">
      <c r="A663" s="4" t="s">
        <v>3754</v>
      </c>
      <c r="B663">
        <v>122431</v>
      </c>
      <c r="C663">
        <v>3.06</v>
      </c>
      <c r="D663">
        <f t="shared" si="60"/>
        <v>69989.144258608329</v>
      </c>
      <c r="E663">
        <f t="shared" si="61"/>
        <v>69.989144258608334</v>
      </c>
      <c r="F663" s="7">
        <v>0.80437424058323204</v>
      </c>
      <c r="G663">
        <f t="shared" si="62"/>
        <v>5</v>
      </c>
      <c r="H663" s="7">
        <f t="shared" si="63"/>
        <v>0.19562575941676796</v>
      </c>
      <c r="I663">
        <f t="shared" si="64"/>
        <v>1</v>
      </c>
      <c r="J663">
        <f>VLOOKUP(A663,'Housing Cost Calc'!$A$2:$C$827,3,FALSE)</f>
        <v>2046</v>
      </c>
      <c r="K663">
        <f t="shared" si="65"/>
        <v>0.35079725949042767</v>
      </c>
    </row>
    <row r="664" spans="1:11" ht="60" x14ac:dyDescent="0.25">
      <c r="A664" s="4" t="s">
        <v>3234</v>
      </c>
      <c r="B664">
        <v>117635</v>
      </c>
      <c r="C664">
        <v>2.82</v>
      </c>
      <c r="D664">
        <f t="shared" si="60"/>
        <v>70050.62309572479</v>
      </c>
      <c r="E664">
        <f t="shared" si="61"/>
        <v>70.050623095724788</v>
      </c>
      <c r="F664" s="7">
        <v>0.80558930741190771</v>
      </c>
      <c r="G664">
        <f t="shared" si="62"/>
        <v>5</v>
      </c>
      <c r="H664" s="7">
        <f t="shared" si="63"/>
        <v>0.19441069258809229</v>
      </c>
      <c r="I664">
        <f t="shared" si="64"/>
        <v>1</v>
      </c>
      <c r="J664">
        <f>VLOOKUP(A664,'Housing Cost Calc'!$A$2:$C$827,3,FALSE)</f>
        <v>1688</v>
      </c>
      <c r="K664">
        <f t="shared" si="65"/>
        <v>0.28916231012420829</v>
      </c>
    </row>
    <row r="665" spans="1:11" ht="60" x14ac:dyDescent="0.25">
      <c r="A665" s="4" t="s">
        <v>3853</v>
      </c>
      <c r="B665">
        <v>120476</v>
      </c>
      <c r="C665">
        <v>2.93</v>
      </c>
      <c r="D665">
        <f t="shared" si="60"/>
        <v>70382.830709648726</v>
      </c>
      <c r="E665">
        <f t="shared" si="61"/>
        <v>70.382830709648729</v>
      </c>
      <c r="F665" s="7">
        <v>0.80680437424058327</v>
      </c>
      <c r="G665">
        <f t="shared" si="62"/>
        <v>5</v>
      </c>
      <c r="H665" s="7">
        <f t="shared" si="63"/>
        <v>0.19319562575941673</v>
      </c>
      <c r="I665">
        <f t="shared" si="64"/>
        <v>1</v>
      </c>
      <c r="J665">
        <f>VLOOKUP(A665,'Housing Cost Calc'!$A$2:$C$827,3,FALSE)</f>
        <v>2277</v>
      </c>
      <c r="K665">
        <f t="shared" si="65"/>
        <v>0.38821967977844024</v>
      </c>
    </row>
    <row r="666" spans="1:11" ht="60" x14ac:dyDescent="0.25">
      <c r="A666" s="4" t="s">
        <v>3256</v>
      </c>
      <c r="B666">
        <v>110625</v>
      </c>
      <c r="C666">
        <v>2.4700000000000002</v>
      </c>
      <c r="D666">
        <f t="shared" si="60"/>
        <v>70389.001904195407</v>
      </c>
      <c r="E666">
        <f t="shared" si="61"/>
        <v>70.38900190419541</v>
      </c>
      <c r="F666" s="7">
        <v>0.80801944106925883</v>
      </c>
      <c r="G666">
        <f t="shared" si="62"/>
        <v>5</v>
      </c>
      <c r="H666" s="7">
        <f t="shared" si="63"/>
        <v>0.19198055893074117</v>
      </c>
      <c r="I666">
        <f t="shared" si="64"/>
        <v>1</v>
      </c>
      <c r="J666">
        <f>VLOOKUP(A666,'Housing Cost Calc'!$A$2:$C$827,3,FALSE)</f>
        <v>1712</v>
      </c>
      <c r="K666">
        <f t="shared" si="65"/>
        <v>0.29186377763903926</v>
      </c>
    </row>
    <row r="667" spans="1:11" ht="60" x14ac:dyDescent="0.25">
      <c r="A667" s="4" t="s">
        <v>3435</v>
      </c>
      <c r="B667">
        <v>117401</v>
      </c>
      <c r="C667">
        <v>2.77</v>
      </c>
      <c r="D667">
        <f t="shared" si="60"/>
        <v>70539.424419773393</v>
      </c>
      <c r="E667">
        <f t="shared" si="61"/>
        <v>70.539424419773397</v>
      </c>
      <c r="F667" s="7">
        <v>0.80923450789793439</v>
      </c>
      <c r="G667">
        <f t="shared" si="62"/>
        <v>5</v>
      </c>
      <c r="H667" s="7">
        <f t="shared" si="63"/>
        <v>0.19076549210206561</v>
      </c>
      <c r="I667">
        <f t="shared" si="64"/>
        <v>1</v>
      </c>
      <c r="J667">
        <f>VLOOKUP(A667,'Housing Cost Calc'!$A$2:$C$827,3,FALSE)</f>
        <v>1833</v>
      </c>
      <c r="K667">
        <f t="shared" si="65"/>
        <v>0.31182562348544129</v>
      </c>
    </row>
    <row r="668" spans="1:11" ht="45" x14ac:dyDescent="0.25">
      <c r="A668" s="4" t="s">
        <v>3812</v>
      </c>
      <c r="B668">
        <v>121802</v>
      </c>
      <c r="C668">
        <v>2.97</v>
      </c>
      <c r="D668">
        <f t="shared" si="60"/>
        <v>70676.688835719688</v>
      </c>
      <c r="E668">
        <f t="shared" si="61"/>
        <v>70.676688835719688</v>
      </c>
      <c r="F668" s="7">
        <v>0.81044957472660994</v>
      </c>
      <c r="G668">
        <f t="shared" si="62"/>
        <v>5</v>
      </c>
      <c r="H668" s="7">
        <f t="shared" si="63"/>
        <v>0.18955042527339006</v>
      </c>
      <c r="I668">
        <f t="shared" si="64"/>
        <v>1</v>
      </c>
      <c r="J668">
        <f>VLOOKUP(A668,'Housing Cost Calc'!$A$2:$C$827,3,FALSE)</f>
        <v>2161</v>
      </c>
      <c r="K668">
        <f t="shared" si="65"/>
        <v>0.3669102277877806</v>
      </c>
    </row>
    <row r="669" spans="1:11" ht="60" x14ac:dyDescent="0.25">
      <c r="A669" s="4" t="s">
        <v>3720</v>
      </c>
      <c r="B669">
        <v>119042</v>
      </c>
      <c r="C669">
        <v>2.83</v>
      </c>
      <c r="D669">
        <f t="shared" si="60"/>
        <v>70763.123903581582</v>
      </c>
      <c r="E669">
        <f t="shared" si="61"/>
        <v>70.763123903581587</v>
      </c>
      <c r="F669" s="7">
        <v>0.8116646415552855</v>
      </c>
      <c r="G669">
        <f t="shared" si="62"/>
        <v>5</v>
      </c>
      <c r="H669" s="7">
        <f t="shared" si="63"/>
        <v>0.1883353584447145</v>
      </c>
      <c r="I669">
        <f t="shared" si="64"/>
        <v>1</v>
      </c>
      <c r="J669">
        <f>VLOOKUP(A669,'Housing Cost Calc'!$A$2:$C$827,3,FALSE)</f>
        <v>2032</v>
      </c>
      <c r="K669">
        <f t="shared" si="65"/>
        <v>0.34458625700618395</v>
      </c>
    </row>
    <row r="670" spans="1:11" ht="60" x14ac:dyDescent="0.25">
      <c r="A670" s="4" t="s">
        <v>3228</v>
      </c>
      <c r="B670">
        <v>114792</v>
      </c>
      <c r="C670">
        <v>2.63</v>
      </c>
      <c r="D670">
        <f t="shared" si="60"/>
        <v>70783.779542970384</v>
      </c>
      <c r="E670">
        <f t="shared" si="61"/>
        <v>70.783779542970379</v>
      </c>
      <c r="F670" s="7">
        <v>0.81287970838396106</v>
      </c>
      <c r="G670">
        <f t="shared" si="62"/>
        <v>5</v>
      </c>
      <c r="H670" s="7">
        <f t="shared" si="63"/>
        <v>0.18712029161603894</v>
      </c>
      <c r="I670">
        <f t="shared" si="64"/>
        <v>1</v>
      </c>
      <c r="J670">
        <f>VLOOKUP(A670,'Housing Cost Calc'!$A$2:$C$827,3,FALSE)</f>
        <v>1698</v>
      </c>
      <c r="K670">
        <f t="shared" si="65"/>
        <v>0.28786256020181056</v>
      </c>
    </row>
    <row r="671" spans="1:11" ht="60" x14ac:dyDescent="0.25">
      <c r="A671" s="4" t="s">
        <v>3393</v>
      </c>
      <c r="B671">
        <v>121296</v>
      </c>
      <c r="C671">
        <v>2.93</v>
      </c>
      <c r="D671">
        <f t="shared" si="60"/>
        <v>70861.879824675052</v>
      </c>
      <c r="E671">
        <f t="shared" si="61"/>
        <v>70.861879824675057</v>
      </c>
      <c r="F671" s="7">
        <v>0.81409477521263673</v>
      </c>
      <c r="G671">
        <f t="shared" si="62"/>
        <v>5</v>
      </c>
      <c r="H671" s="7">
        <f t="shared" si="63"/>
        <v>0.18590522478736327</v>
      </c>
      <c r="I671">
        <f t="shared" si="64"/>
        <v>1</v>
      </c>
      <c r="J671">
        <f>VLOOKUP(A671,'Housing Cost Calc'!$A$2:$C$827,3,FALSE)</f>
        <v>1813</v>
      </c>
      <c r="K671">
        <f t="shared" si="65"/>
        <v>0.30701979758126979</v>
      </c>
    </row>
    <row r="672" spans="1:11" ht="60" x14ac:dyDescent="0.25">
      <c r="A672" s="4" t="s">
        <v>3660</v>
      </c>
      <c r="B672">
        <v>114773</v>
      </c>
      <c r="C672">
        <v>2.62</v>
      </c>
      <c r="D672">
        <f t="shared" si="60"/>
        <v>70906.996201399932</v>
      </c>
      <c r="E672">
        <f t="shared" si="61"/>
        <v>70.906996201399934</v>
      </c>
      <c r="F672" s="7">
        <v>0.81530984204131229</v>
      </c>
      <c r="G672">
        <f t="shared" si="62"/>
        <v>5</v>
      </c>
      <c r="H672" s="7">
        <f t="shared" si="63"/>
        <v>0.18469015795868771</v>
      </c>
      <c r="I672">
        <f t="shared" si="64"/>
        <v>1</v>
      </c>
      <c r="J672">
        <f>VLOOKUP(A672,'Housing Cost Calc'!$A$2:$C$827,3,FALSE)</f>
        <v>1980</v>
      </c>
      <c r="K672">
        <f t="shared" si="65"/>
        <v>0.33508682179278243</v>
      </c>
    </row>
    <row r="673" spans="1:11" ht="60" x14ac:dyDescent="0.25">
      <c r="A673" s="4" t="s">
        <v>3859</v>
      </c>
      <c r="B673">
        <v>122097</v>
      </c>
      <c r="C673">
        <v>2.96</v>
      </c>
      <c r="D673">
        <f t="shared" si="60"/>
        <v>70967.439738520523</v>
      </c>
      <c r="E673">
        <f t="shared" si="61"/>
        <v>70.967439738520525</v>
      </c>
      <c r="F673" s="7">
        <v>0.81652490886998785</v>
      </c>
      <c r="G673">
        <f t="shared" si="62"/>
        <v>5</v>
      </c>
      <c r="H673" s="7">
        <f t="shared" si="63"/>
        <v>0.18347509113001215</v>
      </c>
      <c r="I673">
        <f t="shared" si="64"/>
        <v>1</v>
      </c>
      <c r="J673">
        <f>VLOOKUP(A673,'Housing Cost Calc'!$A$2:$C$827,3,FALSE)</f>
        <v>2348</v>
      </c>
      <c r="K673">
        <f t="shared" si="65"/>
        <v>0.39702714517833038</v>
      </c>
    </row>
    <row r="674" spans="1:11" ht="60" x14ac:dyDescent="0.25">
      <c r="A674" s="4" t="s">
        <v>3316</v>
      </c>
      <c r="B674">
        <v>122222</v>
      </c>
      <c r="C674">
        <v>2.96</v>
      </c>
      <c r="D674">
        <f t="shared" si="60"/>
        <v>71040.094512735406</v>
      </c>
      <c r="E674">
        <f t="shared" si="61"/>
        <v>71.040094512735408</v>
      </c>
      <c r="F674" s="7">
        <v>0.81773997569866341</v>
      </c>
      <c r="G674">
        <f t="shared" si="62"/>
        <v>5</v>
      </c>
      <c r="H674" s="7">
        <f t="shared" si="63"/>
        <v>0.18226002430133659</v>
      </c>
      <c r="I674">
        <f t="shared" si="64"/>
        <v>1</v>
      </c>
      <c r="J674">
        <f>VLOOKUP(A674,'Housing Cost Calc'!$A$2:$C$827,3,FALSE)</f>
        <v>1767</v>
      </c>
      <c r="K674">
        <f t="shared" si="65"/>
        <v>0.29847933262812232</v>
      </c>
    </row>
    <row r="675" spans="1:11" ht="60" x14ac:dyDescent="0.25">
      <c r="A675" s="4" t="s">
        <v>3238</v>
      </c>
      <c r="B675">
        <v>117895</v>
      </c>
      <c r="C675">
        <v>2.73</v>
      </c>
      <c r="D675">
        <f t="shared" si="60"/>
        <v>71353.299963988466</v>
      </c>
      <c r="E675">
        <f t="shared" si="61"/>
        <v>71.353299963988462</v>
      </c>
      <c r="F675" s="7">
        <v>0.81895504252733897</v>
      </c>
      <c r="G675">
        <f t="shared" si="62"/>
        <v>5</v>
      </c>
      <c r="H675" s="7">
        <f t="shared" si="63"/>
        <v>0.18104495747266103</v>
      </c>
      <c r="I675">
        <f t="shared" si="64"/>
        <v>1</v>
      </c>
      <c r="J675">
        <f>VLOOKUP(A675,'Housing Cost Calc'!$A$2:$C$827,3,FALSE)</f>
        <v>1722</v>
      </c>
      <c r="K675">
        <f t="shared" si="65"/>
        <v>0.28960118187146189</v>
      </c>
    </row>
    <row r="676" spans="1:11" ht="60" x14ac:dyDescent="0.25">
      <c r="A676" s="4" t="s">
        <v>3496</v>
      </c>
      <c r="B676">
        <v>111250</v>
      </c>
      <c r="C676">
        <v>2.4300000000000002</v>
      </c>
      <c r="D676">
        <f t="shared" si="60"/>
        <v>71366.908274828747</v>
      </c>
      <c r="E676">
        <f t="shared" si="61"/>
        <v>71.366908274828745</v>
      </c>
      <c r="F676" s="7">
        <v>0.82017010935601453</v>
      </c>
      <c r="G676">
        <f t="shared" si="62"/>
        <v>5</v>
      </c>
      <c r="H676" s="7">
        <f t="shared" si="63"/>
        <v>0.17982989064398547</v>
      </c>
      <c r="I676">
        <f t="shared" si="64"/>
        <v>1</v>
      </c>
      <c r="J676">
        <f>VLOOKUP(A676,'Housing Cost Calc'!$A$2:$C$827,3,FALSE)</f>
        <v>1890</v>
      </c>
      <c r="K676">
        <f t="shared" si="65"/>
        <v>0.31779434682333413</v>
      </c>
    </row>
    <row r="677" spans="1:11" ht="60" x14ac:dyDescent="0.25">
      <c r="A677" s="4" t="s">
        <v>3180</v>
      </c>
      <c r="B677">
        <v>118388</v>
      </c>
      <c r="C677">
        <v>2.75</v>
      </c>
      <c r="D677">
        <f t="shared" si="60"/>
        <v>71390.650123744563</v>
      </c>
      <c r="E677">
        <f t="shared" si="61"/>
        <v>71.390650123744564</v>
      </c>
      <c r="F677" s="7">
        <v>0.8213851761846902</v>
      </c>
      <c r="G677">
        <f t="shared" si="62"/>
        <v>5</v>
      </c>
      <c r="H677" s="7">
        <f t="shared" si="63"/>
        <v>0.1786148238153098</v>
      </c>
      <c r="I677">
        <f t="shared" si="64"/>
        <v>1</v>
      </c>
      <c r="J677">
        <f>VLOOKUP(A677,'Housing Cost Calc'!$A$2:$C$827,3,FALSE)</f>
        <v>1660</v>
      </c>
      <c r="K677">
        <f t="shared" si="65"/>
        <v>0.27902813555377048</v>
      </c>
    </row>
    <row r="678" spans="1:11" ht="75" x14ac:dyDescent="0.25">
      <c r="A678" s="4" t="s">
        <v>3690</v>
      </c>
      <c r="B678">
        <v>120893</v>
      </c>
      <c r="C678">
        <v>2.86</v>
      </c>
      <c r="D678">
        <f t="shared" si="60"/>
        <v>71485.529488308166</v>
      </c>
      <c r="E678">
        <f t="shared" si="61"/>
        <v>71.48552948830816</v>
      </c>
      <c r="F678" s="7">
        <v>0.82260024301336576</v>
      </c>
      <c r="G678">
        <f t="shared" si="62"/>
        <v>5</v>
      </c>
      <c r="H678" s="7">
        <f t="shared" si="63"/>
        <v>0.17739975698663424</v>
      </c>
      <c r="I678">
        <f t="shared" si="64"/>
        <v>1</v>
      </c>
      <c r="J678">
        <f>VLOOKUP(A678,'Housing Cost Calc'!$A$2:$C$827,3,FALSE)</f>
        <v>2028</v>
      </c>
      <c r="K678">
        <f t="shared" si="65"/>
        <v>0.34043253472690976</v>
      </c>
    </row>
    <row r="679" spans="1:11" ht="60" x14ac:dyDescent="0.25">
      <c r="A679" s="4" t="s">
        <v>3517</v>
      </c>
      <c r="B679">
        <v>108250</v>
      </c>
      <c r="C679">
        <v>2.27</v>
      </c>
      <c r="D679">
        <f t="shared" si="60"/>
        <v>71848.048480696962</v>
      </c>
      <c r="E679">
        <f t="shared" si="61"/>
        <v>71.84804848069696</v>
      </c>
      <c r="F679" s="7">
        <v>0.82381530984204132</v>
      </c>
      <c r="G679">
        <f t="shared" si="62"/>
        <v>5</v>
      </c>
      <c r="H679" s="7">
        <f t="shared" si="63"/>
        <v>0.17618469015795868</v>
      </c>
      <c r="I679">
        <f t="shared" si="64"/>
        <v>1</v>
      </c>
      <c r="J679">
        <f>VLOOKUP(A679,'Housing Cost Calc'!$A$2:$C$827,3,FALSE)</f>
        <v>1915</v>
      </c>
      <c r="K679">
        <f t="shared" si="65"/>
        <v>0.31984167261235935</v>
      </c>
    </row>
    <row r="680" spans="1:11" ht="60" x14ac:dyDescent="0.25">
      <c r="A680" s="4" t="s">
        <v>3805</v>
      </c>
      <c r="B680">
        <v>111983</v>
      </c>
      <c r="C680">
        <v>2.42</v>
      </c>
      <c r="D680">
        <f t="shared" si="60"/>
        <v>71985.39879783013</v>
      </c>
      <c r="E680">
        <f t="shared" si="61"/>
        <v>71.985398797830129</v>
      </c>
      <c r="F680" s="7">
        <v>0.82503037667071688</v>
      </c>
      <c r="G680">
        <f t="shared" si="62"/>
        <v>5</v>
      </c>
      <c r="H680" s="7">
        <f t="shared" si="63"/>
        <v>0.17496962332928312</v>
      </c>
      <c r="I680">
        <f t="shared" si="64"/>
        <v>1</v>
      </c>
      <c r="J680">
        <f>VLOOKUP(A680,'Housing Cost Calc'!$A$2:$C$827,3,FALSE)</f>
        <v>2174</v>
      </c>
      <c r="K680">
        <f t="shared" si="65"/>
        <v>0.36240682743548785</v>
      </c>
    </row>
    <row r="681" spans="1:11" ht="60" x14ac:dyDescent="0.25">
      <c r="A681" s="4" t="s">
        <v>3270</v>
      </c>
      <c r="B681">
        <v>118906</v>
      </c>
      <c r="C681">
        <v>2.72</v>
      </c>
      <c r="D681">
        <f t="shared" si="60"/>
        <v>72097.352576425517</v>
      </c>
      <c r="E681">
        <f t="shared" si="61"/>
        <v>72.097352576425521</v>
      </c>
      <c r="F681" s="7">
        <v>0.82624544349939244</v>
      </c>
      <c r="G681">
        <f t="shared" si="62"/>
        <v>5</v>
      </c>
      <c r="H681" s="7">
        <f t="shared" si="63"/>
        <v>0.17375455650060756</v>
      </c>
      <c r="I681">
        <f t="shared" si="64"/>
        <v>1</v>
      </c>
      <c r="J681">
        <f>VLOOKUP(A681,'Housing Cost Calc'!$A$2:$C$827,3,FALSE)</f>
        <v>1759</v>
      </c>
      <c r="K681">
        <f t="shared" si="65"/>
        <v>0.29277080566342351</v>
      </c>
    </row>
    <row r="682" spans="1:11" ht="60" x14ac:dyDescent="0.25">
      <c r="A682" s="4" t="s">
        <v>3276</v>
      </c>
      <c r="B682">
        <v>103558</v>
      </c>
      <c r="C682">
        <v>2.06</v>
      </c>
      <c r="D682">
        <f t="shared" si="60"/>
        <v>72152.27749401133</v>
      </c>
      <c r="E682">
        <f t="shared" si="61"/>
        <v>72.152277494011329</v>
      </c>
      <c r="F682" s="7">
        <v>0.827460510328068</v>
      </c>
      <c r="G682">
        <f t="shared" si="62"/>
        <v>5</v>
      </c>
      <c r="H682" s="7">
        <f t="shared" si="63"/>
        <v>0.172539489671932</v>
      </c>
      <c r="I682">
        <f t="shared" si="64"/>
        <v>1</v>
      </c>
      <c r="J682">
        <f>VLOOKUP(A682,'Housing Cost Calc'!$A$2:$C$827,3,FALSE)</f>
        <v>1763</v>
      </c>
      <c r="K682">
        <f t="shared" si="65"/>
        <v>0.29321319762575693</v>
      </c>
    </row>
    <row r="683" spans="1:11" ht="60" x14ac:dyDescent="0.25">
      <c r="A683" s="4" t="s">
        <v>3064</v>
      </c>
      <c r="B683">
        <v>105066</v>
      </c>
      <c r="C683">
        <v>2.12</v>
      </c>
      <c r="D683">
        <f t="shared" si="60"/>
        <v>72159.625059164799</v>
      </c>
      <c r="E683">
        <f t="shared" si="61"/>
        <v>72.159625059164796</v>
      </c>
      <c r="F683" s="7">
        <v>0.82867557715674367</v>
      </c>
      <c r="G683">
        <f t="shared" si="62"/>
        <v>5</v>
      </c>
      <c r="H683" s="7">
        <f t="shared" si="63"/>
        <v>0.17132442284325633</v>
      </c>
      <c r="I683">
        <f t="shared" si="64"/>
        <v>1</v>
      </c>
      <c r="J683">
        <f>VLOOKUP(A683,'Housing Cost Calc'!$A$2:$C$827,3,FALSE)</f>
        <v>1483</v>
      </c>
      <c r="K683">
        <f t="shared" si="65"/>
        <v>0.24661990670556816</v>
      </c>
    </row>
    <row r="684" spans="1:11" ht="60" x14ac:dyDescent="0.25">
      <c r="A684" s="4" t="s">
        <v>3154</v>
      </c>
      <c r="B684">
        <v>116000</v>
      </c>
      <c r="C684">
        <v>2.57</v>
      </c>
      <c r="D684">
        <f t="shared" si="60"/>
        <v>72358.811940009429</v>
      </c>
      <c r="E684">
        <f t="shared" si="61"/>
        <v>72.358811940009431</v>
      </c>
      <c r="F684" s="7">
        <v>0.82989064398541923</v>
      </c>
      <c r="G684">
        <f t="shared" si="62"/>
        <v>5</v>
      </c>
      <c r="H684" s="7">
        <f t="shared" si="63"/>
        <v>0.17010935601458077</v>
      </c>
      <c r="I684">
        <f t="shared" si="64"/>
        <v>1</v>
      </c>
      <c r="J684">
        <f>VLOOKUP(A684,'Housing Cost Calc'!$A$2:$C$827,3,FALSE)</f>
        <v>1628</v>
      </c>
      <c r="K684">
        <f t="shared" si="65"/>
        <v>0.269987849112237</v>
      </c>
    </row>
    <row r="685" spans="1:11" ht="60" x14ac:dyDescent="0.25">
      <c r="A685" s="4" t="s">
        <v>3078</v>
      </c>
      <c r="B685">
        <v>117009</v>
      </c>
      <c r="C685">
        <v>2.6</v>
      </c>
      <c r="D685">
        <f t="shared" si="60"/>
        <v>72565.901297743461</v>
      </c>
      <c r="E685">
        <f t="shared" si="61"/>
        <v>72.565901297743466</v>
      </c>
      <c r="F685" s="7">
        <v>0.83110571081409479</v>
      </c>
      <c r="G685">
        <f t="shared" si="62"/>
        <v>5</v>
      </c>
      <c r="H685" s="7">
        <f t="shared" si="63"/>
        <v>0.16889428918590521</v>
      </c>
      <c r="I685">
        <f t="shared" si="64"/>
        <v>1</v>
      </c>
      <c r="J685">
        <f>VLOOKUP(A685,'Housing Cost Calc'!$A$2:$C$827,3,FALSE)</f>
        <v>1522</v>
      </c>
      <c r="K685">
        <f t="shared" si="65"/>
        <v>0.25168846074220735</v>
      </c>
    </row>
    <row r="686" spans="1:11" ht="60" x14ac:dyDescent="0.25">
      <c r="A686" s="4" t="s">
        <v>3342</v>
      </c>
      <c r="B686">
        <v>119917</v>
      </c>
      <c r="C686">
        <v>2.73</v>
      </c>
      <c r="D686">
        <f t="shared" si="60"/>
        <v>72577.070035044788</v>
      </c>
      <c r="E686">
        <f t="shared" si="61"/>
        <v>72.577070035044784</v>
      </c>
      <c r="F686" s="7">
        <v>0.83232077764277035</v>
      </c>
      <c r="G686">
        <f t="shared" si="62"/>
        <v>5</v>
      </c>
      <c r="H686" s="7">
        <f t="shared" si="63"/>
        <v>0.16767922235722965</v>
      </c>
      <c r="I686">
        <f t="shared" si="64"/>
        <v>1</v>
      </c>
      <c r="J686">
        <f>VLOOKUP(A686,'Housing Cost Calc'!$A$2:$C$827,3,FALSE)</f>
        <v>1820</v>
      </c>
      <c r="K686">
        <f t="shared" si="65"/>
        <v>0.30092148924521572</v>
      </c>
    </row>
    <row r="687" spans="1:11" ht="60" x14ac:dyDescent="0.25">
      <c r="A687" s="4" t="s">
        <v>3178</v>
      </c>
      <c r="B687">
        <v>111809</v>
      </c>
      <c r="C687">
        <v>2.36</v>
      </c>
      <c r="D687">
        <f t="shared" si="60"/>
        <v>72781.45973927468</v>
      </c>
      <c r="E687">
        <f t="shared" si="61"/>
        <v>72.78145973927468</v>
      </c>
      <c r="F687" s="7">
        <v>0.83353584447144591</v>
      </c>
      <c r="G687">
        <f t="shared" si="62"/>
        <v>5</v>
      </c>
      <c r="H687" s="7">
        <f t="shared" si="63"/>
        <v>0.16646415552855409</v>
      </c>
      <c r="I687">
        <f t="shared" si="64"/>
        <v>1</v>
      </c>
      <c r="J687">
        <f>VLOOKUP(A687,'Housing Cost Calc'!$A$2:$C$827,3,FALSE)</f>
        <v>1678</v>
      </c>
      <c r="K687">
        <f t="shared" si="65"/>
        <v>0.27666386566212431</v>
      </c>
    </row>
    <row r="688" spans="1:11" ht="60" x14ac:dyDescent="0.25">
      <c r="A688" s="4" t="s">
        <v>3482</v>
      </c>
      <c r="B688">
        <v>117625</v>
      </c>
      <c r="C688">
        <v>2.6</v>
      </c>
      <c r="D688">
        <f t="shared" si="60"/>
        <v>72947.928280278211</v>
      </c>
      <c r="E688">
        <f t="shared" si="61"/>
        <v>72.947928280278205</v>
      </c>
      <c r="F688" s="7">
        <v>0.83475091130012147</v>
      </c>
      <c r="G688">
        <f t="shared" si="62"/>
        <v>5</v>
      </c>
      <c r="H688" s="7">
        <f t="shared" si="63"/>
        <v>0.16524908869987853</v>
      </c>
      <c r="I688">
        <f t="shared" si="64"/>
        <v>1</v>
      </c>
      <c r="J688">
        <f>VLOOKUP(A688,'Housing Cost Calc'!$A$2:$C$827,3,FALSE)</f>
        <v>1927</v>
      </c>
      <c r="K688">
        <f t="shared" si="65"/>
        <v>0.31699323812396291</v>
      </c>
    </row>
    <row r="689" spans="1:11" ht="60" x14ac:dyDescent="0.25">
      <c r="A689" s="4" t="s">
        <v>3112</v>
      </c>
      <c r="B689">
        <v>120833</v>
      </c>
      <c r="C689">
        <v>2.74</v>
      </c>
      <c r="D689">
        <f t="shared" si="60"/>
        <v>72997.884903365266</v>
      </c>
      <c r="E689">
        <f t="shared" si="61"/>
        <v>72.997884903365261</v>
      </c>
      <c r="F689" s="7">
        <v>0.83596597812879714</v>
      </c>
      <c r="G689">
        <f t="shared" si="62"/>
        <v>5</v>
      </c>
      <c r="H689" s="7">
        <f t="shared" si="63"/>
        <v>0.16403402187120286</v>
      </c>
      <c r="I689">
        <f t="shared" si="64"/>
        <v>1</v>
      </c>
      <c r="J689">
        <f>VLOOKUP(A689,'Housing Cost Calc'!$A$2:$C$827,3,FALSE)</f>
        <v>1589</v>
      </c>
      <c r="K689">
        <f t="shared" si="65"/>
        <v>0.261213047819704</v>
      </c>
    </row>
    <row r="690" spans="1:11" ht="45" x14ac:dyDescent="0.25">
      <c r="A690" s="4" t="s">
        <v>3829</v>
      </c>
      <c r="B690">
        <v>113594</v>
      </c>
      <c r="C690">
        <v>2.42</v>
      </c>
      <c r="D690">
        <f t="shared" si="60"/>
        <v>73020.988820095168</v>
      </c>
      <c r="E690">
        <f t="shared" si="61"/>
        <v>73.02098882009517</v>
      </c>
      <c r="F690" s="7">
        <v>0.8371810449574727</v>
      </c>
      <c r="G690">
        <f t="shared" si="62"/>
        <v>5</v>
      </c>
      <c r="H690" s="7">
        <f t="shared" si="63"/>
        <v>0.1628189550425273</v>
      </c>
      <c r="I690">
        <f t="shared" si="64"/>
        <v>1</v>
      </c>
      <c r="J690">
        <f>VLOOKUP(A690,'Housing Cost Calc'!$A$2:$C$827,3,FALSE)</f>
        <v>2278</v>
      </c>
      <c r="K690">
        <f t="shared" si="65"/>
        <v>0.37435811869582913</v>
      </c>
    </row>
    <row r="691" spans="1:11" ht="60" x14ac:dyDescent="0.25">
      <c r="A691" s="4" t="s">
        <v>3240</v>
      </c>
      <c r="B691">
        <v>124141</v>
      </c>
      <c r="C691">
        <v>2.89</v>
      </c>
      <c r="D691">
        <f t="shared" si="60"/>
        <v>73024.117647058825</v>
      </c>
      <c r="E691">
        <f t="shared" si="61"/>
        <v>73.02411764705883</v>
      </c>
      <c r="F691" s="7">
        <v>0.83839611178614826</v>
      </c>
      <c r="G691">
        <f t="shared" si="62"/>
        <v>5</v>
      </c>
      <c r="H691" s="7">
        <f t="shared" si="63"/>
        <v>0.16160388821385174</v>
      </c>
      <c r="I691">
        <f t="shared" si="64"/>
        <v>1</v>
      </c>
      <c r="J691">
        <f>VLOOKUP(A691,'Housing Cost Calc'!$A$2:$C$827,3,FALSE)</f>
        <v>1763</v>
      </c>
      <c r="K691">
        <f t="shared" si="65"/>
        <v>0.28971250432975404</v>
      </c>
    </row>
    <row r="692" spans="1:11" ht="60" x14ac:dyDescent="0.25">
      <c r="A692" s="4" t="s">
        <v>3465</v>
      </c>
      <c r="B692">
        <v>116402</v>
      </c>
      <c r="C692">
        <v>2.54</v>
      </c>
      <c r="D692">
        <f t="shared" si="60"/>
        <v>73037.110629691932</v>
      </c>
      <c r="E692">
        <f t="shared" si="61"/>
        <v>73.037110629691938</v>
      </c>
      <c r="F692" s="7">
        <v>0.83961117861482382</v>
      </c>
      <c r="G692">
        <f t="shared" si="62"/>
        <v>5</v>
      </c>
      <c r="H692" s="7">
        <f t="shared" si="63"/>
        <v>0.16038882138517618</v>
      </c>
      <c r="I692">
        <f t="shared" si="64"/>
        <v>1</v>
      </c>
      <c r="J692">
        <f>VLOOKUP(A692,'Housing Cost Calc'!$A$2:$C$827,3,FALSE)</f>
        <v>1912</v>
      </c>
      <c r="K692">
        <f t="shared" si="65"/>
        <v>0.31414167129815956</v>
      </c>
    </row>
    <row r="693" spans="1:11" ht="60" x14ac:dyDescent="0.25">
      <c r="A693" s="4" t="s">
        <v>3820</v>
      </c>
      <c r="B693">
        <v>122031</v>
      </c>
      <c r="C693">
        <v>2.76</v>
      </c>
      <c r="D693">
        <f t="shared" si="60"/>
        <v>73454.030189547513</v>
      </c>
      <c r="E693">
        <f t="shared" si="61"/>
        <v>73.45403018954751</v>
      </c>
      <c r="F693" s="7">
        <v>0.84082624544349938</v>
      </c>
      <c r="G693">
        <f t="shared" si="62"/>
        <v>5</v>
      </c>
      <c r="H693" s="7">
        <f t="shared" si="63"/>
        <v>0.15917375455650062</v>
      </c>
      <c r="I693">
        <f t="shared" si="64"/>
        <v>1</v>
      </c>
      <c r="J693">
        <f>VLOOKUP(A693,'Housing Cost Calc'!$A$2:$C$827,3,FALSE)</f>
        <v>2272</v>
      </c>
      <c r="K693">
        <f t="shared" si="65"/>
        <v>0.37117092050150924</v>
      </c>
    </row>
    <row r="694" spans="1:11" ht="60" x14ac:dyDescent="0.25">
      <c r="A694" s="4" t="s">
        <v>3082</v>
      </c>
      <c r="B694">
        <v>119861</v>
      </c>
      <c r="C694">
        <v>2.64</v>
      </c>
      <c r="D694">
        <f t="shared" si="60"/>
        <v>73769.346001369006</v>
      </c>
      <c r="E694">
        <f t="shared" si="61"/>
        <v>73.769346001369001</v>
      </c>
      <c r="F694" s="7">
        <v>0.84204131227217494</v>
      </c>
      <c r="G694">
        <f t="shared" si="62"/>
        <v>5</v>
      </c>
      <c r="H694" s="7">
        <f t="shared" si="63"/>
        <v>0.15795868772782506</v>
      </c>
      <c r="I694">
        <f t="shared" si="64"/>
        <v>1</v>
      </c>
      <c r="J694">
        <f>VLOOKUP(A694,'Housing Cost Calc'!$A$2:$C$827,3,FALSE)</f>
        <v>1552</v>
      </c>
      <c r="K694">
        <f t="shared" si="65"/>
        <v>0.25246258791089699</v>
      </c>
    </row>
    <row r="695" spans="1:11" ht="60" x14ac:dyDescent="0.25">
      <c r="A695" s="4" t="s">
        <v>3770</v>
      </c>
      <c r="B695">
        <v>123750</v>
      </c>
      <c r="C695">
        <v>2.79</v>
      </c>
      <c r="D695">
        <f t="shared" si="60"/>
        <v>74087.187086044651</v>
      </c>
      <c r="E695">
        <f t="shared" si="61"/>
        <v>74.087187086044651</v>
      </c>
      <c r="F695" s="7">
        <v>0.84325637910085049</v>
      </c>
      <c r="G695">
        <f t="shared" si="62"/>
        <v>5</v>
      </c>
      <c r="H695" s="7">
        <f t="shared" si="63"/>
        <v>0.15674362089914951</v>
      </c>
      <c r="I695">
        <f t="shared" si="64"/>
        <v>1</v>
      </c>
      <c r="J695">
        <f>VLOOKUP(A695,'Housing Cost Calc'!$A$2:$C$827,3,FALSE)</f>
        <v>2185</v>
      </c>
      <c r="K695">
        <f t="shared" si="65"/>
        <v>0.35390734931734102</v>
      </c>
    </row>
    <row r="696" spans="1:11" ht="45" x14ac:dyDescent="0.25">
      <c r="A696" s="4" t="s">
        <v>3845</v>
      </c>
      <c r="B696">
        <v>128667</v>
      </c>
      <c r="C696">
        <v>2.99</v>
      </c>
      <c r="D696">
        <f t="shared" si="60"/>
        <v>74410.047351300236</v>
      </c>
      <c r="E696">
        <f t="shared" si="61"/>
        <v>74.410047351300236</v>
      </c>
      <c r="F696" s="7">
        <v>0.84447144592952617</v>
      </c>
      <c r="G696">
        <f t="shared" si="62"/>
        <v>5</v>
      </c>
      <c r="H696" s="7">
        <f t="shared" si="63"/>
        <v>0.15552855407047383</v>
      </c>
      <c r="I696">
        <f t="shared" si="64"/>
        <v>1</v>
      </c>
      <c r="J696">
        <f>VLOOKUP(A696,'Housing Cost Calc'!$A$2:$C$827,3,FALSE)</f>
        <v>2371</v>
      </c>
      <c r="K696">
        <f t="shared" si="65"/>
        <v>0.3823677179732749</v>
      </c>
    </row>
    <row r="697" spans="1:11" ht="60" x14ac:dyDescent="0.25">
      <c r="A697" s="4" t="s">
        <v>3831</v>
      </c>
      <c r="B697">
        <v>129559</v>
      </c>
      <c r="C697">
        <v>3.03</v>
      </c>
      <c r="D697">
        <f t="shared" si="60"/>
        <v>74429.700770362339</v>
      </c>
      <c r="E697">
        <f t="shared" si="61"/>
        <v>74.429700770362345</v>
      </c>
      <c r="F697" s="7">
        <v>0.84568651275820172</v>
      </c>
      <c r="G697">
        <f t="shared" si="62"/>
        <v>5</v>
      </c>
      <c r="H697" s="7">
        <f t="shared" si="63"/>
        <v>0.15431348724179828</v>
      </c>
      <c r="I697">
        <f t="shared" si="64"/>
        <v>1</v>
      </c>
      <c r="J697">
        <f>VLOOKUP(A697,'Housing Cost Calc'!$A$2:$C$827,3,FALSE)</f>
        <v>2329</v>
      </c>
      <c r="K697">
        <f t="shared" si="65"/>
        <v>0.37549526211623308</v>
      </c>
    </row>
    <row r="698" spans="1:11" ht="60" x14ac:dyDescent="0.25">
      <c r="A698" s="4" t="s">
        <v>3352</v>
      </c>
      <c r="B698">
        <v>121250</v>
      </c>
      <c r="C698">
        <v>2.64</v>
      </c>
      <c r="D698">
        <f t="shared" si="60"/>
        <v>74624.216406220468</v>
      </c>
      <c r="E698">
        <f t="shared" si="61"/>
        <v>74.624216406220469</v>
      </c>
      <c r="F698" s="7">
        <v>0.84690157958687728</v>
      </c>
      <c r="G698">
        <f t="shared" si="62"/>
        <v>5</v>
      </c>
      <c r="H698" s="7">
        <f t="shared" si="63"/>
        <v>0.15309842041312272</v>
      </c>
      <c r="I698">
        <f t="shared" si="64"/>
        <v>1</v>
      </c>
      <c r="J698">
        <f>VLOOKUP(A698,'Housing Cost Calc'!$A$2:$C$827,3,FALSE)</f>
        <v>1878</v>
      </c>
      <c r="K698">
        <f t="shared" si="65"/>
        <v>0.30199312080309443</v>
      </c>
    </row>
    <row r="699" spans="1:11" ht="60" x14ac:dyDescent="0.25">
      <c r="A699" s="4" t="s">
        <v>3379</v>
      </c>
      <c r="B699">
        <v>119905</v>
      </c>
      <c r="C699">
        <v>2.58</v>
      </c>
      <c r="D699">
        <f t="shared" si="60"/>
        <v>74649.592347158192</v>
      </c>
      <c r="E699">
        <f t="shared" si="61"/>
        <v>74.64959234715819</v>
      </c>
      <c r="F699" s="7">
        <v>0.84811664641555284</v>
      </c>
      <c r="G699">
        <f t="shared" si="62"/>
        <v>5</v>
      </c>
      <c r="H699" s="7">
        <f t="shared" si="63"/>
        <v>0.15188335358444716</v>
      </c>
      <c r="I699">
        <f t="shared" si="64"/>
        <v>1</v>
      </c>
      <c r="J699">
        <f>VLOOKUP(A699,'Housing Cost Calc'!$A$2:$C$827,3,FALSE)</f>
        <v>1897</v>
      </c>
      <c r="K699">
        <f t="shared" si="65"/>
        <v>0.30494473290806384</v>
      </c>
    </row>
    <row r="700" spans="1:11" ht="60" x14ac:dyDescent="0.25">
      <c r="A700" s="4" t="s">
        <v>3539</v>
      </c>
      <c r="B700">
        <v>121889</v>
      </c>
      <c r="C700">
        <v>2.65</v>
      </c>
      <c r="D700">
        <f t="shared" si="60"/>
        <v>74875.817495773474</v>
      </c>
      <c r="E700">
        <f t="shared" si="61"/>
        <v>74.875817495773475</v>
      </c>
      <c r="F700" s="7">
        <v>0.8493317132442284</v>
      </c>
      <c r="G700">
        <f t="shared" si="62"/>
        <v>5</v>
      </c>
      <c r="H700" s="7">
        <f t="shared" si="63"/>
        <v>0.1506682867557716</v>
      </c>
      <c r="I700">
        <f t="shared" si="64"/>
        <v>1</v>
      </c>
      <c r="J700">
        <f>VLOOKUP(A700,'Housing Cost Calc'!$A$2:$C$827,3,FALSE)</f>
        <v>2003</v>
      </c>
      <c r="K700">
        <f t="shared" si="65"/>
        <v>0.32101152019284146</v>
      </c>
    </row>
    <row r="701" spans="1:11" ht="60" x14ac:dyDescent="0.25">
      <c r="A701" s="4" t="s">
        <v>3202</v>
      </c>
      <c r="B701">
        <v>121939</v>
      </c>
      <c r="C701">
        <v>2.63</v>
      </c>
      <c r="D701">
        <f t="shared" si="60"/>
        <v>75190.80853796663</v>
      </c>
      <c r="E701">
        <f t="shared" si="61"/>
        <v>75.190808537966632</v>
      </c>
      <c r="F701" s="7">
        <v>0.85054678007290396</v>
      </c>
      <c r="G701">
        <f t="shared" si="62"/>
        <v>5</v>
      </c>
      <c r="H701" s="7">
        <f t="shared" si="63"/>
        <v>0.14945321992709604</v>
      </c>
      <c r="I701">
        <f t="shared" si="64"/>
        <v>1</v>
      </c>
      <c r="J701">
        <f>VLOOKUP(A701,'Housing Cost Calc'!$A$2:$C$827,3,FALSE)</f>
        <v>1775</v>
      </c>
      <c r="K701">
        <f t="shared" si="65"/>
        <v>0.28327930519918321</v>
      </c>
    </row>
    <row r="702" spans="1:11" ht="60" x14ac:dyDescent="0.25">
      <c r="A702" s="4" t="s">
        <v>3668</v>
      </c>
      <c r="B702">
        <v>126422</v>
      </c>
      <c r="C702">
        <v>2.82</v>
      </c>
      <c r="D702">
        <f t="shared" si="60"/>
        <v>75283.205449124143</v>
      </c>
      <c r="E702">
        <f t="shared" si="61"/>
        <v>75.283205449124139</v>
      </c>
      <c r="F702" s="7">
        <v>0.85176184690157963</v>
      </c>
      <c r="G702">
        <f t="shared" si="62"/>
        <v>5</v>
      </c>
      <c r="H702" s="7">
        <f t="shared" si="63"/>
        <v>0.14823815309842037</v>
      </c>
      <c r="I702">
        <f t="shared" si="64"/>
        <v>1</v>
      </c>
      <c r="J702">
        <f>VLOOKUP(A702,'Housing Cost Calc'!$A$2:$C$827,3,FALSE)</f>
        <v>2107</v>
      </c>
      <c r="K702">
        <f t="shared" si="65"/>
        <v>0.33585179920489366</v>
      </c>
    </row>
    <row r="703" spans="1:11" ht="45" x14ac:dyDescent="0.25">
      <c r="A703" s="4" t="s">
        <v>3555</v>
      </c>
      <c r="B703">
        <v>104868</v>
      </c>
      <c r="C703">
        <v>1.94</v>
      </c>
      <c r="D703">
        <f t="shared" si="60"/>
        <v>75290.836177924968</v>
      </c>
      <c r="E703">
        <f t="shared" si="61"/>
        <v>75.290836177924973</v>
      </c>
      <c r="F703" s="7">
        <v>0.85297691373025519</v>
      </c>
      <c r="G703">
        <f t="shared" si="62"/>
        <v>5</v>
      </c>
      <c r="H703" s="7">
        <f t="shared" si="63"/>
        <v>0.14702308626974481</v>
      </c>
      <c r="I703">
        <f t="shared" si="64"/>
        <v>1</v>
      </c>
      <c r="J703">
        <f>VLOOKUP(A703,'Housing Cost Calc'!$A$2:$C$827,3,FALSE)</f>
        <v>2018</v>
      </c>
      <c r="K703">
        <f t="shared" si="65"/>
        <v>0.32163276740310731</v>
      </c>
    </row>
    <row r="704" spans="1:11" ht="60" x14ac:dyDescent="0.25">
      <c r="A704" s="4" t="s">
        <v>3586</v>
      </c>
      <c r="B704">
        <v>128056</v>
      </c>
      <c r="C704">
        <v>2.87</v>
      </c>
      <c r="D704">
        <f t="shared" si="60"/>
        <v>75589.066775743937</v>
      </c>
      <c r="E704">
        <f t="shared" si="61"/>
        <v>75.58906677574393</v>
      </c>
      <c r="F704" s="7">
        <v>0.85419198055893075</v>
      </c>
      <c r="G704">
        <f t="shared" si="62"/>
        <v>5</v>
      </c>
      <c r="H704" s="7">
        <f t="shared" si="63"/>
        <v>0.14580801944106925</v>
      </c>
      <c r="I704">
        <f t="shared" si="64"/>
        <v>1</v>
      </c>
      <c r="J704">
        <f>VLOOKUP(A704,'Housing Cost Calc'!$A$2:$C$827,3,FALSE)</f>
        <v>2056</v>
      </c>
      <c r="K704">
        <f t="shared" si="65"/>
        <v>0.32639640959183125</v>
      </c>
    </row>
    <row r="705" spans="1:11" ht="45" x14ac:dyDescent="0.25">
      <c r="A705" s="4" t="s">
        <v>3854</v>
      </c>
      <c r="B705">
        <v>126838</v>
      </c>
      <c r="C705">
        <v>2.81</v>
      </c>
      <c r="D705">
        <f t="shared" si="60"/>
        <v>75665.207158754449</v>
      </c>
      <c r="E705">
        <f t="shared" si="61"/>
        <v>75.665207158754455</v>
      </c>
      <c r="F705" s="7">
        <v>0.85540704738760631</v>
      </c>
      <c r="G705">
        <f t="shared" si="62"/>
        <v>5</v>
      </c>
      <c r="H705" s="7">
        <f t="shared" si="63"/>
        <v>0.14459295261239369</v>
      </c>
      <c r="I705">
        <f t="shared" si="64"/>
        <v>1</v>
      </c>
      <c r="J705">
        <f>VLOOKUP(A705,'Housing Cost Calc'!$A$2:$C$827,3,FALSE)</f>
        <v>2452</v>
      </c>
      <c r="K705">
        <f t="shared" si="65"/>
        <v>0.38887093691906516</v>
      </c>
    </row>
    <row r="706" spans="1:11" ht="60" x14ac:dyDescent="0.25">
      <c r="A706" s="4" t="s">
        <v>3080</v>
      </c>
      <c r="B706">
        <v>120745</v>
      </c>
      <c r="C706">
        <v>2.54</v>
      </c>
      <c r="D706">
        <f t="shared" ref="D706:D769" si="66">(B706/(C706)^0.5)</f>
        <v>75762.151191406956</v>
      </c>
      <c r="E706">
        <f t="shared" ref="E706:E769" si="67">D706/1000</f>
        <v>75.762151191406957</v>
      </c>
      <c r="F706" s="7">
        <v>0.85662211421628187</v>
      </c>
      <c r="G706">
        <f t="shared" si="62"/>
        <v>5</v>
      </c>
      <c r="H706" s="7">
        <f t="shared" si="63"/>
        <v>0.14337788578371813</v>
      </c>
      <c r="I706">
        <f t="shared" si="64"/>
        <v>1</v>
      </c>
      <c r="J706">
        <f>VLOOKUP(A706,'Housing Cost Calc'!$A$2:$C$827,3,FALSE)</f>
        <v>1590</v>
      </c>
      <c r="K706">
        <f t="shared" si="65"/>
        <v>0.25184078989251402</v>
      </c>
    </row>
    <row r="707" spans="1:11" ht="60" x14ac:dyDescent="0.25">
      <c r="A707" s="4" t="s">
        <v>3377</v>
      </c>
      <c r="B707">
        <v>123480</v>
      </c>
      <c r="C707">
        <v>2.64</v>
      </c>
      <c r="D707">
        <f t="shared" si="66"/>
        <v>75996.686530640029</v>
      </c>
      <c r="E707">
        <f t="shared" si="67"/>
        <v>75.996686530640034</v>
      </c>
      <c r="F707" s="7">
        <v>0.85783718104495743</v>
      </c>
      <c r="G707">
        <f t="shared" ref="G707:G770" si="68">IF(F707&lt;0.2,1,IF(F707&lt;0.4,2,IF(F707&lt;0.6,3,IF(F707&lt;0.8,4,5))))</f>
        <v>5</v>
      </c>
      <c r="H707" s="7">
        <f t="shared" ref="H707:H770" si="69">1-F707</f>
        <v>0.14216281895504257</v>
      </c>
      <c r="I707">
        <f t="shared" ref="I707:I770" si="70">6-G707</f>
        <v>1</v>
      </c>
      <c r="J707">
        <f>VLOOKUP(A707,'Housing Cost Calc'!$A$2:$C$827,3,FALSE)</f>
        <v>1929</v>
      </c>
      <c r="K707">
        <f t="shared" ref="K707:K770" si="71">(J707*12)/D707</f>
        <v>0.30459222706594302</v>
      </c>
    </row>
    <row r="708" spans="1:11" ht="60" x14ac:dyDescent="0.25">
      <c r="A708" s="4" t="s">
        <v>3498</v>
      </c>
      <c r="B708">
        <v>128750</v>
      </c>
      <c r="C708">
        <v>2.82</v>
      </c>
      <c r="D708">
        <f t="shared" si="66"/>
        <v>76669.509275084507</v>
      </c>
      <c r="E708">
        <f t="shared" si="67"/>
        <v>76.669509275084508</v>
      </c>
      <c r="F708" s="7">
        <v>0.8590522478736331</v>
      </c>
      <c r="G708">
        <f t="shared" si="68"/>
        <v>5</v>
      </c>
      <c r="H708" s="7">
        <f t="shared" si="69"/>
        <v>0.1409477521263669</v>
      </c>
      <c r="I708">
        <f t="shared" si="70"/>
        <v>1</v>
      </c>
      <c r="J708">
        <f>VLOOKUP(A708,'Housing Cost Calc'!$A$2:$C$827,3,FALSE)</f>
        <v>2032</v>
      </c>
      <c r="K708">
        <f t="shared" si="71"/>
        <v>0.31804038177043781</v>
      </c>
    </row>
    <row r="709" spans="1:11" ht="60" x14ac:dyDescent="0.25">
      <c r="A709" s="4" t="s">
        <v>3304</v>
      </c>
      <c r="B709">
        <v>126534</v>
      </c>
      <c r="C709">
        <v>2.68</v>
      </c>
      <c r="D709">
        <f t="shared" si="66"/>
        <v>77292.942360903617</v>
      </c>
      <c r="E709">
        <f t="shared" si="67"/>
        <v>77.292942360903623</v>
      </c>
      <c r="F709" s="7">
        <v>0.86026731470230866</v>
      </c>
      <c r="G709">
        <f t="shared" si="68"/>
        <v>5</v>
      </c>
      <c r="H709" s="7">
        <f t="shared" si="69"/>
        <v>0.13973268529769134</v>
      </c>
      <c r="I709">
        <f t="shared" si="70"/>
        <v>1</v>
      </c>
      <c r="J709">
        <f>VLOOKUP(A709,'Housing Cost Calc'!$A$2:$C$827,3,FALSE)</f>
        <v>1916</v>
      </c>
      <c r="K709">
        <f t="shared" si="71"/>
        <v>0.29746571029271401</v>
      </c>
    </row>
    <row r="710" spans="1:11" ht="60" x14ac:dyDescent="0.25">
      <c r="A710" s="4" t="s">
        <v>3471</v>
      </c>
      <c r="B710">
        <v>118971</v>
      </c>
      <c r="C710">
        <v>2.36</v>
      </c>
      <c r="D710">
        <f t="shared" si="66"/>
        <v>77443.524641497977</v>
      </c>
      <c r="E710">
        <f t="shared" si="67"/>
        <v>77.443524641497973</v>
      </c>
      <c r="F710" s="7">
        <v>0.86148238153098422</v>
      </c>
      <c r="G710">
        <f t="shared" si="68"/>
        <v>5</v>
      </c>
      <c r="H710" s="7">
        <f t="shared" si="69"/>
        <v>0.13851761846901578</v>
      </c>
      <c r="I710">
        <f t="shared" si="70"/>
        <v>1</v>
      </c>
      <c r="J710">
        <f>VLOOKUP(A710,'Housing Cost Calc'!$A$2:$C$827,3,FALSE)</f>
        <v>2036</v>
      </c>
      <c r="K710">
        <f t="shared" si="71"/>
        <v>0.31548150879109338</v>
      </c>
    </row>
    <row r="711" spans="1:11" ht="60" x14ac:dyDescent="0.25">
      <c r="A711" s="4" t="s">
        <v>3322</v>
      </c>
      <c r="B711">
        <v>132740</v>
      </c>
      <c r="C711">
        <v>2.91</v>
      </c>
      <c r="D711">
        <f t="shared" si="66"/>
        <v>77813.566074895294</v>
      </c>
      <c r="E711">
        <f t="shared" si="67"/>
        <v>77.813566074895292</v>
      </c>
      <c r="F711" s="7">
        <v>0.86269744835965978</v>
      </c>
      <c r="G711">
        <f t="shared" si="68"/>
        <v>5</v>
      </c>
      <c r="H711" s="7">
        <f t="shared" si="69"/>
        <v>0.13730255164034022</v>
      </c>
      <c r="I711">
        <f t="shared" si="70"/>
        <v>1</v>
      </c>
      <c r="J711">
        <f>VLOOKUP(A711,'Housing Cost Calc'!$A$2:$C$827,3,FALSE)</f>
        <v>1939</v>
      </c>
      <c r="K711">
        <f t="shared" si="71"/>
        <v>0.29902240924936702</v>
      </c>
    </row>
    <row r="712" spans="1:11" ht="60" x14ac:dyDescent="0.25">
      <c r="A712" s="4" t="s">
        <v>3521</v>
      </c>
      <c r="B712">
        <v>136103</v>
      </c>
      <c r="C712">
        <v>3.05</v>
      </c>
      <c r="D712">
        <f t="shared" si="66"/>
        <v>77932.351095120408</v>
      </c>
      <c r="E712">
        <f t="shared" si="67"/>
        <v>77.93235109512041</v>
      </c>
      <c r="F712" s="7">
        <v>0.86391251518833534</v>
      </c>
      <c r="G712">
        <f t="shared" si="68"/>
        <v>5</v>
      </c>
      <c r="H712" s="7">
        <f t="shared" si="69"/>
        <v>0.13608748481166466</v>
      </c>
      <c r="I712">
        <f t="shared" si="70"/>
        <v>1</v>
      </c>
      <c r="J712">
        <f>VLOOKUP(A712,'Housing Cost Calc'!$A$2:$C$827,3,FALSE)</f>
        <v>2080</v>
      </c>
      <c r="K712">
        <f t="shared" si="71"/>
        <v>0.32027777488112796</v>
      </c>
    </row>
    <row r="713" spans="1:11" ht="60" x14ac:dyDescent="0.25">
      <c r="A713" s="4" t="s">
        <v>3713</v>
      </c>
      <c r="B713">
        <v>129133</v>
      </c>
      <c r="C713">
        <v>2.73</v>
      </c>
      <c r="D713">
        <f t="shared" si="66"/>
        <v>78154.846976120461</v>
      </c>
      <c r="E713">
        <f t="shared" si="67"/>
        <v>78.154846976120467</v>
      </c>
      <c r="F713" s="7">
        <v>0.8651275820170109</v>
      </c>
      <c r="G713">
        <f t="shared" si="68"/>
        <v>5</v>
      </c>
      <c r="H713" s="7">
        <f t="shared" si="69"/>
        <v>0.1348724179829891</v>
      </c>
      <c r="I713">
        <f t="shared" si="70"/>
        <v>1</v>
      </c>
      <c r="J713">
        <f>VLOOKUP(A713,'Housing Cost Calc'!$A$2:$C$827,3,FALSE)</f>
        <v>2240</v>
      </c>
      <c r="K713">
        <f t="shared" si="71"/>
        <v>0.34393260354297606</v>
      </c>
    </row>
    <row r="714" spans="1:11" ht="45" x14ac:dyDescent="0.25">
      <c r="A714" s="4" t="s">
        <v>3847</v>
      </c>
      <c r="B714">
        <v>122633</v>
      </c>
      <c r="C714">
        <v>2.4300000000000002</v>
      </c>
      <c r="D714">
        <f t="shared" si="66"/>
        <v>78669.106179479306</v>
      </c>
      <c r="E714">
        <f t="shared" si="67"/>
        <v>78.6691061794793</v>
      </c>
      <c r="F714" s="7">
        <v>0.86634264884568646</v>
      </c>
      <c r="G714">
        <f t="shared" si="68"/>
        <v>5</v>
      </c>
      <c r="H714" s="7">
        <f t="shared" si="69"/>
        <v>0.13365735115431354</v>
      </c>
      <c r="I714">
        <f t="shared" si="70"/>
        <v>1</v>
      </c>
      <c r="J714">
        <f>VLOOKUP(A714,'Housing Cost Calc'!$A$2:$C$827,3,FALSE)</f>
        <v>2513</v>
      </c>
      <c r="K714">
        <f t="shared" si="71"/>
        <v>0.38332709578777618</v>
      </c>
    </row>
    <row r="715" spans="1:11" ht="45" x14ac:dyDescent="0.25">
      <c r="A715" s="4" t="s">
        <v>3856</v>
      </c>
      <c r="B715">
        <v>129821</v>
      </c>
      <c r="C715">
        <v>2.72</v>
      </c>
      <c r="D715">
        <f t="shared" si="66"/>
        <v>78715.543444604453</v>
      </c>
      <c r="E715">
        <f t="shared" si="67"/>
        <v>78.71554344460445</v>
      </c>
      <c r="F715" s="7">
        <v>0.86755771567436213</v>
      </c>
      <c r="G715">
        <f t="shared" si="68"/>
        <v>5</v>
      </c>
      <c r="H715" s="7">
        <f t="shared" si="69"/>
        <v>0.13244228432563787</v>
      </c>
      <c r="I715">
        <f t="shared" si="70"/>
        <v>1</v>
      </c>
      <c r="J715">
        <f>VLOOKUP(A715,'Housing Cost Calc'!$A$2:$C$827,3,FALSE)</f>
        <v>2593</v>
      </c>
      <c r="K715">
        <f t="shared" si="71"/>
        <v>0.39529676907963773</v>
      </c>
    </row>
    <row r="716" spans="1:11" ht="60" x14ac:dyDescent="0.25">
      <c r="A716" s="4" t="s">
        <v>3186</v>
      </c>
      <c r="B716">
        <v>128661</v>
      </c>
      <c r="C716">
        <v>2.64</v>
      </c>
      <c r="D716">
        <f t="shared" si="66"/>
        <v>79185.371604459637</v>
      </c>
      <c r="E716">
        <f t="shared" si="67"/>
        <v>79.185371604459633</v>
      </c>
      <c r="F716" s="7">
        <v>0.86877278250303769</v>
      </c>
      <c r="G716">
        <f t="shared" si="68"/>
        <v>5</v>
      </c>
      <c r="H716" s="7">
        <f t="shared" si="69"/>
        <v>0.13122721749696231</v>
      </c>
      <c r="I716">
        <f t="shared" si="70"/>
        <v>1</v>
      </c>
      <c r="J716">
        <f>VLOOKUP(A716,'Housing Cost Calc'!$A$2:$C$827,3,FALSE)</f>
        <v>1861</v>
      </c>
      <c r="K716">
        <f t="shared" si="71"/>
        <v>0.28202178694760693</v>
      </c>
    </row>
    <row r="717" spans="1:11" ht="60" x14ac:dyDescent="0.25">
      <c r="A717" s="4" t="s">
        <v>3359</v>
      </c>
      <c r="B717">
        <v>131563</v>
      </c>
      <c r="C717">
        <v>2.76</v>
      </c>
      <c r="D717">
        <f t="shared" si="66"/>
        <v>79191.619947615269</v>
      </c>
      <c r="E717">
        <f t="shared" si="67"/>
        <v>79.191619947615266</v>
      </c>
      <c r="F717" s="7">
        <v>0.86998784933171325</v>
      </c>
      <c r="G717">
        <f t="shared" si="68"/>
        <v>5</v>
      </c>
      <c r="H717" s="7">
        <f t="shared" si="69"/>
        <v>0.13001215066828675</v>
      </c>
      <c r="I717">
        <f t="shared" si="70"/>
        <v>1</v>
      </c>
      <c r="J717">
        <f>VLOOKUP(A717,'Housing Cost Calc'!$A$2:$C$827,3,FALSE)</f>
        <v>1998</v>
      </c>
      <c r="K717">
        <f t="shared" si="71"/>
        <v>0.30275930730877793</v>
      </c>
    </row>
    <row r="718" spans="1:11" ht="60" x14ac:dyDescent="0.25">
      <c r="A718" s="4" t="s">
        <v>3086</v>
      </c>
      <c r="B718">
        <v>130885</v>
      </c>
      <c r="C718">
        <v>2.73</v>
      </c>
      <c r="D718">
        <f t="shared" si="66"/>
        <v>79215.205613356215</v>
      </c>
      <c r="E718">
        <f t="shared" si="67"/>
        <v>79.215205613356218</v>
      </c>
      <c r="F718" s="7">
        <v>0.87120291616038881</v>
      </c>
      <c r="G718">
        <f t="shared" si="68"/>
        <v>5</v>
      </c>
      <c r="H718" s="7">
        <f t="shared" si="69"/>
        <v>0.12879708383961119</v>
      </c>
      <c r="I718">
        <f t="shared" si="70"/>
        <v>1</v>
      </c>
      <c r="J718">
        <f>VLOOKUP(A718,'Housing Cost Calc'!$A$2:$C$827,3,FALSE)</f>
        <v>1686</v>
      </c>
      <c r="K718">
        <f t="shared" si="71"/>
        <v>0.25540551013338214</v>
      </c>
    </row>
    <row r="719" spans="1:11" ht="60" x14ac:dyDescent="0.25">
      <c r="A719" s="4" t="s">
        <v>3599</v>
      </c>
      <c r="B719">
        <v>136053</v>
      </c>
      <c r="C719">
        <v>2.94</v>
      </c>
      <c r="D719">
        <f t="shared" si="66"/>
        <v>79347.720946399932</v>
      </c>
      <c r="E719">
        <f t="shared" si="67"/>
        <v>79.347720946399932</v>
      </c>
      <c r="F719" s="7">
        <v>0.87241798298906437</v>
      </c>
      <c r="G719">
        <f t="shared" si="68"/>
        <v>5</v>
      </c>
      <c r="H719" s="7">
        <f t="shared" si="69"/>
        <v>0.12758201701093563</v>
      </c>
      <c r="I719">
        <f t="shared" si="70"/>
        <v>1</v>
      </c>
      <c r="J719">
        <f>VLOOKUP(A719,'Housing Cost Calc'!$A$2:$C$827,3,FALSE)</f>
        <v>2168</v>
      </c>
      <c r="K719">
        <f t="shared" si="71"/>
        <v>0.32787331116383334</v>
      </c>
    </row>
    <row r="720" spans="1:11" ht="60" x14ac:dyDescent="0.25">
      <c r="A720" s="4" t="s">
        <v>3623</v>
      </c>
      <c r="B720">
        <v>130625</v>
      </c>
      <c r="C720">
        <v>2.7</v>
      </c>
      <c r="D720">
        <f t="shared" si="66"/>
        <v>79495.843415680356</v>
      </c>
      <c r="E720">
        <f t="shared" si="67"/>
        <v>79.495843415680355</v>
      </c>
      <c r="F720" s="7">
        <v>0.87363304981773993</v>
      </c>
      <c r="G720">
        <f t="shared" si="68"/>
        <v>5</v>
      </c>
      <c r="H720" s="7">
        <f t="shared" si="69"/>
        <v>0.12636695018226007</v>
      </c>
      <c r="I720">
        <f t="shared" si="70"/>
        <v>1</v>
      </c>
      <c r="J720">
        <f>VLOOKUP(A720,'Housing Cost Calc'!$A$2:$C$827,3,FALSE)</f>
        <v>2189</v>
      </c>
      <c r="K720">
        <f t="shared" si="71"/>
        <v>0.33043237069195874</v>
      </c>
    </row>
    <row r="721" spans="1:11" ht="45" x14ac:dyDescent="0.25">
      <c r="A721" s="4" t="s">
        <v>3736</v>
      </c>
      <c r="B721">
        <v>133988</v>
      </c>
      <c r="C721">
        <v>2.82</v>
      </c>
      <c r="D721">
        <f t="shared" si="66"/>
        <v>79788.692883495329</v>
      </c>
      <c r="E721">
        <f t="shared" si="67"/>
        <v>79.78869288349533</v>
      </c>
      <c r="F721" s="7">
        <v>0.8748481166464156</v>
      </c>
      <c r="G721">
        <f t="shared" si="68"/>
        <v>5</v>
      </c>
      <c r="H721" s="7">
        <f t="shared" si="69"/>
        <v>0.1251518833535844</v>
      </c>
      <c r="I721">
        <f t="shared" si="70"/>
        <v>1</v>
      </c>
      <c r="J721">
        <f>VLOOKUP(A721,'Housing Cost Calc'!$A$2:$C$827,3,FALSE)</f>
        <v>2313</v>
      </c>
      <c r="K721">
        <f t="shared" si="71"/>
        <v>0.34786883951750336</v>
      </c>
    </row>
    <row r="722" spans="1:11" ht="60" x14ac:dyDescent="0.25">
      <c r="A722" s="4" t="s">
        <v>3150</v>
      </c>
      <c r="B722">
        <v>133417</v>
      </c>
      <c r="C722">
        <v>2.79</v>
      </c>
      <c r="D722">
        <f t="shared" si="66"/>
        <v>79874.66860168743</v>
      </c>
      <c r="E722">
        <f t="shared" si="67"/>
        <v>79.874668601687432</v>
      </c>
      <c r="F722" s="7">
        <v>0.87606318347509116</v>
      </c>
      <c r="G722">
        <f t="shared" si="68"/>
        <v>5</v>
      </c>
      <c r="H722" s="7">
        <f t="shared" si="69"/>
        <v>0.12393681652490884</v>
      </c>
      <c r="I722">
        <f t="shared" si="70"/>
        <v>1</v>
      </c>
      <c r="J722">
        <f>VLOOKUP(A722,'Housing Cost Calc'!$A$2:$C$827,3,FALSE)</f>
        <v>1791</v>
      </c>
      <c r="K722">
        <f t="shared" si="71"/>
        <v>0.26907153890270991</v>
      </c>
    </row>
    <row r="723" spans="1:11" ht="60" x14ac:dyDescent="0.25">
      <c r="A723" s="4" t="s">
        <v>3053</v>
      </c>
      <c r="B723">
        <v>136855</v>
      </c>
      <c r="C723">
        <v>2.93</v>
      </c>
      <c r="D723">
        <f t="shared" si="66"/>
        <v>79951.544679180719</v>
      </c>
      <c r="E723">
        <f t="shared" si="67"/>
        <v>79.951544679180714</v>
      </c>
      <c r="F723" s="7">
        <v>0.87727825030376672</v>
      </c>
      <c r="G723">
        <f t="shared" si="68"/>
        <v>5</v>
      </c>
      <c r="H723" s="7">
        <f t="shared" si="69"/>
        <v>0.12272174969623328</v>
      </c>
      <c r="I723">
        <f t="shared" si="70"/>
        <v>1</v>
      </c>
      <c r="J723">
        <f>VLOOKUP(A723,'Housing Cost Calc'!$A$2:$C$827,3,FALSE)</f>
        <v>1528</v>
      </c>
      <c r="K723">
        <f t="shared" si="71"/>
        <v>0.22933890862992509</v>
      </c>
    </row>
    <row r="724" spans="1:11" ht="60" x14ac:dyDescent="0.25">
      <c r="A724" s="4" t="s">
        <v>3618</v>
      </c>
      <c r="B724">
        <v>130888</v>
      </c>
      <c r="C724">
        <v>2.67</v>
      </c>
      <c r="D724">
        <f t="shared" si="66"/>
        <v>80102.155151563144</v>
      </c>
      <c r="E724">
        <f t="shared" si="67"/>
        <v>80.102155151563139</v>
      </c>
      <c r="F724" s="7">
        <v>0.87849331713244228</v>
      </c>
      <c r="G724">
        <f t="shared" si="68"/>
        <v>5</v>
      </c>
      <c r="H724" s="7">
        <f t="shared" si="69"/>
        <v>0.12150668286755772</v>
      </c>
      <c r="I724">
        <f t="shared" si="70"/>
        <v>1</v>
      </c>
      <c r="J724">
        <f>VLOOKUP(A724,'Housing Cost Calc'!$A$2:$C$827,3,FALSE)</f>
        <v>2202</v>
      </c>
      <c r="K724">
        <f t="shared" si="71"/>
        <v>0.32987876480979239</v>
      </c>
    </row>
    <row r="725" spans="1:11" ht="60" x14ac:dyDescent="0.25">
      <c r="A725" s="4" t="s">
        <v>3813</v>
      </c>
      <c r="B725">
        <v>140337</v>
      </c>
      <c r="C725">
        <v>3.06</v>
      </c>
      <c r="D725">
        <f t="shared" si="66"/>
        <v>80225.32314381421</v>
      </c>
      <c r="E725">
        <f t="shared" si="67"/>
        <v>80.225323143814208</v>
      </c>
      <c r="F725" s="7">
        <v>0.87970838396111783</v>
      </c>
      <c r="G725">
        <f t="shared" si="68"/>
        <v>5</v>
      </c>
      <c r="H725" s="7">
        <f t="shared" si="69"/>
        <v>0.12029161603888217</v>
      </c>
      <c r="I725">
        <f t="shared" si="70"/>
        <v>1</v>
      </c>
      <c r="J725">
        <f>VLOOKUP(A725,'Housing Cost Calc'!$A$2:$C$827,3,FALSE)</f>
        <v>2456</v>
      </c>
      <c r="K725">
        <f t="shared" si="71"/>
        <v>0.36736530119258792</v>
      </c>
    </row>
    <row r="726" spans="1:11" ht="60" x14ac:dyDescent="0.25">
      <c r="A726" s="4" t="s">
        <v>3110</v>
      </c>
      <c r="B726">
        <v>123580</v>
      </c>
      <c r="C726">
        <v>2.37</v>
      </c>
      <c r="D726">
        <f t="shared" si="66"/>
        <v>80273.836188208341</v>
      </c>
      <c r="E726">
        <f t="shared" si="67"/>
        <v>80.273836188208335</v>
      </c>
      <c r="F726" s="7">
        <v>0.88092345078979339</v>
      </c>
      <c r="G726">
        <f t="shared" si="68"/>
        <v>5</v>
      </c>
      <c r="H726" s="7">
        <f t="shared" si="69"/>
        <v>0.11907654921020661</v>
      </c>
      <c r="I726">
        <f t="shared" si="70"/>
        <v>1</v>
      </c>
      <c r="J726">
        <f>VLOOKUP(A726,'Housing Cost Calc'!$A$2:$C$827,3,FALSE)</f>
        <v>1738</v>
      </c>
      <c r="K726">
        <f t="shared" si="71"/>
        <v>0.25981068042022387</v>
      </c>
    </row>
    <row r="727" spans="1:11" ht="60" x14ac:dyDescent="0.25">
      <c r="A727" s="4" t="s">
        <v>3122</v>
      </c>
      <c r="B727">
        <v>133984</v>
      </c>
      <c r="C727">
        <v>2.77</v>
      </c>
      <c r="D727">
        <f t="shared" si="66"/>
        <v>80503.183460608678</v>
      </c>
      <c r="E727">
        <f t="shared" si="67"/>
        <v>80.503183460608682</v>
      </c>
      <c r="F727" s="7">
        <v>0.88213851761846906</v>
      </c>
      <c r="G727">
        <f t="shared" si="68"/>
        <v>5</v>
      </c>
      <c r="H727" s="7">
        <f t="shared" si="69"/>
        <v>0.11786148238153094</v>
      </c>
      <c r="I727">
        <f t="shared" si="70"/>
        <v>1</v>
      </c>
      <c r="J727">
        <f>VLOOKUP(A727,'Housing Cost Calc'!$A$2:$C$827,3,FALSE)</f>
        <v>1768</v>
      </c>
      <c r="K727">
        <f t="shared" si="71"/>
        <v>0.26354237295946542</v>
      </c>
    </row>
    <row r="728" spans="1:11" ht="45" x14ac:dyDescent="0.25">
      <c r="A728" s="4" t="s">
        <v>3766</v>
      </c>
      <c r="B728">
        <v>129250</v>
      </c>
      <c r="C728">
        <v>2.57</v>
      </c>
      <c r="D728">
        <f t="shared" si="66"/>
        <v>80623.934855570842</v>
      </c>
      <c r="E728">
        <f t="shared" si="67"/>
        <v>80.623934855570837</v>
      </c>
      <c r="F728" s="7">
        <v>0.88335358444714462</v>
      </c>
      <c r="G728">
        <f t="shared" si="68"/>
        <v>5</v>
      </c>
      <c r="H728" s="7">
        <f t="shared" si="69"/>
        <v>0.11664641555285538</v>
      </c>
      <c r="I728">
        <f t="shared" si="70"/>
        <v>1</v>
      </c>
      <c r="J728">
        <f>VLOOKUP(A728,'Housing Cost Calc'!$A$2:$C$827,3,FALSE)</f>
        <v>2370</v>
      </c>
      <c r="K728">
        <f t="shared" si="71"/>
        <v>0.35274884624457015</v>
      </c>
    </row>
    <row r="729" spans="1:11" ht="60" x14ac:dyDescent="0.25">
      <c r="A729" s="4" t="s">
        <v>3216</v>
      </c>
      <c r="B729">
        <v>126738</v>
      </c>
      <c r="C729">
        <v>2.46</v>
      </c>
      <c r="D729">
        <f t="shared" si="66"/>
        <v>80805.19746022136</v>
      </c>
      <c r="E729">
        <f t="shared" si="67"/>
        <v>80.805197460221365</v>
      </c>
      <c r="F729" s="7">
        <v>0.88456865127582018</v>
      </c>
      <c r="G729">
        <f t="shared" si="68"/>
        <v>5</v>
      </c>
      <c r="H729" s="7">
        <f t="shared" si="69"/>
        <v>0.11543134872417982</v>
      </c>
      <c r="I729">
        <f t="shared" si="70"/>
        <v>1</v>
      </c>
      <c r="J729">
        <f>VLOOKUP(A729,'Housing Cost Calc'!$A$2:$C$827,3,FALSE)</f>
        <v>1920</v>
      </c>
      <c r="K729">
        <f t="shared" si="71"/>
        <v>0.28513017385227096</v>
      </c>
    </row>
    <row r="730" spans="1:11" ht="60" x14ac:dyDescent="0.25">
      <c r="A730" s="4" t="s">
        <v>3667</v>
      </c>
      <c r="B730">
        <v>137361</v>
      </c>
      <c r="C730">
        <v>2.88</v>
      </c>
      <c r="D730">
        <f t="shared" si="66"/>
        <v>80940.745475471136</v>
      </c>
      <c r="E730">
        <f t="shared" si="67"/>
        <v>80.940745475471132</v>
      </c>
      <c r="F730" s="7">
        <v>0.88578371810449574</v>
      </c>
      <c r="G730">
        <f t="shared" si="68"/>
        <v>5</v>
      </c>
      <c r="H730" s="7">
        <f t="shared" si="69"/>
        <v>0.11421628189550426</v>
      </c>
      <c r="I730">
        <f t="shared" si="70"/>
        <v>1</v>
      </c>
      <c r="J730">
        <f>VLOOKUP(A730,'Housing Cost Calc'!$A$2:$C$827,3,FALSE)</f>
        <v>2262</v>
      </c>
      <c r="K730">
        <f t="shared" si="71"/>
        <v>0.33535643686684247</v>
      </c>
    </row>
    <row r="731" spans="1:11" ht="60" x14ac:dyDescent="0.25">
      <c r="A731" s="4" t="s">
        <v>3749</v>
      </c>
      <c r="B731">
        <v>138169</v>
      </c>
      <c r="C731">
        <v>2.91</v>
      </c>
      <c r="D731">
        <f t="shared" si="66"/>
        <v>80996.102237473315</v>
      </c>
      <c r="E731">
        <f t="shared" si="67"/>
        <v>80.996102237473309</v>
      </c>
      <c r="F731" s="7">
        <v>0.8869987849331713</v>
      </c>
      <c r="G731">
        <f t="shared" si="68"/>
        <v>5</v>
      </c>
      <c r="H731" s="7">
        <f t="shared" si="69"/>
        <v>0.1130012150668287</v>
      </c>
      <c r="I731">
        <f t="shared" si="70"/>
        <v>1</v>
      </c>
      <c r="J731">
        <f>VLOOKUP(A731,'Housing Cost Calc'!$A$2:$C$827,3,FALSE)</f>
        <v>2364</v>
      </c>
      <c r="K731">
        <f t="shared" si="71"/>
        <v>0.35023907591043785</v>
      </c>
    </row>
    <row r="732" spans="1:11" ht="45" x14ac:dyDescent="0.25">
      <c r="A732" s="4" t="s">
        <v>3740</v>
      </c>
      <c r="B732">
        <v>131897</v>
      </c>
      <c r="C732">
        <v>2.65</v>
      </c>
      <c r="D732">
        <f t="shared" si="66"/>
        <v>81023.683025047663</v>
      </c>
      <c r="E732">
        <f t="shared" si="67"/>
        <v>81.02368302504766</v>
      </c>
      <c r="F732" s="7">
        <v>0.88821385176184686</v>
      </c>
      <c r="G732">
        <f t="shared" si="68"/>
        <v>5</v>
      </c>
      <c r="H732" s="7">
        <f t="shared" si="69"/>
        <v>0.11178614823815314</v>
      </c>
      <c r="I732">
        <f t="shared" si="70"/>
        <v>1</v>
      </c>
      <c r="J732">
        <f>VLOOKUP(A732,'Housing Cost Calc'!$A$2:$C$827,3,FALSE)</f>
        <v>2349</v>
      </c>
      <c r="K732">
        <f t="shared" si="71"/>
        <v>0.34789828044827292</v>
      </c>
    </row>
    <row r="733" spans="1:11" ht="60" x14ac:dyDescent="0.25">
      <c r="A733" s="4" t="s">
        <v>3719</v>
      </c>
      <c r="B733">
        <v>135197</v>
      </c>
      <c r="C733">
        <v>2.78</v>
      </c>
      <c r="D733">
        <f t="shared" si="66"/>
        <v>81085.772175398175</v>
      </c>
      <c r="E733">
        <f t="shared" si="67"/>
        <v>81.085772175398176</v>
      </c>
      <c r="F733" s="7">
        <v>0.88942891859052253</v>
      </c>
      <c r="G733">
        <f t="shared" si="68"/>
        <v>5</v>
      </c>
      <c r="H733" s="7">
        <f t="shared" si="69"/>
        <v>0.11057108140947747</v>
      </c>
      <c r="I733">
        <f t="shared" si="70"/>
        <v>1</v>
      </c>
      <c r="J733">
        <f>VLOOKUP(A733,'Housing Cost Calc'!$A$2:$C$827,3,FALSE)</f>
        <v>2328</v>
      </c>
      <c r="K733">
        <f t="shared" si="71"/>
        <v>0.34452406692965948</v>
      </c>
    </row>
    <row r="734" spans="1:11" ht="60" x14ac:dyDescent="0.25">
      <c r="A734" s="4" t="s">
        <v>3869</v>
      </c>
      <c r="B734">
        <v>133482</v>
      </c>
      <c r="C734">
        <v>2.7</v>
      </c>
      <c r="D734">
        <f t="shared" si="66"/>
        <v>81234.558245449531</v>
      </c>
      <c r="E734">
        <f t="shared" si="67"/>
        <v>81.234558245449534</v>
      </c>
      <c r="F734" s="7">
        <v>0.89064398541919809</v>
      </c>
      <c r="G734">
        <f t="shared" si="68"/>
        <v>5</v>
      </c>
      <c r="H734" s="7">
        <f t="shared" si="69"/>
        <v>0.10935601458080191</v>
      </c>
      <c r="I734">
        <f t="shared" si="70"/>
        <v>1</v>
      </c>
      <c r="J734">
        <f>VLOOKUP(A734,'Housing Cost Calc'!$A$2:$C$827,3,FALSE)</f>
        <v>2844</v>
      </c>
      <c r="K734">
        <f t="shared" si="71"/>
        <v>0.42011676726157032</v>
      </c>
    </row>
    <row r="735" spans="1:11" ht="60" x14ac:dyDescent="0.25">
      <c r="A735" s="4" t="s">
        <v>3825</v>
      </c>
      <c r="B735">
        <v>139313</v>
      </c>
      <c r="C735">
        <v>2.93</v>
      </c>
      <c r="D735">
        <f t="shared" si="66"/>
        <v>81387.523611784025</v>
      </c>
      <c r="E735">
        <f t="shared" si="67"/>
        <v>81.387523611784019</v>
      </c>
      <c r="F735" s="7">
        <v>0.89185905224787365</v>
      </c>
      <c r="G735">
        <f t="shared" si="68"/>
        <v>5</v>
      </c>
      <c r="H735" s="7">
        <f t="shared" si="69"/>
        <v>0.10814094775212635</v>
      </c>
      <c r="I735">
        <f t="shared" si="70"/>
        <v>1</v>
      </c>
      <c r="J735">
        <f>VLOOKUP(A735,'Housing Cost Calc'!$A$2:$C$827,3,FALSE)</f>
        <v>2531</v>
      </c>
      <c r="K735">
        <f t="shared" si="71"/>
        <v>0.37317759101350106</v>
      </c>
    </row>
    <row r="736" spans="1:11" ht="60" x14ac:dyDescent="0.25">
      <c r="A736" s="4" t="s">
        <v>3260</v>
      </c>
      <c r="B736">
        <v>136719</v>
      </c>
      <c r="C736">
        <v>2.81</v>
      </c>
      <c r="D736">
        <f t="shared" si="66"/>
        <v>81559.717573107031</v>
      </c>
      <c r="E736">
        <f t="shared" si="67"/>
        <v>81.559717573107037</v>
      </c>
      <c r="F736" s="7">
        <v>0.89307411907654921</v>
      </c>
      <c r="G736">
        <f t="shared" si="68"/>
        <v>5</v>
      </c>
      <c r="H736" s="7">
        <f t="shared" si="69"/>
        <v>0.10692588092345079</v>
      </c>
      <c r="I736">
        <f t="shared" si="70"/>
        <v>1</v>
      </c>
      <c r="J736">
        <f>VLOOKUP(A736,'Housing Cost Calc'!$A$2:$C$827,3,FALSE)</f>
        <v>1985</v>
      </c>
      <c r="K736">
        <f t="shared" si="71"/>
        <v>0.29205594022133119</v>
      </c>
    </row>
    <row r="737" spans="1:11" ht="45" x14ac:dyDescent="0.25">
      <c r="A737" s="4" t="s">
        <v>3827</v>
      </c>
      <c r="B737">
        <v>144519</v>
      </c>
      <c r="C737">
        <v>3.07</v>
      </c>
      <c r="D737">
        <f t="shared" si="66"/>
        <v>82481.349902623188</v>
      </c>
      <c r="E737">
        <f t="shared" si="67"/>
        <v>82.481349902623194</v>
      </c>
      <c r="F737" s="7">
        <v>0.89428918590522477</v>
      </c>
      <c r="G737">
        <f t="shared" si="68"/>
        <v>5</v>
      </c>
      <c r="H737" s="7">
        <f t="shared" si="69"/>
        <v>0.10571081409477523</v>
      </c>
      <c r="I737">
        <f t="shared" si="70"/>
        <v>1</v>
      </c>
      <c r="J737">
        <f>VLOOKUP(A737,'Housing Cost Calc'!$A$2:$C$827,3,FALSE)</f>
        <v>2570</v>
      </c>
      <c r="K737">
        <f t="shared" si="71"/>
        <v>0.3739027069320453</v>
      </c>
    </row>
    <row r="738" spans="1:11" ht="60" x14ac:dyDescent="0.25">
      <c r="A738" s="4" t="s">
        <v>3047</v>
      </c>
      <c r="B738">
        <v>119375</v>
      </c>
      <c r="C738">
        <v>2.09</v>
      </c>
      <c r="D738">
        <f t="shared" si="66"/>
        <v>82573.414124012663</v>
      </c>
      <c r="E738">
        <f t="shared" si="67"/>
        <v>82.573414124012658</v>
      </c>
      <c r="F738" s="7">
        <v>0.89550425273390033</v>
      </c>
      <c r="G738">
        <f t="shared" si="68"/>
        <v>5</v>
      </c>
      <c r="H738" s="7">
        <f t="shared" si="69"/>
        <v>0.10449574726609967</v>
      </c>
      <c r="I738">
        <f t="shared" si="70"/>
        <v>1</v>
      </c>
      <c r="J738">
        <f>VLOOKUP(A738,'Housing Cost Calc'!$A$2:$C$827,3,FALSE)</f>
        <v>1488</v>
      </c>
      <c r="K738">
        <f t="shared" si="71"/>
        <v>0.21624393504164685</v>
      </c>
    </row>
    <row r="739" spans="1:11" ht="45" x14ac:dyDescent="0.25">
      <c r="A739" s="4" t="s">
        <v>3855</v>
      </c>
      <c r="B739">
        <v>140278</v>
      </c>
      <c r="C739">
        <v>2.88</v>
      </c>
      <c r="D739">
        <f t="shared" si="66"/>
        <v>82659.604209405428</v>
      </c>
      <c r="E739">
        <f t="shared" si="67"/>
        <v>82.65960420940543</v>
      </c>
      <c r="F739" s="7">
        <v>0.89671931956257589</v>
      </c>
      <c r="G739">
        <f t="shared" si="68"/>
        <v>5</v>
      </c>
      <c r="H739" s="7">
        <f t="shared" si="69"/>
        <v>0.10328068043742411</v>
      </c>
      <c r="I739">
        <f t="shared" si="70"/>
        <v>1</v>
      </c>
      <c r="J739">
        <f>VLOOKUP(A739,'Housing Cost Calc'!$A$2:$C$827,3,FALSE)</f>
        <v>2698</v>
      </c>
      <c r="K739">
        <f t="shared" si="71"/>
        <v>0.39167862355087463</v>
      </c>
    </row>
    <row r="740" spans="1:11" ht="60" x14ac:dyDescent="0.25">
      <c r="A740" s="4" t="s">
        <v>3810</v>
      </c>
      <c r="B740">
        <v>131992</v>
      </c>
      <c r="C740">
        <v>2.54</v>
      </c>
      <c r="D740">
        <f t="shared" si="66"/>
        <v>82819.146631795826</v>
      </c>
      <c r="E740">
        <f t="shared" si="67"/>
        <v>82.819146631795832</v>
      </c>
      <c r="F740" s="7">
        <v>0.89793438639125156</v>
      </c>
      <c r="G740">
        <f t="shared" si="68"/>
        <v>5</v>
      </c>
      <c r="H740" s="7">
        <f t="shared" si="69"/>
        <v>0.10206561360874844</v>
      </c>
      <c r="I740">
        <f t="shared" si="70"/>
        <v>1</v>
      </c>
      <c r="J740">
        <f>VLOOKUP(A740,'Housing Cost Calc'!$A$2:$C$827,3,FALSE)</f>
        <v>2518</v>
      </c>
      <c r="K740">
        <f t="shared" si="71"/>
        <v>0.36484317007438843</v>
      </c>
    </row>
    <row r="741" spans="1:11" ht="60" x14ac:dyDescent="0.25">
      <c r="A741" s="4" t="s">
        <v>3214</v>
      </c>
      <c r="B741">
        <v>131583</v>
      </c>
      <c r="C741">
        <v>2.52</v>
      </c>
      <c r="D741">
        <f t="shared" si="66"/>
        <v>82889.498753288572</v>
      </c>
      <c r="E741">
        <f t="shared" si="67"/>
        <v>82.889498753288578</v>
      </c>
      <c r="F741" s="7">
        <v>0.89914945321992712</v>
      </c>
      <c r="G741">
        <f t="shared" si="68"/>
        <v>5</v>
      </c>
      <c r="H741" s="7">
        <f t="shared" si="69"/>
        <v>0.10085054678007288</v>
      </c>
      <c r="I741">
        <f t="shared" si="70"/>
        <v>1</v>
      </c>
      <c r="J741">
        <f>VLOOKUP(A741,'Housing Cost Calc'!$A$2:$C$827,3,FALSE)</f>
        <v>1968</v>
      </c>
      <c r="K741">
        <f t="shared" si="71"/>
        <v>0.28490943189667983</v>
      </c>
    </row>
    <row r="742" spans="1:11" ht="45" x14ac:dyDescent="0.25">
      <c r="A742" s="4" t="s">
        <v>3732</v>
      </c>
      <c r="B742">
        <v>128623</v>
      </c>
      <c r="C742">
        <v>2.35</v>
      </c>
      <c r="D742">
        <f t="shared" si="66"/>
        <v>83904.393740352883</v>
      </c>
      <c r="E742">
        <f t="shared" si="67"/>
        <v>83.904393740352887</v>
      </c>
      <c r="F742" s="7">
        <v>0.90036452004860268</v>
      </c>
      <c r="G742">
        <f t="shared" si="68"/>
        <v>5</v>
      </c>
      <c r="H742" s="7">
        <f t="shared" si="69"/>
        <v>9.9635479951397321E-2</v>
      </c>
      <c r="I742">
        <f t="shared" si="70"/>
        <v>1</v>
      </c>
      <c r="J742">
        <f>VLOOKUP(A742,'Housing Cost Calc'!$A$2:$C$827,3,FALSE)</f>
        <v>2425</v>
      </c>
      <c r="K742">
        <f t="shared" si="71"/>
        <v>0.34682331523724103</v>
      </c>
    </row>
    <row r="743" spans="1:11" ht="60" x14ac:dyDescent="0.25">
      <c r="A743" s="4" t="s">
        <v>3338</v>
      </c>
      <c r="B743">
        <v>130694</v>
      </c>
      <c r="C743">
        <v>2.41</v>
      </c>
      <c r="D743">
        <f t="shared" si="66"/>
        <v>84187.40613083019</v>
      </c>
      <c r="E743">
        <f t="shared" si="67"/>
        <v>84.187406130830183</v>
      </c>
      <c r="F743" s="7">
        <v>0.90157958687727824</v>
      </c>
      <c r="G743">
        <f t="shared" si="68"/>
        <v>5</v>
      </c>
      <c r="H743" s="7">
        <f t="shared" si="69"/>
        <v>9.8420413122721762E-2</v>
      </c>
      <c r="I743">
        <f t="shared" si="70"/>
        <v>1</v>
      </c>
      <c r="J743">
        <f>VLOOKUP(A743,'Housing Cost Calc'!$A$2:$C$827,3,FALSE)</f>
        <v>2109</v>
      </c>
      <c r="K743">
        <f t="shared" si="71"/>
        <v>0.30061503451799521</v>
      </c>
    </row>
    <row r="744" spans="1:11" ht="60" x14ac:dyDescent="0.25">
      <c r="A744" s="4" t="s">
        <v>3636</v>
      </c>
      <c r="B744">
        <v>140625</v>
      </c>
      <c r="C744">
        <v>2.78</v>
      </c>
      <c r="D744">
        <f t="shared" si="66"/>
        <v>84341.270236509445</v>
      </c>
      <c r="E744">
        <f t="shared" si="67"/>
        <v>84.341270236509445</v>
      </c>
      <c r="F744" s="7">
        <v>0.9027946537059538</v>
      </c>
      <c r="G744">
        <f t="shared" si="68"/>
        <v>5</v>
      </c>
      <c r="H744" s="7">
        <f t="shared" si="69"/>
        <v>9.7205346294046202E-2</v>
      </c>
      <c r="I744">
        <f t="shared" si="70"/>
        <v>1</v>
      </c>
      <c r="J744">
        <f>VLOOKUP(A744,'Housing Cost Calc'!$A$2:$C$827,3,FALSE)</f>
        <v>2333</v>
      </c>
      <c r="K744">
        <f t="shared" si="71"/>
        <v>0.3319371396884791</v>
      </c>
    </row>
    <row r="745" spans="1:11" ht="60" x14ac:dyDescent="0.25">
      <c r="A745" s="4" t="s">
        <v>3232</v>
      </c>
      <c r="B745">
        <v>140000</v>
      </c>
      <c r="C745">
        <v>2.74</v>
      </c>
      <c r="D745">
        <f t="shared" si="66"/>
        <v>84577.09306622477</v>
      </c>
      <c r="E745">
        <f t="shared" si="67"/>
        <v>84.577093066224776</v>
      </c>
      <c r="F745" s="7">
        <v>0.90400972053462936</v>
      </c>
      <c r="G745">
        <f t="shared" si="68"/>
        <v>5</v>
      </c>
      <c r="H745" s="7">
        <f t="shared" si="69"/>
        <v>9.5990279465370643E-2</v>
      </c>
      <c r="I745">
        <f t="shared" si="70"/>
        <v>1</v>
      </c>
      <c r="J745">
        <f>VLOOKUP(A745,'Housing Cost Calc'!$A$2:$C$827,3,FALSE)</f>
        <v>2038</v>
      </c>
      <c r="K745">
        <f t="shared" si="71"/>
        <v>0.2891563083263064</v>
      </c>
    </row>
    <row r="746" spans="1:11" ht="45" x14ac:dyDescent="0.25">
      <c r="A746" s="4" t="s">
        <v>3691</v>
      </c>
      <c r="B746">
        <v>136495</v>
      </c>
      <c r="C746">
        <v>2.6</v>
      </c>
      <c r="D746">
        <f t="shared" si="66"/>
        <v>84650.60548877003</v>
      </c>
      <c r="E746">
        <f t="shared" si="67"/>
        <v>84.650605488770026</v>
      </c>
      <c r="F746" s="7">
        <v>0.90522478736330503</v>
      </c>
      <c r="G746">
        <f t="shared" si="68"/>
        <v>5</v>
      </c>
      <c r="H746" s="7">
        <f t="shared" si="69"/>
        <v>9.4775212636694972E-2</v>
      </c>
      <c r="I746">
        <f t="shared" si="70"/>
        <v>1</v>
      </c>
      <c r="J746">
        <f>VLOOKUP(A746,'Housing Cost Calc'!$A$2:$C$827,3,FALSE)</f>
        <v>2403</v>
      </c>
      <c r="K746">
        <f t="shared" si="71"/>
        <v>0.3406472976005524</v>
      </c>
    </row>
    <row r="747" spans="1:11" ht="60" x14ac:dyDescent="0.25">
      <c r="A747" s="4" t="s">
        <v>3484</v>
      </c>
      <c r="B747">
        <v>149107</v>
      </c>
      <c r="C747">
        <v>3.1</v>
      </c>
      <c r="D747">
        <f t="shared" si="66"/>
        <v>84687.085219077097</v>
      </c>
      <c r="E747">
        <f t="shared" si="67"/>
        <v>84.68708521907709</v>
      </c>
      <c r="F747" s="7">
        <v>0.90643985419198059</v>
      </c>
      <c r="G747">
        <f t="shared" si="68"/>
        <v>5</v>
      </c>
      <c r="H747" s="7">
        <f t="shared" si="69"/>
        <v>9.3560145808019413E-2</v>
      </c>
      <c r="I747">
        <f t="shared" si="70"/>
        <v>1</v>
      </c>
      <c r="J747">
        <f>VLOOKUP(A747,'Housing Cost Calc'!$A$2:$C$827,3,FALSE)</f>
        <v>2238</v>
      </c>
      <c r="K747">
        <f t="shared" si="71"/>
        <v>0.31712037237468016</v>
      </c>
    </row>
    <row r="748" spans="1:11" ht="45" x14ac:dyDescent="0.25">
      <c r="A748" s="4" t="s">
        <v>3873</v>
      </c>
      <c r="B748">
        <v>145625</v>
      </c>
      <c r="C748">
        <v>2.95</v>
      </c>
      <c r="D748">
        <f t="shared" si="66"/>
        <v>84786.152980826635</v>
      </c>
      <c r="E748">
        <f t="shared" si="67"/>
        <v>84.786152980826628</v>
      </c>
      <c r="F748" s="7">
        <v>0.90765492102065615</v>
      </c>
      <c r="G748">
        <f t="shared" si="68"/>
        <v>5</v>
      </c>
      <c r="H748" s="7">
        <f t="shared" si="69"/>
        <v>9.2345078979343853E-2</v>
      </c>
      <c r="I748">
        <f t="shared" si="70"/>
        <v>1</v>
      </c>
      <c r="J748">
        <f>VLOOKUP(A748,'Housing Cost Calc'!$A$2:$C$827,3,FALSE)</f>
        <v>3144</v>
      </c>
      <c r="K748">
        <f t="shared" si="71"/>
        <v>0.44497832102998863</v>
      </c>
    </row>
    <row r="749" spans="1:11" ht="60" x14ac:dyDescent="0.25">
      <c r="A749" s="4" t="s">
        <v>3543</v>
      </c>
      <c r="B749">
        <v>130962</v>
      </c>
      <c r="C749">
        <v>2.36</v>
      </c>
      <c r="D749">
        <f t="shared" si="66"/>
        <v>85249.000799353278</v>
      </c>
      <c r="E749">
        <f t="shared" si="67"/>
        <v>85.249000799353283</v>
      </c>
      <c r="F749" s="7">
        <v>0.90886998784933171</v>
      </c>
      <c r="G749">
        <f t="shared" si="68"/>
        <v>5</v>
      </c>
      <c r="H749" s="7">
        <f t="shared" si="69"/>
        <v>9.1130012150668294E-2</v>
      </c>
      <c r="I749">
        <f t="shared" si="70"/>
        <v>1</v>
      </c>
      <c r="J749">
        <f>VLOOKUP(A749,'Housing Cost Calc'!$A$2:$C$827,3,FALSE)</f>
        <v>2282</v>
      </c>
      <c r="K749">
        <f t="shared" si="71"/>
        <v>0.32122370635701036</v>
      </c>
    </row>
    <row r="750" spans="1:11" ht="45" x14ac:dyDescent="0.25">
      <c r="A750" s="4" t="s">
        <v>3582</v>
      </c>
      <c r="B750">
        <v>139000</v>
      </c>
      <c r="C750">
        <v>2.65</v>
      </c>
      <c r="D750">
        <f t="shared" si="66"/>
        <v>85387.021239919224</v>
      </c>
      <c r="E750">
        <f t="shared" si="67"/>
        <v>85.387021239919221</v>
      </c>
      <c r="F750" s="7">
        <v>0.91008505467800727</v>
      </c>
      <c r="G750">
        <f t="shared" si="68"/>
        <v>5</v>
      </c>
      <c r="H750" s="7">
        <f t="shared" si="69"/>
        <v>8.9914945321992734E-2</v>
      </c>
      <c r="I750">
        <f t="shared" si="70"/>
        <v>1</v>
      </c>
      <c r="J750">
        <f>VLOOKUP(A750,'Housing Cost Calc'!$A$2:$C$827,3,FALSE)</f>
        <v>2313</v>
      </c>
      <c r="K750">
        <f t="shared" si="71"/>
        <v>0.32506111112614633</v>
      </c>
    </row>
    <row r="751" spans="1:11" ht="45" x14ac:dyDescent="0.25">
      <c r="A751" s="4" t="s">
        <v>3800</v>
      </c>
      <c r="B751">
        <v>138686</v>
      </c>
      <c r="C751">
        <v>2.61</v>
      </c>
      <c r="D751">
        <f t="shared" si="66"/>
        <v>85844.478901408715</v>
      </c>
      <c r="E751">
        <f t="shared" si="67"/>
        <v>85.844478901408721</v>
      </c>
      <c r="F751" s="7">
        <v>0.91130012150668283</v>
      </c>
      <c r="G751">
        <f t="shared" si="68"/>
        <v>5</v>
      </c>
      <c r="H751" s="7">
        <f t="shared" si="69"/>
        <v>8.8699878493317175E-2</v>
      </c>
      <c r="I751">
        <f t="shared" si="70"/>
        <v>1</v>
      </c>
      <c r="J751">
        <f>VLOOKUP(A751,'Housing Cost Calc'!$A$2:$C$827,3,FALSE)</f>
        <v>2581</v>
      </c>
      <c r="K751">
        <f t="shared" si="71"/>
        <v>0.36079198565082965</v>
      </c>
    </row>
    <row r="752" spans="1:11" ht="45" x14ac:dyDescent="0.25">
      <c r="A752" s="4" t="s">
        <v>3839</v>
      </c>
      <c r="B752">
        <v>145125</v>
      </c>
      <c r="C752">
        <v>2.84</v>
      </c>
      <c r="D752">
        <f t="shared" si="66"/>
        <v>86115.844072691485</v>
      </c>
      <c r="E752">
        <f t="shared" si="67"/>
        <v>86.115844072691488</v>
      </c>
      <c r="F752" s="7">
        <v>0.9125151883353585</v>
      </c>
      <c r="G752">
        <f t="shared" si="68"/>
        <v>5</v>
      </c>
      <c r="H752" s="7">
        <f t="shared" si="69"/>
        <v>8.7484811664641504E-2</v>
      </c>
      <c r="I752">
        <f t="shared" si="70"/>
        <v>1</v>
      </c>
      <c r="J752">
        <f>VLOOKUP(A752,'Housing Cost Calc'!$A$2:$C$827,3,FALSE)</f>
        <v>2718</v>
      </c>
      <c r="K752">
        <f t="shared" si="71"/>
        <v>0.37874563445570386</v>
      </c>
    </row>
    <row r="753" spans="1:11" ht="60" x14ac:dyDescent="0.25">
      <c r="A753" s="4" t="s">
        <v>3140</v>
      </c>
      <c r="B753">
        <v>142566</v>
      </c>
      <c r="C753">
        <v>2.74</v>
      </c>
      <c r="D753">
        <f t="shared" si="66"/>
        <v>86127.270357710004</v>
      </c>
      <c r="E753">
        <f t="shared" si="67"/>
        <v>86.127270357710003</v>
      </c>
      <c r="F753" s="7">
        <v>0.91373025516403406</v>
      </c>
      <c r="G753">
        <f t="shared" si="68"/>
        <v>5</v>
      </c>
      <c r="H753" s="7">
        <f t="shared" si="69"/>
        <v>8.6269744835965945E-2</v>
      </c>
      <c r="I753">
        <f t="shared" si="70"/>
        <v>1</v>
      </c>
      <c r="J753">
        <f>VLOOKUP(A753,'Housing Cost Calc'!$A$2:$C$827,3,FALSE)</f>
        <v>1910</v>
      </c>
      <c r="K753">
        <f t="shared" si="71"/>
        <v>0.26611780339498742</v>
      </c>
    </row>
    <row r="754" spans="1:11" ht="60" x14ac:dyDescent="0.25">
      <c r="A754" s="4" t="s">
        <v>3160</v>
      </c>
      <c r="B754">
        <v>141914</v>
      </c>
      <c r="C754">
        <v>2.69</v>
      </c>
      <c r="D754">
        <f t="shared" si="66"/>
        <v>86526.492915223251</v>
      </c>
      <c r="E754">
        <f t="shared" si="67"/>
        <v>86.526492915223244</v>
      </c>
      <c r="F754" s="7">
        <v>0.91494532199270961</v>
      </c>
      <c r="G754">
        <f t="shared" si="68"/>
        <v>5</v>
      </c>
      <c r="H754" s="7">
        <f t="shared" si="69"/>
        <v>8.5054678007290385E-2</v>
      </c>
      <c r="I754">
        <f t="shared" si="70"/>
        <v>1</v>
      </c>
      <c r="J754">
        <f>VLOOKUP(A754,'Housing Cost Calc'!$A$2:$C$827,3,FALSE)</f>
        <v>1960</v>
      </c>
      <c r="K754">
        <f t="shared" si="71"/>
        <v>0.27182426107393926</v>
      </c>
    </row>
    <row r="755" spans="1:11" ht="45" x14ac:dyDescent="0.25">
      <c r="A755" s="4" t="s">
        <v>3650</v>
      </c>
      <c r="B755">
        <v>143141</v>
      </c>
      <c r="C755">
        <v>2.73</v>
      </c>
      <c r="D755">
        <f t="shared" si="66"/>
        <v>86632.874253745045</v>
      </c>
      <c r="E755">
        <f t="shared" si="67"/>
        <v>86.632874253745044</v>
      </c>
      <c r="F755" s="7">
        <v>0.91616038882138517</v>
      </c>
      <c r="G755">
        <f t="shared" si="68"/>
        <v>5</v>
      </c>
      <c r="H755" s="7">
        <f t="shared" si="69"/>
        <v>8.3839611178614826E-2</v>
      </c>
      <c r="I755">
        <f t="shared" si="70"/>
        <v>1</v>
      </c>
      <c r="J755">
        <f>VLOOKUP(A755,'Housing Cost Calc'!$A$2:$C$827,3,FALSE)</f>
        <v>2407</v>
      </c>
      <c r="K755">
        <f t="shared" si="71"/>
        <v>0.33340692258921995</v>
      </c>
    </row>
    <row r="756" spans="1:11" ht="45" x14ac:dyDescent="0.25">
      <c r="A756" s="4" t="s">
        <v>3871</v>
      </c>
      <c r="B756">
        <v>138542</v>
      </c>
      <c r="C756">
        <v>2.5099999999999998</v>
      </c>
      <c r="D756">
        <f t="shared" si="66"/>
        <v>87446.934993975854</v>
      </c>
      <c r="E756">
        <f t="shared" si="67"/>
        <v>87.446934993975859</v>
      </c>
      <c r="F756" s="7">
        <v>0.91737545565006073</v>
      </c>
      <c r="G756">
        <f t="shared" si="68"/>
        <v>5</v>
      </c>
      <c r="H756" s="7">
        <f t="shared" si="69"/>
        <v>8.2624544349939266E-2</v>
      </c>
      <c r="I756">
        <f t="shared" si="70"/>
        <v>1</v>
      </c>
      <c r="J756">
        <f>VLOOKUP(A756,'Housing Cost Calc'!$A$2:$C$827,3,FALSE)</f>
        <v>3132</v>
      </c>
      <c r="K756">
        <f t="shared" si="71"/>
        <v>0.42979207907731848</v>
      </c>
    </row>
    <row r="757" spans="1:11" ht="60" x14ac:dyDescent="0.25">
      <c r="A757" s="4" t="s">
        <v>3836</v>
      </c>
      <c r="B757">
        <v>143182</v>
      </c>
      <c r="C757">
        <v>2.64</v>
      </c>
      <c r="D757">
        <f t="shared" si="66"/>
        <v>88122.429307014099</v>
      </c>
      <c r="E757">
        <f t="shared" si="67"/>
        <v>88.122429307014102</v>
      </c>
      <c r="F757" s="7">
        <v>0.91859052247873629</v>
      </c>
      <c r="G757">
        <f t="shared" si="68"/>
        <v>5</v>
      </c>
      <c r="H757" s="7">
        <f t="shared" si="69"/>
        <v>8.1409477521263707E-2</v>
      </c>
      <c r="I757">
        <f t="shared" si="70"/>
        <v>1</v>
      </c>
      <c r="J757">
        <f>VLOOKUP(A757,'Housing Cost Calc'!$A$2:$C$827,3,FALSE)</f>
        <v>2775</v>
      </c>
      <c r="K757">
        <f t="shared" si="71"/>
        <v>0.37788336365517661</v>
      </c>
    </row>
    <row r="758" spans="1:11" ht="60" x14ac:dyDescent="0.25">
      <c r="A758" s="4" t="s">
        <v>3092</v>
      </c>
      <c r="B758">
        <v>139236</v>
      </c>
      <c r="C758">
        <v>2.4900000000000002</v>
      </c>
      <c r="D758">
        <f t="shared" si="66"/>
        <v>88237.229746026205</v>
      </c>
      <c r="E758">
        <f t="shared" si="67"/>
        <v>88.237229746026202</v>
      </c>
      <c r="F758" s="7">
        <v>0.91980558930741185</v>
      </c>
      <c r="G758">
        <f t="shared" si="68"/>
        <v>5</v>
      </c>
      <c r="H758" s="7">
        <f t="shared" si="69"/>
        <v>8.0194410692588147E-2</v>
      </c>
      <c r="I758">
        <f t="shared" si="70"/>
        <v>1</v>
      </c>
      <c r="J758">
        <f>VLOOKUP(A758,'Housing Cost Calc'!$A$2:$C$827,3,FALSE)</f>
        <v>1892</v>
      </c>
      <c r="K758">
        <f t="shared" si="71"/>
        <v>0.25730635543918445</v>
      </c>
    </row>
    <row r="759" spans="1:11" ht="45" x14ac:dyDescent="0.25">
      <c r="A759" s="4" t="s">
        <v>3850</v>
      </c>
      <c r="B759">
        <v>144375</v>
      </c>
      <c r="C759">
        <v>2.65</v>
      </c>
      <c r="D759">
        <f t="shared" si="66"/>
        <v>88688.857492901705</v>
      </c>
      <c r="E759">
        <f t="shared" si="67"/>
        <v>88.688857492901704</v>
      </c>
      <c r="F759" s="7">
        <v>0.92102065613608752</v>
      </c>
      <c r="G759">
        <f t="shared" si="68"/>
        <v>5</v>
      </c>
      <c r="H759" s="7">
        <f t="shared" si="69"/>
        <v>7.8979343863912477E-2</v>
      </c>
      <c r="I759">
        <f t="shared" si="70"/>
        <v>1</v>
      </c>
      <c r="J759">
        <f>VLOOKUP(A759,'Housing Cost Calc'!$A$2:$C$827,3,FALSE)</f>
        <v>2854</v>
      </c>
      <c r="K759">
        <f t="shared" si="71"/>
        <v>0.38615899413002441</v>
      </c>
    </row>
    <row r="760" spans="1:11" ht="60" x14ac:dyDescent="0.25">
      <c r="A760" s="4" t="s">
        <v>3509</v>
      </c>
      <c r="B760">
        <v>147778</v>
      </c>
      <c r="C760">
        <v>2.77</v>
      </c>
      <c r="D760">
        <f t="shared" si="66"/>
        <v>88791.194810140238</v>
      </c>
      <c r="E760">
        <f t="shared" si="67"/>
        <v>88.79119481014024</v>
      </c>
      <c r="F760" s="7">
        <v>0.92223572296476308</v>
      </c>
      <c r="G760">
        <f t="shared" si="68"/>
        <v>5</v>
      </c>
      <c r="H760" s="7">
        <f t="shared" si="69"/>
        <v>7.7764277035236917E-2</v>
      </c>
      <c r="I760">
        <f t="shared" si="70"/>
        <v>1</v>
      </c>
      <c r="J760">
        <f>VLOOKUP(A760,'Housing Cost Calc'!$A$2:$C$827,3,FALSE)</f>
        <v>2361</v>
      </c>
      <c r="K760">
        <f t="shared" si="71"/>
        <v>0.3190856938076071</v>
      </c>
    </row>
    <row r="761" spans="1:11" ht="45" x14ac:dyDescent="0.25">
      <c r="A761" s="4" t="s">
        <v>3789</v>
      </c>
      <c r="B761">
        <v>148804</v>
      </c>
      <c r="C761">
        <v>2.76</v>
      </c>
      <c r="D761">
        <f t="shared" si="66"/>
        <v>89569.482412874</v>
      </c>
      <c r="E761">
        <f t="shared" si="67"/>
        <v>89.569482412873995</v>
      </c>
      <c r="F761" s="7">
        <v>0.92345078979343864</v>
      </c>
      <c r="G761">
        <f t="shared" si="68"/>
        <v>5</v>
      </c>
      <c r="H761" s="7">
        <f t="shared" si="69"/>
        <v>7.6549210206561358E-2</v>
      </c>
      <c r="I761">
        <f t="shared" si="70"/>
        <v>1</v>
      </c>
      <c r="J761">
        <f>VLOOKUP(A761,'Housing Cost Calc'!$A$2:$C$827,3,FALSE)</f>
        <v>2670</v>
      </c>
      <c r="K761">
        <f t="shared" si="71"/>
        <v>0.35771112143207862</v>
      </c>
    </row>
    <row r="762" spans="1:11" ht="60" x14ac:dyDescent="0.25">
      <c r="A762" s="4" t="s">
        <v>3096</v>
      </c>
      <c r="B762">
        <v>138542</v>
      </c>
      <c r="C762">
        <v>2.35</v>
      </c>
      <c r="D762">
        <f t="shared" si="66"/>
        <v>90374.835896969977</v>
      </c>
      <c r="E762">
        <f t="shared" si="67"/>
        <v>90.374835896969984</v>
      </c>
      <c r="F762" s="7">
        <v>0.9246658566221142</v>
      </c>
      <c r="G762">
        <f t="shared" si="68"/>
        <v>5</v>
      </c>
      <c r="H762" s="7">
        <f t="shared" si="69"/>
        <v>7.5334143377885798E-2</v>
      </c>
      <c r="I762">
        <f t="shared" si="70"/>
        <v>1</v>
      </c>
      <c r="J762">
        <f>VLOOKUP(A762,'Housing Cost Calc'!$A$2:$C$827,3,FALSE)</f>
        <v>1949</v>
      </c>
      <c r="K762">
        <f t="shared" si="71"/>
        <v>0.25878885165183613</v>
      </c>
    </row>
    <row r="763" spans="1:11" ht="60" x14ac:dyDescent="0.25">
      <c r="A763" s="4" t="s">
        <v>3627</v>
      </c>
      <c r="B763">
        <v>153267</v>
      </c>
      <c r="C763">
        <v>2.87</v>
      </c>
      <c r="D763">
        <f t="shared" si="66"/>
        <v>90470.649540185113</v>
      </c>
      <c r="E763">
        <f t="shared" si="67"/>
        <v>90.470649540185107</v>
      </c>
      <c r="F763" s="7">
        <v>0.92588092345078976</v>
      </c>
      <c r="G763">
        <f t="shared" si="68"/>
        <v>5</v>
      </c>
      <c r="H763" s="7">
        <f t="shared" si="69"/>
        <v>7.4119076549210239E-2</v>
      </c>
      <c r="I763">
        <f t="shared" si="70"/>
        <v>1</v>
      </c>
      <c r="J763">
        <f>VLOOKUP(A763,'Housing Cost Calc'!$A$2:$C$827,3,FALSE)</f>
        <v>2492</v>
      </c>
      <c r="K763">
        <f t="shared" si="71"/>
        <v>0.33053813752842892</v>
      </c>
    </row>
    <row r="764" spans="1:11" ht="45" x14ac:dyDescent="0.25">
      <c r="A764" s="4" t="s">
        <v>3641</v>
      </c>
      <c r="B764">
        <v>163315</v>
      </c>
      <c r="C764">
        <v>3.16</v>
      </c>
      <c r="D764">
        <f t="shared" si="66"/>
        <v>91871.865269866801</v>
      </c>
      <c r="E764">
        <f t="shared" si="67"/>
        <v>91.871865269866802</v>
      </c>
      <c r="F764" s="7">
        <v>0.92709599027946532</v>
      </c>
      <c r="G764">
        <f t="shared" si="68"/>
        <v>5</v>
      </c>
      <c r="H764" s="7">
        <f t="shared" si="69"/>
        <v>7.2904009720534679E-2</v>
      </c>
      <c r="I764">
        <f t="shared" si="70"/>
        <v>1</v>
      </c>
      <c r="J764">
        <f>VLOOKUP(A764,'Housing Cost Calc'!$A$2:$C$827,3,FALSE)</f>
        <v>2544</v>
      </c>
      <c r="K764">
        <f t="shared" si="71"/>
        <v>0.33228888855501365</v>
      </c>
    </row>
    <row r="765" spans="1:11" ht="60" x14ac:dyDescent="0.25">
      <c r="A765" s="4" t="s">
        <v>3551</v>
      </c>
      <c r="B765">
        <v>152708</v>
      </c>
      <c r="C765">
        <v>2.75</v>
      </c>
      <c r="D765">
        <f t="shared" si="66"/>
        <v>92086.388815562255</v>
      </c>
      <c r="E765">
        <f t="shared" si="67"/>
        <v>92.086388815562259</v>
      </c>
      <c r="F765" s="7">
        <v>0.92831105710814099</v>
      </c>
      <c r="G765">
        <f t="shared" si="68"/>
        <v>5</v>
      </c>
      <c r="H765" s="7">
        <f t="shared" si="69"/>
        <v>7.1688942891859009E-2</v>
      </c>
      <c r="I765">
        <f t="shared" si="70"/>
        <v>1</v>
      </c>
      <c r="J765">
        <f>VLOOKUP(A765,'Housing Cost Calc'!$A$2:$C$827,3,FALSE)</f>
        <v>2467</v>
      </c>
      <c r="K765">
        <f t="shared" si="71"/>
        <v>0.32148073543521377</v>
      </c>
    </row>
    <row r="766" spans="1:11" ht="60" x14ac:dyDescent="0.25">
      <c r="A766" s="4" t="s">
        <v>3312</v>
      </c>
      <c r="B766">
        <v>144250</v>
      </c>
      <c r="C766">
        <v>2.4500000000000002</v>
      </c>
      <c r="D766">
        <f t="shared" si="66"/>
        <v>92157.944501241334</v>
      </c>
      <c r="E766">
        <f t="shared" si="67"/>
        <v>92.157944501241332</v>
      </c>
      <c r="F766" s="7">
        <v>0.92952612393681655</v>
      </c>
      <c r="G766">
        <f t="shared" si="68"/>
        <v>5</v>
      </c>
      <c r="H766" s="7">
        <f t="shared" si="69"/>
        <v>7.0473876063183449E-2</v>
      </c>
      <c r="I766">
        <f t="shared" si="70"/>
        <v>1</v>
      </c>
      <c r="J766">
        <f>VLOOKUP(A766,'Housing Cost Calc'!$A$2:$C$827,3,FALSE)</f>
        <v>2291</v>
      </c>
      <c r="K766">
        <f t="shared" si="71"/>
        <v>0.29831394513828041</v>
      </c>
    </row>
    <row r="767" spans="1:11" ht="60" x14ac:dyDescent="0.25">
      <c r="A767" s="4" t="s">
        <v>3088</v>
      </c>
      <c r="B767">
        <v>144886</v>
      </c>
      <c r="C767">
        <v>2.46</v>
      </c>
      <c r="D767">
        <f t="shared" si="66"/>
        <v>92375.939648894826</v>
      </c>
      <c r="E767">
        <f t="shared" si="67"/>
        <v>92.375939648894828</v>
      </c>
      <c r="F767" s="7">
        <v>0.93074119076549211</v>
      </c>
      <c r="G767">
        <f t="shared" si="68"/>
        <v>5</v>
      </c>
      <c r="H767" s="7">
        <f t="shared" si="69"/>
        <v>6.925880923450789E-2</v>
      </c>
      <c r="I767">
        <f t="shared" si="70"/>
        <v>1</v>
      </c>
      <c r="J767">
        <f>VLOOKUP(A767,'Housing Cost Calc'!$A$2:$C$827,3,FALSE)</f>
        <v>1967</v>
      </c>
      <c r="K767">
        <f t="shared" si="71"/>
        <v>0.25552108146033237</v>
      </c>
    </row>
    <row r="768" spans="1:11" ht="60" x14ac:dyDescent="0.25">
      <c r="A768" s="4" t="s">
        <v>3264</v>
      </c>
      <c r="B768">
        <v>153878</v>
      </c>
      <c r="C768">
        <v>2.77</v>
      </c>
      <c r="D768">
        <f t="shared" si="66"/>
        <v>92456.329595709496</v>
      </c>
      <c r="E768">
        <f t="shared" si="67"/>
        <v>92.456329595709491</v>
      </c>
      <c r="F768" s="7">
        <v>0.93195625759416767</v>
      </c>
      <c r="G768">
        <f t="shared" si="68"/>
        <v>5</v>
      </c>
      <c r="H768" s="7">
        <f t="shared" si="69"/>
        <v>6.804374240583233E-2</v>
      </c>
      <c r="I768">
        <f t="shared" si="70"/>
        <v>1</v>
      </c>
      <c r="J768">
        <f>VLOOKUP(A768,'Housing Cost Calc'!$A$2:$C$827,3,FALSE)</f>
        <v>2253</v>
      </c>
      <c r="K768">
        <f t="shared" si="71"/>
        <v>0.29241913580413886</v>
      </c>
    </row>
    <row r="769" spans="1:11" ht="60" x14ac:dyDescent="0.25">
      <c r="A769" s="4" t="s">
        <v>3463</v>
      </c>
      <c r="B769">
        <v>141765</v>
      </c>
      <c r="C769">
        <v>2.34</v>
      </c>
      <c r="D769">
        <f t="shared" si="66"/>
        <v>92674.67965954887</v>
      </c>
      <c r="E769">
        <f t="shared" si="67"/>
        <v>92.674679659548872</v>
      </c>
      <c r="F769" s="7">
        <v>0.93317132442284323</v>
      </c>
      <c r="G769">
        <f t="shared" si="68"/>
        <v>5</v>
      </c>
      <c r="H769" s="7">
        <f t="shared" si="69"/>
        <v>6.6828675577156771E-2</v>
      </c>
      <c r="I769">
        <f t="shared" si="70"/>
        <v>1</v>
      </c>
      <c r="J769">
        <f>VLOOKUP(A769,'Housing Cost Calc'!$A$2:$C$827,3,FALSE)</f>
        <v>2426</v>
      </c>
      <c r="K769">
        <f t="shared" si="71"/>
        <v>0.3141311101041438</v>
      </c>
    </row>
    <row r="770" spans="1:11" ht="45" x14ac:dyDescent="0.25">
      <c r="A770" s="4" t="s">
        <v>3701</v>
      </c>
      <c r="B770">
        <v>163438</v>
      </c>
      <c r="C770">
        <v>2.99</v>
      </c>
      <c r="D770">
        <f t="shared" ref="D770:D833" si="72">(B770/(C770)^0.5)</f>
        <v>94518.635850698367</v>
      </c>
      <c r="E770">
        <f t="shared" ref="E770:E833" si="73">D770/1000</f>
        <v>94.518635850698374</v>
      </c>
      <c r="F770" s="7">
        <v>0.93438639125151879</v>
      </c>
      <c r="G770">
        <f t="shared" si="68"/>
        <v>5</v>
      </c>
      <c r="H770" s="7">
        <f t="shared" si="69"/>
        <v>6.5613608748481211E-2</v>
      </c>
      <c r="I770">
        <f t="shared" si="70"/>
        <v>1</v>
      </c>
      <c r="J770">
        <f>VLOOKUP(A770,'Housing Cost Calc'!$A$2:$C$827,3,FALSE)</f>
        <v>2692</v>
      </c>
      <c r="K770">
        <f t="shared" si="71"/>
        <v>0.34177387040400581</v>
      </c>
    </row>
    <row r="771" spans="1:11" ht="60" x14ac:dyDescent="0.25">
      <c r="A771" s="4" t="s">
        <v>3286</v>
      </c>
      <c r="B771">
        <v>169688</v>
      </c>
      <c r="C771">
        <v>3.17</v>
      </c>
      <c r="D771">
        <f t="shared" si="72"/>
        <v>95306.275912928046</v>
      </c>
      <c r="E771">
        <f t="shared" si="73"/>
        <v>95.306275912928044</v>
      </c>
      <c r="F771" s="7">
        <v>0.93560145808019446</v>
      </c>
      <c r="G771">
        <f t="shared" ref="G771:G834" si="74">IF(F771&lt;0.2,1,IF(F771&lt;0.4,2,IF(F771&lt;0.6,3,IF(F771&lt;0.8,4,5))))</f>
        <v>5</v>
      </c>
      <c r="H771" s="7">
        <f t="shared" ref="H771:H834" si="75">1-F771</f>
        <v>6.4398541919805541E-2</v>
      </c>
      <c r="I771">
        <f t="shared" ref="I771:I834" si="76">6-G771</f>
        <v>1</v>
      </c>
      <c r="J771">
        <f>VLOOKUP(A771,'Housing Cost Calc'!$A$2:$C$827,3,FALSE)</f>
        <v>2347</v>
      </c>
      <c r="K771">
        <f t="shared" ref="K771:K834" si="77">(J771*12)/D771</f>
        <v>0.29551044493366496</v>
      </c>
    </row>
    <row r="772" spans="1:11" ht="60" x14ac:dyDescent="0.25">
      <c r="A772" s="4" t="s">
        <v>3861</v>
      </c>
      <c r="B772">
        <v>166677</v>
      </c>
      <c r="C772">
        <v>3.05</v>
      </c>
      <c r="D772">
        <f t="shared" si="72"/>
        <v>95438.972568432611</v>
      </c>
      <c r="E772">
        <f t="shared" si="73"/>
        <v>95.438972568432618</v>
      </c>
      <c r="F772" s="7">
        <v>0.93681652490887002</v>
      </c>
      <c r="G772">
        <f t="shared" si="74"/>
        <v>5</v>
      </c>
      <c r="H772" s="7">
        <f t="shared" si="75"/>
        <v>6.3183475091129981E-2</v>
      </c>
      <c r="I772">
        <f t="shared" si="76"/>
        <v>1</v>
      </c>
      <c r="J772">
        <f>VLOOKUP(A772,'Housing Cost Calc'!$A$2:$C$827,3,FALSE)</f>
        <v>3214</v>
      </c>
      <c r="K772">
        <f t="shared" si="77"/>
        <v>0.40411164288619711</v>
      </c>
    </row>
    <row r="773" spans="1:11" ht="60" x14ac:dyDescent="0.25">
      <c r="A773" s="4" t="s">
        <v>3817</v>
      </c>
      <c r="B773">
        <v>159338</v>
      </c>
      <c r="C773">
        <v>2.75</v>
      </c>
      <c r="D773">
        <f t="shared" si="72"/>
        <v>96084.429244663406</v>
      </c>
      <c r="E773">
        <f t="shared" si="73"/>
        <v>96.084429244663411</v>
      </c>
      <c r="F773" s="7">
        <v>0.93803159173754558</v>
      </c>
      <c r="G773">
        <f t="shared" si="74"/>
        <v>5</v>
      </c>
      <c r="H773" s="7">
        <f t="shared" si="75"/>
        <v>6.1968408262454422E-2</v>
      </c>
      <c r="I773">
        <f t="shared" si="76"/>
        <v>1</v>
      </c>
      <c r="J773">
        <f>VLOOKUP(A773,'Housing Cost Calc'!$A$2:$C$827,3,FALSE)</f>
        <v>2946</v>
      </c>
      <c r="K773">
        <f t="shared" si="77"/>
        <v>0.36792641927426001</v>
      </c>
    </row>
    <row r="774" spans="1:11" ht="45" x14ac:dyDescent="0.25">
      <c r="A774" s="4" t="s">
        <v>3363</v>
      </c>
      <c r="B774">
        <v>164063</v>
      </c>
      <c r="C774">
        <v>2.89</v>
      </c>
      <c r="D774">
        <f t="shared" si="72"/>
        <v>96507.647058823539</v>
      </c>
      <c r="E774">
        <f t="shared" si="73"/>
        <v>96.507647058823537</v>
      </c>
      <c r="F774" s="7">
        <v>0.93924665856622114</v>
      </c>
      <c r="G774">
        <f t="shared" si="74"/>
        <v>5</v>
      </c>
      <c r="H774" s="7">
        <f t="shared" si="75"/>
        <v>6.0753341433778862E-2</v>
      </c>
      <c r="I774">
        <f t="shared" si="76"/>
        <v>1</v>
      </c>
      <c r="J774">
        <f>VLOOKUP(A774,'Housing Cost Calc'!$A$2:$C$827,3,FALSE)</f>
        <v>2436</v>
      </c>
      <c r="K774">
        <f t="shared" si="77"/>
        <v>0.30289827688144183</v>
      </c>
    </row>
    <row r="775" spans="1:11" ht="60" x14ac:dyDescent="0.25">
      <c r="A775" s="4" t="s">
        <v>3290</v>
      </c>
      <c r="B775">
        <v>168672</v>
      </c>
      <c r="C775">
        <v>3.01</v>
      </c>
      <c r="D775">
        <f t="shared" si="72"/>
        <v>97220.924535008729</v>
      </c>
      <c r="E775">
        <f t="shared" si="73"/>
        <v>97.220924535008734</v>
      </c>
      <c r="F775" s="7">
        <v>0.9404617253948967</v>
      </c>
      <c r="G775">
        <f t="shared" si="74"/>
        <v>5</v>
      </c>
      <c r="H775" s="7">
        <f t="shared" si="75"/>
        <v>5.9538274605103303E-2</v>
      </c>
      <c r="I775">
        <f t="shared" si="76"/>
        <v>1</v>
      </c>
      <c r="J775">
        <f>VLOOKUP(A775,'Housing Cost Calc'!$A$2:$C$827,3,FALSE)</f>
        <v>2397</v>
      </c>
      <c r="K775">
        <f t="shared" si="77"/>
        <v>0.29586223477685852</v>
      </c>
    </row>
    <row r="776" spans="1:11" ht="60" x14ac:dyDescent="0.25">
      <c r="A776" s="4" t="s">
        <v>3726</v>
      </c>
      <c r="B776">
        <v>166908</v>
      </c>
      <c r="C776">
        <v>2.89</v>
      </c>
      <c r="D776">
        <f t="shared" si="72"/>
        <v>98181.176470588238</v>
      </c>
      <c r="E776">
        <f t="shared" si="73"/>
        <v>98.181176470588241</v>
      </c>
      <c r="F776" s="7">
        <v>0.94167679222357226</v>
      </c>
      <c r="G776">
        <f t="shared" si="74"/>
        <v>5</v>
      </c>
      <c r="H776" s="7">
        <f t="shared" si="75"/>
        <v>5.8323207776427743E-2</v>
      </c>
      <c r="I776">
        <f t="shared" si="76"/>
        <v>1</v>
      </c>
      <c r="J776">
        <f>VLOOKUP(A776,'Housing Cost Calc'!$A$2:$C$827,3,FALSE)</f>
        <v>2824</v>
      </c>
      <c r="K776">
        <f t="shared" si="77"/>
        <v>0.34515781148896396</v>
      </c>
    </row>
    <row r="777" spans="1:11" ht="60" x14ac:dyDescent="0.25">
      <c r="A777" s="4" t="s">
        <v>3545</v>
      </c>
      <c r="B777">
        <v>167400</v>
      </c>
      <c r="C777">
        <v>2.88</v>
      </c>
      <c r="D777">
        <f t="shared" si="72"/>
        <v>98641.395975523381</v>
      </c>
      <c r="E777">
        <f t="shared" si="73"/>
        <v>98.64139597552338</v>
      </c>
      <c r="F777" s="7">
        <v>0.94289185905224793</v>
      </c>
      <c r="G777">
        <f t="shared" si="74"/>
        <v>5</v>
      </c>
      <c r="H777" s="7">
        <f t="shared" si="75"/>
        <v>5.7108140947752073E-2</v>
      </c>
      <c r="I777">
        <f t="shared" si="76"/>
        <v>1</v>
      </c>
      <c r="J777">
        <f>VLOOKUP(A777,'Housing Cost Calc'!$A$2:$C$827,3,FALSE)</f>
        <v>2642</v>
      </c>
      <c r="K777">
        <f t="shared" si="77"/>
        <v>0.32140664359481436</v>
      </c>
    </row>
    <row r="778" spans="1:11" ht="45" x14ac:dyDescent="0.25">
      <c r="A778" s="4" t="s">
        <v>3860</v>
      </c>
      <c r="B778">
        <v>170972</v>
      </c>
      <c r="C778">
        <v>2.98</v>
      </c>
      <c r="D778">
        <f t="shared" si="72"/>
        <v>99041.420363658995</v>
      </c>
      <c r="E778">
        <f t="shared" si="73"/>
        <v>99.041420363659</v>
      </c>
      <c r="F778" s="7">
        <v>0.94410692588092349</v>
      </c>
      <c r="G778">
        <f t="shared" si="74"/>
        <v>5</v>
      </c>
      <c r="H778" s="7">
        <f t="shared" si="75"/>
        <v>5.5893074119076513E-2</v>
      </c>
      <c r="I778">
        <f t="shared" si="76"/>
        <v>1</v>
      </c>
      <c r="J778">
        <f>VLOOKUP(A778,'Housing Cost Calc'!$A$2:$C$827,3,FALSE)</f>
        <v>3328</v>
      </c>
      <c r="K778">
        <f t="shared" si="77"/>
        <v>0.40322523499121393</v>
      </c>
    </row>
    <row r="779" spans="1:11" ht="45" x14ac:dyDescent="0.25">
      <c r="A779" s="4" t="s">
        <v>3455</v>
      </c>
      <c r="B779">
        <v>168846</v>
      </c>
      <c r="C779">
        <v>2.8</v>
      </c>
      <c r="D779">
        <f t="shared" si="72"/>
        <v>100904.78488583751</v>
      </c>
      <c r="E779">
        <f t="shared" si="73"/>
        <v>100.9047848858375</v>
      </c>
      <c r="F779" s="7">
        <v>0.94532199270959905</v>
      </c>
      <c r="G779">
        <f t="shared" si="74"/>
        <v>5</v>
      </c>
      <c r="H779" s="7">
        <f t="shared" si="75"/>
        <v>5.4678007290400954E-2</v>
      </c>
      <c r="I779">
        <f t="shared" si="76"/>
        <v>1</v>
      </c>
      <c r="J779">
        <f>VLOOKUP(A779,'Housing Cost Calc'!$A$2:$C$827,3,FALSE)</f>
        <v>2638</v>
      </c>
      <c r="K779">
        <f t="shared" si="77"/>
        <v>0.31372149532666094</v>
      </c>
    </row>
    <row r="780" spans="1:11" ht="45" x14ac:dyDescent="0.25">
      <c r="A780" s="4" t="s">
        <v>3714</v>
      </c>
      <c r="B780">
        <v>169810</v>
      </c>
      <c r="C780">
        <v>2.77</v>
      </c>
      <c r="D780">
        <f t="shared" si="72"/>
        <v>102028.94064549467</v>
      </c>
      <c r="E780">
        <f t="shared" si="73"/>
        <v>102.02894064549467</v>
      </c>
      <c r="F780" s="7">
        <v>0.94653705953827461</v>
      </c>
      <c r="G780">
        <f t="shared" si="74"/>
        <v>5</v>
      </c>
      <c r="H780" s="7">
        <f t="shared" si="75"/>
        <v>5.3462940461725394E-2</v>
      </c>
      <c r="I780">
        <f t="shared" si="76"/>
        <v>1</v>
      </c>
      <c r="J780">
        <f>VLOOKUP(A780,'Housing Cost Calc'!$A$2:$C$827,3,FALSE)</f>
        <v>2925</v>
      </c>
      <c r="K780">
        <f t="shared" si="77"/>
        <v>0.34402003762792105</v>
      </c>
    </row>
    <row r="781" spans="1:11" ht="45" x14ac:dyDescent="0.25">
      <c r="A781" s="4" t="s">
        <v>3330</v>
      </c>
      <c r="B781">
        <v>152321</v>
      </c>
      <c r="C781">
        <v>2.2000000000000002</v>
      </c>
      <c r="D781">
        <f t="shared" si="72"/>
        <v>102694.79725026349</v>
      </c>
      <c r="E781">
        <f t="shared" si="73"/>
        <v>102.69479725026349</v>
      </c>
      <c r="F781" s="7">
        <v>0.94775212636695016</v>
      </c>
      <c r="G781">
        <f t="shared" si="74"/>
        <v>5</v>
      </c>
      <c r="H781" s="7">
        <f t="shared" si="75"/>
        <v>5.2247873633049835E-2</v>
      </c>
      <c r="I781">
        <f t="shared" si="76"/>
        <v>1</v>
      </c>
      <c r="J781">
        <f>VLOOKUP(A781,'Housing Cost Calc'!$A$2:$C$827,3,FALSE)</f>
        <v>2569</v>
      </c>
      <c r="K781">
        <f t="shared" si="77"/>
        <v>0.30019047532537879</v>
      </c>
    </row>
    <row r="782" spans="1:11" ht="60" x14ac:dyDescent="0.25">
      <c r="A782" s="4" t="s">
        <v>3604</v>
      </c>
      <c r="B782">
        <v>175000</v>
      </c>
      <c r="C782">
        <v>2.87</v>
      </c>
      <c r="D782">
        <f t="shared" si="72"/>
        <v>103299.23381766718</v>
      </c>
      <c r="E782">
        <f t="shared" si="73"/>
        <v>103.29923381766717</v>
      </c>
      <c r="F782" s="7">
        <v>0.94896719319562572</v>
      </c>
      <c r="G782">
        <f t="shared" si="74"/>
        <v>5</v>
      </c>
      <c r="H782" s="7">
        <f t="shared" si="75"/>
        <v>5.1032806804374276E-2</v>
      </c>
      <c r="I782">
        <f t="shared" si="76"/>
        <v>1</v>
      </c>
      <c r="J782">
        <f>VLOOKUP(A782,'Housing Cost Calc'!$A$2:$C$827,3,FALSE)</f>
        <v>2833</v>
      </c>
      <c r="K782">
        <f t="shared" si="77"/>
        <v>0.32910215055424441</v>
      </c>
    </row>
    <row r="783" spans="1:11" ht="60" x14ac:dyDescent="0.25">
      <c r="A783" s="4" t="s">
        <v>3840</v>
      </c>
      <c r="B783">
        <v>176875</v>
      </c>
      <c r="C783">
        <v>2.93</v>
      </c>
      <c r="D783">
        <f t="shared" si="72"/>
        <v>103331.4783174169</v>
      </c>
      <c r="E783">
        <f t="shared" si="73"/>
        <v>103.3314783174169</v>
      </c>
      <c r="F783" s="7">
        <v>0.95018226002430128</v>
      </c>
      <c r="G783">
        <f t="shared" si="74"/>
        <v>5</v>
      </c>
      <c r="H783" s="7">
        <f t="shared" si="75"/>
        <v>4.9817739975698716E-2</v>
      </c>
      <c r="I783">
        <f t="shared" si="76"/>
        <v>1</v>
      </c>
      <c r="J783">
        <f>VLOOKUP(A783,'Housing Cost Calc'!$A$2:$C$827,3,FALSE)</f>
        <v>3267</v>
      </c>
      <c r="K783">
        <f t="shared" si="77"/>
        <v>0.37940035929392119</v>
      </c>
    </row>
    <row r="784" spans="1:11" ht="60" x14ac:dyDescent="0.25">
      <c r="A784" s="4" t="s">
        <v>3060</v>
      </c>
      <c r="B784">
        <v>172031</v>
      </c>
      <c r="C784">
        <v>2.77</v>
      </c>
      <c r="D784">
        <f t="shared" si="72"/>
        <v>103363.41021250277</v>
      </c>
      <c r="E784">
        <f t="shared" si="73"/>
        <v>103.36341021250277</v>
      </c>
      <c r="F784" s="7">
        <v>0.95139732685297695</v>
      </c>
      <c r="G784">
        <f t="shared" si="74"/>
        <v>5</v>
      </c>
      <c r="H784" s="7">
        <f t="shared" si="75"/>
        <v>4.8602673147023046E-2</v>
      </c>
      <c r="I784">
        <f t="shared" si="76"/>
        <v>1</v>
      </c>
      <c r="J784">
        <f>VLOOKUP(A784,'Housing Cost Calc'!$A$2:$C$827,3,FALSE)</f>
        <v>2065</v>
      </c>
      <c r="K784">
        <f t="shared" si="77"/>
        <v>0.23973667228137396</v>
      </c>
    </row>
    <row r="785" spans="1:11" ht="45" x14ac:dyDescent="0.25">
      <c r="A785" s="4" t="s">
        <v>3763</v>
      </c>
      <c r="B785">
        <v>171250</v>
      </c>
      <c r="C785">
        <v>2.73</v>
      </c>
      <c r="D785">
        <f t="shared" si="72"/>
        <v>103645.21496953242</v>
      </c>
      <c r="E785">
        <f t="shared" si="73"/>
        <v>103.64521496953242</v>
      </c>
      <c r="F785" s="7">
        <v>0.95261239368165251</v>
      </c>
      <c r="G785">
        <f t="shared" si="74"/>
        <v>5</v>
      </c>
      <c r="H785" s="7">
        <f t="shared" si="75"/>
        <v>4.7387606318347486E-2</v>
      </c>
      <c r="I785">
        <f t="shared" si="76"/>
        <v>1</v>
      </c>
      <c r="J785">
        <f>VLOOKUP(A785,'Housing Cost Calc'!$A$2:$C$827,3,FALSE)</f>
        <v>3043</v>
      </c>
      <c r="K785">
        <f t="shared" si="77"/>
        <v>0.35231727784764838</v>
      </c>
    </row>
    <row r="786" spans="1:11" ht="45" x14ac:dyDescent="0.25">
      <c r="A786" s="4" t="s">
        <v>3620</v>
      </c>
      <c r="B786">
        <v>180694</v>
      </c>
      <c r="C786">
        <v>3.01</v>
      </c>
      <c r="D786">
        <f t="shared" si="72"/>
        <v>104150.29013664904</v>
      </c>
      <c r="E786">
        <f t="shared" si="73"/>
        <v>104.15029013664903</v>
      </c>
      <c r="F786" s="7">
        <v>0.95382746051032807</v>
      </c>
      <c r="G786">
        <f t="shared" si="74"/>
        <v>5</v>
      </c>
      <c r="H786" s="7">
        <f t="shared" si="75"/>
        <v>4.6172539489671927E-2</v>
      </c>
      <c r="I786">
        <f t="shared" si="76"/>
        <v>1</v>
      </c>
      <c r="J786">
        <f>VLOOKUP(A786,'Housing Cost Calc'!$A$2:$C$827,3,FALSE)</f>
        <v>2864</v>
      </c>
      <c r="K786">
        <f t="shared" si="77"/>
        <v>0.3299846784383213</v>
      </c>
    </row>
    <row r="787" spans="1:11" ht="60" x14ac:dyDescent="0.25">
      <c r="A787" s="4" t="s">
        <v>3132</v>
      </c>
      <c r="B787">
        <v>174375</v>
      </c>
      <c r="C787">
        <v>2.7</v>
      </c>
      <c r="D787">
        <f t="shared" si="72"/>
        <v>106121.24551662593</v>
      </c>
      <c r="E787">
        <f t="shared" si="73"/>
        <v>106.12124551662593</v>
      </c>
      <c r="F787" s="7">
        <v>0.95504252733900363</v>
      </c>
      <c r="G787">
        <f t="shared" si="74"/>
        <v>5</v>
      </c>
      <c r="H787" s="7">
        <f t="shared" si="75"/>
        <v>4.4957472660996367E-2</v>
      </c>
      <c r="I787">
        <f t="shared" si="76"/>
        <v>1</v>
      </c>
      <c r="J787">
        <f>VLOOKUP(A787,'Housing Cost Calc'!$A$2:$C$827,3,FALSE)</f>
        <v>2346</v>
      </c>
      <c r="K787">
        <f t="shared" si="77"/>
        <v>0.26528146991630858</v>
      </c>
    </row>
    <row r="788" spans="1:11" ht="60" x14ac:dyDescent="0.25">
      <c r="A788" s="4" t="s">
        <v>3637</v>
      </c>
      <c r="B788">
        <v>177361</v>
      </c>
      <c r="C788">
        <v>2.78</v>
      </c>
      <c r="D788">
        <f t="shared" si="72"/>
        <v>106374.05888296926</v>
      </c>
      <c r="E788">
        <f t="shared" si="73"/>
        <v>106.37405888296925</v>
      </c>
      <c r="F788" s="7">
        <v>0.95625759416767919</v>
      </c>
      <c r="G788">
        <f t="shared" si="74"/>
        <v>5</v>
      </c>
      <c r="H788" s="7">
        <f t="shared" si="75"/>
        <v>4.3742405832320808E-2</v>
      </c>
      <c r="I788">
        <f t="shared" si="76"/>
        <v>1</v>
      </c>
      <c r="J788">
        <f>VLOOKUP(A788,'Housing Cost Calc'!$A$2:$C$827,3,FALSE)</f>
        <v>2944</v>
      </c>
      <c r="K788">
        <f t="shared" si="77"/>
        <v>0.33211104634887723</v>
      </c>
    </row>
    <row r="789" spans="1:11" ht="60" x14ac:dyDescent="0.25">
      <c r="A789" s="4" t="s">
        <v>3344</v>
      </c>
      <c r="B789">
        <v>178696</v>
      </c>
      <c r="C789">
        <v>2.81</v>
      </c>
      <c r="D789">
        <f t="shared" si="72"/>
        <v>106601.0963468423</v>
      </c>
      <c r="E789">
        <f t="shared" si="73"/>
        <v>106.6010963468423</v>
      </c>
      <c r="F789" s="7">
        <v>0.95747266099635475</v>
      </c>
      <c r="G789">
        <f t="shared" si="74"/>
        <v>5</v>
      </c>
      <c r="H789" s="7">
        <f t="shared" si="75"/>
        <v>4.2527339003645248E-2</v>
      </c>
      <c r="I789">
        <f t="shared" si="76"/>
        <v>1</v>
      </c>
      <c r="J789">
        <f>VLOOKUP(A789,'Housing Cost Calc'!$A$2:$C$827,3,FALSE)</f>
        <v>2676</v>
      </c>
      <c r="K789">
        <f t="shared" si="77"/>
        <v>0.30123517581394188</v>
      </c>
    </row>
    <row r="790" spans="1:11" ht="45" x14ac:dyDescent="0.25">
      <c r="A790" s="4" t="s">
        <v>3863</v>
      </c>
      <c r="B790">
        <v>192222</v>
      </c>
      <c r="C790">
        <v>3.19</v>
      </c>
      <c r="D790">
        <f t="shared" si="72"/>
        <v>107623.65824095623</v>
      </c>
      <c r="E790">
        <f t="shared" si="73"/>
        <v>107.62365824095623</v>
      </c>
      <c r="F790" s="7">
        <v>0.95868772782503042</v>
      </c>
      <c r="G790">
        <f t="shared" si="74"/>
        <v>5</v>
      </c>
      <c r="H790" s="7">
        <f t="shared" si="75"/>
        <v>4.1312272174969578E-2</v>
      </c>
      <c r="I790">
        <f t="shared" si="76"/>
        <v>1</v>
      </c>
      <c r="J790">
        <f>VLOOKUP(A790,'Housing Cost Calc'!$A$2:$C$827,3,FALSE)</f>
        <v>3654</v>
      </c>
      <c r="K790">
        <f t="shared" si="77"/>
        <v>0.40741971344097672</v>
      </c>
    </row>
    <row r="791" spans="1:11" ht="45" x14ac:dyDescent="0.25">
      <c r="A791" s="4" t="s">
        <v>3685</v>
      </c>
      <c r="B791">
        <v>175972</v>
      </c>
      <c r="C791">
        <v>2.66</v>
      </c>
      <c r="D791">
        <f t="shared" si="72"/>
        <v>107895.35584784839</v>
      </c>
      <c r="E791">
        <f t="shared" si="73"/>
        <v>107.89535584784839</v>
      </c>
      <c r="F791" s="7">
        <v>0.95990279465370598</v>
      </c>
      <c r="G791">
        <f t="shared" si="74"/>
        <v>5</v>
      </c>
      <c r="H791" s="7">
        <f t="shared" si="75"/>
        <v>4.0097205346294018E-2</v>
      </c>
      <c r="I791">
        <f t="shared" si="76"/>
        <v>1</v>
      </c>
      <c r="J791">
        <f>VLOOKUP(A791,'Housing Cost Calc'!$A$2:$C$827,3,FALSE)</f>
        <v>3048</v>
      </c>
      <c r="K791">
        <f t="shared" si="77"/>
        <v>0.33899512831283168</v>
      </c>
    </row>
    <row r="792" spans="1:11" ht="60" x14ac:dyDescent="0.25">
      <c r="A792" s="4" t="s">
        <v>3138</v>
      </c>
      <c r="B792">
        <v>179821</v>
      </c>
      <c r="C792">
        <v>2.76</v>
      </c>
      <c r="D792">
        <f t="shared" si="72"/>
        <v>108239.52243868052</v>
      </c>
      <c r="E792">
        <f t="shared" si="73"/>
        <v>108.23952243868052</v>
      </c>
      <c r="F792" s="7">
        <v>0.96111786148238154</v>
      </c>
      <c r="G792">
        <f t="shared" si="74"/>
        <v>5</v>
      </c>
      <c r="H792" s="7">
        <f t="shared" si="75"/>
        <v>3.8882138517618459E-2</v>
      </c>
      <c r="I792">
        <f t="shared" si="76"/>
        <v>1</v>
      </c>
      <c r="J792">
        <f>VLOOKUP(A792,'Housing Cost Calc'!$A$2:$C$827,3,FALSE)</f>
        <v>2397</v>
      </c>
      <c r="K792">
        <f t="shared" si="77"/>
        <v>0.26574396626976327</v>
      </c>
    </row>
    <row r="793" spans="1:11" ht="60" x14ac:dyDescent="0.25">
      <c r="A793" s="4" t="s">
        <v>3746</v>
      </c>
      <c r="B793">
        <v>191524</v>
      </c>
      <c r="C793">
        <v>3.04</v>
      </c>
      <c r="D793">
        <f t="shared" si="72"/>
        <v>109846.54753456368</v>
      </c>
      <c r="E793">
        <f t="shared" si="73"/>
        <v>109.84654753456368</v>
      </c>
      <c r="F793" s="7">
        <v>0.9623329283110571</v>
      </c>
      <c r="G793">
        <f t="shared" si="74"/>
        <v>5</v>
      </c>
      <c r="H793" s="7">
        <f t="shared" si="75"/>
        <v>3.7667071688942899E-2</v>
      </c>
      <c r="I793">
        <f t="shared" si="76"/>
        <v>1</v>
      </c>
      <c r="J793">
        <f>VLOOKUP(A793,'Housing Cost Calc'!$A$2:$C$827,3,FALSE)</f>
        <v>3201</v>
      </c>
      <c r="K793">
        <f t="shared" si="77"/>
        <v>0.34968782234975115</v>
      </c>
    </row>
    <row r="794" spans="1:11" ht="60" x14ac:dyDescent="0.25">
      <c r="A794" s="4" t="s">
        <v>3190</v>
      </c>
      <c r="B794">
        <v>195357</v>
      </c>
      <c r="C794">
        <v>3.16</v>
      </c>
      <c r="D794">
        <f t="shared" si="72"/>
        <v>109896.89853060263</v>
      </c>
      <c r="E794">
        <f t="shared" si="73"/>
        <v>109.89689853060263</v>
      </c>
      <c r="F794" s="7">
        <v>0.96354799513973266</v>
      </c>
      <c r="G794">
        <f t="shared" si="74"/>
        <v>5</v>
      </c>
      <c r="H794" s="7">
        <f t="shared" si="75"/>
        <v>3.645200486026734E-2</v>
      </c>
      <c r="I794">
        <f t="shared" si="76"/>
        <v>1</v>
      </c>
      <c r="J794">
        <f>VLOOKUP(A794,'Housing Cost Calc'!$A$2:$C$827,3,FALSE)</f>
        <v>2589</v>
      </c>
      <c r="K794">
        <f t="shared" si="77"/>
        <v>0.28270133566461475</v>
      </c>
    </row>
    <row r="795" spans="1:11" ht="45" x14ac:dyDescent="0.25">
      <c r="A795" s="4" t="s">
        <v>3486</v>
      </c>
      <c r="B795">
        <v>186324</v>
      </c>
      <c r="C795">
        <v>2.77</v>
      </c>
      <c r="D795">
        <f t="shared" si="72"/>
        <v>111951.24160432926</v>
      </c>
      <c r="E795">
        <f t="shared" si="73"/>
        <v>111.95124160432925</v>
      </c>
      <c r="F795" s="7">
        <v>0.96476306196840822</v>
      </c>
      <c r="G795">
        <f t="shared" si="74"/>
        <v>5</v>
      </c>
      <c r="H795" s="7">
        <f t="shared" si="75"/>
        <v>3.523693803159178E-2</v>
      </c>
      <c r="I795">
        <f t="shared" si="76"/>
        <v>1</v>
      </c>
      <c r="J795">
        <f>VLOOKUP(A795,'Housing Cost Calc'!$A$2:$C$827,3,FALSE)</f>
        <v>2959</v>
      </c>
      <c r="K795">
        <f t="shared" si="77"/>
        <v>0.31717379361897913</v>
      </c>
    </row>
    <row r="796" spans="1:11" ht="45" x14ac:dyDescent="0.25">
      <c r="A796" s="4" t="s">
        <v>3756</v>
      </c>
      <c r="B796">
        <v>195250</v>
      </c>
      <c r="C796">
        <v>2.92</v>
      </c>
      <c r="D796">
        <f t="shared" si="72"/>
        <v>114261.41995022247</v>
      </c>
      <c r="E796">
        <f t="shared" si="73"/>
        <v>114.26141995022246</v>
      </c>
      <c r="F796" s="7">
        <v>0.96597812879708389</v>
      </c>
      <c r="G796">
        <f t="shared" si="74"/>
        <v>5</v>
      </c>
      <c r="H796" s="7">
        <f t="shared" si="75"/>
        <v>3.402187120291611E-2</v>
      </c>
      <c r="I796">
        <f t="shared" si="76"/>
        <v>1</v>
      </c>
      <c r="J796">
        <f>VLOOKUP(A796,'Housing Cost Calc'!$A$2:$C$827,3,FALSE)</f>
        <v>3341</v>
      </c>
      <c r="K796">
        <f t="shared" si="77"/>
        <v>0.35087958838132699</v>
      </c>
    </row>
    <row r="797" spans="1:11" ht="45" x14ac:dyDescent="0.25">
      <c r="A797" s="4" t="s">
        <v>3868</v>
      </c>
      <c r="B797">
        <v>189712</v>
      </c>
      <c r="C797">
        <v>2.71</v>
      </c>
      <c r="D797">
        <f t="shared" si="72"/>
        <v>115241.83291295107</v>
      </c>
      <c r="E797">
        <f t="shared" si="73"/>
        <v>115.24183291295107</v>
      </c>
      <c r="F797" s="7">
        <v>0.96719319562575945</v>
      </c>
      <c r="G797">
        <f t="shared" si="74"/>
        <v>5</v>
      </c>
      <c r="H797" s="7">
        <f t="shared" si="75"/>
        <v>3.280680437424055E-2</v>
      </c>
      <c r="I797">
        <f t="shared" si="76"/>
        <v>1</v>
      </c>
      <c r="J797">
        <f>VLOOKUP(A797,'Housing Cost Calc'!$A$2:$C$827,3,FALSE)</f>
        <v>4000</v>
      </c>
      <c r="K797">
        <f t="shared" si="77"/>
        <v>0.41651541620530474</v>
      </c>
    </row>
    <row r="798" spans="1:11" ht="45" x14ac:dyDescent="0.25">
      <c r="A798" s="4" t="s">
        <v>3718</v>
      </c>
      <c r="B798">
        <v>196250</v>
      </c>
      <c r="C798">
        <v>2.86</v>
      </c>
      <c r="D798">
        <f t="shared" si="72"/>
        <v>116045.05771285747</v>
      </c>
      <c r="E798">
        <f t="shared" si="73"/>
        <v>116.04505771285747</v>
      </c>
      <c r="F798" s="7">
        <v>0.96840826245443501</v>
      </c>
      <c r="G798">
        <f t="shared" si="74"/>
        <v>5</v>
      </c>
      <c r="H798" s="7">
        <f t="shared" si="75"/>
        <v>3.1591737545564991E-2</v>
      </c>
      <c r="I798">
        <f t="shared" si="76"/>
        <v>1</v>
      </c>
      <c r="J798">
        <f>VLOOKUP(A798,'Housing Cost Calc'!$A$2:$C$827,3,FALSE)</f>
        <v>3331</v>
      </c>
      <c r="K798">
        <f t="shared" si="77"/>
        <v>0.34445241174257452</v>
      </c>
    </row>
    <row r="799" spans="1:11" ht="45" x14ac:dyDescent="0.25">
      <c r="A799" s="4" t="s">
        <v>3104</v>
      </c>
      <c r="B799">
        <v>174712</v>
      </c>
      <c r="C799">
        <v>2.2400000000000002</v>
      </c>
      <c r="D799">
        <f t="shared" si="72"/>
        <v>116734.36524250872</v>
      </c>
      <c r="E799">
        <f t="shared" si="73"/>
        <v>116.73436524250872</v>
      </c>
      <c r="F799" s="7">
        <v>0.96962332928311057</v>
      </c>
      <c r="G799">
        <f t="shared" si="74"/>
        <v>5</v>
      </c>
      <c r="H799" s="7">
        <f t="shared" si="75"/>
        <v>3.0376670716889431E-2</v>
      </c>
      <c r="I799">
        <f t="shared" si="76"/>
        <v>1</v>
      </c>
      <c r="J799">
        <f>VLOOKUP(A799,'Housing Cost Calc'!$A$2:$C$827,3,FALSE)</f>
        <v>2525</v>
      </c>
      <c r="K799">
        <f t="shared" si="77"/>
        <v>0.25956366779442835</v>
      </c>
    </row>
    <row r="800" spans="1:11" ht="45" x14ac:dyDescent="0.25">
      <c r="A800" s="4" t="s">
        <v>3738</v>
      </c>
      <c r="B800">
        <v>198281</v>
      </c>
      <c r="C800">
        <v>2.83</v>
      </c>
      <c r="D800">
        <f t="shared" si="72"/>
        <v>117865.82022081333</v>
      </c>
      <c r="E800">
        <f t="shared" si="73"/>
        <v>117.86582022081333</v>
      </c>
      <c r="F800" s="7">
        <v>0.97083839611178613</v>
      </c>
      <c r="G800">
        <f t="shared" si="74"/>
        <v>5</v>
      </c>
      <c r="H800" s="7">
        <f t="shared" si="75"/>
        <v>2.9161603888213872E-2</v>
      </c>
      <c r="I800">
        <f t="shared" si="76"/>
        <v>1</v>
      </c>
      <c r="J800">
        <f>VLOOKUP(A800,'Housing Cost Calc'!$A$2:$C$827,3,FALSE)</f>
        <v>3417</v>
      </c>
      <c r="K800">
        <f t="shared" si="77"/>
        <v>0.34788711369574221</v>
      </c>
    </row>
    <row r="801" spans="1:11" ht="45" x14ac:dyDescent="0.25">
      <c r="A801" s="4" t="s">
        <v>3862</v>
      </c>
      <c r="B801">
        <v>202500</v>
      </c>
      <c r="C801">
        <v>2.93</v>
      </c>
      <c r="D801">
        <f t="shared" si="72"/>
        <v>118301.76316198966</v>
      </c>
      <c r="E801">
        <f t="shared" si="73"/>
        <v>118.30176316198965</v>
      </c>
      <c r="F801" s="7">
        <v>0.97205346294046169</v>
      </c>
      <c r="G801">
        <f t="shared" si="74"/>
        <v>5</v>
      </c>
      <c r="H801" s="7">
        <f t="shared" si="75"/>
        <v>2.7946537059538312E-2</v>
      </c>
      <c r="I801">
        <f t="shared" si="76"/>
        <v>1</v>
      </c>
      <c r="J801">
        <f>VLOOKUP(A801,'Housing Cost Calc'!$A$2:$C$827,3,FALSE)</f>
        <v>4000</v>
      </c>
      <c r="K801">
        <f t="shared" si="77"/>
        <v>0.4057420508118208</v>
      </c>
    </row>
    <row r="802" spans="1:11" ht="45" x14ac:dyDescent="0.25">
      <c r="A802" s="4" t="s">
        <v>3676</v>
      </c>
      <c r="B802">
        <v>216500</v>
      </c>
      <c r="C802">
        <v>3.17</v>
      </c>
      <c r="D802">
        <f t="shared" si="72"/>
        <v>121598.51453932465</v>
      </c>
      <c r="E802">
        <f t="shared" si="73"/>
        <v>121.59851453932465</v>
      </c>
      <c r="F802" s="7">
        <v>0.97326852976913725</v>
      </c>
      <c r="G802">
        <f t="shared" si="74"/>
        <v>5</v>
      </c>
      <c r="H802" s="7">
        <f t="shared" si="75"/>
        <v>2.6731470230862753E-2</v>
      </c>
      <c r="I802">
        <f t="shared" si="76"/>
        <v>1</v>
      </c>
      <c r="J802">
        <f>VLOOKUP(A802,'Housing Cost Calc'!$A$2:$C$827,3,FALSE)</f>
        <v>3418</v>
      </c>
      <c r="K802">
        <f t="shared" si="77"/>
        <v>0.33730675210457056</v>
      </c>
    </row>
    <row r="803" spans="1:11" ht="60" x14ac:dyDescent="0.25">
      <c r="A803" s="4" t="s">
        <v>3852</v>
      </c>
      <c r="B803">
        <v>219792</v>
      </c>
      <c r="C803">
        <v>3.15</v>
      </c>
      <c r="D803">
        <f t="shared" si="72"/>
        <v>123838.76263686008</v>
      </c>
      <c r="E803">
        <f t="shared" si="73"/>
        <v>123.83876263686008</v>
      </c>
      <c r="F803" s="7">
        <v>0.97448359659781292</v>
      </c>
      <c r="G803">
        <f t="shared" si="74"/>
        <v>5</v>
      </c>
      <c r="H803" s="7">
        <f t="shared" si="75"/>
        <v>2.5516403402187082E-2</v>
      </c>
      <c r="I803">
        <f t="shared" si="76"/>
        <v>1</v>
      </c>
      <c r="J803">
        <f>VLOOKUP(A803,'Housing Cost Calc'!$A$2:$C$827,3,FALSE)</f>
        <v>4000</v>
      </c>
      <c r="K803">
        <f t="shared" si="77"/>
        <v>0.3876007719873083</v>
      </c>
    </row>
    <row r="804" spans="1:11" ht="45" x14ac:dyDescent="0.25">
      <c r="A804" s="4" t="s">
        <v>3821</v>
      </c>
      <c r="B804">
        <v>229531</v>
      </c>
      <c r="C804">
        <v>3.25</v>
      </c>
      <c r="D804">
        <f t="shared" si="72"/>
        <v>127320.89073977307</v>
      </c>
      <c r="E804">
        <f t="shared" si="73"/>
        <v>127.32089073977306</v>
      </c>
      <c r="F804" s="7">
        <v>0.97569866342648848</v>
      </c>
      <c r="G804">
        <f t="shared" si="74"/>
        <v>5</v>
      </c>
      <c r="H804" s="7">
        <f t="shared" si="75"/>
        <v>2.4301336573511523E-2</v>
      </c>
      <c r="I804">
        <f t="shared" si="76"/>
        <v>1</v>
      </c>
      <c r="J804">
        <f>VLOOKUP(A804,'Housing Cost Calc'!$A$2:$C$827,3,FALSE)</f>
        <v>3941</v>
      </c>
      <c r="K804">
        <f t="shared" si="77"/>
        <v>0.37143943719855482</v>
      </c>
    </row>
    <row r="805" spans="1:11" ht="60" x14ac:dyDescent="0.25">
      <c r="A805" s="4" t="s">
        <v>3320</v>
      </c>
      <c r="B805">
        <v>222839</v>
      </c>
      <c r="C805">
        <v>2.91</v>
      </c>
      <c r="D805">
        <f t="shared" si="72"/>
        <v>130630.53526113901</v>
      </c>
      <c r="E805">
        <f t="shared" si="73"/>
        <v>130.63053526113902</v>
      </c>
      <c r="F805" s="7">
        <v>0.97691373025516404</v>
      </c>
      <c r="G805">
        <f t="shared" si="74"/>
        <v>5</v>
      </c>
      <c r="H805" s="7">
        <f t="shared" si="75"/>
        <v>2.3086269744835963E-2</v>
      </c>
      <c r="I805">
        <f t="shared" si="76"/>
        <v>1</v>
      </c>
      <c r="J805">
        <f>VLOOKUP(A805,'Housing Cost Calc'!$A$2:$C$827,3,FALSE)</f>
        <v>3250</v>
      </c>
      <c r="K805">
        <f t="shared" si="77"/>
        <v>0.29855194210171798</v>
      </c>
    </row>
    <row r="806" spans="1:11" ht="45" x14ac:dyDescent="0.25">
      <c r="A806" s="4" t="s">
        <v>3371</v>
      </c>
      <c r="B806">
        <v>236000</v>
      </c>
      <c r="C806">
        <v>3.19</v>
      </c>
      <c r="D806">
        <f t="shared" si="72"/>
        <v>132134.63258558162</v>
      </c>
      <c r="E806">
        <f t="shared" si="73"/>
        <v>132.13463258558161</v>
      </c>
      <c r="F806" s="7">
        <v>0.9781287970838396</v>
      </c>
      <c r="G806">
        <f t="shared" si="74"/>
        <v>5</v>
      </c>
      <c r="H806" s="7">
        <f t="shared" si="75"/>
        <v>2.1871202916160404E-2</v>
      </c>
      <c r="I806">
        <f t="shared" si="76"/>
        <v>1</v>
      </c>
      <c r="J806">
        <f>VLOOKUP(A806,'Housing Cost Calc'!$A$2:$C$827,3,FALSE)</f>
        <v>3348</v>
      </c>
      <c r="K806">
        <f t="shared" si="77"/>
        <v>0.3040535188530426</v>
      </c>
    </row>
    <row r="807" spans="1:11" ht="45" x14ac:dyDescent="0.25">
      <c r="A807" s="4" t="s">
        <v>3768</v>
      </c>
      <c r="B807">
        <v>250000</v>
      </c>
      <c r="C807">
        <v>3.39</v>
      </c>
      <c r="D807">
        <f t="shared" si="72"/>
        <v>135781.36164839211</v>
      </c>
      <c r="E807">
        <f t="shared" si="73"/>
        <v>135.78136164839211</v>
      </c>
      <c r="F807" s="7">
        <v>0.97934386391251516</v>
      </c>
      <c r="G807">
        <f t="shared" si="74"/>
        <v>5</v>
      </c>
      <c r="H807" s="7">
        <f t="shared" si="75"/>
        <v>2.0656136087484844E-2</v>
      </c>
      <c r="I807">
        <f t="shared" si="76"/>
        <v>1</v>
      </c>
      <c r="J807">
        <f>VLOOKUP(A807,'Housing Cost Calc'!$A$2:$C$827,3,FALSE)</f>
        <v>4000</v>
      </c>
      <c r="K807">
        <f t="shared" si="77"/>
        <v>0.35350949067882181</v>
      </c>
    </row>
    <row r="808" spans="1:11" ht="45" x14ac:dyDescent="0.25">
      <c r="A808" s="4" t="s">
        <v>3220</v>
      </c>
      <c r="B808">
        <v>219783</v>
      </c>
      <c r="C808">
        <v>2.57</v>
      </c>
      <c r="D808">
        <f t="shared" si="72"/>
        <v>137096.86866044044</v>
      </c>
      <c r="E808">
        <f t="shared" si="73"/>
        <v>137.09686866044044</v>
      </c>
      <c r="F808" s="7">
        <v>0.98055893074119072</v>
      </c>
      <c r="G808">
        <f t="shared" si="74"/>
        <v>5</v>
      </c>
      <c r="H808" s="7">
        <f t="shared" si="75"/>
        <v>1.9441069258809285E-2</v>
      </c>
      <c r="I808">
        <f t="shared" si="76"/>
        <v>1</v>
      </c>
      <c r="J808">
        <f>VLOOKUP(A808,'Housing Cost Calc'!$A$2:$C$827,3,FALSE)</f>
        <v>3273</v>
      </c>
      <c r="K808">
        <f t="shared" si="77"/>
        <v>0.28648356730362845</v>
      </c>
    </row>
    <row r="809" spans="1:11" ht="45" x14ac:dyDescent="0.25">
      <c r="A809" s="4" t="s">
        <v>3748</v>
      </c>
      <c r="B809">
        <v>250000</v>
      </c>
      <c r="C809">
        <v>3.32</v>
      </c>
      <c r="D809">
        <f t="shared" si="72"/>
        <v>137205.32498711292</v>
      </c>
      <c r="E809">
        <f t="shared" si="73"/>
        <v>137.20532498711293</v>
      </c>
      <c r="F809" s="7">
        <v>0.98177399756986639</v>
      </c>
      <c r="G809">
        <f t="shared" si="74"/>
        <v>5</v>
      </c>
      <c r="H809" s="7">
        <f t="shared" si="75"/>
        <v>1.8226002430133614E-2</v>
      </c>
      <c r="I809">
        <f t="shared" si="76"/>
        <v>1</v>
      </c>
      <c r="J809">
        <f>VLOOKUP(A809,'Housing Cost Calc'!$A$2:$C$827,3,FALSE)</f>
        <v>4000</v>
      </c>
      <c r="K809">
        <f t="shared" si="77"/>
        <v>0.34984064943914112</v>
      </c>
    </row>
    <row r="810" spans="1:11" ht="45" x14ac:dyDescent="0.25">
      <c r="A810" s="4" t="s">
        <v>3614</v>
      </c>
      <c r="B810">
        <v>242500</v>
      </c>
      <c r="C810">
        <v>3.12</v>
      </c>
      <c r="D810">
        <f t="shared" si="72"/>
        <v>137288.59039003224</v>
      </c>
      <c r="E810">
        <f t="shared" si="73"/>
        <v>137.28859039003225</v>
      </c>
      <c r="F810" s="7">
        <v>0.98298906439854195</v>
      </c>
      <c r="G810">
        <f t="shared" si="74"/>
        <v>5</v>
      </c>
      <c r="H810" s="7">
        <f t="shared" si="75"/>
        <v>1.7010935601458055E-2</v>
      </c>
      <c r="I810">
        <f t="shared" si="76"/>
        <v>1</v>
      </c>
      <c r="J810">
        <f>VLOOKUP(A810,'Housing Cost Calc'!$A$2:$C$827,3,FALSE)</f>
        <v>3773</v>
      </c>
      <c r="K810">
        <f t="shared" si="77"/>
        <v>0.32978705565679139</v>
      </c>
    </row>
    <row r="811" spans="1:11" ht="45" x14ac:dyDescent="0.25">
      <c r="A811" s="4" t="s">
        <v>3742</v>
      </c>
      <c r="B811">
        <v>250000</v>
      </c>
      <c r="C811">
        <v>3.3</v>
      </c>
      <c r="D811">
        <f t="shared" si="72"/>
        <v>137620.47064079507</v>
      </c>
      <c r="E811">
        <f t="shared" si="73"/>
        <v>137.62047064079508</v>
      </c>
      <c r="F811" s="7">
        <v>0.9842041312272175</v>
      </c>
      <c r="G811">
        <f t="shared" si="74"/>
        <v>5</v>
      </c>
      <c r="H811" s="7">
        <f t="shared" si="75"/>
        <v>1.5795868772782495E-2</v>
      </c>
      <c r="I811">
        <f t="shared" si="76"/>
        <v>1</v>
      </c>
      <c r="J811">
        <f>VLOOKUP(A811,'Housing Cost Calc'!$A$2:$C$827,3,FALSE)</f>
        <v>4000</v>
      </c>
      <c r="K811">
        <f t="shared" si="77"/>
        <v>0.34878532079203106</v>
      </c>
    </row>
    <row r="812" spans="1:11" ht="45" x14ac:dyDescent="0.25">
      <c r="A812" s="4" t="s">
        <v>3490</v>
      </c>
      <c r="B812">
        <v>233750</v>
      </c>
      <c r="C812">
        <v>2.88</v>
      </c>
      <c r="D812">
        <f t="shared" si="72"/>
        <v>137738.50841862956</v>
      </c>
      <c r="E812">
        <f t="shared" si="73"/>
        <v>137.73850841862955</v>
      </c>
      <c r="F812" s="7">
        <v>0.98541919805589306</v>
      </c>
      <c r="G812">
        <f t="shared" si="74"/>
        <v>5</v>
      </c>
      <c r="H812" s="7">
        <f t="shared" si="75"/>
        <v>1.4580801944106936E-2</v>
      </c>
      <c r="I812">
        <f t="shared" si="76"/>
        <v>1</v>
      </c>
      <c r="J812">
        <f>VLOOKUP(A812,'Housing Cost Calc'!$A$2:$C$827,3,FALSE)</f>
        <v>3644</v>
      </c>
      <c r="K812">
        <f t="shared" si="77"/>
        <v>0.3174711306376079</v>
      </c>
    </row>
    <row r="813" spans="1:11" ht="45" x14ac:dyDescent="0.25">
      <c r="A813" s="4" t="s">
        <v>3709</v>
      </c>
      <c r="B813">
        <v>250000</v>
      </c>
      <c r="C813">
        <v>3.2</v>
      </c>
      <c r="D813">
        <f t="shared" si="72"/>
        <v>139754.24859373685</v>
      </c>
      <c r="E813">
        <f t="shared" si="73"/>
        <v>139.75424859373686</v>
      </c>
      <c r="F813" s="7">
        <v>0.98663426488456862</v>
      </c>
      <c r="G813">
        <f t="shared" si="74"/>
        <v>5</v>
      </c>
      <c r="H813" s="7">
        <f t="shared" si="75"/>
        <v>1.3365735115431376E-2</v>
      </c>
      <c r="I813">
        <f t="shared" si="76"/>
        <v>1</v>
      </c>
      <c r="J813">
        <f>VLOOKUP(A813,'Housing Cost Calc'!$A$2:$C$827,3,FALSE)</f>
        <v>4000</v>
      </c>
      <c r="K813">
        <f t="shared" si="77"/>
        <v>0.34346004134396774</v>
      </c>
    </row>
    <row r="814" spans="1:11" ht="60" x14ac:dyDescent="0.25">
      <c r="A814" s="4" t="s">
        <v>3697</v>
      </c>
      <c r="B814">
        <v>250000</v>
      </c>
      <c r="C814">
        <v>3.16</v>
      </c>
      <c r="D814">
        <f t="shared" si="72"/>
        <v>140635.98761575299</v>
      </c>
      <c r="E814">
        <f t="shared" si="73"/>
        <v>140.63598761575298</v>
      </c>
      <c r="F814" s="7">
        <v>0.98784933171324418</v>
      </c>
      <c r="G814">
        <f t="shared" si="74"/>
        <v>5</v>
      </c>
      <c r="H814" s="7">
        <f t="shared" si="75"/>
        <v>1.2150668286755817E-2</v>
      </c>
      <c r="I814">
        <f t="shared" si="76"/>
        <v>1</v>
      </c>
      <c r="J814">
        <f>VLOOKUP(A814,'Housing Cost Calc'!$A$2:$C$827,3,FALSE)</f>
        <v>4000</v>
      </c>
      <c r="K814">
        <f t="shared" si="77"/>
        <v>0.34130666562491857</v>
      </c>
    </row>
    <row r="815" spans="1:11" ht="60" x14ac:dyDescent="0.25">
      <c r="A815" s="4" t="s">
        <v>3336</v>
      </c>
      <c r="B815">
        <v>250000</v>
      </c>
      <c r="C815">
        <v>3.16</v>
      </c>
      <c r="D815">
        <f t="shared" si="72"/>
        <v>140635.98761575299</v>
      </c>
      <c r="E815">
        <f t="shared" si="73"/>
        <v>140.63598761575298</v>
      </c>
      <c r="F815" s="7">
        <v>0.98784933171324418</v>
      </c>
      <c r="G815">
        <f t="shared" si="74"/>
        <v>5</v>
      </c>
      <c r="H815" s="7">
        <f t="shared" si="75"/>
        <v>1.2150668286755817E-2</v>
      </c>
      <c r="I815">
        <f t="shared" si="76"/>
        <v>1</v>
      </c>
      <c r="J815">
        <f>VLOOKUP(A815,'Housing Cost Calc'!$A$2:$C$827,3,FALSE)</f>
        <v>3523</v>
      </c>
      <c r="K815">
        <f t="shared" si="77"/>
        <v>0.30060584574914706</v>
      </c>
    </row>
    <row r="816" spans="1:11" ht="45" x14ac:dyDescent="0.25">
      <c r="A816" s="4" t="s">
        <v>3373</v>
      </c>
      <c r="B816">
        <v>250000</v>
      </c>
      <c r="C816">
        <v>3.16</v>
      </c>
      <c r="D816">
        <f t="shared" si="72"/>
        <v>140635.98761575299</v>
      </c>
      <c r="E816">
        <f t="shared" si="73"/>
        <v>140.63598761575298</v>
      </c>
      <c r="F816" s="7">
        <v>0.98784933171324418</v>
      </c>
      <c r="G816">
        <f t="shared" si="74"/>
        <v>5</v>
      </c>
      <c r="H816" s="7">
        <f t="shared" si="75"/>
        <v>1.2150668286755817E-2</v>
      </c>
      <c r="I816">
        <f t="shared" si="76"/>
        <v>1</v>
      </c>
      <c r="J816">
        <f>VLOOKUP(A816,'Housing Cost Calc'!$A$2:$C$827,3,FALSE)</f>
        <v>3565</v>
      </c>
      <c r="K816">
        <f t="shared" si="77"/>
        <v>0.30418956573820871</v>
      </c>
    </row>
    <row r="817" spans="1:11" ht="45" x14ac:dyDescent="0.25">
      <c r="A817" s="4" t="s">
        <v>3527</v>
      </c>
      <c r="B817">
        <v>228558</v>
      </c>
      <c r="C817">
        <v>2.64</v>
      </c>
      <c r="D817">
        <f t="shared" si="72"/>
        <v>140667.72497627165</v>
      </c>
      <c r="E817">
        <f t="shared" si="73"/>
        <v>140.66772497627164</v>
      </c>
      <c r="F817" s="7">
        <v>0.99149453219927097</v>
      </c>
      <c r="G817">
        <f t="shared" si="74"/>
        <v>5</v>
      </c>
      <c r="H817" s="7">
        <f t="shared" si="75"/>
        <v>8.5054678007290274E-3</v>
      </c>
      <c r="I817">
        <f t="shared" si="76"/>
        <v>1</v>
      </c>
      <c r="J817">
        <f>VLOOKUP(A817,'Housing Cost Calc'!$A$2:$C$827,3,FALSE)</f>
        <v>3756</v>
      </c>
      <c r="K817">
        <f t="shared" si="77"/>
        <v>0.32041465096277705</v>
      </c>
    </row>
    <row r="818" spans="1:11" ht="45" x14ac:dyDescent="0.25">
      <c r="A818" s="4" t="s">
        <v>3492</v>
      </c>
      <c r="B818">
        <v>247361</v>
      </c>
      <c r="C818">
        <v>3.05</v>
      </c>
      <c r="D818">
        <f t="shared" si="72"/>
        <v>141638.49657421277</v>
      </c>
      <c r="E818">
        <f t="shared" si="73"/>
        <v>141.63849657421278</v>
      </c>
      <c r="F818" s="7">
        <v>0.99270959902794653</v>
      </c>
      <c r="G818">
        <f t="shared" si="74"/>
        <v>5</v>
      </c>
      <c r="H818" s="7">
        <f t="shared" si="75"/>
        <v>7.2904009720534679E-3</v>
      </c>
      <c r="I818">
        <f t="shared" si="76"/>
        <v>1</v>
      </c>
      <c r="J818">
        <f>VLOOKUP(A818,'Housing Cost Calc'!$A$2:$C$827,3,FALSE)</f>
        <v>3750</v>
      </c>
      <c r="K818">
        <f t="shared" si="77"/>
        <v>0.31771023477661559</v>
      </c>
    </row>
    <row r="819" spans="1:11" ht="45" x14ac:dyDescent="0.25">
      <c r="A819" s="4" t="s">
        <v>3383</v>
      </c>
      <c r="B819">
        <v>242125</v>
      </c>
      <c r="C819">
        <v>2.92</v>
      </c>
      <c r="D819">
        <f t="shared" si="72"/>
        <v>141692.93882431556</v>
      </c>
      <c r="E819">
        <f t="shared" si="73"/>
        <v>141.69293882431555</v>
      </c>
      <c r="F819" s="7">
        <v>0.99392466585662209</v>
      </c>
      <c r="G819">
        <f t="shared" si="74"/>
        <v>5</v>
      </c>
      <c r="H819" s="7">
        <f t="shared" si="75"/>
        <v>6.0753341433779084E-3</v>
      </c>
      <c r="I819">
        <f t="shared" si="76"/>
        <v>1</v>
      </c>
      <c r="J819">
        <f>VLOOKUP(A819,'Housing Cost Calc'!$A$2:$C$827,3,FALSE)</f>
        <v>3609</v>
      </c>
      <c r="K819">
        <f t="shared" si="77"/>
        <v>0.30564684704364414</v>
      </c>
    </row>
    <row r="820" spans="1:11" ht="45" x14ac:dyDescent="0.25">
      <c r="A820" s="4" t="s">
        <v>3680</v>
      </c>
      <c r="B820">
        <v>250000</v>
      </c>
      <c r="C820">
        <v>3.1</v>
      </c>
      <c r="D820">
        <f t="shared" si="72"/>
        <v>141990.45856176619</v>
      </c>
      <c r="E820">
        <f t="shared" si="73"/>
        <v>141.99045856176619</v>
      </c>
      <c r="F820" s="7">
        <v>0.99513973268529765</v>
      </c>
      <c r="G820">
        <f t="shared" si="74"/>
        <v>5</v>
      </c>
      <c r="H820" s="7">
        <f t="shared" si="75"/>
        <v>4.860267314702349E-3</v>
      </c>
      <c r="I820">
        <f t="shared" si="76"/>
        <v>1</v>
      </c>
      <c r="J820">
        <f>VLOOKUP(A820,'Housing Cost Calc'!$A$2:$C$827,3,FALSE)</f>
        <v>4000</v>
      </c>
      <c r="K820">
        <f t="shared" si="77"/>
        <v>0.338050883743853</v>
      </c>
    </row>
    <row r="821" spans="1:11" ht="45" x14ac:dyDescent="0.25">
      <c r="A821" s="4" t="s">
        <v>3665</v>
      </c>
      <c r="B821">
        <v>250000</v>
      </c>
      <c r="C821">
        <v>3.05</v>
      </c>
      <c r="D821">
        <f t="shared" si="72"/>
        <v>143149.58357846705</v>
      </c>
      <c r="E821">
        <f t="shared" si="73"/>
        <v>143.14958357846706</v>
      </c>
      <c r="F821" s="7">
        <v>0.99635479951397332</v>
      </c>
      <c r="G821">
        <f t="shared" si="74"/>
        <v>5</v>
      </c>
      <c r="H821" s="7">
        <f t="shared" si="75"/>
        <v>3.6452004860266785E-3</v>
      </c>
      <c r="I821">
        <f t="shared" si="76"/>
        <v>1</v>
      </c>
      <c r="J821">
        <f>VLOOKUP(A821,'Housing Cost Calc'!$A$2:$C$827,3,FALSE)</f>
        <v>4000</v>
      </c>
      <c r="K821">
        <f t="shared" si="77"/>
        <v>0.33531358457420124</v>
      </c>
    </row>
    <row r="822" spans="1:11" ht="45" x14ac:dyDescent="0.25">
      <c r="A822" s="4" t="s">
        <v>3172</v>
      </c>
      <c r="B822">
        <v>238068</v>
      </c>
      <c r="C822">
        <v>2.76</v>
      </c>
      <c r="D822">
        <f t="shared" si="72"/>
        <v>143300.09636211451</v>
      </c>
      <c r="E822">
        <f t="shared" si="73"/>
        <v>143.30009636211452</v>
      </c>
      <c r="F822" s="7">
        <v>0.99756986634264888</v>
      </c>
      <c r="G822">
        <f t="shared" si="74"/>
        <v>5</v>
      </c>
      <c r="H822" s="7">
        <f t="shared" si="75"/>
        <v>2.430133657351119E-3</v>
      </c>
      <c r="I822">
        <f t="shared" si="76"/>
        <v>1</v>
      </c>
      <c r="J822">
        <f>VLOOKUP(A822,'Housing Cost Calc'!$A$2:$C$827,3,FALSE)</f>
        <v>3293</v>
      </c>
      <c r="K822">
        <f t="shared" si="77"/>
        <v>0.27575696739340916</v>
      </c>
    </row>
    <row r="823" spans="1:11" ht="45" x14ac:dyDescent="0.25">
      <c r="A823" s="4" t="s">
        <v>3278</v>
      </c>
      <c r="B823">
        <v>238750</v>
      </c>
      <c r="C823">
        <v>2.72</v>
      </c>
      <c r="D823">
        <f t="shared" si="72"/>
        <v>144763.45119356122</v>
      </c>
      <c r="E823">
        <f t="shared" si="73"/>
        <v>144.76345119356122</v>
      </c>
      <c r="F823" s="7">
        <v>0.99878493317132444</v>
      </c>
      <c r="G823">
        <f t="shared" si="74"/>
        <v>5</v>
      </c>
      <c r="H823" s="7">
        <f t="shared" si="75"/>
        <v>1.2150668286755595E-3</v>
      </c>
      <c r="I823">
        <f t="shared" si="76"/>
        <v>1</v>
      </c>
      <c r="J823">
        <f>VLOOKUP(A823,'Housing Cost Calc'!$A$2:$C$827,3,FALSE)</f>
        <v>3541</v>
      </c>
      <c r="K823">
        <f t="shared" si="77"/>
        <v>0.29352712752878851</v>
      </c>
    </row>
    <row r="824" spans="1:11" ht="45" x14ac:dyDescent="0.25">
      <c r="A824" s="4" t="s">
        <v>3427</v>
      </c>
      <c r="B824">
        <v>247169</v>
      </c>
      <c r="C824">
        <v>2.83</v>
      </c>
      <c r="D824">
        <f t="shared" si="72"/>
        <v>146926.71974701667</v>
      </c>
      <c r="E824">
        <f t="shared" si="73"/>
        <v>146.92671974701668</v>
      </c>
      <c r="F824" s="7">
        <v>1</v>
      </c>
      <c r="G824">
        <f t="shared" si="74"/>
        <v>5</v>
      </c>
      <c r="H824" s="7">
        <f t="shared" si="75"/>
        <v>0</v>
      </c>
      <c r="I824">
        <f t="shared" si="76"/>
        <v>1</v>
      </c>
      <c r="J824">
        <f>VLOOKUP(A824,'Housing Cost Calc'!$A$2:$C$827,3,FALSE)</f>
        <v>3810</v>
      </c>
      <c r="K824">
        <f t="shared" si="77"/>
        <v>0.31117553075929433</v>
      </c>
    </row>
    <row r="825" spans="1:11" ht="60" x14ac:dyDescent="0.25">
      <c r="A825" s="4" t="s">
        <v>3874</v>
      </c>
      <c r="B825" t="s">
        <v>3899</v>
      </c>
      <c r="C825">
        <v>6.5</v>
      </c>
      <c r="D825" t="e">
        <f t="shared" si="72"/>
        <v>#VALUE!</v>
      </c>
      <c r="E825" t="e">
        <f t="shared" si="73"/>
        <v>#VALUE!</v>
      </c>
      <c r="G825">
        <f t="shared" si="74"/>
        <v>1</v>
      </c>
      <c r="H825" s="7">
        <f t="shared" si="75"/>
        <v>1</v>
      </c>
      <c r="I825">
        <f t="shared" si="76"/>
        <v>5</v>
      </c>
      <c r="J825" t="e">
        <f>VLOOKUP(A825,'Housing Cost Calc'!$A$2:$C$827,3,FALSE)</f>
        <v>#N/A</v>
      </c>
      <c r="K825" t="e">
        <f t="shared" si="77"/>
        <v>#N/A</v>
      </c>
    </row>
    <row r="826" spans="1:11" ht="60" x14ac:dyDescent="0.25">
      <c r="A826" s="4" t="s">
        <v>3875</v>
      </c>
      <c r="B826" t="s">
        <v>3899</v>
      </c>
      <c r="C826">
        <v>0</v>
      </c>
      <c r="D826" t="e">
        <f t="shared" si="72"/>
        <v>#VALUE!</v>
      </c>
      <c r="E826" t="e">
        <f t="shared" si="73"/>
        <v>#VALUE!</v>
      </c>
      <c r="G826">
        <f t="shared" si="74"/>
        <v>1</v>
      </c>
      <c r="H826" s="7">
        <f t="shared" si="75"/>
        <v>1</v>
      </c>
      <c r="I826">
        <f t="shared" si="76"/>
        <v>5</v>
      </c>
      <c r="J826" t="e">
        <f>VLOOKUP(A826,'Housing Cost Calc'!$A$2:$C$827,3,FALSE)</f>
        <v>#N/A</v>
      </c>
      <c r="K826" t="e">
        <f t="shared" si="77"/>
        <v>#N/A</v>
      </c>
    </row>
    <row r="827" spans="1:11" ht="60" x14ac:dyDescent="0.25">
      <c r="A827" s="4" t="s">
        <v>3876</v>
      </c>
      <c r="B827" t="s">
        <v>3899</v>
      </c>
      <c r="C827">
        <v>0</v>
      </c>
      <c r="D827" t="e">
        <f t="shared" si="72"/>
        <v>#VALUE!</v>
      </c>
      <c r="E827" t="e">
        <f t="shared" si="73"/>
        <v>#VALUE!</v>
      </c>
      <c r="G827">
        <f t="shared" si="74"/>
        <v>1</v>
      </c>
      <c r="H827" s="7">
        <f t="shared" si="75"/>
        <v>1</v>
      </c>
      <c r="I827">
        <f t="shared" si="76"/>
        <v>5</v>
      </c>
      <c r="J827" t="e">
        <f>VLOOKUP(A827,'Housing Cost Calc'!$A$2:$C$827,3,FALSE)</f>
        <v>#N/A</v>
      </c>
      <c r="K827" t="e">
        <f t="shared" si="77"/>
        <v>#N/A</v>
      </c>
    </row>
    <row r="828" spans="1:11" ht="60" x14ac:dyDescent="0.25">
      <c r="A828" s="4" t="s">
        <v>3877</v>
      </c>
      <c r="B828" t="s">
        <v>3899</v>
      </c>
      <c r="C828">
        <v>0</v>
      </c>
      <c r="D828" t="e">
        <f t="shared" si="72"/>
        <v>#VALUE!</v>
      </c>
      <c r="E828" t="e">
        <f t="shared" si="73"/>
        <v>#VALUE!</v>
      </c>
      <c r="G828">
        <f t="shared" si="74"/>
        <v>1</v>
      </c>
      <c r="H828" s="7">
        <f t="shared" si="75"/>
        <v>1</v>
      </c>
      <c r="I828">
        <f t="shared" si="76"/>
        <v>5</v>
      </c>
      <c r="J828" t="e">
        <f>VLOOKUP(A828,'Housing Cost Calc'!$A$2:$C$827,3,FALSE)</f>
        <v>#N/A</v>
      </c>
      <c r="K828" t="e">
        <f t="shared" si="77"/>
        <v>#N/A</v>
      </c>
    </row>
    <row r="829" spans="1:11" ht="60" x14ac:dyDescent="0.25">
      <c r="A829" s="4" t="s">
        <v>3878</v>
      </c>
      <c r="B829" t="s">
        <v>3899</v>
      </c>
      <c r="C829">
        <v>0</v>
      </c>
      <c r="D829" t="e">
        <f t="shared" si="72"/>
        <v>#VALUE!</v>
      </c>
      <c r="E829" t="e">
        <f t="shared" si="73"/>
        <v>#VALUE!</v>
      </c>
      <c r="G829">
        <f t="shared" si="74"/>
        <v>1</v>
      </c>
      <c r="H829" s="7">
        <f t="shared" si="75"/>
        <v>1</v>
      </c>
      <c r="I829">
        <f t="shared" si="76"/>
        <v>5</v>
      </c>
      <c r="J829" t="e">
        <f>VLOOKUP(A829,'Housing Cost Calc'!$A$2:$C$827,3,FALSE)</f>
        <v>#N/A</v>
      </c>
      <c r="K829" t="e">
        <f t="shared" si="77"/>
        <v>#N/A</v>
      </c>
    </row>
    <row r="830" spans="1:11" ht="60" x14ac:dyDescent="0.25">
      <c r="A830" s="4" t="s">
        <v>3879</v>
      </c>
      <c r="B830" t="s">
        <v>3899</v>
      </c>
      <c r="C830">
        <v>0</v>
      </c>
      <c r="D830" t="e">
        <f t="shared" si="72"/>
        <v>#VALUE!</v>
      </c>
      <c r="E830" t="e">
        <f t="shared" si="73"/>
        <v>#VALUE!</v>
      </c>
      <c r="G830">
        <f t="shared" si="74"/>
        <v>1</v>
      </c>
      <c r="H830" s="7">
        <f t="shared" si="75"/>
        <v>1</v>
      </c>
      <c r="I830">
        <f t="shared" si="76"/>
        <v>5</v>
      </c>
      <c r="J830" t="e">
        <f>VLOOKUP(A830,'Housing Cost Calc'!$A$2:$C$827,3,FALSE)</f>
        <v>#N/A</v>
      </c>
      <c r="K830" t="e">
        <f t="shared" si="77"/>
        <v>#N/A</v>
      </c>
    </row>
    <row r="831" spans="1:11" ht="60" x14ac:dyDescent="0.25">
      <c r="A831" s="4" t="s">
        <v>3880</v>
      </c>
      <c r="B831" t="s">
        <v>3899</v>
      </c>
      <c r="C831">
        <v>0</v>
      </c>
      <c r="D831" t="e">
        <f t="shared" si="72"/>
        <v>#VALUE!</v>
      </c>
      <c r="E831" t="e">
        <f t="shared" si="73"/>
        <v>#VALUE!</v>
      </c>
      <c r="G831">
        <f t="shared" si="74"/>
        <v>1</v>
      </c>
      <c r="H831" s="7">
        <f t="shared" si="75"/>
        <v>1</v>
      </c>
      <c r="I831">
        <f t="shared" si="76"/>
        <v>5</v>
      </c>
      <c r="J831" t="e">
        <f>VLOOKUP(A831,'Housing Cost Calc'!$A$2:$C$827,3,FALSE)</f>
        <v>#N/A</v>
      </c>
      <c r="K831" t="e">
        <f t="shared" si="77"/>
        <v>#N/A</v>
      </c>
    </row>
    <row r="832" spans="1:11" ht="60" x14ac:dyDescent="0.25">
      <c r="A832" s="4" t="s">
        <v>3881</v>
      </c>
      <c r="B832" t="s">
        <v>3899</v>
      </c>
      <c r="C832">
        <v>0</v>
      </c>
      <c r="D832" t="e">
        <f t="shared" si="72"/>
        <v>#VALUE!</v>
      </c>
      <c r="E832" t="e">
        <f t="shared" si="73"/>
        <v>#VALUE!</v>
      </c>
      <c r="G832">
        <f t="shared" si="74"/>
        <v>1</v>
      </c>
      <c r="H832" s="7">
        <f t="shared" si="75"/>
        <v>1</v>
      </c>
      <c r="I832">
        <f t="shared" si="76"/>
        <v>5</v>
      </c>
      <c r="J832" t="e">
        <f>VLOOKUP(A832,'Housing Cost Calc'!$A$2:$C$827,3,FALSE)</f>
        <v>#N/A</v>
      </c>
      <c r="K832" t="e">
        <f t="shared" si="77"/>
        <v>#N/A</v>
      </c>
    </row>
    <row r="833" spans="1:11" ht="60" x14ac:dyDescent="0.25">
      <c r="A833" s="4" t="s">
        <v>3882</v>
      </c>
      <c r="B833" t="s">
        <v>3899</v>
      </c>
      <c r="C833">
        <v>0</v>
      </c>
      <c r="D833" t="e">
        <f t="shared" si="72"/>
        <v>#VALUE!</v>
      </c>
      <c r="E833" t="e">
        <f t="shared" si="73"/>
        <v>#VALUE!</v>
      </c>
      <c r="G833">
        <f t="shared" si="74"/>
        <v>1</v>
      </c>
      <c r="H833" s="7">
        <f t="shared" si="75"/>
        <v>1</v>
      </c>
      <c r="I833">
        <f t="shared" si="76"/>
        <v>5</v>
      </c>
      <c r="J833" t="e">
        <f>VLOOKUP(A833,'Housing Cost Calc'!$A$2:$C$827,3,FALSE)</f>
        <v>#N/A</v>
      </c>
      <c r="K833" t="e">
        <f t="shared" si="77"/>
        <v>#N/A</v>
      </c>
    </row>
    <row r="834" spans="1:11" ht="60" x14ac:dyDescent="0.25">
      <c r="A834" s="4" t="s">
        <v>3883</v>
      </c>
      <c r="B834" t="s">
        <v>3899</v>
      </c>
      <c r="C834">
        <v>0</v>
      </c>
      <c r="D834" t="e">
        <f t="shared" ref="D834:D835" si="78">(B834/(C834)^0.5)</f>
        <v>#VALUE!</v>
      </c>
      <c r="E834" t="e">
        <f t="shared" ref="E834" si="79">D834/1000</f>
        <v>#VALUE!</v>
      </c>
      <c r="G834">
        <f t="shared" si="74"/>
        <v>1</v>
      </c>
      <c r="H834" s="7">
        <f t="shared" si="75"/>
        <v>1</v>
      </c>
      <c r="I834">
        <f t="shared" si="76"/>
        <v>5</v>
      </c>
      <c r="J834" t="e">
        <f>VLOOKUP(A834,'Housing Cost Calc'!$A$2:$C$827,3,FALSE)</f>
        <v>#N/A</v>
      </c>
      <c r="K834" t="e">
        <f t="shared" si="77"/>
        <v>#N/A</v>
      </c>
    </row>
    <row r="835" spans="1:11" x14ac:dyDescent="0.25">
      <c r="C835">
        <v>8878.9400000000296</v>
      </c>
      <c r="D835">
        <f t="shared" si="78"/>
        <v>0</v>
      </c>
      <c r="G835">
        <f t="shared" ref="G835" si="80">IF(F835&lt;0.2,1,IF(F835&lt;0.4,2,IF(F835&lt;0.6,3,IF(F835&lt;0.8,4,5))))</f>
        <v>1</v>
      </c>
      <c r="H835" s="7">
        <f t="shared" ref="H835" si="81">1-F835</f>
        <v>1</v>
      </c>
      <c r="I835">
        <f t="shared" ref="I835" si="82">6-G835</f>
        <v>5</v>
      </c>
      <c r="J835" t="e">
        <f>VLOOKUP(A835,'Housing Cost Calc'!$A$2:$C$827,3,FALSE)</f>
        <v>#N/A</v>
      </c>
      <c r="K835" t="e">
        <f t="shared" ref="K835" si="83">(J835*12)/D835</f>
        <v>#N/A</v>
      </c>
    </row>
  </sheetData>
  <sortState xmlns:xlrd2="http://schemas.microsoft.com/office/spreadsheetml/2017/richdata2" ref="A2:J835">
    <sortCondition ref="E2:E83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63fa969c-ac95-4033-87e0-78467e37564b">
      <Terms xmlns="http://schemas.microsoft.com/office/infopath/2007/PartnerControls"/>
    </lcf76f155ced4ddcb4097134ff3c332f>
    <_ip_UnifiedCompliancePolicyProperties xmlns="http://schemas.microsoft.com/sharepoint/v3" xsi:nil="true"/>
    <TaxCatchAll xmlns="92309ddc-3b1e-489e-97ba-af20c2443f26"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2F7BD22DB32E54A9D444E2614F545ED" ma:contentTypeVersion="16" ma:contentTypeDescription="Create a new document." ma:contentTypeScope="" ma:versionID="360fe76851cda82feca760b4959b0ac8">
  <xsd:schema xmlns:xsd="http://www.w3.org/2001/XMLSchema" xmlns:xs="http://www.w3.org/2001/XMLSchema" xmlns:p="http://schemas.microsoft.com/office/2006/metadata/properties" xmlns:ns1="http://schemas.microsoft.com/sharepoint/v3" xmlns:ns2="92309ddc-3b1e-489e-97ba-af20c2443f26" xmlns:ns3="63fa969c-ac95-4033-87e0-78467e37564b" targetNamespace="http://schemas.microsoft.com/office/2006/metadata/properties" ma:root="true" ma:fieldsID="ad89e5d0fc1169bce279e3fb9cd2bc64" ns1:_="" ns2:_="" ns3:_="">
    <xsd:import namespace="http://schemas.microsoft.com/sharepoint/v3"/>
    <xsd:import namespace="92309ddc-3b1e-489e-97ba-af20c2443f26"/>
    <xsd:import namespace="63fa969c-ac95-4033-87e0-78467e37564b"/>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1:_ip_UnifiedCompliancePolicyProperties" minOccurs="0"/>
                <xsd:element ref="ns1:_ip_UnifiedCompliancePolicyUIAction"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2:TaxCatchAll" minOccurs="0"/>
                <xsd:element ref="ns3:MediaServiceDateTaken"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2309ddc-3b1e-489e-97ba-af20c2443f2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68fafc10-690a-41e8-a9a2-4112e8089110}" ma:internalName="TaxCatchAll" ma:showField="CatchAllData" ma:web="92309ddc-3b1e-489e-97ba-af20c2443f26">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3fa969c-ac95-4033-87e0-78467e37564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69be3ee5-5d72-4a78-bfe6-04ec158992b3" ma:termSetId="09814cd3-568e-fe90-9814-8d621ff8fb84" ma:anchorId="fba54fb3-c3e1-fe81-a776-ca4b69148c4d" ma:open="true" ma:isKeyword="false">
      <xsd:complexType>
        <xsd:sequence>
          <xsd:element ref="pc:Terms" minOccurs="0" maxOccurs="1"/>
        </xsd:sequence>
      </xsd:complexType>
    </xsd:element>
    <xsd:element name="MediaServiceDateTaken" ma:index="21" nillable="true" ma:displayName="MediaServiceDateTaken" ma:hidden="true" ma:internalName="MediaServiceDateTaken"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88737439-8ED8-4C7C-8533-25CE3907819A}">
  <ds:schemaRefs>
    <ds:schemaRef ds:uri="http://purl.org/dc/terms/"/>
    <ds:schemaRef ds:uri="http://schemas.openxmlformats.org/package/2006/metadata/core-properties"/>
    <ds:schemaRef ds:uri="http://purl.org/dc/dcmitype/"/>
    <ds:schemaRef ds:uri="63fa969c-ac95-4033-87e0-78467e37564b"/>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microsoft.com/sharepoint/v3"/>
    <ds:schemaRef ds:uri="92309ddc-3b1e-489e-97ba-af20c2443f26"/>
    <ds:schemaRef ds:uri="http://www.w3.org/XML/1998/namespace"/>
  </ds:schemaRefs>
</ds:datastoreItem>
</file>

<file path=customXml/itemProps2.xml><?xml version="1.0" encoding="utf-8"?>
<ds:datastoreItem xmlns:ds="http://schemas.openxmlformats.org/officeDocument/2006/customXml" ds:itemID="{A0E0F6A8-1889-40F4-9B7F-4FBD62322DF6}">
  <ds:schemaRefs>
    <ds:schemaRef ds:uri="http://schemas.microsoft.com/sharepoint/v3/contenttype/forms"/>
  </ds:schemaRefs>
</ds:datastoreItem>
</file>

<file path=customXml/itemProps3.xml><?xml version="1.0" encoding="utf-8"?>
<ds:datastoreItem xmlns:ds="http://schemas.openxmlformats.org/officeDocument/2006/customXml" ds:itemID="{13CE9C29-42DA-48C8-8458-51F5EDF3985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2309ddc-3b1e-489e-97ba-af20c2443f26"/>
    <ds:schemaRef ds:uri="63fa969c-ac95-4033-87e0-78467e37564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E7662504-4680-46B0-A053-1A7E0E566DC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6</vt:i4>
      </vt:variant>
    </vt:vector>
  </HeadingPairs>
  <TitlesOfParts>
    <vt:vector size="32" baseType="lpstr">
      <vt:lpstr>Information</vt:lpstr>
      <vt:lpstr>Income and Housing Data</vt:lpstr>
      <vt:lpstr>Population and Diversity Data</vt:lpstr>
      <vt:lpstr>Eversource&gt;&gt;</vt:lpstr>
      <vt:lpstr>ES Energy Burden</vt:lpstr>
      <vt:lpstr>CLM From Eversource</vt:lpstr>
      <vt:lpstr>ESSmallLoadPivot</vt:lpstr>
      <vt:lpstr>2.) Small Load</vt:lpstr>
      <vt:lpstr>3.) Large Load</vt:lpstr>
      <vt:lpstr>HES Report ES</vt:lpstr>
      <vt:lpstr>ES shutoff</vt:lpstr>
      <vt:lpstr>Tables</vt:lpstr>
      <vt:lpstr>UI &gt;&gt;&gt;</vt:lpstr>
      <vt:lpstr>CLM from UI</vt:lpstr>
      <vt:lpstr>GreenBank</vt:lpstr>
      <vt:lpstr>CBG 2019</vt:lpstr>
      <vt:lpstr>UI EnergyBurden</vt:lpstr>
      <vt:lpstr>Small Load</vt:lpstr>
      <vt:lpstr>Large Load</vt:lpstr>
      <vt:lpstr>HES Report UI</vt:lpstr>
      <vt:lpstr>Shutoff Data</vt:lpstr>
      <vt:lpstr>Calculation Sheets &gt;&gt;&gt;</vt:lpstr>
      <vt:lpstr>Housing Cost Calc</vt:lpstr>
      <vt:lpstr>Income Percentile Calc</vt:lpstr>
      <vt:lpstr>Energy Burden Calc</vt:lpstr>
      <vt:lpstr>Income and Housing Calcs</vt:lpstr>
      <vt:lpstr>'2.) Small Load'!Print_Area</vt:lpstr>
      <vt:lpstr>'3.) Large Load'!Print_Area</vt:lpstr>
      <vt:lpstr>'HES Report ES'!Print_Area</vt:lpstr>
      <vt:lpstr>'2.) Small Load'!Print_Titles</vt:lpstr>
      <vt:lpstr>'3.) Large Load'!Print_Titles</vt:lpstr>
      <vt:lpstr>'HES Report ES'!Print_Titles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2022-06-27T15:19:19Z</dcterms:created>
  <dcterms:modified xsi:type="dcterms:W3CDTF">2022-08-29T14:35:30Z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0x010100B2F7BD22DB32E54A9D444E2614F545ED</vt:lpwstr>
  </property>
  <property fmtid="{D5CDD505-2E9C-101B-9397-08002B2CF9AE}" pid="3" name="MediaServiceImageTags">
    <vt:lpwstr/>
  </property>
</Properties>
</file>